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5.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6.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7.xml" ContentType="application/vnd.openxmlformats-officedocument.drawing+xml"/>
  <Override PartName="/xl/ctrlProps/ctrlProp40.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ink/ink6.xml" ContentType="application/inkml+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tables/table1.xml" ContentType="application/vnd.openxmlformats-officedocument.spreadsheetml.table+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namedSheetViews/namedSheetView1.xml" ContentType="application/vnd.ms-excel.namedsheetviews+xml"/>
  <Override PartName="/xl/drawings/drawing52.xml" ContentType="application/vnd.openxmlformats-officedocument.drawing+xml"/>
  <Override PartName="/xl/drawings/drawing53.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d.docs.live.net/A7FA01D38A6BDD72/Kaffeerunde/Versorgungsausgleich in Europa/"/>
    </mc:Choice>
  </mc:AlternateContent>
  <xr:revisionPtr revIDLastSave="0" documentId="14_{F58288CC-F93D-4B53-A8CF-6D9C7F6D9FDD}" xr6:coauthVersionLast="47" xr6:coauthVersionMax="47" xr10:uidLastSave="{00000000-0000-0000-0000-000000000000}"/>
  <workbookProtection workbookAlgorithmName="SHA-512" workbookHashValue="gmmU8Vawkneafs+0Pb9N8rjtNmAgsqkb7udqRe2efLx5y/3ddpovnaNX2ds7tq2TBQvA5VAldmFBKGzzuKhXVA==" workbookSaltValue="3sf/gPKLnQLTagniLunk4g==" workbookSpinCount="100000" lockStructure="1"/>
  <bookViews>
    <workbookView xWindow="-28920" yWindow="-120" windowWidth="29040" windowHeight="15720" tabRatio="885" firstSheet="6" activeTab="6" xr2:uid="{00000000-000D-0000-FFFF-FFFF00000000}"/>
  </bookViews>
  <sheets>
    <sheet name="Lebenserwartung_N" sheetId="44" state="hidden" r:id="rId1"/>
    <sheet name="Lebenserwartung_F" sheetId="43" state="hidden" r:id="rId2"/>
    <sheet name="Lebenserwartung_M" sheetId="42" state="hidden" r:id="rId3"/>
    <sheet name="Kohorte_W" sheetId="46" state="hidden" r:id="rId4"/>
    <sheet name="Kohorte_D" sheetId="47" state="hidden" r:id="rId5"/>
    <sheet name="Kohorte_M" sheetId="45" state="hidden" r:id="rId6"/>
    <sheet name="Vorweg" sheetId="91" r:id="rId7"/>
    <sheet name="Start" sheetId="58" r:id="rId8"/>
    <sheet name="Makrotext" sheetId="88" state="hidden" r:id="rId9"/>
    <sheet name="Verschiedenes" sheetId="66" state="hidden" r:id="rId10"/>
    <sheet name="Abfindungsberechnung" sheetId="41" r:id="rId11"/>
    <sheet name="BilMoG" sheetId="83" state="hidden" r:id="rId12"/>
    <sheet name="Günstigkeitsprüfung" sheetId="82" state="hidden" r:id="rId13"/>
    <sheet name="Abfindung Methode 1" sheetId="65" r:id="rId14"/>
    <sheet name="Abfindung Methode 2" sheetId="62" r:id="rId15"/>
    <sheet name="HRIR60" sheetId="48" state="hidden" r:id="rId16"/>
    <sheet name="HRIR61" sheetId="49" state="hidden" r:id="rId17"/>
    <sheet name="HRIR62" sheetId="50" state="hidden" r:id="rId18"/>
    <sheet name="HRIR63" sheetId="51" state="hidden" r:id="rId19"/>
    <sheet name="HRIR64" sheetId="52" state="hidden" r:id="rId20"/>
    <sheet name="HRIR65" sheetId="53" state="hidden" r:id="rId21"/>
    <sheet name="HRIR66" sheetId="54" state="hidden" r:id="rId22"/>
    <sheet name="HRIR67" sheetId="55" state="hidden" r:id="rId23"/>
    <sheet name="Abfindung Methode 3" sheetId="63" r:id="rId24"/>
    <sheet name="Länderberichte" sheetId="92" state="hidden" r:id="rId25"/>
    <sheet name="Kurzübersicht" sheetId="67" r:id="rId26"/>
    <sheet name="Belgien" sheetId="7" r:id="rId27"/>
    <sheet name="Bulgarien" sheetId="8" r:id="rId28"/>
    <sheet name="Dänemark" sheetId="9" r:id="rId29"/>
    <sheet name="Deutschland" sheetId="10" r:id="rId30"/>
    <sheet name="Estland" sheetId="11" r:id="rId31"/>
    <sheet name="Finnland" sheetId="12" r:id="rId32"/>
    <sheet name="Frankreich" sheetId="13" r:id="rId33"/>
    <sheet name="Griechenland" sheetId="14" r:id="rId34"/>
    <sheet name="Irland" sheetId="15" r:id="rId35"/>
    <sheet name="Island" sheetId="16" r:id="rId36"/>
    <sheet name="Italien" sheetId="17" r:id="rId37"/>
    <sheet name="Kroatien" sheetId="18" r:id="rId38"/>
    <sheet name="Lettland" sheetId="19" r:id="rId39"/>
    <sheet name="Liechtenstein" sheetId="20" r:id="rId40"/>
    <sheet name="Litauen" sheetId="21" r:id="rId41"/>
    <sheet name="Luxemburg" sheetId="22" r:id="rId42"/>
    <sheet name="Malta" sheetId="23" r:id="rId43"/>
    <sheet name="Niederlande" sheetId="24" r:id="rId44"/>
    <sheet name="Norwegen" sheetId="25" r:id="rId45"/>
    <sheet name="Österreich" sheetId="26" r:id="rId46"/>
    <sheet name="Polen" sheetId="27" r:id="rId47"/>
    <sheet name="Portugal" sheetId="28" r:id="rId48"/>
    <sheet name="Rumänien" sheetId="29" r:id="rId49"/>
    <sheet name="Schweden" sheetId="30" r:id="rId50"/>
    <sheet name="Schweiz" sheetId="31" r:id="rId51"/>
    <sheet name="Slowakei" sheetId="35" r:id="rId52"/>
    <sheet name="Slowenien" sheetId="36" r:id="rId53"/>
    <sheet name="Spanien" sheetId="57" r:id="rId54"/>
    <sheet name="Tschechische Republik" sheetId="38" r:id="rId55"/>
    <sheet name="Ungarn" sheetId="39" r:id="rId56"/>
    <sheet name="Zypern" sheetId="40" r:id="rId57"/>
    <sheet name="Wer erteilt Auskunft" sheetId="59" r:id="rId58"/>
    <sheet name="Entscheidungen" sheetId="68" r:id="rId59"/>
    <sheet name="Tabelle3" sheetId="75" state="hidden" r:id="rId60"/>
    <sheet name="Links zu EU-Länderbroschüren" sheetId="60" r:id="rId61"/>
    <sheet name="DRV-Verbindungsstellen" sheetId="86" r:id="rId62"/>
    <sheet name="Dynamik EU-Renten" sheetId="56" r:id="rId63"/>
    <sheet name="Inflation" sheetId="61" r:id="rId64"/>
    <sheet name="Geschiedenen-Witwenversorgung" sheetId="80" state="hidden" r:id="rId65"/>
    <sheet name="Geschiedenen-HR-Rente" sheetId="77" r:id="rId66"/>
    <sheet name="Rentenrechner-Links" sheetId="78" r:id="rId67"/>
    <sheet name="Lebenshaltungskostenvergleich" sheetId="76" r:id="rId68"/>
    <sheet name="Lebenserwartung EU&amp;EFTA" sheetId="79" r:id="rId69"/>
    <sheet name="Lebenserwartung europaweit" sheetId="87" r:id="rId70"/>
    <sheet name="Kapitalisierungsmöglichkeit" sheetId="90" r:id="rId71"/>
    <sheet name="Parameter DRV" sheetId="69" r:id="rId72"/>
    <sheet name="KI-Prompts" sheetId="85" r:id="rId73"/>
    <sheet name="Renteneintritt DRV" sheetId="70" state="hidden" r:id="rId74"/>
    <sheet name="AOW_Niederlande" sheetId="73" state="hidden" r:id="rId75"/>
    <sheet name="NAV Norwegen" sheetId="74" state="hidden" r:id="rId76"/>
  </sheets>
  <definedNames>
    <definedName name="_xlnm._FilterDatabase" localSheetId="26" hidden="1">Belgien!$A$2:$XFC$105</definedName>
    <definedName name="_xlnm._FilterDatabase" localSheetId="27" hidden="1">Bulgarien!$2:$105</definedName>
    <definedName name="_xlnm._FilterDatabase" localSheetId="28" hidden="1">Dänemark!$A$2:$F$105</definedName>
    <definedName name="_xlnm._FilterDatabase" localSheetId="29" hidden="1">Deutschland!$A$2:$F$105</definedName>
    <definedName name="_xlnm._FilterDatabase" localSheetId="61" hidden="1">'DRV-Verbindungsstellen'!$B$4:$F$57</definedName>
    <definedName name="_xlnm._FilterDatabase" localSheetId="62" hidden="1">'Dynamik EU-Renten'!$C$1:$C$51</definedName>
    <definedName name="_xlnm._FilterDatabase" localSheetId="58" hidden="1">Entscheidungen!$A$1:$C$58</definedName>
    <definedName name="_xlnm._FilterDatabase" localSheetId="30" hidden="1">Estland!$A$2:$F$105</definedName>
    <definedName name="_xlnm._FilterDatabase" localSheetId="31" hidden="1">Finnland!$A$2:$F$105</definedName>
    <definedName name="_xlnm._FilterDatabase" localSheetId="32" hidden="1">Frankreich!$A$2:$F$105</definedName>
    <definedName name="_xlnm._FilterDatabase" localSheetId="65" hidden="1">'Geschiedenen-HR-Rente'!$B$6:$E$37</definedName>
    <definedName name="_xlnm._FilterDatabase" localSheetId="33" hidden="1">Griechenland!$A$2:$F$105</definedName>
    <definedName name="_xlnm._FilterDatabase" localSheetId="63" hidden="1">Inflation!$C$3:$R$40</definedName>
    <definedName name="_xlnm._FilterDatabase" localSheetId="34" hidden="1">Irland!$A$2:$F$2</definedName>
    <definedName name="_xlnm._FilterDatabase" localSheetId="35" hidden="1">Island!$A$2:$F$2</definedName>
    <definedName name="_xlnm._FilterDatabase" localSheetId="36" hidden="1">Italien!$A$2:$F$105</definedName>
    <definedName name="_xlnm._FilterDatabase" localSheetId="70" hidden="1">Kapitalisierungsmöglichkeit!$A$4:$L$40</definedName>
    <definedName name="_xlnm._FilterDatabase" localSheetId="37" hidden="1">Kroatien!$A$2:$F$2</definedName>
    <definedName name="_xlnm._FilterDatabase" localSheetId="68" hidden="1">'Lebenserwartung EU&amp;EFTA'!$B$6:$H$66</definedName>
    <definedName name="_xlnm._FilterDatabase" localSheetId="67" hidden="1">Lebenshaltungskostenvergleich!$B$9:$G$53</definedName>
    <definedName name="_xlnm._FilterDatabase" localSheetId="38" hidden="1">Lettland!$A$2:$F$2</definedName>
    <definedName name="_xlnm._FilterDatabase" localSheetId="39" hidden="1">Liechtenstein!$A$2:$F$2</definedName>
    <definedName name="_xlnm._FilterDatabase" localSheetId="60" hidden="1">'Links zu EU-Länderbroschüren'!$A$1:$E$29</definedName>
    <definedName name="_xlnm._FilterDatabase" localSheetId="40" hidden="1">Litauen!$A$2:$F$2</definedName>
    <definedName name="_xlnm._FilterDatabase" localSheetId="41" hidden="1">Luxemburg!$A$2:$F$105</definedName>
    <definedName name="_xlnm._FilterDatabase" localSheetId="42" hidden="1">Malta!$A$2:$F$105</definedName>
    <definedName name="_xlnm._FilterDatabase" localSheetId="43" hidden="1">Niederlande!$A$2:$F$2</definedName>
    <definedName name="_xlnm._FilterDatabase" localSheetId="44" hidden="1">Norwegen!$A$2:$F$2</definedName>
    <definedName name="_xlnm._FilterDatabase" localSheetId="45" hidden="1">Österreich!$A$2:$F$2</definedName>
    <definedName name="_xlnm._FilterDatabase" localSheetId="46" hidden="1">Polen!$A$2:$F$2</definedName>
    <definedName name="_xlnm._FilterDatabase" localSheetId="47" hidden="1">Portugal!$A$2:$F$2</definedName>
    <definedName name="_xlnm._FilterDatabase" localSheetId="66" hidden="1">'Rentenrechner-Links'!$A$42:$E$73</definedName>
    <definedName name="_xlnm._FilterDatabase" localSheetId="48" hidden="1">Rumänien!$A$2:$F$2</definedName>
    <definedName name="_xlnm._FilterDatabase" localSheetId="49" hidden="1">Schweden!$A$2:$F$2</definedName>
    <definedName name="_xlnm._FilterDatabase" localSheetId="50" hidden="1">Schweiz!$A$2:$F$2</definedName>
    <definedName name="_xlnm._FilterDatabase" localSheetId="51" hidden="1">Slowakei!$A$2:$F$105</definedName>
    <definedName name="_xlnm._FilterDatabase" localSheetId="52" hidden="1">Slowenien!$A$2:$F$2</definedName>
    <definedName name="_xlnm._FilterDatabase" localSheetId="53" hidden="1">Spanien!$A$2:$F$2</definedName>
    <definedName name="_xlnm._FilterDatabase" localSheetId="54" hidden="1">'Tschechische Republik'!$A$2:$F$105</definedName>
    <definedName name="_xlnm._FilterDatabase" localSheetId="55" hidden="1">Ungarn!$A$2:$F$2</definedName>
    <definedName name="_xlnm._FilterDatabase" localSheetId="57" hidden="1">'Wer erteilt Auskunft'!$A$1:$E$58</definedName>
    <definedName name="_xlnm._FilterDatabase" localSheetId="56" hidden="1">Zypern!$A$2:$F$2</definedName>
    <definedName name="A">Österreich!$F$2</definedName>
    <definedName name="AbfindungMethode1">'Abfindung Methode 1'!$H$22</definedName>
    <definedName name="AbfindungMethode2">'Abfindung Methode 2'!$J$32</definedName>
    <definedName name="AbfindungMethode3">'Abfindung Methode 3'!$J$29</definedName>
    <definedName name="Achtung">Abfindungsberechnung!$AH$1</definedName>
    <definedName name="aktRW_BerDat">'Abfindung Methode 1'!$Q$18</definedName>
    <definedName name="Alter_Ber">Abfindungsberechnung!$F$7</definedName>
    <definedName name="Alter_Ber_sVA_Beginn">Abfindungsberechnung!$AO$3</definedName>
    <definedName name="Alter_BerDat_Ber">Abfindungsberechnung!$AN$3</definedName>
    <definedName name="Alter_Pfl">Abfindungsberechnung!$F$6</definedName>
    <definedName name="Alter_Pfl_sVA_Beginn">Abfindungsberechnung!$AN$5</definedName>
    <definedName name="Alter_Pfl_sVABeginn">Abfindungsberechnung!$AO$5</definedName>
    <definedName name="Alter_sVA_Ber">Abfindungsberechnung!$AE$8</definedName>
    <definedName name="Alter_sVA_Pfl">Abfindungsberechnung!$AE$7</definedName>
    <definedName name="AlterBer_sVA_Beginn">Abfindungsberechnung!$AP$3</definedName>
    <definedName name="AlterEzE_Pfl">Abfindungsberechnung!$AA$30</definedName>
    <definedName name="AlterEzEBerZtpkt_Plf">Abfindungsberechnung!$AA$31</definedName>
    <definedName name="AltersrentenAltersbestimmung">#REF!</definedName>
    <definedName name="Anwartschaftsphase">Abfindungsberechnung!$AA$34</definedName>
    <definedName name="Anwartschaftsphase_Pfl">Abfindungsberechnung!$AA$34</definedName>
    <definedName name="Anwartschaftszeit_Pfl">'Abfindung Methode 1'!$E$11</definedName>
    <definedName name="AnwZeit_Ber_BerDatbusDRVRente">Abfindungsberechnung!$AZ$3</definedName>
    <definedName name="AnwZeitbisBer_Ztpkt">Abfindungsberechnung!$AA$33</definedName>
    <definedName name="AnwZeitPflbisFälligkeitsVA">'Abfindung Methode 1'!$M$15</definedName>
    <definedName name="AterPfl_sVA_Beginn">Abfindungsberechnung!$AP$5</definedName>
    <definedName name="Auskunftgeber">'Wer erteilt Auskunft'!$B$2:$E$65</definedName>
    <definedName name="Auskunftsländer">'Wer erteilt Auskunft'!$B$1</definedName>
    <definedName name="B">Belgien!$F$1</definedName>
    <definedName name="Barwert1">'Abfindung Methode 1'!$H$22</definedName>
    <definedName name="BarwertMethode1">'Abfindung Methode 1'!$H$16</definedName>
    <definedName name="Belgien">Belgien!$A$3:$F$105</definedName>
    <definedName name="BG">Bulgarien!$F$1</definedName>
    <definedName name="BilMoG">BilMoG!$A$2:$C$310</definedName>
    <definedName name="BW_Methode1">'Abfindung Methode 1'!$H$19</definedName>
    <definedName name="BW_Pfl_Berechnungsdatum">'Abfindung Methode 1'!$H$14</definedName>
    <definedName name="BW_Pfl_Leistngsbeginn">'Abfindung Methode 1'!$H$13</definedName>
    <definedName name="CH">Schweiz!$F$2</definedName>
    <definedName name="CY">Zypern!$F$2</definedName>
    <definedName name="CZ">'Tschechische Republik'!$F$2</definedName>
    <definedName name="D">Deutschland!$F$1</definedName>
    <definedName name="Dat_BebDat_Ber">Abfindungsberechnung!$D$7</definedName>
    <definedName name="Dat_Ber">Abfindungsberechnung!$F$4</definedName>
    <definedName name="Dat_GebDat_Ber">Abfindungsberechnung!$D$7</definedName>
    <definedName name="Dat_GebDat_Pfl">Abfindungsberechnung!$D$6</definedName>
    <definedName name="DBA">Verschiedenes!$C$4</definedName>
    <definedName name="Deutschland">Deutschland!$A$3:$F$106</definedName>
    <definedName name="DK">Dänemark!$F$2</definedName>
    <definedName name="Doppelbesteuerung">Verschiedenes!$A$4:$B$48</definedName>
    <definedName name="_xlnm.Print_Area" localSheetId="13">'Abfindung Methode 1'!$A$10:$J$28</definedName>
    <definedName name="_xlnm.Print_Area" localSheetId="14">'Abfindung Methode 2'!$B$9:$H$34</definedName>
    <definedName name="_xlnm.Print_Area" localSheetId="10">Abfindungsberechnung!$K$10:$V$44</definedName>
    <definedName name="_xlnm.Print_Area" localSheetId="57">'Wer erteilt Auskunft'!$B$1:$E$58</definedName>
    <definedName name="_xlnm.Print_Titles" localSheetId="57">'Wer erteilt Auskunft'!$1:$1</definedName>
    <definedName name="DRV_Renteneintritt">'Renteneintritt DRV'!$B$3:$F$21</definedName>
    <definedName name="DRV_Rentensumme">'Abfindung Methode 2'!$O$41</definedName>
    <definedName name="DRV_Verbindungsstellen">'DRV-Verbindungsstellen'!$B$5:$F$57</definedName>
    <definedName name="DRVDynamik">'Abfindung Methode 1'!$G$25</definedName>
    <definedName name="Dynamisierung">'Dynamik EU-Renten'!$A$2:$BA$40</definedName>
    <definedName name="Dynamisierungslinks">'Dynamik EU-Renten'!$C$2:$AE$32</definedName>
    <definedName name="E">Spanien!$F$2</definedName>
    <definedName name="E_Aktenzeichen">Entscheidungen!$B$2:$B$200</definedName>
    <definedName name="E_Beschlüsse">Entscheidungen!$C$2:$C$200</definedName>
    <definedName name="E_BeschlussThema">Entscheidungen!$C$2:$C$200</definedName>
    <definedName name="E_Land">Entscheidungen!$A$2:$A$200</definedName>
    <definedName name="Endscheidungsländer">Entscheidungen!$A$1</definedName>
    <definedName name="Entscheidungen">Entscheidungen!$A$2:$C$200</definedName>
    <definedName name="EP_BerDat">'Abfindung Methode 1'!$Q$17</definedName>
    <definedName name="EST">Estland!$F$2</definedName>
    <definedName name="EU_Laender">'Links zu EU-Länderbroschüren'!$A$2:$E$50</definedName>
    <definedName name="EUEFTA_Rentenrechner">'Rentenrechner-Links'!$B$6:$F$36</definedName>
    <definedName name="EzE">Abfindungsberechnung!$D$5</definedName>
    <definedName name="F">Frankreich!$F$2</definedName>
    <definedName name="Fälligkeit_sVA">'Abfindung Methode 1'!$M$14</definedName>
    <definedName name="FIN">Finnland!$F$2</definedName>
    <definedName name="FL">Liechtenstein!$F$2</definedName>
    <definedName name="Flagge_D">Abfindungsberechnung!$AH$14</definedName>
    <definedName name="Geschiedenen_HR_Rente">'Geschiedenen-HR-Rente'!$B$7:$E$37</definedName>
    <definedName name="GeschiedenenWitwenVersorgung">'Geschiedenen-Witwenversorgung'!$B$4</definedName>
    <definedName name="Geschlecht_Ber">Abfindungsberechnung!$E$7</definedName>
    <definedName name="Geschlecht_Pfl">Abfindungsberechnung!#REF!</definedName>
    <definedName name="GeschlechtsNr_Ber">Abfindungsberechnung!$AA$7</definedName>
    <definedName name="GeschlechtsNr_Pfl">Abfindungsberechnung!$AA$6</definedName>
    <definedName name="GHR_Ziel">'Geschiedenen-HR-Rente'!$C$1</definedName>
    <definedName name="GR">Griechenland!$F$2</definedName>
    <definedName name="GrundInfo">Abfindungsberechnung!$AL$37</definedName>
    <definedName name="H">Ungarn!$F$2</definedName>
    <definedName name="HEIR66">HRIR66!$B$4:$AB$84</definedName>
    <definedName name="Hinterbliebenen">Abfindungsberechnung!$F$20</definedName>
    <definedName name="Hinterbliebenensatz">Abfindungsberechnung!$I$20</definedName>
    <definedName name="Hinterbliebenenzuschlag">'Abfindung Methode 1'!$I$18</definedName>
    <definedName name="HR">Kroatien!$F$2</definedName>
    <definedName name="HR_Quote">'Abfindung Methode 1'!$L$20</definedName>
    <definedName name="HRIR60">HRIR60!$B$4:$AB$84</definedName>
    <definedName name="HRIR61">HRIR61!$B$4:$AB$84</definedName>
    <definedName name="HRIR62">HRIR62!$B$4:$AB$84</definedName>
    <definedName name="HRIR63">HRIR63!$B$4:$AB$84</definedName>
    <definedName name="HRIR64">HRIR64!$B$4:$AB$84</definedName>
    <definedName name="HRIR65">HRIR65!$B$4:$AB$84</definedName>
    <definedName name="HRIR67">HRIR67!$B$4:$AB$84</definedName>
    <definedName name="I">Italien!$F$2</definedName>
    <definedName name="Inflation">Inflation!$D$4:$R$35</definedName>
    <definedName name="Inflation_Länder">'Dynamik EU-Renten'!$C$2:$AC$40</definedName>
    <definedName name="Info">Abfindungsberechnung!$B$3</definedName>
    <definedName name="info_HRZuschlag">Abfindungsberechnung!$AA$25</definedName>
    <definedName name="Info_HRZuschlag_M1">'Abfindung Methode 1'!$N$20</definedName>
    <definedName name="info_IRZuschlag">Abfindungsberechnung!$AA$24</definedName>
    <definedName name="Info_IRZuschlag_M1">'Abfindung Methode 1'!$N$19</definedName>
    <definedName name="info_SozAbgaben">'Abfindung Methode 3'!$L$27</definedName>
    <definedName name="Info_Steuern">'Abfindung Methode 3'!$L$28</definedName>
    <definedName name="Info_Thema">Abfindungsberechnung!$AB$1</definedName>
    <definedName name="InfoBereich">Abfindungsberechnung!$AK$39</definedName>
    <definedName name="Invalidität">Abfindungsberechnung!$F$19</definedName>
    <definedName name="Invaliditätssatz">Abfindungsberechnung!$I$19</definedName>
    <definedName name="Invaliditätszuschlag">'Abfindung Methode 1'!$I$17</definedName>
    <definedName name="IR_Quote">'Abfindung Methode 1'!$L$19</definedName>
    <definedName name="IR_Quote_m1">'Abfindung Methode 1'!#REF!</definedName>
    <definedName name="IS">Island!$F$2</definedName>
    <definedName name="Jahresrente_Pfl">'Abfindung Methode 1'!$J$12</definedName>
    <definedName name="JahresrentePflimBerZtpkt">'Abfindung Methode 1'!#REF!</definedName>
    <definedName name="K_A">Kurzübersicht!$X$8</definedName>
    <definedName name="K_Aus">Kurzübersicht!$AK$8</definedName>
    <definedName name="K_B">Kurzübersicht!$D$8</definedName>
    <definedName name="K_BG">Kurzübersicht!$E$8</definedName>
    <definedName name="K_Bu">Kurzübersicht!$E$8</definedName>
    <definedName name="K_CH">Kurzübersicht!$AC$8</definedName>
    <definedName name="K_CND">Kurzübersicht!$AJ$8</definedName>
    <definedName name="K_CY">Kurzübersicht!$AI$8</definedName>
    <definedName name="K_CZ">Kurzübersicht!$AG$8</definedName>
    <definedName name="K_D">Kurzübersicht!$G$8</definedName>
    <definedName name="K_DK">Kurzübersicht!$F$8</definedName>
    <definedName name="K_E">Kurzübersicht!$AF$8</definedName>
    <definedName name="K_EST">Kurzübersicht!$H$8</definedName>
    <definedName name="K_F">Kurzübersicht!$J$8</definedName>
    <definedName name="K_FI">Kurzübersicht!$I$8</definedName>
    <definedName name="K_FL">Kurzübersicht!$R$8</definedName>
    <definedName name="K_GB">Kurzübersicht!$L$8</definedName>
    <definedName name="K_GR">Kurzübersicht!$K$8</definedName>
    <definedName name="K_H">Kurzübersicht!$AH$8</definedName>
    <definedName name="K_I">Kurzübersicht!$O$8</definedName>
    <definedName name="K_IRL">Kurzübersicht!$M$8</definedName>
    <definedName name="K_IS">Kurzübersicht!$N$8</definedName>
    <definedName name="K_KR">Kurzübersicht!$P$8</definedName>
    <definedName name="K_L">Kurzübersicht!$T$8</definedName>
    <definedName name="K_LI">Kurzübersicht!$S$8</definedName>
    <definedName name="K_LV">Kurzübersicht!$Q$8</definedName>
    <definedName name="K_M">Kurzübersicht!$U$8</definedName>
    <definedName name="K_N">Kurzübersicht!$W$8</definedName>
    <definedName name="K_NL">Kurzübersicht!$V$8</definedName>
    <definedName name="K_NZ">Kurzübersicht!$AL$8</definedName>
    <definedName name="K_Pl">Kurzübersicht!$Y$8</definedName>
    <definedName name="K_PO">Kurzübersicht!$Z$8</definedName>
    <definedName name="K_RO">Kurzübersicht!$AA$8</definedName>
    <definedName name="K_S">Kurzübersicht!$AB$8</definedName>
    <definedName name="K_SK">Kurzübersicht!$AD$8</definedName>
    <definedName name="K_SLO">Kurzübersicht!$AE$8</definedName>
    <definedName name="K_Text12">Abfindungsberechnung!$AL$14</definedName>
    <definedName name="K_Text13">Abfindungsberechnung!$AL$15</definedName>
    <definedName name="K_Text14">Abfindungsberechnung!$AL$16</definedName>
    <definedName name="K_USA">Kurzübersicht!$AM$8</definedName>
    <definedName name="K2_Text1">Abfindungsberechnung!$AL$30</definedName>
    <definedName name="K2_Text2">Abfindungsberechnung!$AL$31</definedName>
    <definedName name="K2_Text3">Abfindungsberechnung!$AL$32</definedName>
    <definedName name="Kapitalisierung">Kapitalisierungsmöglichkeit!$A$6:$L$49</definedName>
    <definedName name="Kohorte_BerDat_Ber">Abfindungsberechnung!$AR$3</definedName>
    <definedName name="Kohorte_BerDat_pfl">Abfindungsberechnung!$AR$5</definedName>
    <definedName name="Kohorte_D">Kohorte_D!$A$2:$DO$102</definedName>
    <definedName name="Kohorte_LDat_Ber">Abfindungsberechnung!$AS$3</definedName>
    <definedName name="Kohorte_LDat_Pfl">Abfindungsberechnung!$AS$5</definedName>
    <definedName name="Kohorte_M">Kohorte_M!$A$2:$DO$102</definedName>
    <definedName name="Kohorte_W">Kohorte_W!$A$2:$DO$102</definedName>
    <definedName name="KostenderLebenshaltung">Lebenshaltungskostenvergleich!$C$10:$G$45</definedName>
    <definedName name="KText">Abfindungsberechnung!$AL$27</definedName>
    <definedName name="KText1">Abfindungsberechnung!$AL$13</definedName>
    <definedName name="KText10">Abfindungsberechnung!$AL$25</definedName>
    <definedName name="KText11">Abfindungsberechnung!$AL$26</definedName>
    <definedName name="KText12">Abfindungsberechnung!$AL$14</definedName>
    <definedName name="KText13">Abfindungsberechnung!$AL$15</definedName>
    <definedName name="KText14">Abfindungsberechnung!$AL$16</definedName>
    <definedName name="KText2">Abfindungsberechnung!$AL$17</definedName>
    <definedName name="KText3">Abfindungsberechnung!$AL$18</definedName>
    <definedName name="KText4">Abfindungsberechnung!$AL$19</definedName>
    <definedName name="KText5">Abfindungsberechnung!$AL$20</definedName>
    <definedName name="KText6">Abfindungsberechnung!$AL$21</definedName>
    <definedName name="KText7">Abfindungsberechnung!$AL$22</definedName>
    <definedName name="KText8">Abfindungsberechnung!$AL$23</definedName>
    <definedName name="KText9">Abfindungsberechnung!$AL$24</definedName>
    <definedName name="KTextZus1">Abfindungsberechnung!$AL$10</definedName>
    <definedName name="KTextZus2">Abfindungsberechnung!$AL$27</definedName>
    <definedName name="KTextZus3">Abfindungsberechnung!$AL$33</definedName>
    <definedName name="Kurzinfo">Abfindungsberechnung!$X$23</definedName>
    <definedName name="KurzSprungziel">Abfindungsberechnung!$AG$10</definedName>
    <definedName name="Kurzübersicht">Kurzübersicht!$A$9:$AZ$22</definedName>
    <definedName name="L">Luxemburg!$F$2</definedName>
    <definedName name="L_Ber_absVA">Abfindungsberechnung!$AQ$3</definedName>
    <definedName name="L_Ber_sVABeginn">Abfindungsberechnung!$AQ$3</definedName>
    <definedName name="L_DzuAuswahlland">'Lebenserwartung EU&amp;EFTA'!$N$5</definedName>
    <definedName name="L_DzuAuswahlland_Ber">'Lebenserwartung EU&amp;EFTA'!$N$10</definedName>
    <definedName name="L_Pfl_sVA_Beginn">Abfindungsberechnung!$AQ$5</definedName>
    <definedName name="L_sVABeginn_Ber">Abfindungsberechnung!$AG$8</definedName>
    <definedName name="L_sVABeginn_Pfl">Abfindungsberechnung!$AG$7</definedName>
    <definedName name="Länder1">Abfindungsberechnung!$A$6:$B$60</definedName>
    <definedName name="Ländererfassung">Abfindungsberechnung!$B$6:$B$52</definedName>
    <definedName name="Länderkennzeichen">Abfindungsberechnung!$AF$11:$AH$52</definedName>
    <definedName name="Länderliste1">Abfindungsberechnung!$B$6:$B$50</definedName>
    <definedName name="Ländernr">Abfindungsberechnung!$AB$2</definedName>
    <definedName name="Länderübersicht">Kurzübersicht!$B$1</definedName>
    <definedName name="Länderwahl">Abfindungsberechnung!$AC$2</definedName>
    <definedName name="Lebenserwartung">'Lebenserwartung EU&amp;EFTA'!$B$4</definedName>
    <definedName name="Lebenserwartung_weltweit">'Lebenserwartung europaweit'!$B$5</definedName>
    <definedName name="Lebenshaltungskosten">Lebenshaltungskostenvergleich!$A$1</definedName>
    <definedName name="Lebenshaltungskostenindex">Lebenshaltungskostenvergleich!$B$1</definedName>
    <definedName name="Lebenshaltungskostenvergleich">Lebenshaltungskostenvergleich!$B$10:$G$50</definedName>
    <definedName name="Leistungsbeginn_auszuglVersorgung">Abfindungsberechnung!$AL$5</definedName>
    <definedName name="Leistungsbeginn_Pfl">Abfindungsberechnung!$H$6</definedName>
    <definedName name="LeistungsphaseBerztpkt_Pfl">Abfindungsberechnung!$AA$35</definedName>
    <definedName name="Leistungszeit_Pfl">'Abfindung Methode 1'!$H$11</definedName>
    <definedName name="Lf">Lebenserwartung_F!$1:$1048576</definedName>
    <definedName name="Links">Abfindungsberechnung!$A$1</definedName>
    <definedName name="LinkzuEU_Broschüren">'Links zu EU-Länderbroschüren'!$A$1</definedName>
    <definedName name="Lm">Lebenserwartung_M!$A$1:$DR$102</definedName>
    <definedName name="Ln">Lebenserwartung_N!$A$2:$DR$102</definedName>
    <definedName name="LT">Litauen!$F$2</definedName>
    <definedName name="LV">Lettland!$F$2</definedName>
    <definedName name="Lx">Lebenserwartung_M!$A$2:$DR$102</definedName>
    <definedName name="LXYD_EU">'Lebenserwartung EU&amp;EFTA'!$B$7:$H$90</definedName>
    <definedName name="LxyInternational">'Lebenserwartung EU&amp;EFTA'!$A$7:$H$67</definedName>
    <definedName name="Ly">Lebenserwartung_F!$A$2:$DR$102</definedName>
    <definedName name="LZeitBis_sVA">Abfindungsberechnung!$AU$5</definedName>
    <definedName name="LZeitbisBer_Ztpkt">Abfindungsberechnung!$AA$28</definedName>
    <definedName name="M">Malta!$F$2</definedName>
    <definedName name="Monatsrente_Pfl">'Abfindung Methode 1'!$H$12</definedName>
    <definedName name="Musterprompt">Kurzübersicht!$F$3</definedName>
    <definedName name="N">Norwegen!$F$2</definedName>
    <definedName name="NL">Niederlande!$F$2</definedName>
    <definedName name="O_Box_K_L">Abfindungsberechnung!$AK$28</definedName>
    <definedName name="P">Portugal!$F$2</definedName>
    <definedName name="Pfl">'Lebenserwartung EU&amp;EFTA'!$N$5</definedName>
    <definedName name="PL">Polen!$F$2</definedName>
    <definedName name="ReAlter_Ber">Abfindungsberechnung!$G$7</definedName>
    <definedName name="ReAlter_Pfl">Abfindungsberechnung!$G$6</definedName>
    <definedName name="ReAnzahlproJahr">Abfindungsberechnung!$I$9</definedName>
    <definedName name="Rechnungszins">Abfindungsberechnung!$I$17</definedName>
    <definedName name="Rechnungszinsänderung">'Abfindung Methode 1'!$M$4</definedName>
    <definedName name="Rechts">Abfindungsberechnung!$U$1</definedName>
    <definedName name="ReDyn_Anwartschaft">Abfindungsberechnung!$G$15</definedName>
    <definedName name="ReDynamik_Leistung">Abfindungsberechnung!$I$15</definedName>
    <definedName name="ReHöhe_Berdat">Abfindungsberechnung!$G$16</definedName>
    <definedName name="ReHöhe_EZE_Pfl">Abfindungsberechnung!$F$9</definedName>
    <definedName name="RentenalterBer">Abfindungsberechnung!$G$7</definedName>
    <definedName name="Rentenalterbestimmung">#REF!</definedName>
    <definedName name="RentenalterPräzise">#REF!</definedName>
    <definedName name="RentenBeginn_Ber">Abfindungsberechnung!$AL$3</definedName>
    <definedName name="Rentendynamik_Länder">'Dynamik EU-Renten'!$C$2:$AC$45</definedName>
    <definedName name="Rentenhöhe_Fälligkeit">Abfindungsberechnung!$I$16</definedName>
    <definedName name="Rentenrechner">'Rentenrechner-Links'!$B$2</definedName>
    <definedName name="RO">Rumänien!$F$2</definedName>
    <definedName name="Rspr">Abfindungsberechnung!$AL$35</definedName>
    <definedName name="Schwe">Schweden!$F$2</definedName>
    <definedName name="SK">Slowakei!$F$3</definedName>
    <definedName name="SLO">Slowenien!$F$2</definedName>
    <definedName name="Sozialversicherungsabschlag">Abfindungsberechnung!$F$21</definedName>
    <definedName name="Sprungziele">Abfindungsberechnung!$AE$11:$AI$50</definedName>
    <definedName name="Start">Start!$B$2</definedName>
    <definedName name="StartLinks">Start!$A$1</definedName>
    <definedName name="Startrente2zumBerDat">'Abfindung Methode 2'!$O$36</definedName>
    <definedName name="SterbeAnomalie">'Abfindung Methode 1'!$M$10</definedName>
    <definedName name="Steuer_Abschlag">'Abfindung Methode 1'!$I$21</definedName>
    <definedName name="Steuerabschlag">Abfindungsberechnung!$F$22</definedName>
    <definedName name="_xlnm.Criteria" localSheetId="65">'Geschiedenen-HR-Rente'!$B$6:$B$37</definedName>
    <definedName name="SV_Abschlag">'Abfindung Methode 1'!$I$20</definedName>
    <definedName name="sVA_AnwartZeit_Pfl">Abfindungsberechnung!$AX$5</definedName>
    <definedName name="sVA_Beginn">Abfindungsberechnung!$AM$4</definedName>
    <definedName name="sVA_Leistungsbeginn">Abfindungsberechnung!$AL$5</definedName>
    <definedName name="sVA_Rente_Fälligkeit">Abfindungsberechnung!$I$6</definedName>
    <definedName name="sVA_Starrente">Abfindungsberechnung!$AV$5</definedName>
    <definedName name="sVA_Startrente">Abfindungsberechnung!$AV$5</definedName>
    <definedName name="Text1">Abfindungsberechnung!$AL$6</definedName>
    <definedName name="Text2">Abfindungsberechnung!$AL$7</definedName>
    <definedName name="Text3">Abfindungsberechnung!$AL$8</definedName>
    <definedName name="Text4">Abfindungsberechnung!$AL$9</definedName>
    <definedName name="Text5">Abfindungsberechnung!$AL$41</definedName>
    <definedName name="Thema">Kurzübersicht!$B$8</definedName>
    <definedName name="Thema1">Abfindungsberechnung!$AC$1</definedName>
    <definedName name="Thema2">Abfindungsberechnung!$AD$1</definedName>
    <definedName name="Thema3">Abfindungsberechnung!$AE$1</definedName>
    <definedName name="Thema4">Abfindungsberechnung!$AF$1</definedName>
    <definedName name="Ü_Ber_BerZtpkt">'Abfindung Methode 2'!$M$22</definedName>
    <definedName name="Ü_Ber_sVAStart">'Abfindung Methode 2'!$N$22</definedName>
    <definedName name="Ü_Pfl_BerZtpkt">'Abfindung Methode 2'!$M$21</definedName>
    <definedName name="Ü_Pfl_sVAStart">'Abfindung Methode 2'!$N$21</definedName>
    <definedName name="Vergleichsland">'Lebenserwartung EU&amp;EFTA'!$J$5</definedName>
    <definedName name="VVR_Pfl">'Abfindung Methode 1'!$H$15</definedName>
    <definedName name="Warnauslöser">Kapitalisierungsmöglichkeit!$P$4</definedName>
    <definedName name="Warntext">Kapitalisierungsmöglichkeit!#REF!</definedName>
    <definedName name="Warntext2">Kapitalisierungsmöglichkeit!$N$1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65" l="1"/>
  <c r="F3" i="65"/>
  <c r="I7" i="65"/>
  <c r="F7" i="65"/>
  <c r="G6" i="65"/>
  <c r="E6" i="65"/>
  <c r="C6" i="65"/>
  <c r="G5" i="65"/>
  <c r="E5" i="65"/>
  <c r="C5" i="65"/>
  <c r="C4" i="65"/>
  <c r="C67" i="79"/>
  <c r="F67" i="79"/>
  <c r="G45" i="76"/>
  <c r="V38" i="56"/>
  <c r="T38" i="56"/>
  <c r="S38" i="56" a="1"/>
  <c r="S38" i="56" s="1"/>
  <c r="R38" i="56" a="1"/>
  <c r="R38" i="56" s="1"/>
  <c r="Q38" i="56" a="1"/>
  <c r="Q38" i="56" s="1"/>
  <c r="R39" i="61"/>
  <c r="Q39" i="61"/>
  <c r="B41" i="41"/>
  <c r="AI46" i="41"/>
  <c r="E6" i="41"/>
  <c r="D5" i="65" s="1"/>
  <c r="F30" i="79"/>
  <c r="C51" i="79"/>
  <c r="G6" i="73"/>
  <c r="G7" i="73" s="1"/>
  <c r="G8" i="73" s="1"/>
  <c r="G9" i="73" s="1"/>
  <c r="G10" i="73" s="1"/>
  <c r="G11" i="73" s="1"/>
  <c r="G12" i="73" s="1"/>
  <c r="G13" i="73" s="1"/>
  <c r="G14" i="73" s="1"/>
  <c r="G15" i="73" s="1"/>
  <c r="G16" i="73" s="1"/>
  <c r="G17" i="73" s="1"/>
  <c r="D15" i="74"/>
  <c r="D14" i="74"/>
  <c r="D13" i="74"/>
  <c r="D12" i="74"/>
  <c r="D11" i="74"/>
  <c r="D10" i="74"/>
  <c r="D9" i="74"/>
  <c r="D8" i="74"/>
  <c r="D7" i="74"/>
  <c r="D6" i="74"/>
  <c r="D5" i="74"/>
  <c r="D4" i="74"/>
  <c r="Q5" i="61"/>
  <c r="R5" i="61"/>
  <c r="Q6" i="61"/>
  <c r="R6" i="61"/>
  <c r="Q7" i="61"/>
  <c r="V5" i="61" s="1"/>
  <c r="R7" i="61"/>
  <c r="Q8" i="61"/>
  <c r="R8" i="61"/>
  <c r="Q9" i="61"/>
  <c r="R9" i="61"/>
  <c r="Q10" i="61"/>
  <c r="R10" i="61"/>
  <c r="Q11" i="61"/>
  <c r="R11" i="61"/>
  <c r="Q12" i="61"/>
  <c r="R12" i="61"/>
  <c r="Q13" i="61"/>
  <c r="R13" i="61"/>
  <c r="Q14" i="61"/>
  <c r="R14" i="61"/>
  <c r="Q15" i="61"/>
  <c r="R15" i="61"/>
  <c r="Q16" i="61"/>
  <c r="R16" i="61"/>
  <c r="Q17" i="61"/>
  <c r="R17" i="61"/>
  <c r="Q18" i="61"/>
  <c r="R18" i="61"/>
  <c r="Q19" i="61"/>
  <c r="R19" i="61"/>
  <c r="Q20" i="61"/>
  <c r="R20" i="61"/>
  <c r="Q21" i="61"/>
  <c r="R21" i="61"/>
  <c r="Q22" i="61"/>
  <c r="R22" i="61"/>
  <c r="Q23" i="61"/>
  <c r="R23" i="61"/>
  <c r="Q24" i="61"/>
  <c r="R24" i="61"/>
  <c r="Q25" i="61"/>
  <c r="R25" i="61"/>
  <c r="Q26" i="61"/>
  <c r="R26" i="61"/>
  <c r="Q27" i="61"/>
  <c r="R27" i="61"/>
  <c r="Q28" i="61"/>
  <c r="R28" i="61"/>
  <c r="Q29" i="61"/>
  <c r="R29" i="61"/>
  <c r="Q30" i="61"/>
  <c r="R30" i="61"/>
  <c r="Q31" i="61"/>
  <c r="R31" i="61"/>
  <c r="Q32" i="61"/>
  <c r="R32" i="61"/>
  <c r="Q33" i="61"/>
  <c r="R33" i="61"/>
  <c r="Q34" i="61"/>
  <c r="R34" i="61"/>
  <c r="Q35" i="61"/>
  <c r="R35" i="61"/>
  <c r="Q36" i="61"/>
  <c r="R36" i="61"/>
  <c r="Q37" i="61"/>
  <c r="R37" i="61"/>
  <c r="Q38" i="61"/>
  <c r="R38" i="61"/>
  <c r="R4" i="61"/>
  <c r="Q4" i="61"/>
  <c r="N32" i="56"/>
  <c r="S32" i="56" s="1" a="1"/>
  <c r="S3" i="56" a="1"/>
  <c r="S4" i="56" a="1"/>
  <c r="S5" i="56" a="1"/>
  <c r="S6" i="56" a="1"/>
  <c r="S7" i="56" a="1"/>
  <c r="S8" i="56" a="1"/>
  <c r="S9" i="56" a="1"/>
  <c r="S10" i="56" a="1"/>
  <c r="S11" i="56" a="1"/>
  <c r="S12" i="56" a="1"/>
  <c r="S13" i="56" a="1"/>
  <c r="S14" i="56" a="1"/>
  <c r="S15" i="56" a="1"/>
  <c r="S16" i="56" a="1"/>
  <c r="S17" i="56" a="1"/>
  <c r="S18" i="56" a="1"/>
  <c r="S19" i="56" a="1"/>
  <c r="S20" i="56" a="1"/>
  <c r="S21" i="56" a="1"/>
  <c r="S22" i="56" a="1"/>
  <c r="S23" i="56" a="1"/>
  <c r="S24" i="56" a="1"/>
  <c r="S25" i="56" a="1"/>
  <c r="S26" i="56" a="1"/>
  <c r="S27" i="56" a="1"/>
  <c r="S28" i="56" a="1"/>
  <c r="S29" i="56" a="1"/>
  <c r="S30" i="56" a="1"/>
  <c r="S31" i="56" a="1"/>
  <c r="S33" i="56" a="1"/>
  <c r="S34" i="56" a="1"/>
  <c r="S35" i="56" a="1"/>
  <c r="S36" i="56" a="1"/>
  <c r="S37" i="56" a="1"/>
  <c r="AJ2" i="56" a="1"/>
  <c r="AH2" i="56"/>
  <c r="AI2" i="56" s="1"/>
  <c r="AE2" i="56" a="1"/>
  <c r="AF2" i="56"/>
  <c r="S2" i="56" a="1"/>
  <c r="Q34" i="56" a="1"/>
  <c r="R34" i="56" a="1"/>
  <c r="T34" i="56"/>
  <c r="U34" i="56"/>
  <c r="V34" i="56"/>
  <c r="Q35" i="56" a="1"/>
  <c r="R35" i="56" a="1"/>
  <c r="T35" i="56"/>
  <c r="U35" i="56"/>
  <c r="V35" i="56"/>
  <c r="Q36" i="56" a="1"/>
  <c r="R36" i="56" a="1"/>
  <c r="T36" i="56"/>
  <c r="U36" i="56"/>
  <c r="V36" i="56"/>
  <c r="Q37" i="56" a="1"/>
  <c r="R37" i="56" a="1"/>
  <c r="T37" i="56"/>
  <c r="U38" i="56"/>
  <c r="V37" i="56"/>
  <c r="Q33" i="56" a="1"/>
  <c r="R33" i="56" a="1"/>
  <c r="T33" i="56"/>
  <c r="U33" i="56"/>
  <c r="V33" i="56"/>
  <c r="C24" i="41"/>
  <c r="V37" i="61"/>
  <c r="D37" i="61"/>
  <c r="D38" i="61"/>
  <c r="D36" i="61"/>
  <c r="D6" i="79"/>
  <c r="E6" i="79" s="1"/>
  <c r="F6" i="79" s="1"/>
  <c r="G6" i="79" s="1"/>
  <c r="H6" i="79" s="1"/>
  <c r="X5" i="61" l="1"/>
  <c r="H8" i="65"/>
  <c r="B12" i="65" s="1"/>
  <c r="E33" i="82"/>
  <c r="E13" i="82"/>
  <c r="D13" i="82"/>
  <c r="E11" i="82"/>
  <c r="D11" i="82"/>
  <c r="E8" i="82"/>
  <c r="D8" i="82"/>
  <c r="D26" i="82" s="1"/>
  <c r="T5" i="61"/>
  <c r="H12" i="65" l="1"/>
  <c r="J12" i="65" s="1"/>
  <c r="D12" i="82"/>
  <c r="E14" i="82" s="1"/>
  <c r="E15" i="82" s="1"/>
  <c r="D22" i="82"/>
  <c r="D21" i="82"/>
  <c r="D14" i="82" l="1"/>
  <c r="D23" i="82" s="1"/>
  <c r="D15" i="82" l="1"/>
  <c r="D16" i="82" s="1"/>
  <c r="E30" i="82" s="1"/>
  <c r="D25" i="82"/>
  <c r="D27" i="82" s="1"/>
  <c r="D24" i="82" l="1"/>
  <c r="D28" i="82" s="1"/>
  <c r="D29" i="82" s="1"/>
  <c r="B3" i="67"/>
  <c r="AI12" i="41"/>
  <c r="AI13" i="41"/>
  <c r="AI14" i="41"/>
  <c r="AI15" i="41"/>
  <c r="AI16" i="41"/>
  <c r="AI17" i="41"/>
  <c r="AI18" i="41"/>
  <c r="AI19" i="41"/>
  <c r="AI20" i="41"/>
  <c r="AI21" i="41"/>
  <c r="AI22" i="41"/>
  <c r="AI23" i="41"/>
  <c r="AI24" i="41"/>
  <c r="AI25" i="41"/>
  <c r="AI26" i="41"/>
  <c r="AI27" i="41"/>
  <c r="AI28" i="41"/>
  <c r="AI29" i="41"/>
  <c r="AI30" i="41"/>
  <c r="AI31" i="41"/>
  <c r="AI32" i="41"/>
  <c r="AI33" i="41"/>
  <c r="AI34" i="41"/>
  <c r="AI35" i="41"/>
  <c r="AI36" i="41"/>
  <c r="AI37" i="41"/>
  <c r="AI38" i="41"/>
  <c r="AI39" i="41"/>
  <c r="AI40" i="41"/>
  <c r="AI41" i="41"/>
  <c r="AI42" i="41"/>
  <c r="AI43" i="41"/>
  <c r="AI44" i="41"/>
  <c r="AI45" i="41"/>
  <c r="AI11" i="41"/>
  <c r="C3" i="67" s="1"/>
  <c r="AL16" i="41"/>
  <c r="AL15" i="41"/>
  <c r="AL14" i="41"/>
  <c r="AL13" i="41"/>
  <c r="AL26" i="41"/>
  <c r="F64" i="79"/>
  <c r="F65" i="79"/>
  <c r="F66" i="79"/>
  <c r="G44" i="76"/>
  <c r="G43" i="76"/>
  <c r="G42" i="76"/>
  <c r="G18" i="76"/>
  <c r="B39" i="41"/>
  <c r="B40" i="41"/>
  <c r="B38" i="41"/>
  <c r="E7" i="41"/>
  <c r="D6" i="65" s="1"/>
  <c r="Z2" i="41" a="1"/>
  <c r="X27" i="41" a="1"/>
  <c r="M4" i="79" l="1"/>
  <c r="K4" i="79"/>
  <c r="I6" i="79"/>
  <c r="D6" i="63"/>
  <c r="D5" i="62"/>
  <c r="I7" i="63"/>
  <c r="F7" i="63"/>
  <c r="G6" i="63"/>
  <c r="E6" i="63"/>
  <c r="C6" i="63"/>
  <c r="G5" i="63"/>
  <c r="E5" i="63"/>
  <c r="C5" i="63"/>
  <c r="C4" i="63"/>
  <c r="F3" i="63"/>
  <c r="B9" i="62"/>
  <c r="I7" i="62"/>
  <c r="F7" i="62"/>
  <c r="G6" i="62"/>
  <c r="E6" i="62"/>
  <c r="C6" i="62"/>
  <c r="G5" i="62"/>
  <c r="E5" i="62"/>
  <c r="C5" i="62"/>
  <c r="C4" i="62"/>
  <c r="F3" i="62"/>
  <c r="B4" i="67" a="1"/>
  <c r="H8" i="62" l="1"/>
  <c r="B25" i="63"/>
  <c r="B17" i="63"/>
  <c r="D6" i="62"/>
  <c r="D5" i="63"/>
  <c r="H8" i="63" s="1"/>
  <c r="H7" i="41" l="1"/>
  <c r="H6" i="65" s="1"/>
  <c r="H6" i="41"/>
  <c r="H5" i="65" s="1"/>
  <c r="M6" i="79"/>
  <c r="F7" i="41"/>
  <c r="F6" i="65" s="1"/>
  <c r="I6" i="65" s="1"/>
  <c r="F6" i="41"/>
  <c r="G11" i="76"/>
  <c r="G12" i="76"/>
  <c r="G13" i="76"/>
  <c r="G14" i="76"/>
  <c r="G15" i="76"/>
  <c r="G16" i="76"/>
  <c r="G17" i="76"/>
  <c r="G19" i="76"/>
  <c r="G20" i="76"/>
  <c r="G21" i="76"/>
  <c r="G22" i="76"/>
  <c r="G23" i="76"/>
  <c r="G25" i="76"/>
  <c r="G26" i="76"/>
  <c r="G27" i="76"/>
  <c r="G28" i="76"/>
  <c r="G29" i="76"/>
  <c r="G30" i="76"/>
  <c r="G31" i="76"/>
  <c r="G32" i="76"/>
  <c r="G33" i="76"/>
  <c r="G34" i="76"/>
  <c r="G35" i="76"/>
  <c r="G36" i="76"/>
  <c r="G37" i="76"/>
  <c r="G38" i="76"/>
  <c r="G39" i="76"/>
  <c r="G40" i="76"/>
  <c r="G41" i="76"/>
  <c r="G10" i="76"/>
  <c r="J24" i="63"/>
  <c r="J11" i="63"/>
  <c r="J10" i="63"/>
  <c r="J25" i="63" s="1"/>
  <c r="F5" i="65" l="1"/>
  <c r="I5" i="65" s="1"/>
  <c r="H20" i="41"/>
  <c r="H19" i="41"/>
  <c r="I17" i="65" s="1"/>
  <c r="B16" i="63"/>
  <c r="J13" i="62"/>
  <c r="B14" i="62" s="1"/>
  <c r="H5" i="63"/>
  <c r="B14" i="63" s="1"/>
  <c r="H5" i="62"/>
  <c r="H6" i="62"/>
  <c r="J11" i="62" s="1"/>
  <c r="H6" i="63"/>
  <c r="F6" i="63"/>
  <c r="F6" i="62"/>
  <c r="F5" i="62"/>
  <c r="F5" i="63"/>
  <c r="I5" i="41"/>
  <c r="B10" i="65"/>
  <c r="K6" i="79"/>
  <c r="J13" i="63"/>
  <c r="I28" i="63"/>
  <c r="I27" i="63"/>
  <c r="J12" i="63"/>
  <c r="O39" i="62"/>
  <c r="O40" i="62" s="1"/>
  <c r="Q10" i="62"/>
  <c r="P10" i="62"/>
  <c r="J4" i="65" l="1"/>
  <c r="B10" i="62"/>
  <c r="I4" i="63"/>
  <c r="I4" i="62"/>
  <c r="J15" i="62" s="1"/>
  <c r="AE8" i="41"/>
  <c r="AG8" i="41" s="1"/>
  <c r="AE7" i="41"/>
  <c r="AG7" i="41" s="1"/>
  <c r="J14" i="63"/>
  <c r="E11" i="65"/>
  <c r="H15" i="65" s="1"/>
  <c r="L19" i="63"/>
  <c r="M19" i="63"/>
  <c r="O16" i="65"/>
  <c r="N13" i="65"/>
  <c r="AF1" i="41"/>
  <c r="AE1" i="41"/>
  <c r="AD1" i="41"/>
  <c r="AC1" i="41"/>
  <c r="B11" i="65" l="1"/>
  <c r="B17" i="65"/>
  <c r="B17" i="62"/>
  <c r="B20" i="62"/>
  <c r="I7" i="41"/>
  <c r="J6" i="65" s="1"/>
  <c r="I6" i="41"/>
  <c r="J5" i="65" s="1"/>
  <c r="J8" i="65" s="1"/>
  <c r="J15" i="63"/>
  <c r="B15" i="63"/>
  <c r="L20" i="63"/>
  <c r="B19" i="63" s="1"/>
  <c r="J9" i="62"/>
  <c r="B15" i="62" s="1"/>
  <c r="M22" i="62"/>
  <c r="S4" i="41"/>
  <c r="AL18" i="41"/>
  <c r="AL25" i="41"/>
  <c r="AL24" i="41"/>
  <c r="AL23" i="41"/>
  <c r="AL22" i="41"/>
  <c r="AL21" i="41"/>
  <c r="AL20" i="41"/>
  <c r="AL19" i="41"/>
  <c r="AL17" i="41"/>
  <c r="AD2" i="41"/>
  <c r="AL27" i="41" l="1"/>
  <c r="J5" i="63"/>
  <c r="J8" i="63" s="1"/>
  <c r="J5" i="62"/>
  <c r="AA35" i="41"/>
  <c r="J6" i="62"/>
  <c r="J6" i="63"/>
  <c r="J19" i="63"/>
  <c r="M21" i="62"/>
  <c r="M20" i="62"/>
  <c r="AH23" i="56"/>
  <c r="AG23" i="56"/>
  <c r="P12" i="65"/>
  <c r="O38" i="63"/>
  <c r="O47" i="63"/>
  <c r="O42" i="63"/>
  <c r="O40" i="63"/>
  <c r="Q15" i="62"/>
  <c r="AY3" i="41"/>
  <c r="I19" i="65"/>
  <c r="AL3" i="41"/>
  <c r="O14" i="65"/>
  <c r="E1" i="56"/>
  <c r="F1" i="56" s="1"/>
  <c r="G1" i="56" s="1"/>
  <c r="Q3" i="56" a="1"/>
  <c r="Q4" i="56" a="1"/>
  <c r="Q5" i="56" a="1"/>
  <c r="Q6" i="56" a="1"/>
  <c r="Q7" i="56" a="1"/>
  <c r="Q8" i="56" a="1"/>
  <c r="Q9" i="56" a="1"/>
  <c r="Q10" i="56" a="1"/>
  <c r="Q11" i="56" a="1"/>
  <c r="Q12" i="56" a="1"/>
  <c r="Q13" i="56" a="1"/>
  <c r="Q14" i="56" a="1"/>
  <c r="Q15" i="56" a="1"/>
  <c r="Q16" i="56" a="1"/>
  <c r="Q17" i="56" a="1"/>
  <c r="Q18" i="56" a="1"/>
  <c r="Q19" i="56" a="1"/>
  <c r="Q20" i="56" a="1"/>
  <c r="Q21" i="56" a="1"/>
  <c r="Q22" i="56" a="1"/>
  <c r="Q23" i="56" a="1"/>
  <c r="Q24" i="56" a="1"/>
  <c r="Q25" i="56" a="1"/>
  <c r="Q26" i="56" a="1"/>
  <c r="Q27" i="56" a="1"/>
  <c r="Q28" i="56" a="1"/>
  <c r="Q29" i="56" a="1"/>
  <c r="Q30" i="56" a="1"/>
  <c r="Q31" i="56" a="1"/>
  <c r="Q32" i="56" a="1"/>
  <c r="R3" i="56" a="1"/>
  <c r="R4" i="56" a="1"/>
  <c r="R5" i="56" a="1"/>
  <c r="R6" i="56" a="1"/>
  <c r="R7" i="56" a="1"/>
  <c r="R8" i="56" a="1"/>
  <c r="R9" i="56" a="1"/>
  <c r="R10" i="56" a="1"/>
  <c r="R11" i="56" a="1"/>
  <c r="R12" i="56" a="1"/>
  <c r="R13" i="56" a="1"/>
  <c r="R14" i="56" a="1"/>
  <c r="R15" i="56" a="1"/>
  <c r="R16" i="56" a="1"/>
  <c r="R17" i="56" a="1"/>
  <c r="R18" i="56" a="1"/>
  <c r="R19" i="56" a="1"/>
  <c r="R20" i="56" a="1"/>
  <c r="R21" i="56" a="1"/>
  <c r="R22" i="56" a="1"/>
  <c r="R23" i="56" a="1"/>
  <c r="R24" i="56" a="1"/>
  <c r="R25" i="56" a="1"/>
  <c r="R26" i="56" a="1"/>
  <c r="R27" i="56" a="1"/>
  <c r="R28" i="56" a="1"/>
  <c r="R29" i="56" a="1"/>
  <c r="R30" i="56" a="1"/>
  <c r="R31" i="56" a="1"/>
  <c r="R32" i="56" a="1"/>
  <c r="R2" i="56" a="1"/>
  <c r="Y2" i="56" a="1"/>
  <c r="Q2" i="56" a="1"/>
  <c r="T3" i="56"/>
  <c r="U3" i="56"/>
  <c r="V3" i="56"/>
  <c r="T4" i="56"/>
  <c r="U4" i="56"/>
  <c r="V4" i="56"/>
  <c r="T5" i="56"/>
  <c r="U5" i="56"/>
  <c r="V5" i="56"/>
  <c r="T6" i="56"/>
  <c r="U6" i="56"/>
  <c r="V6" i="56"/>
  <c r="T7" i="56"/>
  <c r="U7" i="56"/>
  <c r="V7" i="56"/>
  <c r="T8" i="56"/>
  <c r="U8" i="56"/>
  <c r="V8" i="56"/>
  <c r="T9" i="56"/>
  <c r="U9" i="56"/>
  <c r="V9" i="56"/>
  <c r="T10" i="56"/>
  <c r="U10" i="56"/>
  <c r="V10" i="56"/>
  <c r="T11" i="56"/>
  <c r="U11" i="56"/>
  <c r="V11" i="56"/>
  <c r="T12" i="56"/>
  <c r="U12" i="56"/>
  <c r="V12" i="56"/>
  <c r="T13" i="56"/>
  <c r="U13" i="56"/>
  <c r="V13" i="56"/>
  <c r="T14" i="56"/>
  <c r="U14" i="56"/>
  <c r="V14" i="56"/>
  <c r="T15" i="56"/>
  <c r="U15" i="56"/>
  <c r="V15" i="56"/>
  <c r="T16" i="56"/>
  <c r="U16" i="56"/>
  <c r="V16" i="56"/>
  <c r="T17" i="56"/>
  <c r="U17" i="56"/>
  <c r="V17" i="56"/>
  <c r="T18" i="56"/>
  <c r="U18" i="56"/>
  <c r="V18" i="56"/>
  <c r="T19" i="56"/>
  <c r="U19" i="56"/>
  <c r="V19" i="56"/>
  <c r="T20" i="56"/>
  <c r="U20" i="56"/>
  <c r="V20" i="56"/>
  <c r="T21" i="56"/>
  <c r="U21" i="56"/>
  <c r="V21" i="56"/>
  <c r="T22" i="56"/>
  <c r="U22" i="56"/>
  <c r="V22" i="56"/>
  <c r="T23" i="56"/>
  <c r="U23" i="56"/>
  <c r="V23" i="56"/>
  <c r="T24" i="56"/>
  <c r="U24" i="56"/>
  <c r="V24" i="56"/>
  <c r="T25" i="56"/>
  <c r="U25" i="56"/>
  <c r="V25" i="56"/>
  <c r="T26" i="56"/>
  <c r="U26" i="56"/>
  <c r="V26" i="56"/>
  <c r="T27" i="56"/>
  <c r="U27" i="56"/>
  <c r="V27" i="56"/>
  <c r="T28" i="56"/>
  <c r="U28" i="56"/>
  <c r="V28" i="56"/>
  <c r="T29" i="56"/>
  <c r="U29" i="56"/>
  <c r="V29" i="56"/>
  <c r="T30" i="56"/>
  <c r="U30" i="56"/>
  <c r="V30" i="56"/>
  <c r="T31" i="56"/>
  <c r="U31" i="56"/>
  <c r="V31" i="56"/>
  <c r="T32" i="56"/>
  <c r="U32" i="56"/>
  <c r="V32" i="56"/>
  <c r="V2" i="56"/>
  <c r="U2" i="56"/>
  <c r="T2" i="56"/>
  <c r="C18" i="73"/>
  <c r="E6" i="73"/>
  <c r="E7" i="73"/>
  <c r="E8" i="73"/>
  <c r="E9" i="73"/>
  <c r="E10" i="73"/>
  <c r="E11" i="73"/>
  <c r="E12" i="73"/>
  <c r="E13" i="73"/>
  <c r="E14" i="73"/>
  <c r="E15" i="73"/>
  <c r="E16" i="73"/>
  <c r="D6" i="73"/>
  <c r="D7" i="73"/>
  <c r="D8" i="73"/>
  <c r="D9" i="73"/>
  <c r="D10" i="73"/>
  <c r="D11" i="73"/>
  <c r="D12" i="73"/>
  <c r="D13" i="73"/>
  <c r="D14" i="73"/>
  <c r="D15" i="73"/>
  <c r="D16" i="73"/>
  <c r="AB32" i="56"/>
  <c r="AB31" i="56"/>
  <c r="AB30" i="56"/>
  <c r="AB29" i="56"/>
  <c r="AB28" i="56"/>
  <c r="AB27" i="56"/>
  <c r="AB26" i="56"/>
  <c r="AB25" i="56"/>
  <c r="AB24" i="56"/>
  <c r="AB23" i="56"/>
  <c r="AB22" i="56"/>
  <c r="AB21" i="56"/>
  <c r="AB20" i="56"/>
  <c r="AB19" i="56"/>
  <c r="AB18" i="56"/>
  <c r="AB17" i="56"/>
  <c r="AB16" i="56"/>
  <c r="AB15" i="56"/>
  <c r="AB14" i="56"/>
  <c r="AB13" i="56"/>
  <c r="AB12" i="56"/>
  <c r="AB11" i="56"/>
  <c r="AB10" i="56"/>
  <c r="AB9" i="56"/>
  <c r="AB8" i="56"/>
  <c r="AB7" i="56"/>
  <c r="AB6" i="56"/>
  <c r="AB5" i="56"/>
  <c r="AB4" i="56"/>
  <c r="AB3" i="56"/>
  <c r="AB2" i="56"/>
  <c r="D21" i="70"/>
  <c r="D20" i="70"/>
  <c r="D19" i="70"/>
  <c r="D18" i="70"/>
  <c r="D17" i="70"/>
  <c r="D16" i="70"/>
  <c r="D15" i="70"/>
  <c r="D14" i="70"/>
  <c r="D13" i="70"/>
  <c r="D12" i="70"/>
  <c r="D11" i="70"/>
  <c r="D10" i="70"/>
  <c r="D9" i="70"/>
  <c r="D8" i="70"/>
  <c r="D7" i="70"/>
  <c r="D6" i="70"/>
  <c r="D5" i="70"/>
  <c r="D4" i="70"/>
  <c r="C16" i="41" l="1"/>
  <c r="B8" i="65" s="1"/>
  <c r="J12" i="62"/>
  <c r="J8" i="62"/>
  <c r="Q16" i="62"/>
  <c r="AZ3" i="41"/>
  <c r="Q20" i="62" s="1"/>
  <c r="Q13" i="62"/>
  <c r="O41" i="63"/>
  <c r="Q17" i="62"/>
  <c r="Q18" i="62" s="1"/>
  <c r="Q22" i="62" s="1"/>
  <c r="O43" i="63"/>
  <c r="O46" i="63" s="1"/>
  <c r="P22" i="65"/>
  <c r="Q22" i="65" s="1"/>
  <c r="T22" i="65"/>
  <c r="H1" i="56"/>
  <c r="I1" i="56" s="1"/>
  <c r="J1" i="56" s="1"/>
  <c r="K1" i="56" s="1"/>
  <c r="C19" i="73"/>
  <c r="B8" i="63" l="1"/>
  <c r="B8" i="62"/>
  <c r="L1" i="56"/>
  <c r="M1" i="56" s="1"/>
  <c r="N1" i="56" s="1"/>
  <c r="O1" i="56" s="1"/>
  <c r="Q1" i="56" s="1"/>
  <c r="O44" i="63"/>
  <c r="V22" i="65"/>
  <c r="R22" i="65"/>
  <c r="S22" i="65"/>
  <c r="AT12" i="41"/>
  <c r="AA32" i="41"/>
  <c r="AA30" i="41"/>
  <c r="I31" i="62"/>
  <c r="I30" i="62"/>
  <c r="J10" i="62"/>
  <c r="B18" i="62" s="1"/>
  <c r="S1" i="56" l="1"/>
  <c r="R1" i="56"/>
  <c r="J20" i="62"/>
  <c r="J18" i="62"/>
  <c r="J14" i="62"/>
  <c r="M13" i="65"/>
  <c r="M14" i="65" s="1"/>
  <c r="M15" i="65" s="1"/>
  <c r="AA33" i="41"/>
  <c r="G16" i="41" s="1"/>
  <c r="AN5" i="41"/>
  <c r="AR5" i="41"/>
  <c r="AN3" i="41"/>
  <c r="AR3" i="41"/>
  <c r="AL5" i="41"/>
  <c r="P14" i="65"/>
  <c r="Q14" i="65"/>
  <c r="AA31" i="41"/>
  <c r="U22" i="65"/>
  <c r="H25" i="65" s="1"/>
  <c r="AA34" i="41"/>
  <c r="AA36" i="41"/>
  <c r="D7" i="67"/>
  <c r="E7" i="67" s="1"/>
  <c r="L20" i="65"/>
  <c r="I18" i="65" s="1"/>
  <c r="L19" i="65"/>
  <c r="I20" i="65"/>
  <c r="I21" i="65"/>
  <c r="I61" i="69"/>
  <c r="F61" i="69"/>
  <c r="E61" i="69"/>
  <c r="D61" i="69"/>
  <c r="K60" i="69"/>
  <c r="F60" i="69"/>
  <c r="E60" i="69"/>
  <c r="M59" i="69"/>
  <c r="N59" i="69" s="1"/>
  <c r="I59" i="69"/>
  <c r="F59" i="69"/>
  <c r="E59" i="69"/>
  <c r="W58" i="69"/>
  <c r="Y58" i="69" s="1"/>
  <c r="V58" i="69"/>
  <c r="S58" i="69"/>
  <c r="X58" i="69" s="1"/>
  <c r="Z58" i="69" s="1"/>
  <c r="N58" i="69"/>
  <c r="M58" i="69"/>
  <c r="F58" i="69"/>
  <c r="E58" i="69"/>
  <c r="W57" i="69"/>
  <c r="Y57" i="69" s="1"/>
  <c r="U57" i="69"/>
  <c r="E31" i="82" s="1"/>
  <c r="E32" i="82" s="1"/>
  <c r="E34" i="82" s="1"/>
  <c r="E35" i="82" s="1"/>
  <c r="E36" i="82" s="1"/>
  <c r="S57" i="69"/>
  <c r="N57" i="69"/>
  <c r="M57" i="69"/>
  <c r="F57" i="69"/>
  <c r="E57" i="69"/>
  <c r="S56" i="69"/>
  <c r="X56" i="69" s="1"/>
  <c r="Z56" i="69" s="1"/>
  <c r="R56" i="69"/>
  <c r="F56" i="69"/>
  <c r="E56" i="69"/>
  <c r="S55" i="69"/>
  <c r="X55" i="69" s="1"/>
  <c r="Z55" i="69" s="1"/>
  <c r="R55" i="69"/>
  <c r="W55" i="69" s="1"/>
  <c r="Y55" i="69" s="1"/>
  <c r="L55" i="69"/>
  <c r="F55" i="69"/>
  <c r="E55" i="69"/>
  <c r="S54" i="69"/>
  <c r="R54" i="69"/>
  <c r="W54" i="69" s="1"/>
  <c r="Y54" i="69" s="1"/>
  <c r="L54" i="69"/>
  <c r="F54" i="69"/>
  <c r="E54" i="69"/>
  <c r="X53" i="69"/>
  <c r="Z53" i="69" s="1"/>
  <c r="W53" i="69"/>
  <c r="Y53" i="69" s="1"/>
  <c r="F53" i="69"/>
  <c r="E53" i="69"/>
  <c r="X52" i="69"/>
  <c r="Z52" i="69" s="1"/>
  <c r="W52" i="69"/>
  <c r="Y52" i="69" s="1"/>
  <c r="F52" i="69"/>
  <c r="E52" i="69"/>
  <c r="X51" i="69"/>
  <c r="Z51" i="69" s="1"/>
  <c r="W51" i="69"/>
  <c r="Y51" i="69" s="1"/>
  <c r="U51" i="69"/>
  <c r="F51" i="69"/>
  <c r="E51" i="69"/>
  <c r="X50" i="69"/>
  <c r="Z50" i="69" s="1"/>
  <c r="W50" i="69"/>
  <c r="Y50" i="69" s="1"/>
  <c r="F50" i="69"/>
  <c r="E50" i="69"/>
  <c r="X49" i="69"/>
  <c r="Z49" i="69" s="1"/>
  <c r="W49" i="69"/>
  <c r="Y49" i="69" s="1"/>
  <c r="F49" i="69"/>
  <c r="E49" i="69"/>
  <c r="X48" i="69"/>
  <c r="Z48" i="69" s="1"/>
  <c r="W48" i="69"/>
  <c r="Y48" i="69" s="1"/>
  <c r="F48" i="69"/>
  <c r="E48" i="69"/>
  <c r="X47" i="69"/>
  <c r="Z47" i="69" s="1"/>
  <c r="W47" i="69"/>
  <c r="Y47" i="69" s="1"/>
  <c r="F47" i="69"/>
  <c r="E47" i="69"/>
  <c r="X46" i="69"/>
  <c r="Z46" i="69" s="1"/>
  <c r="W46" i="69"/>
  <c r="Y46" i="69" s="1"/>
  <c r="F46" i="69"/>
  <c r="E46" i="69"/>
  <c r="X45" i="69"/>
  <c r="Z45" i="69" s="1"/>
  <c r="W45" i="69"/>
  <c r="Y45" i="69" s="1"/>
  <c r="F45" i="69"/>
  <c r="E45" i="69"/>
  <c r="X44" i="69"/>
  <c r="Z44" i="69" s="1"/>
  <c r="W44" i="69"/>
  <c r="Y44" i="69" s="1"/>
  <c r="F44" i="69"/>
  <c r="E44" i="69"/>
  <c r="X43" i="69"/>
  <c r="Z43" i="69" s="1"/>
  <c r="W43" i="69"/>
  <c r="Y43" i="69" s="1"/>
  <c r="F43" i="69"/>
  <c r="E43" i="69"/>
  <c r="X42" i="69"/>
  <c r="Z42" i="69" s="1"/>
  <c r="W42" i="69"/>
  <c r="Y42" i="69" s="1"/>
  <c r="F42" i="69"/>
  <c r="E42" i="69"/>
  <c r="X41" i="69"/>
  <c r="Z41" i="69" s="1"/>
  <c r="W41" i="69"/>
  <c r="Y41" i="69" s="1"/>
  <c r="F41" i="69"/>
  <c r="E41" i="69"/>
  <c r="X40" i="69"/>
  <c r="Z40" i="69" s="1"/>
  <c r="W40" i="69"/>
  <c r="Y40" i="69" s="1"/>
  <c r="F40" i="69"/>
  <c r="E40" i="69"/>
  <c r="X39" i="69"/>
  <c r="Z39" i="69" s="1"/>
  <c r="W39" i="69"/>
  <c r="Y39" i="69" s="1"/>
  <c r="F39" i="69"/>
  <c r="E39" i="69"/>
  <c r="X38" i="69"/>
  <c r="Z38" i="69" s="1"/>
  <c r="W38" i="69"/>
  <c r="Y38" i="69" s="1"/>
  <c r="F38" i="69"/>
  <c r="E38" i="69"/>
  <c r="X37" i="69"/>
  <c r="Z37" i="69" s="1"/>
  <c r="W37" i="69"/>
  <c r="Y37" i="69" s="1"/>
  <c r="F37" i="69"/>
  <c r="E37" i="69"/>
  <c r="X36" i="69"/>
  <c r="Z36" i="69" s="1"/>
  <c r="W36" i="69"/>
  <c r="Y36" i="69" s="1"/>
  <c r="F36" i="69"/>
  <c r="E36" i="69"/>
  <c r="X35" i="69"/>
  <c r="Z35" i="69" s="1"/>
  <c r="W35" i="69"/>
  <c r="Y35" i="69" s="1"/>
  <c r="F35" i="69"/>
  <c r="E35" i="69"/>
  <c r="X34" i="69"/>
  <c r="Z34" i="69" s="1"/>
  <c r="W34" i="69"/>
  <c r="Y34" i="69" s="1"/>
  <c r="F34" i="69"/>
  <c r="E34" i="69"/>
  <c r="X33" i="69"/>
  <c r="Z33" i="69" s="1"/>
  <c r="W33" i="69"/>
  <c r="Y33" i="69" s="1"/>
  <c r="U33" i="69"/>
  <c r="F33" i="69"/>
  <c r="E33" i="69"/>
  <c r="X32" i="69"/>
  <c r="Z32" i="69" s="1"/>
  <c r="W32" i="69"/>
  <c r="Y32" i="69" s="1"/>
  <c r="U32" i="69"/>
  <c r="F32" i="69"/>
  <c r="E32" i="69"/>
  <c r="X31" i="69"/>
  <c r="Z31" i="69" s="1"/>
  <c r="W31" i="69"/>
  <c r="Y31" i="69" s="1"/>
  <c r="F31" i="69"/>
  <c r="E31" i="69"/>
  <c r="X30" i="69"/>
  <c r="Z30" i="69" s="1"/>
  <c r="W30" i="69"/>
  <c r="Y30" i="69" s="1"/>
  <c r="F30" i="69"/>
  <c r="E30" i="69"/>
  <c r="X29" i="69"/>
  <c r="Z29" i="69" s="1"/>
  <c r="W29" i="69"/>
  <c r="Y29" i="69" s="1"/>
  <c r="F29" i="69"/>
  <c r="E29" i="69"/>
  <c r="X28" i="69"/>
  <c r="Z28" i="69" s="1"/>
  <c r="W28" i="69"/>
  <c r="Y28" i="69" s="1"/>
  <c r="F28" i="69"/>
  <c r="E28" i="69"/>
  <c r="X27" i="69"/>
  <c r="Z27" i="69" s="1"/>
  <c r="W27" i="69"/>
  <c r="Y27" i="69" s="1"/>
  <c r="F27" i="69"/>
  <c r="E27" i="69"/>
  <c r="X26" i="69"/>
  <c r="Z26" i="69" s="1"/>
  <c r="W26" i="69"/>
  <c r="Y26" i="69" s="1"/>
  <c r="F26" i="69"/>
  <c r="E26" i="69"/>
  <c r="X25" i="69"/>
  <c r="Z25" i="69" s="1"/>
  <c r="W25" i="69"/>
  <c r="Y25" i="69" s="1"/>
  <c r="F25" i="69"/>
  <c r="E25" i="69"/>
  <c r="X24" i="69"/>
  <c r="Z24" i="69" s="1"/>
  <c r="W24" i="69"/>
  <c r="Y24" i="69" s="1"/>
  <c r="F24" i="69"/>
  <c r="E24" i="69"/>
  <c r="X23" i="69"/>
  <c r="Z23" i="69" s="1"/>
  <c r="W23" i="69"/>
  <c r="Y23" i="69" s="1"/>
  <c r="F23" i="69"/>
  <c r="E23" i="69"/>
  <c r="X22" i="69"/>
  <c r="W22" i="69"/>
  <c r="Y22" i="69" s="1"/>
  <c r="F22" i="69"/>
  <c r="E22" i="69"/>
  <c r="X21" i="69"/>
  <c r="W21" i="69"/>
  <c r="Y21" i="69" s="1"/>
  <c r="F21" i="69"/>
  <c r="E21" i="69"/>
  <c r="X20" i="69"/>
  <c r="W20" i="69"/>
  <c r="Y20" i="69" s="1"/>
  <c r="F20" i="69"/>
  <c r="E20" i="69"/>
  <c r="X19" i="69"/>
  <c r="W19" i="69"/>
  <c r="Y19" i="69" s="1"/>
  <c r="F19" i="69"/>
  <c r="E19" i="69"/>
  <c r="X18" i="69"/>
  <c r="W18" i="69"/>
  <c r="Y18" i="69" s="1"/>
  <c r="F18" i="69"/>
  <c r="E18" i="69"/>
  <c r="X17" i="69"/>
  <c r="W17" i="69"/>
  <c r="Y17" i="69" s="1"/>
  <c r="F17" i="69"/>
  <c r="E17" i="69"/>
  <c r="X16" i="69"/>
  <c r="W16" i="69"/>
  <c r="Y16" i="69" s="1"/>
  <c r="F16" i="69"/>
  <c r="E16" i="69"/>
  <c r="X15" i="69"/>
  <c r="W15" i="69"/>
  <c r="Y15" i="69" s="1"/>
  <c r="F15" i="69"/>
  <c r="E15" i="69"/>
  <c r="X14" i="69"/>
  <c r="W14" i="69"/>
  <c r="Y14" i="69" s="1"/>
  <c r="F14" i="69"/>
  <c r="E14" i="69"/>
  <c r="X13" i="69"/>
  <c r="W13" i="69"/>
  <c r="Y13" i="69" s="1"/>
  <c r="F13" i="69"/>
  <c r="E13" i="69"/>
  <c r="X12" i="69"/>
  <c r="W12" i="69"/>
  <c r="Y12" i="69" s="1"/>
  <c r="X11" i="69"/>
  <c r="W11" i="69"/>
  <c r="Y11" i="69" s="1"/>
  <c r="X10" i="69"/>
  <c r="W10" i="69"/>
  <c r="Y10" i="69" s="1"/>
  <c r="X9" i="69"/>
  <c r="W9" i="69"/>
  <c r="Y9" i="69" s="1"/>
  <c r="X8" i="69"/>
  <c r="W8" i="69"/>
  <c r="Y8" i="69" s="1"/>
  <c r="X7" i="69"/>
  <c r="W7" i="69"/>
  <c r="Y7" i="69" s="1"/>
  <c r="X6" i="69"/>
  <c r="W6" i="69"/>
  <c r="Y6" i="69" s="1"/>
  <c r="X5" i="69"/>
  <c r="W5" i="69"/>
  <c r="Y5" i="69" s="1"/>
  <c r="F2" i="40" a="1"/>
  <c r="F2" i="39" a="1"/>
  <c r="F2" i="38" a="1"/>
  <c r="F2" i="57" a="1"/>
  <c r="F2" i="36" a="1"/>
  <c r="F2" i="30" a="1"/>
  <c r="F2" i="29" a="1"/>
  <c r="F2" i="28" a="1"/>
  <c r="F2" i="27" a="1"/>
  <c r="F2" i="21" a="1"/>
  <c r="F2" i="20" a="1"/>
  <c r="F2" i="19" a="1"/>
  <c r="F2" i="18" a="1"/>
  <c r="F2" i="17" a="1"/>
  <c r="F2" i="16" a="1"/>
  <c r="F2" i="15" a="1"/>
  <c r="F2" i="14" a="1"/>
  <c r="F2" i="13" a="1"/>
  <c r="F2" i="12" a="1"/>
  <c r="F2" i="11" a="1"/>
  <c r="F2" i="10" a="1"/>
  <c r="F2" i="9" a="1"/>
  <c r="F2" i="8" a="1"/>
  <c r="F2" i="7" a="1"/>
  <c r="F2" i="22" a="1"/>
  <c r="F2" i="23" a="1"/>
  <c r="F2" i="24" a="1"/>
  <c r="F2" i="25" a="1"/>
  <c r="F2" i="26" a="1"/>
  <c r="F2" i="35" a="1"/>
  <c r="F2" i="31" a="1"/>
  <c r="Y32" i="56" a="1"/>
  <c r="Y31" i="56" a="1"/>
  <c r="Y30" i="56" a="1"/>
  <c r="Y29" i="56" a="1"/>
  <c r="Y28" i="56" a="1"/>
  <c r="Y27" i="56" a="1"/>
  <c r="Y26" i="56" a="1"/>
  <c r="Y25" i="56" a="1"/>
  <c r="Y24" i="56" a="1"/>
  <c r="Y23" i="56" a="1"/>
  <c r="Y22" i="56" a="1"/>
  <c r="Y21" i="56" a="1"/>
  <c r="Y20" i="56" a="1"/>
  <c r="Y19" i="56" a="1"/>
  <c r="Y18" i="56" a="1"/>
  <c r="Y17" i="56" a="1"/>
  <c r="Y16" i="56" a="1"/>
  <c r="Y15" i="56" a="1"/>
  <c r="Y14" i="56" a="1"/>
  <c r="Y13" i="56" a="1"/>
  <c r="Y12" i="56" a="1"/>
  <c r="Y11" i="56" a="1"/>
  <c r="Y10" i="56" a="1"/>
  <c r="Y9" i="56" a="1"/>
  <c r="Y8" i="56" a="1"/>
  <c r="Y7" i="56" a="1"/>
  <c r="Y6" i="56" a="1"/>
  <c r="Y5" i="56" a="1"/>
  <c r="Y4" i="56" a="1"/>
  <c r="Y3" i="56" a="1"/>
  <c r="D105" i="40"/>
  <c r="A105" i="40"/>
  <c r="D104" i="40"/>
  <c r="A104" i="40"/>
  <c r="D103" i="40"/>
  <c r="A103" i="40"/>
  <c r="D102" i="40"/>
  <c r="A102" i="40"/>
  <c r="D101" i="40"/>
  <c r="A101" i="40"/>
  <c r="D100" i="40"/>
  <c r="A100" i="40"/>
  <c r="D99" i="40"/>
  <c r="A99" i="40"/>
  <c r="D98" i="40"/>
  <c r="A98" i="40"/>
  <c r="D97" i="40"/>
  <c r="A97" i="40"/>
  <c r="D96" i="40"/>
  <c r="A96" i="40"/>
  <c r="D95" i="40"/>
  <c r="A95" i="40"/>
  <c r="D94" i="40"/>
  <c r="A94" i="40"/>
  <c r="D93" i="40"/>
  <c r="A93" i="40"/>
  <c r="D92" i="40"/>
  <c r="A92" i="40"/>
  <c r="D91" i="40"/>
  <c r="A91" i="40"/>
  <c r="D90" i="40"/>
  <c r="A90" i="40"/>
  <c r="D89" i="40"/>
  <c r="A89" i="40"/>
  <c r="D88" i="40"/>
  <c r="A88" i="40"/>
  <c r="D87" i="40"/>
  <c r="A87" i="40"/>
  <c r="D86" i="40"/>
  <c r="A86" i="40"/>
  <c r="D85" i="40"/>
  <c r="A85" i="40"/>
  <c r="D84" i="40"/>
  <c r="A84" i="40"/>
  <c r="D83" i="40"/>
  <c r="A83" i="40"/>
  <c r="D82" i="40"/>
  <c r="A82" i="40"/>
  <c r="D81" i="40"/>
  <c r="A81" i="40"/>
  <c r="D80" i="40"/>
  <c r="A80" i="40"/>
  <c r="D79" i="40"/>
  <c r="A79" i="40"/>
  <c r="D78" i="40"/>
  <c r="A78" i="40"/>
  <c r="D77" i="40"/>
  <c r="A77" i="40"/>
  <c r="A76" i="40"/>
  <c r="D75" i="40"/>
  <c r="C75" i="40" s="1"/>
  <c r="A75" i="40"/>
  <c r="D74" i="40"/>
  <c r="C74" i="40" s="1"/>
  <c r="A74" i="40"/>
  <c r="D73" i="40"/>
  <c r="C73" i="40" s="1"/>
  <c r="A73" i="40"/>
  <c r="D72" i="40"/>
  <c r="C72" i="40" s="1"/>
  <c r="A72" i="40"/>
  <c r="D71" i="40"/>
  <c r="C71" i="40" s="1"/>
  <c r="A71" i="40"/>
  <c r="D70" i="40"/>
  <c r="A70" i="40"/>
  <c r="D69" i="40"/>
  <c r="A69" i="40"/>
  <c r="D68" i="40"/>
  <c r="A68" i="40"/>
  <c r="D67" i="40"/>
  <c r="A67" i="40"/>
  <c r="D66" i="40"/>
  <c r="A66" i="40"/>
  <c r="D65" i="40"/>
  <c r="A65" i="40"/>
  <c r="D64" i="40"/>
  <c r="A64" i="40"/>
  <c r="D63" i="40"/>
  <c r="C63" i="40"/>
  <c r="A63" i="40"/>
  <c r="D62" i="40"/>
  <c r="A62" i="40"/>
  <c r="D61" i="40"/>
  <c r="A61" i="40"/>
  <c r="D60" i="40"/>
  <c r="A60" i="40"/>
  <c r="A59" i="40"/>
  <c r="D58" i="40"/>
  <c r="A58" i="40"/>
  <c r="A57" i="40"/>
  <c r="D56" i="40"/>
  <c r="A56" i="40"/>
  <c r="D55" i="40"/>
  <c r="A55" i="40"/>
  <c r="D54" i="40"/>
  <c r="A54" i="40"/>
  <c r="D53" i="40"/>
  <c r="A53" i="40"/>
  <c r="D52" i="40"/>
  <c r="A52" i="40"/>
  <c r="D51" i="40"/>
  <c r="A51" i="40"/>
  <c r="D50" i="40"/>
  <c r="A50" i="40"/>
  <c r="D49" i="40"/>
  <c r="A49" i="40"/>
  <c r="D48" i="40"/>
  <c r="A48" i="40"/>
  <c r="D47" i="40"/>
  <c r="A47" i="40"/>
  <c r="D46" i="40"/>
  <c r="A46" i="40"/>
  <c r="D45" i="40"/>
  <c r="A45" i="40"/>
  <c r="D44" i="40"/>
  <c r="A44" i="40"/>
  <c r="D43" i="40"/>
  <c r="A43" i="40"/>
  <c r="D42" i="40"/>
  <c r="A42" i="40"/>
  <c r="D41" i="40"/>
  <c r="A41" i="40"/>
  <c r="D40" i="40"/>
  <c r="A40" i="40"/>
  <c r="D39" i="40"/>
  <c r="A39" i="40"/>
  <c r="D38" i="40"/>
  <c r="A38" i="40"/>
  <c r="D37" i="40"/>
  <c r="A37" i="40"/>
  <c r="D36" i="40"/>
  <c r="C36" i="40" s="1"/>
  <c r="A36" i="40"/>
  <c r="D35" i="40"/>
  <c r="C35" i="40" s="1"/>
  <c r="A35" i="40"/>
  <c r="D34" i="40"/>
  <c r="A34" i="40"/>
  <c r="D33" i="40"/>
  <c r="A33" i="40"/>
  <c r="D32" i="40"/>
  <c r="A32" i="40"/>
  <c r="D31" i="40"/>
  <c r="A31" i="40"/>
  <c r="D30" i="40"/>
  <c r="A30" i="40"/>
  <c r="D29" i="40"/>
  <c r="A29" i="40"/>
  <c r="D28" i="40"/>
  <c r="A28" i="40"/>
  <c r="D27" i="40"/>
  <c r="A27" i="40"/>
  <c r="D26" i="40"/>
  <c r="A26" i="40"/>
  <c r="D25" i="40"/>
  <c r="A25" i="40"/>
  <c r="D24" i="40"/>
  <c r="A24" i="40"/>
  <c r="D23" i="40"/>
  <c r="A23" i="40"/>
  <c r="D22" i="40"/>
  <c r="A22" i="40"/>
  <c r="D21" i="40"/>
  <c r="A21" i="40"/>
  <c r="D20" i="40"/>
  <c r="A20" i="40"/>
  <c r="D19" i="40"/>
  <c r="A19" i="40"/>
  <c r="D18" i="40"/>
  <c r="C18" i="40"/>
  <c r="A18" i="40"/>
  <c r="D17" i="40"/>
  <c r="A17" i="40"/>
  <c r="D16" i="40"/>
  <c r="A16" i="40"/>
  <c r="D15" i="40"/>
  <c r="A15" i="40"/>
  <c r="D14" i="40"/>
  <c r="A14" i="40"/>
  <c r="D13" i="40"/>
  <c r="A13" i="40"/>
  <c r="D12" i="40"/>
  <c r="A12" i="40"/>
  <c r="D11" i="40"/>
  <c r="A11" i="40"/>
  <c r="D10" i="40"/>
  <c r="A10" i="40"/>
  <c r="D9" i="40"/>
  <c r="A9" i="40"/>
  <c r="D8" i="40"/>
  <c r="A8" i="40"/>
  <c r="D7" i="40"/>
  <c r="C7" i="40"/>
  <c r="A7" i="40"/>
  <c r="D6" i="40"/>
  <c r="A6" i="40"/>
  <c r="D5" i="40"/>
  <c r="A5" i="40"/>
  <c r="D4" i="40"/>
  <c r="A4" i="40"/>
  <c r="D3" i="40"/>
  <c r="A3" i="40"/>
  <c r="D105" i="39"/>
  <c r="A105" i="39"/>
  <c r="D104" i="39"/>
  <c r="A104" i="39"/>
  <c r="D103" i="39"/>
  <c r="A103" i="39"/>
  <c r="D102" i="39"/>
  <c r="A102" i="39"/>
  <c r="D101" i="39"/>
  <c r="A101" i="39"/>
  <c r="D100" i="39"/>
  <c r="A100" i="39"/>
  <c r="D99" i="39"/>
  <c r="A99" i="39"/>
  <c r="D98" i="39"/>
  <c r="A98" i="39"/>
  <c r="D97" i="39"/>
  <c r="A97" i="39"/>
  <c r="D96" i="39"/>
  <c r="A96" i="39"/>
  <c r="D95" i="39"/>
  <c r="A95" i="39"/>
  <c r="D94" i="39"/>
  <c r="A94" i="39"/>
  <c r="D93" i="39"/>
  <c r="A93" i="39"/>
  <c r="D92" i="39"/>
  <c r="A92" i="39"/>
  <c r="D91" i="39"/>
  <c r="A91" i="39"/>
  <c r="D90" i="39"/>
  <c r="A90" i="39"/>
  <c r="D89" i="39"/>
  <c r="A89" i="39"/>
  <c r="D88" i="39"/>
  <c r="A88" i="39"/>
  <c r="D87" i="39"/>
  <c r="A87" i="39"/>
  <c r="D86" i="39"/>
  <c r="A86" i="39"/>
  <c r="D85" i="39"/>
  <c r="A85" i="39"/>
  <c r="D84" i="39"/>
  <c r="A84" i="39"/>
  <c r="D83" i="39"/>
  <c r="A83" i="39"/>
  <c r="D82" i="39"/>
  <c r="A82" i="39"/>
  <c r="D81" i="39"/>
  <c r="A81" i="39"/>
  <c r="D80" i="39"/>
  <c r="A80" i="39"/>
  <c r="D79" i="39"/>
  <c r="A79" i="39"/>
  <c r="D78" i="39"/>
  <c r="A78" i="39"/>
  <c r="D77" i="39"/>
  <c r="A77" i="39"/>
  <c r="A76" i="39"/>
  <c r="D75" i="39"/>
  <c r="C75" i="39" s="1"/>
  <c r="A75" i="39"/>
  <c r="D74" i="39"/>
  <c r="C74" i="39" s="1"/>
  <c r="A74" i="39"/>
  <c r="D73" i="39"/>
  <c r="C73" i="39" s="1"/>
  <c r="A73" i="39"/>
  <c r="D72" i="39"/>
  <c r="C72" i="39" s="1"/>
  <c r="A72" i="39"/>
  <c r="D71" i="39"/>
  <c r="C71" i="39" s="1"/>
  <c r="A71" i="39"/>
  <c r="D70" i="39"/>
  <c r="A70" i="39"/>
  <c r="D69" i="39"/>
  <c r="A69" i="39"/>
  <c r="D68" i="39"/>
  <c r="A68" i="39"/>
  <c r="D67" i="39"/>
  <c r="A67" i="39"/>
  <c r="D66" i="39"/>
  <c r="A66" i="39"/>
  <c r="D65" i="39"/>
  <c r="A65" i="39"/>
  <c r="D64" i="39"/>
  <c r="A64" i="39"/>
  <c r="D63" i="39"/>
  <c r="C63" i="39"/>
  <c r="A63" i="39"/>
  <c r="D62" i="39"/>
  <c r="A62" i="39"/>
  <c r="D61" i="39"/>
  <c r="A61" i="39"/>
  <c r="D60" i="39"/>
  <c r="A60" i="39"/>
  <c r="A59" i="39"/>
  <c r="D58" i="39"/>
  <c r="A58" i="39"/>
  <c r="A57" i="39"/>
  <c r="D56" i="39"/>
  <c r="A56" i="39"/>
  <c r="D55" i="39"/>
  <c r="A55" i="39"/>
  <c r="D54" i="39"/>
  <c r="A54" i="39"/>
  <c r="D53" i="39"/>
  <c r="A53" i="39"/>
  <c r="D52" i="39"/>
  <c r="A52" i="39"/>
  <c r="D51" i="39"/>
  <c r="A51" i="39"/>
  <c r="D50" i="39"/>
  <c r="A50" i="39"/>
  <c r="D49" i="39"/>
  <c r="A49" i="39"/>
  <c r="D48" i="39"/>
  <c r="A48" i="39"/>
  <c r="D47" i="39"/>
  <c r="A47" i="39"/>
  <c r="D46" i="39"/>
  <c r="A46" i="39"/>
  <c r="D45" i="39"/>
  <c r="A45" i="39"/>
  <c r="D44" i="39"/>
  <c r="A44" i="39"/>
  <c r="D43" i="39"/>
  <c r="A43" i="39"/>
  <c r="D42" i="39"/>
  <c r="A42" i="39"/>
  <c r="D41" i="39"/>
  <c r="A41" i="39"/>
  <c r="D40" i="39"/>
  <c r="A40" i="39"/>
  <c r="D39" i="39"/>
  <c r="A39" i="39"/>
  <c r="D38" i="39"/>
  <c r="A38" i="39"/>
  <c r="D37" i="39"/>
  <c r="A37" i="39"/>
  <c r="D36" i="39"/>
  <c r="C36" i="39" s="1"/>
  <c r="A36" i="39"/>
  <c r="D35" i="39"/>
  <c r="C35" i="39" s="1"/>
  <c r="A35" i="39"/>
  <c r="D34" i="39"/>
  <c r="A34" i="39"/>
  <c r="D33" i="39"/>
  <c r="A33" i="39"/>
  <c r="D32" i="39"/>
  <c r="A32" i="39"/>
  <c r="D31" i="39"/>
  <c r="A31" i="39"/>
  <c r="D30" i="39"/>
  <c r="A30" i="39"/>
  <c r="D29" i="39"/>
  <c r="A29" i="39"/>
  <c r="D28" i="39"/>
  <c r="A28" i="39"/>
  <c r="D27" i="39"/>
  <c r="A27" i="39"/>
  <c r="D26" i="39"/>
  <c r="A26" i="39"/>
  <c r="D25" i="39"/>
  <c r="A25" i="39"/>
  <c r="D24" i="39"/>
  <c r="A24" i="39"/>
  <c r="D23" i="39"/>
  <c r="A23" i="39"/>
  <c r="D22" i="39"/>
  <c r="A22" i="39"/>
  <c r="D21" i="39"/>
  <c r="A21" i="39"/>
  <c r="D20" i="39"/>
  <c r="A20" i="39"/>
  <c r="D19" i="39"/>
  <c r="A19" i="39"/>
  <c r="D18" i="39"/>
  <c r="C18" i="39"/>
  <c r="A18" i="39"/>
  <c r="D17" i="39"/>
  <c r="A17" i="39"/>
  <c r="D16" i="39"/>
  <c r="A16" i="39"/>
  <c r="D15" i="39"/>
  <c r="A15" i="39"/>
  <c r="D14" i="39"/>
  <c r="A14" i="39"/>
  <c r="D13" i="39"/>
  <c r="A13" i="39"/>
  <c r="D12" i="39"/>
  <c r="A12" i="39"/>
  <c r="D11" i="39"/>
  <c r="A11" i="39"/>
  <c r="D10" i="39"/>
  <c r="A10" i="39"/>
  <c r="D9" i="39"/>
  <c r="A9" i="39"/>
  <c r="D8" i="39"/>
  <c r="A8" i="39"/>
  <c r="D7" i="39"/>
  <c r="C7" i="39"/>
  <c r="A7" i="39"/>
  <c r="D6" i="39"/>
  <c r="A6" i="39"/>
  <c r="D5" i="39"/>
  <c r="A5" i="39"/>
  <c r="D4" i="39"/>
  <c r="A4" i="39"/>
  <c r="D3" i="39"/>
  <c r="A3" i="39"/>
  <c r="D105" i="38"/>
  <c r="A105" i="38"/>
  <c r="D104" i="38"/>
  <c r="A104" i="38"/>
  <c r="D103" i="38"/>
  <c r="A103" i="38"/>
  <c r="D102" i="38"/>
  <c r="A102" i="38"/>
  <c r="D101" i="38"/>
  <c r="A101" i="38"/>
  <c r="D100" i="38"/>
  <c r="A100" i="38"/>
  <c r="D99" i="38"/>
  <c r="A99" i="38"/>
  <c r="D98" i="38"/>
  <c r="A98" i="38"/>
  <c r="D97" i="38"/>
  <c r="A97" i="38"/>
  <c r="D96" i="38"/>
  <c r="A96" i="38"/>
  <c r="D95" i="38"/>
  <c r="A95" i="38"/>
  <c r="D94" i="38"/>
  <c r="A94" i="38"/>
  <c r="D93" i="38"/>
  <c r="A93" i="38"/>
  <c r="D92" i="38"/>
  <c r="A92" i="38"/>
  <c r="D91" i="38"/>
  <c r="A91" i="38"/>
  <c r="D90" i="38"/>
  <c r="A90" i="38"/>
  <c r="D89" i="38"/>
  <c r="A89" i="38"/>
  <c r="D88" i="38"/>
  <c r="A88" i="38"/>
  <c r="D87" i="38"/>
  <c r="A87" i="38"/>
  <c r="D86" i="38"/>
  <c r="A86" i="38"/>
  <c r="D85" i="38"/>
  <c r="A85" i="38"/>
  <c r="D84" i="38"/>
  <c r="A84" i="38"/>
  <c r="D83" i="38"/>
  <c r="A83" i="38"/>
  <c r="D82" i="38"/>
  <c r="A82" i="38"/>
  <c r="D81" i="38"/>
  <c r="A81" i="38"/>
  <c r="D80" i="38"/>
  <c r="A80" i="38"/>
  <c r="D79" i="38"/>
  <c r="A79" i="38"/>
  <c r="D78" i="38"/>
  <c r="A78" i="38"/>
  <c r="D77" i="38"/>
  <c r="A77" i="38"/>
  <c r="A76" i="38"/>
  <c r="D75" i="38"/>
  <c r="C75" i="38" s="1"/>
  <c r="A75" i="38"/>
  <c r="D74" i="38"/>
  <c r="C74" i="38" s="1"/>
  <c r="A74" i="38"/>
  <c r="D73" i="38"/>
  <c r="C73" i="38" s="1"/>
  <c r="A73" i="38"/>
  <c r="D72" i="38"/>
  <c r="C72" i="38" s="1"/>
  <c r="A72" i="38"/>
  <c r="D71" i="38"/>
  <c r="C71" i="38" s="1"/>
  <c r="A71" i="38"/>
  <c r="D70" i="38"/>
  <c r="A70" i="38"/>
  <c r="D69" i="38"/>
  <c r="A69" i="38"/>
  <c r="D68" i="38"/>
  <c r="A68" i="38"/>
  <c r="D67" i="38"/>
  <c r="A67" i="38"/>
  <c r="D66" i="38"/>
  <c r="A66" i="38"/>
  <c r="D65" i="38"/>
  <c r="A65" i="38"/>
  <c r="D64" i="38"/>
  <c r="A64" i="38"/>
  <c r="D63" i="38"/>
  <c r="C63" i="38"/>
  <c r="A63" i="38"/>
  <c r="D62" i="38"/>
  <c r="A62" i="38"/>
  <c r="D61" i="38"/>
  <c r="A61" i="38"/>
  <c r="D60" i="38"/>
  <c r="A60" i="38"/>
  <c r="A59" i="38"/>
  <c r="D58" i="38"/>
  <c r="A58" i="38"/>
  <c r="A57" i="38"/>
  <c r="D56" i="38"/>
  <c r="A56" i="38"/>
  <c r="D55" i="38"/>
  <c r="A55" i="38"/>
  <c r="D54" i="38"/>
  <c r="A54" i="38"/>
  <c r="D53" i="38"/>
  <c r="A53" i="38"/>
  <c r="D52" i="38"/>
  <c r="A52" i="38"/>
  <c r="D51" i="38"/>
  <c r="A51" i="38"/>
  <c r="D50" i="38"/>
  <c r="A50" i="38"/>
  <c r="D49" i="38"/>
  <c r="A49" i="38"/>
  <c r="D48" i="38"/>
  <c r="A48" i="38"/>
  <c r="D47" i="38"/>
  <c r="A47" i="38"/>
  <c r="D46" i="38"/>
  <c r="A46" i="38"/>
  <c r="D45" i="38"/>
  <c r="A45" i="38"/>
  <c r="D44" i="38"/>
  <c r="A44" i="38"/>
  <c r="D43" i="38"/>
  <c r="A43" i="38"/>
  <c r="D42" i="38"/>
  <c r="A42" i="38"/>
  <c r="D41" i="38"/>
  <c r="A41" i="38"/>
  <c r="D40" i="38"/>
  <c r="A40" i="38"/>
  <c r="D39" i="38"/>
  <c r="A39" i="38"/>
  <c r="D38" i="38"/>
  <c r="A38" i="38"/>
  <c r="D37" i="38"/>
  <c r="A37" i="38"/>
  <c r="D36" i="38"/>
  <c r="C36" i="38" s="1"/>
  <c r="A36" i="38"/>
  <c r="D35" i="38"/>
  <c r="C35" i="38" s="1"/>
  <c r="A35" i="38"/>
  <c r="D34" i="38"/>
  <c r="A34" i="38"/>
  <c r="D33" i="38"/>
  <c r="A33" i="38"/>
  <c r="D32" i="38"/>
  <c r="A32" i="38"/>
  <c r="D31" i="38"/>
  <c r="A31" i="38"/>
  <c r="D30" i="38"/>
  <c r="A30" i="38"/>
  <c r="D29" i="38"/>
  <c r="A29" i="38"/>
  <c r="D28" i="38"/>
  <c r="A28" i="38"/>
  <c r="D27" i="38"/>
  <c r="A27" i="38"/>
  <c r="D26" i="38"/>
  <c r="A26" i="38"/>
  <c r="D25" i="38"/>
  <c r="A25" i="38"/>
  <c r="D24" i="38"/>
  <c r="A24" i="38"/>
  <c r="D23" i="38"/>
  <c r="A23" i="38"/>
  <c r="D22" i="38"/>
  <c r="A22" i="38"/>
  <c r="D21" i="38"/>
  <c r="A21" i="38"/>
  <c r="D20" i="38"/>
  <c r="A20" i="38"/>
  <c r="D19" i="38"/>
  <c r="A19" i="38"/>
  <c r="D18" i="38"/>
  <c r="C18" i="38"/>
  <c r="A18" i="38"/>
  <c r="D17" i="38"/>
  <c r="A17" i="38"/>
  <c r="D16" i="38"/>
  <c r="A16" i="38"/>
  <c r="D15" i="38"/>
  <c r="A15" i="38"/>
  <c r="D14" i="38"/>
  <c r="A14" i="38"/>
  <c r="D13" i="38"/>
  <c r="A13" i="38"/>
  <c r="D12" i="38"/>
  <c r="A12" i="38"/>
  <c r="D11" i="38"/>
  <c r="A11" i="38"/>
  <c r="D10" i="38"/>
  <c r="A10" i="38"/>
  <c r="D9" i="38"/>
  <c r="A9" i="38"/>
  <c r="D8" i="38"/>
  <c r="A8" i="38"/>
  <c r="D7" i="38"/>
  <c r="C7" i="38"/>
  <c r="A7" i="38"/>
  <c r="D6" i="38"/>
  <c r="A6" i="38"/>
  <c r="D5" i="38"/>
  <c r="A5" i="38"/>
  <c r="D4" i="38"/>
  <c r="A4" i="38"/>
  <c r="D3" i="38"/>
  <c r="A3" i="38"/>
  <c r="D105" i="57"/>
  <c r="A105" i="57"/>
  <c r="D104" i="57"/>
  <c r="A104" i="57"/>
  <c r="D103" i="57"/>
  <c r="A103" i="57"/>
  <c r="D102" i="57"/>
  <c r="A102" i="57"/>
  <c r="D101" i="57"/>
  <c r="A101" i="57"/>
  <c r="D100" i="57"/>
  <c r="A100" i="57"/>
  <c r="D99" i="57"/>
  <c r="A99" i="57"/>
  <c r="D98" i="57"/>
  <c r="A98" i="57"/>
  <c r="D97" i="57"/>
  <c r="A97" i="57"/>
  <c r="D96" i="57"/>
  <c r="A96" i="57"/>
  <c r="D95" i="57"/>
  <c r="A95" i="57"/>
  <c r="D94" i="57"/>
  <c r="A94" i="57"/>
  <c r="D93" i="57"/>
  <c r="A93" i="57"/>
  <c r="D92" i="57"/>
  <c r="A92" i="57"/>
  <c r="D91" i="57"/>
  <c r="A91" i="57"/>
  <c r="D90" i="57"/>
  <c r="A90" i="57"/>
  <c r="D89" i="57"/>
  <c r="A89" i="57"/>
  <c r="D88" i="57"/>
  <c r="A88" i="57"/>
  <c r="D87" i="57"/>
  <c r="A87" i="57"/>
  <c r="D86" i="57"/>
  <c r="A86" i="57"/>
  <c r="D85" i="57"/>
  <c r="A85" i="57"/>
  <c r="D84" i="57"/>
  <c r="A84" i="57"/>
  <c r="D83" i="57"/>
  <c r="A83" i="57"/>
  <c r="D82" i="57"/>
  <c r="A82" i="57"/>
  <c r="D81" i="57"/>
  <c r="A81" i="57"/>
  <c r="D80" i="57"/>
  <c r="A80" i="57"/>
  <c r="D79" i="57"/>
  <c r="A79" i="57"/>
  <c r="D78" i="57"/>
  <c r="A78" i="57"/>
  <c r="D77" i="57"/>
  <c r="A77" i="57"/>
  <c r="A76" i="57"/>
  <c r="D75" i="57"/>
  <c r="C75" i="57" s="1"/>
  <c r="A75" i="57"/>
  <c r="D74" i="57"/>
  <c r="C74" i="57" s="1"/>
  <c r="A74" i="57"/>
  <c r="D73" i="57"/>
  <c r="C73" i="57" s="1"/>
  <c r="A73" i="57"/>
  <c r="D72" i="57"/>
  <c r="C72" i="57" s="1"/>
  <c r="A72" i="57"/>
  <c r="D71" i="57"/>
  <c r="C71" i="57" s="1"/>
  <c r="A71" i="57"/>
  <c r="D70" i="57"/>
  <c r="A70" i="57"/>
  <c r="D69" i="57"/>
  <c r="A69" i="57"/>
  <c r="D68" i="57"/>
  <c r="A68" i="57"/>
  <c r="D67" i="57"/>
  <c r="A67" i="57"/>
  <c r="D66" i="57"/>
  <c r="A66" i="57"/>
  <c r="D65" i="57"/>
  <c r="A65" i="57"/>
  <c r="D64" i="57"/>
  <c r="A64" i="57"/>
  <c r="D63" i="57"/>
  <c r="C63" i="57"/>
  <c r="A63" i="57"/>
  <c r="D62" i="57"/>
  <c r="A62" i="57"/>
  <c r="D61" i="57"/>
  <c r="A61" i="57"/>
  <c r="D60" i="57"/>
  <c r="A60" i="57"/>
  <c r="A59" i="57"/>
  <c r="D58" i="57"/>
  <c r="A58" i="57"/>
  <c r="A57" i="57"/>
  <c r="D56" i="57"/>
  <c r="A56" i="57"/>
  <c r="D55" i="57"/>
  <c r="A55" i="57"/>
  <c r="D54" i="57"/>
  <c r="A54" i="57"/>
  <c r="D53" i="57"/>
  <c r="A53" i="57"/>
  <c r="D52" i="57"/>
  <c r="A52" i="57"/>
  <c r="D51" i="57"/>
  <c r="A51" i="57"/>
  <c r="D50" i="57"/>
  <c r="A50" i="57"/>
  <c r="D49" i="57"/>
  <c r="A49" i="57"/>
  <c r="D48" i="57"/>
  <c r="A48" i="57"/>
  <c r="D47" i="57"/>
  <c r="A47" i="57"/>
  <c r="D46" i="57"/>
  <c r="A46" i="57"/>
  <c r="D45" i="57"/>
  <c r="A45" i="57"/>
  <c r="D44" i="57"/>
  <c r="A44" i="57"/>
  <c r="D43" i="57"/>
  <c r="A43" i="57"/>
  <c r="D42" i="57"/>
  <c r="A42" i="57"/>
  <c r="D41" i="57"/>
  <c r="A41" i="57"/>
  <c r="D40" i="57"/>
  <c r="A40" i="57"/>
  <c r="D39" i="57"/>
  <c r="A39" i="57"/>
  <c r="D38" i="57"/>
  <c r="A38" i="57"/>
  <c r="D37" i="57"/>
  <c r="A37" i="57"/>
  <c r="D36" i="57"/>
  <c r="C36" i="57" s="1"/>
  <c r="A36" i="57"/>
  <c r="D35" i="57"/>
  <c r="C35" i="57" s="1"/>
  <c r="A35" i="57"/>
  <c r="D34" i="57"/>
  <c r="A34" i="57"/>
  <c r="D33" i="57"/>
  <c r="A33" i="57"/>
  <c r="D32" i="57"/>
  <c r="A32" i="57"/>
  <c r="D31" i="57"/>
  <c r="A31" i="57"/>
  <c r="D30" i="57"/>
  <c r="A30" i="57"/>
  <c r="D29" i="57"/>
  <c r="A29" i="57"/>
  <c r="D28" i="57"/>
  <c r="A28" i="57"/>
  <c r="D27" i="57"/>
  <c r="A27" i="57"/>
  <c r="D26" i="57"/>
  <c r="A26" i="57"/>
  <c r="D25" i="57"/>
  <c r="A25" i="57"/>
  <c r="D24" i="57"/>
  <c r="A24" i="57"/>
  <c r="D23" i="57"/>
  <c r="A23" i="57"/>
  <c r="D22" i="57"/>
  <c r="A22" i="57"/>
  <c r="D21" i="57"/>
  <c r="A21" i="57"/>
  <c r="D20" i="57"/>
  <c r="A20" i="57"/>
  <c r="D19" i="57"/>
  <c r="A19" i="57"/>
  <c r="D18" i="57"/>
  <c r="C18" i="57"/>
  <c r="A18" i="57"/>
  <c r="D17" i="57"/>
  <c r="A17" i="57"/>
  <c r="D16" i="57"/>
  <c r="A16" i="57"/>
  <c r="D15" i="57"/>
  <c r="A15" i="57"/>
  <c r="D14" i="57"/>
  <c r="A14" i="57"/>
  <c r="D13" i="57"/>
  <c r="A13" i="57"/>
  <c r="D12" i="57"/>
  <c r="A12" i="57"/>
  <c r="D11" i="57"/>
  <c r="A11" i="57"/>
  <c r="D10" i="57"/>
  <c r="A10" i="57"/>
  <c r="D9" i="57"/>
  <c r="A9" i="57"/>
  <c r="D8" i="57"/>
  <c r="A8" i="57"/>
  <c r="D7" i="57"/>
  <c r="C7" i="57"/>
  <c r="A7" i="57"/>
  <c r="D6" i="57"/>
  <c r="A6" i="57"/>
  <c r="D5" i="57"/>
  <c r="A5" i="57"/>
  <c r="D4" i="57"/>
  <c r="A4" i="57"/>
  <c r="D3" i="57"/>
  <c r="A3" i="57"/>
  <c r="D105" i="36"/>
  <c r="A105" i="36"/>
  <c r="D104" i="36"/>
  <c r="A104" i="36"/>
  <c r="D103" i="36"/>
  <c r="A103" i="36"/>
  <c r="D102" i="36"/>
  <c r="A102" i="36"/>
  <c r="D101" i="36"/>
  <c r="A101" i="36"/>
  <c r="D100" i="36"/>
  <c r="A100" i="36"/>
  <c r="D99" i="36"/>
  <c r="A99" i="36"/>
  <c r="D98" i="36"/>
  <c r="A98" i="36"/>
  <c r="D97" i="36"/>
  <c r="A97" i="36"/>
  <c r="D96" i="36"/>
  <c r="A96" i="36"/>
  <c r="D95" i="36"/>
  <c r="A95" i="36"/>
  <c r="D94" i="36"/>
  <c r="A94" i="36"/>
  <c r="D93" i="36"/>
  <c r="A93" i="36"/>
  <c r="D92" i="36"/>
  <c r="A92" i="36"/>
  <c r="D91" i="36"/>
  <c r="A91" i="36"/>
  <c r="D90" i="36"/>
  <c r="A90" i="36"/>
  <c r="D89" i="36"/>
  <c r="A89" i="36"/>
  <c r="D88" i="36"/>
  <c r="A88" i="36"/>
  <c r="D87" i="36"/>
  <c r="A87" i="36"/>
  <c r="D86" i="36"/>
  <c r="A86" i="36"/>
  <c r="D85" i="36"/>
  <c r="A85" i="36"/>
  <c r="D84" i="36"/>
  <c r="A84" i="36"/>
  <c r="D83" i="36"/>
  <c r="A83" i="36"/>
  <c r="D82" i="36"/>
  <c r="A82" i="36"/>
  <c r="D81" i="36"/>
  <c r="A81" i="36"/>
  <c r="D80" i="36"/>
  <c r="A80" i="36"/>
  <c r="D79" i="36"/>
  <c r="A79" i="36"/>
  <c r="D78" i="36"/>
  <c r="A78" i="36"/>
  <c r="D77" i="36"/>
  <c r="A77" i="36"/>
  <c r="A76" i="36"/>
  <c r="D75" i="36"/>
  <c r="C75" i="36" s="1"/>
  <c r="A75" i="36"/>
  <c r="D74" i="36"/>
  <c r="C74" i="36" s="1"/>
  <c r="A74" i="36"/>
  <c r="D73" i="36"/>
  <c r="C73" i="36" s="1"/>
  <c r="A73" i="36"/>
  <c r="D72" i="36"/>
  <c r="C72" i="36" s="1"/>
  <c r="A72" i="36"/>
  <c r="D71" i="36"/>
  <c r="C71" i="36" s="1"/>
  <c r="A71" i="36"/>
  <c r="D70" i="36"/>
  <c r="A70" i="36"/>
  <c r="D69" i="36"/>
  <c r="A69" i="36"/>
  <c r="D68" i="36"/>
  <c r="A68" i="36"/>
  <c r="D67" i="36"/>
  <c r="A67" i="36"/>
  <c r="D66" i="36"/>
  <c r="A66" i="36"/>
  <c r="D65" i="36"/>
  <c r="A65" i="36"/>
  <c r="D64" i="36"/>
  <c r="A64" i="36"/>
  <c r="D63" i="36"/>
  <c r="C63" i="36"/>
  <c r="A63" i="36"/>
  <c r="D62" i="36"/>
  <c r="A62" i="36"/>
  <c r="D61" i="36"/>
  <c r="A61" i="36"/>
  <c r="D60" i="36"/>
  <c r="A60" i="36"/>
  <c r="A59" i="36"/>
  <c r="D58" i="36"/>
  <c r="A58" i="36"/>
  <c r="A57" i="36"/>
  <c r="D56" i="36"/>
  <c r="A56" i="36"/>
  <c r="D55" i="36"/>
  <c r="A55" i="36"/>
  <c r="D54" i="36"/>
  <c r="A54" i="36"/>
  <c r="D53" i="36"/>
  <c r="A53" i="36"/>
  <c r="D52" i="36"/>
  <c r="A52" i="36"/>
  <c r="D51" i="36"/>
  <c r="A51" i="36"/>
  <c r="D50" i="36"/>
  <c r="A50" i="36"/>
  <c r="D49" i="36"/>
  <c r="A49" i="36"/>
  <c r="D48" i="36"/>
  <c r="A48" i="36"/>
  <c r="D47" i="36"/>
  <c r="A47" i="36"/>
  <c r="D46" i="36"/>
  <c r="A46" i="36"/>
  <c r="D45" i="36"/>
  <c r="A45" i="36"/>
  <c r="D44" i="36"/>
  <c r="A44" i="36"/>
  <c r="D43" i="36"/>
  <c r="A43" i="36"/>
  <c r="D42" i="36"/>
  <c r="A42" i="36"/>
  <c r="D41" i="36"/>
  <c r="A41" i="36"/>
  <c r="D40" i="36"/>
  <c r="A40" i="36"/>
  <c r="D39" i="36"/>
  <c r="A39" i="36"/>
  <c r="D38" i="36"/>
  <c r="A38" i="36"/>
  <c r="D37" i="36"/>
  <c r="A37" i="36"/>
  <c r="D36" i="36"/>
  <c r="C36" i="36" s="1"/>
  <c r="A36" i="36"/>
  <c r="D35" i="36"/>
  <c r="C35" i="36" s="1"/>
  <c r="A35" i="36"/>
  <c r="D34" i="36"/>
  <c r="A34" i="36"/>
  <c r="D33" i="36"/>
  <c r="A33" i="36"/>
  <c r="D32" i="36"/>
  <c r="A32" i="36"/>
  <c r="D31" i="36"/>
  <c r="A31" i="36"/>
  <c r="D30" i="36"/>
  <c r="A30" i="36"/>
  <c r="D29" i="36"/>
  <c r="A29" i="36"/>
  <c r="D28" i="36"/>
  <c r="A28" i="36"/>
  <c r="D27" i="36"/>
  <c r="A27" i="36"/>
  <c r="D26" i="36"/>
  <c r="A26" i="36"/>
  <c r="D25" i="36"/>
  <c r="A25" i="36"/>
  <c r="D24" i="36"/>
  <c r="A24" i="36"/>
  <c r="D23" i="36"/>
  <c r="A23" i="36"/>
  <c r="D22" i="36"/>
  <c r="A22" i="36"/>
  <c r="D21" i="36"/>
  <c r="A21" i="36"/>
  <c r="D20" i="36"/>
  <c r="A20" i="36"/>
  <c r="D19" i="36"/>
  <c r="A19" i="36"/>
  <c r="D18" i="36"/>
  <c r="C18" i="36"/>
  <c r="A18" i="36"/>
  <c r="D17" i="36"/>
  <c r="A17" i="36"/>
  <c r="D16" i="36"/>
  <c r="A16" i="36"/>
  <c r="D15" i="36"/>
  <c r="A15" i="36"/>
  <c r="D14" i="36"/>
  <c r="A14" i="36"/>
  <c r="D13" i="36"/>
  <c r="A13" i="36"/>
  <c r="D12" i="36"/>
  <c r="A12" i="36"/>
  <c r="D11" i="36"/>
  <c r="A11" i="36"/>
  <c r="D10" i="36"/>
  <c r="A10" i="36"/>
  <c r="D9" i="36"/>
  <c r="A9" i="36"/>
  <c r="D8" i="36"/>
  <c r="A8" i="36"/>
  <c r="D7" i="36"/>
  <c r="C7" i="36"/>
  <c r="A7" i="36"/>
  <c r="D6" i="36"/>
  <c r="A6" i="36"/>
  <c r="D5" i="36"/>
  <c r="A5" i="36"/>
  <c r="D4" i="36"/>
  <c r="A4" i="36"/>
  <c r="D3" i="36"/>
  <c r="A3" i="36"/>
  <c r="D105" i="35"/>
  <c r="A105" i="35"/>
  <c r="D104" i="35"/>
  <c r="A104" i="35"/>
  <c r="D103" i="35"/>
  <c r="A103" i="35"/>
  <c r="D102" i="35"/>
  <c r="A102" i="35"/>
  <c r="D101" i="35"/>
  <c r="A101" i="35"/>
  <c r="D100" i="35"/>
  <c r="A100" i="35"/>
  <c r="D99" i="35"/>
  <c r="A99" i="35"/>
  <c r="D98" i="35"/>
  <c r="A98" i="35"/>
  <c r="D97" i="35"/>
  <c r="A97" i="35"/>
  <c r="D96" i="35"/>
  <c r="A96" i="35"/>
  <c r="D95" i="35"/>
  <c r="A95" i="35"/>
  <c r="D94" i="35"/>
  <c r="A94" i="35"/>
  <c r="D93" i="35"/>
  <c r="A93" i="35"/>
  <c r="D92" i="35"/>
  <c r="A92" i="35"/>
  <c r="D91" i="35"/>
  <c r="A91" i="35"/>
  <c r="D90" i="35"/>
  <c r="A90" i="35"/>
  <c r="D89" i="35"/>
  <c r="A89" i="35"/>
  <c r="D88" i="35"/>
  <c r="A88" i="35"/>
  <c r="D87" i="35"/>
  <c r="A87" i="35"/>
  <c r="D86" i="35"/>
  <c r="A86" i="35"/>
  <c r="D85" i="35"/>
  <c r="A85" i="35"/>
  <c r="D84" i="35"/>
  <c r="A84" i="35"/>
  <c r="D83" i="35"/>
  <c r="A83" i="35"/>
  <c r="D82" i="35"/>
  <c r="A82" i="35"/>
  <c r="D81" i="35"/>
  <c r="A81" i="35"/>
  <c r="D80" i="35"/>
  <c r="A80" i="35"/>
  <c r="D79" i="35"/>
  <c r="A79" i="35"/>
  <c r="D78" i="35"/>
  <c r="A78" i="35"/>
  <c r="D77" i="35"/>
  <c r="A77" i="35"/>
  <c r="A76" i="35"/>
  <c r="D75" i="35"/>
  <c r="C75" i="35" s="1"/>
  <c r="A75" i="35"/>
  <c r="D74" i="35"/>
  <c r="C74" i="35" s="1"/>
  <c r="A74" i="35"/>
  <c r="D73" i="35"/>
  <c r="C73" i="35" s="1"/>
  <c r="A73" i="35"/>
  <c r="D72" i="35"/>
  <c r="C72" i="35" s="1"/>
  <c r="A72" i="35"/>
  <c r="D71" i="35"/>
  <c r="C71" i="35" s="1"/>
  <c r="A71" i="35"/>
  <c r="D70" i="35"/>
  <c r="A70" i="35"/>
  <c r="D69" i="35"/>
  <c r="A69" i="35"/>
  <c r="D68" i="35"/>
  <c r="A68" i="35"/>
  <c r="D67" i="35"/>
  <c r="A67" i="35"/>
  <c r="D66" i="35"/>
  <c r="A66" i="35"/>
  <c r="D65" i="35"/>
  <c r="A65" i="35"/>
  <c r="D64" i="35"/>
  <c r="A64" i="35"/>
  <c r="D63" i="35"/>
  <c r="C63" i="35"/>
  <c r="A63" i="35"/>
  <c r="D62" i="35"/>
  <c r="A62" i="35"/>
  <c r="D61" i="35"/>
  <c r="A61" i="35"/>
  <c r="D60" i="35"/>
  <c r="A60" i="35"/>
  <c r="A59" i="35"/>
  <c r="D58" i="35"/>
  <c r="A58" i="35"/>
  <c r="A57" i="35"/>
  <c r="D56" i="35"/>
  <c r="A56" i="35"/>
  <c r="D55" i="35"/>
  <c r="A55" i="35"/>
  <c r="D54" i="35"/>
  <c r="A54" i="35"/>
  <c r="D53" i="35"/>
  <c r="A53" i="35"/>
  <c r="D52" i="35"/>
  <c r="A52" i="35"/>
  <c r="D51" i="35"/>
  <c r="A51" i="35"/>
  <c r="D50" i="35"/>
  <c r="A50" i="35"/>
  <c r="D49" i="35"/>
  <c r="A49" i="35"/>
  <c r="D48" i="35"/>
  <c r="A48" i="35"/>
  <c r="D47" i="35"/>
  <c r="A47" i="35"/>
  <c r="D46" i="35"/>
  <c r="A46" i="35"/>
  <c r="D45" i="35"/>
  <c r="A45" i="35"/>
  <c r="D44" i="35"/>
  <c r="A44" i="35"/>
  <c r="D43" i="35"/>
  <c r="A43" i="35"/>
  <c r="D42" i="35"/>
  <c r="A42" i="35"/>
  <c r="D41" i="35"/>
  <c r="A41" i="35"/>
  <c r="D40" i="35"/>
  <c r="A40" i="35"/>
  <c r="D39" i="35"/>
  <c r="A39" i="35"/>
  <c r="D38" i="35"/>
  <c r="A38" i="35"/>
  <c r="D37" i="35"/>
  <c r="A37" i="35"/>
  <c r="D36" i="35"/>
  <c r="C36" i="35" s="1"/>
  <c r="A36" i="35"/>
  <c r="D35" i="35"/>
  <c r="C35" i="35" s="1"/>
  <c r="A35" i="35"/>
  <c r="D34" i="35"/>
  <c r="A34" i="35"/>
  <c r="D33" i="35"/>
  <c r="A33" i="35"/>
  <c r="D32" i="35"/>
  <c r="A32" i="35"/>
  <c r="D31" i="35"/>
  <c r="A31" i="35"/>
  <c r="D30" i="35"/>
  <c r="A30" i="35"/>
  <c r="D29" i="35"/>
  <c r="A29" i="35"/>
  <c r="D28" i="35"/>
  <c r="A28" i="35"/>
  <c r="D27" i="35"/>
  <c r="A27" i="35"/>
  <c r="D26" i="35"/>
  <c r="A26" i="35"/>
  <c r="D25" i="35"/>
  <c r="A25" i="35"/>
  <c r="D24" i="35"/>
  <c r="A24" i="35"/>
  <c r="D23" i="35"/>
  <c r="A23" i="35"/>
  <c r="D22" i="35"/>
  <c r="A22" i="35"/>
  <c r="D21" i="35"/>
  <c r="A21" i="35"/>
  <c r="D20" i="35"/>
  <c r="A20" i="35"/>
  <c r="D19" i="35"/>
  <c r="A19" i="35"/>
  <c r="D18" i="35"/>
  <c r="C18" i="35"/>
  <c r="A18" i="35"/>
  <c r="D17" i="35"/>
  <c r="A17" i="35"/>
  <c r="D16" i="35"/>
  <c r="A16" i="35"/>
  <c r="D15" i="35"/>
  <c r="A15" i="35"/>
  <c r="D14" i="35"/>
  <c r="A14" i="35"/>
  <c r="D13" i="35"/>
  <c r="A13" i="35"/>
  <c r="D12" i="35"/>
  <c r="A12" i="35"/>
  <c r="D11" i="35"/>
  <c r="A11" i="35"/>
  <c r="D10" i="35"/>
  <c r="A10" i="35"/>
  <c r="D9" i="35"/>
  <c r="A9" i="35"/>
  <c r="D8" i="35"/>
  <c r="A8" i="35"/>
  <c r="D7" i="35"/>
  <c r="C7" i="35"/>
  <c r="A7" i="35"/>
  <c r="D6" i="35"/>
  <c r="A6" i="35"/>
  <c r="D5" i="35"/>
  <c r="A5" i="35"/>
  <c r="D4" i="35"/>
  <c r="A4" i="35"/>
  <c r="D3" i="35"/>
  <c r="A3" i="35"/>
  <c r="D105" i="31"/>
  <c r="A105" i="31"/>
  <c r="D104" i="31"/>
  <c r="A104" i="31"/>
  <c r="D103" i="31"/>
  <c r="A103" i="31"/>
  <c r="D102" i="31"/>
  <c r="A102" i="31"/>
  <c r="D101" i="31"/>
  <c r="A101" i="31"/>
  <c r="D100" i="31"/>
  <c r="A100" i="31"/>
  <c r="D99" i="31"/>
  <c r="A99" i="31"/>
  <c r="D98" i="31"/>
  <c r="A98" i="31"/>
  <c r="D97" i="31"/>
  <c r="A97" i="31"/>
  <c r="D96" i="31"/>
  <c r="A96" i="31"/>
  <c r="D95" i="31"/>
  <c r="A95" i="31"/>
  <c r="D94" i="31"/>
  <c r="A94" i="31"/>
  <c r="D93" i="31"/>
  <c r="A93" i="31"/>
  <c r="D92" i="31"/>
  <c r="A92" i="31"/>
  <c r="D91" i="31"/>
  <c r="A91" i="31"/>
  <c r="D90" i="31"/>
  <c r="A90" i="31"/>
  <c r="D89" i="31"/>
  <c r="A89" i="31"/>
  <c r="D88" i="31"/>
  <c r="A88" i="31"/>
  <c r="D87" i="31"/>
  <c r="A87" i="31"/>
  <c r="D86" i="31"/>
  <c r="A86" i="31"/>
  <c r="D85" i="31"/>
  <c r="A85" i="31"/>
  <c r="D84" i="31"/>
  <c r="A84" i="31"/>
  <c r="D83" i="31"/>
  <c r="A83" i="31"/>
  <c r="D82" i="31"/>
  <c r="A82" i="31"/>
  <c r="D81" i="31"/>
  <c r="A81" i="31"/>
  <c r="D80" i="31"/>
  <c r="A80" i="31"/>
  <c r="D79" i="31"/>
  <c r="A79" i="31"/>
  <c r="D78" i="31"/>
  <c r="A78" i="31"/>
  <c r="D77" i="31"/>
  <c r="A77" i="31"/>
  <c r="A76" i="31"/>
  <c r="D75" i="31"/>
  <c r="C75" i="31" s="1"/>
  <c r="A75" i="31"/>
  <c r="D74" i="31"/>
  <c r="C74" i="31" s="1"/>
  <c r="A74" i="31"/>
  <c r="D73" i="31"/>
  <c r="C73" i="31" s="1"/>
  <c r="A73" i="31"/>
  <c r="D72" i="31"/>
  <c r="C72" i="31" s="1"/>
  <c r="A72" i="31"/>
  <c r="D71" i="31"/>
  <c r="C71" i="31" s="1"/>
  <c r="A71" i="31"/>
  <c r="D70" i="31"/>
  <c r="A70" i="31"/>
  <c r="D69" i="31"/>
  <c r="A69" i="31"/>
  <c r="D68" i="31"/>
  <c r="A68" i="31"/>
  <c r="D67" i="31"/>
  <c r="A67" i="31"/>
  <c r="D66" i="31"/>
  <c r="A66" i="31"/>
  <c r="D65" i="31"/>
  <c r="A65" i="31"/>
  <c r="D64" i="31"/>
  <c r="A64" i="31"/>
  <c r="D63" i="31"/>
  <c r="C63" i="31"/>
  <c r="A63" i="31"/>
  <c r="D62" i="31"/>
  <c r="A62" i="31"/>
  <c r="D61" i="31"/>
  <c r="A61" i="31"/>
  <c r="D60" i="31"/>
  <c r="A60" i="31"/>
  <c r="A59" i="31"/>
  <c r="D58" i="31"/>
  <c r="A58" i="31"/>
  <c r="A57" i="31"/>
  <c r="D56" i="31"/>
  <c r="A56" i="31"/>
  <c r="D55" i="31"/>
  <c r="A55" i="31"/>
  <c r="D54" i="31"/>
  <c r="A54" i="31"/>
  <c r="D53" i="31"/>
  <c r="A53" i="31"/>
  <c r="D52" i="31"/>
  <c r="A52" i="31"/>
  <c r="D51" i="31"/>
  <c r="A51" i="31"/>
  <c r="D50" i="31"/>
  <c r="A50" i="31"/>
  <c r="D49" i="31"/>
  <c r="A49" i="31"/>
  <c r="D48" i="31"/>
  <c r="A48" i="31"/>
  <c r="D47" i="31"/>
  <c r="A47" i="31"/>
  <c r="D46" i="31"/>
  <c r="A46" i="31"/>
  <c r="D45" i="31"/>
  <c r="A45" i="31"/>
  <c r="D44" i="31"/>
  <c r="A44" i="31"/>
  <c r="D43" i="31"/>
  <c r="A43" i="31"/>
  <c r="D42" i="31"/>
  <c r="A42" i="31"/>
  <c r="D41" i="31"/>
  <c r="A41" i="31"/>
  <c r="D40" i="31"/>
  <c r="A40" i="31"/>
  <c r="D39" i="31"/>
  <c r="A39" i="31"/>
  <c r="D38" i="31"/>
  <c r="A38" i="31"/>
  <c r="D37" i="31"/>
  <c r="A37" i="31"/>
  <c r="D36" i="31"/>
  <c r="C36" i="31" s="1"/>
  <c r="A36" i="31"/>
  <c r="D35" i="31"/>
  <c r="C35" i="31" s="1"/>
  <c r="A35" i="31"/>
  <c r="D34" i="31"/>
  <c r="A34" i="31"/>
  <c r="D33" i="31"/>
  <c r="A33" i="31"/>
  <c r="D32" i="31"/>
  <c r="A32" i="31"/>
  <c r="D31" i="31"/>
  <c r="A31" i="31"/>
  <c r="D30" i="31"/>
  <c r="A30" i="31"/>
  <c r="D29" i="31"/>
  <c r="A29" i="31"/>
  <c r="D28" i="31"/>
  <c r="A28" i="31"/>
  <c r="D27" i="31"/>
  <c r="A27" i="31"/>
  <c r="D26" i="31"/>
  <c r="A26" i="31"/>
  <c r="D25" i="31"/>
  <c r="A25" i="31"/>
  <c r="D24" i="31"/>
  <c r="A24" i="31"/>
  <c r="D23" i="31"/>
  <c r="A23" i="31"/>
  <c r="D22" i="31"/>
  <c r="A22" i="31"/>
  <c r="D21" i="31"/>
  <c r="A21" i="31"/>
  <c r="D20" i="31"/>
  <c r="A20" i="31"/>
  <c r="D19" i="31"/>
  <c r="A19" i="31"/>
  <c r="D18" i="31"/>
  <c r="C18" i="31"/>
  <c r="A18" i="31"/>
  <c r="D17" i="31"/>
  <c r="A17" i="31"/>
  <c r="D16" i="31"/>
  <c r="A16" i="31"/>
  <c r="D15" i="31"/>
  <c r="A15" i="31"/>
  <c r="D14" i="31"/>
  <c r="A14" i="31"/>
  <c r="D13" i="31"/>
  <c r="A13" i="31"/>
  <c r="D12" i="31"/>
  <c r="A12" i="31"/>
  <c r="D11" i="31"/>
  <c r="A11" i="31"/>
  <c r="D10" i="31"/>
  <c r="A10" i="31"/>
  <c r="D9" i="31"/>
  <c r="A9" i="31"/>
  <c r="D8" i="31"/>
  <c r="A8" i="31"/>
  <c r="D7" i="31"/>
  <c r="C7" i="31"/>
  <c r="A7" i="31"/>
  <c r="D6" i="31"/>
  <c r="A6" i="31"/>
  <c r="D5" i="31"/>
  <c r="A5" i="31"/>
  <c r="D4" i="31"/>
  <c r="A4" i="31"/>
  <c r="D3" i="31"/>
  <c r="A3" i="31"/>
  <c r="D105" i="30"/>
  <c r="A105" i="30"/>
  <c r="D104" i="30"/>
  <c r="A104" i="30"/>
  <c r="D103" i="30"/>
  <c r="A103" i="30"/>
  <c r="D102" i="30"/>
  <c r="A102" i="30"/>
  <c r="D101" i="30"/>
  <c r="A101" i="30"/>
  <c r="D100" i="30"/>
  <c r="A100" i="30"/>
  <c r="D99" i="30"/>
  <c r="A99" i="30"/>
  <c r="D98" i="30"/>
  <c r="A98" i="30"/>
  <c r="D97" i="30"/>
  <c r="A97" i="30"/>
  <c r="D96" i="30"/>
  <c r="A96" i="30"/>
  <c r="D95" i="30"/>
  <c r="A95" i="30"/>
  <c r="D94" i="30"/>
  <c r="A94" i="30"/>
  <c r="D93" i="30"/>
  <c r="A93" i="30"/>
  <c r="D92" i="30"/>
  <c r="A92" i="30"/>
  <c r="D91" i="30"/>
  <c r="A91" i="30"/>
  <c r="D90" i="30"/>
  <c r="A90" i="30"/>
  <c r="D89" i="30"/>
  <c r="A89" i="30"/>
  <c r="D88" i="30"/>
  <c r="A88" i="30"/>
  <c r="D87" i="30"/>
  <c r="A87" i="30"/>
  <c r="D86" i="30"/>
  <c r="A86" i="30"/>
  <c r="D85" i="30"/>
  <c r="A85" i="30"/>
  <c r="D84" i="30"/>
  <c r="A84" i="30"/>
  <c r="D83" i="30"/>
  <c r="A83" i="30"/>
  <c r="D82" i="30"/>
  <c r="A82" i="30"/>
  <c r="D81" i="30"/>
  <c r="A81" i="30"/>
  <c r="D80" i="30"/>
  <c r="A80" i="30"/>
  <c r="D79" i="30"/>
  <c r="A79" i="30"/>
  <c r="D78" i="30"/>
  <c r="A78" i="30"/>
  <c r="D77" i="30"/>
  <c r="A77" i="30"/>
  <c r="A76" i="30"/>
  <c r="D75" i="30"/>
  <c r="C75" i="30" s="1"/>
  <c r="A75" i="30"/>
  <c r="D74" i="30"/>
  <c r="C74" i="30" s="1"/>
  <c r="A74" i="30"/>
  <c r="D73" i="30"/>
  <c r="C73" i="30" s="1"/>
  <c r="A73" i="30"/>
  <c r="D72" i="30"/>
  <c r="C72" i="30" s="1"/>
  <c r="A72" i="30"/>
  <c r="D71" i="30"/>
  <c r="C71" i="30" s="1"/>
  <c r="A71" i="30"/>
  <c r="D70" i="30"/>
  <c r="A70" i="30"/>
  <c r="D69" i="30"/>
  <c r="A69" i="30"/>
  <c r="D68" i="30"/>
  <c r="A68" i="30"/>
  <c r="D67" i="30"/>
  <c r="A67" i="30"/>
  <c r="D66" i="30"/>
  <c r="A66" i="30"/>
  <c r="D65" i="30"/>
  <c r="A65" i="30"/>
  <c r="D64" i="30"/>
  <c r="A64" i="30"/>
  <c r="D63" i="30"/>
  <c r="C63" i="30"/>
  <c r="A63" i="30"/>
  <c r="D62" i="30"/>
  <c r="A62" i="30"/>
  <c r="D61" i="30"/>
  <c r="A61" i="30"/>
  <c r="D60" i="30"/>
  <c r="A60" i="30"/>
  <c r="A59" i="30"/>
  <c r="D58" i="30"/>
  <c r="A58" i="30"/>
  <c r="A57" i="30"/>
  <c r="D56" i="30"/>
  <c r="A56" i="30"/>
  <c r="D55" i="30"/>
  <c r="A55" i="30"/>
  <c r="D54" i="30"/>
  <c r="A54" i="30"/>
  <c r="D53" i="30"/>
  <c r="A53" i="30"/>
  <c r="D52" i="30"/>
  <c r="A52" i="30"/>
  <c r="D51" i="30"/>
  <c r="A51" i="30"/>
  <c r="D50" i="30"/>
  <c r="A50" i="30"/>
  <c r="D49" i="30"/>
  <c r="A49" i="30"/>
  <c r="D48" i="30"/>
  <c r="A48" i="30"/>
  <c r="D47" i="30"/>
  <c r="A47" i="30"/>
  <c r="D46" i="30"/>
  <c r="A46" i="30"/>
  <c r="D45" i="30"/>
  <c r="A45" i="30"/>
  <c r="D44" i="30"/>
  <c r="A44" i="30"/>
  <c r="D43" i="30"/>
  <c r="A43" i="30"/>
  <c r="D42" i="30"/>
  <c r="A42" i="30"/>
  <c r="D41" i="30"/>
  <c r="A41" i="30"/>
  <c r="D40" i="30"/>
  <c r="A40" i="30"/>
  <c r="D39" i="30"/>
  <c r="A39" i="30"/>
  <c r="D38" i="30"/>
  <c r="A38" i="30"/>
  <c r="D37" i="30"/>
  <c r="A37" i="30"/>
  <c r="D36" i="30"/>
  <c r="C36" i="30" s="1"/>
  <c r="A36" i="30"/>
  <c r="D35" i="30"/>
  <c r="C35" i="30" s="1"/>
  <c r="A35" i="30"/>
  <c r="D34" i="30"/>
  <c r="A34" i="30"/>
  <c r="D33" i="30"/>
  <c r="A33" i="30"/>
  <c r="D32" i="30"/>
  <c r="A32" i="30"/>
  <c r="D31" i="30"/>
  <c r="A31" i="30"/>
  <c r="D30" i="30"/>
  <c r="A30" i="30"/>
  <c r="D29" i="30"/>
  <c r="A29" i="30"/>
  <c r="D28" i="30"/>
  <c r="A28" i="30"/>
  <c r="D27" i="30"/>
  <c r="A27" i="30"/>
  <c r="D26" i="30"/>
  <c r="A26" i="30"/>
  <c r="D25" i="30"/>
  <c r="A25" i="30"/>
  <c r="D24" i="30"/>
  <c r="A24" i="30"/>
  <c r="D23" i="30"/>
  <c r="A23" i="30"/>
  <c r="D22" i="30"/>
  <c r="A22" i="30"/>
  <c r="D21" i="30"/>
  <c r="A21" i="30"/>
  <c r="D20" i="30"/>
  <c r="A20" i="30"/>
  <c r="D19" i="30"/>
  <c r="A19" i="30"/>
  <c r="D18" i="30"/>
  <c r="C18" i="30"/>
  <c r="A18" i="30"/>
  <c r="D17" i="30"/>
  <c r="A17" i="30"/>
  <c r="D16" i="30"/>
  <c r="A16" i="30"/>
  <c r="D15" i="30"/>
  <c r="A15" i="30"/>
  <c r="D14" i="30"/>
  <c r="A14" i="30"/>
  <c r="D13" i="30"/>
  <c r="A13" i="30"/>
  <c r="D12" i="30"/>
  <c r="A12" i="30"/>
  <c r="D11" i="30"/>
  <c r="A11" i="30"/>
  <c r="D10" i="30"/>
  <c r="A10" i="30"/>
  <c r="D9" i="30"/>
  <c r="A9" i="30"/>
  <c r="D8" i="30"/>
  <c r="A8" i="30"/>
  <c r="D7" i="30"/>
  <c r="C7" i="30"/>
  <c r="A7" i="30"/>
  <c r="D6" i="30"/>
  <c r="A6" i="30"/>
  <c r="D5" i="30"/>
  <c r="A5" i="30"/>
  <c r="D4" i="30"/>
  <c r="A4" i="30"/>
  <c r="D3" i="30"/>
  <c r="A3" i="30"/>
  <c r="D105" i="29"/>
  <c r="A105" i="29"/>
  <c r="D104" i="29"/>
  <c r="A104" i="29"/>
  <c r="D103" i="29"/>
  <c r="A103" i="29"/>
  <c r="D102" i="29"/>
  <c r="A102" i="29"/>
  <c r="D101" i="29"/>
  <c r="A101" i="29"/>
  <c r="D100" i="29"/>
  <c r="A100" i="29"/>
  <c r="D99" i="29"/>
  <c r="A99" i="29"/>
  <c r="D98" i="29"/>
  <c r="A98" i="29"/>
  <c r="D97" i="29"/>
  <c r="A97" i="29"/>
  <c r="D96" i="29"/>
  <c r="A96" i="29"/>
  <c r="D95" i="29"/>
  <c r="A95" i="29"/>
  <c r="D94" i="29"/>
  <c r="A94" i="29"/>
  <c r="D93" i="29"/>
  <c r="A93" i="29"/>
  <c r="D92" i="29"/>
  <c r="A92" i="29"/>
  <c r="D91" i="29"/>
  <c r="A91" i="29"/>
  <c r="D90" i="29"/>
  <c r="A90" i="29"/>
  <c r="D89" i="29"/>
  <c r="A89" i="29"/>
  <c r="D88" i="29"/>
  <c r="A88" i="29"/>
  <c r="D87" i="29"/>
  <c r="A87" i="29"/>
  <c r="D86" i="29"/>
  <c r="A86" i="29"/>
  <c r="D85" i="29"/>
  <c r="A85" i="29"/>
  <c r="D84" i="29"/>
  <c r="A84" i="29"/>
  <c r="D83" i="29"/>
  <c r="A83" i="29"/>
  <c r="D82" i="29"/>
  <c r="A82" i="29"/>
  <c r="D81" i="29"/>
  <c r="A81" i="29"/>
  <c r="D80" i="29"/>
  <c r="A80" i="29"/>
  <c r="D79" i="29"/>
  <c r="A79" i="29"/>
  <c r="D78" i="29"/>
  <c r="A78" i="29"/>
  <c r="D77" i="29"/>
  <c r="A77" i="29"/>
  <c r="A76" i="29"/>
  <c r="D75" i="29"/>
  <c r="C75" i="29" s="1"/>
  <c r="A75" i="29"/>
  <c r="D74" i="29"/>
  <c r="C74" i="29" s="1"/>
  <c r="A74" i="29"/>
  <c r="D73" i="29"/>
  <c r="C73" i="29" s="1"/>
  <c r="A73" i="29"/>
  <c r="D72" i="29"/>
  <c r="C72" i="29" s="1"/>
  <c r="A72" i="29"/>
  <c r="D71" i="29"/>
  <c r="C71" i="29" s="1"/>
  <c r="A71" i="29"/>
  <c r="D70" i="29"/>
  <c r="A70" i="29"/>
  <c r="D69" i="29"/>
  <c r="A69" i="29"/>
  <c r="D68" i="29"/>
  <c r="A68" i="29"/>
  <c r="D67" i="29"/>
  <c r="A67" i="29"/>
  <c r="D66" i="29"/>
  <c r="A66" i="29"/>
  <c r="D65" i="29"/>
  <c r="A65" i="29"/>
  <c r="D64" i="29"/>
  <c r="A64" i="29"/>
  <c r="D63" i="29"/>
  <c r="C63" i="29"/>
  <c r="A63" i="29"/>
  <c r="D62" i="29"/>
  <c r="A62" i="29"/>
  <c r="D61" i="29"/>
  <c r="A61" i="29"/>
  <c r="D60" i="29"/>
  <c r="A60" i="29"/>
  <c r="A59" i="29"/>
  <c r="D58" i="29"/>
  <c r="A58" i="29"/>
  <c r="A57" i="29"/>
  <c r="D56" i="29"/>
  <c r="A56" i="29"/>
  <c r="D55" i="29"/>
  <c r="A55" i="29"/>
  <c r="D54" i="29"/>
  <c r="A54" i="29"/>
  <c r="D53" i="29"/>
  <c r="A53" i="29"/>
  <c r="D52" i="29"/>
  <c r="A52" i="29"/>
  <c r="D51" i="29"/>
  <c r="A51" i="29"/>
  <c r="D50" i="29"/>
  <c r="A50" i="29"/>
  <c r="D49" i="29"/>
  <c r="A49" i="29"/>
  <c r="D48" i="29"/>
  <c r="A48" i="29"/>
  <c r="D47" i="29"/>
  <c r="A47" i="29"/>
  <c r="D46" i="29"/>
  <c r="A46" i="29"/>
  <c r="D45" i="29"/>
  <c r="A45" i="29"/>
  <c r="D44" i="29"/>
  <c r="A44" i="29"/>
  <c r="D43" i="29"/>
  <c r="A43" i="29"/>
  <c r="D42" i="29"/>
  <c r="A42" i="29"/>
  <c r="D41" i="29"/>
  <c r="A41" i="29"/>
  <c r="D40" i="29"/>
  <c r="A40" i="29"/>
  <c r="D39" i="29"/>
  <c r="A39" i="29"/>
  <c r="D38" i="29"/>
  <c r="A38" i="29"/>
  <c r="D37" i="29"/>
  <c r="A37" i="29"/>
  <c r="D36" i="29"/>
  <c r="C36" i="29" s="1"/>
  <c r="A36" i="29"/>
  <c r="D35" i="29"/>
  <c r="C35" i="29" s="1"/>
  <c r="A35" i="29"/>
  <c r="D34" i="29"/>
  <c r="A34" i="29"/>
  <c r="D33" i="29"/>
  <c r="A33" i="29"/>
  <c r="D32" i="29"/>
  <c r="A32" i="29"/>
  <c r="D31" i="29"/>
  <c r="A31" i="29"/>
  <c r="D30" i="29"/>
  <c r="A30" i="29"/>
  <c r="D29" i="29"/>
  <c r="A29" i="29"/>
  <c r="D28" i="29"/>
  <c r="A28" i="29"/>
  <c r="D27" i="29"/>
  <c r="A27" i="29"/>
  <c r="D26" i="29"/>
  <c r="A26" i="29"/>
  <c r="D25" i="29"/>
  <c r="A25" i="29"/>
  <c r="D24" i="29"/>
  <c r="A24" i="29"/>
  <c r="D23" i="29"/>
  <c r="A23" i="29"/>
  <c r="D22" i="29"/>
  <c r="A22" i="29"/>
  <c r="D21" i="29"/>
  <c r="A21" i="29"/>
  <c r="D20" i="29"/>
  <c r="A20" i="29"/>
  <c r="D19" i="29"/>
  <c r="A19" i="29"/>
  <c r="D18" i="29"/>
  <c r="C18" i="29"/>
  <c r="A18" i="29"/>
  <c r="D17" i="29"/>
  <c r="A17" i="29"/>
  <c r="D16" i="29"/>
  <c r="A16" i="29"/>
  <c r="D15" i="29"/>
  <c r="A15" i="29"/>
  <c r="D14" i="29"/>
  <c r="A14" i="29"/>
  <c r="D13" i="29"/>
  <c r="A13" i="29"/>
  <c r="D12" i="29"/>
  <c r="A12" i="29"/>
  <c r="D11" i="29"/>
  <c r="A11" i="29"/>
  <c r="D10" i="29"/>
  <c r="A10" i="29"/>
  <c r="D9" i="29"/>
  <c r="A9" i="29"/>
  <c r="D8" i="29"/>
  <c r="A8" i="29"/>
  <c r="D7" i="29"/>
  <c r="C7" i="29"/>
  <c r="A7" i="29"/>
  <c r="D6" i="29"/>
  <c r="A6" i="29"/>
  <c r="D5" i="29"/>
  <c r="A5" i="29"/>
  <c r="D4" i="29"/>
  <c r="A4" i="29"/>
  <c r="D3" i="29"/>
  <c r="A3" i="29"/>
  <c r="D105" i="28"/>
  <c r="A105" i="28"/>
  <c r="D104" i="28"/>
  <c r="A104" i="28"/>
  <c r="D103" i="28"/>
  <c r="A103" i="28"/>
  <c r="D102" i="28"/>
  <c r="A102" i="28"/>
  <c r="D101" i="28"/>
  <c r="A101" i="28"/>
  <c r="D100" i="28"/>
  <c r="A100" i="28"/>
  <c r="D99" i="28"/>
  <c r="A99" i="28"/>
  <c r="D98" i="28"/>
  <c r="A98" i="28"/>
  <c r="D97" i="28"/>
  <c r="A97" i="28"/>
  <c r="D96" i="28"/>
  <c r="A96" i="28"/>
  <c r="D95" i="28"/>
  <c r="A95" i="28"/>
  <c r="D94" i="28"/>
  <c r="A94" i="28"/>
  <c r="D93" i="28"/>
  <c r="A93" i="28"/>
  <c r="D92" i="28"/>
  <c r="A92" i="28"/>
  <c r="D91" i="28"/>
  <c r="A91" i="28"/>
  <c r="D90" i="28"/>
  <c r="A90" i="28"/>
  <c r="D89" i="28"/>
  <c r="A89" i="28"/>
  <c r="D88" i="28"/>
  <c r="A88" i="28"/>
  <c r="D87" i="28"/>
  <c r="A87" i="28"/>
  <c r="D86" i="28"/>
  <c r="A86" i="28"/>
  <c r="D85" i="28"/>
  <c r="A85" i="28"/>
  <c r="D84" i="28"/>
  <c r="A84" i="28"/>
  <c r="D83" i="28"/>
  <c r="A83" i="28"/>
  <c r="D82" i="28"/>
  <c r="A82" i="28"/>
  <c r="D81" i="28"/>
  <c r="A81" i="28"/>
  <c r="D80" i="28"/>
  <c r="A80" i="28"/>
  <c r="D79" i="28"/>
  <c r="A79" i="28"/>
  <c r="D78" i="28"/>
  <c r="A78" i="28"/>
  <c r="D77" i="28"/>
  <c r="A77" i="28"/>
  <c r="A76" i="28"/>
  <c r="D75" i="28"/>
  <c r="C75" i="28" s="1"/>
  <c r="A75" i="28"/>
  <c r="D74" i="28"/>
  <c r="C74" i="28" s="1"/>
  <c r="A74" i="28"/>
  <c r="D73" i="28"/>
  <c r="C73" i="28" s="1"/>
  <c r="A73" i="28"/>
  <c r="D72" i="28"/>
  <c r="C72" i="28" s="1"/>
  <c r="A72" i="28"/>
  <c r="D71" i="28"/>
  <c r="C71" i="28" s="1"/>
  <c r="A71" i="28"/>
  <c r="D70" i="28"/>
  <c r="A70" i="28"/>
  <c r="D69" i="28"/>
  <c r="A69" i="28"/>
  <c r="D68" i="28"/>
  <c r="A68" i="28"/>
  <c r="D67" i="28"/>
  <c r="A67" i="28"/>
  <c r="D66" i="28"/>
  <c r="A66" i="28"/>
  <c r="D65" i="28"/>
  <c r="A65" i="28"/>
  <c r="D64" i="28"/>
  <c r="A64" i="28"/>
  <c r="D63" i="28"/>
  <c r="C63" i="28"/>
  <c r="A63" i="28"/>
  <c r="D62" i="28"/>
  <c r="A62" i="28"/>
  <c r="D61" i="28"/>
  <c r="A61" i="28"/>
  <c r="D60" i="28"/>
  <c r="A60" i="28"/>
  <c r="A59" i="28"/>
  <c r="D58" i="28"/>
  <c r="A58" i="28"/>
  <c r="A57" i="28"/>
  <c r="D56" i="28"/>
  <c r="A56" i="28"/>
  <c r="D55" i="28"/>
  <c r="A55" i="28"/>
  <c r="D54" i="28"/>
  <c r="A54" i="28"/>
  <c r="D53" i="28"/>
  <c r="A53" i="28"/>
  <c r="D52" i="28"/>
  <c r="A52" i="28"/>
  <c r="D51" i="28"/>
  <c r="A51" i="28"/>
  <c r="D50" i="28"/>
  <c r="A50" i="28"/>
  <c r="D49" i="28"/>
  <c r="A49" i="28"/>
  <c r="D48" i="28"/>
  <c r="A48" i="28"/>
  <c r="D47" i="28"/>
  <c r="A47" i="28"/>
  <c r="D46" i="28"/>
  <c r="A46" i="28"/>
  <c r="D45" i="28"/>
  <c r="A45" i="28"/>
  <c r="D44" i="28"/>
  <c r="A44" i="28"/>
  <c r="D43" i="28"/>
  <c r="A43" i="28"/>
  <c r="D42" i="28"/>
  <c r="A42" i="28"/>
  <c r="D41" i="28"/>
  <c r="A41" i="28"/>
  <c r="D40" i="28"/>
  <c r="A40" i="28"/>
  <c r="D39" i="28"/>
  <c r="A39" i="28"/>
  <c r="D38" i="28"/>
  <c r="A38" i="28"/>
  <c r="D37" i="28"/>
  <c r="A37" i="28"/>
  <c r="D36" i="28"/>
  <c r="C36" i="28" s="1"/>
  <c r="A36" i="28"/>
  <c r="D35" i="28"/>
  <c r="C35" i="28" s="1"/>
  <c r="A35" i="28"/>
  <c r="D34" i="28"/>
  <c r="A34" i="28"/>
  <c r="D33" i="28"/>
  <c r="A33" i="28"/>
  <c r="D32" i="28"/>
  <c r="A32" i="28"/>
  <c r="D31" i="28"/>
  <c r="A31" i="28"/>
  <c r="D30" i="28"/>
  <c r="A30" i="28"/>
  <c r="D29" i="28"/>
  <c r="A29" i="28"/>
  <c r="D28" i="28"/>
  <c r="A28" i="28"/>
  <c r="D27" i="28"/>
  <c r="A27" i="28"/>
  <c r="D26" i="28"/>
  <c r="A26" i="28"/>
  <c r="D25" i="28"/>
  <c r="A25" i="28"/>
  <c r="D24" i="28"/>
  <c r="A24" i="28"/>
  <c r="D23" i="28"/>
  <c r="A23" i="28"/>
  <c r="D22" i="28"/>
  <c r="A22" i="28"/>
  <c r="D21" i="28"/>
  <c r="A21" i="28"/>
  <c r="D20" i="28"/>
  <c r="A20" i="28"/>
  <c r="D19" i="28"/>
  <c r="A19" i="28"/>
  <c r="D18" i="28"/>
  <c r="C18" i="28"/>
  <c r="A18" i="28"/>
  <c r="D17" i="28"/>
  <c r="A17" i="28"/>
  <c r="D16" i="28"/>
  <c r="A16" i="28"/>
  <c r="D15" i="28"/>
  <c r="A15" i="28"/>
  <c r="D14" i="28"/>
  <c r="A14" i="28"/>
  <c r="D13" i="28"/>
  <c r="A13" i="28"/>
  <c r="D12" i="28"/>
  <c r="A12" i="28"/>
  <c r="D11" i="28"/>
  <c r="A11" i="28"/>
  <c r="D10" i="28"/>
  <c r="A10" i="28"/>
  <c r="D9" i="28"/>
  <c r="A9" i="28"/>
  <c r="D8" i="28"/>
  <c r="A8" i="28"/>
  <c r="D7" i="28"/>
  <c r="C7" i="28"/>
  <c r="A7" i="28"/>
  <c r="D6" i="28"/>
  <c r="A6" i="28"/>
  <c r="D5" i="28"/>
  <c r="A5" i="28"/>
  <c r="D4" i="28"/>
  <c r="A4" i="28"/>
  <c r="D3" i="28"/>
  <c r="A3" i="28"/>
  <c r="D105" i="27"/>
  <c r="A105" i="27"/>
  <c r="D104" i="27"/>
  <c r="A104" i="27"/>
  <c r="D103" i="27"/>
  <c r="A103" i="27"/>
  <c r="D102" i="27"/>
  <c r="A102" i="27"/>
  <c r="D101" i="27"/>
  <c r="A101" i="27"/>
  <c r="D100" i="27"/>
  <c r="A100" i="27"/>
  <c r="D99" i="27"/>
  <c r="A99" i="27"/>
  <c r="D98" i="27"/>
  <c r="A98" i="27"/>
  <c r="D97" i="27"/>
  <c r="A97" i="27"/>
  <c r="D96" i="27"/>
  <c r="A96" i="27"/>
  <c r="D95" i="27"/>
  <c r="A95" i="27"/>
  <c r="D94" i="27"/>
  <c r="A94" i="27"/>
  <c r="D93" i="27"/>
  <c r="A93" i="27"/>
  <c r="D92" i="27"/>
  <c r="A92" i="27"/>
  <c r="D91" i="27"/>
  <c r="A91" i="27"/>
  <c r="D90" i="27"/>
  <c r="A90" i="27"/>
  <c r="D89" i="27"/>
  <c r="A89" i="27"/>
  <c r="D88" i="27"/>
  <c r="A88" i="27"/>
  <c r="D87" i="27"/>
  <c r="A87" i="27"/>
  <c r="D86" i="27"/>
  <c r="A86" i="27"/>
  <c r="D85" i="27"/>
  <c r="A85" i="27"/>
  <c r="D84" i="27"/>
  <c r="A84" i="27"/>
  <c r="D83" i="27"/>
  <c r="A83" i="27"/>
  <c r="D82" i="27"/>
  <c r="A82" i="27"/>
  <c r="D81" i="27"/>
  <c r="A81" i="27"/>
  <c r="D80" i="27"/>
  <c r="A80" i="27"/>
  <c r="D79" i="27"/>
  <c r="A79" i="27"/>
  <c r="D78" i="27"/>
  <c r="A78" i="27"/>
  <c r="D77" i="27"/>
  <c r="A77" i="27"/>
  <c r="A76" i="27"/>
  <c r="D75" i="27"/>
  <c r="C75" i="27" s="1"/>
  <c r="A75" i="27"/>
  <c r="D74" i="27"/>
  <c r="C74" i="27" s="1"/>
  <c r="A74" i="27"/>
  <c r="D73" i="27"/>
  <c r="C73" i="27" s="1"/>
  <c r="A73" i="27"/>
  <c r="D72" i="27"/>
  <c r="C72" i="27" s="1"/>
  <c r="A72" i="27"/>
  <c r="D71" i="27"/>
  <c r="C71" i="27" s="1"/>
  <c r="A71" i="27"/>
  <c r="D70" i="27"/>
  <c r="A70" i="27"/>
  <c r="D69" i="27"/>
  <c r="A69" i="27"/>
  <c r="D68" i="27"/>
  <c r="A68" i="27"/>
  <c r="D67" i="27"/>
  <c r="A67" i="27"/>
  <c r="D66" i="27"/>
  <c r="A66" i="27"/>
  <c r="D65" i="27"/>
  <c r="A65" i="27"/>
  <c r="D64" i="27"/>
  <c r="A64" i="27"/>
  <c r="D63" i="27"/>
  <c r="C63" i="27"/>
  <c r="A63" i="27"/>
  <c r="D62" i="27"/>
  <c r="A62" i="27"/>
  <c r="D61" i="27"/>
  <c r="A61" i="27"/>
  <c r="D60" i="27"/>
  <c r="A60" i="27"/>
  <c r="A59" i="27"/>
  <c r="D58" i="27"/>
  <c r="A58" i="27"/>
  <c r="A57" i="27"/>
  <c r="D56" i="27"/>
  <c r="A56" i="27"/>
  <c r="D55" i="27"/>
  <c r="A55" i="27"/>
  <c r="D54" i="27"/>
  <c r="A54" i="27"/>
  <c r="D53" i="27"/>
  <c r="A53" i="27"/>
  <c r="D52" i="27"/>
  <c r="A52" i="27"/>
  <c r="D51" i="27"/>
  <c r="A51" i="27"/>
  <c r="D50" i="27"/>
  <c r="A50" i="27"/>
  <c r="D49" i="27"/>
  <c r="A49" i="27"/>
  <c r="D48" i="27"/>
  <c r="A48" i="27"/>
  <c r="D47" i="27"/>
  <c r="A47" i="27"/>
  <c r="D46" i="27"/>
  <c r="A46" i="27"/>
  <c r="D45" i="27"/>
  <c r="A45" i="27"/>
  <c r="D44" i="27"/>
  <c r="A44" i="27"/>
  <c r="D43" i="27"/>
  <c r="A43" i="27"/>
  <c r="D42" i="27"/>
  <c r="A42" i="27"/>
  <c r="D41" i="27"/>
  <c r="A41" i="27"/>
  <c r="D40" i="27"/>
  <c r="A40" i="27"/>
  <c r="D39" i="27"/>
  <c r="A39" i="27"/>
  <c r="D38" i="27"/>
  <c r="A38" i="27"/>
  <c r="D37" i="27"/>
  <c r="A37" i="27"/>
  <c r="D36" i="27"/>
  <c r="C36" i="27" s="1"/>
  <c r="A36" i="27"/>
  <c r="D35" i="27"/>
  <c r="C35" i="27" s="1"/>
  <c r="A35" i="27"/>
  <c r="D34" i="27"/>
  <c r="A34" i="27"/>
  <c r="D33" i="27"/>
  <c r="A33" i="27"/>
  <c r="D32" i="27"/>
  <c r="A32" i="27"/>
  <c r="D31" i="27"/>
  <c r="A31" i="27"/>
  <c r="D30" i="27"/>
  <c r="A30" i="27"/>
  <c r="D29" i="27"/>
  <c r="A29" i="27"/>
  <c r="D28" i="27"/>
  <c r="A28" i="27"/>
  <c r="D27" i="27"/>
  <c r="A27" i="27"/>
  <c r="D26" i="27"/>
  <c r="A26" i="27"/>
  <c r="D25" i="27"/>
  <c r="A25" i="27"/>
  <c r="D24" i="27"/>
  <c r="A24" i="27"/>
  <c r="D23" i="27"/>
  <c r="A23" i="27"/>
  <c r="D22" i="27"/>
  <c r="A22" i="27"/>
  <c r="D21" i="27"/>
  <c r="A21" i="27"/>
  <c r="D20" i="27"/>
  <c r="A20" i="27"/>
  <c r="D19" i="27"/>
  <c r="A19" i="27"/>
  <c r="D18" i="27"/>
  <c r="C18" i="27"/>
  <c r="A18" i="27"/>
  <c r="D17" i="27"/>
  <c r="A17" i="27"/>
  <c r="D16" i="27"/>
  <c r="A16" i="27"/>
  <c r="D15" i="27"/>
  <c r="A15" i="27"/>
  <c r="D14" i="27"/>
  <c r="A14" i="27"/>
  <c r="D13" i="27"/>
  <c r="A13" i="27"/>
  <c r="D12" i="27"/>
  <c r="A12" i="27"/>
  <c r="D11" i="27"/>
  <c r="A11" i="27"/>
  <c r="D10" i="27"/>
  <c r="A10" i="27"/>
  <c r="D9" i="27"/>
  <c r="A9" i="27"/>
  <c r="D8" i="27"/>
  <c r="A8" i="27"/>
  <c r="D7" i="27"/>
  <c r="C7" i="27"/>
  <c r="A7" i="27"/>
  <c r="D6" i="27"/>
  <c r="A6" i="27"/>
  <c r="D5" i="27"/>
  <c r="A5" i="27"/>
  <c r="D4" i="27"/>
  <c r="A4" i="27"/>
  <c r="D3" i="27"/>
  <c r="A3" i="27"/>
  <c r="D105" i="26"/>
  <c r="A105" i="26"/>
  <c r="D104" i="26"/>
  <c r="A104" i="26"/>
  <c r="D103" i="26"/>
  <c r="A103" i="26"/>
  <c r="D102" i="26"/>
  <c r="A102" i="26"/>
  <c r="D101" i="26"/>
  <c r="A101" i="26"/>
  <c r="D100" i="26"/>
  <c r="A100" i="26"/>
  <c r="D99" i="26"/>
  <c r="A99" i="26"/>
  <c r="D98" i="26"/>
  <c r="A98" i="26"/>
  <c r="D97" i="26"/>
  <c r="A97" i="26"/>
  <c r="D96" i="26"/>
  <c r="A96" i="26"/>
  <c r="D95" i="26"/>
  <c r="A95" i="26"/>
  <c r="D94" i="26"/>
  <c r="A94" i="26"/>
  <c r="D93" i="26"/>
  <c r="A93" i="26"/>
  <c r="D92" i="26"/>
  <c r="A92" i="26"/>
  <c r="D91" i="26"/>
  <c r="A91" i="26"/>
  <c r="D90" i="26"/>
  <c r="A90" i="26"/>
  <c r="D89" i="26"/>
  <c r="A89" i="26"/>
  <c r="D88" i="26"/>
  <c r="A88" i="26"/>
  <c r="D87" i="26"/>
  <c r="A87" i="26"/>
  <c r="D86" i="26"/>
  <c r="A86" i="26"/>
  <c r="D85" i="26"/>
  <c r="A85" i="26"/>
  <c r="D84" i="26"/>
  <c r="A84" i="26"/>
  <c r="D83" i="26"/>
  <c r="A83" i="26"/>
  <c r="D82" i="26"/>
  <c r="A82" i="26"/>
  <c r="D81" i="26"/>
  <c r="A81" i="26"/>
  <c r="D80" i="26"/>
  <c r="A80" i="26"/>
  <c r="D79" i="26"/>
  <c r="A79" i="26"/>
  <c r="D78" i="26"/>
  <c r="A78" i="26"/>
  <c r="D77" i="26"/>
  <c r="A77" i="26"/>
  <c r="A76" i="26"/>
  <c r="D75" i="26"/>
  <c r="C75" i="26" s="1"/>
  <c r="A75" i="26"/>
  <c r="D74" i="26"/>
  <c r="C74" i="26" s="1"/>
  <c r="A74" i="26"/>
  <c r="D73" i="26"/>
  <c r="C73" i="26" s="1"/>
  <c r="A73" i="26"/>
  <c r="D72" i="26"/>
  <c r="C72" i="26" s="1"/>
  <c r="A72" i="26"/>
  <c r="D71" i="26"/>
  <c r="C71" i="26" s="1"/>
  <c r="A71" i="26"/>
  <c r="D70" i="26"/>
  <c r="A70" i="26"/>
  <c r="D69" i="26"/>
  <c r="A69" i="26"/>
  <c r="D68" i="26"/>
  <c r="A68" i="26"/>
  <c r="D67" i="26"/>
  <c r="A67" i="26"/>
  <c r="D66" i="26"/>
  <c r="A66" i="26"/>
  <c r="D65" i="26"/>
  <c r="A65" i="26"/>
  <c r="D64" i="26"/>
  <c r="A64" i="26"/>
  <c r="D63" i="26"/>
  <c r="C63" i="26"/>
  <c r="A63" i="26"/>
  <c r="D62" i="26"/>
  <c r="A62" i="26"/>
  <c r="D61" i="26"/>
  <c r="A61" i="26"/>
  <c r="D60" i="26"/>
  <c r="A60" i="26"/>
  <c r="A59" i="26"/>
  <c r="D58" i="26"/>
  <c r="A58" i="26"/>
  <c r="A57" i="26"/>
  <c r="D56" i="26"/>
  <c r="A56" i="26"/>
  <c r="D55" i="26"/>
  <c r="A55" i="26"/>
  <c r="D54" i="26"/>
  <c r="A54" i="26"/>
  <c r="D53" i="26"/>
  <c r="A53" i="26"/>
  <c r="D52" i="26"/>
  <c r="A52" i="26"/>
  <c r="D51" i="26"/>
  <c r="A51" i="26"/>
  <c r="D50" i="26"/>
  <c r="A50" i="26"/>
  <c r="D49" i="26"/>
  <c r="A49" i="26"/>
  <c r="D48" i="26"/>
  <c r="A48" i="26"/>
  <c r="D47" i="26"/>
  <c r="A47" i="26"/>
  <c r="D46" i="26"/>
  <c r="A46" i="26"/>
  <c r="D45" i="26"/>
  <c r="A45" i="26"/>
  <c r="D44" i="26"/>
  <c r="A44" i="26"/>
  <c r="D43" i="26"/>
  <c r="A43" i="26"/>
  <c r="D42" i="26"/>
  <c r="A42" i="26"/>
  <c r="D41" i="26"/>
  <c r="A41" i="26"/>
  <c r="D40" i="26"/>
  <c r="A40" i="26"/>
  <c r="D39" i="26"/>
  <c r="A39" i="26"/>
  <c r="D38" i="26"/>
  <c r="A38" i="26"/>
  <c r="D37" i="26"/>
  <c r="A37" i="26"/>
  <c r="D36" i="26"/>
  <c r="C36" i="26" s="1"/>
  <c r="A36" i="26"/>
  <c r="D35" i="26"/>
  <c r="C35" i="26" s="1"/>
  <c r="A35" i="26"/>
  <c r="D34" i="26"/>
  <c r="A34" i="26"/>
  <c r="D33" i="26"/>
  <c r="A33" i="26"/>
  <c r="D32" i="26"/>
  <c r="A32" i="26"/>
  <c r="D31" i="26"/>
  <c r="A31" i="26"/>
  <c r="D30" i="26"/>
  <c r="A30" i="26"/>
  <c r="D29" i="26"/>
  <c r="A29" i="26"/>
  <c r="D28" i="26"/>
  <c r="A28" i="26"/>
  <c r="D27" i="26"/>
  <c r="A27" i="26"/>
  <c r="D26" i="26"/>
  <c r="A26" i="26"/>
  <c r="D25" i="26"/>
  <c r="A25" i="26"/>
  <c r="D24" i="26"/>
  <c r="A24" i="26"/>
  <c r="D23" i="26"/>
  <c r="A23" i="26"/>
  <c r="D22" i="26"/>
  <c r="A22" i="26"/>
  <c r="D21" i="26"/>
  <c r="A21" i="26"/>
  <c r="D20" i="26"/>
  <c r="A20" i="26"/>
  <c r="D19" i="26"/>
  <c r="A19" i="26"/>
  <c r="D18" i="26"/>
  <c r="C18" i="26"/>
  <c r="A18" i="26"/>
  <c r="D17" i="26"/>
  <c r="A17" i="26"/>
  <c r="D16" i="26"/>
  <c r="A16" i="26"/>
  <c r="D15" i="26"/>
  <c r="A15" i="26"/>
  <c r="D14" i="26"/>
  <c r="A14" i="26"/>
  <c r="D13" i="26"/>
  <c r="A13" i="26"/>
  <c r="D12" i="26"/>
  <c r="A12" i="26"/>
  <c r="D11" i="26"/>
  <c r="A11" i="26"/>
  <c r="D10" i="26"/>
  <c r="A10" i="26"/>
  <c r="D9" i="26"/>
  <c r="A9" i="26"/>
  <c r="D8" i="26"/>
  <c r="A8" i="26"/>
  <c r="D7" i="26"/>
  <c r="C7" i="26"/>
  <c r="A7" i="26"/>
  <c r="D6" i="26"/>
  <c r="A6" i="26"/>
  <c r="D5" i="26"/>
  <c r="A5" i="26"/>
  <c r="D4" i="26"/>
  <c r="A4" i="26"/>
  <c r="D3" i="26"/>
  <c r="A3" i="26"/>
  <c r="D105" i="25"/>
  <c r="A105" i="25"/>
  <c r="D104" i="25"/>
  <c r="A104" i="25"/>
  <c r="D103" i="25"/>
  <c r="A103" i="25"/>
  <c r="D102" i="25"/>
  <c r="A102" i="25"/>
  <c r="D101" i="25"/>
  <c r="A101" i="25"/>
  <c r="D100" i="25"/>
  <c r="A100" i="25"/>
  <c r="D99" i="25"/>
  <c r="A99" i="25"/>
  <c r="D98" i="25"/>
  <c r="A98" i="25"/>
  <c r="D97" i="25"/>
  <c r="A97" i="25"/>
  <c r="D96" i="25"/>
  <c r="A96" i="25"/>
  <c r="D95" i="25"/>
  <c r="A95" i="25"/>
  <c r="D94" i="25"/>
  <c r="A94" i="25"/>
  <c r="D93" i="25"/>
  <c r="A93" i="25"/>
  <c r="D92" i="25"/>
  <c r="A92" i="25"/>
  <c r="D91" i="25"/>
  <c r="A91" i="25"/>
  <c r="D90" i="25"/>
  <c r="A90" i="25"/>
  <c r="D89" i="25"/>
  <c r="A89" i="25"/>
  <c r="D88" i="25"/>
  <c r="A88" i="25"/>
  <c r="D87" i="25"/>
  <c r="A87" i="25"/>
  <c r="D86" i="25"/>
  <c r="A86" i="25"/>
  <c r="D85" i="25"/>
  <c r="A85" i="25"/>
  <c r="D84" i="25"/>
  <c r="A84" i="25"/>
  <c r="D83" i="25"/>
  <c r="A83" i="25"/>
  <c r="D82" i="25"/>
  <c r="A82" i="25"/>
  <c r="D81" i="25"/>
  <c r="A81" i="25"/>
  <c r="D80" i="25"/>
  <c r="A80" i="25"/>
  <c r="D79" i="25"/>
  <c r="A79" i="25"/>
  <c r="D78" i="25"/>
  <c r="A78" i="25"/>
  <c r="D77" i="25"/>
  <c r="A77" i="25"/>
  <c r="A76" i="25"/>
  <c r="D75" i="25"/>
  <c r="C75" i="25" s="1"/>
  <c r="A75" i="25"/>
  <c r="D74" i="25"/>
  <c r="C74" i="25" s="1"/>
  <c r="A74" i="25"/>
  <c r="D73" i="25"/>
  <c r="C73" i="25" s="1"/>
  <c r="A73" i="25"/>
  <c r="D72" i="25"/>
  <c r="C72" i="25" s="1"/>
  <c r="A72" i="25"/>
  <c r="D71" i="25"/>
  <c r="C71" i="25" s="1"/>
  <c r="A71" i="25"/>
  <c r="D70" i="25"/>
  <c r="A70" i="25"/>
  <c r="D69" i="25"/>
  <c r="A69" i="25"/>
  <c r="D68" i="25"/>
  <c r="A68" i="25"/>
  <c r="D67" i="25"/>
  <c r="A67" i="25"/>
  <c r="D66" i="25"/>
  <c r="A66" i="25"/>
  <c r="D65" i="25"/>
  <c r="A65" i="25"/>
  <c r="D64" i="25"/>
  <c r="A64" i="25"/>
  <c r="D63" i="25"/>
  <c r="C63" i="25"/>
  <c r="A63" i="25"/>
  <c r="D62" i="25"/>
  <c r="A62" i="25"/>
  <c r="D61" i="25"/>
  <c r="A61" i="25"/>
  <c r="D60" i="25"/>
  <c r="A60" i="25"/>
  <c r="A59" i="25"/>
  <c r="D58" i="25"/>
  <c r="A58" i="25"/>
  <c r="A57" i="25"/>
  <c r="D56" i="25"/>
  <c r="A56" i="25"/>
  <c r="D55" i="25"/>
  <c r="A55" i="25"/>
  <c r="D54" i="25"/>
  <c r="A54" i="25"/>
  <c r="D53" i="25"/>
  <c r="A53" i="25"/>
  <c r="D52" i="25"/>
  <c r="A52" i="25"/>
  <c r="D51" i="25"/>
  <c r="A51" i="25"/>
  <c r="D50" i="25"/>
  <c r="A50" i="25"/>
  <c r="D49" i="25"/>
  <c r="A49" i="25"/>
  <c r="D48" i="25"/>
  <c r="A48" i="25"/>
  <c r="D47" i="25"/>
  <c r="A47" i="25"/>
  <c r="D46" i="25"/>
  <c r="A46" i="25"/>
  <c r="D45" i="25"/>
  <c r="A45" i="25"/>
  <c r="D44" i="25"/>
  <c r="A44" i="25"/>
  <c r="D43" i="25"/>
  <c r="A43" i="25"/>
  <c r="D42" i="25"/>
  <c r="A42" i="25"/>
  <c r="D41" i="25"/>
  <c r="A41" i="25"/>
  <c r="D40" i="25"/>
  <c r="A40" i="25"/>
  <c r="D39" i="25"/>
  <c r="A39" i="25"/>
  <c r="D38" i="25"/>
  <c r="A38" i="25"/>
  <c r="D37" i="25"/>
  <c r="A37" i="25"/>
  <c r="D36" i="25"/>
  <c r="C36" i="25" s="1"/>
  <c r="A36" i="25"/>
  <c r="D35" i="25"/>
  <c r="C35" i="25" s="1"/>
  <c r="A35" i="25"/>
  <c r="D34" i="25"/>
  <c r="A34" i="25"/>
  <c r="D33" i="25"/>
  <c r="A33" i="25"/>
  <c r="D32" i="25"/>
  <c r="A32" i="25"/>
  <c r="D31" i="25"/>
  <c r="A31" i="25"/>
  <c r="D30" i="25"/>
  <c r="A30" i="25"/>
  <c r="D29" i="25"/>
  <c r="A29" i="25"/>
  <c r="D28" i="25"/>
  <c r="A28" i="25"/>
  <c r="D27" i="25"/>
  <c r="A27" i="25"/>
  <c r="D26" i="25"/>
  <c r="A26" i="25"/>
  <c r="D25" i="25"/>
  <c r="A25" i="25"/>
  <c r="D24" i="25"/>
  <c r="A24" i="25"/>
  <c r="D23" i="25"/>
  <c r="A23" i="25"/>
  <c r="D22" i="25"/>
  <c r="A22" i="25"/>
  <c r="D21" i="25"/>
  <c r="A21" i="25"/>
  <c r="D20" i="25"/>
  <c r="A20" i="25"/>
  <c r="D19" i="25"/>
  <c r="A19" i="25"/>
  <c r="D18" i="25"/>
  <c r="C18" i="25"/>
  <c r="A18" i="25"/>
  <c r="D17" i="25"/>
  <c r="A17" i="25"/>
  <c r="D16" i="25"/>
  <c r="A16" i="25"/>
  <c r="D15" i="25"/>
  <c r="A15" i="25"/>
  <c r="D14" i="25"/>
  <c r="A14" i="25"/>
  <c r="D13" i="25"/>
  <c r="A13" i="25"/>
  <c r="D12" i="25"/>
  <c r="A12" i="25"/>
  <c r="D11" i="25"/>
  <c r="A11" i="25"/>
  <c r="D10" i="25"/>
  <c r="A10" i="25"/>
  <c r="D9" i="25"/>
  <c r="A9" i="25"/>
  <c r="D8" i="25"/>
  <c r="A8" i="25"/>
  <c r="D7" i="25"/>
  <c r="C7" i="25"/>
  <c r="A7" i="25"/>
  <c r="D6" i="25"/>
  <c r="A6" i="25"/>
  <c r="D5" i="25"/>
  <c r="A5" i="25"/>
  <c r="D4" i="25"/>
  <c r="A4" i="25"/>
  <c r="D3" i="25"/>
  <c r="A3" i="25"/>
  <c r="D105" i="24"/>
  <c r="A105" i="24"/>
  <c r="D104" i="24"/>
  <c r="A104" i="24"/>
  <c r="D103" i="24"/>
  <c r="A103" i="24"/>
  <c r="D102" i="24"/>
  <c r="A102" i="24"/>
  <c r="D101" i="24"/>
  <c r="A101" i="24"/>
  <c r="D100" i="24"/>
  <c r="A100" i="24"/>
  <c r="D99" i="24"/>
  <c r="A99" i="24"/>
  <c r="D98" i="24"/>
  <c r="A98" i="24"/>
  <c r="D97" i="24"/>
  <c r="A97" i="24"/>
  <c r="D96" i="24"/>
  <c r="A96" i="24"/>
  <c r="D95" i="24"/>
  <c r="A95" i="24"/>
  <c r="D94" i="24"/>
  <c r="A94" i="24"/>
  <c r="D93" i="24"/>
  <c r="A93" i="24"/>
  <c r="D92" i="24"/>
  <c r="A92" i="24"/>
  <c r="D91" i="24"/>
  <c r="A91" i="24"/>
  <c r="D90" i="24"/>
  <c r="A90" i="24"/>
  <c r="D89" i="24"/>
  <c r="A89" i="24"/>
  <c r="D88" i="24"/>
  <c r="A88" i="24"/>
  <c r="D87" i="24"/>
  <c r="A87" i="24"/>
  <c r="D86" i="24"/>
  <c r="A86" i="24"/>
  <c r="D85" i="24"/>
  <c r="A85" i="24"/>
  <c r="D84" i="24"/>
  <c r="A84" i="24"/>
  <c r="D83" i="24"/>
  <c r="A83" i="24"/>
  <c r="D82" i="24"/>
  <c r="A82" i="24"/>
  <c r="D81" i="24"/>
  <c r="A81" i="24"/>
  <c r="D80" i="24"/>
  <c r="A80" i="24"/>
  <c r="D79" i="24"/>
  <c r="A79" i="24"/>
  <c r="D78" i="24"/>
  <c r="A78" i="24"/>
  <c r="D77" i="24"/>
  <c r="A77" i="24"/>
  <c r="A76" i="24"/>
  <c r="D75" i="24"/>
  <c r="C75" i="24" s="1"/>
  <c r="A75" i="24"/>
  <c r="D74" i="24"/>
  <c r="C74" i="24" s="1"/>
  <c r="A74" i="24"/>
  <c r="D73" i="24"/>
  <c r="C73" i="24" s="1"/>
  <c r="A73" i="24"/>
  <c r="D72" i="24"/>
  <c r="C72" i="24" s="1"/>
  <c r="A72" i="24"/>
  <c r="D71" i="24"/>
  <c r="C71" i="24" s="1"/>
  <c r="A71" i="24"/>
  <c r="D70" i="24"/>
  <c r="A70" i="24"/>
  <c r="D69" i="24"/>
  <c r="A69" i="24"/>
  <c r="D68" i="24"/>
  <c r="A68" i="24"/>
  <c r="D67" i="24"/>
  <c r="A67" i="24"/>
  <c r="D66" i="24"/>
  <c r="A66" i="24"/>
  <c r="D65" i="24"/>
  <c r="A65" i="24"/>
  <c r="D64" i="24"/>
  <c r="A64" i="24"/>
  <c r="D63" i="24"/>
  <c r="C63" i="24"/>
  <c r="A63" i="24"/>
  <c r="D62" i="24"/>
  <c r="A62" i="24"/>
  <c r="D61" i="24"/>
  <c r="A61" i="24"/>
  <c r="D60" i="24"/>
  <c r="A60" i="24"/>
  <c r="A59" i="24"/>
  <c r="D58" i="24"/>
  <c r="A58" i="24"/>
  <c r="A57" i="24"/>
  <c r="D56" i="24"/>
  <c r="A56" i="24"/>
  <c r="D55" i="24"/>
  <c r="A55" i="24"/>
  <c r="D54" i="24"/>
  <c r="A54" i="24"/>
  <c r="D53" i="24"/>
  <c r="A53" i="24"/>
  <c r="D52" i="24"/>
  <c r="A52" i="24"/>
  <c r="D51" i="24"/>
  <c r="A51" i="24"/>
  <c r="D50" i="24"/>
  <c r="A50" i="24"/>
  <c r="D49" i="24"/>
  <c r="A49" i="24"/>
  <c r="D48" i="24"/>
  <c r="A48" i="24"/>
  <c r="D47" i="24"/>
  <c r="A47" i="24"/>
  <c r="D46" i="24"/>
  <c r="A46" i="24"/>
  <c r="D45" i="24"/>
  <c r="A45" i="24"/>
  <c r="D44" i="24"/>
  <c r="A44" i="24"/>
  <c r="D43" i="24"/>
  <c r="A43" i="24"/>
  <c r="D42" i="24"/>
  <c r="A42" i="24"/>
  <c r="D41" i="24"/>
  <c r="A41" i="24"/>
  <c r="D40" i="24"/>
  <c r="A40" i="24"/>
  <c r="D39" i="24"/>
  <c r="A39" i="24"/>
  <c r="D38" i="24"/>
  <c r="A38" i="24"/>
  <c r="D37" i="24"/>
  <c r="A37" i="24"/>
  <c r="D36" i="24"/>
  <c r="C36" i="24" s="1"/>
  <c r="A36" i="24"/>
  <c r="D35" i="24"/>
  <c r="C35" i="24" s="1"/>
  <c r="A35" i="24"/>
  <c r="D34" i="24"/>
  <c r="A34" i="24"/>
  <c r="D33" i="24"/>
  <c r="A33" i="24"/>
  <c r="D32" i="24"/>
  <c r="A32" i="24"/>
  <c r="D31" i="24"/>
  <c r="A31" i="24"/>
  <c r="D30" i="24"/>
  <c r="A30" i="24"/>
  <c r="D29" i="24"/>
  <c r="A29" i="24"/>
  <c r="D28" i="24"/>
  <c r="A28" i="24"/>
  <c r="D27" i="24"/>
  <c r="A27" i="24"/>
  <c r="D26" i="24"/>
  <c r="A26" i="24"/>
  <c r="D25" i="24"/>
  <c r="A25" i="24"/>
  <c r="D24" i="24"/>
  <c r="A24" i="24"/>
  <c r="D23" i="24"/>
  <c r="A23" i="24"/>
  <c r="D22" i="24"/>
  <c r="A22" i="24"/>
  <c r="D21" i="24"/>
  <c r="A21" i="24"/>
  <c r="D20" i="24"/>
  <c r="A20" i="24"/>
  <c r="D19" i="24"/>
  <c r="A19" i="24"/>
  <c r="D18" i="24"/>
  <c r="C18" i="24"/>
  <c r="A18" i="24"/>
  <c r="D17" i="24"/>
  <c r="A17" i="24"/>
  <c r="D16" i="24"/>
  <c r="A16" i="24"/>
  <c r="D15" i="24"/>
  <c r="A15" i="24"/>
  <c r="D14" i="24"/>
  <c r="A14" i="24"/>
  <c r="D13" i="24"/>
  <c r="A13" i="24"/>
  <c r="D12" i="24"/>
  <c r="A12" i="24"/>
  <c r="D11" i="24"/>
  <c r="A11" i="24"/>
  <c r="D10" i="24"/>
  <c r="A10" i="24"/>
  <c r="D9" i="24"/>
  <c r="A9" i="24"/>
  <c r="D8" i="24"/>
  <c r="A8" i="24"/>
  <c r="D7" i="24"/>
  <c r="C7" i="24"/>
  <c r="A7" i="24"/>
  <c r="D6" i="24"/>
  <c r="A6" i="24"/>
  <c r="D5" i="24"/>
  <c r="A5" i="24"/>
  <c r="D4" i="24"/>
  <c r="A4" i="24"/>
  <c r="D3" i="24"/>
  <c r="A3" i="24"/>
  <c r="D105" i="23"/>
  <c r="A105" i="23"/>
  <c r="D104" i="23"/>
  <c r="A104" i="23"/>
  <c r="D103" i="23"/>
  <c r="A103" i="23"/>
  <c r="D102" i="23"/>
  <c r="A102" i="23"/>
  <c r="D101" i="23"/>
  <c r="A101" i="23"/>
  <c r="D100" i="23"/>
  <c r="A100" i="23"/>
  <c r="D99" i="23"/>
  <c r="A99" i="23"/>
  <c r="D98" i="23"/>
  <c r="A98" i="23"/>
  <c r="D97" i="23"/>
  <c r="A97" i="23"/>
  <c r="D96" i="23"/>
  <c r="A96" i="23"/>
  <c r="D95" i="23"/>
  <c r="A95" i="23"/>
  <c r="D94" i="23"/>
  <c r="A94" i="23"/>
  <c r="D93" i="23"/>
  <c r="A93" i="23"/>
  <c r="D92" i="23"/>
  <c r="A92" i="23"/>
  <c r="D91" i="23"/>
  <c r="A91" i="23"/>
  <c r="D90" i="23"/>
  <c r="A90" i="23"/>
  <c r="D89" i="23"/>
  <c r="A89" i="23"/>
  <c r="D88" i="23"/>
  <c r="A88" i="23"/>
  <c r="D87" i="23"/>
  <c r="A87" i="23"/>
  <c r="D86" i="23"/>
  <c r="A86" i="23"/>
  <c r="D85" i="23"/>
  <c r="A85" i="23"/>
  <c r="D84" i="23"/>
  <c r="A84" i="23"/>
  <c r="D83" i="23"/>
  <c r="A83" i="23"/>
  <c r="D82" i="23"/>
  <c r="A82" i="23"/>
  <c r="D81" i="23"/>
  <c r="A81" i="23"/>
  <c r="D80" i="23"/>
  <c r="A80" i="23"/>
  <c r="D79" i="23"/>
  <c r="A79" i="23"/>
  <c r="D78" i="23"/>
  <c r="A78" i="23"/>
  <c r="D77" i="23"/>
  <c r="A77" i="23"/>
  <c r="A76" i="23"/>
  <c r="D75" i="23"/>
  <c r="C75" i="23" s="1"/>
  <c r="A75" i="23"/>
  <c r="D74" i="23"/>
  <c r="C74" i="23" s="1"/>
  <c r="A74" i="23"/>
  <c r="D73" i="23"/>
  <c r="C73" i="23" s="1"/>
  <c r="A73" i="23"/>
  <c r="D72" i="23"/>
  <c r="C72" i="23" s="1"/>
  <c r="A72" i="23"/>
  <c r="D71" i="23"/>
  <c r="C71" i="23" s="1"/>
  <c r="A71" i="23"/>
  <c r="D70" i="23"/>
  <c r="A70" i="23"/>
  <c r="D69" i="23"/>
  <c r="A69" i="23"/>
  <c r="D68" i="23"/>
  <c r="A68" i="23"/>
  <c r="D67" i="23"/>
  <c r="A67" i="23"/>
  <c r="D66" i="23"/>
  <c r="A66" i="23"/>
  <c r="D65" i="23"/>
  <c r="A65" i="23"/>
  <c r="D64" i="23"/>
  <c r="A64" i="23"/>
  <c r="D63" i="23"/>
  <c r="C63" i="23"/>
  <c r="A63" i="23"/>
  <c r="D62" i="23"/>
  <c r="A62" i="23"/>
  <c r="D61" i="23"/>
  <c r="A61" i="23"/>
  <c r="D60" i="23"/>
  <c r="A60" i="23"/>
  <c r="A59" i="23"/>
  <c r="D58" i="23"/>
  <c r="A58" i="23"/>
  <c r="A57" i="23"/>
  <c r="D56" i="23"/>
  <c r="A56" i="23"/>
  <c r="D55" i="23"/>
  <c r="A55" i="23"/>
  <c r="D54" i="23"/>
  <c r="A54" i="23"/>
  <c r="D53" i="23"/>
  <c r="A53" i="23"/>
  <c r="D52" i="23"/>
  <c r="A52" i="23"/>
  <c r="D51" i="23"/>
  <c r="A51" i="23"/>
  <c r="D50" i="23"/>
  <c r="A50" i="23"/>
  <c r="D49" i="23"/>
  <c r="A49" i="23"/>
  <c r="D48" i="23"/>
  <c r="A48" i="23"/>
  <c r="D47" i="23"/>
  <c r="A47" i="23"/>
  <c r="D46" i="23"/>
  <c r="A46" i="23"/>
  <c r="D45" i="23"/>
  <c r="A45" i="23"/>
  <c r="D44" i="23"/>
  <c r="A44" i="23"/>
  <c r="D43" i="23"/>
  <c r="A43" i="23"/>
  <c r="D42" i="23"/>
  <c r="A42" i="23"/>
  <c r="D41" i="23"/>
  <c r="A41" i="23"/>
  <c r="D40" i="23"/>
  <c r="A40" i="23"/>
  <c r="D39" i="23"/>
  <c r="A39" i="23"/>
  <c r="D38" i="23"/>
  <c r="A38" i="23"/>
  <c r="D37" i="23"/>
  <c r="A37" i="23"/>
  <c r="D36" i="23"/>
  <c r="C36" i="23" s="1"/>
  <c r="A36" i="23"/>
  <c r="D35" i="23"/>
  <c r="C35" i="23" s="1"/>
  <c r="A35" i="23"/>
  <c r="D34" i="23"/>
  <c r="A34" i="23"/>
  <c r="D33" i="23"/>
  <c r="A33" i="23"/>
  <c r="D32" i="23"/>
  <c r="A32" i="23"/>
  <c r="D31" i="23"/>
  <c r="A31" i="23"/>
  <c r="D30" i="23"/>
  <c r="A30" i="23"/>
  <c r="D29" i="23"/>
  <c r="A29" i="23"/>
  <c r="D28" i="23"/>
  <c r="A28" i="23"/>
  <c r="D27" i="23"/>
  <c r="A27" i="23"/>
  <c r="D26" i="23"/>
  <c r="A26" i="23"/>
  <c r="D25" i="23"/>
  <c r="A25" i="23"/>
  <c r="D24" i="23"/>
  <c r="A24" i="23"/>
  <c r="D23" i="23"/>
  <c r="A23" i="23"/>
  <c r="D22" i="23"/>
  <c r="A22" i="23"/>
  <c r="D21" i="23"/>
  <c r="A21" i="23"/>
  <c r="D20" i="23"/>
  <c r="A20" i="23"/>
  <c r="D19" i="23"/>
  <c r="A19" i="23"/>
  <c r="D18" i="23"/>
  <c r="C18" i="23"/>
  <c r="A18" i="23"/>
  <c r="D17" i="23"/>
  <c r="A17" i="23"/>
  <c r="D16" i="23"/>
  <c r="A16" i="23"/>
  <c r="D15" i="23"/>
  <c r="A15" i="23"/>
  <c r="D14" i="23"/>
  <c r="A14" i="23"/>
  <c r="D13" i="23"/>
  <c r="A13" i="23"/>
  <c r="D12" i="23"/>
  <c r="A12" i="23"/>
  <c r="D11" i="23"/>
  <c r="A11" i="23"/>
  <c r="D10" i="23"/>
  <c r="A10" i="23"/>
  <c r="D9" i="23"/>
  <c r="A9" i="23"/>
  <c r="D8" i="23"/>
  <c r="A8" i="23"/>
  <c r="D7" i="23"/>
  <c r="C7" i="23"/>
  <c r="A7" i="23"/>
  <c r="D6" i="23"/>
  <c r="A6" i="23"/>
  <c r="D5" i="23"/>
  <c r="A5" i="23"/>
  <c r="D4" i="23"/>
  <c r="A4" i="23"/>
  <c r="D3" i="23"/>
  <c r="A3" i="23"/>
  <c r="D105" i="22"/>
  <c r="A105" i="22"/>
  <c r="D104" i="22"/>
  <c r="A104" i="22"/>
  <c r="D103" i="22"/>
  <c r="A103" i="22"/>
  <c r="D102" i="22"/>
  <c r="A102" i="22"/>
  <c r="D101" i="22"/>
  <c r="A101" i="22"/>
  <c r="D100" i="22"/>
  <c r="A100" i="22"/>
  <c r="D99" i="22"/>
  <c r="A99" i="22"/>
  <c r="D98" i="22"/>
  <c r="A98" i="22"/>
  <c r="D97" i="22"/>
  <c r="A97" i="22"/>
  <c r="D96" i="22"/>
  <c r="A96" i="22"/>
  <c r="D95" i="22"/>
  <c r="A95" i="22"/>
  <c r="D94" i="22"/>
  <c r="A94" i="22"/>
  <c r="D93" i="22"/>
  <c r="A93" i="22"/>
  <c r="D92" i="22"/>
  <c r="A92" i="22"/>
  <c r="D91" i="22"/>
  <c r="A91" i="22"/>
  <c r="D90" i="22"/>
  <c r="A90" i="22"/>
  <c r="D89" i="22"/>
  <c r="A89" i="22"/>
  <c r="D88" i="22"/>
  <c r="A88" i="22"/>
  <c r="D87" i="22"/>
  <c r="A87" i="22"/>
  <c r="D86" i="22"/>
  <c r="A86" i="22"/>
  <c r="D85" i="22"/>
  <c r="A85" i="22"/>
  <c r="D84" i="22"/>
  <c r="A84" i="22"/>
  <c r="D83" i="22"/>
  <c r="A83" i="22"/>
  <c r="D82" i="22"/>
  <c r="A82" i="22"/>
  <c r="D81" i="22"/>
  <c r="A81" i="22"/>
  <c r="D80" i="22"/>
  <c r="A80" i="22"/>
  <c r="D79" i="22"/>
  <c r="A79" i="22"/>
  <c r="D78" i="22"/>
  <c r="A78" i="22"/>
  <c r="D77" i="22"/>
  <c r="A77" i="22"/>
  <c r="A76" i="22"/>
  <c r="D75" i="22"/>
  <c r="C75" i="22" s="1"/>
  <c r="A75" i="22"/>
  <c r="D74" i="22"/>
  <c r="C74" i="22" s="1"/>
  <c r="A74" i="22"/>
  <c r="D73" i="22"/>
  <c r="C73" i="22" s="1"/>
  <c r="A73" i="22"/>
  <c r="D72" i="22"/>
  <c r="C72" i="22" s="1"/>
  <c r="A72" i="22"/>
  <c r="D71" i="22"/>
  <c r="C71" i="22" s="1"/>
  <c r="A71" i="22"/>
  <c r="D70" i="22"/>
  <c r="A70" i="22"/>
  <c r="D69" i="22"/>
  <c r="A69" i="22"/>
  <c r="D68" i="22"/>
  <c r="A68" i="22"/>
  <c r="D67" i="22"/>
  <c r="A67" i="22"/>
  <c r="D66" i="22"/>
  <c r="A66" i="22"/>
  <c r="D65" i="22"/>
  <c r="A65" i="22"/>
  <c r="D64" i="22"/>
  <c r="A64" i="22"/>
  <c r="D63" i="22"/>
  <c r="C63" i="22"/>
  <c r="A63" i="22"/>
  <c r="D62" i="22"/>
  <c r="A62" i="22"/>
  <c r="D61" i="22"/>
  <c r="A61" i="22"/>
  <c r="D60" i="22"/>
  <c r="A60" i="22"/>
  <c r="A59" i="22"/>
  <c r="D58" i="22"/>
  <c r="A58" i="22"/>
  <c r="A57" i="22"/>
  <c r="D56" i="22"/>
  <c r="A56" i="22"/>
  <c r="D55" i="22"/>
  <c r="A55" i="22"/>
  <c r="D54" i="22"/>
  <c r="A54" i="22"/>
  <c r="D53" i="22"/>
  <c r="A53" i="22"/>
  <c r="D52" i="22"/>
  <c r="A52" i="22"/>
  <c r="D51" i="22"/>
  <c r="A51" i="22"/>
  <c r="D50" i="22"/>
  <c r="A50" i="22"/>
  <c r="D49" i="22"/>
  <c r="A49" i="22"/>
  <c r="D48" i="22"/>
  <c r="A48" i="22"/>
  <c r="D47" i="22"/>
  <c r="A47" i="22"/>
  <c r="D46" i="22"/>
  <c r="A46" i="22"/>
  <c r="D45" i="22"/>
  <c r="A45" i="22"/>
  <c r="D44" i="22"/>
  <c r="A44" i="22"/>
  <c r="D43" i="22"/>
  <c r="A43" i="22"/>
  <c r="D42" i="22"/>
  <c r="A42" i="22"/>
  <c r="D41" i="22"/>
  <c r="A41" i="22"/>
  <c r="D40" i="22"/>
  <c r="A40" i="22"/>
  <c r="D39" i="22"/>
  <c r="A39" i="22"/>
  <c r="D38" i="22"/>
  <c r="A38" i="22"/>
  <c r="D37" i="22"/>
  <c r="A37" i="22"/>
  <c r="D36" i="22"/>
  <c r="C36" i="22" s="1"/>
  <c r="A36" i="22"/>
  <c r="D35" i="22"/>
  <c r="C35" i="22" s="1"/>
  <c r="A35" i="22"/>
  <c r="D34" i="22"/>
  <c r="A34" i="22"/>
  <c r="D33" i="22"/>
  <c r="A33" i="22"/>
  <c r="D32" i="22"/>
  <c r="A32" i="22"/>
  <c r="D31" i="22"/>
  <c r="A31" i="22"/>
  <c r="D30" i="22"/>
  <c r="A30" i="22"/>
  <c r="D29" i="22"/>
  <c r="A29" i="22"/>
  <c r="D28" i="22"/>
  <c r="A28" i="22"/>
  <c r="D27" i="22"/>
  <c r="A27" i="22"/>
  <c r="D26" i="22"/>
  <c r="A26" i="22"/>
  <c r="D25" i="22"/>
  <c r="A25" i="22"/>
  <c r="D24" i="22"/>
  <c r="A24" i="22"/>
  <c r="D23" i="22"/>
  <c r="A23" i="22"/>
  <c r="D22" i="22"/>
  <c r="A22" i="22"/>
  <c r="D21" i="22"/>
  <c r="A21" i="22"/>
  <c r="D20" i="22"/>
  <c r="A20" i="22"/>
  <c r="D19" i="22"/>
  <c r="A19" i="22"/>
  <c r="D18" i="22"/>
  <c r="C18" i="22"/>
  <c r="A18" i="22"/>
  <c r="D17" i="22"/>
  <c r="A17" i="22"/>
  <c r="D16" i="22"/>
  <c r="A16" i="22"/>
  <c r="D15" i="22"/>
  <c r="A15" i="22"/>
  <c r="D14" i="22"/>
  <c r="A14" i="22"/>
  <c r="D13" i="22"/>
  <c r="A13" i="22"/>
  <c r="D12" i="22"/>
  <c r="A12" i="22"/>
  <c r="D11" i="22"/>
  <c r="A11" i="22"/>
  <c r="D10" i="22"/>
  <c r="A10" i="22"/>
  <c r="D9" i="22"/>
  <c r="A9" i="22"/>
  <c r="D8" i="22"/>
  <c r="A8" i="22"/>
  <c r="D7" i="22"/>
  <c r="C7" i="22"/>
  <c r="A7" i="22"/>
  <c r="D6" i="22"/>
  <c r="A6" i="22"/>
  <c r="D5" i="22"/>
  <c r="A5" i="22"/>
  <c r="D4" i="22"/>
  <c r="A4" i="22"/>
  <c r="D3" i="22"/>
  <c r="A3" i="22"/>
  <c r="D105" i="21"/>
  <c r="A105" i="21"/>
  <c r="D104" i="21"/>
  <c r="A104" i="21"/>
  <c r="D103" i="21"/>
  <c r="A103" i="21"/>
  <c r="D102" i="21"/>
  <c r="A102" i="21"/>
  <c r="D101" i="21"/>
  <c r="A101" i="21"/>
  <c r="D100" i="21"/>
  <c r="A100" i="21"/>
  <c r="D99" i="21"/>
  <c r="A99" i="21"/>
  <c r="D98" i="21"/>
  <c r="A98" i="21"/>
  <c r="D97" i="21"/>
  <c r="A97" i="21"/>
  <c r="D96" i="21"/>
  <c r="A96" i="21"/>
  <c r="D95" i="21"/>
  <c r="A95" i="21"/>
  <c r="D94" i="21"/>
  <c r="A94" i="21"/>
  <c r="D93" i="21"/>
  <c r="A93" i="21"/>
  <c r="D92" i="21"/>
  <c r="A92" i="21"/>
  <c r="D91" i="21"/>
  <c r="A91" i="21"/>
  <c r="D90" i="21"/>
  <c r="A90" i="21"/>
  <c r="D89" i="21"/>
  <c r="A89" i="21"/>
  <c r="D88" i="21"/>
  <c r="A88" i="21"/>
  <c r="D87" i="21"/>
  <c r="A87" i="21"/>
  <c r="D86" i="21"/>
  <c r="A86" i="21"/>
  <c r="D85" i="21"/>
  <c r="A85" i="21"/>
  <c r="D84" i="21"/>
  <c r="A84" i="21"/>
  <c r="D83" i="21"/>
  <c r="A83" i="21"/>
  <c r="D82" i="21"/>
  <c r="A82" i="21"/>
  <c r="D81" i="21"/>
  <c r="A81" i="21"/>
  <c r="D80" i="21"/>
  <c r="A80" i="21"/>
  <c r="D79" i="21"/>
  <c r="A79" i="21"/>
  <c r="D78" i="21"/>
  <c r="A78" i="21"/>
  <c r="D77" i="21"/>
  <c r="A77" i="21"/>
  <c r="A76" i="21"/>
  <c r="D75" i="21"/>
  <c r="C75" i="21" s="1"/>
  <c r="A75" i="21"/>
  <c r="D74" i="21"/>
  <c r="C74" i="21" s="1"/>
  <c r="A74" i="21"/>
  <c r="D73" i="21"/>
  <c r="C73" i="21" s="1"/>
  <c r="A73" i="21"/>
  <c r="D72" i="21"/>
  <c r="C72" i="21" s="1"/>
  <c r="A72" i="21"/>
  <c r="D71" i="21"/>
  <c r="C71" i="21" s="1"/>
  <c r="A71" i="21"/>
  <c r="D70" i="21"/>
  <c r="A70" i="21"/>
  <c r="D69" i="21"/>
  <c r="A69" i="21"/>
  <c r="D68" i="21"/>
  <c r="A68" i="21"/>
  <c r="D67" i="21"/>
  <c r="A67" i="21"/>
  <c r="D66" i="21"/>
  <c r="A66" i="21"/>
  <c r="D65" i="21"/>
  <c r="A65" i="21"/>
  <c r="D64" i="21"/>
  <c r="A64" i="21"/>
  <c r="D63" i="21"/>
  <c r="C63" i="21"/>
  <c r="A63" i="21"/>
  <c r="D62" i="21"/>
  <c r="A62" i="21"/>
  <c r="D61" i="21"/>
  <c r="A61" i="21"/>
  <c r="D60" i="21"/>
  <c r="A60" i="21"/>
  <c r="A59" i="21"/>
  <c r="D58" i="21"/>
  <c r="A58" i="21"/>
  <c r="A57" i="21"/>
  <c r="D56" i="21"/>
  <c r="A56" i="21"/>
  <c r="D55" i="21"/>
  <c r="A55" i="21"/>
  <c r="D54" i="21"/>
  <c r="A54" i="21"/>
  <c r="D53" i="21"/>
  <c r="A53" i="21"/>
  <c r="D52" i="21"/>
  <c r="A52" i="21"/>
  <c r="D51" i="21"/>
  <c r="A51" i="21"/>
  <c r="D50" i="21"/>
  <c r="A50" i="21"/>
  <c r="D49" i="21"/>
  <c r="A49" i="21"/>
  <c r="D48" i="21"/>
  <c r="A48" i="21"/>
  <c r="D47" i="21"/>
  <c r="A47" i="21"/>
  <c r="D46" i="21"/>
  <c r="A46" i="21"/>
  <c r="D45" i="21"/>
  <c r="A45" i="21"/>
  <c r="D44" i="21"/>
  <c r="A44" i="21"/>
  <c r="D43" i="21"/>
  <c r="A43" i="21"/>
  <c r="D42" i="21"/>
  <c r="A42" i="21"/>
  <c r="D41" i="21"/>
  <c r="A41" i="21"/>
  <c r="D40" i="21"/>
  <c r="A40" i="21"/>
  <c r="D39" i="21"/>
  <c r="A39" i="21"/>
  <c r="D38" i="21"/>
  <c r="A38" i="21"/>
  <c r="D37" i="21"/>
  <c r="A37" i="21"/>
  <c r="D36" i="21"/>
  <c r="C36" i="21" s="1"/>
  <c r="A36" i="21"/>
  <c r="D35" i="21"/>
  <c r="C35" i="21" s="1"/>
  <c r="A35" i="21"/>
  <c r="D34" i="21"/>
  <c r="A34" i="21"/>
  <c r="D33" i="21"/>
  <c r="A33" i="21"/>
  <c r="D32" i="21"/>
  <c r="A32" i="21"/>
  <c r="D31" i="21"/>
  <c r="A31" i="21"/>
  <c r="D30" i="21"/>
  <c r="A30" i="21"/>
  <c r="D29" i="21"/>
  <c r="A29" i="21"/>
  <c r="D28" i="21"/>
  <c r="A28" i="21"/>
  <c r="D27" i="21"/>
  <c r="A27" i="21"/>
  <c r="D26" i="21"/>
  <c r="A26" i="21"/>
  <c r="D25" i="21"/>
  <c r="A25" i="21"/>
  <c r="D24" i="21"/>
  <c r="A24" i="21"/>
  <c r="D23" i="21"/>
  <c r="A23" i="21"/>
  <c r="D22" i="21"/>
  <c r="A22" i="21"/>
  <c r="D21" i="21"/>
  <c r="A21" i="21"/>
  <c r="D20" i="21"/>
  <c r="A20" i="21"/>
  <c r="D19" i="21"/>
  <c r="A19" i="21"/>
  <c r="D18" i="21"/>
  <c r="C18" i="21"/>
  <c r="A18" i="21"/>
  <c r="D17" i="21"/>
  <c r="A17" i="21"/>
  <c r="D16" i="21"/>
  <c r="A16" i="21"/>
  <c r="D15" i="21"/>
  <c r="A15" i="21"/>
  <c r="D14" i="21"/>
  <c r="A14" i="21"/>
  <c r="D13" i="21"/>
  <c r="A13" i="21"/>
  <c r="D12" i="21"/>
  <c r="A12" i="21"/>
  <c r="D11" i="21"/>
  <c r="A11" i="21"/>
  <c r="D10" i="21"/>
  <c r="A10" i="21"/>
  <c r="D9" i="21"/>
  <c r="A9" i="21"/>
  <c r="D8" i="21"/>
  <c r="A8" i="21"/>
  <c r="D7" i="21"/>
  <c r="C7" i="21"/>
  <c r="A7" i="21"/>
  <c r="D6" i="21"/>
  <c r="A6" i="21"/>
  <c r="D5" i="21"/>
  <c r="A5" i="21"/>
  <c r="D4" i="21"/>
  <c r="A4" i="21"/>
  <c r="D3" i="21"/>
  <c r="A3" i="21"/>
  <c r="D105" i="20"/>
  <c r="A105" i="20"/>
  <c r="D104" i="20"/>
  <c r="A104" i="20"/>
  <c r="D103" i="20"/>
  <c r="A103" i="20"/>
  <c r="D102" i="20"/>
  <c r="A102" i="20"/>
  <c r="D101" i="20"/>
  <c r="A101" i="20"/>
  <c r="D100" i="20"/>
  <c r="A100" i="20"/>
  <c r="D99" i="20"/>
  <c r="A99" i="20"/>
  <c r="D98" i="20"/>
  <c r="A98" i="20"/>
  <c r="D97" i="20"/>
  <c r="A97" i="20"/>
  <c r="D96" i="20"/>
  <c r="A96" i="20"/>
  <c r="D95" i="20"/>
  <c r="A95" i="20"/>
  <c r="D94" i="20"/>
  <c r="A94" i="20"/>
  <c r="D93" i="20"/>
  <c r="A93" i="20"/>
  <c r="D92" i="20"/>
  <c r="A92" i="20"/>
  <c r="D91" i="20"/>
  <c r="A91" i="20"/>
  <c r="D90" i="20"/>
  <c r="A90" i="20"/>
  <c r="D89" i="20"/>
  <c r="A89" i="20"/>
  <c r="D88" i="20"/>
  <c r="A88" i="20"/>
  <c r="D87" i="20"/>
  <c r="A87" i="20"/>
  <c r="D86" i="20"/>
  <c r="A86" i="20"/>
  <c r="D85" i="20"/>
  <c r="A85" i="20"/>
  <c r="D84" i="20"/>
  <c r="A84" i="20"/>
  <c r="D83" i="20"/>
  <c r="A83" i="20"/>
  <c r="D82" i="20"/>
  <c r="A82" i="20"/>
  <c r="D81" i="20"/>
  <c r="A81" i="20"/>
  <c r="D80" i="20"/>
  <c r="A80" i="20"/>
  <c r="D79" i="20"/>
  <c r="A79" i="20"/>
  <c r="D78" i="20"/>
  <c r="A78" i="20"/>
  <c r="D77" i="20"/>
  <c r="A77" i="20"/>
  <c r="A76" i="20"/>
  <c r="D75" i="20"/>
  <c r="C75" i="20" s="1"/>
  <c r="A75" i="20"/>
  <c r="D74" i="20"/>
  <c r="C74" i="20" s="1"/>
  <c r="A74" i="20"/>
  <c r="D73" i="20"/>
  <c r="C73" i="20" s="1"/>
  <c r="A73" i="20"/>
  <c r="D72" i="20"/>
  <c r="C72" i="20" s="1"/>
  <c r="A72" i="20"/>
  <c r="D71" i="20"/>
  <c r="C71" i="20" s="1"/>
  <c r="A71" i="20"/>
  <c r="D70" i="20"/>
  <c r="A70" i="20"/>
  <c r="D69" i="20"/>
  <c r="A69" i="20"/>
  <c r="D68" i="20"/>
  <c r="A68" i="20"/>
  <c r="D67" i="20"/>
  <c r="A67" i="20"/>
  <c r="D66" i="20"/>
  <c r="A66" i="20"/>
  <c r="D65" i="20"/>
  <c r="A65" i="20"/>
  <c r="D64" i="20"/>
  <c r="A64" i="20"/>
  <c r="D63" i="20"/>
  <c r="C63" i="20"/>
  <c r="A63" i="20"/>
  <c r="D62" i="20"/>
  <c r="A62" i="20"/>
  <c r="D61" i="20"/>
  <c r="A61" i="20"/>
  <c r="D60" i="20"/>
  <c r="A60" i="20"/>
  <c r="A59" i="20"/>
  <c r="D58" i="20"/>
  <c r="A58" i="20"/>
  <c r="A57" i="20"/>
  <c r="D56" i="20"/>
  <c r="A56" i="20"/>
  <c r="D55" i="20"/>
  <c r="A55" i="20"/>
  <c r="D54" i="20"/>
  <c r="A54" i="20"/>
  <c r="D53" i="20"/>
  <c r="A53" i="20"/>
  <c r="D52" i="20"/>
  <c r="A52" i="20"/>
  <c r="D51" i="20"/>
  <c r="A51" i="20"/>
  <c r="D50" i="20"/>
  <c r="A50" i="20"/>
  <c r="D49" i="20"/>
  <c r="A49" i="20"/>
  <c r="D48" i="20"/>
  <c r="A48" i="20"/>
  <c r="D47" i="20"/>
  <c r="A47" i="20"/>
  <c r="D46" i="20"/>
  <c r="A46" i="20"/>
  <c r="D45" i="20"/>
  <c r="A45" i="20"/>
  <c r="D44" i="20"/>
  <c r="A44" i="20"/>
  <c r="D43" i="20"/>
  <c r="A43" i="20"/>
  <c r="D42" i="20"/>
  <c r="A42" i="20"/>
  <c r="D41" i="20"/>
  <c r="A41" i="20"/>
  <c r="D40" i="20"/>
  <c r="A40" i="20"/>
  <c r="D39" i="20"/>
  <c r="A39" i="20"/>
  <c r="D38" i="20"/>
  <c r="A38" i="20"/>
  <c r="D37" i="20"/>
  <c r="A37" i="20"/>
  <c r="D36" i="20"/>
  <c r="C36" i="20" s="1"/>
  <c r="A36" i="20"/>
  <c r="D35" i="20"/>
  <c r="C35" i="20" s="1"/>
  <c r="A35" i="20"/>
  <c r="D34" i="20"/>
  <c r="A34" i="20"/>
  <c r="D33" i="20"/>
  <c r="A33" i="20"/>
  <c r="D32" i="20"/>
  <c r="A32" i="20"/>
  <c r="D31" i="20"/>
  <c r="A31" i="20"/>
  <c r="D30" i="20"/>
  <c r="A30" i="20"/>
  <c r="D29" i="20"/>
  <c r="A29" i="20"/>
  <c r="D28" i="20"/>
  <c r="A28" i="20"/>
  <c r="D27" i="20"/>
  <c r="A27" i="20"/>
  <c r="D26" i="20"/>
  <c r="A26" i="20"/>
  <c r="D25" i="20"/>
  <c r="A25" i="20"/>
  <c r="D24" i="20"/>
  <c r="A24" i="20"/>
  <c r="D23" i="20"/>
  <c r="A23" i="20"/>
  <c r="D22" i="20"/>
  <c r="A22" i="20"/>
  <c r="D21" i="20"/>
  <c r="A21" i="20"/>
  <c r="D20" i="20"/>
  <c r="A20" i="20"/>
  <c r="D19" i="20"/>
  <c r="A19" i="20"/>
  <c r="D18" i="20"/>
  <c r="C18" i="20"/>
  <c r="A18" i="20"/>
  <c r="D17" i="20"/>
  <c r="A17" i="20"/>
  <c r="D16" i="20"/>
  <c r="A16" i="20"/>
  <c r="D15" i="20"/>
  <c r="A15" i="20"/>
  <c r="D14" i="20"/>
  <c r="A14" i="20"/>
  <c r="D13" i="20"/>
  <c r="A13" i="20"/>
  <c r="D12" i="20"/>
  <c r="A12" i="20"/>
  <c r="D11" i="20"/>
  <c r="A11" i="20"/>
  <c r="D10" i="20"/>
  <c r="A10" i="20"/>
  <c r="D9" i="20"/>
  <c r="A9" i="20"/>
  <c r="D8" i="20"/>
  <c r="A8" i="20"/>
  <c r="D7" i="20"/>
  <c r="C7" i="20"/>
  <c r="A7" i="20"/>
  <c r="D6" i="20"/>
  <c r="A6" i="20"/>
  <c r="D5" i="20"/>
  <c r="A5" i="20"/>
  <c r="D4" i="20"/>
  <c r="A4" i="20"/>
  <c r="D3" i="20"/>
  <c r="A3" i="20"/>
  <c r="D105" i="19"/>
  <c r="A105" i="19"/>
  <c r="D104" i="19"/>
  <c r="A104" i="19"/>
  <c r="D103" i="19"/>
  <c r="A103" i="19"/>
  <c r="D102" i="19"/>
  <c r="A102" i="19"/>
  <c r="D101" i="19"/>
  <c r="A101" i="19"/>
  <c r="D100" i="19"/>
  <c r="A100" i="19"/>
  <c r="D99" i="19"/>
  <c r="A99" i="19"/>
  <c r="D98" i="19"/>
  <c r="A98" i="19"/>
  <c r="D97" i="19"/>
  <c r="A97" i="19"/>
  <c r="D96" i="19"/>
  <c r="A96" i="19"/>
  <c r="D95" i="19"/>
  <c r="A95" i="19"/>
  <c r="D94" i="19"/>
  <c r="A94" i="19"/>
  <c r="D93" i="19"/>
  <c r="A93" i="19"/>
  <c r="D92" i="19"/>
  <c r="A92" i="19"/>
  <c r="D91" i="19"/>
  <c r="A91" i="19"/>
  <c r="D90" i="19"/>
  <c r="A90" i="19"/>
  <c r="D89" i="19"/>
  <c r="A89" i="19"/>
  <c r="D88" i="19"/>
  <c r="A88" i="19"/>
  <c r="D87" i="19"/>
  <c r="A87" i="19"/>
  <c r="D86" i="19"/>
  <c r="A86" i="19"/>
  <c r="D85" i="19"/>
  <c r="A85" i="19"/>
  <c r="D84" i="19"/>
  <c r="A84" i="19"/>
  <c r="D83" i="19"/>
  <c r="A83" i="19"/>
  <c r="D82" i="19"/>
  <c r="A82" i="19"/>
  <c r="D81" i="19"/>
  <c r="A81" i="19"/>
  <c r="D80" i="19"/>
  <c r="A80" i="19"/>
  <c r="D79" i="19"/>
  <c r="A79" i="19"/>
  <c r="D78" i="19"/>
  <c r="A78" i="19"/>
  <c r="D77" i="19"/>
  <c r="A77" i="19"/>
  <c r="A76" i="19"/>
  <c r="D75" i="19"/>
  <c r="C75" i="19" s="1"/>
  <c r="A75" i="19"/>
  <c r="D74" i="19"/>
  <c r="C74" i="19" s="1"/>
  <c r="A74" i="19"/>
  <c r="D73" i="19"/>
  <c r="C73" i="19" s="1"/>
  <c r="A73" i="19"/>
  <c r="D72" i="19"/>
  <c r="C72" i="19" s="1"/>
  <c r="A72" i="19"/>
  <c r="D71" i="19"/>
  <c r="C71" i="19" s="1"/>
  <c r="A71" i="19"/>
  <c r="D70" i="19"/>
  <c r="A70" i="19"/>
  <c r="D69" i="19"/>
  <c r="A69" i="19"/>
  <c r="D68" i="19"/>
  <c r="A68" i="19"/>
  <c r="D67" i="19"/>
  <c r="A67" i="19"/>
  <c r="D66" i="19"/>
  <c r="A66" i="19"/>
  <c r="D65" i="19"/>
  <c r="A65" i="19"/>
  <c r="D64" i="19"/>
  <c r="A64" i="19"/>
  <c r="D63" i="19"/>
  <c r="C63" i="19"/>
  <c r="A63" i="19"/>
  <c r="D62" i="19"/>
  <c r="A62" i="19"/>
  <c r="D61" i="19"/>
  <c r="A61" i="19"/>
  <c r="D60" i="19"/>
  <c r="A60" i="19"/>
  <c r="A59" i="19"/>
  <c r="D58" i="19"/>
  <c r="A58" i="19"/>
  <c r="A57" i="19"/>
  <c r="D56" i="19"/>
  <c r="A56" i="19"/>
  <c r="D55" i="19"/>
  <c r="A55" i="19"/>
  <c r="D54" i="19"/>
  <c r="A54" i="19"/>
  <c r="D53" i="19"/>
  <c r="A53" i="19"/>
  <c r="D52" i="19"/>
  <c r="A52" i="19"/>
  <c r="D51" i="19"/>
  <c r="A51" i="19"/>
  <c r="D50" i="19"/>
  <c r="A50" i="19"/>
  <c r="D49" i="19"/>
  <c r="A49" i="19"/>
  <c r="D48" i="19"/>
  <c r="A48" i="19"/>
  <c r="D47" i="19"/>
  <c r="A47" i="19"/>
  <c r="D46" i="19"/>
  <c r="A46" i="19"/>
  <c r="D45" i="19"/>
  <c r="A45" i="19"/>
  <c r="D44" i="19"/>
  <c r="A44" i="19"/>
  <c r="D43" i="19"/>
  <c r="A43" i="19"/>
  <c r="D42" i="19"/>
  <c r="A42" i="19"/>
  <c r="D41" i="19"/>
  <c r="A41" i="19"/>
  <c r="D40" i="19"/>
  <c r="A40" i="19"/>
  <c r="D39" i="19"/>
  <c r="A39" i="19"/>
  <c r="D38" i="19"/>
  <c r="A38" i="19"/>
  <c r="D37" i="19"/>
  <c r="A37" i="19"/>
  <c r="D36" i="19"/>
  <c r="C36" i="19" s="1"/>
  <c r="A36" i="19"/>
  <c r="D35" i="19"/>
  <c r="C35" i="19" s="1"/>
  <c r="A35" i="19"/>
  <c r="D34" i="19"/>
  <c r="A34" i="19"/>
  <c r="D33" i="19"/>
  <c r="A33" i="19"/>
  <c r="D32" i="19"/>
  <c r="A32" i="19"/>
  <c r="D31" i="19"/>
  <c r="A31" i="19"/>
  <c r="D30" i="19"/>
  <c r="A30" i="19"/>
  <c r="D29" i="19"/>
  <c r="A29" i="19"/>
  <c r="D28" i="19"/>
  <c r="A28" i="19"/>
  <c r="D27" i="19"/>
  <c r="A27" i="19"/>
  <c r="D26" i="19"/>
  <c r="A26" i="19"/>
  <c r="D25" i="19"/>
  <c r="A25" i="19"/>
  <c r="D24" i="19"/>
  <c r="A24" i="19"/>
  <c r="D23" i="19"/>
  <c r="A23" i="19"/>
  <c r="D22" i="19"/>
  <c r="A22" i="19"/>
  <c r="D21" i="19"/>
  <c r="A21" i="19"/>
  <c r="D20" i="19"/>
  <c r="A20" i="19"/>
  <c r="D19" i="19"/>
  <c r="A19" i="19"/>
  <c r="D18" i="19"/>
  <c r="C18" i="19"/>
  <c r="A18" i="19"/>
  <c r="D17" i="19"/>
  <c r="A17" i="19"/>
  <c r="D16" i="19"/>
  <c r="A16" i="19"/>
  <c r="D15" i="19"/>
  <c r="A15" i="19"/>
  <c r="D14" i="19"/>
  <c r="A14" i="19"/>
  <c r="D13" i="19"/>
  <c r="A13" i="19"/>
  <c r="D12" i="19"/>
  <c r="A12" i="19"/>
  <c r="D11" i="19"/>
  <c r="A11" i="19"/>
  <c r="D10" i="19"/>
  <c r="A10" i="19"/>
  <c r="D9" i="19"/>
  <c r="A9" i="19"/>
  <c r="D8" i="19"/>
  <c r="A8" i="19"/>
  <c r="D7" i="19"/>
  <c r="C7" i="19"/>
  <c r="A7" i="19"/>
  <c r="D6" i="19"/>
  <c r="A6" i="19"/>
  <c r="D5" i="19"/>
  <c r="A5" i="19"/>
  <c r="D4" i="19"/>
  <c r="A4" i="19"/>
  <c r="D3" i="19"/>
  <c r="A3" i="19"/>
  <c r="D105" i="18"/>
  <c r="A105" i="18"/>
  <c r="D104" i="18"/>
  <c r="A104" i="18"/>
  <c r="D103" i="18"/>
  <c r="A103" i="18"/>
  <c r="D102" i="18"/>
  <c r="A102" i="18"/>
  <c r="D101" i="18"/>
  <c r="A101" i="18"/>
  <c r="D100" i="18"/>
  <c r="A100" i="18"/>
  <c r="D99" i="18"/>
  <c r="A99" i="18"/>
  <c r="D98" i="18"/>
  <c r="A98" i="18"/>
  <c r="D97" i="18"/>
  <c r="A97" i="18"/>
  <c r="D96" i="18"/>
  <c r="A96" i="18"/>
  <c r="D95" i="18"/>
  <c r="A95" i="18"/>
  <c r="D94" i="18"/>
  <c r="A94" i="18"/>
  <c r="D93" i="18"/>
  <c r="A93" i="18"/>
  <c r="D92" i="18"/>
  <c r="A92" i="18"/>
  <c r="D91" i="18"/>
  <c r="A91" i="18"/>
  <c r="D90" i="18"/>
  <c r="A90" i="18"/>
  <c r="D89" i="18"/>
  <c r="A89" i="18"/>
  <c r="D88" i="18"/>
  <c r="A88" i="18"/>
  <c r="D87" i="18"/>
  <c r="A87" i="18"/>
  <c r="D86" i="18"/>
  <c r="A86" i="18"/>
  <c r="D85" i="18"/>
  <c r="A85" i="18"/>
  <c r="D84" i="18"/>
  <c r="A84" i="18"/>
  <c r="D83" i="18"/>
  <c r="A83" i="18"/>
  <c r="D82" i="18"/>
  <c r="A82" i="18"/>
  <c r="D81" i="18"/>
  <c r="A81" i="18"/>
  <c r="D80" i="18"/>
  <c r="A80" i="18"/>
  <c r="D79" i="18"/>
  <c r="A79" i="18"/>
  <c r="D78" i="18"/>
  <c r="A78" i="18"/>
  <c r="D77" i="18"/>
  <c r="A77" i="18"/>
  <c r="A76" i="18"/>
  <c r="D75" i="18"/>
  <c r="C75" i="18" s="1"/>
  <c r="A75" i="18"/>
  <c r="D74" i="18"/>
  <c r="C74" i="18" s="1"/>
  <c r="A74" i="18"/>
  <c r="D73" i="18"/>
  <c r="C73" i="18" s="1"/>
  <c r="A73" i="18"/>
  <c r="D72" i="18"/>
  <c r="C72" i="18" s="1"/>
  <c r="A72" i="18"/>
  <c r="D71" i="18"/>
  <c r="C71" i="18" s="1"/>
  <c r="A71" i="18"/>
  <c r="D70" i="18"/>
  <c r="A70" i="18"/>
  <c r="D69" i="18"/>
  <c r="A69" i="18"/>
  <c r="D68" i="18"/>
  <c r="A68" i="18"/>
  <c r="D67" i="18"/>
  <c r="A67" i="18"/>
  <c r="D66" i="18"/>
  <c r="A66" i="18"/>
  <c r="D65" i="18"/>
  <c r="A65" i="18"/>
  <c r="D64" i="18"/>
  <c r="A64" i="18"/>
  <c r="D63" i="18"/>
  <c r="C63" i="18"/>
  <c r="A63" i="18"/>
  <c r="D62" i="18"/>
  <c r="A62" i="18"/>
  <c r="D61" i="18"/>
  <c r="A61" i="18"/>
  <c r="D60" i="18"/>
  <c r="A60" i="18"/>
  <c r="A59" i="18"/>
  <c r="D58" i="18"/>
  <c r="A58" i="18"/>
  <c r="A57" i="18"/>
  <c r="D56" i="18"/>
  <c r="A56" i="18"/>
  <c r="D55" i="18"/>
  <c r="A55" i="18"/>
  <c r="D54" i="18"/>
  <c r="A54" i="18"/>
  <c r="D53" i="18"/>
  <c r="A53" i="18"/>
  <c r="D52" i="18"/>
  <c r="A52" i="18"/>
  <c r="D51" i="18"/>
  <c r="A51" i="18"/>
  <c r="D50" i="18"/>
  <c r="A50" i="18"/>
  <c r="D49" i="18"/>
  <c r="A49" i="18"/>
  <c r="D48" i="18"/>
  <c r="A48" i="18"/>
  <c r="D47" i="18"/>
  <c r="A47" i="18"/>
  <c r="D46" i="18"/>
  <c r="A46" i="18"/>
  <c r="D45" i="18"/>
  <c r="A45" i="18"/>
  <c r="D44" i="18"/>
  <c r="A44" i="18"/>
  <c r="D43" i="18"/>
  <c r="A43" i="18"/>
  <c r="D42" i="18"/>
  <c r="A42" i="18"/>
  <c r="D41" i="18"/>
  <c r="A41" i="18"/>
  <c r="D40" i="18"/>
  <c r="A40" i="18"/>
  <c r="D39" i="18"/>
  <c r="A39" i="18"/>
  <c r="D38" i="18"/>
  <c r="A38" i="18"/>
  <c r="D37" i="18"/>
  <c r="A37" i="18"/>
  <c r="D36" i="18"/>
  <c r="C36" i="18" s="1"/>
  <c r="A36" i="18"/>
  <c r="D35" i="18"/>
  <c r="C35" i="18" s="1"/>
  <c r="A35" i="18"/>
  <c r="D34" i="18"/>
  <c r="A34" i="18"/>
  <c r="D33" i="18"/>
  <c r="A33" i="18"/>
  <c r="D32" i="18"/>
  <c r="A32" i="18"/>
  <c r="D31" i="18"/>
  <c r="A31" i="18"/>
  <c r="D30" i="18"/>
  <c r="A30" i="18"/>
  <c r="D29" i="18"/>
  <c r="A29" i="18"/>
  <c r="D28" i="18"/>
  <c r="A28" i="18"/>
  <c r="D27" i="18"/>
  <c r="A27" i="18"/>
  <c r="D26" i="18"/>
  <c r="A26" i="18"/>
  <c r="D25" i="18"/>
  <c r="A25" i="18"/>
  <c r="D24" i="18"/>
  <c r="A24" i="18"/>
  <c r="D23" i="18"/>
  <c r="A23" i="18"/>
  <c r="D22" i="18"/>
  <c r="A22" i="18"/>
  <c r="D21" i="18"/>
  <c r="A21" i="18"/>
  <c r="D20" i="18"/>
  <c r="A20" i="18"/>
  <c r="D19" i="18"/>
  <c r="A19" i="18"/>
  <c r="D18" i="18"/>
  <c r="C18" i="18"/>
  <c r="A18" i="18"/>
  <c r="D17" i="18"/>
  <c r="A17" i="18"/>
  <c r="D16" i="18"/>
  <c r="A16" i="18"/>
  <c r="D15" i="18"/>
  <c r="A15" i="18"/>
  <c r="D14" i="18"/>
  <c r="A14" i="18"/>
  <c r="D13" i="18"/>
  <c r="A13" i="18"/>
  <c r="D12" i="18"/>
  <c r="A12" i="18"/>
  <c r="D11" i="18"/>
  <c r="A11" i="18"/>
  <c r="D10" i="18"/>
  <c r="A10" i="18"/>
  <c r="D9" i="18"/>
  <c r="A9" i="18"/>
  <c r="D8" i="18"/>
  <c r="A8" i="18"/>
  <c r="D7" i="18"/>
  <c r="C7" i="18"/>
  <c r="A7" i="18"/>
  <c r="D6" i="18"/>
  <c r="A6" i="18"/>
  <c r="D5" i="18"/>
  <c r="A5" i="18"/>
  <c r="D4" i="18"/>
  <c r="A4" i="18"/>
  <c r="D3" i="18"/>
  <c r="A3" i="18"/>
  <c r="D105" i="17"/>
  <c r="A105" i="17"/>
  <c r="D104" i="17"/>
  <c r="A104" i="17"/>
  <c r="D103" i="17"/>
  <c r="A103" i="17"/>
  <c r="D102" i="17"/>
  <c r="A102" i="17"/>
  <c r="D101" i="17"/>
  <c r="A101" i="17"/>
  <c r="D100" i="17"/>
  <c r="A100" i="17"/>
  <c r="D99" i="17"/>
  <c r="A99" i="17"/>
  <c r="D98" i="17"/>
  <c r="A98" i="17"/>
  <c r="D97" i="17"/>
  <c r="A97" i="17"/>
  <c r="D96" i="17"/>
  <c r="A96" i="17"/>
  <c r="D95" i="17"/>
  <c r="A95" i="17"/>
  <c r="D94" i="17"/>
  <c r="A94" i="17"/>
  <c r="D93" i="17"/>
  <c r="A93" i="17"/>
  <c r="D92" i="17"/>
  <c r="A92" i="17"/>
  <c r="D91" i="17"/>
  <c r="A91" i="17"/>
  <c r="D90" i="17"/>
  <c r="A90" i="17"/>
  <c r="D89" i="17"/>
  <c r="A89" i="17"/>
  <c r="D88" i="17"/>
  <c r="A88" i="17"/>
  <c r="D87" i="17"/>
  <c r="A87" i="17"/>
  <c r="D86" i="17"/>
  <c r="A86" i="17"/>
  <c r="D85" i="17"/>
  <c r="A85" i="17"/>
  <c r="D84" i="17"/>
  <c r="A84" i="17"/>
  <c r="D83" i="17"/>
  <c r="A83" i="17"/>
  <c r="D82" i="17"/>
  <c r="A82" i="17"/>
  <c r="D81" i="17"/>
  <c r="A81" i="17"/>
  <c r="D80" i="17"/>
  <c r="A80" i="17"/>
  <c r="D79" i="17"/>
  <c r="A79" i="17"/>
  <c r="D78" i="17"/>
  <c r="A78" i="17"/>
  <c r="D77" i="17"/>
  <c r="A77" i="17"/>
  <c r="A76" i="17"/>
  <c r="D75" i="17"/>
  <c r="C75" i="17" s="1"/>
  <c r="A75" i="17"/>
  <c r="D74" i="17"/>
  <c r="C74" i="17" s="1"/>
  <c r="A74" i="17"/>
  <c r="D73" i="17"/>
  <c r="C73" i="17" s="1"/>
  <c r="A73" i="17"/>
  <c r="D72" i="17"/>
  <c r="C72" i="17" s="1"/>
  <c r="A72" i="17"/>
  <c r="D71" i="17"/>
  <c r="C71" i="17" s="1"/>
  <c r="A71" i="17"/>
  <c r="D70" i="17"/>
  <c r="A70" i="17"/>
  <c r="D69" i="17"/>
  <c r="A69" i="17"/>
  <c r="D68" i="17"/>
  <c r="A68" i="17"/>
  <c r="D67" i="17"/>
  <c r="A67" i="17"/>
  <c r="D66" i="17"/>
  <c r="A66" i="17"/>
  <c r="D65" i="17"/>
  <c r="A65" i="17"/>
  <c r="D64" i="17"/>
  <c r="A64" i="17"/>
  <c r="D63" i="17"/>
  <c r="C63" i="17"/>
  <c r="A63" i="17"/>
  <c r="D62" i="17"/>
  <c r="A62" i="17"/>
  <c r="D61" i="17"/>
  <c r="A61" i="17"/>
  <c r="D60" i="17"/>
  <c r="A60" i="17"/>
  <c r="A59" i="17"/>
  <c r="D58" i="17"/>
  <c r="A58" i="17"/>
  <c r="A57" i="17"/>
  <c r="D56" i="17"/>
  <c r="A56" i="17"/>
  <c r="D55" i="17"/>
  <c r="A55" i="17"/>
  <c r="D54" i="17"/>
  <c r="A54" i="17"/>
  <c r="D53" i="17"/>
  <c r="A53" i="17"/>
  <c r="D52" i="17"/>
  <c r="A52" i="17"/>
  <c r="D51" i="17"/>
  <c r="A51" i="17"/>
  <c r="D50" i="17"/>
  <c r="A50" i="17"/>
  <c r="D49" i="17"/>
  <c r="A49" i="17"/>
  <c r="D48" i="17"/>
  <c r="A48" i="17"/>
  <c r="D47" i="17"/>
  <c r="A47" i="17"/>
  <c r="D46" i="17"/>
  <c r="A46" i="17"/>
  <c r="D45" i="17"/>
  <c r="A45" i="17"/>
  <c r="D44" i="17"/>
  <c r="A44" i="17"/>
  <c r="D43" i="17"/>
  <c r="A43" i="17"/>
  <c r="D42" i="17"/>
  <c r="A42" i="17"/>
  <c r="D41" i="17"/>
  <c r="A41" i="17"/>
  <c r="D40" i="17"/>
  <c r="A40" i="17"/>
  <c r="D39" i="17"/>
  <c r="A39" i="17"/>
  <c r="D38" i="17"/>
  <c r="A38" i="17"/>
  <c r="D37" i="17"/>
  <c r="A37" i="17"/>
  <c r="D36" i="17"/>
  <c r="C36" i="17" s="1"/>
  <c r="A36" i="17"/>
  <c r="D35" i="17"/>
  <c r="C35" i="17" s="1"/>
  <c r="A35" i="17"/>
  <c r="D34" i="17"/>
  <c r="A34" i="17"/>
  <c r="D33" i="17"/>
  <c r="A33" i="17"/>
  <c r="D32" i="17"/>
  <c r="A32" i="17"/>
  <c r="D31" i="17"/>
  <c r="A31" i="17"/>
  <c r="D30" i="17"/>
  <c r="A30" i="17"/>
  <c r="D29" i="17"/>
  <c r="A29" i="17"/>
  <c r="D28" i="17"/>
  <c r="A28" i="17"/>
  <c r="D27" i="17"/>
  <c r="A27" i="17"/>
  <c r="D26" i="17"/>
  <c r="A26" i="17"/>
  <c r="D25" i="17"/>
  <c r="A25" i="17"/>
  <c r="D24" i="17"/>
  <c r="A24" i="17"/>
  <c r="D23" i="17"/>
  <c r="A23" i="17"/>
  <c r="D22" i="17"/>
  <c r="A22" i="17"/>
  <c r="D21" i="17"/>
  <c r="A21" i="17"/>
  <c r="D20" i="17"/>
  <c r="A20" i="17"/>
  <c r="D19" i="17"/>
  <c r="A19" i="17"/>
  <c r="D18" i="17"/>
  <c r="C18" i="17"/>
  <c r="A18" i="17"/>
  <c r="D17" i="17"/>
  <c r="A17" i="17"/>
  <c r="D16" i="17"/>
  <c r="A16" i="17"/>
  <c r="D15" i="17"/>
  <c r="A15" i="17"/>
  <c r="D14" i="17"/>
  <c r="A14" i="17"/>
  <c r="D13" i="17"/>
  <c r="A13" i="17"/>
  <c r="D12" i="17"/>
  <c r="A12" i="17"/>
  <c r="D11" i="17"/>
  <c r="A11" i="17"/>
  <c r="D10" i="17"/>
  <c r="A10" i="17"/>
  <c r="D9" i="17"/>
  <c r="A9" i="17"/>
  <c r="D8" i="17"/>
  <c r="A8" i="17"/>
  <c r="D7" i="17"/>
  <c r="C7" i="17"/>
  <c r="A7" i="17"/>
  <c r="D6" i="17"/>
  <c r="A6" i="17"/>
  <c r="D5" i="17"/>
  <c r="A5" i="17"/>
  <c r="D4" i="17"/>
  <c r="A4" i="17"/>
  <c r="D3" i="17"/>
  <c r="A3" i="17"/>
  <c r="D105" i="16"/>
  <c r="A105" i="16"/>
  <c r="D104" i="16"/>
  <c r="A104" i="16"/>
  <c r="D103" i="16"/>
  <c r="A103" i="16"/>
  <c r="D102" i="16"/>
  <c r="A102" i="16"/>
  <c r="D101" i="16"/>
  <c r="A101" i="16"/>
  <c r="D100" i="16"/>
  <c r="A100" i="16"/>
  <c r="D99" i="16"/>
  <c r="A99" i="16"/>
  <c r="D98" i="16"/>
  <c r="A98" i="16"/>
  <c r="D97" i="16"/>
  <c r="A97" i="16"/>
  <c r="D96" i="16"/>
  <c r="A96" i="16"/>
  <c r="D95" i="16"/>
  <c r="A95" i="16"/>
  <c r="D94" i="16"/>
  <c r="A94" i="16"/>
  <c r="D93" i="16"/>
  <c r="A93" i="16"/>
  <c r="D92" i="16"/>
  <c r="A92" i="16"/>
  <c r="D91" i="16"/>
  <c r="A91" i="16"/>
  <c r="D90" i="16"/>
  <c r="A90" i="16"/>
  <c r="D89" i="16"/>
  <c r="A89" i="16"/>
  <c r="D88" i="16"/>
  <c r="A88" i="16"/>
  <c r="D87" i="16"/>
  <c r="A87" i="16"/>
  <c r="D86" i="16"/>
  <c r="A86" i="16"/>
  <c r="D85" i="16"/>
  <c r="A85" i="16"/>
  <c r="D84" i="16"/>
  <c r="A84" i="16"/>
  <c r="D83" i="16"/>
  <c r="A83" i="16"/>
  <c r="D82" i="16"/>
  <c r="A82" i="16"/>
  <c r="D81" i="16"/>
  <c r="A81" i="16"/>
  <c r="D80" i="16"/>
  <c r="A80" i="16"/>
  <c r="D79" i="16"/>
  <c r="A79" i="16"/>
  <c r="D78" i="16"/>
  <c r="A78" i="16"/>
  <c r="D77" i="16"/>
  <c r="A77" i="16"/>
  <c r="A76" i="16"/>
  <c r="D75" i="16"/>
  <c r="C75" i="16" s="1"/>
  <c r="A75" i="16"/>
  <c r="D74" i="16"/>
  <c r="C74" i="16" s="1"/>
  <c r="A74" i="16"/>
  <c r="D73" i="16"/>
  <c r="C73" i="16" s="1"/>
  <c r="A73" i="16"/>
  <c r="D72" i="16"/>
  <c r="C72" i="16" s="1"/>
  <c r="A72" i="16"/>
  <c r="D71" i="16"/>
  <c r="C71" i="16" s="1"/>
  <c r="A71" i="16"/>
  <c r="D70" i="16"/>
  <c r="A70" i="16"/>
  <c r="D69" i="16"/>
  <c r="A69" i="16"/>
  <c r="D68" i="16"/>
  <c r="A68" i="16"/>
  <c r="D67" i="16"/>
  <c r="A67" i="16"/>
  <c r="D66" i="16"/>
  <c r="A66" i="16"/>
  <c r="D65" i="16"/>
  <c r="A65" i="16"/>
  <c r="D64" i="16"/>
  <c r="A64" i="16"/>
  <c r="D63" i="16"/>
  <c r="C63" i="16"/>
  <c r="A63" i="16"/>
  <c r="D62" i="16"/>
  <c r="A62" i="16"/>
  <c r="D61" i="16"/>
  <c r="A61" i="16"/>
  <c r="D60" i="16"/>
  <c r="A60" i="16"/>
  <c r="A59" i="16"/>
  <c r="D58" i="16"/>
  <c r="A58" i="16"/>
  <c r="A57" i="16"/>
  <c r="D56" i="16"/>
  <c r="A56" i="16"/>
  <c r="D55" i="16"/>
  <c r="A55" i="16"/>
  <c r="D54" i="16"/>
  <c r="A54" i="16"/>
  <c r="D53" i="16"/>
  <c r="A53" i="16"/>
  <c r="D52" i="16"/>
  <c r="A52" i="16"/>
  <c r="D51" i="16"/>
  <c r="A51" i="16"/>
  <c r="D50" i="16"/>
  <c r="A50" i="16"/>
  <c r="D49" i="16"/>
  <c r="A49" i="16"/>
  <c r="D48" i="16"/>
  <c r="A48" i="16"/>
  <c r="D47" i="16"/>
  <c r="A47" i="16"/>
  <c r="D46" i="16"/>
  <c r="A46" i="16"/>
  <c r="D45" i="16"/>
  <c r="A45" i="16"/>
  <c r="D44" i="16"/>
  <c r="A44" i="16"/>
  <c r="D43" i="16"/>
  <c r="A43" i="16"/>
  <c r="D42" i="16"/>
  <c r="A42" i="16"/>
  <c r="D41" i="16"/>
  <c r="A41" i="16"/>
  <c r="D40" i="16"/>
  <c r="A40" i="16"/>
  <c r="D39" i="16"/>
  <c r="A39" i="16"/>
  <c r="D38" i="16"/>
  <c r="A38" i="16"/>
  <c r="D37" i="16"/>
  <c r="A37" i="16"/>
  <c r="D36" i="16"/>
  <c r="C36" i="16" s="1"/>
  <c r="A36" i="16"/>
  <c r="D35" i="16"/>
  <c r="C35" i="16" s="1"/>
  <c r="A35" i="16"/>
  <c r="D34" i="16"/>
  <c r="A34" i="16"/>
  <c r="D33" i="16"/>
  <c r="A33" i="16"/>
  <c r="D32" i="16"/>
  <c r="A32" i="16"/>
  <c r="D31" i="16"/>
  <c r="A31" i="16"/>
  <c r="D30" i="16"/>
  <c r="A30" i="16"/>
  <c r="D29" i="16"/>
  <c r="A29" i="16"/>
  <c r="D28" i="16"/>
  <c r="A28" i="16"/>
  <c r="D27" i="16"/>
  <c r="A27" i="16"/>
  <c r="D26" i="16"/>
  <c r="A26" i="16"/>
  <c r="D25" i="16"/>
  <c r="A25" i="16"/>
  <c r="D24" i="16"/>
  <c r="A24" i="16"/>
  <c r="D23" i="16"/>
  <c r="A23" i="16"/>
  <c r="D22" i="16"/>
  <c r="A22" i="16"/>
  <c r="D21" i="16"/>
  <c r="A21" i="16"/>
  <c r="D20" i="16"/>
  <c r="A20" i="16"/>
  <c r="D19" i="16"/>
  <c r="A19" i="16"/>
  <c r="D18" i="16"/>
  <c r="C18" i="16"/>
  <c r="A18" i="16"/>
  <c r="D17" i="16"/>
  <c r="A17" i="16"/>
  <c r="D16" i="16"/>
  <c r="A16" i="16"/>
  <c r="D15" i="16"/>
  <c r="A15" i="16"/>
  <c r="D14" i="16"/>
  <c r="A14" i="16"/>
  <c r="D13" i="16"/>
  <c r="A13" i="16"/>
  <c r="D12" i="16"/>
  <c r="A12" i="16"/>
  <c r="D11" i="16"/>
  <c r="A11" i="16"/>
  <c r="D10" i="16"/>
  <c r="A10" i="16"/>
  <c r="D9" i="16"/>
  <c r="A9" i="16"/>
  <c r="D8" i="16"/>
  <c r="A8" i="16"/>
  <c r="D7" i="16"/>
  <c r="C7" i="16"/>
  <c r="A7" i="16"/>
  <c r="D6" i="16"/>
  <c r="A6" i="16"/>
  <c r="D5" i="16"/>
  <c r="A5" i="16"/>
  <c r="D4" i="16"/>
  <c r="A4" i="16"/>
  <c r="D3" i="16"/>
  <c r="A3" i="16"/>
  <c r="D105" i="15"/>
  <c r="A105" i="15"/>
  <c r="D104" i="15"/>
  <c r="A104" i="15"/>
  <c r="D103" i="15"/>
  <c r="A103" i="15"/>
  <c r="D102" i="15"/>
  <c r="A102" i="15"/>
  <c r="D101" i="15"/>
  <c r="A101" i="15"/>
  <c r="D100" i="15"/>
  <c r="A100" i="15"/>
  <c r="D99" i="15"/>
  <c r="A99" i="15"/>
  <c r="D98" i="15"/>
  <c r="A98" i="15"/>
  <c r="D97" i="15"/>
  <c r="A97" i="15"/>
  <c r="D96" i="15"/>
  <c r="A96" i="15"/>
  <c r="D95" i="15"/>
  <c r="A95" i="15"/>
  <c r="D94" i="15"/>
  <c r="A94" i="15"/>
  <c r="D93" i="15"/>
  <c r="A93" i="15"/>
  <c r="D92" i="15"/>
  <c r="A92" i="15"/>
  <c r="D91" i="15"/>
  <c r="A91" i="15"/>
  <c r="D90" i="15"/>
  <c r="A90" i="15"/>
  <c r="D89" i="15"/>
  <c r="A89" i="15"/>
  <c r="D88" i="15"/>
  <c r="A88" i="15"/>
  <c r="D87" i="15"/>
  <c r="A87" i="15"/>
  <c r="D86" i="15"/>
  <c r="A86" i="15"/>
  <c r="D85" i="15"/>
  <c r="A85" i="15"/>
  <c r="D84" i="15"/>
  <c r="A84" i="15"/>
  <c r="D83" i="15"/>
  <c r="A83" i="15"/>
  <c r="D82" i="15"/>
  <c r="A82" i="15"/>
  <c r="D81" i="15"/>
  <c r="A81" i="15"/>
  <c r="D80" i="15"/>
  <c r="A80" i="15"/>
  <c r="D79" i="15"/>
  <c r="A79" i="15"/>
  <c r="D78" i="15"/>
  <c r="A78" i="15"/>
  <c r="D77" i="15"/>
  <c r="A77" i="15"/>
  <c r="A76" i="15"/>
  <c r="D75" i="15"/>
  <c r="C75" i="15" s="1"/>
  <c r="A75" i="15"/>
  <c r="D74" i="15"/>
  <c r="C74" i="15" s="1"/>
  <c r="A74" i="15"/>
  <c r="D73" i="15"/>
  <c r="C73" i="15" s="1"/>
  <c r="A73" i="15"/>
  <c r="D72" i="15"/>
  <c r="C72" i="15" s="1"/>
  <c r="A72" i="15"/>
  <c r="D71" i="15"/>
  <c r="C71" i="15" s="1"/>
  <c r="A71" i="15"/>
  <c r="D70" i="15"/>
  <c r="A70" i="15"/>
  <c r="D69" i="15"/>
  <c r="A69" i="15"/>
  <c r="D68" i="15"/>
  <c r="A68" i="15"/>
  <c r="D67" i="15"/>
  <c r="A67" i="15"/>
  <c r="D66" i="15"/>
  <c r="A66" i="15"/>
  <c r="D65" i="15"/>
  <c r="A65" i="15"/>
  <c r="D64" i="15"/>
  <c r="A64" i="15"/>
  <c r="D63" i="15"/>
  <c r="C63" i="15"/>
  <c r="A63" i="15"/>
  <c r="D62" i="15"/>
  <c r="A62" i="15"/>
  <c r="D61" i="15"/>
  <c r="A61" i="15"/>
  <c r="D60" i="15"/>
  <c r="A60" i="15"/>
  <c r="A59" i="15"/>
  <c r="D58" i="15"/>
  <c r="A58" i="15"/>
  <c r="A57" i="15"/>
  <c r="D56" i="15"/>
  <c r="A56" i="15"/>
  <c r="D55" i="15"/>
  <c r="A55" i="15"/>
  <c r="D54" i="15"/>
  <c r="A54" i="15"/>
  <c r="D53" i="15"/>
  <c r="A53" i="15"/>
  <c r="D52" i="15"/>
  <c r="A52" i="15"/>
  <c r="D51" i="15"/>
  <c r="A51" i="15"/>
  <c r="D50" i="15"/>
  <c r="A50" i="15"/>
  <c r="D49" i="15"/>
  <c r="A49" i="15"/>
  <c r="D48" i="15"/>
  <c r="A48" i="15"/>
  <c r="D47" i="15"/>
  <c r="A47" i="15"/>
  <c r="D46" i="15"/>
  <c r="A46" i="15"/>
  <c r="D45" i="15"/>
  <c r="A45" i="15"/>
  <c r="D44" i="15"/>
  <c r="A44" i="15"/>
  <c r="D43" i="15"/>
  <c r="A43" i="15"/>
  <c r="D42" i="15"/>
  <c r="A42" i="15"/>
  <c r="D41" i="15"/>
  <c r="A41" i="15"/>
  <c r="D40" i="15"/>
  <c r="A40" i="15"/>
  <c r="D39" i="15"/>
  <c r="A39" i="15"/>
  <c r="D38" i="15"/>
  <c r="A38" i="15"/>
  <c r="D37" i="15"/>
  <c r="A37" i="15"/>
  <c r="D36" i="15"/>
  <c r="C36" i="15" s="1"/>
  <c r="A36" i="15"/>
  <c r="D35" i="15"/>
  <c r="C35" i="15" s="1"/>
  <c r="A35" i="15"/>
  <c r="D34" i="15"/>
  <c r="A34" i="15"/>
  <c r="D33" i="15"/>
  <c r="A33" i="15"/>
  <c r="D32" i="15"/>
  <c r="A32" i="15"/>
  <c r="D31" i="15"/>
  <c r="A31" i="15"/>
  <c r="D30" i="15"/>
  <c r="A30" i="15"/>
  <c r="D29" i="15"/>
  <c r="A29" i="15"/>
  <c r="D28" i="15"/>
  <c r="A28" i="15"/>
  <c r="D27" i="15"/>
  <c r="A27" i="15"/>
  <c r="D26" i="15"/>
  <c r="A26" i="15"/>
  <c r="D25" i="15"/>
  <c r="A25" i="15"/>
  <c r="D24" i="15"/>
  <c r="A24" i="15"/>
  <c r="D23" i="15"/>
  <c r="A23" i="15"/>
  <c r="D22" i="15"/>
  <c r="A22" i="15"/>
  <c r="D21" i="15"/>
  <c r="A21" i="15"/>
  <c r="D20" i="15"/>
  <c r="A20" i="15"/>
  <c r="D19" i="15"/>
  <c r="A19" i="15"/>
  <c r="D18" i="15"/>
  <c r="C18" i="15"/>
  <c r="A18" i="15"/>
  <c r="D17" i="15"/>
  <c r="A17" i="15"/>
  <c r="D16" i="15"/>
  <c r="A16" i="15"/>
  <c r="D15" i="15"/>
  <c r="A15" i="15"/>
  <c r="D14" i="15"/>
  <c r="A14" i="15"/>
  <c r="D13" i="15"/>
  <c r="A13" i="15"/>
  <c r="D12" i="15"/>
  <c r="A12" i="15"/>
  <c r="D11" i="15"/>
  <c r="A11" i="15"/>
  <c r="D10" i="15"/>
  <c r="A10" i="15"/>
  <c r="D9" i="15"/>
  <c r="A9" i="15"/>
  <c r="D8" i="15"/>
  <c r="A8" i="15"/>
  <c r="D7" i="15"/>
  <c r="C7" i="15"/>
  <c r="A7" i="15"/>
  <c r="D6" i="15"/>
  <c r="A6" i="15"/>
  <c r="D5" i="15"/>
  <c r="A5" i="15"/>
  <c r="D4" i="15"/>
  <c r="A4" i="15"/>
  <c r="D3" i="15"/>
  <c r="A3" i="15"/>
  <c r="D105" i="14"/>
  <c r="A105" i="14"/>
  <c r="D104" i="14"/>
  <c r="A104" i="14"/>
  <c r="D103" i="14"/>
  <c r="A103" i="14"/>
  <c r="D102" i="14"/>
  <c r="A102" i="14"/>
  <c r="D101" i="14"/>
  <c r="A101" i="14"/>
  <c r="D100" i="14"/>
  <c r="A100" i="14"/>
  <c r="D99" i="14"/>
  <c r="A99" i="14"/>
  <c r="D98" i="14"/>
  <c r="A98" i="14"/>
  <c r="D97" i="14"/>
  <c r="A97" i="14"/>
  <c r="D96" i="14"/>
  <c r="A96" i="14"/>
  <c r="D95" i="14"/>
  <c r="A95" i="14"/>
  <c r="D94" i="14"/>
  <c r="A94" i="14"/>
  <c r="D93" i="14"/>
  <c r="A93" i="14"/>
  <c r="D92" i="14"/>
  <c r="A92" i="14"/>
  <c r="D91" i="14"/>
  <c r="A91" i="14"/>
  <c r="D90" i="14"/>
  <c r="A90" i="14"/>
  <c r="D89" i="14"/>
  <c r="A89" i="14"/>
  <c r="D88" i="14"/>
  <c r="A88" i="14"/>
  <c r="D87" i="14"/>
  <c r="A87" i="14"/>
  <c r="D86" i="14"/>
  <c r="A86" i="14"/>
  <c r="D85" i="14"/>
  <c r="A85" i="14"/>
  <c r="D84" i="14"/>
  <c r="A84" i="14"/>
  <c r="D83" i="14"/>
  <c r="A83" i="14"/>
  <c r="D82" i="14"/>
  <c r="A82" i="14"/>
  <c r="D81" i="14"/>
  <c r="A81" i="14"/>
  <c r="D80" i="14"/>
  <c r="A80" i="14"/>
  <c r="D79" i="14"/>
  <c r="A79" i="14"/>
  <c r="D78" i="14"/>
  <c r="A78" i="14"/>
  <c r="D77" i="14"/>
  <c r="A77" i="14"/>
  <c r="A76" i="14"/>
  <c r="D75" i="14"/>
  <c r="C75" i="14" s="1"/>
  <c r="A75" i="14"/>
  <c r="D74" i="14"/>
  <c r="C74" i="14" s="1"/>
  <c r="A74" i="14"/>
  <c r="D73" i="14"/>
  <c r="C73" i="14" s="1"/>
  <c r="A73" i="14"/>
  <c r="D72" i="14"/>
  <c r="C72" i="14" s="1"/>
  <c r="A72" i="14"/>
  <c r="D71" i="14"/>
  <c r="C71" i="14" s="1"/>
  <c r="A71" i="14"/>
  <c r="D70" i="14"/>
  <c r="A70" i="14"/>
  <c r="D69" i="14"/>
  <c r="A69" i="14"/>
  <c r="D68" i="14"/>
  <c r="A68" i="14"/>
  <c r="D67" i="14"/>
  <c r="A67" i="14"/>
  <c r="D66" i="14"/>
  <c r="A66" i="14"/>
  <c r="D65" i="14"/>
  <c r="A65" i="14"/>
  <c r="D64" i="14"/>
  <c r="A64" i="14"/>
  <c r="D63" i="14"/>
  <c r="C63" i="14"/>
  <c r="A63" i="14"/>
  <c r="D62" i="14"/>
  <c r="A62" i="14"/>
  <c r="D61" i="14"/>
  <c r="A61" i="14"/>
  <c r="D60" i="14"/>
  <c r="A60" i="14"/>
  <c r="A59" i="14"/>
  <c r="D58" i="14"/>
  <c r="A58" i="14"/>
  <c r="A57" i="14"/>
  <c r="D56" i="14"/>
  <c r="A56" i="14"/>
  <c r="D55" i="14"/>
  <c r="A55" i="14"/>
  <c r="D54" i="14"/>
  <c r="A54" i="14"/>
  <c r="D53" i="14"/>
  <c r="A53" i="14"/>
  <c r="D52" i="14"/>
  <c r="A52" i="14"/>
  <c r="D51" i="14"/>
  <c r="A51" i="14"/>
  <c r="D50" i="14"/>
  <c r="A50" i="14"/>
  <c r="D49" i="14"/>
  <c r="A49" i="14"/>
  <c r="D48" i="14"/>
  <c r="A48" i="14"/>
  <c r="D47" i="14"/>
  <c r="A47" i="14"/>
  <c r="D46" i="14"/>
  <c r="A46" i="14"/>
  <c r="D45" i="14"/>
  <c r="A45" i="14"/>
  <c r="D44" i="14"/>
  <c r="A44" i="14"/>
  <c r="D43" i="14"/>
  <c r="A43" i="14"/>
  <c r="D42" i="14"/>
  <c r="A42" i="14"/>
  <c r="D41" i="14"/>
  <c r="A41" i="14"/>
  <c r="D40" i="14"/>
  <c r="A40" i="14"/>
  <c r="D39" i="14"/>
  <c r="A39" i="14"/>
  <c r="D38" i="14"/>
  <c r="A38" i="14"/>
  <c r="D37" i="14"/>
  <c r="A37" i="14"/>
  <c r="D36" i="14"/>
  <c r="C36" i="14" s="1"/>
  <c r="A36" i="14"/>
  <c r="D35" i="14"/>
  <c r="C35" i="14" s="1"/>
  <c r="A35" i="14"/>
  <c r="D34" i="14"/>
  <c r="A34" i="14"/>
  <c r="D33" i="14"/>
  <c r="A33" i="14"/>
  <c r="D32" i="14"/>
  <c r="A32" i="14"/>
  <c r="D31" i="14"/>
  <c r="A31" i="14"/>
  <c r="D30" i="14"/>
  <c r="A30" i="14"/>
  <c r="D29" i="14"/>
  <c r="A29" i="14"/>
  <c r="D28" i="14"/>
  <c r="A28" i="14"/>
  <c r="D27" i="14"/>
  <c r="A27" i="14"/>
  <c r="D26" i="14"/>
  <c r="A26" i="14"/>
  <c r="D25" i="14"/>
  <c r="A25" i="14"/>
  <c r="D24" i="14"/>
  <c r="A24" i="14"/>
  <c r="D23" i="14"/>
  <c r="A23" i="14"/>
  <c r="D22" i="14"/>
  <c r="A22" i="14"/>
  <c r="D21" i="14"/>
  <c r="A21" i="14"/>
  <c r="D20" i="14"/>
  <c r="A20" i="14"/>
  <c r="D19" i="14"/>
  <c r="A19" i="14"/>
  <c r="D18" i="14"/>
  <c r="C18" i="14"/>
  <c r="A18" i="14"/>
  <c r="D17" i="14"/>
  <c r="A17" i="14"/>
  <c r="D16" i="14"/>
  <c r="A16" i="14"/>
  <c r="D15" i="14"/>
  <c r="A15" i="14"/>
  <c r="D14" i="14"/>
  <c r="A14" i="14"/>
  <c r="D13" i="14"/>
  <c r="A13" i="14"/>
  <c r="D12" i="14"/>
  <c r="A12" i="14"/>
  <c r="D11" i="14"/>
  <c r="A11" i="14"/>
  <c r="D10" i="14"/>
  <c r="A10" i="14"/>
  <c r="D9" i="14"/>
  <c r="A9" i="14"/>
  <c r="D8" i="14"/>
  <c r="A8" i="14"/>
  <c r="D7" i="14"/>
  <c r="C7" i="14"/>
  <c r="A7" i="14"/>
  <c r="D6" i="14"/>
  <c r="A6" i="14"/>
  <c r="D5" i="14"/>
  <c r="A5" i="14"/>
  <c r="D4" i="14"/>
  <c r="A4" i="14"/>
  <c r="D3" i="14"/>
  <c r="A3" i="14"/>
  <c r="D105" i="13"/>
  <c r="A105" i="13"/>
  <c r="D104" i="13"/>
  <c r="A104" i="13"/>
  <c r="D103" i="13"/>
  <c r="A103" i="13"/>
  <c r="D102" i="13"/>
  <c r="A102" i="13"/>
  <c r="D101" i="13"/>
  <c r="A101" i="13"/>
  <c r="D100" i="13"/>
  <c r="A100" i="13"/>
  <c r="D99" i="13"/>
  <c r="A99" i="13"/>
  <c r="D98" i="13"/>
  <c r="A98" i="13"/>
  <c r="D97" i="13"/>
  <c r="A97" i="13"/>
  <c r="D96" i="13"/>
  <c r="A96" i="13"/>
  <c r="D95" i="13"/>
  <c r="A95" i="13"/>
  <c r="D94" i="13"/>
  <c r="A94" i="13"/>
  <c r="D93" i="13"/>
  <c r="A93" i="13"/>
  <c r="D92" i="13"/>
  <c r="A92" i="13"/>
  <c r="D91" i="13"/>
  <c r="A91" i="13"/>
  <c r="D90" i="13"/>
  <c r="A90" i="13"/>
  <c r="D89" i="13"/>
  <c r="A89" i="13"/>
  <c r="D88" i="13"/>
  <c r="A88" i="13"/>
  <c r="D87" i="13"/>
  <c r="A87" i="13"/>
  <c r="D86" i="13"/>
  <c r="A86" i="13"/>
  <c r="D85" i="13"/>
  <c r="A85" i="13"/>
  <c r="D84" i="13"/>
  <c r="A84" i="13"/>
  <c r="D83" i="13"/>
  <c r="A83" i="13"/>
  <c r="D82" i="13"/>
  <c r="A82" i="13"/>
  <c r="D81" i="13"/>
  <c r="A81" i="13"/>
  <c r="D80" i="13"/>
  <c r="A80" i="13"/>
  <c r="D79" i="13"/>
  <c r="A79" i="13"/>
  <c r="D78" i="13"/>
  <c r="A78" i="13"/>
  <c r="D77" i="13"/>
  <c r="A77" i="13"/>
  <c r="A76" i="13"/>
  <c r="D75" i="13"/>
  <c r="C75" i="13" s="1"/>
  <c r="A75" i="13"/>
  <c r="D74" i="13"/>
  <c r="C74" i="13" s="1"/>
  <c r="A74" i="13"/>
  <c r="D73" i="13"/>
  <c r="C73" i="13" s="1"/>
  <c r="A73" i="13"/>
  <c r="D72" i="13"/>
  <c r="C72" i="13" s="1"/>
  <c r="A72" i="13"/>
  <c r="D71" i="13"/>
  <c r="C71" i="13" s="1"/>
  <c r="A71" i="13"/>
  <c r="D70" i="13"/>
  <c r="A70" i="13"/>
  <c r="D69" i="13"/>
  <c r="A69" i="13"/>
  <c r="D68" i="13"/>
  <c r="A68" i="13"/>
  <c r="D67" i="13"/>
  <c r="A67" i="13"/>
  <c r="D66" i="13"/>
  <c r="A66" i="13"/>
  <c r="D65" i="13"/>
  <c r="A65" i="13"/>
  <c r="D64" i="13"/>
  <c r="A64" i="13"/>
  <c r="D63" i="13"/>
  <c r="C63" i="13"/>
  <c r="A63" i="13"/>
  <c r="D62" i="13"/>
  <c r="A62" i="13"/>
  <c r="D61" i="13"/>
  <c r="A61" i="13"/>
  <c r="D60" i="13"/>
  <c r="A60" i="13"/>
  <c r="A59" i="13"/>
  <c r="D58" i="13"/>
  <c r="A58" i="13"/>
  <c r="A57" i="13"/>
  <c r="D56" i="13"/>
  <c r="A56" i="13"/>
  <c r="D55" i="13"/>
  <c r="A55" i="13"/>
  <c r="D54" i="13"/>
  <c r="A54" i="13"/>
  <c r="D53" i="13"/>
  <c r="A53" i="13"/>
  <c r="D52" i="13"/>
  <c r="A52" i="13"/>
  <c r="D51" i="13"/>
  <c r="A51" i="13"/>
  <c r="D50" i="13"/>
  <c r="A50" i="13"/>
  <c r="D49" i="13"/>
  <c r="A49" i="13"/>
  <c r="D48" i="13"/>
  <c r="A48" i="13"/>
  <c r="D47" i="13"/>
  <c r="A47" i="13"/>
  <c r="D46" i="13"/>
  <c r="A46" i="13"/>
  <c r="D45" i="13"/>
  <c r="A45" i="13"/>
  <c r="D44" i="13"/>
  <c r="A44" i="13"/>
  <c r="D43" i="13"/>
  <c r="A43" i="13"/>
  <c r="D42" i="13"/>
  <c r="A42" i="13"/>
  <c r="D41" i="13"/>
  <c r="A41" i="13"/>
  <c r="D40" i="13"/>
  <c r="A40" i="13"/>
  <c r="D39" i="13"/>
  <c r="A39" i="13"/>
  <c r="D38" i="13"/>
  <c r="A38" i="13"/>
  <c r="D37" i="13"/>
  <c r="A37" i="13"/>
  <c r="D36" i="13"/>
  <c r="C36" i="13" s="1"/>
  <c r="A36" i="13"/>
  <c r="D35" i="13"/>
  <c r="C35" i="13" s="1"/>
  <c r="A35" i="13"/>
  <c r="D34" i="13"/>
  <c r="A34" i="13"/>
  <c r="D33" i="13"/>
  <c r="A33" i="13"/>
  <c r="D32" i="13"/>
  <c r="A32" i="13"/>
  <c r="D31" i="13"/>
  <c r="A31" i="13"/>
  <c r="D30" i="13"/>
  <c r="A30" i="13"/>
  <c r="D29" i="13"/>
  <c r="A29" i="13"/>
  <c r="D28" i="13"/>
  <c r="A28" i="13"/>
  <c r="D27" i="13"/>
  <c r="A27" i="13"/>
  <c r="D26" i="13"/>
  <c r="A26" i="13"/>
  <c r="D25" i="13"/>
  <c r="A25" i="13"/>
  <c r="D24" i="13"/>
  <c r="A24" i="13"/>
  <c r="D23" i="13"/>
  <c r="A23" i="13"/>
  <c r="D22" i="13"/>
  <c r="A22" i="13"/>
  <c r="D21" i="13"/>
  <c r="A21" i="13"/>
  <c r="D20" i="13"/>
  <c r="A20" i="13"/>
  <c r="D19" i="13"/>
  <c r="A19" i="13"/>
  <c r="D18" i="13"/>
  <c r="C18" i="13"/>
  <c r="A18" i="13"/>
  <c r="D17" i="13"/>
  <c r="A17" i="13"/>
  <c r="D16" i="13"/>
  <c r="A16" i="13"/>
  <c r="D15" i="13"/>
  <c r="A15" i="13"/>
  <c r="D14" i="13"/>
  <c r="A14" i="13"/>
  <c r="D13" i="13"/>
  <c r="A13" i="13"/>
  <c r="D12" i="13"/>
  <c r="A12" i="13"/>
  <c r="D11" i="13"/>
  <c r="A11" i="13"/>
  <c r="D10" i="13"/>
  <c r="A10" i="13"/>
  <c r="D9" i="13"/>
  <c r="A9" i="13"/>
  <c r="D8" i="13"/>
  <c r="A8" i="13"/>
  <c r="D7" i="13"/>
  <c r="C7" i="13"/>
  <c r="A7" i="13"/>
  <c r="D6" i="13"/>
  <c r="A6" i="13"/>
  <c r="D5" i="13"/>
  <c r="A5" i="13"/>
  <c r="D4" i="13"/>
  <c r="A4" i="13"/>
  <c r="D3" i="13"/>
  <c r="A3" i="13"/>
  <c r="D105" i="12"/>
  <c r="A105" i="12"/>
  <c r="D104" i="12"/>
  <c r="A104" i="12"/>
  <c r="D103" i="12"/>
  <c r="A103" i="12"/>
  <c r="D102" i="12"/>
  <c r="A102" i="12"/>
  <c r="D101" i="12"/>
  <c r="A101" i="12"/>
  <c r="D100" i="12"/>
  <c r="A100" i="12"/>
  <c r="D99" i="12"/>
  <c r="A99" i="12"/>
  <c r="D98" i="12"/>
  <c r="A98" i="12"/>
  <c r="D97" i="12"/>
  <c r="A97" i="12"/>
  <c r="D96" i="12"/>
  <c r="A96" i="12"/>
  <c r="D95" i="12"/>
  <c r="A95" i="12"/>
  <c r="D94" i="12"/>
  <c r="A94" i="12"/>
  <c r="D93" i="12"/>
  <c r="A93" i="12"/>
  <c r="D92" i="12"/>
  <c r="A92" i="12"/>
  <c r="D91" i="12"/>
  <c r="A91" i="12"/>
  <c r="D90" i="12"/>
  <c r="A90" i="12"/>
  <c r="D89" i="12"/>
  <c r="A89" i="12"/>
  <c r="D88" i="12"/>
  <c r="A88" i="12"/>
  <c r="D87" i="12"/>
  <c r="A87" i="12"/>
  <c r="D86" i="12"/>
  <c r="A86" i="12"/>
  <c r="D85" i="12"/>
  <c r="A85" i="12"/>
  <c r="D84" i="12"/>
  <c r="A84" i="12"/>
  <c r="D83" i="12"/>
  <c r="A83" i="12"/>
  <c r="D82" i="12"/>
  <c r="A82" i="12"/>
  <c r="D81" i="12"/>
  <c r="A81" i="12"/>
  <c r="D80" i="12"/>
  <c r="A80" i="12"/>
  <c r="D79" i="12"/>
  <c r="A79" i="12"/>
  <c r="D78" i="12"/>
  <c r="A78" i="12"/>
  <c r="D77" i="12"/>
  <c r="A77" i="12"/>
  <c r="A76" i="12"/>
  <c r="D75" i="12"/>
  <c r="C75" i="12" s="1"/>
  <c r="A75" i="12"/>
  <c r="D74" i="12"/>
  <c r="C74" i="12" s="1"/>
  <c r="A74" i="12"/>
  <c r="D73" i="12"/>
  <c r="C73" i="12" s="1"/>
  <c r="A73" i="12"/>
  <c r="D72" i="12"/>
  <c r="C72" i="12" s="1"/>
  <c r="A72" i="12"/>
  <c r="D71" i="12"/>
  <c r="C71" i="12" s="1"/>
  <c r="A71" i="12"/>
  <c r="D70" i="12"/>
  <c r="A70" i="12"/>
  <c r="D69" i="12"/>
  <c r="A69" i="12"/>
  <c r="D68" i="12"/>
  <c r="A68" i="12"/>
  <c r="D67" i="12"/>
  <c r="A67" i="12"/>
  <c r="D66" i="12"/>
  <c r="A66" i="12"/>
  <c r="D65" i="12"/>
  <c r="A65" i="12"/>
  <c r="D64" i="12"/>
  <c r="A64" i="12"/>
  <c r="D63" i="12"/>
  <c r="C63" i="12"/>
  <c r="A63" i="12"/>
  <c r="D62" i="12"/>
  <c r="A62" i="12"/>
  <c r="D61" i="12"/>
  <c r="A61" i="12"/>
  <c r="D60" i="12"/>
  <c r="A60" i="12"/>
  <c r="A59" i="12"/>
  <c r="D58" i="12"/>
  <c r="A58" i="12"/>
  <c r="A57" i="12"/>
  <c r="D56" i="12"/>
  <c r="A56" i="12"/>
  <c r="D55" i="12"/>
  <c r="A55" i="12"/>
  <c r="D54" i="12"/>
  <c r="A54" i="12"/>
  <c r="D53" i="12"/>
  <c r="A53" i="12"/>
  <c r="D52" i="12"/>
  <c r="A52" i="12"/>
  <c r="D51" i="12"/>
  <c r="A51" i="12"/>
  <c r="D50" i="12"/>
  <c r="A50" i="12"/>
  <c r="D49" i="12"/>
  <c r="A49" i="12"/>
  <c r="D48" i="12"/>
  <c r="A48" i="12"/>
  <c r="D47" i="12"/>
  <c r="A47" i="12"/>
  <c r="D46" i="12"/>
  <c r="A46" i="12"/>
  <c r="D45" i="12"/>
  <c r="A45" i="12"/>
  <c r="D44" i="12"/>
  <c r="A44" i="12"/>
  <c r="D43" i="12"/>
  <c r="A43" i="12"/>
  <c r="D42" i="12"/>
  <c r="A42" i="12"/>
  <c r="D41" i="12"/>
  <c r="A41" i="12"/>
  <c r="D40" i="12"/>
  <c r="A40" i="12"/>
  <c r="D39" i="12"/>
  <c r="A39" i="12"/>
  <c r="D38" i="12"/>
  <c r="A38" i="12"/>
  <c r="D37" i="12"/>
  <c r="A37" i="12"/>
  <c r="D36" i="12"/>
  <c r="C36" i="12" s="1"/>
  <c r="A36" i="12"/>
  <c r="D35" i="12"/>
  <c r="C35" i="12" s="1"/>
  <c r="A35" i="12"/>
  <c r="D34" i="12"/>
  <c r="A34" i="12"/>
  <c r="D33" i="12"/>
  <c r="A33" i="12"/>
  <c r="D32" i="12"/>
  <c r="A32" i="12"/>
  <c r="D31" i="12"/>
  <c r="A31" i="12"/>
  <c r="D30" i="12"/>
  <c r="A30" i="12"/>
  <c r="D29" i="12"/>
  <c r="A29" i="12"/>
  <c r="D28" i="12"/>
  <c r="A28" i="12"/>
  <c r="D27" i="12"/>
  <c r="A27" i="12"/>
  <c r="D26" i="12"/>
  <c r="A26" i="12"/>
  <c r="D25" i="12"/>
  <c r="A25" i="12"/>
  <c r="D24" i="12"/>
  <c r="A24" i="12"/>
  <c r="D23" i="12"/>
  <c r="A23" i="12"/>
  <c r="D22" i="12"/>
  <c r="A22" i="12"/>
  <c r="D21" i="12"/>
  <c r="A21" i="12"/>
  <c r="D20" i="12"/>
  <c r="A20" i="12"/>
  <c r="D19" i="12"/>
  <c r="A19" i="12"/>
  <c r="D18" i="12"/>
  <c r="C18" i="12"/>
  <c r="A18" i="12"/>
  <c r="D17" i="12"/>
  <c r="A17" i="12"/>
  <c r="D16" i="12"/>
  <c r="A16" i="12"/>
  <c r="D15" i="12"/>
  <c r="A15" i="12"/>
  <c r="D14" i="12"/>
  <c r="A14" i="12"/>
  <c r="D13" i="12"/>
  <c r="A13" i="12"/>
  <c r="D12" i="12"/>
  <c r="A12" i="12"/>
  <c r="D11" i="12"/>
  <c r="A11" i="12"/>
  <c r="D10" i="12"/>
  <c r="A10" i="12"/>
  <c r="D9" i="12"/>
  <c r="A9" i="12"/>
  <c r="D8" i="12"/>
  <c r="A8" i="12"/>
  <c r="D7" i="12"/>
  <c r="C7" i="12"/>
  <c r="A7" i="12"/>
  <c r="D6" i="12"/>
  <c r="A6" i="12"/>
  <c r="D5" i="12"/>
  <c r="A5" i="12"/>
  <c r="D4" i="12"/>
  <c r="A4" i="12"/>
  <c r="D3" i="12"/>
  <c r="A3" i="12"/>
  <c r="D105" i="11"/>
  <c r="A105" i="11"/>
  <c r="D104" i="11"/>
  <c r="A104" i="11"/>
  <c r="D103" i="11"/>
  <c r="A103" i="11"/>
  <c r="D102" i="11"/>
  <c r="A102" i="11"/>
  <c r="D101" i="11"/>
  <c r="A101" i="11"/>
  <c r="D100" i="11"/>
  <c r="A100" i="11"/>
  <c r="D99" i="11"/>
  <c r="A99" i="11"/>
  <c r="D98" i="11"/>
  <c r="A98" i="11"/>
  <c r="D97" i="11"/>
  <c r="A97" i="11"/>
  <c r="D96" i="11"/>
  <c r="A96" i="11"/>
  <c r="D95" i="11"/>
  <c r="A95" i="11"/>
  <c r="D94" i="11"/>
  <c r="A94" i="11"/>
  <c r="D93" i="11"/>
  <c r="A93" i="11"/>
  <c r="D92" i="11"/>
  <c r="A92" i="11"/>
  <c r="D91" i="11"/>
  <c r="A91" i="11"/>
  <c r="D90" i="11"/>
  <c r="A90" i="11"/>
  <c r="D89" i="11"/>
  <c r="A89" i="11"/>
  <c r="D88" i="11"/>
  <c r="A88" i="11"/>
  <c r="D87" i="11"/>
  <c r="A87" i="11"/>
  <c r="D86" i="11"/>
  <c r="A86" i="11"/>
  <c r="D85" i="11"/>
  <c r="A85" i="11"/>
  <c r="D84" i="11"/>
  <c r="A84" i="11"/>
  <c r="D83" i="11"/>
  <c r="A83" i="11"/>
  <c r="D82" i="11"/>
  <c r="A82" i="11"/>
  <c r="D81" i="11"/>
  <c r="A81" i="11"/>
  <c r="D80" i="11"/>
  <c r="A80" i="11"/>
  <c r="D79" i="11"/>
  <c r="A79" i="11"/>
  <c r="D78" i="11"/>
  <c r="A78" i="11"/>
  <c r="D77" i="11"/>
  <c r="A77" i="11"/>
  <c r="A76" i="11"/>
  <c r="D75" i="11"/>
  <c r="C75" i="11" s="1"/>
  <c r="A75" i="11"/>
  <c r="D74" i="11"/>
  <c r="C74" i="11" s="1"/>
  <c r="A74" i="11"/>
  <c r="D73" i="11"/>
  <c r="C73" i="11" s="1"/>
  <c r="A73" i="11"/>
  <c r="D72" i="11"/>
  <c r="C72" i="11" s="1"/>
  <c r="A72" i="11"/>
  <c r="D71" i="11"/>
  <c r="C71" i="11" s="1"/>
  <c r="A71" i="11"/>
  <c r="D70" i="11"/>
  <c r="A70" i="11"/>
  <c r="D69" i="11"/>
  <c r="A69" i="11"/>
  <c r="D68" i="11"/>
  <c r="A68" i="11"/>
  <c r="D67" i="11"/>
  <c r="A67" i="11"/>
  <c r="D66" i="11"/>
  <c r="A66" i="11"/>
  <c r="D65" i="11"/>
  <c r="A65" i="11"/>
  <c r="D64" i="11"/>
  <c r="A64" i="11"/>
  <c r="D63" i="11"/>
  <c r="C63" i="11"/>
  <c r="A63" i="11"/>
  <c r="D62" i="11"/>
  <c r="A62" i="11"/>
  <c r="D61" i="11"/>
  <c r="A61" i="11"/>
  <c r="D60" i="11"/>
  <c r="A60" i="11"/>
  <c r="A59" i="11"/>
  <c r="D58" i="11"/>
  <c r="A58" i="11"/>
  <c r="A57" i="11"/>
  <c r="D56" i="11"/>
  <c r="A56" i="11"/>
  <c r="D55" i="11"/>
  <c r="A55" i="11"/>
  <c r="D54" i="11"/>
  <c r="A54" i="11"/>
  <c r="D53" i="11"/>
  <c r="A53" i="11"/>
  <c r="D52" i="11"/>
  <c r="A52" i="11"/>
  <c r="D51" i="11"/>
  <c r="A51" i="11"/>
  <c r="D50" i="11"/>
  <c r="A50" i="11"/>
  <c r="D49" i="11"/>
  <c r="A49" i="11"/>
  <c r="D48" i="11"/>
  <c r="A48" i="11"/>
  <c r="D47" i="11"/>
  <c r="A47" i="11"/>
  <c r="D46" i="11"/>
  <c r="A46" i="11"/>
  <c r="D45" i="11"/>
  <c r="A45" i="11"/>
  <c r="D44" i="11"/>
  <c r="A44" i="11"/>
  <c r="D43" i="11"/>
  <c r="A43" i="11"/>
  <c r="D42" i="11"/>
  <c r="A42" i="11"/>
  <c r="D41" i="11"/>
  <c r="A41" i="11"/>
  <c r="D40" i="11"/>
  <c r="A40" i="11"/>
  <c r="D39" i="11"/>
  <c r="A39" i="11"/>
  <c r="D38" i="11"/>
  <c r="A38" i="11"/>
  <c r="D37" i="11"/>
  <c r="A37" i="11"/>
  <c r="D36" i="11"/>
  <c r="C36" i="11" s="1"/>
  <c r="A36" i="11"/>
  <c r="D35" i="11"/>
  <c r="C35" i="11" s="1"/>
  <c r="A35" i="11"/>
  <c r="D34" i="11"/>
  <c r="A34" i="11"/>
  <c r="D33" i="11"/>
  <c r="A33" i="11"/>
  <c r="D32" i="11"/>
  <c r="A32" i="11"/>
  <c r="D31" i="11"/>
  <c r="A31" i="11"/>
  <c r="D30" i="11"/>
  <c r="A30" i="11"/>
  <c r="D29" i="11"/>
  <c r="A29" i="11"/>
  <c r="D28" i="11"/>
  <c r="A28" i="11"/>
  <c r="D27" i="11"/>
  <c r="A27" i="11"/>
  <c r="D26" i="11"/>
  <c r="A26" i="11"/>
  <c r="D25" i="11"/>
  <c r="A25" i="11"/>
  <c r="D24" i="11"/>
  <c r="A24" i="11"/>
  <c r="D23" i="11"/>
  <c r="A23" i="11"/>
  <c r="D22" i="11"/>
  <c r="A22" i="11"/>
  <c r="D21" i="11"/>
  <c r="A21" i="11"/>
  <c r="D20" i="11"/>
  <c r="A20" i="11"/>
  <c r="D19" i="11"/>
  <c r="A19" i="11"/>
  <c r="D18" i="11"/>
  <c r="C18" i="11"/>
  <c r="A18" i="11"/>
  <c r="D17" i="11"/>
  <c r="A17" i="11"/>
  <c r="D16" i="11"/>
  <c r="A16" i="11"/>
  <c r="D15" i="11"/>
  <c r="A15" i="11"/>
  <c r="D14" i="11"/>
  <c r="A14" i="11"/>
  <c r="D13" i="11"/>
  <c r="A13" i="11"/>
  <c r="D12" i="11"/>
  <c r="A12" i="11"/>
  <c r="D11" i="11"/>
  <c r="A11" i="11"/>
  <c r="D10" i="11"/>
  <c r="A10" i="11"/>
  <c r="D9" i="11"/>
  <c r="A9" i="11"/>
  <c r="D8" i="11"/>
  <c r="A8" i="11"/>
  <c r="D7" i="11"/>
  <c r="C7" i="11"/>
  <c r="A7" i="11"/>
  <c r="D6" i="11"/>
  <c r="A6" i="11"/>
  <c r="D5" i="11"/>
  <c r="A5" i="11"/>
  <c r="D4" i="11"/>
  <c r="A4" i="11"/>
  <c r="D3" i="11"/>
  <c r="A3" i="11"/>
  <c r="D105" i="10"/>
  <c r="A105" i="10"/>
  <c r="D104" i="10"/>
  <c r="A104" i="10"/>
  <c r="D103" i="10"/>
  <c r="A103" i="10"/>
  <c r="D102" i="10"/>
  <c r="A102" i="10"/>
  <c r="D101" i="10"/>
  <c r="A101" i="10"/>
  <c r="D100" i="10"/>
  <c r="A100" i="10"/>
  <c r="D99" i="10"/>
  <c r="A99" i="10"/>
  <c r="D98" i="10"/>
  <c r="A98" i="10"/>
  <c r="D97" i="10"/>
  <c r="A97" i="10"/>
  <c r="D96" i="10"/>
  <c r="A96" i="10"/>
  <c r="D95" i="10"/>
  <c r="A95" i="10"/>
  <c r="D94" i="10"/>
  <c r="A94" i="10"/>
  <c r="D93" i="10"/>
  <c r="A93" i="10"/>
  <c r="D92" i="10"/>
  <c r="A92" i="10"/>
  <c r="D91" i="10"/>
  <c r="A91" i="10"/>
  <c r="D90" i="10"/>
  <c r="A90" i="10"/>
  <c r="D89" i="10"/>
  <c r="A89" i="10"/>
  <c r="D88" i="10"/>
  <c r="A88" i="10"/>
  <c r="D87" i="10"/>
  <c r="A87" i="10"/>
  <c r="D86" i="10"/>
  <c r="A86" i="10"/>
  <c r="D85" i="10"/>
  <c r="A85" i="10"/>
  <c r="D84" i="10"/>
  <c r="A84" i="10"/>
  <c r="D83" i="10"/>
  <c r="A83" i="10"/>
  <c r="D82" i="10"/>
  <c r="A82" i="10"/>
  <c r="D81" i="10"/>
  <c r="A81" i="10"/>
  <c r="D80" i="10"/>
  <c r="A80" i="10"/>
  <c r="D79" i="10"/>
  <c r="A79" i="10"/>
  <c r="D78" i="10"/>
  <c r="A78" i="10"/>
  <c r="D77" i="10"/>
  <c r="A77" i="10"/>
  <c r="A76" i="10"/>
  <c r="D75" i="10"/>
  <c r="C75" i="10" s="1"/>
  <c r="A75" i="10"/>
  <c r="D74" i="10"/>
  <c r="C74" i="10" s="1"/>
  <c r="A74" i="10"/>
  <c r="D73" i="10"/>
  <c r="C73" i="10" s="1"/>
  <c r="A73" i="10"/>
  <c r="D72" i="10"/>
  <c r="C72" i="10" s="1"/>
  <c r="A72" i="10"/>
  <c r="D71" i="10"/>
  <c r="C71" i="10" s="1"/>
  <c r="A71" i="10"/>
  <c r="D70" i="10"/>
  <c r="A70" i="10"/>
  <c r="D69" i="10"/>
  <c r="A69" i="10"/>
  <c r="D68" i="10"/>
  <c r="A68" i="10"/>
  <c r="D67" i="10"/>
  <c r="A67" i="10"/>
  <c r="D66" i="10"/>
  <c r="A66" i="10"/>
  <c r="D65" i="10"/>
  <c r="A65" i="10"/>
  <c r="D64" i="10"/>
  <c r="A64" i="10"/>
  <c r="D63" i="10"/>
  <c r="C63" i="10"/>
  <c r="A63" i="10"/>
  <c r="D62" i="10"/>
  <c r="A62" i="10"/>
  <c r="D61" i="10"/>
  <c r="A61" i="10"/>
  <c r="D60" i="10"/>
  <c r="A60" i="10"/>
  <c r="A59" i="10"/>
  <c r="D58" i="10"/>
  <c r="A58" i="10"/>
  <c r="A57" i="10"/>
  <c r="D56" i="10"/>
  <c r="A56" i="10"/>
  <c r="D55" i="10"/>
  <c r="A55" i="10"/>
  <c r="D54" i="10"/>
  <c r="A54" i="10"/>
  <c r="D53" i="10"/>
  <c r="A53" i="10"/>
  <c r="D52" i="10"/>
  <c r="A52" i="10"/>
  <c r="D51" i="10"/>
  <c r="A51" i="10"/>
  <c r="D50" i="10"/>
  <c r="A50" i="10"/>
  <c r="D49" i="10"/>
  <c r="A49" i="10"/>
  <c r="D48" i="10"/>
  <c r="A48" i="10"/>
  <c r="D47" i="10"/>
  <c r="A47" i="10"/>
  <c r="D46" i="10"/>
  <c r="A46" i="10"/>
  <c r="D45" i="10"/>
  <c r="A45" i="10"/>
  <c r="D44" i="10"/>
  <c r="A44" i="10"/>
  <c r="D43" i="10"/>
  <c r="A43" i="10"/>
  <c r="D42" i="10"/>
  <c r="A42" i="10"/>
  <c r="D41" i="10"/>
  <c r="A41" i="10"/>
  <c r="D40" i="10"/>
  <c r="A40" i="10"/>
  <c r="D39" i="10"/>
  <c r="A39" i="10"/>
  <c r="D38" i="10"/>
  <c r="A38" i="10"/>
  <c r="D37" i="10"/>
  <c r="A37" i="10"/>
  <c r="D36" i="10"/>
  <c r="C36" i="10" s="1"/>
  <c r="A36" i="10"/>
  <c r="D35" i="10"/>
  <c r="C35" i="10" s="1"/>
  <c r="A35" i="10"/>
  <c r="D34" i="10"/>
  <c r="A34" i="10"/>
  <c r="D33" i="10"/>
  <c r="A33" i="10"/>
  <c r="D32" i="10"/>
  <c r="A32" i="10"/>
  <c r="D31" i="10"/>
  <c r="A31" i="10"/>
  <c r="D30" i="10"/>
  <c r="A30" i="10"/>
  <c r="D29" i="10"/>
  <c r="A29" i="10"/>
  <c r="D28" i="10"/>
  <c r="A28" i="10"/>
  <c r="D27" i="10"/>
  <c r="A27" i="10"/>
  <c r="D26" i="10"/>
  <c r="A26" i="10"/>
  <c r="D25" i="10"/>
  <c r="A25" i="10"/>
  <c r="D24" i="10"/>
  <c r="A24" i="10"/>
  <c r="D23" i="10"/>
  <c r="A23" i="10"/>
  <c r="D22" i="10"/>
  <c r="A22" i="10"/>
  <c r="D21" i="10"/>
  <c r="A21" i="10"/>
  <c r="D20" i="10"/>
  <c r="A20" i="10"/>
  <c r="D19" i="10"/>
  <c r="A19" i="10"/>
  <c r="D18" i="10"/>
  <c r="C18" i="10"/>
  <c r="A18" i="10"/>
  <c r="D17" i="10"/>
  <c r="A17" i="10"/>
  <c r="D16" i="10"/>
  <c r="A16" i="10"/>
  <c r="D15" i="10"/>
  <c r="A15" i="10"/>
  <c r="D14" i="10"/>
  <c r="A14" i="10"/>
  <c r="D13" i="10"/>
  <c r="A13" i="10"/>
  <c r="D12" i="10"/>
  <c r="A12" i="10"/>
  <c r="D11" i="10"/>
  <c r="A11" i="10"/>
  <c r="D10" i="10"/>
  <c r="A10" i="10"/>
  <c r="D9" i="10"/>
  <c r="A9" i="10"/>
  <c r="D8" i="10"/>
  <c r="A8" i="10"/>
  <c r="D7" i="10"/>
  <c r="C7" i="10"/>
  <c r="A7" i="10"/>
  <c r="D6" i="10"/>
  <c r="A6" i="10"/>
  <c r="D5" i="10"/>
  <c r="A5" i="10"/>
  <c r="D4" i="10"/>
  <c r="A4" i="10"/>
  <c r="D3" i="10"/>
  <c r="A3" i="10"/>
  <c r="D105" i="9"/>
  <c r="A105" i="9"/>
  <c r="D104" i="9"/>
  <c r="A104" i="9"/>
  <c r="D103" i="9"/>
  <c r="A103" i="9"/>
  <c r="D102" i="9"/>
  <c r="A102" i="9"/>
  <c r="D101" i="9"/>
  <c r="A101" i="9"/>
  <c r="D100" i="9"/>
  <c r="A100" i="9"/>
  <c r="D99" i="9"/>
  <c r="A99" i="9"/>
  <c r="D98" i="9"/>
  <c r="A98" i="9"/>
  <c r="D97" i="9"/>
  <c r="A97" i="9"/>
  <c r="D96" i="9"/>
  <c r="A96" i="9"/>
  <c r="D95" i="9"/>
  <c r="A95" i="9"/>
  <c r="D94" i="9"/>
  <c r="A94" i="9"/>
  <c r="D93" i="9"/>
  <c r="A93" i="9"/>
  <c r="D92" i="9"/>
  <c r="A92" i="9"/>
  <c r="D91" i="9"/>
  <c r="A91" i="9"/>
  <c r="D90" i="9"/>
  <c r="A90" i="9"/>
  <c r="D89" i="9"/>
  <c r="A89" i="9"/>
  <c r="D88" i="9"/>
  <c r="A88" i="9"/>
  <c r="D87" i="9"/>
  <c r="A87" i="9"/>
  <c r="D86" i="9"/>
  <c r="A86" i="9"/>
  <c r="D85" i="9"/>
  <c r="A85" i="9"/>
  <c r="D84" i="9"/>
  <c r="A84" i="9"/>
  <c r="D83" i="9"/>
  <c r="A83" i="9"/>
  <c r="D82" i="9"/>
  <c r="A82" i="9"/>
  <c r="D81" i="9"/>
  <c r="A81" i="9"/>
  <c r="D80" i="9"/>
  <c r="A80" i="9"/>
  <c r="D79" i="9"/>
  <c r="A79" i="9"/>
  <c r="D78" i="9"/>
  <c r="A78" i="9"/>
  <c r="D77" i="9"/>
  <c r="A77" i="9"/>
  <c r="A76" i="9"/>
  <c r="D75" i="9"/>
  <c r="C75" i="9" s="1"/>
  <c r="A75" i="9"/>
  <c r="D74" i="9"/>
  <c r="C74" i="9" s="1"/>
  <c r="A74" i="9"/>
  <c r="D73" i="9"/>
  <c r="C73" i="9" s="1"/>
  <c r="A73" i="9"/>
  <c r="D72" i="9"/>
  <c r="C72" i="9" s="1"/>
  <c r="A72" i="9"/>
  <c r="D71" i="9"/>
  <c r="C71" i="9" s="1"/>
  <c r="A71" i="9"/>
  <c r="D70" i="9"/>
  <c r="A70" i="9"/>
  <c r="D69" i="9"/>
  <c r="A69" i="9"/>
  <c r="D68" i="9"/>
  <c r="A68" i="9"/>
  <c r="D67" i="9"/>
  <c r="A67" i="9"/>
  <c r="D66" i="9"/>
  <c r="A66" i="9"/>
  <c r="D65" i="9"/>
  <c r="A65" i="9"/>
  <c r="D64" i="9"/>
  <c r="A64" i="9"/>
  <c r="D63" i="9"/>
  <c r="C63" i="9"/>
  <c r="A63" i="9"/>
  <c r="D62" i="9"/>
  <c r="A62" i="9"/>
  <c r="D61" i="9"/>
  <c r="A61" i="9"/>
  <c r="D60" i="9"/>
  <c r="A60" i="9"/>
  <c r="A59" i="9"/>
  <c r="D58" i="9"/>
  <c r="A58" i="9"/>
  <c r="A57" i="9"/>
  <c r="D56" i="9"/>
  <c r="A56" i="9"/>
  <c r="D55" i="9"/>
  <c r="A55" i="9"/>
  <c r="D54" i="9"/>
  <c r="A54" i="9"/>
  <c r="D53" i="9"/>
  <c r="A53" i="9"/>
  <c r="D52" i="9"/>
  <c r="A52" i="9"/>
  <c r="D51" i="9"/>
  <c r="A51" i="9"/>
  <c r="D50" i="9"/>
  <c r="A50" i="9"/>
  <c r="D49" i="9"/>
  <c r="A49" i="9"/>
  <c r="D48" i="9"/>
  <c r="A48" i="9"/>
  <c r="D47" i="9"/>
  <c r="A47" i="9"/>
  <c r="D46" i="9"/>
  <c r="A46" i="9"/>
  <c r="D45" i="9"/>
  <c r="A45" i="9"/>
  <c r="D44" i="9"/>
  <c r="A44" i="9"/>
  <c r="D43" i="9"/>
  <c r="A43" i="9"/>
  <c r="D42" i="9"/>
  <c r="A42" i="9"/>
  <c r="D41" i="9"/>
  <c r="A41" i="9"/>
  <c r="D40" i="9"/>
  <c r="A40" i="9"/>
  <c r="D39" i="9"/>
  <c r="A39" i="9"/>
  <c r="D38" i="9"/>
  <c r="A38" i="9"/>
  <c r="D37" i="9"/>
  <c r="A37" i="9"/>
  <c r="D36" i="9"/>
  <c r="C36" i="9" s="1"/>
  <c r="A36" i="9"/>
  <c r="D35" i="9"/>
  <c r="C35" i="9" s="1"/>
  <c r="A35" i="9"/>
  <c r="D34" i="9"/>
  <c r="A34" i="9"/>
  <c r="D33" i="9"/>
  <c r="A33" i="9"/>
  <c r="D32" i="9"/>
  <c r="A32" i="9"/>
  <c r="D31" i="9"/>
  <c r="A31" i="9"/>
  <c r="D30" i="9"/>
  <c r="A30" i="9"/>
  <c r="D29" i="9"/>
  <c r="A29" i="9"/>
  <c r="D28" i="9"/>
  <c r="A28" i="9"/>
  <c r="D27" i="9"/>
  <c r="A27" i="9"/>
  <c r="D26" i="9"/>
  <c r="A26" i="9"/>
  <c r="D25" i="9"/>
  <c r="A25" i="9"/>
  <c r="D24" i="9"/>
  <c r="A24" i="9"/>
  <c r="D23" i="9"/>
  <c r="A23" i="9"/>
  <c r="D22" i="9"/>
  <c r="A22" i="9"/>
  <c r="D21" i="9"/>
  <c r="A21" i="9"/>
  <c r="D20" i="9"/>
  <c r="A20" i="9"/>
  <c r="D19" i="9"/>
  <c r="A19" i="9"/>
  <c r="D18" i="9"/>
  <c r="C18" i="9"/>
  <c r="A18" i="9"/>
  <c r="D17" i="9"/>
  <c r="A17" i="9"/>
  <c r="D16" i="9"/>
  <c r="A16" i="9"/>
  <c r="D15" i="9"/>
  <c r="A15" i="9"/>
  <c r="D14" i="9"/>
  <c r="A14" i="9"/>
  <c r="D13" i="9"/>
  <c r="A13" i="9"/>
  <c r="D12" i="9"/>
  <c r="A12" i="9"/>
  <c r="D11" i="9"/>
  <c r="A11" i="9"/>
  <c r="D10" i="9"/>
  <c r="A10" i="9"/>
  <c r="D9" i="9"/>
  <c r="A9" i="9"/>
  <c r="D8" i="9"/>
  <c r="A8" i="9"/>
  <c r="D7" i="9"/>
  <c r="C7" i="9"/>
  <c r="A7" i="9"/>
  <c r="D6" i="9"/>
  <c r="A6" i="9"/>
  <c r="D5" i="9"/>
  <c r="A5" i="9"/>
  <c r="D4" i="9"/>
  <c r="A4" i="9"/>
  <c r="D3" i="9"/>
  <c r="A3" i="9"/>
  <c r="D105" i="8"/>
  <c r="A105" i="8"/>
  <c r="D104" i="8"/>
  <c r="A104" i="8"/>
  <c r="D103" i="8"/>
  <c r="A103" i="8"/>
  <c r="D102" i="8"/>
  <c r="A102" i="8"/>
  <c r="D101" i="8"/>
  <c r="A101" i="8"/>
  <c r="D100" i="8"/>
  <c r="A100" i="8"/>
  <c r="D99" i="8"/>
  <c r="A99" i="8"/>
  <c r="D98" i="8"/>
  <c r="A98" i="8"/>
  <c r="D97" i="8"/>
  <c r="A97" i="8"/>
  <c r="D96" i="8"/>
  <c r="A96" i="8"/>
  <c r="D95" i="8"/>
  <c r="A95" i="8"/>
  <c r="D94" i="8"/>
  <c r="A94" i="8"/>
  <c r="D93" i="8"/>
  <c r="A93" i="8"/>
  <c r="D92" i="8"/>
  <c r="A92" i="8"/>
  <c r="D91" i="8"/>
  <c r="A91" i="8"/>
  <c r="D90" i="8"/>
  <c r="A90" i="8"/>
  <c r="D89" i="8"/>
  <c r="A89" i="8"/>
  <c r="D88" i="8"/>
  <c r="A88" i="8"/>
  <c r="D87" i="8"/>
  <c r="A87" i="8"/>
  <c r="D86" i="8"/>
  <c r="A86" i="8"/>
  <c r="D85" i="8"/>
  <c r="A85" i="8"/>
  <c r="D84" i="8"/>
  <c r="A84" i="8"/>
  <c r="D83" i="8"/>
  <c r="A83" i="8"/>
  <c r="D82" i="8"/>
  <c r="A82" i="8"/>
  <c r="D81" i="8"/>
  <c r="A81" i="8"/>
  <c r="D80" i="8"/>
  <c r="A80" i="8"/>
  <c r="D79" i="8"/>
  <c r="A79" i="8"/>
  <c r="D78" i="8"/>
  <c r="A78" i="8"/>
  <c r="D77" i="8"/>
  <c r="A77" i="8"/>
  <c r="A76" i="8"/>
  <c r="D75" i="8"/>
  <c r="C75" i="8" s="1"/>
  <c r="A75" i="8"/>
  <c r="D74" i="8"/>
  <c r="C74" i="8" s="1"/>
  <c r="A74" i="8"/>
  <c r="D73" i="8"/>
  <c r="C73" i="8" s="1"/>
  <c r="A73" i="8"/>
  <c r="D72" i="8"/>
  <c r="C72" i="8" s="1"/>
  <c r="A72" i="8"/>
  <c r="D71" i="8"/>
  <c r="C71" i="8" s="1"/>
  <c r="A71" i="8"/>
  <c r="D70" i="8"/>
  <c r="A70" i="8"/>
  <c r="D69" i="8"/>
  <c r="A69" i="8"/>
  <c r="D68" i="8"/>
  <c r="A68" i="8"/>
  <c r="D67" i="8"/>
  <c r="A67" i="8"/>
  <c r="D66" i="8"/>
  <c r="A66" i="8"/>
  <c r="D65" i="8"/>
  <c r="A65" i="8"/>
  <c r="D64" i="8"/>
  <c r="A64" i="8"/>
  <c r="D63" i="8"/>
  <c r="C63" i="8"/>
  <c r="A63" i="8"/>
  <c r="D62" i="8"/>
  <c r="A62" i="8"/>
  <c r="D61" i="8"/>
  <c r="A61" i="8"/>
  <c r="D60" i="8"/>
  <c r="A60" i="8"/>
  <c r="A59" i="8"/>
  <c r="D58" i="8"/>
  <c r="A58" i="8"/>
  <c r="A57" i="8"/>
  <c r="D56" i="8"/>
  <c r="A56" i="8"/>
  <c r="D55" i="8"/>
  <c r="A55" i="8"/>
  <c r="D54" i="8"/>
  <c r="A54" i="8"/>
  <c r="D53" i="8"/>
  <c r="A53" i="8"/>
  <c r="D52" i="8"/>
  <c r="A52" i="8"/>
  <c r="D51" i="8"/>
  <c r="A51" i="8"/>
  <c r="D50" i="8"/>
  <c r="A50" i="8"/>
  <c r="D49" i="8"/>
  <c r="A49" i="8"/>
  <c r="D48" i="8"/>
  <c r="A48" i="8"/>
  <c r="D47" i="8"/>
  <c r="A47" i="8"/>
  <c r="D46" i="8"/>
  <c r="A46" i="8"/>
  <c r="D45" i="8"/>
  <c r="A45" i="8"/>
  <c r="D44" i="8"/>
  <c r="A44" i="8"/>
  <c r="D43" i="8"/>
  <c r="A43" i="8"/>
  <c r="D42" i="8"/>
  <c r="A42" i="8"/>
  <c r="D41" i="8"/>
  <c r="A41" i="8"/>
  <c r="D40" i="8"/>
  <c r="A40" i="8"/>
  <c r="D39" i="8"/>
  <c r="A39" i="8"/>
  <c r="D38" i="8"/>
  <c r="A38" i="8"/>
  <c r="D37" i="8"/>
  <c r="A37" i="8"/>
  <c r="D36" i="8"/>
  <c r="C36" i="8" s="1"/>
  <c r="A36" i="8"/>
  <c r="D35" i="8"/>
  <c r="C35" i="8" s="1"/>
  <c r="A35" i="8"/>
  <c r="D34" i="8"/>
  <c r="A34" i="8"/>
  <c r="D33" i="8"/>
  <c r="A33" i="8"/>
  <c r="D32" i="8"/>
  <c r="A32" i="8"/>
  <c r="D31" i="8"/>
  <c r="A31" i="8"/>
  <c r="D30" i="8"/>
  <c r="A30" i="8"/>
  <c r="D29" i="8"/>
  <c r="A29" i="8"/>
  <c r="D28" i="8"/>
  <c r="A28" i="8"/>
  <c r="D27" i="8"/>
  <c r="A27" i="8"/>
  <c r="D26" i="8"/>
  <c r="A26" i="8"/>
  <c r="D25" i="8"/>
  <c r="A25" i="8"/>
  <c r="D24" i="8"/>
  <c r="A24" i="8"/>
  <c r="D23" i="8"/>
  <c r="A23" i="8"/>
  <c r="D22" i="8"/>
  <c r="A22" i="8"/>
  <c r="D21" i="8"/>
  <c r="A21" i="8"/>
  <c r="D20" i="8"/>
  <c r="A20" i="8"/>
  <c r="D19" i="8"/>
  <c r="A19" i="8"/>
  <c r="D18" i="8"/>
  <c r="C18" i="8"/>
  <c r="A18" i="8"/>
  <c r="D17" i="8"/>
  <c r="A17" i="8"/>
  <c r="D16" i="8"/>
  <c r="A16" i="8"/>
  <c r="D15" i="8"/>
  <c r="A15" i="8"/>
  <c r="D14" i="8"/>
  <c r="A14" i="8"/>
  <c r="D13" i="8"/>
  <c r="A13" i="8"/>
  <c r="D12" i="8"/>
  <c r="A12" i="8"/>
  <c r="D11" i="8"/>
  <c r="A11" i="8"/>
  <c r="D10" i="8"/>
  <c r="A10" i="8"/>
  <c r="D9" i="8"/>
  <c r="A9" i="8"/>
  <c r="D8" i="8"/>
  <c r="A8" i="8"/>
  <c r="D7" i="8"/>
  <c r="C7" i="8"/>
  <c r="A7" i="8"/>
  <c r="D6" i="8"/>
  <c r="A6" i="8"/>
  <c r="D5" i="8"/>
  <c r="A5" i="8"/>
  <c r="D4" i="8"/>
  <c r="A4" i="8"/>
  <c r="D3" i="8"/>
  <c r="A3" i="8"/>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A76" i="7"/>
  <c r="D75" i="7"/>
  <c r="C75" i="7" s="1"/>
  <c r="A75" i="7"/>
  <c r="D74" i="7"/>
  <c r="C74" i="7" s="1"/>
  <c r="A74" i="7"/>
  <c r="D73" i="7"/>
  <c r="C73" i="7" s="1"/>
  <c r="A73" i="7"/>
  <c r="D72" i="7"/>
  <c r="C72" i="7" s="1"/>
  <c r="A72" i="7"/>
  <c r="D71" i="7"/>
  <c r="C71" i="7" s="1"/>
  <c r="A71" i="7"/>
  <c r="D70" i="7"/>
  <c r="A70" i="7"/>
  <c r="D69" i="7"/>
  <c r="A69" i="7"/>
  <c r="D68" i="7"/>
  <c r="A68" i="7"/>
  <c r="D67" i="7"/>
  <c r="A67" i="7"/>
  <c r="D66" i="7"/>
  <c r="A66" i="7"/>
  <c r="D65" i="7"/>
  <c r="A65" i="7"/>
  <c r="D64" i="7"/>
  <c r="A64" i="7"/>
  <c r="D63" i="7"/>
  <c r="C63" i="7"/>
  <c r="A63" i="7"/>
  <c r="D62" i="7"/>
  <c r="A62" i="7"/>
  <c r="D61" i="7"/>
  <c r="A61" i="7"/>
  <c r="D60" i="7"/>
  <c r="A60" i="7"/>
  <c r="A59" i="7"/>
  <c r="D58" i="7"/>
  <c r="A58"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C36" i="7" s="1"/>
  <c r="A36" i="7"/>
  <c r="D35" i="7"/>
  <c r="C35" i="7" s="1"/>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C18" i="7"/>
  <c r="A18" i="7"/>
  <c r="D17" i="7"/>
  <c r="A17" i="7"/>
  <c r="D16" i="7"/>
  <c r="A16" i="7"/>
  <c r="D15" i="7"/>
  <c r="A15" i="7"/>
  <c r="D14" i="7"/>
  <c r="A14" i="7"/>
  <c r="D13" i="7"/>
  <c r="A13" i="7"/>
  <c r="D12" i="7"/>
  <c r="A12" i="7"/>
  <c r="D11" i="7"/>
  <c r="A11" i="7"/>
  <c r="D10" i="7"/>
  <c r="A10" i="7"/>
  <c r="D9" i="7"/>
  <c r="A9" i="7"/>
  <c r="D8" i="7"/>
  <c r="A8" i="7"/>
  <c r="D7" i="7"/>
  <c r="C7" i="7"/>
  <c r="A7" i="7"/>
  <c r="D6" i="7"/>
  <c r="A6" i="7"/>
  <c r="D5" i="7"/>
  <c r="A5" i="7"/>
  <c r="D4" i="7"/>
  <c r="A4" i="7"/>
  <c r="D3" i="7"/>
  <c r="A3" i="7"/>
  <c r="X2" i="55"/>
  <c r="P2" i="55"/>
  <c r="P2" i="54"/>
  <c r="P2" i="53"/>
  <c r="Y2" i="53" s="1"/>
  <c r="P2" i="52"/>
  <c r="Y2" i="52" s="1"/>
  <c r="P2" i="51"/>
  <c r="Y2" i="51" s="1"/>
  <c r="Y2" i="50"/>
  <c r="P2" i="50"/>
  <c r="Y2" i="49"/>
  <c r="P2" i="49"/>
  <c r="P2" i="48"/>
  <c r="Y2" i="48" s="1"/>
  <c r="Q18" i="65"/>
  <c r="O35" i="62" s="1"/>
  <c r="AC2" i="41"/>
  <c r="D7" i="65" l="1"/>
  <c r="C17" i="41"/>
  <c r="F8" i="63"/>
  <c r="F8" i="65"/>
  <c r="AA4" i="41"/>
  <c r="K5" i="41" s="1"/>
  <c r="K2" i="41"/>
  <c r="N1" i="90"/>
  <c r="N4" i="90"/>
  <c r="P4" i="90" s="1"/>
  <c r="K7" i="41" s="1"/>
  <c r="M2" i="90"/>
  <c r="E2" i="41"/>
  <c r="C14" i="41"/>
  <c r="AL32" i="41"/>
  <c r="AL30" i="41"/>
  <c r="AL31" i="41"/>
  <c r="A1" i="63"/>
  <c r="K1" i="63"/>
  <c r="A1" i="62"/>
  <c r="K1" i="62"/>
  <c r="B1" i="62"/>
  <c r="A1" i="65"/>
  <c r="K1" i="65"/>
  <c r="B1" i="65"/>
  <c r="AG10" i="41"/>
  <c r="U4" i="61"/>
  <c r="T4" i="61"/>
  <c r="F7" i="67"/>
  <c r="G7" i="67" s="1"/>
  <c r="H7" i="67" s="1"/>
  <c r="I7" i="67" s="1"/>
  <c r="J7" i="67" s="1"/>
  <c r="K7" i="67" s="1"/>
  <c r="I5" i="79"/>
  <c r="A1" i="41"/>
  <c r="U1" i="41"/>
  <c r="J5" i="79"/>
  <c r="I13" i="76"/>
  <c r="D7" i="62"/>
  <c r="D7" i="63"/>
  <c r="F8" i="62"/>
  <c r="V57" i="69"/>
  <c r="L35" i="62"/>
  <c r="R3" i="41"/>
  <c r="K3" i="41"/>
  <c r="F3" i="41"/>
  <c r="E9" i="41"/>
  <c r="AL41" i="41"/>
  <c r="AL35" i="41" a="1"/>
  <c r="M21" i="63"/>
  <c r="I21" i="63" s="1"/>
  <c r="I22" i="63"/>
  <c r="J22" i="63" s="1"/>
  <c r="M22" i="63"/>
  <c r="O12" i="62"/>
  <c r="O14" i="62"/>
  <c r="N14" i="62"/>
  <c r="N20" i="62"/>
  <c r="AA28" i="41"/>
  <c r="N12" i="62"/>
  <c r="B16" i="62" s="1"/>
  <c r="E14" i="41"/>
  <c r="AD25" i="41"/>
  <c r="L1" i="41"/>
  <c r="AO5" i="41"/>
  <c r="AO3" i="41"/>
  <c r="AX3" i="41" s="1"/>
  <c r="AM4" i="41"/>
  <c r="AD6" i="41"/>
  <c r="AA37" i="41"/>
  <c r="AB30" i="41"/>
  <c r="X57" i="69"/>
  <c r="Z57" i="69" s="1"/>
  <c r="V56" i="69"/>
  <c r="W56" i="69"/>
  <c r="Y56" i="69" s="1"/>
  <c r="U56" i="69"/>
  <c r="X54" i="69"/>
  <c r="Z54" i="69" s="1"/>
  <c r="V54" i="69"/>
  <c r="C4" i="66"/>
  <c r="C22" i="41" s="1"/>
  <c r="AL6" i="41" a="1"/>
  <c r="AL8" i="41" a="1"/>
  <c r="AL9" i="41" a="1"/>
  <c r="AL7" i="41" a="1"/>
  <c r="AC5" i="41" a="1"/>
  <c r="L7" i="41" l="1"/>
  <c r="X4" i="61"/>
  <c r="Y4" i="61" s="1"/>
  <c r="V4" i="61"/>
  <c r="W4" i="61" s="1"/>
  <c r="N13" i="62"/>
  <c r="M7" i="67"/>
  <c r="N7" i="67" s="1"/>
  <c r="O7" i="67" s="1"/>
  <c r="P7" i="67" s="1"/>
  <c r="Q7" i="67" s="1"/>
  <c r="R7" i="67" s="1"/>
  <c r="S7" i="67" s="1"/>
  <c r="T7" i="67" s="1"/>
  <c r="U7" i="67" s="1"/>
  <c r="V7" i="67" s="1"/>
  <c r="W7" i="67" s="1"/>
  <c r="X7" i="67" s="1"/>
  <c r="Y7" i="67" s="1"/>
  <c r="Z7" i="67" s="1"/>
  <c r="AA7" i="67" s="1"/>
  <c r="AB7" i="67" s="1"/>
  <c r="AC7" i="67" s="1"/>
  <c r="AD7" i="67" s="1"/>
  <c r="AE7" i="67" s="1"/>
  <c r="AF7" i="67" s="1"/>
  <c r="AG7" i="67" s="1"/>
  <c r="AH7" i="67" s="1"/>
  <c r="AI7" i="67" s="1"/>
  <c r="AJ7" i="67" s="1"/>
  <c r="AK7" i="67" s="1"/>
  <c r="AL7" i="67" s="1"/>
  <c r="L7" i="67"/>
  <c r="B21" i="62"/>
  <c r="M5" i="79"/>
  <c r="N5" i="79" s="1"/>
  <c r="I14" i="65" s="1"/>
  <c r="K5" i="79"/>
  <c r="L5" i="79" s="1"/>
  <c r="O13" i="62"/>
  <c r="N22" i="62"/>
  <c r="B25" i="62" s="1"/>
  <c r="N21" i="62"/>
  <c r="AL33" i="41"/>
  <c r="AX5" i="41"/>
  <c r="AP3" i="41"/>
  <c r="AS3" i="41" s="1"/>
  <c r="AT3" i="41" s="1"/>
  <c r="AP5" i="41"/>
  <c r="AU5" i="41"/>
  <c r="AQ3" i="41"/>
  <c r="Z7" i="41" a="1"/>
  <c r="P4" i="41" a="1"/>
  <c r="O21" i="62" l="1"/>
  <c r="J24" i="62" s="1"/>
  <c r="B24" i="62"/>
  <c r="J17" i="62"/>
  <c r="J16" i="63"/>
  <c r="J17" i="63" s="1"/>
  <c r="E16" i="62"/>
  <c r="K6" i="41"/>
  <c r="H11" i="65"/>
  <c r="J16" i="62"/>
  <c r="J21" i="62"/>
  <c r="O22" i="62"/>
  <c r="J25" i="62" s="1"/>
  <c r="AV5" i="41"/>
  <c r="AQ5" i="41"/>
  <c r="BA3" i="41" s="1"/>
  <c r="AS5" i="41"/>
  <c r="AT5" i="41" s="1"/>
  <c r="AW3" i="41" s="1"/>
  <c r="I28" i="62"/>
  <c r="I27" i="62"/>
  <c r="B13" i="65" l="1"/>
  <c r="B15" i="65"/>
  <c r="N15" i="62"/>
  <c r="B22" i="62"/>
  <c r="B18" i="63"/>
  <c r="J18" i="63"/>
  <c r="O15" i="62"/>
  <c r="L34" i="62"/>
  <c r="I33" i="62" s="1"/>
  <c r="B33" i="62"/>
  <c r="J22" i="62"/>
  <c r="B23" i="65"/>
  <c r="BB3" i="41"/>
  <c r="B24" i="65" s="1"/>
  <c r="H13" i="65" l="1"/>
  <c r="B14" i="65" s="1"/>
  <c r="J23" i="65"/>
  <c r="B20" i="63"/>
  <c r="J20" i="63"/>
  <c r="J23" i="62"/>
  <c r="J26" i="62" s="1"/>
  <c r="J27" i="62" s="1"/>
  <c r="B23" i="62"/>
  <c r="J28" i="62"/>
  <c r="BC3" i="41"/>
  <c r="H14" i="65" l="1"/>
  <c r="B16" i="65" s="1"/>
  <c r="J21" i="63"/>
  <c r="J23" i="63" s="1"/>
  <c r="J29" i="62"/>
  <c r="J31" i="62" s="1"/>
  <c r="B29" i="62"/>
  <c r="J24" i="65"/>
  <c r="H16" i="65" l="1"/>
  <c r="H17" i="65" s="1"/>
  <c r="B23" i="63"/>
  <c r="B26" i="63"/>
  <c r="J26" i="63"/>
  <c r="J30" i="62"/>
  <c r="H18" i="65"/>
  <c r="B26" i="62"/>
  <c r="J32" i="62" l="1"/>
  <c r="B34" i="62" s="1"/>
  <c r="J27" i="63"/>
  <c r="J28" i="63"/>
  <c r="N31" i="62"/>
  <c r="H19" i="65"/>
  <c r="H20" i="65" s="1"/>
  <c r="B32" i="62" l="1"/>
  <c r="H21" i="65"/>
  <c r="B19" i="65"/>
  <c r="L29" i="65"/>
  <c r="H26" i="65" l="1"/>
  <c r="N32" i="62"/>
  <c r="Q11" i="62"/>
  <c r="Q12" i="62" s="1"/>
  <c r="Q14" i="62" s="1"/>
  <c r="Q21" i="62" s="1"/>
  <c r="M35" i="62"/>
  <c r="O36" i="62" s="1"/>
  <c r="O38" i="62" s="1"/>
  <c r="O41" i="62" s="1"/>
  <c r="I34" i="62" s="1"/>
  <c r="J31" i="63"/>
  <c r="B22" i="65"/>
  <c r="H22" i="65"/>
  <c r="Q23" i="62" l="1"/>
  <c r="J26" i="65" s="1"/>
  <c r="J29" i="63"/>
  <c r="I37" i="62" s="1"/>
  <c r="Q17" i="65"/>
  <c r="J30" i="63"/>
  <c r="I35" i="62"/>
  <c r="B35" i="62" s="1"/>
  <c r="L30" i="65"/>
  <c r="O36" i="63" l="1"/>
  <c r="O37" i="63" s="1"/>
  <c r="O39" i="63" s="1"/>
  <c r="O45" i="63" s="1"/>
  <c r="Q19" i="65"/>
  <c r="L32" i="65"/>
  <c r="H27" i="65"/>
  <c r="W22" i="65" l="1"/>
  <c r="B25" i="65" s="1"/>
  <c r="X22" i="65" l="1"/>
  <c r="J25" i="65" s="1"/>
  <c r="S37" i="56"/>
  <c r="R37" i="56"/>
  <c r="Q37" i="56"/>
  <c r="S36" i="56"/>
  <c r="R36" i="56"/>
  <c r="Q36" i="56"/>
  <c r="S35" i="56"/>
  <c r="R35" i="56"/>
  <c r="Q35" i="56"/>
  <c r="S34" i="56"/>
  <c r="R34" i="56"/>
  <c r="Q34" i="56"/>
  <c r="S33" i="56"/>
  <c r="R33" i="56"/>
  <c r="Q33" i="56"/>
  <c r="Y32" i="56"/>
  <c r="Z32" i="56" s="1"/>
  <c r="S32" i="56"/>
  <c r="R32" i="56"/>
  <c r="Q32" i="56"/>
  <c r="Y31" i="56"/>
  <c r="Z31" i="56" s="1"/>
  <c r="S31" i="56"/>
  <c r="R31" i="56"/>
  <c r="Q31" i="56"/>
  <c r="Y30" i="56"/>
  <c r="Z30" i="56" s="1"/>
  <c r="S30" i="56"/>
  <c r="R30" i="56"/>
  <c r="Q30" i="56"/>
  <c r="Y29" i="56"/>
  <c r="Z29" i="56" s="1"/>
  <c r="S29" i="56"/>
  <c r="R29" i="56"/>
  <c r="Q29" i="56"/>
  <c r="Y28" i="56"/>
  <c r="Z28" i="56" s="1"/>
  <c r="S28" i="56"/>
  <c r="R28" i="56"/>
  <c r="Q28" i="56"/>
  <c r="Y27" i="56"/>
  <c r="Z27" i="56" s="1"/>
  <c r="S27" i="56"/>
  <c r="R27" i="56"/>
  <c r="Q27" i="56"/>
  <c r="Y26" i="56"/>
  <c r="Z26" i="56" s="1"/>
  <c r="S26" i="56"/>
  <c r="R26" i="56"/>
  <c r="Q26" i="56"/>
  <c r="Y25" i="56"/>
  <c r="Z25" i="56" s="1"/>
  <c r="S25" i="56"/>
  <c r="R25" i="56"/>
  <c r="Q25" i="56"/>
  <c r="Y24" i="56"/>
  <c r="Z24" i="56" s="1"/>
  <c r="S24" i="56"/>
  <c r="R24" i="56"/>
  <c r="Q24" i="56"/>
  <c r="Y23" i="56"/>
  <c r="Z23" i="56" s="1"/>
  <c r="S23" i="56"/>
  <c r="R23" i="56"/>
  <c r="Q23" i="56"/>
  <c r="Y22" i="56"/>
  <c r="Z22" i="56" s="1"/>
  <c r="S22" i="56"/>
  <c r="R22" i="56"/>
  <c r="Q22" i="56"/>
  <c r="Y21" i="56"/>
  <c r="Z21" i="56" s="1"/>
  <c r="S21" i="56"/>
  <c r="R21" i="56"/>
  <c r="Q21" i="56"/>
  <c r="Y20" i="56"/>
  <c r="Z20" i="56" s="1"/>
  <c r="S20" i="56"/>
  <c r="R20" i="56"/>
  <c r="Q20" i="56"/>
  <c r="Y19" i="56"/>
  <c r="Z19" i="56" s="1"/>
  <c r="S19" i="56"/>
  <c r="R19" i="56"/>
  <c r="Q19" i="56"/>
  <c r="Y18" i="56"/>
  <c r="Z18" i="56" s="1"/>
  <c r="S18" i="56"/>
  <c r="R18" i="56"/>
  <c r="Q18" i="56"/>
  <c r="Y17" i="56"/>
  <c r="Z17" i="56" s="1"/>
  <c r="S17" i="56"/>
  <c r="R17" i="56"/>
  <c r="Q17" i="56"/>
  <c r="Y16" i="56"/>
  <c r="Z16" i="56" s="1"/>
  <c r="S16" i="56"/>
  <c r="R16" i="56"/>
  <c r="Q16" i="56"/>
  <c r="Y15" i="56"/>
  <c r="Z15" i="56" s="1"/>
  <c r="S15" i="56"/>
  <c r="R15" i="56"/>
  <c r="Q15" i="56"/>
  <c r="Y14" i="56"/>
  <c r="Z14" i="56" s="1"/>
  <c r="S14" i="56"/>
  <c r="R14" i="56"/>
  <c r="Q14" i="56"/>
  <c r="Y13" i="56"/>
  <c r="Z13" i="56" s="1"/>
  <c r="S13" i="56"/>
  <c r="R13" i="56"/>
  <c r="Q13" i="56"/>
  <c r="Y12" i="56"/>
  <c r="Z12" i="56" s="1"/>
  <c r="S12" i="56"/>
  <c r="R12" i="56"/>
  <c r="Q12" i="56"/>
  <c r="Y11" i="56"/>
  <c r="Z11" i="56" s="1"/>
  <c r="S11" i="56"/>
  <c r="R11" i="56"/>
  <c r="Q11" i="56"/>
  <c r="Y10" i="56"/>
  <c r="Z10" i="56" s="1"/>
  <c r="S10" i="56"/>
  <c r="R10" i="56"/>
  <c r="Q10" i="56"/>
  <c r="Y9" i="56"/>
  <c r="Z9" i="56" s="1"/>
  <c r="S9" i="56"/>
  <c r="R9" i="56"/>
  <c r="Q9" i="56"/>
  <c r="Y8" i="56"/>
  <c r="Z8" i="56" s="1"/>
  <c r="S8" i="56"/>
  <c r="R8" i="56"/>
  <c r="Q8" i="56"/>
  <c r="Y7" i="56"/>
  <c r="Z7" i="56" s="1"/>
  <c r="S7" i="56"/>
  <c r="R7" i="56"/>
  <c r="Q7" i="56"/>
  <c r="Y6" i="56"/>
  <c r="Z6" i="56" s="1"/>
  <c r="S6" i="56"/>
  <c r="R6" i="56"/>
  <c r="Q6" i="56"/>
  <c r="Y5" i="56"/>
  <c r="Z5" i="56" s="1"/>
  <c r="S5" i="56"/>
  <c r="R5" i="56"/>
  <c r="Q5" i="56"/>
  <c r="Y4" i="56"/>
  <c r="Z4" i="56" s="1"/>
  <c r="S4" i="56"/>
  <c r="R4" i="56"/>
  <c r="Q4" i="56"/>
  <c r="Y3" i="56"/>
  <c r="Z3" i="56" s="1"/>
  <c r="S3" i="56"/>
  <c r="R3" i="56"/>
  <c r="Q3" i="56"/>
  <c r="AJ2" i="56"/>
  <c r="AE2" i="56"/>
  <c r="Y2" i="56"/>
  <c r="Z2" i="56" s="1"/>
  <c r="S2" i="56"/>
  <c r="I14" i="41" s="1"/>
  <c r="R2" i="56"/>
  <c r="G14" i="41" s="1"/>
  <c r="Q2" i="56"/>
  <c r="F2" i="40"/>
  <c r="F2" i="39"/>
  <c r="F2" i="38"/>
  <c r="F2" i="57"/>
  <c r="F2" i="36"/>
  <c r="F2" i="35"/>
  <c r="F2" i="31"/>
  <c r="F2" i="30"/>
  <c r="F2" i="29"/>
  <c r="F2" i="28"/>
  <c r="F2" i="27"/>
  <c r="F2" i="26"/>
  <c r="F2" i="25"/>
  <c r="F2" i="24"/>
  <c r="F2" i="23"/>
  <c r="F2" i="22"/>
  <c r="F2" i="21"/>
  <c r="F2" i="20"/>
  <c r="F2" i="19"/>
  <c r="F2" i="18"/>
  <c r="F2" i="17"/>
  <c r="F2" i="16"/>
  <c r="F2" i="15"/>
  <c r="F2" i="14"/>
  <c r="F2" i="13"/>
  <c r="F2" i="12"/>
  <c r="F2" i="11"/>
  <c r="F2" i="10"/>
  <c r="F2" i="9"/>
  <c r="F2" i="8"/>
  <c r="F2" i="7"/>
  <c r="B4" i="67"/>
  <c r="AL35" i="41"/>
  <c r="X27" i="41"/>
  <c r="AL9" i="41"/>
  <c r="AL8" i="41"/>
  <c r="AL7" i="41"/>
  <c r="Z7" i="41"/>
  <c r="AL6" i="41"/>
  <c r="AC5" i="41"/>
  <c r="P4" i="41"/>
  <c r="Z2" i="41"/>
  <c r="C15" i="41" l="1"/>
  <c r="AL10" i="41"/>
  <c r="AL37" i="41" s="1"/>
  <c r="K10" i="4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1">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futureMetadata>
  <cellMetadata count="1">
    <bk>
      <rc t="1" v="0"/>
    </bk>
  </cellMetadata>
  <valueMetadata count="41">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valueMetadata>
</metadata>
</file>

<file path=xl/sharedStrings.xml><?xml version="1.0" encoding="utf-8"?>
<sst xmlns="http://schemas.openxmlformats.org/spreadsheetml/2006/main" count="79537" uniqueCount="4680">
  <si>
    <t>Belgien</t>
  </si>
  <si>
    <t>Bulgarien</t>
  </si>
  <si>
    <t>Dänemark</t>
  </si>
  <si>
    <t>Deutschland</t>
  </si>
  <si>
    <t>Estland</t>
  </si>
  <si>
    <t>Finnland</t>
  </si>
  <si>
    <t>Frankreich</t>
  </si>
  <si>
    <t>Griechenland</t>
  </si>
  <si>
    <t>Irland</t>
  </si>
  <si>
    <t>Island</t>
  </si>
  <si>
    <t>Italien</t>
  </si>
  <si>
    <t>Kroatien</t>
  </si>
  <si>
    <t>Lettland</t>
  </si>
  <si>
    <t>Liechtenstein</t>
  </si>
  <si>
    <t>Litauen</t>
  </si>
  <si>
    <t>Luxemburg</t>
  </si>
  <si>
    <t>Malta</t>
  </si>
  <si>
    <t>Niederlande</t>
  </si>
  <si>
    <t>Norwegen</t>
  </si>
  <si>
    <t>Österreich</t>
  </si>
  <si>
    <t>Polen</t>
  </si>
  <si>
    <t>Portugal</t>
  </si>
  <si>
    <t>Rumänien</t>
  </si>
  <si>
    <t>Schweden</t>
  </si>
  <si>
    <t>Schweiz</t>
  </si>
  <si>
    <t>Slowakei</t>
  </si>
  <si>
    <t>Slowenien</t>
  </si>
  <si>
    <t>Spanien</t>
  </si>
  <si>
    <t>Tschechische Republik</t>
  </si>
  <si>
    <t>Ungarn</t>
  </si>
  <si>
    <t>Zypern</t>
  </si>
  <si>
    <t>Arbeitnehmer:
Königlicher Erlass Nr. 50 vom 24. Oktober 1967 über Alters- und Hinterliebenenpensionen für Arbeitnehmer (Arrêté royal n° 50 relatif à la pension de retraite et de survie des travailleurs salariés/Koninklijk besluit nr 50 betreffende het rust- en overlevingspensioen voor werknemers).
Königlicher Erlass vom 21. Dezember 1967 zur Einführung einer allgemeinen Regelung über die Ruhestands- und Hinterbliebenenpension für Lohnempfänger (Koninklijk besluit tot vaststelling van het algemeen reglement betreffende het rust- en overlevingspensioen voor werknemers)
Königlicher Erlass vom 23. Dezember 1996 zur Ausführung der Artikel 15, 16 und 17 des Gesetzes vom 26. Juli 1996 zur Modernisierung der sozialen Sicherheit und zur Sicherung der gesetzlichen Pensionsregelungen (Koninklijk besluit tot uitvoering van de artikelen 15, 16 en 17 van de wet van 26 juli 1996 tot modernisering van de sociale zekerheid en tot vrijwaring van de leefbaarheid van de wettelijke pensioenen).
Selbstständige:
Königlicher Erlass Nr. 72 vom 10. November 1967 über Alters- und Hinterliebenenpensionen für Selbstständige (Arrêté royal n° 72 relatif à la pension de retraite et de survie des travailleurs indépendants/Koninklijk besluit nr 72 betreffende het rust- en overlevingspensioen der zelfstandigen)
Königlicher Erlass vom 22. Dezember 1967 zur Einführung einer allgemeinen Regelung über die Ruhestands- und Hinterbliebenenpension für Selbständige (Koninklijk besluit houdende algemeen reglement betreffende het rust- en overlevingspensioen der zelfstandigen)
Verzeichnis der Rechtsakte: Moniteur Belge - Belgisch Staatsblad (fgov.be)</t>
  </si>
  <si>
    <t>Sozialgesetzbuch (Кодекс за социално осигуряване) von 1999, Abschnitt 2003 novelliert.
Gesetz über den Haushalt der staatlichen Sozialversicherung für das Jahr 2025 (Закон за бюджета на държавното обществено осигуряване за 2025 г.), 2025.
Verordnung über Kategorisierung von Arbeit bei Pensionierung (verabschiedet mit Dekret 235 von 20.10.1998) (Наредба за категоризиране на труда при пенсиониране (приета с ПМС №235 от 20.10.1998 г.)</t>
  </si>
  <si>
    <t>Konsolidiertes Gesetz Nr. 1123 vom 21. Oktober 2024 über Volksrenten (bekendtgørelse af lov om social pension).
Konsolidiertes Gesetz Nr. 1120 vom 17 September 2015 über Teilrenten (bekendtgørelse af lov om delpension).
Konsolidiertes Gesetz Nr. 1142 vom 1. November 2024 über Zusatzrenten (lov om arbejdsmarkedets tillægspension, ATP).
Verzeichnis der Rechtsakte: https://www.retsinformation.dk/</t>
  </si>
  <si>
    <t>Sozialgesetzbuch Sechstes Buch, eingeführt durch das Rentenreformgesetz vom 18. Dezember 1989, in der Fassung der Bekanntmachung vom 19. Februar 2002 (BGBl. I S. 754, 1404, 3384) zuletzt geändert durch Art. 11 G v. 18.12.2024 (BGBl. I Nr. 423).
SGB 6 - nichtamtliches Inhaltsverzeichnis (gesetze-im-internet.de).</t>
  </si>
  <si>
    <t>Gesetz über die staatliche Rentenversicherung (Riikliku pensionikindlustuse seadus) 2001.
Gesetz über Altersrenten unter günstigen Bedingungen (Soodustingimustel vanaduspensionide seadus) 1992.
Gesetz über Renten bei Erreichen einer bestimmten Altersgrenze (Väljateenitud aastate pensionide seadus) 1992.
Gesetz für von Besatzungsmächten unterdrückte Personen (Okupatsioonirežiimide poolt represseeritud isiku seadus) 2004.
Gesetz über die kapitalgedeckte Rente (Kogumispensionide seadus) 2004.
Verzeichnis der Rechtsakte – siehe hier.</t>
  </si>
  <si>
    <t>Gesetz über die Volksrenten Nr. 568/2007 (Kansaneläkelaki, KEL).
Gesetz über die garantierten Renten Nr. 703/2010 (Laki takuueläkkeestä).
Gesetz über Renten für Seeleute Nr. 1290/2006 (Merimieseläkelaki, MEL).
Gesetz über Renten für Arbeitnehmer 395/2006 (Työntekijän eläkelaki, TyEL).
Gesetz über Renten für den öffentlichen Sektor Nr. 81/2016 (Julkisten alojen eläkelaki).
Gesetz über Renten der Selbstständigen Nr. 1272/2006 (Yrittäjän eläkelaki, YEL).
Rentengesetz für Landwirte Nr. 1280/2006 (Maatalousyrittäjän eläkelaki, MYEL).
Verzeichnis der Rechtsakte: https://www.finlex.fi/en/</t>
  </si>
  <si>
    <t>Gesetz Nr. 1846/51 vom 14. Juni 1951, in der durch das Gesetz Nr. 2676/99 vom 5. Januar 1999 geänderten Fassung.
Gesetz Nr. 1902/90 vom 17. Oktober 1990.
Gesetz Nr. 2084/92 vom 7. Oktober 1992.
Gesetz Nr. 3029/02 vom 11. Juli 2002.
Gesetz Nr. 3232/04 vom 12. Februar 2004.
Gesetz Nr. 3385/05 vom Freitag, 19. August 2005.
Gesetz Nr. 3518/06 vom 21. Dezember 2006.
Gesetz Nr. 3655/08 vom 3. April 2008.
Gesetz Nr. 3863/10 vom 15. Juli 2010.
Gesetz Nr. 3986/11 vom 1. Juli 2011.
Gesetz Nr. 3996/11 vom 5. August 2011.
Gesetz Nr. 4093/2012 vom 12. November 2012.
Gesetzliche Verordnung vom 19. November 2012.
Gesetz Nr. 4111/13 vom 25. Januar 2013.
Gesetz Nr. 4316/2014 vom 24. Dezember 2014.
Gesetz Nr. 4334/2015 vom 16. Juli 2015.
Gesetz Nr. 4336/2015 vom 14. August 2015.
Gesetz Nr. 4387/2016 vom 12. Mai 2016.
Gesetz Nr. 4393/2016 vom 6. Juni 2016.
Gesetz Nr. 4472/2017 vom 19. Mai 2017.
Ministerialentscheidung Gesetz Nr. 4583/2018 vom 18. Dezember 2018.
Gesetz Nr. 4554/2018 vom 18. Juni 2018.
Gesetz Nr. 4611/2019 vom 17. Mai 2019.
Gesetz Nr. 4623/2019 vom 9. Oktober 2019.
Gesetz Nr. 4670/2020 vom 28. Februar 2020.
Gesetz Nr. 4676/2020 vom 19. März 2020.
Gesetz Nr. 4690/2020 vom 30. Mai 2020.
Gesetz Nr. 4714/2020 vom 31. Juli 2020.
Gesetz Nr. 4798/2021 vom 24. April 2021.
Gesetz Nr. 4892/2022 vom 22. Februar 2022.
Gesetz Nr. 4921//2022 vom 18. April 2022.
Gesetz Nr. 4997/2022 vom 25. November 2022.
Gesetz Nr. 5036/2023 vom 28. März 2023.
Gesetz Nr. 5078/2023 vom 20. Dezember 2023.
Gesetz Nr. 5167/2024 vom 20. Dezember 2024.
Verzeichnis der Rechtsakte: https://search.et.gr/el/</t>
  </si>
  <si>
    <t>Zusammenfassendes Gesetz über die soziale Sicherheit (Social Welfare Consolidation Act) von 2005.
Verordnungen über die soziale Sicherheit (zusammenfassende Ansprüche, Zahlungen und Kontrolle) (Social Welfare (Consolidated Claims, Payments and Control) Regulations) von 2007 (S.I. Nr. 142 von 2007).
Verzeichnis der Rechtsakte – siehe hier.</t>
  </si>
  <si>
    <t>Sozialversicherungsgesetz (Lög um almannatryggingar) Nr. 100/2007 vom Mai 2007.
Sozialhilfegesetz (Lög um félagslega aðstoð) Nr. 99/2007 vom Mai 2007.
Gesetz über die Angelegenheiten älterer Personen (Lög um málefni aldraðra) Nr. 125/1999 vom Dezember 1999.
Gesetz über die obligatorische Versicherung für Renten und die Tätigkeit von Rentenfonds (Lög um skyldutryggingu lífeyrisréttinda og starfsemi lífeyrissjóða) Nr. 129/1997 vom Dezember 1997.
Verzeichnis der Rechtsakte – siehe hier.</t>
  </si>
  <si>
    <t>Gesetz Nr. 155 vom 23. April 1981 (Legge 23 Aprile 1981 n. 155 - Adeguamento delle strutture e delle procedure per la liquidazione urgente delle pensioni e per i trattamenti di disoccupazione, e misure urgenti in materia previdenziale e pensionistica).
Gesetz Nr. 638 vom 11. Nov. 1983 (Legge 11 Novembre 1983 n. 638 - Conversione in Legge, con modificazioni, del Decreto-Legge 12 settembre 1983, n. 463, recante misure urgenti in materia previdenziale e sanitaria).
Gesetzgebende Verordnung Nr. 503 vom 30. Dez. 1992 (Decreto Legislativo 30 Dicembre 1992 n. 503 - Norme per il riordinamento del sistema previdenziale dei lavoratori privati e pubblici).
Gesetz Nr. 335 vom 8. August 1995 zur Rentenreform (Legge 8 Agosto 1995 n. 335 - Riforma del sistema pensionistico obbligatorio e complementare).
Gesetz Nr. 243 vom 23. August 2004 über die Förderung von Zusatzrenten (Legge 23 Agosto 2004 n. 243 - Norme in materia pensionistica e deleghe al Governo nel settore della previdenza pubblica, per il sostegno alla previdenza complementare e all'occupazione stabile e per il riordino degli enti di previdenza ed assistenza obbligatoria).
Gesetz Nr. 247 vom 24. Dezember 2007 über die Finanzen und Rentenreform (Legge 24 Dicembre 2007 n. 247 -Norme di attuazione del Protocollo del 23 Luglio 2007 su previdenza, lavoro e competitività per favorire l’equità e la crescita sostenibili, nonché ulteriori norme in materia di lavoro e previdenza sociale).
Gesetz Nr. 127 vom 3. August 2007, Änderungsgesetz gemäß Verordnung Nr. 81 vom 2. Juli 2007, über dringende Maßnahmen in Finanzangelegenheiten (Legge 3 agosto 2007, n. 127 - Conversione in legge, con modificazioni, del decreto-legge 2 luglio 2007, n. 81, recante disposizioni urgenti in materia finanziaria).
Gesetz Nr. 133 vom 6. August 2008 zur Beseitigung der Einschränkungen bezüglich der Kumulation von Renten und Arbeit (Legge 6 agosto 2008, n.133- Conversione in legge, con modificazioni, del decreto-legge 25 giugno 2008, n. 112, recante disposizioni urgenti per lo sviluppo economico, la semplificazione, la competitività, la stabilizzazione della finanza pubblica e la perequazione tributaria).
Gesetz Nr. 122 vom 30. Juli 2010 über dringende Maßnahmen im Bereich der finanziellen Stabilisierung und wirtschaftlichen Wettbewerbsfähigkeit (Legge 30 Luglio 2010 n. 122 - misure urgenti in materia di stabilizzazione finanziaria e competitività economica).
Gesetzgebende Verordnung Nr. 67 vom 21. April 2011 über “Zugang zu vorgezogener Rente für Arbeitnehmer in besonders schweren oder gefährlichen Berufen gemäß den Kategorien unter Gesetz Nr. 183 vom 4. November 2010 – veröffentlicht im Amtrsblatt der italienischen Republik Nr.108 vom 11. Mai 2011 (D. lgs 67/2011 - Accesso anticipato al pensionamento per gli addetti alle lavorazioni particolarmente faticose e pesanti, laut Gesetz Nr. 183 vom 4. November 2010).
Gesetzgebende Verordnung Nr. 201 vom 6. Dezember 2011, umgewandelt in Gesetz Nr. 214 vom 22. Dezember 2011 über dringende Maßnahmen zur Steigerung des Wachstums und der Gerechtigkeit zur Konsolidierung der Staatsschulden (Legge 22 dicembre 2011 n. 214 – Disposizioni urgenti per la crescita, l’equità e il consolidamento dei conti pubblici).
Gesetz Nr. 147 vom 27. Dezember 2013 über Bestimmungen für die Aufstellung des jährlichen und mehrjährigen Staatshaushalts – Stabilitätsgesetz 2014 (Disposizioni per la formazione del bilancio annuale e pluriennale dello Stato - Legge di stabilità 2014).
Gesetz Nr. 190 vom Dienstag, 23. Dezember 2014 über Bestimmungen für die Aufstellung des jährlichen und mehrjährigen Staatshaushalts - Stabilitätsgesetz 2015 (Disposizioni per la formazione del bilancio annuale e pluriennale dello Stato), veröffentlicht im Amtsblatt der Italienischen Republik Nr. 300 am 29. Dezember 2014, ordentliches Supplement Nr. 99.
Gesetzesdekret Nr. 65 vom 21. Mai 2015 mit Sofortmaßnahmen in Bezug auf die Sicherheit – Sicherheitsnetze and Abfindungsgarantien – zur Anwendung des Urteils des Verfassungsgerichts Nr. 70 vom 10. März – 30. April 2015 (Decreto Legge 21 maggio 2015, n. 65 recante “Disposizioni urgenti in materia di pensioni, di ammortizzatori sociali e di garanzie TFR” – applicazione della sentenza della Corte Costituzionale n. 70 del 10 marzo – 30 aprile 2015).
Gesetz Nr. 208 vom 28. Dezember 2015 über Bestimmungen für die Aufstellung des jährlichen und mehrjährigen Staatshaushalts – Stabilitätsgesetz 2016 veröffentlicht im Amtsblatt der Italienischen Republik Nr. 302 am 30.Dezember 2015, ordentliches Supplement Nr. 70 (GU Serie Generale n.302 del 30-12-2015) (Disposizioni per la formazione del bilancio annuale e pluriennale dello Stato).
Gesetz Nr. 232 vom 11. Dezember 2016 über den vorläufigen Staatshaushalt für das Finanzjahr 2017 und den mehrjährigen Haushalt für die Jahre 2017-2019 – Stabilitätsgesetz 2017 – veröffentlicht im Amtsblatt der Italienischen Republik Nr. 297 am 21. Dezember 2016 – ordentliches Supplement Nr. 57 (Bilancio di previsione dello Stato per l'anno finanziario 2017 e bilancio pluriennale per il triennio 2017-2019).
Gesetz Nr. 205 vom 27. Dezember 2017 über den vorläufigen Staatshaushalt für das Finanzjahr 2018 und den mehrjährigen Haushalt für die Jahre 2018-2020 – Haushaltsgesetz 2018 – veröffentlicht im Amtsblatt der Italienischen Republik Nr. 302 am 29. Dezember 2017 – ordentliches Supplement Nr. 62 (Legge di Bilancio 2018 - Bilancio di previsione dello Stato per l'anno finanziario 2018 e bilancio pluriennale per il triennio 2018-2020).
Gesetz Nr. 145 vom 30. Dezember 2018 über den vorläufigen Staatshaushalt für das Finanzjahr 2019 und den mehrjährigen Haushalt für die Jahre 2019-2021 – Haushaltsgesetz 2019 – veröffentlicht im Amtsblatt der Italienischen Republik Nr. 302 am 31. Dezember 2018 – ordentliches Supplement Nr. 62/L (Bilancio di previsione dello Stato per l'anno finanziario 2019 e bilancio pluriennale per il triennio 2019-2021).
Gesetz Nr. 178 vom 30. Dezember 2020 über den vorläufigen Staatshaushalt für das Finanzjahr 2021 und den mehrjährigen Haushalt für die Jahre 2021-2023 – Haushaltsgesetz 2021 - veröffentlicht im Amtsblatt der Italienischen Republik Nr. 322 vom 30. Dezember 2020 - ordentliches Supplement Nr. 46/L (Bilancio di previsione dello Stato per l'anno finanziario 2021 e bilancio pluriennale per il triennio 2021-2023).
Gesetz Nr. 234 vom 30. Dezember 2021 über den vorläufigen Staatshaushalt für das Finanzjahr 2022 und den mehrjährigen Haushalt für die Jahre 2022-2024 – Haushaltsgesetz veröffentlicht im Amtsblatt der Italienischen Republik Nr. 310 vom 31. Dezember 2021 (Ordinary Supplemento n. 49) (Bilancio di previsione dello Stato per l'an-no finanziario 2022 e bilancio pluriennale per il triennio 2022-2024).
Gesetz Nr. 197 vom 29. Dezember 2022 - über den vorläufigen Staatshaushalt für das Finanzjahr 2023 und den mehrjährigen Haushalt für die Jahre 2023-2025 – Haushaltsgesetz 2023 veröffentlicht im Amtsblatt der Italienischen Republik Nr. 303 vom 29. Dezember 2022 ordentliches Supplement Nr. 43 (Bilancio di previsione dello Stato per l'anno finanziario 2023 e bilancio pluriennale per il triennio 2023-2025 - GU Serie Generale n.303 del 29-12-2022 - Suppl. Ordinario n. 43).
Gesetz Nr. 213 vom 30. Dezember 2023 - über den vorläufigen Staatshaushalt für das Finanzjahr 2024 und den mehrjährigen Haushalt für die Jahre 2024-2026 – Haushaltsgesetz 2023 veröffentlicht im Amtsblatt der Italienischen Republik Nr. 303 vom 30. Dezember 2023 - ordentliches Supplement Nr. 40/L (Bilancio di previsione dello Stato per l'anno finanziario 2024 e bilancio pluriennale per il triennio 2024-2026 - GU Serie Generale n.303 del 30-12-2023 - Suppl. Ordinario n. 40/L).
Gesetz Nr. 207 vom 30. Dezember 2024 – über den vorläufigen Staatshaushalt für das Finanzjahr 2025 und den mehrjährigen Haushalt für die Jahre 2025-2027 – Haushaltsgesetz 2024 veröffentlicht im Amtsblatt der Italienischen Republik Nr. 305 vom 31. Dezember 2024 – ordentliches Supplement Nr. 43 (Bilancio di previsione dello Stato per l'anno finanziario 2025 e bilancio pluriennale per il triennio 2025-2027 - GU Serie Generale n.305 del 31-12-2024 - Suppl. Ordinario n. 43).
Verzeichnis der Rechtsakte: https://www.normattiva.it</t>
  </si>
  <si>
    <t>1. Säule:
Rentenversicherungsgesetz (Zakon o mirovinskom osiguranju) von 2025, Abl. Nr. 96/25.
Gesetz über die Höchstrente (Zakon o najvišoj mirovini) von 1998, Abl. Nr. 162/98, 82/01.
Gesetz über Zulagen zu Renten, die nach dem Rentenversicherungsgesetz erworben wurden (Zakon o dodatku na mirovine ostvarene prema Zakonu o mirovinskom osiguranju) von 2007, Abl. Nr. 79/07, 114/11, 115/18 und 156/23.2. Säule:
Gesetz über obligatorische Rentenfonds (Zakon o obveznim mirovinskom fondovima) von 2014, Abl. Nr. 19/14 (in Kraft seit dem 20. Februar 2014) und Änderungen 93/15, 64/18, 115/18, 58/20 und 156/23.
Gesetz über Rentenversicherungsunternehmen (Zakon o mirovinskim osiguravajućim društvima), von 2014, Abl. Nr. 22/14 (in Kraft seit dem 27. Februar 2014) und Änderung 29/18, 115/18 und 156/23.
Verzeichnis der Rechtsakte – siehe hier.</t>
  </si>
  <si>
    <t>Gesetz über die staatliche Sozialversicherung (Likums „Par valsts sociālo apdrošināšanu“) vom 1. Oktober 1997.
Gesetz über staatliche Renten (Likums „Par valsts pensijām“) vom 2. November 1995.
Gesetz über die staatlichen kapitalgedeckten Renten (Valsts fondēto pensiju likums) vom 17. Februar 2000.
Gesetz über private Rentenfonds (Likums “Par privātajiem pensiju fondiem”) 5/6/1997.
Gesetz über Staatliche Sozialleistungen (Valsts sociālo pabalstu likums) vom 1. Januar 2003.
Verordnung des Ministerkabinetts Nr. 165 über “Verfahren zur Erbringung von Nachweisen, Berechnung und Registrierung von Versicherungszeiten” vom 23. April 2002 (Ministru kabineta 23.04.2002. noteikumi Nr.165 “Apdrošināšanas periodu pierādīšanas aprēķināšanas un uzskaites kārtība”).
Verordnung des Ministerkabinetts Nr. 427 über “Gewährung, Neuberechnung und Zahlung der gesetzlichen Rente sowie Verfahren für die Berechnung des durchschnittlichen versicherungspflichtigen Entgelts zur Bestimmung der Invaliditätsrente” vom 5. Juli 2016 (Ministru kabineta 05.07.2016. noteikumi Nr.427 "Noteikumi par valsts pensijas piešķiršanu, pārrēķināšanu un izmaksu, kā arī vidējās apdrošināšanas iemaksu algas aprēķināšanas kārtību invaliditātes pensijas noteikšanai").
Verordnung des Ministerkabinetts Nr. 1445 über “Geplanten Zeitraum der Rentenzahlung zum Zweck der Rentenberechnung" vom 10. Dezember 2013 (Ministru kabineta 10.12.2013. noteikumi Nr.1445 "Noteikumi par pensijas aprēķināšanai piemērojamo plānoto vecuma pensijas izmaksas laika periodu").
Verordnung des Ministerkabinetts Nr. 976 über “Frewillige Mitgliedschaft in der staatlichen Sozialversicherung" vom 12. Oktober 2010 (Ministru kabineta 12.10.2010. noteikumi Nr.976 "Noteikumi par brīvprātīgu pievienošanos valsts sociālajai apdrošināšanai").
Verzeichnis der Rechtsakte: https://likumi.lv/</t>
  </si>
  <si>
    <t>1. Säule: Gesetz über die Alters- und Hinterlassenenversicherung (AHVG), LGBl. 1952 Nr. 29.
2. Säule: Gesetz über die betriebliche Personalvorsorge, LGBl. 1988 Nr. 12.
Gesetz über die betriebliche Personalvorsorge des Staates, LGBL. 2013 Nr. 329,
Rechtsinformationssystem: www.gesetze.li</t>
  </si>
  <si>
    <t>Das Änderungsgesetz zum Gesetz Nr. I-549 der Republik Litauen über Renten der staatlichen Sozialversicherung (Lietuvos Respublikos valstybinių socialinio draudimo pensijų įstatymo Nr. I-549 pakeitimo įstatymas) vom 29. Juni 2016 (Nr. XII.2512).
Verzeichnis der Rechtsakte: https://e-seimas.lrs.lt/.</t>
  </si>
  <si>
    <t>Band III des Gesetzbuches über soziale Sicherheit (Code de la sécurité sociale).
Verzeichnis der Rechtsakte: https://legilux.public.lu/eli/etat/leg/code/securite_sociale/20250101</t>
  </si>
  <si>
    <t>Gesetz über soziale Sicherheit (Att dwar is-Sigurtà Soċjali) (Kap. 318), verfügbar unter https://legislation.mt/eli/cap/318/eng.
Rentenverordnung (Ordinanza tal-Pensjonijiet) (Kap. 93), verfügbar unter https://legislation.mt/eli/cap/93/eng.
Verzeichnis der Rechtsakte: https://legislation.mt/Legislation.</t>
  </si>
  <si>
    <t>Allgemeines Altersrentengesetz (Algemene Ouderdomswet, AOW).
Seit 31. Mai 1956 (aktuelle Fassung 1. Januar 2025)
Verzeichnis der Rechtsakte: www.wetten.nl</t>
  </si>
  <si>
    <t>Volksversicherungsgesetz (folketrygdloven) vom 28. Februar 1997, Abschnitte 3, 19 und 20.
Gesetz über die obligatorische berufsbezogene Rente (lov om obligatorisk tjenestepensjon) vom 21. Dezember 2005.
Verzeichnis der Rechtsakte – siehe hier.</t>
  </si>
  <si>
    <t>Allgemeines Sozialversicherungsgesetz vom 9. September 1955 (ASVG).
Allgemeines Pensionsgesetz vom 18. November 2004 (APG).
Rechtsinformationssystem: https://www.ris.bka.gv.at</t>
  </si>
  <si>
    <t>Gesetz über das System der Sozialversicherung (Ustawa o systemie ubezpieczeń społecznych) vom 13. Oktober 1998.
Gesetz über Renten des Sozialversicherungsfonds (Ustawa o emeryturach i rentach z Funduszu Ubezpieczen Spolecznych) vom 17. Dezember 1998.
Gesetz über die Ehrenleistung für das Erreichen des 100. Geburtstages (Ustawa o świadczeniu honorowym z tytułu ukończenia 100 lat życia) vom 18. Oktober 2024.
Verzeichnis der Rechtsakte – siehe https://isap.sejm.gov.pl/.</t>
  </si>
  <si>
    <t>Rechtsordnung Nr. 265/99 vom 14. Juli 1999 über die Pflegezulage (Decreto-Lei nº 265/99, de 14/7, na  redação atual , complemento por dependência), mehrfach geändert.
Rechtsordnung Nr. 232/05 vom 29. Dezember 2005 über die Solidarzulage für ältere Menschen (Decreto-Lei nº 232/05, de 29/12, versão consolidada, complemento por dependência), mehrfach geändert.
Gesetz Nr. 53-B/06 vom 29. Dezember 2006 über den Indexwert für soziale Unterstützungen IAS (Lei nº 53-B/06, de 29/12, versão consolidada, Indexante dos Apoios Sociais), mehrfach geändert.
Rechtsverordnung Nr. 187/07 vom 10. Mai 2007 über das Absicherungssystem bei Invalidität und Alter des allgemeinen Systems (Decreto-Lei nº 187/07, de 10/5, versão consolidada, regime de proteção nas eventualidades de maternidade, paternidade e adoção), mehrfach geändert.
Verzeichnis der Rechtsakte - siehe hier.</t>
  </si>
  <si>
    <t>Gesetz Nr. 360/2023 über das öffentliche Rentensystem (Legea nr.360/2023 privind sistemul public de pensii), mit späteren Änderungen.
Gesetz Nr. 360/2023 über das staatliche Rentensystem (Legea nr.360/2023 privind sistemul public de pensii).
Regierungsbeschluss Nr. 181 vom 28. Februar 2024 zur Anerkennung der Regeln für die Anwendung von Gesetz Nr. 360/2023 über das öffentliche Rentensystem (Hotărârea nr.181 din 28 februarie 2024 pentru aprobarea Normelor de aplicare a Legii nr. 360/2023 privind sistemul public de pensii).
Verzeichnis der Rechtsakte: https://legislatie.just.ro/Public/Acasa</t>
  </si>
  <si>
    <t>Sozialgesetzbuch (Socialförsäkringsbalken) von 2010, Abschnitt E, Kapitel 55-73 und 74a, Abschnitt G.
Verzeichnis der Rechtsakte: Socialförsäkringsbalk (2010:110) | Sveriges riksdag</t>
  </si>
  <si>
    <t>1. Säule (Grundsystem):
Bundesgesetz vom 20. Dezember 1946 über die Alters- und Hinterlassenenversicherung (AHVG).
Bundesgesetz vom 6. Oktober 2000 über den Allgemeinen Teil des Sozialversicherungsrechts (ATSG).
2. Säule (obligatorische Mindestvorsorge):
Bundesgesetz vom 25. Juni 1982 über die berufliche Alters-, Hinterlassenen- und Invalidenvorsorge (BVG).
Publikationsplattform des Bundesrechts: https://www.fedlex.admin.ch/fr/cc/internal-law/83</t>
  </si>
  <si>
    <t>1. Säule:
Sozialversicherungsgesetz (Zákon o sociálnom poistení) Nr. 461/2003.
2. Säule:
Gesetz über Geldanlagen für die Altersrente (Zákon o starobnom dôchodkovom sporení) Nr. 43/2004.
3. Säule:
Gesetz zum Zusatzrentensparen (Zákon o doplnkovom dôchodkovom sporení) Nr. 650/2004.
Gesetz zum Schutz, zur Förderung und Entwicklung der Volksgesundheit (Zákon o ochrane, podpore a rozvoji verejného zdravia) Nr. 355/2007.
Gesetz über das europaweite persönliche Rentenprodukt (Zákon o celoeurópskom osobnom dôchodkovom produkte) Nr. 129/2022.
Verzeichnis der Rechtsakte: https://www.slov-lex.sk/pravne-predpisy</t>
  </si>
  <si>
    <t>Gesetz über die Renten- und Invaliditätsversicherung (Zakon o pokojninskem in invalidskem zavarovanju) (Amtsblatt der Republik Slowenien, Nr. 48/22 in der offiziell konsolidierten Version einschließlich späterer Änderungen).
Gesetz zum Finanzausgleich (Zakon za uravnoteženje javnih financ (ZUJF)) (Amtsblatt der Republik Slowenien, Nr. 40/2012, mit Änderungen).
Gesetz zur persönlichen Einkommenssteuer (Zakon o dohodnini (Zdoh-2)) (Amtsblatt der Republik Slowenien, Nr. 13/2011 – in der offiziell konsolidierten Version einschließlich späteren Änderungen).
Gesetz über die Umsetzung der Haushaltspläne der Republik Slowenien für die Jahre 2025 und 2026 (Zakon o izvrševanju proračunov Republike Slovenije za leti 2025 in 2026) (Amtsblatt der Republik Slowenien, Nr. 104/24 einschließlich späteren Änderungen).
Verzeichnis der Rechtsakte: https://pisrs.si/.</t>
  </si>
  <si>
    <t>Allgemeines Gesetz über die soziale Sicherheit (Ley General de Seguridad Social) aufgrund des Gesetzgebenden Königlichen Dekret Nr. 8/2015 vom Freitag, 30. Oktober 2015, einschließlich Änderungen.
Ministerialerlass vom 18.1.1967 zur Festlegung von Regeln zur Anwendung und Entwicklung von Altersleistungen im Rahmen des Allgemeinen Systems der Sozialen Sicherheit (Orden Ministerial por la que se establecen normas para la aplicación y desarrollo de la prestación de Vejez en el Régimen General de la Seguridad Social).
Königliches Dekret Nr. 1647/97 vom 31.10.1997, einschließlich Änderungen.
Gesetz Nr. 35/2002 vom 12.7.2002 zur Einführung eines progressiven und flexiblen Rentensystems (Ley 35/2002, de 12 de julio, de medidas para el establecimiento de un sistema de jubilación gradual y flexible), einschließlich Änderungen.
Gesetz Nr. 27/2011 vom 1.8.2011 (Ley 27/2011, de 1 de agosto, sobre actualización, adecuación y modernización del sistema de Seguridad Social).
Verzeichnis der Rechtsakte: https://www.boe.es/buscar/legislacion.php</t>
  </si>
  <si>
    <t>Konsolidiertes Gesetz über die Grundrentenversicherung (Zákon o důchodovém pojištění) Nr. 155/1995.
Verzeichnis der Rechtsakte: https://www.zakonyprolidi.cz/.</t>
  </si>
  <si>
    <t>Gesetz CXXII von 2019 über Ansprüche auf Leistungen der sozialen Sicherheit und die Finanzierung dieser Leistungen (törvény a társadalombiztosítás ellátásaira jogosultakról, valamint ezen ellátások fedezetéről).
Gesetz LXXXI von 1997 über Renten der Sozialversicherung (törvény a társadalombiztosítási nyugellátásokról).
Gesetz CLXVII von 2011 über die Beendigung von vorgezogenen Renten, über Leistung vor dem Rentenalter und über Leistung für offizielle Mitglieder des Militärs (törvény a korhatár előtti öregségi nyugdíjak megszüntetéséről, a korhatár előtti ellátásról és a szolgálati járandóságról).Regierungsdekret Nr. 168/1997 (X. 6.) über die Umsetzung von Gesetz LXXXI von 1997 über Renten der Sozialversicherung (168/1997. (X. 6.) Korm. rendelet a társadalombiztosítási nyugellátásról szóló 1997. évi LXXXI. törvény végrehajtásáról) Regierungsdekret Nr. 333/2011 (XII. 29.) über die Umsetzung der Leistung vor dem Ruhestand, Leistung für offizielle Mitglieder des Militärs, Leib-rente für Tanzkünstler und Übergangsrente für Bergleute sowie die Änderung der zugehörigen Regierungsdekrete (333/2011. (XII. 29.) Korm. rendelet a korhatár előtti ellátás, a szolgálati járandóság, a balettművészeti életjáradék és az átmeneti bányászjáradék eljárási szabályairól, valamint egyes kapcsolódó kormányrendeletek módosításáról) 
Regierungsdekret Nr. 383/2017 (XII. 12) über die Leistung für ältere Menschen, die Langzeitpflege erbringen (383/2017. (XII. 12.) Korm. rendelet a tartós ápolást végzők időskori támogatásáról)
Verzeichnis der Rechtsakte: https://njt.hu/</t>
  </si>
  <si>
    <t>Sozialversicherungsgesetz (Νομοθεσία Κοινωνικών Ασφαλίσεων) : Nr. 59 (I) /2010 vom 9. Juli 2010 - 2025.
Durchführungsverordnungen zu den Leistungen der Sozialversicherung.
Durchführungsverordnungen zu den Sozialversicherungsbeiträgen.</t>
  </si>
  <si>
    <t>Das gesetzliche Rentensystem (die sogenannte 1. Säule) ist ein überwiegend beitragsfinanziertes obligatorisches Sozialversicherungssystem (durch Umlage) für alle Erwerbstätigen (Arbeitnehmer und Selbstständige) mit einkommensbezogenen festgelegten Leistungen, die von den Beiträgen und der Versicherungsdauer abhängen und nach der Ersatzleistungsquote entsprechend der Familiensituation differenziert sind.
Für Führungskräfte im öffentlichen Dienst gibt es zudem eine zusätzliche Rentenpflichtversicherung. Dieses Gesetz gewährt Personen, die für eine Management- oder Führungsposition in einem öffentlichen Dienst ernannt werden, zusätzliche Vorteile bei der Altersrente. Deren Zusatzleistungen werden basierend auf dem Gehalt berechnet, und zwar entweder als „Zielvorgaben“ oder als „festgelegte Leistungen“.
Darüber hinaus existiert ein beitragsunabhängiges Mindestleistungssystem speziell für ältere Menschen, siehe „Mindestsicherung“ in Bezug auf die Einkommensgarantie für betagte Personen (garantie de revenus aux personnes âgées/inkomensgarantie voor ouderen).
Es existieren keine freiwilligen gesetzlichen Ruhestandspensionen.
Außerhalb der Sozialversicherung gibt es ein Zusatzrentensystem (die sogenannte 2. Säule), das auf Initiative des Arbeitgebers (Betriebsrente oder Betriebsplan) oder des Berufssektors (Branchenrente oder Branchenplan) eingerichtet wird.
Im Folgenden wird nur die 1. Säule erläutert.</t>
  </si>
  <si>
    <t>1. Säule:
Altersrente (Folkepension)/Frührente (Tidlig Pension):
Steuerfinanziertes universelles Umlagesystem für die gesamte Bevölkerung mit von der Dauer des Wohnsitzes in Dänemark abhängiger, leistungsorientierter Pauschalleistung.
Zusatzrente (arbejdsmarkedets tillægspension, ATP):
Beitragsdefiniertes obligatorisches Sozialversicherungssystem für Arbeitnehmer und Sozialhilfeempfänger.
Obligatorisches Rentensystem (Obligatorisk Pensionsordning):
Obligatorisches Sozialversicherungssystem mit vorgegebenen Beiträgen für Personen, die bestimmte Sozialleistungen beziehen (z.B. Arbeitslosengeld, Invalidenrente etc.). Der Staat übernimmt die Beiträge für das obligatorische Rentensystem für diese Personen und sie erhalten die gleichen Rechte wie Personen, die durch die Zusatzrente (arbejdsmarkedets tillægspension, ATP) abgedeckt sind. Kumulation von Beiträgen ist möglich in Fällen, in denen Beiträge sowohl für das obligatorische Rentensystem als auch die Zusatzrente gezahlt werden.
2. Säule:
Überwiegend zusammengesetzt aus (privat organisierten) beitragsorientierten Arbeitsmarktrentensystemen. Diese Säule umfasst auch steuerfinanzierte, einkommensbezogene Beamtenpensionen.
3. Säule:
Zusammengesetzt aus freiwilligen individuellen privaten Rentensparplänen, gegründet auf Initiative von Privatpersonen und unabhängig von Beschäftigungsbedingungen.Sie können als beitragsorientierte Pläne bei Banken, Versicherungsunternehmen oder Rentenfonds eingerichtet werden. Individuelle Systeme sind üblicherweise Kapital- oder Ratenrentensysteme, es kann sich aber auch um lebenslange Leibrenten handeln.
Die öffentliche freiwillige Frührente ist in dieser Säule nicht enthalten.
Die 2. und 3. Säule sind in dieser Tabelle nicht dargestellt.
Es gibt kein spezifisches beitragsunabhängiges Mindestleistungssystem für ältere Personen. Es gilt das allgemeine Mindestsicherungssystem (siehe Tabelle XI).</t>
  </si>
  <si>
    <t>Aus Beiträgen und Steuern im Umlageverfahren (PAYG) finanziertes obligatorisches Sozialversicherungssystem für Arbeitnehmer und einzelne Gruppen von Selbstständigen mit entgeltbezogenen Renten, deren Höhe wesentlich von den Beiträgen und der Versicherungsdauer abhängt (1. Säule).
Die Höhe der wird aufgrund eines Punktesystems festgelegt; die Berechnung enthält leistungs- und beitragsorientierte Elemente.
Der Aufbau einer Zusatzrente ist nicht verpflichtend und kann über den Arbeitgeber im Rahmen der betrieblichen Altersversorgung (2. Säule) oder als private zusätzliche Altersversorgung (3. Säule) erfolgen. Der Staat hilft beim Aufbau einer zusätzlichen kapitalgedeckten Altersvorsorge mit Zulagen, Steuervorteilen und Beitragsersparnis in der Sozialversicherung.
Bedürftige Menschen, die in Deutschland wohnen und die Regelaltersgrenze erreicht haben, können Grundsicherung im Alter beantragen (siehe Tabelle XI – Mindestsicherung).
Die unten angeführten Informationen beziehen sich nur auf das obligatorische Sozialversicherungssystem (1. Säule).</t>
  </si>
  <si>
    <t>1. Säule (Umlageverfahren):
Altersrente (vanaduspension):
Beitragsfinanziertes universelles Sozialversicherungssystem mit Renten, die von der Dauer der Erwerbstätigkeit (bis 1998) und von den Beitragszahlungen (seit 1999) abhängen. Altersrente ist einkommens-abhängig (DB).
Volksrente (rahvapension):
Steuerfinanziertes universelles System, das eine Mindestrente für Personen, die keinen Anspruch auf eine Altersrente haben, garantiert. Siehe Tabelle XI „Mindestsicherung“.Pauschalleistungen.
2. Säule (DC):
Zusatzrente (kogumispension):
Kapitalgedeckte Rentenversicherung auf der Basis privat verwalteten Fonds unter staatlicher Aufsicht mit beitragsabhängigen Renten. Personen, die nach dem 1. Januar 1983 geboren wurden, werden automatisch registriert mit der Option, das System zu verlassen.
3. Säule (DC):
Freiwilliges privates Rentensystem.</t>
  </si>
  <si>
    <t>Duales System:
(1) Beitragsfinanzierte Versicherung (Gesetzliche einkommensbezogene Rente, Työeläke) für Arbeitnehmer, Selbstständige, Landwirte mit einkommensbezogenen Renten. Die Renten richten sich nach dem Jahreseinkommen und dem Alter. Das System ist leistungsorientiert. Es wird hauptsächlich über Umlagen finanziert, jedoch basiert ein Teil der Renten auf dem Prinzip der Teilfinanzierung.
(2) aus Steuern finanziertes universelles System (Volksrente, Kansaneläke und garantierte Rente, Takuueläke), das eine pauschale Mindestrente garantiert.
Die beiden Rentensysteme sind miteinander verknüpft. Überschreitet die Gesetzliche einkommensbezogene Rente (Työeläke) eine bestimmte Höchstgrenze, so wird keine Volksrente (Kansaneläke) gewährt.
Der Zweck der Garantierten Rente ist, die Einwohner Finnlands mit einer Mindestrente zu versorgen.
Freiwillige private Altersrentensysteme existieren (sind aber unüblich). In der MISSOC-Tabelle gibt es dazu keine näheren Informationen.</t>
  </si>
  <si>
    <t>1. Säule:
1/Hauptrente der e-EFKA:
Obligatorisches Sozialversicherungssystem, das alle Arbeitnehmer und Selbstständigen abdeckt. Die Hauptrente enthält die staatliche Rente (ΕΘΝΙΚΗ ΣΥΝΤΑΞΗ) und die beitragsabhängige Rente (ΑΝΤΑΠΟΔΟΤΙΚΗ ΣΥΝΤΑΞΗ). Das System wird finanziert durch Beiträge für die beitragsabhängige Rente und durch den Staatshaushalt für die staatliche Rente.
Es wird im Umlageverfahren (pay-as-you-go (PAYG)) verwaltet und bietet entgeltbezogene Leistungen, die auf Leistungszusagen (Defined Benefits (DB)) beruhen für die beitragsabhängige Rente und Pauschalleistungen für die staatliche Rente.
2/ Hilfsrenten:
Hilfsrente der e-EFKA:
Obligatorisches Sozialversicherungssystem, das alle Arbeitnehmer und die meisten Selbstständigen zu den gleichen Bedingungen abdeckt wie für die Hauptrente. Sie wird durch Arbeitnehmer- und Arbeitgeberbeiträge finanziert und im Umlageverfahren (pay-as-you-go (PAYG)) verwaltet. Sie bietet entgeltbezogene Leistungen auf Grundlage von Leistungszusagen (Defined Benefits (DB)) für den Versicherungszeitraum bis 31. Dezember 2012 und eines fktiv beitragsorientierten Systems (Notional Defined Contributions, NDC) für den Versicherungszeitraum ab Januar 2015.
Hilfsrente der TEKA:
TEKA (Hellenische leistungsorientierte Hilfsrentenkasse - ΤΑΜΕΙΟ ΕΠΙΚΟΥΡΙΚΗΣ ΚΕΦΑΛΑΙΟΠΟΙΗΤΙΚΗΣ ΑΣΦΑΛΙΣΗΣ) ist eine kapitalgedeckte, beitragsorientierte Kasse (defined contributions, DC), welche entsprechend dem kapitalgedeckten System läuft und Berufsanfänger seit 1.1.2022 abdeckt. Sie ist auch obligatorisch für alle Personen, die nach dem 1.1.2004 geboren wurden, sofern sie über eine Zusatzversicherung verfügen (alle Arbeitnehmer und bestimmte Kategorien von Selbstständigen).
3/ Zusatzleistungen für bestimmte Berufsgruppen, wie z.B.: Pauschalleistungen (Beamte, Militärangehörige, Ingenieure, Rechtsanwälte etc.) und Dividenden (Beamte, Militärangehörige), erbracht von entsprechenden Wertpapierfonds, welche zum größten Teil in die e-EFKA eingebettet sind.
2. Säule:
Die 2. Säule bietet Zusatzrenten. Sie umfasst 4 obligatorische Betriebsrentenfonds, welche entgeltbezogene Leistungen auf Hybridbasis erbringen (beitragsorientiert, angepasst entsprechend versicherungsmathematischen Bewertungen und verfügbarem Kapital), sowie 27 freiwillige Betriebsrentenfonds (ΤΑΜΕΙΑ ΕΠΑΓΓΕΛΜΑΤΙΚΗΣ ΑΣΦΑΛΙΣΗΣ-ΤΕΑ), welche voll finanziert sind.
3. Säule
Diese Säule beruht auf Freiwilligkeit und umfasst private Versicherungssysteme.
Sowohl die 2. und 3. Säule als auch die Hilfsrenten der e-EFKA und TEKA sowie sonstige Leistungen für bestimmte Berufsgruppen (1. Säule) sind nicht in den MISSOC-Tabellen dargestellt.
Unversicherte ältere Personen können eine bedarfsorientierte Leistung der OPEKA beziehen (siehe Tabelle XI zu “Garantierte Mindestleistungen” für nähere Informationen).</t>
  </si>
  <si>
    <t>Erste Säule
Beitragsfinanziertes obligatorisches Sozialversicherungssystem auf Umlagebasis für alle Arbeitnehmer und Selbstständige mit pauschalen festgelegten Leistungen gemäß der Höhe der entrichteten Beiträge.
Zweite Säule
Es gibt auch ein freiwilliges Beitragssystem, welches zur Berechtigung für die staatliche Rente beitragen kann.
Zudem wird eine (beitragsunabhängige) Staatliche Rente (State Pension (Non-Contributory)) gewährt (siehe Tabelle XI - Mindestsicherung).</t>
  </si>
  <si>
    <t>Duales System:
Volksrente (lífeyrir almannatrygginga) (1. Säule): allgmeines steuerfinanziertes Umlagesystem für alle Einwohner mit pauschalen Leistungsbeträgen (unterliegt der Einkommensprüfung), abhängig von der Dauer des Wohnsitzes.
Arbeitsrente (lögbundnir lífeyrissjóðir) (2. Säule): Beitragspflichtiges System für alle Erwerbstätigen mit einkommensbezogenen Renten, die von den Beiträgen und der Versicherungsdauer abhängen (außer im System für Arbeitnehmer im Staatsdienst, das teilweise auf Versorgungszusagen mit im Voraus definierten Leistungen und teilweise auf einem System mit definierten Leistungen beruht).
Beide Systeme werden in dieser Tabelle beschrieben, mit Betonung auf den Systemen der sozialen Sicherheit.
Freiwilliges persönliches Rentenfondssystem (3. Säule).</t>
  </si>
  <si>
    <t>Allgemeine Pflichtversicherung (Assicurazione Generale Obbligatoria, AGO) für Arbeitnehmer der Privatwirtschaft mit Leistungen basierend auf 2 bestimmenden Faktoren: Alter und geleistete Beiträge.
Es gibt ein zusätzliches freiwilliges, ergänzendes Berufssystem, welches sowohl aus offenen Fonds sowie geschlossenen, tarifvertraglich gebundenen Fonds besteht. Die geschlossenen Fonds können sowohl von Arbeitnehmern und Arbeitgebern finanziert werden als auch durch die freiwillige Umwandlung von TFR (privaten Abfindungszahlungen). Zusätzlich können Arbeitnehmer Mitglieder von privaten Rentenfonds werden.
In Tabelle VI werden nur Pflichtsysteme dargestellt.
Sonstige obligatorische Systeme für Selbstständige (siehe MISSOC-Informationen zum Sozialschutz für Selbstständige) und eine bestimmte Anzahl besonderer Gruppen von Arbeitern wie Beamte, Freiberufler, atypische Beschäftigte.
Die Mittel werden auf Umlagebasis verwaltet.Das Rentensystem basiert auf einem fiktiven beitragsdefinierten System (NDC) für Personen, die nach dem 1. Januar 1996 in den Arbeitsmarkt eingetreten sind. Für Personen, die vor diesem Datum in den Arbeitsmarkt eingetreten sind, gilt ein „hybrides“ System (eine Mischung aus DB und NDC). 
Es gibt ein gesetzliches, beitragsfreies Mindestleistungssystem, auf dessen Grundlage älteren mittellosen Menschen die wohlstandsbasierte Sozialhilfe (assegno sociale) gewährt wird (siehe Tabelle XI, „Mindestsicherung”).</t>
  </si>
  <si>
    <t>1. Säule:
Obligatorisches Sozialversicherungssystem (Umlageverfahren) für die aktive Bevölkerung auf der Grundlage von definierten Leistungen je nach dem früheren Einkommen (einkommensbezogen) und der Beschäftigungsdauer.2. Säule:
Obligatorisches kapitalgedecktes System der 2. Säule auf der Grundlage von definierten Beiträgen (Hybridschema).
Die 3. Rentensäule ist freiwillig und wird von Rentenfondsverwaltungen geführt.
Nur die beiden Pflichtsäulen (1. Und 2.) werden in dieser Tabelle beschrieben.</t>
  </si>
  <si>
    <t>1. Säule:
Beitrags- (und teilweise steuer-)finanziertes obligatorisches Sozialversicherungssystem (Existenzsicherung) für alle Personen mit Wohnsitz oder Erwerbstätigkeit (Arbeitnehmer und Selbstständige) mit Renten, die im Wesentlichen von der Versicherungsdauer und von Beiträgen (z.T. fiktiven Beiträgen) abhängen. Das System wird aufgrund eines Umlageverfahrens finanziert. Die Leistungsberechnung erfolgt nach einem fiktiv beitragsorientierten System.
Reichen die anrechenbaren Einnahmen aus den Renten und allfälligen anderen Quellen nicht aus, um die anerkannten Ausgaben zu decken, besteht ein Anspruch auf Ergänzungsleistungen um die minimalen Lebenshaltungskosten decken zu können (s. Tabelle XI ‚Mindestsicherung‘).
2. Säule:
Beitragsfinanziertes obligatorisches Sozialversicherungssystem (Sicherung eines angemessenen Lebensstandards) für unselbstständig Erwerbstätige mit entgeltbezogenen Renten, die von Beiträgen abhängen.
Die Finanzierung der 2. Säule erfolgt im Kapitaldeckungsverfahren.
Die Altersleistung ist entweder von der Beitragsseite oder der Leistungsseite her definiert (Beitragsprimat oder Leistungsprimat). Die Höhe der Altersrente hängt vom individuell angesammelten Alterskapital ab. Anstelle einer Altersleistung kann die Vorsorgeeinrichtung eine Kapitalabfindung vorsehen.</t>
  </si>
  <si>
    <t>1. Säule - Im Umlageverfahren beitrags-und steuerfinanziertes obligatorisches Sozialversicherungssystem für Arbeitnehmer und Selbstständige mit Renten, die aus einem pauschalen und einem entgeltbezogenen Teil bestehen. Die Leistungen werden nach dem leistungsorientierten System berechnet. Das System enthält Rentenpunkte zur Bestimmung des individuellen Anteils der Rente.
2. Säule – Freiwilliges System. Personen, die unter der ersten Säule versichert sind, können frei wählen, ob sie allein im Sozialversicherungssystem (1. Säule) bleiben oder der 2. Säule beitreten möchten. Das System finanziert sich aus dem privaten Beitrag einer Person (3% des Bruttolohns der Person) und einem staatlichen Beitrag (1,5% des nationalen Durchschnittslohns). Hat eine Person sich einmal für die 2. Säule der Alterssicherung entschieden, kann sie nicht mehr allein zum Sozialversicherungssystem zurückkehren.
3. Säule – Besteht aus freiwillig selbst-angesammelten Mitteln. Für diese Methode der Akkumulation gelten Vergünstigungen bei der persönlichen Einkommenssteuer. Von staatlicher Seite wird diese Methode nicht finanziert, Arbeitgeber können jedoch beitragen, indem sie die Beiträge teilweise oder vollständig übernehmen.
Nähere Informationen zur 3. Säule werden in den MISSOC-Tabellen nicht dargestellt. Es existiert eine Altersleistung der Sozialhilfe; diese wird in der Tabelle XI „Mindestsicherung“ dargestellt.</t>
  </si>
  <si>
    <t>1. Säule:
Durch Beiträge mit staatlicher Beteiligung finanziertes obligatorisches Sozialversicherungssystem mit einer Säule für die Arbeitnehmer und die Selbstständigen mit von der Versicherungsdauer abhängigen pauschalen und von der Beitragshöhe abhängigen Leistungen.
System basierend auf dem Umlageverfahren und bestimmten Leistungen.
Freiwillige Versicherung für Personen, die nicht mehr gesetzlich versichert sind oder ihre Versicherung ergänzen möchten.
Möglich sind außerdem Renten der 2. und der 3. Säule.
2. Säule:
Ein vom Arbeitgeber freiwillig eingerichtetes Zusatzrentensystem für alle oder bestimmte Gruppen von Arbeitnehmern des Unternehmens, das das gesetzliche Sozialversicherungssystem ergänzt.
3. Säule:
Ein Vertrag zur Altersvorsorge, der es Einzelpersonen ermöglicht, freiwillig ein privates Sparguthaben für den Ruhestand zu bilden.
Die 2. und 3. Säule sind in den MISSOC-Tabellen nicht enthalten.
Es existiert kein gesondertes Sozialversicherungssystem für ältere Personen. Es gilt das allgemeine System der Mindestsicherung (vgl. Tabelle XI).</t>
  </si>
  <si>
    <t>Im Umlageverfahren beitragsfinanziertes obligatorisches Sozialversicherungssystem für alle Arbeitnehmer und Selbstständige/ Freischaffende mit entgeltbezogenen Renten der ersten Säule, die von Beiträgen und der Versicherungsdauer abhängen. Das System ist leistungsorientiert.
Das System umfasst keine Punktesysteme.
Es existieren Arbeitgeber-Rentensysteme. Sie gelten für bestimmte Kategorien von Arbeitnehmern wie z.B. Mitarbeiter des öffentlichen Dienstes (eingestellt vor 1979) und einerseits Angehörige der Polizei sowie Angehörige der Streitkräfte, der Abteilung für Katastrophenschutz sowie Gefängniswärter andererseits. Sie erfordern 30 vollendete Dienstjahre für die erste Gruppe und 25 Jahre für letztere.
Freiwillige private Alterssysteme vorhanden.
Nähere Informationen zu den betrieblichen Systemen und privaten Rentensystemen werden in Tabelle VI nicht dargestellt.
Das System bietet auch eine beitragsfreie bedarfsorientierte Altersrente (Pensjoni tal-Eta’) (Siehe Tabelle XI “ Garantiertes Mindesteinkommen”).</t>
  </si>
  <si>
    <t>Beitragsorientiertes (defined contributions) obligatorisches Sozialversicherungssystem für Arbeitnehmer:innen mit entgeltbezogenen Renten, die von Beiträgen und der Versicherungsdauer abhängen (1. Säule). Es wird aufgrund eines Umlageverfahrens finanziert. Es gibt kein Punktesystem.
Neben der gesetzlichen Pflichtversicherung für alle Erwerbstätigen bestehen auch die betriebliche (als freiwillige Sozialleistung des Arbeitgebers; 2. Säule) und die freiwillige private Altersvorsorge (3. Säule) (“Drei-Säulen-Prinzip”). Die unten angeführten Informationen beziehen sich nur auf das obligatorische Sozialversicherungssystem (1. Säule).
Kein spezifisches beitragsunabhängiges Mindesteinkommenssystem für ältere Menschen; die Ausgleichszulage (steuerfinanziert) im allgemeinen Rentensystem garantiert den Versicherten ein Mindesteinkommen, wenn sie die Voraussetzungen für eine Rente (insb. Mindestversicherungszeit und Alter) erfüllen.</t>
  </si>
  <si>
    <t>Beitragsfinanziertes gesetzliches Sozialversicherungssystem für alle Arbeitnehmer und Selbstständigen mit einkommensbezogenen Renten, die von Beiträgen und der Versicherungsdauer abhängen.
Gemischtes System bestehend aus einer ersten Säule die auf Basis des Umlageverfahrens finanziert wird und einer kapitalgedeckten zweiten Säule. Personen die vor 1949 geboren wurden unterliegen ausschließlich der ersten Säule und ihre Renten sind leistungsorientiert. Personen, die nach 1949 geboren wurden, unterliegen dem neuen Hybridsystem (beitragsorientiert und leistungsorientiert) und können wählen, ob sie in dem alten System verbleiben möchten oder dem neuen System beitreten möchten.
Es existiert ein freiwilliges Alterssystem oder auch eine 3. Säule als zusätzliche private Finanzierung zu Rentenzwecken. Diese sind IKE (Individuelle Rentenkonten), IKZE (Individuelle Altersvorsorgekonten), PPE (Rentenprogramme für Arbeitnehmer) sowie PPK (Kapitalpläne für Arbeitnehmer).
Nur die 1. und 2. Säule werden in Tabelle VI dargestellt.
Gesetzliches Sozialversicherungssystem für Landwirte und deren Familienangehörige.
Sondersystem für Angehörige der Polizei und der Streitkräfte, Staatsanwälte und Richter.
Die oben genannten Systeme enthalten keine Punktesysteme.
Es gibt kein spezifisches System der Unterstützung für ältere Menschen. Es gilt das allgemeine Mindestsicherungssystem (siehe Tabelle XI).</t>
  </si>
  <si>
    <t>1. Säule – Die obligatorische Alterssicherung ist ein Sozialversicherungssystem, beruhend auf dem Umlageprinzip, mit festgelegten Leistungen, die vom versicherungspflichtigen Entgelt und der Beitragsdauer abhängen. In dieser Tabelle wird nur das System beschrieben, das keine anderen obligatorischen Säulen enthält.
Leistungsempfänger, die sowohl in das allgemeine System als auch in die portugiesische Pensionskasse für Beamte während sich nicht überschneidender beitragspflichtiger Zeiten eingezahlt haben, können eine einheitliche Rente beantragen. Die Rente wird von dem letzten System gewährt, in das der Leistungsempfänger mindestens fünf Jahre lang entsprechend den Regeln dieses Systems (einschließlich der Berechnungsregeln) Beiträge eingezahlt hat.
Die aufeinanderfolgenden Beitragszeiten im allgemeinen System und im System der freiwilligen Sozialversicherung sind für die Gewährung einer einheitlichen Rente bestimmend.
Die genannten Systeme enthalten keine Punktesysteme.
Es gibt ein System der freiwilligen Sozialversicherung, das spezifische Personengruppen abdeckt.
Es gibt ein spezifisches beitragsunabhängiges System - Sozialrente - für ältere Menschen, das in Tabelle XI „Mindestsicherung“ enthalten ist.
2. Säule - Einige vollständig private Systeme, die auf Initiative eines Unternehmens und von Sozial- oder Berufsverbänden gemeinschaftlich eingerichtet werden können.
3. Säule - Öffentliche Zusatzversicherung, freiwillige Zusatzversicherung und freiwillige private Versicherung auf individuelle Initiative.</t>
  </si>
  <si>
    <t>1. Säule (Grundsystem):
Allgemeine Versicherung, welche den Existenzbedarf in angemessener Weise decken soll. Finanzierung durch Beiträge und Steuern nach dem Umlageverfahren. Für Erwerbstätige hängen die Beiträge von ihrem Einkommen ab, für Nichterwerbstätige von ihren sozialen Bedingungen.
Die 1. Säule basiert auf einem leistungsorientierten System.
2. Säule (obligatorische Mindestvorsorge):
Beitragsfinanzierte Pflichtversicherung für Arbeitnehmer ab einem bestimmten Lohn nach dem Kapitaldeckungsverfahren. Zusammen mit der 1. Säule soll sie die Fortsetzung der gewohnten Lebenshaltung in angemessener Weise ermöglichen.
Das BVG sieht Mindestleistungen vor. Die Vorsorgeeinrichtungen können in ihren internen Statuten eine weitergehende Vorsorge vorsehen. In den MISSOC-Tabellen wird nur die gesetzliche Mindestvorsorge behandelt.
Die 2. Säule basiert auf einem beitragsorientierten System mit einer staatlichen Garantie (Garantiefonds).
Säule 3a (gebundene Selbstvorsorge)
Freiwillige private Vorsorge für Erwerbstätige, die durch steuerliche Maßnahmen gefördert wird. Sie wird in den MISSOC-Tabellen nicht dargestellt.
Ergänzungsleistungen zur 1. Säule (EL)
Personen, die eine Alters-, Hinterbliebenen- oder Invalidenrente beziehen, haben Anspruch auf Ergänzungsleistungen, wenn ihre Mittel nicht ausreichen, um den Lebensbedarf zu decken. Siehe Tabelle XI „Mindestsicherung“.</t>
  </si>
  <si>
    <t xml:space="preserve">
   * Säule:
Umlageverfahren der Sozialversicherung basierend auf Beiträgen und dem Solidaritätsprinzip, wobei sich die Summe der Leistungen aus den Beschäftigungsaktivitäten des gesamten Arbeitslebens zusammensetzt. Das Rentensystem ist beitragsorientiert. Sondersystem für Polizisten, Soldaten und Zollbeamte.
2. Säule:
Kapitalgedecktes System basierend auf Beiträgen (durch den Arbeitgeber, Selbstständige, freiwillig rentenversicherte Personen und den Staat gezahlt) und der Wertsteigerung der kumulierten Mittel aus den getätigten Investitionen. Das Rentensystem ist beitragsorientiert.
3. Säule:
Zusätzlicher freiwilliger Sparplan für die Altersvorsorge, der aus Arbeitgeberbeiträgen und Beiträgen der Teilnehmer finanziert wird. Das Rentensystem ist beitragsorientiert.
Nähere Informationen zur 3. Säule sind in den MISSOC-Tabellen nicht dargestellt.
PEPP:
Freiwillige Ersparnisse für den Ruhestand auf individueller Basis.
Nähere Informationen zu PEPP (europaweites persönliches Rentenprodukt) sind nicht in den MISSOC-Tabellen enthalten.
Kein spezifisches System. Es gilt das allgemeine Mindestsicherungssystem (siehe Tabelle XI).</t>
  </si>
  <si>
    <t>Beitragsfinanziertes obligatorisches umlagefinanziertes Sozialversicherungssystem für alle Arbeitnehmer und Selbstständigen mit einkommensbezogenen Leistungen, die von Beiträgen und der Versicherungsdauer abhängen.
Das System basiert auf – festgelegten Leistungen.
Die Leistungen sind einkommensabhängig.
Das Rentensystem umfasst kein Punktesystem.
Es gibt freiwillige betriebliche Rentensysteme. Nähere Informationen dazu sind nicht in den MISSOC-Tabellen dargestellt.
Kein spezifisches System. Es gilt das allgemeine Mindestsicherungssystem (siehe Tabelle XI).</t>
  </si>
  <si>
    <t>Beitragsfinanziertes obligatorisches Sozialversicherungssystem für Arbeitnehmer und Gleichgestellte mit einer entgeltbezogenen Ruhestandsrente (pensión de jubilación). Altersversorgungssystem mit im Voraus festgelegten Leistungen, deren Höhe von Beiträgen und der Versicherungsdauer abhängt.
Sondersystem für Selbstständige (siehe den Abschnitt der MISSOC-Databank zum Sozialschutz von Selbstständigen).
Außerhalb des öffentlichen Sozialversicherungssystems existieren freiwillige Altersrentensysteme. Diese sind in den MISSOC-Tabellen nicht dargestellt.
Spezifische Sozialhilfe für ältere Personen wird von den Regionen bereitgestellt: für nähere Informationen siehe Beitragsunabhängige Altersrente (Pensión de invalidez no contributiva) in Tabelle XI “Mindestsicherung”.</t>
  </si>
  <si>
    <t>Das gesetzliche Alterssystem ist ein beitragsfinanziertes obligatorisches Sozialversicherungssystem für Arbeitnehmer und Selbstständige sowie Gleichgestellte auf Umlagebasis (1. Säule).
Das System basiert auf Leistungszusagen.
Das System bietet entgeltbezogene Renten, die von Beiträgen und der Versicherungsdauer abhängen. Es enthält kein Punktesystem.
Es existiert ein freiwilliges Zusatzrentensparsystem (3. Säule).
Unten stehende Informationen beziehen sich nur auf das gesetzliche Alterssystem (1. Säule).
Kein spezifisches System. Es gilt das Mindestsicherungssystem (siehe Tabelle XI).</t>
  </si>
  <si>
    <t>Erste Säule:
Durch Sozialversicherungsbeiträge finanziertes obligatorisches staatliches Rentensystem nach dem Umlageverfahren für Arbeitnehmer und Selbständige auf der Grundlage definierter Leistung mit einkommensbezogenen Renten (DB), die von der Dauer der Dienstzeit abhängen.
Zweite Säule:
Freiwilliges privates Altersrentensystem.
Die zweite Säule ist in den MISSOC-Tabellen nicht dargestellt.
Einkommenshilfe für Ältere (Időskorúak járadéka) ist eine beitragsunabhängige Mindestleistung für ältere Menschen (siehe Tabelle XI zu “Mindestsicherung” für nähere Informationen).</t>
  </si>
  <si>
    <t>Beitragsfinanziertes obligatorisches Sozialversicherungssystem (umlagefinanziert) für Arbeitnehmer und Selbstständige mit festgelegten Leistungen (einkommensbezogenen Renten und anderen Leistungen) , die von Beiträgen und der Versicherungsdauer abhängen.
Es gibt kein freiwilliges Altersrentensystem.</t>
  </si>
  <si>
    <t>Gesetzliches Rentensystem (1. Säule):
Pflichtversicherung für alle Erwerbstätigen (Arbeitnehmer und Selbstständige). Zu besonderen Regeln für Selbstständige: Siehe Anhang zur Sozialversicherung für Selbstständige.
Keine freiwillige Versicherung möglich.</t>
  </si>
  <si>
    <t>Siehe Tabelle V "Invalidität".</t>
  </si>
  <si>
    <t>Pflichtversicherung für Arbeitnehmer und für einzelne Gruppen von Selbstständigen sowie einige weitere Personengruppen (z. B. Kindererziehende, nicht erwerbsmäßig tätige Pflegepersonen).
Freiwillige Versicherung ab vollendetem 16. Lebensjahr für alle in Deutschland wohnenden Personen und alle Deutschen im Ausland möglich.</t>
  </si>
  <si>
    <t>1. Säule:
Alle Einwohner.
2. Säule:
Obligatorisch für alle nach dem 1. Januar 1983 geborenen Personen, keine freiwillige Mitgliedschaft für früher Geborene möglich.</t>
  </si>
  <si>
    <t>Gesetzliche einkommensbezogene Rente (Työeläke):
Alle versicherten Arbeitnehmer ab 17 Jahren und Selbstständigen ab dem Alter von 18 Jahren.
Volksrente (Kansaneläke) und garantierte Rente (Takuueläke):
Versicherungspflicht für alle Einwohner im Alter von 16 bis 65 Jahren.</t>
  </si>
  <si>
    <t>1. Säule (Basissystem) und 2. Säule (Zusatzrentensysteme (Agirc-Arrco)):
Arbeitnehmer des privaten Sektors.
In bestimmten Fällen freiwillige Versicherung (ehemalige Pflichtversicherte, Eltern zu Hause, Personen, die ehrenamtlich die Funktion als Dritte für ein Familienmitglied übernehmen).</t>
  </si>
  <si>
    <t>1. Säule (Hauptrente der e-EFKA):
Pflichtversicherung für alle Beschäftigten (Arbeitnehmer und Selbstständige).
Nach Beendigung einer Beschäftigung ist unter bestimmten Bedingungen eine freiwillige Fortsetzung der Versicherung möglich (προαιρετική συνέχιση της ασφάλισης).</t>
  </si>
  <si>
    <t>Alle Menschen in Beschäftigung (Arbeitnehmer und Selbstständige) zwischen 16 und 66 Jahren.
Zusätzlich besteht für Personen, die nicht mehr durch die obligatorische Sozialversicherung abgedeckt sind, die Möglichkeit, freiwillig Beiträge zu leisten, um Anspruch auf Sozialversicherungszahlungen (wie z. B. die (beitragsabhängige) Staatliche Rente (State Pension (Contributory)) zu erwerben, sofern bestimmte Anspruchskriterien erfüllt sind.</t>
  </si>
  <si>
    <t>Volksrente (lífeyrir almannatrygginga):
Alle Einwohner.
Arbeitsrente (lögbundnir lífeyrissjóðir):
Alle wirtschaftlich aktiven Personen, Arbeitnehmer, Arbeitgeber und Selbstständige im Alter von 16 bis 70 Jahren.
Mitgliedschaft in einem freiwilligen persönlichen Rentenfondssystem ist möglich.</t>
  </si>
  <si>
    <t>Zusätzlich zu den Arbeitnehmern in der Privatwirtschaft werden auch reguläre Selbstständige (d.h. Landwirte, Teilpächter, Handwerker und Kaufleute) Beamte, Freiberufler und atypische Beschäftigte erfasst. Selbstständige, die unter dem gesonderten Rentensystem (Gestione Separata) gemeldet sind, haben ebenfalls Pflichtabdeckung (siehe die MISSOC-Informationen über den Sozialschutz von Selbstständigen).
Mitgliedschaft auf freiwilliger Basis ist nur möglich als eine Fortsetzung früherer Beitragszeiten unter der Bedingung, dass während des gesamten Erwerbslebens 5 gültige Beitragsjahre geleistet wurden oder, alternativ, 3 Beitragsjahre während der 5 Jahre vor Anmeldung der Forderung geleistet wurden.</t>
  </si>
  <si>
    <t>1. Säule:
Alle Arbeitnehmer und Selbstständige.
Freiwillige Versicherung möglich.
2. Säule:
Obligatorisch für alle Personen, die nach dem 1. Juli 1971 geboren wurden. Versicherte, die zwischen dem 2. Juli 1951 und dem 1. Juli 1971 geboren wurden, können dem Rentensystem der 2. Säule freiwillig beitreten.</t>
  </si>
  <si>
    <t>1. Säule:
Arbeitnehmer und Selbstständige sowie alle nichterwerbstätigen Einwohner.
2. Säule:
Unselbständige Erwerbstätige, die mit dem 1. Januar nach Vollendung des 19. Altersjahres, in der 1. Säule beitragspflichtig sind und mehr als  CHF 14.700 (€15.707) Bruttojahreseinkommen aufweisen. Das Arbeitsverhältnis muss unbefristet oder auf mehr als drei Monate befristet sein.
Freiwillige Versicherung für nicht beitragspflichtige Arbeitnehmer und für selbstständig Erwerbstätige möglich.</t>
  </si>
  <si>
    <t>1. und 2. Säule – Alle Arbeitnehmer und Selbstständigen gehören zur Gruppe der durch die Alterssysteme Pflichtversicherten.
Freiwillige Abdeckung ist nicht möglich.</t>
  </si>
  <si>
    <t>1. Säule:
Pflichtversicherung für die Arbeitnehmer und die Selbstständigen (Wohngebietsansässige und nicht Wohngebietsansässige).
Die Empfänger des Ersatzeinkommens, von dem ein Rentenbeitrag einbehalten wird (Arbeitslosigkeit, Krankheit, Mutterschaft, Unfallrente, Elternurlaub), sind ebenfalls abgedeckt.
Möglichkeit der freiwilligen Versicherung für Personen, die nicht mehr gesetzlich versichert sind oder ihre Versicherung ergänzen möchten. Môglichkeit des rückwirkenden Erwerbs von Anrechnungszeiten.</t>
  </si>
  <si>
    <t>Arbeitnehmer und Selbstständige/Freischaffende.
Freiwillige Versicherung möglich für alleinstehende nicht erwerbstätige Personen.</t>
  </si>
  <si>
    <t>Alle Einwohner unter der Regelaltersgrenze. Personen unter der Regelaltersgrenze, die in den Niederlanden arbeiten und der Lohnsteuer unterliegen, sind ebenfalls versichert.</t>
  </si>
  <si>
    <t>Einkommensbasierte Rente (inntektspensjon) und Zusatzrente (tilleggspensjon):
Arbeitnehmer, Freiberufler, Selbstständige.
Garantierte Rente (garantipensjon) und Grundrente (grunnpensjon):
Alle Einwohner ab 16 Jahren.
Obligatorische berufsbezogene Rente (obligatorisk tjenestepensjon):
Mit wenigen Ausnahmen alle Arbeitnehmer, die nicht bereits durch ein Mindestanforderungen erfüllendes Zusatzsystem für eine Beschäftigung im privaten oder öffentlichen Sektor geschützt sind.
Selbstständige sind nicht durch obligatorische berufsbezogene Renten abgedeckt. Ein System berufsbezogener Renten auf freiwilliger Basis kann etabliert werden.</t>
  </si>
  <si>
    <t>Arbeitnehmer, Selbstständige, Landwirte und gleichgestellte Gruppen (z.B. Geistliche, Studierende mit Promotionsstipendien).
Wahlmöglichkeit einer freiwilligen Versicherung für nicht Pflichtversicherte.</t>
  </si>
  <si>
    <t>Pflichtversicherung für all diejenigen, die einer Erwerbstätigkeit nachgehen (Arbeitnehmer und Selbstständige und gleichgestellte Gruppen).
Freiwillige Versicherung für bestimmte Gruppen, z. B.
   * Staatsbürger (einschließlich Bürger der Europäischen Union) und ausländische Bürger oder Staatenlose, die seit mehr als einem Jahr in Portugal leben
   * Staatsbürger, die im Ausland eine Erwerbstätigkeit ausüben und nicht durch die internationalen Instrumente der sozialen Sicherheit, denen Portugal angehört, erfasst werden
   * Seeleute, die als Fischer auf Fischereifahrzeugen ausländischer oder binationaler Unternehmen tätig sind;
   * Soziale Freiwillige, die unbezahlte Tätigkeiten für private Einrichtungen der sozialen Verbundenheit ausüben
   * Forschungsstipendiaten, die die im Statut des Forschers festgelegten Voraussetzungen erfüllen und nicht durch ein Pflichtversicherungssystem abgedeckt sind.
   * Leistungssportler.
Hauptverantwortliche informelle Pflegepersonen (Personen, die andere dauerhaft pflegen und keine Vergütung für ihre berufliche Tätigkeit erhalten – siehe Tabelle XII – Langzeitpflege. 5. Leistungserbringer; Identifizierung informeller Pflegepersonen)</t>
  </si>
  <si>
    <t>Alle Personen, die in Schweden gewohnt oder gearbeitet haben (abhängige oder selbstständige Tätigkeit), sind über das öffentliche Rentensystem abgedeckt.
Die entgeltbezogene Zusatzrente (tilläggspension) nur an vor 1954 Geborene gewährt wird.</t>
  </si>
  <si>
    <t xml:space="preserve">
   * Arbeitnehmer, Selbstständige, Landwirte, Aktionäre, leitende Angestellte und Personen, die eine Beschäftigung auf anderer rechtlicher Grundlage ausüben (z.B. Vetragsvereinbarungen von Freiberuflern);
   * Empfänger von Arbeitslosengeld (denarno nadomestilo za primer brezposelnosti) und Personen, deren Beiträge für Renten- und Invaliditätsversicherung vom Beschäftigungsservice übernommen werden bis sie die Anspruchsbedingungen für eine Altersrente erfüllen;
   * Personen mit Anspruch auf Lohnersatzleistungen aufgrund zeitlich begrenzter Erwerbsunfähigkeit nach Beendigung des Arbeitsverhältnisses, wenn sie nicht durch die Pflichtversicherung aus anderen Gründen abgedeckt sind;
   * Personen, die professionelle Pflegschaftsdienste ausführen;
   * Personen, die ein religiöses Amt als religiöser Arbeitnehmer ausführen;
   * Personen mit Anspruch auf Lohnersatzleistungen während beruflicher Rehabilitation;
   * ein Elternteil, der Anspruch auf Elterngeld (starševski dodatek) hat, wenn diese Person nicht durch die Pflichtversicherung aus anderen Gründen abgedeckt ist;
   * Anspruch auf Teilzahlungen bei Einkommensersatzleistung (delno plačilo za izgubljeni dohodek); Anspruch auf Elternschaftsgeld, aber keinen Anspruch auf Elternurlaub hat sowie nicht durch die Pflichtversicherung aus anderen Gründen abgedeckt ist; Anspruch auf Zahlungen des proportionalen Beitragsanteils und Anrecht auf Teilzeitarbeit zur Pflege und Schutz von Kindern zur Deckung des Unterschiedes zur Vollzeitarbeit;
   * Familienhelfer mit Anspruch auf Teilzahlungen bei Einkommensersatzleistung (delno plačilo za izgubljeni dohodek) (siehe Tabelle XII „Pflegebedürftigkeit");
   * Soldaten, die freiwillig Wehrdienst leisten, und Bürger während freiwilligen Rettungskursen.
Für Personen im Alter von über 15 Jahren mit einem dauerhaften Wohnsitz in Slowenien, die die Bedingungen zur Deckung durch die Pflichtversicherung nicht erfüllen, ist eine freiwillige Versicherung möglich.</t>
  </si>
  <si>
    <t>Pflichtversicherung für Arbeitnehmer und Gleichgestellte (z.B. Empfänger von beitragsabhängigem Arbeitslosengeld, Arbeitnehmer während des Zeitraums des unbezahlten jährlichen Urlaubs, der nicht vor dem Vertragsende genommen wurde, Nehmer einer freiwilligen Versicherung (Convenio especial)).
Sondersystem für Selbstständige (siehe den Abschnitt der MISSOC-Databank zum Sozialschutz von Selbstständigen).
Freiwillige Versicherung möglich (Convenio especial) für Arbeitnehmer und Gleichgestellte, die aus dem System ausscheiden, in dem sie registriert waren, oder für Personen, die bestimmte Bedingungen erfüllen.</t>
  </si>
  <si>
    <t>Pflichtversicherung für Arbeitnehmer und Selbstständige. Für nähere Informationen zu Selbstständigen, siehe die gesonderten Informationen zum Sozialschutz von Selbstständigen.
Freiwillige Versicherung für Arbeitslose; Studenten; im Ausland beschäftigte Personen; Freiwillige; Mitglieder des EU-Parlaments; Ausländer, die in Tschechien für ausländische Arbeitgeber arbeiten; Ehepartner von Diplomaten und andere Staatsbedienstete, die im Ausland leben sowie Selbstständige, deren Versicherungsschuld verfallen ist.
Andere Personen über 18 Jahren mit mindestens einjähriger Beitragszeit können sich ebenfalls freiwillig versichern, jedoch für maximal 15 Jahre.</t>
  </si>
  <si>
    <t>Erste Säule:
Versicherte (Arbeitnehmer, Selbstständige, Empfänger von verschiedenen Leistungen der sozialen Sicherheit, von denen der Rentenbeitrag gezahlt wird).
Personen, die nicht durch das obligatorische Sozialversicherungssystem abgedeckt sind, können eine „Vereinbarung über den Erwerb rentenfähigen Einkommens und Versicherungszeiten“ abschließen.</t>
  </si>
  <si>
    <t>Pflichtversicherung für alle Erwerbstätigen (Arbeitnehmer und Selbstständige).
Freiwillige Versicherung möglich nach früherer Beschäftigung und für Personen, die für zypriotische Arbeitgeber im Ausland tätig sind.</t>
  </si>
  <si>
    <t>Keine Ausnahmen.</t>
  </si>
  <si>
    <t>1. Säule:
Zusatzrente (arbejdsmarkedets tillægspension, ATP):
Arbeitnehmer mit einer wöchentlichen Arbeitszeit von weniger als 9 Stunden sind von der Versicherungspflicht befreit.</t>
  </si>
  <si>
    <t>Befreiungsmöglichkeit für Arbeitnehmer mit einer ausschließlich geringfügig entlohnten Beschäftigung (bis zu €556 brutto, monatlich) und Versicherungsfreiheit bei einer kurzfristigen Beschäftigung (bis zu 3 Monaten oder 70 Arbeitstagen im Kalenderjahr), es sei denn, dass die Beschäftigung berufsmäßig ausgeübt wird und ihr Entgelt €556 brutto im Monat übersteigt. Darüber hinaus gibt es weitere Befreiungsmöglichkeiten, etwa für versicherungspflichtige Mitglieder berufsständischer Versorgungswerke (z. B. Ärzte, Anwälte) oder für selbständige Handwerker nach 18 Jahren Pflichtbeitragszahlung.</t>
  </si>
  <si>
    <t>Gesetzliche einkommensbezogene Rente (Työeläke):
Arbeitnehmer:
Befreiung von der Versicherungspflicht bei monatlichen Bruttoeinkommen unter €70,08 (TyEL).
Selbstständige, Landwirte:
Befreiung von der Versicherungspflicht während der ersten vier Monate der Selbstständigkeit, sofern das versicherungspflichtige Bruttoeinkommen pro Jahr weniger als €9.208,43 (Selbstständige) bzw. weniger als €4.605 (Landwirte und Stipendiaten) beträgt.</t>
  </si>
  <si>
    <t>1. Säule (Basissystem) und 2. Säule (Zusatzrentensysteme (Agirc-Arrco)):
Keine Ausnahmen.</t>
  </si>
  <si>
    <t>1. Säule (Hauptrente der e-EFKA):
Keine Ausnahmen.</t>
  </si>
  <si>
    <t xml:space="preserve">
   * Personen mit einem Wochenbruttoverdienst von weniger als €38 und Selbstständige mit einem Jahreseinkommen unter €5.000;
   * Beamte und Beschäftigte des öffentlichen Dienstes, die vor April 1995 eingestellt wurden.</t>
  </si>
  <si>
    <t>Volksrente (lífeyrir almannatrygginga) und Arbeitsrente (lögbundnir lífeyrissjóðir):
Keine Ausnahmen.</t>
  </si>
  <si>
    <t>Personen mit einem Bruttoeinkommen unter €5.000 pro Jahr sind von Sozialversicherungsabgaben ausgenommen.</t>
  </si>
  <si>
    <t>Ausnahmen von der zweiten Säule für Personen, die Anspruch auf eine Rente unter vorteilhafteren Bedingungen haben (Militär- und Polizeipersonal sowie Justizbeamte im aktiven Dienst).</t>
  </si>
  <si>
    <t>1. Säule/2.Säule:
Keine Ausnahmen.</t>
  </si>
  <si>
    <t>1. Säule:
Personen, die ihre berufliche Tätigkeit über einen vorab festgelegten Zeitraum von höchstens drei Monaten pro Kalenderjahr nur gelegentlich und nicht gewohnheitsmäßig ausüben, sind von der Versicherungspflicht befreit.
Auf Antrag der betreffenden Person ist eine nebenberufliche Tätigkeit im kulturellen oder sportlichen Bereich für eine nicht gewinnorientierte Vereinigung versicherungsfrei, wenn das erzielte Erwerbseinkommen zwei Drittel des sozialen Mindestlohns pro Jahr nicht übersteigt
Eine selbstständige Erwerbstätigkeit ist von der Versicherungspflicht befreit, wenn das Einkommen aus der Berufstätigkeit höchstens einem Drittel des sozialen Mindestlohns (salaire social minimum) pro Jahr entspricht.</t>
  </si>
  <si>
    <t>Keine Versicherungspflicht bzw. -deckung, wenn das Bruttoentgelt unter der Geringfügigkeitsgrenze von monatlich €551,10 (2025) liegt. Das Entgelt aus mehreren Tätigkeiten wird zusammengerechnet; freiwilliger Beitritt bei Versicherungsfreiheit möglich.</t>
  </si>
  <si>
    <t>Jährlicher Gesamtverdienst unter 0,423 des Grundbetrages (prisbasbelopp), d. h. SEK 24.872 (€2.261) im Jahr 2025 und Einkünfte über dem 7,5-fachen des Einkommensgrundbetrags (inkomstbasbelopp), d h. SEK 604.500 (€54.955) im Jahr 2025 sind von Beiträgen zum entgeltbezogenen Altersrentensystem ausgenommen.</t>
  </si>
  <si>
    <t>Keine Pflichtversicherung für Selbstständige, deren jährliches Einkommen unter €8.580 im Jahr 2024 (50% des nationalen Durchschnittslohns des Jahres 2023).</t>
  </si>
  <si>
    <t>Befreiung von der Pflichtversicherung für Landwirte, wenn ihr Einkommen aus landwirtschaftlicher Tätigkeit 60% des nationalen Durchschnittslohns nicht übersteigt (€2.464,35 (brutto) im Januar 2025).</t>
  </si>
  <si>
    <t>Keine Befreiung.</t>
  </si>
  <si>
    <t>Erste Säule:
Keine Ausnahmen.</t>
  </si>
  <si>
    <t xml:space="preserve">   Anspruchsvoraussetzungen</t>
  </si>
  <si>
    <t>1. Säule:
Altersrente (Folkepension):
Das Ruhestandsalter wird stufenweise bis 2035 auf 69 Jahre angehoben. Seit 1. Januar 2025 beträgt das Ruhestandsalter 67 Jahre.
Das Ruhestandsalter ist an die Entwicklung der Lebenserwartung im Alter von 60 Jahren gekoppelt. Es wird alle 5 Jahre angepasst.
Frührente (Tidlig pension): Frühestens 3 Jahre vor dem Ruhestandsalter.
Zusatzrente (arbejdsmarkedets tillægspension, ATP) und obligatorisches Rentensystem (Obligatorisk Pensionsordning):
67 Jahre.</t>
  </si>
  <si>
    <t>67 Jahre (Regelaltersgrenze) für ab 1964 Geborene.
Die Regelaltersgrenze wird seit 2012, beginnend mit dem Jahrgang 1947, bis 2031 schrittweise auf 67 Jahre angehoben werden. Die Stufen der Anhebung betrugen zunächst einen Monat pro Jahr (von 65 auf 66 Jahre) und seit 2024 zwei Monate pro Jahr (von 66 auf 67 Jahre). Für alle vor 1947 Geborenen gilt die Regelaltersgrenze 65 Jahre.
Für Versicherte, die 1959 geboren wurden, steigt im Jahr 2025 die Altersgrenze auf 66 Jahre und zwei Monate.</t>
  </si>
  <si>
    <t>Männer und Frauen: 64 Jahre und 9 Monate.
Rentenalter ist unabhängig von Versicherungszeiten.
Ab dem Jahr 2017 wird das Rentenalter weiter stufenweise angehoben, bis es im Jahr 2026 sowohl für Männer als auch Frauen 65 Jahre betragen wird.
Ab 2027 ist das Rentenalter gekoppelt an Veränderungen in der Lebenserwartung.</t>
  </si>
  <si>
    <t>Gesetzliche einkommensbezogene Rente (Työeläke):
Für Personen, die vor 1965 geboren sind, ist das niedrigste Ruhestandsalter abhängig von ihrem Geburtsjahr (obwohl es möglich ist, länger zu arbeiten). (Für den öffentlichen Sektor gelten niedrigere Altersgrenzen).
Das Ruhestandsalter wird um 3 Monate jährlich angehoben, bis im Jahr 2027 ein Ruhestandsalter von 65 Jahren erreicht sein wird:
   * 64 Jahre und 3 Monate für Personen, die 1959 geboren wurden;
   * 64 Jahre und 6 Monate für Personen, die 1960 geboren wurden;
   * 64 Jahre und 9 Monate für Personen, die 1961 geboren wurden;
   * 65 Jahre für Personen, die zwischen 1962 und 1964 geboren wurden.
Das Ruhestandsalter von Personen, die 1965 und später geboren sind, wird an die Lebenserwartung gekoppelt und im Alter von 62 Jahren bestimmt.
Volksrente (Kansaneläke) und garantierte Rente (Takuueläke): 65 Jahre für Personen, die vor 1965 geboren sind. Das Ruhestandsalter von Personen, die 1965 oder später geboren sind, wird an das Ruhestandsalter im Rahmen des einkommensabhängigen Rentensystems gekoppelt.</t>
  </si>
  <si>
    <t>1. Säule (Basissystem) und 2. Säule (Zusatzrentensysteme (Agirc-Arrco)):
62 Jahre für Personen, die vor September 1961 geboren sind; 62 Jahre und 3 Monate für Personen, die von September bis einschließlich Dezember 1961 geboren sind; 62 Jahre und 6 Monate (Personen, die 1962 geboren sind).
Schrittweise Anhebung des gesetzlichen Rentenalters: Anhebung um 3 Monate pro Generation bis zum Alter von 64 Jahren für Personen, die 1968 oder danach geboren sind.</t>
  </si>
  <si>
    <t>(Beitragsabhängige) Staatliche Rente (State Pension (Contributory)):
66 Jahre für alle Personen, die die Beitragsbedingungen erfüllen.
Das Rentenalter ist nicht verknüpft mit Veränderungen der Lebenserwartung.</t>
  </si>
  <si>
    <t>Volksrente (lífeyrir almannatrygginga):
Allgemeines Renteneintrittsalter ist 67 Jahre für Männer und Frauen.
Arbeitsrente (lögbundnir lífeyrissjóðir):
65 bis 70 Jahre für Männer und Frauen entsprechend der Satzung des Rentenfonds.
Das Renteneintrittsalter ist nicht an Veränderungen der Lebenserwartung oder eine bestimmte Anzahl von Beitragsjahren gebunden.</t>
  </si>
  <si>
    <t>Das normale gesetzliche Rentenalter ist 67 Jahre für Männer und Frauen in allen Sektoren. Die schrittweise Anhebung des Rentenalters auf Grundlage der Lebenserwartung wurde bis Dezember 2025 eingefroren.
Erstmals nach dem 1. Januar 1996 können Versicherte im Alter von 71 Jahren + 3 Monaten in den Ruhestand gehen. Diese Altersbeschränkung kann auf 67 Jahre (das derzeitige gesetzliche Rentenalter) vorgezogen werden, vorausgesetzt, dass 20 Versicherungsjahre geleistet wurden und dass der monatliche Rentenbetrag der monatlichen Sozialhilfeleistung (assegno sociale) entspricht, d.h. €538,69 im Jahr 2025.</t>
  </si>
  <si>
    <t>65 Jahre.
Die Regelaltersgrenze ist unabhängig von einem spezifischen Versicherungszeitraum oder einer spezifischen Anzahl von Beitragsjahren. Sie ist abhängig vom Geburtsdatum.</t>
  </si>
  <si>
    <t>1. und 2. Säule:
Frauen und Männer erreichen das ordentliche Rentenalter mit dem vollendeten 65. Altersjahr.</t>
  </si>
  <si>
    <t>1. Säule:
Das gesetzliche Renteneintrittsalter liegt bei 65 Jahren, sofern Beiträge für eine bestimmte Anzahl von Versicherungsjahren eingezahlt wurden.</t>
  </si>
  <si>
    <t>Es gibt kein festes Renteneintrittsalter mehr, es ist jedoch nicht möglich, vor dem 62. Lebensjahr eine Altersrente zu beantragen. Für einen Anspruch auf eine Rente zwischen 62 und 68 Jahren müssen bestimmte Voraussetzungen erfüllt sein. Nach wie vor besteht ein allgemeiner Anspruch auf Altersrente ab 67. Für Männer und Frauen gilt das gleiche Renteneintrittsalter.
Das Renteneintrittsalter ist nicht an die Lebenserwartung gekoppelt.</t>
  </si>
  <si>
    <t>Altersrente (Emerytura):
60 Jahre für Frauen und 65 Jahre für Männer.
Das Rentenalter ist nicht abhängig von einer bestimmten Versicherungszeit oder einer konkreten Anzahl von Beitragsjahren.</t>
  </si>
  <si>
    <t>66 Jahre und 7 Monate für Männer und Frauen im Jahr 2025 (nach 2014 richtet sich das reguläre Renteneintrittsalter nach der mittleren Lebenserwartung im Alter von 65 Jahren).
65 Jahre für Leistungsempfänger, denen es nach geltendem Recht nicht möglich ist, nach Erreichen dieses Alters weiterzuarbeiten (z. B. Piloten, Lastkraftwagenfahrer).
An dem Datum, an dem der Leistungsempfänger das 60. Lebensjahr erreicht, wird das reguläre Renteneintrittsalter für jedes Kalenderjahr, das über die Dauer von 40 Beitragsjahren hinausgeht, um 4 Monate gesenkt, wobei die Grenze bei 60 Jahren liegt.</t>
  </si>
  <si>
    <t>Erste Säule/Zweite Säule:
Altersrente (pensie pentru limita de varsta):
Männer: 65 Jahre.
Frauen: 62 Jahre und 5 Monate, schrittweise ansteigend auf 65 Jahre bis zum 1. Januar 2030.
Der Anstieg variiert: die Regel ist ein Monat Anstieg jeden Monat oder alle zwei, fünf oder elf Monate.
Ab Januar 2035 wird das Regelpensionsalter alle drei Jahre um die Hälfte des Gewinns an Lebenserwartung erhöht. Diese Anpassung wird nicht angewendet, wenn der Zuwachs weniger als einen Monat beträgt.</t>
  </si>
  <si>
    <t>Flexibles Rentenalter ab 63 Jahren für entgeltbezogenen Renten (d.h. entgeltbezogene Altersrente (inkomstpension), die entgeltbezogene Zusatzrente (tilläggspension) und Prämienrente (premiepension)) und ab 66 Jahren für eine Garantierente und Ergänzung zur Einkommensrente (inkomstpensionstillägg).
Ab dem Jahr 2026 wird das Renteneintrittsalter mit einem empfohlenen Renteneintrittsalter verknüpft, welches alljährlich aufgrund der Lebenserwartung berechnet wird. Dieses Alter wird dann sechs Jahre später angewendet. Das empfohlene Renteneintrittsalter ist 67 Jahre und gilt für die Jahre 2026-2029.</t>
  </si>
  <si>
    <t>1. Säule (Grundsystem)/2. Säule (obligatorische Mindestvorsorge):
Referenzalter (Rentenalter):
Männer: 65 Jahre
Frauen: 64 Jahre und 3 Monate
Seit 2025 wird das Referenzalter (Rentenalter) für Frauen um 3 Monate pro Jahr angehoben, bis es im Jahr 2028 65 Jahre erreicht.</t>
  </si>
  <si>
    <t>Das gesetzliche Rentenalter beträgt 65 Jahre für Frauen und Männer, wenn sie eine Versicherungszeit von mindestens 15 Jahren vorweisen können.</t>
  </si>
  <si>
    <t xml:space="preserve">
   * 65 Jahre (mit mindestens 38 Jahre und 3 Monate Beitragszeit).
   * 66 Jahre und 8 Monate (mit weniger als 38 Jahren und 3 Monaten Beitragszeit).
Progressive Anhebung bis 2027, um 65 Jahre zu erreichen (mit 38 Jahren und 6 Monaten Beitragszeit) oder 67 Jahre (mit weniger als 38 Jahren und 6 Monaten Beitragszeit).
Anhebung der gesetzlichen Altersgrenze (im Falle einer unzureichenden Beitragszeit) um zwei Monate pro Jahr.</t>
  </si>
  <si>
    <t>Erste Säule:
Seit dem Jahr 2022 können 1957 und später geborene Personen mit 65 Jahren in den Ruhestand gehen.
Das Rentenalter ist unabhängig von einer konkreten Versicherungszeit oder einer konkreten Anzahl geleisteter Beitragsjahre.</t>
  </si>
  <si>
    <t>65 Jahre für Männer und Frauen;
63 Jahre für Bergarbeiter.
Das Ruhestandsalter wird alle 5 Jahre ab 2023 nach den Veränderungen in der Lebenserwartung in den Jahren 2018-2024 überprüft. Versicherungsmathematische Bewertungen zeigten keine Änderungen für 2024.
Das Ruhestandsalter ändert sich nicht entsprechend der Versicherungsdauer.</t>
  </si>
  <si>
    <t>Gesetzliche Rente:
Keine Mindestversicherungsdauer.
Die Dauer der Versicherungszeit gilt nur als vollständig für Männer und Frauen, wenn sie 14.040 Tage (d. h. 45 Jahre) tatsächlicher (oder gleichgestellter) Erwerbstätigkeit in Vollzeitäquivalent beträgt. Diese Bedingung hinsichtlich der Dauer gilt in Kombination mit der Bedingung des gesetzlichen Rentenalters oder den Altersbedingungen für eine vorzeitige Rente.</t>
  </si>
  <si>
    <t>Erste Säule:
Bedingungen sind ein bestimmtes Mindestalter und eine bestimmte Anzahl von Versicherungsjahren.
   * Männer: Alter von 64 Jahren und 8 Monaten und Versicherungszeitraum von 39 Jahren und 8 Monaten;
   * Frauen: Alter von 62 Jahren und 4 Monaten und Versicherungszeitraum von 36 Jahren und 8 Monaten.
Bei unzureichender Versicherungsdauer wird der Pensionsanspruch nach 15 zurückgelegten Versicherungsjahren erworben (von denen alle tatsächliche Dienstjahre gewesen sein müssen im Gegensatz zu angerechneten Zeiträumen, siehe „Leistungen, Zeiträume, die angerechnet oder als beitragspflichtig behandelt werden") ab einem Alter von 67 Jahren für Männer und Frauen.
Zweite Säule:
Universeller Rentenfonds:
Der Anspruch auf Annuitätsrente ensteht gleichzeitig mit dem Anspruch auf eine Altersrente und dem Erwerb von Versicherungszeiten in der ersten Säule.
Beruflicher Rentenfonds:
Keine sonstigen Bedingungen.</t>
  </si>
  <si>
    <t>1. Säule:
Altersrente (Folkepension):
Mindestens drei Jahre Wohnsitz in Dänemark im Alter von 15 Jahren bis zum gesetzlichen Renteneinstiegsalter.
Ausländer: 10 Jahre Wohnsitz in Dänemark, davon 5 Jahre unmittelbar vor der Rente.
Dies gilt in Kombination mit der Altersbedingung für den Ruhestand.
Voller Anspruch, falls der Empfänger zwischen der Vollendung des 15. Lebensjahres und dem Rentenalter mindestens 40 Jahre in Dänemark ansässig war für Personen, die das Renteneinstiegsalter vor dem 1. Juli 2025 erreichen.
Voller Anspruch nach Wohnsitz in Dänemark in 9 von 10 Jahren zwischen dem Alter von 15 Jahren und dem Renteneinstiegsalter, für Personen die das Renteneinstiegsalter am 1. Juli 2025 oder später erreichen.
Frührente (Tidlig Pension):
Mindestens drei Jahre Wohnsitz in Dänemark im Alter von 15 Jahren bis zum Rentenalter.
Ausländer: 10 Jahre Wohnsitz in Dänemark, davon 5 Jahre unmittelbar vor der Rente.
Voller Anspruch nach Wohnsitz in 9 von 10 Jahren zwischen dem Alter von 15 Jahren und dem Renteneintrittsalter.
Zusatzrente (arbejdsmarkedets tillægspension, ATP) und obligatorisches Rentensystem (Obligatorisk Pensionsordning):
Keine Mindestversicherungsdauer.
Kein Konzept eines " vollen Anspruchs".</t>
  </si>
  <si>
    <t>Allgemeine Mindestversicherungszeit: 5 Jahre mit Beitrags- und Ersatzzeiten.
Kein Begriff einer vollständigen Laufbahn oder eines vollständigen Versicherungsverlaufs.</t>
  </si>
  <si>
    <t>Kein Konzept einer „vollen Rente“.
1. Säule:
Erreichen des Rentenalters und 15 Beitragsjahre (voller Anspruch).
Für Personen mit teilweiser oder ohne Arbeitsfähigkeit wird die erforderliche Mindestversicherungszeit um ein Jahr pro 3 Jahre währender teilweiser oder fehlender Arbeitsfähigkeit reduziert.
2. Säule:
Keine Mindestversicherungszeit.</t>
  </si>
  <si>
    <t>Gesetzliche einkommensbezogene Rente (Työeläke): 4 Versicherungsmonate für Selbstständige, Landwirte und Empfänger von Stipendien (keine Mindestversicherungszeit für Arbeitnehmer).
Kein Konzept einer vollständigen Laufbahn oder voller Beitragszeiten.
Volksrente (Kansaneläke): 3 Jahre Wohnsitz in Finnland nach Vollendung des 16. Lebensjahres.
Verlust des Anspruchs auf Volksrente bei einem Einkommen aus einkommensbezogener Rente, das folgende Grenzen überschreitet:
   * für Alleinstehende: €1.617,13 pro Monat im Jahr 2025;
   * für Verheiratete oder zusammenlebende Personen: €1.449,13 pro Monat im Jahr 2025.
Garantierte Rente (Takuueläke): 3 Jahre wohnhaft gewesen sein nach Vollendung des 16. Lebensjahres.
Einwohner, die eine Altersrente beziehen, haben Anspruch auf eine garantierte Rente, wenn ihr gesamtes Rentenbruttoeinkommen 2025 weniger als €978,34 pro Monat beträgt. Auch Migranten (d. h. Einwohner ohne Anspruch auf eine Volksrente), die keine Volksrente beziehen, haben ab einem Alter von 65 Jahren Anspruch auf eine garantierte Rente.</t>
  </si>
  <si>
    <t>(Beitragsabhängige) Staatliche Rente (State Pension (Contributory)):
Eine Person muss durchschnittlich 10 Wochen geleistete oder angerechnete Beiträge pro Jahr aufweisen; der Höchstrentensatz ist zahlbar an Personen mit einem Jahresdurchschnitt von mindestens 48 Wochen geleisteter Beiträge. Das erforderliche Mindestmaß, d.h. 520 Wochen geleisteter Beiträge.
Die Bedingungen gelten in Kombination mit dem Alter.
(Beitragsabhängige) Staatliche Rente (State Pension (Contributory)) für freiwillig Versicherte:
Sie müssen den Antrag innerhalb von 60 Monaten ab dem Ende des Steuerjahres stellen, in dem sie zuletzt obligatorische Versicherungsbeiträge gezahlt haben oder ihnen zuletzt eine Beitragsgutschrift gewährt wurde.
Sie müssen zuvor 468 Wochen Sozialversicherung gezahlt haben, wenn sie am oder nach dem 6. April 2014 freiwilliger Beitragszahler geworden sind, 520 Wochen Sozialversicherung, wenn sie am oder nach dem 6. April 2015 freiwilliger Beitragszahler geworden sind.</t>
  </si>
  <si>
    <t>Volksrente (lífeyrir almannatrygginga):
Die Mindestanforderung ist 3 Jahre Wohnsitz zwischen 16 und einschließlich 66 Jahren; 40 Jahre Wohnsitz für vollen Anspruch.
Arbeitsrente (lögbundnir lífeyrissjóðir):
Keine Mindestversicherungsdauer.</t>
  </si>
  <si>
    <t>Kein Konzept für Vollrente.
Die Mindestversicherungszeit für eine Altersrente beträgt für Männer wie für Frauen 15 Jahre in Kombination mit dem Lebensalter.
Bedingungen gelten in Kombination mit der Altersbedingung.</t>
  </si>
  <si>
    <t>1. Säule:
Versicherungsdauer von 20 Jahren.
Beide Bedingungen gelten für den Bezug von Altersrente: sowohl die Regelaltersgrenze als auch die erforderliche Versicherungszeit müssen erreicht werden.
Kein Konzept einer vollständigen Laufbahn oder vollständigen Versicherungszeiten.
2.Säule:
Es gilt nur die Altersbedingung.</t>
  </si>
  <si>
    <t>1. Säule: Eine versicherte Person muss zumindest ein Beitragsjahr einbezahlt haben. Ein voller Anspruch kann nur entstehen, wenn für die vollständige Beitragsdauer Beiträge einbezahlt wurden (keine Versicherungslücken zwischen dem vollendetem 20. und vollendetem 65. Altersjahr).
2. Säule: Kein Konzept einer "vollen Rente".
Keine Anwartschaftszeit.</t>
  </si>
  <si>
    <t>1. Säule:
Mindestversicherungszeit von 15 Versicherungsjahren in Kombination mit der Altersvoraussetzung.
2. Säule:
Nur Altersvoraussetzung.
Kein Konzept einer vollständigen Laufbahn oder vollständigen Versicherungszeiten.</t>
  </si>
  <si>
    <t>1. Säule:
Die Altersrente (pension de vieillesse) wird bei Vollendung des 65. Lebensjahres unter folgenden Voraussetzungen gewährt: Mindestversicherungszeit von 120 Monaten, Pflichtversicherung, freiwillige Versicherung oder rückwirkender Kauf von Versicherungszeiten.
Keine gesetzlich vorgeschriebene vollständige Versicherungsdauer (auch wenn die Anzahl der pauschalen Erhöhungen auf 40 Versicherungsjahre begrenzt ist und die vorzeitige Versetzung in den Ruhestand an eine 40-jährige Mindestversicherungszeit geknüpft ist).
Aufgrund der Berechnungsmethode erhält eine Person mit einer kürzeren Versicherungszeit einen geringeren Rentenbetrag.</t>
  </si>
  <si>
    <t>Volle Rente zahlbar nach 50 Versicherungsjahren vor der Regelaltersgrenze. Für jedes Jahr ohne Versicherungsnachweis wird ein Betrag von 2% von der vollen Rente abgezogen.
Personen, die ins Ausland umziehen, haben Anspruch auf freiwillige Versicherung für eine Höchstdauer von zehn Jahren nach ihrem Umzug, wenn sie zuvor für mindestens ein Jahr in den Niederlanden gelebt haben und wenn sie diese Versicherung innerhalb eines Jahres nach dem Umzug beantragen.</t>
  </si>
  <si>
    <t>Einkommensbasierte Rente (inntektspensjon): Kein Konzept der vollen Rente. Kein Mindestverdienstzeitraum.
Für eine volle Garantierte Rente (garantipensjon), eine volle Grundrente (grunnpensjon) und eine volle Mindestrente (minste pensjonsnivå) ist eine Wohnsitzdauer von 40 Jahren ab dem Alter von 16 Jahren bis zum Ende des Kalenderjahres, in dem das 66. Lebensjahr vollendet wird, erforderlich. Bei einer Wohnsitzdauer unter 40 Jahren wird die Rente proportional gekürzt. Erforderlich ist eine Mindestwohnsitzdauer von 5 Jahren.
Für eine volle Zusatzrente (tilleggspensjon) sind Rentenpunkte (pensjonspoeng) für 40 Kalenderjahre erforderlich. Rentenpunkte können ab dem Jahr, in dem das 13. Lebensjahr vollendet wird bis zum 75. Lebensjahr erworben werden. Wurden für weniger als 40 Jahre Rentenpunkte erworben, wird die Rente proportional gekürzt. Erforderlich ist ein Mindestzeitraum von 5 Jahren, in denen Rentenpunkte erworben wurde.
Gleiche Bedingungen für Frauen und Männer.</t>
  </si>
  <si>
    <t>Neben dem Erreichen des gesetzlichen Rentenalters müssen Beiträge für mindestens 15 Jahre entrichtet oder angerechnet werden. Für die Anrechnung eines Jahres muss nachweislich an 120 Tagen ein Arbeitsentgelt bezogen worden sein.
Das Konzept einer vollständigen Laufbahn im eigentlichen Sinne existiert nicht.
Bei der Rentenberechnung werden die Jahre der gesamten beitragspflichtigen Laufbahn mit einer Obergrenze von 40 Jahren berücksichtigt (oder die Summe der 40 höchsten angepassten Jahresgehälter, wenn die beitragspflichtige Laufbahn mehr als 40 Jahre umfasst).</t>
  </si>
  <si>
    <t>Erste Säule:
Altersrente (pensie pentru limita de varsta):
Beitragsabhängiger Mindestversicherungszeitraum: 15 Jahre.
Gilt in Kombination mit dem üblichen Regelpensionsalter.
In der rumänischen Gesetzgebung gibt es kein Konzept einer vollen Laufbahn oder eines vollständigen Beitragsnachweises, um "vollen" Anspruch auf die Altersrente (wie in MISSOC definiert) zu haben.
In Rumänien bezieht sich der vollständige beitragsabhängige Versicherungszeitraum auf die Zeit, in der Personen Beiträge zum Versicherungssystem geleistet haben, die sie für eine Reduzierung des Regelpensionsalters berechtigen, wenn sie entweder die Altersrente mit reduziertem Ruhestandsalter (pensie pentru limită de vârstă cu reducerea vârstelor standard de pensionare)  oder die vorgezogene Ruhestandsrente beantragen (pensie anticipată).
Zweite Säule:
Altersrente (pensie pentru limita de vârsta):
Ausreichendes persönliches Pensionsvermögen (d.h. Betrag in ausreichender Höhe auf dem Rentenkonto angesammelt). Gilt in Kombination mit dem üblichen Regelpensionsalter.</t>
  </si>
  <si>
    <t>1. Säule (Grundsystem):
Ein Beitragsjahr.
Eine volle Rente wird gewährt, wenn die Person ab dem 21. bis zum Referenzalter (Rentenalter) die Beitragspflicht erfüllt hat.
2. Säule (obligatorische Mindestvorsorge):
Keine Mindestversicherungsdauer.
Kein Begriff einer vollständigen Laufbahn oder eines vollständigen Versicherungsverlaufes.</t>
  </si>
  <si>
    <t>1. Säule:
15 Versicherungsjahre und das Rentenalter erreicht haben.
2. Säule:
Keine Mindestversicherungszeit, aber das Rentenalter erreicht haben.
Kein Konzept einer vollständigen Laufbahn oder Versicherungszeiten.
Siehe jedoch „Alter – Leistungen – 6. Mindestrente und bedarfsorientierte Leistung“.</t>
  </si>
  <si>
    <t>Die Bedingung für den Bezug einer Altersrente (abgesehen vom Alter) ist eine Mindestversicherungszeit von 15 Jahren (ausschließlich Zeiten, für die Beiträge entrichtet wurden).
Voller Anspruch auf Altersrente ist abhängig von folgenden Bedingungen:
60 Jahre alt und eine Versicherungszeit von 40 Jahren für Männer und Frauen (einschließlich angerechnete oder als entrichtet behandelte Zeiten, nicht jedoch erworbene Zeiträume (pokojninska doba brez dokupa)).</t>
  </si>
  <si>
    <t>Für einen Anspruch auf Altersrente müssen Beiträge für einen Mindestzeitraum von 15 Jahren geleistet worden sein, davon mindestens 2 während der 15 Jahre unmittelbar vor Eintritt in den Ruhestand.
Bedingungen gelten in Kombination mit dem Alter. Praktisch ist es notwendig, 65 Jahre alt zu sein und mindestens 38 Jahre und 3 Monate lang Beiträge geleistet zu haben (oder 66 Jahre und 8 Monate alt zu sein und weniger als 38 Jahre und 3 Monate lang Beiträge geleistet zu haben).
Für einen Anspruch auf 100% der Bemessungsgrundlage bei einem Renteneintritt im Jahr 2025 ist ein Mindestzeitraum von 36 Beitragsjahren und 6 Monaten erforderlich.</t>
  </si>
  <si>
    <t xml:space="preserve">
   * 35 Versicherungsjahre (30 Jahre ohne beitragslose Zeiträume) in Verbindung mit dem Renteneintrittsalter, oder
   * 20 Jahre Versicherung (15 Jahre ohne beitragslose Zeiträume), wenn der Rentner/ die Rentnerin das Renteneintrittsalter für Männer um mindestens 5 Jahre übersteigt.</t>
  </si>
  <si>
    <t>Erste Säule:
Der Anspruch auf Altersrente stützt sich auf die Kumulierung der erforderlichen Versicherungszeit und das Erreichen des entsprechenden Rentenalters.
   * 15 Jahre Versicherungszeit für das, was in der ungarischen Terminologie als „Teilrente“ ohne Mindestgarantie bezeichnet wird.
   * 20 Jahre Versicherungszeit für das, was in der ungarischen Terminologie als „Vollrente“ mit Mindestgarantie bezeichnet wird.
Kein Konzept einer vollständigen Laufbahn oder vollständigen Versicherungsdauer.</t>
  </si>
  <si>
    <t>Bei ausreichenden Versicherungszeiten besteht die Möglichkeit, ein Jahr vor dem Rentenalter in den Ruhestand zu gehen.
Auch Lehrer haben einen Pensionsanspruch ab einem Alter von 59 Jahren und 4 Monaten bei Frauen (mit einem Versicherungszeitraum von 25 Jahren und 8 Monaten) und 61 Jahren und 8 Monaten bei Männern (mit einem Versicherungszeitraum von 30 Jahren und 8 Monaten).
Für die Anhebung des Rentenalters siehe Bedingungen – Rentenalter.</t>
  </si>
  <si>
    <t>1. Säule:
Frührente (Tidlig Pension):
Die Person muss zwischen dem 15. Lebensjahr und dem Rentenalter mindestens drei Jahre in Dänemark wohnsitzansässig gewesen sein (9 oder 10 Jahre Wohnsitz für den Bezug der vollen Rente). Darüber hinaus muss die Person das Rentenalter in weniger als 3 Jahren erreichen und eine langfristige Beteiligung am Arbeitsmarkt belegen können.</t>
  </si>
  <si>
    <t>Folgende verschiedene vorgezogene Renten gibt es:
Vorgezogene Altersrente für langjährig Versicherte: kann ab 63 Jahren mit dauerhaften Abschlägen auf die Rente von 0,3 % pro Monat bei vorzeitiger Inanspruchnahme bezogen werden, wenn mindestens 35 Jahre rentenrechtliche Zeiten vorliegen.
Vorgezogene Altersrente ohne Abschläge für besonders langjährig Versicherte: Voraussetzung sind mindestens 45 Jahre an Pflichtbeiträgen aus Beschäftigung, selbstständiger Tätigkeit und Pflege sowie Zeiten der Kindererziehung bis zum 10. Lebensjahr des Kindes. Auch Zeiten der freiwilligen Beitragszahlung können berücksichtigt werden, wenn für mindestens 18 Jahre Pflichtbeiträge vorliegen. Um besondere Härten aufgrund kurzzeitiger, arbeitslosigkeitsbedingter Unterbrechungen in der Erwerbsbiografie zu vermeiden, werden Zeiten des Bezugs von Arbeitslosengeld sowie die übrigen Entgeltersatzleistungen der Arbeitsförderung berücksichtigt. Zeiten des Bezugs von Entgeltersatzleistungen der Arbeitsförderung werden nicht berücksichtigt, wenn sie in den letzten zwei Jahren vor Rentenbeginn liegen, es sei denn sie sind durch Insolvenz oder vollständige Geschäftsaufgabe des Arbeitgebers bedingt. Die Altersgrenze bei der vorgezogenen Rente wird entsprechend der Regelaltersgrenze stufenweise von 63 auf 65 Jahre angehoben. Die Anhebung begann 2016 für den Geburtsjahrgang 1953 mit einem Anstieg um 2 Monate. Für jeden nachfolgenden Geburtsjahrgang wird die Altersgrenze um 2 weitere Monate angehoben. Für den Geburtsjahrgang 1964 ist die Altersgrenze von 65 Jahren erreicht.
Vorgezogene Altersrente für schwerbehinderte Menschen: Während die Altersgrenze für die Altersrente für schwerbehinderte Menschen stufenweise von 63 auf 65 Jahre angehoben wird, kann auch diese Rente vorzeitig mit dauerhaften Abschlägen von monatlich 0,3 Prozent in Anspruch genommen werden, wenn eine Schwerbehinderung und 35 Jahre rentenrechtliche Zeiten vorliegen. Die Altersgrenze für den vorzeitigen Bezug einer Altersrente für schwerbehinderte Menschen wird für Geburtsjahrgänge ab 1952 - parallel zur Anhebung der Regelaltersgrenze - stufenweise von 60 auf 62 Jahre erhöht.
Als Ausgleich für den längeren Rentenbezug werden nicht abschlagsfreie Renten für jeden Monat, in dem sie vorzeitig, d.h. vor dem regulären Rentenbeginn bezogen werden, um einen Abschlag von 0,3% (jährlich 3,6 %) gemindert.</t>
  </si>
  <si>
    <t>Volksrente (Kansaneläke): Vorgezogene Rente ab dem Alter von 64 Jahren für Personen, die vor 1962 geboren wurden. Keine vorgezogene Rente für Personen, die 1962 oder später geboren wurden.
Gesetzliche einkommensbezogene Rente (Työeläke): keine vorgezogene Rente.
Dienstaltersrente (Työuraeläke): ab 63 Jahren unabhängig vom Geburtsjahr nach 38 Jahren beschwerlicher Arbeit (siehe Tabelle VI, „Beschwerliche und gefährliche Arbeit“).</t>
  </si>
  <si>
    <t>Keine vorgezogene Altersrente.</t>
  </si>
  <si>
    <t>Volksrente (lífeyrir almannatrygginga):
Bezug von Altersrente ab dem 65. Lebensjahr möglich.
60 Jahre für Seeleute, die für mindestens 25 Jahre mit einem Jahresdurchschnitt von mindestens 180 Tagen an Bord eines isländischen Schiffs registriert waren. Ebenso für Seeleute, die mindestens 25 Jahre auf einem offenen Schiff oder auf einem Schiff unter 12 Bruttoregistertonnen gearbeitet haben, wenn dies ihre Hauptbeschäftigung war.
Zur früheren Verrentung aus Gesundheitsgründen siehe Tabelle V "Invalidität".
Arbeitsrente (lögbundnir lífeyrissjóðir):
Ein früherer Renteneintritt ist gemäß den Regeln der einzelnen Rentenfonds (mit frühestens 60 Jahren) möglich.</t>
  </si>
  <si>
    <t>Männer: 60 Jahre bei einer Versicherungszeit von 35 Jahren.
Frauen: 58 Jahre und 9 Monate und eine Versicherungszeit von 33 Jahren und 9 Monaten im Jahr 2025.
Bei den Frauen werden Alter und Versicherungszeit von 2020 bis 2029 schrittweise um 3 Monate pro Kalenderjahr angehoben, bis 2030 60 Jahre bzw. 35 Versicherungsjahre erreicht sind.
Die gleichen Bedingungen gelten für Personen, die aufgrund von Unternehmenskonkurs mindestens zwei Jahre arbeitslos sind, bevor sie die Voraussetzungen für eine vorzeitige Rente erfüllen.</t>
  </si>
  <si>
    <t>1. Säule: Vorbezug ist ab dem vollendeten 60. Altersjahr auf jeden folgenden Kalendermonat hin möglich. Eine versicherte Person muss zumindest ein Beitragsjahr einbezahlt haben.
2. Säule: Personen, die eine Altersrente nach AHVG vorbeziehen, können die ganze oder halbe Rente nach diesem Gesetz (BPVG) auf jeden Monat hin ebenfalls vorbeziehen. Weitergehende Regelung im Reglement der jeweiligen Vorsorgeeinrichtung möglich (z.B. Vorsorgeeinrichtungen können reglementarisch auch ein anderes (unter anderem früheres) Rentenalter festlegen).</t>
  </si>
  <si>
    <t>1. Säule:
Vorgezogene Altersrente (pension de vieillesse anticipée):
   * Ab vollendetem 60. Lebensjahr: bei Nachweis von 480 obligatorischen Versicherungsmonaten oder zusätzlichen Zeiten, davon mindestens 120 effektive Versicherungsmonate.
   * Ab vollendetem 57. Lebensjahr: bei Nachweis von 480 obligatorischen Versicherungsmonaten.</t>
  </si>
  <si>
    <t>Keine vorgezogene Altersrente im engeren Sinne.
Versicherte können sich jedoch mit 61 Jahren für den vollen Ruhestand qualifizieren, wenn sie 40, 41 oder 42 Jahre bezahlte/angerechnete Beiträge (je nach Geburtsjahrgang) und mindestens 35 Jahre bezahlte Beiträge vorweisen können. Dabei handelt es sich nicht um eine versicherungsmathematisch gekürzte vorzeitige Rente, sondern um eine langfristige Altersvorsorge.</t>
  </si>
  <si>
    <t>Keine vorgezogene Rente möglich.</t>
  </si>
  <si>
    <t>Rentenbezug ab dem 62. Lebensjahr ist möglich. Für einen Anspruch gelten jedoch bestimmte Bedingungen, d.h. es muss bei Vollendung des 67. Lebensjahres mindestens ein Anspruch auf die Mindestrente für Personen mit einem Versicherungszeitraum von 40 Jahren bestehen.</t>
  </si>
  <si>
    <t>Dauerrecht:
Korridorrente: 62 Jahre für Männer und Frauen (für Frauen wird diese Regelung erst ab 2028 relevant – siehe Tabelle VI, Rentenalter).
Schwerarbeitsrente: Frühestens 60 Jahre für Schwerarbeiter:innen, wenn mind. 10 Jahre Schwerarbeit innerhalb der letzten 20 Jahre vor dem Stichtag geleistet wurden und insgesamt 45 Versicherungsjahre erworben wurden.
Für bestimmte Jahrgänge, gibt es vorzeitige Altersrenten für Personen mit sehr langen Versicherungskarrieren bzw. besonders belastenden Arbeitsvoraussetzungen.</t>
  </si>
  <si>
    <t>Keine vorgezogene Altersente.</t>
  </si>
  <si>
    <t>1. Säule (Grundsystem):
Versicherte können ab 63 Jahren die gesamte Rente oder einen Prozentsatz zwischen 20% und 80% vorbeziehen.
Frauen, die zwischen 1961 und 1969 geboren wurden, können ihre Rente ab 62 Jahren vorbeziehen.
Keine besonderen Bedingungen.
2. Säule (obligatorische Mindestvorsorge):
Versicherte können die Altersleistung ab dem 63. Lebensjahr ganz oder teilweise vorbeziehen.
Außerdem können Personen über 60 Jahre, die ihr Arbeitslosengeld ausgeschöpft haben, bis zum Erreichen des Referenzalters (Rentenalter) Überbrückungsleistungen für ältere Arbeitslose (Vorruhestandsleistungen) beziehen, um ihren Lebensunterhalt zu decken (siehe Tabelle XI „Mindestsicherung“).</t>
  </si>
  <si>
    <t>Versicherte Personen haben Anspruch auf eine vorgezogene Rente (predčasna pokojnina) im Alter von 60 Jahren, wenn sie eine Mindestversicherungszeit von 40 Jahren (pokojninska doba) (einschließlich erworbener Zeiträume) vorweisen können.</t>
  </si>
  <si>
    <t>Vorzeitige Rente möglich bis zu drei Jahre vor dem gesetzlichen Renteneintrittsalter. Der Anspruchsberechtigte muss über eine Versicherungszeit von mindestens 40 Jahren verfügen (einschließlich beitragsfreie Zeiten).</t>
  </si>
  <si>
    <t>Keine spezifischen Bestimmungen für beschwerliche und gefährliche Arbeit.</t>
  </si>
  <si>
    <t>1. Säule:
Keine besonderen Bestimmungen für beschwerliche und gefährliche Berufe.</t>
  </si>
  <si>
    <t>Die Altersrente für langfristig unter Tage beschäftigte Bergleute ermöglicht einen Renteneintritt mit 62 Jahren für die ab 1964 Geborenen, wenn eine Wartezeit von 25 Jahren vorliegt. Für Versicherte, die nach dem 31. Dezember 1951 geboren sind, wird die Altersgrenze schrittweise von 60 auf 62 Jahre angehoben.</t>
  </si>
  <si>
    <t>Keine besonderen Bestimmungen zu beschwerlichen und gefährlichen Tätigkeiten.</t>
  </si>
  <si>
    <t xml:space="preserve">Dienstaltersrente (Työuraeläke): ab 63 Jahren unabhängig vom Geburtsjahr nach 38 Jahren beschwerlicher Arbeit.
Um Anspruch auf eine Rente zu haben, muss die Arbeit signifikante mentale und physische Anstrengungen erfordert haben und einen oder mehrere der folgenden Faktoren eingeschlossen haben:
   * Bewegungsabläufe, die große Muskelkraft erfordern oder eine Langzeitbelastung für die Muskulatur darstellen;
   * eine besonders schwere Belastung der Atemwegs- und Blutgefäßsysteme;
   * belastende und schwierige Arbeitspositionen;
   * sich wiederholende Bewegungen oder Bewegungsabläufe, die Kraft oder Schnelligkeit erfordern;
   * interaktive Arbeit, die besonders anstrengend ist und außerordentliche mentale Anstrengung erfordert sowie;
   * Arbeit, die permanente geistige Präsenz oder Umsicht erfordert und die hohe Risiken birgt oder die durch Bedrohung durch Gewalt gekennzeichnet ist.
</t>
  </si>
  <si>
    <t>1. Säule (Basissystem) und 2. Säule (Zusatzrentensysteme (Agirc-Arrco)):
Keine amtliche Definition von beschwerlicher und gefährlicher Arbeit.
Berücksichtigung bestimmter Faktoren der Arbeitsschwere (Nachtarbeit, extreme Temperaturen, Gefährdung durch Lärm usw.), bemessen in Punkten, für die Versicherungszeit (höchstens 8 angerechnete Versicherungsquartale).</t>
  </si>
  <si>
    <t>Keine besonderen Bestimmungen zu beschwerlichen und gefährlichen Berufen.</t>
  </si>
  <si>
    <t>Keine besonderen Bestimmungen.</t>
  </si>
  <si>
    <t>Keine besonderen Regelungen zu beschwerlichen und gefährlichen Berufen.</t>
  </si>
  <si>
    <t>Keine besonderen Bestimmungen zu beschwerlichen und gefährlichen Berufen nach 1995. Dennoch wird Personen, die die erforderliche Zahl von Arbeitsjahren in beschwerlicher/gefährlicher Arbeit vor 1995 absolviert hatten, die jedoch noch zu jung waren für den Ruhestand, 5 Jahre vor Erreichen des Rentenalters eine Entschädigung gezahlt (Schutz der erworbenen Ansprüche).</t>
  </si>
  <si>
    <t>1. Säule:
Keine besonderen Bestimmungen für beschwerliche oder gefährliche Arbeit.</t>
  </si>
  <si>
    <t>Keine spezifischen Regelungen zu beschwerlichen und gefährlichen Berufen.</t>
  </si>
  <si>
    <t>Keine besonderen Bedingungen für beschwerliche und gefährliche Berufe.</t>
  </si>
  <si>
    <t>In Ermangelung einer konkreten Definition einer schweren oder ungesunden Arbeit sieht das Gesetz besondere Zugangsbedingungen zur Altersrente für Begünstigte vor, die einen besonders schweren Beruf ausgeübt haben;
   * Bergbauarbeiter und Arbeiter der Bergbauindustrie (Förderung und Verarbeitung von Grundstein): Renteneintrittsalter ab dem regulären Alter (2025: 66 Jahre und 7 Monate), gekürzt um ein Jahr pro zwei effektiv geleisteter Dienstjahre, bis zu einer Obergrenze von 50,1 Jahren (die unter außergewöhnlichen Umständen um bis zu 5 weitere Jahre gekürzt werden kann) und Bonus von 2,2% für jeden Zeitraum von 2 Dienstjahren jeweils mit einer Schwelle von 80%)
   * Seeleute: ab 55 Jahren, sofern mindestens 15 Jahre als Seemann tätig (273 Arbeitstage entsprechen einem effektiven Arbeitsjahr)
   * Hochseefischer: ab 55 Jahren, wenn 15 Jahre Beitragszahlungen und mindestens 30 Dienstjahre (150 Arbeitstage entsprechen einem Jahr). Ab 50 Jahren (Rente aufgrund vorzeitigen körperlichen Verschleißes) wenn mindestens 40 Dienstjahre (273 Arbeitstage entsprechen einem effektiven Arbeitsjahr)
   * Fluglotse: 60 Jahre, wenn mindestens 22 Dienstjahre in operativer Funktion
   * Tänzer (klassisches und zeitgenössisches Ballett): 45 Jahre, wenn 20 Jahre Halbtagstätigkeit oder 55 Jahre, wenn 10 Jahre Vollzeittätigkeit;
   * Stickerinnen der Insel Madeira: 60,1 Jahre, wenn 15 Jahre Beitragszahlungen.</t>
  </si>
  <si>
    <t>1. Säule (Grundsystem)/ 2. Säule (obligatorische Mindestvorsorge):
Keine besonderen Regelungen zu beschwerlichen und gefährlichen Berufen.</t>
  </si>
  <si>
    <t>In der Slowakei werden Berufe je nach dem Grad der möglichen Beeinträchtigung der Gesundheit der Arbeitnehmer durch die Arbeit und das Arbeitsumfeld in vier Kategorien eingeteilt. Gefährliche Tätigkeiten fallen in die dritte und vierte Kategorie der Klassifikation und umfassen Berufe, die die Wahrscheinlichkeit von Berufserkrankungen, Vergiftungen oder anderen arbeitsbedingten Gesundheitsproblemen erhöhen.
Die Zahlung von Beiträgen zur Zusatzrente (3. Säule) bei Mitarbeitern der Kategorie 3 und 4 ist verpflichtend für den Arbeitgeber. Hierunter fallen auch Blasinstrumentmusikanten und Tänzern.</t>
  </si>
  <si>
    <t>Ein niedrigeres gesetzliches Renteneintrittsalter gilt für Personen, die in bestimmten Tätigkeiten im Bergbau Minen gearbeitet haben, Sanitäter, Feuerwehrleute und gefährliche Tätigkeiten (4. Beschäftigungskategorie im Rahmen des Gesetzes zum Schutz der öffentlichen Gesundheit).</t>
  </si>
  <si>
    <t>Erste Säule:
Keine besonderen Bestimmungen zu Altersrenten in beschwerlichen und gefährlichen Berufen.
Für Leistung vor dem Rentenalter (Korhatár előtti ellátás) – wobei es sich nicht um eine Altersrente handelt – können Untertagearbeit (für Berg-leute) und professioneller Tanz (für Ballett- und Tanzkünstler) sowie Berufe, die mit spezifischen Berufsbe-zeichnungen verbunden sind (ausgeübt vor dem 1. Januar 2014) als beschwerliche und gefährliche Berufe bezeichnet werden.</t>
  </si>
  <si>
    <t>Keine besonderen Bestimmungen, mit Ausnahme von Bergarbeitern mit mindestens 3 Jahren Tätigkeit im Bergbau, deren Renteneintrittsalter bei 63 Jahren liegt. 
Bergarbeiter, die mindestens drei Jahre im Bergbau beschäftigt waren, haben einen vorzeitigen Anspruch auf gesetzliche Rente (Θεσμοθετημένη Σύνταξη) um jeweils einen Monat je 5 Monate Tätigkeit im Bergbau, falls der Renteneintritt unmittelbar nach dieser Beschäftigung erfolgt. In keinem Fall kann die Rente vor Vollendung des 58. Lebensjahres bezogen werden.</t>
  </si>
  <si>
    <t>Mit dem Einverständnis des Arbeitgebers ist eine unbeschränkte Verlängerung möglich.</t>
  </si>
  <si>
    <t>Unbegrenzter Aufschub möglich.</t>
  </si>
  <si>
    <t>1. Säule:
Altersrente (Folkepension):
Aufschub bis zu 120 Monaten zu jeder Zeit ab dem Ruhestandsalter möglich. Anspruch auf Altersrente muss bestehen und mindestens 750 Arbeitsstunden im Kalenderjahr müssen geleistet werden.
Zusatzrente (arbejdsmarkedets tillægspension, ATP) und obligatorisches Rentensystem (Obligatorisk Pensionsordning):
Aufschub um höchstens 10 Jahre ab Erreichen des Rentenalters möglich. Aufschub ist nicht möglich, wenn die Rente als Pauschalbetrag ausgezahlt wird.</t>
  </si>
  <si>
    <t>Unbegrenzter Aufschub möglich.
Für jeden Monat nach Erreichen der Regelaltersgrenze, den die Rente aufgeschoben wird, erhöht sich die spätere Rente dauerhaft um 0,5% (jährlich 6%).
Nach Erreichen der Regelaltersgrenze kann auf die dann grundsätzlich bestehende Versicherungsfreiheit verzichtet werden. So können Beschäftigte weitere Entgeltpunkte erwerben und ihren Rentenanspruch erhöhen.</t>
  </si>
  <si>
    <t>1. Säule und 2. Säule:
Unbegrenzter Aufschub möglich.</t>
  </si>
  <si>
    <t>1. Säule (Basissystem):
Ab dem Erreichen des gesetzlichen Rentenalters, Erhöhung des Rentenbetrags (Bonus), wenn die Bedingungen für eine Rente zum vollen Satz erfüllt sind.
Ab dem Alter bei dem die Rente automatisch zum vollen Satz ausgezahlt wird (67 Jahre), Erhöhung der angerechneten Versicherungszeit, falls bis dahin die vom Geburtsjahr abhängige erforderliche Versicherungsdauer nicht erreicht ist, um die Auswirkungen der Proratisierung der Rente zu begrenzen.
2. Säule (Zusatzrentensysteme (Agirc-Arrco)):
Der Arbeitnehmer kann über das 67. Lebensjahr hinaus im Beschäftigungsverhältnis bleiben.
Der Arbeitgeber kann jedoch von einem Arbeitnehmer im Alter von 67 bis 69 Jahren verlangen, in den Ruhestand zu gehen. Der Arbeitnehmer muss diesem jedoch zustimmen. Ab dem Alter von 70 Jahren kann der Arbeitnehmer die von dem Arbeitgeber verlangte Versetzung in den Ruhestand nicht mehr ablehnen.</t>
  </si>
  <si>
    <t>1. Säule (Hauptrente der e-EFKA):
Unbegrenzter Aufschub möglich.
Kein Aufschub möglich für Beamte über 67 Jahren.</t>
  </si>
  <si>
    <t>Kein Aufschub des Ruhestands möglich.</t>
  </si>
  <si>
    <t>Volksrente (lífeyrir almannatrygginga):
Aufschub des Rentenantrags bis zum Alter von 80 Jahren mit erhöhten Leistungen (nach versicherungsmathematischer Berechnung) möglich, wenn der Rentner keine Altersrente aus dem Volksrentensystemg oder den Rentenfonds des Arbeitsrentensystems bezogen hat.
Arbeitsrente (lögbundnir lífeyrissjóðir):
Aufschub in der Regel bis zum Alter von 70 Jahren möglich.</t>
  </si>
  <si>
    <t>Aufschub bis zu einem Alter von 70 Jahren und 3 Monaten (angepasst nach Lebenserwartung) möglich für Ärzte, die in öffentlichen Gesundheitszentren/Krankenhäusern tätig sind.</t>
  </si>
  <si>
    <t>1. Säule/2.Säule:
Unbegrenzter Aufschub möglich.</t>
  </si>
  <si>
    <t>1. Säule: Rentenaufschub ist bis zum vollendeten 70. Altersjahr möglich (versicherungsmathematische Rentenerhöhung).
2. Säule: Wird das Vorsorgeverhältnis über das ordentliche Rentenalter nach dem AHVG hinaus verlängert, sind ausschließlich Altersleistungen versichert. Regelung im Reglement der jeweiligen Vorsorgeeinrichtung.</t>
  </si>
  <si>
    <t>Rentenaufschub ist für maximal fünf Jahre möglich.</t>
  </si>
  <si>
    <t>1. Säule:
Kein Aufschub der Rente.</t>
  </si>
  <si>
    <t>Ein Aufschub der Rente ist für Rentner möglich, die die Voraussetzungen für den Bezug einer Rente vor dem Rentenalter erfüllen, sich jedoch dafür entscheiden, mindestens ein volles Jahr weiter ihrer unselbstständigen oder selbstständigen Beschäftigung nachzugehen. Ein Aufschub ist nach dem Alter von 65 Jahren nicht möglich.</t>
  </si>
  <si>
    <t>Kein Rentenaufschub möglich.</t>
  </si>
  <si>
    <t>Der Altersrentenbezug kann bis nach dem 67. Lebensjahr aufgeschoben werden. Es gibt dafür keine Altersobergrenze, der Betrag der Rente steigt jedoch über das 75. Lebensjahr hinaus nicht weiter an.</t>
  </si>
  <si>
    <t>Unbegrenzter Aufschub möglich.
Zur Erhöhung der Rente durch Aufschub siehe Tabelle VI, 13. Aufgeschobene Rente.</t>
  </si>
  <si>
    <t>Erste Säule:
Der individuelle Arbeitsvertrag endet, wenn die Person die Bedingungen für den Erhalt einer Altersrente erfüllt.
Personen, die im staatlichen Rentensystem versichert sind und die Bedingungen erfüllen (übliches Renteneintrittsalter und Mindestbeitragszeit), können wählen zwischen Renteneintritt und der Fortsetzung der Erwerbstätigkeit im Rahmen derselben vertraglichen Vereinbarung (mit alljährlicher Zustimmung des Arbeitgebers) bis zum Alter von 70 Jahren.
Zweite Säule:
Unbegrenzter Aufschub möglich.</t>
  </si>
  <si>
    <t>1. Säule (Grundsystem):
Aufschub zwischen 1 und höchstens 5 Jahren der gesamten Rente oder eines Prozentsatzes zwischen 20 und 80% der Rente. Keine besonderen Bedingungen.
2. Säule (obligatorische Mindestvorsorge):
Versicherte können den Bezug ihrer Altersleistung bis zum Ende der Erwerbstätigkeit aufschieben, höchstens jedoch bis zur Vollendung des 70. Altersjahres.</t>
  </si>
  <si>
    <t>Ein unbegrenzter Aufschub ist möglich, außer für Mitarbeiter des öffentlichen Dienstes.</t>
  </si>
  <si>
    <t>Ein unbefristeter Aufschub ist möglich. Minimum 90 Kalendertage nach dem gesetzlichen Renteneintrittsalter für Rückstellung von zusätzlichen Rentenansprüchen.</t>
  </si>
  <si>
    <t>Erste Säule:
Unbegrenzter Aufschub der Altersrente (Öregségi nyugdíj) ist möglich.</t>
  </si>
  <si>
    <t>Aufschub bis zur Vollendung des 68. Lebensjahrs möglich.
Kein Aufschub möglich: vom Alter von 63 Jahren bis zum Alter von 65 Jahren ab 1. Januar 2016.</t>
  </si>
  <si>
    <t>Höhe des anrechnungsfähigen Arbeitsentgelts, Versicherungsdauer und Familienstand.</t>
  </si>
  <si>
    <t>1. Säule:
Altersrente (Folkepension)/Frührente (Tidlig Pension):
Dauer des Wohnsitzes in Dänemark im Alter von 15 Jahren bis zum Ruhestandsalter.
Zusatzrente (arbejdsmarkedets tillægspension, ATP) und obligatorisches Rentensystem (Obligatorisk Pensionsordning):
Versicherungsdauer und entrichtete Beiträge.</t>
  </si>
  <si>
    <t>Höhe der während des gesamten Versicherungslebens durch Beiträge versicherten Arbeitsentgelte und freiwilliger Beiträge (Beitragszeiten) sowie Kindererziehungszeiten.</t>
  </si>
  <si>
    <t>1. Säule:
Anzahl der Jahre einer versicherten Beschäftigung bis zum 31.12.1998.
Zahlungen von Sozialsteuer (sotsiaalmaks) seit dem 01.01.1999.
2. Säule:
Zahlungen von Sozialsteuer (sotsiaalmaks) und Performance von Pensionsfonds.</t>
  </si>
  <si>
    <t>Gesetzliche einkommensbezogene Rente (Työeläke):
Versicherte Entgelte für jedes Jahr.
Volksrente (Kansaneläke):
Dauer des Wohnsitzes in Finnland, Familienstand und Höhe sonstiger Renteneinkommen aus Finnland und dem Ausland.
Garantierte Rente (Takuueläke):
Die Höhe der garantierten Rente ist abhängig von jedem anderen in Finnland oder im Ausland erworbenen Renteneinkommen.</t>
  </si>
  <si>
    <t>1. Säule (Basissystem):
Die für eine Rente zum vollen Satz erforderliche Versicherungsdauer, das durchschnittliche Jahresbruttoeinkommen und die Relation der tatsächlichen Versicherungsdauer zur maximalen Versicherungsdauer.
2. Säule (Zusatzrentensysteme (Agirc-Arrco)):
Die Anzahl der während des Berufslebens erworbenen Rentenpunkte und der Wert eines Punktes.</t>
  </si>
  <si>
    <t>1. Säule (Hauptrente der e-EFKA):
Höhe des bisherigen rentenberechtigten Einkommens, Anzahl der Versicherungsjahre, Wohnsitz, Alter, Ersatzrate pro Jahr, BIP, Verbraucherpreisindex, Existenzfähigkeit des Pensionsfonds.
Unter besonderen Bedingungen, angerechnete Zeiträume (z. B., Zeiten in Ausbildung, Streiks, Ausbildung, Elternschaft, Wehrdienst und Inhaftierung), für die auf freiwilliger Basis rückwirkend Beiträge gezahlt wurden.
Beiträge gezahlt während desselben Zeitraums an unterschiedliche Versicherungsfonds, eingebunden in die Elektronische Nationale Sozialversicherung (e-EFKA) (parallele Versicherung – παράλληλη ασφάλιση) (bis 31. Dezember 2016) weil unterschiedliche Tätigkeiten ausgeführt wurden.
Versicherungszeit nach Beendigung der Tätigkeit oder Beschäftigung, für die Beiträge (für Arbeitgeber und Arbeitnehmer) freiwillig vom Arbeitnehmer gezahlt werden, um einen Anspruch auf Altersrente zu erwerben (προαιρετική συνέχιση της ασφάλισης).</t>
  </si>
  <si>
    <t>Volksrente (lífeyrir almannatrygginga):
Dauer des Wohnsitzes in Island und Einkommen aus anderen Quellen.
Arbeitsrente (lögbundnir lífeyrissjóðir):
Versicherungsdauer und Höhe der Beiträge.</t>
  </si>
  <si>
    <t>Geleistete Gesamtbeiträge, Alter und Anpassung an die Veränderung der Lebenserwartung.</t>
  </si>
  <si>
    <t>Höhe des versicherten Einkommens und Anzahl der Versicherungsjahre vor dem Bezug der Altersrente.</t>
  </si>
  <si>
    <t>1. Säule:
Anzahl der Versicherungsjahre, einschließlich der zusätzlichen Zeiten (von der Versicherungsdauer abhängige Pauschalleistung (majorations forfaitaires)) und der Summe der versicherten Einkommen (einkommensabhängiger Rententeilbetrag (majorations proportionnelles)).
Anteilmäßig gestaffelte Erhöhung wenn die Summe der Versicherungszeiten und das Alter die Zahl 94 übersteigt.</t>
  </si>
  <si>
    <t>Höhe des Einkommens aus Erwerbstätigkeit und Anzahl der geleisteten Beiträge, bevor die Rente beantragt wird.</t>
  </si>
  <si>
    <t>Nachweis von Versicherungszeiten, Haushaltstatus.</t>
  </si>
  <si>
    <t>Höhe des Einkommens, Versicherungsdauer und Alter bei Inanspruchnahme.</t>
  </si>
  <si>
    <t>Erste Säule:
Länge der Beitragsdauer, Höhe der Einkünfte.
Zweite Säule:
Nettowert des persönlichen Rentenvermögens, Leistung des Rentenfonds.</t>
  </si>
  <si>
    <t>1. Säule (Grundsystem):
Die Höhe der Rente hängt von den Beitragsjahren (zur Bestimmung der Rentenskala) und vom durchschnittlichen Jahreseinkommen (zur Bestimmung der Rentenhöhe innerhalb der anwendbaren Rentenskala) ab.
2. Säule (obligatorische Mindestvorsorge):
Die Rente wird in Prozent des Altersguthabens berechnet (Altersguthaben = Beiträge + Zinsen).</t>
  </si>
  <si>
    <t>Höhe der während des gesamten Versicherungslebens durch Beiträge versicherten Arbeitsentgelte und Dauer des Versicherungszeitraums.</t>
  </si>
  <si>
    <t xml:space="preserve">
   * Früheres Einkommen;
   * Anzahl der Versicherungsjahre;
   * Geschlecht des Leistungsempfängers;
   * Alter zum Zeitpunkt des Rentenantrags (vor oder nach der normalen Altersgrenze).</t>
  </si>
  <si>
    <t>Höhe der vom Bruttoarbeitsentgelt und der Anzahl der Beitragsjahre abhängenden geleisteten Beiträge.</t>
  </si>
  <si>
    <t>Höhe des Einkommens und Anzahl der Versicherungsjahre.</t>
  </si>
  <si>
    <t>Erste Säule:
Altersrente der Sozialversicherung (Öregségi nyugdíj), Leistung vor dem Rentenalter (Korhatár előtti ellátás), und Altersrente für Frauen mit 40 Jahren Anwartschaftszeit (Öregségi nyugdíj nők számára 40 év jogosultsági idővel):
Monatliches Durchschnittsnettoeinkommen und Versicherungsdauer.</t>
  </si>
  <si>
    <t>Höhe des versicherungspflichtigen Einkommens und Anzahl der Versicherungsjahre.
Für die Definition von versicherungspflichtigem Entgelt siehe Tabelle I zu Finanzierung – Allgemeine Sozialbeitragssätze.</t>
  </si>
  <si>
    <t>Für jedes anrechnungsfähige Jahr wird die Rente wie folgt berechnet:
Alleinstehende und Verheiratete ohne unterhaltsberechtigten Ehepartner:
S x 60% x 1/45.
Verheiratete mit unterhaltsberechtigtem Ehepartner:
S x 75% x 1/45.
S = Bezugslohn (siehe unten).
Monatliche Rentenzahlung.
Jährliche Zahlung mit Urlaubsgeld und sehr niedrigen Renten. Die Häufigkeit der Zahlungen ist in der Vorschrift festgelegt.</t>
  </si>
  <si>
    <t>Erste Säule:
Die Bestimmung des Betrags der Altersrente erfolgt über die Multiplikation des Einkommens, das als Grundlage zur Berechnung der Rente fungiert, mit einem Prozentsatz:
1,35% für jedes Versicherungsjahr ohne Umrechnung und ein proportionaler Anteil dieses Prozentsatzes für die Versicherungsmonate ohne Umrechung;
1,2% für jedes Versicherungsjahr und ein proportionaler Anteil dieses Prozentsatzes für die Versicherungsmonate – für die Versicherungszeiten, d.h. die Differenz zwischen der gesamten Versicherungserfahrung, die einer Person gutgeschrieben wird und der Erfahrung gemäß dem oben genannten Punkt.
Die Renten werden auf monatlicher Basis ausgezahlt.
Es gibt Oster- oder Weihnachtsgeld, sofern dies für alle Rentner vorgesehen ist.
Zweite Säule:
Der Betrag der lebenslangen Zusatzrente hängt ab von angesammelten Kapital.</t>
  </si>
  <si>
    <t>1. Säule:
Altersrente (Folkepension):
Grundrente: DKK 7.198 (€965) pro Monat.
Rentenzulage: DKK 8.329 (€1.116) pro Monat für eine Person, DKK 4.262 (€571) pro Monat für Rentner mit Ehepartner bzw. Lebensgefährten. Die Rentenzulage (pensionstillæg) wird um die Einkünfte des Rentners und seines Ehepartners bzw. Lebensgefährten reduziert (die Rentenzulage verringert sich jedoch nicht durch das Arbeitseinkommen).
Sowohl die Grundrente als auch die Rentenzulage werden jeden Monat gezahlt.
Ergänzender Rentenbetrag (Supplerende pensionsydelse): 1/40 des Jahresbetrags von DKK 25.700 (€3.445) pro Jahr des Wohnsitzes zwischen dem Alter von 15 Jahren bis zum Ruhestandsalter bis zu einem Maximum von 40/40. Er wird um die Einkünfte des Rentners und seines Ehepartners bzw. Lebensgefährten reduziert (ausgenommen das Arbeitseinkommen des Ehepartners/Lebenspartners). Alleinlebende Rentner und Paare mit liquiden Vermögenswerten, die DKK 103.100 (€13.818) pro Jahr übersteigen, haben keinen Anspruch auf ergänzende Rentenbeträge.
Mediencheck (mediecheck): DKK 1.085 (€145) pro Jahr. Der Betrag kann nur ausgezahlt werden, wenn das Einkommen (ohne Sozialrente) für einen einzelnen Rentner unter DKK 35.200 (€4.718) pro Jahr oder für einen Empfänger und einen Ehepartner bzw. Lebensgefährten unter DKK 69.700 (€9.341) liegt. Es handelt sich um eine Zulage zur Altersrente (folkepension) und zur Invalidenrente (førtidspension), wenn sie nach dem 1. Januar 2003 gewährt wurden.
Sowohl der ergänzende Rentenbetrag als auch der Mediencheck werden einmal jährlich im Januar gezahlt.
Zusatzrente (arbejdsmarkedets tillægspension, ATP) und obligatorisches Rentensystem (Obligatorisk Pensionsordning):
Jährlich DKK 26.000 (€3.485) ab dem Alter von 67 Jahren, falls der Empfänger seit dem 1975 im Zusatzrentensystem (arbejdsmarkedets tillægspension, ATP) versichert ist und seit diesem Zeitpunkt ununterbrochen einer Vollzeitbeschäftigung nachging.
Zusatzrenten von DKK 3.450 (€462) oder weniger pro Jahr vor Steuern. Gezahlt als Pauschalbetrag.</t>
  </si>
  <si>
    <t>Die Höhe der Rente ergibt sich nach der folgenden Formel:
PEP x RA (1,0) x AR
PEP = persönliche Entgeltpunkte:
Die Summe der Entgeltpunkte ergibt sich aus den jährlich versicherten Entgelten oder Einkommen, geteilt durch das Durchschnittsentgelt im selben Jahr, hinzu kommen Entgeltpunkte für bestimmte beitragsfreie Zeiten und Zuschläge für sogenannte beitragsgeminderte Zeiten. Die Summe der Entgeltpunkte wird multipliziert mit dem Zugangsfaktor. Der Zugangsfaktor bewirkt Rentenabschläge bei vorzeitiger Inanspruchnahme einer Rente oder Zuschläge bei Inanspruchnahme einer Altersrente erst nach Erreichen der Regelaltersgrenze.
RA = Rentenartfaktor:
Ein nach dem jeweiligen Sicherungsziel festgelegter Faktor (für Altersrenten 1,0).
AR: aktueller Rentenwert:
Der aktuelle Rentenwert ist der Betrag, der einer abschlagsfreien monatlichen Rente wegen Alters der allgemeinen Rentenversicherung entspricht, wenn für ein Kalenderjahr Beiträge aufgrund des Durchschnittsentgelts gezahlt worden sind. Er wird jedes Jahr zum 1. Juli neu bestimmt. Die Anpassung orientiert sich grundsätzlich an der Entwicklung der Löhne und Gehälter. Der aktuelle Rentenwert beträgt seit 1. Juli 2025 €40,79.
Die Renten werden monatlich ohne weitere Ermessens- oder Bonusleistungen gezahlt.
Grundrentenzuschlag:
Die Rente wird um einen individuell berechneten Zuschlag erhöht, wenn u.a. mindestens 33 Jahre ‘Grundrentenzeiten’ vorliegen (vor allem Pflichtbeitragszeiten aus Beschäftigung, Kindererziehung und Pflegetätigkeit). Grundlage für die Zuschlagsberechnung sind die Entgeltpunkte (EP), die aus den ‘Grundrentenbewertungszeiten’ erworben wurden. Dazu gehören nur diejenigen Grundrentenzeiten, die mindestens einen Wert von 0,025 EP/Monat (0,3 EP/Jahr) aufweisen. Das entspricht 30 % des Durchschnittsverdiensts aller Versicherten im jeweiligen Jahr. Liegt bei mindestens 35 Jahren Grundrentenzeiten der Durchschnittswert aus allen ‘Grundrentenbewertungszeiten’ unter 80 Prozent des Durchschnittsverdienstes (= 0,8 EP/Jahr), wird für höchstens 35 Jahre Grundrentenbewertungszeiten ein Zuschlag ermittelt. Im Übergangsbereich zwischen 33 und 35 Jahren wird ein aufwachsender Grundrentenzuschlag berechnet.
Der Grundrentenzuschlag wird einkommensabhängig gewährt. Liegt das zu berücksichtigende Einkommen über dem Einkommensfreibetrag von €1.438 (Alleinstehende) bzw. €2.243 (Paare), wird der darüber liegende Betrag zu 60 Prozent auf den Grundrentenzuschlag angerechnet. Der ein Einkommen von €1.840 (Alleinstehende) bzw. €2.646 (Paare) übersteigende Betrag wird dann vollständig auf den Grundrentenzuschlag angerechnet.
Die Einkommensprüfung läuft weitgehend automatisiert ab. Hierzu wurde ein Datenabrufverfahren zwischen der Rentenversicherung und den Finanzbehörden eingerichtet.</t>
  </si>
  <si>
    <t>Gesetzliche einkommensbezogene Rente (Työeläke):
Die Höhe der einkommensbezogenen Rente wird berechnet auf der Basis sämtlicher Einkünfte aus Erwerbsarbeit und Selbstständigkeit während des gesamten Erwerbslebens. Die Jahresrate der Rente in Relation zum Einkommen und unbezahlte Perioden: 1,5%.
Der zu zahlende Jahresbetrag wird für das jeweilige Jahr berechnet, indem das Jahreseinkommen mit 1,5% und einem nach Alterskohorten ermittelten Lebenserwartungs-Koeffizient multipliziert werden. Der monatliche Betrag wird berechnet, indem dieses Ergebnis durch 12 geteilt wird.
Der Lebenserwartungs-Koeffizient wird für jede Altersgruppe mit 62 Jahren bestimmt. Er ist 0,94759 für Personen, die 1963 geboren sind; er reduziert die monatlichen Renten der Kohorte beginnend im Jahr 2025 um 5,2%.
Volksrente (Kansaneläke):
Die volle monatliche Rente liegt im Jahr 2025 zwischen €699,42 und €783,41 pro Monat je nach Familienstand. Wenn die Dauer des Wohnsitzes in Finnland weniger als 80% der Zeit im Alter von 16 bis 65 Jahren beträgt, wird die Rente proportional zu der Dauer des Wohnsitzes festgesetzt. Bei Bezug einer Gesetzlichen einkommensbezogenen Rente (Työeläke) oder einer sonstigen finnischen oder ausländischen Rente wird die Volksrente um 50% gekürzt, wenn ein Jahresbetrag von €795 im Jahr 2025 überschritten wird.
Garantierte Rente (Takuueläke):
Der volle Betrag belief sich auf €986,30 pro Monat im Jahr 2025. Anderes Renteneinkommen wird von dem vollen Betrag der garantierten Rente abgezogen.
Alle diese Renten werden einmal monatlich und zwölf Mal im Jahr ausgezahlt. Keine zusätzlichen Zahlungen.</t>
  </si>
  <si>
    <t>1. Säule (Basissystem):
Rentenformel (jährlicher Betrag):
Durchschnittliches Jahresbruttoeinkommen x t x n/entsprechend des Geburtsjahres zwischen 167 und 172.
t = Rentenberechnungssatz. Abhängig vom Alter des Versicherten und der Anzahl der Versicherungsjahre: Voller Satz von 50% bei 167 Versicherungsquartalen für Versicherte, die 1958 geboren sind (erhöht, bis 172 Quartale für Versicherte erreicht werden, die nach 1965 geboren sind).
n = effektive Versicherungszeit
Kürzung des Rentenbetrags, wenn die maximale Versicherungsdauer nicht erreicht ist, und zwar degressiv pro Versicherungsquartal von 1,25%.
Unabhängig von der Versicherungszeit wird für einige Personengruppen (z.B. Personen mit einer Erwerbsminderung von 50%) oder auch für Versicherte, die bei Festsetzung der Rente das Alter, bei dem die Rente automatisch zum vollen Satz ausgezahlt wird (67 Jahre), erreicht haben, der volle Satz zugrunde gelegt. Anderen Personen wird die Rente zum vollen Satz nach einer kürzeren Versicherungszeit ausgezahlt (Arbeiterinnen, die 3 Kinder erzogen haben, können den vollen Satz ab 120 Versicherungsquartalen in Anspruch nehmen).
Monatliche Zahlungen. Keine Zulagen.
2. Säule (Zusatzrentensysteme (Agirc-Arrco)):
Summe der erreichten Rentenpunkte multipliziert mit dem Wert eines Punktes.
Monatliche Zahlungen.</t>
  </si>
  <si>
    <t>1. Säule (Hauptrente der e-EFKA):
Die Hauptrente setzt sich zusammen aus:
(a) der staatlichen Rente (ΕΘΝΙΚΗ ΣΥΝΤΑΞΗ), deren Betrag von der Anzahl der Jahre des Aufenthaltes in Griechenland abhängig ist sowie von der Anzahl der Versicherungsjahre. Wenn der Rentner 40 Jahre Aufenthalt vom Alter von 15 bis zum Renteneintrittsalter und mindestens 20 Versicherungsjahre vorweisen kann, beläuft sich der Betrag auf €436,40 pro Monat.
Dieser Betrag wird um 2% reduziert für jedes Jahr, das für 20 bis 15 Versicherungsjahre fehlt (d.h. der Betrag der staatlichen Rente für 15 Versicherungsjahre ist €392,76 pro Monat).
(b) aus der beitragspflichtigen Rente (ΑΝΤΑΠΟΔΟΤΙΚΗ ΣΥΝΤΑΞΗ), die berechnet abhängend von
   * den Versicherungsjahren, die berücksichtigt werden bei der Anwendung von Ersatzraten pro Jahr (ποσοστά αναπλήρωσης), welche bei 0,77% für 15 Versicherungsjahre beginnen und schrittweise anwachsen auf 2,55% für 40 Versicherungsjahre und 0,50% für jedes Jahr über 40 Versicherungsjahren, und
   * vom durchschnittlichen rentenfähigen Einkommen des Versicherten ab dem Versicherungsjahr 2002 bis zum Tag der Beantragung der Rente.
Zusätzlich werden Beiträge, gezahlt während desselben Zeitraums an unterschiedliche Versicherungsfonds, eingebunden in e-EFKA (Zusatz-/Parallelversicherung – παράλληλη ασφάλιση) (bis 31. Dezember 2016) wie folgt berücktsichtigt beim Betrag der beitragspflichtigen Rente: für jedes Jahr der parallelen oder zusätzlichen Beiträge ist die jährliche Ersatzrate 0,075% für jedes 1% von Zusatzbeiträgen.
Die Hauptrente wird jeden Monat ausgezahlt. Keine zusätzlichen Zahlungen.</t>
  </si>
  <si>
    <t>Die volle jährliche Grundrente (grunnpensjon) eines alleinstehenden Rentners entspricht dem vollen Grundbetrag (Grunnbeløpet) von NOK 130.160 (€11.038). Für Personen, die entweder mit einem Rentner oder einer Person mit jährlichen Bruttoeinkünften (einschließlich Kapitaleinkünfte) von mehr als dem Doppelten des Grundbetrags verheiratet sind oder zusammenleben, beläuft sich die volle Grundrente auf 90% des Grundbetrags.
Die Grundrente wird proportional gekürzt, wenn der Rentner weniger als 40 Jahre in Norwegen lebte (oder anders versichert war).
Zusatzrente (tilleggspensjon):
Die jährlichen Rentenpunkte (pensjonspoeng) ergeben sich nach der Formel:
JE - GB
GB
JE = Jahresbruttoeinkommen aus Erwerbstätigkeit
GB = Grundbetrag (Grunnbeløpet).
Jahreseinkommen bis zur Höhe des 6-Fachen des Grundbetrags werden voll berücksichtigt. Der Einkommensteil zwischen dem 6- und dem 12-Fachen des Grundbetrags wird zu 1/3 berücksichtigt, so dass maximal 7,00 (8,33 vor 1992) Rentenpunkte (pensjonspoeng) möglich sind.
Die Zusatzrente (tilleggspensjon) ergibt sich nach der Formel:
GB x DRP x 0,42
DRP= Durchschnitt der Rentenpunkte.
Der Faktor 0,42 (Ersatzrate) gilt für Jahre seit 1992, für Jahre vor 1992 gilt ein Faktor von 0,45.
Hat der Rentner für weniger als 40 Jahre Rentenpunkte, so wird die Zusatzrente proportional gekürzt (zusätzlich wird eine Grundrente in mindestens gleicher Proportion gezahlt). Verfügen Rentner, die berufstätig waren, über ein Jahreseinkommen unterhalb des Grundbetrags, werden keine Rentenpunkte gutgeschrieben.
Eine volle Mindestrente (minste pensjonsnivå) wird an Personen ausgezahlt, die keinen Anspruch auf eine Zusatzrente haben oder eine sehr geringe Zusatzrente beziehen. Die volle Mindestrente ist ein Festbetrag, der je nach Haushaltseinkommen variiert und proportional gekürzt wird, wenn der Rentner weniger als 40 Jahre in Norwegen lebte (oder anders versichert war). Wenn die Summe der Grundrente und der Zusatzrente geringer ist als die Mindestrente, wird der Differenzbetrag als Rentenzulage (pensjonstillegg) gezahlt. Die Mindestsätze für einen alleinstehenden Rentner betragen entsprechend NOK 279.933 (€23.739) und NOK 242.418 (€20.558), vorausgesetzt, der Rentner verfügt über Versicherungszeiten von 40 Jahren. Bei Versicherungszeiten von weniger als 40 Jahren werden die Mindestrente und die garantierte Rente proportional gekürzt.
Die Grundrente, die Zusatzrente und die Rentenzulage unterliegen der Anpassung der Lebenserwartung und der versicherungsmathematischen Neutralität
Einkommensbasierte Rente (inntektspensjon):
Der jährliche Rentenanspruch ergibt sich nach der Formel:
JE x 0,181 = JRB
JE = Jahresbruttoeinkommen aus Erwerbstätigkeit bis zum 7,1-Fachen des durchschnittlichen Grundbetrags
JRB = jährliche Rentensparbeträge
Die Rentensparbeträge werden jährlich an dem Lohnwachstum angepasst.
GRB / T = JR
GRB = gesamte Rentensparbeträge
JR = Jahresrente (100%)
T = Teiler
Renten der Volksversicherung werden monatlich ausgezahlt. Es gibt keine zusätzlichen Zahlungen, im Zusammenhang z.B. mit Sommer oder Weihnachten; von der Dezemberzahlung werden jedoch keine Steuern abgezogen.</t>
  </si>
  <si>
    <t>Für Personen, die ab 1.1.1955 geboren sind:
Für Versicherungszeiten ab dem 1.1.2005 gibt es ein Rentenkontensystem mit jährlicher Festschreibung des erworbenen Rentenanspruchs. 1,78% der Berechnungsgrundlage werden dem Rentenkonto gutgeschrieben und bis zum Rentenantritt jährlich mit der „Aufwertungszahl“ (entspricht dem Prozentsatz des jährlichen Lohnwachstums) aufgewertet.
Für Personen, die ab 1.1.1955 geboren sind und mindestens einen Versicherungsmonat vor dem 1.1.2005 erworben haben, war eine Kontoerstgutschrift zum 1.1.2014 zu errechnen. Diese wurde ab 1.1.2014 mit allen bis zu diesem Zeitpunkt erworbenen Versicherungsmonaten ermittelt. Damit sind die Anwartschaften als Startwert („Sockelrente“) im Rentenkonto gutgeschrieben. Und ab diesem Zeitpunkt fließen Versicherungszeiten jedes Jahr als Teilgutschriften in das Rentenkonto ein und bilden mit den aufgewerteten Teilgutschriften der Vorjahre die Gesamtgutschrift. Aus der Gesamtgutschrift wird bei Rentenantritt die Rentenhöhe berechnet.
Die Rente wird monatlich im Nachhinein ausbezahlt. Zu den Renten für April und Oktober gebührt jeweils eine zusätzliche volle Rentensonderzahlung.</t>
  </si>
  <si>
    <t>Erste Säule:
Das Berechnungsverfahren beruht auf einem Punktesystem. Die Rentenformeln sind für die Alters-, Invaliden- und Hinterbliebenenrente sowie die Renten bei Arbeitsunfällen und Berufskrankheiten ähnlich.
Altersrente (pensie pentru limita de varsta):
AR = RPW*GZP
Wobei
AR  = Altersrente (monatlicher Betrag)
RPW  = Referenzpunktwert = RON 81 (€16)
GZP  = Gesamtzahl Punkte = JP+SP
JP  = Jahrespunkte = Summe (MP/12)
MP  = Monatspunkte = RE/DBE
RE  = Referenzeinkommen:
DBE  = Durchschnittliches monatliches Bruttoentgelt (d.h. der durchschnittliche Bruttolohn, der als Grundlage für die Berechnung des staatlichen Sozialversicherungshaushalts für das jeweilige Jahr herangezogen wird)
SP   = Stabilitätspunkte = 0,5 Punkte für jedes beitragspflichtige Jahr über 25; 0,75 Punkte für jedes beitragspflichtige Jahr über 30; 1 Punkt für jedes beitragspflichtige Jahr über 35.
Die Monatspunkte einer versicherten Person, die auch in die zweite Säule eingezahlt hat, werden an das Verhältnis zwischen dem Beitragssatz bei normalen Arbeitsbedingungen, der in das allgemeine Rentensystem einzuzahlen ist, und dem Beitragssatz bei normalen Arbeitsbedingungen, der sowohl in das allgemeine Rentensystem als auch in die zweite Säule einzuzahlen ist, angepasst.
Monatliche Zahlungen.
Finanzielle Unterstützung in Höhe von RON 800 (€157), ausgezahlt in zwei Raten von RON 400 (€79) jeweils im April und Dezember 2025, für Empfänger von Invalidenrenten, deren monatliches Renteneinkommen insgesamt RON 2.574 (€506) nicht übersteigt. Diese finanzielle Unterstützung ist derzeit nur für das Jahr 2025 vorgesehen.
Zweite Säule:
Altersrente (pensie pentru limita de varsta): basiert auf versicherungsmathematischer Berechnung – für die Formel wurde noch keine Rechtsvorschrift erlassen.</t>
  </si>
  <si>
    <t>1. Säule (Grundsystem):
Die Monatsrente setzt sich aus einem Teil des Mindestbetrages der Altersrente (Festbetrag) und einem Teil des maßgebenden durchschnittlichen Jahreseinkommens (variabler Betrag) zusammen.
Die Größe und Zusammensetzung des Haushalts wird bei der Berechnung der Rente nicht direkt berücksichtigt.
Wenn das maßgebende durchschnittliche Jahreseinkommen niedriger oder gleich CHF45.360 (€48.467) ist, so entspricht der feste Teil der Rente CHF932 (€996) und der variable Teil dem mit 13/600 vervielfachten maßgebenden durchschnittlichen Jahreseinkommen.
Wenn das maßgebende durchschnittliche Jahreseinkommen höher ist als CHF45.360 (€48.467), so entspricht der feste Teil der Rente CHF1.310 (€1.400) und der variable Teil dem mit 8/600 vervielfachten maßgebenden durchschnittlichen Jahreseinkommen.
Die Rente wird monatlich 12 Mal im Jahr ausgezahlt.
2. Säule (obligatorische Mindestvorsorge):
Die jährliche Rente entspricht 6,8% des Altersguthabens des Versicherten bei Erreichen des Rentenalters.
In der Regel wird die Rente monatlich ausgezahlt.</t>
  </si>
  <si>
    <t>1. Säule:
Altersrente (Starobný dôchodok), monatliche Leistung:
Rentenformel: DPE x RVZ x ARW
DPE = Durchschnittlicher persönlicher Entgeltpunkt (Priemerný osobný mzdový bod) wird bestimmt durch Multiplikation der persönlichen Punkte während bestimmter Kalenderjahre (im entscheidenden Zeitraum) mit den Versicherungszeiten in der Rentenversicherung. Der persönliche Entgeltpunkt wird als Verhältnis des jährlichen Bruttoeinkommens des Versicherten zum durchschnittlichen Jahreseinkommen in der Slowakei bestimmt. Der Höchstwert des persönlichen Entgeltpunkts beträgt 3, während der Höchstwert des DPE 2,44 entspricht.
RVZ = Rentenversicherungszeit (Obdobie dôchodkového poistenia) = Anzahl der Versicherungsjahre des Versicherten.
ARW = aktueller Rentenwert (Aktuálna dôchodková hodnota). Der ARW wird jährlich von der Sozialversicherungsanstalt festgelegt. Für die Berechnung der Leistungen für das Jahr 2025 beträgt der ARW €18.7434.
Die Altersrente wird 12 Mal pro Jahr gezahlt.
Eine dreizehnte Rente wird einmal jährlich im Dezember gezahlt mit einem Betrag, der der nationalen monatlichen Durchschnittsaltersrente für das vorige Jahr entspricht, mindestens €300. Die Höhe der dreizehnten Rente wird anteilig gekürzt, wenn der Rentenempfänger nicht mindestens 10 Jahre in der Slowakei rentenversichert war.
2. Säule:
Der Leistungsbetrag hängt von versicherungsmathematischen Grundsätzen ab.
Leistungsempfänger können wählen zwischen einer monatlich gezahlten Leibrente (Doživotný dôchodok), einer temporären Rente (Dočasný dôchodok), die monatlich für 5, 7 oder 10 Jahre gezahlt wird oder einer Option, die die Wahl des Betrags oder des Zeitraums der Rente ermöglicht, einschließlich einer Einmalzahlung.</t>
  </si>
  <si>
    <t>29,5% der Rentenberechnungsbasis bei 15 Versicherungsjahren. Erhöhung um 1,36% der Basis für jedes weitere Jahr der Mindestversicherungszeit.
Altersrente wird monatlich gezahlt.
Keine zusätzlichen Zahlungen.
Größe und Zusammensetzung des Haushalts werden bei der Rentenberechnung nicht berücksichtigt.</t>
  </si>
  <si>
    <t>Die Höhe der Ruhestandsrente (pensión de jubilación) entspricht einem bestimmten Prozentsatz der Berechnungsgrundlage (siehe Tabelle VI, „Leistungen, Referenzeinkommen bzw. Berechnungsgrundlage“).
Der Prozentsatz beginnt bei 50% nach 15 Beitragsjahren und erhöht sich um 0,21 Prozentpunkte für jeden zusätzlichen Beitragsmonat zwischen dem 1. und 49. Monat und um 0,19 Prozentpunkte für die nächsten 209 Monate. Das Maximum von 100% wird nach 36 Jahren und 6 Monaten Beitragszeit erreicht.
Die Rente wird monatlich 14-mal im Jahr gezahlt.</t>
  </si>
  <si>
    <t>Die Rente besteht aus zwei Elementen:
Grundbetrag (Základní složka):
Pauschale (10% des nationalen monatlichen Bruttodurchschnittslohns) von CZK 4.660 (€188) monatlich.
Prozentualer Betrag (Procentní část):
Einkommensabhängiges Element berechnet aufgrund der Persönlichen Bemessungsgrundlage (Osobní vyměřovací základ) und der Anzahl der Versicherungsjahre: 1,5% der Persönlichen Bemessungsgrundlage pro Versicherungsjahr (keine Höchstgrenze).
Der Prozentsatz wird um 503 CZK für jedes Kind erhöht, das der Leistungsempfänger aufzieht.
Zahlungen erfolgen monatlich.
Keine zusätzlichen Zahlungen.</t>
  </si>
  <si>
    <t>Erste Säule:
Der Betrag der Altersrente (Öregségi nyugdíj), Leistung vor dem Rentenalter (Korhatár előtti ellátás) und Altersrente für Frauen mit 40 Jahren Anwartschaftszeit (Öregségi nyugdíj nők számára 40 év jogosultsági idővel) hängt von der Versicherungszeit ab und wird als Prozentsatz des aktualisierten durchschnittlichen monatlichen Nettoentgelts seit 1988 berechnet.
   * 33% für die ersten 10 Versicherungsjahre,
   * + 2% für jedes weitere Versicherungsjahr von 11-25 Jahren,
   * + 1% für jedes weitere Versicherungsjahr von 26-36 Jahren,
   * + 1,5% für jedes weitere Versicherungsjahr zwischen dem 36. und dem 40. Jahr.
   * + 2% für jedes Versicherungsjahr ab dem 40. Jahr.
Für Personen mit 50 Versicherungsjahren entspricht der Rentenbetrag dem oben genannten Durchschnittseinkommen. Der Leistungsbetrag wird nicht durch zusätzliche Versicherungsjahre erhöht.
Die Leistungen werden monatlich gezahlt.
Eine 13. Zahlung wird jedes Jahr im Februar getätigt. Im November wird eine Rentenprämie ausgezahlt, sofern das BIP um mehr als 3,5% gewachsen ist und das im Haushaltsgesetz festgelegte Ziel für den Haushaltsausgleich erreicht wurde.</t>
  </si>
  <si>
    <t>Grundrente (Βασική Σύνταξη) :
60 % des wöchentlichen Wertes des jährlichen Durchschnitts der Versicherungspunkte der gezahlten und gleichgestellten Grundversicherung (siehe „Mindestversicherungszeit und sonstige Bedingungen für den Bezug einer Altersrente“), entsprechend erhöht auf 80 %, 90 % und 100 % für das erste, zweite und dritte abhängige Familienmitglied. Bei Leistungsempfängern ohne unterhaltsberechtigten Ehegatten wird die Grundrente für jedes abhängige Kind um 10 % (Höchstzahl abhängiger Kinder: zwei). 
Abhängige Kinder müssen unter 15 Jahre alt sein (unter 25 bei unverheirateten Söhnen in Vollzeitausbildung oder Wehrdienst und unter 23 bei unverheirateten Töchtern in Vollzeitausbildung); ohne Altersbeschränkung für Kinder, die permanent unfähig sind, sich selbst zu versorgen.
Falls beide Ehepartner eine Rente beziehen, wird die Erhöhung wegen abhängiger Kinder bei demjenigen vorgenommen, der Anspruch auf eine größere Erhöhung hat.
Die Rente wird an 13 Monaten im Jahr ausgezahlt.
Pauschalzahlung in Höhe von 15 % des Wertes der Versicherungspunkte der gezahlten und gleichgestellten Versicherung für Personen, die die Versicherungsbedingungen nicht erfüllen (siehe Mindestversicherungszeit und sonstige Bedingungen für den Bezug einer Altersrente).
Keine weiteren zusätzlichen Zahlungen zu bestimmten Zeiten des Jahres (z.B. an Weihnachten oder im Winter für Kraftstoff).
Zusatzrente (Συμπληρωματική Σύνταξη) :
1,5 % des Gesamtwertes der Versicherungspunkte der gezahlten und gleichgestellten Zusatzversicherung des Anspruchsberechtigten während des gesamten Berufslebens, umgerechnet in wöchentliche Beträge durch Division durch 52.
Gesetzliche Renten werden 13-mal jährlich gezahlt.</t>
  </si>
  <si>
    <t>1. Säule:
Nicht anwendbar: Leistungen basieren nicht auf früheren Einkommen.</t>
  </si>
  <si>
    <t>Versicherte Arbeitsentgelte (bis zur Beitragsbemessungsgrenze) und freiwillige Beiträge während des gesamten Versicherungsverlaufs. Die monatliche Beitragsbemessungsgrenze beträgt 2025 €8.050 brutto.
Zeiten der Kindererziehung in den ersten 36 Kalendermonaten nach dem Geburtsmonat (30 Kalendermonate für Geburten vor 1992) werden als Beitragszeiten mit Durchschnittsverdienst angerechnet.</t>
  </si>
  <si>
    <t>1. Säule:
Bis zum 31.12.1998: Jahre der versicherten Beschäftigung.
Ab 01.01.1999 gesamte Sozialsteuer (sotsiaalmaks), die auf das gesamte Arbeitsentgelt gezahlt wurden.
Ab 01.01.2021 ist der zusammengesetzte Teil eine Mischung aus Anzahl der ruhegehaltsfähigen Dienstjahre und Sozialsteuer (sotsiaalmaks), die auf Arbeitsentgelt entrichtet wurde.
2. Säule:
Ein Teil der während der Versicherungszeit gezahlten Sozialsteuer.
Keine Obergrenzen.</t>
  </si>
  <si>
    <t>Gesetzliche einkommensbezogene Rente (Työeläke):
   * jährliches Bruttoerwerbseinkommen über die gesamte Laufbahn des Arbeitnehmers, wenn das monatliche Erwerbseinkommen mehr als €70,08 (TyEL) beträgt. Es gibt keine Bemessungsgrenze für Einkommen;
   * Selbständige: Das jährliche versicherungspflichtige Bruttoeinkommen, wenn es zwischen €9.208,43 und €209.125 beträgt;
   * Für Landwirte muss das jährliche versicherungspflichtige Einkommen mindestens €4.605 betragen.
Bei der erstmaligen Rentenbewilligung werden die Einkünfte aus abhängiger und selbstständiger Erwerbstätigkeit des gesamten Arbeitslebens mit einem Index an das Niveau des Jahres des Rentenbeginns angepasst. Dieser Index wird zu 20% mit der Preisentwicklung und zu 80% mit der Lohnentwicklung gewichtet.
Volksrente (Kansaneläke) und garantierte Rente (Takuueläke):
Kein Bezug zum früheren Einkommen.</t>
  </si>
  <si>
    <t>1. Säule (Basissystem):
Durchschnittliches Jahresbruttoeinkommen bis zur jährlichen Bemessungsgrenze (€47.100 im Jahre 2025), die jährlich angepasst wird.
Berechnet auf der Grundlage der 25 besten Jahre.
2. Säule (Zusatzrentensysteme (Agirc-Arrco)):
Wert eines Punktes pro Jahr: €1,4386.</t>
  </si>
  <si>
    <t>1. Säule (Hauptrente der e-EFKA):
Die beitragspflichtige Rente (ΑΝΤΑΠΟΔΟΤΙΚΗ ΣΥΝΤΑΞΗ) hängt von den durchschnittlichen rentenberechtigten Einkommen des Versicherten ab dem Jahr 2002 bis zum Tag der Beantragung der Rente ab. Der Durchschnitt wird als der Quotient der Division der gesamten monatlichen Vergütung des Versicherten durch die Gesamtversicherungszeit berechnet. Die Summe der vom Versicherten erhaltenen Einkommen ist die Summe der monatlichen Vergütung, die während der ganzen Versicherungszeit der Beitragspflicht unterliegen. Die Berechnung der rentenberechtigten Einkünfte berücksichtigt die Bruttoeinkommen des Versicherten in jedem Steuerjahr, erhöht durch die Änderungen des jährlichen Durchschnittsverbraucherpreisindex der griechischen statistischen Behörde für den Zeitraum bis Ende 2025 und von 2026 an durch den Index für Lohnänderungen, berechnet durch die griechische statistische Behörde.
Obergrenze für rentenfähiges Einkommen: €7.572,62 pro Monat, für den Beiträge gezahlt wurden.</t>
  </si>
  <si>
    <t>Nicht anwendbar. Renten basieren nicht auf vorhergehenden Erwerbseinkünften.</t>
  </si>
  <si>
    <t>Volksrente (lífeyrir almannatrygginga):
Nicht zutreffend. Kein Bezug zum früheren Einkommen.
Arbeitsrente (lögbundnir lífeyrissjóðir):
Bruttoeinkommen ohne Bemessungsgrenze.</t>
  </si>
  <si>
    <t>1. Säule:
Das Jahresbruttoentgelt des Versicherten wird mit dem durchschnittlichen nationalen Jahresbruttoentgelt aller Beschäftigten in Beziehung gesetzt
Das Ergebnis ist ein Wertpunkt für jedes Jahr der Erwerbsbiografie. Alle Wertpunkte werden sodann addiert und durch die Anzahl der Jahre dividiert, für die sie angerechnet wurden. Das Ergebnis ist der durchschnittliche Wertpunkt, der in der Rentenformel angesetzt wird.2. Säule:
Nicht anwendbar. Kein Bezug zum früheren Einkommen.</t>
  </si>
  <si>
    <t>1. Säule:
Sozialversicherungszeitraum ab dem 1. Januar 1996: kumuliertes Kapital der Sozialversicherungsbeiträge.
Eine „Bemessungsgrenze“ gilt für Sozialversicherungsbeiträge (€105.300 pro Kalenderjahr), über die hinaus die Sozialversicherungsbeiträge keinen Teil des Rentenkapitals mehr bilden.
Sozialversicherungszeitraum vor dem 1. Januar 1996: Versicherungsjahre und das durchschnittliche versicherungspflichtige Bruttoentgelt von 1996 bis (einschließlich) 1999, auf das Beiträge gezahlt wurden.
Für Personen, deren Durchschnittslohn im Zeitraum von 1996 bis 1999 weniger betrug als das nationale durchschnittliche versicherungspflichtige Entgelt, die aber über mindestens 30 Versicherungsjahre verfügen (von denen mindestens 5 Jahre nach 1996 kumuliert wurden), ist die Grundlage das nationale durchschnittliche versicherungspflichtige Entgelt im Referenzzeitraum.
2. Säule:
Kumuliertes Kapital aus Beiträgen, die während der Versicherungszeit gezahlt wurden.</t>
  </si>
  <si>
    <t>Nicht anwendbar.</t>
  </si>
  <si>
    <t>1. Säule:
Als Bemessungsgrundlage wird das Arbeits- bzw. Erwerbseinkommen, das dem Einbehalt für Ruhegehalt unterliegt, der gesamten Versicherungsdauer herangezogen.
Beitragspflichtiger Mindestbetrag: €2.703,74 monatlich.
Beitragspflichtiger Höchstbetrag: €13.518,68 monatlich.</t>
  </si>
  <si>
    <t>Jahrgänge von 1959 bis 1961:
Nettoeinkommen der besten 3 aufeinander folgenden Jahre in den letzten 13 Jahren vor dem Ruhestand, angepasst an den Anstieg der Lebenshaltungskosten.
Selbstständigen/ Freischaffenden: Durchschnitt der Netto-Erwerbseinkünfte der besten 10 aufeinander folgenden Jahre in den letzten 13 Jahren bei Freischaffenden und der Durchschnitt des Nettoeinkommens bei einem Selbstständigen in geringem Umfang.
Jahrgänge von 1962 bis 1968:
Durchschnitt der höchsten Grundvergütungen in beliebigen 10 Jahren während der 40 Jahre vor dem Ruhestand, angepasst an den Anstieg der Lebenshaltungskosten.
Selbstständigen/ Freischaffenden: Durchschnitt der höchsten Netto-Einkünfte aus beliebigen zehn Jahren während der 40 Jahre vor dem Ruhestand.
Personen der Jahrgänge am oder nach 1. Januar 1969:
Durchschnitt der höchsten Grundvergütungen in beliebigen 10 Jahren während der 41 Jahre vor dem Ruhestand, angepasst an den Anstieg der Lebenshaltungskosten.
Selbstständigen/ Freischaffenden: Durchschnitt der höchsten Netto-Einkünfte aus beliebigen zehn Jahren während der 41 Jahre vor dem Ruhestand.
Personen, die am oder nach dem 1. Januar 1976 geboren sind:
Arbeitnehmer: Durchschnitt der höchsten Grundvergütungen in beliebigen 10 Jahren während der 42 Jahre vor dem Ruhestand, angepasst an den Anstieg der Lebenshaltungskosten.Selbstständige/Freischaffende: Durchschnitt der höchsten Netto-Einkünfte aus beliebigen 10 Jahren während der 42 Jahre vor dem Ruhestand.</t>
  </si>
  <si>
    <t>Nicht anwendbar. Kein Bezug zum früheren Einkommen.</t>
  </si>
  <si>
    <t>Einkommensbasierte Rente (inntektspensjon):
Rentensparbeträge werden mit 18,1% des ruhegehaltsfähigen Jahreseinkommens bis zu einem Höchstbetrag des 7,1-Fachen des durchschnittlichen Grundbetrags (Grunnbeløpet) (maximales ruhegehaltsfähiges Einkommen für 2025 beträgt NOK 909.624 (€77.139)) aufgebaut, beginnend mit dem Jahr, in dem Versicherte das 13. Lebensjahr erreichen, und endend, sobald sie das 75. Lebensjahr erreichen.
Zusätzlich gelten einige Sozialleistungen, die einen Einkommensverlust ausgleichen, als ruhegehaltsfähiges Einkommen.
Hinterbliebene Rentner, die vor dem Jahr 2024 eine Hinterbliebenenrente bezogen und Anspruch auf eine Altersrente haben, können aufgrund von Sonderreglungen noch von den Einkünften des Verstorbenen profitieren. Die Rente, die sich aus den Einkünften des Verstorbenen ergibt, ist jedoch nicht weiter geregelt und bleibt nominell.
Einkommensbasierte Zusatzrente (tilleggspensjon):
Die 20 Jahre mit den höchsten Rentenpunkten (pensjonspoeng) bzw. bei kürzerer Erwerbstätigkeit alle Jahre.</t>
  </si>
  <si>
    <t>Recht ab dem 1.1.2005:
Rentenkontensystem mit jährlicher Feststellung der erworbenen Rentenhöhe. Berechnungsgrundlage ist das Erwerbseinkommen im Kalenderjahr bis zur Höchstbeitragsgrundlage (2025: monatlich €6.450 brutto). Die Aufwertung vergangener Beitragsgrundlagen erfolgt anhand der Lohnentwicklung.
Zur Rentenberechnung siehe Tabelle VI, Berechnungsmethode, Rentenformel bzw. Beträge.</t>
  </si>
  <si>
    <t>Personen, die vor dem 1. Januar 1949 geboren wurden:
Das Referenzeinkommen entspricht entweder dem durchschnittlichen Entgelt in 10 aufeinander folgenden Jahren innerhalb der letzten 20 Jahre oder der besten 20 Versicherungsjahre.
Personen, die nach dem 31. Dezember 1948 geboren wurden:
Aus den Beiträgen angesammeltes Kapital.
Bemessungsgrenze: 250% des nationalen Durchschnittslohns.</t>
  </si>
  <si>
    <t>Bezugslohn: Durchschnittlicher Monatsbruttoverdienst in der gesamten Versicherungszeit bis zu max. 40 Jahren. Bei mehr Beitragsjahren wird das Durchschnittseinkommen der besten 40 Jahre zugrunde gelegt.
E/J x 14
E =Summe der versicherungspflichtigen Entgelte
J =Anzahl der Versicherungsjahre.
Die für die Rentenberechnung zugrunde gelegten Entgelte werden nach dem Preisindex des privaten Konsums (ohne Wohnung) aktualisiert.
Diese Regel gilt nicht für die versicherten Entgelte ab dem 01.01.2002. Hier erfolgt eine gewichtete Anpassung an den Verbraucherpreisindex (ohne Wohnung) zu 75% und an den Index der Lohnentwicklung zu 25%. Dabei darf die Anpassung die Entwicklung des Verbraucherpreisindex (ohne Wohnung) nicht um mehr als 0,5% übersteigen.</t>
  </si>
  <si>
    <t>Erste Säule:
Referenzeinkommen: monatliches Bruttoeinkommen über den Beitragszeitraum. Keine Höchstgrenzen.
Zweite Säule:
Abhängig vom persönlichen Nettopensionsvermögen, das sich zusammensetzt aus dem Betrag, der durch Beiträge im Laufe des Beitragszeitraums angesammelt wurde und Investitionen des Rentenfondsverwalters.
Rechtsvorschriften über die Pensionszahlungen stehen noch aus (bis zur Annahme dieser Rechtsvorschriften wird Personen eine Einzelzahlung oder gestaffelte Zahlungen in Raten über einen Zeitraum von höchstens 5 Jahren gewährt).</t>
  </si>
  <si>
    <t>Mit der Beitragszahlung entsteht eine Rentenanwartschaft in Höhe von 18,5% des berücksichtigungsfähigen Einkommens, wobei jede eingezahlte schwedische Krone zu einem entsprechenden Rentenanspruch führt. Zu diesem Einkommen zählen außer Erwerbseinkünften auch bestimmte Lohnersatzleistungen der Sozialversicherung bei Krankheit, Arbeitslosigkeit und Elternzeit.
Die Einkommensobergrenze liegt bei dem 7,5-fachen des Einkommensgrundbetrags.</t>
  </si>
  <si>
    <t>Altersrente (Starobný dôchodok) und Vorgezogene Altersrente (Predčasný starobný dôchodok):
Erwerbseinkommen des Versicherten, von dem Beiträge während der gesamten Versicherungszeit seit 1984 geleistet wurden.</t>
  </si>
  <si>
    <t>Rentenberechnungsbasis (pokojninska osnova): Monatliches Durchschnittseinkommen während eines beliebigen Zeitraums über 24 aufeinander folgende Versicherungsjahre nach dem 1. Januar 1970 (der für die versicherte Person günstigste Zeitraum). Berechnungsgrundlage ist das Nettoeinkommen der Person, von dem Rentenversicherungsbeiträge gezahlt wurden.
Kein gesetzlicher Höchstbetrag, aber de facto besteht ein Höchstbetrag durch die Berechnungsmethode, welche der Höchstrentenberechnungsgundlage in Höhe von €4.879,80 brutto entspricht seit 1. Januar 2025 (d.h. das vier-fache der Mindestrentenberechnungsgrundlage).</t>
  </si>
  <si>
    <t>Die Berechnungsgrundlage ergibt sich durch Division des beitragspflichtigen Arbeitsentgelts während der 350 Monate unmittelbar vor dem Monat des Eintritts in den Ruhestand durch 300.
Die 25 Monate unmittelbar vor dem Ruhestand werden mit ihrem jeweiligen tatsächlichen Wert berücksichtigt, die Werte der übrigen Zeiten werden nach dem Verbraucherpreisindex angepasst.
Monatliche Mindestbeitragsgrundlage: €1.381,20.
Monatliche Höchstbeitragsgrundlage: €4.909,50.</t>
  </si>
  <si>
    <t>Persönliche Bemessungsgrundlage (Osobní vyměřovací základ):
   * basierend auf dem durchschnittlichen Bruttoverdienst über die gesamten Beitragszeit, anfangend mit dem ersten Kalenderjahr nach Vollendung des 17. Lebensjahres und endend mit dem Kalenderjahr vor dem Jahr des Rentenbezugs.Verdienst vor 1986 wird nicht berücksichtigt;
   * alle Einkommen werden entsprechend der Entwicklung des Durchschnittsverdienst-Index angepasst;
   * monatliche Bruttoverdienste werden in der Persönlichen Bemessungsgrundlage wie folgt berücksichtigt: 
   * Bis zu CZK 20.486 (€828): 100% ;
   * von CZK 20.486 (€828) bis CZK 186.228 (€7.525): 26%.
Einkommen von über CZK 186.228 (€7.525) werden nicht berücksichtigt.</t>
  </si>
  <si>
    <t>Erste Säule:
Sozialversicherung Altersrente (Öregségi nyugdíj), Leistung vor dem Rentenalter (Korhatár előtti ellátás) und Altersrente für Frauen mit 40 Jahren Anwartschaftszeit (Öregségi nyugdíj nők számára 40 év jogosultsági idővel): durchschnittliches monatliches Nettoeinkommen der Person seit 1988.
Wenn das durchschnittliche monatliche Nettoeinkommen über HUF372.000 (€933) liegt: 90% des Betrags zwischen HUF372.001 und HUF421.000 und 80% jedes Betrags über HUF421.000 (€1.055) werden berücksichtigt.
Keine Höchstgrenzen.</t>
  </si>
  <si>
    <t>Durchschnittliches versicherungspflichtiges Einkommen seit dem 7 Beginn des Jahres, in dem das 16. Lebensjahr vollendet wurde bis zum Rentenalter oder bis zum Alter von 50 Jahren für Personen mit Thalassämie.
Für die Definition von versicherungspflichtigem Entgelt siehe Tabelle I zu Finanzierung – Allgemeine Sozialbeitragssätze.</t>
  </si>
  <si>
    <t>Unter bestimmten gesetzlichen Bedingungen werden im Allgemeinen folgende Nichterwerbszeiten berücksichtigt: unfreiwillige Arbeitslosigkeit, Arbeitslosigkeit mit Ergänzung durch das Unternehmen (complément d'entreprise/bedrijfstoeslag), bestimmte Zeiträume durch Zeitkredite oder Unterbrechungen der Erwerbstätigkeit, Arbeitsunfähigkeit, Mutterschaftsurlaub, Behinderungen/eingeschränkte Mobilität, Jahresurlaub, Militärdienst, anerkannter Streik, Untersuchungshaft, anerkannte Studienzeiten (anerkannte Studienzeiten werden nur bei der Berechnung der Höhe der Rente und nicht bei der Berechnung der Dauer der Erwerbstätigkeit berücksichtigt), usw.
Die Berechnung der Rente für diese Zeiträume basiert auf einem normalen oder begrenzten fiktiven Arbeitsentgelt:
a) normal, wenn die Berechnung in absteigender Reihenfolge auf dem durchschnittlichen täglichen Arbeitsentgelt insgesamt basiert:
1.Arbeitsentgelt (real, fiktiv und pauschal) für das Jahr vor der gleichgestellten Zeit;
2. mangels 1: Arbeitsentgelt (Ist- und Pauschalbetrag) für das laufende Jahr der gleichgestellten Zeit;
3. mangels 1 und 2: Arbeitsentgelt für das Jahr der ersten, nach der gleichgestellten Zeit ausgeübten Tätigkeit;
4. mangels aller vorgenannten Angaben: das pauschale Arbeitsentgelt für das Jahr 1967.
b) begrenzt, wenn sie in bestimmten Fällen auf dem Mindestanspruch pro Jahr einer vollständigen Berufslaufbahn basiert, d. h. € 32.764,09. Bestimmte gleichgestellte Zeiträume sind beitragsbefreit, für andere können freiwillige Beiträge geleistet werden.
In bestimmten Fällen (beispielsweise bestimmte Zeiträume der Arbeitslosigkeit) besteht eine Obergrenze für das fiktive Entgelt, die unter der normalen Obergrenze liegt.
Generell hängt die Gleichstellung von der Zahlung der mit dem Zeitraum der Arbeitslosigkeit verbundenen Leistung ab.</t>
  </si>
  <si>
    <t>1. Säule:
Keine anrechenbaren Zeiten.</t>
  </si>
  <si>
    <t>Als Pflichtbeitragszeiten werden sowohl bei der Rentenberechnung als auch für die Wartezeiterfüllung grundsätzlich berücksichtigt:
   * Kindererziehungszeiten bis zu max. drei Jahren je Kind,
   * Zeiten der nicht-erwerbsmäßigen Pflege,
   * Zeiten des gesetzlichen Wehr- oder Zivildienstes,
   * Zeiten des Sozialleistungsbezugs.
Darüber hinaus werden die folgenden Zeiten bei der Rentenberechnung berücksichtigt und je nach Rentenart auf die Wartezeit angerechnet:
   * Anrechnungszeiten: Zeiten der Krankheit, Rehabilitation, Schwangerschaft und des Mutterschutzes der Arbeitslosigkeit oder mit Rentenbezug und nach dem 17. Lebensjahr liegende Zeiten schulischer Ausbildung bis zu acht Jahren.
   * Ersatzzeiten: Zeiten bis 31.12.1991, zum Beispiel Kriegsdienst oder Haftzeiten aufgrund politischer Verfolgung.
   * Berücksichtigungszeiten: Zeiten der Erziehung eines Kindes bis zur Vollendung des 10. Lebensjahres.</t>
  </si>
  <si>
    <t>Gesetzliche einkommensbezogene Rente (Työeläke):
Berücksichtigungsfähig sind ebenfalls unbezahlte Zeiten (z. B. Zeiten des Bezugs von einkommensbezogenem Mutterschafts-, Vaterschafts- und Elternschaftsgeld, einkommensbezogenem Arbeitslosengeld, Bildungsurlaub, Erwachsenenfortbildungszuschüsse, Krankengeld, Rehabilitationsgelder und Lohnersatzleistungen der Arbeitsunfall-, Militärunfall- und Kraftfahrzeughaftpflichtversicherung). Berechnungsgrundlage sind die Einkommen, auf denen diese Leistungen beruhen. Für Mindestleistungen gilt ebenso wie für Zeiten des Studiums und häuslicher Kinderbetreuung ein fester monatlicher Betrag (im Jahr 2025: €876) als Referenzbasis. Ausbildungszeiten und Kinderbetreuungszeiten gelten als staatliche Anrechnungszeiten.</t>
  </si>
  <si>
    <t>Volksrente (lífeyrir almannatrygginga):
Nicht anwendbar.
Arbeitsrente (lögbundnir lífeyrissjóðir):
Nicht anwendbar.
Keine angerechneten oder beitragsabhängigen Zeiträume.</t>
  </si>
  <si>
    <t>Fiktive Beitragszeiten aus Militärdienst oder während des Bezugs von Kranken-, Mutterschafts-, Arbeitslosen- oder Entlassungsgeld werden mit angerechnet.
Fehlzeiten am Arbeitsplatz aufgrund der Kindererziehung oder der Versorgung eines pflegebedürftigen Erwachsenen werden als Beitragszeiten betrachtet.
Ausnahme: fiktive Beiträge werden nicht berücksichtigt, wenn im Alter von 71 Jahren + 3 Monaten Anspruch auf die Rente gemacht wird mithilfe der Mindestversicherungszeit von 5 Jahren (siehe Tabelle VI, „Alter, Bedingungen, 1. Mindestversicherungszeit”).</t>
  </si>
  <si>
    <t>Inaktive Zeiten werden als Anrechnungszeiten berücksichtigt, wenn folgende Leistungen bezogen werden: Krankheit, Mutterschaft, Betreuung eines Kindes, berufliche Rehabilitation, Arbeitslosigkeit und Invalidität.
Diese Zeiträume werden bei der Festlegung der Mindestversicherungszeit für eine Rente und auch bei der Berechnung des Rentenbetrags berücksichtigt. Bei der Pflege von pflegebedürftigen Erwachsenen zahlt der Staat für die Pflegenden Beiträge zur Grundrente der staatlichen Sozialversicherung. Daher gelten diese Zeiträume als versicherte und nicht als angerechnete Zeiträume.</t>
  </si>
  <si>
    <t xml:space="preserve">
   * Krankengeld (Zasilek chorobowy);
   * Vorruhestandsleistungen (Świadczenie przedemerytalne);
   * Zuschüsse für Pflegepersonen (zasiłek opiekuńczy);
   * Rehabilitationsbeihilfe (Świadczenie rehabilitacyjne);
   * Zeitraum der nachgewiesenen Erwerbsunfähigkeit, für die Arbeitslosengeld (Zasiłek dla bezrobotnych) gezahlt wurde;
   * Studium.
Für vor dem 1. Januar 1949 geborene Personen werden die oben genannten Zeiträume für die Bewertung eines Rentenanspruchs berücksichtigt, sie sind aber auf ein Drittel des Beitragszeitraums für die Berechnung des zu zahlenden Rentenbetrags beschränkt: 0,7% der Bemessungsgrundlage für jedes Jahr.
Für nach dem 31. Dezember 1948 geborene Personen werden die oben genannten Zeiträume nicht für den Anspruch auf Altersrente und für die Berechnung des zahlbaren Betrags berücksichtigt.</t>
  </si>
  <si>
    <t>Zeiten der Krankheit, Mutterschaft, Arbeitslosigkeit, des Militärdienstes, Zeiten, in denen Leistungen für berufliche Risiken bezogen oder die Aufgaben eines Geschworenen wahrgenommen wurden, Zeiten einer verringerten Erwerbstätigkeit oder der Aussetzung des Arbeitsvertrags in wirtschaftlichen Krisensituationen und Urlaubszeiten für die Kinderbetreuung.
Die betreffenden Zeiten werden als Zeiten der effektiven Erwerbstätigkeit anerkannt und bei der Ermittlung der Mindestversicherungsdauer sowie bei der Berechnung der Rentenhöhe berücksichtigt; Der Urlaub für die Betreuung von Kindern (Licença para assistência a filho), obwohl dieser nicht in den Bereich der Sozialversicherung fällt, wird beim Rentenprozentsatz berücksichtigt, wenn die Elternzeit ausgeschöpft ist.
Keine zu berücksichtigende Höchstdauer.</t>
  </si>
  <si>
    <t>1. Säule (Grundsystem):
Erziehungsgutschriften: Berücksichtigung eines fiktiven Einkommens (bei Berechnung der Rente) für die Jahre, während denen die Versicherten die elterliche Sorge über ein oder mehrere weniger als 16 Jahre alte Kinder innehaben.
Betreuungsgutschriften: das Gleiche gilt für Jahre, während denen die Versicherten hilflose Verwandte in auf- oder absteigender Linie oder Geschwister betreuen, die die Versicherten leicht erreichen können. Verwandten gleichgestellt sind Ehegatten, Schwiegereltern und Stiefkinder sowie die Lebenspartnerin oder der Lebenspartner, die oder der seit mindestens fünf Jahren ununterbrochen mit der versicherten Person einen gemeinsamen Haushalt führt.
Bei nichterwerbstätigen Ehegatten von erwerbstätigen Versicherten sowie Personen, die im Betrieb ihres Ehegatten ohne Barlohn mitarbeiten, gelten die eigenen Beiträge als bezahlt, sofern der Ehegatte Beiträge von mindestens der doppelten Höhe des Mindestbeitrages bezahlt hat.
Die eingetragene Partnerschaft ist einer Ehe gleichgestellt.
2. Säule (obligatorische Mindestvorsorge):
Keine anrechenbaren bzw. berücksichtigungsfähigen beitragsfreien Zeiten.</t>
  </si>
  <si>
    <t>Folgende Zeiten werden angerechnet: Arbeitslosigkeit, Krankenstand, Geburt und Erziehungsurlaub, Risiko während Schwangerschaft und Stillzeit, die ersten drei Jahre des Erziehungsurlaubs (Excedencia por cuidado de hijo) zur Erziehung eines Kindes und maximal die ersten drei Jahre der Beurlaubung um Verwandte zu pflegen (excedencia para el cuidado de familiares), die aufgrund von Alter, Krankheit oder Arbeitsunfähigkeit dauerhafte Unterstützung benötigen, um die meisten grundlegenden Aktivitäten des täglichen Lebens auszuführen, wird ebenfalls angerechnet.
Sie werden bei der Bewertung des Anspruchs auf eine Altersrente und bei der Berechnung der Höhe dieser Altersrente berücksichtigt, wenn die Geburt während des Berechnungszeitraums stattgefunden hat.
Angepasste Zeiträume bei Geburt (periodos asimilados por parto): Im Falle einer Geburt werden insgesamt 112 Kalendertage der Beitragszahlung für jedes einzelne Kind und im Falle einer Mehrlingsgeburt 14 zusätzliche Kalendertage für jedes Kind nach dem zweiten Kind berechnet, falls die Frau während dieses Zeitraums nicht gearbeitet hat.
Sie werden bei der Bewertung des Anspruchs auf eine Altersrente und bei der Berechnung der Höhe dieser Altersrente durch Anhebung des auf die Berechnungsgrundlage anzuwendenden Prozentsatzes berücksichtigt, wenn die Geburt während des Berechnungszeitraums stattgefunden hat.
Anzurechnende Zeiträume für die Betreuung von Pflegekindern oder Minderjährigen in einem Pflegeverhältnis (periodos computables por cuidado de hijos o menores acogidos) Im Falle einer Beendigung des Arbeitsverhältnisses oder dem Auslaufen von Arbeitslosenleistungen innerhalb des Zeitraums von neun Monaten vor der Geburt eines Kindes oder drei Monaten vor einer dauerhaften Adoption oder dem Beginn eines Pflegeverhältnisses und dem Ende des sechsten Jahrs nach der Geburt, Adoption oder des Pflegeverhältnisses wird ein bestimmter Zeitraum ununterbrochener Beiträge als Beitragszeitraum betrachtet, und zwar 270 Kalendertage pro Kind.
Nur ein Elternteil erwirbt diesen Zeitraum für alle Zwecke, außer für den erforderlichen Mindestbeitragszeitraum. Die gutgeschriebenen Tage steigern den auf die Berechnungsgrundlage anzuwendenden Prozentsatz.
Anzurechnende Zeiträume für die Betreuung von Kindern oder Pflegekindern sind mit angepassten Zeiträumen bei Geburt kompatibel und können mit diesen kumuliert werden.
sie sind ebenfalls mit effektiven Beitragszeiträumen kompatibel und können mit diesem kumuliert werden, welche aus Erziehungsurlaub zur Kindererziehung abgeleitet werden, dürfen jedoch zum Zweck der Bestimmung der Rentenleistungen oder des Renteneintrittsalters insgesamt fünf Jahre pro Leistungsempfänger nicht übersteigen.</t>
  </si>
  <si>
    <t>Ersatzzeiträume, die zur Berechnung der Mindestversicherungszeit und des Rentenbetrags vollständig (100%) berücksichtigt werden:
   * Wehrdienstzeiten bis 30.06.2016;
   * Zeiträume, in denen ein Kind bis zum Alter von 4 Jahren versorgt wurde (bis 10 Jahre, wenn das Kind zu Kategorie I gehört (leichte Pflegebedürftigkeit));
   * Zeiten unvermittelter Pflegeunterbringung (nach gesetzlich vorgeschriebenen Bedingungen);
   * Pflegezeiten für pflegebedürftige Personen (Kategorie II – mittlere Pflegebedürftigkeit, Kategorie III – schwere Pflegebedürftigkeit und Kategorie IV – vollständige Pflegebedürftigkeit).
Ersatzzeiträume, die zur Berechnung der Mindestversicherungszeit und des Rentenbetrags zu 80 % berücksichtigt werden:
   * Zeiträume des Vollzeitstudiums (zwischen 18 und 26 Jahren) an weiterführenden Schulen oder Universitätsstudenten vor 2010 (höchstens 6 Jahre ab dem Alter von 18 Jahren);
   * Zeiträume, während der Arbeitslosengeld erhalten wurde und dazu max. drei weitere Jahre, während der man als arbeitslos gemeldet war und kein Arbeitslosengeld oder keine Umschulungsleistungen erhalten hatte, jedoch nur ein Jahr für Zeiträume vor Erreichen des 55. Lebensjahres;
   * Zeiträume, in denen Personen mit verringerter Arbeitsfähigkeit an Ausbildungsmaßnahmen teilnehmen;
   * Zeiträume des Bezugs von Invaliditätsrente dritten Grades (Invalidní důchod třetího stupně) bis zum gesetzlichen Renteneintrittsalter;
   * Zivildienstzeiten bis 31.12.2004;
   * Zeiten, in denen Personen im Zeugenschutz nicht erwerbstätig sind.
Diese Zeiträume werden bei der Berechnung der Persönlichen Bemessungsgrundlage nicht berücksichtigt.
Zeiten der Erwerbsunfähigkeit und Zeiten des Bezugs von Leistungen der Krankenversicherung werden grundsätzlich als Versicherungszeiten (100%) oder nach Beendigung der Erwerbstätigkeit als Ersatzzeiten (80%) berücksichtigt. Diese Zeiten sind von der Berechnung der Persönlichen Bemessungsgrundlage ausgenommen.
Es gibt keine Obergrenze für den Zeitraum.</t>
  </si>
  <si>
    <t>1. Säule:
Rückkauf nicht möglich.</t>
  </si>
  <si>
    <t>Nachzahlung für Ausbildungszeiten: Für Zeiten einer schulischen Ausbildung nach dem vollendeten 16. Lebensjahr, die nicht als Anrechnungszeiten berücksichtigt werden, können Versicherte auf Antrag freiwillige Beiträge nachzahlen, sofern diese Zeiten nicht bereits mit Beiträgen belegt sind und der Antrag auf Nachzahlung bis zur Vollendung des 45. Lebensjahres gestellt wird.
Nachzahlung nach Erreichen der Regelaltersgrenze: Vor dem 1. Januar 1955 geborene Elternteile, denen Kindererziehungszeiten anzurechnen sind und die bis zum Erreichen der Regelaltersgrenze die allgemeine Wartezeit nicht erfüllt haben, können auf Antrag freiwillige Beiträge für so viele Monate nachzahlen, wie zur Erfüllung der allgemeinen Wartezeit noch erforderlich sind. Beiträge können nur für Zeiten nachgezahlt werden, die noch nicht mit Beiträgen belegt sind.
Zahlung von Beiträgen bei vorzeitiger Inanspruchnahme einer Rente wegen Alters: Bis zum Erreichen der Regelaltersgrenze können Rentenminderungen aufgrund einer vorzeitigen Inanspruchnahme einer Altersrente ganz oder teilweise durch Zahlung von Beiträgen ausgeglichen werden. Die vorzeitige Inanspruchnahme einer Altersrente ist mit Abschlägen verbunden. Es kann maximal die Rentenminderung aufgrund dieser Abschläge ausgeglichen werden. Der Versicherte muss erklären, dass er beabsichtigt, eine Altersrente vorzeitig zu beanspruchen.
Unter bestimmten Voraussetzungen bestehen noch Nachzahlungsmöglichkeiten für bestimmte Personenkreise:
   * Deutsche, die unversorgt aus einer internationalen Organisation ausscheiden,
   * Versicherte, für die ein Anspruch auf Entschädigung für Zeiten von Strafverfolgungsmaßnahmen rechtskräftig festgestellt ist,
   * Geistliche und Ordensleute, die als Vertriebene anerkannt sind, sofern sie eine gleichartige Beschäftigung oder Tätigkeit, die nach § 5 Absatz 1 Satz 1 Nr. 2 oder 3 SGB VI versicherungsfrei ist, im Inland nicht wieder aufgenommen haben,
   * Versicherte, die bis zum Erreichen der Regelaltersgrenze die allgemeine Wartezeit nicht erfüllt haben und bis zum 10. August 2010 nicht das Recht zur freiwilligen Versicherung hatten,
   * Soldaten und Beamte, die aufgrund des Bundeswehrreform-Begleitgesetzes vom 21.07.2012 beurlaubt worden sind und bis zum Erreichen der Regelaltersgrenze die allgemeine Wartezeit nicht erfüllt haben.</t>
  </si>
  <si>
    <t>Keine Möglichkeit des nachträglichen Erwerbs einer Versicherungsdauer.</t>
  </si>
  <si>
    <t>Keine Möglichkeit des nachträglichen Erwerbs von Versicherungszeiten.</t>
  </si>
  <si>
    <t>1. Säule (Hauptrente der e-EFKA):
Beitragsfreie Zeiten, die regularisiert und zurückgekauft werden können sowohl zum Zweck des Rentenanspruchs als auch zu dessen Berechnung: Zeiten für die Anzahl der Kinder (300 Tage, die für das erste Kind bezogen werden können, 600 Tage für jedes weitere Kind mit bis zu 1.500 Tagen für maximal drei Kinder), Elternurlaubszeit zur Kindererziehung, Zeit des Militärdienstes, Zeit des Bildungsurlaubs, Studienzeit, Unterbrechungszeit der beruflichen Laufbahn, Streikzeit und Ausbildungszeit.
Beitragsfreie Zeiten, die nur zum Zweck des Rentenanspruchs regularisiert und zurückgekauft werden können, sind Bezugszeiten von Krankengeld oder Arbeitslosengeld oder Fehlzeiten wegen Schwangerschaft und Mutterschaft.
Um die oben genannten Zeiträume zurückzukaufen, müssen folgende Bedingungen erfüllt sein: Anspruch auf Altersrente unter den ab 1.1.2011 geltenden Bedingungen und Vollendung von mindestens 3.600 Arbeitstagen oder 12 Versicherungsjahren.
Es kann mindestens 1 Monat bis höchstens 84 Versicherungsmonate gekauft werden abhängig von den Ruhestandsbedingungen. Jeder sonstige bereits gekaufte Zeitraum wird berücksichtigt.</t>
  </si>
  <si>
    <t>(Beitragsabhängige) Staatliche Rente (State Pension (Contributory)) für freiwillig Versicherte:
Der Rückkauf von bis zu 60 Versicherungsmonaten ist möglich.</t>
  </si>
  <si>
    <t>Volksrente (lífeyrir almannatrygginga):
Nicht zutreffend.
Arbeitsrente (lögbundnir lífeyrissjóðir):
Rückkauf von Versicherungszeiten nicht möglich.</t>
  </si>
  <si>
    <t>Rückkauf von Versicherungszeiten ist nicht möglich.</t>
  </si>
  <si>
    <t>1. Säule/2.Säule:
Rückkauf von Versicherungszeiten nicht möglich.</t>
  </si>
  <si>
    <t>1. Säule: Keine Möglichkeit des Rückkaufs von Versicherungszeiten
2. Säule: Kein eigentlicher Rückkauf von Versicherungszeiten; es besteht jedoch die Möglichkeit, eine bestehende Vorsorgelücke durch freiwillige und zusätzliche Beiträge in die Vorsorgeeinrichtung aufzufüllen.</t>
  </si>
  <si>
    <t>Rückkauf von Versicherungszeiten nicht möglich.</t>
  </si>
  <si>
    <t>1. Säule:
Ein rückwirkender Erwerb von Anrechnungszeiten ist für Personen möglich, die entweder aus familiären Gründen ihre Berufstätigkeit aufgegeben oder reduziert haben oder ein nicht unter ein bi- oder multilaterales Instrument der sozialen Sicherheit fallendes ausländisches Rentensystem oder ein Rentensystem einer internationalen Organisation mit einem pauschalen Rückkaufwert oder einem versicherungsmathematischen Gegenwert verlassen haben. Wohnsitz in Luxemburg, Pflichtmitgliedschaft in der gesetzlichen Rentenversicherung für mindestens 12 Monate, Höchstalter 65 Jahre oder Anspruch auf Bezug einer persönlichen Rente zum Zeitpunkt des Antrags.
Diese Zeiten werden nicht für die Mindestversicherungszeit und die Berechnung der pauschalen und anteiligen Zuschläge berücksichtigt.</t>
  </si>
  <si>
    <t>Ein Rückkauf der Versicherungszeiten ist nicht möglich.</t>
  </si>
  <si>
    <t>Rückkauf von Versicherungszeiten nicht möglich</t>
  </si>
  <si>
    <t>1. Säule (Grundsystem):
Rückkauf von Versicherungszeiten nicht möglich.
2. Säule (obligatorische Mindestvorsorge):
Einkauf der Sparbeiträge der Jahre vor Eintritt in die Vorsorgeeinrichtung möglich.
Der Rückkauf dient zur Berechnung der Höhe der Leistungen.</t>
  </si>
  <si>
    <t>Der Rückkauf von Versicherungszeiten ist beispielsweise für folgende Zeiten möglich: Elternurlaub, unbezahlter Urlaub, Angebot von Tagesbetreuung, geringes Einkommen im Rahmen des Rabattsystems für die Sozialversicherung (weniger als 67% des monatlichen nationalen Durchschnittseinkommens), als arbeitslos registriert sein und sich ab dem 16. Lebensjahr in Ausbildung befinden.
Für die Entrichtung von zusätzlichen Versicherungsbeiträgen durch die versicherte Person besteht keine Altersgrenze. Die Beiträge werden wie Beiträge „freiwillig Versicherter“ behandelt – d. h. die Bewertungsgrundlage wird direkt vom Versicherten selbst angegeben und sie beträgt mindestens die Höhe der Mindestbewertungsgrundlage (d.h. 50% des monatlichen nationalen Durchschnittslohns in dem Kalenderjahr, das dem Kalenderjahr zwei Jahre vorausging, für das der Versicherungsbeitrag gezahlt wurde), bis zur Höchstbewertungsgrundlage, die in dem Kalenderjahr gültig war, für das der Versicherungsbeitrag gezahlt wurde). Der Satz wird für die Alterssicherung und Invaliditätsversicherung zusammen festgelegt (24%).</t>
  </si>
  <si>
    <t>Eine versicherte Person oder ein Leistungsempfänger kann eine Beitragszeit von bis zu fünf Jahren erwerben, um die Bedingungen zu erfüllen oder um eine günstigere Beurteilung zu erhalten. Die Beitragszeiten sind nicht genau festgelegt. Die Person muss lediglich eine versicherte Person oder ein Leistungsempfänger sein.
Rückkauf dient ausschließlich dem Erwerb eines Anspruchs auf Altersrente, der Berechnung des Rentenbetrags oder beidem.</t>
  </si>
  <si>
    <t>Ein Nachkauf von Versicherungszeiten ist möglich.
Jeder Bürger ab 18 Jahren mit mindestens einem Beitragsjahr kann Versicherungszeiten bis zu 1 Jahr rückwirkend nachkaufen, solange die Zeiten der freiwilligen Teilnahme insgesamt 15 Jahre nicht übersteigen.
Personen, die im Ausland beschäftigt waren, Freiwillige und Arbeitnehmer, die in der Tschechischen Republik für einen ausländischen Arbeitgeber tätig waren, können Versicherungszeiten bis zu 2 Jahre rückwirkend und ohne Einschränkung der Gesamtzahl der Jahre nachkaufen.
Ein Nachkauf ohne Einschränkung der Gesamtzahl der Jahre ist in bestimmten Fällen jederzeit möglich, beispielsweise für:
   * Beim Arbeitsamt gemeldete Arbeitssuchende für Zeiten, in denen sie keine Arbeitslosenleistungen erhalten haben;
   * Vollzeitschüler an weiterführenden Schulen oder Universitätsstudenten;
   * in der Tschechischen Republik gewählte Mitglieder des Europäischen Parlaments für deren Amtszeit;
   * Ehepartner oder Lebenspartner von Personen, die im Ausland im diplomatischen Dienst oder sonstigem Staatsdienst arbeiten.
Nachkauf beeinflusst sowohl den Anspruch auf Altersrente als auch die Berechnung des Betrags.</t>
  </si>
  <si>
    <t>Ehepartner:
Keine Zulagen. Familienzusammenstellung wird in Kategorie 2 berücksichtigt. Berechnungsmethode bzw. Rentenformel oder Betrag“.
Kinder:
Keine Zulagen für unterhaltsberechtigte Kinder.</t>
  </si>
  <si>
    <t>Keine Zulagen für Unterhaltsberechtigte.</t>
  </si>
  <si>
    <t>1. Säule:
Altersrente (Folkepension)/Frührente (Tidlig Pension):
Keine Zulage für Unterhaltsberechtigte.
Zusatzrente (arbejdsmarkedets tillægspension, ATP) und obligatorisches Rentensystem (Obligatorisk Pensionsordning): Keine Zulage für Unterhaltsberechtigte.</t>
  </si>
  <si>
    <t>Keine Rentenzulagen.</t>
  </si>
  <si>
    <t>Keine Familienzulagen.</t>
  </si>
  <si>
    <t>Gesetzliche einkommensbezogene Rente (Työeläke):
Keine Rentenzulagen.
Volksrente (Kansaneläke):
Monatliche Kinderzulage (lapsikorotus) in Höhe von €26,18 im Jahr 2025 pro Monat und Kind unter 16 Jahren. Diese Leistung erhalten auch solche Rentner, die aufgrund der Höhe sonstiger Renteneinkünfte keine Volksrente beziehen.
Garantierte Rente (Takuueläke):
Keine Zulagen.</t>
  </si>
  <si>
    <t>1. Säule (Hauptrente der e-EFKA):
Personen, die ab dem 12.05.2016 in Rente gingen:
Keine Zulagen für Unterhaltsberechtigte. Aber Bezieher von Altersrente können Kindergeld (ΕΠΙΔΟΜΑ ΠΑΙΔΙΟΥ) beantragen.</t>
  </si>
  <si>
    <t>Kinder:
Volksrente (lífeyrir almannatrygginga):
Kinderrente (barnalífeyrir) von ISK 48.131 (€334) pro Kind und Monat wird an unterhaltsberechtigte Kinder unter 18 Jahren gezahlt.
Arbeitsrente (lögbundnir lífeyrissjóðir):
Der Rentenfonds kann eine Zulage für unterhaltsberechtigte Kinder unter 18 Jahren vorsehen, die Höhe ist je nach Rentenfonds unterschiedlich.</t>
  </si>
  <si>
    <t>Keine Zulagen.</t>
  </si>
  <si>
    <t>1. Säule/2.Säule:
Keine Zulagen für Unterhaltsberechtigte.</t>
  </si>
  <si>
    <t>1. Säule:
Keine Rentenzulagen für unterhaltsberechtigte Personen.</t>
  </si>
  <si>
    <t>Ehepartner:
Spezifischer Leistungssatz für verheiratete Personen, deren Ehepartner keine eigene Rente bezieht (mit Ausnahme der Zwei-Drittel-Rente, Pensjoni taz-Zewg terzi).</t>
  </si>
  <si>
    <t>Ehepartner:
Seit 2015 gilt ein Übergangsgesetz: Personen, die vor dem Jahr 2015 Anspruch auf eine Rentenzulage für ihren Ehepartner (partnertoeslag) hatten, erhalten weiterhin den Zuschlag, bis der Ehepartner die Regelaltersgrenze erreicht hat.
Seit Juli 2025 darf das monatliche Bruttoeinkommen des Partners, um Anspruch auf die Rentenzulage zu haben, den Betrag von €1.992,83 nicht übersteigen. Falls das Gesamteinkommen beider Partner den Betrag von €3.929,26 übersteigt, wird die Leistung um höchstens 10% gekürzt.
Kinder:
Keine Rentenzulage.</t>
  </si>
  <si>
    <t>Ehepartner:innen:
Keine Zulage zur Rente. Hinsichtlich der Erhöhung des Richtsatzes für die Ausgleichszulage für im gemeinsamen Haushalt lebende:n Ehepartner:innen siehe Tabelle VI, Mindestrente und bedürftigkeitsabhängige Leistung.
Kinder:
€29,07 pro Monat für jedes Kind bis zur Vollendung des 18. Lebensjahres bzw. bis zur Vollendung des 27. Lebensjahres bei Studium oder Berufsausbildung; kein Alterslimit bei Behinderung des Kindes.
Hinsichtlich der Erhöhung des Richtsatzes für die Ausgleichszulage für Kinder siehe Tabelle VI, Mindestrente und bedürftigkeitsabhängige Leistung.</t>
  </si>
  <si>
    <t>Keine Rentenzulagen für Angehörige.</t>
  </si>
  <si>
    <t>Ehepartner: € 46,61 pro Monat (lediglich für die vor dem 1. Januar 1994 gezahlten Renten).</t>
  </si>
  <si>
    <t>Erste Säule/Zweite Säule:
Keine Rentenzulagen.</t>
  </si>
  <si>
    <t>Ehegatte/eingetragener Partner:
Keine Zulagen.
Kinder:
Der Bezüger einer Altersrente hat Anspruch auf eine Rente für jedes seiner Kinder, das bei seinem Tod Anspruch auf eine Waisenrente hätte.
   * Säule (Grundsystem): 40% der Altersrente.
   * Säule (obligatorische Mindestvorsorge): 20% der Altersrente.</t>
  </si>
  <si>
    <t>Keine Rentenzulagen für Rentner mit abhängigen Ehepartnern. Abhängige Ehepartner werden jedoch bei der Berechnung der Mindestrente (pensión mínima) berücksichtigt, die für Rentner mit abhängigem Ehepartner höher ausfällt.</t>
  </si>
  <si>
    <t>Keine Rentenzulagen für Unterhaltsberechtigte.</t>
  </si>
  <si>
    <t>Erste Säule:
Keine Zulagen für unterhaltsberechtigte Personen.</t>
  </si>
  <si>
    <t>Es werden keine zusätzlichen Beträge gezahlt.</t>
  </si>
  <si>
    <t>Zulage (Добавка от пенсията на починал съпруг):
Hinterbliebene Rentner haben nach dem Tod des Ehepartners Anspruch auf eine Zulage in Höhe von 30 % der Rente oder der Rentensumme des/der Verstorbenen.
Diese Leistung wird lebenslang gezahlt, jedoch bei Wiederheirat eingestellt. Sie kann nicht mit einer Hinterbliebenenrente (Наследствена пенсия) desselben Verstorbenen kombiniert werden.</t>
  </si>
  <si>
    <t>Keine besonderen Zulagen.</t>
  </si>
  <si>
    <t xml:space="preserve">Volksrente (Kansaneläke):
   * Pflegebeihilfe für Rentner (Eläkettä saavan hoitotuki): 3 Kategorien von Beträgen, welche im Jahr 2025 bei €84,17, €183,36 und €387,73 pro Monat liegen, zahlbar entsprechend der Bedürftigkeit oder bei Kosten für die häusliche Pflege oder bei Sonderausgaben aufgrund von Krankheit oder Unfall;
   * Wohngeld für Rentner (Eläkkeensaajan asumistuki): Wird u.U. Rentenempfängern mit Wohnsitz in Finnland gewährt; die Höhe des Wohngeldes richtet sich nach dem Einkommen des Rentenempfängers und Ehepartners, des Einkommens aus Vermögen und den Wohnkosten.
</t>
  </si>
  <si>
    <t>1. Säule (Basissystem):
Kinderzulage (majoration pour enfant): Zulage von 10% der Höhe der Rente für Rentner, die mindestens 3 Kinder gehabt haben (oder für Kinder, die sie mindestens 9 Jahre lang vor Vollendung des 16.Lebensjahres aufgezogen haben). Die Zulage wird jedem Elternteil mit einer Grundrente (pension de base) gewährt.
Die Zulage für Pflege durch Dritte (majoration pour tierce personne) wird dem Bezieher einer Altersrente wegen mangelnder gesundheitlicher Eignung gewährt, der die Hilfe von Dritten in Anspruch nehmen muss. Betrag: €1.288,13 pro Monat (d.h. €15.457,56 pro Jahr).
Zuschlag in Verbindung mit einer Behinderung: Die Höhe des Zuschlags hängt von der Dauer der Beitragszahlung als Person mit Behinderung und der Versicherungsdauer im allgemeinen Sozialversicherungssystem ab. Dieser Zuschlag findet keine Anwendung auf die Renten zum vollen Satz.
2. Säule (Zusatzrentensysteme (Agirc-Arrco)):
Zulage von 10% ab dem 1. Januar 2012 für Personen, die 3 oder mehr Kinder erzogen haben. Für frühere Karriereabschnitte variiert der Satz entsprechend der Abschnitte und Systeme. Die Summe der Zulagen darf eine bestimmte Bemessungsgrenze nicht übersteigen.
Nicht kumulierbar mit der Zulage für unterhaltsberechtigte Kinder.</t>
  </si>
  <si>
    <t xml:space="preserve">
   * Zulage für Alleinlebende (Living Alone Allowance): wird an alleinlebende Rentner und Menschen mit Behinderung gezahlt: €22 pro Woche;
   * Zulage für über 80-Jährige (Over 80 Allowance): €10 pro Woche für Rentner ab 80 Jahren;
   * Unentgeltliche Nutzung von Verkehrsmitteln;
   * Rentner über 70 Jahren haben Anspruch auf Strom- oder Gasbeihilfe (Electricity or Gas Allowance) (€35 pro Monat) und auf Befreiung von Fehrnsehgebühren (Television Licence) (€160 pro Jahr). Rentner zwischen 66 und 70 Jahren haben Anspruch auf diese Leistungen, sofern eine Bedürftigkeit festgestellt wurde und die Anforderungen and die Haushaltzusammensetzung erfüllt sind; Rentner können gegebenenfalls auch Anspruch auf Brennstoffbeihilfe (Fuel Allowance) (€33 pro Woche für 28 Wochen in der Heizperiode) haben.</t>
  </si>
  <si>
    <t>1. Säule:
Für Rentner, die zwischen 1997 und 2012 in den Ruhestand gegangen sind, zahlt der Staat einen monatlichen Zuschlag von €1,62 zu ihrer Altersrente, für jedes geleistete Arbeitsjahr bis 1995 (einschließlich). Der Zuschlag beträgt €2,43 für jedes geleistete Arbeitsjahr bis 1995 (einschließlich), wenn der Person Altersrente gewährt wurde und sie das gesetzliche Rentenalter vor dem 31. Dezember 1996 erreicht hat.
2. Säule:
Keine besonderen Zulagen.</t>
  </si>
  <si>
    <t>Beihilfe für Kosten von Heizung und Wasser (Būsto šildymo išlaidų, geriamojo vandens ir karšto vandens išlaidų kompensacijos): siehe Tabelle XI „Zulagen, 3. Sonstige Zulagen - Geldleistungen“.</t>
  </si>
  <si>
    <t>1. Säule:
Keine sonstigen Zulagen für Rentner.</t>
  </si>
  <si>
    <t>Alle Rentner, die keiner Erwerbstätigkeit nachgehen, haben Anspruch auf eine staatliche Bonuszahlung von €135,10 im Juni und Dezember und auf einen zusätzlichen Bonus von €3,12 pro Woche.
Rentner haben auch Anspruch auf einen wöchentlichen Lebenskostenbonus, dessen Höhe vom Jahr ihres Rentenbeginns abhängig ist und der zwischen €21,53 für Renten, bewilligt im Jahr 2008 oder früher und €15,96 für Renten aus dem Jahr 2025 liegt.
Personen im Alter von 62 Jahren und älter, die mindestens ein Jahr in das maltesische System einbezahlt haben, aber nicht eigenständig die Mindestanforderungen für eine Rente erfüllen, erhalten einen jährlichen Bonus in Höhe von €500 bis €700 (abhängig von der Anzahl der geleisteten Jahre).
Personen im Alter von 75 oder darüber, die im eigenen Zuhause oder bei Familienangehörigen leben, erhalten eine Jahreszahlung von €350, bekannt als Senior Citizen Grant (Seniorenzuschuss). Bei Erreichen des 80, Lebensjahres wird der Zuschuss um €450 erhöht.</t>
  </si>
  <si>
    <t>Eine Urlaubszulage (vakantie-uitkering) wird ebenfalls gewährt, welche 6,5% bis 7,0% der monatlichen Rentenbeträge (siehe oben „1. Berechnungsmethode, Rentenformel oder Beträge’) entspricht.
Seit 2025 wurde die „AOW-Unterstützung“ (inkomensondersteuning AOW) abgeschafft.</t>
  </si>
  <si>
    <t>Bei ständigem Betreuungs- und Hilfsbedarf aufgrund einer körperlichen, geistigen oder psychischen Behinderung oder einer Sinnesbehinderung besteht Anspruch auf Pflegegeld als Zusatz zur Rente. Siehe Tabelle XII.</t>
  </si>
  <si>
    <t>Pflegezulage (Dodatek pielęgnacyjny):
Leistung an Personen mit Anspruch auf eine Alters-, Invaliditäts- oder Hinterbliebenenrente, die vollständig erwerbsunfähig und auf fremde Hilfe angewiesen sind oder die das 75. Lebensjahr vollendet haben. Betrag: Die Zulage beträgt monatlich PLN 348,22 (€82) (Anpassung wie bei Renten).
Bestattungsbeihilfe (Zasiłek pogrzebowy):
Pauschale für Personen, die die Bestattungskosten für einen Rentner oder einen Familienangehörigen tragen. Betrag: PLN 4.000 (€944).
Ehrenleistung (Świadczenie honorowe) für polnische Bürger, die den 100. Geburtstag erreicht haben. Höhe PLN 6.589,67 (€1.555) pro Monat (auf gleiche Weise angepasst wie Renten).</t>
  </si>
  <si>
    <t>Erste Säule/Zweite Säule:
Keine weiteren Zulagen für Rentner.</t>
  </si>
  <si>
    <t>Seit 2025 erhalten Frauen, die zwischen 1961 und 1969 geboren sind und ihre Rente nicht vorbeziehen, eine lebenslange Rentenzuschlag, der je nach Geburtsjahr und Einkommen zwischen CHF13 (€14) und CHF160 (€171) pro Monat beträgt.</t>
  </si>
  <si>
    <t>Elternrente (Rodičovský dôchodok) für Bezieher einer Altersrente (oder, nach Erreichen des Rentenalters, auch für Bezieher von Invalidenrente, Altersrente und Invalidenrenten für Dienstjahre von Soldaten und Polizisten) wird durch Steuern finanziert. Der Leistungsbetrag ist 2% (für jeden lebenden Elternteil) der für das Vorjahr gezahlten Einkommensteuer des Kindes, wenn das Kind dies in der Steuererklärung angibt.</t>
  </si>
  <si>
    <t>Pflegegeld (dodatek za pomoč in postrežbo): Siehe Tabelle V „Invalidität, „Leistungen, 8. Sonstige Leistungen“.</t>
  </si>
  <si>
    <t>Zulage zur Verringerung des Lohngefälles zwischen den Geschlechtern (complemento para la reducción de la brecha de género) von €35,90/monatlich pro Kind im Jahr 2025 (mit einer Obergrenze von 4 Kindern).</t>
  </si>
  <si>
    <t>Grundsätzlich keine sonstigen Zulagen für Rentner.
Sonderzulagen zu den Renten von Mitgliedern der Widerstandsbewegung während des 1. und 2. Weltkriegs sowie politischen Gefangenen des kommunistischen Regimes.</t>
  </si>
  <si>
    <t>Erste Säule:
Die Beihilfe für ältere Menschen, die Langzeitpflege erbringen (Tartós ápolást végzők időskori támogatása): für Rentenempfänger, die ihre Kinder mit schweren Behinderungen mindestens 20 Jahre vor dem Anspruch auf Altersrente gepflegt haben. Es handelt sich um eine beitragsunabhängige Beihilfe in Höhe von HUF50.000 (€125) pro Monat.</t>
  </si>
  <si>
    <t>System zur Unterstützung von Rentnerhaushalten mit niedrigem Einkommen (Σχέδιο ενίσχυσης νοικοκυριών συνταξιούχων με χαμηλά εισοδήματα).
Geldleistungen an den Haushalt eines Rentners, dessen jährliches Gesamteinkommen unter der Armutsgrenze liegt. Für weitere Informationen siehe Tabelle XI „Mindestsicherung“.</t>
  </si>
  <si>
    <t>Erste Säule:
Der Mindestbetrag der beitragsabhängigen Altersrente berechnet sich nach dem Gesetz über den Haushalt der Sozialversicherung. Der Mindestbetrag der Altersrenten aus Versicherung beläuft sich seit 1.07.2025 auf BGN 630,50 (€ 322) monatlich.
Zweite Säule:
Keine gesetzliche Mindestrente, aber wenn die Höhe des Guthabens auf dem individuellen Konto weniger als das Dreifache der Mindestaltersrente beträgt, wird der Gesamtbetrag einmalig als Pauschalbetrag ausgezahlt.</t>
  </si>
  <si>
    <t>1. Säule:
Altersrente (Folkepension)/Frührente (Tidlig Pension): Keine Mindestbetrag.
Zusatzrente (arbejdsmarkedets tillægspension, ATP) und obligatorisches Rentensystem (Obligatorisk Pensionsordning): DKK 288 (€38) pro Monat.</t>
  </si>
  <si>
    <t>Keine gesetzliche Mindestrente.</t>
  </si>
  <si>
    <t>1. Säule:
100% des Volksrentenbetrags (rahvapensioni määr): €393,26 monatlich.
2. Säule:
Keine gesetzliche Mindestrente.</t>
  </si>
  <si>
    <t>Die Garantierte Rente (Takuueläke) garantiert Personen mit Wohnsitz in Finnland mit einer geringen Rente oder keiner anderen Rente eine Mindestrente.
Der volle zahlbare Betrag im Jahr 2025 ist €986,30 im Monat. Andere Renteneinkommen haben Einfluss auf den Betrag. Der Anspruch wird ausschließlich auf der Grundlage des eigenen Bruttorenteneinkommens des Antragstellers bestimmt, nicht auf der Grundlage des Einkommens oder des Vermögens des Haushalts. Andere Arten von Einkünften oder Vermögenswerten (z. B. Spareinlagen, Immobilien) werden nicht berücksichtigt.
Anspruchsvoraussetzungen:
   * Wohnsitz in Finnland;
   * 3 Jahre wohnhaft in Finnland gewesen sein nach der Erreichen eines Alters von 16 Jahren;
   * Beantragung sämtlicher Renten, die der Person in Finnland und dem Ausland zustehen könnten.
Einwohner, die Altersrente beziehen, sind anspruchsberechtigt, wenn ihr gesamtes Rentenbruttoeinkommen im Jahr 2025 weniger als €978,33 im Monat beträgt. Migranten, die keine Volksrente beziehen, sind ab 65 Jahren anspruchsberechtigt.</t>
  </si>
  <si>
    <t>1. Säule (Basissystem):
Mindestleistung: €747,69 (brutto) pro Monat, wenn ein Anspruch auf eine volle Rente besteht. Dieser Betrag wird erhöht, wenn mindestens 120 Quartale lang Beiträge entrichtet wurden, bis €893,66 (brutto) erreicht sind, wenn für alle berücksichtigten Quartale Beiträge gezahlt wurden. Liegt die Versicherungsdauer unter der vom Geburtsjahr des Versicherten abhängenden erforderlichen Dauer, so wird ein anteiliger Betrag gewährt.
Die Mindestleistung wird nur dann gewährt, wenn die Summe der bezogenen Renten (französische und ausländische Grund- und Zusatzrenten) weniger oder gleich €1.394,86 pro Monat beträgt.
2. Säule (Zusatzrentensysteme (Agirc-Arrco)):
Keine Mindestleistung.</t>
  </si>
  <si>
    <t>1. Säule (Hauptrente der e-EFKA):
Keine Mindestbetrag.</t>
  </si>
  <si>
    <t>(Beitragsabhängige) Staatliche Rente (State Pension (Contributory):
Gesetzliche Mindestrente: €115,60.</t>
  </si>
  <si>
    <t>Volksrente (lífeyrir almannatrygginga):
Keine gesetzliche Mindestrente. Die Rente ist bedarfsorientiert am eigenen Einkommen, siehe Berechnungsmethode in Tabelle VI, „Berechnungsmethode, Rentenformel oder Beträge“.
Arbeitsrente (lögbundnir lífeyrissjóðir):
Keine gesetzliche Mindestrente.</t>
  </si>
  <si>
    <t>Vor dem 1. Januar 1996 Versicherte:
Höhe der Mindestrente (pensione minima): €7.844,20 (€8.016,71 = €616,67x13, wenn der Leistungsempfänger über 75 Jahre alt ist, gültig im Jahr 2025). Die Altersrente (pensione di vecchiaia) wird bis zur Höhe der Mindestrente aufgestockt, wenn das steuerpflichtige Jahreseinkommen des Berechtigten weniger als das Doppelte der eigentlichen Mindestrente beträgt.
Ist der Empfänger verheiratet, so wird die Rente bis zur Höhe der Mindestrente aufgestockt, falls das jährliche Familieneinkommen nicht das Vierfache der jährlichen Mindestrente, also den Betrag von €31.376,80, überschreitet. Bei einem Familieneinkommen zwischen €31.376,80 und €39.221 erfolgt eine Aufstockung um 70%; bei einem Einnkommen über diesem Betrag erfolgt keine Aufrstockung.
Keine gesetzliche Mindestrente im Fall von Renten, die durch das beitragsorientierte System berechnet wurden.</t>
  </si>
  <si>
    <t>1. Säule:
Die Mindestrente wird gemäß dem Rentenversicherungsgesetz bestimmt. Sie ist ein Festbetrag pro Versicherungsjahr entsprechend 106% des jeweils aktuellen Rentenwertes zum Zeitpunkt des Beginns des Rentenanspruchs, ermittelt durch die Multiplikation mit dem Ausgangsfaktor und dem Rentenfaktor. Seit 1. Juli 2025 beträgt die Mindestrente für jedes Versicherungsjahr €15,32 pro Monat.
2. Säule:
Keine gesetzliche Mindestrente.</t>
  </si>
  <si>
    <t>1. Säule:
Die Höhe der Mindestaltersrente wird bestimmt durch Anwendung eines Koeffizienten von 1.1 auf die Berechnungsgrundlage der Mindesaltersrente (€189; €226 für Personen mit Behinderungen seit Kindesalter) und der anschließenden Addition von 2% der gleichen Basis für jedes zusätzliche Jahr, das über die erforderliche Versicherungszeit zur Gewährung einer Altersrente (d.h. 20 Jahre) hinausgeht. Daher variieren die monatlichen Mindestbeträge zwischen €226,80 bei 20 Versicherungsjahren und €344 bei 51 Versicherungsjahren.
Für Personen mit Behinderungen seit Kindesalter variieren die monatlichen Beträge zwischen €271,20 bei 20 Versicherungsjahren und €411,30 bei 51 Versicherungsjahren.
2. Säule:
Entscheidet sich der Teilnehmer des kapitalgedeckten Rentensystems, das angesparte Rentenkapital zur Rente der 1. Säule hinzuzufügen, gilt der Mindestbetrag der Rente der 1. Säule.
Entscheidet sich der Teilnehmer des kapitalgedeckten Rentensystems, mit dem angesparten Rentenkapital eine Lebensversicherungspolice zu erwerben (lebenslange Rente), gilt kein Mindestbetrag.</t>
  </si>
  <si>
    <t>Keine Mindestrente (es gibt aber steuerfinanzierte, wohnsitzgebundene einkommens- und vermögensabhängige Ergänzungsleistungen).
1. Säule: Bei einer lückenlosen Beitragsdauer beträgt die Stammrente mindestens  CHF 1.190 (€1.272) pro Monat (13 x im Jahr).
2. Säule: Keine gesetzliche Mindestrente.</t>
  </si>
  <si>
    <t>Keine gesetzliche Mindestrente, eine de-facto-Mindestrente resultiert jedoch aus der Berechnungsmethode.Für Personen, die das Rentenalter mit 15 Versicherungsjahren erreichen, darf die Rente nicht niedriger sein als die volle Grundrente, d.h. €298,45 im Jahr 2025.
Verfügt die Person nicht über 15 Jahre Sozialversicherungsbeiträge, wird die Altersleistung der Sozialhilfe gezahlt (siehe Tabelle XI, „Mindestsicherung“).</t>
  </si>
  <si>
    <t>1. Säule:
Bei einer Mindestversicherungszeit von 40 Jahren erreicht die Rente mindestens 90% des Referenzbetrages: Daher gilt eine monatliche Mindestrente von €2.350,89. Falls der Versicherte die oben genannte Anwartschaftszeit nicht erfüllt, aber mindestens 20 Versicherungsjahre belegen kann, wird die Mindestrente (pension minimale) um 1/40 je fehlendes Jahr gekürzt.</t>
  </si>
  <si>
    <t>Die garantierte Mindestrente beträgt €206,50 pro Woche für verheiratete Personen und €202,50 pro Woche für alleinstehende Personen, die durchschnittlich für 50 Wochen pro Jahr Beiträge geleistet haben. Für Personen mit einem geringeren Beitragsdurchschnitt wird die Rente anteilig gekürzt.</t>
  </si>
  <si>
    <t>Nicht anwendbar, Pauschalrente.</t>
  </si>
  <si>
    <t>Es gibt keine gesetzliche Mindestrente, jedoch de facto eine Mindesthöhe, die sich aus der Berechnungsmethode ergibt.
Mindestrente (minste pensjonsnivå) gemäß den alten Regeln:
Für einen alleinstehenden Rentner mit 40 (allein auf dem Wohnsitz beruhenden) Versicherungsjahren beträgt die jährliche Mindestrente NOK 279.933 (€23.739). Sie wird an Rentner ausgezahlt, deren Grundrente und Zusatzrente zusammen weniger betragen als die Mindestrente.
Garantierte Rente (garantipensjon) gemäß den neuen Regeln:
Für einen alleinstehenden Rentner mit 40 Versicherungsjahren (ausschließlich wohnsitzbasiert) beträgt die jährliche Mindestrente NOK 242.418 (€20.558).</t>
  </si>
  <si>
    <t>Erste Säule:
Rentner erhalten die Sozialbeihilfe für Rentner (indemnizatie sociala pentru pensionari), die sich auf RON 1.281 (€252) monatlich beläuft, wenn ihre Altersrente unterhalb dieses Betrags liegt.
Diese Beihilfe ist einkommensabhängig. Sie basiert auf den gesamten rentenbezogenen Ansprüchen (nur eigene Einkünfte): staatliche Renten, Renten aus nicht integrierten Systemen und Sonderrechtsansprüche. Andere Einkünfte oder Vermögenswerte werden nicht berücksichtigt.
Zweite Säule:
Keine gesetzlichen Bestimmungen.</t>
  </si>
  <si>
    <t>Keine gesetzliche Mindestrente.
Jedoch gibt es eine Garantierente (garantipension) für diejenigen ohne oder mit nur geringem Rentenanspruch. 2025 beläuft sich eine volle Garantierente auf das 2,43-Fache des Grundbetrags, d. h. auf SEK 142.884 (€12.989) pro Jahr für eine alleinstehende Person und auf das 1,951-Fache des Grundbetrags, d.h. SEK 129.360 (€11.760) für eine verheiratete Person.
Für jene, welche die Voraussetzungen für die Garantierente nicht erfüllen, gibt es über 66 eine Einkomenshilfe für Ältere (äldreförsörjningsstöd). Dies bietet einen angemessenen Lebensstandard nach Zahlung der Haushaltskosten. Ein angemessener Lebensstandard wird mit SEK 7.525 (€684) monatlich veranschlagt für eine alleinstehende Person und SEK 6.053 (€550) für verheiratete Personen oder Personen, die im Jahr 2025 in einer nicht-ehelichen Lebensgemeinschaft zusammenleben. Die Unterstützung unterliegt einer Bedürftigkeitsprüfung.</t>
  </si>
  <si>
    <t>1. Säule (Grundsystem):
Vollrenten:
CHF1.260 (€1.346) pro Monat.
Kinderrente:
CHF504 (€538) pro Monat.
2. Säule (obligatorische Mindestvorsorge):
Keine Mindestrente, jedoch ein de facto Mindestbetrag resultierend aus der Berechnungsmethode.</t>
  </si>
  <si>
    <t>1. Säule:
Die Mindestrente beträgt 145% des Betrags des Existenzminimums, wenn der Versicherte über mindestens 30 Versicherungsjahre verfügt. Dieser Betrag wird bei zusätzlichen Versicherungszeiten schrittweise angehoben (2,5% für das 31. bis 39. Jahr, 3% für das 40. bis 49. Jahr, 5% für das 50. bis 59. Jahr, 7,5% für das 60. und jedes weitere verdiente Rentenversicherungsjahr).
Der Betrag der Mindestaltersrente darf nicht höher sein als die Summe der Renten aller Versicherten.
2. Säule:
Keine gesetzliche Mindestrente.</t>
  </si>
  <si>
    <t>Eine versicherte Person mit Anspruch auf Altersrente (starostna pokojnina) erhält eine Mindestrente in Höhe von 29,5% der Mindest-Rentenberechnungsbasis (pokojninska osnova) von €1.947,67 (brutto) (dieser Betrag muss jährlich angepasst werden, wobei die Mindestrentengrundlage im Jahr 2025 bei €1.219,95 liegt), d. h. €352,58 pro Monat. Die Mindest-Rentenberechnungsbasis wird durch die Renten- und Invaliditätsversicherungsanstalt Sloweniens (Zavod za pokojninsko in invalidsko zavarovanje Slovenije) festgelegt. Hauptanspruchsbedingung sind 15 Versicherungsjahre.
Die garantierte Mindestrente (zagotovljena pokojnina) für alle Empfänger einer Alters- oder Invaliditätsrente, die Beiträge in das Rentensystem (1. Säule) für den zum Erhalt einer Vollrente erforderlichen Zeitraum leisten, darf nicht weniger als €781,94 pro Monat betragen.</t>
  </si>
  <si>
    <t>Keine gesetzliche Mindestrente.
   * Grundbetrag (Základní složka): Grundpauschale für Pension (10% des nationalen monatlichen Durchschnittslohns) von CZK 4.660 (€188) monatlich.
   * Prozentualer Betrag (Procentní část): Mindestbetrag: CZK 770 (€31) monatlich.
Die de facto Mindest(Grund-)pension ist nicht bedürftigkeitsabhängig.</t>
  </si>
  <si>
    <t>Erste Säule:
Mindestbetrag der Altersrente der Sozialversicherung (Öregségi nyugdíj): HUF28.500 (€71) monatlich. Kein Mindestbetrag, falls der Versicherungszeitraum weniger als 20 Jahre beträgt.</t>
  </si>
  <si>
    <t>Keine Obergrenze, jedoch ein Höchstbetrag, der sich de facto aus der Berechnungsmethode ergibt.
Für eine Berufslaufbahn 45/45 (entspricht 14.040/14.040 Tage) und ein Arbeitsentgelt, das die Obergrenze der Rentenberechnung erreicht, beträgt der Bruttobetrag für den Monat Juli 2025 maximal € 4.096,02 pro Monat (Haushaltssatz) oder € 3.276,82 pro Monat (Satz für Alleinstehende).
Der Rentenbetrag kann jedoch über den angegebenen Höchstbeträgen liegen und zwar unter Berücksichtigung der „Einheit der Laufbahn“ (unité de carrière) (siehe Referenzgehalt oder Berechnungsgrundlage).</t>
  </si>
  <si>
    <t>Keine gesetzliche Höchstrente.</t>
  </si>
  <si>
    <t>1. und 2. Säule:
Keine gesetzliche Höchstrente.</t>
  </si>
  <si>
    <t>Gesetzliche einkommensbezogene Rente (Työeläke):
Keine Höchstrente.
Volksrente (Kansaneläke):
Voller Betrag: €699,42 oder €783,41 im Monat je nach Personenstand und der Dauer des Wohnsitzes in Finnland.
Garantierte Rente (Takuueläke):
Voller Betrag: €986,30 im Monat.</t>
  </si>
  <si>
    <t>1. Säule (Basissystem):
50% der Bemessungsgrenze der Sozialversicherung, also €1.962,50 pro Monat. Dieser Betrag wird um eventuelle Zuschläge (zurückgestellte Ruhegehaltszahlung, Behinderung, die die Hilfe eines Dritten erforderlich macht, Kindererziehung usw.) erhöht.
2. Säule (Zusatzrentensysteme (Agirc-Arrco)): Kein gesetzlicher Höchstbetrag, sondern ein de facto Höchstbetrag, der sich aus der Berechnungsmethode ergibt (Punkte werden bis zu einer Grenze zugewiesen, die dem Achtfachen der Bemessungsgrenze der Sozialversicherung entspricht).</t>
  </si>
  <si>
    <t>1. Säule (Hauptrente der e-EFKA):
€5.236,80 pro Monat (entsprechend zwölf Mal die volle staatliche Rente, 12*€436,40).</t>
  </si>
  <si>
    <t>(Beitragsabhängige) Staatliche Rente (State Pension (Contributory):
Maximum: €289,30 pro Woche.</t>
  </si>
  <si>
    <t>Volksrente (lífeyrir almannatrygginga):
Der maximale Rentenbetrag aus dem Volksrentensystem ist die Rente mit vollem Anspruch, beruhend auf 40 Jahren Wohnsitz und ohne sonstiges versteuerbares Einkommen wie erwähnt in Tabelle VI „Berechnungsmethode, Rentenformel oder Beträge“.
Arbeitsrente (lögbundnir lífeyrissjóðir):
Keine gesetzliche Höchstrente.</t>
  </si>
  <si>
    <t>1. Säule:
Kein Höchstbetrag, sondern ein De-facto-Höchstbetrag, der aus der Berechnungsmethode resultiert.
Der Rentenhöchstbetrag entspricht der Rente, die auf der Grundlage von 380% des Durchschnittsbruttogehalts über den gesamten Versicherungszeitraum berechnet wird (ist gedeckelt bei 3,8 Punkten pro Versicherungsjahr).
2. Säule:
Keine gesetzliche Höchstrente.</t>
  </si>
  <si>
    <t>1. Säule/2.Säule:
Kein Höchstbetrag.</t>
  </si>
  <si>
    <t>1. Säule: Bei einer lückenlosen Beitragsdauer beträgt die Stammrente von  CHF 2.380 (€2.543) pro Monat (13 x im Jahr).
2. Säule: Keine gesetzliche Höchstrente.</t>
  </si>
  <si>
    <t>Keine gesetzliche Höchstrente, 5 Rentenpunkte sind jedoch das Höchste, das in einem Kalenderjahr verdient werden kann.</t>
  </si>
  <si>
    <t>1. Säule:
Die Rente darf höchstens 5/6 des fünffachen Richtwerts betragen, nämlich €10.883,74 pro Monat.</t>
  </si>
  <si>
    <t>€282,05 pro Woche für Verheiratete und alleinstehende Personen, die vor dem 1. Januar 1962 geboren sind und €354,86 für Personen, die nach 1962 geboren sind bei Bewilligung der Rente. Der Betrag wird jährlich nach der Bewilligung der Rente entsprechend der Entwicklung der Lebenshaltungskosten angepasst.</t>
  </si>
  <si>
    <t>Kein Höchstbetrag.</t>
  </si>
  <si>
    <t>Keine gesetzliche Höchstrente.
Es gibt ein de facto Maximum resultierend aus der Berechnungsmethode.
Die für die Pensionshöhe relevanten Beiträge ergeben sich aus den monatlichen Beitragsgrundlagen. Diese sind mit der Höchstbeitragsgrundlage (2025: €6.450 brutto) gedeckelt.</t>
  </si>
  <si>
    <t>Keine gesetzliche Höchstrente, aber de facto besteht eine Höchstrente durch die Berechnungsmethode.</t>
  </si>
  <si>
    <t>Erste Säule:
Keine gesetzliche Höchstrente.
Zweite Säule:
Keine gesetzlichen Bestimmungen.</t>
  </si>
  <si>
    <t>1. Säule (Grundsystem):
CHF2.520 (€2.692) pro Monat. Die Summe der zwei Altersrenten (oder der Invaliden- und der Altersrente) für ein Ehepaar oder für eingetragene Partner darf 150% des Höchstbetrages der Altersrente nicht übersteigen, i.e. CHF3.780 (€4.039). Kinderrente: CHF1.008 (€1.077) pro Monat.
2. Säule (obligatorische Mindestvorsorge):
Keine Höchstrente, jedoch ein de facto Maximum resultierend aus der Berechnungsmethode.</t>
  </si>
  <si>
    <t>Keine gesetzliche Höchstrente, de facto jedoch der sich aus der Berechnungsmethode ergebende Höchstbetrag.</t>
  </si>
  <si>
    <t>Keine gesetzliche Höchstrente vorgesehen, ergibt sich aber aus dem durch die Berechnungsmethode erhaltenen Höchstbetrag.
Die maximale Rentenberechnungsbasis von €4.879,80 (brutto) (seit 1. Januar 2025) ist das 4-Fache der Mindest-Rentenberechnungsbasis.</t>
  </si>
  <si>
    <t>€3.267,60 pro Monat.</t>
  </si>
  <si>
    <t>Keine gesetzliche Höchstrente, aber de facto besteht eine Höchstrente, die aus der Berechnungsmethode resultiert. (siehe oben “3. Referenzeinkommen oder Berechnungsgrundlage).</t>
  </si>
  <si>
    <t>Erste Säule:
Kein Höchstbetrag.</t>
  </si>
  <si>
    <t>Grundrente (Βασική Σύνταξη) :
100 % des versicherungspflichtigen Grundentgelts (einschließlich der Zulagen für maximal 3 abhängige Familienmitglieder).
Zusatzrente (Συμπληρωματική Σύνταξη) :
Keine gesetzliche Höchstrente.
Basierend auf der Beitragsbemessungsgrenze beträgt der Höchstbetrag der Zusatzrente € 2.620,71 pro Monat (für Personen, die im Jahr 2025 berechtigt werden).
Für die Definition von versicherungspflichtigem Entgelt siehe Finanzierung – Allgemeine Sozialbeitragssätze.</t>
  </si>
  <si>
    <t>Berechnungsmethode wie bei der normalen Ruhestandspension; siehe oben "Berechnungsmethode bzw. Rentenformel". Die Höhe der vorgezogenen Rente ist proportional zur Dauer des Erwerbslebens.</t>
  </si>
  <si>
    <t>Die Rente wird ab dem Datum des Antrags gewährt und lebenslang gezahlt, aber mit einem Abzug von 0,4% für jeden Monat bis zum Erreichen des Rentenalters.</t>
  </si>
  <si>
    <t>1. Säule:
Frührente (Tidlig Pension):
Höchstbetrag: DKK 14.976 (€2.007) pro Monat. Die Rente wird um das Arbeitseinkommen und ähnliche Einkünfte des Empfängers gekürzt. Die Rente wird auch gekürzt, wenn der Empfänger Anspruch auf eine private Rentenversicherung hat.
Zahlung für 1 bis 3 Jahre (bis zum Erreichen des Rentenalters), abhängig von der Beschäftigungsdauer des Empfängers.</t>
  </si>
  <si>
    <t>Bei vorzeitigem Rentenbeginn (Bedingungen siehe Tabelle VI, ‘Anspruchsvoraussetzungen 3. Vorruhestand’) Berechnung nach der allgemeinen Rentenformel (siehe Zugangsfaktor).
Mit Ausnahme der ‘Rente für besonders langjährig Versicherte’ (nach 45 Beitragsjahren) beträgt die Rentenminderung 0,3% der Rente für jeden Monat, den die Rente vorzeitig in Anspruch genommen wird. Die Reduzierung um die Abschläge ist permanent.</t>
  </si>
  <si>
    <t>Vorgezogene Altersrente (ennetähtaegne vanaduspension):
Für jeden Monat vorzeitigen Renteneintritts wird der nach der Rentenformel berechnete Betrag um 0,4% reduziert (bis 31.12.2025).
Flexible Altersrente (paindlik vanaduspension):
Flexible Altersrente wird abhängig vom Zeitpunkt der Pensionierung vermindert (bis zu 5 Jahre früher als altersrentenfähiges Alter) (siehe vorgezogene Altersrente).
Altersrente unter günstigen Bedingungen (soodustingimustel vanaduspension):
Renten nach dem Gesetz über die staatliche Rentenversicherung (Riikliku pensionikindlustuse seadus) werden nicht reduziert. Bei Renten, die nach dem Gesetz über Altersrenten unter günstigen Bedingungen (Soodustingimustel vanaduspensionide seadus) gezahlt werden, steigt der Wert eines versicherten Beschäftigungsjahres mit jedem Jahr des Rentenanspruchs um 3,1% (21,9% bei Bergarbeitern).
Altersrente bei Erreichen besonderer Altersgrenzen (väljateenitud aastate pension):
Der Wert eines versicherten Beschäftigungsjahres wird um 9,6% reduziert. Erreicht die Person das normale Renteneintrittsalter, kann die Rente in eine normale Altersrente umgewandelt werden.</t>
  </si>
  <si>
    <t>Volksrente (Kansaneläke):
Vorgezogene Rente ab dem Alter von 64 Jahren für Personen, die vor 1962 geboren sind, mit dauerhaften Abschlägen von 0,4% für jeden Monat der Inanspruchnahme vor dem Alter von 65 Jahren.</t>
  </si>
  <si>
    <t>1. Säule (Basissystem) und 2. Säule (Zusatzrentensysteme (Agirc-Arrco)):
Die Rente wird dauerhaft zu einem reduzierten Satz berechnet. Die Minderung wird entsprechend des Alters und der Versicherungsdauer festgelegt.</t>
  </si>
  <si>
    <t>1. Säule (Hauptrente der e-EFKA):
Ab dem 62. Lebensjahr für Männer und Frauen: Kürzung des nationalen Rentenbetrags um 1/200 für jeden fehlenden Monat bis zur Vollendung des 67. Lebensjahres. Die Kürzung um 1/200 ist dauerhaft. Die Rente wird 12 Mal im Jahr gezahlt.</t>
  </si>
  <si>
    <t>Kein Vorruhestand möglich.</t>
  </si>
  <si>
    <t>Volksrente (lífeyrir almannatrygginga):
Eine Frührente ist ab dem Alter von 65 Jahren mit gekürzten Leistungen (nach versicherungsmathematischer Berechnung) möglich.
Keine Kürzung der Rente für Seeleute ab dem Alter von 60 Jahren.
Zur Frührente aus Gesundheitsgründen siehe Tabelle V. "Invalidität".
Arbeitsrente (lögbundnir lífeyrissjóðir):
Die erworbenen Rentenrechte werden auf Dauer um einen versicherungsmathematischen Abschlag reduziert.</t>
  </si>
  <si>
    <t>Renten, die anhand des beitragsbasierten Systems berechnet werden, können im Alter von 64 Jahren unter der Bedingung beansprucht werden, dass der Rentenbetrag, der dem Begünstigten zusteht, wenigstens dem 3-fachen Monatsbetrag der Sozialhilfe (assegno sociale) entspricht, die im Jahr 2025 €538,69 beträgt (€538,69 x 3 = €1.616,07) für Männer und Frauen ohne Kinder: das 2,8-fache des genannten Betrags für berufstätige Mütter mit 1 Kind; das 2,6-fache für berufstätige Mütter mit 2 oder mehr Kindern. Der Betrag der vorgezogenen Rente unter den oben genannten Bedingungen darf nicht das 5-fache des Betrags der gesetzlichen Mindestrente überschreiten (entsprechend €603,40 monatlich im Jahr 2025).
Flexible Vorruhestandsrente (sogenannte „Quota 103“): Bruttorentenbetrag mit einer Obergrenze von €2.413,60 (entspricht dem 4-fachen der Mindestrente), welcher unverändert bleibt, bis das gesetzliche Renteneintrittsalter von 67 Jahren erreicht wurde. Er darf sich nicht mit Bruttoerwerbseinkommen über €5.000 aus abhängiger oder gelegentlicher selbstständiger Tätigkeit überschneiden.
Vorruhestandsbeihilfe (A.PE - sociale Anticipo Pensionistico): wird monatlich in 12 Teilbeträgen pro Jahr ausgezahlt. Der betreffende Betrag wird auf der Grundlage der geleisteten Beiträge berechnet gemäß der gesetzlich festgelegten Formel für die Altersrente und kann sich auf höchstens €1.500 brutto pro Monat belaufen. Um eine Frührverrentung zu ermöglichen, werden die fehlenden Beiträge im Rahmen eines staatlich gewährten Bankdarlehens geleistet, das die Rentenempfänger erst zurückzahlen müssen, wenn sie das gesetzliche Rentenalter erreicht haben und den endgültigen Betrag der Altersrente beziehen.
Die Leistung ist nicht jährlich indexgebunden und kann nicht auf den Mindestrentenbetrag aufgestockt werden. Es werden keine fiktiven Beiträge für den Zeitraum gutgeschrieben, in dem der Empfänger A.PE Sociale bezieht.</t>
  </si>
  <si>
    <t>1. Säule:
Die Rente wird um 0,2% für jeden Monat des Rentenbezugs vor Erreichen der Regelaltersgrenze gemindert.
Keine Minderung der Höhe der vorzeitigen Rente bei Personen, die mindestens zwei Jahre arbeitslos waren, bevor sie die Voraussetzungen für eine vorzeitige Rente aufgrund von Unternehmenskonkurs erfüllen.</t>
  </si>
  <si>
    <t>1. Säule:
Der Betrag der vorgezogenen Altersrente wird anhand der üblichen Altersrentenformel berechnet. 50% der normalen Altersrente werden jedoch gezahlt, bis die Person das gesetzliche Rentenalter erreicht. Danach wird die Rente wieder auf den normalen Satz angehoben.
2. Säule:
Entscheidet sich der Teilnehmer des kapitalgedeckten Rentensystems, das angesparte Rentenkapital zur Rente der 1. Säule hinzuzufügen, gilt die Berechnungsmethode der 1. Säule.
Entscheidet sich der Teilnehmer des kapitalgedeckten Rentensystems, mit dem angesparten Rentenkapital eine Lebensversicherungspolice zu erwerben (lebenslange Rente), wird der volle Betrag ausgezahlt und es gibt keine Obergrenze für den Betrag aus der 2. Säule.</t>
  </si>
  <si>
    <t>1. Säule: Keine besonderen Voraussetzungen. Die lebenslange Rentenkürzung hängt von der Vorbezugsdauer und vom Alter ab (für Personen mit Jahrgang 1958 und jünger: 0,42% bei Vorbezug um einen Monat, 21,8% bei Vorbezug um 5 Jahre).
2. Säule: Personen die eine Altersrente nach dem AHVG vorbeziehen, können die ganze oder die halbe Rente nach diesem Gesetz (BPVG) auf jeden Monat hin ebenfalls vorbeziehen. Allenfalls Regelung im Reglement der jeweiligen Vorsorgeeinrichtung.</t>
  </si>
  <si>
    <t>Für jeden Monat der vorgezogenen Rente erfolgt ein Abschlag von der Rente um 0,32%. Nach Erreichen des Regelrentenalters wird die Minderung der Altersrente auf der Grundlage der Anzahl der Monate, in denen die vorgezogene Rente gezahlt wurde, neu berechnet. Ihr Betrag wird um 0,32% für jeden vollen Monat des Bezugs der vorgezogenen Rente verringert. Der Betrag der Altersrente wird nicht verringert, wenn die vorgezogene Altersrente höchstens 3 Jahre lang bezogen wurde und bei Antrag der vorgezogenen Altersrente 2025 mindestens 41 Jahre Rentenversicherungszeiten vorlagen (seit 2022 werden die erforderlichen Rentenversicherungszeiten jährlich um 3 Monate erhöht, bis im Jahr 2031 42 Jahre und 6 Monate erreicht sein werden).</t>
  </si>
  <si>
    <t>1. Säule:
Keine besonderen Bedingungen für die Berechnung und keine Kürzung der vorzeitigen Altersrente (bei kürzerer Beitragszahlung wird jedoch ein geringerer einkommensabhängiger Rententeilbetrag angerechnet).</t>
  </si>
  <si>
    <t>Keine rentenmathematisch verringerte vorgezogene gesetzliche Rente.
Personen, die die Voraussetzung einer langen Erwerbstätigkeit erfüllen (40 bis 42 Jahre bezahlte oder angerechnete Beiträge, je nach Geburtsjahr), können ab dem Alter von 61 Jahren die volle Rente beziehen. Die Rente wird auf der Grundlage des Einkommens zum Zeitpunkt des Anspruchs berechnet und bleibt danach unverändert, was eher einer langfristigen Altersvorsorge als einer Vorruhestandsregelung gleichkommt.</t>
  </si>
  <si>
    <t>Keine vorgezogene Rente.</t>
  </si>
  <si>
    <t>Berechnung grundsätzlich wie die normale Altersrente.
Für jedes Jahr des früheren Rentenantritts erfolgt ein Abschlag in der Höhe von 4,2% von der Leistung (bei der Korridorrente 5,1%, bei Schwerarbeitern 1,8%), max. 12,6 % (vorz. Altersrente aufgrund langer Versicherungsdauer) bzw. 15,3 % (Korridorrente) bzw. 9 % (Schwerarbeitsrente). Diese Reduzierung ist permanent.
„Frühstarterbonus“: Dadurch erhalten Personen, die zumindest 25 Beitragsjahre auf Grund einer Erwerbstätigkeit und davon mindestens 12 Erwerbstätigkeitsmonate vor dem 20. Geburtstag erworben haben, einen besonderen Zuschuss.</t>
  </si>
  <si>
    <t>Personen, die vor dem 1. Januar 1949 geboren wurden:
Vorgezogene Renten werden anhand der allgemeinen Rentenformel berechnet. Der Betrag hängt von der Anzahl der Versicherungsjahre ab.</t>
  </si>
  <si>
    <t>Erste Säule:
Altersrente mit reduziertem Ruhestandsalter (pensie pentru limita de varsta cu reducerea varstelor standard de pensionare): Berechnung nach der Formel für die Altersrente (pensie pentru limita de varsta).
Vorgezogene Ruhestandsrente (pensie anticipata): Berechnung nach der Formel für die Altersrente.
Sie wird jedoch um verschiedene Prozent-sätze reduziert, abhängig von der Anzahl der Jahre, die über den vollständigen beitragsabhängigen Versicherungszeitraum hinausgehen und der Anzahl der Monate der Vorwegnahme, wie im Folgenden:
Jahre                                    % pro Monat der Vorwegnahme
- weniger als 1 Jahr                                 0,40
- zwischen 1 und 2 Jahren                      0,35            
- zwischen 2 und 3 Jahren                      0,30                      
- zwischen 3 und 4 Jahren                       0,25                          - zwischen 4 und 5 Jahren                       0,20
Die Reduzierung erfolgt vorübergehend, bis zum Erreichen des Renteneintrittsalters/vorgezogenen Ruhestandsalters.
Zweite Säule:
Altersrente mit reduziertem Ruhestandsalter (pensie pentru limita de varsta cu reducerea varstelor standard de pensionare) aus dem Umlagesystem (erste Säule) wird Personen mit ausreichendem persönlichem Rentenvermögen gewährt.
Der zu zahlende Betrag basiert auf versicherungsmathematischer Berechnung (für die Formel wurde jedoch noch keine Rechtsvorschrift erlassen).</t>
  </si>
  <si>
    <t>1. Säule (Grundsystem):
Kürzung des Betrags um 0,6% bis 13,6% je nach Anzahl der vorgezogenen Monate. Die Kürzung ist dauerhaft.
Wenn das massgebliche durchschnittliche Jahreseinkommen CHF60.480 (€64.622) oder weniger beträgt, wird der Kürzungssatz um 40% reduziert.
Seit 2025 erhalten Frauen, die zwischen 1961 und 1969 geboren wurden, lebenslang geringere Kürzungssätze, die von ihrem Alter und ihrem Einkommen abhängig sind.
2. Säule (obligatorische Mindestvorsorge):
Der Umwandlungssatz der vorgezogenen (Teil-)Rente wird entsprechend angepasst, wodurch die Rentenhöhe dauerhaft reduziert wird.
Überbrückungsleistungen für ältere Arbeitslose (Vorruhestandsleistungen, vgl. Tabelle XI „Mindestsicherungt“).</t>
  </si>
  <si>
    <t>Vorgezogene Altersrente (Predčasný starobný dôchodok):
Kürzung um 0,5% für jeweils 30 Tage, die bis zum Erreichen des Ruhestandsalters fehlen.</t>
  </si>
  <si>
    <t>Ähnlich wie die Altersrente (starostna pokojnina) wird die vorgezogenen Rente (predčasna pokojnina) entsprechend der Rentenberechnungsbasis (pokojninska osnova) der Mindestversicherung bemessen. Dauerhafte Kürzung von 0,3% für jeden am Alter von 65 Jahren fehlenden Monat.</t>
  </si>
  <si>
    <t>Für Arbeitnehmer, die gemäß dem am 1. Januar 1967 abgeschafften System versichert waren und die mit 60 Jahren in Rente gegangen sind gilt eine Minderung um 8% pro Jahr unter 65. Gehen diese Arbeitnehmer nicht freiwillig in Rente, beträgt die Minderung zwischen 7,5% für 30 Beitragsjahre und 6% für 40 Beitragsjahre.
Bei Ruhestand zwei oder vier Jahre vor Erreichen der Regelaltersgrenze wird der Rentenbetrag durch Kürzungen vermindert, abhängig von der noch verbleibenden Zeit (Monate) bis zum Erreichen der Regelaltersgrenze und den Beitragsjahren.
Diese Verringerung ist dauerhaft.</t>
  </si>
  <si>
    <t>Kürzung der einkommensbezogenen Renten (prozentualer Anteil) um 1,5% für jeweils 90 Kalendertage des Rentenbezugs vor dem Renteneintrittsalter.
Diese Kürzungen sind dauerhaft und bleiben auch nach Erreichen des normalen Renteneintrittsalters bestehen.</t>
  </si>
  <si>
    <t>Erste Säule:
Gleiche Berechnungsmethode für die Leistung vor dem Rentenalter (Korhatár előtti ellátás), Altersrente für Frauen mit 40 Jahren Anwartschaftszeit (Öregségi nyugdíj nők számára 40 év jogosultsági idővel) und Altersrente. Für nähere Informationen siehe Tabelle VI „Leistungen, 1. Berechnungsmethode, Rentenformel und Beträge“.</t>
  </si>
  <si>
    <t>Der Rentenbetrag wird versicherungsmathematisch um 0,5 % gekürzt für jeden Monat des Zeitraums zwischen dem Datum, an dem die Person beschließt die Rente zu beanspruchen, (in einem Alter von über 63 Jahren) und dem Alter von 65 Jahren.
Diese versicherungsmathematischeVerringerung ist dauerhaft und gilt auch für jede Witwenrente und Waisenrente, die daraus bezogen wird.
Siehe „Bedingungen, 2. Vorzeitiger Rentenbezug“.</t>
  </si>
  <si>
    <t>Keine spezifischen Bestimmungen bezüglich der Leistungen.</t>
  </si>
  <si>
    <t>Keine besonderen Bestimmungen bezüglich der Höhe der Leistung; die Versicherungsdauer wird jedoch angepasst, je nachdem, ob sie als Arbeit der Kategorie 1 oder 2 ausgeübt wurde (für die Anpassungsmethode siehe Bedingungen – beschwerliche und gefährliche Berufe).</t>
  </si>
  <si>
    <t>1. Säule:
Nicht anwendbar: keine besonderen Be-stimmungen für beschwerliche und gefährlich Berufe.</t>
  </si>
  <si>
    <t>Keine besonderen Regelungen.</t>
  </si>
  <si>
    <t>Keine besonderen Bestimmungen bezüglich der Höhe der Leistung.</t>
  </si>
  <si>
    <t>1. Säule (Basissystem) und 2. Säule (Zusatzrentensysteme (Agirc-Arrco)):
Keine amtliche Definition für beschwerliche oder gefährliche Arbeit.
Die Berücksichtigung der Arbeitsschwere wirkt sich nicht auf den Rentenbetrag, sondern nur auf die Versicherungszeit aus (es werden bis zu 8 Quartale angerechnet).</t>
  </si>
  <si>
    <t>1. Säule (Hauptrente der e-EFKA):
Keine besonderen Bestimmungen bezüglich dem Leistungsniveau.</t>
  </si>
  <si>
    <t>Keine besonderen Bestimmungen in Bezug auf die Leistungshöhe.</t>
  </si>
  <si>
    <t>Keine spezifischen Bestimmungen bezüglich der Höhe der Leistungen.</t>
  </si>
  <si>
    <t>Für beschwerliche und gefährliche Arbeiten werden je nach ausgeübter Tätigkeit und vorgefundenen Arbeitsbedingungen für jeden Beitragszeitraum von 12 Monaten entweder 14, 15, 16 oder 18 Monate angerechnet (anhand eines Koeffizienten von 1,1666; 1,25; 1,333 oder 1,5). Eine anteilige Erhöhung (d. h. zusätzliche Dienstjahre bzw. -monate werden dazugerechnet) gilt für kürzere Dienstzeiten. Diese Steigerungsrate führt zu einer höheren Rente für jeden Beitragszeitraum, da die Höhe des Altersruhegelds auch auf der Grundlage der Rentenversicherungszeit berechnet wird.</t>
  </si>
  <si>
    <t>1. Säule/2.Säule:
Keine spezifische Höhe von Renten für solche Arbeiten. Personen haben Anspruch auf vollständige Rente.</t>
  </si>
  <si>
    <t>Keine besonderen Bestimmungen zu beschwerlichen und gefährlichen Berufen nach 1995. Personen, die die erforderliche Anzahl von Versicherungsjahren in beschwerlichen/gefährlichen Berufen vor 1995 vorweisen konnten, wird eine vorübergehende Einmal-Entschädigung in Höhe von 136,4% der Grundrente gezahlt (im Juni 2025 - €407,09).
Die Grundrente (bazinė pensija) beträgt im Jahr 2025 298,45 €.</t>
  </si>
  <si>
    <t>1. Säule:
Keine Sonderregeln hinsichtlich der Höhe der Leistungen.</t>
  </si>
  <si>
    <t>Keine spezifischen Regelungen bezüglich der Höhe der Leistung.</t>
  </si>
  <si>
    <t>Keine besonderen Bedingungen bezüglich des Leistungsbetrags.</t>
  </si>
  <si>
    <t>Für Personen, die ab dem 1. Jänner 1955 geboren sind, gilt Folgendes: Grundlage für die Berechnung ist die auf dem Rentenkonto zum Stichtag aufscheinende Gesamt­gutschrift. Dieser Wert geteilt durch 14 ergibt die Rentenhöhe ohne Zu- und Abschläge. Ist das Regelrentenalter erreicht, ist dieser Betrag die Rentenhöhe.
Wird eine Schwerarbeitsrente oder eine Langzeitversicherungsrente für Schwerarbeiter:innen in Anspruch genommen, beträgt der Abschlag 1,8% für je 12 Monate (bzw 0,15% pro Monat) vor Erreichung des Regelrentenalters.</t>
  </si>
  <si>
    <t>Für Personen, die vor dem 1. Januar 1949 geboren wurden.
Vorgezogene Rente (Wcześniejsza emerytura): Keine besonderen Bestimmungen bezüglich der Höhe der Leistung.
Für Personen, die nach dem 31. Dezember 1948 geboren wurden.
Überbrückungsrente (Emerytura pomostowa): Zahlbar ab dem Eintrittsalter der (vorgezogenen) Rente (wie per Gesetz definiert) bis zum regulären Rentenalter. Mit erreichtem Rentenalter wird eine Altersrente berechnet und gemäß den allgemeinen Regeln ausgezahlt.</t>
  </si>
  <si>
    <t>Für einige schwere Arbeiten gelten spezifische Bedingungen bezüglich der Altersrente.
Bergbauarbeiter und Arbeiter der Bergbauindustrie (Förderung und Verarbeitung von Grundstein)– Der globale Rentensatz, der nach denselben Regeln berechnet wird, die für das allgemeine Sozialversicherungssystem gelten, steigt um 2,2% für jeden Zeitraum von 2 Jahren tatsächlich geleisteter Dienstjahre, gefolgt von oder im Wechsel mit Arbeiten im Untertagebau. Der gesamte Rentenbetrag darf 80% der Referenzentlohnung nicht übersteigen.
Hochseefischer – Für Begünstigte mit mindestens 15 Dienstjahren wird die Altersrente berechnet, durch Multiplizieren der Anzahl Dienstjahre als Fischer mit 0,33.
Tänzer – (klassisches oder zeitgenössisches Ballett): bei vorgezogener Rente ab 45 verringert sich die statutarische Rente um einen Faktor, der von der Anzahl Jahre der verfrühten Inanspruchnahme dem Alter von 55 Jahren gegenüber abhängt.</t>
  </si>
  <si>
    <t>Erste Säule:
Personen, die in schwierigen oder gefährlichen Berufen beschäftigt sind, wird die Altersrente mit reduziertem Ruhestandsalter (pensie pentru limita de varsta cu reducerea varstelor standard de pensionare) gewährt und sie sammeln eine zusätzliche Anzahl von Punkten (0,25 oder 0,50 monatlich je nach Berufskategorie) als Mittel, um die potenziellen Verluste aufgrund der kürzeren Beitragszeit auszugleichen.
Es wird auch ein Bonus für die Beitragszeit gewährt (6 Monaten für jedes Jahr, das an Arbeitsplätzen unter schwierigen Bedingungen verbracht wurde und 4 Monaten für jedes Jahr, das an Arbeitsplätzen unter schwierigen Bedingungen verbracht wurde).
Zweite Säule:
Keine spezifischen Bestimmungen bezüglich der Höhe der Leistung.</t>
  </si>
  <si>
    <t>Der Arbeitgeber ist verpflichtet, Beiträge für die Zusatzrentensparkonten von Arbeitnehmern zu zahlen, die an risikobehafteten Arbeitsplätzen arbeiten, welche nach der Pensionierung ausgezahlt werden.</t>
  </si>
  <si>
    <t>Für manche Berufsgruppen (d.h. Flugpersonal, Feuerwehrleute) wird der Zeitraum, um den das Renteneintrittsalter abgesenkt wird, nur als beitragspflichtig betrachtet, um den Prozentsatz festzulegen, der auf die Berechnungsgrundlage der Altersrente angewendet wird.</t>
  </si>
  <si>
    <t>Wie beim allgemeinen gesetzlichen Altersrentensystem besteht die Rente für Minenarbeiter aus einem pauschalen Grundbetrag und einem prozentualen Anteil.
Der pauschale Grundbetrag ist für alle Rentner auf denselben Betrag festgelegt (derzeit CZK 4.660 (€188) pro Monat).
Eine besondere Bestimmung besteht im Zusammenhang mit der Berechnung des prozentualen Anteils der Altersrente für Minenarbeiter, welcher gemäß den allgemeinen Regeln errechnet wird, aber wenn der errechnete Betrag nicht den sogenannten “Höchstbetrag für Minenarbeiter” erreicht, wird eine Anpassung auf diesen Höchstbetrag vorgenommen. Der “Höchstbetrag für Minenarbeiter” wird berechnet durch die Erhöhung des Nominalbetrags von CZK 5.100 (€206) pro Monat mit all den Erhöhungen der Indexierung, die zwischen 1996 und dem Jahr, ab dem dem Rentner Altersrente gewährt wird, stattgefunden haben (derzeit CZK 21.382 (€864) pro Monat).
Wenn der prozentuale Anteil der Altersrente für Bergarbeiter, der gemäß den allgemeinen Regeln berechnet wurde, höher ist als der “Höchstbetrag für Bergarbeiter”, wird die Altersrente zum höheren Betrag gewährt, der gemäß den allgemeinen Regeln berechnet wurde.</t>
  </si>
  <si>
    <t>Erste Säule:
Keine besonderen Bestimmungen bezüglich der Höhe der Leistung.</t>
  </si>
  <si>
    <t>Keine besonderen Bestimmungen in Verbindung mit der Höhe der Leistung. </t>
  </si>
  <si>
    <t>Keine Teilzeitrente.</t>
  </si>
  <si>
    <t>Keine Teil (ruhestands)rente.</t>
  </si>
  <si>
    <t>Teilrenten können von allen Altersrentenbezieherinnen und Altersrentenbeziehern in Anspruch genommen werden.</t>
  </si>
  <si>
    <t>Keine Teil (ruhestands) rente.
1. Säule
Seit 1. Januar 2021 ist es möglich, jeden Monat zwischen 100% oder 50% Rentenzahlung zu entscheiden oder die Zahlung auszusetzen. Der nicht beanspruchte Teil der Rente erhöht sich fortlaufend, aktualisiert durch Koeffizienten, die die Lebenserwartung und Zinssätze widerspiegeln.
Keine besonderen Anforderungen.</t>
  </si>
  <si>
    <t>Gesetzliche einkommensbezogene Rente (Työeläke):
Bezug einer Teil(ruhestands)rente (25% oder 50%) ab dem 62. Lebensalter möglich. Der entnommene Teil der Rente wird für jeden Monat dauerhaft um 0,4% gekürzt, den die Rente vorzeitig genommen wird. Die Anzahl von Arbeitsstunden oder die Höhe des Arbeitslohns sind nicht begrenzt.
Volksrente (Kansaneläke) und garantierte Rente (Takuueläke):
Keine Teil(ruhestands)rente.</t>
  </si>
  <si>
    <t>1. Säule (Basissystem) und 2. Säule (Zusatzrentensysteme (Agirc-Arrco)):
Stufenweiser Eintritt in den Ruhestand: 2 Jahre vor dem gesetzlichen Rentenalter. Der Versicherte, der 150 Versicherungsquartale vollendet hat und seine Tätigkeit in Teilzeit fortsetzt, kann eine Teilrente beanspruchen, die der Differenz zwischen 100% und dem Anteil der Teilzeitbeschäftigung in Gegenüberstellung mit der Dauer der Vollzeitbeschäftigung im Unternehmen entspricht. Die Arbeitszeit muss zwischen 40% und 80% einer Vollzeitbeschäftigung liegen.
Ab dem 1. September 2025 ist eine schrittweise Verrentung ab dem 60. Lebensjahr möglich.</t>
  </si>
  <si>
    <t>1. Säule (Hauptrente der e-EFKA):
Keine Teilpensionierung.</t>
  </si>
  <si>
    <t>Keine Teil(ruhestands)rente.</t>
  </si>
  <si>
    <t>Volksrente (lífeyrir almannatryg-ginga):
Bezug einer Teilrente (50%) ab dem 65. Lebensalter möglich, wenn der Antragsteller aktuell und weiterhin in einem Teilzeitjob aktiv auf dem Arbeitsmarkt ist, der 50% nicht übersteigt. Einem Antrag auf Teilrente muss von allen betreffenden Rentenkassen in dem Arbeitsrentensystem zugestimmt und ein Beginn der Zahlungen bestätigt worden sein. Diese Bedingung gilt nur für Rentenkassen, die Teilrenten genehmigen. Der Teil der Altersrente, der vor der Regelaltersgrenze in Anspruch genommen wird (Teilrente), wird dauerhaft reduziert, siehe Vorzeitige Altersrente.
Jährliches Einkommen aus anderen Quellen von bis zu ISK 3.900.000 (€27.102) und aus Erwerbstätigkeit von bis zu ISK 2.400.000 (€16.678)  wirkt sich nicht auf die Berechnung dieser Teilrente aus.</t>
  </si>
  <si>
    <t>Teil(ruhestands)rente (sogenannte part-time agevolato) für Arbeitnehmer im Privatsektor ab einem Alter von 63 Jahren und 7 Monaten (Männer) und ab einem Alter von 62 Jahren und 7 Monaten (Frauen), die sich für eine Verringerung der Vollarbeitszeit um 40% entscheiden, vorausgesetzt, der Arbeitgeber stimmt diesem zu. Der Arbeitgeber vergütet Teilzeitkräfte in Höhe des Betrags, der zur Begleichung der Nettobeiträge erforderlich ist. Fiktive Beiträge werden den Arbeitnehmern gutgeschrieben, bis sie die gesetzlich festgelegten Bedingungen in Bezug auf Alter erfüllen.</t>
  </si>
  <si>
    <t>Keine Teilrente möglich.</t>
  </si>
  <si>
    <t>1. Säule/2.Säule:
Kein Teilruhestand.</t>
  </si>
  <si>
    <t>1. Säule: Es ist möglich, anstelle einer ganzen Altersrente einen Teil der Altersrente vorzubeziehen. Der zweite Teil kann später abgerufen werden (als Vorbezugsrente, als Rente mit ordentlichem Rentenalter 65 oder als aufgeschobene Rente). Der Bezug einer Teilrente ist ab dem vollendeten 60. Altersjahr (Vorbe-zug) möglich, unabhängig vom Ausmaß der Beschäftigung. Eine Zustimmung des Arbeitgebers ist nicht notwendig.
2. Säule: Personen die eine Altersrente nach dem AHVG vorbeziehen, können die ganze oder die halbe Rente nach diesem Gesetz (BPVG) auf jeden Monat hin ebenfalls vorbeziehen.</t>
  </si>
  <si>
    <t>1. Säule:
Keine Teil(ruhestands)rente.</t>
  </si>
  <si>
    <t>Keine Teilruhestand.</t>
  </si>
  <si>
    <t>Der Bezug einer Teilaltersrente aus der Volksversicherung ist ab dem 62. Lebensjahr möglich, vorausgesetzt, der Rentner verfügt mit Erreichen des 67. Lebensjahres mindestens über einen Anspruch auf die Mindestrente für Personen mit Versicherungszeiten von 40 Jahren.
Teilaltersrente aus der Volksversicherung kann in Höhe von 20%, 40%, 50%, 60% oder 80% der vollen (100%) Altersrente bezogen werden. Die Höhe des Bezugssatzes kann erstmalig ein Jahr nach dem Erstbezug verändert werden.
Arbeit und Rente können kombiniert werden und eine Reduzierung der Arbeitszeit hat keine Auswirkungen auf den Bezug einer möglichen Teilrente. Letztendlich erwirbt ein Rentenempfänger, der nach Beginn des Rentenbezugs weiterhin berufstätig ist, zukünftige Ansprüche.</t>
  </si>
  <si>
    <t>Keine Teil(ruhestands)rente.
Ab 1.1.2026 kann eine Alterspension als Teilpension beansprucht werden, wenn die versicherte Person
   * die Voraussetzungen für eine (vorzeitige) Alterspension mit Ausnahme der Voraussetzung des Fehlens einer die Pflichtversicherung in der Pensionsversicherung begründenden Erwerbstätigkeit am Stichtag erfüllt und
   * das Ausmaß der vereinbarten Normalarbeitszeit in der die Pflichtversicherung in der Pensionsversicherung begründenden Beschäftigung nachweislich um zumindest 25%, jedoch höchstens 75% reduziert. Das Ausmaß der monatlichen Bruttoleistung beträgt bei einer Arbeitszeitreduktion 
   * um mindestens 25% bis höchstens 40% 25%,
   * um mindestens 41% bis höchstens 60% 50%,
   * 3. um mindestens 61 % bis höchstens 75% 75% der Gesamtgutschrift.</t>
  </si>
  <si>
    <t>Pas de retraite partielle.</t>
  </si>
  <si>
    <t>Keine Teilruhestandsrente.</t>
  </si>
  <si>
    <t>Erste Säule/Zweite Säule:
Kein Teilruhestand.</t>
  </si>
  <si>
    <t>Keine Altersteilzeit.</t>
  </si>
  <si>
    <t>1. Säule (Grundsystem)
Bei einem gestaffelten Rückzug aus dem Erwerbsleben kann frühestens ab 63 Jahren ein Prozentsatz der Altersrente zwischen 20% und 80% bezogen werden. Keine besonderen Bedingungen.
2. Säule (obligatorische Mindestvorsorge):
Der Rückzug aus dem Erwerbsleben kann ab 63 Jahren mit Zustimmung des Arbeitgebers gestaffelt erfolgen. Versicherte können die Altersleistung als Rente abgestuft in bis zu drei Schritten beziehen. Der erste Teilbezug muss mindestens 20 Prozent der Altersleistung betragen.</t>
  </si>
  <si>
    <t>Versicherte Personen, die die Anspruchsvoraussetzungen für eine vorgezogene Rente (predčasna pokojnina) oder Altersrente (starostna pokojnina) erfüllen, können ein Anrecht auf eine Teilrente (delna pokojnina) erhalten, wenn sie in der Pflichtversicherung bleiben, entsprechend der Versicherungsabdeckung oder Arbeitsstunden von nicht weniger als 2 Stunden pro Tag oder 10 Stunden pro Woche.
Die Teilrente wird auf der Basis der vorgezogenen Rente oder Altersrente wie am Gewährungstag festgelegt und proportional zur Kürzung der Arbeitszeit berechnet.</t>
  </si>
  <si>
    <t>Eine Teilruhestandsrente (pensión de jubilación parcial) kann ab 63 Jahren und 8 Monaten gewährt werden, wenn mindestens 33 Jahre lang Beiträge gezahlt wurden. Die Arbeitszeit wird um 25% und 75% reduziert unter bestimmten Bedingungen wie z.B. einem Nachfolgevertrag eines arbeitslosen Arbeitnehmers oder eines Arbeitnehmers, der einem befristeten Vertrag in der Firma angenommen hat. Der Nachfolgevertrag ist verpflichtend, wenn der in Rente gegangene Arbeiter die Regelaltersgrenze noch nicht erreicht hat.
Der Rentenbetrag verringert sich proportional zur Verringerung der Arbeitszeit.</t>
  </si>
  <si>
    <t>Erste Säule:
Keine Teil(ruhestands)rente.</t>
  </si>
  <si>
    <t>Keine Teilrente.</t>
  </si>
  <si>
    <t>Es gelten die gewöhnlichen Berechnungsregeln, siehe Berechnungsmethode bzw. Rentenformel und Bezugslohn bzw. Berechnungsgrundlage.</t>
  </si>
  <si>
    <t>In Fällen, wo die Personen die benötigten Bedingungen für den Anspruch auf eine Altersrente aus Versicherung erfüllt haben und weiterarbeiten ohne eine Rente zu bekommen, wird die Berechnungsgrundlage mit 4 % für jedes Versicherungsjahr und dem entsprechenden Anteil dieses Prozentsatzes für die weiteren Versicherungsmonate multipliziert.</t>
  </si>
  <si>
    <t>1. Säule:
Altersrente (Folkepension):
Aufschub möglich. Der Betrag der Rente erhöht sich um einen Prozentsatz, der ausgehend von der Dauer des Aufschubs und von der durchschnittlichen Lebenserwartung in dem Alter, wenn der Aufschub endet, berechnet wird.
Zusatzrente (arbejdsmarkedets tillægspension, ATP) und obligatorisches Rentensystem (Obligatorisk Pensionsordning):
Aufschub möglich. Der Betrag der Rente erhöht sich nach versicherungsmathematischen Prinzipien um einen von der Dauer des Aufschubs abhängenden Prozentsatz ab dem Rentenalter bis zu 10 Jahren ab diesem Datum. Aufschub ist nicht möglich, wenn die Rente als Pauschalbetrag ausgezahlt wird.</t>
  </si>
  <si>
    <t>Bei aufgeschobenem Rentenbeginn Berechnung nach der allgemeinen Rentenformel (siehe Zugangsfaktor). Für jeden Monat nach Erreichen der Regelaltersgrenze, den die Rente aufgeschoben wird, erhöht sich die spätere Rente um 0,5% (jährlich 6%).
Nach Erreichen der Regelaltersgrenze kann zudem auf die dann bestehende Versicherungsfreiheit verzichtet werden. So können Beschäftigte weitere Entgeltpunkte erwerben und ihren Rentenanspruch erhöhen.</t>
  </si>
  <si>
    <t>1. Säule:
Die Höhe der aufgeschobenen Altersrente (vanaduspension) wird um 0,9% für jeden Monat des Rentenaufschubs erhöht.
Personen, die das Rentenalter vor 1. Januar 2021 erreicht haben, haben das Recht, zwischen der flexiblen Altersrente auf der Basis des Gesetzes über die staatliche Rentenversicherung (in Kraft seit 1. Januar 2021) oder der aufgeschobenen Altersrente auf der Basis des gleichen Gesetzes (in Kraft vor Januar 2021) zu wählen.
Flexible Altersrente (paindlik vanaduspension):
Flexible Altersrente wird abhängig von dem Zeitpunkt der Pensionierung, der Lebenserwartung und dem Zinssatz nach Berechnung des Statistischen Amt Estlands erhöht.
2. Säule:
Keine besonderen Bestimmungen.</t>
  </si>
  <si>
    <t>Gesetzliche einkommensbezogene Rente (Työeläke):
Die Rente erhöht sich um 0,4% je Monat ab Vollendung des niedrigsten Ruhestandsalters.
Volksrente (Kansaneläke): Der Betrag erhöht sich pro Monat um 0,6% ab Vollendung des 65. Lebensjahres, wenn die Person vor 1962 geboren ist, und um 0,4%, ab dem niedrigsten Rentenalter, wenn die Person 1962 oder später geboren ist.</t>
  </si>
  <si>
    <t>1. Säule (Basissystem):
Bei Erreichen des gesetzlichen Rentenalters führt der Beschäftigungszeitraum über die Erfüllung der Bedingungen einer vollen Rente hinaus zu einer Erhöhung der Rente (Bonus) entsprechend der Anzahl der zusätzlichen Beschäftigungsquartale (1,25% pro Quartal).
Der Versicherte, der bei Erreichen des Alters, ab dem eine volle Rente bezogen werden kann (67 Jahre), nicht die von seinem Geburtsjahr abhängende erforderliche Versicherungsdauer erreicht hat, wird für jedes weitere Quartal, für das ab diesem Alter Beiträge entrichtet wurden, eine Erhöhung der zu berücksichtigenden Versicherungszeit um 2,5% gewährt.
2. Säule (Zusatzrentensysteme (Agirc-Arrco)):
Keine besonderen Bestimmungen bezüglich der Berechnung. Der Versicherte erwirbt gemäß den gleichen Modalitäten wie zuvor weiter Rentenpunkte.</t>
  </si>
  <si>
    <t>1. Säule (Hauptrente der e-EFKA):
Der Betrag der Beitragspflichtigen Rente (ΑΝΤΑΠΟΔΟΤΙΚΗ ΣΥΝΤΑΞΗ) wird erhöht: Die Ersatzrate, die für jedes Jahr über 40 Versicherungsjahre angewendet wird, ist 0,5%.
Kein Aufschub möglich für Beamte über 67 Jahren.</t>
  </si>
  <si>
    <t>Es ist möglich, die (beitragsabhängige) staatliche Rente (State Pension (Contributory)) jederzeit zwischen dem 66. und 70. Lebensjahr in Anspruch zu nehmen.
Während des Aufschubs ist es möglich, weiter zu arbeiten und Sozialversicherungsbeiträge zu zahlen, um den persönlichen   Zahlungssatz zu erhöhen oder die Anspruchsbedingung von 520 Beitragswochen (10 Jahren) für die (beitragsabhängige) staatliche Rente (State Pension (Contributory)) zu erfüllen.</t>
  </si>
  <si>
    <t>Volksrente (lífeyrir almannatrygginga):
Aufschub bis zum Alter von 80 Jahren mit erhöhten Leistungen nach versicherungsmathematischer Berechnung.
Arbeitsrente (lögbundnir lífeyrissjóðir):
Die Höhe der Rente wird durch die erworbenen Rentenpunkte bestimmt.</t>
  </si>
  <si>
    <t>Anreize für einen Aufschub werden in Form von Belohnungen für aktives Altern (bessere Transformationskoeffizienten bei der Berechnung des Rentenbetrags) gesetzt, um den Rentenantrag zu verzögern.
Arbeitnehmer, die sich für eine Fortsetzung ihrer Erwerbstätigkeit entscheiden, obwohl sie die maßgeblichen Anspruchsvoraussetzungen für den Ruhestand erfüllen, erhalte eine 10%ige Verringerung ihrer Beitragszahlungen.</t>
  </si>
  <si>
    <t>1. Säule:
Anhebung um 0,45% für jeden Monat des Rentenaufschubs.</t>
  </si>
  <si>
    <t>1. Säule/2.Säule:
Keine besonderen Bedingungen für die Berechnung der Rente, jedoch wird Erwerbstätigkeit nach Erreichen des Rentenalters in der Rentenformel berücksichtigt, siehe Tabelle VI „Leistungen, Berechnungsmethode bzw. Rentenformel oder Beträge".</t>
  </si>
  <si>
    <t>1. Säule: Versicherungsmathematische Zuschlag auf die aufgeschobene der Rente (zwischen 4,50% bei Aufschub um 1 Jahr und 26,10% bei Aufschub um 5 Jahre).
2. Säule: Allfällige Regelungen im Reglement der jeweiligen Vorsorgeeinrichtung.</t>
  </si>
  <si>
    <t>Die Rente wird für jedes volle Jahr des Aufschubs (höchstens für 5 Jahre) nach Erreichen des Rentenalters um 8% des zum Zeitpunkt des Antrags berechneten Rentenbetrags erhöht.</t>
  </si>
  <si>
    <t>1. Säule:
Kein Aufschub der Rente.
Aber durch die Formel für die Rentenberechnung (anteiligmäßig gestaffelte Erhöhung) werden Anreize geschaffen, länger zu arbeiten.</t>
  </si>
  <si>
    <t>Es gibt eine Erhöhung von 6,5% des Rentenbetrags, wenn die Rentenzahlung um 1 Jahr aufgeschoben wird, 13,5% für 2 Jahre, 21% für 3 Jahre und 29% für 4 Jahre.</t>
  </si>
  <si>
    <t>Rentenaufschub nicht möglich.</t>
  </si>
  <si>
    <t>Flexibles System und keine Festlegung einer Altersobergrenze; der Betrag der Rente steigt über das Alter von 75 Jahren nicht weiter an.</t>
  </si>
  <si>
    <t>Erhöhung der Rente um 5,1% pro Jahr des Aufschubs, maximal 15,3%.
Besondere Bestimmungen für die knappschaftliche Rentenversicherung.</t>
  </si>
  <si>
    <t>Rentenerhöhung durch die Anwendung eines Bonus auf den Betrag nach der allgemeinen Formel: 1 + y.
Y ist der globale Bonussatz, der durch die Multiplikation der Monatsrate mit der Anzahl der Beitragsjahre in den Jahren zwischen 66 Jahren und dem Monat des Rentenbeginns errechnet wird. Hierbei liegt die Altersobergrenze bei 70 Jahren.
Der anzuwendende Monatssatz variiert je nach Anzahl der Beitragsjahre bis zum Renteneintritt zwischen 0,33% und 1%.</t>
  </si>
  <si>
    <t>Erste Säule:
Für lange Beitragszeiten gibt es Bonuspunkte: 0,50 Punkte für jedes Beitragsjahr über 25, 0,75 Punkte für jedes Beitragsjahr über 30 und 1 Punkt für jedes Beitragsjahr über 35. Diese Punkte werden bei der Ermittlung der Gesamtpunktzahl berücksichtigt (siehe Tabelle VI, „Leistungen, Berechnungsmethode, Rentenformel oder -beträge"), sofern die Personen ihre Rente nicht mit Einkünften aus Arbeit oder selbständiger Erwerbstätigkeit kombiniert haben. Die Höhe der Altersrente wird dann erhöht.
Zweite Säule:
Kein Aufschub möglich.</t>
  </si>
  <si>
    <t>Für die entgeltbezogene Altersrente, Einkommensrente (inkomstpension) ist unbegrenzter Aufschub möglich. Der Betrag wird mit einem Annuitätsfaktor berechnet, der abhängig ist von der Lebenserwartung einer Kohorte sowie vom Renteneintrittsalter einer Person, wobei die Rente umso höher ist, je älter die Person ist.
Die jährliche Zusatzrente (tilläggspension) erhöht sich nach Vollendung des 65. Lebensjahres und bis zur Vollendung des 70. Lebensjahres um 0,7% je Kalendermonat.</t>
  </si>
  <si>
    <t>1. Säule (Grundsystem):
Erhöhung der Rente um 5,2 bis 31,5% je nach Anzahl der Monate des Rentenaufschubs.
2. Säule (obligatorische Mindestvorsorge):
Der Umwandlungssatz der aufgeschobenen (Teil-)Rente wird entsprechend angepasst, wodurch sich der Rentenbetrag dauerhaft erhöht.</t>
  </si>
  <si>
    <t>Aufgeschobene Altersrente (Odložený starobný dôchodok):
Erhöhung der Rente um 0,5% für jeweils 30 Tage des Aufschubs nach Erreichen des Rentenalters.</t>
  </si>
  <si>
    <t>Jedes zusätzliche Jahr (aber meistens für drei Jahre) an Mindestversicherungszeit ohne erworbene Beitragszeiten (pokojninska doba brez dokupa) der Pflichtversicherung einer versicherten Person, die in der Pflichtversicherung bleibt nachdem die Anspruchsbedingungen von einem Alter von 60 Jahren und einer Mindestversicherungszeit von 40 Jahren erfüllt wurden, wird so evaluiert, dass sechs Monate Mindestversicherungszeit ohne erworbene Beitragszeiten 1,5% betragen.</t>
  </si>
  <si>
    <t>Der einkommensbezogene Betrag (prozentualer Anteil) wird um 1,5% erhöht für jeden Zeitraum des Aufschubs von 90 Kalendertagen.
Der einkommensbezogene Betrag (prozentualer Anteil) wird für jeden 180-tägigen Zeitraum des Aufschubs um 1,5% erhöht, wenn nur die halbe Rente beansprucht wird.</t>
  </si>
  <si>
    <t>Erste Säule:
Die Altersrente (Öregségi nyugdíj) erhöht sich um 0,5% für jeweils 30 Kalendertage zusätzlicher Versicherungsdauer. Die Rente kann somit letztlich das monatliche Durchschnittsnettoeinkommen, auf dessen Grundlage die Altersrente (Öregségi nyugdíj) berechnet wird, übersteigen, wenn eine ausreichende Versicherungszeit vorliegt und das gesetzliche Renteneintrittsalter erreicht ist.</t>
  </si>
  <si>
    <t>Bei einem Aufschub erhöht sich die Gesetzliche Rente (Θεσμοθετημένη Σύνταξη) um 0,5 % pro Monat des Aufschubs. Siehe auch „Bedingungen, 3. Rentenaufschub“.</t>
  </si>
  <si>
    <t>Die Sozialleistungen (einschließlich Renten) werden automatisch um 2% erhöht, sobald der Gesundheitsindex ein bestimmtes Niveau („Verbraucherpreisindex“) übersteigt.
Der geglättete Gesundheitsindex ist der arithmetische Mittelwert der Gesundheitsindizes des betreffenden Monats und der drei vorhergehende Monate. Die Sozialleistungen werden ab dem Monat angepasst, der auf den Monat folgt, in dem der Stand des Verbraucherpreisindex erreicht wurde.
Hinweis: Zusätzlich zur automatischen Indexanpassung existiert zudem ein Mechanismus zur Verbindung des Wohlbefindens mit den Renten von Arbeitnehmern und Selbstständigen, dementsprechend die Renten wie die Arbeitsentgelte ansteigen, um zu verhindern, dass die Ersatzleistungsquote der Altersrenten abgesenkt wird.</t>
  </si>
  <si>
    <t>Siehe Tabelle V „Invalidität”.</t>
  </si>
  <si>
    <t>1. Säule:
Altersrente (Folkepension)/Frührente (Tidlig Pension):
Der Anpassungssatz (satsreguleringsprocenten) für Volksrenten und andere Transfereinkommen (overførselsindkomster) wird einmal jährlich festgelegt. Er wird nur auf Basis der Lohnentwicklung bestimmt.
Zusatzrente (arbejdsmarkedets tillægspension, ATP) und obligatorisches Rentensystem (Obligatorisk Pensionsordning):
Anpassung nur bei ausreichenden Rücklagen.</t>
  </si>
  <si>
    <t>Die Renten werden jährlich zum 1. Juli angepasst. Dies geschieht, indem die Rente mit dem dann gültigen neuen aktuellen Rentenwert berechnet wird.
Da der aktuelle Rentenwert zum 1. Juli 2024 aufgrund der Niveauschutzklausel nach Mindestsi-cherungsniveau festgesetzt wurde, erfolgt die Rentenanpassung in den Jahren ab 2025 bis zum Ende des Geltens der Haltelinie für das Rentenniveau nach dem Mindestsicherungsniveau.
Das bedeutet, dass die Rentenanpassung in die-ser Zeit so erfolgt, dass mit dem aktuellen Renten-wert das Mindestsicherungsniveau – also das Ver-hältnis von verfügbarer Standardrente (d.h. durch-schnittlicher Verdienst und 45 Beitragsjahre) zum verfügbaren Durchschnittsentgelt von 48 Prozent – erreicht wird. Damit folgt die Rentenanpassung nur noch der anpassungsrelevanten Lohnentwicklung unter Berücksichtigung der Entwicklung der Sozial-abgaben auf Löhne und Renten.
Der aktuelle Rentenwert wird dabei durch die so-genannte anpassungsrelevante Lohnentwicklung grundsätzlich entsprechend der Entwicklung der Bruttolöhne und -gehälter je Arbeitnehmer im vergangenen Kalenderjahr fortgeschrieben, Maßstab ist die Bruttolohnentwicklung gemäß Volkswirt-schaftlichen Gesamtrechnungen (ohne Mehrauf-wandsentschädigungen für Bezieher von Bürger-geld in Arbeitsgelegenheiten). Zusätzlich wird die Entwicklung der beitragspflichtigen Entgelte bei der Ermittlung der für die Rentenanpassung relevanten Lohnentwicklung berücksichtigt.
Auch bei der Rentenanpassung nach Mindestsi-cherungsniveau gilt - wie bisher auch - die soge-nannte Rentengarantie. Das heißt, eine Minderung des aktuellen Rentenwerts ist ausgeschlossen.
Der aktuelle Rentenwert wurde zum 1. Juli 2025 auf €40,79 angehoben.</t>
  </si>
  <si>
    <t>1. Säule:
Renten werden jährlich zum 1. April angepasst. Der Anpassungsindex ist abhängig vom Anstieg der Verbraucherpreise und der Einnahmen aus der Sozialsteuer (sotsiaalmaks) (im Verhältnis von 20:80).
2. Säule:
Renten werden als lebenslange Annuitäten kalkuliert. Keine Anpassung.</t>
  </si>
  <si>
    <t>Volksrente (Kansaneläke) und garantierte Rente (Takuueläke):
Jährlich nach der Entwicklung des Preisindex für die Lebenshaltung.
Gesetzliche einkommensbezogene Rente (Työeläke):
Renten werden Anfang Januar jeden Jahres durch eine Gewichtung von 80% für Änderungen beim Index der Lebenshaltungskosten und von 20% für die Einkommensentwicklung angepasst.</t>
  </si>
  <si>
    <t>1. Säule (Basissystem):
Jährliche Anpassung zum 1. Januar (Preisentwicklung für den privaten Verbrauch mit Ausnahme von Tabakerzeugnissen).
Der Mindestbeitrag wird ebenfalls jedes Jahr zum 1. Januar neu festgesetzt, jedoch entsprechend der Entwicklung des Mindestlohns (salaire minimum interprofessionnel de croissance, SMIC).
2. Säule (Zusatzrentensysteme (Agirc-Arrco)):
Jährliche Anpassung der Zusatzrenten zum 1. November (gemäß der Entwicklung des mittleren Gehalts der Versicherten, gegebenenfalls angepasst an die wirtschaftliche und demografische Lage).</t>
  </si>
  <si>
    <t>1. Säule (Hauptrente der e-EFKA):
Jährliche Anpassung durch gemeinsame Entscheidung des Ministers für Wirtschaft und Finanzen, Arbeit und soziale Sicherheit, basierend auf einem Koeffizienten, der festgelegt wird durch die Summe der Änderungen des BIP und die Änderungen des Verbraucherpreisindex des vorangegangenen Jahres geteilt durch 2. Die jährliche durchschnittliche Veränderung des Verbraucherpreisindexes darf dabei nicht überschritten werden. (Art. 25 Par. 4a von Gesetz Nr. 4670/2020).
Für das Jahr 2025 ist der Anpassungskoeffizient von Renten 2,4% (Ministerialentscheidung Nr. 53457/12. Dezember 2024/ (Β’ 6865/16. Dezember 2024)).
Zusätzlich werden Renten alle drei Jahre gemäß einem besonderen Gesetz angepasst, um die langfristige Tragfähigkeit des Sozialversicherungssystems sicherzustellen (Art. 25 Par. 5 von Gesetz Nr. 4670/2020).</t>
  </si>
  <si>
    <t>Im Rahmen der staatlichen Rentenreformen wird das Ministerium für Sozialschutz jedes Jahr im September einen Bench-mark-/indexierten Auszahlungssatz für die staatliche Rente für das folgende Jahr berechnen, der auf einem geglätteten Einkommensansatz basiert.
Die Berechnung führt nicht zu einer automatischen Satzanpassung, sondern muss im Rahmen von Haushaltsentscheidungen berücksichtigt werden.</t>
  </si>
  <si>
    <t>Volksrente (lífeyrir almannatrygginga):
Die Leistungen werden jährlich nach der Haushaltslage angepasst. Die Anpassung soll die Lohnentwicklung berücksichtigen, die Leistung soll aber auf keinen Fall niedriger als der Anstieg des Lebenshaltungskostenindex sein.
Arbeitsrente (lögbundnir lífeyrissjóðir):
Die Leistungen werden aufgrund von Entscheidungen der Rentenfonds unter Berücksichtigung versicherungsmathematischer Aspekte angepasst.</t>
  </si>
  <si>
    <t xml:space="preserve">
   * Altersleistungen werden normalerweise entsprechend der Inflation automatisch angepasst, gemäß Rechtsvorschriften zur Indexierung:
   * für monatliche Renten bis zu €2.394,44 (4 x €603,40, entsprechend der Mindestrente, die im Jahr 2025 gezahlt wurde): vollständig angepasst um 0,80% (offizielle Indexierungsrate, veröffentlicht vom Ministerium für Wirtschaft und Finanzen für das Jahr 2025);
   * monatliche Renten von €2.394,45 bis €2.993,05 (dem 5-fachen der Mindestrente) werden um 0,720% angepasst;
   * monatliche Renten von €2.993,06 und darüber werden um 0,600% angepasst.</t>
  </si>
  <si>
    <t>1. Säule:
Halbjährliche Anpassung gemäß einer variablen Formel, die von Preis- und Lohnentwicklungen abhängig ist.
2. Säule:
Halbjährliche Anpassung. Dieselbe Anpassung wie für die 1. Säule.</t>
  </si>
  <si>
    <t>1. Säule:
Rente oder Teil der Rente – die nicht das nationale Durchschnittsbruttoentgelt des Vorjahres überschreitet, auf das Beiträge gezahlt wurden - wird am 1. Oktober angepasst,
   * gemäß dem Preisindex und 50% des Lohnindexes für einen Versicherungszeitraum von weniger als 30 Jahren;
   * oder der Preisindex und 60% des Lohnindexes für einen Versicherungszeitraum von 30-39 Jahren, sowie für Altersrenten, die für Arbeiten unter gefährlichen und schwierigen Bedingungen/besonders gefährlichen und schwierigen Bedingungen gewährt werden;
   * oder der Preisindex und 70% des Lohnindexes für einen Versicherungszeitraum von 40-44 Jahren;
   * oder der Preisindex und 80% des Lohnindexes für einen Versicherungszeitraum von 45 Jahren oder länger.
Bei politisch unterdrückten Personen, Personen mit Behinderungen der Gruppe I, Beteiligten bei der Beseitigung der Folgen des Unfalls im Kernkraftwerk Tschernobyl, Personen, denen eine Altersrente zu gekürzten Konditionen gewährt wurde wegen Pflege und Erziehung von einem Kind mit Behinderungen oder fünf oder mehr Kindern, wurde die Anpassung auf alle Renten angewandt, unabhängig von deren Betrag.
Der Rentenzuschlag, der für den Versicherungszeitraum bis 1996 zuerkannt wird, wird indexiert mit dem Preisindex und 50% der prozentualen Erhöhung der sozialversicherungspflichtigen Lohnsumme.
2.Säule:
Entscheidet sich der Teilnehmer des kapitalgedeckten Rentensystems, das angesparte Rentenkapital zum Rentenkapital der 1. Säule hinzuzufügen, ist das Verfahren der Rentenindexierung das gleiche wie für die 1. Säule.
Entscheidet sich der Teilnehmer des kapitalgedeckten Rentensystems, mit dem angesparten Rentenkapital eine Lebensversicherungspolice zu erwerben (lebenslange Rente), ist das Versicherungsunternehmen berechtigt, einmal jährlich einen Bonus zu gewähren, basierend auf ihrer finanziellen Leistung. Dieser Bonus wird in einer separaten Zahlung innerhalb von sechs Monaten nach seiner Gewährung ausgeschüttet.</t>
  </si>
  <si>
    <t>1. Säule: In der Regel werden die Renten alle zwei Jahre auf Beginn des Kalenderjahres der Lohn- und Preisentwicklung angepasst. Die Regierung kann die Renten früher anpassen, wenn der Landesindex der Konsumentenpreise innerhalb eines Jahres um mehr als 4 % angestiegen ist; sie kann sie später anpassen, wenn dieser Index innerhalb von zwei Jahren um weniger als 5 % angestiegen ist.
2. Säule: Regelung im Reglement der jeweiligen Vorsorgeeinrichtung.</t>
  </si>
  <si>
    <t>Der Wert der Grundrente und der Wert der Rentenpunkte, die zur Gewährung und Festlegung der Renten genutzt werden, werden jährlich indexiert basierend auf einer 7-jährigen durchschnittlichen Lohnfonds-Wachstumsrate.
Der Indexierungskoeffizient (IK) wird auf der Basis der Veränderung im Lohnfonds während der letzten drei Jahre, des Jahres, für das der IK berechnet wird sowie der drei kommenden Jahre berechnet.
Diese Rate wird so lange angewendet, wie die entstehenden Rentenkosten für das aktuelle Jahr die Sozialversicherungseinnahmen nicht übersteigen und die geschätzten Kosten für das kommende Jahr ebenfalls die geschätzten Einnahmen nicht übersteigen.
Wenn die Einnahmen der Sozialversicherungsrenten vor der Indexierung die Rentenkosten übersteigen, wird die Indexierungsrate so berechnet, dass die entstehenden Kosten 75% des Überschusses ohne Indexierung nicht übersteigen.
Renten werden nicht indexiert, wenn die berechnete Steigerungsrate unter 1% oder das BIP bei konstanten Preisen liegen oder der Lohnfonds abgenommen hat oder eine Abnahme für das aktuelle Jahr geschätzt wurde.
Der Wert des Rentenpunktes, der zur Berechnung des persönlichen Anteils an der Sozialversicherungsrente dient, wird zusätzlich angepasst, wenn die Armutsgefährdungsquote der Menschen ab 65 Jahren, die von der staatlichen Datenagentur veröffentlicht wird, über 25% liegt und/oder die hochgerechnete Durchschnittsaltersrente weniger als 50% des Durchschnittsnettolohns beträgt. Der Ergänzungsindex wird derart berechnet, dass die zusätzlichen Mittel, die für die Anpassung des persönlichen Anteils der Sozialversicherungsrente genutzt werden, 75% des geplanten staatlichen Sozialversicherungshaushalts nicht übersteigen.
Es wird keine zusätzliche Anpassung des persönlichen Rentenanteils durchgeführt, wenn ein Defizit des staatlichen Sozialversicherungshaushalts vorhergesagt wird oder wenn die berechnete zusätzliche Anpassung weniger als 1,01 beträgt.
Der Koeffizient der Indexierung für die Grundrente ist 1,1063 und der zusätzliche Koeffizient der Indexierung für den persönlichen Anteil der Sozialversicherungsrente ist 1,014.</t>
  </si>
  <si>
    <t>1. Säule:
Anpassung der Renten an die Preisentwicklung, sobald sich der Index gegenüber dem Stand bei der letzten Anpassung um 2,5% ändert.
Jährliche Anpassung der Rente an die Entwicklung des Lohnniveaus (Neuanpassung), jeweils entsprechend der finanziellen Situation des Rentensystems.</t>
  </si>
  <si>
    <t>Jährliche Anpassung - gewichtet nach dem prozentualen Anstieg des Nationalen Durchschnittslohns (70%) und der Preissteigerungsrate (30%).</t>
  </si>
  <si>
    <t>Automatische Anpassung entsprechend der durchschnittlichen Entwicklung der Tariflöhne jeweils zum 1.1. und 1.7.</t>
  </si>
  <si>
    <t>Jährliche Anpassung am 1. März jedes Jahres entsprechend des festgelegten Indexierungssatzes. Der Indexierungssatz ist der durchschnittliche Verbraucherpreisindex des Vorjahres, erhöht um mindestens 20% des realen Wachstums des durchschnittlichen monatlichen Einkommens des Vorjahres.</t>
  </si>
  <si>
    <t>Eine Anpassung erfolgt einmal im Jahr (außerordentliche Anpassungen möglich) unter Berücksichtigung der Entwicklung des Bruttoinlandsprodukts und des Index der Verbraucherpreise (ohne Wohnung); für die niedrigsten Renten wird die günstigste Berechnung angewendet.
Außerordentliche Aktualisierungen für die niedrigsten Renten seit 2017.</t>
  </si>
  <si>
    <t>Erste Säule:
Der Referenzpunktwert wird jährlich auf der Grundlage der durchschnittlichen jährlichen Inflationsrate angepasst, ergänzt um 50% des realen Wachstums des durchschnittlichen Bruttolohns (anwendbar ab 2026). Die Anpassung darf jedoch weder den prozentualen Anstieg der Einnahmen aus den Sozialbeiträgen noch die durchschnittliche jährliche Inflationsrate der letzten 2 Jahre übersteigen.
Zweite Säule:
Keine Inflationsanpassung.</t>
  </si>
  <si>
    <t>Die entgeltbezogene Altersrente, Einkommensrente (inkomstpension) und die Zusatzrenten (tilläggs-pension) werden an die durchschnittliche Einkommensentwicklung angepasst (Einkommensindex), nach Abzug von 1,6 Prozentpunkten (was dem Satz entspricht, der vorab gewährt wird, wenn die Rente zum ersten Mal berechnet wird).
Für die Garantierente (garantipension) wird die Anpassungsrate jedes Jahr entsprechend der Preisentwicklung festgesetzt (Grundbetrag, prisbasbelopp).
Der Leistungsbetrag der Ergänzung zur Einkommensrente (inkomstpensionstillägg) ist nominal fixiert, die Einkommensabstände, die die Zielgruppenbeträge definieren, folgen der durchschnittlichen Einkommensentwicklung (Einkommensindex).
Die Einkommenshilfe für Ältere (äldreförsörjningsstöd) ist an den Preisindex gekoppelt.</t>
  </si>
  <si>
    <t>1. Säule (Grundsystem):
Grundsätzlich alle zwei Jahre Anpassung der Renten an die Entwicklung der Löhne und Preise (im Grundsatz arithmetisches Mittel des Lohnindexes und des Landesindexes der Konsumentenpreise). Vorgezogene Anpassung, wenn der Konsumentenpreisindex in einem Jahr um mehr als 4% gestiegen ist.
2. Säule (obligatorische Mindestvorsorge):
Anpassungen an die Preisentwicklung gemäß den finanziellen Möglichkeiten der Vorsorgeeinrichtung.</t>
  </si>
  <si>
    <t>Jährliche Anpassung (1. Januar) des aktuellen Rentenwertes gemäß der durchschnittlichen Entwicklung der Bruttolöhne und -gehälter (das 0,95-fache des Anteils des Einkommens im dritten Quartal des Vorjahres im Vergleich zum Einkommen im dritten Quartal des dem Vorjahr vorausgehenden Jahres).
Jährliche Anpassung (zum 1. Januar) von „Rentenleistungen“ entsprechend der Entwicklung der Verbraucherpreise von Rentnerhaushalten in den ersten 9 Monaten des vergangenen Kalenderjahres. Außerordentliche Anpassung der Rentenleistungen: wenn der kumulative Anstieg der Verbraucherpreise für Rentnerhaushalte bis Ende Juni seit der letzten Erhöhung der Rentenleistungen mehr als 5% übersteigt.
Jährliche Anpassung (zum 1. Januar) der Mindestaltersrente entsprechend der Erhöhung des Existenzminimums.</t>
  </si>
  <si>
    <t>Renten werden regelmäßig einmal pro Jahr (im Februar) auf der Grundlage einer staatlichen Entscheidung je nach der Wirtschaftslage (d. h. dies berücksichtigt die Gehaltsentwicklung (60%) und die Inflation (40%)) angepasst. Im Januar 2025 lag der Index bei 4,5%.</t>
  </si>
  <si>
    <t>Anpassung zu Beginn eines jeden Jahres bei Inkrafttreten des jährlichen allgemeinen Staatshaushaltsgesetzes entsprechend der jährlichen Schwankung des Verbraucherpreisindexes.</t>
  </si>
  <si>
    <t>Rentenanpassung erfolgt automatisch jeden Januar entsprechend 100% der Veränderung des Verbraucherpreisindexes für Rentner um ein Drittel der Steigerung des durchschnittlichen Reallohns. Weitere Anpassungen werden vorgenommen, wenn die Änderung des Preisindexes 5% übersteigt.
Der Prozentuale Anteil (Procentní část) von Renten kann weiter erhöht werden, so dass die Erhöhung der Durchschnittsrente 2.7% beträgt, wenn die automatische Inflationsbereinigung für Preise und Löhne niedriger ist.
Renten werden darüber hinaus automatisch angepasst, wenn Rentner ein Alter zwischen 85 und 100 Jahren erreichen.
Die Grenzwerte für die Persönliche Bemessungsgrundlage (Osobní vyměřovací základ) werden ebenfalls jährlich entsprechend des Durchschnittslohns angepasst.</t>
  </si>
  <si>
    <t>Erste Säule:
Jährliche Anpassung von Altersrente (Öregségi nyugdíj), Leistung vor dem Rentenalter (korhatár előtti ellátás) und Altersrente für Frauen mit 40 Jahren Anwartschaftszeit (Öregségi nyugdíj nők számára 40 év jogosultsági idővel) entsprechend des voraussichtlichen Anstiegs der Verbraucherpreise (Inflation) im Januar. 3,2% Anstieg im Januar 2025.
Im November werden Korrekturen gemäß der vorhergesagten jährlichen Erhöhung der Verbraucherpreise vorgenommen (berechnet auf Grundlage der für die ersten acht Monate erhältlichen Daten) und dem Verbraucherpreisindex für Rentner.</t>
  </si>
  <si>
    <t>Kumulierung ohne Einschränkung zulässig. Der Betrag der Altersrente wird nicht gekürzt.</t>
  </si>
  <si>
    <t>1. Säule:
Altersrente (Folkepension):
Kumulierung mit Arbeitseinkommen möglich.
Der zahlbare Grundbetrag (grundbeløb) ist unabhängig vom Arbeitseinkommen.
Die zahlbare Rentenzulage (pensionstillæg) verringert sich nicht durch das Arbeitseinkommen. Der Betrag wird jedoch um einen bestimmten Prozentsatz gekürzt, wenn die anderen Einkünfte (sowohl des Rentners als auch seines Partners) DKK 192.000 (€25.733) pro Jahr bei Paaren bzw. DKK 95.800 (€12.839) pro Jahr bei Alleinstehenden überschreiten.
Frührente (Tidlig Pension):
Kumulierung mit Arbeitseinkommen möglich. Die Rentenhöhe wird um 64% für Arbeitseinkommen über DKK 27.100 (€3.633) pro Jahr gekürzt.
Zusatzrente (arbejdsmarkedets tillægspension, ATP) und obligatorisches Rentensystem (Obligatorisk Pensionsordning):
Kumulierung ohne Einschränkung mit Arbeitseinkommen möglich. Keine Kürzung des Rentenbetrags.</t>
  </si>
  <si>
    <t>Kumulation ist bei Altersrenten unbegrenzt möglich. Dies gilt seit 1.1.2023 auch für vorgezogene Altersrenten Ab Erreichen der Regelaltersgrenze kann ohnehin unbegrenzt hinzuverdient werden.
Die Hinzuverdienstgrenzen für Erwerbsminderungsrenten wurden zum 1.1.2023 angepasst, s. Tabelle V, ‚Kumulation mit Erwerbseinkommen‘.</t>
  </si>
  <si>
    <t>Altersrente (vanaduspension):
Kumulierung mit Erwerbseinkommen ohne Einschränkung möglich.
Flexible Altersrente (paindlik vanaduspension):
Möglichkeit der vollständigen Kumulierung mit Einkommen
Vorgezogene Altersrente (ennetähtaegne vanaduspension):
Bis zum Erreichen des normalen Ruhestandsalters ist keine Kumulierung möglich.
Altersrente unter günstigen Bedingungen (soodustingimustel vanaduspension):
Kumulierung ist nicht möglich, falls der Antragsteller noch in dem Beruf arbeitet, der Anlass für den Anspruch auf eine Altersrente unter günstigen Bedingungen war; andernfalls ist eine Kumulierung möglich.
Altersrente bei Erreichen besonderer Altersgrenzen (väljateenitud aastate pension):
Kumulierung ist nicht möglich, falls der Antragsteller noch in dem Beruf arbeitet, der Anlass für den Anspruch auf Rente bei Erreichen einer besonderen Altersgrenze war; andernfalls ist eine Kumulierung möglich.</t>
  </si>
  <si>
    <t>Volksrente (Kansaneläke) und garantierte Rente (Takuueläke):
Keine Begrenzung von Erwerbseinkommen nach Erreichen des gesetzlichen Renteneintrittsalters. Wird durch die neue Beschäftigung eine neue einkommensbezogene Rente angesammelt, wird diese als Einkommen bei der Auszahlung der Volksrente und der garantierten Rente berücksichtigt.
Gesetzliche einkommensbezogene Rente (Työeläke):
Kumulierung möglich. Nach Erreichen des gesetzlichen Renteneintrittsalters keine Beschränkungen in Bezug auf das Einkommen. Dennoch muss eine Person für einen Anspruch auf Altersrente ihre normale Beschäftigung beenden und kann eine neue Beschäftigung zu erneuerten Bedingungen nur nach Inanspruchnahme der Rente ohne Einkunftsgrenzen beginnen.</t>
  </si>
  <si>
    <t>1. Säule (Basissystem) und 2. Säule (Zusatzrenten (Agirc-Arrco)):
Vollständige Kumulierung ist möglich, wenn der Versicherte alle seine französischen und ausländischen gesetzlichen Rentenansprüche geltend gemacht hat, das gesetzliche Rentenalter erreicht hat und eine Vollrente beziehen kann.
Die integrale Kumulierung von Beschäftigung und Ruhestand begründet neue Rentenansprüche. Am Ende eines Zeitraums, in dem Beschäftigung und Ruhestand kumuliert wurden, ist es unter bestimmten Bedingungen möglich, eine „zweite Rente“ zu beantragen, deren Berechnung auf derselben Grundlage wie die erste Rente beruht (ohne Zuschläge). Der Betrag dieser 2. Pension ist auf einen Höchstbetrag begrenzt.
Eingeschränkte Kumulierung, wenn diese Bedingungen nicht erfüllt sind. In diesem Fall führt die Wiederaufnahme oder Fortsetzung der Erwerbstätigkeit nicht zur Bildung einer zweiten Pension.</t>
  </si>
  <si>
    <t>1. Säule (Hauptrente der e-EFKA):
Bei Rentnern, die eine Beschäftigung ausüben (als Arbeitnehmer oder selbständig), die der Pflichtversicherung der Elektronischen Nationalen Sozialversicherung (e-EFKA) unterliegt, werden die Haupt- oder Zusatzrenten während der Beschäftigungszeit vollständig ausgezahlt, es werden jedoch beitragsunabhängige Mittel für die e-EFKA einbehalten.
Bei Rentnern, die Stellen in allgemeinen Regierungsbehörden zugeteilt wurden, wird die Zahlung der Hauptrente ausgesetzt, wenn sie jünger sind als 62 Jahre. Nach Vollendung des 62. Lebensjahres erhalten diese Rentner den vollen Betrag ihrer Renten (Haupt- oder Zusatzrente), sind jedoch verpflichtet, die beitragsunabhängigen Mittel zu zahlen.</t>
  </si>
  <si>
    <t>Beitragsabhängige) Staatliche Rente (State Pension (Contributory)):
Kumulation mit Arbeitseinkommen ist zulässig. Einkünfte wirken sich nicht auf die ausgezahlte Rentenhöhe aus.</t>
  </si>
  <si>
    <t>Volksrente (lífeyrir almannatrygginga):
Rentenbezüge können mit Erwerbseinkommen kombiniert werden, die Rente wird aber gekürzt, wenn das jährliche Bruttoerwerbseinkommen den Betrag von ISK 2.400.000 (€16.678) überschreitet, der nicht berücksichtigt wird, siehe oben "Leistungen, 1. Berechnungsmethode bzw. Rentenformel, Beträge und Zahlungshäufigkeit".
Arbeitsrente (lögbundnir lífeyrissjóðir):
Kumulierung mit Erwerbseinkommen möglich.</t>
  </si>
  <si>
    <t>Kumulierung mit Einkünften aus abhängiger oder selbstständiger Tätigkeit.
Vorruhestandsbeihilfe (A.PE sociale - Anticipo Pensionistico):
Kumulierung möglich, sofern das Jahreseinkommen, einzig aus gelegentlicher Selbstständigkeit, €5.000 oder weniger beträgt, während gleichzeitigen Bezugs der Beihilfe.
Vorruhestandsrente (Pensione anticipata flessibile, sogenannte “Quota 103”): keine Kumulierung mit einem zusätzlichen Jahreseinkommen über €5.000 möglich.</t>
  </si>
  <si>
    <t>Eine Kumulierung ohne Kürzung der Alterspension, vorgezogene Alterspension und vorzeitige Rente aufgrund Unternehmenskonkurs ist möglich für Leistungsempfänger, die das gesetzliche Rentenalter erreicht haben und weiterhin Teilzeit (bis zur Hälfte der Arbeitsstunden einer Vollzeitstelle) arbeiten.
Sie ist ferner möglich für Personen, die gelegentliche Tätigkeiten ausüben, welche nicht auf einem Arbeitsvertrag, sondern auf einem Dienstleistungsvertrag basieren.</t>
  </si>
  <si>
    <t>1. Säule:
Altersrente (Vecuma pensija): volle Kumulierung mit Erwerbseinkommen möglich ohne Bedingungen.
Empfänger von Altersrente können einmal jährliche eine Neuberechnung der Rente beantragen, wenn Sozialversicherungsbeiträge nach der Gewährung der Rente geleistet wurden. (Neuberechnung nach der Formel für Personen, deren Sozialversicherungszeit nach 1996 liegt).
Vorgezogene Altersrente: Kumulierung nicht möglich.
2.Säule:
Volle Kumulierung ohne Bedingungen mit Erwerbseinkommen.
Beiträge zum System der 2. Säule werden jedoch nicht mehr gleistet.</t>
  </si>
  <si>
    <t>1. Säule: Kumulierung mit jeglichem Einkommen ist unbeschränkt möglich, auch bei Rentenvorbezug.
2. Säule: Kumulierung mit jeglichem Einkommen ist unbeschränkt möglich, auch bei Rentenvorbezug.</t>
  </si>
  <si>
    <t>Kumulierung der Pension mit dem Einkommen aus einer Beschäftigung und sonstige Leistungen ab dem Erreichen des Regelrentenalters möglich.
Renten werden jährlich unter Berücksichtigung zusätzlich erworbener Versicherungszeiträume und Rentenpunkte neu berechnet.</t>
  </si>
  <si>
    <t>1. Säule:
Normale Altersrente (pension de vieillesse):
Kumulierung ohne Einschränkung möglich.
Vorgezogene Altersrente (pension de vieillesse anticipée):
Kumulierung mit einem Erwerbseinkommen oder mit Einkommen aus selbstständiger Tätigkeit möglich, sofern das Monatseinkommen höchstens ein Drittel des sozialen Mindestlohns beträgt.
Bei Kumulierung mit einem Einkommen aus unselbstständiger Tätigkeit: wenn das Monatseinkommen auf ein Jahr verteilt ein Drittel des sozialen Mindestlohns übersteigt, aber unter dem Durchschnitt der 5 höchsten Jahreseinkommen während der gesamten Versicherungszeit bleibt, und wenn die Summe aus Rente und Einkommen den Durchschnitt der 5 höchsten Jahreseinkommen während der gesamten Versicherungszeit übersteigt, wird die vorgezogene Altersrente um die Differenz zwischen diesen beiden Beträgen gekürzt.
Wenn das Monatseinkommen über ein Jahr verteilt den Durchschnitt der 5 höchsten beitragspflichtigen Jahreslöhne oder -einkommen während der gesamten Versicherungszeit übersteigt, wird die vorgezogene Altersrente gestrichen.</t>
  </si>
  <si>
    <t>Personen, die vor dem 1. Januar 1952 geboren sind, können ihre Rente in Anspruch nehmen, wenn sie das gesetzliche Ruhestandsalter erreichen und können unabhängig vom Erwerbseinkommen weiterarbeiten. Es werden keine Rentenabzüge angewendet.
Personen, die am oder nach dem 1. Januar 1952 geboren sind, dürfen bis zum Erreichen des gesetzlichen Ruhestandsalters nicht mehr weiterarbeiten und eine vorgezogene Rente erhalten. Danach können sie ihre Rente erhalten und ohne Einkommensgrenzen oder Rentenabzüge arbeiten.</t>
  </si>
  <si>
    <t>Der Anspruch auf die gesetzliche Altersrente ändert sich nicht, wenn man als Arbeitnehmer oder Selbstständiger nach dem gesetzlichen Rentenalter ein Einkommen bezieht. Der Betrag wird nicht gekürzt.</t>
  </si>
  <si>
    <t>Kumulation mit Erwerbseinkommen ist möglich (siehe Tabelle VI, „Alter – Aufschub“).</t>
  </si>
  <si>
    <t>Vorruhestandsrenten:
Bei Aufnahme einer unselbstständigen oder selbstständigen Erwerbstätigkeit mit Einkommen (vor Abzug von Steuern und Sozialabgaben) über der monatlichen Geringfügigkeitsgrenze von €551,10 (2025) wird die Rente eingestellt. Dies gilt jedoch nicht für Zeiträume, in denen die Summe der die Geringfügigkeitsgrenze übersteigenden Beträge im Kalenderjahr 40% der Geringfügigkeitsgrenze (2025: €220,44) nicht überschreiten.
Die Pensionsleistung fällt erst ab dem Monat weg, ab dem der die Geringfügigkeitsgrenze übersteigende Betrag des Entgelts die Grenze bzw. den jährlichen „Freibetrag“ von €220,44 (Wert 2025) erstmalig überschritten hat.
Altersrente:
Kumulierung unbeschränkt möglich. Seit dem Jahr 2004 werden entrichtete Beiträge als Beiträge zu einer besonderen Höherversicherung gewertet.</t>
  </si>
  <si>
    <t>Kumulierung ohne Einschränkung möglich. Arbeitsentgelte sind beitragspflichtig.
Die Rente erhöht sich um 1/14 von 2% des Betrags, der dem gemeldeten Jahresarbeitsentgelt entspricht.
Vorzeitige Altersrenten, die im Rahmen des Flexibilitätssystems bei langen Beitragszeiten und Langzeitarbeitslosigkeit gewährt werden, können innerhalb von drei Jahren nach dem Renteneintritt nicht mit einem Erwerbseinkommen kombiniert werden, wenn das Einkommen aus einer Tätigkeit in demselben Unternehmen oder derselben Unternehmensgruppe stammt, in dem bzw. der der Leistungsempfänger gearbeitet hat.</t>
  </si>
  <si>
    <t>Volle Kumulierung von Einkommen aus Erwerbstätigkeit ist möglich für Einkommensrente (inkomstpension), Zusatzrente (tilläggspension), Prämienrente (premiepension) und Ergänzung zur Einkommensrente (inkomstpensionstillägg). Der Betrag dieser Renten wird nicht gekürzt.
Kumulierung von Einkommen aus Erwerbstätigkeit ist auch möglich für Garantierente (garantipension), in welchem Fall der Betrag der Garantierente nicht gekürzt wird.
Einkommenshilfe für Ältere (äldreförsörjningsstöd): Volle Kumulierung mit Einkommen aus Ewerbstätigkeit ist nur unter SEK 24.000 (€2.182) jährlich möglich.</t>
  </si>
  <si>
    <t>1. Säule (Grundsystem):
Kumulation mit Erwerbseinkommen erlaubt, ohne Kürzung der Rente.
Bei Ausübung einer Erwerbstätigkeit im Referenzalter (Rentenalter) gilt ein Freibetrag von CHF1.400 (€1.496) pro Monat (CHF16.800 (€17.950) pro Jahr). Versicherte können auf diesen Freibetrag verzichten und Beiträge auf dem gesamten Einkommen zahlen. Beiträge, die nach Erreichen des Referenzalters (Rentenalter) bezahlt werden, werden unter bestimmten Voraussetzungen und sofern die Maximalrente von CHF2.520 (CHF3.780 für Ehepaare) nicht bereits erreicht ist, bei der Rentenberechnung berücksichtigt.
2. Säule (obligatorische Mindestvorsorge):
Kumulation mit Erwerbseinkommen erlaubt, ohne Kürzung der Rente.</t>
  </si>
  <si>
    <t>Kumulation der Altersrente (Starobný dôchodok) mit Einkommen ist ohne Rentenkürzung möglich. Die Kumulation einer vorgezogenen Altersrente (Predčasný starobný dôchodok) mit Einkommen ist für ein Jahreshöchsteinkommen von €2.400 außerhalb der regelmäßigen Beschäftigung möglich.</t>
  </si>
  <si>
    <t>Es ist möglich, eine Rente mit Einkünften aus Erwerbstätigkeit zu kombinieren, wenn die Person nach der Erfüllung der Bedingungen für den Renteneintritt (60 Jahre alt und 40 Jahre Mindestversicherungszeit) weiterhin erwerbstätig und versichert bleibt oder nach dem Renteneintritt wieder aktiv wird. In beiden Fällen kann die versicherte Person zusätzlich zum Einkommen aus Erwerbstätigkeit oder anderen Aktivitäten 40% der Rente beziehen (in den ersten 3 Jahren) oder 20% (ab dem 4. Jahr fortlaufend).</t>
  </si>
  <si>
    <t>Vollruhestand:
Die Rente wird ausgesetzt, wenn Einkommen aus einer sozialversicherungspflichtigen beruflichen Tätigkeit bezogen wird.
Kumulierung mit selbstständiger Tätigkeit bei jährlichem Bruttoeinkommen unterhalb des jährlichen Mindesbruttotlohns möglich. Es wurden keine Beiträge gezahlt und keine neuen Ansprüche erworben.
Nach Erreichung des gesetzlichen Rentenalters ist die Kumulierung einer gekürzten Rente mit den Einnahmen aus einer Teilzeitbeschäftigung möglich. In diesem Fall ist der Abschluss eines Nachfolgevertrags (ein Vertrag, der mit einer Person abgeschlossen wird, die arbeitslos ist oder bereits einen befristeten Vertrag mit dem Unternehmen geschlossen hatte, um die im Falle eines Teilruhestands des Arbeitsnehmers offenen Arbeitsstunden zu ersetzen) nicht notwendig. Beiträge werden gezahlt und neue Ansprüche erworben.
Kumulierung mit Teilzeitbeschäftigung oder Vollzeitbeschäftigung oder selbstständiger Tätigkeit möglich. In diesem Fall gibt es eine Karenzfrist von einem Jahr nach Erreichen des Renteneintrittsalters. Die Rente wird anhand einer Staffelung gekürzt, die von 45% (1. Jahr) bis 100% (5. Jahr oder länger) reicht. Beiträge für gewisse Risiken werden gezahlt, jedoch keine neuen Rentenansprüche erworben.</t>
  </si>
  <si>
    <t>Altersrente: Kumulation mit Einkommen aus Arbeit möglich. Es gelten keine zusätzlichen Bedingungen zur Kumulation mit Erwerbseinkommen. Die Rente wird nicht reduziert und es gibt keine Einkommensgrenze.
Seit 2025 zahlen erwerbstätige Rentner niedrigere Sozialversicherungsbeiträge, aber ihre Rente wird nicht neu berechnet (d. h. sie erwerben keine weiteren Rentenansprüche mehr).
Vorzeitige Rente: Kumulierung mit Erwerbseinkommen ist nur möglich, wenn das monatliche Bruttoeinkommen unter CZK 4.500 (€182) (oder CZK 11.500 im Fall von „Übereinkommen zur Beendigung eines Auftrags“) liegt.</t>
  </si>
  <si>
    <t>Erste Säule:
Möglichkeit der Kumulierung mit Erwerbseinkommen unter bestimmten Bedingungen.
Nach Erreichen des Rentenalters bedarf es für die fortgesetzte Beschäftigung im öffentlichen Sektor einer besonderen Genehmigung. In diesem Fall kann die Rente erst mit Beendigung des Beschäftigungsverhältnisses ausgezahlt werden. Diese besondere Genehmigung ist nicht erforderlich und die Aussetzung nicht anwendbar für Personen, die Dienstleistungen für Kinder erbringen, im Bildungswesen oder in sozialen Einrichtungen beschäftigt sind.
Für Empfänger von Leistung vor dem Rentenalter (Korhatár előtti ellátás), Leistungen für das Militär (Szolgálati járandóság), Leibrente für Tanzkünstler (Táncművészeti életjáradék) oder Übergangsrente für Bergleute (Átmeneti bányászjáradék) wird die Leistung bis Ende des Kalenderjahres eingestellt, wenn ein Empfänger nicht das entsprechende Rentenalter erreicht hat, und ein jährliches Einkommen hat, das höher als das 18-fache des Mindestlohns ist (d.h. HUF5.234.400).</t>
  </si>
  <si>
    <t>Kumulierung mit Erwerbseinkommen ohne jegliche Leistungskürzung möglich.
Bezieher einer vorgezogenen gesetzlichen Rente oder Begünstigte von besonderen Leistungen für Personen mit Thalassämie, die weiter erwerbstätig sind, haben bis zur Vollendung des 65. Lebensjahres Sozialversicherungsbeiträge zu entrichten. Diese Beiträge erhöhen die Rente, die im Alter von 65 Jahren bezogen wird. Die Berechnung der Erhöhung, die auf der Grundlage der in diesem Zeitraum erworbenen Punkte erfolgt, entspricht der Berechnung des ergänzenden Teils der gesetzlichen Rente.</t>
  </si>
  <si>
    <t>Eine Ruhestandspension kann nicht mit Leistungen bei Krankheit oder Invalidität, bei Arbeitslosigkeit, Zeitguthaben, Unterbrechung der Erwerbstätigkeit, reduzierten Leistungen oder Arbeitslosengeld mit Betriebszulage (RCC) oder Vorruhestandsrente auf tarifvertraglicher Basis kumuliert werden. Der Rentenempfänger oder sein Ehepartner (bei einer Ruhestandspension zum Haushaltssatz) muss zwischen der Rente und der Sozialleistung wählen.</t>
  </si>
  <si>
    <t>Siehe Tabelle V „Invalidität”. „Die Kumulation mit anderen Sozialleistungen ist möglich.”</t>
  </si>
  <si>
    <t>1. Säule:
Altersrente (Folkepension):
Kumulierung von Altersrente mit anderen Sozialleistungen möglich. Keine Kürzung des Rentenbetrags.
Frührente (Tidlig Pension):
Kumulierung mit anderen Sozialleistungen möglich. Keine Kürzung des Rentenbetrags, ausgenommen bei Bezug von Urlaubsgeld (Feriegodtgørelse).
Zusatzrente (arbejdsmarkedets tillægspension, ATP) und obligatorisches Rentensystem (Obligatorisk Pensionsordning):
Kumulierung ohne Einschränkung zulässig. Keine Kürzung des Rentenbetrags.</t>
  </si>
  <si>
    <t>Kumulation möglich. Renten aus der gesetzlichen Renten- und Unfallversicherung werden insoweit nebeneinander gezahlt als die Summe der Renten einen maßgebenden individuellen Grenzbetrag nicht übersteigt.</t>
  </si>
  <si>
    <t>Altersrente (vanaduspension):
Vollständige Kumulierung mit anderen Sozialversicherungsleistungen ist möglich, ausgenommen Leistung zur Arbeitsfähigkeit, da diese bis zum Rentenalter gezahlt wird.
Flexible Altersrente (paindlik vanaduspension)
Vollständige Kumulierung möglich; bezüglich der Leistung zur Arbeitsfähigkeit besteht die Wahlmöglichkeit zwischen Leistung und Rente.
Vorgezogene Altersrente (ennetähtaegne vanaduspension):
Bis zum Rentenalter nur Kumulierung möglich mit Familienleistungen und Sozialleistungen für Menschen mit Beinträchtigung. Bei Erreichen des Rentenalters ist Kumulierung möglich zu gleichen Bedingungen wie bei Altersrente.
Altersrente unter günstigen Bedingungen (soodustingimustel vanaduspension) und Altersrente bei Erreichen besonderer Altersgrenzen (väljateenitud aastate pension):
Kumulierung möglich zu gleichen Be-dingungen wie bei Altersrente.</t>
  </si>
  <si>
    <t>Volksrente (Kansaneläke) und garantierte Rente (Takuueläke):
Es kann nur eine Rente aus dem Volksrentensystem (Kansaneläke) ausgezahlt werden. Jedes weitere Renteneinkommen wird vom vollen Betrag der garantierten Rente (Takuueläke) abgezogen.
Bei Kumulierung beispielsweise mit einer gesetzlichen einkommensbezogenen Rente (Työeläke) oder Renten bei Berufserkrankungen oder Arbeitsunfällen, wird die Volksrente (Kansaneläke) gekürzt.</t>
  </si>
  <si>
    <t>1. Säule (Hauptrente der e-EFKA):
Kumulation mit anderen Leistungen der sozialen Sicherheit möglich. Der Rentenbetrag wird nicht gekürzt.</t>
  </si>
  <si>
    <t>Beitragsabhängige) Staatliche Rente (State Pension (Contributory)):
Kumulation mit bestimmten anderen Leistungen, wie Beihilfe für Pflegepersonen (Carer's Allowance) (zur Hälfte des Satzes) und Behindertengeld (Disablement Benefit) ist möglich.</t>
  </si>
  <si>
    <t>Volksrente (lífeyrir almannatrygginga):
Die Grundregel besagt, dass laut dem Gesetz über soziale Sicherheit niemand gleichzeitig Leistungen aus mehreren Kategorien beziehen darf bezüglich desselben Anlasses oder für denselben Zeitraum. Bei Anspruch auf Leistungen aus mehreren Kategorien besteht die Möglichkeit, die vorteilhafteste zu wählen. Beziehen Rentner Leistungen gemäß anderen Gesetzen, werden diese Zahlungen als Einkommen bei der Berechnung der Leistungsbeträge berücksichtigt.</t>
  </si>
  <si>
    <t>Vorruhestandsbeihilfe (A.PE sociale - Anticipo Pensionistico):
Keine Kumulierung möglich mit direktem Bezug von Rente oder Arbeitslosengeld.</t>
  </si>
  <si>
    <t>Die Kumulierung mit anderen Sozialversicherungsleistungen ist möglich.</t>
  </si>
  <si>
    <t>1. Säule/2. Säule:
Kumulierung möglich mit Krankengeld, Elterngeld, Mutterschaftsgeld, Vaterschaftsgeld und Kinderbetreuungsgeld. Die Höhe der Altersrente wird nicht reduziert.
Sind die Dienstrente oder die Entschädigung für den Verlust der Arbeitsfähigkeit höher als die Altersrente (Vecuma pensija), erhält der Leistungsempfänger die Differenz zwischen den beiden Leistungen.
Kumulierung ist nicht möglich mit Invalidenrente, Hinterbliebenenrente, Arbeitslosengeld und staatlicher Sozialhilfe.</t>
  </si>
  <si>
    <t>1. Säule: Kumulierung mit Leistungen anderer Sozialversicherungsträgern ist möglich (z.B. 1. Säule, Unfall), aber nicht mit Leistungen der Invalidenversicherung.
2. Säule: Kumulierung mit jeglichem Einkommen ist unbeschränkt möglich, auch bei Rentenvorbezug.
Bei kumulativen Leistungen der sozialen Sicherheit (z.B. Unfallversicherung) erfolgt keine Kürzung der Altersrente</t>
  </si>
  <si>
    <t>Kumulierung der Pension mit sonstigen Leistungen (d.h. Witwen-/Witwerrente, Leistung für Alleinstehende, gesetzliche beitragsunabhängige Zusatzrenten für bestimmte Kategorien, Zahlungen aus Rentenfonds) ist ab dem Erreichen des Regelrentenalters möglich.
Vorzeitige Ruhestandsrenten (išankstinė senatvės pensija): Kumulierung ist nicht zulässig.</t>
  </si>
  <si>
    <t>1. Säule:
Kumulierung mit einer Rente aus einem Arbeitsunfall oder einer Berufskrankheit möglich, aber die Altersrente wird gekürzt, wenn sie zusammen mit der Unfallrente eine festgelegte Obergrenze überschreitet (die entweder dem Durchschnitt der 5 höchsten Jahresentgelte oder -einkommen während der gesamten Versicherungszeit oder dem Einkommen entspricht, das als Grundlage für die Berechnung der Unfallrente diente).</t>
  </si>
  <si>
    <t>Kumulierung mit Beihilfe für Pflegepersonen ist möglich.</t>
  </si>
  <si>
    <t>Kumulierung mit mehreren Leistungen möglich.
Die Höhe der Altersrente wird nicht gekürzt. Die Ergänzungsbeihilfe (toeslagen) ist erhältlich für Menschen mit Altersrente. Sozialversicherungssysteme für z. B. Arbeitslosigkeit, Hinterbliebene oder Invalidität gelten bis zum Rentenalter.</t>
  </si>
  <si>
    <t>Kumulation mit einer Invaliditätsrente ist möglich, die Summe aus beiden darf aber 100% der Zusammensetzung der Leistung (d.h. 20% Rente und 80% Invaliditätsrente) nicht überschreiten. Wird eine Invaliditätsrente, die aufgrund eines Arbeitsunfalls gewährt wurde, in eine Altersrente umgewandelt, wird die Altersrente anhand bestimmter Regeln berechnet, sofern dies vorteilhaft für den Rentner ist.</t>
  </si>
  <si>
    <t>Kumulierung mit Versehrtenrente unbeschränkt möglich (Alters- und Versehrtenrente werden beim gleichzeitigen Bezug nicht reduziert), nicht jedoch mit Arbeitslosengeld oder Rehabilitationsgeld.</t>
  </si>
  <si>
    <t>Die Altersrente kann mit Renten aus anderen in- und ausländischen Pflichtversicherungssystemen oder freiwilligen Systemen sowie mit den Leistungen zur sozialen Eingliederung (Prestação social para a Inclusão), dem Solidaritätszuschlag für ältere Menschen (Complemento Solidário para  Idosos) und der Pflegezulage (complemento por dependência) kumuliert werden.
Die Rente wird nicht gekürzt. Es gibt Vorschriften zur Kumulierung von Altersrenten mit anderen Renten, die sich jedoch nur auf die Garantie von Mindestrentenbeträgen beziehen.</t>
  </si>
  <si>
    <t>Erste Säule:
Kumulation mit Sozialhilfeleistungen und Langzeitpflegeleistungen ist im Rahmen der Bedingungen dieser Systeme möglich (keine Verringerung der Rentenbeträge in solchen Fällen).
Kumulation mit jeder weiteren Rentenkategorie und Arbeitslosengeld ist nicht möglich.
Zweite Säule:
Kumulation mit anderen Leistungen der sozialen Sicherheit gemäß den Bedingungen dieser Systeme (wenn gestattet, gilt keine Kürzung der Rentenbeträge).</t>
  </si>
  <si>
    <t>Staatliche Renten können grundsätzlich mit anderen sozialen Sicherungsleistungen kombiniert werden.
   * Unfallrente (livränta): wird die Unfallrente ausgezahlt, kann die staatliche Rente durch die Unfallrente vermindert werden, wenn diese über 1/6 des Grundbetrags liegt.
   * Garantierente (garantipension): wird entsprechend des Betrags der Einkommensrente und Zusatzrente gekürzt.
   * Wohnzulage (bostadstillägg): Leistung für ältere Menschen mit Bedürftigkeitsprüfung, welche durch Renten, Unfallrente und Lohneinkommen über SEK 24.000 (€2.182) jährlich vermindert wird.
Unterhaltshilfe für Ältere (äldreförsörjningsstöd): Keine Kumulierung mit anderen sozialen Sicherungsleistungen möglich.</t>
  </si>
  <si>
    <t>1. Säule (Grundsystem)/2. Säule (obligatorische Mindestvorsorge):
Erlaubt, ohne Kürzung der Rente, ungeachtet der Höhe der anderen Sozialversicherungsleistung.</t>
  </si>
  <si>
    <t>Bei der Kumulation mit unterschiedlichen Rentenarten (z. B.Hinterbliebenenleistungen) werden der volle Betrag der größten Rente und die Hälfte der anderen erhalten. Die Kumulation von Leistungen im Rahmen von Sonderregelungen (z. B. eine Altersrente für das Militär) ist möglich.</t>
  </si>
  <si>
    <t>Altersrente kann kumuliert werden mit Pflegegeld (dodatek za pomoč in postrežbo) und Behindertenbeihilfe (invalidnina) für körperliche Einschränkungen sowie mit Ergänzungszulage (EZ) (varstveni dodatek), vorausgesetzt, die Bedingungen werden erfüllt.
Kumulierung hat keinen Einfluss auf den Rentenbetrag.</t>
  </si>
  <si>
    <t>Kumulation mit Witwen- oder Witwergeld ist möglich, ebenso mit Altersrente oder Invaliditätsrente aus einem anderen System, solange die Beiträge für jedes System separat gutgeschrieben werden und jede Rente entsprechend separat anfällt und berechnet wird. Der Betrag unterliegt der jedes Jahr im Allgemeinen Haushaltsgesetz festgelegten Grenze (€3.267,60 monatlich im Jahr 2025).</t>
  </si>
  <si>
    <t>Kumulierung von Invalidenrenten und Altersrenten ist nicht möglich: die höhere Rente wird ausgezahlt.
Bei Anspruch auf Altersrente und eine Hinterbliebenenrente (Witwer-, Witwen- oder Halbwaisen-/Waisenrente) wird der volle Betrag der höchsten Rente sowie die Hälfte des Prozentualen Anteils (Procentní část) der anderen Rente gezahlt.
Kumulation mit anderen Sozialleistungen möglich: Der Rentenbetrag wird nicht reduziert und im Rentengesetz sind keine Kumulationsbedingungen festgelegt.</t>
  </si>
  <si>
    <t>Erste Säule:
Altersrente kann mit Hinterbliebenenleistungen und Arbeitsunfallrente (Baleseti járadék) kumuliert werden.
Der Betrag der Altersrente wird nicht aufgrund der Kumulierung mit Leistungen gekürzt.</t>
  </si>
  <si>
    <t>Der Bezug einer Altersrente (gesetzlich) kann mit einer Hinterbliebenenrente (Witwenrente) kombiniert werden, es gibt jedoch einen Höchstbetrag für die Zusatzrente.</t>
  </si>
  <si>
    <t xml:space="preserve">   Besteuerung und Sozialabgaben</t>
  </si>
  <si>
    <t>Leistungen unterliegen der Besteuerung.</t>
  </si>
  <si>
    <t>Leistungen unterliegen keiner Besteuerung.</t>
  </si>
  <si>
    <t>1. Säule:
Altersrente (Folkepension):
Grundbetrag (grundbeløb) und Rentenzulage (pensionstillæg) unterliegen der Besteuerung.
Frührente (Tidlig Pension) unterliegt der Besteuerung.
Zusatzrente (arbejdsmarkedets tillægspension, ATP) und obligatorisches Rentensystem (Obligatorisk Pensionsordning) unterliegen der Besteuerung.</t>
  </si>
  <si>
    <t>Schrittweiser Übergang zum System der nachgelagerten Besteuerung (Übergangszeitraum 2005 bis 2058).
Bei Personen, die bis Ende 2005 in Rente gegangen sind, wird die Rente zu 50% für die Besteuerung (Besteuerungsanteil) herangezogen. Auf dieser Basis wird ein steuerfreier Teil der Rente festgeschrieben, der dem Rentenbezieher jährlich zu gewähren ist. Für jeden neu hinzukommenden Rentenjahrgang wurde der Besteuerungsanteil – auf dessen Grundlage der steuerfreie Teil der Rente ermittelt wird - bis zum Jahr 2020 jährlich um jeweils 2 Prozentpunkte, 2021 und 2022 um jeweils 1 Prozentpunkt angehoben. Ab 2023 wird er um jeweils 0,5 Prozentpunkte angehoben.</t>
  </si>
  <si>
    <t>Gesetzliche einkommensbezogene Rente (Työeläke), Volksrente (Kansaneläke) und garantierte Rente (Takuueläke): unterliegen der Besteuerung wie andere Einkunftsarten (z.B. Löhne).
Das Pflegebeihilfe für Rentner (Eläkettä saavan hoitotuki) und das Wohngeld für Rentner (Eläkkeensaajan asumistuki) unterliegen nicht der Besteuerung.</t>
  </si>
  <si>
    <t>1. Säule (Basissystem) und 2. Säule (Zusatzrentensysteme (Agirc-Arrco)):
Grundrente und Zusatzrenten unterliegen der Besteuerung.
Die Zulage für Pflege durch Dritte (majoration pour l‘assistance d‘une tierce personne) unterliegt nicht der Besteuerung.</t>
  </si>
  <si>
    <t>1. Säule (Hauptrente der e-EFKA):
Die Leistungen unterliegen der Steuer.</t>
  </si>
  <si>
    <t>Leistungen unterliegen Steuern.</t>
  </si>
  <si>
    <t>Volksrente (lífeyrir almannatrygginga): Mit Ausnahme der Kinderrente (barnalífeyrir) unterliegen die Leistungen der Besteuerung.
Arbeitsrente (lögbundnir lífeyrissjóðir):
Renten unterliegen der Besteuerung.</t>
  </si>
  <si>
    <t>Renten unterliegen der Besteuerung.</t>
  </si>
  <si>
    <t>1. Säule:
Renten, die vor dem 01.01.1996 gewährt wurden, unterliegen nicht der Besteuerung.
1. Säule/2.Säule:
Renten, die nach dem 01.01.1996 gewährt oder neu berechnet wurden, unterliegen der Besteuerung.</t>
  </si>
  <si>
    <t>1. Säule: Renten unterliegen einer privilegierten Besteuerung (nur ein Teil des Gesamtbetrages wird als steuerbares Einkommen angerechnet).
2. Säule: Altersleistungen (Renten und Kapitalleistungen) unterliegen der Besteuerung.</t>
  </si>
  <si>
    <t>Renten unterliegen keiner Besteuerung.</t>
  </si>
  <si>
    <t>1. Säule:
Renten unterliegen der Besteuerung.</t>
  </si>
  <si>
    <t>Die Renten unterliegen der Besteuerung.</t>
  </si>
  <si>
    <t>Altersrente (Emerytura) und vorgezogene Rente (Wcześniejsza emerytura):
unterliegen der Besteuerung.
Pflegezulage (Dodatek pielęgnacyjny) und Bestattungsbeihilfe (Zasiłek pogrzebowy):
Leistungen unterliegen nicht der Steuer.</t>
  </si>
  <si>
    <t>Die Altersrenten unterliegen der Besteuerung.</t>
  </si>
  <si>
    <t>Erste Säule/Zweite Säule:
Leistungen unterliegen der Besteuerung, mit Ausnahme derer, die Beziehern von Altersrente mit schweren und hochgradigen Behinderungen gewährt werden.</t>
  </si>
  <si>
    <t>Staatliche Renten unterliegen der Besteuerung. Die Wohnzulage (bostadstillägg) und die Einkommenshilfe für Ältere (äldreförsörjningsstöd) unterliegen nicht der Besteuerung.</t>
  </si>
  <si>
    <t>1. Säule (Grundsystem)/2. Säule (obligatorische Mindestvorsorge):
Renten unterliegen der Besteuerung.</t>
  </si>
  <si>
    <t>1. und 2. Säule:
Renten unterliegen keiner Steuer.</t>
  </si>
  <si>
    <t>Alle Renten und Geldleistungen der Invalidenversicherung unterliegen der Besteuerung.
Pflegegeld (dodatek za pomoč in postrežbo) unterliegt nicht der Besteuerung.</t>
  </si>
  <si>
    <t>Nur hohe Renten, die jährlich das 36-Fache des monatlichen Bruttomindestlohns übersteigen, werden besteuert (CZK 748.800 (€30.257) jährlich).</t>
  </si>
  <si>
    <t>Erste Säule:
Die Leistungen unterliegen nicht der Besteuerung.</t>
  </si>
  <si>
    <t>Gesetzliche Renten (Θεσμοθετημένη Σύνταξη) unterliegen der Besteuerung.</t>
  </si>
  <si>
    <t>Für die Leistungen wird eine den Einkünften des Steuerzahlers entsprechende Steuerermäβigung gewährt.</t>
  </si>
  <si>
    <t>Nicht anwendbar: Renten unterliegen keiner Besteuerung.</t>
  </si>
  <si>
    <t>1. Säule:
Es gelten allgemeine Regeln der Besteuerung. Keine Einkommensgrenzen für die Besteuerung von Renten.</t>
  </si>
  <si>
    <t>Besteuerung des steuerpflichtigen Teils (vgl. Tabelle VI, ‘Besteuerung und Sozialabgaben - Besteuerung von Renten’) der Rente nach allgemeinen Regeln.</t>
  </si>
  <si>
    <t>Steuerbefreiung für Personen in rentenfähigem Alter in Höhe von €776 pro Monat oder bis zu  €9.312 pro Jahr.</t>
  </si>
  <si>
    <t>Renteneinkommen unterliegt einem Renteneinkommensabzug wie folgt:
   * voller Abzug bei einem jährlichen Renteneinkommen unter €11.030;
   * Steuern werden fällig, wenn das jährliche Renteneinkommen über €13.756 liegt;
   * Kein Abzug bei einem jährlichen Renteneinkommen über €48.931.
5,85% Zusatzsteuer auf den Teil des jährlichen Renteneinkommens, der €47.000 überschreitet.
Gibt es neben der Volksrente (Kansaneläke) kein weiteres Einkommen, bleibt die Rente einkommensteuerfrei.
Anmerkung: Hat eine Person andere Einkünfte (außer Kapitaleinkünften), so werden diese (nach Abzug von Werbungskosten) in die Formel zur Berechnung der Kürzung des Abzugsbetrags einbezogen. Der Abzugsbetrag kann jedoch die Höhe der Renteneinkünfte nicht übersteigen.</t>
  </si>
  <si>
    <t>1. Säule (Basissystem) und 2. Säule (Zusatzrentensysteme (Agirc-Arrco)):
Abzug von 10% des Gesamtbetrags der Renten (jährliche Höchstgrenze von €4.399 pro steuerpflichtigem Haushalt).</t>
  </si>
  <si>
    <t>1. Säule (Hauptrente der e-EFKA):
Es gelten allgemeine Regeln der Besteuerung. Ausnahmen für bestimmte Gruppen wie Kriegsversehrte, Kriegsopfer und ihre Familien, Blinde und Querschnittsgelähmte.</t>
  </si>
  <si>
    <t>Besteuerung nach allgemeinem Regeln. Keine Sonderbestimmungen für Renten.</t>
  </si>
  <si>
    <t>Besteuerung nach allgemeinem Recht findet Anwendung. Keine Einkommensgrenze für die Besteuerung von Renten.</t>
  </si>
  <si>
    <t>Besteuerung nach allgemeinem Recht. Keine Sonderbestimmungen für Renten.</t>
  </si>
  <si>
    <t>Individueller Steuerfreibetrag für Rentner: €600 pro Monat. Dieser Betrag kann erhöht werden je nach der Anzahl von Unterhaltsberechtigten in der Familie, dem Grad der Behinderung des Rentners oder dessen Unterhaltsberechtigten.
Die Einkommensteuer wird um 50% des Steueranteils gekürzt, der speziell auf die Rente entfällt.</t>
  </si>
  <si>
    <t>1. Säule: Bei den Renten wird ein Freibetrag von 70% gewährt.
2. Säule: Besteuerung nach allgemeinen Regeln. Keine Sonderbestimmungen für Sozialleistungen.</t>
  </si>
  <si>
    <t>1. Säule:
Es gelten die allgemeinen Besteuerungsregeln. Keine Einkommensobergrenze für die Besteuerung von Leistungen.</t>
  </si>
  <si>
    <t>Rentner, die zu einem spezifischen Satz für Verheiratete besteuert werden, sind von der Besteuerung der Rente für die ersten verdienten €20.236 ausgenommen, während Personen, die zu einem spezifischen Satz für Alleinstehende besteuert werden, von der Besteuerung der ersten verdienten €16.636 ausgenommen sind.
Über den oben genannten Schwellenwerten gelten allgemeine Regeln der Besteuerung.</t>
  </si>
  <si>
    <t>Besteuerung nach allgemeinen Regeln. Keine Sonderbestimmungen für Renten.</t>
  </si>
  <si>
    <t>Für Bezieher von Renten gelten Sonderregeln zur Steuererleichterung. Bezieher einer vollen Mindestrente zahlen weder Steuern noch Sozialabgaben.</t>
  </si>
  <si>
    <t>Besteuerung nach allgemeinen Regeln. Keine Einkommensgrenzen für die Besteuerung von Rentenleistungen. Keine Sonderbestimmungen für Renten.</t>
  </si>
  <si>
    <t>Altersrente (Emerytura) und vorgezogene Rente (Wcześniejsza emerytura):
Es gelten allgemeine Regeln der Besteuerung. Keine Einkommensgrenzen für die Besteuerung von Renten.</t>
  </si>
  <si>
    <t>Die allgemeinen Besteuerungsregelungen (Abschlag von € 4.462,15 oder der Gesamtbetrag der Sozialversicherungspflichtbeiträge, wenn dieser höher ist) kommen zur Anwendung. Keine Einkommenshöchstgrenzen für die Besteuerung von Leistungen.</t>
  </si>
  <si>
    <t>Erste Säule:
Der Leistungsbetrag, der RON 3.000 (€590) monatlich übersteigt, unterliegt der Besteuerung.
Zweite Säule:
Sowohl die Einmalzahlung als auch die gestaffelten Zahlungen, die RON 3.000 (€590) monatlich übersteigen, unterliegen der Besteuerung.</t>
  </si>
  <si>
    <t>1. Säule (Grundsystem)/2. Säule (obligatorische Mindestvorsorge):
Besteuerung nach allgemeinen Regeln. Keine Einkommensgrenzen für die Besteuerung von Leistungen.</t>
  </si>
  <si>
    <t>Nicht anwendbar. Renten unterliegen keiner Steuer.</t>
  </si>
  <si>
    <t>Besteuerung nach allgemeinen Regeln. Keine Sonderbestimmungen für Sozialleistungen.
Ausgenommen: Einwohner, die Renten der obligatorischen Renten- und Invaliditätsversicherung beziehen, haben Anspruch auf eine zusätzliche persönliche Einkommenssteuererleichterung von 13,5% der unter der obligatorischen Renten- und Invaliditätsversicherung bewerteten Renten.</t>
  </si>
  <si>
    <t>Besteuerung nach allgemeinen Regeln. Keine Einkommensgrenzen bei der Besteuerung von Renten.</t>
  </si>
  <si>
    <t>Nur hohe Renten, die jährlich das 36-fache des monatlichen Bruttomindestlohns übersteigen, werden besteuert (CZK 748.800 (€30.257) jährlich).</t>
  </si>
  <si>
    <t>Erste Säule:
Nicht anwendbar. Die Leistungen unterliegen nicht der Besteuerung.</t>
  </si>
  <si>
    <t>Abzug von 3,55% für die Kranken- und Invaliditätsversicherung, sofern die Rente nicht unter einen Betrag von monatlich € 2.414,97 bzw. - für Personen ohne Unterhaltsberechtigte - unter € 2.037,72 sinkt.
Solidaritätsbeitrag (cotisation de solidarité/solidariteitsbijdrage) im Rentensektor von 0,5% bis 2% je nach Unterhaltsverpflichtungen und dem Bruttobetrag sämtlicher gesetzlichen und sonstigen Renten. Der Solidaritätsbeitrag ist ab € 3.729,36 (Haushalt) oder € 3.225,75 (Alleinstehende) zu zahlen.</t>
  </si>
  <si>
    <t>Keine Sozialbeiträge zahlbar.</t>
  </si>
  <si>
    <t>1. Säule:
Keine Sozialabgaben zahlbar.</t>
  </si>
  <si>
    <t>Der Krankenversicherungsbeitragsanteil für pflichtversicherte Rentner beträgt 7,3% (Hälfte des allgemeinen Beitragssatzes der gesetzlichen Krankenversicherung von 14,6%). Den verbleibenden Beitragsanteil von 7,3% zahlt der Rentenversicherungsträger.
Je nach Krankenkasse ist zudem ein individueller Zusatzbeitrag zu zahlen, der ebenfalls paritätisch vom Rentenversicherungsträger und dem pflichtversicherten Rentner getragen wird.
Der Pflegeversicherungsbeitrag beträgt 3,4% von der Rente und ist vom Rentner zu zahlen. Kinderlose Versicherte zahlen ab Vollendung des 23. Lebensjahres zusätzlich einen Zuschlag von 0,6 Prozentpunkten, ausgenommen von diesem Zuschlag sind vor 1940 geborene Rentner.</t>
  </si>
  <si>
    <t>Keine Sozialabgaben.</t>
  </si>
  <si>
    <t>Krankenversicherung (Sairausvakuutus/Sairaanhoitovakuutus):
Der Versichertenbeitrag beträgt 1,45% von Renten und anderen Sozialleistungen.</t>
  </si>
  <si>
    <t>1. Säule (Basissystem) und 2. Säule (Zusatzrentensysteme (Agirc-Arrco)):
Allgemeiner Sozialbeitrag (contribution sociale généralisée, CSG) entsprechend dem zu versteuernden Referenzeinkommen: 8,3%, 6,6% oder 3,8% oder Befreiung (entsprechend der Besteuerung); Beitrag zur Tilgung der Sozialschuld (contribution pour le remboursement de la dette sociale, CRDS): 0,5% oder Befreiung; zusätzlicher Solidaritätsbeitrag für eigenständige Lebensführung (contribution additionnelle de solidarité pour l’autonomie, Casa) von 0,3% oder Befreiung.
Einzig auf die Zusatzrenten Agirc-Arrco wird ein Krankenversicherungsbeitrag von 1% erhoben.</t>
  </si>
  <si>
    <t>€0,01 sind monatlich (13-mal jährlich) an das Nationale Ruhestandswerk (Opera nazionale dei pensionati d'Italia, ONPI) zu entrichten.</t>
  </si>
  <si>
    <t>Keine Sozialabgaben zahlbar.</t>
  </si>
  <si>
    <t>1. Säule/2.Säule:
Keine Sozialabgaben zahlbar.</t>
  </si>
  <si>
    <t>Keine Beiträge zahlbar.</t>
  </si>
  <si>
    <t>1. Säule:
Beiträge für die Sachleistungen bei Krankheit (2,8%) und die Pflegeversicherung (1,4%).</t>
  </si>
  <si>
    <t>Von Renten werden Beiträge nach dem Allgemeinen Hinterbliebenengesetz (Algemene nabestaandenwet, Anw) und dem Langzeitpflegegesetz (Wet langdurige zorg, WLZ) nach dem Standardsatz einbehalten (d. h. vergleichbar mit dem Einbehalt von Beiträgen vom Arbeitseinkommen). Die Beiträge nach dem Krankenversicherungsgesetz werden in Höhe von 5,4% abgezogen und an die staatliche Krankenkasse zurückerstattet.</t>
  </si>
  <si>
    <t>Rentner zahlen einen ermäßigten Beitrag von 5,1% (für Sachleistungen bei Krankheit). Dieser Satz gilt auch für Erwerbseinkommen von Rentnern ab 69 Jahren.</t>
  </si>
  <si>
    <t>6,0% Krankenversicherungsbeitrag ab 1.6.2025.
Bei bei Personen, die eine Ausgleichszulage (nicht aber einen Ausgleichszulagenbonus / Pensionsbonus) beziehen sowie deren im gemeinsamen Haushalt lebende und im Familienrichtsatz berücksichtigte (Ehe)Partnernn weiterhin generell ein begünstigter KVB in der Höhe von 5,1% im Zeitraum vom 01.06.2025 bis 31.12.2025 in Abzug zu bringen (auch von ausländischen Renten) . Bei Bezug eines Ausgleichszulagenbonus / Pensionsbonus ist bei der Leistung des AZ - Beziehers und der Leistung des (Ehe)Partners der reguläre KVB in der Höhe von 6,0% in Abzug zu bringen.</t>
  </si>
  <si>
    <t>Beiträge zur Krankenversicherung sind zu zahlen.</t>
  </si>
  <si>
    <t>Keine zu entrichtenden Sozialabgaben</t>
  </si>
  <si>
    <t>1. Säule (Grundsystem)/2. Säule (obligatorische Mindestvorsorge):
Keine auf Renten erhobenen Beiträge.
Individuelle Prämien für die obligatorische Krankenpflegeversicherung, die direkt an den Versicherer zu entrichten sind (siehe Tabelle I, "Finanzierung", "1. Gesundheitsversorgung").</t>
  </si>
  <si>
    <t>Beitrag von 5,96% für Gesundheitsleistungen und die Erstattung von Reisekosten im Krankheitsfall. Dieser Beitrag wird nicht von der Rente abgezogen, sondern wird von der Renten- und Invaliditätsversicherungsanstalt Sloweniens (Zavod za pokojninsko in invalidsko zavarovanje Slovenije) berechnet als wäre es von individuellen Renten gezahlt worden und wird an die Krankenversicherungsanstalt der Republik Slowenien (Zavod za zdravstveno zavarovanje Slovenije) übermittelt. Keine Bemessungsgrenze.</t>
  </si>
  <si>
    <t>Erste Säule:
Es sind keine Abgaben zu zahlen.</t>
  </si>
  <si>
    <t>Selbstständige sind über ein besonderes System versichert, das sich vom Versicherungssystem für Arbeitnehmer unterscheidet.
Das besondere System deckt alle Selbstständigen ab, wobei besondere Bestimmungen zur Berechnung der Rente einiger Selbstständer gelten, insbesondere in Bezug auf mithelfende Familienangehörige.</t>
  </si>
  <si>
    <t>Kein System für Selbstständige. Sie sind vom allgemeinen System abgedeckt.
Als Selbstständige zählen Freiberufler oder ausgebildete Handwerker, Einzelunternehmer, Unternehmensinhaber oder -partner, Mitglieder rechtsfähiger Vereine, Besteuerte nach Artikel 26(7) des Einkommenssteuergesetzes sowie eingetragene Landwirte und Tabakproduzenten.</t>
  </si>
  <si>
    <t>Selbstständige sind vom allgemeinen System abgedeckt.</t>
  </si>
  <si>
    <t>Versicherungspflichtige und freiwillig versicherte Selbstständige in der gesetzlichen Rentenversicherung: Allgemeines System.
Selbstständige Künstler und Publizisten: Grundsätzlich Versicherungspflicht in der gesetzlichen Rentenversicherung nach dem Künstlersozialversicherungsgesetz.
Freie Berufe: Eigenfinanzierte, versicherungsgebundene Sondersysteme, die auf landesrechtlicher Grundlage die Pflichtversorgung für Alter, Invalidität und Hinterbliebene sicherstellen.
Landwirte: Spezifisches System: Pflichtmitgliedschaft in der Alterssicherung der Landwirte.</t>
  </si>
  <si>
    <t>Gesetzliche einkommensabhängige Rente, Staatliche Rente: Selbstständige und Landwirte sind durch die gleichen Systeme abgedeckt wie Arbeitnehmer.</t>
  </si>
  <si>
    <t>Handwerker, Kaufleute und Gewerbetreibenden fallen unter das allgemeine Versicherungssystem.
Die freien Berufe sind allgemein über die Staatliche Kasse für die Altersversicherung (caisse nationale d'assurance vieillesse des professions libérales, CNAVPL) rentenversichert.
Landwirte fallen unter das landwirtschaftliche Sozialversicherungssystem (mutualité sociale agricole, MSA).</t>
  </si>
  <si>
    <t>Selbstständige sind über das allgemeine System abgedeckt.
Landwirte werden schrittweise in die Elektronische gesetzliche Sozialversicherungskasse (e-EFKA) aufgenommen.</t>
  </si>
  <si>
    <t>Selbstständige können mit 66 Jahren auf der gleichen Basis wie Arbeitnehmer Ansprüche auf gesetzliche Rente erwerben (beitragsorientiert).</t>
  </si>
  <si>
    <t>Selbständige werden von zwei Systemen erfasst: das universale wohnsitzabhängige Rentensystem (staatliche Rente (lífeyrir almannatrygginga)) und das beschäftigungsbasierte System (Arbeitsrente (lögbundnir lífeyrissjóðir)), das es auch für Arbeitnehmer gibt.</t>
  </si>
  <si>
    <t>Alter ist durch das Sondersystem für Selbstständige der Allgemeinen Pflichtversicherung (AGO) für traditionelle Selbstständige abgedeckt und durch das gesonderte Rentensystem (Gestione separata) für andere Kategorien von Selbstständigen.</t>
  </si>
  <si>
    <t>Selbstständige sind wie Arbeitnehmer über das allgemeine System versichert.</t>
  </si>
  <si>
    <t>Selbstständige sind über das allgemeine System versichert.</t>
  </si>
  <si>
    <t>Die selbständig Erwerbenden sind vom allgemeinen System, das auch alle Arbeitnehmer umfasst, abgedeckt.</t>
  </si>
  <si>
    <t>Selbstständige sind durch das allgemeine System abgedeckt, das Arbeitnehmer abdeckt.</t>
  </si>
  <si>
    <t>Selbstständige sind durch das allgemeine System abgedeckt.</t>
  </si>
  <si>
    <t>Selbstständige und freischaffende Personen sind durch das allgemeine System abgedeckt.
Für Altersrente (beitragsunabhängig) siehe „Mindestsicherung“.</t>
  </si>
  <si>
    <t>Das niederländische Rentensystem ist ein Drei-Säulen-System. Selbstständige sind durch das allgemeine System der ersten Säule (AOW) abgedeckt und können sich auch an der dritten Säule beteiligen (die zweite Säule ist nur für Arbeitnehmer, obwohl es einige Ausnahmesituationen gibt, in denen Selbstständige auch unter der zweiten Säule abgedeckt sind).</t>
  </si>
  <si>
    <t>Selbstständige sind vom allgemeinen System, dass auch Arbeitnehmer abdeckt, abgedeckt</t>
  </si>
  <si>
    <t>Es gibt unterschiedliche spezifische Systeme für
   * Landwirte (BSVG);
   * Gewerbetreibende und Personen, die auf Grund einer betrieblichen Tätigkeit Einkünfte aus freiberuflicher oder anderer selbstständiger Erwerbstätigkeit (GSVG), weiters auch jene nach dem FSVG Versicherten und freiberuflich tätige Rechtsanwälte</t>
  </si>
  <si>
    <t>Selbstständige
Abgedeckt durch das allgemeine System.
Landwirte
Abgedeckt durch ein besonderes System für Landwirte.</t>
  </si>
  <si>
    <t>Selbstständige sind durch das allgemeine System gedeckt.</t>
  </si>
  <si>
    <t>1. Säule (Grundsystem):
Die Selbstständigen sind durch das allgemeine System gedeckt.
2. Säule:
Selbstständige können sich freiwillig versichern lassen. Die Bestimmungen über die obligatorische Versicherung gelten sinngemäß für die freiwillige Versicherung.</t>
  </si>
  <si>
    <t>Selbstständige sind durch das allgemeine System abgedeckt, das auch Arbeitnehmer abdeckt.</t>
  </si>
  <si>
    <t>Selbstständige (einschließlich wirtschaftlich abhängige Selbstständige) sind durch das Besondere System der Sozialen Sicherheit für Selbstständige Erwerbstätige abgedeckt.
Im Rahmen dieses Systems gibt es ein Besonderes System für Selbstständige Landarbeiter.</t>
  </si>
  <si>
    <t>Selbstständige sind über das allgemeine System versichert, das auch Arbeitnehmern Versicherungsschutz gewährt..</t>
  </si>
  <si>
    <t>Das Versicherungspflichtsystem richtet sich nach dem Ort der Selbstständigkeit.</t>
  </si>
  <si>
    <t>Obligatorisches, versicherungs- und beschäftigungsgebundenes System.</t>
  </si>
  <si>
    <t>Allgemeines, steuerabhängiges Pflichtsystem. Basierend auf einem früheren Wohnsitz in Dänemark (Altersrente/Frührente).</t>
  </si>
  <si>
    <t>Versicherungs- und arbeitsgebunden.
Pflichtmitgliedschaft oder freiwillige Versicherung.
Rentenversicherungspflichtige Selbstständige: Pflichtmitgliedschaft in der gesetzlichen Rentenversicherung.
Sonstige Selbstständige: Möglichkeit, dem gesetzlichen Rentenversicherungssystem beizutreten (Opt-in), je nach Voraussetzung über eine Versicherungspflicht auf Antrag oder eine freiwillige Versicherung.
Freie Berufe: Pflichtmitgliedschaft in einem berufsständischen Versorgungswerk.
Selbstständige Künstler und Publizisten: Grundsätzlich Versicherungspflicht in der gesetzlichen Rentenversicherung nach dem Künstlersozialversicherungsgesetz.
Landwirte: Pflichtmitgliedschaft, wenn das Unternehmen eine bestimmte Größe erreicht (z. B. 8 ha landwirtschaftliche Fläche oder 75 ha Forst).</t>
  </si>
  <si>
    <t>Versicherungsgebundenes, arbeitsgebundenes Pflichtsystem, das über die Sozialsteuer finanziert wird. Gleiche Bedingungen für Selbstständige wie für Arbeitnehmer.</t>
  </si>
  <si>
    <t>Gesetzliche einkommensabhängige Rente: obligatorisches versicherungsgebundenes System (YEL und MYEL).
Staatliche Rente: obligatorisches wohnsitzgebundenes System.</t>
  </si>
  <si>
    <t>Sozialversicherungspflichtsystem, basierend auf der Erwerbstätigkeit.</t>
  </si>
  <si>
    <t>Staatliche Rente: auf Pflichtversicherung beruhendes und wohnsitzabhängiges System.
Beitragsabhängige Rente: Auf Erwerbstätigkeit beruhendes Versicherungspflichtsystem.
Keine freiwilligen Systeme.</t>
  </si>
  <si>
    <t>Obligatorisches, versicherungsgebundenes System.
Beitragspflichtige gesetzliche Rente ist arbeitsgebunden und beitragsfreie gesetzliche Rente ist wohnsitzgebunden.
Für gesetzliche Rente (beitragsfrei), siehe Tabelle „Mindestsicherung”.</t>
  </si>
  <si>
    <t>Das allgemeine Rentensystem ist universal/wohnsitzabhängig. Die gesetzliche Rentenversicherung basiert auf Beiträgen.
Beide Systeme sind gesetzlich vorgeschrieben.</t>
  </si>
  <si>
    <t>Systeme sind obligatorisch und versicherungsgebunden.</t>
  </si>
  <si>
    <t>Versicherungs- und arbeitsgebundenes Pflichtsystem.</t>
  </si>
  <si>
    <t>Obligatorisches arbeitsgebundenes Sozialversicherungssystem.</t>
  </si>
  <si>
    <t>Obligatorisches, arbeitsgebundenes Versicherungssystem.</t>
  </si>
  <si>
    <t>Arbeitsgebundenes Versicherungspflichtsystem.
Die zweite Rentensäule verfügt über einen automatischen Registrierungsprozess wobei die Person die Registrierung verweigern kann. Entscheidet sich eine Person jedoch zur Teilnahme, ist dies verbindlich.</t>
  </si>
  <si>
    <t>Arbeitsgebundenes obligatorisches Sozialversicherungssystem.
Die Personen sind von der Versicherungspflicht befreit, wenn das aus der Tätigkeit erzielte Erwerbseinkommen pro Jahr nicht mehr als ein Drittel des sozialen Mindestlohns beträgt oder, im Falle eines Landwirts, wenn die Größe des landwirtschaftlichen Betriebs einen bestimmten Grenzwert nicht überschreitet. Es ist jedoch trotzdem möglich, auf Antrag in die Versicherung aufgenommen zu werden (Opt-in).</t>
  </si>
  <si>
    <t>Obligatorisches, versicherungsgebundenes System.</t>
  </si>
  <si>
    <t>Die Rente der ersten Säule ist allgemein/wohnsitzgebunden (und damit obligatorisch), die Rente der dritten Säule ist freiwillig („Opt-in’) und beitrags-/ersparnisgebunden.
Die untenstehenden Informationen beziehen sich nur auf Renten der ersten Säule.</t>
  </si>
  <si>
    <t>Selbstständige sind durch das allgemeine wohnsitzgebundene Pflichtversicherungssystem abgedeckt.</t>
  </si>
  <si>
    <t>Selbstständige und Landwirte
Arbeitsgebundenes Versicherungspflichtsystem.</t>
  </si>
  <si>
    <t>Pflichtversicherungssystem auf Basis von Versicherung und selbstständiger Tätigkeit.</t>
  </si>
  <si>
    <t>Erste Säule: Obligatorische Sozialversicherung und wohnsitzgebundenes System. Die freiwillige Versicherung ist auf der Grundlage eines Sozialversicherungsvertrags möglich, der mit der relevanten Rentenanstalt abgeschlossen wird.
Die Teilnahme an der zweiten Säule ist für Arbeitnehmer und Selbstständige Pflicht, die unter der ersten Säule versichert sind und nach dem 1. Juli 1971 geboren wurden. Für Personen, die zwischen dem 1. Juli 1961 und dem 1. Juli 1971 geboren wurden, ist die Teilnahme freiwillig.</t>
  </si>
  <si>
    <t>1. Säule (Grundsystem):
Versicherungsbasiertes und universelles System, das alle Personen, die in der Schweiz wohnen oder arbeiten, obligatorisch abdeckt.
2. Säule:
Freiwilliges Versicherungssystem für Selbstständige („Opt-in-System“).</t>
  </si>
  <si>
    <t>Obligatorisches, versicherungsgebundenes System. Es gibt keine Pflichtversicherung für Selbstständige mit einem Jahreseinkommen unter €8.580 im Jahr 2024 (50% des nationalen Durchschnittslohns im Jahr 2023); freiwillige Versicherung ist möglich.</t>
  </si>
  <si>
    <t>Obligatorisches arbeitsgebundenes Versicherungssystem für alle Selbstständigen.</t>
  </si>
  <si>
    <t>Obligatorische, arbeitsgebundene Versicherung.</t>
  </si>
  <si>
    <t>Siehe Leistungen bei Krankheit.</t>
  </si>
  <si>
    <t>Selbstständige beziehen eine Rente entsprechend der Leistungsdauer (in Jahren) und der Höhe der geleisteten Sozialbeiträge.
Damit die Leistungsquartale für die Dauer der Tätigkeit, die den Rentenanspruch begründet, berücksichtigt werden können, müssen Selbstständige mindestens einen Mindestbeitrag pro Quartal eines hauptberuflichen Selbstständigen geleistet haben.
Beim Erreichen des gesetzlichen Rentenalters sind keine Bedingungen für die geleisteten Arbeitsstunden oder die Ausübung einer selbstständigen Tätigkeit über einen Mindestzeitraum zu erfüllen, um die Rentenleistung zu beziehen. Eine vorzeitige Altersrente wird jedoch nur unter bestimmten Bedingungen in Bezug auf Dauer der Beschäftigung und Alter gewährt.</t>
  </si>
  <si>
    <t>Keine  spezifischen Voraussetzungen für Selbständige..</t>
  </si>
  <si>
    <t>Nicht anwendbar (Altersrente/Frührente).</t>
  </si>
  <si>
    <t>Selbstständige: Geringfügig selbstständig Tätige (monatliches Arbeitseinkommen (brutto) bis €556 oder die Tätigkeit ist von Vornherein auf maximal drei Monate oder 70 Arbeitstage innerhalb eines Kalenderjahres begrenzt und erfolgt - sofern das Arbeitseinkommen €556 monatlich übersteigt - nicht berufsmäßig) sind versicherungsfrei.
Selbstständige Künstler und Publizisten: Um nach dem Künstlersozialversicherungsgesetz versichert zu sein, muss das Arbeitseinkommen (brutto) der Künstler und Publizisten den Betrag von €3.900 im Kalenderjahr übersteigen.
Landwirte: Keine bestimmten Voraussetzungen für den Anspruch auf Deckung für Selbstständige.</t>
  </si>
  <si>
    <t>Keine besonderen Anspruchsvoraussetzungen für Alleinunternehmer. Ein Mindestbeitrag sollte gezahlt werden (€270,60 pro Monat im Jahr 2025).
Inhaber von Einzelunternehmenskonten und Personen, die Dienstleistungen mit Werkvertrag und Ermächtigungsvereinbarung erbringen, zahlen 33% ihres erklärten Einkommens (Mindestbeitrag wird nicht erhoben), die Rente ist aber beitragsabhängig.</t>
  </si>
  <si>
    <t>Gesetzliche einkommensbezogene Rente: 4 Versicherungsmonate erforderlich für Selbstständige und Landwirte. Keine Mindestversicherungszeit für Arbeitnehmer.
Im Jahr 2025 beträgt das versicherbare Mindesteinkommen von Selbstständigen €9.208,43 pro Jahr; für Landwirte €4.605 pro Jahr. Für Arbeitnehmer beträgt es €70,08 pro Monat.
Staatliche Rente: Keine bestimmten Voraussetzungen für Selbstständige.</t>
  </si>
  <si>
    <t>Gleiche Bedingungen wie bei Krankheit.</t>
  </si>
  <si>
    <t>Keine bestimmten Voraussetzungen für den Anspruch auf Deckung für Selbstständige.</t>
  </si>
  <si>
    <t>Selbstständige müssen mindestens €5.000 pro Jahr durch ihre selbstständige Tätigkeit verdienen, um zur Zahlung von Sozialbeiträgen verpflichtet zu sein.
Alle Antragsteller, auch Selbstständige, müssen mindestens zehn Jahre lang Sozialversicherungsbeiträge gezahlt haben, um Anspruch auf eine beitragsabhängige Volksrente zu haben.</t>
  </si>
  <si>
    <t>Keine besonderen Voraussetzungen für Selbstständige.</t>
  </si>
  <si>
    <t>Siehe Invalidität – „Finanzierung“.</t>
  </si>
  <si>
    <t>Keine bestimmten Bedingungen.</t>
  </si>
  <si>
    <t>Keine bestimmten Voraussetzungen für den Anspruch auf Deckung für Selbstständige, aber der Beitragssatz ist niedriger, wenn das monatliche Einkommen unter dem Mindestlohn liegt.</t>
  </si>
  <si>
    <t>Keine bestimmten Anspruchsvoraussetzungen für Selbstständige.</t>
  </si>
  <si>
    <t>Um sich für die Deckung zu qualifizieren, muss eine freischaffende Person mindestens €910 (brutto) pro Jahr verdienen, während eine selbstständige Person mindestens €1.006 pro Jahr verdienen muss oder €1.470 (brutto), wenn sie einen Ehepartner unterhält.</t>
  </si>
  <si>
    <t>Selbstständige sind durch das allgemeine wohnsitzgebundene Pflichtversicherungssystem abgedeckt. Keine besonderen Anspruchsbe-dingungen für Selbstständige. Siehe auch „Finanzierung“.</t>
  </si>
  <si>
    <t>BSVG und GSVG: keine bestimmten Bedingungen, bei Wegfall der Pflichtversicherung ist eine freiwillige Weiterversicherung möglich.
Ausnahme: Versicherungsgrenze für „Neue Selbständige“ im GSVG (= jährliche Geringfügigkeitsgrenze nach dem ASVG), diese liegt 2025 bei €6.613,20).
Mindesteinheitswert* im BSVG (€1.500).
(* Der Einheitswert ist ein vom Finanzamt für Steuerzwecke festgestellter Wert, der die Ertragsfähigkeit des land- und forstwirtschaftlichen Betriebes ausdrückt.)</t>
  </si>
  <si>
    <t>Selbstständige und Landwirte
Keine bestimmten Anspruchsvoraussetzungen.</t>
  </si>
  <si>
    <t>Gleiche Bedingungen wie für Geldleistungen bei Krankheit.</t>
  </si>
  <si>
    <t>Versicherung in der staatlichen Rentenversicherung ist obligatorisch, wenn das monatliche durchschnittliche Nettoeinkommen dem Mindestbruttolohn entspricht oder diesen überschreitet, d.h. RON 4.050 ab 1. Januar 2025.</t>
  </si>
  <si>
    <t>Keine besonderen Anspruchsvoraussetzungen für Selbstständige.</t>
  </si>
  <si>
    <t>1. Säule (Grundsystem):
Keine bestimmten Voraussetzungen für den Anspruch auf Deckung für Selbstständige.
2. Säule:
Das Einkommen, das von Selbstständigen versichert werden kann, entspricht mindestens dem Anteil des Lohnes von Arbeitnehmern, der der obligatorischen Vorsorge unterliegt (entspricht der Teil des Jahreslohnes von CHF26.460 bis und mit CHF90.720).</t>
  </si>
  <si>
    <t>Altersversicherung ist verpflichtend für Selbstständige mit einem Jahreseinkommen über €8.580 im Jahr 2024, während es für jene, die weniger als diesen Betrag verdienen, freiwillig ist.</t>
  </si>
  <si>
    <t>Selbstständige müssen vollzeitversichert sein (d.h. 40 Stunden pro Woche).</t>
  </si>
  <si>
    <t>Keine bestimmten Bedingungen, abgesehen von der Meldung im betreffenden System.</t>
  </si>
  <si>
    <t>Wie für Arbeitnehmer.</t>
  </si>
  <si>
    <t>Siehe Tabelle: Krankheit – Sachleistungen.</t>
  </si>
  <si>
    <t>Keine spezifische Vorschrift. Selbstständige zahlen Sozialabgaben auf die Summe ihres versicherbaren Einkommens (Obergrenze BGN 4.130 (€ 2.112)).</t>
  </si>
  <si>
    <t>Keine spezifischen Vorschriften.</t>
  </si>
  <si>
    <t>Selbstständige in der gesetzlichen Rentenversicherung: Werden mehrere selbstständige Tätigkeiten ausgeübt, kann eine Mehrfachversicherungspflicht entstehen. Auch die Kombination Beschäftigungsverhältnis plus Selbstständigkeit kann zur Mehrfachversicherung führen. Die Beiträge an die gesetzliche Rentenversicherung sind dann grundsätzlich aus jeder einzelnen entstandenen Versicherungspflicht zu zahlen, insgesamt jedoch höchstens bis zur Beitragsbemessungsgrenze.
Freie Berufe: Eigenfinanzierte Versorgungswerke: eigenes Beitrags- und Leistungsrecht.
Landwirte: Die Versicherungspflicht für Landwirte und mitarbeitende Familienangehörige in der Alterssicherung der Landwirte bleibt bestehen, wenn diese einer bezahlten Tätigkeit nachgehen, die eine Versicherungspflicht in anderen Sozialversicherungssystemen (zum Beispiel in der allgemeinen Rentenversicherung) auslöst. Sie können jedoch auf Antrag von der Versicherungspflicht in der Alterssicherung der Landwirte befreit werden, solange sie u.a. regelmäßig außerland- bzw. forstwirtschaftliches Arbeitsentgelt, Arbeitseinkommen, vergleichbares Einkommen oder Erwerbsersatzeinkommen beziehen, dass jährlich das Zwölffache der Geringfügigkeitsgrenze nach § 8 Absatz 1a des Vierten Buches Sozialgesetzbuch überschreitet.</t>
  </si>
  <si>
    <t>Wie in der Tabelle für Krankheit -Sachleistungen.</t>
  </si>
  <si>
    <t>Landwirte
Der Landwirt, der gleichzeitig eine abhängige Beschäftigung ausübt oder ausgeübt hat, die unter das allgemeine Versicherungssystem fällt, bezieht für jeden Versicherungsträger eine Altersrente. Er bezieht somit eine Rente des landwirtschaftlichen Sozialversicherungssystems (mutualité sociale agricole, MSA) für die Zeiträume seiner selbstständigen Tätigkeit als Landwirt und eine Rente der Staatlichen Kasse für die Altersversicherung (caisse nationale d'assurance vieillesse des professions libérales, CNAVPL) für die Quartale, in denen er Beiträge in das allgemeine System der Arbeitnehmer eingezahlt hat.
Handelt es sich bei der selbständigen landwirtschaftlichen Tätigkeit, die in Verbindung mit einer Beschäftigung als Arbeitnehmer ausgeübt wird, jedoch nur um eine Nebentätigkeit, zahlt die MSA nur die anteilige Altersrente des Landwirts (siehe Kasten Leistungen/Dienste unten).
Handwerker, Kaufleute und Gewerbetreibende
Bei gleichzeitiger Ausübung einer selbstständigen Tätigkeit und einer abhängigen Beschäftigung, die unter das allgemeine System oder das landwirtschaftliche Versicherungssystem fallen, wird die Altersrente von dem System gezahlt, das die Pflegekosten trägt (mit Ausnahmen).
Werden im Übrigen mehrere selbstständige Tätigkeiten gleichzeitig ausgeübt, beziehen sich Mitgliedschaft und Entrichtung der Beiträge auf die Altersversicherung, die der Haupttätigkeit entspricht. Dieses System zahlt die Altersrente.
Übt der Versicherte mehrere reglementierte freie Berufe aus, so ist er nur einem einzigen Berufszweig angeschlossen (Vorrang eines gesetzlich festgelegten Zweigs oder ansonsten freie Wahl des Versicherten).
Ein unter das allgemeine System fallender Arbeitnehmer, der auch freiberuflich tätig ist, muss, auch wenn seine freiberufliche Tätigkeit eine Nebentätigkeit darstellt, Beiträge sowohl für das allgemeine System als auch für das System des betreffenden Berufszweigs leisten.</t>
  </si>
  <si>
    <t>Als Arbeitnehmer zahlt die Person in jedem Fall die Versicherungsbeiträge, die im Arbeitnehmergesetz vorgesehen sind.
Als Selbstständiger muss die Person den Betrag der 2. Versicherungskategorie, welche die Mindestanforderung ist. Sind die als Arbeitnehmer gezahlten Beiträge aber gleich hoch oder höher als der Betrag der 2. Versicherungskategorie, muss die Person (für die selbstständige Tätigkeit) keinen Zusatzbeitrag leisten. Andernfalls zahlt die Person die Differenz zum Betrag der 2. Versicherungskategorie.
Für Menschen, die als Selbstständige weniger als 5 Jahre versichert waren (Sonderversicherungskategorie), ist der oben genannte Betrag der der 1. Versicherungskategorie.
Hat sich die Person (als Selbstständiger) für eine höhere Versicherungskategorie entschieden als die 2., müssen die Beiträge, die als Arbeitnehmer gezahlt werden, gleich hoch oder höher sein als der Betrag der gewählten Kategorie.
Andernfalls zahlt die Person die Differenz zum Betrag der gewählten Versicherungskategorie.</t>
  </si>
  <si>
    <t>Insbesondere zahlen Selbstständige, die im gesonderten Rentensystem (Gestione separata) gemeldet sind, Beiträge in das System ein, vorausgesetzt, ihr jährliches Arbeitseinkommen übersteigt €5.000.</t>
  </si>
  <si>
    <t>Personen, die eine selbstständige Tätigkeit mit einer bezahlten Beschäftigung als Arbeitnehmer kombinieren, zahlen gesonderte Beiträge jeweils als Arbeitnehmer und als Selbstständiger.</t>
  </si>
  <si>
    <t>Keine spezifischen Vorschriften für Fälle, in denen eine Person selbständig und unselbständig tätig ist.</t>
  </si>
  <si>
    <t>Im Falle von gleichzeitiger Tätigkeit als Arbeitnehmer und Selbstständigkeit werden Beiträge für Freischaffende für die Haupttätigkeit entrichtet, d.h. die Tätigkeit, die die höchsten Gewinne generiert.
Selbstständige können nicht gleichzeitig als Arbeitnehmer tätig sein.</t>
  </si>
  <si>
    <t>Keine unterschiedlichen Vorschriften.
Begrenzung mit der Höchstbeitragsgrundlage.
Wird die Höchstbeitragsgrundlage (voraussichtlich) überschritten, kommt es zu einer Differenzbeitragsvorschreibung: Dabei gilt die Rangordnung ASVG/B-KUVG vor GSVG/FSVG vor BSVG. Ausgehend von der (den) vorrangigen Beitragsgrundlage(n) wird die nachrangige Beitragsgrundlage vorläufig in einer Höhe festgesetzt, die voraussichtlich das Überschreiten der Höchstbeitragsgrundlage ausschließt; es kommt also von vornherein zu einer (teilweisen) Befreiung von der Beitragspflicht.</t>
  </si>
  <si>
    <t>Selbstständige
Bei einer Kombination von selbstständiger Tätigkeit und bezahlter Beschäftigung als Arbeitnehmer sind nur Beiträge als Arbeitnehmer zu zahlen. Beiträge für die selbstständige Tätigkeit sind freiwillig.
Landwirte
Bei der Kombination von landwirtschaftlicher Tätigkeit und bezahlter Beschäftigung als Arbeitnehmer sind nur Beiträge als Arbeitnehmer zu zahlen.</t>
  </si>
  <si>
    <t>Die Rentenempfänger, die eine selbstständige Tätigkeit ausüben, können von der Beitragszahlung befreit werden.</t>
  </si>
  <si>
    <t>Diejenigen, die sowohl als Arbeitnehmer als auch als Selbstständige arbeiten, sind im Fall von bestimmten Einkommensquellen, die sie als Selbstständige erzielen, von der Pflichtversicherung befreit (zum Beispiel geistige Eigentumsrechte).</t>
  </si>
  <si>
    <t>Kein Unterschied.</t>
  </si>
  <si>
    <t>1. Säule:
Sofern das Einkommen aus einer selbstständigen nebenberuflichen Erwerbstätigkeit CHF2.300 pro Kalenderjahr nicht übersteigt, werden die Beiträge nur auf Verlangen des Versicherten erhoben.
Wenn der jährliche Mindestbeitrag (CHF530 für AHV/IV/EO) bereits auf dem im selben Jahr aus unselbstständiger Erwerbstätigkeit erzielten Einkommen erhoben wurde, kann die Person verlangen, dass die Beiträge für das aus selbstständiger Erwerbstätigkeit erzielte Einkommen nur zum untersten Satz der sinkenden Beitragsskala erhoben werden, sofern dieses Einkommen unter dem untersten Wert der sinkenden Beitragsskala liegt.
2. Säule:
Selbstständige, die nebenberuflich eine unselbstständige Erwerbstätigkeit ausüben, unterliegen für diese Tätigkeit nicht der Versicherungspflicht.</t>
  </si>
  <si>
    <t>Keine Unterschiede.</t>
  </si>
  <si>
    <t>Selbstständige haben Vollzeit-Versicherungsdeckung, wenn es nicht anders festgelegt ist. Personen, die als Arbeitnehmer in Teilzeit tätig sind (aber nicht weniger als 4 Wochenstunden) und zur gleichen Zeit als Selbstständige, müssen für die gesamte Versicherungszeit als Selbstständige abgedeckt sein.</t>
  </si>
  <si>
    <t>Personen, die Selbstständigkeit mit bezahlter Arbeit als Arbeitnehmer kombinieren, dürfen mehr als eine Rente beziehen, vorausgesetzt, dass sie alle notwendigen Voraussetzungen jedes Systems erfüllen.</t>
  </si>
  <si>
    <t>Eine auf Teilzeitbasis (siehe Tabelle 0, „Grundprinzipien“ für Selbstständige) erwerbstätige selbstständige Person ist für die Rentenversicherung abgedeckt:
   * wenn Bruttoeinkommen aus Teilzeit-Selbstständigkeit nach Abzug der Ausgaben mindestens dem „maßgebendem Betrag“ (CZK 111.736 (€4.515)) im vorangegangenen Kalenderjahr entspricht, oder;
   * wenn sie freiwillig Mitglied des Rentenversicherungssystems geworden ist.
Eine geringere Mindestbeitragsgrundlage gilt für Vollzeit-Selbstständige: CZK 5.122 (€207) monatlich).
Beiträge werden getrennt für jede versicherte Wirtschaftstätigkeit gezahlt, eine einzelne Leistung wird auf die Summe des Entgelts aus allen versicherten Wirtschaftstätigkeiten gezahlt.</t>
  </si>
  <si>
    <t>Die Zugangsbedingungen für die vorzeitige Altersrente (Alter und Dauer der beruflichen Tätigkeit) sind mit denen der Arbeitnehmer identisch.
Das gesetzliche Rentenalter (65 Jahre bis zum 31. Januar 2025, 66 Jahre von 1. Februar 2025 bis 1. Januar 2030 und 67 Jahre ab 1. Februar 2030) ist identisch.
Es besteht jedoch ein Unterschied in Bezug auf Arbeitnehmer hinsichtlich der garantierten Mindestrente.
Um eine garantierte Mindestrente beziehen zu können, müssen 2/3 der vollständigen Erwerbstätigkeit in einem System nachgewiesen werden (für gemischte Laufbahnen existiert eine Sonderregelung). Im System für Arbeitnehmer werden zur Erreichung der Quote von 2/3 die Jahre berücksichtigt, die mindestens 208 VZÄ (= strenges Kriterium) und mindestens 156 VZÄ (= flexibles Kriterium) entsprechen. Das flexible Kriterium ermöglicht ein schnelleres Erreichen der 2/3, die Berechnung ist jedoch weniger vorteilhaft als die beim strengen Kriterium zur Anwendung kommende. Beim Sozialstatus der Selbstständigen wird indessen nicht zwischen flexiblem und strengem Kriterium unterschieden, so dass die 2/3 weniger schnell erreicht werden.</t>
  </si>
  <si>
    <t>Dieselben wie für Arbeitnehmer.</t>
  </si>
  <si>
    <t>Versicherungspflichtige und freiwillig versicherte Selbstständige in der gesetzlichen Rentenversicherung: Dieselben Bedingungen wie für Arbeitnehmer.
Freie Berufe: Eigenfinanzierte Versorgungswerke: eigenes Beitrags- und Leistungsrecht.
Für Landwirte gibt es für bestimmte Leistungen eine Mindestversicherungszeit von 15 Jahren.</t>
  </si>
  <si>
    <t>Gleiche Bedingungen wie für Arbeitnehmer.</t>
  </si>
  <si>
    <t>Dieselben wie für Arbeitnehmer.
Aber neben dem Basissystem existieren mehrere Zusatzrentenversicherungen entsprechend der ausgeübten Tätigkeit. Für diese Zusatzrentenversicherungen gelten spezifische Zugangsbedingungen.</t>
  </si>
  <si>
    <t>Gleiche Anspruchsvoraussetzungen für Arbeitnehmer und Selbstständige.
Es gibt eine besondere Regel zum Versicherungseintritt für Selbstständige. PRSI für Selbstständige wurde das erste Mal am 06. April 1988 eingeführt. Für Personen, die am 06. April 1988 begannen, Beiträge für Selbstständige zu zahlen und zuvor zu einem beliebigen Zeitpunkt Arbeitnehmerversicherungsbeiträge gezahlt hatten, kann das Eintrittsdatum in die Versicherung entweder der 06. April 1988 sein oder das Datum, an dem sie tatsächlich zum ersten Mal Beiträge gezahlt haben, je nachdem, wie es für sie vorteilhafter ist.
Für Personen, die nach dem 06. April 1988 damit begonnen haben, Beiträge für Selbstständige zu zahlen, ist das Eintrittsdatum in die Versicherung das Datum, an dem ihr erster anrechenbarer Beitrag gezahlt wurde.</t>
  </si>
  <si>
    <t>Siehe Invalidität – „Kombination von selbstständiger und unselbstständiger Tätigkeit“.</t>
  </si>
  <si>
    <t>Dieselben wie für Arbeitnehmer.
Es werden die Zeiten der selbstständigen Tätigkeit, die vor der Gründung von Rentensystemen liegen, bis zu 15 Jahren als gleichgestellte Zeiten angerechnet.</t>
  </si>
  <si>
    <t>Dieselben wie für Arbeitnehmer:innen.</t>
  </si>
  <si>
    <t>Gleiche Zugangsbedingungen wie für Arbeitnehmer, mit Ausnahme vom flexiblen Renteneintrittsalter, das es nicht für Selbstständige gibt.</t>
  </si>
  <si>
    <t>1. und 2. Säule:
Dieselben wie für Arbeitnehmer.</t>
  </si>
  <si>
    <t>Dieselben wie für Arbeitnehmer (aber Selbstständige müssen alle fälligen Beitragszahlungen geleistet haben).</t>
  </si>
  <si>
    <t>Die verschiedenen Leistungen der beiden Systeme sind in Bezug auf Art und Dauer identisch.
Die Höhe der Mindestrente ist in den beiden Systemen gleich, aber die auf das Erwerbseinkommen berechnete Rente für Selbstständige ist im Allgemeinen geringer als die für Arbeitnehmer.</t>
  </si>
  <si>
    <t>Versicherungspflichtige und freiwillig Versicherte in der gesetzlichen Rentenversicherung: Dieselben Bedingungen wie für Arbeitnehmer.
Freie Berufe: Eigenfinanzierte Versorgungswerke: eigenes Beitrags- und Leistungsrecht.
Landwirte: Im Gegensatz zu dem allgemeinen System der Rentenversicherung stellt die Alterssicherung der Landwirte nur eine Teilsicherung dar. Der Teilsicherungscharakter der Alterssicherung der Landwirte schlägt sich in der Höhe der Beiträge und im Niveau der Renten nieder. In der Alterssicherung der Landwirte wird ein nicht einkommensbezogener Einheitsbeitrag erhoben.</t>
  </si>
  <si>
    <t>Landwirte
Die Rente für Landwirte setzt sich zusammen aus
   * einer Grundrente, die eine Pauschalrente umfasst (je nach Dauer der Tätigkeit und der nach Generation bestimmten Dauer der Berufslaufbahn) und einer anteilsmäßigen Rente, die den durch Beiträge erworbenen Punkten entspricht;
   * einer obligatorischen Zusatzrente, die ebenfalls nach Punkten berechnet wird.
Handwerker, Kaufleute und Gewerbetreibende
Gleiche Formel zur Feststellung des Rentenanspruchs wie für Arbeitnehmer:
Durchschnittliches Jahreseinkommen x Satz x (Anzahl von Versicherungsquartalen Handwerker oder Kaufleute nach 1972/Bezugsdauer).
Berücksichtigung von Versicherungsquartalen im Rahmen der Tätigkeit als Arbeitnehmer (allgemeines und/oder landwirtschaftliches Versicherungssystem).
Freie Berufe
Die eingezahlten Beiträge werden in Punkte umgewandelt, nach denen die Höhe der Grundrente festgesetzt wird. Der Rentenanspruch errechnet sich aus der Anzahl der erworbenen Punkte, dem Wert der einzelnen Punkte und einer Liquiditätsquote, die von der Versicherungsdauer abhängt (Punktwert des Basissystems am 1. Januar 2025: €0,6540).
Bei vorzeitiger Altersrente entsprechen die angewendeten Ermäßigungskoeffizienten (Abschlag) und Erhöhungskoeffizienten (Aufschlag) denen von Arbeitnehmern (1,25%).</t>
  </si>
  <si>
    <t>Dieselben wie für Arbeitnehmer.
Landwirte: Rentenberechnung (Alter und Invalidität) wird schrittweise vereinheitlicht bis 1. Januar 2031.</t>
  </si>
  <si>
    <t>Dieselben Leistungen wie für unselbständig Erwerbende.</t>
  </si>
  <si>
    <t>Gleiche Berechnungsmethode und Dauer wie für Arbeitnehmer.
Das Referenzeinkommen ist jedoch ein anderes als bei Arbeitnehmern.</t>
  </si>
  <si>
    <t>Gleiche Leistungen erhältlich wie für Arbeitnehmer.</t>
  </si>
  <si>
    <t>Gleiche Regelung wie bei unselbständig Erwerbstätigen.</t>
  </si>
  <si>
    <t>Selbstständige
Wie für Arbeitnehmer.
Landwirte
Die Altersrente für Landwirte umfasst einen beitragsabhängigen und einen zusätzlichen Teil. Der beitragsabhängige Teil versorgt den Landwirt mit einer Leistung, die sich auf dessen Durchschnittseinkommen bezieht. Die Ersatzrate des zusätzlichen Teils beläuft sich auf rund 25% des Grundbetrags.</t>
  </si>
  <si>
    <t>Gleiche Leistungen wie für Arbeitnehmer.
Umschulungszulage: für Berufstätige im Kulturbereich, die ihre Berufstätigkeit eingestellt haben und noch keinen Anspruch auf Altersrente haben (nicht von der sozialen Sicherheit bezahlt).</t>
  </si>
  <si>
    <t>Gleiches gilt für Arbeitnehmer, jedoch besteht kein Anspruch auf Teilruhestandsrente oder auf Frührente im Falle eines unfreiwilligen Ruhestandes.</t>
  </si>
  <si>
    <t>Gleiche Leistungen wie für Arbeitnehmer.</t>
  </si>
  <si>
    <t>Gleiches steuerliches System wie für Arbeitnehmer.</t>
  </si>
  <si>
    <t>Wie für Arbeitnehmer. Keine Steuern auf Leistungen zahlbar.</t>
  </si>
  <si>
    <t>Bei Selbstständigen wird das Einkommen in Form einer Bilanz oder Einnahmen-Überschuss-Rechnung ermittelt. Die Besteuerung des Gesamteinkommens nebst Entgeltleistungen erfolgt im Nachhinein.</t>
  </si>
  <si>
    <t>Wie für Arbeitnehmer. Leistungen sind steuerpflichtig.</t>
  </si>
  <si>
    <t>Gleiche Bedingungen wie für Arbeitnehmer. Leistungen unterliegen der Steuer.</t>
  </si>
  <si>
    <t>Wie für Arbeitnehmer (Leistungen unterliegen der Steuer).</t>
  </si>
  <si>
    <t>Wie für Arbeitnehmer. Leistungen unterliegen nicht der Einkommenssteuer.</t>
  </si>
  <si>
    <t>Wie für Arbeitnehmer (Leistungen sind steuerpflichtig).</t>
  </si>
  <si>
    <t>Gleiche Bedingungen wie für Arbeitnehmer.
Der Beitragssatz zur Volksversicherung für Personen, die im Laufe des Einkommensjahres 16 Jahre alt werden oder jünger sind oder im Laufe des Einkommensjahres 70 Jahre alt werden oder älter sind, beträgt 5,1% für alle Arten des persönlichen Einkommens. Dazu gehören auch der Lohn und das persönliche Einkommen von Selbstständigen.
Der auf die Altersrenten angewandte Satz von 5,1% ist jedoch altersunabhängig.</t>
  </si>
  <si>
    <t>Dieselben wir für Arbeitnehmer:innen: Sie unterliegen der Einkommensteuer.</t>
  </si>
  <si>
    <t>Selbstständige und Landwirte
Wie für Arbeitnehmer.</t>
  </si>
  <si>
    <t>Wie für Arbeitnehmer: Renten unterliegen der Besteuerung.</t>
  </si>
  <si>
    <t>Gleiche Bedingungen wie für Arbeitnehmer. (Leistungen werden nur besteuert, wenn sie CZK 748.800 (€30.257) übersteigen, d.h. das 36-fache des monatlichen Bruttomindestlohns.)</t>
  </si>
  <si>
    <t>Wie für Arbeitnehmer. Renten unterliegen der Besteuerung.</t>
  </si>
  <si>
    <t>Wie für Arbeiternehmer.</t>
  </si>
  <si>
    <t>Wie für Arbeitnehmer. Keine Sozialabgaben auf Leistungen zahlbar.</t>
  </si>
  <si>
    <t>Identisch mit denen für Arbeitnehmer (Leistungen sind beitragspflichtig).</t>
  </si>
  <si>
    <t>Wie für Arbeitnehmer. Keine Beiträge auf Leistungen zahlbar.</t>
  </si>
  <si>
    <t>Gleiche Bedingungen wie für Arbeitnehmer Leistungen unterliegen der Steuer.</t>
  </si>
  <si>
    <t>Es gelten dieselben Vorschriften für Sozialbeiträge wie für unselbständig Erwerbende (d.h. keine Sozialabgaben).</t>
  </si>
  <si>
    <t>Wie für Arbeitnehmer. Keine Sozialbeiträge auf Leistungen.</t>
  </si>
  <si>
    <t>Wie für Arbeitnehmer (Beiträge auf Leistungen zahlbar).</t>
  </si>
  <si>
    <t>Gleiche Regelungen wie für Arbeitnehmer: Keine Beiträge auf die Leistungen.</t>
  </si>
  <si>
    <t>Gleiche Bedingungen wie für Arbeitnehmer (keine Sozialbeiträge auf Leistungen zahlbar).</t>
  </si>
  <si>
    <t>Wie für Arbeitnehmer. Keine Sozialbeiträge auf Leistungen.</t>
  </si>
  <si>
    <t>Arbeitnehmer:
Königlicher Erlass Nr. 50 vom 24. Oktober 1967 über Alters- und Hinterliebenenpensionen für Arbeitnehmer (Arrêté royal n° 50 relatif à la pension de retraite et de survie des travailleurs salariés/Koninklijk besluit nr 50 betreffende het rust- en overlevingspensioen voor werknemers)
Königlicher Erlass vom 21. Dezember 1967 zur Einführung einer allgemeinen Regelung über die Ruhestands- und Hinterbliebenenpension für Lohnempfänger (Koninklijk besluit tot vaststelling van het algemeen reglement betreffende het rust- en overlevingspensioen voor werknemers)
Königlicher Erlass vom 23. Dezember 1996 zur Ausführung der Artikel 15, 16 und 17 des Gesetzes vom 26. Juli 1996 zur Modernisierung der sozialen Sicherheit und zur Sicherung der gesetzlichen Pensionsregelungen (Koninklijk besluit tot uitvoering van de artikelen 15, 16 en 17 van de wet van 26 juli 1996 tot modernisering van de sociale zekerheid en tot vrijwaring van de leefbaarheid van de wettelijke pensioenen).
Selbstständige:
Königlicher Erlass Nr. 72 vom 10. November 1967 über Alters- und Hinterliebenenpensionen für Selbstständige (Arrêté royal n° 72 relatif à la pension de retraite et de survie des travailleurs indépendants/Koninklijk besluit nr 72 betreffende het rust- en overlevingspensioen der zelfstandigen)
Königlicher Erlass vom 22. Dezember 1967 zur Einführung einer allgemeinen Regelung über die Ruhestands- und Hinterbliebenenpension für Selbständige (Koninklijk besluit houdende algemeen reglement betreffende het rust- en overlevingspensioen der zelfstandigen)
Verzeichnis der Rechtsakte: Moniteur Belge - Belgisch Staatsblad (fgov.be)</t>
  </si>
  <si>
    <t>Sozialgesetzbuch (Кодекс за социално осигуряване) von 1999, Abschnitt 2003 novelliert.</t>
  </si>
  <si>
    <t>Konsolidiertes Gesetz Nr. 1142 vom 1. November 2024 über Zusatzrenten (om Arbejdsmarkedets tillægspension, ATP).
Verzeichnis der Rechtsakte: https://www.retsinformation.dk/</t>
  </si>
  <si>
    <t>Sozialgesetzbuch Sechstes Buch, eingeführt durch das Rentenreformgesetz vom 18. Dezember 1989, in der Fassung der Bekanntmachung vom 19. Februar 2002 (BGBl. I S. 754, 1404, 3384), zuletzt geändert durch Art. 11 G v. 18.12.2024 (BGBl. I Nr. 423). SGB 6 - nichtamtliches Inhaltsverzeichnis (gesetze-im-internet.de)</t>
  </si>
  <si>
    <t>Gesetz über die staatliche Rentenversicherung (Riikliku pensionikindlustuse seadus) 2001.
Gesetz über die staatliche Bestattungsbeihilfe (Riikliku matusetoetuse seadus) 2001.
Verzeichnis der Rechtsakte – siehe hier.</t>
  </si>
  <si>
    <t>Gesetz über die Volksrenten Nr. 568/2007 (Kansaneläkelaki, KEL).
Gesetz über Renten für Seeleute Nr. 1290/2006 (Merimieseläkelaki, MEL).
Gesetz über Renten für Arbeitnehmer 395/2006 (Työntekijän eläkelaki, TyEL).
Gesetz über Renten für den öffentlichen Sektor Nr. 81/2016 (Julkisten alojen eläkelaki).
Gesetz über Renten der Selbstständigen Nr. 1272/2006 (Yrittäjän eläkelaki, YEL).
Rentengesetz für Landwirte Nr. 1280/2006 (Maatalousyrittäjän eläkelaki, MYEL).
Verzeichnis der Rechtsakte: https://www.finlex.fi/en/</t>
  </si>
  <si>
    <t>Basissystem (Régime de base):
Sozialgesetzbuch (Code de la sécurité sociale), Artikel L 342-1 f., L 353-1 ff., L 356-1 ff. und L358-1 ff.
Zusatzrentensysteme (Agirc-Arrco):
Am 17. November 2017 wurde das Zusatzrentensystem Agirc-Arrco eingeführt.
Es gibt weitere Basis- und Zusatzsysteme, insbesondere für die Selbstständigen und für bestimmte Arbeitnehmergruppen.
Verzeichnis der Rechtsakte Verzeichnis der Rechtsakte: https://www.legifrance.gouv.fr/codes/texte_lc/LEGITEXT000006073189/ und https://www.agirc-arrco.fr/nos-etudes-et-publications/documentation-institutionnelle/textes-de-reference/</t>
  </si>
  <si>
    <t>Gesetz Nr. 1846/51 vom 14. Juni 1951, in der durch das Gesetz Nr. 2676 vom 5. Januar 1999 geänderten Fassung.
Gesetz Nr. 1902/90 vom 17. Oktober 1990.
Gesetz Nr. 2084/92 vom 7. Oktober 1992.
Gesetz Nr. 3029/02 vom 11. Juli 2002.
Gesetz Nr. 3232/04 vom 12. Februar 2004.
Gesetz Nr. 3385/05 vom 19. August 2005.
Gesetz Nr. 3863/10 vom 15. Juli 2010.
Gesetz Nr. 3986/11 vom 1. Juli 2011.
Gesetz Nr. 3996/11 vom 5. August 2011.
Gesetz Nr. 4093/2012 vom 12. November 2012.
Gesetz Nr. 4111/2013 vom 25. Januar 2013.
Gesetz Nr. 4147/2013 vom 26. April 2013.
Gesetz Nr. 4237/2014 vom 12. Dezember 2014.
Gesetz Nr. 4387/2016 vom 12. Mai 2016.
Gesetz Nr 4393/2016 vom 6. Juni 2016.
Gesetz Nr. 4472/2016 vom 19. Mai 2017.
Gesetz Nr. 4499/2017 vom 21. November 2017.
Gesetz Nr. 4554/2018 vom 18. Juni 2018.
Gesetz Nr. 4611/2019 vom 17. Mai 2019 (Art. 19).
Gesetz Nr. 4670/2020 vom 28. Februar 2020.
Gesetz Nr. 4798/2021 vom 24. April 2021.
Gesetz Nr. 4892/2022 vom 22. Februar 2022.
Gesetz Nr. 4997/2022 vom 25. November 2022.
Gesetz Nr. 5036/2023 vom 28. März 2023.
Gesetz Nr. 5078/2023 vom 20. Dezember 2023.
Verzeichnis der Rechtsakte: https://search.et.gr/el/</t>
  </si>
  <si>
    <t>Sozialversicherungsgesetz (Lög um almannatryggingar) Nr. 100/2007 vom Mai 2007.
Sozialhilfegesetz (Lög um félagslega aðstoð) Nr. 99/2007 vom Mai 2007.
Gesetz über die obligatorische Versicherung für Renten und die Tätigkeit von Rentenfonds (Lög um skyldutryggingu lífeyrisréttinda og starfsemi lífeyrissjóða) Nr. 129/1997 vom Dezember 1997.
Verzeichnis der Rechtsakte – siehe hier.</t>
  </si>
  <si>
    <t>Gesetz Nr. 155 vom 23. April 1981 (Legge 23 Aprile 1981 n. 155 - Adeguamento delle strutture e delle procedure per la liquidazione urgente delle pensioni e per i trattamenti di disoccupazione, e misure urgenti in materia previdenziale e pensionistica).
Gesetz Nr. 638 vom 11. Nov. 1983 (Legge 11 Novembre 1983 n. 638 - Conversione in Legge, con modificazioni, del Decreto-Legge 12 settembre 1983, n. 463, recante misure urgenti in materia previdenziale e sanitaria).
Gesetzgebende Verordnung Nr. 503 vom 30. Dez. 1992 (Decreto Legislativo 30 Dicembre 1992 n. 503 - Norme per il riordinamento del sistema previdenziale dei lavoratori privati e pubblici).
Gesetz Nr. 335 vom 8. August 1995 zur Rentenreform (Legge 8 Agosto 1995 n. 335 - Riforma del sistema pensionistico obbligatorio e complementare).
Gesetz Nr. 243 vom 23. August 2004 über die Förderung von Zusatzrenten (Legge 23 Agosto 2004 n. 243 -Norme in materia pensionistica e deleghe al Governo nel settore della previdenza pubblica, per il sostegno alla previdenza complementare e all‘occupazione stabile e per il riordino degli enti di previdenza ed assistenza obbligatoria).
Gesetz Nr. 133 vom 6 August 2008 zur Beseitigung der Einschränkungen bezüglich der Kumulation von Renten und Arbeit (Legge 6 agosto 2008, n.133- Conversione in legge, con modificazioni, del decreto-legge 25 giugno 2008, n. 112, recante disposizioni urgenti per lo sviluppo economico, la semplificazione, la competitività, la stabilizzazione della finanza pubblica e la perequazione tributaria).
Gesetz Nr. 122 vom 30. Juli 2010 über dringende Maßnahmen im Bereich der finanziellen Stabilisierung und wirtschaftlichen Wettbewerbsfähigkeit (Legge 30 Luglio 2010 n. 122 - misure urgenti in materia di stabilizzazione finanziaria e competitività economica).
Gesetz Nr. 147 vom 27. Dezember 2013 über Bestimmungen für die Aufstellung des jährlichen und mehrjährigen Staatshaushalts - Stabilitätsgesetz 2014 (Disposizioni per la formazione del bilancio annuale e pluriennale dello Stato - Legge di stabilità 2014).
Gesetz Nr. 76 vom 20. Mai 2016, über “Bestimmungen zu gleichgeschlechtlichen Lebenspartnerschaften und eingetragenen Lebensgemeinschaften” (veröffentlicht im Amtsblatt der Italienischen Republik Nr. 118 vom 21. Mai 2016) – (Legge 20 same gender civil partnerships maggio 2016, n. 76 recante la "Regolamentazione delle Unioni civili tra persone dello stesso sesso e disciplina delle convivenze").
Verzeichnis der Rechtsakte: https://www.normattiva.it/</t>
  </si>
  <si>
    <t>1. Säule:
Rentenversicherungsgesetz (Zakon o mirovinskom osiguranju) von 2025, ABl. Nr. 96/25.
Gesetz über Zulagen zu Renten, die nach dem Rentenversicherungsgesetz erworben wurden (Zakon o dodatku na mirovine ostvarene prema Zakonu o mirovinskom osiguranju) von 2007, ABl. Nr. 79/07, 114/11, 115/18 und 156/23.
2. Säule:
Gesetz über obligatorische Rentenfonds (Zakon o obveznim mirovinskom fondovima) von 2014, ABl. Nr. 19/14 (in Kraft seit dem 20. Februar 2014) und Änderungen 93/15, 64/18, 115/18 und 58/20.
Gesetz über freiwillige Rentenfonds (Zakon o dobrovoljnim mirovinskom fondovima) von 2014, ABl. Nr. 19/14 und 115/18.
Gesetz über Rentenversicherungsunternehmen (Zakon o mirovinskim osiguravajućim društvima), von 2014, ABl. Nr. 22/14, 115/18 und 156/23.
Verzeichnis der Rechtsakte – siehe hier.</t>
  </si>
  <si>
    <t>Gesetz über die staatliche Sozialversicherung (Likums „Par valsts sociālo apdrošināšanu“) vom 1. Oktober 1997.
Gesetz über staatliche Renten (Likums „Par valsts pensijām“) vom 2. November 1995.
Gesetz über Staatliche Sozialleistungen (Valsts sociālo pabalstu likums) vom 1. Januar 2003.
Verordnung des Ministerkabinetts Nr. 165 über “Verfahren zur Erbringung von Nachweisen, Berechnung und Registrierung von Versicherungszeiten” vom 23. April 2002 (Ministru kabineta 23.04.2002. noteikumi Nr.165 “Apdrošināšanas periodu pierādīšanas aprēķināšanas un uzskaites kārtība”).
Verordnung des Ministerkabinetts Nr. 427 über “Gewährung, Neuberechnung und Zahlung der gesetzlichen Rente sowie Verfahren für die Berechnung des durchschnittlichen versicherungspflichtigen Entgelts zur Bestimmung der Invaliditätsrente” vom 5. Juli 2016 (Ministru kabineta 05.07.2016. noteikumi Nr.427 "Noteikumi par valsts pensijas piešķiršanu, pārrēķināšanu un izmaksu, kā arī vidējās apdrošināšanas iemaksu algas aprēķināšanas kārtību invaliditātes pensijas noteikšanai").
Verzeichnis der Rechtsakte: https://likumi.lv/</t>
  </si>
  <si>
    <t>1. Säule: Gesetz über die Alters- und Hinterlassenenversicherung (AHVG), LGBl. 1952 Nr. 29.
2. Säule: Gesetz über die betriebliche Personalvorsorge, LGBl. 1988 Nr. 1.
Gesetz über die betriebliche Personalvorsorge des Staates, LGBL. 2013 Nr. 329.
Rechtsinformationssystem: www.gesetze.li</t>
  </si>
  <si>
    <t>Das Änderungsgesetz zum Gesetz Nr. I-549 der Republik Litauen über Renten der staatlichen Sozialversicherung (Lietuvos Respublikos valstybinių socialinio draudimo pensijų įstatymo Nr. I-549 pakeitimo įstatymas) vom 29. Juni 2016 (Nr. XII.2512).
Gesetz über Leistungen für Alleinstehende (Vienišo asmens išmokos įstatymas) vom 27. Mai 2021 (Nr. XIV-352).
Verzeichnis der Rechtsakte: https://e-seimas.lrs.lt/.</t>
  </si>
  <si>
    <t>Gesetz über soziale Sicherheit (Att dwar is-Sigurtà Soċjali) (Kap. 318), verfügbar unter https://legislation.mt/eli/cap/318/eng.
Gesetz über Hinterbliebenenrenten (Att dwar Pensjoni tar-Romol u ta’Ltima) (Kap. 58), verfügbar unter https://legislation.mt/eli/cap/58/eng.
Verzeichnis der Rechtsakte: https://legislation.mt/Legislation.</t>
  </si>
  <si>
    <t>Allgemeines Hinterbliebenengesetz (Algemene nabestaandenwet, Anw)
Gesetz vom 21. Dezember 1995 über Regelung von Versicherung hinterbliebener Verwandter (Wet van 21 december 1995, tot regeling van een verzekering voor nabestaanden)
Verzeichnis der Rechtsakte: www.wetten.nl</t>
  </si>
  <si>
    <t>Volksversicherungsgesetz (folketrygdloven) vom 28. Februar 1997, Abschnitte 17, 17A und 18.
Verzeichnis der Rechtsakte – siehe hier.</t>
  </si>
  <si>
    <t>Gesetz über das System der Sozialversicherung (Ustawa o systemie ubezpieczeń społecznych) vom 13. Oktober 1998.
Gesetz über Renten des Sozialversicherungsfonds (Ustawa o emeryturach i rentach z Funduszu Ubezpieczeń Społecznych) vom 17. Dezember 1998.
Verzeichnis der Rechtsakte – siehe https://isap.sejm.gov.pl/.</t>
  </si>
  <si>
    <t>Rechtsverordnung Nr. 322/90 vom 18. Oktober 1990 über das Absicherungssystem bei Todesfall (Decreto-Lei nº 322/90, de 18/10, versão consolidada, regime de proteção na eventualidade morte dos beneficiários do regime geral), mehrfach geändert.
Rechtsordnung Nr. 265/99 vom 14. Juli 1999 über die Pflegezulage (Decreto-Lei nº 265/99, de 14/7, versão consolidada, complemento por dependência), mehrfach geändert.
Rechtsordnung Nr. 232/05 vom 29. Dezember 2005 über die Solidarzulage für ältere Menschen (Decreto-Lei nº 232/05, de 29/12, versão consolidada, complemento solidário para idosos), mehrfach geändert.
Verzeichnis der Rechtsakte - siehe hier.</t>
  </si>
  <si>
    <t>Gesetz Nr. 360/2023 über das öffentliche Rentensystem (Legea nr.360/2023 privind sistemul public de pensii).
Regierungsbeschluss Nr. 181 vom 28. Februar 2024 zur Anerkennung der Regeln für die Anwendung von Gesetz Nr. 360/2023 über das öffentliche Rentensystem (Hotărârea nr.181 din 28 februarie 2024 pentru aprobarea Normelor de aplicare a Legii nr. 360/2023 privind sistemul public de pensii).
Verzeichnis der Rechtsakte: https://legislatie.just.ro/Public/Acasa</t>
  </si>
  <si>
    <t>Sozialgesetzbuch (Socialförsäkringsbalk) von 2010, Abschnitt F.
Verzeichnis der Rechtsakte:
Socialförsäkringsbalk (2010:110) | Sveriges riksdag</t>
  </si>
  <si>
    <t>Sozialversicherungsgesetz (Zákon o sociálnom poistení) Nr. 461/2003.
Gesetz über Geldanlagen für die Altersrente (Zákon o starobnom dôchodkovom sporení) Nr. 43/2004.
Verzeichnis der Rechtsakte: https://www.slov-lex.sk/pravne-predpisy.</t>
  </si>
  <si>
    <t>Gesetz über die Renten- und Invaliditätsversicherung (Zakon o pokojninskem in invalidskem zavarovanju) (Amtsblatt der Republik Slowenien, Nr. 48/22 – in der offiziell konsolidierten Version einschließlich späterer Änderungen).
Gesetz zum Finanzausgleich (Zakon za uravnoteženje javnih financ (ZUJF)) (Amtsblatt der Republik Slowenien, Nr. 40/2012, mit Änderungen).
Gesetz zur persönlichen Einkommenssteuer (Zakon o dohodnini (ZDoh-2)) (Amtsblatt der Republik Slowenien, Nr. 13/2011 – in der offiziell konsolidierten Version einschließlich späterer Änderungen).
Gesetz über die Umsetzung der Haushaltspläne der Republik Slowenien für die Jahre 2025 und 2026 (Zakon o izvrševanju proračunov Republike Slovenije za leti 2025 in 2026) (Amtsblatt der Republik Slowenien, Nr. 104/24 einschließlich späterer Änderungen).
Verzeichnis der Rechtsakte: Pravno-informacijski sistem Republike Slovenije (PISRS)</t>
  </si>
  <si>
    <t>Allgemeines Gesetz über die soziale Sicherheit (Ley General de Seguridad Social) aufgrund des Gesetzgebenden Königlichen Dekret Nr. 8/2015 vom Freitag, 30. Oktober 2015, einschließlich Änderungen.
Königliches Dekret Nr. 1647/97 vom 31.10.1997, einschließlich Änderungen.
Ministerialerlass vom 13.2.1967 einschließlich Änderungen zur Festlegung von Regeln zur Anwendung und Entwicklung von Leistungen im Todesfall und Hinterbliebenenleistungen im Rahmen des Allgemeinen Systems der Sozialen Sicherheit (Orden Ministerial por la que se establecen normas para la aplicación y desarrollo de las prestaciones de muerte y supervivencia del Régimen General de la Seguridad Social).
Königliches Dekret Nr. 1465/2001 vom 27.12.2001 zur teilweisen Änderung des Rechtssystems für Leistungen im Todesfall und für Hinterbliebene (Real Decreto 1465/2001, de 27 de diciembre, de modificación parcial del régimen jurídico de las prestaciones de muerte y supervivencia).
Königliches Dekret Nr. 296/2009 vom 9. März 2009 zur teilweisen Änderung des Rechtssystems für Leistungen im Todesfall und für Hinterbliebene (Real Decreto 296/2009, de 6 de marzo, por el que se modifican determinados aspectos de la regulación de las prestaciones por muerte y supervivencia).
Gesetz Nr. 27/2011 vom 1.8.2011 (Ley 27/2011, de 1 de agosto, sobre actualización, adecuación y modernización del sistema de Seguridad Social).
Verzeichnis der Rechtsakte: https://www.boe.es/buscar/legislacion.php</t>
  </si>
  <si>
    <t>Konsolidiertes Gesetz über die Grundrentenversicherung (Zákon o důchodovém pojištění) Nr. 155/1995.
Verzeichnis der Rechtsakte: https://www.e-sbirka.cz/</t>
  </si>
  <si>
    <t>Gesetz CXXII von 2019 über Ansprüche auf Leistungen der sozialen Sicherheit und die Finanzierung dieser Leistungen (törvény a társadalombiztosítás ellátásaira jogosultakról, valamint ezen ellátások fedezetéről).
Gesetz LXXXI von 1997 über Renten der Sozialversicherung (törvény a társadalombiztosítási nyugellátásokról).Regierungsdekret Nr. 168/1997 (X. 6.) über die Umsetzung von Gesetz LXXXI von 1997 über Renten der Sozialversicherung (168/1997. (X. 6.) Korm. rendelet a társadalombiztosítási nyugellátásról szóló 1997. évi LXXXI. törvény végrehajtásáról) 
Verzeichnis der Rechtsakte: https://njt.hu/</t>
  </si>
  <si>
    <t>Überwiegend beitragsfinanziertes obligatorisches Sozialversicherungssystem für die erwerbstätige Bevölkerung (Arbeitnehmer und Selbstständige) mit an die Höhe der Rente des Verstorbenen anknüpfenden Leistungen in Abhängigkeit von den Beiträgen und der Versicherungsdauer.</t>
  </si>
  <si>
    <t>Beitragsfinanziertes Sozialversicherungssystem mit entgeltbezogenen Leistungen für Erwerbstätige.
Die Leistungen sind abhängig von den Rentenansprüchen des Verstorbenen.</t>
  </si>
  <si>
    <t>Beitragsfinanziertes obligatorisches Sozialversicherungssystem für Arbeitnehmer und Empfänger von bestimmten Sozialleistungen, welches Leistungen bietet, die teils von der Dauer der Mitgliedschaft und den seit 1. Januar 2002 gezahlten Beiträgen des Verstorbenen abhängen.
Der Pauschalbetrag, der an den hinterbliebenen Ehepartner/Lebensgefährten ausgezahlt wird, ist abhängig von den Beiträgen, die der Verstorbene an die Zusatzrente (Arbejdsmarkedets Tillægspension, ATP) geleistet hat, einschließlich Beiträge zum obligatorischen Rentensystem (Obligatorisk Pensinsordning).</t>
  </si>
  <si>
    <t>Aus Beiträgen und Steuern im Umlageverfahren finanziertes obligatorisches Sozialversicherungssystem für Arbeitnehmer und einzelne Gruppen von Selbstständigen mit von der Höhe der Rente des Verstorbenen abhängigen Leistungen.</t>
  </si>
  <si>
    <t>Hinterbliebenenrente (toitjakaotuspension):
Beitragsfinanziertes universelles Sozialversicherungssystem mit Leistungen an Hinterbliebene, die von der Höhe der Altersrente der/des Verstorbenen und der Anzahl der anspruchsberechtigten Familienmitglieder abhängen.
Volksrente (rahvapension):
Staatlich finanziertes universelles System, das eine Mindestrente für Personen, die keinen Anspruch auf Altersrente haben, garantiert. Siehe Tabelle XI „Mindestsicherung“.</t>
  </si>
  <si>
    <t>Duales System:
(1) Beitragsfinanzierte Versicherung (Gesetzliche einkommensbezogene Rente, Työeläke) für Arbeitnehmer, Selbstständigen, Landwirte mit einkommensbezogenen Renten, die von Beiträgen und der Versicherungsdauer abhängen,
(2) aus Steuern finanziertes universelles System (Volksrentensystem) (kansaneläkejärjestelmä), das eine Mindestrente garantiert.
Die beiden Rentensysteme sind miteinander verknüpft. Überschreitet die gesetzliche einkommensbezogene Rente (Työeläke) oder sonstiges Einkommen des hinterbliebenen Ehegatten eine bestimmte Höchstgrenze, so wird keine Volksrente (Perhe-eläke) gewährt (siehe Tabelle VII, „Leistungen 1. Hinterbliebener Ehegatte, geschiedener Ehegatte, hinterbliebener Partner”.)
Besondere Gesetze gelten für Arbeitnehmer im privaten und öffentlichen Sektor sowie für Selbstständige, Landwirte und Stipendiaten. Am wichtigsten ist das Gesetz über Renten für Arbeitnehmer (TyEL).
Leistungen sind abhängig von der Rente des Verstorbenen.</t>
  </si>
  <si>
    <t>Beitragsfinanzierte obligatorische Sozialversicherungssysteme mit Renten, die von den Rechten der verstorbenen Person abhängen.</t>
  </si>
  <si>
    <t>Beitragsfinanziertes obligatorisches Sozialversicherungssystem für Arbeitnehmer. Leistungen hängen von der Höhe der Rente des Verstorbenen ab.</t>
  </si>
  <si>
    <t>Beitragsfinanziertes obligatorisches Sozialversicherungssystem für alle Arbeitnehmer und Selbstständige mit pauschalen Leistungen.</t>
  </si>
  <si>
    <t>Beitragsfinanziertes obligatorisches Sozialversicherungssystem für Arbeitnehmer mit von der Höhe der Rente des Verstorbenen abhängenden Leistungen an Hinterbliebene.
Sondersysteme für Selbstständige (siehe MISSOC-Informationen zum Sozialschutz für Selbstständige).</t>
  </si>
  <si>
    <t>Obligatorisches Sozialversicherungssystem für die aktive Bevölkerung mit Leistungen in Abhängigkeit von der Rente, die der Verstorbene zum Todeszeitpunkt bezogen hat oder bezogen hätte, ergänzt durch ein obligatorisches kapitalgedecktes System der 2. Säule.</t>
  </si>
  <si>
    <t>Beitragsfinanziertes obligatorisches Sozialversicherungssystem für alle Arbeitnehmer und Selbstständige mit von der (potentiellen) Höhe der Altersrente des Verstorbenen abhängenden Rente an Hinterbliebene (in der Regel Waisen).</t>
  </si>
  <si>
    <t>Beitragsfinanziertes obligatorisches Sozialversicherungssystem (Umlageverfahren) für Arbeitnehmer und Selbstständige mit von der Höhe der Rente des Verstorbenen abhängenden Leistungen an Hinterbliebene.</t>
  </si>
  <si>
    <t>Durch Beiträge mit staatlicher Beteiligung finanziertes obligatorisches Sozialversicherungssystem für die Arbeitnehmer und die Selbstständigen mit von der Höhe der Rente des Verstorbenen abhängenden Leistungen.</t>
  </si>
  <si>
    <t>Beitragsfinanziertes gesetzliches Sozialversicherungssystem für alle Arbeitnehmer und Selbstständige/Freischaffende sowohl mit Pauschal- als auch entgeltbezogenen Renten an Hinterbliebene, die von Beiträgen und der Versicherungsdauer abhängen.</t>
  </si>
  <si>
    <t>Universelles Pflichtsystem.
Seit dem 1. Januar 2024 wurde die Rente für hinterbliebene Ehepartner durch eine Anpassungszulage (omstillingsstønad) ersetzt. Diese wird für eine Dauer von 3 Jahren gezahlt, mit einer möglichen Verlängerung von höchstens 2 Jahren. Die Rente für hinterbliebene Kinder wird für einen längeren Zeitraum und zu einem höheren Betrag gewährt als im alten System, welches nicht länger gilt.
Für Personen, die vor 2024 eine Rente bezogen haben, gelten Übergangsregelungen. Hinterbliebene Ehepartner behalten ihre Leistungen innerhalb der für die Anpassungszulage geltenden Frist, und Kinderrenten werden gemäß den neuen, vorteilhafteren Sätzen neu berechnet.
Der Bezugszeitraum der Leistung kann um maximal zwei Jahre verlängert werden, wenn der Hinterbliebene eine notwendige und angemessene Aus- oder Fortbildung absolviert oder Maßnahmen benötigt, um Arbeit zu finden.
Die Leistungen werden auf der Grundlage des Grundbetrags (Grunnbeløpet) berechnet und die Sätze werden vermindert, wenn der Verstorbene weniger als 40 Jahre Versicherungsbeiträge in Norwegen geleistet hat.
Umlagesystem. Finanzierung durch Steuern und Beiträge.</t>
  </si>
  <si>
    <t>Beitragsfinanziertes obligatorisches Sozialversicherungssystem für Arbeitnehmer:innen mit von der Höhe der Rente des:der Verstorbenen abhängenden Leistungen.</t>
  </si>
  <si>
    <t>Beitragsfinanziertes gesetzliches Sozialversicherungssystem für alle Arbeitnehmer und Selbstständigen mit Leistungen an Hinterbliebene, die von der Höhe der Rente des Verstorbenen und der Anzahl der Berechtigten abhängen.
Separates obligatorisches Sozialversicherungssystem für Landwirte und ihre Familienmitglieder.
Sondersystem für Angehörige der Polizei und der Streitkräfte, Staatsanwälte und Richter.</t>
  </si>
  <si>
    <t>Obligatorische Sozialversicherung mit von der Höhe der Rente des Verstorbenen bzw. dessen Rentenanspruchs abhängenden Leistungen.</t>
  </si>
  <si>
    <t>Hinterbliebenenleistungen sind Teil des nationalen staatlichen Rentensystems.
Obligatorisches allgemeines Sozialversicherungssystem, beitragsfinanziert im Umlageverfahren, leistungsorientiert, mit Geld- und Sachleistungen.
Die Geldleistung wird als Prozentsatz der Renten des Verstorbenen berechnet.</t>
  </si>
  <si>
    <t>1. Säule (Grundsystem):
Allgemeine Versicherung, welche den Existenzbedarf in angemessener Weise decken soll. Finanzierung durch Beiträge und Steuern nach dem Umlageverfahren. Für Erwerbstätige hängen die Beiträge von ihrem Einkommen ab, für Nichterwerbstätige von ihren sozialen Bedingungen.
2. Säule (obligatorische Mindestvorsorge):
Beitragsfinanzierte Pflichtversicherung für Arbeitnehmer ab einem bestimmten Lohn nach dem Kapitaldeckungsverfahren. Zusammen mit der ersten Säule soll sie die Fortsetzung der gewohnten Lebenshaltung in angemessener Weise ermöglichen.
Das BVG sieht Mindestleistungen vor. Die Vorsorgeeinrichtungen können in ihren internen Statuten eine weitergehende Vorsorge vorsehen. In den MISSOC-Tabellen wird nur die gesetzliche Mindestvorsorge behandelt.
Säule 3a (gebundene Selbstvorsorge)
Freiwillige private Vorsorge für Erwerbstätige, die durch steuerliche Maßnahmen gefördert wird. Sie wird in den MISSOC-Tabellen nicht dargestellt.
Ergänzungsleistungen zur 1. Säule (EL)
Personen, die eine Alters-, Hinterbliebenen- oder Invalidenrente beziehen, haben Anspruch auf Ergänzungsleistungen, wenn ihre Mittel nicht ausreichen, um den Lebensbedarf zu decken. Siehe Tabelle XI „Mindestsicherung“.</t>
  </si>
  <si>
    <t>Beitragsfinanziertes gesetzliches Sozialversicherungssystem für Arbeitnehmer und Selbstständige mit von der Höhe der Rente des Verstorbenen abhängenden Leistungen an Hinterbliebene.
Sozialversicherungsschutz wird sowohl durch die erste als auch die zweite Säule des Altersvorsorgesystems gewährt (sofern dies im Versicherungsvertrag vereinbart worden ist).
Sondersystem für Polizisten, Soldaten und Zollbeamte.</t>
  </si>
  <si>
    <t>Beitragsfinanzierte obligatorische Sozialversicherung für Arbeitnehmer und Selbstständige mit Leistungen an Hinterbliebene, die von der Rente der verstorbenen Person abhängen.</t>
  </si>
  <si>
    <t>Beitragsfinanziertes obligatorisches Sozialversicherungssystem für Arbeitnehmer und Gleichgestellte, die von der Höhe der Rente oder der Beiträge der verstorbenen Person abhängendes Sterbegeld (auxilio por defunción), befristeten Leistungen für Witwen oder Witwer (prestación temporal de viudedad), Hinterbliebenenleistungen für Witwen oder Witwer (pensión de viudedad), Waisen (pensión de orfandad) oder andere Verwandte (pensión/subsidio en favor de familiares) bietet.
Leistungen für Waisen durch Gewalt gegen Frauen (prestación de orfandad por violencia contra la mujer) wird aus Steuermitteln finanziert.</t>
  </si>
  <si>
    <t xml:space="preserve">
   * Beitragsfinanziertes obligatorisches Sozialversicherungssystem für Arbeitnehmer und Selbstständige.
   * Renten für Hinterblieben bestehen aus einem Pauschalbetrag und 50% des einkommensbezogenen Betrags der Rente, der dem Verstorbenen zum Zeitpunkt seines Ableben zustand.</t>
  </si>
  <si>
    <t>Beitragsfinanziertes obligatorisches Sozialversicherungssystem für Arbeitnehmer und Selbstständige mit von der Höhe der Rente des Verstorbenen abhängenden Leistungen an Hinterbliebene.</t>
  </si>
  <si>
    <t>Beitragsfinanziertes obligatorisches Sozialversicherungssystem für Arbeitnehmer und Selbstständige mit einkommensbezogenen Renten und anderen Leistungen, die von Beiträgen und der Versicherungsdauer abhängen.</t>
  </si>
  <si>
    <t>Pflichtversicherung für alle Erwerbstätigen (Arbeitnehmer und Selbstständige). Zu besonderen Regeln für Selbstständige: siehe Anhang zur Sozialversicherung für Selbstständige.
Keine freiwillige Versicherung möglich.</t>
  </si>
  <si>
    <t>Pflichtversicherung für Arbeitnehmer ab dem Alter von 16 Jahren mit einer Wochenarbeitszeit von mindestens 9 Stunden und für Personen, die Tagegeld wegen Krankheit, Mutterschaft bzw. Adoption oder Arbeitslosigkeit beziehen, und für diejenigen, die an einer Beschäftigungs- oder Aus- und Fortbildungsmaßnahme teilnehmen oder sich in einer Trainingsmaßnahme nach dem Gesetz zur aktiven Arbeitsmarktpolitik befinden. Pflichtmitgliedschaft ferner für Bezieher einer Invaliditätsrente (førtidspension)/Seniorenpension (seniorpension) oder eines sonstigen Transfereinkommens.
Arbeitnehmer, die eine selbstständige Tätigkeit aufnehmen, können nach vorausgegangener dreijähriger Mitgliedschaft freiwillig im Versicherungssystem bleiben. Freiwillige Beitragszahlungen sind auch für Personen im vorzeitigen Ruhestand möglich.</t>
  </si>
  <si>
    <t>Pflichtversicherung für Arbeitnehmer. Leistungsbezieher und für einzelne Gruppen von Selbstständigen sowie einige weitere Personengruppen (z. B. Kindererziehende, nicht erwerbsmäßig tätige Pflegepersonen).</t>
  </si>
  <si>
    <t>Alle Einwohner.</t>
  </si>
  <si>
    <t>Hinterbliebenenrente im Rahmen des Volksrentengesetzes (kansaneläkelain mukainen perhe-eläke):
Alle Einwohner.
Gesetzliche einkommensbezogene Rente (Työeläke):
Alle Arbeitnehmer, Arbeitnehmer ab 17 Jahre und Selbständige ab 18 Jahre.</t>
  </si>
  <si>
    <t>Alle erwerbstätigen Personen.
In bestimmten Fällen freiwillige Versicherung möglich (ehemalige Pflichtversicherte, Eltern zu Hause, Personen, die ehrenamtlich die Funktion als Dritte für ein Familienmitglied übernehmen).</t>
  </si>
  <si>
    <t>Alle Beschäftigten (Arbeitnehmer und Selbstständige).</t>
  </si>
  <si>
    <t>Grundsätzlich alle Arbeitnehmer und Auszubildenden ab dem Alter von 16 Jahren.</t>
  </si>
  <si>
    <t>Volksrente (lífeyrir almannatrygginga):
Alle Einwohner.
Arbeitsrente (lögbundnir lífeyrissjóðir):
Alle versicherten Arbeitnehmer, Arbeitgeber und Selbstständige im Alter von 16-70 Jahren.</t>
  </si>
  <si>
    <t xml:space="preserve">
   * Alle Arbeitnehmer in der Privatwirtschaft.
   * Sondersysteme für reguläre Selbstständige (Landwirte, Teilpächter, Handwerker und Kaufleute) und Selbstständige, die unter dem gesonderten Rentensystem (Gestione Separata) versichert sind (siehe die MISSOC-Informationen zu Sozialschutz von Selbstständigen).
   * Besondere Rentenfonds für bestimmte Gruppen von Arbeitern.</t>
  </si>
  <si>
    <t>Alle Arbeitnehmer und Selbstständige.
Freiwillige Versicherung möglich.</t>
  </si>
  <si>
    <t>Pflichtversicherung für alle Arbeitnehmer und Selbstständigen.</t>
  </si>
  <si>
    <t>Pflichtversicherung für alle Erwerbstätigen (Arbeitnehmer und Selbstständige).
Die Empfänger des Ersatzeinkommens, von dem ein Rentenbeitrag einbehalten wird (Arbeitslosigkeit, Krankheit, Mutterschaft, Unfallrente, Elternurlaub), sind ebenfalls abgedeckt.
Freiwillige Versicherung sowie rückwirkender Erwerb von Anrechnungszeiten möglich.</t>
  </si>
  <si>
    <t>Arbeitnehmer und Selbstständige / Freischaffende.
Keine freiwillige Versicherung möglich.</t>
  </si>
  <si>
    <t>Alle Einwohner. Personen, die ohne Wohnsitz in den Niederlanden dort arbeiten und folglich Beiträge entrichten, sind ebenfalls leistungsberechtigt.</t>
  </si>
  <si>
    <t xml:space="preserve">
   * Arbeitnehmer, Selbstständige, Landwirte;
   * Empfänger von Arbeitslosengeld (Zasiłek dla bezrobotnych);
   * Empfänger von Altersrenten;
   * Empfänger von Leistungen bei Invalidität;
   * Empfänger von Leistungen bei Berufskrankheiten oder Arbeitsunfällen;
   * Empfänger von Erziehungsgeld (Dodatek wychowawczy).</t>
  </si>
  <si>
    <t>Pflichtversicherung für alle Erwerbstätigen (Arbeitnehmer und Selbstständige).
Für gewisse Gruppen besteht die Möglichkeit der freiwilligen Versicherung (siehe Tabelle VI „Alter“, „Anwendungsbereich“).
(Beitragsunabhängiges System mit Leistungen, die der Bedürftigkeitsprüfung unterliegen, für Personen, die nicht über (ausreichende) finanzielle Mittel verfügen: siehe Tabelle XI „Mindestsicherung“.)</t>
  </si>
  <si>
    <t>Die Hinterbliebenenleistungen beziehen sich auf den Status des Verstorbenen. Es gibt sowohl arbeits- als auch wohnsitzgebundene Leisstungen. 
Anpassungsrente (omställningspension), Kinderrente(barnpension) und Witwenrente (änkepension): alle, die gearbeitet haben (entweder als Arbeitnehmer oder als Selbständiger) und kumulierte Rentenansprüche erworben haben.
Garantierte Anpassungsrente (garantipension till omställningspension),  Waisenbeihilfe (efterlevandestöd till barn):  alle Einwohner.</t>
  </si>
  <si>
    <t>Pflichtversicherung für Arbeitnehmer und bestimmte Gruppen von Selbstständigen.
Möglichkeit einer freiwilligen Versicherung.</t>
  </si>
  <si>
    <t xml:space="preserve">
   * Arbeitnehmer, Selbstständige, Landwirte, Aktionäre, leitende Angestellte und Personen, die eine Beschäftigung auf anderer rechtlicher Grundlage ausüben (z.B. Vertragsvereinbarungen vor Freiberuflern);
   * Empfänger von Arbeitslosengeld (denarno nadomestilo za primer brezposelnosti) und Personen, deren Beiträge für Renten- und Invaliditätsversicherung vom Beschäftigungsservice übernommen werden bis sie die Anspruchsbedingungen für eine Altersrente erfüllen;
   * Personen mit Anspruch auf Lohnersatzleistungen aufgrund zeitlich begrenzter Erwerbsunfähigkeit nach Beendigung des Arbeitsverhältnisses, wenn sie nicht durch die Pflichtversicherung aus anderen Gründen abgedeckt sind;
   * Personen, die professionelle Pflegschaftsdienste ausführen;
   * Personen, die ein religiöses Amt als religiöser Arbeitnehmer ausführen;
   * Personen mit Anspruch auf Lohnersatzleistungen während beruflicher Rehabilitation;
   * Ein Elternteil, der Anspruch auf Elterngeld (starševski dodatek) hat, wenn diese Person nicht durch die Pflichtversicherung aus anderen Gründen abgedeckt ist; Anspruch auf Teilzahlungen als Einkommensersatzleistung (delno plačilo za izgubljeni dohodek); Anspruch auf Elternschaftsgeld, aber keinen Anspruch auf Elternurlaub hat sowie nicht durch die Pflichtversicherung aus anderen Gründen abgedeckt ist; Anspruch auf Zahlungen des proportionalen Beitragsanteils und Anrecht auf Teilzeitarbeit zur Pflege und Schutz von Kindern zur Deckung des Unterschiedes zur Vollzeitarbeit;
   * Familienhelfer mit Anspruch auf Teilzahlungen bei Einkommensersatzleistung (delno plačilo za izgubljeni dohodek) (siehe Tabelle XII „Pflegebedürftigkeit");
   * Soldaten, die freiwillig Wehrdienst leisten, und Bürger während freiwilligen Rettungskursen.
Für Personen im Alter von über 15 Jahren mit einem dauerhaften Wohnsitz in Slowenien, die die Bedingungen zur Deckung durch die Pflichtversicherung nicht erfüllen, ist eine freiwillige Versicherung möglich.</t>
  </si>
  <si>
    <t>Pflichtversicherung für die aktive Bevölkerung (Arbeitnehmer und Selbstständige). Für nähere Informationen zu Selbstständigen, siehe die gesonderten Informationen zum Sozialschutz von Selbstständigen.
Freiwillige Versicherung ist ohne Einschränkungen erhältlich für Arbeitslose, die bei der Arbeitsagentur gemeldet sind (und die keine Leistungen bei Arbeitslosigkeit beziehen); Studenten; im Ausland beschäftigte Personen; Freiwillige, Mitglieder des EU-Parlaments; Ausländer, die in Tschechien für ausländische Arbeitgeber arbeiten und Ehepartner von Diplomaten und andere Staatsbedienstete, die im Ausland leben.
Andere Personen über 18 Jahren mit mindestens einjähriger Beitragszeit können sich ebenfalls freiwillig versichern, jedoch für maximal 15 Jahre.
Empfänger von Alters- oder Invalidenrenten.</t>
  </si>
  <si>
    <t>Versicherte (Arbeitnehmer, Selbstständige, Empfänger von verschiedenen Leistungen der sozialen Sicherheit, von denen der Rentenbeitrag gezahlt wird).
Personen, die nicht durch das obligatorische Sozialversicherungssystem abgedeckt sind, können eine „Vereinbarung über den Erwerb rentenfähigen Einkommens und Versicherungszeiten“ abschließen.</t>
  </si>
  <si>
    <t>Pflichtversicherung für Arbeitnehmer und Selbstständige.
Freiwillige Versicherung möglich nach früherer Beschäftigung und für Personen, die für zypriotische Arbeitgeber im Ausland tätig sind.</t>
  </si>
  <si>
    <t>Arbeitnehmer mit einer wöchentlichen Arbeitszeit von weniger als 9 Stunden sind von der Versicherungspflicht befreit.</t>
  </si>
  <si>
    <t>Befreiungsmöglichkeit für Arbeitnehmer mit einer ausschließlich geringfügig entlohnten Beschäftigung (bis zu €556 monatlich) und Versicherungsfreiheit bei einer kurzfristigen Beschäftigung (bis zu 3 Monaten oder 70 Arbeitstagen im Kalenderjahr), es sei denn, dass die Beschäftigung berufsmäßig ausgeübt wird und ihr Entgelt €556 im Monat übersteigt.
Darüber hinaus gibt es weitere Befreiungsmöglichkeiten, etwa für versicherungspflichtige Mitglieder berufsständischer Versorgungswerke (z. B. Ärzte, Anwälte) oder für selbständige Handwerker nach 18 Jahren Pflichtbeitragszahlung.</t>
  </si>
  <si>
    <t>Gesetzliche einkommensbezogene Rente (Työeläke):
Arbeitnehmer:
Befreiung von der Versicherungspflicht bei monatlichen Einkommen unter €70,08 (TyEL).
Selbstständige, Landwirte:
Befreiung von der Versicherungspflicht bei einer Selbständigkeit von weniger als 4 Monaten oder wenn das jährliche zu versichernde Einkommen unter €9.208,43 für Selbständige und unter €4.605 für Landwirte und Stipendiaten liegt.</t>
  </si>
  <si>
    <t>Personen mit einem Wochenverdienst von weniger als €38 und Selbstständige mit einem Jahreseinkommen unter €5.000.</t>
  </si>
  <si>
    <t>Ausnahmen von der zweiten Säule für Personen, die eine Rente unter vorteilhafteren Bedingungen erwerben können (Militär- und Polizeipersonal sowie Justizbeamte im aktiven Dienst).</t>
  </si>
  <si>
    <t>Keine Befreiungen.</t>
  </si>
  <si>
    <t>Personen, die ihre berufliche Tätigkeit über einen vorab festgelegten Zeitraum von höchstens drei Monaten pro Kalenderjahr nur gelegentlich und nicht gewohnheitsmäßig ausüben, sind von der Versicherungspflicht befreit.
Auf Antrag der betreffenden Person ist eine nebenberufliche Tätigkeit im kulturellen oder sportlichen Bereich für eine nicht gewinnorientierte Vereinigung versicherungsfrei, wenn das erzielte Erwerbseinkommen zwei Drittel des sozialen Mindestlohns pro Jahr nicht übersteigt
Eine selbstständige Erwerbstätigkeit ist von der Versicherungspflicht befreit, wenn das Einkommen aus der Berufstätigkeit höchstens einem Drittel des sozialen Mindestlohns (salaire social minimum) pro Jahr entspricht.</t>
  </si>
  <si>
    <t xml:space="preserve">
   * Selbstständige, die anderen Sozialversicherungssystemen angehören (z. B. Soldaten, Rechtanwälte, Personal religiöser Gemeinschaften).
   * Selbstständige im Ruhestand.
   * Selbstständige, falls ihr monatliches durchschnittliches Nettoeinkommen (abzüglich Sozialversicherungsbeiträge) unter dem Mindestbruttolohn liegt, d. h. RON 4.050 (€797).
</t>
  </si>
  <si>
    <t>Befreiung von der Pflichtversicherung Selbstständige, deren jährliches Einkommen 2024 unter €8.580 liegt (50% des nationalen Durchschnittslohns des Jahres 2023).</t>
  </si>
  <si>
    <t>Die Regierung kann Personen, deren Einkünfte aus abhängiger Beschäftigung als geringfügig und nicht als wesentlich für den Lebensunterhalt gelten, von der Pflichtversicherung ausschließen.</t>
  </si>
  <si>
    <t>Grundsätzlich keine Ausnahmen.
Bestimmte Arten von Ergänzungsvereinbarungen zu Arbeitsverträgen sind von der obligatorischen Sozialversicherungsdeckung ausgenommen:
   * Beschäftigung mit Bruttoeinkünften unterhalb CZK 4.500 (€182) monatlich;
   * “Übereinkünfte über das Beenden eines Auftrags” (Dohoda o provedení práce), d.h. Arbeitsverträge für die Beendigung eines bestimmten Auftrags mit höchstens 300 Arbeitsstunden in einem Kalenderjahr sind von der obligatorischen Sozialversicherungsdeckung ausgenommen, wenn die monatlichen Bruttoeinkünfte geringer sind als CZK 11.500 (€465).</t>
  </si>
  <si>
    <t xml:space="preserve">
   * Hinterbliebener Ehegatte;
   * Kinder;
   * Eltern.
Geschiedene sowie nicht verheiratete Lebenspartner haben keinen Leistungsanspruch.
Gleichbehandlung von männlichen und weiblichen Hinterbliebenen.</t>
  </si>
  <si>
    <t>Hinterbliebene Ehepartner, hinterbliebene Lebenspartner (gleichgeschlechtlich) und unter gewissen Bedingungen auch Geschiedene.
Lebensgefährten haben ebenfalls Anspruch auf Leistungen für Hinterbliebene. Als Voraussetzung hierfür müssen die Lebensgefährten in der dänischen Arbeitsmarkt-Zusatzrentenversicherung (ATP) als Lebensgefährten eingetragen sein. Unter bestimmten Bedingungen kann ein Lebensgefährte nach dem Tod des verstorbenen Mitglieds um die Auszahlung eines Pauschalbetrags nachsuchen.
Kinder.
Gleichbehandlung von Männern und Frauen.</t>
  </si>
  <si>
    <t xml:space="preserve">
   * Hinterbliebene Ehegatten und Partner einer eingetragenen Lebenspartnerschaft (gleichgeschlechtlich),
   * geschiedene Ehegatten,
   * Waisen (auch Adoptiv-, Stief- und Pflegekinder).
Männer und Frauen werden gleichbehandelt. Getrenntes Leben ist immer unbeachtlich.
Keine anderen Gruppen sind anspruchsberechtigt.</t>
  </si>
  <si>
    <t xml:space="preserve">
   * Hinterbliebene Ehepartner,
   * geschiedene Ehepartner unter bestimmten Voraussetzungen,
   * alle von der/dem Verstorbenen erzogenen Kinder inklusive Stief- und Pflegekinder,
   * Andere Personen: Geschwister, Enkelkinder, Eltern, Stiefeltern, Pflegeeltern, Vormünder.</t>
  </si>
  <si>
    <t xml:space="preserve">
   * Hinterbliebene Ehegatten (hinterbliebene anders- oder gleichgeschlechtliche Ehegatten; hinterbliebene Partner einer registrierten Zivilehe, wenn beide gleichgeschlechtlichen Partner als Ehegatten behandelt werden);
   * Hinterbliebener Ehegatte;
   * Geschiedener Ehegatte, falls er vor dem Todesfall einen Unterhaltsanspruch hatte (gilt nur für die gesetzliche einkommensbezogene Rente, Työeläke);
   * Kinder (eigene, adoptierte, Pflegekinder; Kinder, für die der Verstorbene Unterhalt zahlte; im gleichen Haushalt lebende Kinder (betrifft die Volksrente);
   * Kinder (eigene; adoptierte; Pflegekinder; Kinder, für die der Verstorbene Unterhalt zahlte; im gleichen Haushalt lebende Kinder, wenn der Verstorbene mit einem Elternteil verheiratet war (betrifft die gesetzliche einkommensbezogene Rente)).</t>
  </si>
  <si>
    <t xml:space="preserve">
   * Überlebende Ehepartner,
   * Geschiedene,
   * Hinterbliebene in Lebenspartnerschaft,
   * Eheliche Kinder, angenommene Kinder, adoptierte oder denen gleichgestellte.
Männer und Frauen werden gleich behandelt.</t>
  </si>
  <si>
    <t xml:space="preserve">
   * Hinterbliebener Ehepartner (anders- oder gleichgeschlechtlich);
   * geschiedene oder getrennte Ehepartner (die nicht wiederverheiratet sind und/oder in einer eheähnlichen Gemeinschaft leben);
   * anders- oder gleichgeschlechtliche hinterbliebene Partner (müssen den Status Lebenspartnerschaft (Civil Partnership) gehabt haben);
   * anders- oder gleichgeschlechtliche getrennte Partner (die keine neue Lebenspartnerschaft (Civil Partnership) eingegangen sind und/oder in keiner eheähnlichen Gemeinschaft leben);
   * Kinder (einschließlich adoptierte und Stiefkinder).
   * Es haben keine sonstigen Gruppen einen Anspruch.</t>
  </si>
  <si>
    <t>Volksrente (lífeyrir almannatrygginga):
Kinder unter dem Alter von 18 Jahren, einschließlich adoptierte Kinder und Stiefkinder (falls der unterhaltspflichtige Elternteil verstorben ist).
Keine Leistungen an hinterbliebene Ehepartner der verstorbenen versicherten Person.
Arbeitsrente (lögbundnir lífeyrissjóðir):
Hinterbliebene Ehepartner, Partner einer eingetragenen Lebensgemeinschaft und Kinder unter 18 Jahren, in Sonderfällen auch pflegende Personen.</t>
  </si>
  <si>
    <t xml:space="preserve">
   * Hinterbliebener Ehepartner/Lebenspartner (gleichen oder anderen Geschlechts);
   * geschiedener früherer Partner;
   * hinterbliebene Kinder;
   * unterhaltsberechtigte Eltern und Geschwister;
   * unterhaltsberechtigte Enkel.</t>
  </si>
  <si>
    <t xml:space="preserve">
   * hinterbliebener Ehegatte,
   * geschiedener Ehegatte, der vom Verstorbenen unterhalten wurde,
   * Lebensgefährte von Personen des gleichen oder unterschiedlichen Geschlechts),
   * Kinder (eigene Kinder, Pflegekinder, Stiefkinder),
   * Verwandte, die vom Verstorbenen unterhalten wurden.</t>
  </si>
  <si>
    <t>Der hinterbliebene Ehegatte; Kinder, wenn sie Unterhalstberechtigte der verstorbenen Person waren; Brüder, Schwestern und Enkel.
Keine Unterscheidung zwischen männlichen und weiblichen Hinterbliebenen.</t>
  </si>
  <si>
    <t xml:space="preserve">
   * Hinterbliebener Ehepartner
   * Offiziell gemeldeter Lebensgefährte;
   * geschiedene Ehepartner, sofern sie nicht wieder verheiratet sind bzw. eine neue Lebensgemeinschaft eingegangen sind;
   * ehemalige Lebenspartner, sofern sie keine neue Lebensgemeinschaft eingegangen sind bzw. nicht wieder geheiratet haben.
   * Kinder (eheliche, als ehelich anerkannte, adoptierte, leibliche) ebenso wie Waisen, die zum Haushalt des Versicherten gehören;
   * Personen, die dem überlebenden Ehegatten gleichgestellt sind (Eltern und Verwandte in gerader Linie, Verwandte der Seitenlinie bis zum 2. Grad und Kinder, die als Minderjährige adoptiert wurden).</t>
  </si>
  <si>
    <t xml:space="preserve">
   * Hinterbliebener Ehepartner oder hinterbliebener Lebenspartner oder hinterbliebene gesetzlich Zusammenwohnende;
   * geschiedener Ehepartner (Betrag wird auf Basis der Ehejahre im Verhältnis zu den Gesamtjahren berechnet);
   * getrennt lebender Ehepartner (falls er von der verstorbenen Person unterhalten wurde oder ein Unterhaltsanspruch bestand);
   * Hinterbliebener gleichgeschlechtlicher Ehepartner oder hinterbliebener gleichgeschlechtlicher Lebenspartner oder hinterbliebene gleichgeschlechtliche gesetzlich Zusammenwohnende;
   * Kinder;
   * jede Person, die ein Waisenkind betreut (gesetzlicher Vormund), wenn mindestens ein Elternteil am Sterbedatum versichert war.</t>
  </si>
  <si>
    <t xml:space="preserve">
   * Hinterbliebene Ehe- und Lebenspartner (des anderen oder gleichen Geschlechts), mit oder ohne Kind(er) unter 18 Jahren, unter bestimmten Bedingungen,
   * Geschiedene Ehepartner unter bestimmten Bedingungen,
   * Vollwaisen, einschließlich adoptierte Kinder.</t>
  </si>
  <si>
    <t xml:space="preserve">
   * Hinterbliebener Ehepartner;
   * geschiedener Ehepartner (unter bestimmten Bedingungen);
   * Lebenspartner: eine Person, die mit der verstorbenen Person unverheiratet zusammenlebte, falls sie mit dieser ein gemeinsames Kind hatte oder früher mit ihr verheiratet war;
   * Hinterbliebener Partner;
   * Kinder, eingeschlossen Adoptivkinder.
</t>
  </si>
  <si>
    <t xml:space="preserve">
   * Witwe:Witwer/hinterbliebene:r eingetragene:r Partner:in oder
   * geschiedene:r Ehepartner:in/Partner:in aus aufgelöster eingetragener Partnerschaft,
   * Kinder, dies inkludiert Adoptivkinder und Stiefkinder. Pflegekinder sind hingegen nicht anspruchsberechtigt.
Keine unterschiedliche Behandlung von Männern und Frauen.
Sowohl Ehe als auch eingetragene Partnerschaft stehen auch gleichgeschlechtlichen Partner:innen offen, auf sie sind die Bestimmungen zur Hinterbliebenenrente genauso anzuwenden wie auf verschiedengeschlechtliche eingetragene Partner:innen/Ehepartner:innen.
De facto Partner:innen (Lebensgemeinschaft), die keine Ehe oder eingetragene Partnerschaft geschlossen haben, haben keinen Anspruch auf eine Hinterbliebenenrente.
Keine anderen Gruppen sind anspruchsberechtigt.</t>
  </si>
  <si>
    <t xml:space="preserve">
   * Hinterbliebene Ehepartner;
   * geschiedene/r Ehegatte/-in;
   * Kinder einschl. ehelicher Kinder, unehelicher Kinder, Pflegekinder, adoptierter Kinder, Stiefkinder, Enkel und sonstiger Kinder, die von der versicherten Person unterhalten werden auf Grundlage einer Gerichtsentscheidung;
   * sonstige Personen: Eltern und Adoptiveltern.
Kein Leistungsanspruch für unverheiratete oder in Partnerschaft zusammenlebende Personen.</t>
  </si>
  <si>
    <t>Hinterbliebener Ehegatte.
Kinder.
Keine sonstigen Berechtigten.
Keine Unterscheidung zwischen männlichen und weiblichen Hinterbliebenen.</t>
  </si>
  <si>
    <t xml:space="preserve">
   * hinterbliebener Ehepartner;
   * geschiedene Ehefrau (Scheidung vom dem 1. Januar 2004), mit vom Gericht zugesprochenem Unterhalsanspruch;
   * (eheliche und adoptierte) Kinder;
   * keine anderen Gruppen haben ein Anrecht.</t>
  </si>
  <si>
    <t xml:space="preserve">
   * Hinterbliebener Ehepartner, geschiedener oder getrennter Ehepartner sowie hinterbliebene oder getrennte Partner gleichen oder anderen Geschlechts im Falle einer Trennung, Scheidung oder Annullierung der Ehe oder Trennung (nicht-eheliche Lebensgemeinschaft) falls der Verstorbene zu Unterhaltszahlungen oder Entschädigung verpflichtet war (mit einigen vorübergehenden Ausnahmen);
   * Unverheiratete Partner müssen einige Anforderungen erfüllen, wenn sie keine gemeinsamen Kinder haben;
   * Kinder des Verstorbenen (biologisch, adoptiert);
   * unter bestimmten Bedingungen Kinder, die der überlebende Ehegatte mit in die Ehe brachte, wenn die Eheschließung mindestens zwei Jahre vor dem Tod erfolgte;
   * unter bestimmten Voraussetzungen Enkel, Geschwister, Eltern und Großeltern (Leistung für Angehörige, pensión en favor de familiares);
   * unter bestimmten Voraussetzungen Kinder und Geschwister (Befristete Beihilfe an Angehörige, subsidio temporal en favor de familiares).</t>
  </si>
  <si>
    <t xml:space="preserve">
   * Hinterbliebener Ehepartner (einschließlich hinterbliebener Partner und hinterbliebener eingetragener Lebenspartner);
   * Kinder.
   * Andere Gruppen sind nicht anspruchsberechtigt.</t>
  </si>
  <si>
    <t xml:space="preserve">
   * Hinterbliebene Ehepartner;
   * geschiedener Ehepartner unter bestimmten Bedingungen;
   * Lebenspartner (rechtlich eingetragen, hinterbliebene Partner gleichen oder anderen Geschlechts);
   * Kinder: jedes eheliche oder uneheliche Kind, das im Haushalt des Verstorbenen erzogen wird, einschließlich Kinder aus erster Ehe oder Partnerschaft des Partners;
   * Geschwister und Enkel, falls sie von der verstorbenen Person abhängig waren und keine anderen Verwandten haben;
   * andere Personen: Eltern, Großeltern und Pflegeeltern.</t>
  </si>
  <si>
    <t>Mitgliedschaft in der Sozialversicherung.</t>
  </si>
  <si>
    <t>Keine Anspruchsvoraussetzungen.</t>
  </si>
  <si>
    <t>10 Versicherungsjahre (2 Jahre für Zusatzrente, gestützt auf Beiträge nach dem 1. Januar 2002).
Zusätzliche Bedingung bei Todesfällen ab dem 1.Juli 1992: Die verstorbene Person muss ein Alter von mehr als 67 Jahren erreicht haben.</t>
  </si>
  <si>
    <t>5 Jahre mit Beitrags- und Ersatzzeiten (allgemeine Mindestversicherungszeit).
Die Mindestversicherungszeit kann vorzeitig erfüllt sein, wenn der Versicherte zum Beispiel aufgrund eines Arbeitsunfalls oder kurz nach Beendigung einer Ausbildung verstorben ist.</t>
  </si>
  <si>
    <t>Die Anzahl der erforderlichen Beitragsjahre ist abhängig vom Alter der versicherten Person zum Todeszeitpunkt und variiert zwischen einem Jahr (für Personen im Alter von 25 bis 26 Jahren) und 15 Jahren (für Personen im Alter von 27 bis 63 Jahren). Kein Mindestzeitraum für Personen unter 24 Jahren.</t>
  </si>
  <si>
    <t xml:space="preserve">Volksrente (Perhe-eläke):
   * Nach dem 16. Lebensjahr mindestens 3 Jahre und zum Zeitpunkt des Todes Wohnsitz in Finnland.
   * Nur für die Rente an hinterbliebene Ehepartner: zum Zeitpunkt der Eheschließung jünger als 65 Jahre gewesen sein.
Gesetzliche einkommensbezogene Rente (Työeläke):
   * Zum Zeitpunkt des Todes muss eine Versicherung bestehen oder bestanden haben.
</t>
  </si>
  <si>
    <t>1/Basissystem (Régime de base):
Bezug einer Alters- oder Invaliditätsrente oder Erfüllung der Bedingungen für einen Anspruch auf einen dieser Leistungen zum Zeitpunkt des Todes.
Für die Waisenrente muss der Tod am 1. September 2023 oder später eingetreten sein.
2/Zusatzrentensysteme (Agirc-Arrco):
Mitgliedschaft im entsprechenden System.</t>
  </si>
  <si>
    <t>Beitragszahlungen für mindestens 4.500 Arbeitstage oder 1.500 versicherungspflichtige Arbeitstage (davon 300 während der letzten 5 Jahre vor dem Todesfall).</t>
  </si>
  <si>
    <t>Volksrente (lífeyrir almannatrygginga):
Die verstorbene versicherte Person, der hinterbliebene Ehepartner oder das hinterbliebene Kind müssen mindestens 3 Jahre unmittelbar vor dem Antrag auf Kinderrente (barnalífeyrir) ihren Wohnsitz in Island gehabt haben.
Arbeitsrente (lögbundnir lífeyrissjóðir):
Die verstorbene Person muss zum Todeszeitpunkt eine Arbeitsrente bezogen haben oder Beiträge für einen bestimmten Zeitraum (der je nach dem betreffenden Rentenfonds variiert) vor dem Tod gezahlt haben.</t>
  </si>
  <si>
    <t>Anspruchsvoraussetzungen, die von der verstorbenen Person erfüllt worden sein müssen: 5 Beitragsjahre, davon mindestens 3 Jahre während der letzten 5 Jahre, oder insgesamt 15 Beitragsjahre.
Erfolgt der Tod im Zusammenhang mit der beruflichen Tätigkeit, ohne dass die Hinterbliebenen aus diesem Grund eine Rente erhalten, so wird bei Fortfall der Beitragsvoraussetzungen eine Privilegierte Rente (pensione privilegiata) gewährt.
Wenn der Todesfall durch einen Arbeitsunfall oder eine Berufskrankheit verursacht wurde, unterhalten die Hinterbliebenen ebenfalls einen Anspruch auf eine vom INAIL gezahlte Rente (siehe weiter unten in Tabelle VIII, „Arbeitsunfälle und Berufskrankheiten, 3. Tod“).</t>
  </si>
  <si>
    <t>Die effektive Versicherungszeit und die zugerechnete Zeit bis zum Rentenalter müssen mindestens 20 Jahre betragen.</t>
  </si>
  <si>
    <t>1. Säule: Ein Beitragsjahr (für Rentenanspruch).
2. Säule: Keine besonderen Bedingungen.</t>
  </si>
  <si>
    <t>Die verstorbene Person sollte zum Zeitpunkt des Todes eine Behindertenrente (Negalios pensija) der Sozialversicherung oder Altersrente (Senatvės pensija) bezogen haben oder auf diese Anspruch gehabt haben, d.h. sie sollte für eine altersabhängige Mindestversicherungszeit erwerbstätig gewesen sein (z.B. 15 Jahre für Personen ab 60 Jahre).
Die Mindestversicherungszeit ist nicht notwendig für diejenigen, die vor dem 1. Juni 1991 verstorben sind.</t>
  </si>
  <si>
    <t>12 Versicherungsmonate in den 3 letzten Jahren vor dem Tod. Falls in diese Frist von 3 Jahren gleichgestellte Zeiten fallen, so verlängert sie sich entsprechend.
Die Mindestversicherungszeit entfällt bei Tod aufgrund eines Unfalls (gleich aus welcher Ursache) oder einer Berufskrankheit, die während der Zeit der Versicherung eingetreten ist; oder wenn der Versicherte Anspruch auf eine persönliche Rente zum Zeitpunkt des Todes hatte.</t>
  </si>
  <si>
    <t>Witwen-/Witwerrente (Pensjoni tar-Romol):
Vor dem 22. Januar 1979 Teil eines Sozialversicherungssystems gewesen sein mit einem Durchschnittswert zwischen 20 und 50 angerechneten oder gezahlten wöchentlichen Beiträgen pro Jahr und mindestens 156 wöchentlich gezahlte Beiträge insgesamt.
Hinterbliebenenrente (Pensjoni tas-Superstiti):
Wie Witwen-/Witwerrente, wenn mindestens ein wöchentlicher Beitrag nach dem 22. Januar 1979 bezahlt wurde.</t>
  </si>
  <si>
    <t>Der Verstorbene muss zum Zeitpunkt des Todes versichert sein.</t>
  </si>
  <si>
    <t>5 Jahre Versicherung (oder 5 Jahre Bezug einer Rente) unmittelbar vor dem Tod.
Ist diese Bedingung nicht erfüllt, so kann ein versicherter Hinterbliebener einen Leistungsanspruch nach einem Versicherungsjahr erhalten, falls der Verstorbene zum Todeszeitpunkt versichert war und ab dem Alter von 16 Jahren insgesamt höchstens 5 Jahre nicht versichert war.
Unter besonderen Umständen sind besondere Regelungen anwendbar.</t>
  </si>
  <si>
    <t>Das Vorliegen von mindestens 180 Beitragsmonaten oder min. 300 Versicherungsmonaten oder 60 Versicherungsmonate innerhalb der letzten 120 Kalendermonate (nach Vollendung des 50. Lebensjahres wird die Wartezeit für jeden nach diesem Zeitpunkt liegenden Monat um 1 Monat und der Beobachtungszeitraum um jeweils 2 Monate angehoben bis maximal 180 Versicherungsmonate innerhalb der letzten 360 Kalendermonate).</t>
  </si>
  <si>
    <t>Um anspruchsberechtigt für diese Leistung zu sein, muss die verstorbene Person Bezieher einer Alters- oder Invaliditätsrente gewesen sein oder die Bedingungen zur Gewährung einer dieser Renten erfüllt haben.
Bei Tod des Versicherten durch Arbeitsunfall oder Berufskrankheit ist die Rente unabhängig von der Dauer der Erwerbstätigkeit zahlbar.</t>
  </si>
  <si>
    <t>Entrichtete oder angerechnete Beiträge für mindestens 36 Jahre.</t>
  </si>
  <si>
    <t>Rentner oder Personen mit Anspruch auf Invalidenrente (pensie de invaliditate), Altersrente (pensie pentru limita de varsta), Altersrente mit reduziertem Ruhestandsalter (pensie pentru limita de varsta cu reducerea varstelor standard de pensionare), vorgezogene Ruhestandsrente (pensie anticipata).</t>
  </si>
  <si>
    <t xml:space="preserve">
   * Einkommensbezogene Anpassungsrente (inkomstrelaterad omställningspension): Der Verstorbene muss kumulierte Rentenansprüche im Altersversorgungssystem haben.
   * Garantierente zu Anpassungsrente (garantipension till omställningspension): Der Verstorbene muss mindestens 3 Jahre in Schweden wohnhaft gewesen sein (40 Jahre für eine volle Garantierente);
   * Witwenrente (änkepension): Die verstorbene Person muss im alten Rentensystem einen Pensionsanspruch auf Zusatzrente für mindestens 3 Jahre erworben haben. Die Ehepartner müssen am 31. Dezember 1989 sowie zum Todeszeitpunkt verheiratet gewesen sein.
   * Garantierte Witwenrente (garantipension till änkepension): Witwen, die 1945 oder später geboren wurden, können nur dann eine Garantierente für ihre Witwenrente erhalten, wenn der Tod vor 2003 eingetreten ist. Die garantierte Witwenrente kann bis zum Monat vor dem 66. Lebensjahr der Witwe gezahlt werden. Dem Verstorbenen müssen mindestens drei Jahre Rentenpunkte oder drei Jahre Wohnsitz in Schweden angerechnet worden sein.
   * Kinderrente (barnpension): Der Verstorbene muss zum Zeitpunkt des Todes in der schwedischen Sozialversicherung versichert gewesen sein. Es gibt keine besondere Mindestanforderung an Versicherungs- oder Wohnjahren; die Höhe der Kinderrente wird bestimmt durch die erworbenen Rentenansprüche des Verstorbenen.
   * Waisenbeihilfe (efterlevandestöd): Ist die Kinderrente gering oder nicht vorhanden, kann eine wohnortbezogene Hinterbliebenenunterstützung eine Grundleistung bieten.  Der Verstorbene muss keine besonderen Bedingungen erfüllen, aber das Kind muss im schwedischen Sozialversicherungssystem versichert sein.
</t>
  </si>
  <si>
    <t xml:space="preserve">
   * Bezug einer Altersrente (Starobný dôchodok), Vorgezogene Altersrente (Predčasný starobný dôchodok) oder Invalidenrente (Invalidný dôchodok), oder
   * Vorliegen der Anzahl von Versicherungsjahren für einen Anspruch auf Alters- oder Invalidenrente, oder
   * Tod auf Grund von Arbeitsunfall oder Berufskrankheit.</t>
  </si>
  <si>
    <t>Der Verstorbene bezog, hatte Anspruch auf oder erfüllte die Mindestversicherungszeit für eine Altersrente (starobní důchod) oder Invaliditätsrenten ersten, zweiten und dritten Grades (invalidní důchod prvního, druhého nebo třetího stupně) oder starb an den Folgen eines Arbeitsunfalls oder einer Berufskrankheit.
Der Anspruch geht ebenfalls auf hinterbliebene Kinder über, wenn die verstorbene Person die Hälfte der Mindestversicherungszeit für die Invaliditätsrente erfüllt hat oder in den letzten 10 Jahren mindestens ein Jahr versichert war (ohne beitragsfreie Zeiten) oder in den letzten 20 Jahren über 38 Jahre alt und mindestens zwei Jahre (ohne beitragsfreie Zeiten) versichert war.</t>
  </si>
  <si>
    <t>Der/die Hinterbliebene hat Anspruch auf Hinterbliebenenrente (Наследствена пенсия) 5 Jahre bevor er/sie das reguläre Renteneintrittsalter erreicht oder vorher, falls er/sie teilweise erwerbsunfähig ist.</t>
  </si>
  <si>
    <t>Mit der verstorbenen Person verheiratet sein oder gewesen sein.
Zusätzlich muss die verstorbene Person Beitragsleistungen über einen Zeitraum von mindestens 2 Jahren vor dem Tod getätigt haben.</t>
  </si>
  <si>
    <t>Die Ehe muss grundsätzlich mindestens ein Jahr bestanden haben.
Anspruch auf die so genannte große Witwen- oder Witwerrente besteht ab Vollendung des 47. Lebensjahres, bei Erwerbsminderung oder bei Erziehung eines Kindes unter 18 Jahren (ohne Altersbegrenzung bei Sorge für ein behindertes Kind, das seinen Unterhalt nicht selbst bestreiten kann). Sonst besteht Anspruch auf die so genannte kleine Witwen- oder Witwerrente.
Seit 2012 wird die Altersgrenze für die große Witwen- oder Witwerrente bei Tod des/der Versicherten stufenweise von früher 45 Jahre auf 47 Jahre angehoben. Für alle Todesfälle ab 2029 gilt dann die Altersgrenze 47 Jahre.
Männer und Frauen werden gleichbehandelt.
Einkommen über einem bestimmten Freibetrag wird teilweise angerechnet.</t>
  </si>
  <si>
    <t xml:space="preserve">Volksrente (Perhe-eläke):
Der hinterbliebene Ehegatte:
   * Unter 65 Jahren;
   * nach dem 16. Lebensjahr mindestens 3 Jahre den ständigen Wohnsitz in Finnland gehabt haben, und
   * ein gemeinsames Kind (eigenes oder adoptiertes Kind) mit dem/der Verstorbenen haben, oder
   * Wenn die Ehepartner kein gemeinsames Kind mit dem Verstorbenen haben, der hinterbliebene Ehepartner mindestens 50 Jahre alt zum Zeitpunkt des Todes ist und unter 50 Jahre alt war, als die Ehe geschlossen wurde und die Ehe mindestens 5 Jahre gedauert hat.
Gesetzliche einkommensbezogene Rente (Työeläke):
   * Der hinterbliebene Ehepartner mit dem gemeinsamen Kind muss verheiratet gewesen sein, bevor der Verstorbene das Alter von 65 Jahren erreicht hat;
   * der hinterbliebene Partner muss mindestens 50 Jahre alt sein oder eine Invaliditätsrente beziehen; die Ehe muss mindestens 5 Jahre bestanden haben und geschlossen worden sein, bevor die verstorbene Person das Alter von 65 Jahre und die hinterbliebene Person das Alter von 50 Jahren erreicht hatten.
</t>
  </si>
  <si>
    <t>Hinterbliebene Ehepartner, die nicht in einer eheähnlichen Gemeinschaft zusammenleben, d. h. mit einer anderen Person als Paar leben.
Gleiche Bedingungen für Männer und Frauen.</t>
  </si>
  <si>
    <t>Volksrente (lífeyrir almannatrygginga):
Keine Leistungen.
Arbeitsrente (lögbundnir lífeyrissjóðir):
Ehe mit der verstorbenen Person.</t>
  </si>
  <si>
    <t>1. und 2. Säule:
Hinterbliebener Ehegatte ab 50 Jahren. Hinterbliebene Ehegatten, die zum Todeszeitpunkt des Versicherten das Alter von 45 Jahren erreicht haben, erwerben jedoch einen Anspruch, wenn sie 50 Jahre alt werden.
Es bestehen keine Altersbedingungen, wenn der hinterbliebene Ehegatte behindert ist oder Kinder mit Anspruch auf eine Hinterbliebenenrente erzieht.Gleiche Bedingungen für Männer und Frauen.</t>
  </si>
  <si>
    <t>Der hinterbliebene Ehegatte, der Rentner ist, kann vorübergehend die Leistung für den hinterbliebenen Ehegatten (Pabalsts pārdzīvojušam laulātajam) erhalten.
Gleiche Bedingungen für Männer und Frauen.</t>
  </si>
  <si>
    <t>Die Ehe muss mindestens ein Jahr bestanden haben (entweder vor dem Tod oder vor Bezug der persönlichen Invaliditäts- oder Altersrente des Versicherten), und der Versicherte darf zum Zeitpunkt der Eheschließung keine Invaliditäts- oder Altersrente bezogen haben.
Anspruch auf eine Hinterbliebenenrente besteht jedoch, wenn eine der folgenden Bedingungen erfüllt ist:
   * Der Tod des aktiven Versicherten oder seine Versetzung in den Ruhestand wegen Invalidität ist die direkte Folge eines Unfalls, der sich nach der Eheschließung ereignet hat;
   * Ein Kind wurde während der Ehe geboren oder gezeugt oder wurde durch die Eheschließung gesetzlich anerkannt;
   * Die Ehe bestand mindestens ein Jahr, sofern der verstorbene Rentenempfänger nicht 15 Jahre oder älter als der Ehegatte oder Partner war;
   * Die Ehe bestand mindestens 10 Jahre, sofern der verstorbene Rentenempfänger mehr als 15 Jahre älter als der Ehegatte oder Partner war.</t>
  </si>
  <si>
    <t>Hinterbliebener Ehegatte oder Lebenspartner der verstorbenen versicherten Person.
Die Anspruchsberechtigung ist abhängig von den Versicherungszeiten des Verstorbenen sowie dem Familienstatus (Ehe oder eingetragene Lebenspartnerschaft) des Antragstellers zum Todeszeitpunkt. Es gelten keine Anforderungen an Alter, Einkommen oder Dauer der Ehe/Partnerschaft. Der Hinterbliebene darf nicht erneut verheiratet sein.
Keine unterschiedlichen Bedingungen für Männer und Frauen.</t>
  </si>
  <si>
    <t>Anpassungszulage (omstillingsstønad) wird gewährt, wenn der hinterbliebene Partner unter 67 Jahren alt ist und die Ehe mindestens 5 Jahre bestanden hat. Es gibt keine Anforderungen an die Dauer der Ehe für hinterbliebene Ehepartner, wenn gemeinsame Kinder vorhanden sind oder wenn mindestens für die Hälfte der Zeit Kinder unter 18 Jahren vesorgt werden.
Die Bedingungen gelten für Frauen und Männer.</t>
  </si>
  <si>
    <t>Hinterbliebene:r, deren:dessen Ehe/eingetragene Partnerschaft mit dem:der Verstorbenen zum Todeszeitpunkt bestand.
Wenn das monatliche Erwerbseinkommen oder Erwerbsersatzeinkommen (z.B. Rente, Kranken- oder Wochengeld, Arbeitslosengeld) das Doppelte der monatlichen Höchstbeitragsgrundlage des Jahres 2012 überschreitet (monatlich €8.460 brutto), so wird die Witwen:Witwerrente so weit vermindert, dass die Summe aus eigenem Einkommen und der Rente diese Grenze nicht mehr überschreitet.
Je nach Alter der Ehepartner:innen bzw. eingetragenen Partner:innen und Dauer der Ehe kann sich eine zeitlich auf 30 Monate befristete oder unbefristete Witwen:rpension ergeben (siehe Tabelle VII, Leistungen - 1. Hinterbliebener Ehegatte, geschiedener Ehegatte, hinterbliebene Lebenspartner). Eine unbefristete Witwenpension gebührt jedenfalls u.a. wenn in der Ehe/Eingetragenen Partnerschaft ein Kind geboren (legitimiert) wurde oder die Witwe im Todeszeitpunkt der:s Partner:in schwanger war.</t>
  </si>
  <si>
    <t xml:space="preserve">
   * 50 Jahre und älter, oder
   * voll erwerbsunfähig, oder
   * Erziehung eines Kindes, das entweder Anspruch auf eine Hinterbliebenenrente hat oder unter 16 Jahre alt ist (18 Jahre, falls Vollzeitstudent), oder
   * Erziehung eines behinderten Kindes ohne Alterseinschränkung, das Anspruch auf eine Hinterbliebenenrente hat.
Es gelten gleiche Bedingungen für Männer und Frauen.</t>
  </si>
  <si>
    <t>Witwenrente (Vdovský dôchodok) und Witwerrente (Vdovecký dôchodok), abhängig von der Rente des Verstorbenen im Rahmen der 1. Säule:
Verheiratet sein mit der verstorbenen Person zum Zeitpunkt ihres Todes.
Dauer des Leistungsbezugs ist zwei Jahre, die Leistung wird aber nach Ablauf des ersten Jahres weitergezahlt, wenn der überlebende Ehepartner:
   * zu mehr als 70% erwerbsunfähig ist oder;
   * ein unterhaltspflichtiges Kind betreut oder;
   * mindestens 3 Kinder (nur 2 Kinder, falls 52 Jahre oder älter, nur 1 Kind, falls 57 Jahre oder älter) erzogen hat, oder;
   * das Rentenalter erreicht hat.
Witwenrente (Vdovský dôchodok) und Witwerrente (Vdovecký dôchodok), abhängig von der Rente des Verstorbenen im Rahmen der 2. Säule: Die Dauer der Rente beträgt ein oder zwei Jahre, wenn die Zahlung einer Witwen- oder Witwerrente im Rentenversicherungsvertrag vereinbart wurde.</t>
  </si>
  <si>
    <t>Im Todesfall aufgrund einer nicht berufsbedingten Krankheit, die vor der Ehe einsetzte, muss die Ehe mindestens ein Jahr lang bestanden haben oder es muss gemeinsame Kinder geben.</t>
  </si>
  <si>
    <t>Witwe: muss vom verstorbenen Ehemann abhängig gewesen sein und mit ihm zusammengelebt haben oder bis zum Todeszeitpunkt von ihm unterhalten worden sein.
Witwer: muss zuvor von der verstorbenen Ehefrau, die seit dem 1. Januar 2018 verstarb, abhängig gewesen sein, und zum Zeitpunkt ihres Todes mit ihr zusammengelebt haben oder von ihr unterhalten worden sein.</t>
  </si>
  <si>
    <t>Für den Privatsektor gibt es keine Hinterbliebenenrente für überlebende geschiedene Ehepartner.</t>
  </si>
  <si>
    <t>Mindestens 5 Jahre lang bestehende Ehe.
Zusätzlich muss die verstorbene Person vor dem 1. Januar 2002 (nach der alten Regelung) Unterhaltszahlungen geleistet haben.</t>
  </si>
  <si>
    <t>Scheidung vor dem 01.07.1977: Der hinterbliebene geschiedene Ehegatte darf nicht wieder geheiratet haben. Es muss ein Unterhaltsanspruch bestanden haben bzw. Unterhalt gezahlt worden sein.
Bei jeder Ehescheidung nach dem 30.06.1977 wird grundsätzlich ein Versorgungsausgleich bezüglich der während der Ehe gemeinsam erworbenen Anwartschaften vorgenommen. Dies gilt auch für eingetragene Lebenspartnerschaften.
Bei einer Ehescheidung nach dem 30.06.1977 hat der geschiedene Ehegatte, der ein eigenes Kind oder ein Kind des verstorbenen erzieht bis zum Erreichen der Regelaltersgrenze einen Anspruch auf Erziehungsrente, wenn er nicht wieder geheiratet hat und bis zum Tod des geschiedenen Ehegatten die allgemeinen Wartezeiten erfüllt hat. Dies gilt auch für eingetragene Lebenspartnerschaften.
Frauen und Männer werden gleichbehandelt.
Einkommen über einem bestimmten Freibetrag wird teilweise angerechnet.</t>
  </si>
  <si>
    <t>Eine geschiedene Person hat Anspruch auf Hinterbliebenenrente, falls sie während der Ehe oder bis zu einem Jahr danach dauerhaft arbeitsunfähig wurde oder spätestens innerhalb von drei Jahren nach der Scheidung das Rentenalter erreicht hat und die Ehe mindestens 25 Jahre bestand.</t>
  </si>
  <si>
    <t>Gesetzliche einkommensbezogene Rente (Työeläke):
Geschiedene Ehepartner haben ein Anrecht, wenn sie von dem Verstorbenen Unterhaltszahlungen erhalten haben und ihre Situation dieselben Bedingungen wie die es hinterbliebenen Ehegatten erfüllt (siehe Tabelle VII, „Bedingungen 2. Hinterbliebener Ehegatte”).
Geschiedene Ehepartner haben kein Anrecht auf Volksrente (Perhe-eläke).</t>
  </si>
  <si>
    <t>1/Basissystem (Régime de base):
Hinterbliebenenrente: Dieselben Bedingungen wie für den Witwer/die Witwe.
2/Zusatzrentensysteme (Agirc-Arrco):
Dieselben Bedingungen wie für den Witwer/die Witwe.</t>
  </si>
  <si>
    <t>Geschiedene Ehepartner, die nicht in einer eheähnlichen Gemeinschaft zusammenleben, d. h. mit einer anderen Person als Paar leben.
Gleiche Bedingungen für Männer und Frauen.</t>
  </si>
  <si>
    <t>Keine Leistungen.</t>
  </si>
  <si>
    <t>Ein/e geschiedene/r Witwe/r, der/die Unterhaltsleistungen bezogen hat, kann aufgrund richterlicher Entscheidung Hinterbliebenenrente (pensione ai superstiti) erhalten.</t>
  </si>
  <si>
    <t>Geschiedener Ehegatte unter den vorgenannten Bedingungen im Alter von 50 Jahren oder mehr bei Anspruch auf Unterhalt.
Gleiche Bedingungen für Männer und Frauen.</t>
  </si>
  <si>
    <t>1. Säule: Ein geschiedener Ehegatte, der gegen die verstorbene Person im Todeszeitpunkt einen Unterhaltsanspruch hatte bzw. Unterhalt erhielt, hat einen Anspruch unter denselben Bedingungen wie ein hinterbliebener Ehegatte - maximal im Betrag des entfallenden Unterhaltsanspruchs.
2. Säule: Der geschiedene Ehegatte hat keinen gesetzlichen Anspruch auf eine Verwitwetenrente.</t>
  </si>
  <si>
    <t>Der geschiedene Ehepartner darf keine neue Ehe oder Lebensgemeinschaft eingegangen sein. Im Übrigen gelten die gleichen Bedingungen wie für hinterbliebene Ehepartner.</t>
  </si>
  <si>
    <t>Der geschiedene Ehepartner oder Partner einer verstorbenen Person hat Anspruch auf eine Hinterbliebenenrente, die der Anzahl der Ehejahre entspricht.
Gleiche Behandlung von Männern und Frauen.</t>
  </si>
  <si>
    <t>Geschiedene, die vollständig oder wesentlich durch Beiträge des Verstorbenen unterhalten wurden, haben Anspruch auf eine Anpassungszulage (omstillingsstønad), wenn die Ehe mindestens 25 Jahre bestand oder mindestens 15 Jahre, wenn aus ihr gemeinsame Kinder hervorgegangen sind.
Die Bedingungen gelten für Frauen und Männer.</t>
  </si>
  <si>
    <t>Hinterbliebene:r geschiedene:r Ehepartner:in, der:die gegen den:die Verstorbene:n im Todeszeitpunkt einen Unterhaltsanspruch hatte bzw. Unterhalt erhielt, sofern keine neue Ehe bzw. eingetragene Partnerschaft geschlossen wurde.</t>
  </si>
  <si>
    <t>Geschiedene Ehepartner, die bis zum Todeszeitpunkt des Partners keinen gemeinsamen Güterstand mit dem Verstorbenen hatten, haben Anspruch auf Hinterbliebenenrente, wenn sie die obigen Bedingungen erfüllen und am Todestag des Partners ein gerichtlich festgestellter Unterhaltsanspruch bestand.
Es gelten gleiche Bedingungen für Männer und Frauen.</t>
  </si>
  <si>
    <t>Voraussetzung ist, dass der frühere Ehepartner Anspruch auf Unterhalt hat.
Gleiche Bedingungen für Männer und Frauen.</t>
  </si>
  <si>
    <t>Keine Leistung.</t>
  </si>
  <si>
    <t>Keine Leistungen für geschiedene Ehepartner.</t>
  </si>
  <si>
    <t>Rente für Geschiedene Ehefrauen (dôchodok pre rozvedenú ženu):
Geschiedene Ehefrau (Scheidung vom dem 1. Januar 2004), mit vom Gericht zugesprochenem Unterhalsanspruch. Keine weiteren Bedingungen.</t>
  </si>
  <si>
    <t>Geschiedene Ehepartner haben Anspruch auf eine Witwen- oder Witwerrente, wenn ein Unterhaltsanspruch bestand und die verstorbene versicherte Person zum Zeitpunkt des Todes Unterhaltszahlungen geleistet hat.
Falls auch ein hinterbliebener Ehepartner aus einer späteren Ehe anspruchsberechtigt ist, wird die Hinterbliebenenrente aufgeteilt.</t>
  </si>
  <si>
    <t>Bei Aufhebung der Ehe, proportional zur Dauer der Ehe; bei Trennung oder Scheidung hat der getrennte Ehepartner Anspruch auf die Leistung, so lange Unterhalt anerkannt wurde.
In allen Fällen muss der verstorbene Ehepartner zu Unterhaltszahlungen oder Entschädigung verpflichtet gewesen sein (mit einigen vorübergehenden Ausnahmen).</t>
  </si>
  <si>
    <t>Keine Leistungen für Hinterbliebene für geschiedene Ehepartner.</t>
  </si>
  <si>
    <t>Anspruch auf eine Witwen-/Witwerrente (Özvegyi nyugdíj) haben Geschiedene Ehegatten nur dann, wenn sie von der verstorbenen Person Unterhalt erhielten und nicht erneut geheiratet haben.</t>
  </si>
  <si>
    <t>Mindestens 2-jähriges Zusammenleben vor dem Tod.</t>
  </si>
  <si>
    <t>Wie für hinterbliebene Ehegatten.</t>
  </si>
  <si>
    <t xml:space="preserve">Hinterbliebener Partner einer eingetragenen Lebenspartnerschaft:
Dieselben Regeln für hinterbliebene Ehegatten (siehe Tabelle VII, „Bedingungen 2. Hinterbliebener Ehegatte”), wenn die Partnerschaft als Lebenspartnerschaft eingetragen war.
Sonstiger hinterbliebener Partner:
Volksrente (Perhe-eläke)
Hinterbliebene Partner müssen folgende Bedingungen erfüllen:
   * jünger als 65 Jahre sein;
   * ab dem Alter von 16 Jahren mindestens 3 Jahre lang in Finnland wohnhaft gewesen sein;
   * das Zusammenleben mit dem verstorbenen Partner begonnen haben, bevor dieser 65 Jahre alt war;
   * mit dem verstorbenen Partner über einen ununterbrochenen Zeitraum von mindestens 5 Jahren zusammengelebt haben und nicht mit einer anderen Person verheiratet sein; und
   * ein gemeinsames Kind mit der verstorbenen Person haben.
Gesetzliche einkommensbezogene Rente (Työeläke):
Hinterbliebene Partner müssen folgende Bedingungen erfüllen:
   * das Zusammenleben mit dem verstorbenen Partner begonnen haben, bevor dieser 65 Jahre alt war;
   * mit dem verstorbenen Partner über einen ununterbrochenen Zeitraum von mindestens 5 Jahren zusammengelebt haben und nicht mit einer anderen Person verheiratet sein; und
   * Ein gemeinsames Kind mit der verstorbenen Person haben.
</t>
  </si>
  <si>
    <t>Gleiche Bedingungen wie für den hinterbliebenen Ehepartner.</t>
  </si>
  <si>
    <t>Hinterbliebene Lebenspartner:
Gleich wie bei „Hinterbliebene Ehepartner”, d.h. ein hinterbliebener Lebenspartner, der nicht in einer eheähnlichen Gemeinschaft zusammenlebt, d. h. mit einer anderen Person als Paar lebt.
Partner in eheähnlicher Gemeinschaft:
Keine Leistungen.
Die gleichen Bedingungen für Männer und Frauen.</t>
  </si>
  <si>
    <t>Volksrente (lífeyrir almannatrygginga):
Keine Leistungen.
Arbeitsrente (lögbundnir lífeyrissjóðir):
Eingetragene Lebensgemeinschaft (auch gleichgeschlechtlich) mit der verstorbenen Person.</t>
  </si>
  <si>
    <t>Keine Leistungen für den hinterbliebenen Partner oder Lebenspartner.</t>
  </si>
  <si>
    <t>Die gleichen Bedingungen wie bei einem hinterbliebenen Ehegatten (im Alter von 50 Jahren oder mehr), wenn sie mindestens 3 Jahre zusammengelebt haben oder in einer Partnerschaft waren.
Gleiche Bedingungen für Männer und Frauen.</t>
  </si>
  <si>
    <t>1. Säule: Für eingetragene Partner gelten die gleichen Bedingungen wie für hinterbliebene Ehegatte (vgl. Tabelle VII, 2. Hinterbliebener Ehegatte)Keine Leistungen an Konkubinatspartner.
2. Säule: Für eingetragene Partner gelten die gleichen Bedingungen wie für hinterbliebene Ehegatte (vgl. Tabelle VII, 2.Hinterbliebener Ehegatte)
Leistungen für Konkubinatspartner nur, sofern dies reglementarisch vorgesehen ist.</t>
  </si>
  <si>
    <t>Gleiche Bedingungen wie für geschiedene Ehepartner.</t>
  </si>
  <si>
    <t>Lebenspartner benötigen eine schriftliche Erklärung gegenüber dem Zivilstandsregister.
Gleiche Bedingungen wie für hinterbliebene Ehepartner.</t>
  </si>
  <si>
    <t>Gleiche Bedingungen für geschiedene Ehepartner.
Siehe Tabelle VII zu Hinterbliebenen, „Anspruchskriterien. Geschiedener Ehegatte.“</t>
  </si>
  <si>
    <t>Eine Person, die mit der verstorbenen Person unverheiratet zusammengelebt hat, falls sie zuvor verheiratet waren oder gemeinsame Kinder haben.
Der hinterbliebene Partner hat dieselben Rechte wie ein hinterbliebener Ehepartner (siehe Tabelle VII, „Hinterbliebener Ehepartner”).
Sind keine Kinder aus der Lebenspartnerschaft oder Lebensgemeinschaft hervorgegangen, so muss das Zusammenleben bzw. die eingetragene Gemeinschaft mindestens fünf Jahre bestanden haben.</t>
  </si>
  <si>
    <t>Eingetragene Partner:innen haben die gleichen Rechte wie Ehepartner:innen. Bei bloßer Lebensgemeinschaft erwachsen keine Rechte.</t>
  </si>
  <si>
    <t>Eine Person, die zum Zeitpunkt des Todes des nicht verheirateten Arbeitnehmers mit ihm seit mindestens 2 Jahren in eheähnlicher Gemeinschaft lebt, wird wie ein Ehepartner behandelt.
Weitere Bedingungen, die mit denen des überlebenden Ehepartners identisch sind.
Die Bedingungen sind für Männer und Frauen gleich.</t>
  </si>
  <si>
    <t>Anpassungsrente (omställningspension):
Eine Person, die mit dem/der Verstorbenen ständig zusammenlebte, ohne mit ihm/ihr verheiratet gewesen zu sein, wird als Ehegatte behandelt, wenn die Ehe zu einem früheren Zeitpunkt bestand oder das Paar bei Eintreten des Todes ein gemeinsames Kind hatte oder erwartete (siehe „Anspruchskriterien, Hinterbliebener Ehepartner“).
Witwenrente (änkepension): nur für Frauen, die mit dem Verstorbenen vor dem 31. Dezember 1989 und zum Zeitpunkt seines Todes verheiratet waren.</t>
  </si>
  <si>
    <t>1. Säule (Grundsystem):
Eingetragener Partner:
Ein oder mehrere Kinder.
2. Säule (obligatorische Mindestvorsorge):
Eingetragener Partner:
Ein oder mehrere unterhaltsberechtigte Kinder oder 45 Jahre und die eingetragene Partnerschaft hat 5 Jahre gedauert.
Die gerichtliche Auflösung der eingetragenen Partnerschaft ist einer Scheidung gleichgestellt.</t>
  </si>
  <si>
    <t xml:space="preserve">
   * Weder verheiratet noch an einen anderen Partner gebunden;
   * Registrierung oder Formalisierung der nicht-ehelichen Beziehung sollte mindestens zwei Jahre vor dem Sterbedatum erfolgt sein;
   * ununterbrochene Lebensgemeinschaft mindestens während der fünf Jahre unmittelbar vor dem Sterbedatum (nicht erforderlich, wenn gemeinsame Kinder vorhanden sind).</t>
  </si>
  <si>
    <t>Gleiche Bedingungen wie für hinterbliebene Ehepartner.</t>
  </si>
  <si>
    <t>Paare, die in eheähnlicher Gemeinschaft zusammenwohnen, müssen entweder mindestens ein Jahr zusammengewohnt und ein gemeinsames Kind haben oder, falls sie kein Kind haben, 10 Jahre zusammengewohnt haben. Kein Anspruch besteht, falls der Lebenspartner bereits eine Arbeitsunfallbedingte Hinterbliebenenrente (Baleseti hozzátartozói nyugdíj) oder Hinterbliebenenrente (Özvegyi nyugdíj) bezieht.</t>
  </si>
  <si>
    <t>Keine Waisenrente.</t>
  </si>
  <si>
    <t xml:space="preserve">
   * Normal: bis zu 18 Jahre.
   * Studenten: bis zu 26 Jahre.
   * Arbeitsunfähige: altersunabhängig.
Ihr Leistungsanspruch wird weder durch eine Heirat noch durch die Aunahme einer Beschäftigung beeinflusst.</t>
  </si>
  <si>
    <t>Alter von unter 21 Jahren, wenn die verstorbene Person für Zusatzrente versichert war und für mindestens 2 Jahre seit 2002 volle Beiträge gezahlt hat.
Alter von unter 18 Jahren, wenn die verstorbene Person die oben genannten Voraussetzungen nicht erfüllt, aber vor 1. Januar 2002 Beiträge zur Zusatzrente gezahlt hat.
Die Anspruchsberechtigung von Kindern auf diese Leistung wird nicht von einer Heirat oder Aufnahme einer Beschäftigung beeinflusst.</t>
  </si>
  <si>
    <t>Uneingeschränkter Anspruch auf Halb- oder Vollwaisenrente bis zum 18. Lebensjahr.
Bis zum Alter von 27 Jahren grundsätzlich bei Schul- oder Berufsausbildung oder während eines freiwilligen Dienstes im Gleichklang mit dem Steuer-/Kindergeldrecht (§ 32 Abs. 4 S. 1 Nr. 2 Buchstabe d EStG), bei bis zu 4 Kalendermonaten Übergangszeit zwischen den genannten Zeiten oder wenn das Kind wegen Behinderung seinen Unterhalt nicht selbst bestreiten kann.
Einkommen wird nicht angerechnet. Bei Heirat entfällt der Anspruch grundsätzlich.</t>
  </si>
  <si>
    <t>Die Hinterbliebenenrente (toitjakaotuspension) wird an Kinder unter 18 Jahren (Vollzeitstudenten unter 24 Jahren) gewährt, unabhängig davon, ob die verstorbene Person für die Kinder Unterhalt gezahlt hat.</t>
  </si>
  <si>
    <t>Volksrente (Perhe-eläke): Unter 18 Jahren (bzw. zwischen 18 und 20 Jahren, wenn sie ausschließlich studieren).
Gesetzliche einkommensbezogene Rente (Työeläke): Unter 20 Jahren.
Der Anspruch hinterbliebener Kinder auf die Leistung ist unabhängig von einer Heirat oder Aufnahme einer Erwerbstätigkeit.</t>
  </si>
  <si>
    <t>1/Basissystem (Régime de base):
Vollwaisen bis zum 21. Lebensalter. Verlängerung einkommensabhängig bis zum 25. Lebensjahr möglich und Verlängerung, ohne Altersbeschränkung für Personen, deren Behinderung (permanente Arbeitsunfähigkeit von mindestens 80%) vor dem 21. Lebensjahr festgestellt wurde (ebenfalls einkommensabhängig).
2/Zusatzrentensysteme (Agirc-Arrco):
Vollwaisen bis zum Alter von 21 Jahren oder bis zum Alter von 25 Jahren, wenn das Kind beim verstorbenen Elternteil versichert gewesen ist und ohne Altersgrenze bei Behinderung (Behinderung vor dem 21. Lebensjahr angegeben).
Um als unterhaltsberechtigtes Kind zu gelten, muss die Person Student, Auszubildener oder ein nicht entschädigter Arbeitsuchender sein.</t>
  </si>
  <si>
    <t>Eheliche Kinder, angenommene Kinder, adoptierte Kinder und denen gleichgestellte müssen jünger als 24 Jahre alt sein und unverheiratet.
Wenn sie darüber hinaus aufgrund einer Behinderung, die vor dem Alter von 24 Jahren eintrat, nicht in der Lage sind, am Erwerbsleben teilzunehmen, wird die Rente über das 24. Lebensjahr hinaus gezahlt. Im Fall einer Heirat wird die Rente ausgesetzt.</t>
  </si>
  <si>
    <t>Unter 18 Jahren (unter 22 Jahren bei ganztägiger Ausbildung).
Heirat oder Aufnahme einer Beschäftigung führen zu einer Aussetzung der Anspruchsberechtigung auf die Leistung.</t>
  </si>
  <si>
    <t>Volksrente (lífeyrir almannatrygginga):
Weniger als 18 Jahre. Die verstorbene versicherte Person, der hinterbliebene Ehepartner oder das hinterbliebene Kind müssen mindestens 3 Jahre unmittelbar vor dem Antrag auf Kinderrente (barnalífeyrir) ihren Wohnsitz in Island gehabt haben.
Arbeitsrente (lögbundnir lífeyrissjóðir):
Weniger als 18 Jahre. Pflege- und Stiefkinder, die von der verstorbenen Person unterhalten wurden, haben die gleichen Rechte.</t>
  </si>
  <si>
    <t>Hinterbliebene Kinder sind anspruchsberechtigt auf die Leistung bis zum Alter von 18 Jahren (21 Jahren bei einer Vollzeitausbildung und 26 Jahren bei einem Universitätsstudium), während es für Kinder mit Behinderungen keine Altersbegrenzung gibt.</t>
  </si>
  <si>
    <t>Kinder unter 18 Jahren (unter 24 Jahren bei Vollzeitstudenten in weiterführenden Schulen, Berufsausbildung oder höherem Bildungsweg) erhalten die Leistung unabhängig davon, ob der/die Verstorbene sie unterstützt hat. Kinder mit Behinderungen wird die Rente ungeachtet ihres Alters gewährt, wenn sie bereits vor der Vollendung des 18. Lebensjahres behindert waren.
Eine Heirat oder die Aufnahme einer Beschäftigung hat keinen Einfluss auf den Leistunganspruch.</t>
  </si>
  <si>
    <t>1. Säule: Allgemein bis zur Vollendung des 18. Altersjahres; Kinder in Ausbildung bis zum Ende der Ausbildung (längstens jedoch bis zur Vollendung des 25. Altersjahr). Der Anspruch ändert sich nicht bei einer Heirat. Nur bei Aufnahme einer vollen Erwerbstätigkeit fällt er dahin.
2. Säule: Allgemein bis zur Vollendung des 18. Altersjahres; Kinder in Ausbildung bis zum Ende der Ausbildung (längstens jedoch bis zur Vollendung des 25. Altersjahr). Der Anspruch ändert sich nicht bei einer Heirat. Nur bei Aufnahme einer vollen Erwerbstätigkeit fällt er dahin.</t>
  </si>
  <si>
    <t>Rente gewährt bis zum 18. Lebensjahr. Sie wird bis zum 27. Lebensjahr weiter gewährt, wenn der Waise aufgrund seines Studiums seinen Lebensunterhalt nicht bestreiten kann.
Bei Vollwaisen, die von dem Versicherten aufgenommen wurden, muss dieser in den letzten 10 Monaten vor seinem Tod für ihren Unterhalt und ihre Erziehung gesorgt haben, und die Vollwaisen dürfen keinen Anspruch auf Waisenrente seitens ihrer Eltern haben.
Außer im Falle eines Studiums wird die Waisenrente nicht mehr gezahlt, wenn eine Ehe oder Lebensgemeinschaft eingegangen wird.</t>
  </si>
  <si>
    <t>Kinder haben Anspruch auf folgende Leistungen:
Waisengeld (Allowance ta' Ltim): wird gezahlt an Vollwaisen bis zum Alter von 16 Jahren.
Ergänzendes Waisengeld (Allowance Supplimentari ta' Ltim): wird gezahlt an nicht-erwerbstätige Vollwaisen im Alter zwischen 16 und 21 Jahren, oder deren Bruttoeinkünfte bei Erwerbstätigkeit durchschnittlich €94,55 pro Woche nicht überschreiten.</t>
  </si>
  <si>
    <t>Kinderrente (barnepensjon) wird für Personen unter 20 Jahren bereitgestellt.</t>
  </si>
  <si>
    <t>Bis zur Vollendung des 18. Lebensjahres bzw. des 27. Lebensjahres bei Studium oder Berufsausbildung, kein Alterslimit bei Behinderung des Kindes. Studium/Ausbildung und Arbeit können kombiniert werden, wenn für die Ausbildung mehr Stunden als für die Arbeit aufgewendet werden.
Stiefkinder müssen mit dem:der Versicherten in Hausgemeinschaft gelebt haben, um anspruchsberechtigt zu sein.
Betragsmäßig gibt es auch hinsichtlich der Schließung einer Ehe/Eingetragenen Partnerschaft keine Beschränkungen.</t>
  </si>
  <si>
    <t>Die Hinterbliebenenleistungen werden gezahlt:
bis 18 Jahre. Nach dem 18. Lebensjahr können sie gezahlt werden, wenn der Empfänger keine Berufstätigkeit ausgeübt, die durch eine Sozialpflichtversicherung abgedeckt ist. Diese Bedingung gilt jedoch nicht für Tätigkeiten, die im Rahmen eines Arbeitsvertrags während der Schulferien ausgeübt werden (und auch nicht für junge studierende Arbeitsnehmer, deren Jahreseinkommen höchstens dem 14-Fachen des garantierten Mindestlohns entspricht und die die Alterskriterien erfüllen: 25 oder 27 Jahren entsprechend der absolvierten Ausbildung). Keine Altersbegrenzung für Personen mit Behinderungen, sofern sie Kindergeld oder Leistungen zur sozialen Eingliederung beziehen.</t>
  </si>
  <si>
    <t xml:space="preserve">
   * Bis zu einem Alter von 16 Jahren (oder bis zur Graduierung, jedoch maximal bis zum Alter von 26 Jahren) oder
   * Die Arbeitsunfähigkeit trat vor Erreichen der oben erwähnten Altersgrenzen auf.
Die Leistungen für Kinder sind davon nicht betroffen, wenn diese heiraten oder Einkommen beziehen.</t>
  </si>
  <si>
    <t>Kinderrente(barnpension) und Beihilfe für Waisen (efterlevandestöd till barn): Bis zum Ende des Monats, in dem das Kind18 Jahre alt wird.
Besucht das hinterbliebene Kind die Sekundarstufe II und hat es Anspruch auf Studienförderung, kann die Entschädigung während der Studienzeit gewährt werden, höchstens jedoch bis zum Juni des Jahres, in dem das Kind 20 Jahre alt wird.</t>
  </si>
  <si>
    <t>1. Säule (Grundsystem):
Unter 18 Altersjahren, bei Studium oder Lehre höchstens 25 Jahre.
2. Säule (obligatorische Mindestvorsorge):
Unter 18 Altersjahren, bei Studium oder Lehre höchstens 25 Jahre oder die Waise ist zu mindestens 70% invalid und noch nicht fähig, eine Erwerbstätigkeit auszuüben.
Die Heirat der Waisen hat keinen Einfluss auf ihren Rentenanspruch.</t>
  </si>
  <si>
    <t>Waisenrente (Sirotský dôchodok) im Rahmen der 1. und 2. Säule:
Unterhaltsberechtigte Kinder bis 26 Jahre.
Waisenrente der 2. Säule wird gezahlt, wenn dies im Versicherungsvertrag für einen Zeitraum von einem, höchstens zwei Jahren vereinbart wurde.</t>
  </si>
  <si>
    <t>Hinterbliebene Kinder sind zu Leistungen für Hinterbliebene berechtigt, wenn sie unterhaltsberechtigt sind (eine Vollzeitausbildung absolvieren oder eine Behinderung haben). Eine Heirat oder Aufnahme einer Beschäftigung haben keine Auswirkungen auf diese Berechtigung.</t>
  </si>
  <si>
    <t>Waisenrente (Árvaellátás):
Für die eigenen Kinder des Verstorbenen oder seine Pflege- oder Adoptivkinder sowie für Geschwister oder Enkelkinder, solange sie zum Haushalt des Verstorbenen gehören.
   * Altersgrenze bei Kindern: 16 Jahre (bei Vollzeitstudium bis zu 25 Jahren oder bis zu 27 Jahren bei außergewöhnlichen Umständen). Keine Altersgrenze, wenn der Waise behindert ist oder behindert wird.
   * Andere Bedingungen: der verstorbene Elternteil muss die erforderliche Versicherungszeit für die Witwen- bzw. Witwerrente (Özvegyi nyugdíj) vor dem Todestag erfüllt haben oder zum Todeszeitpunkt eine Altersrente bezogen haben.
Weder Heirat noch Beschäftgungsstatus haben Einfluss auf den Anspruch von Waisen.
Außerordentliche Waisenrente (Kivételes árvaellátás): kann unter außergewöhnlichen Umständen gewährt werden, z.B. wenn die verstorbene Person die Anspruchsvoraussetzungen nicht vollständig erfüllt hat.</t>
  </si>
  <si>
    <t>Keine sonstigen Berechtigten.</t>
  </si>
  <si>
    <t xml:space="preserve">
   * Eltern, die das Rentenalter erreicht haben und keine eigene Rente beziehen,
   * Eltern von Personen, die während des Wehrdienstes sterben, haben Anspruch auf Hinterbliebenenrente (Наследствена пенсия) unabhängig vom eigenen Alter.</t>
  </si>
  <si>
    <t xml:space="preserve">
   * Bruder, Schwester oder Enkelkind unter 18 Jahren (Vollzeitstudenten unter 24 Jahren), falls er/sie keine arbeitsfähigen Eltern hat,
   * Elternteil im Rentenalter oder dauerhaft arbeitsunfähig,
   * Stiefkind oder Pflegekind, das nicht von den leiblichen Eltern unterstützt wird.
</t>
  </si>
  <si>
    <t>Volksrente (lífeyrir almannatrygginga):
Nicht zutreffend.
Arbeitsrente (lögbundnir lífeyrissjóðir):
Nicht zutreffend.</t>
  </si>
  <si>
    <t>Eltern oder Geschwister und Enkelkinder des Verstorbenen, falls keine anderen Hinterbliebenen vorhanden sind.</t>
  </si>
  <si>
    <t xml:space="preserve">
   * Geschwister und Enkelkinder unter 18 Jahren (unter 24 Jahren bei Vollzeitstudenten in weiterführenden Schulen, Berufsausbildung oder höherem Bildungsweg), wenn sie nicht erwerbsfähig sind und keine erwerbsfähigen Eltern haben;
   * Geschwister und Enkelkinder ungeachtet ihres Alters, wenn sie bereits vor der Vollendung des 18. Lebensjahres behindert waren und sie keine erwerbsfähigen Eltern haben.</t>
  </si>
  <si>
    <t>1. und 2. Säule: Nicht anwendbar.</t>
  </si>
  <si>
    <t>Geltende Bedingungen für Personen, die einem Ehepartner gleichgestellt sind:
   * Sie waren zum Zeitpunkt des Todes des Versicherten weder verheiratet noch lebten sie in einer Lebensgemeinschaft;
   * Sie haben mindestens in den letzten 5 Jahren vor dem Tod des Versicherten mit ihm in einer häuslicher Gemeinschaft gelebt;
   * Sie haben während desselben Zeitraums in seinem Haushalt gelebt;
   * Der Verstorbene hat in diesem Zeitraum überwiegend zu ihrem Unterhalt beigetragen;
   * Zum Zeitpunkt des Todes des Versicherten waren sie mindestens 40 Jahre alt.</t>
  </si>
  <si>
    <t>Jede Person, die sich um ein verwaistes Kind kümmert (gesetzlicher Vormund), wenn mindestens eines der Eltern zum Todeszeitpunkt versichert gewesen ist.</t>
  </si>
  <si>
    <t>Eltern, die vom Versicherten unterhalten werden und die für hinterbliebene Lebenspartner geltenden Voraussetzungen erfüllen.</t>
  </si>
  <si>
    <t>Die von der verstorbenen Person unterhaltenen Eltern können die Leistung in Anspruch nehmen, falls kein überlebender Ehepartner oder keine Kinder vorhanden sind.</t>
  </si>
  <si>
    <t>Nicht anwendbar: keine sonstigen Berechtigten.</t>
  </si>
  <si>
    <t>1. Säule (Grundsystem)/2. Säule (obligatorische Mindestvorsorge):
Keine anderen Berechtigten.</t>
  </si>
  <si>
    <t xml:space="preserve">
   * Enkelkinder, Stiefkinder und andere elternlose Kinder, die zum Todeszeitpunkt von der verstorbenen Person unterhalten wurden;
   * Eltern oder Adoptiveltern, die zum Todeszeitpunkt von der verstorbenen Person unterhalten wurden.</t>
  </si>
  <si>
    <t>Zusatzrente (arbejdsmarkedets tillægspension, ATP):
Hat die verstorbene Person vor dem 1. Januar 2002 für die Zusatzrente gezahlt, hat der Ehepartner Anspruch auf eine einmalige Leistung, deren Betrag vom Alter abhängt und vom Betrag, der bis zum 1. Januar 2002 für die Zusatzrente gezahlt wurde.
   * Tod vor dem 1. Juli 1992: Die Rente des hinterbliebenen Ehepartners oder Lebenspartners entspricht 50% der tatsächlichen oder hypothetischen Rente der versicherten Person. Diese Rente wird kapitalisiert.
   * Tod nach dem 1. Juli 1992 oder einem Alter der hinterbliebenen Person unter 62 Jahren: statt der Hinterbliebenenrente einmalige Kapitalabfindung. Kapitalisierung von 35% (bei Todesfall vor dem 1.Juli 1992) oder 50% (bei Todesfall ab dem 1.Juli 1992) der Rente, auf die der verstorbene Versicherte Anspruch gehabt hätte. Bei Verstorbenen der Geburtsjahrgänge von 1925 bis 1941 hat die Witwer/der Witwer auch Anspruch auf eine Pauschalauszahlung der Rente, auf die der hinterbliebene Ehepartner oder Lebenspartner einen Anspruch gehabt hätte.
   * Die Kapitalabfindung wird in Abhängigkeit von der eigenen Zusatzrente der hinterbliebenen Person gemindert.
Hat die verstorbene Person nur nach dem 1. Januar 2002 für die Zusatzrente gezahlt (einschließlich der Beiträge für das obligatorische Rentensystem), gibt es eine einmalige Leistung von DKK 75.000 (€10.054), die schrittweise je nach Alter des verstorbenen Ehepartners verringert wird.</t>
  </si>
  <si>
    <t>Heirat nach dem 31.12.2001 oder beide Ehepartner sind nach dem 1.1.1962 geboren:
Die so genannte große Witwen- oder Witwerrente beträgt 55% des Anspruchs auf Versichertenrente des verstorbenen Ehegatten inklusive Zurechnungszeiten (siehe Tabelle V, ‘Leistungen’). Hinterbliebene, die Kinder erzogen haben, erhalten einen dynamischen Zuschlag.
Sonst besteht Anspruch auf die so genannte kleine Witwen- oder Witwerrente für längstens 24 Monate in Höhe von 25% der Altersrente des verstorbenen Ehegatten.
Keine zusätzlichen Zahlungen.
Eigenes Erwerbs-, Erwerbsersatz- und Vermögenseinkommen wird teilweise angerechnet. Übersteigt dieses Einkommen einen bestimmten monatlichen Freibetrag (vom 1. Juli 2025 bis 30. Juni 2026 €1.076,86, zzgl. Zuschlag für jedes grundsätzlich waisenrentenberechtigte Kind (vom 1. Juli 2025 bis 30. Juni 2026 €228,42 wird es zu 40% auf die Hinterbliebenenrente angerechnet.
Bei Heirat vor dem 1.1.2002 und mindestens ein Ehegatte ist vor dem 2.1.1962 geboren oder bei Tod eines Ehegatten vor dem 1.1.2002 gilt abweichend: Die kleine Witwen- oder Witwerrente beträgt 25% des Anspruchs auf Versichertenrente des verstorbenen Ehegatten und wird ohne zeitliche Begrenzung gezahlt.
Die große Witwen- oder Witwerrente beträgt 60% des Anspruchs auf Versichertenrente des verstorbenen Ehegatten. Es wird kein Zuschlag für Kinderziehung gezahlt. Bei der Einkommensanrechnung bleibt Vermögenseinkommen unberücksichtigt.
Die Leistungsansprüche gelten entsprechend auch bei eingetragenen Lebenspartnerschaften.</t>
  </si>
  <si>
    <t>1/Basissystem (Régime de base):
Hinterbliebenenrente (pension de réversion):
54% der Altersrente, die der Verstorbene erhalten hat oder auf die er Anspruch gehabt hätte (ohne Zuschläge). Sind ein Ehegatte und ein geschiedener Ehepartner vorhanden, wird die Rente zwischen ihnen entsprechend der Anzahl der Ehejahre geteilt.
Invaliditätsrente für Witwer/Witwen (pension d‘invalidité de veuf ou de veuve) und Altersrente für Witwer/Witwen (pension de vieillesse de veuf ou de veuve):
54% der Invaliden- oder Altersrente, die der Verstorbene erhalten hat oder hätte. Monatliche Zahlung, die geleistet wird, solange die Anspruchsvoraussetzungen erfüllt sind.
   * Zulage von 11,1% auf die Hinterbliebenenrente und die Altersrente für Witwen/Witwer, wenn die betroffene Person das Anspruchsalter für eine volle Rente erreicht hat; ihre persönliche Rente beantragt hat; und die Summe der Renten €2.993,14 pro Quartal nicht übersteigt.
   * Für Personen, die noch nicht das Alter für die volle Rente erreicht haben: Zulage von höchstens €112,58 pro Monat und pro Kind auf die Hinterbliebenenrente oder Altersrente für Witwen/Witwer, wenn der überlebende Ehepartner mindestens ein minderjähriges Kind unterhält (bis zum 20. Lebensjahr bei Fortsetzung des Studiums oder Erwerbsunfähigkeit). Keine Kumulierung mit einer individuellen Rente möglich.
   * Zulage von 10% auf die Hinterbliebenen- bzw. Invalidenrente von Witwern oder Witwen und die Altersrente von Witwern oder Witwen erfolgt, wenn der Empfänger mindestens 3 Kinder unter 16 Jahren neun Jahre lang erzogen hat.
Monatliche Zahlungen. Keine zusätzlichen Zahlungen.
2/Zusatzrentensysteme (Agirc-Arrco):
60% der Zusatzrente des Verstorbenen. Dieser Prozentsatz wird für den geschiedenen, nicht wiederverheirateten Ehepartner entsprechend der Dauer der Ehe angepasst. Sind mehrere Begünstigte vorhanden, wird die Rente zwischen ihnen entsprechend der Anzahl der Ehejahre geteilt.
Monatliche Zahlungen (die im Falle einer geringen Hinterbliebenenrente auf Jahresbasis oder als Einmalzahlung erfolgen können). Keine zusätzlichen Zahlungen.</t>
  </si>
  <si>
    <t>Der hinterbliebene Ehepartner 70% der Rente des/der Verstorbenen erhält oder zum Erhalt berechtigt ist.
Wenn die Ehe geschlossen wurde, nachdem die Altersrente fällig wurde, wird die Rente des hinterbliebenen Ehepartners, abhängig von dem Altersunterschied des verstorbenen und des hinterbliebenen Ehepartners, reduziert um eine Höhe zwischen 1% bis 5%.
Wenn es einen überlebenden Ehepartner und einen geschiedenen Ehepartner gibt, wird der obige Betrag wie folgt verteilt: Der überlebende Ehepartner erhält 75% und der geschiedene Ehepartner erhält 25%, wenn die Ehe mindestens 10 Jahre dauerte.
Wenn die Versicherungszeit des Verstorbenen weniger als 20 Jahre beträgt, verringert sich der oben genannte Betrag um 1,25% für jedes Versicherungsjahr, das zu den 20 Jahren fehlt, aber nicht weniger als 15 Versicherungsjahre.
Bedürftigkeitsprüfung nur für den ge-schiedenen Ehepartner (das persönliche steuerpflichtige Monatsdurchschnitts-einkommen sollte nicht den zweifachen Betrag der Leistungen zur sozialen Solidarität für unversicherte ältere Personen, gezahlt durch die OPEKA, übersteigen, d.h. 2*€409,13=€818,26 pro Monat).
Die Leistung wird monatlich gezahlt. Es besteht keine maximale Leistungsdauer. Keine zusätzlichen Zahlungen.</t>
  </si>
  <si>
    <t>Volksrente (lífeyrir almannatrygginga):
Nicht zutreffend.
Arbeitsrente (lögbundnir lífeyrissjóðir):
Die Leistung wird nach dem in der Satzung des Rentenfonds geregelten Verfahren aufgrund der erworbenen Rentenrechte der verstorbenen Person berechnet. Die Leistungen werden nur für eine bestimmte Zeit gewährt (die je nach dem betreffenden Rentenfonds variiert). Falls die verstorbene Person mit dem hinterbliebenen Partner ein gemeinsames Kind hat, wird die Leistung gewährt, bis das Kind das 19. Lebensjahr vollendet. Dies gilt ebenso für Stief- und Pflegekinder.</t>
  </si>
  <si>
    <t>60% der Invaliden- oder Altersrente des Verstorbenen. Die Kürzungen erfolgen in Abhängigkeit vom Einkommen des/der Witwers/Witwe um 25%, 40% oder 50%. Die berücksichtigten finanziellen Mittel sind das Arbeitsentgelt des hinterbliebenen Ehegatten, während geerbtes Vermögen nicht geprüft wird.
Es gibt keine zeitliche Befristung für die Dauer der Zahlung zugunsten des anspruchsberechtigten hinterbliebenen Ehepartners.
Zusätzliche Einmalzahlungen für Gas- oder Stromkosten gibt es nur für einkommensschwache Haushalte.
Die Zahlungen erfolgen monatlich.</t>
  </si>
  <si>
    <t>Der hinterbliebene Ehegatte, der Rentner ist, kann für 12 Monate die Leistung für den hinterbliebenen Ehegatten (Pabalsts pārdzīvojušam laulātajam) in Höhe von 50% der monatlichen Rente und des Zuschlags des verstorbenen Ehegatten erhalten.
Die Leistung unterliegt keiner Bedüftigkeitsprüfung.
Es wird monatlich gezahlt. Keine Nachzahlungen.</t>
  </si>
  <si>
    <t>1. Säule:
80% der hypothetischen Rente der verstorbenen Person. Bei Todesfall vor dem 45. Altersjahr wird die hypothetische Rente mit einem Prozentsatz (der sog. "Karrierezuschlag", der abhängig vom Alter ist, (siehe Tabelle V)) multipliziert.
Die Verwitwetenrente ist unbefristet für Witwen oder Witwer mit Kindern (oder bei Verwitwung nach dem 45. Altersjahr, sofern die Ehe/die eingetragene Partnerschaft mindestens 5 Jahre gedauert hat). Die übrigen Witwen oder Witwer haben einen befristeten Verwitwetenrentenanspruch (2 bis 5 Jahre; abhängig von Ehedauer/Dauer der eingetragenen Partnerschaft) und Alter der verwitweten Person).
Geschiedene mit Unterhaltsanspruch haben ebenfalls Anspruch auf die Verwitwetenrente der 1. Säule, jedoch ist diese auf die Höhe des entfallenden Unterhaltsanspruchs beschränkt.
Die Verwitwetenrente der 1. Säule wird keiner Bedürftigkeitsprüfung unterzogen.
Die Leistungszahlungen erfolgen monatlich, im Dezember erfolgt eine 13. Zahlung als Weihnachtsgeld.
2. Säule:
Für den Todesfall vor Erreichen des ordentlichen Rentenalters: Lebenslange Verwitwetenrente von jährlich 18% des versicherten Lohnes.
Für den Todesfall nach Erreichen des ordentlichen Rentenalters: Der überlebende Ehegatte/eingetragene Partner hat Anspruch auf eine Verwitwetenrente in Höhe von 60% der zuletzt ausgerichteten Alters- oder Invalidenrente.
In der 2. Säule besteht eine Verwitwetenrente für Geschiedene nur, sofern diese reglementarisch vorgesehen ist.
Konkubinatspartner nur, sofern dies reglementarisch vorgesehen ist.
Die Verwitwetenrente der 2. Säule wird keiner Bedürftigkeitsprüfung unterzogen.
Die Leistungszahlungen erfolgen monatlich.</t>
  </si>
  <si>
    <t>Die Witwen-/Witwersozialversicherungsrente (Našlių pensija) wird zum Grundbetrag der Witwen-/Witwerrente gewährt, welcher seit 1. Januar 2025 bei €42,29 monatlich liegt.
Die Leistung unterliegt keiner Bedürftigkeitsprüfung.</t>
  </si>
  <si>
    <t>Die Rente besteht aus einer von der Dauer der Versicherung abhängenden Pauschalleistung (1/40 pro Versicherungsjahr, maximal 40 Jahre) und einer beitrags- bzw. einkommensabhängigen Komponente: (siehe Tabelle VI „Alter“).
   * Die von der Versicherungsdauer abhängige Pauschalleistung (majorations forfaitaires) und die pauschale Zurechnungszulage (majorations forfaitaires spéciales), auf die der Versicherte Anspruch hatte oder gehabt hätte.
   * 3/4 des einkommensabhängigen Rententeilbetrags (majorations proportionnelles) und der einkommensabhängigen Zurechnungszulage (majorations proportionnelles spéciales), auf die der Versicherte Anspruch hatte oder gehabt hätte.
   * Zulage zum Jahresende (allocation de fin d'année): jährlicher Pauschalbetrag in Höhe von €1.004,28 (für 40 Versicherungsjahre, andernfalls anteilig gekürzt).
Ggf. Anwendung von Regeln zum Verbot der Kumulation mit Arbeitseinkünften oder persönlichen Sozialversicherungsleistungen.
Keine zeitliche Beschränkung der Ansprüche.
Monatlich ausgezahlte Renten.</t>
  </si>
  <si>
    <t>Witwen-/Witwerrente (Pensjoni tar-Romol):
Pauschalrente, zahlbar entsprechend der durchschnittlichen Anzahl der durch den verstorbenen Ehepartner oder Partner gezahlten Beiträge pro Jahr. Die Rente unterliegt keiner Bedürftigkeitsprüfung.
Der Betrag der Rente ist abhängig von der Dauer der eingetragenen Beziehung des Paares vor dem Tod des Ehepartners oder Partners.
Hinterbliebenenrente (Pensjoni tas-Superstiti):
Seit 1. Januar 2022 wird der Betrag schrittweise erhöht (über einen Zeitraum von 6 Jahren) von 5/6 auf 2/3 der Zwei-Drittel-Rente (Pensjoni taz-Zewg terzi) oder der Invaliditätsrente (Pensjoni tal- Invalidità), auf die der Verstorbene zum Zeitpunkt seines Todes Anspruch hatte oder gehabt hätte, je nachdem, welcher Betrag der höhere ist.
Keine Bedürftigkeitsprüfung. Die Berechnungsformel ist die gleiche wie für die Altersrente (vgl. Tabelle VI „Alter, Leistungen, 2. Berechnungsmethode bzw. Rentenformel oder Beträge“).
War der die verstorbene Person zuvor verheiratet oder lebte in einer gleichgeschlechtlichen Ehe oder eingetragenen Lebenspartnerschaft, wird die Rente anteilsmäßig zwischen diesen Personen, je nach Anzahl der Jahre, die ihre Beziehung mit der verstorbenen Person andauerte, aufgeteilt.
Beide Renten sind jeweils alle 4 Wochen zahlbar.
Beide Renten sind unbefristet zahlbar.
Leistungsempfänger sind anspruchsberechtigt auf eine staatliche Prämie in Höhe von €135,10 im Juni und Dezember und eine zusätzliche Prämie in Höhe von €3,12 pro Woche.
Leistungsempfänger sind auch anspruchsberechtigt auf einen wöchentlichen Lebenshaltungskosten-zuschlag.
Abhängig vom ersten Erhalt der Beihilfe rangiert dessen Höhe zwischen €21,53 für Beihilfen, die im Jahr 2008 oder früher gewährt wurden und €15,96 für Beihilfen, die im Jahr 2025 gewährt wurden.</t>
  </si>
  <si>
    <t>Hinterbliebene Ehe- oder Lebenspartner: Pauschalleistung von €1.631,87 monatlich. Zusätzlich wird eine Urlaubszulage (vakantie-uitkering) in Höhe von 121,70 pro Monat zugewiesen und einmal jährlich als Pauschalbetrag im Mai ausgezahlt.
Hinterbliebenenleistung ist grundsätzlich nicht zeitlich begrenzt:
Der Anspruch erlischt, wenn die gesetzliche Regelaltersgrenze erreicht wird und die Hinterbliebenenleistung durch die gesetzliche Altersrente ersetzt wird.
Die Anw Hinterbliebenenleistung umfasst eine monatliche Anw Beihilfe in Höhe von €21,16.
Geschiedener Ehepartner: Die monatliche Leistungshöhe darf weder den Betrag der Unterhaltszahlung noch €1.631,87 monatlich übersteigen.
Bei einem Arbeitseinkommen von unter €1.122,90 monatlich wird die Anw- Hinterbliebenenrente ungekürzt gezahlt. Beträgt das Einkommen mehr als €1.122,90 monatlich, wird eine proportional niedrigere Leistung gezahlt.
Hat der hinterbliebene Partner ein Einkommen von über €3.538,97 monatlich, wird keine Leistung ausgezahlt.</t>
  </si>
  <si>
    <t>Die jährliche Anpassungszulage beträgt das 2,25-fache des Grundbetrags (Grunnbeløpet), vorausgesetzt, der Verstorbene hat mindestens 40 Jahre lang Versicherungsbeiträge in Norwegen geleistet. Bei einem kürzeren Versicherungszeitraum wird die Leistung anteilig vermindert.
Die Anpassungszulage unterliegt einer Bedürftigkeitsprüfung und wird um 45% des Einkommens des Hinterbliebenen gekürzt, das die Hälfte des Grundbetrags (Grunnbeløpet) übersteigt (NOK 65.080 (€5.519).
Ein Zuschuss zu den Kosten der Kinderbetreuung (stønad til barnetilsyn) wird einem hinterbliebenen Ehepartner gewährt, der wegen Ausbildung oder Erwerbstätigkeit das Kind in fremde Obhut geben muss. Die Leistung beträgt 64% der tatsächlichen Aufwendungen bis zu einem jährlichen Höchstbetrag für ein Kind von NOK 57.480 (€4.874), NOK 74.976 (€6.358) bei zwei Kindern und bei drei oder mehr Kindern NOK 84.972 (€7.206). Übersteigt das Einkommen das 6-Fache des Grundbetrags, also NOK 780.960 (€66.228) p.a., so entfällt die Leistung.
Eine Ausbildungshilfe (utdanningsstønad) erhalten hinterbliebene Ehepartner, die eine Ausbildung brauchen, um sich selbst unterhalten zu können. Leistungen in Höhe von bis zu NOK 33.145 (€2.811) können für eine Ausbildung an einer Sekundaroberschule gewährt werden und NOK 79.432 (€6.736) für eine Ausbildung an Hochschule oder Universität (Schuljahr 2025/2026).
Die unter Tabelle VII, „Bedingungen, 1. Verstorbene versicherte Personen“ erwähnte 5-Jahres-Bedingung gilt nicht für den Kinderbetreuungskostenzuschuss oder die Ausbildungshilfe für hinterbliebene Ehepartner.
Die gleichen Leistungen gelten auch für anspruchsberechtigte geschiedene Ehepartner und Lebenspartner.
Die Anpassungszulage der Volksversicherung wird monatlich ausgezahlt. Es gibt keine zusätzlichen Zahlungen, im Zusammenhang z.B. mit Sommer oder Weihnachten; von der Dezemberzahlung werden jedoch keine Steuern abgezogen.</t>
  </si>
  <si>
    <t>Hinterbliebener Ehegatte:
Das Berechnungsverfahren beruht auf einem Punktesystem. Die Rentenformeln sind für die Alters-, Invaliden- und Hinterbliebenenrente sowie die Renten bei Arbeitsunfällen und Berufskrankheiten ähnlich.
Formel für die Berechnung der Hinterbliebenenrente (pensie de urmas) beim Tod eines Rentners mit Anspruch auf Altersrente (pensie pentru limita de varsta) oder Altersrente mit reduziertem Ruhestandsalter (pensie pentru limita de varsta cu reducerea varstelor standard de pensionare):
HR = P*AR
Wobei:
HR = Hinterbliebenenrente (monatlicher Betrag)
P = Prozentsatz entsprechend der Anzahl der Hinterbliebenen: 50% bei einem, 75% bei zwei und 100% bei drei oder mehr
AR = Altersrente (siehe Tabelle VI „Alter“)
Die Rentenformel beim Tod einer Person mit Anspruch auf Invalidenrente (pensie de invaliditate) und vorgezogene Ruhestandsrente (pensie anticipata) lautet:
HR = P*IR
Wobei:
HR = Hinterbliebenenrente (monatlicher Betrag)
P = Prozentsatz entsprechend der Anzahl der Hinterbliebenen: 50% bei einem, 75% bei zwei und 100% bei drei oder mehr
IR = Invalidenrente der Kategorie I (pensie de invaliditate gradul I)
Bei einer Ehedauer zwischen 10 und 15 Jahren wird die Hinterbliebenenrente um 0,5% pro Monat, der an den 15 Jahren fehlt, gekürzt.
Die Dauer der Hinterbliebenenrente ist je nach den Bedingungen, die vom Hinterbliebenen Ehegatten erfüllt werden, befristet oder dauerhaft (siehe Tabelle VII, „Hinterbliebene“, „Bedingungen, Hinterbliebener Ehegatte“).
Wird monatlich ausbezahlt.
Finanzielle Unterstützung von RON 800 (€157), die in zwei gleichen Raten von RON 400 (€79) jeweils im April und Dezember 2025 an hinterbliebene Rentner gezahlt wird, deren monatliches Renteneinkommen sich auf insgesamt höchstens RON 2.574 (€506) beläuft.</t>
  </si>
  <si>
    <t>1. Säule (Grundsystem):
Rente des hinterbliebenen Ehegatten/Partners:
80% der dem maßgebenden durchschnittlichen Jahreseinkommen entsprechenden Altersrente.
2. Säule (obligatorische Mindestvorsorge):
Rente des hinterbliebenen Ehegatten/Partners:
60% der ganzen Invalidenrente, auf die der Verstorbene Anspruch gehabt hätte oder, während dem Aufschub des Bezugs der Altersleistung, der Altersrente, auf welche die versicherte Person Anspruch gehabt hätte.
Geschiedener Ehegatte/Ex-Partner:
60% der ganzen Invalidenrente, auf die der Verstorbene Anspruch gehabt hätte oder, während dem Aufschub des Bezugs der Altersleistung, der Altersrente, auf welche die versicherte Person Anspruch gehabt hätte; allerdings Kürzung der Leistung, soweit sie zusammen mit den anrechenbaren Leistungen der AHV den Anspruch aus dem Scheidungsurteil übersteigen.
Keine Bedürftigkeitsprüfung.
Grundsätzlich monatliche Zahlung. Keine zusätzliche Zahlung.
Keine Höchstdauer des Anspruchs. Erlöschen des Anspruchs bei Wiederverheiratung oder beim Tode. Die Witwen-/Witwerrente der 1. Säule (Grundsystem) erlischt ausserdem bei Entstehung des Anspruchs auf eine Alters- oder Invalidenrente (wenn der Betrag der letzteren höher ist).</t>
  </si>
  <si>
    <t>Witwenrente (Vdovský dôchodok) und Witwerrente (Vdovecký dôchodok):
60% der Alters- oder Invalidenrente des Verstorbenen oder des Rentenanspruchs zum Zeitpunkt seines Todes.
Die Leistung wird monatlich, 12 Mal im Jahr gezahlt. Zusätzlich wird einmal jährlich im Dezember die dreizehnte Rente gezahlt in Höhe der nationalen monatlichen Witwen-/Witwerrente für das vergangene Jahr, d.h. mindestens €300 (siehe Tabelle VI „Alter””, „Leistungen, 1. Berechnungsmethode, Rentenformel oder Beträge“).
Die Leistung unterliegt keiner Bedürftigkeitsprüfung.
Die Leistung wird für zwei Jahre gezahlt, kann aber unbegrenzt verlängert werden, wenn der hinterbliebene Ehepartner:
   * erwerbsunfähig ist mit einer Arbeitsunfähigkeit von über 70% oder
   * ein unterhaltsberechtigtes Kind aufzieht oder
   * mindestens 3 Kinder großgezogen hat (oder nur 2 Kinder bei einem Alter von 52 oder mehr Jahren oder nur 1 Kind bei einem Alter von 57 oder mehr Jahren) oder
   * das Rentenalter erreicht hat.
Rente für Geschiedene Ehefrauen (dôchodok pre rozvedenú ženu):
Nur bei Scheidungen vor dem 31.Dezember 2003, ist die Leistung begrenzt auf die Alters-, Invalidenrente oder die Rente für geleistete Dienstjahre des Verstorbenen oder auf den Rentenanspruch zum Zeitpunkt seines Todes; der Höchstbetrag entspricht dem bisherigen Unterhalt. Die Häufigkeit der Zahlungen wird per Gerichtsentscheid festgelegt.
Der Betrag der Leistung entspricht gemäß der 2. Säule 100% der Altersversorgung des/der Verstorbenen verteilt auf die anspruchsberechtigten Hinterbliebenen (einschließlich Kindern) und wird für höchstens zwei Jahre bezahlt.</t>
  </si>
  <si>
    <t>Witwen- bzw. Witwergeld (Pensión de viudedad):
52% der Berechnungsgrundlage (oder 70% wenn das Witwen-/Witwergeld die Haupt-Einkommensquelle darstellt und unterhaltsberechtigte Familienmitglieder vorhanden sind oder das Einkommen nicht ausreicht. Das berücksichtigte Vermögen umfasst Einkommen aus Arbeit oder Kapital und andere Sozialleistungen).
60% der Berechnungsgrundlage, wenn der Rentner 65 Jahre alt oder älter ist und kein Einkommen aus Erwerbsarbeit oder anderen Sozialhilfeleistungen bezieht.
Im Fall einer Trennung oder Scheidung und sofern Unterhalt anerkannt wurde, übersteigt der Leistungsbetrag, den der getrennte Ehepartner erhält, nicht die Höhe des Unterhalts.
Als Berechnungsgrundlage dient der Quotient aus der Summe der durchschnittlichen beitragspflichtigen Einkommen eines vom Versicherten selbst gewählten ununterbrochenen Zeitraums von 24 Monaten in den 15 Jahren vor dem Tod dividiert durch 28.
Erhielt der verstorbene Versicherte Invaliditäts- oder Altersrente, gilt die gleiche Berechnungsgrundlage wie für die Berechnung dieser Rente. Sie kann, abhängig von Todesfall-Leistungen oder Hinterbliebenenleistungen ab dem Datum, an dem die Invaliditäts- oder Altersrente gewährt wurde, angehoben oder nach oben angepasst werden.
Die Leistung wird monatlich 14 Mal pro Jahr ausgezahlt (einschließlich 2 außerordentlichen Zahlungen im Juni und November).
Befristete Leistungen für Witwen oder Witwer (Prestación temporal de viudedad):
Im Todesfall, der auf einer Krankheit beruht (keine Berufskrankheit), die vor der Eheschließung begann, und wenn kein Anspruch auf eine Leistung besteht, da die Ehe nicht länger als ein Jahr andauerte oder weil keine gemeinsamen Kinder existieren, können befristete Leistungen für Witwen oder Witwer gewährt werden (2 Jahre lang, der gleiche Betrag wie bei der Witwen- bzw. Witwergeld).
Die Leistung wird 14 Mal jährlich auf Monatsbasis gezahlt (einschließlich 2 außerordentlichen Zahlungen im Juni und November).</t>
  </si>
  <si>
    <t>Befristete Witwen- bzw. Witwerrente (Ideiglenes özvegyi nyugdíj):
60% der Altersrente (Öregségi nyugdíj) auf die die verstorbene Person zum Todeszeitpunkt Anspruch hatte oder gehabt hätte. Wird 12 Monate lang gezahlt bzw. 18 Monate, wenn der hinterbliebene Ehegatte ein Kind des Verstorbenen erzieht (wenn das Kind behindert ist, kann die Leistung bis zum 3. Geburtstag des Kindes gezahlt werden).
Dauerhafte Witwen- bzw. Witwerrente (Özvegyi nyugdíj):
60% der Altersrente auf die die verstorbene Person zum Todeszeitpunkt Anspruch hatte oder gehabt hätte, wenn die anspruchsberechtigte Person keine Invaliditätsleistung (Rokkantsági ellátás), Rehabilitationsleistung (Rehabilitációs ellátás), Altersrente, Leistung vor dem Rentenalter (Korhatár előtti ellátás), Leistungen für das Militär (Szolgálati járandóság), Leibrente für Tanzkünstler (Táncművészeti életjáradék) oder Übergangsrente für Bergleute (Átmeneti bányászjáradék) bezieht. Wenn die anspruchsberechtigte Person eine der oben genannten Leistungen bezieht, beträgt die dauerhafte Witwen- bz. Witwerrente (Özvegyi nyugdíj) 30% der Altersrente der verstorbenen Person.
Die oben genannten Leistungen unterliegen keiner Bedürftigkeitsprüfung.
Die Zahlungen erfolgen monatlich.
Zusätzliche Zahlungen: ein 13. Monat wird gezahlt (im Februar); sowie eine Rentenprämie (wird im November ausgezahlt, sofern das BIP um mehr als 3,5% gewachsen ist und das im Haushaltsgesetz festgelegte Ziel für den Haushaltsausgleich erreicht wurde).</t>
  </si>
  <si>
    <t>Grundrente (Βασική Σύνταξη) :
60 % des wöchentlichen Wertes des jährlichen Durchschnitts der Versicherungspunkte der gezahlten und gleichgestellten Grundversicherung des Verstorbenen.Dieser Satz wird bei 1, 2 oder 3 abhängigen Familienmitgliedern auf 80 %, 90 % bzw. 100 % erhöht.
Zusatzrente (Συμπληρωματική Σύνταξη) :
60 % der zusätzlichen gesetzlichen oder Invaliditätsrente, die der Verstorbene erhielt oder erhalten hätte (siehe Tabelle V zu Invalidität oder Tabelle VI zu Alter).
Die Rente wird 13-mal im Jahr gezahlt.
Falls die verstorbene Person die Versicherungsbedingungen für die Rente nicht erfüllt, aber die Versicherungsbedingungen für den Pauschalbetrag erfüllt (siehe „Bedingungen: 1. Verstorbene versicherte Person“) , erhält der hinterbliebene Ehepartner eine Pauschalzahlung von 15 % des Wertes der Versicherungspunkte der gezahlten und gleichgestellten Grundversicherung und 9 % des Wertes der Versicherungspunkte der Zusatzversicherung des verstorbenen Ehepartners.
Keine weiteren zusätzlichen Zahlungen zu bestimmten Zeiten des Jahres (z.B. an Weihnachten oder im Winter für Kraftstoff).</t>
  </si>
  <si>
    <t>Wegfall der Rentenzahlung bei Wiederheirat.</t>
  </si>
  <si>
    <t>Hinterbliebenenleistungen werden eingestellt, wenn der hinterbliebene Ehepartner erneut heiratet.</t>
  </si>
  <si>
    <t>Bei Todesfällen vor dem 1. Juli 1992: Die Zusatzrente (arbejdsmarkedets tillægspension, ATP) entfällt, wenn der hinterbliebene Ehepartner oder Lebenspartner erneut heiratet.</t>
  </si>
  <si>
    <t>Wegfall der Rente. Abfindung in Höhe des 24-fachen des durchschnittlichen Monatsbetrags der für die letzten 12 Kalendermonate gezahlten Rente. Bei kleinen Witwen- und Witwerrenten nach dem seit dem 1.1.2002 geltenden Recht vermindert sich das 24-fache des abzufindenden Betrags um die Anzahl der Kalendermonate, für die bereits Rente bezogen wurde.
Dies gilt entsprechend bei eingetragener Lebenspartnerschaft.</t>
  </si>
  <si>
    <t>Fortzahlung der Hinterbliebenenrente (toitjakaotuspension) für 12 Monate nach der Wiederheirat.</t>
  </si>
  <si>
    <t>Beide Rentensysteme:
Wegfall der Rente, wenn der hinterbliebene Ehegatte vor Vollendung des 50. Lebensjahres eine neue Ehe eingeht. Abfindung in Höhe von 3 Jahresbeträgen der Rente.</t>
  </si>
  <si>
    <t>1/Basissystem (Régime de base):
Wegfall der Invaliditätsrente für Witwer/Witwen (pension d'invalidité de veuf ou de veuve), jedoch nicht der Hinterbliebenenrente (pension de réversion).
2/Zusatzrentensysteme (Agirc-Arrco):
Wegfall der Rente.</t>
  </si>
  <si>
    <t>Wegfall der Rente, wenn der überlebende Ehepartner oder Partner erneut heiratet oder eine neue Lebenspartnerschaft eingeht.</t>
  </si>
  <si>
    <t>Wegfall der Rente.</t>
  </si>
  <si>
    <t>Volksrente (lífeyrir almannatrygginga):
Nicht zutreffend.
Arbeitsrente (lögbundnir lífeyrissjóðir):
Die Hinterbliebenenrente endet, wenn der hinterbliebene Ehepartner wieder heiratet.</t>
  </si>
  <si>
    <t>Heiratet der hinterbliebene Ehegatte wieder, wird die Rentenzahlung ausgesetzt und der Betrag wird in einen Pauschalbetrag umgerechnet, der dem zweijährigen Rentenbetrag entspricht.</t>
  </si>
  <si>
    <t>1. und 2. Säule:
Wegfall der Hinterbliebenenrente bei Wiederheirat wenn der hinterbliebene Ehegatte unter 50 Jahre alt ist, es sei denn diese Person ist behindert.</t>
  </si>
  <si>
    <t>1. und 2. Säule: Wegfall der Rente.</t>
  </si>
  <si>
    <t>Wegfall der Rente ab dem Monat, der auf den Monat der Wiederheirat oder des Eingehens einer neuen Lebensgemeinschaft folgt.
Bei Wiederheirat unter 50 Jahren Abfindung in Höhe von 60 Monatsbeträgen, ab 50 Jahren von 36 Monatsbeträgen der Rente ohne Berücksichtigung der pauschalen (majorations forfaitaires spéciales) und der einkommensabhängigen Zurechnungszulagen (majorations proportionnelles spéciales).</t>
  </si>
  <si>
    <t>Nach einer Wiederheirat ist der hinterbliebene Ehepartner oder Partner weiterhin zum Erhalt der Rente auf der Grundlage der Versicherung des verstorbenen Partners berechtigt, jedoch nur in geminderter Höhe. Die Höhe variiert zwischen mindestens €147,37 und höchstens €180,97 pro Woche, abhängig von der Beitragshistorie des Verstorbenen.</t>
  </si>
  <si>
    <t>Bei Wiederheirat oder Zusammenleben mit einem neuen Partner entfällt der Anspruch auf die Anw-Leistung.
Wird das Zusammenleben innerhalb einer Frist von 6 Monaten beendet, so kann ein Wiederaufleben der Anw-Leistung beantragt werden.</t>
  </si>
  <si>
    <t>Bei Wiederheirat endet die Anpassungszulage. Der Anspruch lebt wieder auf, wenn die neue Ehe innerhalb von 2 Jahren geschieden wird oder wenn der Ehepartner innerhalb desselben Zeitraums stirbt.</t>
  </si>
  <si>
    <t>Wegfall der unbefristeten Hinterbliebenenrente. Auszahlung in Höhe von 35 Monatsbeträgen der Rente („Abfertigung“).</t>
  </si>
  <si>
    <t>Die Leistungen werden weiter gezahlt.</t>
  </si>
  <si>
    <t>Die Rente wird bei erneuter Heirat oder Partnerschaft gestrichen.</t>
  </si>
  <si>
    <t>Wegfall der Hinterbliebenenrente (pensie de urmas).</t>
  </si>
  <si>
    <t>Die verlängerte Anpassungsrente (förlängd omställningspension) und die Witwenrente (änkepension) enden, wenn die hinterbliebene Person erneut heiratet.</t>
  </si>
  <si>
    <t>1. Säule (Grundsystem)/2. Säule (obligatorische Mindestvorsorge):
Der Rentenanspruch erlischt.</t>
  </si>
  <si>
    <t>Bei erneuter Heirat des hinterbliebenen Ehepartners endet die Zahlung der Hinterbliebenenrente.</t>
  </si>
  <si>
    <t>Die Hinterbliebenenrente fällt im Fall einer erneuten Heirat weg.</t>
  </si>
  <si>
    <t>Wegfall der Witwen- bzw. Witwerrente (Özvegyi nyugdíj), wenn der Hinterbliebene vor Erreichen des Alters für die Altersrente (Öregségi nyugdíj) wieder heiratet.</t>
  </si>
  <si>
    <t>Wegfall der Rente. </t>
  </si>
  <si>
    <t>Keine Waisenrente; jedoch besondere Kindergeldregelung für Waisen (siehe Tabelle IX "Familienleistungen").</t>
  </si>
  <si>
    <t>Die Gesamtleistung wird entsprechend der Anzahl der Hinterbliebenen bestimmt und gleichmäßig zwischen diesen verteilt, siehe „Leistungen: Hinterbliebener Ehegatte, geschiedener Ehegatte, Lebenspartner“.</t>
  </si>
  <si>
    <t>Zusatzrente (arbejdsmarkedets tillægspension, ATP):
Hat die verstorbene Person vor dem 1. Januar 2002 für die Zusatzrente gezahlt, erhalten Kinder unter 18 Jahren eine einmalige Leistung in Höhe einer Jahresrente der verstorbenen Person.
Hat die verstorbene Person nur nach dem 1. Januar 2002 für die Zusatzrente gezahlt (einschließlich der Beiträge für das obligatorische Rentensystem), einmalige Leistung in Höhe von DKK 50.000 (€6.702) pro Kind unter 21 Jahren.
Personen mit Ansprüchen nach beiden Regelungen erhalten den höheren Betrag.
Die Leistung unterliegt keiner Bedürftigkeitsprüfung.
Für sonstige Leistungen an hinterbliebene Kinder/Waisen siehe Tabelle IX zu „Familienleistungen“.</t>
  </si>
  <si>
    <t>Die monatliche Waisenrente beträgt bei Halbwaisen 10% und bei Vollwaisen 20% der Rente, die der verstorbene bzw. die verstorbenen Elternteile erhalten hätten zzgl. eines Waisenrentenzuschlags.
Die Leistung wird keiner Bedürftigkeitsprüfung unterzogen.
Keine sonstigen Zahlungen.</t>
  </si>
  <si>
    <t>Halbwaisen: siehe Tabelle VII, Leistungen, „Hinterbliebener Ehegatte, geschiedener Ehegatte, Lebenspartner“.
Vollwaisen: Anspruch auf Hinterbliebenenrente für beide Elternteile.
Die Leistung unterliegt keiner Bedürftigkeitsprüfung.
Die Leistung wird monatlich gezahlt. Keine zusätzlichen Zahlungen.</t>
  </si>
  <si>
    <t>Halbwaisen:
Volksrente (Perhe-eläke):
Grundbetrag: €71,23 pro Monat im Jahr 2025. Wird an Kinder unter 18 Jahren ausgezahlt oder an Vollzeitstudenten zwischen 18 und 20 Jahren, bis die Person 21 Jahre alt wird.
Eine monatliche Zulage zum Grundbetrag nur für Kinder unter 18 Jahren in Höhe von €107,74 monatlich im Jahr 2025. Die Leistung unterliegt einer Bedürftigkeitsprüfung. Der Betrag senkt sich um die Hinterbliebenenrente.
Gesetzliche einkommensbezogene Rente (Työeläke):
Die Altersgrenze ist 20 Jahre. Die Rente beträgt in Abhängigkeit von der Anzahl der anspruchsberechtigten Kinder zwischen 33% und 83% der Rente der verstorbenen Person. Der Anteil des hinterbliebenen Ehepartners an der Rente wird als Waisenrente an die Kinder ausgezahlt, wenn es keinen überlebenden Ehepartner gibt, der Anspruch auf die Hinterbliebenenrente hat.
Vollwaisen:
Volksrente (Perhe-eläke):
Eigene Rente für jedes Elternteil.
Gesetzliche einkommensbezogene Rente (Työeläke):
Eigene Rente für jedes Elternteil.
Diese Renten werden einmal monatlich und 12 Mal im Jahr ausgezahlt. Es gibt keine zusätzlichen Zahlungen zu bestimmten Zeiten des Jahres.</t>
  </si>
  <si>
    <t>1/Basissystem (Régime de base):
Für Vollwaisen: 54% der Hauptrente des verstorbenen Versicherten.
Für die Auszahlung der Waisenrente über das 21. Lebensjahr hinaus ist eine Bedürftigkeitsprüfung (Erwerbseinkommen) erforderlich.
Maximale Bezugsdauer: bis zum 25. Lebensjahr der Waise. Keine Altersgrenze, wenn die Waise invalide ist (Invalidität vor dem 21. Lebensjahr eingetreten).
Monatliche Zahlungen. Keine zusätzlichen Zahlungen.
2/Zusatzrentensysteme (Agirc-Arrco):
Vollwaisen erhalten 50% der Ansprüche des Verstorbenen (eine Beihilfe kann für jeden Elternteil gewährt werden). Wird monatlich bis zum 21. oder 25. Lebensjahr gezahlt (die Zahlung endet vor diesem Alter, wenn das Kind kein Student, nicht in der Lehre oder nicht arbeitssuchend ist und keine Arbeitslosenleistungen bezieht oder voll adoptiert wird) oder während der Dauer der vor dem 21. Lebensjahr erklärten Invalidität.
Falls die Waisenrente gering ist, wird ihre Zahlung annualisiert (Summe entspricht weniger als 200 Punkten) oder durch eine Einmalzahlung ersetzt (Summe entspricht weniger als 100 Punkten).
Leistung ist nicht einkommensabhängig.
Keine zusätzlichen Zahlungen.</t>
  </si>
  <si>
    <t>Jedes Kind erhält 25% des verstorbenen Elternteils.
Wenn das Kind beide Eltern verloren hat, wird der bezogene Betrag verdoppelt (auf 50%) und darf den gesetzlichen Mindestbetrag nicht unterschreiten.
Diese Leistung unterliegt nicht der Bedürftigkeitsprüfung.
Die Leistung wird monatlich gezahlt. Keine zusätzlichen Zahlungen.</t>
  </si>
  <si>
    <t>Volksrente (lífeyrir almannatrygginga):
Pauschale Kinderrente (barnalífeyrir) von monatlich ISK 48.131 (€334); doppelter Betrag für Vollwaisen. Diese Leistung unterliegt keiner Bedürftigkeitsprüfung. Pauschale Leistungen. Monatliche Zahlungen.
Die Kinderrente wird mindestens bis zum 18. Lebensjahr des Kindes gezahlt. Je nach Rentenkasse kann ein anderes Höchstalter gelten, das über 18 Jahren liegen kann.
Arbeitsrente (lögbundnir lífeyrissjóðir):
Der Betrag der Kindesrente kann je nach Rentenfonds variieren. Doppelter Betrag, wenn beide verstorbenen Eltern Fondsmitglieder waren.
Keine zusätzlichen Zahlungen zu bestimmten Jahreszeiten (z.B. zu Weihnachten oder im Winter für Energiekosten).</t>
  </si>
  <si>
    <t>Kinder, die ein Elternteil verloren haben:
Der Betrag der Waisenrente (Našlaičio pensija) ist 50% der Summe des allgemeinen und individuellen Teils der Rente, die der verstorbenen Person zugestanden hätte. Der Betrag wird entweder auf der Basis der staatlichen Behindertenrente für diejenigen festgelegt, die 65% oder mehr ihres Grades der Teilhabefähigkeit eingebüßt haben, oder auf der Basis der Altersrente. Gibt es mehr als ein Kind mit Anspruch auf die Rente, erhalten sie alle gleiche Teile des zahlbaren Betrags.
Vollwaisen:
Rentenanspruch für beide Elternteile.
Die Leistung unterliegt keiner Bedürftigkeitsprüfung.
Keine Zusatzzahlungen zu bestimmten Zeiten im Jahr.</t>
  </si>
  <si>
    <t>Halbwaisen:
   * 1/3 der von der Versicherungsdauer abhängigen Pauschalleistung (majorations forfaitaires) und der pauschalen Zurechnungszulage (majorations forfaitaires spéciales), auf die der Versicherte Anspruch hatte oder gehabt hätte.
   * 1/3 der Zulage zum Jahresende (allocation de fin d'année).
   * 1/4 des einkommensabhängigen Rententeilbetrags (majorations proportionnelles) und der einkommensabhängigen Zurechnungszulage (majorations proportionnelles spéciales), auf die der Versicherte Anspruch hatte oder gehabt hätte.
Vollwaisen:
Das Doppelte der Halbwaisenrente. Wenn Rentenansprüche von beiden Elternteilen vorliegen, wird der höhere Betrag verdoppelt.
Kumulation mit Kindergeld möglich.
Monatlich ausgezahlte Renten.
Waisenrente wird bis zum 18. Lebensjahr gezahlt. Die Waisenrente wird bis zum 27. Lebensjahr gezahlt, wenn die Waise aufgrund der wissenschaftlichen oder fachlichen Vorbereitung auf den künftigen Beruf nicht für ihren Lebensunterhalt aufkommen kann.</t>
  </si>
  <si>
    <t>Halbwaisen:
Sie haben Anspruch auf Kindergeld (Allowance tat-Tfal) (siehe Tabelle IX, „Familienleistungen, „Leistungen, Beträge“).
Vollwaisen:
Sie haben Anspruch auf Waisengeld (Allowance ta' Ltim) in Höhe von €79,58 pro Woche pro Kind und Ergänzendes Waisengeld (Allowance Supplimentari ta' Ltim) in Höhe von €130,16 pro Woche pro Kind.
Dies ist eine alle 4 Wochen zahlbare Pauschalleistung. Die Leistung unterliegt keiner Bedürftigkeitsüberprüfung.
Kindergeld wird zusätzlich zum Waisengeld gezahlt.
Leistungsempfänger sind anspruchsberechtigt auf eine staatliche Prämie in Höhe von €135,10 im Juni und Dezember und eine zusätzliche Prämie in Höhe von €3,12 pro Woche.
Leistungsempfänger sind auch anspruchsberechtigt auf einen wöchentlichen Lebenshaltungskosten-zuschlag. Abhängig vom ersten Erhalt der Beihilfe rangiert dessen Höhe zwischen €21,53 für Beihilfen, die im Jahr 2008 oder früher gewährt wurden und €15,96 für Beihilfen, die im Jahr 2025 gewährt wurden.</t>
  </si>
  <si>
    <t>40% (Halbwaisen) bzw. 60% (Vollwaisen) der auf der Grundlage von 60% berechneten Witwen:Witwerrente je Kind bis zur Vollendung des 18. Lebensjahres bzw. des 27. Lebensjahres bei Studium oder Berufsausbildung (aber in Kombination mit Arbeit sollen mehr Stunden für die Ausbildung als für die Arbeit aufgewendet werden), kein Alterslimit bei Behinderung des Kindes.
Daneben eigener Anspruch auf Familienbeihilfe (siehe Tabelle IX).
Die Leistung wird keiner Bedürftigkeitsprüfung unterzogen.
Die Auszahlung der Rente erfolgt im Nachhinein, jeweils am Ersten des folgenden Monats.
Die Rente wird 14-mal jährlich gezahlt (Sonderzahlungen im April und Oktober).</t>
  </si>
  <si>
    <t>Jeweils 20, 30 und 40% der Rente für ein, zwei oder drei und mehrere Kinder.
Die Beträge verdoppeln sich, wenn es keinen hinterbliebenen Ehegatten oder anspruchsberechtigten früheren Ehegatten gibt.
Monatliche Leistung - 14 Auszahlungen pro Jahr: Weihnachtsgeld und Urlaubsgeld in Höhe der für den entsprechenden Monat ausgezahlten Leistung.
Keine bedürftigkeitsabhängigen Leistungen (außer für Nachkommen über den ersten Grad hinaus, die nur dann Anspruch auf eine Rente haben, wenn sie gegenüber dem verstorbenen Leistungsempfänger zum Zeitpunkt seines Versterbens unterhaltsberechtigt sind, über kein Einkommen verfügen und im selben Haushalt leben).
Für Kinder gelten Altersgrenzen (siehe 5. Kinder), es sei denn, es handelt sich um Kinder mit Behinderungen, die Anspruch auf Kindergeld haben.</t>
  </si>
  <si>
    <t>Halbwaisen:
Ähnliche Formel wie für den Hinterbliebenen Ehegatten.
Vollwaisen:
Ähnliche Formel wie für den Hinterbliebenen Ehegatten. Die Hinterbliebenenrente (pensie de urmas) wird für jeden Elternteil berechnet und dann summiert.
Bis zum Alter von 16 Jahren (oder dem Alter von Hochschulabsolventen, höchstens jedoch 26 Jahre).
Wird monatlich ausbezahlt.
Finanzielle Unterstützung von RON 800 (€157), die in zwei gleichen Raten von RON 400 (€79) jeweils im April und Dezember 2025 an hinterbliebene Rentner gezahlt wird, deren monatliches Renteneinkommen sich auf insgesamt höchstens RON 2.574 (€506) beläuft.</t>
  </si>
  <si>
    <t>Die Kinderrente(barnpension) beträgt 35% (bzw. 30%, wenn das jüngste Kind 12 Jahre alt wird) der einkommensbezogenen Rentenbasis der verstorbenen Person.
Bei mehr als einem verwaisten Kind, wird dieser Betrag für jedes weitere Kind um 25 Prozentpunkte (20 Prozentpunkte, wenn das jüngste Kind 12 Jahre alt wird) erhöht und zu gleichen Teilen unter den Kindern aufgeteilt.
Wenn beide Eltern verstorben sind, beträgt die Kinderrente35% der Rente beider Eltern.
Eine Waisenbeihilfe (efterlevandestöd till barn) kann gewährt werden, falls das Kind keine oder nur eine niedrige Kinderrente(barnpension) erhält. Diese Beihilfe beläuft sich auf 40% des Grundbetrags (prisbasbelopp).
Wenn beide Eltern verstorben sind, beträgt die Waisenbeihilfe 80% des Grundbetrags.
Die Zahlungsfrequenz ist monatlich (12 mal/Jahr).</t>
  </si>
  <si>
    <t>Waisenrente (Sirotský dôchodok):
Jedes Kind erhält 40% der Altersrente, vorgezogenen Altersrente oder Invalidenrente, auf die der verstorbene Elternteil (oder der adoptierende Elternteil) zum Zeitpunkt seines Todes Anspruch hatte oder gehabt hätte.
Sie wird monatlich, 12 Mal im Jahr gezahlt. Zusätzlich wird jährlich im Dezember eine dreizehnte Rente in Höhe der nationalen monatlichen Waisenrente des vergangenen Jahres, d.h. mindestens €300 gezahlt (siehe Tabelle VI „Alter”, „Leistungen, 1. Berechnungsmethode, Rentenformel oder Beträge“).
Die Leistung unterliegt keiner Bedürftigkeitsprüfung.
Die Waisenrente beträgt gemäß der 2. Säule 100% der Altersversorgung der/des Verstorbenen und wird für eine Höchstdauer von zwei Jahren gezahlt (einschließlich der Leistung für Erwachsene).</t>
  </si>
  <si>
    <t>Waisengeld (Pensión de orfandad):
Für jeden Waisen in Höhe von 20% der Berechnungsgrundlage. Entsprechend des Witwen-/Witwergeldes erhöht sich dieser Satz um einen zusätzlichen Prozentsatz, für gewöhnlich, falls es keinen hinterbliebenen Ehepartner gibt (Vollwaise). Sind mehrere Berechtigte vorhanden, darf die Summe des Waisengeldes und des Witwen-/Witwergeldes 100% der Berechnungsgrundlage in bestimmten Umständen (z.B. bei familiären Verpflichtungen) übersteigen. Hat der Empfänger als Vollwaise Anspruch auf Leistungen beider Elternteile, so gilt eine Erhöhung nur für die Leistung eines Elternteils.
Die Leistung unterliegt einer Bedürftigkeitsprüfung (siehe Tabelle VII, „Bedingungen: Kinder“).
Leistung für Waisen durch Gewalt gegen Frauen (prestación de orfandad por violencia contra la mujer):
20% der Berechnungsgrundlage für jede Waise oder 70%, wenn das Haushaltseinkommen pro Mitglied 75% des Mindestlohnes (Salario Mínimo Interprofesional) nicht überschreitet.
Die Leistungen werden monatlich 14 Mal pro Jahr ausgezahlt.
Zur Berechnungsgrundlage: siehe Tabelle VII, „Leistungen: Hinterbliebener Ehepartner, geschiedener Ehepartner, hinterbliebener Lebenspartner".</t>
  </si>
  <si>
    <t>Grundbetrag (Základní složka):
Pauschale (10% des nationalen monatlichen Bruttodurchschnittslohns) von CZK 4.660 (€188) monatlich.
Prozentualer Betrag (Procentní část):
   * Halbwaisen: 40% des prozentualen Betrags der Alters- oder Invaliditätsrente dritten Grades, auf den der Verstorbene Anspruch hatte oder gehabt hätte.
   * Vollwaisen: 40% des prozentualen Betrags der Alters- oder Invaliditätsrente beider Elternteile.
Die Leistung ist nicht bedürftigkeitsabhängig.
Jedes hinterbliebene Kind ist bis zum Alter von 26 Jahren anspruchsberechtigt für Hinterbliebenenleistung, so lange es unterhaltsberechtigt ist (sich in Vollzeitausbildung befindet oder eine Behinderung hat).
Zahlungen erfolgen monatlich.
Keine zusätzlichen Zahlungen.</t>
  </si>
  <si>
    <t>Waisenrente (Árvaellátás):
Für Halbwaisen 30% der Altersrente des verstorbenen Elternteils für jedes Kind. Der Anspruch des Waisen bleibt auch nach einer Wiederheirat der Mutter oder einer Adoption des Kindes bestehen.
60% der Altersrente des verstorbenen Elternteils für Vollwaisen (hat ein Kind durch beide Eltern einen Rentenanspruch, erhält es die höhere der beiden Leistungen) oder Waisen, deren lebendes Elternteil als Person mit veränderter Erwerbsfähigkeit angesehen wird.
Die Leistung unterliegt keiner Bedürftigkeitsprüfung.
Sie wird ab dem Todesdatum des Verstorbenen gezahlt bis zum 16. Geburtstag des Kindes. Geht das Kind einer Vollzeitausbildung nach, wird die Rente für den Zeitraum der Ausbildung gezahlt, allerdings nur bis zum 25. Geburtstag des Kindes (oder bis zum Alter von 27 Jahren unter besonderen Bedingungen).
Wird monatlich gezahlt. Zusätzliche Zahlungen: ein 13. Monat wird gezahlt (im Februar) sowie eine Rentenprämie (wird im November ausgezahlt, sofern das BIP um mehr als 3,5% gewachsen ist und das im Haushaltsgesetz festgelegte Ziel für den Haushaltsausgleich erreicht wurde).</t>
  </si>
  <si>
    <t>Halbwaisen:
20 % des versicherungspflichtigen Grundentgelts (Βασικές Ασφαλιστέες Αποδοχές) = € 42,71 pro Woche pro Waise für bis zu drei Waisen.
Vollwaisen:
Grundrente (Βασική Σύνταξη) : 40 % des versicherungspflichtigen Grundentgelts = € 85,42 pro Woche für jedes Kind.
Zusatzrente (Συμπληρωματική Σύνταξη) : 50 % der Zusatzrente zur Witwenrente, die gezahlt wurde oder gezahlt worden wäre (siehe Hinterbliebene – Leistungen, Hinterbliebener Ehegatte, geschiedener Ehegatte, hinterbliebener Partner“) bei einem Kind und 100 % bei zwei oder mehr Kindern.
Renten und sonstige Leistungen werden monatlich gezahlt (13-mal jährlich).
Waisen, die vor Vollendung des 17. Lebensjahres nicht mehr abhängig sind, haben Anspruch auf eine einmalige Zahlung in Höhe eines Jahresbetrags der Waisenrente. Der Pauschalbetrag entspricht 1 Jahr der Waisenrente, die im Falle eines Anspruch gezahlt würde.</t>
  </si>
  <si>
    <t>Siehe „Leistungen: Hinterbliebener Ehegatte, geschiedener Ehegatte, hinterbliebener Lebenspartner“.</t>
  </si>
  <si>
    <t>Der Betrag der Hinterbliebenenrente (siehe Tabelle VII „Leistungen: 1. Hinterbliebener Ehegatte“) wird zu gleichen Teilen unter den Berechtigten aufgeteilt.</t>
  </si>
  <si>
    <t>Für Eltern oder Geschwister: 15% der Rente des Versicherten, sofern es keine anderen Hinterbliebenen gibt.
Die Leistungen werden monatlich gezahlt.
Die Dauer unterliegt keiner Obergrenze, so lange die Bedingungen zum Erhalt der Leistung erfüllt sind.</t>
  </si>
  <si>
    <t>Die Gesamtrente wird für Brüder, Schwestern und Enkel ab der potenziellen Altersrente des Verstorbenen berechnet. Gleiche Bedingungen wie für Waisen.
Die Leistung unterliegt nicht der Bedürftigkeitsprüfung. Die Leistung wird gezahlt, bis das Kind 18 Jahre alt ist (24 Jahre unter bestimmten Bedingungen) oder für den Zeitraum der Behinderung bei Kindern mit Behinderung seit der Kindheit.
Sie wird monatlich gezahlt und es werden keine zusätzlichen Zahlungen geleistet.</t>
  </si>
  <si>
    <t>Nicht anwendbar</t>
  </si>
  <si>
    <t>Gleiche Berechnungsregeln für hinterbliebenen Ehepartner.</t>
  </si>
  <si>
    <t>Die Person, die sich um ein verwaistes Kind kümmert (gesetzlicher Vormund) erhält das Waisengeld (Allowance ta’Ltim), das für jedes Kind gezahlt wird (siehe Tabelle VII, „Leistungen, Kinder“), wenn mindestens eines der Eltern zum Todeszeitpunkt versichert gewesen ist.</t>
  </si>
  <si>
    <t>Von den verstorbenen Versicherten unterhaltene Eltern haben Anspruch auf 30%, 50% oder 80% der Rente, je nachdem, ob es sich um eine, zwei oder drei und mehr Personen handelt, wenn kein Ehepartner, geschiedener Ehegatte oder keine Nachkommen vorhanden sind, die einen Rentenanspruch haben. Außerdem müssen sie
im selben Haushalt wie der Leistungsempfänger leben und kein eigenes Einkommen haben, das höher als die Sozialrente (pensão social) ist, oder doppelt so hoch, wenn sie verheiratet sind.
Die Leistung wird monatlich 14 Mal pro Jahr ausgezahlt: Weihnachtsgeld und Urlaubsgeld in Höhe der für den entsprechenden Monat ausgezahlten Leistung.</t>
  </si>
  <si>
    <t>Nicht anwendbar (keine sonstigen Berechtigten).</t>
  </si>
  <si>
    <t>1. Säule (Grundsystem)/2. Säule (obligatorische Mindestvorsorge):
Keine sonstigen Berechtigten.</t>
  </si>
  <si>
    <t>Leistung für Angehörige (Pensión en favor de familiares):
Unter gewissen Bedingungen 20% der Berechnungsgrundlage. Mit Bedürftigkeitsprüfung. Bei den berücksichtigten Mitteln handelt es sich um Erwerbseinkommen oder Kapital und Sozialleistungen.
Die Leistung wird 14 Mal pro Jahr gezahlt.
Befristete Beihilfe an Angehörige (subsidio temporal en favor de familiares): 20% der Berechnungsgrundlage höchstens für einen Zeitraum von 12 Monaten.
Die Leistung wird 14 Mal jährlich auf Monatsbasis gezahlt.
Zur Berechnungsgrundlage siehe Tabelle VII, „Leistungen: Hinterbliebener Ehepartner, geschiedener Ehepartner, hinterbliebener Lebenspartner“.</t>
  </si>
  <si>
    <t>Elternrente (Szülői nyugdíj):
Der Betrag der Elternrente entspricht der dauerhaften Witwen- bzw. Witwerrente (Özvegyi nyugdíj).
Siehe Tabelle VII, „Leistungen, Hinterbliebener Ehegatte, geschiedener Ehegatte, hinterbliebener Lebenspartner“.
Die Leistung unterliegt einer Bedürftigkeitsprüfung. Ein Elternteil oder Großelternteil gilt als überwiegend unterhaltsberechtigt, wenn die Rente des Elternteils zum Todeszeitpunkt des Kindes (Enkelkindes) unterhalb des Mindestbetrags der Altersrente liegt.
Die Leistung wird jeden Monat ausgezahlt. Ein 13. Monat wird gezahlt. Rentenprämie (wird im November ausgezahlt, sofern das BIP um mehr als 3,5% gewachsen ist und das im Haushaltsgesetz festgelegte Ziel für den Haushaltsausgleich erreicht wurde).</t>
  </si>
  <si>
    <t>Zulagen für Eltern oder jüngere Geschwister, die überwiegend von der versicherten Person unterhalten werden.</t>
  </si>
  <si>
    <t>Die Rente, auf die der/die Verstorbene zum Todeszeitpunkt Anspruch gehabt hätte.</t>
  </si>
  <si>
    <t>Kein Höchstbetrag für die Gesamtleistungen, die zusammengerechnet an alle Hinterbliebenen des Verstorbenen ausgezahlt werden.</t>
  </si>
  <si>
    <t>100% der Rente der verstorbenen Person.</t>
  </si>
  <si>
    <t>Volksrente (Perhe-eläke):
Keine Begrenzung.
Gesetzliche einkommensbezogene Rente (Työeläke):
100% der Rente des/der Verstorbenen.</t>
  </si>
  <si>
    <t>1/Basissystem (Régime de base): 54% der maximalen Altersrente: €1.059,75 pro Monat.
2/Zusatzrentensysteme (Agirc-Arrco): kein Höchstbetrag.</t>
  </si>
  <si>
    <t>Der Gesamtbetrag der an den überlebenden Ehepartner und Kinder gezahlten Rente darf die Rente, die der/die Verstorbenen erhalten hat, übersteigen. Wenn der Betrag der Anteile der Begünstigten den Betrag der Rente übersteigt, die der/die Verstorbene erhalten hat, werden die Anteile der Kinder gleichmäßig gekürzt.</t>
  </si>
  <si>
    <t>100% der Rente des Versicherten.</t>
  </si>
  <si>
    <t>100% der Rente, die der Verstorbene bezogen hat oder bezogen hätte, einschließlich der Anhebung, falls der Verstorbene eine aufgeschobene Rente bezogen hat oder bezogen hätte.</t>
  </si>
  <si>
    <t>Keine Höchstgrenze.</t>
  </si>
  <si>
    <t>1. Säule: Waisenrenten werden gekürzt, soweit sie zusammen mit der Rente des Vaters oder der Mutter das der Rentenberechnung zugrunde liegende "maßgebende durchschnittliche Jahreseinkommen" um mehr als 10% übersteigen.
2. Säule: Kein Höchstbetrag.</t>
  </si>
  <si>
    <t>Renten an Waisen:
100% der Rente der verstorbenen Person (maximal 50% pro Waisen).</t>
  </si>
  <si>
    <t>100% der Rente des Versicherten. Übersteigt die Summe aller Hinterbliebenenrenten diese Grenze, so werden sie anteilsmäßig gekürzt.</t>
  </si>
  <si>
    <t>Es gibt für anspruchsberechtigte Personen keinen Höchstgesamtbetrag.</t>
  </si>
  <si>
    <t>Kein Höchstbetrag für Gesamtleistungen an alle Berechtigten.
Es besteht jedoch eine Höchstgrenze für die Leistung an Einzelpersonen (siehe Tabelle VII, Anspruchsvoraussetzungen 2. Hinterbliebener Ehegatte).</t>
  </si>
  <si>
    <t>95% der Rente der verstorbenen Person.</t>
  </si>
  <si>
    <t>100% der Rente des Versicherten.
Bei Vorhandensein von zwei Ehepartnern mit Rentenanspruch: 110%.</t>
  </si>
  <si>
    <t>100% der Rente, auf die der Verstorbene Anspruch hatte oder gehabt hätte (Auszahlung nur bei drei oder mehr Hinterbliebenen).</t>
  </si>
  <si>
    <t>Die Hinterbliebenen können gemeinsam maximal 100% der berechneten Altersrente des Verstorbenen beziehen.</t>
  </si>
  <si>
    <t>1. Säule (Grundsystem):
Kinderrenten und Waisenrenten werden gekürzt, wenn sie zusammen mit der Rente des Vaters oder der Mutter 90% des maßgebenden durchschnittlichen Jahreseinkommens für die Berechnung der Rente des Vaters oder der Mutter übersteigen.
2. Säule (obligatorische Mindestvorsorge):
Kürzung der Leistungen soweit sie zusammen mit anderen Leistungen gleicher Art und Zweckbestimmung sowie weitere anrechenbaren Einkünften 90% des mutmaßlich entgangenen Verdienstes übersteigen.</t>
  </si>
  <si>
    <t>100% der Rente des Versicherten. Übersteigt die Summe der Hinterbliebenenrenten diesen Wert, werden sie proportional verringert.
Dieser Grundsatz gilt auch für Leistungen, die unter der 2. Säule gewährt werden.</t>
  </si>
  <si>
    <t>100% der Rente des Verstorbenen.</t>
  </si>
  <si>
    <t>Die Summe aller Hinterbliebenenleistungen darf 100% der Berechnungsgrundlage nicht übersteigen, mit einigen Ausnahmen.</t>
  </si>
  <si>
    <t>Kein Höchstbetrag, die Summe der Hinterbliebenenrenten kann den Betrag der Rente, die der Verstorbenen bezog oder erhalten hätte, übersteigen.</t>
  </si>
  <si>
    <t>Keine weiteren Leistungen.</t>
  </si>
  <si>
    <t>Sterbegeld (Помощ при смърт на осигурено лице):
Jährlich festgelegte einmalige Leistung: BGN 540 (€ 276).</t>
  </si>
  <si>
    <t>Bestattungsbeihilfe (begravelseshjælp): Siehe Tabelle III „Krankheit – Geldleistungen“. Kann zusätzlich zu Leistungen für Hinterbliebene gezahlt werden.
Hinterbliebenenhilfe (efterlevelseshjælp): Ehepartner (oder Lebensgefährten nach mindestens 3-jähriger Zeit des Zusammenlebens) erhalten eine von der Höhe ihres Einkommens und Vermögens abhängige Pauschalabfindung. Höchstbetrag: DKK 16.680 (€2.235). Die Leistung entfällt bei einem Jahreseinkommen von mehr als DKK 429.079 (€57.507). Kann zusätzlich zu Leistungen für Hinterbliebene gezahlt werden.
Bei Bedürftigkeit kann eine Unterhaltshilfe (hjælp til forsørgelse) gewährt werden. Siehe Tabelle XI „Mindestsicherung.
Sonderbeihilfe zu einem Studium oder einer Berufsausbildung, falls dies für die Eingliederung in das Arbeitsleben erforderlich ist. Siehe Tabelle XI „Mindestsicherung“.</t>
  </si>
  <si>
    <t>Der Witwe oder dem Witwer wird für die ersten 3 Monate nach dem Tod des Versicherten die Hinterbliebenenrente in Höhe der vollen Rente des Versicherten gezahlt.
Bei einer Ehescheidung nach dem 30.06.1977 hat der geschiedene Ehegatte, der ein eigenes Kind oder ein Kind des Verstorbenen erzieht bis zum Erreichen der Regelaltersgrenze einen Anspruch auf Erziehungsrente, wenn er nicht wieder geheiratet hat und bis zum Tod des geschiedenen Ehegatten die allgemeinen Wartezeiten erfüllt hat. Dies gilt auch für eingetragene Lebenspartnerschaften. Einkommensanrechnung wie bei Witwen- und Witwerrenten.
Für Ehepartner die nach dem 01.01.1962 geboren sind, oder die nach dem 31.12.2001 geheiratet haben, besteht die Möglichkeit, statt einer Hinterbliebenenversorgung das Rentensplitting zu wählen. Dabei werden die in der Ehezeit erworbenen Rentenanwartschaften geteilt. Die Einkommensanrechnung wie bei Witwen‑ und Witwerrenten findet nicht statt.
Die Leistungsansprüche gelten entsprechend auch für eingetragene Lebenspartner.</t>
  </si>
  <si>
    <t>Die Bestattungsbeihilfe wird von der Lokalverwaltung gewährt und aus dem Staatshaushalt finanziert. Jede Lokalverwaltung stellt die Bedingungen für die Beantragung von Bestattungsbeihilfe. Lokalverwaltungen können entweder eine Leistung an die Hinterbliebenen zahlen oder die Bestattung organisieren, wenn die verstorbene Person keine Angehörigen hatte.</t>
  </si>
  <si>
    <t>Für alle Arbeitnehmer besteht aufgrund von Tarifvereinbarungen eine Gruppenversicherung. Die altersabhängige Leistung ist ein Pauschalbetrag und beträgt €16.430, falls der Tod vor dem Alter von 49 Jahren eintritt und verringert sich schrittweise bis auf €4.570, falls der Tod zwischen 60 und 65 Jahren eintritt.
Kinderzulage: €7.400/Kind unter 18 Jahren.
Bei Unfalltod erhöht sich der Betrag um 50%.</t>
  </si>
  <si>
    <t>1/Basissystem (Régime de base):
Witwenbeihilfe (allocation veuvage) (wird vor dem Erreichen des Alters gezahlt, ab dem Anspruch auf eine Hinterbliebenenrente besteht):
Der überlebende Empfänger der Beihilfe muss unter 55 Jahren sein und darf nicht in einer Partnerschaft leben. Er muss in Frankreich wohnhaft sein oder, je nach seiner Staatsangehörigkeit oder der des verstorbenen Versicherten, in einem EU-Mitgliedstaat, dem EWR, der Schweiz oder einem Staat, der mit Frankreich ein Abkommen über soziale Sicherheit abgeschlossen hat.
Der Verstorbene muss im Jahr vor seinem Tod mindestens 3 Monate Beiträge zur Rentenversicherung entrichtet haben. Die Beihilfe (Bedürftigkeitsprüfung) wird für höchstens zwei Jahre ab dem Todestag gezahlt: €713,17 pro Monat.
Ausnahme: Ist der überlebende Leistungsempfänger zum Zeitpunkt des Todes mindestens 50 Jahre alt, kann die Beihilfe bis zu seinem 55. Lebensalter weiter gewährt werden.
2/Zusatzrentensysteme (Agirc-Arrco):
Keine sonstigen Leistungen.</t>
  </si>
  <si>
    <t>Eine einmalige Beihilfe für verwitwete oder hinterbliebene Lebenspartner (Widowed or Surviving Civil Partner Grant) von €8.000 wird gezahlt, falls die hinterbliebene Person wenigstens ein Kind unterhält.</t>
  </si>
  <si>
    <t>Volksrente (lífeyrir almannatrygginga):
Es wird ein Sterbegeld (dánarbætur) von monatlich ISK 71.692 (€498) sechs Monate an den hinterbliebenen Ehegatten vor Erreichen des 67. Lebensjahres nach dem Sozialhilfegesetz (Lög um félagslega aðstoð) gezahlt. Die Leistungsdauer kann auf mindestens 12 Monate ausgedehnt werden, wenn der Empfänger ein Kind unter 18 Jahren versorgt oder aufgrund anderer besonderer Umstände, aber nur auf höchstens 48 Monate; in diesem Fall beträgt das Sterbegeld ISK 53.704 (€373) pro Monat.
Arbeitsrente (lögbundnir lífeyrissjóðir):
Keine sonstigen Leistungen.
Weitere Leistungen können gewährt werden, wenn der Tod innerhalb von 2 Jahren aufgrund eines Arbeitsunfalls eintritt (siehe Tabelle Arbeitsunfall und Berufskrankheit - Tod).</t>
  </si>
  <si>
    <t>Keine anderen Leistungen.</t>
  </si>
  <si>
    <t>Falls auf Grund von nicht erfüllter Mindestversicherungszeit keine Hinterbliebenenrente gewährt wird, erhält die Waise die Staatliche Grundleistung der sozialen Sicherheit (Valsts sociālā nodrošinājuma pabalsts). Der Betrag ist €189 pro Monat für ein Kind unter 7 Jahren und €226 pro Monat für ein Kind über 7 Jahren. Für Waisen wird die Rente für jeden Elternteil gesondert berechnet und kann nicht unter den genannten Beträgen liegen.
Bestattungsbeihilfe (Apbedīšanas pabalsts): Beim Tod eines Rentenempfängers oder Empfängers der Staatlichen Grundleistung der sozialen Sicherheit erhält die Person, die die Beerdigung organisiert, eine Pauschale in doppelter Höhe der monatlichen Rente und des Zuschlags oder der Staatlichen Grundleistung der sozialen Sicherheit des Verstorbenen.</t>
  </si>
  <si>
    <t>Keine sonstigen Leistungen.</t>
  </si>
  <si>
    <t>Die volle Rente der versicherten verstorbenen Person wird für drei Monate an Hinterbliebene gezahlt, die mit dem Verstorbenen im gemeinsamen Haushalt gelebt haben.
War der Verstorbene noch nicht Bezieher einer Rente, werden die Renten der Hinterbliebenen, die mit dem Versicherten zusammengelebt haben, in dem Monat des Todes und den 3 folgenden Monaten auf die Höhe der Rente aufgestockt, auf die der Verstorbene Anspruch gehabt hätte.</t>
  </si>
  <si>
    <t>Hinterbliebene Ehepartner oder Partner, die ein Kind unter 16 Jahren (unter 18 Jahren, falls das Kind noch die Schule besucht und keine Studienbeihilfen erhält) unterhalten, haben Anspruch auf eine zusätzliche Kindererziehungszulage (Suppliment ghat-trobbija tat-tfal).
Kindererziehungszulage (Suppliment ghat-trobbija tat-tfal):
Zusätzliche Beihilfe in Höhe von €10 pro Woche.</t>
  </si>
  <si>
    <t>Sterbegeld (Overlijdensuitkering): 100% des Bruttoarbeitseinkommens für den Monat nach dem Todestag, gezahlt vom Arbeitgeber an die Witwe/den Witwer, den Ex-Partner (mit dem die verstorbene Person die Haushaltskosten teilte) oder die minderjährigen Kinder der verstorbenen Person.</t>
  </si>
  <si>
    <t>Bestattungsbeihilfe (gravferdsstønad) bei Bedürftigkeitsnachweis von bis zu NOK 29.853 (€2.532). Die Bedürftigkeitsprüfung entfällt, wenn die verstorbene Person jünger als 18 Jahre war.
Zusätzlich können anfallende Kosten übernommen werden, wenn der Sarg mit der verstorbenen Person in Zusammenhang mit der Beerdigung mehr als 20 km weit transportiert werden muss. Es gibt keine Obergrenze für die Unterstützung, aber es muss eine Selbstbeteiligung von 20% der maximalen Bestattungsbeihilfe gezahlt werden.</t>
  </si>
  <si>
    <t>Befristete Hinterbliebenenbeihilfe (Okresowa renta rodzinna):
Leistung an Witwen, die keinen Anspruch auf Hinterbliebenenrente (Renta rodzinna) haben und über keine sonstigen finanziellen Mittel verfügen. 85% der Alters- oder Invaliditätsrente, auf die der Verstorbene Anspruch hatte oder gehabt hätte. Wird ein Jahr lang nach dem Tod des Ehegatten oder höchstens 2 Jahre während der Teilnahme an beruflichen Rehabilitationskursen gewährt.
Pflegezulage (Dodatek pielęgnacyjny):
Leistung an Personen mit Anspruch auf eine Alters-, Invaliditäts- oder Hinterbliebenenrente, die vollständig erwerbsunfähig und auf fremde Hilfe angewiesen sind oder die das 75. Lebensjahr vollendet haben. Betrag: Die Zulage beträgt monatlich PLN 348,22 (€82) (Anpassung wie bei Renten).
Bestattungsbeihilfe (Zasiłek pogrzebowy):
Pauschale für Personen, die die Bestattungskosten für einen Rentner oder einen Familienangehörigen getragen haben. Betrag: PLN 4.000 (€944).</t>
  </si>
  <si>
    <t xml:space="preserve">
   * Sterbegeld (subsídio por morte): wird in der Regel Personen gewährt, die auch die Hinterbliebenenrente beziehen, jedoch ohne Anspruchsbedingungen. Betrag entspricht dem 3-Fachen des Indexwerts für soziale Unterstützungen IAS (indexante dos apoios sociais), Einmalzahlung, zusätzlich zur Hinterbliebenenrente. Aufteilung wie bei der Hinterbliebenenrente nach der Anzahl der berechtigten Personen.
   * Bestattungskostenbeihilfe (subsídio para despesas de funeral): wird Personen gewährt, die die Bestattungskosten tragen, wenn kein Familienmitglied Anspruch auf Sterbegeld hat. Einmalig gezahlter Höchstbetrag : 3-Fache des IAS.
   * Pflegezulage (complemento por dependência): Zulage an Empfänger einer Invaliden-, Alters- oder Hinterbliebenenrente, die auf ständige Fremdhilfe angewiesen sind. Monatlicher Betrag, der an den Wert der Sozialrente (pensão social) gekoppelt ist: € 127,63 oder € 229,73 entsprechend der Pflegestufe (1. oder 2. Pflegestufe).
   * Solidarzulage für ältere Menschen (complemento solidário para idosos): Zulage an Rentner im Alter von über 66 Jahren und 7 Monaten (im Jahr 2025), die in den 6 dem Antragsdatum vorausgegangenen Jahren in Portugal lebten und deren Jahreseinkünfte unter € 7.568,00 (alleinstehende Person) bzw. € 13.244,00 (Paar) liegen. Die Rentner erhalten eine monatliche Differenzialzulage bis zur Höhe dieses Betrages. Jährlich erfolgen 12 Leistungen.</t>
  </si>
  <si>
    <t>Geldleistungen, z. B.:
Sterbegeld (ajutor de deces). Wird zusätzlich zu den Leistungen des Hinterbliebenen ausbezahlt. Dies ist eine Pauschalzahlung zur Abdeckung von Begräbniskosten an alle, die solche Ausgaben getätigt haben.</t>
  </si>
  <si>
    <t>Sterbegeld (Príspevok na pohreb) siehe Tabelle III, Krankheit – Sonstige Leistungen.</t>
  </si>
  <si>
    <t>Zulage zur Verringerung des Lohngefälles zwischen den Geschlechtern (complemento para la reducción de la brecha de género) von €35,90/monatlich pro Kind im Jahr 2025 (mit einer Obergrenze von 4 Kindern).
Sterbegeld (auxilio por defunción): Pauschalleistung von €46,50.
Diese Leistungen werden zusätzlich zu den Hinterbliebenenleistungen gezahlt.</t>
  </si>
  <si>
    <t>Bestattungsbeihilfe (Pohřebné): Pauschale, beitragsunabhängige Leistung von CZK 5.000 (€202) an die Person, die die Beerdigung
   * des unterhaltsberechtigten Kindes oder eines Fötus nach einer Fehlgeburt oder einem Schwangerschaftsabbruch aus medizinischen Günden;
   * des Elternteils des unterhaltsberechtigten Kindes organisiert hat.
Sonderzulagen zu den Renten von Mitgliedern der Widerstandsbewegung während des 1. und 2. Weltkriegs sowie politischen Gefangenen des kommunistischen Regimes.</t>
  </si>
  <si>
    <t>Garantiertes Minimum. Anteiliger Betrag, wenn mindestens 2/3 des vollständigen Versicherungsverlaufs erreicht werden: € 21.415,22.
Garantiertes Minimum bei vollständigem Versicherungsverlauf des Versicherten: € 21.415,22 im Jahr.</t>
  </si>
  <si>
    <t>Der Gesamtbetrag der Hinterbliebenenrente an alle Empfänger darf 75% des Mindestbetrags der beitragsabhängigen Altersrente, d. h. zurzeit BGN 472,88 (€ 242), nicht unterschreiten.</t>
  </si>
  <si>
    <t>Keine Mindestrente, aber de facto besteht eine Mindestrente, resultierend aus der Berechnungsmethode.</t>
  </si>
  <si>
    <t>Keine Mindestrente jedoch ein de facto Maximum resultierend aus der Berechnungsmethode.</t>
  </si>
  <si>
    <t>50% der Altersrente (vanaduspension) einer Person mit 30 Jahren versicherter Beschäftigung.
Wenn die verstorbene Person nicht über die erforderliche Rentenanwartschaftszeit verfügte: 50% der Volksrente (rahvapension).</t>
  </si>
  <si>
    <t>1/Basissystem (Régime de base):
Hinterbliebenenrente (pension de réversion):
Mindestbetrag: €331,94 pro Monat, wenn der Verstorbene 60 Versicherungsquartale aufweist. Bei geringerer Versicherungsdauer anteilige Kürzung des Betrags. Erhöhung um 10%, wenn der Betreffende mindestens 3 Kinder 9 Jahre lang vor Vollendung ihres 16.Lebensjahres erzogen hat.
Invaliditätsrente für Witwer/Witwen (pension d‘invalidité de veuf ou de veuve) und Altersrente für Witwer/Witwen (pension de vieillesse de veuf ou de veuve):
Mindestbetrag: €335,29 pro Monat. Erhöhung um 10%, wenn der Betreffende mindestens 3 Kinder 9 Jahre lang vor Vollendung ihres 16.Lebensjahres erzogen hat.
Waisenrente:
Mindestbetrag am 1. Januar 2025: €107,61 brutto pro Monat.
2/Zusatzrentensysteme (Agirc-Arrco):
Keine Mindestleistung (wenn der Verstorbene zu wenig Rentenpunkte erworben hat, kann die Rente durch eine Einmalzahlung ersetzt werden.)</t>
  </si>
  <si>
    <t>Gesetzliche Mindestleistung: €409,13 pro Monat, wenn der Verstorbene über weniger als 15 Versicherungsjahre verfügt.
Gilt für jede der anspruchsberechtigten Personen.
Die Mindest(Grund-)leistung unterliegt nicht der Bedürftigkeitsprüfung.</t>
  </si>
  <si>
    <t>Nicht anwendbar. Pauschalbeträge – siehe Hinterbliebene - Leistungen – Hinterbliebener Ehepartner, geschiedenener Ehepartner, hinterbliebener Lebenspartner.</t>
  </si>
  <si>
    <t>Volksrente (lífeyrir almannatrygginga):
Kein gesetzlicher Mindestbetrag. Pauschale Leistungen.
Arbeitsrente (lögbundnir lífeyrissjóðir):
Keine gesetzliche Mindestrente. Die Leistungen an Hinterbliebene kann sich in den Rentenfonds unterscheiden.</t>
  </si>
  <si>
    <t>€603,40 im Monat für die verschiedenen Hinterbliebenengruppen, €619,69 für Rentner ab 75 Jahren.</t>
  </si>
  <si>
    <t>1. Säule:
Kein Mindestbetrag, sondern ein De-facto-Mindestbetrag, der aus der Berechnungsmethode resultiert.
Die Mindestrente wird auf der Grundlage der pensionsfähigen Dienstjahre und des tatsächlichen Rentenwerts am Tag des Anspruchs ermittelt. Für jedes Jahr pensionsfähiger Dienstzeit werden 106% des tatsächlichen Rentenwerts angewendet. Die Mindestrente wird durch die Anwendung des Anfangsfaktors und des Rentenfaktors bestimmt.
Der Mindestruhegehalt für ein Jahr pensionsfähiger Dienstzeit beträgt €15,32.
Alle Rentenberechtigten, deren berechnete Rente unter diesem Mindestbetrag liegt, haben Anspruch auf die Mindestrente.
2. Säule:
Keine gesetzliche Mindestrente.</t>
  </si>
  <si>
    <t>Die Mindestrente wird Waisen gewährt und wird für jedes Kind altersabhängig festgelegt: bis zu 7 Jahren €189 pro Monat; über 7 Jahren €226 monatlich (gleicher Betrag für Behinderung seit Kindheit). Für Vollwaisen wird die Rente für jeden Elternteil gesondert berechnet.
Die Mindestleistung unterliegt nicht der Bedürftigkeitsprüfung.</t>
  </si>
  <si>
    <t>Die Aufstockung zur Mindestrente (complément de la pension minimum), auf die der Verstorbene Anspruch hatte oder gehabt hätte, wird zu ¼ jedem hinterbliebenen Kind gewährt (€642,06 pro Monat bei voller Versicherungslaufbahn von 40 Jahren des Hauptversicherten).
Die Hinterbliebenenrente des Ehepartners wird bis zur Höhe der Mindestrente aufgestockt, auf die der verstorbene Versicherte Anspruch hatte oder gehabt hätte (€2.350,89 pro Monat bei voller Versicherungslaufbahn von 40 Jahren des Hauptversicherten).</t>
  </si>
  <si>
    <t>Witwen-/Witwerrente (Pensjoni tar-Romol): Die garantierte Mindestrente beträgt €180,97 pro Woche für hinterbliebene Ehepartner oder Partner, deren Partner in durchschnittlich 50 Wochen pro Jahr Beiträge gezahlt hat. Für Personen mit einem geringeren Beitragsdurchschnitt wird die Rente anteilig gekürzt.
Derselbe Mindestbetrag gilt für Hinterbliebenenrenten (Pensjoni tas-Superstiti).
Waisengeld (Allowance ta' Ltim) und Ergänzendes Waisengeld (Allowance Supplimentari ta' Ltim):
nicht anwendbar - Pauschalleistungen.</t>
  </si>
  <si>
    <t>Anw Leistung: Keine gesetzliche Mindestrente, sondern bedarfsorientierte Pauschalleistung. Dieser Betrag wird proportional vermindert, wenn das Bruttoarbeitseinkommen €1.122,90 monatlich übersteigt. Keine Leistung, wenn das monatliche Bruttoeinkommen €3.538,97 übersteigt.
Die Höhe der Anw Leistung, die Sie beziehen können, ist abhängig vom Einkommen. Einige Einkommenstypen werden vollständig von der Anw Leistung abgezogen. Andere Einkommenstypen wird entweder teilweise abgezogen oder gar nicht.
Für Waisenleistung wird das Einkommen nicht berücksichtigt.</t>
  </si>
  <si>
    <t>Keine gesetzliche Mindestrente, aus der Berechnungsmethode ergibt sich jedoch ein De-facto-Mindestbetrag. Dies gilt sowohl für die Anpassungszulage als auch die Kinderrente.</t>
  </si>
  <si>
    <t>PLN 1.878,91 (€443) pro Monat.</t>
  </si>
  <si>
    <t>Es gibt Mindestrenten bei Invalidität und Alter, auf die die Prozentwerte angewendet werden, die bei der Berechnung der Hinterbliebenenrente festgelegt werden (60 oder 70%) (siehe Tabellen V „Invalidität“ und VI „Alter“).
Die beitragsunabhängige Hinterbliebenenrente (Witwen- oder Witwerrente (pensão de viuvez)) beträgt 60% der Sozialrente, die einen Pauschalbetrag darstellt.</t>
  </si>
  <si>
    <t>Rentner beziehen die Sozialbeihilfe für Rentner (indemnizatie sociala pentru pensionari) in Höhe von RON 1.281 (€252) monatlich, wenn ihre Hinterbliebenenrente unterhalb dieses Betrags liegt.</t>
  </si>
  <si>
    <t>1. Säule (Grundsystem):
Vollrenten:
Rente des hinterbliebenen Ehegatten/Partners: CHF1.008 (€1.077) pro Monat.
Waisenrente: CHF504 (€538) pro Monat.
2. Säule (obligatorische Mindestvorsorge):
Keine Mindestleistung, jedoch ein de facto Minimum resultierend aus der Berechnungsmethode.</t>
  </si>
  <si>
    <t>Eine versicherte Person mit Anspruch auf Witwen-/Witwerrente (vdovska pokojnina) oder Hinterbliebenenrente (družinska pokojnina) erhält eine Mindestrente in Höhe von 38% der Mindest-Rentenberechnungsbasis (pokojninska osnova) von €1.219,95 (brutto) (seit Januar 2025), d.h. €352,58 pro Monat. Die Mindest-Rentenberechnungsbasis wird durch die Renten- und Invaliditätsversicherungsanstalt Sloweniens (Zavod za pokojninsko in invalidsko zavarovanje Slovenije) festgelegt. Hauptanspruchsbedingung sind 15 Versicherungsjahre.
Die garantierte Mindestrente (zagotovljena pokojnina) für alle Empfänger von Alters- oder Invaliditätsrente, die Beiträge in das Rentensystem (1. Säule) für den zum Erhalt einer Vollrente erforderlichen Zeitraum leisten, darf nicht weniger als €781,94 pro Monat (seit 1. Januar 2025) betragen.
Bezog die verstorbene Person eine garantierte Mindestrente (zagotovljena pokojnina), wird die Witwen-/Witwerrente (vdovska pokojnina) oder Hinterbliebenenrente (družinska pokojnina) aus der garantierten Mindestrente veranschlagt.
Witwen und Witwern, die die gesetzlichen Bedingungen erfüllen, wird somit eine Rente in Höhe der Summe ihrer Altersrente, vorgezogenen oder Invaliditätsrente und der Höhe der Bewertungsgrundlage für die Witwenrente garantiert, jedoch nicht mehr als der Betrag der Garantierente, welche sich ab 1. Januar 2025 auf €781,94 beläuft, in der Zukunft jedoch auf gleiche Weise angepasst werden wird wie andere Renten.</t>
  </si>
  <si>
    <t>Keine gesetzliche Mindestrente.
Grundbetrag (Základní složka):
Pauschale (10% des nationalen monatlichen Bruttodurchschnittslohns) von CZK 4.660 (€188) monatlich.
Prozentualer Betrag (Procentní část):
   * Witwe/r: Mindestbetrag: CZK 385 (€16) monatlich;
   * Waisen: Mindestbetrag CZK 308 (€12) monatlich.
Die Leistung ist nicht bedürftigkeitsabhängig.
Zahlungen erfolgen monatlich.</t>
  </si>
  <si>
    <t>Befristete und dauerhafte Witwen- bzw. Witwerrente (Özvegyi nyugdíj): Kein Mindestbetrag.
Elternrente (Szülői nyugdíj): Kein Mindestbetrag.
Waisenrente (Árvaellátás): Mindestbetrag: HUF50.000 (€125) pro Monat/Kind.</t>
  </si>
  <si>
    <t>Witwe/r: 85 % der vollen Grundrente (Βασική Σύνταξη).
Die Mindestleistung unterliegt keiner Bedürftigkeitsprüfung.</t>
  </si>
  <si>
    <t>Im System der Arbeitnehmer und bezüglich des Sozialstatus von Selbstständigen gibt es keine gesetzlich fixierte Höchstrente, jedoch die Anwendung eines Höchstbetrags, der sich de facto aus der Berechnungsmethode ergibt.</t>
  </si>
  <si>
    <t>Der Gesamtbetrag, der aus einer oder mehreren Renten bezogen werden kann (Zulagen ausgenommen), ist für das Jahr 2025 festgelegt auf: BGN 3.400 (€1.738).</t>
  </si>
  <si>
    <t>Keine Höchstrente, aber de facto besteht eine Höchstrente, resultierend aus der Berechnungsmethode.</t>
  </si>
  <si>
    <t>Keine Höchstrente.</t>
  </si>
  <si>
    <t>1/Basissystem (Régime de base):
Hinterbliebenenrente (pension de réversion), Invaliditätsrente für Witwer/Witwen (pension d‘invalidité de veuf ou de veuve) und Altersrente für Witwer/Witwen (pension de vieillesse de veuf ou de veuve): Die Höchstrente beträgt €1.059,75 pro Monat.
Waisenrente:
Bei mehreren Anspruchsberechtigten darf die Summe der Waisenrenten die Hauptrente des verstorbenen Versicherten nicht übersteigen.
2/Zusatzrentensysteme (Agirc-Arrco):
Kein gesetzlich festgesetzte Höchstbetrag, sondern ein faktischer Höchstbetrag, der sich aus der Berechnungsmethode ergibt (nur ein Teil des beitragspflichtigen Bruttoarbeitsentgelts wird bei der Berechnung der Rentenpunkte berücksichtigt).</t>
  </si>
  <si>
    <t>Höchstleistung: €5.236,80 pro Monate (entsprechend 12 Mal die volle staatliche Rente, 12*€436,40).</t>
  </si>
  <si>
    <t>Kein gesetzlicher Höchstbetrag, pauschale Leistungen.</t>
  </si>
  <si>
    <t>1. Säule:
Kein Höchstbetrag, sondern ein De-facto-Höchstbetrag, der aus der Berechnungsmethode resultiert:
380% des Durchschnittsbruttogehalts über den gesamten Versicherungszeitraum berechnet wird (ist gedeckelt bei 3,8 Punkten pro Versicherungsjahr) – siehe Tabelle VI zu Alter – „Höchstrente“.
2. Säule:
Keine gesetzliche Höchstrente.</t>
  </si>
  <si>
    <t>Ein gesetzlicher Höchstbetrag ist nicht vorgesehen.
Dennoch ergibt sich durch die persönliche Höchstrente ein impliziter Höchstbetrag aus der Anwendung der Berechnungsgrundsätze in der Hinterbliebenenversorgung.</t>
  </si>
  <si>
    <t>Witwen-/Witwerrente (Pensjoni tar-Romol): Pauschalleistungen.
Der Höchstbetrag der Hinterbliebenenrente (Pensjoni ta' Superstiti) beläuft sich auf €284,54 pro Woche bei der Bewilligung der Rente. Der Beitrag wird jährlich entsprechend der Entwicklung der Lebenshaltungskosten angepasst.
Waisengeld (Allowance ta' Ltim) und Ergänzendes Waisengeld (Allowance Supplimentari ta' Ltim): nicht anwendbar - Pauschalleistungen.</t>
  </si>
  <si>
    <t>Der maximale Betrag der Anw Hinterbliebenenleistung entspricht 70% des gesetzlichen Mindestlohns (netto) (€1.631,87 monatlich). Zusätzlich wird eine Urlaubszulage (vakantie-uitkering) in Höhe von €121,70 pro Monat zugewiesen und einmal jährlich als Pauschale ausgezahlt.
Bei einem (verwitweten) Ehepartner, der mit jemandem aufgrund eines umfänglichen Pflegebedarfs zusammenlebt, oder weil der/die Mitbewohner/in umfänglichen Maße auf Pflege angewiesen ist, entspricht die maximale Hinterbliebenenrente 50% des gesetzlichen Nettomindestlohns.</t>
  </si>
  <si>
    <t>Keine gesetzliche Höchstente, aus der Berechnungsmethode ergibt sich jedoch ein De-facto-Höchstbetrag. Dies gilt sowohl für die Anpassungszulage als auch die Kinderrente.</t>
  </si>
  <si>
    <t>Keine Höchstleistung, jedoch ein de facto Maximum resultierend aus der Berechnungsmethode. Die Höhe der Hinterbliebenenleistung knüpft an den Rentenanspruch der verstorbenen Pension an, welcher de facto durch die Höchstbeitragsgrundlage begrenzt wird.
Zudem gibt es Einschränkungen der Leistung, wenn die Person auf andere Art ein Einkommen erzielt (s. „Kumulation mit Erwerbseinkommen“).</t>
  </si>
  <si>
    <t>Keine gesetzliche Höchstrente, aber de facto besteht eine Höchstrente resultierend aus der Berechnungsmethode.</t>
  </si>
  <si>
    <t>Kein Maximum.</t>
  </si>
  <si>
    <t>1. Säule (Grundsystem):
Rente des hinterbliebenen Ehegatten/Partners: CHF2.016 (€2.154) pro Monat.
Waisenrente: CHF1.008 (€1.077) pro Monat.
2. Säule (obligatorische Mindestvorsorge):
Keine Höchstleistung, jedoch ein de facto Maximum resultierend aus der Berechnungsmethode.</t>
  </si>
  <si>
    <t>Keine gesetzliche Höchstrente vorgesehen, ergibt sich aber aus dem durch die Berechnungsmethode erhaltenen Höchstbetrag.
Die maximale Rentenberechnungsbasis von €4.879,80 (brutto) (seit Januar 2025) ist das 4-Fache der Mindest-Rentenberechnungsbasis.</t>
  </si>
  <si>
    <t>€3.267,60 pro Monat.
Waisen durch Gewalt gegen Frauen: €793,80 für Einzelempfänger oder €1.338,12, verteilt auf die Leistungsempfänger.</t>
  </si>
  <si>
    <t>Keine gesetzliche Höchstrente, aber de facto besteht eine Höchstrente, die aus der Berechnungsmethode resultiert (siehe oben “3. Referenzeinkommen oder Berechnunggrundlage) .</t>
  </si>
  <si>
    <t>Witwe/r:
Grundrente (Βασική Σύνταξη) :
100 % des versicherungspflichtigen Grundentgelts (Βασικές Ασφαλιστέες Αποδοχές) (einschließlich der Zulagen für maximal 3 abhängige Familienmitglieder).
Zusatzrente (Συμπληρωματική Σύνταξη) :
Der Höchstbetrag der Zusatzrente ist € 1.572,43 pro Monat (für Personen, deren Anspruchsberechtigung im Jahr 2025 beginnt). Der Betrag kann nicht höher sein als die zusätzliche Witwenrente.</t>
  </si>
  <si>
    <t>Die Sozialleistungen (einschließlich Renten) werden automatisch um 2% erhöht, sobald der Gesundheitsindex ein bestimmtes Niveau („Verbraucherpreisindex“ übersteigt.
Der geglättete Gesundheitsindex ist der arithmetische Mittelwert der Gesundheitsindizes des betreffenden Monats und der drei vorhergehende Monate. Die Sozialleistungen werden dann ab dem Monat angepasst, der auf den Monat folgt, in dem der Stand des Verbraucherpreisindex erreicht wurde.
Hinweis: Zusätzlich zur automatischen Indexanpassung existiert zudem ein Mechanismus zur Verbindung des Wohlbefindens mit den Renten von Arbeitnehmern und Selbstständigen, dementsprechend die Renten wie die Arbeitsentgelte ansteigen, um zu verhindern, dass die Ersatzleistungsquote der Altersrenten abgesenkt wird.</t>
  </si>
  <si>
    <t>Siehe Tabelle V „Invalidität“ -Rentenanpassung.</t>
  </si>
  <si>
    <t>Keine gesetzlichen Bestimmungen über eine Indexbindung.
Keine automatische Indexbindung, aber durch eine Entscheidung des ATP-Vorstands geregelt.</t>
  </si>
  <si>
    <t>Die Renten werden jährlich zum 1. Juli angepasst. Dies geschieht, indem die Rente mit dem dann gültigen neuen aktuellen Rentenwert berechnet wird.
Da der aktuelle Rentenwert zum 1. Juli 2024 aufgrund der Niveauschutzklausel nach Mindestsi-cherungsniveau festgesetzt wurde, erfolgt die Rentenanpassung in den Jahren ab 2025 bis zum Ende des Geltens der Haltelinie für das Rentenniveau nach dem Mindestsicherungsniveau.
Das bedeutet, dass die Rentenanpassung in dieser Zeit so erfolgt, dass mit dem aktuellen Rentenwert das Mindestsicherungsniveau – also das Verhältnis von verfügbarer Standardrente (d.h. durchschnittlicher Verdienst und 45 Beitragsjahre) zum verfügbaren Durchschnittsentgelt von 48 Prozent – erreicht wird. Damit folgt die Rentenanpassung nur noch der anpassungsrelevanten Lohnentwicklung unter Berücksichtigung der Entwicklung der Sozialabgaben auf Löhne und Renten.
Der aktuelle Rentenwert wird dabei durch die sogenannte anpassungsrelevante Lohnentwicklung grundsätzlich entsprechend der Entwicklung der Bruttolöhne und -gehälter je Arbeitnehmer im vergangenen Kalenderjahr fortgeschrieben, Maßstab ist die Bruttolohnentwicklung gemäß Volkswirtschaftlichen Gesamtrechnungen (ohne Mehraufwandsentschädigungen für Bezieher von Bürgergeld in Arbeitsgelegenheiten). Zusätzlich wird die Entwicklung der beitragspflichtigen Entgelte bei der Ermittlung der für die Rentenanpassung relevanten Lohnentwicklung berücksichtigt.
Auch bei der Rentenanpassung nach Mindestsicherungsniveau gilt - wie bisher auch - die sogenannte Rentengarantie. Das heißt, eine Minderung des aktuellen Rentenwerts ist ausgeschlossen.
Der aktuelle Rentenwert wurde zum 1. Juli 2025 auf €40,79 angehoben.</t>
  </si>
  <si>
    <t>Rechtsverordnung zur Indexierung.
Renten werden jährlich zum 1. April angepasst. Der Anpassungsindex ist abhängig vom Anstieg der Verbraucherpreise und der Einnahmen aus der Sozialsteuer (sotsiaalmaks) (im Verhältnis von 20:80).</t>
  </si>
  <si>
    <t>Rechtliche Bestimmung nach Indexierung. Der nationale Rentenindex (Perhe-eläke) folgt dem Lebenshaltungskostenindex des finnischen Amts für Statistik (Oktober 1951 = 100). Die Indexpunktzahlen werden für das Basisjahr auf der Grundlage des neuesten Verbraucherpreisindexes bestimmt. Die Anpassung nach dem nationalen Rentenindex erfolgt zu Beginn jedes Kalenderjahres.
Neben den Indexanpassungen unterliegen die Volksrenten auch den Niveauanpassungen durch parlamentarische Entscheidungen.
Gesetzliche einkommensbezogene Rente (Työeläke): Die Rente wird jedes Jahr Anfang Januar angepasst unter Nutzung eines Indexes (der einkommensbezogene Rentenindex), bei dem der Gewichtungskoeffizient von Änderungen im Lohnniveau 0,2 ist und der Gewichtungskoeffizient von Änderungen im Preisniveau 0,8.</t>
  </si>
  <si>
    <t>Jährliche Anpassung zum 1. Januar der Grundrente (gemäß der Entwicklung des Verbraucherpreises ohne Tabak) und zum 1. November der Zusatzrente (gemäß der Entwicklung des mittleren Gehalts der Versicherten, gegebenenfalls angepasst an die wirtschaftliche und demografische Lage).</t>
  </si>
  <si>
    <t>Jährliche Anpassung durch gemeinsame Entscheidung des Ministers für Wirtschaft und Finanzen, Arbeit und soziale Sicherheit, basierend auf einem Koeffizienten, der festgelegt wird durch die Summe der Änderungen des BIP und der Änderungen des Verbraucherpreisindex des vorangegangenen Jahres geteilt durch 2. Die jährliche durchschnittliche Veränderung des Verbraucherpreisindexes darf dabei nicht überschritten werden (Art. 25 Par. 4a von Gesetz 4670/2020).
Für das Jahr 2025 ist der Anpassungskoeffizient von Renten 2,4% (Ministerialentscheidung Nr. 53457/12. Dezember 2024/(B‘6865/16. Dezember 2024)).
Zusätzlich werden Renten alle drei Jahre gemäß einem besonderen Gesetz angepasst, um die langfristige Tragfähigkeit des Sozialversicherungssystems sicherzustellen (Art. 25 Par. 5 von Gesetz Nr. 4670/2020).</t>
  </si>
  <si>
    <t>Keine gesetzliche Regelung zur Indexierung.
Sätze können von der Regierung im Rahmen des jährlichen Haushaltsverfahrens angepasst werden.</t>
  </si>
  <si>
    <t>Die durch das Sozialhilfegesetz gedeckten Leistungen werden jährlich nach dem aktuellen Staatshaushalt angepasst, und generell gilt dasselbe für Sozialleistungen.</t>
  </si>
  <si>
    <t>Leistungen für Hinterbliebene werden normalerweise jährlich entsprechend der Inflation automatisch angepasst, gemäß Rechtsvorschriften zur Indexierung (siehe unter Tabelle IV „Alter, Indexierung“).
Die offizielle Indexierungsrate für das Jahr 2025 liegt bei 0,80%.</t>
  </si>
  <si>
    <t>1. und 2. Säule:
Halbjährliche Anpassung gemäß einer variablen Formel, die von Preis- und Lohnentwicklungen abhängig.</t>
  </si>
  <si>
    <t>Ein Teil der Rente – die nicht das nationale Durchschnittsbruttoentgelt des Vorjahres überschreitet, auf das Beiträge gezahlt wurden - wird gemäß dem Preisindex und 50% des Lohnindexes (am 1. Oktober) angepasst.
Bei politisch unterdrückten Personen, Personen mit Behinderungen der Gruppe I, Beteiligten bei der Beseitigung der Folgen des Unfalls im Kernkraftwerk Tschernobyl, Personen, denen eine Altersrente zu gekürzten Konditionen gewährt wurde wegen Pflege und Erziehung von einem Kind mit Behinderungen oder fünf oder mehr Kindern, wurde die Anpassung auf alle Renten angewandt, unabhängig von deren Betrag.</t>
  </si>
  <si>
    <t>1. Säule:
Wenn wegen steigender Lohn- und Preisentwicklung die Altersrenten erhöht werden, erhöhen sich auch die Renten für die Hinterbliebenen.
2. Säule:
Regelung im Reglement der jeweiligen Vorsorgeeinrichtung.</t>
  </si>
  <si>
    <t>Der Grundbetrag der Witwen-/Witwerrente (Našlių pensija) und der Waisenrenten (Našlaičio pensija) werden jährlich angepasst basierend auf den Indexierungsbedingungen des Grundrentenbetrags und Rentenpunktwertes (siehe Tabelle VI, „Alter“, „Indexierung“).</t>
  </si>
  <si>
    <t>Anpassung der Renten an die Preisentwicklung, sobald sich der Index gegenüber dem Stand bei der letzten Anpassung um 2,5% ändert.
Jährliche Anpassung der Rente an die Entwicklung des Lohnniveaus, jeweils entsprechend der finanziellen Situation des Rentensystems.</t>
  </si>
  <si>
    <t>Leistungen werden jährlich mindestens entsprechend der Entwicklung der Lebenshaltungskosten angepasst. Die Regierung kann Renten entsprechend den im jährlichen Haushaltsgesetz angekündigten Maßnahmen weiter anpassen.</t>
  </si>
  <si>
    <t>Gesetzliche Regelung zur Indexierung: Leistungen werden zweimal jährlich (Januar und Juli) an die Inflation und die Lohn- und Gehaltsentwicklung angepasst.</t>
  </si>
  <si>
    <t>Gesetzliche Bestimmung über die Indexierung gemäß der Lohnentwicklung.</t>
  </si>
  <si>
    <t>Hinterbliebenenrente (Renta rodzinna), befristete Hinterbliebenenbeihilfe (Okresowa renta rodzinna) und Pflegezulage (Dodatek pielęgnacyjny): Rechtliche Bestimmung der Indexierung nach dem festen Indexierungssatz.
Bestattungsbeihilfe (Zasiłek pogrzebowy): Keine automatische Indexierung, aber regelmäßige Erhöhung der Leistungen nach staatlichem Entscheid.</t>
  </si>
  <si>
    <t>Jährliche Erhöhung zusammen mit den anderen Renten, indem die jeweiligen Prozentsätze auf die Beträge der Invaliden- und Altersrente als Berechnungsgrundlage angewendet werden.
Die Anpassung erfolgt unter Berücksichtigung der Entwicklung des Bruttoinlandsprodukts (BIP) und des Verbraucherpreisindex (VPI) (ohne Wohnung); für die niedrigsten Renten wird die günstigste Berechnung angewendet.</t>
  </si>
  <si>
    <t>Der Referenzpunktwert wird jährlich auf der Grundlage der durchschnittlichen jährlichen Inflationsrate angepasst, ergänzt um 50% des realen Wachstums des durchschnittlichen Bruttolohns (anwendbar ab 2026). Die Anpassung darf jedoch weder den prozentualen Anstieg der Einnahmen aus den Sozialbeiträgen noch die durchschnittliche jährliche Inflationsrate der letzten 2 Jahre übersteigen.</t>
  </si>
  <si>
    <t>Die Anpassungsrate wird jedes Jahr entsprechend der Preisentwicklung festgesetzt, daher erfolgt jedes Jahr eine Anpassung basierend auf dem für das laufende Jahr festgelegten Grundbetrag (prisbasbelopp).</t>
  </si>
  <si>
    <t>1. Säule (Grundsystem):
Grundsätzlich alle zwei Jahre Anpassung der Renten an die Entwicklung der Löhne und Preise (im Grundsatz arithmetisches Mittel des Lohnindexes und des Landesindexes der Konsumentenpreise). Vorgezogene Anpassung, wenn der Konsumentenpreisindex in einem Jahr um mehr als 4% gestiegen ist.
2. Säule (obligatorische Mindestvorsorge):
Die seit 3 Jahren laufenden Hinterlassenenrenten werden an die Preisentwicklung angepasst, bis zum Referenzalter (Rentenalter).</t>
  </si>
  <si>
    <t>Jährliche Leistungsanpassung (zum 1. Januar) entsprechend der Entwicklung der Verbraucherpreise von Rentnerhaushalten.
Außerordentliche Anpassung der Rentenleistungen: wenn der kumulative Anstieg der Verbraucherpreise für Rentnerhaushalte seit der letzten Erhöhung der Rentenleistungen 5% übersteigt.</t>
  </si>
  <si>
    <t>Rechtliche Grundlage der Anpassung.
Die Renten werden regelmäßig einmal jährlich (im Februar) entsprechend der Erhöhung der durchschnittlichen Bruttomonatsentgelte und des durchschnittlichen Anstiegs der Verbraucherpreise angepasst. Im Januar 2025 lag der Indexierungssatz bei 4,5%.</t>
  </si>
  <si>
    <t>Rentenanpassung erfolgt automatisch jeden Januar entsprechend 100% der Veränderung des Verbraucherpreisindexes für Rentner und um die Hälfte der Steigerung des durchschnittlichen Reallohns. Weitere Anpassungen werden vorgenommen, wenn die Änderung des Preisindexes 5% übersteigt.
Der Prozentuale Anteil (Procentní část) von Renten kann weiter erhöht werden, so dass die Erhöhung der Durchschnittsrente 2.7% beträgt, wenn die automatische Inflationsbereinigung für Preise und Löhne niedriger ist.
Hinterbliebenenrenten werden darüber hinaus automatisch angepasst, wenn Rentner ein Alter zwischen 85 und 100 Jahren erreichen.</t>
  </si>
  <si>
    <t>Jährliche Anpassung der Witwen- bzw. Witwerrente (Özvegyi nyugdíj), Waisenrente (Árvaellátás) und Elternrente (Szülői nyugdíj) entsprechend des voraussichtlichen Anstiegs der Verbraucherpreise (Inflation) im Januar. 3,2% Anstieg im Januar 2025.
Im November werden Korrekturen gemäß der vorhergesagten jährlichen Erhöhung der Verbraucherpreise vorgenommen (berechnet auf Grundlage der für die ersten acht Monate erhältlichen Daten) und dem Verbraucherpreisindex für Rentner.</t>
  </si>
  <si>
    <t>Es ist möglich, den Bezug von Hinterbliebenenleistungen ohne Verminderung des Leistungsbetrags mit Einkünften aus Erwerbstätigkeit zu kombinieren.</t>
  </si>
  <si>
    <t>Kumulierung mit Einkünften aus Erwerbstätigkeit (ohne Bedingungen). Der Leistungsbetrag wird nicht gekürzt.</t>
  </si>
  <si>
    <t>Kumulierung mit Einkommen aus Erwerbstätigkeit möglich.
Auf Witwen- und Witwerrenten wird eigenes Bruttoeinkommen angerechnet, wenn es einen Freibetrag übersteigt (vom 1. Juli 2025 bis 30. Juni 2026 €1.076,86 zzgl. Zuschlag für jedes grundsätzlich waisenrentenberechtigte Kind (vom 1. Juli 2025 bis 30. Juni 2026 €228,42.
Das übersteigende Einkommen wird zu 40% angerechnet. Die Hinterbliebenenrente wird insoweit gekürzt. Bei entsprechend hohem Einkommen kann sie ganz zum Ruhen kommen. Zu den Einkommen zählen auch eigene Renten des Hinterbliebenen.</t>
  </si>
  <si>
    <t>Ein Kind (oder der rechtliche Vormund) unter 18 Jahren oder unter 24 Jahren, sofern in Ausbildung, oder älter, sofern vor diesen Altersgrenzen dauerhaft behindert erklärt, kann gleichzeitig Hinterbliebenenleistungen und Arbeitseinkommen beziehen. Die Leistung wird nicht gekürzt.
Andere Leistungsempfänger haben keinen Anspruch auf Hinterbliebenenleistungen, wenn sie ein Arbeitseinkommen beziehen.</t>
  </si>
  <si>
    <t>Volksrente (Perhe-elä`ke)
Die ständige Rentenzulage ist nicht zahlbar, wenn der Betrag der Einkünfte aus Erwerbsarbeit und anderer Einkünfte (einschließlich aller Sozialleistungen) €1.139,38 bis €1.324,88 pro Monat im Jahr 2025 übersteigt, je nachdem, ob der Ehepartner allein lebt oder Kinder unter 18 Jahren hat.
Gesetzliche einkommensbezogene Rente (Työeläke):
Der hinterbliebene Ehegatte kann die Einkünfte aus Beschäftigung mit der Hinterbliebenenrente kombinieren. In diesem Fall wird der Rentenbetrag nicht gekürzt.</t>
  </si>
  <si>
    <t>Kumulierung mit Erwerbseinkommen ist möglich für den hinterbliebenen Ehepartner, geschiedenen Ehepartner, hinterbliebenen Lebenspartner und Waisen.
Für die ersten drei Jahre des Bezugs von Hinterbliebenenrente gibt es keine Kürzungen. Aber anschließend erhält der hinterbliebene Ehepartner, der erwerbstätig oder Rentner ist, 50% der Rente des Verstorbenen (d.h. 35% der Rente, die der Verstorbene erhielt oder auf die er Anspruch hatte).</t>
  </si>
  <si>
    <t>Kumulation mit Einkünften ist zulässig. Einkünfte wirken sich nicht auf die ausgezahlte Rentenhöhe aus.</t>
  </si>
  <si>
    <t>Die Kumulierung mit Beschäftigungseinkünften ist möglich. Hinterbliebenenleistungen werden in den ersten sechs Monaten nach dem Tod eines Ehepartners als fester, einkommensunabhängiger Betrag gezahlt. Der Anspruch auf eine Verlängerung des Leistungszeitraums unterliegt jedoch einer Beurteilung der Umstände, bei der die finanzielle Situation und das Einkommen des Antragstellers in der Regel von wesentlicher Bedeutung sind.</t>
  </si>
  <si>
    <t>Die Kumulierung von Hinterbliebenenrente mit Einkünften aus Teilzeitarbeit ist möglich.</t>
  </si>
  <si>
    <t>Kumulierung mit Erwerbseinkommen ohne Bedingungen möglich. Die Höhe der Leistung wird nicht gekürzt.</t>
  </si>
  <si>
    <t>Eine Kombination einer Hinterbliebenenleistung mit einem Einkommen aus Erwerbstätigkeit ist zulässig.</t>
  </si>
  <si>
    <t>Alle Leistungen für Hinterbliebene können mit Einkünften aus einer Erwerbstätigkeit kumuliert werden.</t>
  </si>
  <si>
    <t>Kumulation mit Erwerbseinkommen möglich.
Übersteigt die Hinterbliebenenrente, zusammen mit Erwerbseinkommen, Einkommensersatzleistungen oder persönlichen Renten einen Schwellenwert, der dem um 50% erhöhten Referenzbetrag entspricht (d. h. €3.918,15 pro Monat), wird sie um 30% des Betrags der persönlichen Einkünfte gekürzt; hiervon ausgenommen ist die Differenz zwischen der Hinterbliebenenrente und dem vorgesehenen Schwellenwert, wenn die Hinterbliebenenrente unter dem Schwellenwert liegt.
Der Schwellenwert wird für jedes Kind um 4% angehoben und begründet einen Anspruch auf die Berücksichtigung von Babyjahren (années-bébés) oder Ausbildungspauschalen (forfait d'éducation). Dieser Prozentsatz erhöht sich auf 12% für jedes Kind und begründet einen Anspruch auf Waisenrente.
Vom Erwerbseinkommen oder den mit einer Erwerbstätigkeit verbundenen Einkommensersatzleistungen wird jedoch ein Betrag in Höhe von 2/3 des Referenzbetrags (d. h. €1.741,40 im Monat) nicht berücksichtigt.</t>
  </si>
  <si>
    <t>Empfänger von Hinterbliebenenrenten und Witen-/Witwerrenten können ohne jede Einkommensbeschränkung jeder Erwerbstätigkeit nachgehen.</t>
  </si>
  <si>
    <t>Kumulation mit Arbeitseinkommen ist möglich. Beträgt das Arbeitseinkommen weniger als €1.122,90 pro Monat, wird die Anw-Hinterbliebenenleistung in voller Höhe ausgezahlt. Liegt das Einkommen über €1.122,90 pro Monat, wird ein anteilig niedrigerer Betrag ausgezahlt.</t>
  </si>
  <si>
    <t>Die Kombination von Bezügen in Form von Anpassungszulage und Erwerbseinkommen ist möglich. Die Zulage unterliegt jedoch einer Bedürftigkeitsprüfung (siehe Tabelle VII, „Leistungen 1. Hinterbliebener Ehepartner, geschiedener Ehepartner, hinterbliebener Partner“). Hat der Hinterbliebene ein jährliches Erwerbseinkommen von mehr als der Hälfte des Grundbetrags (Grunnbeløpet), also mehr als NOK 65.080 (€5.519), so wird die Zulage um 45% des diese Grenze übersteigenden Einkommens gekürzt.</t>
  </si>
  <si>
    <t>Witwen:Witwerrenten können grundsätzlich mit Einkommen aus Erwerbstätigkeit kombiniert werden. Allerdings wird das Einkommen aus Erwerbstätigkeit bei der Mindestgrenze („Schutzgrenze“) der Witwen:Witwerrente berücksichtigt, was in Folge zu einer Reduktion der Leistung führen kann. Die Voraussetzungen und Berechnung wird oben unter „Leistungen“ beschrieben.
Wenn das monatliche Erwerbseinkommen oder Erwerbsersatzeinkommen (z.B. Rente, Kranken- oder Wochengeld, Arbeitslosengeld) das Doppelte der monatlichen Höchstbeitragsgrundlage des Jahres 2012 überschreitet (monatlich €8.460 brutto), so wird die Witwen:Witwerrente so weit vermindert, dass die Summe aus eigenem Einkommen und der Rente diese Grenze nicht mehr überschreitet.
Der Anspruch auf Waisenpension entfällt, wenn das Kind durch eigenes Einkommen selbsterhaltungsfähig ist.</t>
  </si>
  <si>
    <t>Die Hinterbliebenenrente, die an den hinterbliebenen oder geschiedenen Ehegatten oder Lebenspartner gezahlt wird, kann mit einem Arbeitseinkommen kumuliert werden.
Die Rente kann bei Kindern über 18 Jahren nicht mit einer beruflichen Tätigkeit kombiniert werden, für die Sozialbeiträge geleistet wird. Die Hinterbliebenenrente kann jedoch mit einer Berufstätigkeit kumuliert werden, die im Rahmen eines Arbeitsvertrags während der Schulferien ausgeübt wird, deren Jahreseinkommen höchstens dem 14-Fachen des garantierten Mindestlohns entspricht und sofern die Altersvoraussetzungen erfüllt sind (siehe „Leistungen - Kinder“)..</t>
  </si>
  <si>
    <t>Der Bezug der Waisenbeihilfe kann mit dem Einkommen aus Erwerbstätigkeit kombiniert werden. Die Leistung wird nicht reduziert und es gibt keine Begrenzung des Betrags, der verdient werden kann.</t>
  </si>
  <si>
    <t>1. Säule (Grundsystem)/2. Säule (obligatorische Mindestvorsorge):
Kumulation mit Erwerbseinkommen erlaubt. Ohne Bedingungen.</t>
  </si>
  <si>
    <t>Die Kumulation der Witwenrente (Vdovský dôchodok) oder der Witwerrente (Vdovecký dôchodok) mit Einkünften ist ohne eine Senkung der Rente möglich. Die Kumulation einer vorgezogenen Altersrente (Predčasný starobný dôchodok) mit Einkommen ist unter bestimmten Umständen (z. B. Geldverdienst während der Schulausbildung) möglich.</t>
  </si>
  <si>
    <t>Eine Kumulierung mit Erwerbseinkommen ist nicht möglich.</t>
  </si>
  <si>
    <t>Witwen-/Witwerrenten können mit jeder Einkommensart kumuliert werden, die der Leistungsempfänger erhält, ebenso mit Altersrente oder Erwerbsunfähigkeitsrente, auf die dieser Anspruch hat.
Waisengeld kann bis zum Alter von 21 Jahren mit Arbeitseinkommen kumuliert werden, ebenso wenn die Erwerbsfähigkeit der Waise bis zu einem Grad reduziert ist, der einen Anspruch auf absolute dauerhafte Berufsunfähigkeit oder eine schwere Behinderung begründet.
Das Waisengeld für Leistungsempfänger ohne Behinderung über 21 kann nur mit Arbeitseinkommen kumuliert werden, wenn dieses 100% des Mindestlohns nicht übersteigt.
Die Beträge dieser Leistungen werden in solchen Fällen nicht gekürzt.</t>
  </si>
  <si>
    <t>Kumulation mit Einkommen aus Arbeit möglich: die Rente wird nicht reduziert und es gibt keine Einkommensgrenze.</t>
  </si>
  <si>
    <t>Witwen- bzw. Witwerrente (Özvegyi nyugdíj): Kumulierung mit Lohneinnahmen ist unbegrenzt möglich. Der Rentenbetrag wird nicht reduziert.
Waisenrente (Árvaellátás): Kumulierung mit Lohneinnahmen ist möglich. Der Rentenbetrag wird nicht reduziert.
Elternrente (Szülői nyugdíj): Kumulierung mit Lohneinnahmen ist möglich. Der Rentenbetrag wird nicht reduziert.</t>
  </si>
  <si>
    <t>Kumulierung mit Einkommen ist möglich (bei einem Witwer muss dieser arbeitsunfähig sein, um einen Anspruch zu haben).
Bezieher einer vorgezogenen Rente, die weiter erwerbstätig sind, haben bis zur Vollendung des 65. Lebensjahres Sozialversicherungsbeiträge zu entrichten.</t>
  </si>
  <si>
    <t>Kumulierung mit anderen Sozialversicherungsleistungen:
Eine Hinterbliebenenrente kann im Prinzip nicht mit Leistungen bei Krankheit oder Invalidität,
bei Arbeitslosigkeit, Zeitguthaben, Unterbrechung der Erwerbstätigkeit, reduzierten Leistungen oder Vorruhestandsrente auf tarifvertraglicher Basis kumuliert werden.
Diese Kumulierung ist jedoch einmalig für einen Zeitraum von 12 Monaten (fortlaufend oder nicht) möglich. Der monatliche Bruttobetrag der Hinterbliebenenrente ist demzufolge auf € 1.032,95 begrenzt.
Der Rentenempfänger muss zwischen der Rente und der Sozialleistung wählen.
Das Übergangsgeld kann jedoch unbegrenzt mit Arbeitseinkommen kumuliert werden.
Kumulierung der Hinterbliebenenrente eines Arbeitnehmers mit einer Altersrente: 
Die Kumulierung der Hinterbliebenenrente eines Arbeitnehmers mit einer oder mehreren Altersrenten ist bis zu einem Höchstbetrag von 110% des Betrags der Hinterbliebenenrente für eine volle Berufslaufbahn zulässig.
Dieser Betrag für eine volle Laufbahn ergibt sich aus der Multiplikation der Höhe der Hinterbliebenenrente mit dem umgekehrten Anteil der anerkannten Laufbahn, ausgedrückt in Vollzeitäquivalenten.</t>
  </si>
  <si>
    <t>Siehe Tabelle V „Invalidität“, „Kumulation mit anderen Leistungen der sozialen Sicherheit“.</t>
  </si>
  <si>
    <t>Kumulierung mit anderen Leistungen der sozialen Sicherheit möglich.
Der Betrag von Leistungen für Hinterbliebene wird nicht gekürzt; einige bedürftigkeitsabhängige Sozialleistungen (z.B. Sozialhilfe (kontanthjælp)) können aber aufgrund des Bezugs von Leistungen für Hinterbliebene gekürzt werden.</t>
  </si>
  <si>
    <t>Auf Witwen- und Witwerrenten wird eigenes Bruttoeinkommen angerechnet, wenn es einen Freibetrag übersteigt (vom 1. Juli 2025 bis 30. Juni 2026 €1.076,86 zzgl. Zuschlag für jedes grundsätzlich waisenrentenberechtigte Kind (vom 1. Juli 2025 bis 30. Juni 2026 €228,42.
Das übersteigende Einkommen wird zu 40% angerechnet. Die Hinterbliebenenrente wird insoweit gekürzt. Bei entsprechend hohem Einkommen kann sie ganz zum Ruhen kommen. Zu den Einkommen zählen auch eigene Renten des Hinterbliebenen.</t>
  </si>
  <si>
    <t>Kumulierung mit anderen Sozialversicherungsleistungen möglich, ausgenommen Altersrente, Erwerbsunfähigkeitsrente oder Leistung zur Arbeitsfähigkeit. Ein Waise kann gleichzeitig zwei Hinterbliebenenrenten beziehen.</t>
  </si>
  <si>
    <t>Volksrente (Perhe-eläke)
Kumulierung ist möglich mit Arbeitslosengeld, Krankengeld, Leistungen bei Mutterschaft- und Elternschaft, Erwachsenenfortbildungszuschüsse, Arbeitswechselentschädigung, Kinderbetreuungsbeihilfe als Pflegegeld, Teilpflegegeld, Kommunalzulage, Pflegegeld für private Tagespflege, Pflegezulage und ev. kommunale Zulagen etc.
Die ständige Rentenzulage wird nicht gezahlt, wenn die Höhe der Einkünfte aus Erwerbsarbeit und anderen Einkünften (darin enthalten auch andere Sozialleistungen) €1.139,38 - €1.324,88 im Monat überschreitet im Jahr 2025, je nachdem, ob der Ehepartner alleinstehend ist oder nicht und ob der Ehepartner Kinder unter 18 Jahren hat.
Der Hinterbliebene kann die für ihn günstigste Rente auswählen, wenn Anspruch sowohl auf die bestehende Rente als auch die Volksrente besteht oder eine ähnliche Rente aus dem Ausland.
Gesetzliche einkommensbezogene Rente (Työeläke): Der hinterbliebene Ehegatte kann sonstigen Sozialleistungen mit der Hinterbliebenenrente kombinieren. Grundsätzlich gilt, dass die gesetzliche einkommensbezogene Rente gesenkt wird, wenn die eigene (oder zu erwartende) Rente des hinterbliebenen Ehegatten höher ist als €836,50 pro Monat.</t>
  </si>
  <si>
    <t>Hinterbliebenenrente:
1/Hinterbliebenenrente aus dem Basissystem: Kumulierung mit allen Sozialversicherungsleistungen innerhalb der Einkommensgrenze des Überlebenden für den Anspruch auf die Hinterbliebenenrente möglich.
2/Hinterbliebenenrente aus dem Zusatzsystem (Agirc-Arrco): Kumulierung mit allen Sozialversicherungsleistungen möglich.
Invaliditätsrente für Witwer/Witwen (pension d‘invalidité de veuf ou de veuve) und Altersrente für Witwer/Witwen (pension de vieillesse de veuf ou de veuve):
Keine Kumulierung mit einer Hinterbliebenenrente desselben Ehegatten möglich (Zahlung der höheren Rente).
Kumulierung mit einer Grundrente oder einer Hinterbliebenenrente aus der Versicherung für Arbeitsunfälle und Berufskrankheiten ist beschränkt (Kürzung der Rente bei Überschreitung).
Invaliditätsrente für Witwer/Witwen (pension d‘invalidité de veuf ou de veuve):
Einkommensabhängige Kumulierung mit der Zusätzlichen Invaliditätsbeihilfe (allocation supplémentaire d’invalidité, ASI) möglich.
Kumulierung mit einer Rente im Zusammenhang mit einem Arbeitsunfall oder einer Berufskrankheit (bis zur Höhe des Bruttolohns, den ein erwerbsfähiger Arbeitnehmer in der gleichen Berufsgruppe erhält), wenn der Grad der Erwerbsunfähigkeit mindestens 2/3 beträgt und es sich um eine Invalidität handelt, die nicht durch die Gesetzgebung über Arbeitsunfälle und Berufskrankheiten entschädigt werden kann.
Waisenrente:
Kumulierung mit der Unterhaltszulage möglich. In diesem Fall keine Kürzung des Rentenbetrags.</t>
  </si>
  <si>
    <t>Kumulierung mit Altersrente oder invalidenrente ist möglich. Es gibt während der ersten drei Jahre des Bezugs keine Kürzung des Betrags der Hinterbliebenenrente. Aber anschließend erhält der hinterbliebene Ehepartner, der erwerbstätig oder Rentner ist, 50% der Rente des Verstorbenen (d.h. 35% der Rente, die der Verstorbene erhielt oder auf die er Anspruch hatte).</t>
  </si>
  <si>
    <t>Die Kumulierung mit anderen Leistungen der sozialen Sicherung ist möglich. In den ersten sechs Monaten nach dem Tod eines Ehepartners werden Hinterbliebenenleistungen als fester einkommensunabhängiger Betrag gezahlt und nicht gekürzt. Für eine über diesen Zeitraum hinausgehende Verlängerung wird die finanzielle Situation und das Einkommen des Antragstellers einer Beurteilung unterzogen.</t>
  </si>
  <si>
    <t>Im Fall von Unterstützungsbeihilfe oder einer Entschädigung in Verbindung mit Arbeitsunfällen gelten keine spezifischen Bedingungen hinsichtlich der Kumulierung der Leistungen.</t>
  </si>
  <si>
    <t>Kumulierung mit Leistungen aus anderen Bereichen der Sozialversicherung:
Kumulierung möglich mit Kindergeld und Sozialhilfeleistungen sowie mit Beihilfe bei körperlicher Schädigung (novčana naknada za tjelesno oštećenje).
Das monatliche Nettoeinkommen pro Haushaltsmitglied sollte im Falle von Kumulierung mit Kindergeld €309 nicht übersteigen und im Falle von Kumulierung mit Beihilfe zur Betreuung und Pflege €133 (€166 für eine alleinstehende Person).
Es ist möglich, Altersrente, vorgezogene Alterspension und Behindertenrente mit einer Teilhinterbliebenenrente zu kumulieren, sobald der Leistungsempfänger 65 Jahre alt geworden ist. Sie beträgt 27% der Hinterbliebenenrente für ein Familienmitglied. Die Summe aller Renten darf 80% der festgelegten Hinterbliebenenrente nicht übersteigen.
Die Kumulierung mit Beihilfe bei körperlicher Schädigung unterliegt keiner Begrenzung.</t>
  </si>
  <si>
    <t>Kumulierung ohne Bedingungen möglich mit Krankengeld, Elterngeld, Mutterschaftsgeld, Vaterschaftsgeld, Kinderbetreuungsgeld, staatlicher Sozialhilfe bei Behinderung sowie Hinterbliebenenentschädigung (für das andere verstorbene Elternteil). Die Höhe der Hinterbliebenenleistung wird nicht reduziert.
Kumulierung ist nicht möglich mit Invalidenrente, Dienstrente und Arbeitslosengeld.</t>
  </si>
  <si>
    <t>Der Bezug von verschiedenen Leistungen der sozialen Sicherheit ist möglich. Allerdings gibt es Koordinierungsvorschriften, die verhindern, dass die Sozialversicherungsleistungen insgesamt höher sind als der zuvor erzielte und versicherte Verdienst.</t>
  </si>
  <si>
    <t>Alle Leistungen für Hinterbliebene können mit anderen sozialen Leistungen (z.B. Alters- oder Behindertenrente) kumuliert werden.</t>
  </si>
  <si>
    <t>Kumulierung mit anderen Sozialversicherungsleistungen möglich.
Wenn die Hinterbliebenenrente zusammen mit Berufseinkommen, Ersatzeinkommen oder persönlichen Renten eine Obergrenze überschreitet, die dem Referenzbetrag zzgl. 50% entspricht (d.h. €3.918,15 monatlich), wird sie um 30% des Betrags der persönlichen Einkommen gekürzt, mit Ausnahme der Einkommen, die die Differenz zwischen der Hinterbliebenenrente und der genannten Obergrenze darstellen, falls die Hinterbliebenenrente unter dieser Obergrenze liegt.
Diese Obergrenze wird für jedes Kind, das Anspruch auf Anrechnung von Babyjahren oder Erziehungspauschalen hat, um 4% erhöht. Dieser Prozentsatz wird auf 12% für jedes Kind angehoben, das Anspruch auf eine Waisenrente hat.
Von den Erwerbseinkommen oder Ersatzeinkommen aus beruflicher Tätigkeit wird jedoch ein Betrag in Höhe von 2/3 des Referenzbetrags (d.h. €1.741,40 monatlich) nicht berücksichtigt.</t>
  </si>
  <si>
    <t>Kumulation mit Kindergeld (Allowance tat-Tfal) und Leistungen bei Krankheit, Arbeitslosigkeit und Verletzung ist bei Hinterbliebenen möglich, die gleichzeitig erwerbstätig sind und unterhaltsberechtigte Kinder haben, die im gleichen Haushalt leben.</t>
  </si>
  <si>
    <t>Kumulation mit Arbeitseinkommen und anderen Sozialleistungen ist möglich, aber die Leistung kann reduziert werden, abhängig von der Art des Einkommens oder der Sozialleistung und ihrer Höhe.</t>
  </si>
  <si>
    <t>Die Kombination von Bezügen der Anpassungszulage mit anderen Sozialleistungen wie Arbeitslosengeld, Krankengeld und Rehabilitationsleistungen ist möglich. Die Anpassungszulage wird bei einer Kombination mit Erwerbseinkommen jedoch gekürzt. Weitere Bedingungen für die Kumulierung gibt es nicht.</t>
  </si>
  <si>
    <t>Witwen:Witwerrenten können mit anderen Leistungen der sozialen Sicherheit kombiniert werden.
Zur Bestimmung der Höhe der Leistungen siehe Tabelle VII, Kumulation mit Erwerbseinkommen.</t>
  </si>
  <si>
    <t>Ab dem 1. Juli 2025 ist es möglich, die Altersrente mit der Hinterbliebenenrente zu kumulieren. In diesem Fall werden die Renten wie folgt ausgezahlt: 100% der Altersrente und 15% der Hinterbliebenenrente oder umgekehrt, wenn dies günstiger ist (d. h. 15% der Altersrente und 100% der Hinterbliebenenrente).</t>
  </si>
  <si>
    <t>Kumulation mit Sozialhilfeleistungen und Geldleistungen bei Pflegebedürftigkeit ist unter den Bedingungen dieses Systems erlaubt. Kumulation mit einer anderen Pensionskategorie und Arbeitslosengeld ist nicht erlaubt.
Im Fall einer Kumulation kommt es zu keiner Reduktion der Rentenansprüche.</t>
  </si>
  <si>
    <t>Der Bezug der Anpassungsrente (omställningspension) kann mit allen anderen Sozialleistungen kombiniert werden, ohne dass die Anpassungsrente gekürzt wird.
Der Bezug von Witwenrente (änkepension) mit anderen Altersleistungen ist möglich, die Witwenrente wird in bestimmten Fällen jedoch gekürzt.</t>
  </si>
  <si>
    <t>1. Säule (Grundsystem):
Keine Kumulation mit einer Alters- oder Invalidenrente der 1. Säule erlaubt (es sei denn, die Witwen- oder Witwerrente ist höher). Kumulation mit den anderen Leistungen erlaubt, ohne Kürzung der Rente.
2. Säule (obligatorische Mindestvorsorge):
Kumulation mit anderen Leistungen der sozialen Sicherheit erlaubt. Kürzung der Leistungen soweit sie zusammen mit anderen Leistungen gleicher Art und Zweckbestimmung sowie weiteren anrechenbaren Einkünften 90% des mutmaßlich entgangenen Jahresverdienstes übersteigen.</t>
  </si>
  <si>
    <t>Kumulation mit anderen Leistungen ist möglich, es können aber andere Bedingungen Anwendung finden, z.B.:
   * Kumulation der Altersrente: die höhere Leistung ist fällig zuzüglich der Hälfte der niedrigeren Leistung;
   * Kumulation mit der Rente für Dienstjahre als Soldat mit anderen Bedingungen ist möglich.</t>
  </si>
  <si>
    <t>Eine Kumulierung mit anderen Leistungen ist nicht möglich.</t>
  </si>
  <si>
    <t>Witwen-/Witwerrenten können mit Alters- oder dauerhafter Erwerbsunfähigkeitsrente kumuliert werden, wenn darauf Anspruch besteht. Die Summe der Leistungen darf jedoch den Höchstrentenbetrag (€3.267,60 monatlich) nicht übersteigen.
Waisen mit Behinderung, erwerbsunfähige Waisen und Waisen mit Anspruch auf Waisengeld, die später einen Anspruch auf eine Sozialleistung erlangen, der aus derselben Behinderung abgeleitet ist, müssen sich für eine der Leistungen entscheiden.
Wurde die Waise vor dem 18. Lebensjahr als erwerbsunfähig deklariert, kann das Waisengeld mit Ansprüchen auf andere dauerhafte Erwerbsunfähigkeitsrenten kumuliert werden, die nach dem Erreichen des 18. Lebensjahrs in Folge anderer Verletzungen als derer, die den Anspruch auf Waisenrente begründeten, kumuliert werden oder, falls zutreffend, mit der Altersrente.</t>
  </si>
  <si>
    <t>Bei Anspruch auf Altersrente und eine Hinterbliebenenrente (Witwer-, Witwen- oder Halbwaisen-/Waisenrente) wird der volle Betrag der höchsten Rente sowie die Hälfte des Prozentualen Anteils (Procentní část) der anderen Rente gezahlt.
Kumulation mit anderen Sozialleistungen möglich: Der Rentenbetrag wird nicht reduziert und im Rentengesetz sind keine Kumulationsbedingungen festgelegt.</t>
  </si>
  <si>
    <t>Witwen- bzw. Witwerrente (Özvegyi nyugdíj): Kumulierung ist möglich mit einer eigenen Leistung (d.h. Invaliditätsleistung (Rokkantsági ellátás), Rehabilitationsleistung (Rehabilitációs ellátás), Altersrente (Öregségi nyugdíj), Leistung vor dem Rentenalter (Korhatár előtti ellátás), Leistungen für das Militär (Szolgálati járandóság), Leibrente für Tanzkünstler (Táncművészeti életjáradék) oder Übergangsrente für Bergleute (Átmeneti bányászjáradék). In diesem Fall beträgt die Witwen-/Witwerrente 30% der Rente des Verstorbenen.
Waisenrente (Árvaellátás): Kumulierung mit anderen Sozialleistungen ist möglich. Der Rentenbetrag wird nicht reduziert.
Elternrente (Szülői nyugdíj): Kumulierung mit anderen Sozialleistungen ist möglich. Der Rentenbetrag wird nicht reduziert.</t>
  </si>
  <si>
    <t>Kumulierung mit anderen Sozialversicherungsleistungen ist möglich (bei einem Witwer muss dieser arbeitsunfähig sein, um einen Anspruch zu haben).
Bezieher einer vorgezogenen Rente, die weiter erwerbstätig sind, haben bis zur Vollendung des 65. Lebensjahres Sozialversicherungsbeiträge zu entrichten.</t>
  </si>
  <si>
    <t>Die Leistungen unterliegen der Besteuerung.</t>
  </si>
  <si>
    <t>Die Leistungen unterliegen nicht der Besteuerung.</t>
  </si>
  <si>
    <t>Zusatzrente (arbejdsmarkedets tillægspension, ATP) und obligatorisches Rentensystem (Obligatorisk Pensionsordning):
Bei der Auszahlung von Kapitalabfindungen, auch im Todesfall, wird eine Quellensteuer von 40% einbehalten. Laufende Renten unterliegen der Besteuerung.</t>
  </si>
  <si>
    <t>Schrittweiser Übergang zum System der nachgelagerten Besteuerung (Übergangszeitraum 2005 bis 2058).
Bei Bezug einer Hinterbliebenenrente richtet sich die Höhe des Besteuerungsanteils grundsätzlich nach dem Jahr des Rentenbeginns. Wie bei der Besteuerung von Altersrenten aus der gesetzlichen Rentenversicherung wird die Rente bei Personen, die erstmals bis Ende 2005 eine Rente erhalten haben zu 50% für die Besteuerung (Besteuerungsanteil) herangezogen. Auf dieser Basis wird ein steuerfreier Teil der Rente festgeschrieben, der dem Rentenbezieher jährlich zu gewähren ist. Für jeden neu hinzukommenden Rentenjahrgang wurde der Besteuerungsanteil – auf dessen Grundlage der steuerfreie Teil der Rente ermittelt wird - bis zum Jahr 2020 jährlich um jeweils 2 Prozentpunkte, in 2021 und 2022 um jeweils 1 Prozentpunkt angehoben. Ab 2023 wird er um jeweils 0,5 Prozentpunkte angehoben. Folgt die Hinterbliebenenrente einer Altersrente nach, gilt für die Ermittlung des Besteuerungsanteils als Zeitpunkt des Rentenbeginns grundsätzlich der Beginn der Altersrente.</t>
  </si>
  <si>
    <t>Renten unterliegen der Einkommenssteuer. Ist die Person, die die Rente bezieht, nicht in rentenfähigem Alter, unterliegt Einkommen von weniger als €654 pro Monat (€7.848 pro Jahr) nicht der Besteuerung. Hat der Empfänger der Hinterbliebenenrente das Altersrentenalter erreicht, gelten dieselben Regeln wie für die Altersrente: Steuerfreibetrag von €776 pro Monat (oder €9.312 pro Jahr).</t>
  </si>
  <si>
    <t>Renten unterliegen der Besteuerung.
Gibt es neben der Volksrente (Kansaneläke) kein weiteres Einkommen, bleibt die Rente einkommensteuerfrei.
Wohngeld und Leistungen der Gruppenlebensversicherung unterliegen nicht der Besteuerung.</t>
  </si>
  <si>
    <t>Die Leistungen unterliegen der Steuer.</t>
  </si>
  <si>
    <t>Volksrente (lífeyrir almannatrygginga):
Mit Ausnahme der Kinderrente (barnalífeyrir) unterliegen die Leistungen der Besteuerung.
Arbeitsrente (lögbundnir lífeyrissjóðir):
Die Leistungen unterliegen der Besteuerung.</t>
  </si>
  <si>
    <t>Renten, die vor dem 01.01.1996 gewährt wurden, unterliegen nicht der Besteuerung.
Renten, die nach dem 01.01.1996 gewährt oder neu berechnet wurden, unterliegen der Besteuerung.</t>
  </si>
  <si>
    <t>1.Säule: Hinterlassenenrenten unterliegen der privilegierten Besteuerung (nur ein Teil des Gesamtbetrages wird als steuerbares Einkommen angerechnet).
2. Säule: Hinterlassenenleistungen (Renten und Kapitalleistungen) unterliegen der Besteuerung.</t>
  </si>
  <si>
    <t>Sowohl die Anpassungszulage als auch die Kinderrente unterliegen der Besteuerung.</t>
  </si>
  <si>
    <t>Hinterbliebenenrente (Renta rodzinna) und befristete Hinterbliebenenbeihilfe (Okresowa renta rodzinna): Leistungen unterliegen der Besteuerung.
Pflegezulage (Dodatek pielęgnacyjny) und Bestattungsbeihilfe (Zasiłek pogrzebowy), Zulage für Vollwaisen: Leistungen unterliegen nicht der Besteuerung.</t>
  </si>
  <si>
    <t>Die Hinterbliebenenrente (pensie de urmas): Leistungen unterliegen der Besteuerung, mit Ausnahme derer, die Beziehern von Hinterbliebenenrente mit schweren und hochgradigen Behinderungen gewährt werden.</t>
  </si>
  <si>
    <t>Die Leistungen unterliegen der Besteuerung, ausgenommen hiervon sind die Wohnzulage (bostadstillägg), die Beihilfe für Waisen (efterlevandestöd till barn), die Einkommenshilfe für Ältere (äldreförsörjningsstöd).
Die Kinderrente (barnpension) unterliegt teilweise der Besteuerung.</t>
  </si>
  <si>
    <t>1. Säule (Grundsystem)/ 2. Säule (obligatorische Mindestvorsorge):
Die Renten unterliegen der Besteuerung.</t>
  </si>
  <si>
    <t>Alle Renten und Geldleistungen der Invalidenversicherung unterliegen der Besteuerung.</t>
  </si>
  <si>
    <t>Die Leistungen außer dem Waisengeld unterliegen der Besteuerung.</t>
  </si>
  <si>
    <t>Die Leistungen unterliegen nicht der der Besteuerung.</t>
  </si>
  <si>
    <t>Die Witwenrente (Σύνταξη Χηρείας) unterliegt der Besteuerung. Die übrigen Leistungen (z.B. Waisenrente) unterliegen nicht der Besteuerung.</t>
  </si>
  <si>
    <t>Nicht anwendbar: Die Leistungen unterliegen nicht der Besteuerung.</t>
  </si>
  <si>
    <t>Allgemeine Besteuerungsregeln finden Anwendung. Keine Einkommensgrenzen für die Besteuerung von Leistungen.</t>
  </si>
  <si>
    <t>Besteuerung des steuerpflichtigen Teils (vgl. Tabelle VII, ‘Besteuerung und Sozialabgaben - 1. Besteuerung von Geldleistungen’) der Rente nach allgemeinen Regeln.</t>
  </si>
  <si>
    <t>Besteuerung nach allgemeinen Regeln. Keine Einkommensgrenzen für die Besteuerung von Leistungen.</t>
  </si>
  <si>
    <t>Für Renteneinkommen gelten Steuerfreibeträge:
   * voller Abzug bei einem jährlichen Renteneinkommen unter €11.030;
   * Steuern werden fällig, wenn das jährliche Renteneinkommen über €13.756 liegt;
   * Kein Abzug bei einem jährlichen Renteneinkommen über €48.931.
5,85% Zusatzsteuer auf den Teil des jährlichen Renteneinkommens, der €47.000 überschreitet.</t>
  </si>
  <si>
    <t>Allgemeine Besteuerungsregeln. Hinterbliebenenrente (pension de réversion) und Witwenbeihilfe (allocation veuvage): Abschlag von 10% auf den gesamten Rentenbetrag, mit einer jährlichen Höchstgrenze von €4.399 pro steuerpflichtigem Haushalt.</t>
  </si>
  <si>
    <t>Es gelten allgemeine Regeln der Besteuerung. Ausnahmen für bestimmte Gruppen wie Kriegsversehrte, Kriegsopfer und ihre Familien, Blinde und Querschnittsgelähmte.</t>
  </si>
  <si>
    <t>Besteuerung nach allgemeinen Vorschriften. Keine Sonderregeln für Sozialleistungen.</t>
  </si>
  <si>
    <t>Besteuerung nach allgemeinem Recht. Keine Sonderregeln für Sozialleistungen.</t>
  </si>
  <si>
    <t>1.Säule: Bei den Renten wird ein Freibetrag von 70% gewährt.
2. Säule: Besteuerung nach allgemeinen Regeln. Keine Sonderbestimmungen für Sozialleistungen.</t>
  </si>
  <si>
    <t>Es gelten die allgemeinen Besteuerungsregeln. Keine Einkommensobergrenze für die Besteuerung von Leistungen.</t>
  </si>
  <si>
    <t>Rentner, die zu einem spezifischen Steuersatz für Verheiratete besteuert werden, sind von der Besteuerung der ersten €20.236 der Rente befreit, während jene, für die ein spezifischer Steuersatz für Alleinstehende angewendet wird, von der Besteuerung der ersten €16.636 befreit sind.
Oberhalb der genannten Schwellenwerte gelten allgemeine Regeln der Besteuerung.</t>
  </si>
  <si>
    <t>Besteuerung nach allgemeinen Regeln. Keine Sonderbestimmungen für Sozialleistungen.</t>
  </si>
  <si>
    <t>Für die Anpassungszulage gelten allgemeine Regeln der Besteuerung. Keine Einkommensgrenze für die Besteuerung von Leistungen.
Kinderrente wird auf die gleiche Weise besteuert wie Kapitalerträge.</t>
  </si>
  <si>
    <t>Besteuerung nach allgemeinen Regeln. Keine Einkommensgrenzen für die Leistungen.</t>
  </si>
  <si>
    <t>Hinterbliebenenrente (Renta rodzinna) und befristete Hinterbliebenenbeihilfe (Okresowa renta rodzinna):
Es gelten allgemeine Regeln der Besteuerung. Keine besonderen Einkommensgrenzen für die Besteuerung von Leistungen.</t>
  </si>
  <si>
    <t>Der Leistungsbetrag, der RON 3.000 (€590) monatlich übersteigt, unterliegt der Besteuerung.</t>
  </si>
  <si>
    <t>Es gilt die Besteuerung nach allgemeinem Regeln. Keine Einkommensgrenzen bei der Besteuerung von Leistungen.</t>
  </si>
  <si>
    <t>1. Säule (Grundsystem)/ 2. Säule (obligatorische Mindestvorsorge):
Besteuerung nach allgemeinen Regeln. Keine Einkommensgrenzen für die Besteuerung von Leistungen.</t>
  </si>
  <si>
    <t>Nicht anwendbar. Leistungen unterliegen nicht der Besteuerung.</t>
  </si>
  <si>
    <t>Es gelten allgemeine Regeln der Besteuerung. Keine Einkommensgrenze für die Besteuerung von Leistungen.</t>
  </si>
  <si>
    <t>Besteuerung nach allgemeinen Regeln, keine besonderen Steuerfreibeträge für Renten.</t>
  </si>
  <si>
    <t>Abzug von 3,55% für die Kranken- und Invaliditätsversicherung, sofern die Rente nicht unter einen Betrag von monatlich € 2.414,97 bzw. - für Personen ohne Unterhaltsberechtigte - unter € 2.037,72 sinkt.
Solidaritätsbeitrag (cotisation de solidarité/solidariteitsbijdrage) im Rentensektor von 0,5% bis 2% je nach Unterhaltsverpflichtungen und dem Bruttobetrag sämtlicher gesetzlichen und sonstigen Renten. Der Solidaritätsbeitrag ist ab € 3.729,35 (Haushalt) oder € 3.225,74 (Alleinstehende) zu zahlen.</t>
  </si>
  <si>
    <t>Der Krankenversicherungsbeitragsanteil für pflichtversicherte Rentner beträgt 7,3% (Hälfte des allgemeinen Beitragssatzes der gesetzlichen Krankenversicherung von 14,6 Prozent). Den verbleibenden Beitragsanteil von 7,3% zahlt der Rentenversicherungsträger. Je nach Krankenkasse ist ein individueller Zusatzbeitrag zu zahlen, der ebenfalls paritätisch vom Rentenversicherungsträger und dem pflichtversicherten Rentner getragen wird.
Der Pflegeversicherungsbeitrag beträgt 3,4% von der Rente und ist vom Rentner zu zahlen. Ab 1940 geborene kinderlose Rentner zahlen ab Vollendung des 23. Lebensjahres zusätzlich einen Zuschlag von 0,6 Prozentpunkten, also insgesamt 4 % der Rente.
Die Waisenrentner sind unter bestimmten Voraussetzungen von der Beitragszahlung der GKV und GPV befreit.</t>
  </si>
  <si>
    <t>Krankenversicherung (Sairausvakuutus/ Sairaanhoitovakuutus):
Der Versichertenbeitrag beträgt 1,45% von Renten und anderen Sozialleistungen mit der Ausnahme von Renten, die nicht steuerpflichtig sind oder einer Rentenkürzung unterliegen.</t>
  </si>
  <si>
    <t>Allgemeiner Sozialbeitrag (contribution sociale généralisée, CSG) entsprechend dem zu versteuernden Referenzeinkommen: 8,3%, 6,6% oder 3,8% oder Befreiung; Beitrag zur Tilgung der Sozialschuld (contribution pour le remboursement de la dette sociale, CRDS): 0,5% oder Befreiung; zusätzlicher Solidaritätsbeitrag für eigenständige Lebensführung (contribution additionnelle de solidarité pour l’autonomie, Casa): 0,3% oder Befreiung.
Einzig auf die Zusatzrenten (Agirc-Arrco) wird ein Krankenversicherungsbeitrag von 1% erhoben.</t>
  </si>
  <si>
    <t xml:space="preserve">
   * 6% der Hauptrente für Gesundheitsversorgung, nach Abzug des sozialen Solidaritätsbeitrags für Rentenempfänger.
   * sozialer Solidaritätsbeitrag für Rentenempfänger (ΕΙΣΦΟΡΑ ΑΛΛΗΛΕΓΓΥΗΣ ΣΥΝΤΑΞΙΟΥΧΩΝ, ΕΑΣ) wird auf monatliche Renten erhoben, die €1.433,61 übersteigen.
Spezifische Kategorien von Rentnern sind von den oben genannten Beiträgen ausgenommen, z.B. Rentner mit Anspruch auf Leistungen für nicht-stationäre Pflege (ΕΞΩΙΔΡΥΜΑΤΙΚΟ ΕΠΙΔΟΜΑ).
Siehe Tabelle V „Invalidität“, „Besteuerung und Sozialabgaben, Sozialabgaben von der Rente“ für nähere Informationen.</t>
  </si>
  <si>
    <t>Keine Beiträge zu zahlen.</t>
  </si>
  <si>
    <t>Keine zahlbaren Sozialabgaben.</t>
  </si>
  <si>
    <t>Keine Beitragszahlungen.</t>
  </si>
  <si>
    <t>Beiträge für die Sachleistungen bei Krankheit (2,8%) und die Pflegeversicherung (1,4%).</t>
  </si>
  <si>
    <t>Sozialversicherungsbeiträge zum Allgemeinen Hinterbliebenengesetz (Algemene Nabestaandenwet, Anw) werden von der Rente einbehalten.</t>
  </si>
  <si>
    <t>Sozialversicherungssteuer wird auf die Anpassungszulage (7,7%) gezahlt, nicht aber auf die Kinderrente.</t>
  </si>
  <si>
    <t>Ab 1. Juni 2025 Anhebung des Krankenversicherungsbeitrages von 5,1% auf 6,0%.
Ausnahme: Bei Personen, die eine Ausgleichszulage (nicht aber einen Ausgleichszulagenbonus / Rentenbonus) beziehen sowie deren im gemeinsamen Haushalt lebende und im Familienrichtsatz berücksichtigte (Ehe)Partner ist weiterhin ein Krankenversicherungsbeitrag in der Höhe von 5,1% in Abzug zu bringen.</t>
  </si>
  <si>
    <t>Hinterbliebenenrente (Renta rodzinna) und befristete Hinterbliebenenbeihilfe (Okresowa renta rodzinna).
Abzug der Beiträge zur Krankenversicherung.</t>
  </si>
  <si>
    <t>Keine Sozialabgaben zu entrichten.</t>
  </si>
  <si>
    <t>1. Säule (Grundsystem)/2. Säule (obligatorische Mindestvorsorge):
Keine Sozialabgaben.</t>
  </si>
  <si>
    <t>Beitrag von 5,96% für Gesundheitsleistungen und die Erstattung von Reisekosten im Krankheitsfall. Keine Bemessungsgrenze.</t>
  </si>
  <si>
    <t>Keine Beiträge zu bezahlen.</t>
  </si>
  <si>
    <t>Selbstständige sind über ein besonderes System versichert, das sich vom Versicherungssystem für Arbeitnehmer unterscheidet.
Entspricht den Altersleistungen.</t>
  </si>
  <si>
    <t>Selbstständige sind vom allgemeinen System abgedeckt.
Als Selbstständige zählen Freiberufler oder ausgebildete Handwerker, Einzelunternehmer, Unternehmensinhaber oder -partner, Mitglieder rechtsfähiger Vereine, Besteuerte nach Artikel 26(7) des Einkommenssteuergesetzes sowie eingetragene Landwirte und Tabakproduzenten.</t>
  </si>
  <si>
    <t>Gesetzliche einkommensabhängige Rente, Staatliche Rente: Selbstständige und Landwirte sind durch die gleichen Systeme der sozialen Sicherung abgedeckt wie Arbeitnehmer und alle anderen Personen, die ihren dauerhaften Wohnsitz in Finnland haben.</t>
  </si>
  <si>
    <t>Handwerker, Kaufleute und Gewerbetreibenden fallen unter das allgemeine Versicherungssystem (Verwaltung von Leistungen durch die Carsat).
Die freien Berufe sind im Allgemeinen über die Staatliche Kasse für die Altersversicherung (caisse nationale d'assurance vieillesse des professions libérales, CNAVPL) für Hinterbliebenenrenten des Basissystems versichert. Zusatzleistungen werden durch die Berufskategorien der Staatlichen Kasse für die Altersversicherung (caisse nationale d'assurance vieillesse des professions libérales, CNAVPL) verwaltet und unterscheiden sich je nach Branche.
Landwirte fallen unter das landwirtschaftliche Sozialversicherungssystem (mutualité sociale agricole, MSA).</t>
  </si>
  <si>
    <t>Selbstständige können auf der gleichen Basis Anspruch auf Beitragsabhängige Rente für Witwen, Witwer und hinterbliebene Lebenspartner  erwerben wie Arbeitnehmer.</t>
  </si>
  <si>
    <t>Selbständige werden vom allgemeinen Rentensystem (staatliche Rente (lífeyrir almannatrygginga)) und dem beruflichen Rentensystem (Arbeitsrente (lögbundnir lífeyrissjóðir)) ebenso erfasst wie Arbeitnehmer.</t>
  </si>
  <si>
    <t>Sozialschutz für Hinterbliebene ist durch das Sondersystem für Selbstständige, der Allgemeinen Pflichtversicherung (AGO) für traditionelle Selbstständige abgedeckt und durch das gesonderte Rentensystem der sogenannten “Gestione separata” für andere Kategorien von Selbstständigen.</t>
  </si>
  <si>
    <t>Selbstständige sind durch das gleiche allgemeine System wie Arbeitnehmer abgedeckt.</t>
  </si>
  <si>
    <t>Selbstständige und freischaffende Personen sind durch das allgemeine System abgedeckt.</t>
  </si>
  <si>
    <t>Selbstständige werden vom allgemeinen System abgedeckt, das auch Arbeitnehmer abdeckt.</t>
  </si>
  <si>
    <t>Selbstständige sind vom allgemeinen System abgedeckt, welches auch Arbeitnehmer abdeckt.</t>
  </si>
  <si>
    <t>Es gibt unterschiedliche spezifische Systeme für
   * Landwirte (BSVG);
   * Gewerbetreibende und Personen, die auf Grund einer betrieblichen Tätigkeit Einkünfte aus freiberuflicher oder anderer selbstständiger Erwerbstätigkeit (GSVG),
   * weiters auch jene nach dem FSVG Versicherten und freiberuflich tätige Rechtsanwälte</t>
  </si>
  <si>
    <t>Selbstständige
Abgedeckt durch das allgemeine System.
Landwirte
Abgedeckt durch ein besonderes System für alle Landwirte.</t>
  </si>
  <si>
    <t>Selbstständige sind über das allgemeine System versichert, das auch Arbeitnehmern Versicherungsschutz gewährt.</t>
  </si>
  <si>
    <t>Das Versicherungspflichtsystem richtet sich nach dem Ort der Selbstständigkeit.
Entspricht den Altersleistungen.</t>
  </si>
  <si>
    <t>Freiwilliges auf Erwerbstätigkeit beruhendes („Opt-in“) Sozialversicherungssystem.</t>
  </si>
  <si>
    <t>Versicherungs- und arbeitsgebunden.
Rentenversicherungspflichtige Selbstständige: Pflichtmitgliedschaft in der gesetzlichen Rentenversicherung.
Sonstige Selbstständige: Möglichkeit, dem gesetzlichen Rentenversicherungssystem beizutreten (Opt-in), je nach Voraussetzung über eine Versicherungspflicht auf Antrag oder eine freiwillige Versicherung.
Freie Berufe: Pflichtmitgliedschaft in einem berufsständischen Versorgungswerk.
Selbstständige Künstler und Publizisten: Grundsätzlich Versicherungspflicht in der gesetzlichen Rentenversicherung nach dem Künstlersozialversicherungsgesetz.
Landwirte: Pflichtmitgliedschaft, wenn das Unternehmen eine bestimmte Größe erreicht (z. B. 8 ha landwirtschaftliche Fläche oder 75 ha Forst).</t>
  </si>
  <si>
    <t>Gleiche Leistungen wie bei Alter.</t>
  </si>
  <si>
    <t>Gesetzliche einkommensabhängige Rente: Gleiche Bedingungen wie für Altersleistungen.
Staatliche Rente: obligatorisches wohnsitzgebundenes System.</t>
  </si>
  <si>
    <t>Wie für Erwerbsunfähigkeits- und Altersleistungen.
Keine freiwilligen Systeme.</t>
  </si>
  <si>
    <t>Obligatorisches wohnsitz- und versicherungsgebundenes System.</t>
  </si>
  <si>
    <t>Das allgemeine Rentensystem ist universal/wohnsitzabhängig. Das obligatorische berufliche Rentensystem basiert auf Beiträgen.
Beide sind Pflichtsysteme.</t>
  </si>
  <si>
    <t>Das System ist obligatorisch und versicherungsgebunden.</t>
  </si>
  <si>
    <t>Obligatorisches- und arbeitsgebundenes Versicherungssystem.</t>
  </si>
  <si>
    <t>Arbeitsgebundenes Versicherungspflichtsystem.</t>
  </si>
  <si>
    <t>Obligatorisches versicherungsgebundenes System, das alle Personen abdeckt, die in den Niederlanden leben und/oder arbeiten und der Einkommenssteuer unterliegen.</t>
  </si>
  <si>
    <t>Selbständige sind durch ein Versicherungssystem abgedeckt. Das System ist arbeitsgebunden.
Es besteht Pflichtmitgliedschaft, bei Wegfall der Versicherungspflicht ist eine freiwillige Weiterversicherung möglich.
Folgende Ausnahmen von der Pflichtversicherung sind hervorzuheben:
BSVG: Wegfall der Versicherungspflicht, wenn der Einheitswert* des Betriebes weniger als €1.500 ist und der Lebensunterhalt nicht überwiegend aus Ertrag des Betriebes bestritten wird.
(* Der Einheitswert ist ein vom Finanzamt für Steuerzwecke festgestellter Wert, der die Ertragsfähigkeit des land- und forstwirtschaftlichen Betriebes ausdrückt.)GSVG: Ausnahmen von der Versicherungspflicht
   * Opting out: Jene Gruppen von Freiberuflern, die in gesetzlichen Interessenvertretungen (Kammern) organisiert sind, haben die Möglichkeit, aus der Pensions- bzw. Krankenversicherung auszutreten, wenn im jeweiligen Versicherungszweig eine gleichartige oder zumindest annähernd gleichwertige Versorgung der Kammermitglieder sichergestellt ist. Diese Möglichkeit besteht auch für die vom FSVG umfassten Berufsgruppen.
   * Ausnahme wegen „geringfügiger“ Einkünfte (gilt für Gewerbetreibende und Inhaber einer Konzession, nicht aber für Gesellschafter); „Kleinunternehmerregelung“: Personen, deren Umsätze €55.000 im Jahr nicht übersteigen sowie deren Einkünfte aus dieser Tätigkeit €6.613,20 (2025) im Jahr nicht übersteigen können die Ausnahme von der GSVG Kranken-, und Pensionsversicherung beantragen wenn sie: 
   * innerhalb der letzten 60 Kalendermonate nicht mehr als zwölf Kalendermonate nach dem GSVG/FSVG pflichtversichert waren oder
   * das Regelpensionsalter erreicht haben oder
   * das 57. Lebensjahr vollendet haben und innerhalb der letzten fünf Kalenderjahre vor Antragstellung die oben genannte Umsatz- bzw. Einkommensgrenze nicht überschritten haben.
Nichterreichen der Versicherungsgrenze: Als Freiberufler oder Neuer Selbständiger fällt man nur dann unter die Pflichtversicherung, wenn die versicherungspflichtigen Erwerbseinkünfte über einer bestimmten Grenze liegen. Die Versicherungsgrenze beträgt im Kalenderjahr 2025 €6.613,20, dies unabhängig davon, ob neben der selbständigen Erwerbstätigkeit auch andere Jobs ausgeübt oder Einkommen aus anderen Quellen bezogen werden.
Bei den oben beschriebenen Ausnahmen von der Pflichtversicherung besteht in gewissen Fällen die Möglichkeit einer freiwilligen Teilnahme an der Pensionsversicherung.</t>
  </si>
  <si>
    <t>Wie für Altersleistungen.</t>
  </si>
  <si>
    <t>1. Säule (Grundsystem):
Versicherungsbasiertes und universelles System, das alle Personen, die in der Schweiz wohnen oder arbeiten, obligatorisch abdeckt.
2. Säule:
Freiwilliges Versicherungssystem für Selbstständige („Opt-in“ System).</t>
  </si>
  <si>
    <t>Wie für Leistungen bei Krankheit.</t>
  </si>
  <si>
    <t>Entspricht den Altersleistungen. Keine besonderen Bedingungen für Selbstständige.</t>
  </si>
  <si>
    <t>Keine spezifischen Voraussetzungen für Selbständige.</t>
  </si>
  <si>
    <t>Gleiche Bedingungen wie für Altersleistungen.</t>
  </si>
  <si>
    <t>Selbstständige müssen mindestens €5.000 pro Jahr durch ihre selbstständige Tätigkeit verdienen, um zur Zahlung von Sozialbeiträgen verpflichtet zu sein.</t>
  </si>
  <si>
    <t>Selbstständige, die im gesonderten Rentensystem gemeldet sind, können Beiträge in das System einzahlen, vorausgesetzt, dass ihr jährliches Arbeitseinkommen €5.000 übersteigt.</t>
  </si>
  <si>
    <t>Keine besonderen Anspruchsbedingungen für Selbstständige.</t>
  </si>
  <si>
    <t>Keine bestimmten Bedingungen: bei Wegfall der Pflichtversicherung ist eine freiwillige Weiterversicherung möglich.
Versicherungsgrenze für „Neue Selbständige“ im GSVG (= jährliche Geringfügigkeitsgrenze nach dem ASVG. Diese liegt 2025 bei €6.613,20).
Mindesteinheitswert* im BSVG (€1.500).
(* Der Einheitswert ist ein vom Finanzamt für Steuerzwecke festgestellter Wert, der die Ertragsfähigkeit des land- und forstwirtschaftlichen Betriebes ausdrückt.)</t>
  </si>
  <si>
    <t>Keine zusätzlichen Anspruchsvoraussetzungen.</t>
  </si>
  <si>
    <t>Keine zusätzlichen Anspruchsvoraussetzungen (gleiche Bedingungen für Arbeitnehmer).</t>
  </si>
  <si>
    <t>Es existiert eine spezifische Regelung für die Hinterbliebenenrenten und die offenen Übergangsbeihilfen beim Tod eines Arbeitnehmers mit gemischter Laufbahn.</t>
  </si>
  <si>
    <t>Kein Unterschied. Selbstständige zahlen Sozialabgaben auf die Summe ihres versicherbaren Einkommens, aber nicht mehr als das versicherbare Höchsteinkommen (BGN 4.130 (€ 2.112)).</t>
  </si>
  <si>
    <t>Selbstständige in der gesetzlichen Rentenversicherung: Werden mehrere selbstständige Tätigkeiten ausgeübt, kann eine Mehrfachversicherungspflicht entstehen. Auch die Kombination Beschäftigungsverhältnis plus Selbstständigkeit kann zur Mehrfachversicherung führen. Die Beiträge an die gesetzliche Rentenversicherung sind dann grundsätzlich aus jeder einzelnen entstandenen Versicherungspflicht zu zahlen, insgesamt jedoch höchstens bis zur Beitragsbemessungsgrenze.
Freie Berufe: Eigenfinanzierte Versorgungswerke: eigenes Beitrags- und Leistungsrecht.
Landwirte: Die Versicherungspflicht für Landwirte und mitarbeitende Familienangehörige in der Alterssicherung der Landwirte bleibt bestehen, wenn diese einer bezahlten Tätigkeit nachgehen, die eine Versicherungspflicht in anderen Sozialversicherungssystemen (zum Beispiel in der allgemeinen Rentenversicherung) auslöst. Sie können jedoch auf Antrag von der Versicherungspflicht in der Alterssicherung der Landwirte befreit werden, solange sie regelmäßig außerland- bzw. forstwirtschaftliches Arbeitsentgelt, Arbeitseinkommen, vergleichbares Einkommen oder Erwerbsersatzeinkommen beziehen, dass jährlich das Zwölffache der Geringfügigkeitsgrenze nach § 8 Absatz 1a des Vierten Buches Sozialgesetzbuch überschreitet.</t>
  </si>
  <si>
    <t>Wenn der verstorbene Versicherte Ansprüche in mehreren Systemen erworben hatte, werden die Rentenzahlungen entsprechend dem Einkommen des überlebenden Ehegatten angepasst.</t>
  </si>
  <si>
    <t>Wie für Erwerbsunfähigkeits- und Altersleistungen.</t>
  </si>
  <si>
    <t>Siehe oben im Abschnitt zu Invalidität – „Kombination von selbstständiger und unselbstständiger Tätigkeit“.</t>
  </si>
  <si>
    <t>Keine unterschiedlichen Vorschriften.
Begrenzung mit der Höchstbeitragsgrundlage (2025: €90.300). Wird die Höchstbeitragsgrundlage (voraussichtlich) überschritten, kommt es zu einer Differenzbeitragsvorschreibung: Dabei gilt die Rangordnung ASVG/B-KUVG vor GSVG/FSVG vor BSVG. Ausgehend von der (den) vorrangigen Beitragsgrundlage(n) wird die nachrangige Beitragsgrundlage vorläufig in einer Höhe festgesetzt, die voraussichtlich das Überschreiten der Höchstbeitragsgrundlage ausschließt; es kommt also von vornherein zu einer (teilweisen) Befreiung von der Beitragspflicht.</t>
  </si>
  <si>
    <t>Selbstständige haben Vollzeit-Versicherungsdeckung, wenn es nicht anders festgelegt ist.
Personen, die als Arbeitnehmer in Teilzeit tätig sind (aber nicht weniger als 4 Wochenstunden) und zur gleichen Zeit als Selbstständige, müssen für die gesamte Versicherungszeit als Selbstständige abgedeckt sein.</t>
  </si>
  <si>
    <t>Personen, die Selbstständigkeit mit bezahlter Arbeit als Arbeitnehmer kombinieren, dürfen mehr als eine Rente beziehen, vorausgesetzt, dass sie alle notwendigen Voraussetzungen jedes Systems erfüllen.Damit Renten aus mehr als einem System bezogen werden können, müssen sich die Beiträge in jedem einzelnen System für mindestens 15 Jahre überschneiden.</t>
  </si>
  <si>
    <t>Eine auf Teilzeitbasis (siehe Tabelle 0, „Grundprinzipien“ für Selbstständige) erwerbstätige selbstständige Person ist für die Rentenversicherung abgedeckt:
   * wenn Einkommen aus Teilzeit-Selbstständigkeit nach Abzug der Ausgaben mindestens dem „maßgebendem Betrag“ (CZK 111.736 (€4.515)) im vorangegangenen Kalenderjahr entspricht, oder;
   * wenn sie freiwillig Mitglied des Rentenversicherungssystems geworden ist.
Eine geringere Mindestbeitragsgrundlage gilt für Vollzeit-Selbstständige: (CZK 5.122 (€207) monatlich). Beiträge werden getrennt für jede versicherte Wirtschaftstätigkeit gezahlt. Eine einzelne Leistung wird auf die Summe des Entgelts aus allen versicherten Wirtschaftstätigkeiten gezahlt.</t>
  </si>
  <si>
    <t>Entspricht den Altersleistungen.</t>
  </si>
  <si>
    <t>Wie für Arbeitnehmer.
Kinder, Ehepartner und Eltern der verstorbenen Person haben Anspruch auf eine Hinterbliebenenrente.
Kinder müssen das 18. Lebensjahr vollendet haben. Sind sie Studenten, erhalten sie die Rente bis zum Abschluss der Ausbildung, jedoch nicht länger als bis zum 26. Lebensjahr, sowie darüber hinaus, wenn die Invalidität vor Vollendung des 18. bzw. 26. Lebensjahres festgestellt wurde.
Der Ehegatte hat Anspruch auf eine Hinterbliebenenrente 5 Jahre vor Erreichen des Rentenalters oder vor diesem Alter, wenn er erwerbsunfähig ist.
Eltern haben das Recht auf eine Hinterbliebenenrente von ihren Kindern, wenn diese das Rentenalter erreicht haben und keine persönliche Rente beziehen.</t>
  </si>
  <si>
    <t>Versicherungspflichtige (einschl. selbstständiger Künstler und Publizisten) und freiwillig versicherte Selbstständige in der gesetzlichen Rentenversicherung: Identisch mit denen für Arbeitnehmer.
Freie Berufe: Eigenfinanzierte Versorgungswerke: Eigenes Beitrags- und Leistungsrecht.
Für Landwirte gilt für Leistungen an Hinterbliebene eine Mindestversicherungszeit von 5 Jahren.</t>
  </si>
  <si>
    <t>Wie für Arbeitnehmer für das Basissystem. Unterschiedliche Bedingungen für die Zusatzsysteme.</t>
  </si>
  <si>
    <t>Zum Erwerb eines Leistungsanspruchs auf beitragsabhängige Rente für Witwen, Witwer und hinterbliebene Lebenspartner sind 260 Wochen (5 Jahre) geleistete Beitragszahlungen erforderlich.</t>
  </si>
  <si>
    <t>Dieselben wir für Arbeitnehmer.</t>
  </si>
  <si>
    <t>Entspricht den Altersleistungen.
Trauerzuschuss für Selbstständige, wenn sie ihre Berufstätigkeit vorübergehend unterbrechen wegen des Todes
   * ihres Ehe- oder Lebenspartners; 
   * ihres biologischen oder adoptierten Kindes, oder des biologischen oder adoptierten Kindes ihres Ehe- oder Lebenspartners; 
   * eines Pflegekindes. 
 Der Zuschuss beträgt höchstens €103,53/Tag und wird längstens für eine Unterbrechung von 10 vollen Tagen im Jahr nach dem Tod gewährt.</t>
  </si>
  <si>
    <t>Versicherungspflichtige (einschl. selbstständiger Künstler und Publizisten) und freiwillig versicherte Selbstständige in der gesetzlichen Rentenversicherung: Dieselben Leistungen wie für Arbeitnehmer.
Freie Berufe: Eigenfinanzierte Versorgungswerke: Eigenes Beitrags- und Leistungsrecht.
Landwirte: Im Gegensatz zu dem allgemeinen System der Rentenversicherung stellt die Alterssicherung der Landwirte nur eine Teilsicherung dar. Der Teilsicherungscharakter der Alterssicherung der Landwirte schlägt sich in der Höhe der Beiträge und im Niveau der Renten nieder.</t>
  </si>
  <si>
    <t>Gleiche Leistungen wie für Arbeitnehmer:innen.</t>
  </si>
  <si>
    <t>Entspricht den Altersleistungen.
Gleiches steuerliches System wie für Arbeitnehmer.</t>
  </si>
  <si>
    <t>BSVG und GSVG: Sowohl Pensionen aus der gesetzlichen Sozialversicherung (z.B. von der Pensionsversicherungsanstalt der Arbeiterinnen/Arbeiter, der Angestellten, der Bauern oder der gewerblichen Wirtschaft) als auch Pensionen des Bundes oder der Bundesländer sind Einkünfte aus nicht selbstständiger Arbeit. Sie unterliegen der Einkommensteuer.</t>
  </si>
  <si>
    <t>Gleiche Bedingungen wie für Arbeitnehmer. (Nur hohe Renten, die jährlich CZK 748.800 (€30.257) übersteigen, d.h. das 36-fache des monatlichen Bruttomindestlohnes, unterliegen der Besteuerung).</t>
  </si>
  <si>
    <t>Wie für Arbeitnehmer. Die Hinterbliebenenrente ist steuerpflichtig. Die anderen Leistungen wie Waisenrenten sind nicht steuerpflichtig. </t>
  </si>
  <si>
    <t>Wie für Arbeitnehmer. Leistungen sind nicht beitragspflichtig.</t>
  </si>
  <si>
    <t>Gleiche Bedingungen wie für Arbeitnehmer. Keine Sozialbeiträge auf Leistungen zahlbar.</t>
  </si>
  <si>
    <t>Wie für Arbeitnehmer. Keine Sozialbeiträge auf Leistungen zahlbar.</t>
  </si>
  <si>
    <t>Wie für Arbeitnehmer. Keine Beiträge.</t>
  </si>
  <si>
    <t>Keine Zulagen für unterhaltsberechtigte Personen.</t>
  </si>
  <si>
    <t>Keine zusätzlichen Beträge für Unterhaltsberechtigte.</t>
  </si>
  <si>
    <t>Keine Zulage.</t>
  </si>
  <si>
    <t>Kumulierung im Rahmen der Rentenversicherung:
Kumulierung möglich mit der Beihilfe bei körperlicher Schädigung (novčana naknada za tjelesno oštećenje).
Kumulierung mit Leistungen aus anderen Bereichen der Sozialversicherung:
Kumulierung möglich mit Kindergeld und Sozialhilfeleistungen. Kumulierung nicht möglich mit Krankheitsleistungen mit Ausnahme der Teilinvaliditätsrente (invalidska mirovina na osnovi djelomičnog gubitka radne sposobnosti).</t>
  </si>
  <si>
    <t>Die Leistungen unterliegen nicht der Steuer.</t>
  </si>
  <si>
    <t>Besteuerung nach allgemeinen Regeln. Ausnahmen für bestimmte Gruppen wie Kriegsversehrte, Kriegsopfer und ihre Familien, Blinde und Querschnittsgelähmte.</t>
  </si>
  <si>
    <t>Nicht anwendbar: Leistungen unterliegen nicht der Steuer.</t>
  </si>
  <si>
    <t>Obligatorisches arbeits- und versicherungsgebundenes System.</t>
  </si>
  <si>
    <t>Um sich für die Deckung zu qualifizieren, muss eine freischaffende Person mindestens €910 (brutto) pro Jahr verdienen.</t>
  </si>
  <si>
    <t>Keine verschiedenen Vorschriften für Fälle, in denen eine Person selbständig und unselbständig tätig ist.</t>
  </si>
  <si>
    <t>Selbstständige haben Vollzeit-Versicherungsdeckung, wenn es nicht anders bestimmt ist.
Personen, die als Arbeitnehmer in Teilzeit tätig sind (aber nicht weniger als 4 Wochenstunden) und zur gleichen Zeit als Selbstständige, müssen für die gesamte Versicherungszeit als Selbstständige abgedeckt sein.</t>
  </si>
  <si>
    <t>Die gleichen Leistungen wie für unselbständig Erwerbende.</t>
  </si>
  <si>
    <t>Selbstständige und Landwirte
Wie für die Arbeitnehmer.</t>
  </si>
  <si>
    <t>Versicherte Personen</t>
  </si>
  <si>
    <t>Rentenalter</t>
  </si>
  <si>
    <t>Sonstige Leistungen</t>
  </si>
  <si>
    <t>Besteuerung von Geldleistungen</t>
  </si>
  <si>
    <t>Auf Leistungen anfallende Sozialabgaben</t>
  </si>
  <si>
    <t>Ausnahmen von der Versicherungspflicht</t>
  </si>
  <si>
    <t>Leistungen</t>
  </si>
  <si>
    <t>Kumulation mit anderen Sozialleistungen</t>
  </si>
  <si>
    <t xml:space="preserve">Kumulation mit Erwerbseinkommen </t>
  </si>
  <si>
    <t>Kombination von selbstständiger und unselbstständiger Tätigkeit</t>
  </si>
  <si>
    <t xml:space="preserve">Voraussetzungen für den Zugang zu Diensten/Leistungen </t>
  </si>
  <si>
    <t>Beträge, Dauer und Kostenbeteiligung</t>
  </si>
  <si>
    <t>Besteuerung und Sozialabgaben</t>
  </si>
  <si>
    <t>Hinterbliebene</t>
  </si>
  <si>
    <t>Anwendungsbereich</t>
  </si>
  <si>
    <t>Grundprinzipien</t>
  </si>
  <si>
    <t>Voraussetzungen für die Deckung</t>
  </si>
  <si>
    <t>Abfindung</t>
  </si>
  <si>
    <t>Kumulation mit Erwerbseinkommen</t>
  </si>
  <si>
    <t>Geltende Rechtsgrundlage</t>
  </si>
  <si>
    <t>Anwendungsbereich (in Bezug auf Verstorbene)</t>
  </si>
  <si>
    <t>Headline</t>
  </si>
  <si>
    <t>Stichwort</t>
  </si>
  <si>
    <t>Ausnahmen von der Deckung der Pflichtversicherung (in Bezug auf Verstorbene)</t>
  </si>
  <si>
    <t>Berechtigte Personen</t>
  </si>
  <si>
    <t>Unterhema</t>
  </si>
  <si>
    <t>Invalidität</t>
  </si>
  <si>
    <t>Arbeitnehmer:
Gesetz über die Gesundheitspflege- und Entschädigungspflichtversicherung (Loi relative à l'assurance obligatoire soins de santé et indemnités/Wet betreffende de verplichte verzekering voor geneeskundige verzorging en uitkeringen) in der Fassung vom 14. Juli 1994, Königlicher Erlass vom 3. Juli 1996 zur Ausführung dieses Gesetzes und Verordnung vom 16. April 1997 zur Ausführung des Artikels 80, 5° dieses Gesetzes.
Selbstständige:
Königlicher Erlass vom 20. Juli 1971 zur Schaffung einer Entschädigungsversicherung und einer Mutterschaftsversicherung für Selbstständige und ihre mithelfenden Familienangehörigen (Arrêté royal instituant une assurance indemnités et une assurance maternité en faveur des travailleurs indépendants et des conjoints aidants/Koninklijk besluit houdende instelling van een uitkeringsverzekering en een moederschapsverzekering ten voordele van de zelfstandigen en van de meewerkende echtgenoten).
Verzeichnis der Rechtsakte: Moniteur Belge - Belgisch Staatsblad (fgov.be)</t>
  </si>
  <si>
    <t>Vorwiegend aus Beiträgen finanziertes obligatorisches Sozialversicherungssystem für die erwerbstätige Bevölkerung (Arbeitnehmer und Selbstständige).
Für Arbeitnehmer: entgeltbezogene Leistungen.
Für Selbstständige: pauschale Leistungen.Die Entschädigungsversicherung (Arbeitsunfähigkeit und Invalidität) ist ein eigener Zweig der Altersvorsorge.
Keine spezifische Sozialhilfe für Invalidität</t>
  </si>
  <si>
    <t>Arbeitnehmer mit Arbeitsvertrag und Gleichgestellte.
Zu besonderen Regeln für Selbstständige: siehe Anhang zur Sozialversicherung für Selbstständige. 
Keine Möglichkeit einer freiwilligen Versicherung.
Keine Wohnsitzpflicht und keine Bedingungen bezüglich der Staatsangehörigkeit.
Bedingung ist jedoch, dass eine Pflichtmitgliedschaft bei der belgischen Sozialversicherung besteht.</t>
  </si>
  <si>
    <t>1. Anwartschaftszeit</t>
  </si>
  <si>
    <t xml:space="preserve">2. Begutachtungskriterien und Kategorien der Arbeitsunfähigkeit/Arbeitsfähigkeit  </t>
  </si>
  <si>
    <t>Minderung der Erwerbsfähigkeit um mindestens 66%.
Es obliegt dem Vertrauensarzt, die Erwerbsunfähigkeit eines Versicherten anzuerkennen (siehe Kategorie Gedecktes Risiko: Begriffsbestimmungen)</t>
  </si>
  <si>
    <t>3. Zeitraum der Leistungszahlung</t>
  </si>
  <si>
    <t>Ab dem Tag nach Ablauf der "primären Arbeitsunfähigkeit" (nach einem Jahr) und maximal bis zum Eintritt in den Ruhestand.
Solange eine Person vom Vertrauensarzt oder medizinischen Invalidenausschuss als arbeitsunfähig im Sinne der Entschädigungsversicherung anerkannt wird, erhält sie weiterhin ihre Leistungen.
Eine Entscheidung über die Anerkennung der Arbeitsunfähigkeit kann jederzeit erneut überprüft werden, wenn der Versicherte die Voraussetzungen für die Anerkennung der Arbeitsunfähigkeit nicht mehr erfüllt.
Keine Vorruhestandsregelung bei geminderter Erwerbsfähigkeit (im Rahmen der Entschädigungsversicherung).</t>
  </si>
  <si>
    <t>Begutachtung</t>
  </si>
  <si>
    <t>1. Gutachter</t>
  </si>
  <si>
    <t xml:space="preserve">2. Überprüfung  </t>
  </si>
  <si>
    <t>Keine Revision.
Eine ärztliche Untersuchung ist jedoch während der Arbeitsunfähigkeit (ab dem 7. Monat der Arbeitsunfähigkeit (zur Aufrechterhaltung der Anerkennung der Arbeitsunfähigkeit)) und während der Zeit der Invalidität (erster Antrag auf Anerkennung oder bei Beantragung der Verlängerung der Invalidität) möglich.
Es wurde keine gesetzliche Frist gesetzt.</t>
  </si>
  <si>
    <t>1. Berechnungsmethode bzw. Rentenformel</t>
  </si>
  <si>
    <t>2. Referenzeinkommen bzw. Berechnungsgrundlage</t>
  </si>
  <si>
    <t>Die Invaliditätsentschädigung (indemnité d'invalidité/invaliditeitsuitkering) errechnet sich durch Anwendung eines Prozentsatzes des entgangenen Tagesbruttoarbeitsentgelts, jedoch bis zur folgenden Bemessungsgrenze:
Datum des Eintritts der Invalidität                              max. Vergütung
Zwischen 1.1.2022 und 31,12,2023                             181,1385 €
ab 1.1.2024                                                                          183,1311 €
Die Höhe richtet sich ebenfalls nach dem Datum des Eintretens der Erwerbsunfähigkeit.
Die Berechnungsmodalitäten sind im Abschnitt „Leistungen – Berechnungsmethode bzw. Rentenformel“ dargelegt.</t>
  </si>
  <si>
    <t>3. Mindest- und Höchstleistungen</t>
  </si>
  <si>
    <t>4. Anrechenbare oder als Beitragszeiten gewertete Zeiträume</t>
  </si>
  <si>
    <t>Keine anrechenbaren beitragsfreien Zeiten.</t>
  </si>
  <si>
    <t xml:space="preserve">5. Zulagen für Unterhaltsberechtigte  </t>
  </si>
  <si>
    <t>Sind unterhaltsberechtigte Personen vorhanden, so wird der höhere Haushaltssatz (65% des Bruttoentgelts) gewährt (siehe Rentenformel).
 Kinder: Siehe Tabelle IX "Familienleistungen: Sonderfälle Rentenempfänger":</t>
  </si>
  <si>
    <t xml:space="preserve">Wiedereingliederung in die Erwerbstätigkeit  </t>
  </si>
  <si>
    <t>Umschulung, berufsbezogene Rehabilitation</t>
  </si>
  <si>
    <t xml:space="preserve">Bevorzugte und reservierte Beschäftigung von Menschen mit Behinderungen  </t>
  </si>
  <si>
    <t>Keine Maßnahmen.</t>
  </si>
  <si>
    <t>Rentenanpassung</t>
  </si>
  <si>
    <t>Indexbindung/Anpassung</t>
  </si>
  <si>
    <t>Automatische Anpassung der Leistungen um 2%, wenn sich der Verbraucherpreisindex im Verhältnis zum vorherigen Index um 1,02 erhöht hat.
Anpassung der Leistungshöhe an die Entwicklung des allgemeinen Lebensstandards durch jährliche Festsetzung eines Koeffizienten oder pauschale Anpassung in Form einer Zulage.</t>
  </si>
  <si>
    <t>Eine während der Arbeitsunfähigkeit ausgeübte berufliche Tätigkeit kann vom Vertrauensarzt der Versicherung genehmigt werden. Der Betrag des Tagegeldes darf dabei nicht höher sein, als er ohne die Kumulation wäre.
 Wenn die angepasste Erwerbstätigkeit eine 1/5-Beschäftigung (20%) nicht überschreitet: keine Minderung der Leistung, bei angepasster Erwerbstätigkeit.
 Die eine 1/5-Beschäftigung (20%) überschreitet: Kürzung der Leistung entsprechend der durchschnittlichen Anzahl von Stunden der angepassten Erwerbstätigkeit, die über eine 1/5-Beschäftigung hinausgehen (siehe Tabelle Krankheit – Geldleistungen, Leistung bei krankheitsbedingter Verringerung der Erwerbstätigkeit).</t>
  </si>
  <si>
    <t>Kumulierung mit Leistungen aufgrund von Arbeitsunfällen oder Berufskrankheiten nur bis zu einem gesetzlichen Höchstbetrag möglich.</t>
  </si>
  <si>
    <t>1. Besteuerung von Geldleistungen</t>
  </si>
  <si>
    <t>Leistungen unterliegen der Besteuerung mit Ausnahme der Beihilfe für die Hilfe einer Drittperson (allocation pour l'aide d'une tierce personne/tegemoetkoming voor hulp van derde), die nicht steuerpflichtig ist.</t>
  </si>
  <si>
    <t>2. Einkommensgrenze für Besteuerung von Geldleistungen</t>
  </si>
  <si>
    <t>3. Auf Leistungen anfallende Sozialabgaben</t>
  </si>
  <si>
    <t>Abzug von 3,55% für die Kranken- und Invaliditätsversicherung, sofern die Rente nicht unter einen Betrag von monatlich € 2.414,97 bzw. - für Personen ohne Unterhaltsberechtigte - unter € 2.037,72 sinkt.</t>
  </si>
  <si>
    <t>Selbständige</t>
  </si>
  <si>
    <t>Entspricht den Leistungen im Krankheitsfall.</t>
  </si>
  <si>
    <t>Dauert die Arbeitsunfähigkeit länger als ein Jahr an, gewähren beide Systeme unter bestimmten Bedingungen eine Invaliditätsentschädigung.
Um in der Periode der Invalidität weiterhin als arbeitsunfähig anerkannt zu sein, dürfen Selbstständige nicht in der Lage sein, eine andere berufliche Tätigkeit als die zuvor ausgeübte Tätigkeit auszuführen.
Ihre soziale Lage, ihr Gesundheitszustand und ihre berufliche Ausbildung werden unter anderem berücksichtigt, um zu bestimmen, ob sie noch eine andere Tätigkeit (selbstständig oder unselbstständig) ausüben können.</t>
  </si>
  <si>
    <t> Es wird eine pauschale Entschädigung pro Tag gewährt, die entsprechend der familiären Situation und der Geschäftsaufgabe zwischen 48,32 (Zusammenlebende) und 79,51 (mit Familienlast) beträgt.</t>
  </si>
  <si>
    <t xml:space="preserve"> Auf Leistungen anfallende Sozialabgaben</t>
  </si>
  <si>
    <t>Alter</t>
  </si>
  <si>
    <t>1. Versicherte Personen</t>
  </si>
  <si>
    <t>2. Ausnahmen von der Deckung  der Pflichtversicherung</t>
  </si>
  <si>
    <t>Anspruchsvoraussetzungen</t>
  </si>
  <si>
    <t>1. Rentenalter</t>
  </si>
  <si>
    <t>2. Anwartschaftszeit und sonstige Anspruchsvoraussetzungen für den Bezug einer Altersrente</t>
  </si>
  <si>
    <t>3. Vorruhestand</t>
  </si>
  <si>
    <t>4. Beschwerliche und gefährliche Arbeit</t>
  </si>
  <si>
    <t>5. Rentenaufschub</t>
  </si>
  <si>
    <t>1. Bestimmende Faktoren</t>
  </si>
  <si>
    <t>2. Berechnungsmethode, Rentenformel bzw. Beträge</t>
  </si>
  <si>
    <t>3. Referenzeinkommen bzw. Berechnungsgrundlage</t>
  </si>
  <si>
    <t>5. Rückkauf von Versicherungszeiten</t>
  </si>
  <si>
    <t>7. Besondere Zulagen</t>
  </si>
  <si>
    <t>8. Mindestrente und bedürftigkeitsabhängige Leistung</t>
  </si>
  <si>
    <t>9. Höchstrente</t>
  </si>
  <si>
    <t>10. Vorruhestand</t>
  </si>
  <si>
    <t>11. Beschwerliche und gefährliche Arbeit</t>
  </si>
  <si>
    <t>12. Teilrente</t>
  </si>
  <si>
    <t>Indexbindung / Anpassung</t>
  </si>
  <si>
    <t xml:space="preserve">   Kumulation mit anderen Sozialleistungen</t>
  </si>
  <si>
    <t>1. Besteuerung von Renten</t>
  </si>
  <si>
    <t>2. Einkommensgrenze für Besteuerung von Renten</t>
  </si>
  <si>
    <t>3. Auf Renten anfallende Sozialabgaben</t>
  </si>
  <si>
    <t>Alter (Selbständige)</t>
  </si>
  <si>
    <t>Anspruchsveraussetzungen</t>
  </si>
  <si>
    <t>1. Verstorbener Versicherter</t>
  </si>
  <si>
    <t>2. Hinterbliebener Ehegatte</t>
  </si>
  <si>
    <t>3. Geschiedener Ehegatte</t>
  </si>
  <si>
    <t>4. Hinterbliebene Lebenspartner</t>
  </si>
  <si>
    <t>5. Kinder</t>
  </si>
  <si>
    <t>6. Andere Personen</t>
  </si>
  <si>
    <t>1. Hinterbliebener Ehegatte, geschiedener Ehegatte, hinterbliebene Lebenspartner</t>
  </si>
  <si>
    <t>2. Hinterbliebener Ehegatte: Wiederheirat</t>
  </si>
  <si>
    <t>3. Kinder</t>
  </si>
  <si>
    <t>4. Andere Berechtigte</t>
  </si>
  <si>
    <t xml:space="preserve"> 5. Höchster zahlbarer Gesamtbetrag für alle Berechtigten</t>
  </si>
  <si>
    <t>6. Sonstige Leistungen</t>
  </si>
  <si>
    <t>7. Mindestleistung</t>
  </si>
  <si>
    <t xml:space="preserve"> 8. Höchstleistung</t>
  </si>
  <si>
    <t>Sozialgesetzbuch (Кодекс за социално осигуряване) von 1999, Abschnitt 2003 novelliert.
Arbeitsgesetzbuch (Кодекс на труда) von 1986.
Gesetz über den Haushalt der staatlichen Sozialversicherung für das Jahr 2025 (Закон за бюджета на държавното обществено осигуряване за 2025 г.), 2025
Gesetz über Menschen mit Behinderungen (Закон за хората с увреждания) von 2019.
Sozialhilfegesetz (Закон за социално подпомагане) von 1998.
Ausführungsbestimmungen zum Sozialhilfegesetz (Закон за социално подпомагане) von 1998.
Verordnung des Ministerrats (Министерски съвет) Nr. 103 vom 25. Juni 2025 zur Festsetzung des neuen Betrages der sozialen Altersrente (Социална пенсия за старост) für 2025.</t>
  </si>
  <si>
    <t>Beitragsfinanziertes Sozialversicherungssystem mit entgeltbezogenen Leistungen für Erwerbstätige. Teil des staatlichen Rentensystems.
Für Leistungen bei Arbeitsunfällen/ Berufskrankheiten gibt es ein besonderes Sicherungssystem.
Kein spezifisches Sozialhilfesystem bei Invalidität.</t>
  </si>
  <si>
    <t xml:space="preserve">
   * Arbeitnehmer,
   * Seeleute,
   * Beamte,
   * Richter, Staatsanwälte, Ermittlungsbeamte, Gerichtsvollzieher und Gerichtsangestellte sowie Anwärter für diese Berufe
   * Angehörige der Streitkräfte,
   * bezahlte und aktive Mitglieder von Genossenschaften,
   * Führungskräfte und bevollmächtigte Vertreter der Firmen, Einzelunternehmer und ihre Filialen, Mitglieder des Verwaltungsrates, Geschäftsführer und Leiter von Handelsgesellschaften sowie mit der Leitung bzw. Aufsicht staats- und gemeindeeigener Betriebe gemäß Kapitel Neun des Handelsgesetzbuches betraute Personen, deren Tochtergesellschaften oder andere juristische Personen gemäß dem Gesetz,
   * Personen in Wahlfunktionen,
   * Priester der Bulgarischen Orthodoxen Kirche und anderer registrierter Religionsgemeinschaften,
   * Personen, die wilde Pilze und Früchte sammeln,
   * Angehörige freier Berufe und Handwerker,
   * Einzelunternehmer, Eigentümer oder Teilhaber von Handelsgesellschaften,
   * registrierte Landwirte,
   * Personen, die ohne Arbeitsvertrag arbeiten und nicht anderweitig versichert sind, vorausgesetzt ihr Nettoverdienst entspricht mindestens dem nationalen Mindestlohn;
   * Personen, die ohne Arbeitsvertrag arbeiten und aus anderen Gründen versichert sind während des Monats ihrer Tätigkeit unabhängig von der Höhe ihrer Entlohnung.</t>
  </si>
  <si>
    <t>Leistungsanspruch: 50% Minderung der Erwerbsfähigkeit/Grad der Behinderung.
Verschiedene Kriterien kommen je nach Art der Behinderung zur Anwendung.</t>
  </si>
  <si>
    <t>Die Invalidenrente (Пенсия за инвалидност) wird ab dem Datum des Eintretens der Erwerbsunfähigkeit über den Invaliditätszeitraum oder auf Lebenszeit gewährt, falls die Erwerbstätigkeit nach Erreichen des Ruhestandsalters eintritt und der Betrag die Altersrente übersteigt.
Die Dauer des Anspruchs richtet sich nicht nach der Art der Invalidität.
Kein Vorruhestand bei eingeschränkter Erwerbsfähigkeit.</t>
  </si>
  <si>
    <t>Die Bewertung wird von dem regionalen Fachausschuss für ärztliche Untersuchung/staatlichen Fachausschuss für ärztliche Untersuchung auf der Grundlage der medizinischen Dokumentation zum Beleg des Schweregrads der Beeinträchtigung und, falls erforderlich, einer eingehenden klinischen und funktionellen Untersuchung durchgeführt. Die Bewertungsverfahren sind landesweit identisch.
Die beiden Ausschüsse entscheiden auch über die Notwendigkeit ausländischer Hilfe und bei einem Grad der dauerhaften Erwerbsminderung (Invaliditätsgrad) von 80 %, wenn eine oder mehrere Begleiterkrankungen mehr als 50 % der dauernden Erwerbsminderung (Invaliditätsgrad) verursachen.
Die Entscheidung der medizinischen Behörden kann vor einer höheren medizinischen Behörde oder einem Gericht angefochten werden.</t>
  </si>
  <si>
    <t>Die Invalidenrente (Пенсия за инвалидност) wird für den Zeitraum der Erwerbsminderung gewährt; die betroffene Person hat sich bei dem für die Festsetzung zuständigen regionalen Fachausschuss für ärztliche Untersuchung (Териториални експертни лекарски комисии) vorzustellen, wenn eine Verlängerung der Leistung beantragt wird.
Die erneute Bewertung wird nach dem Ablaufdatum der Entscheidung der medizinischen Behörden, die für einen Zeitraum von höchstens 3 Jahren ausgestellt wird, durchgeführt.</t>
  </si>
  <si>
    <t>Jeder Arbeitgeber mit mehr als 50 Angestellten ist verpflichtet, Arbeitsplätze für Personen mit verringerter Erwerbsfähigkeit bereitzustellen und entsprechend anzupassen (jeweils 1 Arbeitsplatz für Arbeitgeber mit 50-99 Arbeitnehmer und 2 % aller Arbeitnehmer für Arbeitgeber mit 100 und mehr Arbeitnehmern).
Der Arbeitgeber kann bei der Agentur für Personen mit Behinderungen (Агенция за хората с увреждания) im Rahmen eines nationalen Beschäftigungsprogramms für Personen mit Behinderungen Zuschüsse für behindertengerechten Zugang zum Arbeitsplatz, für Anpassungen und Ausstattung für Personen mit dauerhaften Behinderungen, für Qualifizierung, Umschulung oder Schulungen für die berufliche Weiterentwicklung sowie unter Umständen andere Aktivitäten beantragen. Nach Erhalt des Zuschusses muss der Arbeitgeber für mindestens drei Jahre Menschen mit dauerhafter Behinderung beschäftigen. Ein solcher Arbeitgeber hat Anspruch auf Erstattung von 30 % der für den behinderten Arbeitnehmer gezahlten Sozialabgaben aus der Staatskasse.
Der Staat deckt 50 % der Beiträge für Menschen mit Behinderungen und ihre Betreuer, die für bestimmte Arbeitgeber arbeiten, wie z. B. spezialisierte Unternehmen und Kooperativen für Menschen mit Behinderungen und Einrichtungen zur Arbeitsaufnahme (d. h. Einheiten für Ergotherapie und Rehabilitation für Personen mit Behinderungen, die in spezialisierten Einrichtungen für soziale Dienste errichtet wurden). Diese Fonds werden für Investitionen, Rehabilitation und soziale Eingliederung von Personen mit Behinderungen und ihrer Betreuer genutzt.
Wenn ein Arbeitgeber eine Produktionseinheit oder -abteilung einrichtet, in der mindestens 5 Personen mit Behinderungen beschäftigt sind, kann dieser Arbeitgeber für diese Produktionsstrukturen eine Förderung im Rahmen von gezielten Projekten und Programmen für spezialisierte Unternehmen und Kooperativen für Personen mit Behinderungen beantragen und hat zudem Anspruch auf eine Finanzierung von 50 % der Abgaben für die dort beschäftigten Personen mit Behinderungen durch den Staatshaushalt.
Die Agentur für Personen mit Behinderungen realisiert und bezuschusst Programme und Projekte zum Unternehmertum für Personen mit Behinderungen und finanziert auch spezialsierte Unternehmen und Kooperativen von Menschen mit Behinderungen im Rahmen zielgerichteter Programme und Projekte.
Um Menschen mit multiplen, dauerhaften Behinderungen, Menschen mit psychischen Problemen und mentalen Störungen eine Be-schäftigung anzubieten, können Zentren geschützter Beschäftigung eingerichtet werden.
Zentren geschützter Beschäftigung sowie Einrichtungen für Arbeit und Behandlung können in den spezialisierten Unternehmen und Kooperativen von Menschen mit Behinderugen etabliert werden.</t>
  </si>
  <si>
    <t>Renten, die bis zum 31. Dezember jedes Jahres gewährt werden, werden jährlich am 1. Juli des folgenden Jahres um einen Prozentsatz, der der Summe von 50 % der Erhöhung des beitragspflichtigen Einkommens und 50 % des Verbraucherpreisindexes im vorangegangenen Kalenderjahr entspricht (so genannte „Schweizer Regel”) angepasst. Ist der Prozentsatz negativ, wird die Rente nicht angepasst.</t>
  </si>
  <si>
    <t> Kumulierung ist uneingeschränkt möglich. Invaliditätsleistungen werden nicht gekürzt.</t>
  </si>
  <si>
    <t>Nicht anwendbar. Renten unterliegen keiner Besteuerung.</t>
  </si>
  <si>
    <t>Kein spezifisches System für Selbstständige. Sie sind vom allgemeinen System abgedeckt.
Als Selbstständige zählen Freiberufler oder ausgebildete Handwerker, Einzelunternehmer, Unternehmensinhaber oder -partner, Mitglieder rechtsfähiger Vereine, Besteuerte nach Artikel 26(7) des Einkommenssteuergesetzes sowie eingetragene Landwirte und Tabakproduzenten.</t>
  </si>
  <si>
    <t>Keine spezifischen Vorschriften. Selbstständige zahlen Sozialabgaben auf die Summe ihres versicherbaren Einkommens, aber nicht mehr als das versicherbare Höchsteinkommen (BGN 4.130 (€ 2.112)).</t>
  </si>
  <si>
    <t>Konsolidiertes Gesetz Nr. 1123 vom 21. Oktober 2024 über Volksrenten (lov om social pension).
Konsolidiertes Gesetz Nr. 1033 vom 2. September 2024 über Invalidenrente usw. (lov om højeste, mellemste, forhøjet almindelig og almindelig førtidspension mv).
Konsolidiertes Gesetz Nr. 909 vom 3. Juli 2024 über Leistungen der sozialen Dienste (lov om social service).
Verzeichnis der Rechtsakte: https://www.retsinformation.dk/</t>
  </si>
  <si>
    <t>Steuerfinanziertes universelles System für die gesamte Bevölkerung, das Teil des Rentensystems ist und einkommensbezogene Leistungen bereitstellt: Invalidenrente (førtidspension) und Seniorenrente (seniorpension).
Kein spezifisches System. Es gilt das allgemeine Mindestsicherungssystem (siehe Tabelle XI).</t>
  </si>
  <si>
    <t>Invalidenrente (førtidspension): Dauernde Verringerung der Arbeitsfähigkeit einer Person im Alter von 40 Jahren bis zum Rentenalter in einem Ausmaß, dass sie ihren Lebensunterhalt nicht selbst bestreiten kann. In besonderen Fällen gilt dies auch für Personen im Alter von 18 bis 39 Jahren, wenn es absolut erwiesen ist, dass sie nie wieder in der Lage sein werden zu arbeiten.
Die Seniorenrente (seniorpension) ist eine Leistung für diejenigen, deren Erwerbsfähigkeit in ihrer aktuellen Beschäftigung auf weniger als 15 Wochenstunden reduziert ist. Der Empfänger muss weniger als sechs Jahre bis zum Rentenalter und eine aktuelle Beteiligung im Arbeitsmarkt haben, die 20 bis 25 Jahre einer Vollzeitbeschäftigung entspricht. Bei diesem System müssen sie an keinen Rehabilitationsprogrammen teilnehmen.</t>
  </si>
  <si>
    <t>Alle Einwohner.
Der Anspruch hängt vom Wohnsitz ab, nicht von der Staatsbürgerschaft.</t>
  </si>
  <si>
    <t>Mindestens 3 Jahre Wohnsitz in Dänemark im Alter zwischen 15 Jahren und dem Rentenalter.
Ausländer: mindestens 10 Jahre Wohnsitz, davon 5 unmittelbar vor Auszahlung der Rente. Für Personen, die in einem anderen EU/EWR-Land oder der Schweiz gelebt und/oder gearbeitet haben sowie für Flüchtlinge gelten besondere Regeln. Besondere Regeln gelten auch für Personen, die in den Geltungsbereich des Handels- und Kooperationsabkommens zwischen dem Vereinigten Königreich und der Europäischen Union fallen.
Ab dem Rentenalter wird die Rente automatisch in eine Altersrente umgewandelt.</t>
  </si>
  <si>
    <t>Invalidenrente (førtidspension): Die Arbeitsfähigkeit einer Person zwischen 40 Jahren und dem Rentenalter muss dauerhaft zu einem solchen Grad vermindert sein, dass die Person ihren eigenen Lebensunterhalt nicht bestreiten kann, auch nicht durch die Tätigkeit in einem Flexi-Job in irgendeiner Berufssparte. Die Arbeitsfähigkeit wird für jeden Fall von der Gemeinde und dem Rehabilitationsteam bemessen.
Bei einer Person im Alter zwischen 18 und 39 Jahren muss zweifellos erwiesen sein, dass sie nie arbeiten können wird.
Seniorenpension (seniorpension): Die Arbeitsfähigkeit beim letzten Arbeitsverhältnis ist auf weniger als 15 Stunden pro Woche reduziert. Die Arbeitsfähigkeit wird von der Abteilung für Seniorenpensionen (Senionpensionsenhed) ermittelt.
Kein offizielles Mindestmaß an Arbeitsfähigkeit festgelegt.</t>
  </si>
  <si>
    <t>Die Invalidenrente (førtidspension) wird an Personen im Alter zwischen 18 Jahren und dem Rentenalter gezahlt, die einen Rentenanspruch haben. Die Rente wird dauerhaft bis zum Rentenalter gewährt.
Zahlbar ist die Rente ab dem ersten Tag des Monats nach der Entscheidung, spätestens jedoch ab dem ersten Tag des vierten Monats nach Annahme des Antrags durch die Gemeinde. Entscheidend für die Rentengewährung ist das Datum, an dem die Gemeinde mit der Prüfung des Antrags beginnt.
Die Seniorenrente (seniorpension) wird an Personen gezahlt, die Anspruch auf Rente haben und denen weniger als 6 Jahre bis zum Renteneinstiegsalter fehlen. Die Rente wird dauerhaft bis zum Renteneinstiegsalter gewährt.
Die Rente wird ab dem ersten Tag des Monats nach der Entscheidung, spätestens jedoch ab dem ersten Tag des sechsten Monats nach der Antragstellung gezahlt.</t>
  </si>
  <si>
    <t>Invalidenrente (førtidspension): In den meisten Fällen prüft die Gemeinde einen Fall und leitet ihn an ein Rehabilitationsteam weiter. Die Rehabilitationsteams setzen sich aus Vertretern des Arbeitsmarktsektors, des Gesundheitssektors, des Sozialbereichs und des Bildungssektors zusammen. Das Rehabilitationsteam weist Personen einem interdisziplinären Rehabilitationsprogramm, einem Flexi-Job, einer Invaliditätsrente oder einer anderen Initiative zu. Danach gewährt die Gemeinde den Personen mit Rentenanspruch die Invalidenrente.
Ihre Entscheidung kann beim Beschwerdeausschuss der Sozialversicherung angefochten werden.
Seniorenrente (Seniorpension): Der Antrag wird bei einer zentralen staatlichen Behörde (Abteilung für Seniorenpensionen) gestellt. In den meisten Fällen wird die Dienststelle die Wohngemeinde des Antragstellers um Hilfe bei der Beurteilung der Arbeitsfähigkeit bitten und die Seniorenrente gewähren, wenn die Bedingungen erfüllt sind.
Ihre Entscheidung kann beim Beschwerdeausschuss der Sozialversicherung angefochten werden.</t>
  </si>
  <si>
    <t>Invalidenrente (førtidspension): Die Berechtigung wird sehr selten neu geprüft. Die lokalen Behörden sind jedoch verpflichtet, eine Invalidenrente zurückzuziehen, wenn sich die Arbeitsfähigkeit deutlich verbessert hat, so dass die Person in der Lage ist, durch eine entlohnte Tätigkeit für ihren Lebensunterhalt zu sorgen. Zwischen dem 1. Januar 2023 und dem 31. Dezember 2025 kann die Invalidenrente nicht zurückgezogen, sondern nur eingefroren werden.
Seniorenrente (seniorpension): Keine Überprüfung. Die Pension kann nicht entzogen werden.</t>
  </si>
  <si>
    <t>Rentenansprüche werden nach der Dauer des Wohnsitzes zwischen dem Alter von 15 Jahren und dem Rentenalter berechnet.
Invalidenrente (førtidspension) und Seniorenrente (seniorpension):
Monatliche Beträge:
   * DKK 21.103 (€2.828) für eine Person,
   * DKK 17.938 (€2.404) für verheiratete oder zusammenlebende Empfänger.
Der Betrag wird reduziert, wenn das Jahreseinkommen (vor Steuern) einen bestimmten Grenzwert überschreitet:
   * DKK 90.000 (€12.062) für eine Person,
   * DKK 143.000 (€19.165) für verheiratete oder zusammenlebende Empfänger.
Der Betrag variiert nicht nach dem Grad der Arbeitsunfähigkeit; er kann jedoch gekürzt werden, wenn der Begünstigte oder der Ehepartner/zusammenlebende Partner über Einkommen verfügt (Einkünfte aus Erwerbstätigkeit führen nicht zu einer Reduzierung des Betrags).
Häufigkeit der Zahlungen: monatlich. Keine zusätzlichen Zahlungen in das Sozialrentensystem.</t>
  </si>
  <si>
    <t>Die Höhe der Leistung kann durch die Höhe des Jahreseinkommens (vor Steuern) beeinflusst werden, das sich zusammensetzt aus:
   * Persönlichem Einkommen;
   * Positiven Kapitalerträgen;
   * Eigenkapitalertrag.
Hat die Person einen Ehepartner oder Lebenspartner, hat deren Gesamtjahreseinkommen Einfluss auf den Leistungsbetrag. Das persönliche Arbeitseinkommen des Ehepartners/Lebenspartners wird jedoch nicht berücksichtigt.</t>
  </si>
  <si>
    <t>Mindestrente:
   * DKK 5.778 (€774) für eine alleinstehende Person,
   * DKK 4.967 (€666) für verheiratete oder zusammenlebende Empfänger.
Maximale Rente:
   * DKK 21.103 (€2.829) für eine Person,
   * DKK 17.938 (€2.404) für verheiratete oder zusammenlebende Empfänger.</t>
  </si>
  <si>
    <t>Keine anrechenbaren Zeiten.</t>
  </si>
  <si>
    <t>Keine Rentenzulage. Rentner haben jedoch Anspruch auf eine Zulage zu den Familienleistungen (siehe Tabelle IX „Familienleistungen“, „Kindergeld, 6. Sonderfälle“).</t>
  </si>
  <si>
    <t>Geldleistung zur Kompensation zusätzlicher Ausgaben aufgrund der Behinderung (merudgiftsydelse), die alle unten genannten Einzelleistungen ersetzt. Der Betrag wird für jeden Einzelfall aufgrund der voraussichtlichen Ausgaben festgelegt. Mindestausgaben pro Jahr: DKK 7.560 (€1.008).
Bestimmte Gruppen behinderter Menschen haben Anspruch auf Vergünstigungen bei Eisenbahn-, Schiffs- und Busbeförderung, so z. B. Blinde mit einer medizinischen Begleitperson.</t>
  </si>
  <si>
    <t>Maßnahmen zur Unterstützung für Personen mit Behinderungen zur Wiedereingliederung in den Arbeitsmarkt:
   * Unterhaltsbeihilfen während der beruflichen Rehabilitation;
   * Flexi-Jobs;
   * Persönliche Unterstützung für Personen mit Behinderungen in Beschäftigung und beim Arbeitsbewertungsverfahren;
   * Hilfen der örtlichen Behörden.
Die Berufsausbildung und die persönliche Rehabilitation werden von der Gemeinde durchgeführt. Die Teilnahme ist für den Empfänger einer Invaliditätsrente freiwillig.</t>
  </si>
  <si>
    <t>Behörden müssen bevorzugt Menschen mit Behinderungen einstellen, die in Privatunternehmen keine Beschäftigung finden, aber als fähig zur Ausübung der betreffenden Tätigkeit anzusehen sind.
Die Gemeinden gewähren Arbeitgebern Lohnkostenzuschüsse bei der Beschäftigung von behinderten Personen.
Eine Sozialklausel in Tarifverträgen wird die Chancen der Schwächsten auf dem Arbeitsmarkt verbessern.</t>
  </si>
  <si>
    <t>Der Anpassungssatz (satsreguleringsprocenten) von Volksrenten und anderen Transfereinkommen (overførselsindkomster) wird einmal jährlich auf der Grundlage der Lohnentwicklung festgelegt.</t>
  </si>
  <si>
    <t>Kumulierung möglich, jedoch wird die Leistung gekürzt.</t>
  </si>
  <si>
    <t>In der Regel ist es nicht möglich, Leistungen zu kumulieren, die denselben Unterhaltsbedarf decken sollen. Das bedeutet beispielsweise, dass eine Invaliditätsrente nicht mit einer anderen Unterhaltsgeldleistung kombiniert werden kann.
Es ist jedoch möglich, Unterhaltsleistungen wie eine Invaliditätsrente mit ergänzenden Leistungen, z. B. Wohngeld, zu kombinieren.
In diesem Fall wird die Höhe der Invaliditätsleistung nicht gekürzt.</t>
  </si>
  <si>
    <t>Invalidenrente (førtidspension)/Seniorenrente (seniorpension): Beiträge zum Zusatzrentensystem (Arbejdsmarkedets Tillægspension ATP).
Beiträge zum obligatorischen Rentensystem (Obligatorisk Pensionsordning) werden vom Staat gezahlt.</t>
  </si>
  <si>
    <t>Allgemeines wohnsitz- und steuerabhängiges Pflichtsystem (Invalidenrente/Seniorenpension).</t>
  </si>
  <si>
    <t>Dieselben wie für Arbeitnehmer (aber Leistungen für eine flexible Arbeit für Selbstständige werden gemäß dem Gewinn des Unternehmens berechnet).</t>
  </si>
  <si>
    <t>Sozialgesetzbuch Sechstes Buch, eingeführt durch das Rentenreformgesetz vom 18. Dezember 1989, in der Fassung der Bekanntmachung vom 19. Februar 2002 (BGBl. I S. 754, 1404, 3384) zuletzt geändert durch Art. 11 G v. 18.12.2024 (BGBl. I Nr. 423)
SGB 6 - nichtamtliches Inhaltsverzeichnis (gesetze-im-internet.de)</t>
  </si>
  <si>
    <t>Aus Beiträgen und Steuern im Umlageverfahren finanziertes obligatorisches Sozialversicherungssystem für Arbeitnehmer und einzelne Gruppen von Selbstständigen mit entgeltbezogenen Renten, deren Höhe von den Beiträgen und der Versicherungsdauer abhängt.
Die Erwerbsminderungsrente ist Teil des nationalen Rentensystems.
Kein spezifisches Sozialhilfesystem. Es gilt das allgemeine System der Mindestsicherung (siehe Tabelle XI).</t>
  </si>
  <si>
    <t xml:space="preserve">
   * Rente wegen voller Erwerbsminderung erhalten Versicherte, die wegen Krankheit oder Behinderung auf nicht absehbare Zeit außerstande sind, unter den üblichen Bedingungen des allgemeinen Arbeitsmarkts mindestens 3 Stunden täglich erwerbstätig zu sein.
   * Rente wegen teilweiser Erwerbsminderung erhalten Versicherte, die wegen Krankheit oder Behinderung auf nicht absehbare Zeit außerstande sind, unter den üblichen Bedingungen des allgemeinen Arbeitsmarkts mindestens 6 Stunden täglich erwerbstätig zu sein.
   * Versicherte, die zwar mindestens drei, aber nicht mehr 6 Stunden täglich erwerbstätig sein können, können eine Rente wegen voller Erwerbsminderung erhalten, so lange ein dem eingeschränkten Leistungsvermögen entsprechender Arbeitsplatz nicht vermittelt werden kann.
   * Versicherte, die vor dem 2. Januar 1961 geboren sind, können eine Rente wegen teilweiser Erwerbsminderung bei Berufsunfähigkeit erhalten, wenn sie berufsunfähig sind. Berufsunfähig sind Versicherte, die in ihrem bisherigen Beruf oder einem anderen zumutbaren Beruf nicht mehr 6 Stunden täglich arbeiten können.
</t>
  </si>
  <si>
    <t>Pflichtversicherung für Arbeitnehmer und für einzelne Gruppen von Selbstständigen sowie einige weitere Personengruppen (z. B. Kindererziehende, nicht erwerbsmäßig tätige Pflegepersonen).
Freiwillige Versicherung ab vollendetem 16. Lebensjahr für alle in Deutschland wohnenden Personen und alle Deutschen im Ausland möglich (siehe jedoch Tabelle V, ‘Bedingungen’).</t>
  </si>
  <si>
    <t>Befreiungsmöglichkeit für Arbeitnehmer mit einer ausschließlich geringfügig entlohnten Beschäftigung (bis zu €556 brutto monatlich) und Versicherungsfreiheit bei einer kurzfristigen Beschäftigung (bis zu 3 Monaten oder 70 Arbeitstagen im Kalenderjahr), es sei denn, dass die Beschäftigung berufsmäßig ausgeübt wird und ihr Entgelt €556 brutto im Monat übersteigt. Darüber hinaus gibt es weitere Befreiungsmöglichkeiten, etwa für versicherungspflichtige Mitglieder berufsständischer Versorgungswerke (z. B. Ärzte, Anwälte) oder für selbständige Handwerker nach 18 Jahren Pflichtbeitragszahlung.</t>
  </si>
  <si>
    <t>Arbeitnehmer und Selbstständige:
60 Monate Beitrags- und Ersatzzeiten vor Eintritt der Erwerbsminderung (allgemeine Mindestversicherungszeit) und grundsätzlich mindestens 36 Monate Pflichtbeiträge in den letzten 5 Jahren vor Eintritt der Erwerbsminderung. Verlängerung des Fünfjahreszeitraums ist möglich. Die Mindestversicherungszeit kann vorzeitig erfüllt sein, wenn der Versicherte zum Beispiel aufgrund eines Arbeitsunfalls oder innerhalb von 6 Jahren nach Beendigung einer Ausbildung vermindert erwerbsfähig geworden ist.
Menschen mit Behinderung:
Versicherte, die bereits vor Erfüllung der allgemeinen Wartezeit von 60 Monaten voll erwerbsgemindert waren und seitdem ununterbrochen voll erwerbsgemindert sind (z.B. bei schweren angeborenen oder in der Kindheit entstandenen Leiden) haben Anspruch auf Rente wegen voller Erwerbsminderung, wenn sie 240 Monate mit Beitrags- und Ersatzzeiten erfüllt haben. Als Wartezeit gilt zum Beispiel die Zeit der Beschäftigung in einer Werkstatt für Menschen mit Behinderung.</t>
  </si>
  <si>
    <t>Teilweise Erwerbsminderung:
Leistungsvermögen zwischen 3 bis unter 6 Stunden täglich, unabhängig von dem vor dem Leistungsfall ausgeübten Beruf. Abgestellt wird auf die üblichen Bedingungen und Anforderungen des allgemeinen Arbeitsmarktes.
Volle Erwerbsminderung:
Leistungsvermögen unter 3 Stunden täglich.</t>
  </si>
  <si>
    <t>Von dem Monat an, zu dessen Beginn die Bedingungen erfüllt sind. Befristete Erwerbsminderungsrenten werden ab dem siebten Kalendermonat nach Eintritt der Erwerbsminderung geleistet; vor dem siebten Kalendermonat, sofern zwischenzeitlich ein bestehender Anspruch auf Arbeitslosengeld oder Krankengeld entfällt.
Renten wegen voller oder teilweiser Erwerbsminderung werden grundsätzlich auf Zeit geleistet. Die Befristung erfolgt für längstens 3 Jahre. Verlängerungen sind möglich.
Ende der Rentenzahlung zum Monat, zu dem die Anspruchsvoraussetzungen wegfallen.
Mit Erreichen der Regelaltersgrenze wird die Rente in eine Altersrente umgewandelt. Es gibt keine Vorruhestandsregelung im Falle verminderter Arbeitsfähigkeit.</t>
  </si>
  <si>
    <t>Das individuelle Leistungsvermögen des Versicherten wird durch den sozialmedizinischen Dienst des Rentenversicherungsträgers beurteilt. Dazu werden alle vorliegenden ärztlichen und psychologischen Gutachten und Unterlagen beigezogen.
Es werden im Wesentlichen folgende Merkmale berücksichtigt: Körperliche und geistige Belastbarkeit, zusätzliche Leistungseinschränkungen, Wegefähigkeit und tägliche Arbeitszeit.
Das Begutachtungsverfahren und die angewendeten Kriterien sind bundesweit die gleichen. Sie erfolgen mithilfe von einheitlichen Leitlinien der Rentenversicherungsträger.
Wird der Antrag auf Erwerbsminderungsrente abgelehnt, steht dem Antragssteller ein Widerspruchsrecht zu: binnen eines Monats kann er gegen die Ablehnung Widerspruch einlegen.
Ein Widerspruchsausschuss der Rentenversicherung überprüft die angefochtene Entscheidung und kann diese abändern oder, beispielsweise bei medizinischen Angelegenheiten, überprüfen lassen.
Wird auch der Widerspruch zurückgewiesen, kann der Antragssteller Klage vor dem zuständigen Sozialgericht erheben.</t>
  </si>
  <si>
    <t>Erwerbsminderungsrenten werden grundsätzlich für längstens drei Jahre befristet. Nach Ende der Befristung kann die Rente nach Überprüfung des Gesundheitszustandes (durch den sozialmedizinischen Dienst) durch den Rentenversicherungsträger verlängert werden.
Eine unbefristete Erwerbsminderungsrente ( Dauerrente) kommt nur in Betracht, wenn unwahrscheinlich ist, dass die Minderung der Erwerbsfähigkeit behoben werden kann, da medizinische Gründe gegen die Besserung des Gesundheitszustandes sprechen.</t>
  </si>
  <si>
    <t>Teilweise Erwerbsminderung:
PEP x RA (0.5) x AR.
Volle Erwerbsminderung:
PEP x RA (1,0) x AR
PEP = persönliche Entgeltpunkte:
Die Summe der Entgeltpunkte ergibt sich aus den jährlich versicherten Entgelten oder Einkommen, geteilt durch das Durchschnittsentgelt im selben Jahr, hinzu kommen Entgeltpunkte für bestimmte beitragsfreie Zeiten und Zuschläge für sogenannte beitragsgeminderte Zeiten. Die Summe der Entgeltpunkte wird multipliziert mit dem Zugangsfaktor. Der Zugangsfaktor bewirkt Rentenabschläge; bei Beginn einer Rente wegen verminderter Erwerbsfähigkeit vor Vollendung des 65. Lebensjahres jedoch max. 10,8%. Die Altersgrenze für den abschlagsfreien Rentenbeginn wurde für diese Rente zwischen 2012 und 2024 stufenweise vom 63. Lebensjahr auf das 65. Lebensjahr angehoben. Für Versicherte mit 40 Pflichtbeitragsjahren verbleibt es beim abschlagsfreien Rentenbeginn von 63 Jahren.
RA = Rentenartfaktor:
nach dem jeweiligen Sicherungsziel einer Rente festgelegter Faktor (bei teilweiser Erwerbsminderung 0,5, bei voller Erwerbsminderung 1,0).
AR = Aktueller Rentenwert:
Der aktuelle Rentenwert ist der Betrag, der einer abschlagsfreien monatlichen Rente wegen Alters der allgemeinen Rentenversicherung entspricht, wenn für ein Kalenderjahr Beiträge aufgrund des Durchschnittsentgelts gezahlt worden sind. Er wird jedes Jahr zum 1. Juli neu bestimmt. Die Anpassung orientiert sich grundsätzlich an der Entwicklung der Löhne und Gehälter. Der aktuelle Rentenwert beträgt seit 1. Juli 2025 €40,79.
Seit 1. Juli 2024 erhalten Erwerbsminderungsrentner/innen, deren Rente zwischen 2001 und 2018 begonnen hat, einen Zuschlag. Damit wird ein Ausgleich erreicht für diejenigen Bestandsrentner/innen, die von den Verbesserungen in der Zurechnungszeit durch Reformen der vergangenen Jahre nicht profitiert haben. Liegt der Rentenbeginn zwischen Januar 2001 und Juni 2014, beträgt der Zuschlag 7,5 Prozent. Liegt der Rentenbeginn in der Zeit von Juli 2014 bis Dezember 2018, beträgt er 4,5 Prozent.</t>
  </si>
  <si>
    <t>Versicherte Arbeitsentgelte (bis zur Beitragsbemessungsgrenze) und freiwillige Beiträge während des gesamten Versicherungsverlaufs. Die monatliche Beitragsbemessungsgrenze beträgt 2025: €8.050 brutto.
Zeiten der Kindererziehung in den ersten 36 Kalendermonaten nach dem Geburtsmonat (30 Kalendermonate für Geburten vor 1992) werden als Beitragszeiten mit Durchschnittsverdienst angerechnet.</t>
  </si>
  <si>
    <t>Kein Mindestbeitrag.
Keine Obergrenze.</t>
  </si>
  <si>
    <t>Anrechnungszeiten:
Zeiten der Krankheit, Rehabilitation, Arbeitslosigkeit oder mit Rentenbezug und Zeiten schulischer Ausbildung nach dem 17. Lebensjahr.
Zurechnungszeiten:
Beginnt eine Rente wegen verminderter Erwerbsfähigkeit oder eine Erziehungsrente nach dem 31. Dezember 2019 und vor dem 1. Januar 2031, so wird das Ende der Zurechnungszeit schrittweise auf 67 Jahre angehoben. Beginnt die Rente im Jahr 2025, so endet die Zurechnungszeit mit dem 66. Lebensjahr plus 2 Monate.
Ersatzzeiten:
Zeiten bis 31.12.1991, zum Beispiel Kriegsdienst oder Haftzeiten aufgrund politischer Verfolgung.
Berücksichtigungszeiten:
Zeiten der Erziehung eines Kindes bis zur Vollendung des 10. Lebensjahres.</t>
  </si>
  <si>
    <t>Es werden Leistungen zur Prävention, zur medizinischen Rehabilitation, zur Nachsorge, zur Teilhabe am Arbeitsleben (z.B. Arbeitsplatzanpassung, Umschulung) ergänzende Leistungen (z.B. Übergangsgeld) und sonstige Leistungen (z.B. bes. Eingliederungsleistungen) gewährt, um die Erwerbsfähigkeit zu erhalten oder wiederherzustellen. Die Rentenversicherung muss prüfen, ob eine beantragte Rente durch Rehabilitationsmaßnahmen vermeidbar wäre.
Bei der jährlichen Anpassung des der Rentenversicherung für diese Leistungen zur Verfügung stehenden Reha-Budgets wird neben der Lohnkostenentwicklung zusätzlich die demografische Entwicklung berücksichtigt. Das Reha-Budget steigt seitdem auch entsprechend der demografischen Entwicklung, wobei die demografische Komponente auch eine senkende Wirkung auf das Reha-Budget entfalten kann.
Die Leistungen zur Prävention und die Leistungen zur Teilhabe wie z.B. Rehabilitationsmaßnahmen haben Vorrang vor Rentenleistungen, vgl. § 9 Abs.1 Satz 2 und 3 SGB VI. Ein Anspruch auf Erwerbsminderungsrente besteht in diesem Fall nicht.</t>
  </si>
  <si>
    <t>Pflicht zur Beschäftigung schwerbehinderter Menschen in allen Betrieben mit mind. 20 Arbeitsplätzen, Pflichtquote 5% der Arbeitsplätze.
Ausgleichsabgabe für jeden unbesetzten Arbeitsplatz von monatlich
   * €105 bei einer Beschäftigungsquote von 3% bis unter 5%,
   * €180 bei einer Beschäftigungsquote von 2% bis unter 3%,
   * €260 bei einer Beschäftigungsquote von unter 2%.
Sonderregelungen für Arbeitgeber mit bis zu 59 Beschäftigten.</t>
  </si>
  <si>
    <t>Für Renten wegen teilweiser Erwerbsminderung besteht eine pauschale Hinzuverdienstgrenze von rund €39.322 brutto. Daneben gilt eine individuelle Hinzuverdienstgrenze, die sich am höchsten Verdienst der letzten 15 Jahre vor dem Eintritt der Erwerbsminderung orientiert. Die individuelle Grenze kann höher sein als die pauschale Grenze. Bei Renten wegen voller Erwerbsminderung liegt die Hinzuverdienstgrenze bei rund €19.661 brutto.
Die Aufnahme einer Erwerbstätigkeit führt in bestimmten Fällen unabhängig von der Höhe des Hinzuverdiensts zum Wegfall des Rentenanspruchs.</t>
  </si>
  <si>
    <t>Im Fall des Zusammentreffens mit einer Rente aus der gesetzlichen Unfallversicherung ruht die Rente wegen verminderter Erwerbsfähigkeit insoweit, als die Summe der Renten das frühere (entsprechend der durchschnittlichen Lohnentwicklung fortgeschriebene) Nettoeinkommen (pauschal festgestellt) übersteigt.
Darüber hinaus gelten bestimmte Sozialleistungen als Hinzuverdienst und können zur Minderung oder zum Ruhen der Rente führen.</t>
  </si>
  <si>
    <t>Besteuerung des steuerpflichtigen Teils (vgl. Tabelle V, ‘Besteuerung und Sozialabgaben – 1. Einkommensbesteuerung’) der Rente nach allgemeinen Regeln.</t>
  </si>
  <si>
    <t>Der Krankenversicherungsbeitragsanteil für pflichtversicherte Rentner beträgt 7,3% (Hälfte des allgemeinen Beitragssatzes der gesetzlichen Krankenversicherung von 14,6%). Den verbleibenden Beitragsanteil von 7,3% zahlt der Rentenversicherungsträger.
Je nach Krankenkasse ist zudem ein individueller Zusatzbeitrag zu zahlen, der ebenfalls paritätisch vom Rentenversicherungsträger und dem pflichtversicherten Rentner getragen wird.
Der Pflegeversicherungsbeitrag beträgt für Rentner mit Kindern 3,4% und für kinderlose Rentner erfolgt ein Zuschlag von 0,6 Prozentpunkten. Der Zuschlag erfolgt grundsätzlich ab Vollendung des 23. Lebensjahres. Ausgenommen von diesem Zuschlag sind vor 1940 geborene Rentner. Der Beitrag ist von der Rente vom Rentner allein zu zahlen.</t>
  </si>
  <si>
    <t>Versicherungspflichtige und freiwillig versicherte Selbstständige in der gesetzlichen Rentenversicherung: Allgemeines System.
Freie Berufe: eigenfinanzierte, versicherungsgebundene Sondersysteme, die auf landesrechtlicher Grundlage die Pflichtversorgung für Invalidität sicherstellen.
Selbstständige Künstler und Publizisten: Grundsätzlich Versicherungspflicht in der gesetzlichen Rentenversicherung nach dem Künstlersozialversicherungsgesetz.
Landwirte: Spezifisches System: Pflichtmitgliedschaft in der Alterssicherung der Landwirte.</t>
  </si>
  <si>
    <t>Versicherungs- und arbeitsgebundenes System.
Rentenversicherungspflichtige Selbstständige: Pflichtmitgliedschaft in der gesetzlichen Rentenversicherung,
Sonstige Selbstständige: Möglichkeit, dem gesetzlichen Rentenversicherungssystem beizutreten (Opt-in), je nach Voraussetzung über eine Versicherungspflicht auf Antrag oder eine freiwillige Versicherung
Freie Berufe: Pflichtmitgliedschaft in einem berufsständischen Versorgungswerk.
Selbstständige Künstler und Publizisten: Grundsätzlich Versicherungspflicht in der gesetzlichen Rentenversicherung nach dem Künstlersozialversicherungsgesetz.
Landwirte: Pflichtmitgliedschaft, wenn das Unternehmen eine bestimmte Größe erreicht (z. B. 8 ha landwirtschaftliche Fläche oder 75 ha Forst).</t>
  </si>
  <si>
    <t>Versicherungspflichtige Selbstständige:  Geringfügig selbstständig Tätige (monatliches Arbeitseinkommen (brutto) bis €556 oder die Tätigkeit ist von Vornherein auf maximal drei Monate oder 70 Arbeitstage innerhalb eines Kalenderjahres begrenzt und erfolgt - sofern das Arbeitseinkommen €556 monatlich übersteigt - nicht berufsmäßig) sind versicherungsfrei.
Selbstständige Künstler und Publizisten: Um nach dem Künstlersozialversicherungsgesetz versichert zu sein, muss das Arbeitseinkommen (brutto) der Künstler und Publizisten den Betrag von €3.900 im Kalenderjahr übersteigen.
Landwirte: Keine bestimmten Voraussetzungen für den Anspruch auf Deckung für Selbstständige.</t>
  </si>
  <si>
    <t>Selbstständige in der gesetzlichen Rentenversicherung: Werden mehrere selbstständige Tätigkeiten ausgeübt, kann eine Mehrfachversicherungspflicht entstehen. Auch die Kombination Beschäftigungsverhältnis plus Selbstständigkeit kann zur Mehrfachversicherung führen. Die Beiträge an die gesetzliche Rentenversicherung sind dann grundsätzlich aus jeder einzelnen entstandenen Versicherungspflicht zu zahlen, insgesamt jedoch höchstens bis zur Beitragsbemessungsgrenze.
Freie Berufe: Eigenfinanzierte Versorgungswerke: eigenes Beitrags- und Leistungsrecht.
Landwirte: Die Versicherungspflicht für Landwirte und mitarbeitende Familienangehörige in der Alterssicherung der Landwirte bleibt bestehen, wenn diese einer bezahlten Tätigkeit nachgehen, die eine Versicherungspflicht in anderen Sozialversicherungssystemen (zum Beispiel in der gesetzlichen Rentenversicherung) auslöst. Sie können jedoch auf Antrag von der Versicherungspflicht in der Alterssicherung der Landwirte befreit werden, solange sie regelmäßig außerland- bzw. forstwirtschaftliches Arbeitsentgelt, Arbeitseinkommen, vergleichbares Einkommen oder Erwerbsersatzeinkommen beziehen, dass jährlich das Zwölffache der Geringfügigkeitsgrenze nach § 8 Absatz 1a des Vierten Buches Sozialgesetzbuch überschreitet..</t>
  </si>
  <si>
    <t>Versicherungspflichtige und freiwillig versicherte Selbstständige in der gesetzlichen Rentenversicherung: Identisch mit denen für Arbeitnehmer.
Freie Berufe: Eigenfinanzierte Versorgungswerke: eigenes Beitrags- und Leistungsrecht.
Für Landwirte gilt für Leistungen bei Erwerbsminderung eine Mindestversicherungszeit von 5 Jahren.</t>
  </si>
  <si>
    <t>Versicherungspflichtige und freiwillig versicherte Selbstständige in der gesetzlichen Rentenversicherung: Identisch mit denen für Arbeitnehmer.
Freie Berufe: Eigenfinanzierte Versorgungswerke: Eigenes Beitrags- und Leistungsrecht.
Landwirte: Die Alterssicherung der Landwirte stellt nur eine Teilsicherung dar. Der Teilsicherungscharakter der Alterssicherung der Landwirte schlägt sich in der Höhe der Beiträge und im Niveau der Renten nieder.</t>
  </si>
  <si>
    <t>Thema</t>
  </si>
  <si>
    <t>Land</t>
  </si>
  <si>
    <t>m</t>
  </si>
  <si>
    <t>w</t>
  </si>
  <si>
    <t>d</t>
  </si>
  <si>
    <r>
      <rPr>
        <sz val="11"/>
        <color rgb="FF000000"/>
        <rFont val="Arial"/>
        <family val="2"/>
      </rPr>
      <t>Ø</t>
    </r>
    <r>
      <rPr>
        <sz val="11"/>
        <color rgb="FF000000"/>
        <rFont val="Calibri"/>
        <family val="2"/>
      </rPr>
      <t xml:space="preserve"> 10 Jahre</t>
    </r>
  </si>
  <si>
    <r>
      <rPr>
        <sz val="11"/>
        <color rgb="FF000000"/>
        <rFont val="Arial"/>
        <family val="2"/>
      </rPr>
      <t>Ø</t>
    </r>
    <r>
      <rPr>
        <sz val="11"/>
        <color rgb="FF000000"/>
        <rFont val="Calibri"/>
        <family val="2"/>
      </rPr>
      <t xml:space="preserve"> 5 Jahre</t>
    </r>
  </si>
  <si>
    <t>Lebenserwartung</t>
  </si>
  <si>
    <t>Datum des Versorgungsbeginns der ausgleichspflichtigen Person</t>
  </si>
  <si>
    <t>Gedecktes Risiko: Definition</t>
  </si>
  <si>
    <t>6.  Zulagen für Unterhaltsberechtigte</t>
  </si>
  <si>
    <t>13. Aufgeschobene Rente</t>
  </si>
  <si>
    <t>Beitragsfinanziertes obligatorisches Sozialversicherungssystem für Arbeitnehmer und Selbstständige mit einkommensbezogenen Renten und anderen Leistungen, die von Beiträgen und der Versicherungsdauer abhängen.
Die Invaliditätsrenteist Teil des staatlichen Rentensystems.
Kein spezifisches System. Es gilt das allgemeine System der Mindestsicherung (siehe Tabelle XI).</t>
  </si>
  <si>
    <t>Die Invaliditätsrente wird an Versicherte und Selbständige sowie an freiwillig für einen zypriotischen Arbeitgeber im Ausland tätige Personen gezahlt, die seit mindestens 156 Tagen erwerbsunfähig sind (berechnet wird Montag bis Samstag) und innerhalb dieses Zeitraums belegen, dass sie dauerhaft erwerbsunfähig sein werden, d. h. dass sie im Rahmen einer Tätigkeit, die sie unter normalen Umständen grundsätzlich ausüben könnten, kein Entgelt erhalten können, das über einem Drittel des Betrags liegt, den eine gesunde Person mit gleichem Bildungsniveau, die den gleichen Beruf in derselben Region ausübt, im Allgemeinen verdient; oder, im Falle von Personen im Alter von 60 bis 63 Jahren, diejenigen, die nicht in der Lage sind, ein Entgelt zu erzielen, das sich auf mehr als die Hälfte dieses Betrags beläuft.</t>
  </si>
  <si>
    <t>Die Invaliditätsrente kann bei Voll- oder Teilinvalidität bis zum Alter von 63 Jahren beantragt werden (es gibt kein Mindestalter).
Die Invaliditätsrente wird an Personen gezahlt, die seit mindestens 156 Tagen (berechnet wird Montag bis Samstag) erkrankt sind (unabhängig davon, ob sie Krankengeld erhalten haben oder nicht) und die innerhalb dieses Zeitraums belegen, dass sie dauerhaft erwerbsunfähig sein werden (siehe Bewertungskriterien und -kategorien von Erwerbsfähigkeit bzw. Erwerbsunfähigkeit). Versicherte müssen durch ärztliche Bescheinigungen oder ihre Krankenakte die Erkrankung nachweisen. Die Invaliditätsrente wird ab dem 63. Lebensjahr in eine staatliche Altersrente umgewandelt (bei Teilinvalidität erfolgt die Umwandlung der Rente, als ob es sich um einen Invaliditätsgrad von 100% handeln würde). </t>
  </si>
  <si>
    <t>Der Leiter der Sozialversicherungsdienste oder ein ermächtigter Sozialversicherungsbeamter prüft den Antrag auf Invaliditätsrente innerhalb einer angemessenen Frist. Der Antragsteller kann vor der Annahme/Ablehnung des Antrags zur Prüfung an einen Facharzt oder einen medizinischen Ausschuss oder zur erneuten Prüfung an einen medizinischen Ausschuss verwiesen werden.
Der medizinische Ausschuss erstellt einen Bericht über den Gesundheitszustand des Antragstellers, den Invaliditätsgrad und die Erwerbsfähigkeit entsprechend den gesetzlichen Bestimmungen.
Es werden landesweit dieselben Bewertungsverfahren und Kriterien angewandt.
Ist der Antragsteller mit der Entscheidung nicht einverstanden, hat er das Recht, innerhalb von 15 Kalendertagen beim Ministerium für Arbeit und Sozialversicherung oder innerhalb von 75 Kalendertagen nach Zustellung der Entscheidung beim Verwaltungsgericht Berufung einzulegen.</t>
  </si>
  <si>
    <t>Bezieher einer Leistung wegen teilweiser oder vollständiger Invalidität können von einem medizinischen Ausschuss erneut untersucht werden, um den Invaliditätsgrad neu festzusetzen oder festzustellen, ob die Arbeitsfähigkeit wieder hergestellt ist und die Rentenzahlung entfallen kann.
Der medizinische Ausschuss legt auch die Häufigkeit der erneuten Bewertung fest.</t>
  </si>
  <si>
    <t>Durchschnittliches versicherungspflichtiges Einkommen seit dem ersten Tag des Jahres, in dem die Person das Alter von 16 Jahren erreicht hat bis zum Eintritt der Invalidität.
Für die Definition von versicherungspflichtigem Entgelt siehe Tabelle I zu Finanzierung – Allgemeine Sozialbeitragssätze.</t>
  </si>
  <si>
    <t>Kostenfreie medizinische Behandlung in staatlichen Krankenhäusern und medizinischen Einrichtungen.
Invaliditätsrentner und zypriotischen Staatsangehörige ab dem Alter von 63 Jahren erhalten eine "Sozialkarte", die ihnen die Teilnahme an kulturellen und sozialen Veranstaltungen ermöglicht und sie zu verschiedenen Leistungen berechtigt.</t>
  </si>
  <si>
    <t>Empfänger von Invaliditätsrente können zu Umschulungs- oder Rehabilitationsmaßnahmen verpflichtet werden, die Kosten hierfür werden von der Sozialversicherung übernommen.</t>
  </si>
  <si>
    <t>Erwartet wird die Förderung der Chancengleichheit beim Zugang zum Arbeitsmarkt, insbesondere für solche Gruppen, die von sozialem Ausschluss bedroht sind.
Amt für soziale Eingliederung von Menschen mit Behinderung (Τμήμα Κοινωνικής Ενσωμάτωσης Ατόμων με Αναπηρίες):
Es gibt eine Quote (bis 10%) für begünstigte Einstellungen von Menschen mit Behinderung auf freie Stellen im öffentlichen Dienst, Bildungsangeboten und halbstaatlichen Organisationen.
Das Amt überwacht die Anwendung des Gesetzes und reicht einen informativen Bericht über die Ergebnisse beim Ministerrat, dem Repräsentantenhaus und Zyperns Verband der Behindertenorganisationen ein. </t>
  </si>
  <si>
    <t>Bei Teilinvalidität (Μερική Ανικανότητα) werden die Beschäftigungszeit und das Gehalt proportional berücksichtigt.</t>
  </si>
  <si>
    <t>Besteuerung nach allgemeinen Regeln. Keine Sonderbestimmungen für die Renten.</t>
  </si>
  <si>
    <t> Wie für Arbeitnehmer.</t>
  </si>
  <si>
    <t> Kein Unterschied.</t>
  </si>
  <si>
    <t>Gesetz CXCI von 2011 über Leistungen für Personen mit veränderter Erwerbsfähigkeit und Änderungen bestimmter Gesetze (törvény a megváltozott munkaképességű személyek ellátásairól).
Verzeichnis der Rechtsakte: https://njt.hu/</t>
  </si>
  <si>
    <t>Beitragsfinanziertes obligatorisches Sozialversicherungssystem für Arbeitnehmer und Selbstständige mit einkommensbezogenen Leistungen.
Personen, die noch nicht das Rentenalter erreicht haben, erhalten Leistungen der Krankenversicherung (Leistungen für Personen mit veränderter Erwerbsfähigkeit (megváltozott munkaképességű személyek ellátásai)). während Personen, die das Rentenalter erreicht haben, Altersrenten erhalten.
Leistungen für Personen mit veränderter Erwerbsfähigkeit sind nicht Teil des nationalen Rentensystems. Sie können in Form von entweder einer Rehabilitationsleistung (rehabilitációs ellátás) oder einer Invaliditätsleistung (rokkantsági ellátás) gewährt werden. Beide Leistungen werden von der Krankenversicherung (Egészségbiztosítási Alap) finanziert.
   * Eine Person mit veränderter Erwerbsfähigkeit hat Anspruch auf Rehabilitierungsleistungen, wenn sie rehabilitierungsfähig ist. Die Rehabilitierungsleistungen beinhalten die für eine erfolgreiche Rehabilitierung notwendigen Dienstleistungen sowie Geldleistungen;
   * Eine Person mit veränderter Erwerbsfähigkeit hat Anspruch auf Invaliditätsleistungen in Fällen, in denen die Rehabilitierung nicht empfohlen wird oder wahrscheinlich erfolglos ist oder wenn die Person Anspruch auf Rehabilitierungsleistungen hat, aber die bis zum Rentenalter verbleibende Zeit 5 Jahre oder weniger beträgt;
   * Eine Person mit veränderter Erwerbsfähigkeit hat Anspruch auf außerordentliche Invaliditätsleistungen (kivételes rokkantsági ellátás) in Fällen, in denen der Gesundheitszustand mit 50% oder weniger beurteilt wird oder wenn die Person dauerhafte Rehabilitierung benötigt, sofern die bis zum Rentenalter verbleibende Zeit 5 Jahre oder weniger beträgt und die Person mindestens die Hälfte der für die Rehabilitierungs- oder Invaliditätsleistung erforderliche Mindestversicherungszeit aufweist.
Es gibt kein gesondertes Sozialhilfesystem für Invalidität. Es gilt das allgemeine System der Mindestsicherung (siehe Tabelle XI).</t>
  </si>
  <si>
    <t>Invalidität bezieht sich auf den Gesundheitszustand und beruht nicht auf der Arbeitsfähigkeit. Personen mit Anspruch auf Leistungen für Personen mit veränderter Erwerbsfähigkeit (megváltozott munkaképességű személyek ellátásai) sind Personen, deren Gesundheitszustand mit 60% oder weniger beurteilt wurde.</t>
  </si>
  <si>
    <t>Arbeitnehmer und Selbstständige und Gleichgestellte. Anspruchsberechtigung auf Invaliditätsleistungen ist unabhängig von Wohnort oder Staatsangehörigkeit.</t>
  </si>
  <si>
    <t>Alle Antragsteller werden von der Rehabilitationsstelle des Bezirksverwaltungsbüros untersucht. Personen, deren Gesundheitszustand 60% oder weniger entspricht, haben Anspruch auf die Leistung.
Bei einer Beurteilung des Gesundheitszustands von weniger als 31%, wird ihre Eigenständigkeit untersucht (Personen, die mit dauerhafter Unterstützung angestellt werden können, gelten als eigenständig).
Kein Mindestmaß an Arbeitsfähigkeit/-unfähigkeit angegeben.</t>
  </si>
  <si>
    <t>Die Rehabilitationsleistung (rehabilitációs ellátás) kann ab dem Tag nach der Entscheidung der Rehabilitationsstelle des Bezirksverwaltungsbüros gezahlt werden. Der zur Rehabilitation benötigte Zeitraum beträgt höchstens 36 Monate.
Die Invaliditätsleistung (rokkantsági ellátás) kann ab dem Zeitpunkt der Erfüllung der Anspruchskriterien, frühestens am ersten Tag des 6-monatigen Zeitraums vor dem Zeitpunkt der Antragstellung gezahlt werden. Es handelt sich hierbei um eine dauerhafte Leistung.
Bei Erreichen des Rentenalters können sich die Personen entscheiden, ob sie weiter die Invaliditätsleistung oder die Altersrente beziehen, auf die sie Anspruch haben. Bei verminderter Erwerbsfähigkeit stehen keine Möglichkeiten eines vorgezogenen Ruhestands zur Verfügung.</t>
  </si>
  <si>
    <t>Der Antrag wird von der Rehabilitationsstelle des Bezirksverwaltungsbüros bearbeitet. Privatunternehmen sind nicht involviert. Diese Stelle besteht aus zwei in einem zertifizierten Verzeichnis eingetragenen Ärzten, einem Experten für berufliche Rehabilitation und einem Sozialexperten.
Die Bewertungsverfahren sowie die angewendeten Verfahren sind landesweit die gleichen.
Kein Widerspruchsrecht, aber gegen Entscheidungen kann Klage eingereicht werden.</t>
  </si>
  <si>
    <t>Der Versicherungszeitraum umfasst Zahlungszeiträume für Krankengeld (Táppénz), Arbeitsunfallkrankengeld (Baleseti táppénz), Mutterschaftsgeld (Csecsemőgondozási díj), Kinderbetreuungsgeld (Gyermekgondozási díj), Adoptionsbeihilfe (Örökbefogadói díj), Beihilfe für Pflegepersonen (Ápolási díj) und Beihilfe für häusliche Kinderpflege (Gyermekek otthongondozási díja), Arbeitslosengeld (Álláskeresési járadék), Invaliditätsrente (Rokkantsági nyugdíj), Erwerbsunfähigkeitsrente bei Arbeitsunfall oder Berufskrankheit (Baleseti rokkantsági nyugdíj), Rehabilitationsrente (Rehabilitációs járadék), rentenähnliche Leistungen für Personen mit Gesundheitsschäden und Leistungen für Personen mit veränderter Erwerbsfähigkeit (megváltozott munkaképességű személyek ellátásai).</t>
  </si>
  <si>
    <t>Rehabilitation umfasst medizinische, soziale, Ausbildungs- und beschäftigungsbezogene Aktivitäten. Das Ziel ist die Wiedereingliederung von Personen mit veränderter Erwerbsfähigkeit in den Arbeitsmarkt und deren Vorbereitung auf eine Beschäftigung in einem Arbeitsplatz, der ihrer Erwerbsfähigkeit entspricht.
Berufsausbildung oder persönliche Rehabilitationsaktivitäten sind nicht verpflichtend für Personen, die Invaliditätsleistungen beziehen.</t>
  </si>
  <si>
    <t>Beschäftigungsquote: Arbeitgeber mit 25 oder mehr Beschäftigten müssen mindestens 5% der Stellen mit behinderten Personen besetzen. Wird diese Verpflichtung nicht erfüllt, muss der Arbeitgeber einen Betrag in die Nebenkasse für Rehabilitation des Staatshaushalts leisten. Dieser Betrag beläuft sich auf das 9-fache des Mindestlohns (d.h. HUF2.617.200 (€6.562) pro Person und pro Jahr im Jahr 2025).
Unterstützung vom Staatshaushalt: für Arbeitgeber, die Personen mit veränderter Erwerbsfähigkeit beschäftigen (d. h. deren Gesundheitszustand mit 60% oder weniger veranschlagt wird). Die Höhe der Rente richtet sich nach der Dauer der Beschäftigung.
Umschulung: Betriebliche Weiterbildung mit Unterstützung des Nationalen Beschäftigungsfonds (Nemzeti Foglalkoztatási Alap).
Beschützende Werkstätten: Staatlich unterstützte Unternehmen für Personen, deren Erwerbsfähigkeit gemindert ist.
Existenzgründungshilfe: Für behinderte Personen, die sich selbstständig machen möchten.</t>
  </si>
  <si>
    <t>Jährliche Anpassung im Januar entsprechend dem voraussichtlichen Anstieg der Verbraucherpreise (Inflation). 3,2% Anstieg im Januar 2025.</t>
  </si>
  <si>
    <t>Kumulierung möglich mit Erwerbseinkommen. Es gibt keine Obergrenze für die Höhe von Erwerbseinkommen. Keine Kürzung des Leistungsbetrags.</t>
  </si>
  <si>
    <t>Invaliditätsleistungen und Rehabilitationsleistungen können nicht mit anderen Leistungen der sozialen Sicherheit kumuliert werden, mit Ausnahme der Hinterbliebenenrente (hozzátartozói nyugellátás), Beihilfe für Pflegepersonen (Ápolási díj) oder Beihilfe für häusliche Kinderpflege (Gyermekek otthongondozási díja), Mutterschaftsgeld (Csecsemőgondozási díj), Kinderbetreuungsgeld (Gyermekgondozási díj), Adoptionsbeihilfe (Örökbefogadói díj) und Behindertenunterstützung (fogyatékossági támogatás).</t>
  </si>
  <si>
    <t>Leistungen für Personen mit veränderter Erwerbsfähigkeit (megváltozott munkaképességű személyek ellátásai) unterliegen nicht der Besteuerung.</t>
  </si>
  <si>
    <t>Von der Rehabilitationsleistung (rehabilitációs ellátás) sind Beiträge zur Rentenversicherung zu entrichten.
Invaliditätsleistung (rokkantsági ellátás): Keine Sozialabgaben.</t>
  </si>
  <si>
    <t>Gesetz über die Grundrentenversicherung (Zákon o důchodovém pojištění) Nr. 155/1995.
Gesetz über die Öffentliche Krankenversicherung (Zákon o veřejném zdravotním pojištění) Nr. 48/1997.
Beschäftigungsgesetz, Nr. 435/2004 (Zákon o zaměstnanosti).
Verzeichnis der Rechtsakte: https://www.zakonyprolidi.cz/.</t>
  </si>
  <si>
    <t>Obligatorisches Sozialversicherungssystem für alle Erwerbstätigen (Arbeitnehmer und Selbstständige) mit entgeltbezogenen Renten, die von Beiträgen und der Versicherungsdauer abhängen.
Leistungen bei Invalidität sind Teil des Rentensystems.
Sozialhilfeleistungen für Personen mit Behinderungen umfassen auch die Mobilitätsbeihilfe (příspěvek na mobilitu) und den Sonderhilfezuschuss (příspěvek na zvláštní pomůcku). Zusätzlich haben Personen mit Behinderungen Anspruch auf einen Behindertenausweis, der verschiedene Vorteile bietet (z.B. kostenloser öffentlicher Personennahverkehr, vergünstigte Zugticketpreise, Steuererleichterungen). Für nähere Informationen zum Pflegegeld: siehe Tabelle XII – Langzeitpflege.</t>
  </si>
  <si>
    <t>Invalidität ersten Grades (První stupeň invalidity): Minderung der Erwerbsfähigkeit: 35% bis 49%.
Invalidität zweiten Grades (Druhý stupeň invalidity): Minderung der Erwerbsfähigkeit: 50% bis 69%.
Invalidität dritten Grades (Třetí stupeň invalidity): Minderung der Erwerbsfähigkeit: mehr als 70%.</t>
  </si>
  <si>
    <t>Pflichtversicherung für alle Erwerbstätigen (Arbeitnehmer und Selbstständige). Für nähere Informationen zu Selbstständigen, siehe die Informationen zum Sozialschutz von Selbstständigen.
Uneingeschränkte freiwillige Versicherung für Arbeitssuchende, die bei der Arbeitsagentur gemeldet sind (und die keine Leistungen bei Arbeitslosigkeit beziehen); Studenten; im Ausland beschäftigte Personen; Freiwillige; Mitglieder des EU-Parlaments; Ausländer, die in Tschechien für ausländische Arbeitgeber arbeiten; Ehepartner von Diplomaten sowie andere Staatsbedienstete, die im Ausland leben sowie Selbstständige, deren Versicherungsschulden verfallen sind.
Andere Personen über 18 Jahren mit mindestens einjähriger Beitragszeit können sich ebenfalls freiwillig versichern, jedoch für maximal 15 Jahre.</t>
  </si>
  <si>
    <t>Invaliditätsrente ersten, zweiten und dritten Grades (Invalidní důchod prvního druhého a třetího stupně):
Die Mindestversicherungszeit ist abhängig vom Alter:
&lt;20            weniger als 1 Jahr; 20 - &lt;22                            1 Jahr; 
22 - 24                              2 Jahre; 24 - 26                              3 Jahre
26 - 28                             4 Jahre; 28 und älter                  5 Jahre
Der erforderliche Versicherungszeitraum wird anhand des Zeitraums vor Eintreten der Invalidität bestimmt. Versicherte Personen im Alter von 28 Jahren oder darüber müssen über mindestens 5 Versicherungsjahre im Bezugszeitraum von 10 Jahren vor dem Eintreten der Invalidität verfügen. Personen im Alter von 38 Jahren oder darüber müssen über mindestens 5 Versicherungsjahre im Bezugszeitraum von 10 Jahren vor dem Eintreten der Invalidität verfügen oder über 10 Versicherungsjahre über einen 20-jährigen Bezugszeitraum vor dem Eintreten der Invalidität. Die Mindestversicherungszeit ist auch erfüllt, wenn der erforderliche Mindestversicherungszeitraum innerhalb eines Zeitraums von 10 Jahren nach Eintreten der Invalidität geleistet wurde (im Fall eines Versicherten unter 24 Jahren beträgt der erforderliche Mindestversicherungszeitraum 2 Jahre).
Personen ab 18 Jahren, die invalide werden, haben Anspruch auf die Invaliditätsrente dritten Grades (Invalidní důchod třetího stupně), auch wenn sie nicht den Mindestversicherungszeitraum geleistet haben (so genannte „von Jugend an arbeitsunfähige Personen“).
Keine erforderliche Mindestversicherungszeit bei Invalidität aufgrund eines Arbeitsunfall oder einer Berufskrankheit.</t>
  </si>
  <si>
    <t>Die Beurteilung der Invalidität konzentriert sich auf die Langzeitinvalidität (d.h. über ein Jahr oder voraussichtlich über ein Jahr) und Verlust der Arbeitsfähigkeit. Um den Grad der Invalidität festzulegen, bewertet der Arzt die Minderung der Arbeitskapazität, die Fähigkeit zur Wiederaufnahme einer Arbeit sowie die Möglichkeit der Teilnahme an einer Umschulung/Ausbildung zu einer anders gearteten Erwerbstätigkeit, wenn die Person ihrer bisherigen Beschäftigung nicht mehr nachgehen kann.
Mindestlevel der Minderung der Arbeitskapazität: Invalidität ersten Grades (První stupeň invalidity): 35% Minderung der Arbeitsfähigkeit.</t>
  </si>
  <si>
    <t>Ab Beginn der Erfüllung der Anspruchsvoraussetzungen bis zum Alter von 65 Jahren (oder dem Ruhestandsalter, wenn es höher ist) oder bis zu einer Veränderung im Gesundheitszustand (siehe unten unter “Überprüfung”). Der Anspruchszeitraum ist nicht vorgegeben, kann aber vom Ergebnis einer Neubeurteilung des Invaliditätsgrades beeinflusst werden.
Das Auslaufen des Krankengelds ist keine Bedingung für Anspruchsberechtigung auf Invaliditätsrente (für Kumulation mit Krankengeld siehe “Kumulation mit anderen Sozialleistungen”).
Bei Erreichen des Ruhestandsalters kann der Berechtigte die Altersrente beantragen, wenn der Betrag höher ist. Ab dem 65. Lebensjahr (oder dem Ruhestandsalter, wenn es höher ist) wird die Invaliditätsrente automatisch durch die Altersrente ersetzt.
Bei verminderter Arbeitsfähigkeit gibt es keine Möglichkeit des vorzeitigen Ruhestands.</t>
  </si>
  <si>
    <t>Der Antrag auf Invaliditätsleistungen wird von den Ärzten des Institutes für Gesundheitsbewertung (Institut posuzování zdravotního stavu) begutachtet, welches unter der Kontrolle der tschechischen Sozialversicherungsanstalt (Česká správa soicálního zabezpečení) steht. Private Auftragnehmer sind nicht gestattet.
Die Kriterien, die von den Ärzten des Institutes für Gesundheitsbewertung angewendet werden, sind landesweit die gleichen. Siehe “Beurteilungskriterien und Kategorien der Arbeitsfähigkeit/Arbeitsunfähigkeit” weiter oben für nähere Informationen.
Versicherte Personen haben ein Anrecht, bei der Tschechischen Sozialversicherungsanstalt Widerspruch einzulegen und können, wenn dieser abgewiesen wird, Verwaltungsklage einlegen (Rechtsbehelf vor dem Amtsgericht). Das Verfahren ist kostenlos.</t>
  </si>
  <si>
    <t>Die Versicherten können eine Überprüfung ihrer Anspruchsberechtigung beantragen, wenn sich ihr Gesundheitszustand verschlechtert. In einigen Fällen (d.h. wenn der Gesundheitszustand sich voraussichtlich verändern wird), muss die Anspruchsberechtigung regelmäßig überprüft werden.
Neubewertungen werden von den Ärzten des Institutes für Gesundheitsbewertung vorgenommen.</t>
  </si>
  <si>
    <t>Gesundheitsversorgung:
Speziale balneologische Behandlungen, ambulante balneologische Behandlungen, obligatorische Spezialbehandlungen, Rehabilitationsbehandlung, usw.
Behandlungen, die als unverzichtbarer Teil des Heilungsprozesses oder als zusätzliche Versorgung von chronischen Erkrankungen angesehen werden, können von den öffentlichen Krankenkassen rück-erstattet werden.
Die Bedingungen der Rückerstattung durch öffentliche Krankenkassen sind im Gesetz über die Öffentliche Krankenversicherung (Zákon o veřejném zdravotním pojištění) Nr. 48/1997 festgelegt. Der Teilnahme der Patienten an solchen Behandlungen folgt eine Empfehlung eines Facharztes, ist aber nicht verpflichtend für den Bezug der Invaliditätsleistung.
Berufliche Bildungsmaßnahmen und arbeitsbezogene Rehabilitation:
Umschulung wird normalerweise von der regionalen Außenstelle des Arbeitsamtes organisiert, die die Kursgebühren zahlt und, wenn die Fortbildung weit vom Wohnort entfernt stattfindet, auch für Verpflegung, Unterbringung und Reisekosten aufkommt. Fortbildungsprogramme dauern normalerweise nicht länger als 3 Monate.
Die regionale Außenstelle des Arbeitsamtes unterstützt erwerbsunfähige Personen bei der Suche nach einer Arbeitsstelle. Die regionale Außenstelle des Arbeitsamtes beschäftigt spezialisierte Berater, die im direkten Kontakt mit Arbeitgebern stehen.
Personen mit Behinderung haben einen Anspruch auf Arbeitsrehabilitation, die von der zuständigen Außenstelle des Arbeitsamtes in Zusammenarbeit mit Rehabilitationszentren oder (beruhend auf einer schriftlichen Einverständniserklärung) anderen legalen oder natürlichen Personen organisiert wird.
Rehabilitationskosten werden vom Arbeitsamt erstattet.
Arbeitgeber sind verpflichtet, den Arbeitsplatz anzupassen und berufliche Ausbildung für Arbeitnehmer mit Behinderung anzubieten. Alle Arbeitgeber mit mehr als 25 Arbeitnehmern sind verpflichtet, mindestens 4% der Stellen mit Menschen mit Behinderung zu besetzen. Siehe Tabelle V “Bevorzugte oder vorbehaltene Beschäftigung von Personen mit Behinderungen“ für nähere Informationen.</t>
  </si>
  <si>
    <t>Automatische Rentenanpassung an jedem 1. Januar zu 100% der Veränderungen des Verbraucherpreisindexes für Rentner um ein Drittel der durchschnittlichen Steigerung des Reallohns. Weitere Anpassungen erfolgen bei einem Preisanstieg um mehr als 5%.
Der Prozentuale Anteil (Procentní část) von Renten kann weiter erhöht werden, so dass die Steigerung der Durchschnittsrente 2.7% beträgt, wenn die automatische Inflationsbereinigung von Preisen und Löhnen niedriger ist.
Die Grenzwerte für die Persönliche Bemessungsgrundlage (Osobní vyměřovací základ) werden ebenfalls regelmäßig entsprechend des Durchschnittslohns angepasst.</t>
  </si>
  <si>
    <t>Invaliditätsrente ersten, zweiten und dritten Grades (Invalidní důchod prvního druhého a třetího stupně): Kumulierung mit Arbeitseinkommen möglich, ohne Beschränkung des Betrags, der verdient werden kann, und ohne Kürzung der Leistung.</t>
  </si>
  <si>
    <t>Kumulation einer Invaliditätsrente mit einer Altersrente ist nicht möglich: die höhere Rente wird gezahlt.
Bei gleichzeitigem Anspruch auf eine Rente aufgrund von Invalidität und eine Hinterbliebenenrente (Witwen-, Witwer- oder Waisenrente) werden der volle Betrag der höheren Rente und die Hälfte des Prozentualen Betrags (Procentní část) der niedrigeren Rente gezahlt.
Kumulation mit Leistungen bei Krankheit:
Nicht möglich, wenn die Invalidität während des Zahlungszeitraums des Krankengelds auftrat.
Arbeitslosenleistungen können mit Invaliditätsrenten des ersten und zweiten Grades (invalidní důchod prvního a druhého stupně) und nur in Sonderfällen auch mit Invaliditätsrenten dritten Grades (Invalidní důchod třetího stupně) kumuliert werden.</t>
  </si>
  <si>
    <t>Renten werden nur besteuert, wenn sie 36 Mal höher sind als der monatliche Bruttomindestlohn (CZK 748.800 (€30.257) jährlich).</t>
  </si>
  <si>
    <t>Renten werden nur besteuert, wenn sie 36 Mal höher sind als der monatliche Bruttomindestlohn (CZK 748.800/(€30.257) jährlich).</t>
  </si>
  <si>
    <t xml:space="preserve">
   * Obligatorische, arbeitsgebundene Versicherung.</t>
  </si>
  <si>
    <t>Keine zusätzlichen Anspruchsvoraussetzungen (gleiche Bedingungen wie für Arbeitnehmer).</t>
  </si>
  <si>
    <t>Gesetz über die Renten- und Invaliditätsversicherung (Zakon o pokojninskem in invalidskem zavarovanju) (Amtsblatt der Republik Slowenien, Nr. 48/22 in der offiziell konsolidierten Version einschließlich späterer Änderungen).
Gesetz über Beschäftigung und Rehabilitation von invaliden Personen (Zakon o zaposlitveni rehabilitaciji in zaposlovanju invalidov) (Amtsblatt der Republik Slowenien, Nr. 16/2007 – in der offiziell konsolidierten Version einschließlich späterer Änderungen).
Gesetz über Beschäftigungsbedingungen (Zakon o delovnih razmerjih) (Amtsblatt der Republik Slowenien, Nr. 21/2013 einschließlich späterer Änderungen).
Gesetz zum Finanzausgleich (Zakon za uravnoteženje javnih financ (ZUJF)) (Amtsblatt der Republik Slowenien, Nr. 40/2012, mit Änderungen).
Gesetz zur persönlichen Einkommenssteuer (Zakon o dohodnini (ZDoh-2)) (Amtsblatt der Republik Slowenien, Nr. 13/2011 – in der offiziell konsolidierten Version einschließlich späterer Änderungen).
Gesetz über die Umsetzung der Haushaltspläne der Republik Slowenien für die Jahre 2025 und 2026 (Zakon o izvrševanju proračunov Republike Slovenije za leti 2025 in 2026) (Amtsblatt der Republik Slowenien, Nr. 104/24 einschließlich späterer Änderungen).
Verzeichnis der Rechtsakte: https://pisrs.si/</t>
  </si>
  <si>
    <t>Die Invaliditätsrente (invalidska pokojnina) ist Teil des nationalen Rentensystems. Es ist ein beitragsfinanziertes, obligatorisches Sozialversicherungssystem für alle Arbeitnehmer und Selbstständigen und bietet einkommensbezogene Leistungen.
Es gibt kein besonderes Sozialhilfesystem für Invalidität.
Kein besonderes System. Es gilt das allgemeine Mindestsicherungssystem (siehe Tabelle XI).</t>
  </si>
  <si>
    <t>Invalidität ist definiert als eine Verminderung der Arbeitsfähigkeisfähigkeit aufgrund von Krankheit oder Verletzung (arbeitsbedingt oder ohne Zusammenhang zur Tätigkeit), die durch medizinische Behandlung oder Rehabilitation nicht behoben werden kann.</t>
  </si>
  <si>
    <t xml:space="preserve">
   * Arbeitnehmer, Selbstständige, Landwirte, Aktionäre, leitende Angestellte und Personen, die eine Beschäftigung auf anderer rechtlicher Grundlage ausüben;
   * Empfänger von Arbeitslosengeld (denarno nadomestilo za primer brezposelnosti) und Personen, deren Beiträge für Renten- und Invaliditätsversicherung vom Beschäftigungsservice übernommen werden bis sie die Anspruchsbedingungen für eine Altersrente erfüllen;
   * Personen mit Anspruch auf Lohnersatzleistungen aufgrund zeitlich begrenzter Erwerbsunfähigkeit nach Beendigung des Arbeitsverhältnisses, wenn sie nicht durch die Pflichtversicherung aus anderen Gründen abgedeckt sind;
   * Personen, die professionelle Pflegschaftsdienste ausführen;
   * Personen, die ein religiöses Amt als religiöser Arbeitnehmer ausführen;
   * Personen mit Anspruch auf Lohnersatzleistungen während beruflicher Rehabilitation;
   * Ein Elternteil, der Anspruch auf Elterngeld (starševski dodatek) hat, wenn diese Person nicht durch die Pflichtversicherung aus anderen Gründen abgedeckt ist; Anspruch auf Teilzahlungen bei Einkommensersatzleistung (delno plačilo za izgubljeni dohodek); Anspruch auf Elternschaftsgeld, aber keinen Anspruch auf Elternurlaub hat sowie nicht durch die Pflichtversicherung aus anderen Gründen abgedeckt ist; Anspruch auf Zahlungen des proportionalen Beitragsanteils und Anrecht auf Teilzeitarbeit zur Pflege und Schutz von Kindern zur Deckung des Unterschiedes zur Vollzeitarbeit;
   * Familienhelfer mit Anspruch auf Teilzahlungen bei Einkommensersatzleistung (delno plačilo za izgubljeni dohodek) (siehe Tabelle XII „Pflegebedürftigkeit");
   * Soldaten, die freiwillig Wehrdienst leisten, und Bürger während freiwilligen Rettungskursen.
Für Personen im Alter von über 15 Jahren mit einem dauerhaften Wohnsitz in Slowenien, die die Bedingungen zur Deckung durch die Pflichtversicherung nicht erfüllen, ist eine freiwillige Versicherung möglich.
Anspruch auf Invaliditätsleistungen ist unabhängig von Aufenthalt und/oder Nationalität, ist aber geknüpft an die Aufnahme in eine Versicherung.</t>
  </si>
  <si>
    <t>Ausnahmen von der Pflichtversicherung möglich für Landwirte, wenn ihr Einkommen aus landwirtschaftlicher Tätigkeit 60% des nationalen Durchschnittslohns nicht übersteigt.</t>
  </si>
  <si>
    <t>Anspruchsberechtigung auf die Leistung beginnt, sobald die Invalidität anerkannt wurde; sie ist nicht verknüpft mit dem Ablauf der Zahlung von Krankengeld. Sie gilt für den gesamten Zeitraum der Invalidität, es sind aber regelmäßige medizinische Kontrollen vorgesehen.
Bei Erreichen des Rentenalters kann zwischen Altersrente (starostna pokojnina) und Invaliditätsrente (invalidska pokojnina) gewählt werden, wenn die Anspruchsbedingungen auf Altersrente erfüllt sind.
Der Zeitraum der Anspruchsberechtigung ist unabhängig von der Art der Invalidität.
Bei verminderter Erwerbsfähigkeit ist kein vorgezogener Ruhestand möglich.</t>
  </si>
  <si>
    <t>Das Beurteilungsverfahren beginnt mit der Vorstellung der gesamten medizinischen und beruflichen Dokumentation durch den Hausarzt der versicherten Person bei der Renten- und Invaliditätsversicherungsanstalt (Pension and Disability Insurance Institute (PDII)). Der Grad der Invalidität wird durch die von der PDII berufenen Invaliditätskommissionen (erste und zweite Instanz) beurteilt, unter dem Vorsitz von sachverständigen Medizinern und bestehend aus zwei oder mehr Ärzten. Kommissionen der ersten Instanz sind innerhalb der regionalen Einheiten der PDII organisiert und sind an nationale Regeln und Vorschriften gebunden.
Widerspruch gegen eine Entscheidung kann innerhalb von 15 Kalendertagen ab der Entscheidung eingelegt werden und werden von der Behörde der zweiten Instanz (Invaliditätskommission II) der Zentraleinheit des PDII geklärt.</t>
  </si>
  <si>
    <t>Für Personen, die vor dem Alter von 45 Jahren Invaliditätsrente bezogen, sind alle 5 Jahre medizinische Neubeurteilungen vorgesehen. In besonderen Fällen sind Neubeurteilungen unnötig.
Einer versicherten Person kann jederzeit eine Nachfolgeuntersuchung zur Feststellung des Invaliditätsgrads auferlegt werden, welche durch die Renten- und Invaliditätsversicherungsanstalt (PDII) durchgeführt wird. Wenn eine Person ohne Angabe von triftigen Gründen nicht zur Nachfolgeuntersuchung erscheint, wird die Zahlung der Leistung ausgesetzt.
Ähnliche Vereinbarungen gelten für Personen mit Anspruch auf andere Leistungen der Invaliditätsversicherung.</t>
  </si>
  <si>
    <t>Der Betrag der Invaliditätsrente (invalidska pokojnina) wird aufgrund der Rentenberechnungsbasis (pokojninska osnova) in gleicher Weise wie die Altersrente (starostna pokojnina) bestimmt und hängt von der Ursache und dem Zeitpunkt des Auftretens der Invalidität ab. Die Höhe der Leistung hängt vom Alter der Person zum Zeitpunkt des Auftretens der Invalidität ab. Für die erhöhten Beträge bei Berufskrankheit oder Arbeitsunfall siehe Tabelle VIII „Arbeitsunfälle und Berufskrankheiten“.
Die Rentenberechnungsbasis ist festgelegt und berücksichtigt die tatsächliche Mindestversicherungszeit für Leistungen und den zusätzlichen (fiktiven) Zeitraum, welches der Zeitraum zwischen dem Auftreten der Invalidität und dem vollen Rentenalter ist. Der fiktive Zeitraum wird berücksichtigt als: 2/3 des Zeitraums zwischen dem Auftreten der Invalidität und dem Alter von 60 Jahren und 1/2 des Zeitraums zwischen 60 und 65 Jahren.
Der Leistungsanspruch unterliegt keiner Bedürftigkeitsprüfung.
Der Betrag der Leistungen bei Invalidität ist unabhängig von anderen Sozialleistungen.
Leistungen werden monatlich am letzten Tag des Monats gezahlt.
Empfänger der Invaliditätsrente haben Anspruch auf eine pauschale Bonuszahlung (letni dodatek), die jährlich von der Renten- und Invaliditätsversicherungsanstalt an Empfänger der Invaliditätsrente im Rahmen der Invaliditätsversicherung ausgezahlt wird. Der Betrag des Bonus ist abhängig von Betrag und Art der Rente (fünf verschiedene Beträge zwischen €155 und €465 im Jahr 2025).</t>
  </si>
  <si>
    <t>Rentenberechnungsbasis (pokojninska osnova): monatliches Durchschnittseinkommen über 24 aufeinander folgende Versicherungsjahre ab dem 1. Januar 1970 (es wird der für die versicherte Person günstigste Zeitraum gewählt). Berechnungsgrundlage ist das Nettoeinkommen der Person, von dem Rentenversicherungsbeiträge gezahlt wurden.</t>
  </si>
  <si>
    <t>Eine versicherte Person mit Anspruch auf Invaliditätsrente (invalidska pokojnina) erhält eine Mindestrente entsprechend 41% der Mindest-Rentenberechnungsbasis (pokojninska osnova) von €947,67 (brutto) (dieser Betrag muss jährlich angepasst werden, während die Mindestrentenbasis im Jahr 2025 €1.219,95 ist), d. h. €490,03 pro Monat. Die Mindest-Rentenberechnungsbasis wird durch die Renten- und Invaliditätsversicherungsanstalt Sloweniens (Zavod za pokojninsko in invalidsko zavarovanje Slovenije) festgelegt.
Im Oktober 2017 wurde die garantierte Rente (zagotovljena pokojnina) für Empfänger von Alters- oder Invaliditätsrente, die Beiträge in das Alterssystem (1. Säule) für den zum Erhalt einer Vollrente erforderlichen Zeitraum leisten, deren Betrag nicht unter €620 pro Monat (€781,94 seit 1. Januar 2025) liegt.
Die Höhe der garantierten Mindestinvaliditätsrente (zagotovljena najnižja invalidska pokojnina) ist auf 41% der Mindest-Rentenberechnungsbasis festgelegt und beträgt €490,03.
Keine gesetzliche Höchstrente vorgesehen, ergibt sich aber aus dem durch die Berechnungsmethode erhaltenen Höchstbetrag, welcher seit 1. Januar 2025 der maximalen Rentenberechnungsbasis von €4.879,80 (brutto) entspricht (d.h. viermal höher als die minimale Rentenberechnungsbasis).</t>
  </si>
  <si>
    <t>Zeiten von Krankheit, Mutterschaft, Vaterschaft und Arbeitslosigkeit und Kindererziehung werden für die Anspruchsberechtigung auf Leistungen bei Invalidität und der Berechnung von deren Betrag berücksichtigt.</t>
  </si>
  <si>
    <t>Medizinische Rehabilitation:
Siehe Tabelle II „Krankheit – Sachleistungen“.
Berufliche Rehabilitation:
Wird vom Arbeitgeber in Zusammenarbeit mit der Renten- und Invaliditätsversicherungsanstalt Sloweniens (Zavod za pokojninsko in invalidsko zavarovanje Slovenije) organisiert, die auch die Kosten trägt.
Die berufliche Rehabilitation ist ein integrierter Prozess, bei dem ein Versicherter beruflich, physisch und psychosozial für einen anderen Beruf oder eine andere Arbeit ausgebildet wird, damit er ordnungsgemäß eingestellt und wieder in das Arbeitsumfeld eingegliedert werden kann, oder für die Ausübung desselben Berufs oder derselben Arbeit ausgebildet wird, indem der Arbeitsplatz mit geeigneten technischen Hilfsmitteln an ihn angepasst wird. Ein Versicherter, der das Recht auf berufliche Rehabilitation erworben hat, ist verpflichtet, sich unter den gesetzlich festgelegten Bedingungen und in der gesetzlich festgelegten Weise und gemäß den im Vertrag festgelegten Verpflichtungen für eine angemessene Arbeit auszubilden.
Rehabilitationsgeld (nadomestilo za čas poklicne rehabilitacije) wird bis zur Beendigung der beruflichen Rehabilitation gezahlt. Die Leistung beträgt 130% der Invaliditätsrente (invalidska pokojnina), auf die Personen zum Zeitpunkt des Auftretens der Invalidität Anspruch gehabt hätten (bei außerbetrieblichen Maßnahmen beträgt die Leistung 40% dieses Betrags). Wenn die Anpassung der Räumlichkeiten und Arbeitsstätten erforderlich ist für die berufliche Rehabilitation oder die Aufrechterhaltung der Beschäftigung, trägt die Renten- und Invaliditätsversicherungsanstalt ganz oder teilweise die Kosten.
Beschäftigte Invaliden der Kategorien II und III, die noch erwerbsfähig sind, haben Anspruch auf die Leistung zum Ausgleich des Lohnverlusts, der durch Teilzeitarbeit, durch ein niedrigeres Entgelt in der neuen angemessenen Arbeitsstelle und durch Arbeitsplatzwechsel entstanden ist (siehe Tabelle V, Invalidität, „Andere Leistungen“).</t>
  </si>
  <si>
    <t>Behinderte Arbeitnehmer haben bei der Beschäftigung Priorität, so lange sie angemessen qualifiziert sind.
Es bestehen verschiedene Anreize für die Beschäftigung von Personen mit Behinderungen (Lohnkostenzuschüsse, andere finanzielle Anreize für die Beschäftigung von Menschen mit Behinderung oberhalb der vorgeschriebenen Quote, jährliche Auszeichnungen für Arbeitgeber mit vorbildlichem Verfahren).
Geschützte Werkstätten, Beschäftigungszentren und Arbeitgeber, die Menschen mit Behinderung oberhalb der vorgeschriebenen Quote beschäftigen, sind von der Zahlung der Renten- und Invaliditätsversicherungsbeiträge ausgenommen.
Arbeitgeber mit mehr als 20 Beschäftigten sind verpflichtet, einen bestimmten Anteil von Menschen mit Behinderung anzustellen. (welcher abhängig ist von dem Bereich der Tätigkeit, z.B. 2% in Handel, Fischerei, Catering, Finanzdienstleistungen, öffentlicher Verwaltung, 3% auf Baustellen, Transportwesen, Immobilienwesen, Bildungswesen, 6% in der Landwirtschaft, Bergbau, Gesundheitswesen, Sozialfürsorge).</t>
  </si>
  <si>
    <t>Renten werden regelmäßig einmal pro Jahr (im Februar) auf der Grundlage einer staatlichen Entscheidung je nach der Wirtschaftslage (d. h. dies berücksichtigt die Gehaltsentwicklung (60%) und die Inflation (40%)) angepasst. Im Januar 2025 lag der Indexierungssatz bei 4,5%.</t>
  </si>
  <si>
    <t>Recht auf Teilzeitarbeit und Teilbeihilfe (delno nadomestilo): Siehe Tabelle V, Invalidität, „Sonstige Leistungen“.</t>
  </si>
  <si>
    <t>Die Invaliditätsrente kann sowohl mit Pflegegeld (dodatek za pomoč in postrežbo) als auch mit Ergänzungszulage (EZ) (varstveni dodatek) kumuliert werden, vorausgesetzt, dass die Bedingungen erfüllt werden.</t>
  </si>
  <si>
    <t>Besteuerung nach allgemeinen Regeln. Keine besonderen Erleichterungen für Invaliditätsrente (invalidska pokojnina).
Ausgenommen: Einwohner, die Renten der obligatorischen Renten- und Invaliditätsversicherung beziehen, haben Anspruch auf eine zusätzliche persönliche Einkommenssteuererleichterung von 13,5% der betreffenden Rente.</t>
  </si>
  <si>
    <t>Von der Invaliditätsrente (invalidska pokojnina) und dem Rehabilitationsgeld (nadomestilo za čas poklicne rehabilitacije) sind für Gesundheitsleistungen und die Erstattung von Reisekosten im Krankheitsfall Beiträge in Höhe von 5,96% zu entrichten. Keine Bemessungsgrenze.</t>
  </si>
  <si>
    <t>Obligatorisches, versicherungsgebundenes System.
Selbstständige können nicht teilweise durch die gesetzliche Versicherung und teilweise durch die freiwillige Versicherung abgedeckt werden.</t>
  </si>
  <si>
    <t>Sozialversicherungsgesetz (Zákon o sociálnom poistení) Nr. 461/2003.
Arbeitsförderungsgesetz (Zákon o službách zamestnanosti) Nr. 5/2004.
Gesetz über Soziale Dienste (Zákon o sociálnych službách) Nr. 448/2008.
Gesetz zur finanziellen Unterstützung des Behindertenausgleichs (Zákon o peňažných príspevkoch na kompenzáciu ťažkého zdravotného postihnutia) Nr. 447/2008.
Verzeichnis der Rechtsakte: https://www.slov-lex.sk/pravne-predpisy</t>
  </si>
  <si>
    <t>Beitragsfinanziertes gesetzliches Sozialversicherungssystem für Arbeitnehmer und bestimmte Gruppen von Selbstständigen mit einkommensbezogenen Renten, die von Beiträgen und der Versicherungsdauer abhängen.
Invaliditätsleistungen sind Teil des staatlichen Rentensystems.
Möglichkeit der freiwilligen Versicherung für Personen über 16 Jahren.
Es gibt ein spezifisches Sozialhilfesystem für Invalidität – siehe Tabelle XI „Mindestsicherung“.
Sondersystem für Polizisten, Soldaten und Zollbeamte.</t>
  </si>
  <si>
    <t>Personen haben Anspruch auf eine Invalidenrente, wenn sie an einem langfristig schlechten Gesundheitszustand leiden. Invalidität beruht auf dem Grad der Einschränkung, die die Erwerbsfähigkeit vermindert.</t>
  </si>
  <si>
    <t>Pflichtmitgliedschaft für:
   * Arbeitnehmer;
   * Selbstständige mit Krankenversicherungspflicht;
   * Personen, die ein Kind bis zu dessen 6. Lebensjahr betreuen (oder bis zum 18. Lebensjahr bei einem Kind mit Behinderungen);
   * Personen, die Geldleistungen der häuslichen Pflege (Peňažný príspevok na opatrovanie) erhalten;
   * Personen, die persönliche Unterstützung von mindestens 140 Stunden im Monat verrichten;
   * Soldaten in freiwilligem Militärdienst;
   * Zeugen unter Bedrohung oder in Zeugenschutz.
Freiwillige Mitgliedschaft für:
Personen über 16 Jahre mit ständigem oder vorläufigem Wohnsitz in der Slowakei, z. B. im Ausland Beschäftigte, Arbeitslose, Selbstständige mit einem Jahreseinkommen unter €8.580 im Jahr 2024 (50% des nationalen Durchschnittslohns des Jahres 2023).</t>
  </si>
  <si>
    <t>Keine Pflichtversicherung für Selbstständige mit einem Jahreseinkommen unter €8.580 im Jahr 2024 (50% des nationalen Durchschnittslohns im Jahr 2023).</t>
  </si>
  <si>
    <t>Die erforderliche Mindestbeschäftigungsdauer ist abhängig vom Alter:
   * bis 20 Jahre &lt; 1 Jahr
   * 20 - 24 Jahre: 1 Jahr
   * 24 - 28 Jahre: 2 Jahre
   * 28 - 34 Jahre: 5 Jahre
   * 34 - 40 Jahre: 8 Jahre
   * 40 - 45 Jahre: 10 Jahre
   * über 45 Jahre: 15 Jahre
Bei Arbeitsunfällen oder Berufskrankheiten oder für Personen, die von Kindheit an behindert sind, ist keine Mindestdauer der Mitgliedschaft erforderlich.</t>
  </si>
  <si>
    <t>Anspruchsberechtigung auf Leistungen bei Invalidität ist abhängig vom Grad der Einschränkung der Person, d.h. das Ausmaß, in der ein längerfristig ungünstiger Gesundheitszustand eine Abnahme der Fähigkeit verursacht, einer Erwerbstätigkeit für mindestens ein Jahr nachzukommen.
Die Verminderung der Arbeitsfähigkeit wird auf der Basis der körperlichen und geistigen Verfassung der Person beurteilt, indem jeder Art von Krankheit oder Behinderung ein bestimmter Prozentsatz zugeordnet wird (wie im Anhang des Gesetzes angegeben).
Für eine Anspruchsberechtigung auf die Leistung beträgt das Mindestmaß an Verminderung der Erwerbsfähigkeit im Vergleich zu einer gesunden Person über 41%. Ist der Verlust der Fähigkeit größer als 70%, wird die Invalidität als Vollinvalidität eingestuft (Plná invalidita).</t>
  </si>
  <si>
    <t>Leistungen bei Invalidität werden ab Ausschöpfung des Anspruchs auf Leistungen bei Krankheit ausgezahlt (bis zu 52 Wochen), bis der Zustand der Invalidität anhält und längstenfalls bis der Anspruch auf Altersrente (Starobný dôchodok) beginnt.
Der Anspruchszeitraum auf Leistungen bei Invalidität wird auf dauerhafter Basis gewährt, wird aber überprüft, wenn sich Änderungen an der Fähigkeit ergeben, eine Erwerbstätigkeit auszuüben.
Kein vorgezogener Ruhestand im Fall verminderter Erwerbsfähigkeit.</t>
  </si>
  <si>
    <t xml:space="preserve">Der Antrag auf Leistungen bei Invalidität muss schriftlich beim Sozialversicherungsträger eingereicht werden.
Der Antrag auf Invalidität wird von einem Gerichtsmediziner des Sozialversicherungsträgers beurteilt, der mit einem praktischen Arzt, einem anwesenden Mediziner und einem Gutachter der Krankenkasse zusammenarbeitet. Ärzte sind Teil der beglaubigten Liste des Sozialversicherungsträgers.
Der Sozialversicherungsträger fällt dann die Entscheidung über den Anspruch auf Leistungen.
Die Bewertungsverfahren und angewendeten Kriterien gelten landesweit.
Das Recht auf Widerspruch ist garantiert. Die Berufungsinstanz ist in zweiter Instanz der Sozialversicherungsträger. </t>
  </si>
  <si>
    <t>Regelmäßige Überprüfungen der Arbeitsfähigkeit werden wie vom Gerichtsmediziner festgelegt durchgeführt. Bei vorübergehender Arbeitsunfähigkeit findet die Überprüfung alle 4 Wochen statt, während sie bei dauernder Invalidität nur dann durchgeführt wird, wenn sich eine Änderung des Grades der Arbeitsfähigkeit ergibt.
Die regelmäßige Überprüfung wird von einem Mediziner aus der beglaubigten Liste des Sozialversicherungsträgers durchgeführt.</t>
  </si>
  <si>
    <t>Höhe der monatlichen Leistung:
Invalidenrente (Invalidný dôchodok):
   * Ist die Erwerbsunfähigkeit höher als 70%: IB = DPE x RVZ x ARW.
   * Ist die Erwerbsunfähigkeit zwischen 41% und 70%: IB = DPE x RVZ x ARW x II/100.
DPE = Durchschnittlicher Persönlicher Entgeltpunkt (Priemerný osobný mzdový bod). Dieser wird bestimmt als Verhältnis der persönlichen Entgeltpunkte während bestimmter Kalenderjahre (im entscheidenden Zeitraum) zu den Zeiten der Rentenversicherung. Der persönliche Entgeltpunkt wird als Verhältnis des jährlichen Bruttoeinkommens des Versicherten zum durchschnittlichen Jahreseinkommen in der Slowakei bestimmt. Der Höchstwert des persönlichen Entgeltpunkts beträgt 3, während der Höchstwert des DPE 2,44 entspricht.
RVZ = Rentenversicherungszeit (Obdobie dôchodkového poistenia) = Anzahl der Versicherungsjahre als Versicherter + verbleibende Jahre bis zum Rentenalter.
II = Minderung der Erwerbsfähigkeit in Prozent.
ARW = aktueller Rentenwert (Aktuálna dôchodková hodnota). Der ARW wird jährlich von der Sozialversicherungsanstalt festgelegt. Für die Berechnung der Leistungen für das Jahr 2025 beträgt der ARW €18.7434.
Die Rente wird zwölf Mal im Jahr ausgezahlt mit einer 13. Zusatzzahlung am Jahresende, die der nationalen Durchschnittsinvalidenrente für das vorige Jahr entspricht, d.h. mindestens €300 (siehe Tabelle VI „Alter“).
Bezug anderer Sozialleistungen beeinflusst den Betrag der Leistung bei Invalidität (siehe „Kumulation mit anderen Sozialleistungen“).</t>
  </si>
  <si>
    <t>Leistungen sind abhängig vom Erwerbseinkommen des Versicherten während der gesamten Versicherungszeit siehe „Leistungen, 1. Berechnung, Formel, Beträge und Zahlungshäufigkeit“).</t>
  </si>
  <si>
    <t>Keine gesetzliche Invaliditätsrente. Siehe auch Tabelle VI „Alterssicherung, Mindestrente".
Keine gesetzliche Höchstrente, aber de facto besteht ein Maximum aufgrund der Berechnungsmethode.</t>
  </si>
  <si>
    <t xml:space="preserve">
   * Zeiten des Bezugs von Mutterschaftsgeld (Materské) und Pflegegeld für die Pflege eines kranken Angehörigen (Ošetrovné);
   * Zeiten der Betreuung von Kindern bis zum Alter von 6 Jahren oder für die Betreuung eines langfristig schwer behinderten Kindes bis zum Alter von 18 Jahren;
   *  Empfang von Geldleistungen der häuslichen Pflege (Peňažný príspevok na opatrovanie) oder Pflegegeld (Príspevok na osobnú asistenciu);
   * Zeiten freiwilligen Militärdiensts oder Zeiten unter Zeugenschutz.
</t>
  </si>
  <si>
    <t>Ausgleich für die verringerte Fähigkeit, grundlegende Aufgaben im Haushalt zu erfüllen, umfasst:
   * Sozialdienst, d.h. häuslicher Pflegedienst und Pflege in entsprechenden Einrichtungen;
   * Geldleistungen (siehe Leistungen im Zusammenhang mit Tabelle XII „Langzeitpflege“).
Schmerzensgeld (Náhrada za bolesť) und Ausgleich für geminderte soziale Chancen (Náhrada za sťaženie spoločenského uplatnenia) im Falle einer Verletzung:
Siehe Tabelle III „Krankheit - Geldleistungen".</t>
  </si>
  <si>
    <t>Maßnahmen zur Integration von Personen mit Einschränkungen in den Arbeitsmarkt:
   * Medizinische Rehabilitation erfolgt nach den ärztlichen Vorgaben: spezielle Kuraufenthalte (in Heilbädern), einfache Kuraufenthalte, genehmigte Spezialkuren, zwangsweise Rehabilitation auf Anordnung des Arztes;
   * Die Teilnahme an Ausbildung oder persönlichen Rehabilitationsaktivitäten ist nicht verpflichtend für den Bezug von Invaliditätsrente.</t>
  </si>
  <si>
    <t>Maßnahmen für bevorzugte Beschäftigung von Personen mit Behinderung, angeboten vom Amt für Beschäftigung, Soziales und Familie, sind:
   * Einstellungsquoten für Personen mit Behinderung: Arbeitgeber, die mindestens 20 Arbeitnehmer beschäftigen (mit Ausnahme von Polizei und staatlichen Sicherheits- und Rettungskräften), müssen eine Quote von mindestens 3,2% Arbeitnehmern mit Behinderungen haben;
   * niedrigere Krankenversicherungsbeiträge, gezahlt von Arbeitgebern für Arbeitnehmer mit Behinderung (5,5% anstelle von 11%);
   * Staatliche Zuschüsse (nicht-erstattungsfähiger finanzieller Beitrag) für die Beschäftigung von Personen mit einem chronisch schlechten Gesundheitszustand in sozialen Integrationsunternehmen (d.h. solchen, die mindestens 30% benachteiligte und/oder gefährdete Arbeitnehmer beschäftigen).
   * Staatliche Zuschüsse (nicht-erstattungsfähiger finanzieller Beitrag) für Arbeitgeber zur Schaffung geschützter Werkstätten und geschützter Arbeitsplätze, Arbeitsstellen für Arbeitnehmer mit Behinderungen und erschwertem Zugang zum Arbeitsmarkt zu erhalten, zur Zahlung der Arbeitsvermittlung und von Betriebs- und Transportkosten;
   * Staatlicher Zuschuss (nicht-erstattungsfähiger finanzieller Beitrag) für Menschen mit Behinderungen und erschwertem Zugang zum Arbeitsmarkt zur Einrichtung eines geschützten Arbeitsplatzes als Selbstständiger;
   * Geschützte Werkstätten (d.h. Arbeitsplätze, an denen mindestens 50% der Arbeitnehmer eine Behinderung und erschwerten Zugang zum Arbeitsmarkt haben) und geschützte Arbeitsplätze für Personen mit Behinderung und erschwertem Zugang zum Arbeitsmarkt;
   * Berufsberatung und Arbeitsvermittlung.</t>
  </si>
  <si>
    <t>Jährliche Anpassung (1. Januar) des aktuellen Rentenwertes gemäß der durchschnittlichen Veränderung der Bruttolöhne (im dritten Quartal des vorigen Jahres im Vergleich mit denen desselben Quartals von vor zwei Jahren).
Die Erhöhung des Durchschnittslohns wird mit einem Koeffizienten von 0,95 multipliziert.
Jährliche Anpassung (zum 1. Januar) der „Invalidenleistungen“ entsprechend der Entwicklung der Verbraucherpreise von Rentnerhaushalten. Außerordentliche Anpassung der Rentenleistungen: wenn der kumulative Anstieg der Verbraucherpreise für Rentnerhaushalte (bis 30. Juni) seit der letzten Erhöhung der Rentenleistungen 5% übersteigt.</t>
  </si>
  <si>
    <t>Kumulation mit Arbeitseinkommen (als Arbeitnehmer sowie als Unternehmer) möglich ohne Kürzung des Betrags der Invaliditätsleistung.</t>
  </si>
  <si>
    <t xml:space="preserve">
   * Kumulation mit einer ähnlichen Rentenart (d. h. Altersrenten): Die Rente mit dem höchsten Betrag ist zahlbar;
   * Kumulation mit einer anderen Leistungsart (z. B. Hinterbliebenenrente): Die höchste Leistung plus 50% der niedrigsten Rente sind zahlbar;
   * Kumulation mit einer separaten Leistungsart (z. B. Rente für die geleisteten Dienstjahre als Soldat) ist möglich.</t>
  </si>
  <si>
    <t>Renten unterliegen keiner Steuer.</t>
  </si>
  <si>
    <t>Invaliditätsversicherung ist obligatorisch für Selbstständige mit einem Jahreseinkommen über €8.580 im Jahr 2024, während es freiwillig für jene ist, die weniger als diesen Betrag verdienen. Keine Beiträge sind zahlbar, wenn die Person die Anspruchsbedingungen auf eine Altersrente erfüllt oder ihr eine vorzeitige Rente (Predčasný starobný dôchodok) oder eine Altersrente für geleistete Dienstjahre (Výsluhový dôchodok) nach Erreichen des Rentenalters zuerkannt wird.</t>
  </si>
  <si>
    <t>1. Säule (Grundsystem):
Bundesgesetz vom 19. Juni 1959 über die Invalidenversicherung (IVG).
Bundesgesetz vom 6. Oktober 2000 über den Allgemeinen Teil des Sozialversicherungsrechts (ATSG).
2. Säule (obligatorische Mindestvorsorge):
Bundesgesetz vom 25. Juni 1982 über die berufliche Alters-, Hinterlassenen- und Invalidenvorsorge (BVG).
Publikationsplattform des Bundesrechts: https://www.fedlex.admin.ch/fr/cc/internal-law/83</t>
  </si>
  <si>
    <t>1. Säule (Grundsystem):
Allgemeine Versicherung, welche den Existenzbedarf in angemessener Weise decken soll. Finanzierung durch Beiträge und Steuern nach dem Umlageverfahren. Für Erwerbstätige hängen die Beiträge von ihrem Einkommen ab, für Nichterwerbstätige von ihren sozialen Bedingungen.
2. Säule (obligatorische Mindestvorsorge):
Beitragsfinanzierte Pflichtversicherung für Arbeitnehmer ab einem bestimmten Lohn, finanziert nach dem Kapitaldeckungsverfahren. Zusammen mit der ersten Säule soll sie die Fortsetzung der gewohnten Lebenshaltung in angemessener Weise ermöglichen.
Das BVG sieht Mindestleistungen vor. Die Vorsorgeeinrichtungen können in ihren internen Statuten eine weitergehende Vorsorge vorsehen. In den MISSOC-Tabellen wird nur die gesetzliche Mindestvorsorge behandelt.
Säule 3a (gebundene Selbstvorsorge)
Freiwillige private Vorsorge für Erwerbstätige, die durch steuerliche Maßnahmen gefördert wird. Sie wird in den MISSOC-Tabellen nicht dargestellt.
Ergänzungsleistungen zur 1. Säule (EL)
Personen, die eine Alters-, Hinterbliebenen- oder Invalidenrente beziehen, haben Anspruch auf Ergänzungsleistungen, wenn ihre Mittel nicht ausreichen, um den Lebensbedarf zu decken. Siehe Tabelle XI „Mindestsicherung“.</t>
  </si>
  <si>
    <t>1. Säule (Grundsystem)/2. Säule (obligatorische Mindestvorsorge):
Invalidität ist die voraussichtlich bleibende oder längere Zeit dauernde ganze oder teilweise Erwerbsunfähigkeit. Für die 1. Säule: Nicht erwerbstätige Versicherte gelten als invalid, wenn die Beeinträchtigung ihrer Gesundheit sie daran hindert, sich im bisherigen Aufgabenbereich zu betätigen.
Die Invalidität kann Folge von Geburtsgebrechen, Krankheit oder Unfall sein.</t>
  </si>
  <si>
    <t>1. Säule (Grundsystem):
Drei Beitragsjahre.
2. Säule (obligatorische Mindestvorsorge):
Keine Mindestversicherungsdauer.</t>
  </si>
  <si>
    <t>1. Säule (Grundsystem):
Der Rentenanspruch beginnt frühestens mit dem 18. Altersjahr des Versicherten; er endet, sobald der Versicherte seine gesamte Altersrente vorzeitig bezieht oder das Referenzalter (Rentenalter) erreicht hat oder stirbt. (Umwandlung der Invalidenrente in eine Altersrente mit 64 Jahren und 3 Monaten bei Frauen und mit 65 Jahren bei Männern).
2. Säule (obligatorische Mindestvorsorge):
Frühestens mit 18 Jahren und während der Dauer der Invalidität.
Die Dauer der Leistungszahlungen variiert nicht je nach Art der Invalidität.</t>
  </si>
  <si>
    <t>Die kantonalen IV-Stellen sind für die Bemessung der Invalidität der Versicherten zuständig. Regionale ärztliche Dienste stehen ihnen zur Beurteilung der medizinischen Voraussetzungen des Leistungsanspruchs zur Verfügung. Darüber hinaus können sich die IV-Stellen auch Dritter bedienen.
Das Begutachtungsverfahren und die angewendeten Kriterien sind landesweit die gleichen.
Gegen Entscheidungen der IV-Stellen kann Beschwerde eingelegt werden.</t>
  </si>
  <si>
    <t>Die Invalidenrente wird von Amtes wegen oder auf Gesuch hin für die Zukunft revidiert, d.h. erhöht, herabgesetzt oder aufgehoben, wenn der Invaliditätsgrad des Rentenbezügers sich um mindestens fünf Prozentpunkte ändert, sich auf 100 Prozent erhöht oder sich der Sachverhalt nachträglich erheblich verändert.
Das Revisionsverfahren wird von der IV-Stelle durchgeführt.</t>
  </si>
  <si>
    <t>Minimum:
1. Säule (Grundsystem):
Vollrenten:
CHF1.260 (€1.346) pro Monat.
Kinderrente:
CHF504 (€538) pro Monat.
2. Säule (obligatorische Mindestvorsorge):
Keine gesetzliche Mindestrente.
Maximum:
1. Säule (Grundsystem):
CHF2.520 (€2.692) pro Monat. Die Summe der zwei Invalidenrenten (oder der Invaliden- und der Altersrente) für ein Ehepaar oder für eingetragene Partner darf 150% des Höchstbetrages der Altersrente nicht übersteigen: CHF3.780 (€4.039).
Kinderrente: CHF1.008 (€1.077) pro Monat.
2. Säule (obligatorische Mindestvorsorge):
Keine gesetzliche Höchstrente.</t>
  </si>
  <si>
    <t>1. Säule (Grundsystem):
Erziehungsgutschriften: Berücksichtigung eines fiktiven Einkommens (bei Berechnung der Rente) für die Jahre, während denen die Versicherten die elterliche Sorge über ein oder mehrere weniger als 16 Jahre alte Kinder innehaben.
Betreuungsgutschriften: das Gleiche gilt für Jahre, während denen die Versicherten hilflose Verwandte in auf- oder absteigender Linie oder Geschwister betreuen, die die Versicherten leicht erreichen können. Verwandten gleichgestellt sind Ehegatten, Schwiegereltern und Stiefkinder sowie die Lebenspartnerin oder der Lebenspartner, die oder der seit mindestens fünf Jahren ununterbrochen mit der versicherten Person einen gemeinsamen Haushalt führt.
Bei nichterwerbstätigen Ehegatten von erwerbstätigen Versicherten sowie Personen, die im Betrieb ihres Ehegatten ohne Barlohn mitarbeiten, gelten die eigenen Beiträge als bezahlt, sofern der Ehegatte Beiträge von mindestens der doppelten Höhe des Mindestbeitrages bezahlt hat.
Die eingetragene Partnerschaft ist einer Ehe gleichgestellt.
2. Säule (obligatorische Mindestvorsorge):
Keine anrechenbaren bzw. berücksichtigungsfähigen beitragsfreie Zeiten.</t>
  </si>
  <si>
    <t>1. Säule (Grundsystem)/2. Säule (obligatorische Mindestvorsorge):
Ehegatte/eingetragener Partner:
Keine Zulagen.
Kinder:
Der Bezüger einer Invalidenrente hat Anspruch auf eine Rente für jedes Kind, das bei seinem Tod Anspruch auf eine Waisenrente hätte.
1. Säule:
40% der Invalidenrente.
2. Säule:
20% der vollen Invalidenrente.</t>
  </si>
  <si>
    <t>1. Säule (Grundsystem):
Die Eingliederung geht vor. Maßnahmen der Frühintervention sollen dazu beitragen, dass gesundheitlich beeinträchtigte Minderjährige ab dem vollendeten 13. Altersjahr und gesundheitlich beeinträchtigte junge Erwachsene bis zum vollendeten 25. Altersjahr beim Zugang zu einer erstmaligen beruflichen Ausbildung und bei ihrem Eintritt in den Arbeitsmarkt unterstützt werden, arbeitsunfähige Versicherte ihren bisherigen Arbeitsplatz behalten können und die Versicherten an einem neuen Arbeitsplatz innerhalb oder ausserhalb des bisherigen Betriebes eingegliedert werden.
Eingliederungsmaßnahmen: medizinische Maßnahmen für die Versicherten unter 20 Jahren (in bestimmten Fällen unter 25 Jahren), Beratung und Begleitung, Integrationsmaßnahmen zur Vorbereitung auf die berufliche Eingliederung (Maßnahmen zur sozialberuflichen Rehabilitation, Beschäftigungsmaßnahmen), Maßnahmen beruflicher Art (Berufsberatung, erstmalige berufliche Ausbildung, Umschulung, Arbeitsvermittlung, Arbeitsversuch, PersonalverleihEinarbeitungszuschuss zugunsten des Arbeitgebers, Entschädigung für Beitragserhöhungen der 2. Säule und der Krankentaggeldversicherung wenn die versicherte Person nach erfolgter Arbeitsvermittlung innert drei Jahren erneut arbeitsunfähig wird und Kapitalhilfe), Hilfsmittel (Stützapparate, Körperersatzstücke, usw.), Maßnahmen zur Wiedereingliederung von Rentenbezügern (Beratung und Begleitung, Integrationsmaßnahmen zur Vorbereitung auf die berufliche Eingliederung, Maßnahmen beruflicher Art, Hilfsmittel, Beratung und Begleitung der Rentenbezüger und ihrer Arbeitgeber).
Taggelder werden im Prinzip während der Durchführung von Eingliederungsmaßnahmen oder während der erstmaligen oder höheren beruflichen Ausbildung ausgerichtet.
Die IV-Stellen sind für die Eingliederung zuständig.
2. Säule (obligatorische Mindestvorsorge):
Keine Eingliederungsmaßnahmen (werden von der 1. Säule gewährt).</t>
  </si>
  <si>
    <t>1. Säule (Grundsystem)/2. Säule (obligatorische Mindestvorsorge):
Quoten: Nicht vorgesehen.
Formen der geschützten Beschäftigung: Organisiert auf kantonaler Ebene.
Die Eingliederung von Menschen mit Behinderungen und ihre Integration in den Arbeitsmarkt werden auch durch Anreize für Arbeitgeber gefördert (vgl. Tabelle V „Invalidität“, „Wiedereingliederung in die Erwerbstätigkeit, Umschulung, berufsbezogene Rehabilitation“).</t>
  </si>
  <si>
    <t>1. Säule (Grundsystem):
Grundsätzlich alle zwei Jahre Anpassung der Renten an die Entwicklung der Löhne und Preise (im Grundsatz arithmetisches Mittel des Lohnindexes und des Landesindexes der Konsumentenpreise). Vorgezogene Anpassung, wenn der Konsumentenpreisindex in einem Jahr um mehr als 4% gestiegen ist.
2. Säule (obligatorische Mindestvorsorge):
Die seit 3 Jahren laufenden Invalidenrenten werden erstmals am Beginn des folgenden Kalenderjahres an die Preisentwicklung angepasst. Die folgenden Anpassungen erfolgen gleichzeitig mit den Anpassungen der Renten der 1. Säule.</t>
  </si>
  <si>
    <t>1. Säule (Grundsystem)/2. Säule (obligatorische Mindestvorsorge):
Erlaubt.
Übersteigt der Umfang der beruflichen Tätigkeit die von den IV-Stellen geschätzte Resterwerbsfähigkeit, wird der Invaliditätsgrad überprüft.</t>
  </si>
  <si>
    <t>1. Säule (Grundsystem):
Kumulation mit der Invalidenrente der Unfallversicherung erlaubt. Letztere wird bei Überversicherung gekürzt.
2. Säule (obligatorische Mindestvorsorge):
Kumulation erlaubt, jedoch Kürzung der Leistungen soweit sie zusammen mit anderen Leistungen gleicher Art und Zweckbestimmung sowie weiteren anrechenbaren Einkünften 90% des mutmaßlich entgangenen Verdienstes übersteigen.</t>
  </si>
  <si>
    <t>1. Säule (Grundsystem)/2. Säule (obligatorische Mindestvorsorge):
Die Renten unterliegen der Besteuerung.</t>
  </si>
  <si>
    <t>1. Säule (Grundsystem)/2. Säule (obligatorische Mindestvorsorge):
Besteuerung nach allgemeinen Regeln. Keine Sonderbestimmungen für die Renten.</t>
  </si>
  <si>
    <t>1. Säule (Grundsystem):
Versicherungsbasiertes und universelles System, das alle Personen, die in der Schweiz wohnen oder arbeiten, obligatorisch abdeckt.
2. Säule:
Freiwilliges Versicherungssystem für Selbstständige („Opt-in“-System).</t>
  </si>
  <si>
    <t>Sozialgesetzbuch (Socialförsäkringsbalk) von 2010.
Abschnitt B, Kapitel 22, Pflegebeihilfe für behinderte Kinder (vårdbidrag)/Betreuungsgeld für Kinder mit Behinderungen (omvårdnadsbidrag)/Pflegebeihilfe für behinderte Kinder (vårdbidrag) gemäß älteren Verordnungen vor 1. Januar 2019.
Sozialgesetzbuch (Socialförsäkringsbalken), Abschnitt C, Kapitel 33-37, Krankheitsausgleich und Aktivitätsausgleich (sjukersättning och aktivitetsersättning).
Sozialgesetzbuch, Abschnitt D, Kapitel 50, Beihilfe zur Deckung von Mehrkosten (merkostnadsersättning)/Behindertenbeihilfe (handikappersättning) gemäß älteren Verordnungen vor 1. Januar 2019.
Sozialgesetzbuch, Abschnitt D, Kapitel 51, Pflegebeihilfe (assistansersättning).
Sozialgesetzbuch, Abschnitt D, Kapitel 52, Kraftfahrzeugbeihilfe für Personen mit Behinderungen (bilstöd).
Verzeichnis der Rechtsakte: Socialförsäkringsbalk (2010:110) | Sveriges riksdag</t>
  </si>
  <si>
    <t>Krankheitsausgleich (sjukersättning):
Für Personen im Alter von 19 bis 29 Jahren: dauerhafte vollständige Arbeitsunfähigkeit aufgrund von Krankheit oder sonstiger physischer oder mentaler Beeinträchtigung.
Für Personen im Alter von 30 bis 65 Jahren: dauerhafte vollständige oder teilweise (mindestens 25%) geminderte Arbeitsfähigkeit aufgrund von Krankheit oder sonstiger physischer oder mentaler Beeinträchtigung.
Aktivitätsausgleich (aktivitetsersättning):
Für Personen im Alter von 19 bis 29 Jahren:
Langfristige (mindestens ein Jahr) vollständige oder teilweise (mindestens 25%) geminderte Arbeitsfähigkeit aufgrund von Krankheit oder sonstiger physischer oder mentaler Beeinträchtigung.</t>
  </si>
  <si>
    <t>Einkommensbezogener Aktivitäts-/Krankheitsausgleich (inkomstrelaterad sjukersättning/aktivitetsersättning) für alle Erwerbstätigen (Arbeitnehmer und Selbstständige) sowie Garantierter Ausgleich (garantiersättning) für Einwohner.
Krankheitsausgleich (sjukersättning): Personen im Alter von 19 bis 29 Jahren mit dauerhafter vollständiger Arbeitsunfähigkeit. Personen im Alter von 30 bis 65 Jahren mit dauerhafter vollständiger oder teilweise geminderter Arbeitsunfähigkeit.
Aktivitätsausgleich (aktivitetsersättning): Ab Vollendung des 19. Lebensjahres bis zum Alter von 29 Jahren mit vollständiger oder teilweiser Langzeitarbeitsunfähigkeit (mindestens ein Jahr).</t>
  </si>
  <si>
    <t>Krankheitsausgleich (sjukersättning) oder Aktivitätsausgleich (aktivitetsersättning) kann Personen mit vollständiger oder teilweiser Minderung der Arbeitsfähigkeit aufgrund von Krankheit oder anderen physischen oder psychischen Beeinträchtigungen gewährt werden.
Bei teilweiser Minderung wird je nach Invaliditätsgrad eine gekürzte Leistung in Höhe von ¾, ½ oder ¼ des vollen Betrages gezahlt.
Die geminderte Arbeitsfähigkeit wird als 1/1, ¾, ½ und ¼ ausgedrückt. Die Mindestminderung der Arbeitsfähigkeit ist ¼ (mit Ausnahme des Krankengeldes (sjukersättning) für die Altersgruppe 19-29 Jahre, das nur gewährt wird, wenn die Arbeitsfähigkeit um 1/1 gemindert ist). Die geminderte Arbeitsfähigkeit wird auf diese Weise bewertet, unabhängig davon, ob die Leistung aus einem Garantierten Ausgleich (garantiersättning), einem einkommensbezogenen Krankheits-/Aktivitätsausgleich (inkomstrelaterad sjukersättning/aktivitetsersättning) oder beidem besteht.</t>
  </si>
  <si>
    <t>Einem Antrag auf Aktivitätsausgleich (aktivitetsersättning) oder Krankenausgleich (sjukersättning) muss ein ärztliches Gutachten beiliegen.
Soziale Umstände, wirtschaftliche Situation, vorherige Arbeitserfahrung oder Ausbildung werden nicht berücksichtigt, es sei denn, der Versicherte ist über 61 Jahre alt.
Ein besonderer Beamter, der mit der Entscheidungsfindung betraut ist, führt eine Qualitätskontrolle durch und trifft die endgültige Entscheidung.
Ist die Person nicht mit der Entscheidung einverstanden, kann sie diese vor einem Verwaltungsgericht (Förvaltningsrätten) anfechten. Die Beschwerde muss innerhalb von zwei Monaten ab dem Tag eingereicht werden, an dem der Bescheid erhalten wurde.
Sämtliche Bewertungsverfahren und Kriterien sind die gleichen landesweit.</t>
  </si>
  <si>
    <t>Krankheitsausgleich (sjukersättning):
Die Überprüfung erfolgt durch einen Sachbearbeiter der schwedischen Sozialversicherungsanstalt (Försäkringskassan) mindestens in jedem dritten Jahr. Der Leistungsanspruch wird ebenfalls überprüft, wenn die Arbeitsfähigkeit sich verbessert hat, wenn die Versicherten Arbeitsfähigkeit nachgewiesen haben, die zu dem Zeitpunkt der Entscheidung nicht bekannt war, oder wenn sie ihre Möglichkeit, sich selbst zu unterhalten, durch ertragreiche Arbeit verbessert haben.
Aktivitätsausgleich (aktivitetsersättning):
Nach jeder Bewilligungsperiode erfolgt eine erneute Überprüfung der Arbeitsfähigkeit durch einen Sachbearbeiter der schwedischen Sozialversicherungsanstalt (Försäkringskassan). Der Leistungsanspruch wird ebenfalls überprüft, wenn die Arbeitsfähigkeit sich bedeutend verbessert hat, wenn die Versicherten regelmäßig und über einen längeren Zeitraum Arbeitsfähigkeit nachgewiesen haben, welche zu dem Zeitpunkt der Entscheidung nicht bekannt war, oder wenn sie ihre Möglichkeit, sich selbst zu unterhalten, durch ertragreiche Arbeit bedeutend verbessert haben.</t>
  </si>
  <si>
    <t>Einkommensbezogener Krankheits-/Aktivitätsausgleich (inkomstrelaterad sjukersättning/aktivitetsersättning):
Die Leistung beruht auf den rentenfähigen Einkommen, d. h. Erwerbseinkommen und Einkommen aus bestimmten Zweigen der sozialen Sicherheit wie Einkommensersatzleistungen bei Krankheit, Arbeitslosigkeit und Elternurlaub.</t>
  </si>
  <si>
    <t>Kein Mindestbetrag.
Keine gesetzliche Höchstrente.
Einkommensbezogener Krankheits-/Aktivitätsausgleich (inkomstrelaterad sjukersättning/aktivitetsersättning): Der Höchstbetrag der Leistung beträgt SEK 23.777 (€2.162) pro Monat.</t>
  </si>
  <si>
    <t>Einkommensbezogener Krankheits-/Aktivitätsausgleich (inkomstrelaterad sjukersättning/aktivitetsersättning):
Zeiten ohne Beitragsentrichtung werden bei der Leistungsberechnung nicht berücksichtigt.
Garantierte Vergütung (garantiersättning):
Zeiten der Abwesenheit vom Arbeitsplatz außerhalb Schwedens werden in Übereinstimmung mit der EU-Verordnung 883/2004 gutgeschrieben oder bei der Anspruchsberechtigung für garantierte Vergütung berücksichtigt (und/oder bei der Berechnung des zahlbaren Betrags).</t>
  </si>
  <si>
    <t>Hilfsmittel können von den örtlichen Gesundheitsbehörden gestellt werden und Arbeitgeber können Hilfsgeräte (arbetshjälpmedel) erwerben, damit eine Person im Krankenstand an den Arbeitsplatz zurückkehren kann.
Eine Kombination von Berufstraining und Leistung bei Teilinvalidität ist möglich.
Die Teilnahme an einem Berufstraining oder eine persönliche Rehabilitation sind manchmal notwendig/erforderlich, um Invalidenrente zu beziehen.</t>
  </si>
  <si>
    <t>Personen mit verminderter Arbeitsfähigkeit aufgrund einer Behinderung können, den Umständen entsprechend, verschiedene Arten der Unterstützung, Hilfen und Anpassungen erhalten. Der Arbeitgeber kann einen Ausgleich für die Bereitstellung der Unterstützung und auch finanzielle Zulagen zu Löhnen erhalten.
Keine besonderen Quoten für die Einstellung von Personen mit Behinderungen.
Es gibt entsprechend angepasste Arbeitsplätze für Personen mit Behinderungen.</t>
  </si>
  <si>
    <t>Für Leistungen, die vom Grundbetrag (prisbasbelopp) abhängig sind, wird die Anpassungsrate jährlich entsprechend der Preisentwicklung angepasst.</t>
  </si>
  <si>
    <t>Kumulierung des Einkommens aus Erwerbstätigkeit ist möglich mit Pflegebeihilfe (assistansersättning), Kraftfahrzeugbeihilfe für Personen mit Behinderung (bilstöd till personer med funktionsnedsättning), Betreuungsgeld für Kinder mit Behinderungen (omvårdnadsbidrag) oder Pflegebeihilfe für behinderte Kinder (vårdbidrag) und Beihilfe zur Deckung von Mehrkosten (merkostnadsersättning) oder Behindertenbeihilfe (handikappersättning).
Sobald der Krankheits-/Aktivitätsausgleich (sjukersättning/aktivitetsersättning) mindestens ein Jahr lang gezahlt wurde, darf der Leistungsempfänger arbeiten und kann die Ausgleichszahlungen ruhen lassen (für höchstens zwei Jahre). Während dieses Zeitraums wird ein steuerfreier Betrag in Höhe von 25% des ruhenden Ausgleichs gezahlt.
In bestimmten Fällen kann die Leistung mit Erwerbseinkommen kumuliert werden, sofern die Leistung spätestens ab Juni 2008 gewährt wurde.</t>
  </si>
  <si>
    <t>Kumulierung des Krankheits-/Aktivitätsausgleichs (sjukersättning/aktivitetsersättning) mit der Pflegebeihilfe (assistansersättning), Beihilfe zur Deckung von Mehrkosten (merkostnadsersättning) oder Behindertenbeihilfe (handikappersättning) oder dem Betreuungsgeld für Kinder mit Behinderungen (omvårdnadsbidrag) oder Pflegebeihilfe für behinderte Kinder (vårdbidrag) und Kraftfahrzeugbeihilfe für Personen mit Behinderung (bilstöd) ist möglich.</t>
  </si>
  <si>
    <t>Renten unterliegen der Besteuerung. Ausgenommen hiervon sind die Wohnzulage (bostadstillägg), Beihilfe zur Deckung von Mehrkosten (merkostnadsersättning), Behindertenbeihilfe (handikappersättning), Pflegebeihilfe (assistansersättning), Kraftfahrzeugbeihilfe für Personen mit Behinderung (bilstöd) und der Teil der Pflegebeihilfe für behinderte Kinder (vårdbidrag), mit dem zusätzliche Kosten aufgrund der Behinderung gedeckt werden.</t>
  </si>
  <si>
    <t>Besteuerung nach allgemeinem Regeln kommt zur Anwendung. Keine Sonderbestimmungen für Invalidenrenten.</t>
  </si>
  <si>
    <t>Erste Säule (Pilonul I):
Gesetz Nr. 360/2023 über das öffentliche Rentensystem (Legea nr.360/2023 privind sistemul public de pensii), mit späteren Änderungen.
Regierungsbeschluss Nr. 181/2024 zur Anerkennung der Regeln für die Anwendung von Gesetz Nr. 360/2023 über das öffentliche Rentensystem.
Zweite Säule (Pilonul II):
Gesetz Nr. 411 vom 18. Oktober 2004 über privat verwaltete Rentenfonds (Legea privind fondurile de pensii administrate privat), mit späteren Änderungen.
Dritte Säule (Pilonul III):
Gesetz Nr. 204 vom 22. Mai 2006 über freiwillige Renten (Legea privind pensile facultative), mit späteren Änderungen.
Die Informationen in dieser Tabelle beziehen sich ausschließlich auf das öffentliche System (Erste Säule).
Verzeichnis der Rechtsakte: https://legislatie.just.ro/Public/Acasa</t>
  </si>
  <si>
    <t>Allgemeines Rentensystem (Säule I):
Obligatorisches allgemeines Sozialversicherungssystem, beitragsfinanziert im Umlageverfahren, leistungsorientiert, mit Geld- und Sachleistungen.
Invaliditätsleistungen sind Teil des nationalen Rentensystems.
Kein spezifisches Sozialhilfesystem für Empfänger von Invaliditätsleistungen. Es gilt das allgemeine Mindestsicherungssystem (siehe Tabelle XI).</t>
  </si>
  <si>
    <t>Keine Mindestversicherungszeit.
Personen mit verminderter Arbeitsfähigkeit haben Anspruch auf eine Invalidenrente (pensie de invaliditate), wenn sie Beiträge kumuliert haben, und zwar unabhängig von der Dauer der Beitragsperiode.</t>
  </si>
  <si>
    <t>Die Beurteilung der Arbeitsfähigkeit zur Bestimmung der Kategorie der Invalidität erfolgt durch den medizinischen Sachverständigen der Sozialversicherung des Nationalinstituts für medizinische Expertise und zur Wiederherstellung der Arbeitsfähigkeit.
Die Kriterien und Bewertungsverfahren sind im ganzen Land identisch.
Nach der klinischen Untersuchung und Prüfung der Krankenakten wird eine medizinische Entscheidung über die Arbeitsfähigkeit getroffen.
Gegen diese Entscheidung kann innerhalb von 30 Kalendertagen nach Bekanntgabe der Entscheidung bei den Medizinischen Beschwerdekommissionen Berufung eingelegt werden, deren Entscheidung innerhalb von 30 Kalendertagen nach der Vorlage bei den zuständigen Gerichten weiter angefochten werden kann.</t>
  </si>
  <si>
    <t>Das Berechnungsverfahren beruht auf einem Punktesystem. Die Rentenformeln sind für die Alters-, Invaliden- und Hinterbliebenenrente sowie die Renten bei Arbeitsunfällen und Berufskrankheiten ähnlich. Der Anspruch unterliegt keinem Bedürftigkeitsnachweis.
Der Erhalt anderer Sozialleistungen wirkt sich nicht auf die Höhe der erhaltenen Invalidenrente aus.
Rentenformel für die Invalidenrente (pensie de invaliditate):
IR = RPW * GZP
Wobei
IR  = Invalidenrente (monatlicher Betrag)
RPW  = Referenzpunktwert = RON 81
GZP  = Gesamtzahl Punkte = JP+SP
JP  = Jahrespunkte = Summe (MP/12)
MP  = Monatspunkte = RE/DBE
RE  = Referenzeinkommen:
DBE  = Durchschnittliches Bruttoentgelt (d.h. der durchschnittliche Bruttolohn, der als Grundlage für die Berechnung des staatlichen Sozialversicherungshaushalts für das jeweilige Jahr herangezogen wird)
SP   = Stabilitätspunkte = 0,5 Punkte für jedes beitragspflichtige Jahr über 25; 0,75 Punkte für jedes beitragspflichtige Jahr über 30; 1 Punkt für jedes beitragspflichtige Jahr über 35.
Die Monatspunkte einer versicherten Person, die auch in die zweite Säule eingezahlt hat, werden an das Verhältnis zwischen dem Beitragssatz bei normalen Arbeitsbedingungen, der in das allgemeine Rentensystem einzuzahlen ist, und dem Beitragssatz bei normalen Arbeitsbedingungen, der sowohl in das allgemeine Rentensystem als auch in die zweite Säule einzuzahlen ist, angepasst.
Die Rentenformel für die Invalidenrente (pensie de invaliditate) berücksichtigt den zugerechneten Beitragszeitraum (stagiu potential), vorausgesetzt, dass die Person, bis zu dem Datum der medizinischen Entscheidung über die Arbeitsfähigkeit, bereits einen gewissen Beitragszeitraum erfüllt hat.
Der zugerechnete Beitragszeitraum entspricht der Differenz zwischen dem vollständigen beitragsabhängigen Versicherungszeitraum und dem Beitragszeitraum bis zur Gewährung der Invalidenrente. Dieser darf den von der versicherten Person potentiell erreichbaren Beitragszeitraum vom Beginn der Leistungsgewährung der Invalidenrente bis zum gesetzlichen Renteneintrittsalter nicht überschreiten.
Die Monatspunkte des zugerechneten Beitragszeitraums sind je nach Invaliditätskategorie unterschiedlich:
Invalidität Monatspunkte
Kategorie  (Punkte)
I —  0,25
II — 0,20
III — 0,10
Monatliche Zahlungen.
Finanzielle Unterstützung in Höhe von RON 800 (€157), ausgezahlt in zwei Raten von RON 400 (€79) jeweils im April und Dezember 2025, für Empfänger von Invalidenrenten, deren monatliches Renteneinkommen insgesamt RON 2.574 (€506) nicht übersteigt. Diese finanzielle Unterstützung ist derzeit nur für das Jahr 2025 vorgesehen.</t>
  </si>
  <si>
    <t>Referenzeinkommen: monatliches Bruttoeinkommen ähnlich der Berechnungsgrundlage für den in Tabelle I „Finanzierung“, „Beiträge der Versicherten und Arbeitgeber, 5. Invalidität“ genannten Arbeitnehmerbeitrag.
Referenzzeitraum ist der Beitragszeitraum.</t>
  </si>
  <si>
    <t>Mindesthöhe:
Rentner beziehen die Sozialbeihilfe für Rentner (indemnizatie sociala pentru pensionari), die sich auf RON 1.281 (€252) pro Monat beläuft, wenn ihre Invalidenrente unterhalb dieses Betrags liegt.
Maximal: Keine Höchstrente.</t>
  </si>
  <si>
    <t>Geldleistungen, z. B.:
Leistung für Pflegepersonen (indemnizatie de insotitor) für Personen mit einer Invalidenrente der Kategorie I (pensie de invaliditate gradul I).
Ab dem 1. Januar 2025 beträgt die Leistung für Pflegepersonen RON 2.025 (€398) monatlich.
Die Formel für die Leistung für Pflegepersonen lautet:
LP = 50%*MBL
Wobei:
LP = Leistung für Pflegepersonen (monatlicher Betrag)
MBL = Mindestbruttolohn = RON 4.050 (€797)</t>
  </si>
  <si>
    <t>Als allgemeine Regel gilt, dass Empfänger der Invalidenrente (pensie de invaliditate) an individuell zugeschnittenen Rehabilitationsprogrammen teilnehmen müssen, die vom Facharzt der Sozialversicherung erstellt wurden, der die medizinische Beurteilung der Arbeitsfähigkeit vorgenommen hat (d. h. an Programmen, die ihren Gesundheitszustand verbessern, um sie zur Arbeitsaufnahme zu befähigen). Ausgenommen sind Personen, deren Zustand unheilbar ist oder die noch fünf Jahre vom gesetzlichen Renteneintrittsalter entfernt sind und den vollständigen beitragsabhängigen Versicherungszeitraum erfüllt haben.
Die Nichteinhaltung dieser Verpflichtung führt zur Einstellung oder Beendigung der Invalidenrente.
Die Rehabilitationsprogramme werden vom Facharzt der Sozialversicherung entwickelt.
Andere Systeme bieten ebenfalls Rehabilitationsmöglichkeiten.</t>
  </si>
  <si>
    <t>Subventionierte Beschäftigung:
Um die Beschäftigung von Hochschulabsolventen und anderen Personen mit Behinderungen zu fördern, haben Arbeitgeber für einen bestimmten Zeitraum (Hochschulabsolventen 18 Monate, andere Personen 12 Monate) Anspruch auf monatliche Lohnkostenzuschüsse von RON 2.250 (€443). Die Arbeitgeber sind zur Beschäftigung der Betroffenen für einen Mindestzeitraum von 18 Monaten verpflichtet. Der Arbeitsplatz muss entsprechend angepasst werden und bei Heimarbeitern muss der Transport von Rohmaterial und Fertigprodukten von und zur Wohnung des Betroffenen gewährleistet werden.
Geschützte Beschäftigung:
Umfasst geschützte Arbeitsplätze und Unternehmen. Geschützte Unternehmen können öffentlich oder privat sein. Die geschützten Einrichtungen decken alle Behinderungsarten ab. Bedingungen wie die Beschäftigung eines bestimmten Prozentsatzes von Menschen mit Behinderungen (30%) sind zu erfüllen; zudem muss deren kumulierte Arbeitszeit mindestens 50% der Gesamtarbeitszeit aller Beschäftigten entsprechen. Die geschützten Unternehmen erhalten Steuervergünstigungen.
Quote:
Für den Fall der Nichterfüllung dieser Auflagen sieht das System Strafen vor. Die Standardquote von 4% gilt für private und öffentliche Arbeitgeber. Kleinere Unternehmen (mit weniger als 50 Mitarbeitern) sind von der Beschäftigungsverpflichtung ausgenommen. Bei Nichterfüllung sind Ausgleichsabgaben in der Höhe des Mindestbruttoentgelts (d. h. RON 4.050 (€797)) für jede beschäftigte Person unter der Quote zu zahlen.
Steuererleichterungen:
Arbeitgeber haben Anspruch auf Steuererleichterungen wie von der Körperschaftsteuer absetzbare Beträge in Höhe der Ausgaben für die Anpassung des Arbeitsplatzes, den Transport von Rohmaterial und Fertigprodukten von und zur Wohnung von Heimarbeitern mit Behinderungen, Transport von Mitarbeitern mit Behinderungen von und zum Arbeitsplatz. Arbeitgebern von Graduierten mit Behinderungen, die diese für einen festgesetzten Zeitraum (zwei Jahre) nach der für die Zahlung von Lohnkostenzuschüssen vorgeschriebenen Mindestbeschäftigungsdauer (18 Monate) beschäftigen, werden die Arbeitsversicherungsbeiträge für diese Mitarbeiter für diesen Zeitraum (zwei Jahre) erstattet.</t>
  </si>
  <si>
    <t>Der Referenzpunktwert wird jährlich auf der Grundlage der durchschnittlichen jährlichen Inflationsrate angepasst, ergänzt um 50% des realen Wachstums des durchschnittlichen Bruttolohns (anwendbar ab 2026).  Die Anpassung darf jedoch weder den prozentualen Anstieg der Einnahmen aus den Sozialbeiträgen noch die durchschnittliche jährliche Inflationsrate der letzten 2 Jahre übersteigen.</t>
  </si>
  <si>
    <t>Kumulation von Invalidenrente mit Einkommen aus Selbstständigkeit ist für alle Kategorien der Arbeitsunfähigkeit möglich, während Kumulierung mit Einkommen aus Erwerbstätigkeit für bestimmte berufliche Tätigkeiten gestattet ist, wie sie in der medizinischen Entscheidung über die Arbeitsfähigkeit ausgeführt sind. Die Höhe der Invaliditätsleistung wird in diesen Fällen nicht gekürzt.</t>
  </si>
  <si>
    <t>Invalidenrente (pensie de invaliditate) kann nicht mit anderen Rentenarten oder Arbeitslosengeld kumuliert werden.
Kumulation mit Leistungen aus anderen Systemen (z. B. garantiertes Mindesteinkommen) ist unter Berücksichtigung der jeweiligen Bedingungen dieser Systeme generell möglich.</t>
  </si>
  <si>
    <t>Die Invalidenrente (pensie de invaliditate):
Leistungen unterliegen der Besteuerung, außer diejenigen, die Beziehern von Invalidenrente mit schweren und hochgradigen Behinderungen gewährt werden.</t>
  </si>
  <si>
    <t>Obligatorische Sozialversicherung und wohnsitzgebundenes System.</t>
  </si>
  <si>
    <t>Versicherung in der staatlichen Rentenversicherung ist obligatorisch, wenn das monatliche durchschnittliche Nettoeinkommen dem Mindestbruttolohn entspricht oder diesen überschreitet, d.h. RON 4.050 (€797) ab 1. Januar 2025. </t>
  </si>
  <si>
    <t>Rechtsordnung Nr. 360/97 vom 17. Dezember 1997 über das System zur Überprüfung der Arbeitsunfähigkeit (SVI) im Rahmen der sozialen Sicherheit (Decreto-Lei nº 360/97, de 17/12, versão consolidada, Sistema de verificação de incapacidades no âmbito da segurança social), mehrfach geändert.
Rechtsordnung Nr. 265/99 vom 14. Juli 1999 über die Pflegezulage (Decreto-Lei nº 265/99, de 14/7, versão consolidada, complemento por dependência), mehrfach geändert.
Gesetz Nr. 53-B/06 vom 29. Dezember 2006 über den Indexwert für soziale Unterstützungen (Lei nº 53-B/06, de 29/12, versão consolidada, Indexante dos Apoios Sociais), mehrfach geändert.
Rechtsverordnung Nr. 187/07 vom 10. Mai 2007 über das Absicherungssystem bei Invalidität und Alter im allgemeinen System (Decreto-Lei nº 187/07, de 10/5, versão consolidada, regime de proteção nas eventualidades invalidez e velhice do regime geral), mehrfach geändert.
Gesetz Nr. 90/2009 vom 31. August 2009 über das besondere Absicherungssystem bei Invalidität (Lei nº 90/2009, de 31/10, regime especial de proteção na invalidez), mehrfach geändert
Verzeichnis der Rechtsakte - siehe hier.</t>
  </si>
  <si>
    <t>Obligatorisches Sozialversicherungssystem mit entgeltbezogenen Renten, die vom versicherungspflichtigen Entgelt und der Beitragsdauer abhängen.
Invaliditätsleistungen sind integraler Bestandteil des staatlichen Rentensystems.
Es gibt eine besondere Schutzklausel für den Fall der Invalidität, die die dauerhafte Arbeitsunfähigkeit mit der Prognose einer raschen Entwicklung hin zu einer Situation des Verlustes der Autonomie abdeckt, mit negativen Auswirkungen auf den ausgeübten Beruf, entweder aufgrund spezifischer schwerer und/oder degenerativer Krankheiten und seltener Krankheiten oder aufgrund von Nichtberufskrankheiten oder der zivilrechtlichen Haftung Dritter, plötzlichem oder frühem Auftreten.
(Beitragsunabhängiges System mit Leistungen, die der Bedürftigkeitsprüfung unterliegen, für Personen, die nicht über (ausreichende) finanzielle Mittel verfügen: siehe Tabelle XI „Mindestsicherung“.)</t>
  </si>
  <si>
    <t>Der Begriff der Invalidität umfasst jede Situation der Invalidität, die auf eine nicht berufsbedingte Ursache zurückzuführen ist, welche zu einer dauerhaften körperlichen, sensorischen oder geistigen Beeinträchtigung in Bezug auf die Ausübung der Berufstätigkeit führt.
Es kann zwischen zwei Arten unterschieden werden:
Relative Invalidität:
Als Invalide gilt der Arbeitnehmer, der vor Erreichen des Rentenalters wegen Arbeitsunfähigkeit aufgrund von Krankheit oder eines nicht durch die Sondergesetzgebung über Arbeitsunfälle und Berufskrankheiten erfassten Unfalls nicht mehr als ein Drittel des bei normaler Berufsausübung erhaltenen Einkommens erzielen kann.
Absolute Invalidität:
Vollständige und andauernde Erwerbsunfähigkeit für jegliche Tätigkeit.</t>
  </si>
  <si>
    <t>Relative Invalidität:
Entrichtete oder angerechnete Beiträge für mindestens 5 Jahre.
Absolute Invalidität:
Entrichtete oder angerechnete Beiträge für mindestens 3 Jahre.
Für die Invalidität, die durch die besondere Schutzregelung abgedeckt ist, sieht das Gesetz eine Mindestversicherungszeit von drei Jahren vor.
Zur Anerkennung von einem Jahr sind 120 Tage registriertes Einkommen notwendig.</t>
  </si>
  <si>
    <t>Um zu überprüfen, ob eine dauernde Invalidität vorliegt, werden die körperliche, sensorische und geistige Funktionsfähigkeit, der Allgemeinzustand, das Alter, die beruflichen Fähigkeiten und die verbleibende Arbeitsfähigkeit beurteilt.
Abhängig vom Grad der Invalidität des Empfängers kann die Invalidität relativ oder absolut sein.
Relative Invalidität:
66,66% Minderung der Fähigkeit zur Ausübung der normalen aktuellen oder früheren Tätigkeit; die invalide Person kann in der derzeitigen Tätigkeit nicht mehr als ein Drittel des normalerweise erhaltenen Gehalts verdienen, und es wird geschätzt, dass sie nicht innerhalb von 3 Jahren die Fähigkeit wiedererlangen kann, mehr als 50% des aktuellen Gehalts zu verdienen..
Absolute Invalidität:
100% andauernde Erwerbsunfähigkeit für jegliche Tätigkeit; die invalide Person kann bis zum 65. Lebensjahr nicht mehr in den Beruf zurückkehren.</t>
  </si>
  <si>
    <t>Die Invalidenrente wird ab dem Datum gezahlt, das von der ärztlichen Kommission zur Feststellung dauernder Invalidität (Commissão de verificação da incapacidade permanente) oder der Berufungskommission (commission d’appel (comissão de recurso) bestimmt wurde, oder ab dem Datum, an dem die Invalidität der Kommission zufolge eingetreten ist.
Eine vorläufige Invalidenrente wird gewährt, wenn der Empfänger die Krankheitsdauer von 1095 Tagen überschritten hat, arbeitsunfähig bleibt und auf die Invaliditätsprüfung wartet.
Die Invalidenrente wird ab dem Monat nach dem Monat, in dem der Rentner das 65. Lebensjahr vollendet hat, in eine Altersrente umgewandelt.
Die Invalidität wird durch das Invaliditätsprüfungssystem aufgrund der vom Empfänger vorgelegten dauerhaften Arbeitsunfähigkeit bescheinigt, unbeschadet der Tatsache, dass die Invalidenrente einer Revision der Invalidität auf Beschluss der Sozialversicherung oder des Empfängers unterzogen werden kann.
Die Revision der Invalidität kann erst nach Ablauf von sechs Monaten ab dem Zeitpunkt der Gewährung der Pension beantragt werden, außer im Falle einer Verschlimmerung der Invalidität.
Kein Vorruhestand im Falle einer Verringerung der Arbeitsfähigkeit.</t>
  </si>
  <si>
    <t>Im Bewertungsprozess bereitet ein vom Sozialversicherungssystem bestellter medizinischer Berichterstatter die Verfahren vor, sammelt die erforderlichen Unterlagen und erstellt die klinischen Berichte, die die Grundlage für die Entscheidung der Prüfungskommission bilden.
Der Grad der Invalidität, der Leistungsfähigkeit oder der Arbeitsunfähigkeit oder deren Minderung wird von der medizinischen Kommission für die Feststellung der dauernden Invalidität (Commissão de verificação da incapacidade permanente) beurteilt. Diese Kommission, die sich aus zwei von den Sozialversicherungsdiensten ernannten medizinischen Sachverständigen zusammensetzt, von denen einer den Vorsitz in der Kommission führt, bewertet den Gesundheitszustand der betreffenden Person und entscheidet, ob sie die Voraussetzungen für den Bezug der Pension erfüllt.
Die Bewertungsverfahren und -kriterien sind landesweit identisch.
Die Berufungskommission greift ein, wenn die Entscheidung des Invaliditätsausschusses die betroffene Partei nicht zufriedenstellt und diese eine neue Bewertung verlangt.
Die Kommission besteht aus zwei von der Sozialversicherung ernannten medizinischen Gutachtern, die sich von denen unterscheiden, die Mitglieder des Invaliditätsausschusses waren. Einer dieser Gutachter führt den Vorsitz in der Kommission. Ein dritter Gutachter kann von der betreffenden Person ausgewählt werden.
Wird die Invalidenrente zu diesem Zeitpunkt abgelehnt, kann ein neuer Antrag erst nach sechs Monaten nach dem Datum der Beratung gestellt werden.</t>
  </si>
  <si>
    <t>Die Revision der Invalidität ist sowohl auf Initiative der zuständigen Institutionen als auch auf Antrag der betroffenen Person möglich.
Die Revision/Neubewertung kann erst nach sechs Monaten ab dem Zeitpunkt der Beratung beantragt werden, außer im Fall der Verschlechterung der Arbeitsunfähigkeit.
Die Revision erfolgt durch das System zur Überprüfung der Arbeitsunfähigkeit, das sich aus den medizinischen Kommissionen für die Feststellung der dauernden Invalidität (Commissão de verificação da incapacidade permanente), der Berufungskommissionen und den medizinischen Berichterstattern zusammensetzt.</t>
  </si>
  <si>
    <t>Bezugslohn: durchschnittlicher Monatsbruttoverdienst in der gesamten Versicherungszeit bis zu max. 40 Jahren. Bei mehr Beitragsjahren wird das Durchschnittseinkommen der besten 40 Jahre zugrunde gelegt.
E/J x 14
E =Summe der versicherungspflichtigen Entgelte
J =Anzahl der Versicherungsjahre.
Die für die Rentenberechnung zugrunde gelegten Entgelte werden nach dem Preisindex des privaten Konsums (ohne Wohnung) aktualisiert.
Diese Regel gilt nicht für die versicherten Entgelte ab dem 01.01.2002 hinsichtlich der Effekte der Rentenberechnung für jedes Beitragsjahr. Hier erfolgt eine gewichtete Anpassung an den Verbraucherpreisindex (ohne Wohnung) zu 75% und an den Index der Lohnentwicklung zu 25%. Dabei darf die Anpassung die Entwicklung des Verbraucherpreisindex (ohne Wohnung) nicht um mehr als 0,5% übersteigen.
Für durch die besondere Schutzregelung abgedeckte Invalidität entspricht das berücksichtigte Referenzeinkommen R/42.
R = die Summe der Einkünfte der drei Kalenderjahre mit den höchsten Einkünften innerhalb der letzten 15 Jahre des registrierten Einkommens.</t>
  </si>
  <si>
    <t>Zeiten der Krankheit, Mutterschaft, Arbeitslosigkeit, des Militärdienstes, Zeiten, in denen Leistungen für berufliche Risiken bezogen oder die Aufgaben eines Geschworenen wahrgenommen wurden, Zeiten einer verringerten Erwerbstätigkeit oder der Aussetzung des Arbeitsvertrags in wirtschaftlichen Krisensituationen und Urlaubszeiten für die Kinderbetreuung, werden bezüglich Ansprüchen und Berechnung berücksichtigt.
Der Urlaub für die Betreuung von Kindern (Licença para assistência a filho), obwohl dieser nicht in den Bereich der Sozialversicherung fällt, wird beim Rentenprozentsatz berücksichtigt, wenn die Elternzeit ausgeschöpft ist.</t>
  </si>
  <si>
    <t>Ehepartner : € 46,61 pro Monat (lediglich für die vor dem 1. Januar 1994 gezahlten Renten).
Kinder:
Keine Rentenzulagen.</t>
  </si>
  <si>
    <t>Pflegezulage (complemento por dependência):
Zulage an Empfänger einer Invaliden-, Alters- oder Hinterbliebenenrente, die auf ständige Fremdhilfe angewiesen sind. Monatlicher Betrag, der an den Wert der Sozialrente (pensão social) gekoppelt ist: € 127,63 oder € 229,73 entsprechend der Pflegestufe (1. oder 2. Pflegestufe).
Jährlich erfolgen 14 Zahlungen. Das Urlaubs- und Weihnachtsgeld entspricht jeweils dem Betrag des entsprechenden Monats.
Sonderzulage für Mindestrenten bei Invalidität (complemento extraordinário para pensões de mínimos de invalidez): Gewährung für Rentner mit einer Invalidenmindestrente, die ab dem 1. Januar 2019 oder zwischen dem 1. Januar 2017 und dem 31. Dezember 2018 gezahlt wird und deren Gesamtbetrag 1,5xIAS (€ 783,75) oder weniger beträgt.
Rentner des allgemeinen Systems mit Rentenbezug ab 2017, 2018 oder ab 2019: monatliche Leistung in Höhe von € 5,68 bis € 23,18, je nach dem Jahr des Renteneintritts (2017, 2018 oder ab 2019) und der Dauer der beitragspflichtigen Erwerbstätigkeit.
Wird 14 Mal im Jahr bezahlt.</t>
  </si>
  <si>
    <t>Kein Angebot an beruflichen Schulungen oder Schulungen zur Wiedereingliederung (außer bei Arbeitsunfällen und Berufskrankheiten. Siehe Tabelle VIII).
(Im Rahmengesetz zur sozialen Sicherheit, Gesetz Nr. 4/07 vom 16.01.2007, sind Maßnahmen vorgesehen, doch wurden bisher noch keine Regelungen getroffen).</t>
  </si>
  <si>
    <t>Senkung der Sozialversicherungsbeiträge für Arbeitgeber, die Menschen mit Behinderungen einstellen.
Die Rechtsvorschriften sehen auch eine Mindestbeschäftigungsquote von bis zu 2% der Gesamtzahl der Arbeitnehmer im privaten Sektor und bis zu 5% in der öffentlichen Verwaltung (für Personen mit einem Behinderungsgrad von 60% oder mehr) vor.
Geplant sind auch Maßnahmen zur Sicherung der Beschäftigung.</t>
  </si>
  <si>
    <t>Eine Anpassung erfolgt einmal im Jahr ( außerordentliche Erhöhungen möglich) unter Berücksichtigung der Entwicklung des Bruttoinlandsprodukts und des Index der Verbraucherpreise (ohne Wohnung); für die niedrigsten Renten wird die günstigste Berechnung angewendet.
Außerordentliche Aktualisierungen für die niedrigsten Renten seit 2017</t>
  </si>
  <si>
    <t>Kumulierung mit Renten anderer obligatorischer oder freiwilliger Systeme, der Hinterbliebenenrente, der Zulage für unterhaltsberechtigte Personen (vor 1984 die Pflegezulage (complemento por dependência), die Leistungen zur sozialen Eingliederung (Prestação social para a Inclusão) (wenn die Behinderung mindestens 80% beträgt) und der Solidaritätszuschlag für ältere Menschen (Complemento de Solidariedade para as pessoas Idosas) (wenn kein Anspruch auf die Leistungen zur sozialen Eingliederung besteht).) unter bestimmten Bedingungen und mit der Pflegezulage möglich.
Die Invalidenrente - relativ und absolut - kann nicht mit Kranken- und Arbeitslosengeld kumuliert werden.</t>
  </si>
  <si>
    <t>Invalidenrenten unterliegen der Besteuerung entsprechend den Regelungen für Arbeitseinkommen.</t>
  </si>
  <si>
    <t>Für Renten wird wie für die Arbeitseinkommen ein besonderer Abschlag von € 4.462,15 (oder der Gesamtbetrag der Pflichtbeiträge zu den Sozialversicherungssystemen, falls dieser höher ist) gewährt, während für Invalidenrenten mit einem Invaliditätsgrad von über 60% zudem andere günstigere Regelungen gelten.</t>
  </si>
  <si>
    <t> Keine Beiträge.</t>
  </si>
  <si>
    <t>Rentenempfänger mit relativer Invalidität, die eine Tätigkeit ausüben: keine Unterschiede.
Die Rentenempfänger mit vollständiger Invalidität können Sozialleistungen nicht mit einer Erwerbstätigkeit kumulieren.</t>
  </si>
  <si>
    <t>Wie für Arbeitnehmer: Leistungen unterliegen der Besteuerung.</t>
  </si>
  <si>
    <t>Gleiche Regelungen wie für Arbeitnehmer. Keine Beiträge auf die Leistungen.</t>
  </si>
  <si>
    <t>Gesetz über das System der Sozialversicherung (Ustawa o systemie ubezpieczeń społecznych) vom 13. Oktober 1998.
Gesetz über Renten des Sozialversicherungsfonds (Ustawa o emeryturach i rentach z Funduszu Ubezpieczen Spolecznych) vom 17. Dezember 1998.
Verzeichnis der Rechtsakte – siehe https://isap.sejm.gov.pl/.</t>
  </si>
  <si>
    <t>Beitragsfinanziertes gesetzliches Sozialversicherungssystem für alle Arbeitnehmer und Selbstständigen mit einkommensbezogenen Renten, die von Beiträgen und der Versicherungsdauer abhängen.
Sondersystem für Angehörige der Polizei und der Streitkräfte, Staatsanwälte und Richter.
Gesetzliches Sozialversicherungssystem für Landwirte und deren Familienangehörige (für nähere Informationen siehe den Abschnitt der MISSOC-Datenbank zum Sozialschutz von Selbstständigen).
Invaliditätsrenten (Renty z tytulu niezdolności do pracy) sind Teil des nationalen Rentensystems.
Es gibt kein besonderes Unterstützungssystem. Es gilt das allgemeine System der Mindestsicherung (siehe Tabelle XI).</t>
  </si>
  <si>
    <t>Das Invalididtätssystem basiert auf der Arbeitsfähigkeit der betroffenen Person.</t>
  </si>
  <si>
    <t xml:space="preserve">
   * Arbeitnehmer;
   * Selbstständige;
   * Landwirte;
   * Empfänger von Arbeitslosengeld (Zasiłek dla bezrobotnych);
   * Personen im Elternurlaub;
   * Empfänger von Erziehungsgeld (Dodatek wychowawczy).
Personen, die nicht pflichtversichert sind, haben die Möglichkeit, sich freiwillig in der Rentenversicherung zu versichern.
Anspruchsberechtigung für Leistungen bei Invalidität ist nicht abhängig von Wohnsitz oder Staatsangehörigkeit.</t>
  </si>
  <si>
    <t>Invaliditätsrenten (Renty z tytułu niezdolności do pracy) sind zahlbar während eines Zeitraums beglaubigter Arbeitsunfähigkeit, beginnend ab dem in der Entscheidung der Sozialversicherungsanstalt (Zakład Ubezpieczeń Społecznych, ZUS) angegebenen Tag. Erhält eine person Krankengeld (zasiłek chorobowy) oder Rehabilitationsgeld (Świadczenie rehabilitacyjne), beginnt der Anspruch auf Invaliditätsrente mit der Erschöpfung des Anspruchs auf Krankengeld (Höchstdauer: 182 Tage oder 270 Tage bei Tuberkulose oder Schwangerschaft) oder Rehabilitationsgeld (Höchstdauer: 12 Monate).
Die Leistung wird bis zum gesetzlichen Rentenalter gezahlt; von da an wird die Invaliditätsrente durch die Altersrente ersetzt.
Die vorübergehende Erwerbsunfähigkeitsrente ist zahlbar für den in der Entscheidung angegebenen Zeitraum.
Vorgezogener Ruhestand ist möglich bei verminderter Erwerbsfähigkeit – siehe Tabelle VI „Altersrente”, „Bedingungen, 3. Vorgezogener Ruhestand”.</t>
  </si>
  <si>
    <t>Die Häufigkeit der Neubewertung ist nicht abhängig vom Grad der Invalidität oder dem Ausmaß der Erwerbsunfähigkeit, sondern vom Zeitraum der Erwerbsunfähigkeit, der in der Entscheidung der ZUS angegeben wurde. Vor dem Ende dieses Zeitraums ist eine Neubewertung notwendig für die Verlängerung des Anspruchs auf Invaliditätsleistung. Der bewertende Arzt der ZUS ist verantwortlich für die Durchführung der Neubewertung.
Leistungsempfänger können auch zu jeder Zeit eine Neubewertung verlangen, wenn sich der Gesundheitszustand verschlechtert. In einem solchen Fall beginnt das Verfahren von vorne, d.h. eine neue Entscheidung wird vom bewertenden Arzt und der medizinischen Kommission der ZUS ausgestellt (nach Vorlage der neuen ärztlichen Untersuchung und der medizinischen Dokumentation).</t>
  </si>
  <si>
    <t>Das Bezugseinkommen entspricht entweder dem durchschnittlichen Entgelt in 10 aufeinander folgenden Jahren innerhalb der letzten 20 Jahre oder der besten 20 Versicherungsjahre mit den höchsten Einkommen.
Bemessungsgrenze: 250% des nationalen Durchschnittslohns.</t>
  </si>
  <si>
    <t>Sozialrente (Renta socjalna): Erwachsene (ab 18 Jahren), und diejenigen, deren Invalidität vor dem Alter von 18 Jahren (bzw. 25 Jahren bei Vollzeitstudenten) eintritt, erhalten eine pauschale Leistung von PLN 1.878,91 (€443) pro Monat.
Pflegezulage (Dodatek pielęgnacyjny): Leistung an Personen mit Anspruch auf eine Alters-, Invaliditäts- oder Hinterbliebenenrente, die vollständig erwerbsunfähig und auf fremde Hilfe angewiesen sind oder die das 75. Lebensjahr vollendet haben. Betrag: Die Zulage beträgt monatlich PLN 348,22 (€82) (Anpassung wie bei Renten).</t>
  </si>
  <si>
    <t>Arbeitgeber mit 25 oder mehr Arbeitnehmern (Vollzeitäquivalent) müssen eine Behindertenquote von 6% erfüllen, wobei Schwerbehinderte doppelt oder dreifach angerechnet werden. Bei Nichteinhaltung dieser Quote droht den Arbeitgebern eine Geldstrafe von 40,65% des Durchschnittslohns für jeden Behinderten, der hätte eingestellt werden müssen (d. h. eine Steuer von maximal etwa 2,5% der Lohnsumme). Die Strafzahlungen fließen an den Staatlichen Fonds für die Rehabilitation von Menschen mit Behinderungen (Państwowy Fundusz Rehabilitacji Osób Niepełnosprawnych, PFRON), der diese Mittel für die Finanzierung verschiedener Rehabilitations- und Beschäftigungsprogramme nutzt.
Bei Arbeitnehmern, die durch einen Arbeitsunfall behindert werden, sind die Arbeitgeber verpflichtet, innerhalb von drei Monaten, nachdem der Arbeitnehmer sich bereit zur Wiederaufnahme der Arbeit erklärt hat, einen geeigneten Arbeitsplatz bereitzustellen. Dieser Vorgang wird von der staatlichen Arbeitsaufsicht überwacht. Bei Nicht-Einhaltung hat der Arbeitgeber einen Betrag in Höhe von 15 Monatsgehältern an PFRON zu entrichten. Ein Arbeitgeber hat nach den allgemeinen Gesundheits- und Sicherheitsbestimmungen dafür zu sorgen, dass behinderte Arbeitnehmer geeignete Arbeitsplatzbedingungen und einen geeigneten Zugang zum Arbeitsplatz haben.</t>
  </si>
  <si>
    <t>Invaliditätsrente (Renta z tytulu niezdolnosci do pracy), Sozialrente (Renta socjalna), Rehabilitationsgeld (Świadczenie rehabilitacyjne) und Ausbildungsgeld (Renta szkoleniowa):
Leistungen unterliegen der Besteuerung.
Pflegezulage (Dodatek pielęgnacyjny):
Leistung unterliegt nicht der Besteuerung.</t>
  </si>
  <si>
    <t>Invaliditätsrente (Renta z tytulu niezdolnosci do pracy), Sozialrente (Renta socjalna), Rehabilitationsgeld (Świadczenie rehabilitacyjne) und Ausbildungsgeld (Renta szkoleniowa):
Es gelten allgemeine Regeln der Besteuerung. Keine Einkommensgrenzen für die Besteuerung von Leistungen.</t>
  </si>
  <si>
    <t>9% Krankenversicherungsbeitrag.</t>
  </si>
  <si>
    <t>Selbstständige
Bei einer Kombination von selbstständiger Tätigkeit und bezahlter Beschäftigung als Arbeitnehmer sind nur Beiträge als Arbeitnehmer zu zahlen. Beiträge hinsichtlich der selbstständigen Tätigkeit sind freiwillig.
Landwirte
Bei der Kombination von landwirtschaftlicher Tätigkeit und bezahlter Beschäftigung als Arbeitnehmer sind nur Beiträge als Arbeitnehmer zu zahlen.</t>
  </si>
  <si>
    <t>Selbstständige
Wie für Arbeitnehmer.
Landwirte
Es gelten die gleichen Regelungen wie für Arbeitnehmer, während jedoch die Erwerbsunfähigkeitsrente für Landwirte einen beitragsabhängigen und einen zusätzlichen Teil umfasst. Der beitragsabhängige Teil gewährt dem Landwirt eine Leistung, die sich auf das Durchschnittseinkommen der betreffenden Person bezieht. Die Ersatzrate des zusätzlichen Teils beläuft sich auf rund 25% des Grundbetrags.</t>
  </si>
  <si>
    <t>Allgemeines Sozialversicherungsgesetz vom 9. September 1955 (ASVG).
Allgemeines Pensionsgesetz vom 18. November 2004 (APG).
Rechtsinformationssystem: https://www.ris.bka.gv.at</t>
  </si>
  <si>
    <t>Keine Versicherungspflicht, wenn das Bruttoentgelt unter der Geringfügigkeitsgrenze von monatlich €551,10 (2025) liegt.</t>
  </si>
  <si>
    <t>Invaliditätsrente/Berufsunfähigkeitsrente/Erwerbsunfähigkeitsrente bzw. Knappschaftsvollrente:
60 Versicherungsmonate innerhalb der letzten 120 Kalendermonate (nach Vollendung des 50. Lebensjahres wird die Wartezeit für jeden nach dem 50. Lebensjahr liegenden Monat um 1 Monat und der Beobachtungszeitraum um jeweils 2 Monate angehoben bis maximal 180 Versicherungsmonate innerhalb der letzten 360 Kalendermonate) oder das Vorliegen von mindestens 180 Beitragsmonaten oder mindestens 300 Versicherungsmonaten.
Die Wartezeit ist nicht erforderlich, wenn die Invalidität/Berufsunfähigkeit als Folge eines Arbeitsunfalls oder einer Berufskrankheit eintritt, bzw. bei Eintritt noch vor Vollendung des 27. Lebensjahres, wenn zumindest 6 Versicherungsmonate vorliegen.
Sonderregelung für originäre Invalidität (siehe Tabelle V‚ Gedecktes Risiko: Definition).</t>
  </si>
  <si>
    <t>Bei Berufsschutz: Um mindestens 50% reduzierte Arbeitsfähigkeit im Vergleich zu einem gesunden Versicherten mit ähnlicher Ausbildung.
Ohne Berufsschutz: Wenn die betroffene Person nicht mehr in der Lage ist, in einem zumutbaren Beruf zumindest die Hälfte des Entgelts eines gesunden Versicherten zu erwerben.
Entscheidungen für die Anspruchsberechtigung bzw. die diesbezüglichen Begutachtungen sind stets Einzelfallentscheidungen. Grundlage für die Entscheidung, ob Invalidität/Berufsunfähigkeit/Erwerbsunfähigkeit vorliegt, bildet eine ärztliche Begutachtung, bei der die Leistungsfähigkeit des:der Antragstellers:in in seinem:ihrem Beruf (bei Berufsschutz) bzw. auf dem Arbeitsmarkt generell (ohne Berufsschutz) festgestellt wird.</t>
  </si>
  <si>
    <t>Im Kompetenzzentrum Begutachtung bekommt der medizinische Dienst anlässlich des Antrags auf Rente den Auftrag, Invalidität und Berufsunfähigkeit oder Erwerbsunfähigkeit zu prüfen bzw. ob Berufsschutz vorliegt. Im Kompetenzzentrum Begutachtung erstellen medizinische und berufskundliche Begutachter:innen gemeinsam arbeitsmarktbezogene Gutachten. Bei Bedarf ist im Bereich des Allgemeinen Sozialversicherungsgesetzes auch ein:e sachkundige:r Vertreter:in des Arbeitsmarktservice beizuziehen bzw. werden auch externe Stellen wie z.B. das Berufliche Bildungs- und Rehabilitationszentrum befasst. Die entsprechenden Bescheide sind für das Arbeitsmarktservice und die Rentenversicherungsträger gleichermaßen bindend.
Ergibt die medizinische Untersuchung, dass die Invalidität oder die Berufsunfähigkeit vorübergehend mindestens sechs Monate dauern wird, dann wird für Versicherte, die ab 1.1.1964 geboren sind, statt einer befristeten Rente ein Rehabilitationsgeld von der Gesundheitskasse oder Umschulungsgeld vom Arbeitsmarktservice ausbezahlt. Längstens ein Jahr nach Zuerkennung des Rehabilitationsgeldes oder der letzten Begutachtung erfolgt eine Überprüfung des weiteren Vorliegens der vorübergehenden Invalidität/Berufsunfähigkeit.
Im nächsten Schritt werden die bei den Gesundheitskassen eingesetzten Case-Manager:innen tätig, welche die Leistungsbezieher:innen im Genesungsprozess unterstützen und begleiten. Nach einer Bedarfserhebung wird ein individueller Versorgungsplan erstellt und die im Einzelfall notwendigen und zweckmäßigen medizinischen Rehabilitationsmaßnahmen gewährt.
Sämtliche Maßnahmen sollen eine Besserung des Gesundheitszustandes bzw. die Wiedereingliederung der betroffenen Person in das Berufsleben bewirken.
Ein Beschwerderecht gibt es gegen den Bescheid, mit dem über den Antrag entschieden wird.
Das Begutachtungsverfahren wird bundesweit einheitlich angewendet.</t>
  </si>
  <si>
    <t>Für Personen, die ab dem 1. Jänner 1964 geboren sind:
Eine Invaliditätsrente/Berufsunfähigkeitsrente bzw. Knappschaftsvollrente gebührt nur bei dauerhafter Invalidität/Berufsunfähigkeit, bei der keine weitere Überprüfung erforderlich ist.
Befristete Erwerbsunfähigkeitsrenten werden weiterhin bei vorübergehender Erwerbsunfähigkeit zuerkannt.
Für Personen, die bis zum 31. Dezember 1963 geboren sind:
Die befristete Invaliditätsrente/Berufsunfähigkeitsrente/Erwerbsunfähigkeitsrente bzw. Knappschaftsvollrente wird, abhängig vom Grad der Invalidität/Berufsunfähigkeit/Erwerbsunfähigkeit längstens für 24 Monate vom Rentenversicherungsträger zuerkannt. Dann erfolgt eine Überprüfung des Gesundheitszustandes und die Zuerkennung erfolgt wieder für längstens 24 Monate.
Die Rente wird ohne zeitliche Befristung zuerkannt, wenn aufgrund des körperlichen oder geistigen Zustandes dauernde Invalidität/Berufsunfähigkeit/Erwerbsunfähigkeit anzunehmen ist.
Für die Durchführung der Überprüfung ist der Pensionsversicherungsträger bzw. das Kompetenzzentrum Begutachtung (siehe Tabelle V, Begutachtung, 1. Gutachter) verantwortlich.</t>
  </si>
  <si>
    <t>Die Berechnung der Invaliditätsrente erfolgt ähnlich wie bei einer Altersrente (siehe Tabelle VI).
Da insbesondere bei frühzeitiger Invalidität/Berufsunfähigkeit die auf dem Rentenkonto aufscheinende Gesamtgutschrift eine unzureichende Rentenhöhe ergäbe, ist die Anrechnung sogenannter Zurechnungsmonate vorgesehen. Liegt der Stichtag der Rente vor Vollendung des 60. Lebensjahres ist eine Anrechnung von Monaten vorgesehen, die zwischen dem Stichtag und der Vollendung des 60. Lebensjahres liegen, allerdings begrenzt mit 60% der Bemessungsgrundlage. Außerdem werden die Verluste aufgrund der mit der frühen Inanspruchnahme der Rente einhergehenden Rentenabschläge gedeckelt. Die Rentenabschläge von 4,2 Prozentpunkten pro Jahr vor Erreichen des Regelrentenalters dürfen insgesamt 13,8 Prozentpunkte nicht übersteigen. Der Stichtag ist der Tag der Antragstellung, wenn er auf einen Monatsersten fällt, sonst der dem Tag der Antragstellung folgende Monatserste.
Besondere Berechnungsvorschriften gibt es in der knappschaftlichen Rentenversicherung.
"Frühstarterbonus": Dadurch erhalten Personen, die zumindest 25 Beitragsjahre aufgrund einer Erwerbstätigkeit und davon mindestens 12 Erwerbstätigkeitsmonate vor dem 20. Geburtstag erworben haben, einen besonderen Zuschuss.
Der Betrag der zahlbaren Leistungen ist nicht vom Grad der Invalidität/Berufsunfähigkeit abhängig.
 Eine Kombination mit Erwerbseinkommen ist möglich; die Rente wird, wenn das monatliche Bruttoerwerbseinkommen die Geringfügigkeitsgrenze (€551,10) übersteigt, entsprechend reduziert. Die Höhe der Teilrente richtet sich nach dem Zuverdienst und der Rentenleistung.
Die Auszahlung der Rente erfolgt im Nachhinein, jeweils am Ersten des folgenden Monats.
Die Rente wird 14-mal jährlich gezahlt (je eine Sonderzahlung im April und Oktober).</t>
  </si>
  <si>
    <t>Rechtslage ab dem 1.1.2005 (gilt für Personen, die ab dem 1. Jänner 1955 geboren sind):
Rentenkontensystem mit jährlicher Feststellung der erworbenen Rentenhöhe. Berechnungsgrundlage ist das Erwerbseinkommen im Kalenderjahr bis zur Höchstbeitragsgrundlage. Die Aufwertung vergangener Beitragsgrundlagen erfolgt anhand der Lohnentwicklung.
Zur Rentenberechnung siehe Tabelle V, Berechnungsmethode bzw. Rentenformel.</t>
  </si>
  <si>
    <t xml:space="preserve">
   * Ehepartner:in: Keine Zulage.
   * Kinder: €29,07 pro Monat für jedes Kind bis zur Vollendung des 18. Lebensjahres bzw. bis zur Vollendung des 27. Lebensjahres bei Studium oder Berufsausbildung; kein Alterslimit bei Behinderung des Kindes.
   * Erhöhte Richtsätze für die Ausgleichszulage für im gemeinsamen Haushalt lebende:n Ehepartner:in und für Kinder (siehe Tabelle V, Leistungen - Mindest- und Höchstleistungen).</t>
  </si>
  <si>
    <t>Pflegegeld: Siehe Tabelle XII.
Erhöhte Familienbeihilfe: Siehe Tabelle IX.</t>
  </si>
  <si>
    <t>Anrechnungsbestimmungen falls eine Person, die Anspruch auf Invaliditätsrente, Berufsunfähigkeitsrente bzw. Knappschaftsvollrente oder Erwerbsunfähigkeitsrente hat, ein Bruttoerwerbseinkommen bezieht, das die Geringfügigkeitsgrenze in der Höhe von €551,10 (2025) pro Monat überschreitet: bei einem monatlichen Bruttogesamteinkommen über €1.557,93 (2025) bis €2.336,99 (2025) wird die Rente um 30% gekürzt, über €2.336,99 (2025) bis €3.115,86 (2025) um 40% und über €3.115,86 (2025) um 50%. Der Anrechnungsbetrag darf jedoch weder das Erwerbseinkommen noch 50% der Rente überschreiten.</t>
  </si>
  <si>
    <t>Kumulierung mit Leistungen aufgrund von Arbeitsunfällen und Berufskrankheiten sowie Hinterbliebenenrenten möglich. Auf das Pflegegeld werden andere pflegebezogene Leistungen angerechnet.
Keine Kumulierung mit der Altersrente.</t>
  </si>
  <si>
    <t>Es gelten die allgemeinen Besteuerungsregeln. Keine Einkommensgrenzen für die Besteuerung von Leistungen.</t>
  </si>
  <si>
    <t>6,0% Krankenversicherungsbeitrag.
ab 1.6.2025.
Bei Personen, die eine Ausgleichszulage (nicht aber einen Ausgleichszulagenbonus / Pensionsbonus) beziehen sowie deren im gemeinsamen Haushalt lebende und im Familienrichtsatz berücksichtigte (Ehe)Partnern weiterhin generell ein begünstigter KVB in der Höhe von 5,1% im Zeitraum vom 01.06.2025 bis 31.12.2025 in Abzug zu bringen (auch von ausländischen Renten). Bei Bezug eines Ausgleichszulagenbonus / Pensionsbonus ist bei der Leistung des AZ - Beziehers und der Leistung des (Ehe)Partners der reguläre KVB in der Höhe von 6,0% in Abzug zu bringen.</t>
  </si>
  <si>
    <t> Es gibt unterschiedliche spezifische Systeme für
   * Landwirte (BSVG) und
   * Gewerbetreibende (GSVG) Gewerbegesellschafter, Neue Selbständige, Freiberufler und Angehörige. Für die einzelnen Gruppen gelten unterschiedliche sozialversicherungsrechtliche Bestimmungen.</t>
  </si>
  <si>
    <t>BSVG und GSVG: keine spezifischen Bedingungen.
Versicherungsgrenze für „Neue Selbständige“ im GSVG (2025: €6.613,20 pro Jahr) sowie Mindesteinheitswert* (€1.500) im BSVG.
(* Der Einheitswert ist ein vom Finanzamt für Steuerzwecke festgestellter Wert, der die Ertragsfähigkeit des land- und forstwirtschaftlichen Betriebes ausdrückt.)</t>
  </si>
  <si>
    <t>BSVG und GSVG: Grundsätzlich gleiche Bedingungen, aber eine unterschiedliche Definition von Erwerbsunfähigkeit.
GSVG:
Die Definition der Erwerbsunfähigkeit hängt vom Alter der versicherten Person ab: Unter 50 Jahren gelten jene Personen als erwerbsunfähig, denen es aufgrund ihres Gesundheitszustandes nicht möglich ist, irgendeiner regelmäßigen Erwerbstätigkeit nachzugehen (kein Berufsschutz). Die reellen Chancen, am Arbeitsmarkt eine passende (noch ausübbare) Arbeit zu finden, sind unerheblich.
Über 50 Jahren gelten jene Personen als erwerbsunfähig, deren persönliche Arbeitsleistung zur Erhaltung des Betriebes notwendig war und denen es aufgrund ihres Gesundheitszustandes nicht möglich ist, eine selbstständige Erwerbstätigkeit auszuüben, die ähnliche Voraussetzungen und Kenntnisse erfordert wie jene, die in den letzten 60 Kalendermonaten ausgeübt wurde und wenn innerhalb der letzten 15 Jahre vor dem Stichtag in zumindest 90 Pflichtversicherungsmonaten (7,5 Jahre) eine selbstständige Erwerbstätigkeit oder eine Erwerbstätigkeit als Angestellte/Angestellter ausgeübt wurde (eingeschränkter Berufsschutz).
Ab 60 Jahren ist die Selbstständige/der Selbstständige auch dann erwerbsunfähig, wenn sie/er aus gesundheitlichen Gründen die Erwerbstätigkeit nicht mehr ausüben kann, die in den letzten 180 Kalendermonaten (15 Jahren) vor dem Pensionsstichtag mindestens 120 Monate (10 Jahre) hindurch ausgeübt wurde (Berufsschutz).
BSVG:
Bäuerinnen/Bauern gelten als erwerbsunfähig, wenn sie aus gesundheitlichen Gründen keine (regelmäßige) selbstständige oder unselbstständige Erwerbstätigkeit mehr ausüben können (kein Berufsschutz).
Ab 60 Jahren ist die Bäuerin/der Bauer auch dann erwerbsunfähig, wenn sie/er aus gesundheitlichen Gründen die Erwerbstätigkeit nicht mehr ausüben kann, die in den letzten 180 Kalendermonaten (15 Jahren) vor dem Pensionsstichtag mindestens 120 Monate (10 Jahre) hindurch ausgeübt wurde (Berufsschutz).</t>
  </si>
  <si>
    <t>BSVG und GSVG: Gleiche Regelung wie für Arbeitnehmer:innen.
GSVG: Ein Überbrückungszuschuss kann zur Sicherung einer bereits bestehenden selbstständigen Erwerbstätigkeit von Unternehmern:Unternehmerinnen mit einem Grad der Behinderung von mindestens 50% zur Abgeltung eines im laufenden Betrieb entstehenden behinderungsbedingten Mehraufwandes gewährt werden.</t>
  </si>
  <si>
    <t>Dasselbe Steuersystem wie für Arbeitnehmer:innen: Besteuerung nach allgemeinen Regeln.</t>
  </si>
  <si>
    <t>Regelrentenalter: Männer: 65 - Frauen: 61
Stufenweise Erhöhung der Altersgrenze für Frauen auf jene der Männer bis zum Jahr 2033 (Anhebung des Regelrentenalters um 6 Monate pro Kalenderjahr).</t>
  </si>
  <si>
    <t>Das Rentenalter ist nicht abhängig von einer bestimmten Anzahl von Beitrags- oder Versicherungsjahren. Allerdings müssen für einen Anspruch auf eine Rente zumindest 180 Versicherungsmonate (= 15 Jahre) vorliegen.</t>
  </si>
  <si>
    <t>Volksversicherungsgesetz (folketrygdloven) vom 28. Februar 1997, Abschnitte 6, 10, 11 und 12.
Verzeichnis der Rechtsakte – siehe hier.</t>
  </si>
  <si>
    <t>Invaliditätsleistungen (uføretrygd):
Dauerhaft verminderte Erwerbsfähigkeit aufgrund von dauerhafter Krankheit, Unfall oder Missbildung. Der Gesundheitszustand muss die Hauptursache der vollständigen oder teilweisen Minderung der Erwerbsfähigkeit sein.
Erwerbsfähigkeit muss dauerhaft um mindestens 50% für Einkommen aus jeglicher Art der Beschäftigung vermindert sein; um 40%, wenn die Person zum Zeitpunkt des Antrags auf Invaliditätsleistungen Zulage zur Arbeitsbeurteilung bezieht, oder um 30%, wenn die Invalidität durch eine berufsbedingte Verletzung der Krankheit begründet ist.</t>
  </si>
  <si>
    <t>Alle Mitglieder der Volksversicherung sind abgedeckt. Grundsätzlich gilt, dass alle Personen, die entweder ihren Wohnsitz oder Arbeitsplatz in Norwegen oder auf dauerhaften oder mobilen Anlagen auf dem norwegischen Festlandsockel haben, im Rahmen des Systems pflichtversichert sind. Staatsangehörigkeit ist keine Anspruchsvoraussetzung.
Personen mit geringem oder keinem bisherigen Einkommen haben Anrecht auf einen jährlichen Mindestbetrag.</t>
  </si>
  <si>
    <t>Invaliditätsleistungen (uføretrygd): 5 Versicherungsjahre unmittelbar vor Eintritt der Invalidität. Die Mindestversicherungszeit ist unabhägig vom Alter.
Unter besonderen Umständen sind besondere Regelungen anwendbar.
 Es gibt keine Mindestversicherungszeit für die Grundleistung (grunnstønad) oder Pflegeunterstützungsgeld (hjelpestønad).</t>
  </si>
  <si>
    <t>Invaliditätsleistungen (uføretrygd):
Fähigkeit, Einkommen aus (jeglicher) Erwerbsarbeit zu beziehen, muss um mindestens 50% oder 40% vermindert sein aufgrund von dauerhafter Erkrankung, eines Unfalls oder Ausfalls, wenn die Person zum Zeitpunkt der Beantragung der Invaliditätsleistungen Zulage zur Arbeitsbeurteilung bezieht oder 30%, wenn die Behinderung aufgrund eines Arbeitsunfalls oder einer Berufskrankheit besteht.</t>
  </si>
  <si>
    <t>Invaliditätsleistungen (uføretrygd):
Versicherte zwischen 18 und 67 Jahren, deren Arbeitsfähigkeit aufgrund von Krankheit, Verletzung oder Einschränkung vermindert ist, haben Anspruch auf Invaliditätsleistungen ohne Neubewertung. Die Leistung ist zahlbar, so lange die Person versichert bleibt oder Anspruch auf Altersrente hat (67). Invaliditätsleistungen werden nicht vorübergehend gewährt.
Hat die Person Anspruch auf Krankengeld (Dauer: ein Jahr) oder Zulage zur Arbeitsbeurteilung (normale Dauer bis zu drei Jahren), werden die Invaliditätsleistungen gewährt, nachdem das Krankengeld oder die Zulage zur Arbeitsbeurteilung ausgeschöpft wurden.
Grundleistung (grunnstønad) (zum Ausgleich zusätzlicher Ausgaben aufgrund der Gesundheitssituation) und Pflegeunterstützungsgeld (hjelpestønad):
Weder untere noch obere Altersgrenze mit Ausnahme der Leistung für zusätzliche Transportkosten, für die der Sonderbedarf vor dem Alter von 70 Jahren enstanden sein muss, um abgedeckt zu werden.
Eine verringerte Arbeitsfähigkeit ergibt keinen Anspruch auf eine vorgezogene Ruhestandsrente. Personen, die Teilinvaliditätsleistungen beziehen, können eine vorgezogene Teilrente beziehen, solange die anderen Bedingungen erfüllt sind.</t>
  </si>
  <si>
    <t>Bevor über die Gewährung von Invaliditätsleistungen entschieden wird, muss geklärt werden, welche Möglichkeiten bestehen, in Erwerbstätigkeit zu bleiben. Der Antragsteller muss entweder an seinem derzeitigen Arbeitsplatz oder in einem anderen Unternehmen an arbeitsorientierten Maßnahmen teilgenommen haben. Zusätzlich müssen alle angemessenen Behandlungen mit dem Ziel der Verbesserung der Arbeitsfähigkeit durchgeführt worden sein. Diese müssen von einem Arzt dokumentiert werden.
Die Beurteilung wird vom norwegischen Arbeits- und Wohlfahrtsdienst (Nav) durchgeführt; in den meisten Fällen, während die Person die Zulage zur Arbeitsbeurteilung bezieht.
Die Verfahren zur Beurteilung und angewendeten Kriterien sind landesweit die gleichen.
Für beide Leistungen besteht Widerspruchsrecht. Es gibt drei Ebenen: Widerspruch beim Arbeits- und Wohlfahrtsdienst Nav, beim nationalen Versicherungsgericht und bei den regulären Gerichten.</t>
  </si>
  <si>
    <t>Versicherte haben Anspruch auf Invaliditätsleistungen ohne Neubewertung. Ergeben sich aufgrund eines veränderten Gesundheitszustands jedoch erhebliche Änderungen an der Erwerbsfähigkeit, ist in bestimmten Fällen eine Neubewertung möglich. Die Beurteilung wird vom norwegischen Arbeits- und Wohlfahrtsdienst (Nav) durchgeführt.</t>
  </si>
  <si>
    <t>Invaliditätsleistungen werden auf der Basis des pensionsfähigen Durchschnittseinkommen der drei besten Jahre der letzten 5 Jahre vor Eintritt der Invalidität berechnet. Einkommen, das das 6-fache des Grundbetrags übersteigt (NOK 780.960 (€66.228)) wird nicht berücksichtigt. Der Satz für die Invaliditätsleistungen beträgt 66% der Berechnungsgrundlage im Jahr.
Personen mit geringem oder keinem bisherigen Einkommen erhalten einen jährlichen Mindestbetrag.
Der jährliche Mindestsatz beträgt 2,329 des Grundbetrags, d. h. NOK 303.143 (€25.707) für Personen, die mit einem Ehe- bzw. Lebenspartner zusammenleben, aber 2,379 des Grundbetrags, d.h. NOK 309.651 (€26.259), wenn die Leistung in Invaliditätsrente umgewandelt wird. Das Jahresminimum ist 2,529 des Grundbetrags, d. h. NOK 329.175 (€27.915) für alle weiteren Personen.
Versicherte, die seit der Geburt behindert sind oder vor dem 26. Lebensjahr aufgrund einer schweren Erkrankung invalide geworden sind, haben Anspruch auf einen höheren jährlichen Satz. Der jährliche Mindestsatz beträgt 2,709 des Grundbetrags, d. h. NOK 352.603 (€29.902) für Personen, die mit einem Ehe- bzw. Lebenspartner zusammenleben, und 2,959 des Grundbetrags, d. h. NOK 385.143 (€32.661) für alle weiteren Personen.
Die Zurechnung zukünftiger Versicherungszeiten soll unzureichende Versicherungsjahre aufgrund frühen Eintritts der Invalidität ausgleichen. Betragen die bisherigen und künftigen Versicherungszeiten insgesamt weniger als 40 Jahre, wird die Invaliditätsrente proportional gekürzt.
Bei teilweise verminderter Arbeitsfähigkeit wird die Leistung anteilsmäßig vermindert.
Die Leistung unterliegt keiner Bedürftigkeitsprüfung und ist unberührt vom Bezug anderer Sozialleistungen.
Es gibt keine zusätzlichen Zahlungen zu bestimmten Zeiten des Jahres (z.B. Weihnachten oder im Winter für Heizmaterial). Zusätzliche finanzielle Sozialhilfe kann gewährt werden, ist aber abhängig von einer Bedürftigkeitsprüfung.</t>
  </si>
  <si>
    <t>Siehe Tabelle V, “Invalidität - Leistungen - Berechnungsmethode, Formel, Beträge und Zahlungshäufigkeit”.</t>
  </si>
  <si>
    <t>Es gibt einen jährlichen Mindestbetrag für Personen mit geringem oder keinem bisherigen Einkommen, aber es gibt kein garantiertes Minimum, da der Mindestsatz gemäß der Versicherungsdauer, d.h. dem Zeitraum des Wohnsitzes in Norwegen, vermindert werden kann. Die jährlichen Invaliditätsgrundleistungen werden anteilsmäßig vermindert, wenn die Summe der bisherigen und zukünftigen Versicherungszeiträume weniger als 40 Jahre beträgt. Für eine alleinstehende Person mit 40 (allein auf dem Wohnsitz beruhenden) früheren und zukünftigen Versicherungszeiten einschließlich der Zurechnungszeiten beträgt die jährliche Rente das 2,529-fache des Grundbetrags, d.h. NOK 329.175 (€27.915).
Die höchstmöglichen Leistungen betragen seit 1. Mai 2025 66% des 6-fachen Grundbetrags, d.h. NOK 515.434 (€43.710).
Monatliche Zahlungen. Bei teilweiser Invalidität werden die Invaliditätsleistungen anteilsmäßig vermindert.</t>
  </si>
  <si>
    <t>Jahre des Militärdienstes, d. h. Mindesterträge des 3-Fachen des Grundbetrags.</t>
  </si>
  <si>
    <t>Keine Ehegattenzulage.
Bei Bedürftigkeit wird eine Kinderzulage (barnetillegg) von 40% des Grundbetrags für jedes unterhaltene Kind unter 18 Jahren gewährt, d.h. NOK 52.064 (€4.415).</t>
  </si>
  <si>
    <t xml:space="preserve">
   * Grundleistung (grunnstønad) zur Bestreitung zusätzlicher Aufwendungen aufgrund dauernder Krankheit, Verletzung oder Missbildung: 6 je nach dem zusätzlichen Bedarf unterschiedliche Stufen zwischen NOK 9.024 (€765) und NOK 44.928 (€3.810) im Jahr. Monatliche Zahlungen;
   * Pflegeunterstützungsgeld (hjelpestønad) zur Bestreitung des zusätzlichen Pflegebedarfs. Die Standardleistung beträgt NOK 16.152 (€1.370) jährlich. Für behinderte Kinder unter 18 Jahren gelten 3 höhere Leistungssätze bis zu NOK 96.912 (€8.218) jährlich. Monatliche Zahlungen;
   * Technische und andere Hilfsmittel zum Ausgleich der funktionalen Behinderung bei Verrichtungen des täglichen Lebens.
</t>
  </si>
  <si>
    <t>Berufliche Bildungsmaßnahmen und Rehabilitation werden nicht grundsätzlich angeboten, sobald die Invaliditätsleistungen gewährt wurden. Bedingung für den Bezug von Invaliditätsleistungen (uføretrygd) ist, dass zuvor geeignete berufliche Bidlungs- und Rehabilitationsmaßnahmen versucht wurden. Personen können anspruchsberechtigt sein für bezuschusste Arbeit innerhalb des Unternehmens oder in geschützten Werkstätten.</t>
  </si>
  <si>
    <t>Falls sinnvoll, können Lohnkostenzuschüsse gewährt werden. Eine entlohnte Rehabilitationsmaßnahme kann beim bisherigen Arbeitgeber oder in einer beschützten Werkstatt erfolgen.</t>
  </si>
  <si>
    <t>Jährliche Anpassung basierend auf der Anpassung des Grundbetrags (Grunnbeløpet) der sozialen Sicherung. Jährliche Anpassung der Höhe des Grundbetrags durch den am 1. Mai in Kraft tretenden Königlichen Erlass unter Berücksichtigung der allgemeinen Einkommensentwicklung.
Grundleistung (grunnstønad) und Pflegeunterstützungsgeld (hjelpestønad) sind im Rahmen des Haushalts unabhängig vom Grundbetrag fixierte Beträge. Während der letzten Jahre wurde der Nominalwert jedoch ohne weitere Anpassungen weitergeführt.</t>
  </si>
  <si>
    <t>Der Bezieher der vollen Invaliditätsleistungen (uføretrygd) kann ein jährliches Arbeitseinkommen von bis zu 40% des Grundbetrags (Grunnbeløpet), d.h. NOK 52.064 (€4.415) haben, ohne dass eine Leistungskürzung erfolgt. Bei höherem Einkommen werden die Leistungen um einen Teil des übersteigenden Einkommens herabgesetzt. Der Grad der Invalidität wird nicht neu berechnet.
Der Bezieher von Invaliditätsleistungen für eine teilweise Invalidität kann zusätzlich zu dem Einkommen, das dem Grad der verbliebenen Erwerbsfähigkeit entspricht, weiteres Erwerbseinkommen bis zu 40% des Grundbetrags haben, ohne dass eine Leistungskürzung erfolgt.
Finanzielle Hilfen, die der Arbeitgeber über den Lohn hinaus aufgrund einer Vereinbarung über die Beendigung des Arbeitsverhältnisses oder eine Verkürzung der Arbeitszeit gewährt, führen zu einer entsprechenden Kürzung von Invaliditätsleistungen.</t>
  </si>
  <si>
    <t>Der Bezug der vollen Invaliditätsleistungen (uføretrygd) schließt den Bezug anderer Einkommensersatzleistungen der Volksversicherung (folketrygden) aus. Teilinvaliditätsleistungen können mit mit anderen Leistungen kombiniert werden, die Einkommensverluste kompensieren.
Sowohl Teilinvaliditätsleistungen als auch Invaliditätsleistungen können mit Grundleistung (grunnstønad) und Pflegeunterstützungsgeld (hjelpestønad) und anderen Sozialleistungen kombiniert werden, zum Beispiel Wohngeld oder Wirtschaftlicher Sozialhilfe (økonomisk sosialhjelp).
Die Invalidenrente des öffentlichen Dienstes wird zusätzlich zur Zulage zur Arbeitsbeurteilung und Invaliditätsleistungen der Volksversicherung gezahlt und unabhängig von dieser festgelegt.</t>
  </si>
  <si>
    <t>Invaliditätsleistung (uføretrygd) unterliegt der Besteuerung.
Grundleistung (grunnstønad) und Pflegeunterstützungsgeld (hjelpestønad) unterliegen nicht der Besteuerung.</t>
  </si>
  <si>
    <t>Die Leistung wird wie Arbeitseinkommen versteuert. Es gelten allgemeine Steuervorschriften. Keine besonderen Regelungen.</t>
  </si>
  <si>
    <t>Bezieher von Invaliditätsleistungen zahlen einen ermäßigten Beitrag von 7,7%.</t>
  </si>
  <si>
    <t>Allgemeines wohnsitzgebundenes Pflichtversicherungssystem.</t>
  </si>
  <si>
    <t>Gleiche Bedingungen wie für Arbeitnehmer.
Invaliditätsrente (uføretrygd) wird wie Lohneinkommen besteuert.</t>
  </si>
  <si>
    <t>Invaliditätsversicherungsgesetz (Wet op de arbeidsongeschiktheidsverzekering, WAO) (vorheriges System).
Gesetz über Arbeit und Einkommen entsprechend der Arbeitsfähigkeit (Wet Werk en Inkomen naar Arbeidsvermogen, WIA) (aktuelles System, geltend seit dem 1.1.2006).
Gesetz zur Hilfe bei Arbeitsunfähigkeit für junge Behinderte (Wet arbeidsongeschiktheidsvoorziening jonggehandicapten, Wajong).
Verzeichnis der Rechtsakte: www.wetten.nl</t>
  </si>
  <si>
    <t>Als völlig oder teilweise arbeitsunfähig gilt, wer infolge von Krankheit oder Behinderungen nicht mehr imstande ist, dasjenige zu verdienen, was gesunde Arbeitnehmer mit ähnlicher Ausbildung und gleichwertigen Fähigkeiten normalerweise an ihrem jetzigen oder jüngsten Arbeitsplatz oder in der Region verdienen würden.
In den Niederlanden ist die Ursache der Arbeitsunfähigkeit (Invalidität oder Arbeitsunfall/Berufskrankheit) unerheblich.</t>
  </si>
  <si>
    <t>WIA/WAO: Alle Arbeitnehmer die jünger als die Regelaltersgrenze sind.
Selbstständige sind nicht automatisch durch das WIA/WAO-System abgesichert: sie können sich für eine Mitgliedschaft auf freiwilliger Basis im allgemeinen System entscheiden.
Wajong: Einwohner der Niederlande, die das gesetzliche Rentenalter noch nicht erreicht haben und die
   * bei Vollendung des 18. Lebensjahres dauerhaft erwerbsunfähig waren oder
   * seit diesem Zeitpunkt erwerbsunfähig wurden und im direkt vorausgegangen Jahr mindestens 6 Monate lang Studenten waren.</t>
  </si>
  <si>
    <t>Keine Mindestversicherungsdauer erforderlich.</t>
  </si>
  <si>
    <t>WAO/WIA
Wenn die Einkommenskapazität nach 88 Wochen der Krankheit noch vermindert ist, kann ein Antrag auf Invaliditätsleistung gestellt werden. Ein Arzt und Experte der Ausführungsbehörde für Arbeitnehmerversicherungen (Uitvoeringsinstituut werknemersverzekeringen, UWV) bewerten den Antrag durch eine Untersuchung des Invaliditätsgrades. Siehe ‘Begutachtungskriterien und Kategorien der Arbeitsunfähigkeit/Arbeitsfähigkeit’ für nähere Informationen.
Bewertungsverfahren und –kriterien gelten landesweit.
Wajong seit 2015
Ein Arzt und Experte des UWV führen eine Untersuchung durch, um zu bestimmen, ob die Invalidität dauerhaft ist (duurzaam geen arbeidsvermogen). Siehe ‘Bewertungs-kriterien und Kategorien der Erwerbsfähigkeit/Erwerbsunfähigkeit’ für nähere Informationen.
WIA/WAO/Wajong
Personen, die mit einer Entscheidung des zuständigen Trägers nicht einverstanden sind, können zunächst bei dieser Institution Widerspruch einlegen und dann nach Beendigung des Widerspruchverfahrens die Abteilung für Verwaltungsrecht beim Bezirksgericht anrufen.</t>
  </si>
  <si>
    <t>Die Häufigkeit der Bewertungen ist abhängig vom Grad der Erwerbsfähigkeit und wird vom Arzt und Experten des UWV festgelegt oder auf Anfrage des Leistungsempfängers oder selbstversicherten (ehemaligen) Arbeitgebers (‘eigen risicodrager’) durchgeführt.
Für die Neubewertung ist das UWV verantwortlich.</t>
  </si>
  <si>
    <t>WIA/WAO: Netto-Arbeitsverdienst (Obergrenze: €297,82 am Tag). Ausgenommen Anschlussleistung: gesetzlicher Mindestlohn
Wajong: Siehe „Leistungen 1. Berechnungsmethode oder Rentenformel“.</t>
  </si>
  <si>
    <t>WAO und Wajong: Das Sterbegeld entspricht dem Brutto-Betrag einer Monatsleistung, auf die der Verstorbene Anspruch hatte.</t>
  </si>
  <si>
    <t>WIA/WAO und Wajong:
Arbeitgeber können beim UWV eine Beitragssenkung beantragen, wenn sie Empfänger einer Invaliditätsleistung ab einem Alter von 50 Jahren einstellen.
Arbeitgeber, die Leistungsempfänger einer Invaliditätsleistung (WIA/ WAO/Wajong) einstellen, können Ausgleichzahlungen für Lohnkosten im Krankheitsfall erhalten (so genannte „no-riskpolis’ des Krankengeldgesetz (Ziektewet, ZW)).
Das UWV kann Leistungsempfängern, die eine Beschäftigung als Arbeitnehmer oder Selbstständiger aufnehmen und berufsunterstützende Hilfsmittel benötigen, um ihrer Beschäftigung nachzugehen, diese Hilfsmittel anbieten. Die Hilfsmittel müssen erforderlich sein und der Person eine Beschäftigung ermöglichen. Verschieden Arten von angebotenen Hilfsmitteln umfassen ‚transportable Hilfsmittel‘ für eine Einzelperson (und an diese Person gebunden), Transportmittel um zum Arbeitsplatz zu gelangen, intermediäre Hilfsmittel für Personen mit Seh- oder Hörbeeinträchtigungen oder Einschränkungen im Bewegungsapparat, sowie persönliche Berufsberatung. Persönliche Berufsberatung ist insbesondere für Wajong wichtig. Diese Hilfsmittel können auch während einer Krankheitsperiode (WIA) bezogen werden.
Für Wajong, WIA, ZW und WAO wurde die Höchstdauer des Praktikums (proefplaatsing) von 3 auf 6 Monate verlängert. Während des Praktikums kann der Leistungsempfänger arbeiten, während er die vollen Leistungen erhält.
Die Teilnahme an einer Berufsausbildung ist für den Bezug der Leistung nicht verpflichtend, aber wenn es zwischen Leistungsempfänger und UWV eine gemeinsame Absprache gibt, sollte diese befolgt werden.
Wajong:
Arbeitgeber, die einen Empfänger einer Wajong Beihilfe einstellen, können für einen bestimmten Zeitraum weniger als den gesetzlich festgelegten Mindestlohn zahlen, wenn die Produktivität der Person als niedriger als der Mindestlohn eingeschätzt wird (loondispensatie).
Wajong DGA:
Lediglich dauerhaft erwerbsunfähige Personen (Duurzaam geen arbeidsermogen DGA) haben Anspruch auf den Erhalt von der höheren Leistung (75%). Umschulungen und Rehabilitation sind daher hier nicht anwendbar. Wenn eine Person, die DGA bezieht, wieder eine Arbeit aufnimmt, endet der Erhalt der Leistungen.</t>
  </si>
  <si>
    <t>Keine besondere Gesetzgebung. Pilotprojekte in Vorbereitung.</t>
  </si>
  <si>
    <t>Jährlich zum 1. Januar und 1. Juli automatische Anpassung an die Entwicklung der durchschnittlichen Tariflöhne.</t>
  </si>
  <si>
    <t>WIA/WAO kann mit Erwerbseinkünften kumuliert werden; in diesem Fall wird die Leistung gekürzt (siehe Tabelle V, Leistungen, 1. Berechnungsmethode, Formel, Beträge und Zahlungshäufigkeit für nähere Informationen). Wenn ein Leistungsbezieher eine geeignete Beschäftigung gefunden hat und diese über einen längeren Zeitraum auszuüben vermag, kann sein Grad der Invalidität (d.h. der Grad der bewerteten verminderten Erwerbskapazität) abhängig vom Arbeitsentgelt geändert werden. Dies kann entsprechend eine Revision der Leistungshöhe zur Folge haben.
Wajong: Siehe Tabelle V, „Leistungen, 1. Berechnungsmethode, Formel, Beträge und Zahlungshäufigkeit“.</t>
  </si>
  <si>
    <t>WIA/WAO und Wajong: Kumulierung mit anderen Sozialleistungen ist möglich. Je nach Leistung kann dies zu einer Kürzung führen.
Kürzung der Invaliditätsrente, wenn gleichzeitig wegen derselben Arbeitsunfähigkeit eine Leistung aufgrund der Gesetzgebung eines anderen Staates gewährt wird.</t>
  </si>
  <si>
    <t>Leistungen bei Invalidität unterliegen der Besteuerung.</t>
  </si>
  <si>
    <t>Besteuerung nach allgemeinen Regeln. Keine Sonderbestimmungen für Leistungen.</t>
  </si>
  <si>
    <t>WIA/WAO//Wajong: Einbehalten werden Beiträge nach dem Allgemeinen Hinterbliebenengesetz (Algemene Nabestaandenwet, Anw), Langzeitpflegegesetz (Wet langdurige zorg, WLZ) und Allgemeinen Altersrentengesetz (Algemene Ouderdomswet, AOW).
Die Beiträge nach dem Krankenversicherungsgesetz werden durch die Einrichtung, die die Leistungsauszahlung verwaltet, gezahlt.</t>
  </si>
  <si>
    <t>Selbstständige sind nicht automatisch vom allgemeinen System, das Arbeitnehmer abdeckt, gegen das Risiko der Invalidität abgesichert.
Sie können auf freiwilliger Basis entscheiden, ob sie am allgemeinen System teilnehmen oder nicht.</t>
  </si>
  <si>
    <t>Freiwillige („Opt-in’) und arbeitsgebundene Versicherung.</t>
  </si>
  <si>
    <t>Um sich zu qualifizieren, müssen sich Selbstständige mindestens ein Jahr vor Eintritt in das freiwillige System an einer obligatorischen Krankenversicherung beteiligt haben und sich innerhalb von 13 Wochen nach Ende der Pflichtversicherung am Opt-in-System beteiligt haben.</t>
  </si>
  <si>
    <t>Keine spezifischen Vorschriften</t>
  </si>
  <si>
    <t>Wie für Arbeitnehmer Leistungen sind steuerpflichtig).</t>
  </si>
  <si>
    <t>Gesetz über soziale Sicherheit (Att dwar is-Sigurtà Soċjali) (Kap. 318).
Verzeichnis der Rechtsakte: https://legislation.mt/Legislation.</t>
  </si>
  <si>
    <t>Beitragsfinanziertes obligatorisches Sozialversicherungssystem, enthalten im nationalen Rentensystem, für alle Arbeitnehmer und Freischaffende mit Pauschalrenten, die von Beiträgen und der Versicherungsdauer abhängen.
Für Invalidität gibt es kein besonderes Sozialhilfesystem.
Kein besonderes System. Es gilt das allgemeine Mindestsicherungssystem (siehe Tabelle XI).</t>
  </si>
  <si>
    <t>Arbeitnehmer und Freischaffende.
Mitarbeiter des öffentlichen Dienstes, die vor 1979 beschäftigt wurden, haben Anspruch auf eine betriebliche Altersversorgung nach 30-jähriger Tätigkeit; Angehörige der Polizei, der Streitkräfte und der Abteilung für Katastrophenschutz nach 25 Jahren.
Anspruchsberechtigung für Invaliditätsleistungen ist unabhängig von Wohnort oder Staatsangehörigkeit.</t>
  </si>
  <si>
    <t>Mindestens 5 Jahre Beitragszeit.
Die Mindestversicherungszeit ist unabhängig vom Alter.
Bei tödlich erkrankten Personen ist die Mindestversicherungszeit auf 1 Jahr festgelegt; die Rente wird gewährt, als habe die Person ihr gesamtes Arbeitsleben lang Beiträge gezahlt.</t>
  </si>
  <si>
    <t>Invaliditätsrente ist zahlbar nach 6 Monaten des Bezugs von Krankengeld für den Zeitraum, den die medizinische Kommission gewährt hat und spätestens bis die Person das gesetzliche Rentenalter erreicht hat.
Sie kann für mindestens ein Jahr und eine Höchstdauer von 3 Jahren gewährt werden, wenn eine Besserung des Gesundheitszustands erwartet wird. Hält die Erkrankung an, wird die Person in jedem Fall erneut untersucht und der Zeitraum der Invalidität kann verlängert werden.
Bei Erreichen des Ruhestandsalters können sich die Empfänger für den Bezug der Ruhestandsrente (Pensjoni tal-Irtirar) entscheiden, wenn dies für sie vorteilhafter ist.
Bei verminderter Erwerbsfähigkeit gibt es keine Möglichkeit des vorgezogenen Ruhestands.</t>
  </si>
  <si>
    <t>Der Gesundheitszustand wird untersucht von einem Team aus Ärzten mit unterschiedlichen Fachgebieten, beauftragt von der Abteilung für Soziale Sicherheit.
Die medizinische Kommission untersucht die medizinischen Informationen, die zusammen mit dem Rentenantrag eingereicht wurden. Wenn nötig, kann sie weitere medizinische Information direkt von dem Krankenhaus/Praxis erbitten, in dem die Person normalerweise behandelt wird.
Es gelten die gleichen Beurteilungsverfahren und –kriterien landesweit.
Es besteht das Recht auf Widerspruch beim Büro des Schiedsrichters. In solchen Fällen wird der Gesundheitszustand erneut von einem anderen Facharzt untersucht.</t>
  </si>
  <si>
    <t>Die Fälle werden nach Ablauf des Zeitraums der Arbeitsunfähigkeit überprüft, die der Ärzteausschuss bei der Gewährung der Rente festgelegt hat.
Die Ärzte, die die erneuten Untersuchungen durchführen, stehen ebenfalls auf der Liste von Ärzten, die von der Abteilung für Soziale Sicherheit beauftragt werden.
Die Häufigkeit der Neubeurteilungen ist abhängig von der Dauer der Leistungen (siehe auch Tabelle V, „Zeitraum, für den Leistungen zahlbar sind”). Sie ist nicht gesetzlich festgelegt, sondern automatisch an den im ersten ärztlichen Bericht angegebenen Zeitraum gebunden, der in der Regel zwischen einem und drei Jahren liegt.</t>
  </si>
  <si>
    <t>Einkommensunabhängige Pauschalleistungen, allerdings wird eine niedrigere Leistung an eine Person gezahlt, die eine Rente aus dem Arbeitsverhältnis (Pensjoni tas-Servizz) erhält.</t>
  </si>
  <si>
    <t>Ehepartner:
Der Rentensatz für Verheiratete ist selbst dann zahlbar, wenn die Ehefrau erwerbstätig ist (siehe Tabelle V, „Leistungen, 4. Berechnungsmethode, Formel und Zahlungshäufigkeit“).
Kinder:
Keine Pflegezulage.</t>
  </si>
  <si>
    <t>Ein Empfänger von Invaliditätsrente kann bei Bedürftigkeit und nach Entscheidung einer von der Abteilung für Soziale Sicherheit eingesetzten medizinischen Kommission Anspruch auf Gesundheitshilfe (Ghajnuna Medika) haben. Jedes Mitglied des Haushaltes, das die Bedingungen erfüllt, erhält wöchentlich €33,44.
Der Leistungsempfänger, der kein Kindergeld bekommt, kann vorbehaltlich einer Bedürftigkeitsprüfung (Ghajnuna Supplementari) (d.h. das jährliche Gesamtbruttoeinkommen darf €18.000 für ein Paar und €12.493 für eine alleinstehende Person nicht übersteigen) Anspruch auf eine Zulage haben. Die Beihilfe beträgt höchstens €24,80 wöchentlich für ein Paar und €12,82 für eine alleinstehende Person.</t>
  </si>
  <si>
    <t>Berufliche Ausbildung und Rehabilitation werden nicht angeboten.</t>
  </si>
  <si>
    <t>Das Gesetz über die Beschäftigung von Personen mit Behinderungen (Att dwar l-Impjiegi ta' Persuni b'Diżabilità) verpflichtet Arbeitgeber mit mehr als 20 Arbeitnehmern u.a. dazu, mindestens 2% der Arbeitsplätze (Minimum 1 Arbeitsplatz) mit Personen zu besetzen, die bei der Agentur für Arbeitsvermittlung und Berufsförderung als Personen mit Behinderungen registriert sind (bezeichnet als „Jobsplus“). Gegen Arbeitgeber, die diesem nicht nachkommen, werden Sanktionen verhängt entsprechend der Anzahl der Arbeitnehmer mit Behinderungen, die sie beschäftigen sollten, im Verhältnis zu ihrem gesamten Personalbestand. Der zu zahlende Betrag beläuft sich auf €2.400 jährlich pro Person bis zu einer Höchstgrenze von €10.000 jährlich pro Arbeitgeber.
Arbeitgeber, die Personen mit Behinderungen beschäftigen, erhalten eine Steuergutschrift von €4.500 jährlich für jeden Beschäftigten und sind von der Zahlung des Arbeitgeberanteils an den Sozialversicherungsbeiträgen befreit.
Arbeitgeber erhalten darüber hinaus eine Rückerstattung in Höhe von 25% des Gehalts des Beschäftigten bis zu einem Höchstbetrag von €4.500 jährlich (bei benachteiligten Personen, die allein leben, erhöht sich dieser Betrag auf bis zu €10.000 jährlich). Der Begriff benachteiligte Personen bezieht sich auf Personen mit Behinderungen, ehemalige Drogenabhängige, ehemalige Straftäter, andere Personen mit sozioökonomischen Schwierigkeiten.
Die staatliche Arbeitsvermittlung bietet ein „Überbrückungsprogramm“ für arbeitslose Personen mit Behinderung an, das bei der Wiedereingliederung in den Arbeitsmarkt helfen soll.</t>
  </si>
  <si>
    <t>Die Rente wird jährlich um mindestens der für Arbeitnehmer erfolgenden Anpassung an den Anstieg der Lebenshaltungskosten erhöht. Die Regierung kann die Renten auch entsprechend den im jährlichen Haushaltsgesetz bekanntgegebenen Maßnahmen weiter erhöhen.</t>
  </si>
  <si>
    <t>Die Bezieher einer Invaliditätsrente (Pensjoni tal- Invalidità): Leistungsempfänger dürfen weder eine abhängige noch eine selbständige berufliche Tätigkeit  ausüben. Die Rente wird eingestellt, wenn die Erwerbstätigkeit wieder aufgenommen wird.</t>
  </si>
  <si>
    <t>Eine Invaliditätsrente (Pensjoni tal- Invalidità) wird nicht ausgezahlt, wenn der Empfänger eine andere beitragsabhängige Rente (z.B. Ruhestandsrente oder Witwen-/Witwerrente) bezieht, die höher ist. In diesem Fall wird allein die höhere Rente gezahlt.
Kumulierung mit ausländischen Renten ist möglich entsprechend der EU-Koordinierungsregeln.</t>
  </si>
  <si>
    <t>Nicht anwendbar: Die Leistungen unterliegen nicht der Steuer.</t>
  </si>
  <si>
    <t>Freischaffende sind durch das allgemeine System abgedeckt.
Selbstständige sind nicht abgedeckt.</t>
  </si>
  <si>
    <t>Obligatorisches, sozialversicherungsgebundenes System.</t>
  </si>
  <si>
    <t>Im Falle von gleichzeitiger Tätigkeit als Arbeitnehmer und freischaffende Person werden Beiträge für die Haupttätigkeit entrichtet, d.h. die Tätigkeit, die die höchsten Gewinne generiert.</t>
  </si>
  <si>
    <t>Band III des Gesetzbuches über soziale Sicherheit (Code de la sécurité sociale): Invalidenpension.
Gesetz vom 12. September 2003: Einkommen für schwerstbehinderte Menschen.
Verzeichnis der Rechtsakte: https://legilux.public.lu/eli/etat/leg/code/securite_sociale/20250101  und https://legilux.public.lu/eli/etat/leg/code/travail/20250628</t>
  </si>
  <si>
    <t>Invalidenpension (pension d'invalidité):
Durch Beiträge mit staatlicher Beteiligung finanziertes obligatorisches Sozialversicherungssystem für die Arbeitnehmer und die Selbstständigen mit von der Versicherungsdauer abhängigen pauschalen und von der Beitragshöhe abhängigen Leistungen. Invaliditätsleistungen sind ein integraler Bestandteil des staatlichen Pensionsversicherungssystems.
Einkommen für schwerstbehinderte Menschen (revenu pour personnes gravement handicapées):
Steuerfinanziertes System, getrennt vom staatlichen Pensionsversicherungssystem. Pauschalleistung.
Abgesehen vom Einkommen für schwerstbehinderte Menschen existiert kein gesondertes Sozialhilfesystem für Menschen mit Behinderungen. Es gilt das allgemeine System der Mindestsicherung (vgl. Tabelle XI).</t>
  </si>
  <si>
    <t>Invalidenpension (pension d'invalidité):
Als Invalide gilt eine versicherte Person, deren Erwerbsfähigkeit infolge einer längeren Krankheit, einer Behinderung oder durch Verschleiß in dem Maße herabgesetzt wurde, dass der zuletzt ausgeübte oder ein anderer den Fähigkeiten entsprechender Beruf nicht ausgeübt werden kann.
Einkommen für schwerstbehinderte Menschen (revenu pour personnes gravement handicapées):
Basiert auf der Verringerung der Arbeitsfähigkeit der Person, deren Gesundheitszustand eine Anpassung an den Arbeitsplatz in der normalen oder geschützten Umgebung entsprechend ihrer Bedürfnisse unmöglich macht.</t>
  </si>
  <si>
    <t>Invalidenpension (pension d'invalidité):
Pflichtversicherung für die Arbeitnehmer und die Selbstständigen.
Die Empfänger von Einkommensersatzleistungen, von denen ein Rentenbeitrag einbehalten wird (Arbeitslosigkeit, Krankheit, Mutterschaft, Unfallrente, Elternurlaub), sind ebenfalls abgedeckt.
Freiwillige Versicherung sowie rückwirkender Erwerb von Anrechnungszeiten möglich.
Der Anspruch ist nicht vom Wohnsitz oder der Staatsangehörigkeit abhängig.
Einkommen für schwerstbehinderte Menschen (revenu pour personnes gravement handicapées):
System offen für Gebietsansässige. Bedingungen: rechtmäßigen Wohnsitz in Luxemburg haben, dort gemeldet sein und tatsächlich am gemeldeten Wohnsitz wohnen.
Personen, die keine Staatsangehörigen der EU, des EWR oder der Schweiz sind und weder internationalen Schutz genießen noch staatenlos sind, müssen während der letzten 20 Jahren mindestens 5 Jahre rechtmäßig in Luxemburg niedergelassen sein.</t>
  </si>
  <si>
    <t>Invalidenpension (pension d'invalidité):
Personen, die ihre berufliche Tätigkeit über einen vorab festgelegten Zeitraum von höchstens drei Monaten pro Kalenderjahr nur gelegentlich und nicht gewohnheitsmäßig ausüben, sind von der Versicherungspflicht befreit.
Auf Antrag der betreffenden Person ist eine nebenberufliche Tätigkeit im kulturellen oder sportlichen Bereich für eine nicht gewinnorientierte Vereinigung versicherungsfrei, wenn das erzielte Erwerbseinkommen zwei Drittel des sozialen Mindestlohns pro Jahr nicht übersteigt.
Eine selbstständige Erwerbstätigkeit ist von der Pflichtversicherung befreit, wenn das Einkommen aus der Berufstätigkeit höchstens einem Drittel des sozialen Mindestlohns (salaire social minimum) pro Jahr entspricht.
Einkommen für schwerstbehinderte Menschen (revenu pour personnes gravement handicapées):
Nicht anwendbar.</t>
  </si>
  <si>
    <t>Invalidenpension (pension d'invalidité):
12 obligatorische oder freiwillige Versicherungsmonate in den 3 Jahren vor Beginn der Invalidität. Falls in diese drei Jahre Anrechnungszeiten (insbesondere Studien- oder Elternzeit) fallen, wird die Frist entsprechend verlängert. Die Mindestversicherungszeit entfällt, wenn die Invalidität infolge eines Unfalls gleich welcher Art oder einer Berufskrankheit, die sich während der Zeit der Versicherung ereigneten, eingetreten ist.
Der Referenzzeitraum ist nicht altersabhängig.
Einkommen für schwerstbehinderte Menschen (revenu pour personnes gravement handicapées):
Keine Mindestbeschäftigungs-, Beitrags- oder Aufenthaltszeiten (aber Personen, die keine Staatsangehörigen der EU, des EWR oder der Schweiz sind und weder internationalen Schutz genießen noch staatenlos sind, müssen innerhalb der letzten 20 Jahre mindestens 5 Jahre rechtmäßig in Luxemburg niedergelassen sein).</t>
  </si>
  <si>
    <t>Invalidenpension (pension d'invalidité):
Die Person ist erwerbsunfähig, wenn ihre Arbeitsfähigkeit so weit eingeschränkt ist, dass sie daran gehindert wird, ihren letzten Beruf oder einen anderen Beruf auszuüben, der ihren Stärken und Fähigkeiten entspricht.
Es ist kein Mindestmaß an Kapazität/Arbeitsunfähigkeit festgelegt.
Einkommen für schwerstbehinderte Menschen (revenu pour personnes gravement handicapées):
   * Die Person muss aufgrund einer körperlichen, geistigen, sensorischen oder psychischen Beeinträchtigung und/oder aufgrund psychosozialer Schwierigkeiten, die die Beeinträchtigung verschlimmern, eine Verringerung der Arbeitsfähigkeit von mindestens 30% aufweisen;
   * Die Beeinträchtigung muss vor dem 65. Lebensjahr eingetreten sein;
   * Die Person muss einen Gesundheitszustand aufweisen, dem gemäß jede Art von Berufstätigkeit kontraindiziert ist, oder ihre Arbeitsfähigkeit ist soweit eingeschränkt, dass es unmöglich ist, einen Arbeitsplatz in der normalen oder geschützten Umgebung an ihre Bedürfnisse anzupassen.</t>
  </si>
  <si>
    <t>Invalidenpension (pension d'invalidité):
Bei vorübergehender Invalidität (invalidité temporaire) wird die Pension nach Erlöschen des Anspruchs auf Krankengeld (indemnité pécuniaire de maladie) (d. h. nach höchstens 78 Wochen) oder, falls dieser nicht bestand, nach einer ununterbrochenen Invaliditätszeit von 6 Monaten gewährt.
Bei dauerhafter Invalidität (invalidité permanente) wird die Invalidenpension ab dem ersten Tag der Feststellung der Invalidität, frühestens jedoch ab dem Tag, an dem die Mindestversicherungszeit gegeben ist, wirksam.
Im Falle einer gesetzlichen oder vertraglichen Beibehaltung der Vergütung für die vor der Invalidität ausgeübten Angestelltentätigkeit wird die Pension erst an dem Tag gewährt, an dem die Vergütung endet.
Ist die Invalidität in erster Linie auf einen Arbeitsunfall oder eine Berufskrankheit zurückzuführen, wird die Invalidenpension erst ab dem Zeitpunkt der Konsolidierung wirksam (d. h., wenn die Beeinträchtigung definitiven Charakter angenommen hat und ein gewisses Maß an dauerhafter Invalidität festgestellt werden kann).
Die Invalidenpension wird dem Versicherten nicht ausgezahlt, solange er Krankengeld bezieht.
Aufhebung, wenn die medizinischen Bedingungen der Invalidität nicht mehr gegeben sind oder wenn der Bezieher eine berufliche Tätigkeit ausübt, im Rahmen derer sein Einkommen mehr als ein Drittel des sozialen Mindestlohns beträgt.
Im Alter von 65 Jahren Umwandlung in Altersrente (pension de vieillesse).
Keine Vorruhestandspension bei verringerter Arbeitsfähigkeit.
Einkommen für schwerstbehinderte Menschen (revenu pour personnes gravement handicapées):
Die Leistung wird gewährt, wenn eine ausreichende Stabilisierung des Zustands der Person aus medizinischer Sicht gegeben ist. Die Leistung wird gezahlt, solange die Bedingungen für den Bezug der Leistung erfüllt sind.</t>
  </si>
  <si>
    <t>Invalidenpension (pension d'invalidité):
Der medizinische Dienst der Sozialversicherung (Contrôle médical de la sécurité sociale, CMSS) nimmt Stellung zum Grad der Erwerbsminderung des Arbeitnehmers basierend auf dem ärztlichen Bericht des behandelnden Arztes. Die Verfahren und Kriterien sind landesweit identisch.
Jedem Antrag auf Invalidenpension folgt eine Entscheidung über deren Gewährung oder Ablehnung. Gegen die Entscheidung kann beim zuständigen Verwaltungsrat Widerspruch eingelegt werden. Gegen die Entscheidung des Verwaltungsrats kann beim Schiedsrat der Sozialversicherung (Conseil arbitral de la sécurité sociale) Berufung eingelegt werden. Gegen das Urteil des Schiedsgerichtsrats der Sozialversicherung kann beim Obersten Rat der Sozialversicherung (Conseil supérieur de la sécurité sociale) Berufung eingelegt werden.
Einkommen für schwerstbehinderte Menschen (revenu pour personnes gravement handicapées):
Bewertung der Verringerung der Arbeitsfähigkeit durch den Ärzteausschuss, im Rahmen dessen Experten Stellung nehmen können.
Berufung kann beim Schiedsrat der Sozialversicherung (Conseil arbitral de la sécurité sociale) und beim Obersten Rat der Sozialversicherung (Conseil supérieur de la sécurité sociale) eingelegt werden.</t>
  </si>
  <si>
    <t>Invalidenpension (pension d'invalidité):
Neubewertung durch den medizinischen Dienst der Sozialversicherung (Contrôle médical de la sécurité sociale, CMSS) entsprechend der Situation.
Einkommen für schwerstbehinderte Menschen (revenu pour personnes gravement handicapées):
Die Bedingungen für den Bezug der Leistung werden regelmäßig vom Ärzteausschuss geprüft.</t>
  </si>
  <si>
    <t>Invalidenpension (pension d'invalidité):
Die Höhe der Pension richtet sich nach der Dauer der beruflichen Laufbahn und dem erzielten Einkommen. Der Grad oder die Art der Erwerbsminderung hat keine Auswirkungen.
Zusammensetzung der Rente:
   * Die von der Versicherungsdauer abhängige Pauschalleistung (majorations forfaitaires) beträgt bei 40 Versicherungsjahren €652,06 im Monat (ansonsten einkommensabhängige Minderung).
   * Der einkommensabhängige Rententeilbetrag (majorations proportionnelles) maximal 1,769% des Gesamtbetrags der berücksichtigten Einkommen.
Um die vorzeitige Unterbrechung der Versicherungsdauer infolge von Invalidität auszugleichen, werden spezielle Pauschalleistungen auf prospektive Zeiträume und spezielle anteilmäßige Zuschläge auf fiktive Einkommen gewährt, wobei jeweils die Dichte der Versicherungsdauer und die Einkommenshöhe vor der Invalidität berücksichtigt werden.
Besondere Zurechungszulage (majorations forfaitaires spéciales) von 1/40 für jedes Jahr zwischen dem Beginn des Rentenanspruchs und dem Alter von 65 Jahren (im Verhältnis zur Anzahl der Versicherungs- und Kalenderjahre zwischen dem Alter von 25 Jahren und dem Beginn der Invaliditätsrente) (max. 40 Jahre insgesamt für die pauschalen Zeiträume und die besondere Zurechnungszulage).
Besondere einkommensabhängige Zurechnungszulage (majorations proportionnelles spéciales) (bei Invalidität vor dem 55. Lebensjahr) für die zwischen dem Rentenbeginn und dem Alter von 55 Jahren verbleibenden Jahre; die Zulage beläuft sich auf prozentual 1,769% des durchschnittlichen Arbeitseinkommens ab dem Alter von 25 Jahren bis zum Jahr des Eintritts der Invalidität.
Monatliche Zahlungen. Unter bestimmten Bedingungen Gewährung einer Zulage zum Jahresende (allocation de fin d'année).
Einkommen für schwerstbehinderte Menschen (revenu pour personnes gravement handicapées):
Pauschale von €1.896,98 pro Monat. Die Höhe der Leistung wird entsprechend dem Berufs- und Ersatzeinkommen gekürzt.
Monatliche Zahlung.</t>
  </si>
  <si>
    <t>Invalidenpension (pension d'invalidité):
Als Bemessungsgrundlage für den einkommensabhängigen Rententeilbetrag (majorations proportionnelles) wird das Arbeits- bzw. Erwerbseinkommen, das dem Einbehalt von Ruhegehalt unterliegt, der gesamten beruflichen Laufbahn innerhalb der folgenden Grenzen berücksichtigt.
Beitragspflichtiger Mindestbetrag: €2.703,74 monatlich.
Beitragspflichtiger Höchstbetrag: €13.518,68 monatlich.
Einkommen für schwerstbehinderte Menschen (revenu pour personnes gravement handicapées):
Nicht anwendbar.</t>
  </si>
  <si>
    <t>Invalidenpension (pension d'invalidité):
Bei einer Mindestversicherungszeit von 40 Jahren erreicht die Rente mindestens 90% des Referenzbetrages: daher gilt eine monatliche Mindestrente von €2.350,89. Falls der Versicherte die oben genannte Anwartschaftszeit nicht erfüllt, aber mindestens 20 Versicherungsjahre belegen kann, wird die Mindestrente (pension minimale) um 1/40 je fehlendes Jahr gekürzt.
Die Rente kann höchstens 5/6 des fünffachen Referenzbetrags betragen, nämlich €10.883,74 pro Monat.
Einkommen für schwerstbehinderte Menschen (revenu pour personnes gravement handicapées):
Nicht anwendbar.</t>
  </si>
  <si>
    <t>Invalidenpension (pension d‘invalidité):
Als effektive Versicherungszeiten, die für die Mindestversicherungszeit und die Berechnung der pauschalen und anteiligen Zulagen berücksichtigt werden, gelten insbesondere folgende:
   * Zeiten, die durch ein Ersatzeinkommen abgedeckt sind, auf das ein Rentenbeitrag einbehalten wird: Arbeitslosigkeit, Krankheit, Mutterschaft, Unfallrente, Elternurlaub;
   * ein Zeitraum von 24 Monaten für die Erziehung eines Kindes („Babyjahre“ (années bébé);
   * Zeiten, in denen ein informeller Helfer eine Person betreut, die nach den Rechtsvorschriften über die Pflegebedürftigkeit pflegebedürftig ist.
Als zusätzliche Zeiten, die für die Mindestversicherungszeit und die pauschalen Zulagen berücksichtigt werden, gelten insbesondere folgende:
   * Ausbildungszeiten zwischen dem 18. und dem 27. Lebensjahr;
   * Zeiten der Erziehung von Kindern unter 6 Jahren (18 Jahre bei Krankheit des Kindes) – Insgesamt: 8 Jahre für 2 Kinder und 10 Jahre für 3 Kinder;
   * Zeiten für die Pflege eines Hilfsbedürftigen;
   * Zeiten, in denen eine Invaliditätsrente gewährt wird.
Einkommen für schwerstbehinderte Menschen (revenu pour personnes gravement handicapées):
Nicht anwendbar.</t>
  </si>
  <si>
    <t>Invalidenpension (pension d'invalidité):
Zulage zum Jahresende (allocation de fin d'année): jährlicher Pauschalbetrag in Höhe von €1.004,28 (für 40 Versicherungsjahre, andernfalls anteilig gekürzter Betrag).</t>
  </si>
  <si>
    <t>Invalidenpension (pension d'invalidité):
Bis zum Alter von 50 Jahren hat der Versicherte an von der Kasse verfügten Rehabilitations- und Umschulungsmaßnahmen teilzunehmen, bei Weigerung kann die Rente ruhen. Die Maßnahmen werden vom medizinischen Dienst der Sozialversicherung (Contrôle médical de la sécurité sociale, CMSS) vorgeschlagen.</t>
  </si>
  <si>
    <t>Je nach Größe des Unternehmens ist eine bestimmte Anzahl von Arbeitsplätzen für Behinderte vorgesehen.
Befreiung vom Arbeitgeberanteil an den Sozialversicherungsbeiträgen für einen Arbeitgeber, der eine höhere Anzahl von behinderten Arbeitnehmern einstellt, als er zu leisten hat.
Unter bestimmten Bedingungen wird ein Teil der Gehalts-/Lohnkosten, der Ausbildungskosten, der Kosten für die Einrichtung der Arbeitsplätze und des Zugangs zur Arbeit sowie der Transportkosten übernommen; außerdem wird eine angepasste Berufsausstattung zur Verfügung gestellt und der Arbeitgeber, der einen Arbeitnehmer mit Behinderung einstellt, wird vom Arbeitgeberanteil der Sozialabgaben befreit.
Geschützte Werkstätten, deren Struktur und Arbeitsweise an die besonderen Bedürfnisse und individuellen Fähigkeiten von Menschen mit Behinderungen angepasst sind.</t>
  </si>
  <si>
    <t>Anpassung der Renten und des Einkommens für schwerstbehinderte Menschen an die Preisentwicklung, sobald sich der Index gegenüber dem Stand bei der letzten Anpassung um 2,5% ändert.
Jährliche Anpassung der Rente an die Entwicklung des Lohnniveaus, jeweils entsprechend der finanziellen Situation des Rentensystems.</t>
  </si>
  <si>
    <t>Invalidenpension (pension d'invalidité):
Der Bezieher einer Invalidenpension kann einer unselbstständigen oder selbstständigne Erwerbstätigkeit nachgehen, wobei das Entgelt höchstens ein Drittel des sozialen Mindestlohns betragen darf.
Einkommen für schwerstbehinderte Menschen (revenu pour personnes gravement handicapées):
Die Leistung wird bis zur Höhe des Berufs- und Ersatzeinkommens des Beziehers ausgesetzt und wird bis zu 30% des Einkommens für schwerstbehinderte Menschen gewährt (d. h. €569,09). Folglich:
   * Wenn das Berufseinkommen der betroffenen Person weniger als €569,09 beträgt, ist es vollständig kumulierbar;
   * Übersteigt das Berufseinkommen der Person €569,09, wird die Leistung um den Betrag des Einkommens, der €569,09 übersteigt, gekürzt.</t>
  </si>
  <si>
    <t>Invalidenpension (pension d'invalidité):
Bei Kumulation mit einer Unfallrente (rente d'accident) Kürzung der Invaliditätsrente (pension d'invalidité), wenn beide Renten zusammen entweder den Durchschnitt der 5 höchsten Jahreseinkommen während der gesamten Versicherungszeit oder, falls dies günstiger ist, das Einkommen, das der Bemessung der Unfallrente zugrunde gelegen hat, überschreiten.
Einkommen für schwerstbehinderte Menschen (revenu pour personnes gravement handicapées):
Die Leistung wird bis zur Höhe des Berufs- und Ersatzeinkommens des Beziehers ausgesetzt und wird bis zu 30% des Einkommens für schwerstbehinderte Menschen gewährt (d. h. €569,09). Folglich:
   * Wenn das Ersatzeinkommen der betroffenen Person weniger als €569,09 beträgt, ist es vollständig kumulierbar;
   * Übersteigt das Ersatzeinkommen der Person €569,09, wird die Leistung um den Betrag des Einkommens, der €569,09 übersteigt, gekürzt.</t>
  </si>
  <si>
    <t>Besteuerung nach allgemeinem Regeln. Keine Sonderbestimmungen.</t>
  </si>
  <si>
    <t>Invalidenpension und Einkommen für schwerstbehinderte Menschen: Beiträge für die Sachleistungen bei Krankheit (2,8%) und die Pflegeversicherung (1,4%).
Auch für das Einkommen für schwerstbehinderte Menschen sind Rentenversicherungsbeiträge zu leisten, wenn der Bezieher Einzahlungen in die Rentenversicherung über einen Zeitraum von mindestens 25 Jahren belegen kann.</t>
  </si>
  <si>
    <t>Das Änderungsgesetz zum Gesetz Nr. I-549 der Republik Litauen über Renten der staatlichen Sozialversicherung (Lietuvos Respublikos valstybinių socialinio draudimo pensijų įstatymo Nr. I-549 pakeitimo įstatymas) vom 29. Juni 2016 (Nr. XII.2512).
Gesetz über die Grundlagen des Schutzes der Rechte von Menschen mit Behinderungen ( Asmens su negalia teisių apsaugos pagrindų įstatymas) vom 20. Dezember 2022 (Nr. XIV-1722).
Gesetz über bevorzugte Personenbeförderung (Transporto lengvatų įstatymas) vom 30. März 2000 (Nr. VIII-1605).
Gesetz über die Sozialversicherung bei Krankheit und Mutterschaft (Ligos ir motinystės socialinio draudimo įstatymas) vom 28. Juni 2016 (Nr. XII-2501).
Gesetz über Leistungen für Alleinstehende (Vienišo asmens išmokos įstatymas) vom 27. Mai 2021 (Nr. XIV-352).
Verzeichnis der Rechtsakte: https://e-seimas.lrs.lt/.</t>
  </si>
  <si>
    <t>Behindertenrente (Negalios pensija):
Obligatorisches Sozialversicherungssystem (Umlageverfahren), finanziert durch eine Mischung von Steuern und Beiträgen, für Arbeitnehmer und Selbstständigen mit Renten, die aus einem allgemeinen Teil und einem individuellen (entgeltbezogenen) Teil bestehen. Sie sind Teil des Rentensystems.
Eine besondere Sozialhilferente (Šalpos pensija) bei Behinderung existiert (siehe Tabelle XI, „Mindestsicherung“).</t>
  </si>
  <si>
    <t>Sowohl für Erwachsene als auch für Personen unter 18 Jahren, die über die staatliche Sozialversicherung versichert sind (waren), beruht die Anspruchsberechtigung auf Leistungen bei Behinderung auf dem Grad der Teilhabefähigkeit.
Mit Behinderung ist eine langfristige funktionale Einschränkung (angeboren oder erworben) gemeint (welche die Person an einer vollständigen und erfolgreichen Teilhabe an der Gesellschaft hindert).</t>
  </si>
  <si>
    <t>Behindertenrente (Negalios pensija):
Pflichtversicherung für Arbeitnehmer und Selbstständige.
Anspruchsberechtigung auf Leistungen bei Invalidität sind unabhängig von der Staatsangehörigkeit.</t>
  </si>
  <si>
    <t>Behindertenrente (Negalios pensija) beginnt mit dem Auslaufen des Anspruchs auf Krankengeld und endet mit dem Beginn des Anspruchs auf Altersrente.
In diesem Fall wird das Krankengeld nicht mehr als 90 Tage pro Jahr gezahlt.
Bei verminderter Teilhabefähigkeit gibt es keine Möglichkeit des vorgezogenen Ruhestands.</t>
  </si>
  <si>
    <t>Die Behinderung einer Person wird von der Agentur zum Schutz der Rechte von Menschen mit Behinderung des Ministeriums für Soziale Sicherheit und Arbeit beurteilt. Die von der Agentur getroffenen Entscheidungen sind verbindlich und können nach dem im Gesetz über Verwaltungsstreitigkeiten festgelegten Verfahren und/oder nach dem im Gesetz über Verwaltungsverfahren festgelegten Verfahren verbindlich sein.
Sobald der Grad der Teilhabefähigkeit bestimmt ist, wird der Antrag auf Behindertenrente (Negalios pensija) an die Staatliche Sozialversicherungsanstalt gerichtet.
Die Staatliche Sozialversicherungsanstalt kann darauf angewiesen sein, einen Arzt hinzuzuziehen, wenn es Zweifel bezüglich des Grads der Teilhabefähigkeit der betroffenen Person gibt, und verfügt über ein Widerspruchsrecht gegen die Entscheidungen der Agentur zum Schutz der Rechte von Menschen mit Behinderung des Ministeriums für Soziale Sicherheit und Arbeit.</t>
  </si>
  <si>
    <t>Versicherte Entgelte seit 1994 für den individuellen Anteil der Behindertenrente (Negalios pensija).</t>
  </si>
  <si>
    <t>Keine gesetzliche Mindestrente und/oder Höchstrente, aber 5 Rentenpunkte sind das Höchste, was in einem Jahr verdient werden kann.</t>
  </si>
  <si>
    <t>Ausgleich von Kosten der Pflege oder Betreuung für behinderte Personen mit einer Minderung der Teilhabefähigkeit um mindestens 60% und für Menschen im Ruhestandsalter, wenn Stufe 3 oder Stufe 4 der Anspruchsberechtigung auf Rückerstattung von Kosten für individuelle Unterstützung festgelegt wird. Die Leistung wird aus dem Staatshaushalt finanziert und zusätzlich zur Behindertenrente (Negalios pensija) oder Altersrente gewährt.</t>
  </si>
  <si>
    <t>Medizinische, berufliche und soziale Rehabilitation werden angeboten.
Berufliche Rehabilitationsleistung (Profesinės reabilitacijos išmoka) wird Menschen mit Behinderungen gewährt, die an Programmen zur beruflichen Rehabilitation teilnehmen und kein Arbeitseinkommen erzielen können. Diese Leistung wird ab dem ersten Tag der Teilnahme am Programm bis zur Beschäftigungsfähigkeit oder der Anerkennung der Behinderung für eine Dauer von maximal 180 Kalendertagen gezahlt. Die Leistung wird aus dem Staatshaushalt gezahlt und beträgt das Doppelte der Grundrente der gesetzlichen Sozialversicherung. Der Bedarf an Dienstleistungen der beruflichen Rehabilitation wird von der Agentur für den Schutz der Rechte von Menschen mit Behinderungen des Ministeriums für Soziale Sicherheit und Arbeit festgestellt.
Das Ministerium für Soziale Sicherheit und Arbeit ist verantwortlich für die Organisation der Bereitstellung von beruflichen Rehabilitationsdiensten, welche im Folgenden zusammen mit dem Arbeitsmarktservice durchgeführt werden. Es organisiert und koordiniert insbesondere die angebotenen beruflichen Rehabilitationsdienste, betreut deren Durchführung und kooperiert mit den Anbietern der beruflichen Rehabilitationsdienste.
Teilnahme an Berufsausbildung oder persönlicher Rehabilitations-aktivitäten ist nicht verpflichtend.</t>
  </si>
  <si>
    <t>Die Werte der Grundrenten- und Rentenpunkte sowie die Grundbeträge von Witwen-/Witwerrenten, die zur Festlegung der Sozialversicherungsrenten genutzt werden, werden jährlich angepasst basierend auf einer 7-jährigen durchschnittlichen Lohnfonds-Wachstumsrate (während 3 vergangener Jahre, dem aktuellen Jahr und der Vorhersage für die nächsten 3 Jahre).
Diese Rate wird so lange angewendet, wie die entstehenden Rentenkosten für das aktuelle Jahr die Sozialversicherungseinnahmen nicht übersteigen und die geschätzten Kosten für das kommende Jahr ebenfalls die geschätzten Einnahmen nicht übersteigen.
Wenn die Einnahmen der Sozialversicherungsrenten die der Rentenkosten übersteigen, wird die Indexierungsrate so berechnet, dass die entstehenden Kosten 75% des Überschusses ohne Indexierung nicht übersteigen.
Renten werden nicht angepasst, wenn die berechnete Steigerungsrate unter 1% oder das BIP bei konstanten Preisen liegen oder der Lohnfonds abgenommen hat oder eine Abnahme für das kommende Jahr geschätzt wurde.
Der Wert des Rentenpunktes, der zur Berechnung des persönlichen Anteils an der Sozialversicherungsrente dient, wird zusätzlich angepasst, wenn die Armutsgefährdungsquote der Menschen ab 65 Jahren, die von der staatlichen Datenagentur veröffentlicht wird, über 25% liegt und/oder die hochgerechnete Durchschnittsaltersrente weniger als 50% des Durchschnittsnettolohns beträgt. Der Ergänzungsindex wird derart berechnet, dass die zusätzlichen Mittel, die für die Anpassung des persönlichen Anteils der Sozialversicherungsrente genutzt werden, 75% des geplanten staatlichen Sozialversicherungshaushalts nicht übersteigen.
Es wird keine zusätzliche Anpassung des persönlichen Rentenanteils durchgeführt, wenn ein Defizit des staatlichen Sozialversicherungshaushalts vorhergesagt wird oder wenn die berechnete zusätzliche Anpassung weniger als 1,01 beträgt.
Der Koeffizient der Indexierung ist 1,1063 und der zusätzliche Koeffizient der Indexierung für den persönlichen Anteil der Sozialversicherungsrente ist 1,014.</t>
  </si>
  <si>
    <t>Kumulierung uneingeschränkt möglich.</t>
  </si>
  <si>
    <t>Kumulierung ist mit Witwen-/Witwerrente (Našlių pensija) oder Waisenrente (Našlaičių pensija), Leistung für Alleinstehende (Vienišo asmens išmoka), staatlicher Rente und Familienbeihilfe möglich. Die Leistungen werden bei Kumulierung nicht gekürzt.
Für Empfänger staatlicher Rente (Invaliditätsrente) kann nur der Teil des Arbeitslosengeldes kumuliert werden, der den Betrag der Rente übersteigt.</t>
  </si>
  <si>
    <t>Kein spezifischen Vorschriften.</t>
  </si>
  <si>
    <t>Wie für Arbeitnehmer.
Leistungen unterliegen nicht der Einkommenssteuer.</t>
  </si>
  <si>
    <t>1. Säule: Gesetz über die Invalidenversicherung (IVG), LGBl. 1960 Nr. 5.
2. Säule: Gesetz über die betriebliche Personalvorsorge, LGBl. 1988 Nr. 12.
Gesetz über die betriebliche Personalvorsorge des Staates, LGBL. 2013 Nr. 329.
Rechtsinformationssystem: www.gesetze.li</t>
  </si>
  <si>
    <t>1. Säule:
Beitrags- (und teilweise steuer-) finanziertes obligatorisches Sozialversicherungssystem (Existenzsicherung) für alle Personen mit Wohnsitz oder Erwerbstätigkeit (Arbeitnehmer und Selbstständige) mit Renten, die im Wesentlichen von der Versicherungsdauer und von Beiträgen (z.T. fiktiven Beiträgen) abhängen.
Reichen die anrechenbaren Einnahmen aus den Renten und allfälligen anderen Quellen nicht aus, um die anerkannten Ausgaben zu decken, besteht ein Anspruch auf Ergänzungsleistungen um die minimalen Lebenshaltungskosten decken zu können (s. Tabelle XI ‚Mindestsicherung‘).
2. Säule:
Beitragsfinanziertes obligatorisches Sozialversicherungssystem (Sicherung eines angemessenen Lebensstandards) für unselbstständig Erwerbstätige mit Renten, die im Wesentlichen von den Beiträgen abhängen.
Es handelt sich in beiden Fällen um getrennte Systeme.
Im Rahmen des Systems der 2. Säule werden auch Mindestleistungen für Invalidität vor Erreichen des ordentlichen Rentenalters versichert.</t>
  </si>
  <si>
    <t>Als Invalidität gilt die dauernde, gesundheitsbedingte Einschränkung der Erwerbsfähigkeit. Es gibt keine Berufsunfähigkeitsrente, sondern nur Erwerbsunfähigkeitsrente.</t>
  </si>
  <si>
    <t>1. Säule:
Alle Erwerbstätigen (Arbeitnehmer und Selbstständige) sowie alle nichterwerbstätigen Einwohner.
2. Säule:
Für unselbstständig Erwerbstätige und Arbeitslose beginnt die Versicherungspflicht für die Risikoleistungen bei Tod und Invalidität mit dem 1. Januar nach Vollendung des 17. Altersjahres, wenn sie in der 1. Säule beitragspflichtig sind und mehr als  CHF 14.700 (€15.707) Bruttojahreseinkommen aufweisen.
Selbständige können sich freiwillig versichern.
Im Invaliditätsfall des Versicherten hat dieser für seine Kinder jeweils einen Anspruch auf eine Rente von jährlich 6% des versicherten Lohnes.
Maßgebend für die Anspruchsberechtigung ist nicht der Wohnsitz- resp. die Staatszugehörigkeit, sondern die Sozialversicherungspflicht.</t>
  </si>
  <si>
    <t>1. Säule: Ein Beitragsjahr (für Rentenanspruch).
2. Säule: Keine Mindestversicherungsdauer (wenn Krankheit zur Invalidität führt; sonst besteht keine Versicherungsleistung).</t>
  </si>
  <si>
    <t>1. Säule:
1 Jahr nach Eintritt der rentenbegründenden Arbeitsunfähigkeit bis zum Ende der Invalidität oder bis zur Ablösung durch eine Altersrente. Während des ersten Jahres hat man, sofern man versichert ist, Anspruch auf Krankengeld.
2. Säule:
Mit Eintritt der rentenbegründenden Arbeitsunfähigkeit. Solange der Lohn oder ein Taggeld der Kranken- oder Unfallversicherung ausbezahlt wird, besteht keine Leistungspflicht.
Die Rente läuft bis zum Ende der Invalidität, längstens aber, bis der Versicherte das ordentliche Rentenalter erreicht hat. Anschließend besteht Anspruch auf Altersrente.
Keine gesetzliche Vorgabe. Aber: Eine vorzeitige Pensionierung ist grundsätzlich auf Basis der Regelungen des jeweiligen Reglements möglich (somit individuell).</t>
  </si>
  <si>
    <t>Der Grad der Invalidität ist ein wirtschaftlich berechneter Wert. Es wird das mögliche Einkommen als Gesunder dem noch möglichen Einkommen als gesundheitlich eingeschränkter Person gegenübergestellt. Das dazu relevante Kriterium der Arbeitsunfähigkeit in der angestammten und in einer leidensangepassten Tätigkeit wird in der Regel durch externe medizinische Gutachter insbesondere aus dem Ausland festgelegt.
Der von der 1. Säule festgelegte Invaliditätsgrad wird mit Rechtsmittelmöglichkeit den Durchführungsstellen der 2. Säule mitgeteilt.
2. Säule:
Bezüglich des Vorliegens einer Invalidität und des Invaliditätsgrades sind die Feststellungen der Liechtensteinischen Invalidenversicherung maßgeblich.
Das Begutachtungsverfahren und die angewendeten Kriterien sind landesweit die gleichen.</t>
  </si>
  <si>
    <t>1. und 2. Säule: Revisionsbegründend sind wesentliche Veränderungen des Gesundheitszustandes.
2. Säule: Die Überprüfung wird durch die Liechtensteinische Invalidenversicherung durchgeführt.</t>
  </si>
  <si>
    <t>1. Säule:
Stammrente von mindestens  CHF 1.190 (€1.272) und höchstens  CHF 2.380 (€2.543) pro Monat (13 x im Jahr) bei lückenloser Beitragsdauer.
2. Säule:
Invalidenrente von jährlich 30% des versicherten Lohns; Kinderrenten von jährlich 6% des versicherten Lohns. Diese Ansätze gelten bei Vollinvalidität. Keine Mindest- und Höchstbeträge.</t>
  </si>
  <si>
    <t>1. Säule: Die Jahre von 1954 bis 1996, während welcher nichterwerbstätige Ehegatten mit Wohnsitz in Liechtenstein von der Beitragspflicht befreit waren (bspw. "Hausfrauen"), gelten als Beitragsjahre. Seit 1996 haben alle Versicherten einen Beitrag zu zahlen; die Berechnungsgrundlage kann sich durch Gutschrift verbessern.
2. Säule: Keine anrechenbaren bzw. berücksichtigungsfähigen beitragsfreien Zeiten.</t>
  </si>
  <si>
    <t>Gesetz über die Invalidenversicherung (IVG), LGBl. 1960 Nr. 5 für Hilfsmittel (Rollstühle etc.).
Gesetz über Ergänzungsleistungen zur Alters-, Hinterlassenen- und Invalidenversicherung (LGBl. 1965 Nr. 46) für
   *  Hilflosenentschädigungen bei Hilfsbedürftigkeit (steuerfinanziert, wohnsitzgebunden) und
   *  Ergänzungsleistungen bei wirtschaftlicher Bedürftigkeit (steuerfinanziert,einkommens- und vermögensabhängig und wohnsitzgebunden).
Gesetz über die Gewährung von Blindenbeihilfen (LGBl. 1971 Nr. 7) für Blindenbeihilfen bei ganzer oder teilweiser Blindheit (steuerfinanziert, wohnsitzgebunden).</t>
  </si>
  <si>
    <t>Es gilt das Prinzip "Eingliederung vor Rente" (durch berufliche Maßnahmen verbunden mit Taggeld, Hilfsmittel wie Rollstühle oder Arbeitsplatzadaptierung etc.). Zuständig für die Durchführung solcher Maßnahmen ist die Liechtensteinische Invalidenversicherung.
Berechtigt sind alle Versicherten, sofern sie subjektiv und objektiv die Voraussetzung für eine Eingliederung erfüllen. Eine Teilnahme ist nicht in jedem Fall erforderlich, um eine Rente zu erhalten.</t>
  </si>
  <si>
    <t>Die Beschäftigung von Behinderten wird durch individuelle Lohnzuschüsse an Arbeitgeber gefördert.</t>
  </si>
  <si>
    <t>1. Säule: Die Regierung passt die Renten in der Regel alle zwei Jahre auf Beginn des Kalenderjahres der Lohn- und Preisentwicklung an, indem sie den Rentenindex neu festsetzt und dabei eine Prognose der künftigen Entwicklung des Rentenindexes für das Folgejahr vornimmt. Die Regierung kann die Renten früher anpassen, wenn der Landesindex der Konsumentenpreise innerhalb eines Jahres um mehr als 4 % angestiegen ist; sie kann sie später anpassen, wenn dieser Index innerhalb von zwei Jahren um weniger als 5 % angestiegen ist.
2. Säule: Wird im Reglement der jeweiligen Vorsorgeeinrichtung geregelt.</t>
  </si>
  <si>
    <t>1. Säule: Eine Kumulierung der Rente mit Arbeitseinkommen ist möglich, solange dieses Invalideneinkommen den Invaliditätsgrad nicht unter 40% herabsinken lässt.
2. Säule: Eine Kumulierung ist möglich. Ein erwerbstätiger, teilinvalider Arbeitnehmer gilt seinem Beschäftigungsgrad entsprechend als Teilbeschäftigter.</t>
  </si>
  <si>
    <t>1. Säule: Renten unterliegen der Besteuerung. Kosten- und Pflegebeiträge, Ergänzungsleistungen und Hilflosenentschädigungen unterliegen nicht der Besteuerung.
2. Säule: Renten und Kapitalleistungen unterliegen der Besteuerung.</t>
  </si>
  <si>
    <t>1. Säule: Bei Renten wird ein Freibetrag von 70% gewährt.
2. Säule: Besteuerung nach allgemeinen Regeln. Keine Sonderbestimmungen für Sozialleistungen.</t>
  </si>
  <si>
    <t xml:space="preserve">
   * Keine direkten Abzüge von den Renten der 1. oder 2. Säule.
   * Nichterwerbstätige Bezüger einer Invalidenrente entrichten den Mindestbeitrag an die Alters- und Hinterlassenenversicherung (1. Säule), die Invalidenversicherung (1. Säule) sowie an die Familienausgleichskasse von  CHF 362,25 (€387) inklusive Verwaltungskostenbeitrag pro Jahr.
</t>
  </si>
  <si>
    <t>Die selbständig Erwerbenden sind vom allgemeinen System abgedeckt.</t>
  </si>
  <si>
    <t>Die gleichen Bedingungen wie für unselbständig Erwerbende.</t>
  </si>
  <si>
    <t>Es gelten die gleichen Bedingungen wie für unselbständig Erwerbende (d.h. Leistungen unterliegen der Besteuerung).</t>
  </si>
  <si>
    <t>Es gelten dieselben Vorschriften für Sozialbeiträge wie für unselbständig Erwerbende.</t>
  </si>
  <si>
    <t>Gesetz über die staatliche Sozialversicherung (Likums „Par valsts sociālo apdrošināšanu“) vom 1. Oktober 1997.
Gesetz über staatliche Renten (Likums „Par valsts pensijām“) vom 2. November 1995.
Gesetz über staatliche Sozialleistungen (Valsts sociālo pabalstu likums) vom 1. Januar 2003.
Behindertengesetz (Invaliditātes likums) vom 20. Mai 2010.
Verordnung des Ministerkabinetts Nr. 805 bezüglich der Kriterien vorhersehbarer Behinderung, Behinderung und der Ausstellung des Behindertenausweises (MK noteikumi Nr.805 “Prognozējamas invaliditātes, invaliditātes un darbspēju zaudējuma noteikšanas un invaliditāti apliecinoša dokumenta izsniegšanas noteikumi”) vom 23. Dezember 2014.
Verzeichnis der Rechtsakte: https://likumi.lv/</t>
  </si>
  <si>
    <t>Obligatorisches Sozialversicherungssystem für alle Arbeitnehmer und Selbstständige, das beitragsbezogene Leistungen gewährt. Dies ist Teil des nationalen Rentensystems.
Es gibt kein besonderes Sozialhilfesystem für Invalidität. Es gilt das allgemeine Mindestsicherungssystem (siehe Tabelle XI). Zusätzlich kann, wer keinen Anspruch auf Leistungen bei Invalidität (invaliditātes pensija) hat, unter bestimmten Umständen die Staatliche Grundleistung der sozialen Sicherheit (Valsts sociālā nodrošinājuma pabalsts) erhalten (siehe Tabelle V, „Andere Leistungen“).</t>
  </si>
  <si>
    <t>Alle Arbeitnehmer und Selbstständigen jünger als das gesetzliche Rentenalter.
Der Anspruch ist abhängig vom Wohnsitz.
Freiwillige Versicherung möglich.</t>
  </si>
  <si>
    <t>3 Versicherungsjahre für Leistungen bei Invalidität.
Die Mindestversicherungszeit ist nicht altersabhängig.</t>
  </si>
  <si>
    <t>Der Anspruch auf Leistungen bei Invalidität (Invaliditātes pensija) für Personen zwischen 18 Jahren und dem Rentenalter beginnt mit der Feststellung des Grads der Arbeitsunfähigkeit und der Gruppe der Behinderung. Sie kann für einen festen Zeitraum oder dauerhaft sein. Ändert sich der Grad der Arbeitsunfähigkeit und die Gruppe der Behinderung, ändert sich dementsprechend die Höhe der Leistung bei Invalidität.
Bei Erreichen des gesetzlichen Rentenalters wird die Invaliditätsrente in eine Altersrente umgesetzt.
Aus einer verringerten Arbeitsfähigkeit ergibt sich kein Anspruch auf eine vorgezogene Altersrente.</t>
  </si>
  <si>
    <t>Überprüfung möglich,
   * wenn sich die Gruppe der Person mit Behinderung geändert hat,
   * wenn für die Invalidenrenten der Gruppen I und II die individuellen Sozialversicherungsbeiträge erhöht wurden.
Diese Überprüfung kann ein Mal im Jahr erfolgen.
Die Neubewertung wird von der Staatlichen Kommission der Fachärzte für Gesundheit und Arbeitsfähigkeit (Veselības un darbspēju ekspertīzes ārstu valsts komisija) durchgeführt.
Die Leistungen werden von der Staatlichen Sozialversicherungsanstalt (Valsts sociālās apdrošināšanas aģentūra) neu berechnet.</t>
  </si>
  <si>
    <t>Der Betrag der Leistungen bei Invalidität ist abhängig von den geleisteten Sozialversicherungs-beiträgen.
Gruppe I:
P = 0,45 x Vi + (ASi / ASie) x Vi x 0,1
Gruppe II:
P = 0,40 x Vi + (ASi / ASie) x Vi x 0,1
   * P: Rente (monatlicher Betrag);
   * Vi: Referenzeinkommen (siehe Tabelle V „Leistungen, 3. Referenzeinkommen oder Berechnungsgrundlage“);
   * ASi: individueller Versicherungszeitraum in Jahren;
   * ASie: maximal möglicher Versicherungszeitraum ab dem Alter von 15 Jahren bis zur Regelaltersgrenze.
Gruppe III:
festgesetzte Beträge entsprechend der Höhe der Berechnungsgrundlage für Invalidenrente (invaliditātes pensijas aprēķina bāze): €189 monatlich (für Personen mit Behinderungen seit Kindesalter in Höhe von €226 monatlich).
Leistungen bei Invalidität werden jeden Monat gezahlt. Es werden keine zusätzlichen Zahlungen geleistet (aber der Staat zahlt in einigen Fällen einen monatlichen Zuschlag).
Der Anspruch auf Leistungen unterliegt nicht der Bedürftigkeitsprüfung, und der Leistungsbetrag variiert nicht in Abhängigkeit des aktuellen Einkommens aus Erwerbstätigkeit oder anderer Sozialleistungen.</t>
  </si>
  <si>
    <t>Das durchschnittliche Bruttoeinkommen der Person, auf das Beiträge gezahlt wurden im 36-monatigen Zeitraum mit den höchsten Einnahmen in den 5 Jahren vor dem Rentenanspruch.
Falls die Person in den letzten 5 Jahren vor dem Leistungsanspruch weniger als 36 aufeinanderfolgende Monate beschäftigt war, wird das Durchschnittseinkommen in Höhe von 40% des nationalen Bruttolohns, auf den Beiträge gezahlt wurden, berechnet.</t>
  </si>
  <si>
    <t>Die Mindestrente basiert auf der Berechnungsgrundlage für Invalidenrente (invaliditātes pensijas aprēķina bāze) in Höhe von €189 monatlich oder für Personen mit Behinderungen seit Kindesalter in Höhe von €226 monatlich.
   * Gruppe I: 1,6 x Berechnungsgrundlage für Invalidenrente,
   * Gruppe II: 1,4 x Berechnungsgrundlage für Invalidenrente,
   * Gruppe III: 1 x Berechnungsgrundlage für Invalidenrente.
Keine gesetzliche Höchstrente.</t>
  </si>
  <si>
    <t>Der Staat finanziert Maßnahmen zur sozialen und beruflichen Rehabilitation, Anmietung und Verteilung von technischen Hilfen sowie die staatliche Unterstützung zur Anpassung von Spezialfahrzeugen.
Schulungen sind für Personen mit Behinderungen verfügbar, die arbeitslos gemeldet sind (Dienste von Gebärdesprachdolmetschern werden falls notwendig bereitgestellt), sowie Mentordienste.
Die Teilnahme an der beruflichen Ausbildung oder der persönlichen Rehabilitation ist nicht zwingend erforderlich, um Invalidenrente zu erhalten.</t>
  </si>
  <si>
    <t>Eine vorübergehende Beschäftigungsbeihilfe wird an Arbeitgeber gezahlt, die einen Arbeitnehmer mit Behinderung einstellen. Arbeitsplatzanpassungen werden für Personen mit Behinderungen finanziert, die arbeitslos gemeldet sind (zusätzlich zur Beschäftigungsbeihilfe oder gesondert).
Präferenzbehandlung bei Entlassung und Reduzierung der Beschäftigtenanzahl.</t>
  </si>
  <si>
    <t>Ein Teil der Rente – der nicht das nationale Durchschnittsbruttoentgelt des Vorjahres überschreitet, auf das Beiträge gezahlt wurden - wird gemäß dem Preisindex und 50% des Lohnindexes (am 1. Oktober) angepasst.
Bei politisch unterdrückten Personen, Personen mit Behinderungen der Gruppe I, Beteiligten bei der Beseitigung der Folgen des Unfalls im Kernkraftwerk Tschernobyl, Personen, denen eine Altersrente zu gekürzten Konditionen gewährt wurde wegen der Pflege und Erziehung eines Kindes mit Behinderungen oder fünf oder mehr Kindern, wurde die Anpassung auf alle Renten angewandt, unabhängig von deren Betrag.</t>
  </si>
  <si>
    <t>Kumulation möglich.</t>
  </si>
  <si>
    <t>Leistungen, die vor dem 01.01.1996 gewährt wurden, unterliegen nicht der Besteuerung.
Leistungen, die nach dem 01.01.1996 gewährt oder neu berechnet wurden, unterliegen der Besteuerung.</t>
  </si>
  <si>
    <t>Personen, die eine selbstständige Tätigkeit mit einer unselbstständigen Tätigkeit kombinieren, zahlen gesonderte Beiträge jeweils als Arbeitnehmer und als Selbstständiger.</t>
  </si>
  <si>
    <t>Obligatorisches Sozialversicherungssystem für die aktive Bevölkerung mit Leistungen in Abhängigkeit vom früheren Einkommen, dem Invaliditätsgrad und der Beschäftigungsdauer, ergänzt durch ein obligatorisches kapitalgedecktes System der 2. Säule.
Invaliditätsleistungen sind Teil des nationalen Rentensystems.
Zusätzlich bietet das Sozialfürsorgesystem Menschen mit Behinderungen Zugang zu Geld- und/oder Sachleistungen, je nach Grad der Behinderung und anderen Umständen (siehe Tabelle XI zu “Mindestsicherung” und Tabelle XII zu “Langzeitpflege”).</t>
  </si>
  <si>
    <t>Invalidität wird entweder auf der Basis des Grades der Arbeitsunfähigkeit oder des Grades der Funktionsbeeinträchtigung definiert.
Verminderte Leistungsfähigkeit:
Aufgrund einer bleibenden Veränderung des Gesundheitszustandes, die nicht durch medizinische Behandlung gebessert werden kann, ist die Leistungsfähigkeit einer versicherten Person um mehr als die Hälfte im Vergleich zu einem gesunden Menschen mit demselben oder einem vergleichbaren Bildungsstand vermindert.
Verbleibende Leistungsfähigkeit:
Sie bezieht sich auf die Möglichkeit, den Gesundheitszustand von Versicherten mit verminderter Leistungsfähigkeit durch berufliche Rehabilitation in solch einem Maße zu verbessern, dass sie in der Lage sind, andere Aktivitäten in Vollzeit auszuüben.
Teilweise Leistungsfähigkeit:
Berufliche Rehabilitation kann den Gesundheitszustand eines Versicherten mit verminderter Leistungsfähigkeit nicht in dem Maße verbessern, dass er/sie Vollzeit arbeiten kann, er/sie jedoch in der Lage ist, mindestens 70% der Arbeitsstunden in einem angepassten Arbeitsumfeld zu absolvieren, das den selben oder einen vergleichbaren Bildungsstand voraussetzt und den vorhergehenden Arbeitsstellen entspricht.
Vollständige Arbeitsunfähigkeit:
Bei dauerhaftem Verlust der Leistungsfähigkeit, ohne jegliche verbleibende Leistungsfähigkeit.</t>
  </si>
  <si>
    <t>Die Bewertung wird auf der Grundlage der Verordnung über Methodik von Untersuchungen, durchgeführt, die auch zwei Methoden der Messung beinhaltet: eine Liste mit Organschäden und eine Liste mit Formen von Behinderungen und Einschränkungen funktionaler Fähigkeiten.
Auf diese Weise wird eine umfassende Bewertung der betroffenen Person erstellt, unter Nutzung eines einzigartigen Kriterienkatalogs, der angewendet wird, um den Grad der Behinderung festzustellen.
Mindestlevel der Erwerbsminderung: 50%.</t>
  </si>
  <si>
    <t>Eine versicherte Person hat Anspruch auf Behindertenrente ab dem Datum des teilweisen oder vollständigen Verlusts der Arbeitsfähigkeit.
Die versicherte Person und der Empfänger der Behindertenrente müssen sich innerhalb von 3 Jahren nach dem angegebenen Verlust der Arbeitsfähigkeit einer Nachuntersuchung unterziehen.. Die Zahlung der Leistung kann im Fall eines unentschudligten Nichterscheinens ausgesetzt werden. Die Zahlung wird am ersten Tag des Monats nach dem Monat, in dem die Nachuntersuchung durchgeführt wurde, wieder aufgenommen, innerhalb von höchstens 12 Monaten.
Es besteht keine Möglichkeit der vorgezogenen Altersrente. Der Leistungsempfänger ist mit Erreichen der Regelaltersgrenze automatisch anspruchsberechtigt für eine Altersrente.
Ein Arbeitnehmer mit Behinderung, der nach Beendigung einer beruflichen Rehabilitation arbeitslos bleibt, kann eine vorübergehende Behindertenrente beziehen, wenn die Arbeitslosigkeit nach der Rehabilitation mehr als 5 Jahre und bis zum Alter von 58 Jahren andauerte und vorausgesetzt, dass ein Stellenangebot ohne Verzug angenommen wird.
Ein Arbeitnehmer mit Behinderung, der nach Beendigung einer beruflichen Rehabilitation zunächst weiterarbeiten konnte, anschließend aber arbeitslos wurde, verfügt ebenfalls über das oben genannte Recht.</t>
  </si>
  <si>
    <t>Das Verfahren zur Anspruchsberechtigung auf Behindertenrente wird von einem ausgewählten Arzt der medizinischen Grundversorgung veranlasst. Der Arzt reicht die vollständige medizinische Dokumentation sowie seine Beurteilung bei der kroatischen Rentenversicherungsanstalt ein, die auf der Basis der Ergebnisse und Meinungen des Instituts für Fachwissen, berufliche Rehabilitation und Beschäftigung von Menschen mit Behinderung die Arbeitsfähigkeit bestimmt. Eine versicherte Person hat Anspruch auf eine Behindertenrente ab dem Datum des teilweisen oder vollständigen Verlusts der Arbeitsfähigkeit.
Es besteht ein Widerspruchsrecht. Widerspruch an die zentrale Organisationseinheit der kroatischen Rentenversicherungsanstalt kann gegen die Entscheidung über Rechte und Pflichten eingelegt werden, die die Versicherungsanstalt in der ersten Instanz getroffen hat. Der Widerspruch verzögert nicht die Vollstreckung der Entscheidung, ausgenommen in außerordentlichen, gesetzlich vorgeschriebenen Fällen.
Das Bewertungsverfahren und die angewendeten Kriterien sind landesweit die gleichen.</t>
  </si>
  <si>
    <t>Empfänger von Behindertenrente müssen sich innerhalb von 3 Jahren ab dem Datum ihres angegebenen verminderten, teilweisen oder vollständigen Verlusts ihrer Arbeitsfähigkeit einer Neubewertung unterziehen. Entzieht sich die Person ohne triftigen Grund einer Überprüfung, wird die Zahlung der Leistung ausgesetzt. Sie wird am ersten Tag des Monats nach dem Monat, in dem die Neubewertung durchgeführt wurde, wieder aufgenommen, innerhalb von höchstens 12 Monaten.
Verbessert sich der Gesundheitszustand der versicherten Person, findet eine Neubewertung statt und der Anspruch auf Behindertenrente kann erlöschen.
Die kroatische Rentenversicherungsanstalt ist die Einrichtung, die über die Gewährung von Leistungen und der Notwendigkeit einer Neubewertung entscheidet.</t>
  </si>
  <si>
    <t>1. Säule:
Das Jahresbruttoentgelt des betreffenden Versicherten wird mit dem durchschnittlichen nationalen Jahresbruttoentgelt aller Beschäftigten in Beziehung gesetzt.
Das Ergebnis ist ein Wertpunkt für jedes Jahr der Erwerbsbiografie. Alle Wertpunkte werden sodann addiert und durch die Anzahl der Jahre dividiert, für die sie angerechnet wurden. Das Ergebnis ist der durchschnittliche Wertpunkt, der in der Rentenformel angesetzt wird.
2. Säule:
Nicht anwendbar. Kein Bezug zum früheren Bruttoeinkommen.</t>
  </si>
  <si>
    <t>1. Säule:
Abhängig vom nationalen Durchschnittslohn, dem Rentenanpassungssatz, den Versicherungszeiten und der Rentenart: 0,825 des nationalen Durchschnittslohns der Beschäftigten im Jahr 1998 x Anpassung x zurückgelegte Versicherungszeiten x Rentenfaktor.
Alle Rentenberechtigten, deren berechnete Rente unter der Mindestrente liegt, sind anspruchsberechtigt. Auf alle Renten anwendbar (Alters-, Invaliditäts-, Hinterbliebenenrente).
Der durchschnittliche Wertpunkt darf 3,8 nicht übersteigen, d. H. Das persönliche Durchschnittsentgelt der gesamten angerechneten Erwerbsdauer darf das 3,8-fache der Durchschnittsentgelte aller Beschäftigten nicht übersteigen. Der endgültige Betrag der Höchstrente richtet sich dann nach den Versicherungszeiten und der Rentenart (Alters-, Invaliditäts-, Hinterbliebenenrente). Siehe Tabelle V zu Invalidität – „Leistungen 1. Berechnungsmethode,Rentenformel, Beträge und Zahlungshäufigkeit”.
2. Säule:
Keine gesetzliche Mindestrente.</t>
  </si>
  <si>
    <t xml:space="preserve">
   * Zeiten, die Militärangehörige oder Soldaten im Krieg zurückgelegt haben,
   * Zeiten im Krieg und Zeiten der politischen Gefangenschaft nach dem Krieg,
   * Erziehung eines Kindes unter zwölf Monaten durch einen arbeitslosen Elternteil.
</t>
  </si>
  <si>
    <t>Volle und Teilinvaliditätsrente: Kumulierung nicht möglich.
Für die Invaliditätsrente werden die Renten der Leistungsempfänger aufgrund des teilweisen Verlusts der Arbeitsfähigkeit nicht ausgesetzt, werden aber zur nächsten Rate neu bestimmt.
Somit beträgt die Invaliditätsrente, die die versicherte Person aufgrund des teilweisen Verlusts der Arbeitsfähigkeit während der Anstellung oder Selbstständigkeit gezahlt bekommt (wenn der Grund Krankheit oder Schädigung ist) 63% des Betrags der vorherigen Rente. Die Behindertenrente, die der versicherten Person aufgrund des teilweisen Verlusts der Arbeitsfähigkeit während der Anstellung oder Selbstständigkeit gezahlt wird, wenn der Grund ein Arbeitsunfall oder eine Berufskrankheit ist, beträgt 83% der vorherigen Rente.</t>
  </si>
  <si>
    <t>Individueller Steuerfreibetrag für Rentner: €600 pro Monat.
Dieser Betrag kann erhöht werden je nach der Anzahl von Unterhaltsberechtigten in der Familie dieser Person, dem Grad der Behinderung der Person oder deren Unterhaltsberechtigten.
Die Einkommensteuer wird um 50% des Steueranteils gekürzt, der speziell auf die Rente entfällt.</t>
  </si>
  <si>
    <t>Allgemeines System, das auch Arbeitnehmer abdeckt.</t>
  </si>
  <si>
    <t>Keine Bedingungen.</t>
  </si>
  <si>
    <t>Wie für Arbeitnehmer (Beitragsgesetz gilt für beide Kategorien).</t>
  </si>
  <si>
    <t>Gesetz Nr. 222 vom 12. Juni 1984 über Invalidität und Erwerbsunfähigkeit (Legge 12 Giugno 1984 n. 222 - Revisione della disciplina della invalidità pensionabile).
Gesetz Nr. 335 vom 8. August 1995 zur Rentenreform (Legge 8 Agosto 1995 n. 335 - Riforma del sistema pensionistico obbligatorio e complementare).
Gesetz Nr. 243 vom 23. August 2004 über die Förderung von Zusatzrenten (Legge 23 Agosto 2004 n. 243 - Norme in materia pensionistica e deleghe al Governo nel settore della previdenza pubblica, per il sostegno alla previdenza complementare e all'occupazione stabile e per il riordino degli enti di previdenza ed assistenza obbligatoria).
Gesetz Nr. 247 vom 24. Dezember 2007 über die Finanzen und Rentenreform (Legge 24 Dicembre 2007 n. 247 -Norme di attuazione del Protocollo del 23 Luglio 2007 su previdenza, lavoro e competitività per favorire l’equità e la crescita sostenibili, nonché ulteriori norme in materia di lavoro e previdenza sociale).
Gesetz Nr. 122 vom 30. Juli 2010 über dringende Maßnahmen im Bereich der finanziellen Stabilisierung und wirtschaftlichen Wettbewerbsfähigkeit (Legge 30 Luglio 2010 n. 122 - misure urgenti in materia di stabilizzazione finanziaria e competitività economica).
Gesetzgebende Verordnung Nr. 201 vom 6. Dezember 2011, umgewandelt in Gesetz Nr. 214 vom 22. Dezember 2011 über dringende Maßnahmen zur Steigerung des Wachstums und der Gerechtigkeit zur Konsolidierung der Staatsschulden (Legge 22 dicembre 2011 n. 214 – Disposizioni urgenti per la crescita, l’equità e il consolidamento dei conti pubblici).
Gesetz Nr. 147 vom 27. Dezember 2013 über Bestimmungen für die Aufstellung des jährlichen und mehrjährigen Staatshaushalts - Stabilitätsgesetz 2014 (Disposizioni per la formazione del bilancio annuale e pluriennale dello Stato - Legge di stabilità 2014).
Gesetzesdekret Nr. 65 vom 21. Mai 2015 mit Sofortmaßnahmen in Bezug auf die Sicherheit – Sicherheitsnetze and Abfindungsgarantien – zur Anwendung des Urteils des Verfassungsgerichts Nr. 70 vom 10. März – 30. April 2015 (Decreto Legge 21 maggio 2015, n. 65 recante “Disposizioni urgenti in materia di pensioni, di ammortizzatori sociali e di garanzie TFR” – applicazione della sentenza della Corte Costituzionale n. 70 del 10 marzo – 30 aprile 2015).
Gesetz Nr. 19 vom 27. Februar 2017 (veröffentlicht im Amtsblatt der Italienischen Republik Nr. 49 vom 28. Februar 2017) – Umwandlung in Gesetz von Gesetzesdekret 244 vom 30. Dezember 2016 (Legge 27 febbraio 2017, n. 19 - pubblicata su GU Serie Generale n.49 del 28-02-2017 - Suppl. Ordinario n. 14 - conversione in legge, con modificazioni, del decreto-legge 30 dicembre 2016, n. 244, recante proroga e definizione di termini).
Verzeichnis der Rechtsakte: https://www.gazzettaufficiale.it</t>
  </si>
  <si>
    <t>Beitragsfinanziertes gesetzliches Sozialversicherungssystem für Arbeitnehmer mit entgeltbezogenen Renten, die von Beiträgen und der Versicherungsdauer abhängen.
Leistungen bei Invalidität sind Teil des nationalen obligatorischen Rentensystems.
Kein spezifisches System. Es gilt das allgemeine Mindestsicherungssystem (siehe Tabelle XI, „Mindestsicherung").
Für die beitragsfreie Leistung bei Ivalidität (sog. Invalidità civile) siehe Tabelle XII, Langzeitpflege.
Sondersysteme für Selbstständige (siehe MISSOC-Informationen zum Sozialschutz für Selbstständige).</t>
  </si>
  <si>
    <t>Für die Entscheidung über Anspruchsberechtigung auf beitragsabhängige Leistungen, Erwerbsunfähigkeitsrente (pensione di inabilità) und Invaliditätsbeihilfe (assegno ordinario d'invalidità, AOI) beruht die Beurteilung der Invalidität auf dem Grad der Minderung der Erwerbsfähigkeit (teilweise oder vollständig) aufgrund von Krankheit oder Behinderung (körperlich oder geistig).</t>
  </si>
  <si>
    <t>Alle Arbeitnehmer in der Privatwirtschaft.
Pflichtdeckung unter den betreffenden Sondersystemen für Selbstständige (MISSOC-Informationen zum Sozialschutz für Selbstständige).
Anspruchsberechtigung auf Leistungen bei Invalidität beruht auf den Anspruchsvoraussetzungen, die für jedes betreffende Versicherungssystem festgelegt sind und nicht auf Wohnsitz und/oder Staatsangehörigkeit beruhen.</t>
  </si>
  <si>
    <t>Personen mit weniger als €5.000 Bruttojahreseinkommen sind von Sozialversicherungsabgaben ausgenommen.</t>
  </si>
  <si>
    <t>Anspruchsberechtigung auf Leistungen bei Invalididtät beginnt ab dem Monat, der auf die Antragstellung der betroffenen versicherten Person oder der Feststellung der Invalidität oder Erwerbsunfähigkeit folgt.
Sowohl für die Invaliditätsbeihilfe (assegno ordinario d'invalidità, AOI) als auch die Erwerbsunfähigkeitsrente (pensione di inabilità) beginnen, wenn das Krankengeld ausläuft. Die Invaliditätsbeihilfe (assegno ordinario d'invalidità, AOI) wird für drei Jahre gewährt und kann höchstens dreimal erneuert werden. Danach wird sie dauerhaft gewährt, bis sie entweder durch die Erwerbsunfähigkeitsrente (pensione di inabilità) ersetzt wird oder, wenn aufgrund völliger oder dauerhafter Beeinträchtigung keine Erwerbsfähigkeit mehr vorhanden ist, durch die Altersrente, wenn die gesetzliche Rentenaltersgrenze erreicht wird.
Vorgezogener Ruhestand im Fall verminderter Erwerbsfähigkeit ist nur möglich für Personen, die Vorruhestandsbeihilfe (A.PE Sociale - Anticipo Pensionistico) beantragen (siehe Tabelle VI Alter, „1. Gesetzliches Rentenalter, Vorruhestand“).</t>
  </si>
  <si>
    <t>Dem Antrag muss der ärztliche Bericht (sog. „SS3”) beigefügt sein, den der Hausarzt des Arbeitnehmers ausstellt.
Die entscheidende ärztliche Untersuchung zur Feststellung der Anspruchsberechtigung wird von Ad-hoc-Kommissionen innerhalb der rechtlich-medizinischen Abteilung des Nationalen Instituts für Soziale Sicherheit (Istituto Nazionale della previdenza sociale, INPS) durchgeführt.
Mitglieder dieser Kommissionen sind Teil der rechtlich-medizinischen Abteilung des INPS.
Die angewendeten Bewertungsverfahren und Kriterien gelten landesweit.
Im Fall der Ablehnung eines Antrags hat der Antragsteller innerhalb von 90 Tagen ab der Ablehnung das Recht, Widerspruch einzulegen.</t>
  </si>
  <si>
    <t>Die Anspruchsberechtigung auf Invaliditätsbeihilfe (assegno ordinario d'invalidità, AOI) wird insgesamt dreimal überprüft und zwar alle drei Jahre, während die Erwerbsunfähigkeitsrente (pensione di inabilità) keiner Überprüfung unterliegt.
Die Überprüfung liegt in der Verantwortung der rechtlich-medizinischen Abteilung des INPS.</t>
  </si>
  <si>
    <t>Invaliditätsbeihilfe (assegno ordinario d‘invalidità, AOI):
Für Personen, die vor dem 31. Dezember 1995 versichert waren: der zahlbare Mindestleistungsbetrag entspricht der Mindestrente (pensione minima), d.h. €7.781,93, wenn sich in 2024 das steuerpflichtige Jahreseinkommen auf weniger als €15.563,86 für Einzelhaushalte bzw €23.345,79 für Haushalte (Ehepaare) beläuft.
Es gibt keine Obergrenze.
Für Personen, die seit 1. Januar 1996 versichert sind: keine gesetzliche Mindestrente und keine gesetzliche Höchstrente.</t>
  </si>
  <si>
    <t>Zeiten der Abwesenheit vom Arbeitsplatz in Bezug auf Mutterschaft oder Arbeitslosigkeit werden berücksichtigt hinsichtlich der Anspruchsberechtigung sowohl auf Invaliditätsbeihilfe (assegno ordinario d'invalidità, AOI) als auch Erwerbsunfähigkeitsrente (pensione di inabilità).</t>
  </si>
  <si>
    <t>Rentner mit Behinderungen sowie versicherte Arbeiter, die zur Fortbewegung auf die Hilfe einer dritten Person angewiesen sind und/oder die für die alltäglichen Verrichtungen ständiger Hilfe bedürfen, haben Anspruch auf eine monatliche Unterstützungsbeihilfe (assegno di accompagnamento) in Höhe von €542,02 für 2025 (siehe Tabelle XII, „Langzeitpflege“).</t>
  </si>
  <si>
    <t>Empfänger von Leistungen bei Invalidität haben Zugang zu Berufsausbildung und Rehabilitation, die darauf abzielt, ihre Fähigkeit, eine weniger anstrengende Beschäftigung an ihrer bisherigen Arbeitsstätte auszuüben oder eine neue Beschäftigung zu finden, der ihrer verbleibenden Erwerbsfähigkeit entspricht.
Diese Aktivitäten fallen unter die Verantwortlichkeit der lokalen Arbeitsämter (Centro per l’impiego provinciale).
Teilnahme an diesen Aktivitäten ist nicht verpflichtend für den Bezug von Leistungen bei Invalidität.</t>
  </si>
  <si>
    <t xml:space="preserve">
   * Monatliche Renten bis €2.394,44 (entspricht dem 4-fachen von €603,40 entsprechend der monatlichen Mindestrente, die 2025 gezahlt wurde): vollständig angepasst um 0,80% (offizielle Indexierungsrate, veröffentlicht vom Ministerium für Wirtschaft und Finanzen für das Jahr 2025);
   * monatliche Renten von €2.394,45 bis €2.993,05 (dem 5-fachen der Mindestrente): angepasst um 0,720%;
   * monatliche Renten von €2.993,06 und darüber: angepasst um 0,600%.</t>
  </si>
  <si>
    <t>Invaliditätsbeihilfe (assegno ordinario d‘invalidità, AOI): Teilweise Kumulierung ist möglich. Die Invaliditätsbeihilfe wird um 25 oder 50% gekürzt wie in der Tabelle unten angezeigt:
Einkommen 2024                                                                                       Kürzung der Beihilfe
bis zum 4-fachen des Mindeseinkommens:        31.127,72 €            keine
ab dem 4-fachen bis 5-fachen                            bis 38.909,65 €             25%
mehr als 5-fache                                                     &gt;      38.909,65 €             50%</t>
  </si>
  <si>
    <t>Sowohl Invaliditätsbeihilfe (assegno ordinario d'invalidità, AOI) und Erwerbsunfähigkeitsrente (pensione di inabilità) können nicht kumuliert werden mit Renten aufgrund von Arbeitsunfällen (falls diese wegen derselben Einschränkung der Erwerbsfähigkeit gewährt werden). Ist allerdings die Leistung bei Invalidität, die vom Nationalen Institut für Soziale Sicherheit (Istituto Nazionale della previdenza sociale, INPS) gezahlt wird, höher als die Arbeitsunfallrente (rendita da infortunio sul lavoro - vitalizia), die vom Nationalen Institut der Arbeitsunfallversicherung (Istituto Nazionale contro gli infortuni sul lavoro, INAIL) gezahlt wird, ist eine Kumulierung für den Unterschiedsbetrag zulässig.</t>
  </si>
  <si>
    <t>Invalidität ist durch das Sondersystem für Selbstständige der Allgemeinen Pflichtversicherung (AGO) für traditionelle Selbstständige abgedeckt und durch das gesonderte Rentensystem (Gestione separata) für andere Kategorien von Selbstständigen.</t>
  </si>
  <si>
    <t>Insbesondere können Selbstständige im gesonderten Rentensystem (Gestione separata), Beiträge in das System einzahlen, vorausgesetzt, dass ihr jährliches Arbeitseinkommen €5.000 übersteigt.</t>
  </si>
  <si>
    <t>Traditionell Selbstständige und Selbstständige, die im gesonderten Rentensystem (Gestione separata) gemeldet sind, zahlen nur dann Beiträge in das Arbeitnehmersystem ein, wenn die Person sowohl als Arbeitnehmer als auch als Selbstständiger arbeitet.</t>
  </si>
  <si>
    <t>Gleiche Bedingungen wie für Arbeitnehmer. Grade der Erwerbsunfähigkeit, die die Art der gewährten Leistung beeinflussen, korrespondieren mit denen, die im allgemeinen System gelten, darunter auch der Grad der Erwerbsunfähigkeit (74%) in Hinblick auf der Vorruhestandsbeihilfe (APE sociale - Anticipo Pensionistico) falls das Einkommen nicht €5.000 überschreitet.</t>
  </si>
  <si>
    <t>Gleiche Bedingungen wie für Arbeitnehmer. Da die Invaliditätsbeihilfe (assegno ordinario d'invalidità, AOI) alle drei Jahre drei Überprüfungen unterzogen wird wie im allgemeinen System, ist die Dauer abhängig von der Bestätigung.</t>
  </si>
  <si>
    <t>Sozialversicherungsgesetz (Lög um almannatryggingar) Nr. 100/2007 vom Mai 2007.
Sozialhilfegesetz (Lög um félagslega aðstoð) Nr. 99/2007 vom Mai 2007.
Gesetz über die obligatorische Versicherung für Renten und die Tätigkeit von Rentenfonds (Lög um skyldutryggingu lífeyrisréttinda og starfsemi lífeyrissjóða) Nr. 129/1997 vom Dezember 1997.
Gesetz über die berufliche Rehabilitation und Tätigkeiten von Fonds zur beruflichen Rehabilitation (Lög um atvinnutengda starfsendurhæfingu og starfsemi starfsendurhæfingarsjóða) Nr. 60/2012 vom Juni 2012.
Verzeichnis der Rechtsakte – siehe hier.</t>
  </si>
  <si>
    <t>Volksrente (lífeyrir almannatrygginga):
Alle Einwohner im Alter von 18 bis unter 66 Jahren.
Arbeitsrente (lögbundnir lífeyrissjóðir):
Alle versicherten Arbeitnehmer und Selbstständige im Alter von 16 bis 70 Jahren.</t>
  </si>
  <si>
    <t>Volksrente (lífeyrir almannatrygginga):
Nicht anwendbar: universelles System.
Arbeitsrente (lögbundnir lífeyrissjóðir):
Keine Ausnahmen.</t>
  </si>
  <si>
    <t>Volksrente (lífeyrir almannatrygginga):
Der Anspruch auf Leistungen bei Invalidität wird festgestellt, wenn die Invalidität aufgrund einer medizinisch anerkannten Krankheit oder Invalidität bei 50 % oder mehr liegt.
Arbeitsrente (lögbundnir lífeyrissjóðir):
Der Anspruch auf Leistungen bei Invalidität wird festgestellt, wenn die Erwerbsunfähigkeit auf 50 % oder mehr geschätzt wird und das Einkommen aufgrund von Invalidität geringer ausfällt.</t>
  </si>
  <si>
    <t>Volksrente (lífeyrir almannatrygginga):
Höchstalter: 66 Jahre.
Ab dem ersten Tag des Monats, der der Entscheidung folgt.
Zur Frührente siehe Tabelle VI zu Alter – Vorzeitige Altersrente.
Arbeitsrente (lögbundnir lífeyrissjóðir):
Höchstalter: 70 Jahre. Die Leistung beginnt frühestens 3 Monate nach dem Auftreten der Behinderung oder ab dem ersten Tag des Monats nach der Entscheidung und wird, solange die Bedingungen erfüllt sind.
Zur Frührente siehe Tabelle VI zu Alter – „Vorzeitige Altersrente“.</t>
  </si>
  <si>
    <t>Staatliche Rente (lífeyrir almannatrygginga):
Ein Antrag auf Invaliditätsleistungen ist an die zuständige Behörde, die Sozialversicherungsanstalt (Tryggingastofnun) zu sichten, die alleinig für die Beurteilung sämtlicher Anträge zuständig ist. Der Arzt des Antragstellers füllt ein Formular zur Beurteilung der Invalidität aus und sendet es an die Behörde. Außerdem muss der Antragsteller einen Fragebogen mit Fragen zu seinem Zustand und seinen Fähigkeiten in verschiedenen Bereichen beantworten. Der Antragsteller kann zu einem Gespräch hinzugezogen werden. Die Sozialversicherungsanstalt (Tryggingastofnun) prüft den Antrag und die Unterlagen und untersucht Rehabilitationsmöglichkeiten. Im Falle einer Streitigkeit über die Grundlage, die Bedingungen oder die Höhe der Leistungen kann eine Beschwerde an den Berufungsausschuss für Sozialhilfe gerichtet werden. Die Verfahren sind landesweit identisch.
Betriebsrente (lögbundnir lífeyrissjóðir):
Ein Antrag auf Leistungen bei Invalidität ist an die zuständige Rentenkasse zu richten, an die der Antragsteller Beiträge gezahlt hat.</t>
  </si>
  <si>
    <t>Staatliche Rente (lífeyrir almannatrygginga): Die zuständige Behörde, die Sozialversicherungsanstalt (Tryggingastofnun), kann die Bedingungen der Leistungsberechtigung jederzeit überprüfen und die Leistung aufgrund eventueller Änderungen der Umstände anpassen.</t>
  </si>
  <si>
    <t>Volksrente (lífeyrir almannatrygginga):
Kein Referenzeinkommen.
Arbeitsrente (lögbundnir lífeyrissjóðir):
Bruttoeinkommen ohne Bemessungsgrenze.</t>
  </si>
  <si>
    <t>Volksrente (lífeyrir almannatrygginga):
Keine gesetzliche Mindestrente. Für den zahlbaren Höchstbetrag siehe Leistungen, 1. Berechnungsmethode bzw. Rentenformel, Betrag und Zahlungshäufigkeit
Arbeitsrente (lögbundnir lífeyrissjóðir):
Keine gesetzliche Mindestrente.</t>
  </si>
  <si>
    <t>Volksrente (lífeyrir almannatrygginga):
Nicht anwendbar, da der Leistungsanspruch auf dem rechtmäßigen Wohnsitz basiert.
Arbeitsrente (lögbundnir lífeyrissjóðir):
Nicht anwendbar, da der Leistungsanspruch auf Beiträgen basiert, siehe z. B. Tabelle IV Mutterschaft – „Auf Leistungen anfallende Sozialabgaben“</t>
  </si>
  <si>
    <t>Ehepartner:
Keine Zulage.
Kinder:
Volksrente (lífeyrir almannatrygginga):
Kinderrente (barnalífeyrir) von ISK 48.131 (€334) pro Kind und Monat wird an unterhaltsberechtigte Kinder unter 18 Jahren gezahlt (seit 1. Juli 2023).
Arbeitsrente (lögbundnir lífeyrissjóðir):
Kinderrente für unterhaltsberechtigte Kinder ist je nach Rentenfonds unterschiedlich.</t>
  </si>
  <si>
    <t>Öffentliche Behörden müssen Personen mit Behinderung bei höherer oder gleicher Qualifikation Vorrang vor anderen Bewerbern geben.
Geschützte Beschäftigung ist verfügbar.</t>
  </si>
  <si>
    <t>Volksrente (lífeyrir almannatrygginga):
Die Leistungen werden jährlich nach der Haushaltslage angepasst. Die Anpassung soll die Lohnentwicklung berücksichtigen, die Leistung soll aber auf keinen Fall niedriger als der Anstieg des Lebenshaltungskostenindex sein.
Arbeitsrente (lögbundnir lífeyrissjóðir):
Die Leistungen werden aufgrund von Entscheidungen der betreffenden Rentenfonds unter Berücksichtigung versicherungsmathematischer Aspekte angepasst.</t>
  </si>
  <si>
    <t>Volksrente (lífeyrir almannatrygginga):
Der Bezug von Invaliditätsleistungen kann mit Erwerbseinkommen kombiniert werden.
Wenn das jährliche Einkommen einen bestimmten Grenzwert überschreitet, wird der feste pauschale Invaliditätsrentenbetrag gekürzt oder ausgesetzt, aber ein jährliches Erwerbseinkommen von ISK 2.400.00 (€16.678) wird bei der Berechnung der Rentenzulage nicht berücksichtigt; siehe oben "Leistungen, 1. Berechnungsmethode bzw. Rentenformel,Beträge und Zahlungshäufigkeit”.
Arbeitsrente (lögbundnir lífeyrissjóðir):
Kürzung, falls das Bruttogesamteinkommen einschließlich Leistungen das durchschnittliche Bruttoeinkommen vor der Arbeitsunfähigkeit übersteigt.</t>
  </si>
  <si>
    <t>Volksrente (lífeyrir almannatrygginga):
Als Hauptregel gilt, dass gemäß dem Sozialversicherungsgesetz, dem Sozialhilfegesetz oder dem Gesetz über die Berufsunfallsversicherung in Bezug auf dasselbe Ereignis oder für den gleichen Zeitraum nur eine Leistungsart bezogen werden kann.
Bei einem Anspruch auf mehr als eine Leistungsart kann in Bezug auf nicht kumulierbare Leistungen die höchste Leistung gewählt werden.
Im Falle einer Unterbringung für mindestens 6 Monate in einer Einrichtung, die aus dem Staatshaushalt finanziert wird, werden die Rentenzahlungen eingestellt. Der Rentner erhält stattdessen eine monatliche persönliche Beihilfe von ISK 104.321 (€725).
Arbeitsrente (lögbundnir lífeyrissjóðir):
Leistungskürzung, falls das Gesamteinkommen das durchschnittliche Einkommen vor der Arbeitsunfähigkeit übersteigt.</t>
  </si>
  <si>
    <t>Volksrente (lífeyrir almannatrygginga):
Renten unterliegen mit Ausnahme der Kinderrente (barnalífeyrir) der Besteuerung.
Arbeitsrente (lögbundnir lífeyrissjóðir):
Renten unterliegen der Besteuerung.</t>
  </si>
  <si>
    <t>Besteuerung nach allgemeinem Recht. Keine Einkommensgrenzen für die Besteuerung von Leistungen.</t>
  </si>
  <si>
    <t>Die Selbständigen werden von den beiden Systemen erfasst, d.h. das universale wohnsitzabhängige staatliche Rentensystem (lífeyrir almannatrygginga) und das beitragsabhängige Arbeitsrentensystem (lögbundnir lífeyrissjóðir) Rentensystem, also wie für Arbeitnehmer.</t>
  </si>
  <si>
    <t>Die allgemeine Invalidenrente ist universal/wohnsitzabhängig. Die gesetzliche Rentenversicherung basiert auf Beiträgen.
Beide Versicherungen sind gesetzlich vorgeschrieben.</t>
  </si>
  <si>
    <t>Die Invalidenrente (Invalidity Pension) wird wöchentlich an Versicherte ausgezahlt, die mindestens 12 Monate arbeitsunfähig waren und für mindestens weitere 12 Monate wahrscheinlich arbeitsunfähig sein werden. Sofern die Arbeitsunfähigkeit eine dauerhafte Arbeitsunfähigkeit der Person zur Folge hat, muss die Vorgabe von 12 Monaten nicht erfüllt werden.</t>
  </si>
  <si>
    <t>Grundsätzlich alle Erwerbstätigen (Arbeitnehmer und Selbstständige) und Auszubildenden ab dem Alter von 16 Jahren, einschließlich der nach dem 6. April 1995 eingestellten Beamten.
Der Anspruch hängt nicht vom Wohnsitz oder von der Staatsangehörigkeit ab.</t>
  </si>
  <si>
    <t>Arbeitnehmer mit einem wöchentlichen Einkommen unter €38 und vor April 1995 eingestellte Beamte.</t>
  </si>
  <si>
    <t xml:space="preserve">
   * Mindestens 260 effektiv entrichtete Wochenbeiträge;
   * Mindestens 48 effektiv entrichtete oder angerechnete Wochenbeiträge im Laufe des Beitragsjahres, das dem Antrag vorausgeht, oder das zweite volle Beitragsjahr, das dem Antrag vorausgeht.</t>
  </si>
  <si>
    <t>Die Invalidenrente (Invalidity Pension) ist eine Leistung für Versicherte, die aufgrund einer Erkrankung oder Invalidität dauerhaft erwerbsunfähig sind. Anspruch haben Personen, die mindestens 12 Monate erwerbsunfähig waren und höchstwahrscheinlich mindestens weitere 12 Monate erwerbsunfähig oder dauerhaft erwerbsunfähig sind.
Personen, die Krankengeld (Illness Benefit) (mindestens 6 Monate lang) oder eine Invalidenrente (Invalidity Pension) bezogen haben und wieder an ihren Arbeitsplatz zurückkehren wollen, kann Teilkrankengeld (Partial Capacity Benefit) gewährt werden, wenn ihre Erwerbsfähigkeit durch eine Erkrankung beeinträchtigt ist. Die Einschränkung der Erwerbsfähigkeit ist als mäßig, schwer oder schwerstens zu bewerten.
Es existiert kein festgelegter Mindesgrad der Erwerbsfähigkeit/Erwerbsunfähigkeit.</t>
  </si>
  <si>
    <t>Invalidenrente (Invalidity Pension):
Sie wird vom Beginn der Feststellung der dauernden Invalidität an (normalerweise, aber nicht unbedingt frühestens nach einer 12-monatigen Krankengeldperiode) gezahlt.
Sie ist bis zur Vollendung des 65. Lebensjahres zahlbar (ab dem Anspruch auf staatliche Altersrente (State Pension Contributory) besteht). Personen, die unmittelbar vor Erreichen des Rentenalters eine Invalidenrente (Invalidity Pension) beziehen, haben automatisch Anspruch auf den wöchentlichen Höchstsatz des staatlichen Rentenbeitrags (Pauschalzahlung).
Die Dauer des Anspruchs auf Invalidenrente richtet sich nicht nach der Art der Invalidität.
Teilkrankengeld (Partial Capacity Benefit):
Die Leistung ist zahlbar für bis zu 156 Wochen. Der Antragsteller muss Anspruch auf Krankengeld (Illness Benefit) (für mindestens 6 Monate) oder Invalidenrente haben, um die Leistung beanspruchen zu können.
Kein Vorruhestand bei eingeschränkter Arbeitsfähigkeit.</t>
  </si>
  <si>
    <t>Für den Antrag auf Invalidenrente (Invalidity Pension)gibt es drei Formulare. Der Erstantrag enthält die persönlichen Angaben des Antragstellers sowie Informationen über seine berufliche Laufbahn, um festzustellen, ob die Beitragsanforderungen für die Leistung erfüllt sind. Bei den anderen beiden handelt es sich um medizinische Antragsformulare, wobei eines vom eigenen Arzt ausgefüllt wird und das andere eine Selbsteinschätzung durch den Antragsteller darstellt.
Die medizinischen Formulare werden von den medizinischen Begutachtern des Ministeriums für Sozialschutz geprüft, die ein ärztliches Gutachten darüber abgeben, ob der Antragsteller eine dauerhafte Erwerbsunfähigkeit oder eine Erwerbsunfähigkeit von mindestens 12 Monaten aufweist.
Die zuständige amtliche Stelle berücksichtigt die Einschätzung der medizinischen Gutachter, wenn sie über die Gewährleistung der Leistung entscheidet. Wird der Anspruch abgewiesen, kann gegen diese Entscheidung bei der unabhängigen Berufungsstelle für Sozialhilfe Berufung eingelegt werden.
Anträge auf Invalidenrente (Invalidity Pension) und Teilkrankengeld (Partial Capacity Benefit) werden auf zentraler Ebene entsprechend gleichen Verfahren und Kriterien bearbeitet.</t>
  </si>
  <si>
    <t>Es gibt keine gesetzlichen Bestimmungen zur regelmäßigen Neubewertung des Anspruchs auf Invalidenrente. In einigen Fällen wird in der ersten Entscheidungsphase auf der Grundlage der vorgelegten medizinischen Gutachten entschieden, dass der Fall in Zukunft nicht mehr neu bewertet wird. Stichprobenhaft werden Fälle jährlich neu bewertet, wenn der medizinische Gutachter des Ministeriums angibt, dass es angebracht sein könnte, den Fall in 1 oder 2 Jahren zu überprüfen. Alle Entscheidungen bezüglich der Anspruchsberechtigung, einschließlich der Neubewertung der Anspruchsberechtigung, werden von den Entscheidungsträgern im Ministerium getroffen. Das nationale Recht sieht vor, dass ein Entscheidungsträger bei der Entscheidung über die medizinische Eignung die Meinung eines medizinischen Gutachters einholen kann.
Das Teilkrankengeld (Partial Capacity Benefit) kann neu bewertet werden, wenn der Anspruch auf die Leistung medizinisch überprüft wird. Wenn Empfänger eine neue Beschäftigung finden, kann der Anspruch neu bewertet werden, sofern alle Kriterien erfüllt sind.</t>
  </si>
  <si>
    <t>Nicht anwendbar. Kein Referenzeinkommen.</t>
  </si>
  <si>
    <t>Keine Mindesthöhe oder Obergrenze.</t>
  </si>
  <si>
    <t>Für Zeiten von Arbeitslosigkeit, Krankheit und Mutterschaft werden Beiträge angerechnet und können hinsichtlich der Beitragsvoraussetzungen für das Beitragsjahr vor der Antragstellung berücksichtigt werden.</t>
  </si>
  <si>
    <t xml:space="preserve">
   * Ehepartner: €178,30 pro Woche;
   * Jedes unterhaltsberechtigte Kind unter 12 Jahren: €50 pro Woche;
   * Jedes unterhaltsberechtigte Kind ab 12 Jahren: €62 pro Woche.
Zulagen unterliegen der Bedürftigkeitsprüfung: Zulagen für Erwachsene basieren auf der Bedürftigkeit des Ehegatten/Lebenspartners/Partners in eheähnlicher Gemeinschaft und die Zulagen für das unterhaltsberechtigte Kind auf der Bedürftigkeit des Antragstellers.</t>
  </si>
  <si>
    <t xml:space="preserve">
   * Zulage für Alleinlebende (Living Alone Allowance): wird an alleinlebende Rentner und Menschen mit Behinderung gezahlt: €22 pro Woche;
   * Unentgeltliche Nutzung von Verkehrsmitteln;
   * Empfänger können auch Anspruch haben auf Brennstoffbeihilfe (Fuel Allowance), unentgeltliche Elektrizität oder Gas (Electricity or Gas Allowance), Befreiung von Fernsehgebühren (Television Licence) und Telefonkostenbeihilfe (Telephone Support Allowance).</t>
  </si>
  <si>
    <t>Rehabilitationsdienste und Berufsausbildung sind für behinderte Personen nach den Gesundheitsgesetzen (Health Acts) kostenlos verfügbar.
Die Inanspruchnahme einer Berufsausbildung oder von Rehabilitätsdiensten ist freiwillig und wirkt sich nicht auf die Gewährung von Invalidenleistungen aus.</t>
  </si>
  <si>
    <t>Keine automatische Anpassung.
Leistungen können auf Regierungsbeschluss im Rahmen des jährlichen Haushaltsverfahrens angepasst werden.</t>
  </si>
  <si>
    <t>Keine Kumulierung von Arbeitseinkommen und Invaliditätsrente (Invalidity pension) möglich, da dies eine vollständige und dauernde Arbeitsunfähigkeit voraussetzt.
Teilkrankengeld (Partial Capacity Benefit):
Es gibt keine Beschränkungen hinsichtlich Arbeitsentgelts oder Anzahl der Arbeitsstunden, die die Person verrichten kann.</t>
  </si>
  <si>
    <t>Kumulierung mit Kindergeld (Child Benefit), Häuslichem Pflegegeld (Domiciliary Care Allowance) und Behindertengeld (Disablement Benefit) möglich.</t>
  </si>
  <si>
    <t>Renten (einschließlich der Zulagen für unterhaltsberechtigte Erwachsene und Kinder) unterliegen der Besteuerung.</t>
  </si>
  <si>
    <t>Besteuerung nach allgemeinem Regeln. Keine besonderen Erleichterungen für Invalidenleistungen.</t>
  </si>
  <si>
    <t>Selbstständige sind durch das Sozialversicherungssystem bei Invalidität abgedeckt.</t>
  </si>
  <si>
    <t>Selbstständige müssen mindestens €5.000 pro Jahr durch ihre selbstständige Tätigkeit verdienen, um zur Zahlung von Sozialbeiträgen für Selbstständige verpflichtet zu sein.</t>
  </si>
  <si>
    <t>Wie für Arbeitnehmer. Invaliditätsrente ist steuerpflichtig.</t>
  </si>
  <si>
    <t>Gesetz Nr. 1846/51 vom 14. Juni 1951.
Gesetz Nr. 1902/90 vom 17. Oktober 1990.
Gesetz Nr. 1976/91 vom 4. Dezember 1991.
Gesetz Nr. 2084/92 vom 7. Oktober 1992.
Gesetz Nr. 3029/02 vom 11. Juli 2002.
Gesetz Nr. 3232/04 vom 12. Februar 2004.
Gesetz Nr. 3518/06 vom 21. Dezember 2006.
Gesetz Nr. 3863/10 vom 15. Juli 2010.
Gesetz Nr. 4051/2012 vom 29. Februar 2012.
Gesetz Nr. 4093/2012 vom 12. November 2012.
Gesetzliche Verordnung vom 31. Dezember 2012.
Gesetz Nr. 4147/13 vom 26. April 2013.
Gesetz Nr. 4237/2014 vom 12. Dezember 2014.
Gesetz Nr. 4387/2016 vom 12. Mai 2016.
Gesetz Nr. 4393/2016 vom 6. Juni 2016.
Gesetz Nr. 4472/2017 vom 19. Mai 2017.
Gesetz Nr. 4475/2017 vom 12. Juni 2017.
Gesetz Nr. 4554/2018 vom 18. Juni 2018.
Gesetz Nr. 4611/2019 vom 17. Mai 2019.
Gesetz Nr. 4623/2019 vom 09. August 2019.
Gesetz Nr. 4670/2020 vom 28. Februar 2020.
Gesetz Nr. 4690/2020 vom 30. Mai 2020.
Gesetz Nr. 4714/2020 vom 31. Juli 2020.
Gesetz Nr. 4756/2020 vom 26. November 2020.
Gesetz Nr. 4778/2021 vom 19. Februar 2021.
Gesetz Nr. 4784/2021 vom 16. März 2021.
Gesetz Nr. 4798/2021 vom 24. April 2021.
Gesetz Nr. 4892/2022 vom 22. Februar 2022.
Gesetz Nr. 4961/2022 vom 27. Juli 2022.
Gesetz Nr. 4997/2022 vom 25. November 2022.
Gesetz Nr. 5036/2023 vom 28. März 2023.
Gesetz Nr. 5043/2023 vom 13. April 2023.
Gesetz Nr. 5078/2023 vom 20. Dezember 2023.
Gesetz Nr. 5157/2024 vom 15. November 2024.
Gesetz Nr. 5167/2024 vom 20. Dezember 2024.
Gemeinsame Ministerialentscheidung Δ12α/Φ.29/Γ.Π.7032/142/13-06-2019 (Regierungsamtsblatt Nr. 2553/B/2019).
Gesetz 4512/2018 Art 215 und Ministerialentscheidung Δ12/Γ.Π.οικ/2738/36/17.01.2018 (Regierungsamtsblatt Nr. 57/B/2018).
Gemeinsame Ministerialentscheidung Δ12γ/ΓΠοικ.21836/644/2020 (Regierungsamtsblatt Nr. 2363 B/16-06-2020).
Verzeichnis der Rechtsakte: https://search.et.gr/el/</t>
  </si>
  <si>
    <t>Beitragsfinanziertes obligatorisches Sozialversicherungssystem für Zusatzrente (ΑΝΤΑΠΟΔΟΤΙΚΗ ΣΥΝΤΑΞΗ) und staatliche Rente finanziert durch den Staat (ΕΘΝΙΚΗ ΣΥΝΤΑΞΗ) mit entgeltbezogenen Invalidenrenten, die von dem Grad der Invalidität und der Versicherungsdauer abhängen.
Invalidenrenten sind Teil der nationalen Rentenversicherung.
Es gibt keine spezifische Sozialhilfe für Invalidität.</t>
  </si>
  <si>
    <t>Gemäß der nationalen Gesetzgebung ist der Begriff der Invalidität komplex (unter Berücksichtigung der anatomischen physiologischen Schäden und der Arbeitsunfähigkeit), und die Kategorie der Invalidität ist an die Erwerbsfähigkeit gebunden.
Die Invalidität kann schwer, normal oder teilweise sein.</t>
  </si>
  <si>
    <t>Alle Beschäftigten.
Der Anspruch auf Invalidenrente ist nicht abhängig vom Wohnsitz und/oder der Staatsbürgerschaft.</t>
  </si>
  <si>
    <t>4.500 versicherte Arbeitstage während des gesamten beruflichen Lebens.
Bis zum Alter von 21 Jahren: 300 Arbeits-tage (oder ein Versicherungsjahr). Dieser Zeitraum erhöht sich schrittweise um 120 beitragspflichtige Arbeitstage pro Jahr, bis 1.500 Tage oder ein Alter von 31 Jahren erreicht sind.
Sind diese Bedingungen nicht erfüllt, so sind mindestens 1.500 Arbeitstage erforderlich, davon 600 während der 5 Jahre vor der Invalidität.
Bei Arbeitsunfall oder Berufskrankheit: voller Anspruch ab dem ersten Versicherungstag.
Hat sich der Unfall außerhalb des Arbeitsortes ereignet, gelten folgende Bedingungen: 2.250 oder 750 Arbeitstage (davon 300 in den letzten 5 Jahren vor der Invalidität).</t>
  </si>
  <si>
    <t>Der Anspruch auf Invalidenrente beginnt nach Ablauf des Anspruchs auf Krankengeld (d. h. nach 182, 360 oder 720 Kalendertagen), oder wenn die Invalidität durch die Entscheidung der Zentren zur Bestätigung der Erwerbsunfähigkeit (KEPA) (ΚΕΝΤΡΑ ΠΙΣΤΟΠΟΙΗΣΗΣ ΑΝΑΠΗΡΙΑΣ – ΚΕΠΑ) anerkannt wird.
Die Rente kann je nach Wahl des Leistungsempfängers ab Beginn des Anspruchs auf Krankengeld gezahlt werden, jedoch höchstens für sechs Monate.
Für Krankheiten, die als irreversibel gelten, wird der Anspruch dauerhaft gewährt. Andernfalls wird die Anspruchsdauer von der KEPA bestimt.
Sind die Bedingungen (4.500 beitragspflichtige Arbeitstage und Alter von 67 Jahren) erfüllt, so ist der Empfänger berechtigt, die Invaliditätsrente in eine Altersrente umzuwandeln.
Völlig Blinde und an spezifischen Krankheiten leidende Versicherte, die 4.050 beitragspflichtige Arbeitstage vorweisen können, können früher in den Ruhestand gehen.
Anspruchsberechtigung auf eine Invaliditätsrente ist dauerhaft für Beamte, die aufgrund von Invalidität aus dem Dienst ausgeschieden sind.</t>
  </si>
  <si>
    <t>Der Anspruch wird von dem Zentrum zur Bestätigung der Erwerbsunfähigkeit (KEPA) (ΚΕΝΤΡΑ ΠΙΣΤΟΠΟΙΗΣΗΣ ΑΝΑΠΗΡΙΑΣ – ΚΕΠΑ) beurteilt.
Die Bewertungsverfahren und -kriterien sind im ganzen Land gleich.
Möglichkeit der Berufung gegen die Entscheidung/Zertifizierung von KEPA bei Ausschüssen zweiten Grades von KEPA.</t>
  </si>
  <si>
    <t>Möglichkeit der Revision des Grads der Erwerbsminderung nach Ablaufen des von dem Zentrum zur Bestätigung der Erwerbsunfähigkeit (KEPA) (ΚΕΝΤΡΑ ΠΙΣΤΟΠΟΙΗΣΗΣ ΑΝΑΠΗΡΙΑΣ– ΚΕΠΑ) gewährten Zeitraums von Invalidität und bei bedeutenden Veränderungen im Gesundheitszustand. Wurde die oben genannte Nachuntersuchung dreimalig durchgeführt, ist es möglich, eine lebenslange Rente gewährt zu bekommen, sofern besondere Bedingungen erfüllt sind.
Die Neubewertung hängt von dem von der KEPA gewährten Zeitraum ab und nicht vom Grad der Invalidität oder Beeinträchtigung oder dem Ausmaß der Arbeitsfähigkeit/ Arbeitsunfähigkeit.
KEPA ist für die Durchführung der Neubewertung zuständig.</t>
  </si>
  <si>
    <t>Die beitragspflichtige Rente (ΑΝΤΑΠΟΔΟΤΙΚΗ ΣΥΝΤΑΞΗ) hängt von den durchschnittlichen rentenberechtigten Einkommen des Versicherten ab dem Jahr 2002 bis zum Tag der Beantragung der Rente ab. Der Durchschnitt wird als der Quotient der Division der gesamten monatlichen Vergütung des Versicherten durch die Gesamtversicherungszeit berechnet. Die Summe der vom Versicherten erhaltenen Einkommen ist die Summe der monatlichen Vergütung, die während der ganzen Versicherungszeit der Beitragspflicht unterliegen. Die Berechnung der rentenberechtigten Einkünfte berücksichtigt die Bruttoeinkommen des Versicherten in jedem Steuerjahr, erhöht durch die jährlichen Gehaltsänderungen.
Obergrenze für rentenfähiges Einkommen: €7.572,62 pro Monat, wofür Beiträge gezahlt wurden.</t>
  </si>
  <si>
    <t>Mindestbetrag: Gesetzliche Mindestrente gibt es nur im Fall von Invaliditätsrente aufgrund eines Arbeitsunfalles oder Berufskrankheit.
In diesem Fall darf die Gesamthöhe (staatliche Rente und Zusatzrente) nicht weniger als das Doppelte der Höhe der entsprechenden staatlichen Rente für 20 Versicherungsjahre betragen (d.h. 2 x €436,40 pro Monat).
Höchstbetrag: €5.236,80 (entsprechend zwölf Mal die volle staatliche Rente, 12*€436,40 pro Monat).</t>
  </si>
  <si>
    <t>Es werden keine Zeiträume, in denen keine Beiträge geleistet wurden, gutgeschrieben.</t>
  </si>
  <si>
    <t>Personen, die ab dem 12.05.2016 in Rente gingen:
Kinder: Keine Zulagen. Invaliditätsrentner können Kindergeld (ΕΠΙΔΟΜΑ ΠΑΙΔΙΟΥ) entsprechend Tabelle IX „Familienleistungen“ beantragen.
Ehepartner und andere Unterhaltsberechtigte: Keine Zulagen.</t>
  </si>
  <si>
    <t>Die Arbeitsverwaltung (DYPA) implementiert ein Beschäftigungsförderprogramm für 3.000 arbeitslose Personen aus gefährdeten sozialen Gruppen (einschließlich Arbeitslose mit Behinderung) und 7.000 Arbeitslosen, die mit Hürden beim (Wieder-)Einstieg in den Arbeitsmarkt konfrontiert sind.
Die Teilnahme an einer beruflichen Fortbildung oder persönlichen Rehabilitation ist nicht zwingend erforderlich, um eine Invalidenrente zu erhalten.</t>
  </si>
  <si>
    <t xml:space="preserve">
   * Zuschüsse zur Förderung der Beschäftigung von 3.000 Arbeitslosen aus gefährdeten sozialen Gruppen (einschließlich Menschen mit Behinderungen) in Voll- und Teilzeitstellen.
   * Bevorzugte Beschäftigung im öffentlichen Sektor (Gesetz 2643/1998).</t>
  </si>
  <si>
    <t>Jährliche Anpassung durch gemeinsame Entscheidung des Ministers für Wirtschaft und Finanzen, Arbeit und soziale Sicherheit, basierend auf einem Koeffizienten, der festgelegt wird durch die Summe der Änderungen des BIP und der Änderungen des Verbraucherpreisindex des vorangegangenen Jahres geteilt durch 2. Die jährliche durchschnittliche Veränderung des Verbraucherpreisindexes darf dabei nicht überschritten werden (Art. 25 Par. 4a von Gesetz 4670/2020).
Für das Jahr 2025 ist der Anpassungskoeffizient von Renten 2,4% (Ministerialentscheidung Nr. 53457 vom 12. Dezember 2024/B‘6865 vom 16.12.2024)).</t>
  </si>
  <si>
    <t>Kumulierung mit Einkünften aus Erwerbsarbeit ist ohne Minderung der Beträge von Haupt- und Zusatzrenten möglich.
Für Empfänger der Invalidenrente, welche eine Tätigkeit ausüben (als Arbeitnehmer oder Selbstständiger), die der Pflichtversicherung der e-EFKA unterliegt, wird während des Zeitraums der Beschäftigung der volle Betrag der Haupt- und Zusatzrenten ausgezahlt (Gesetz 5078/2023, Art. 114).</t>
  </si>
  <si>
    <t>Wenn der Empfänger Anspruch auf Invalidenrenten oder andere Renten hat, wird nur eine staatliche Rente gezahlt.
Wenn der Empfänger Anspruch auf eine volle und eine gekürzte Rente hat, wird die volle staatliche Rente gewährt.
Wenn der Empänger Anspruch auf zwei gekürzte Renten hat, ist der gewährte Betrag der Prozentsatz der staatlichen Rente, die jeder obigen gekürzten Rente entspricht, wenn ihr Betrag geringer oder gleich des vollen Betrags der staatlichen Rente ist.
Kumulation der Leistungen für nicht-stationäre Pflege (ΕΞΩΙΔΡΥΜΑΤΙΚΟ ΕΠΙΔΟΜΑ) mit der durch das Sozialwesen gewährten Leistung für Personen mit Tetraplegie/Querschnittslähmung, ist nicht möglich.
Kumulation der Leistung bei Vollinvalidität (ΕΠΙΔΟΜΑ ΑΠΟΛΥΤΟΥ ΑΝΑΠΗΡΙΑΣ) mit Altersrente nach Gesetz Nr. 612/77 (ΣΥΝΤΑΞΗ ΓΗΡΑΤΟΣ ΤΟΥ ΝΟΜΟΥ 612/77) (d.h. Renten für Personen mit bestimmten Behinderungen, die nach 15 Versicherungsjahren zur Ersatzquote entsprechend 35 Versicherungsjahren gezahlt werden) ist nicht möglich.
Kumulation der Leistung bei Vollinvalidität (ΕΠΙΔΟΜΑ ΑΠΟΛΥΤΟΥ ΑΝΑΠΗΡΙΑΣ) mit der Leistung für Blinde in Beschäftigung, die vom Sozialwesen gewährt wird (€391 pro Monat), ist möglich.</t>
  </si>
  <si>
    <t>Selbstständige sind durch das allgemeine System abgedeckt. Landwirte werden schrittweise in die Elektronische gesetzliche Sozialversicherungskasse (e-EFKA) aufgenommen.
Es wurde ein Sonderausschuss gegründet, um bestehende Bestimmungen zu prüfen, neue einheitliche Regelungen für alle Invaliditätsrenten der Sozialversicherungskasse (e-EFKA) festzulegen.</t>
  </si>
  <si>
    <t>Staatliche Rente (auf Erwerbstätigkeit beruhendes Versicherungspflichtsystem).
Beitragsabhängige Rente: Auf Erwerbstätigkeit beruhendes Versicherungspflichtsystem.</t>
  </si>
  <si>
    <t>Als Arbeitnehmer zahlt die Person in jedem Fall die Versicherungsbeiträge, die im Arbeitnehmergesetz vorgesehen sind.
Als Selbstständiger muss die Person den Betrag der 2. Versicherungskategorie zahlen, welcher die Mindestanforderung ist. Sind die als Arbeitnehmer gezahlten Beiträge aber gleich hoch oder höher als der Betrag der 2. Versicherungskategorie, muss die Person (für die selbstständige Tätigkeit) keinen Zusatzbeitrag leisten. Andernfalls zahlt die Person die Differenz zum Betrag der 2. Versicherungskategorie.
Für Menschen, die als Selbstständige weniger als 5 Jahre versichert waren (Sonderversicherungskategorie), ist der oben genannte Betrag der der 1. Versicherungskategorie.
Hat sich die Person (als Selbstständiger) für eine höhere Versicherungskategorie entschieden als die 2., müssen die Beiträge, die als Arbeitnehmer gezahlt werden, gleich hoch oder höher sein als der Betrag der gewählten Kategorie.
Andernfalls zahlt die Person die Differenz zum Betrag der gewählten Versicherungskategorie.</t>
  </si>
  <si>
    <t>Sozialgesetzbuch (Code de la sécurité sociale). Artikel L 341-1 ff.
Verzeichnis der Rechtsakte: https://www.legifrance.gouv.fr/codes/texte_lc/LEGITEXT000006073189/</t>
  </si>
  <si>
    <t>Beitragsfinanziertes obligatorisches Sozialversicherungssystem mit entgelt- oder einkommensbezogenen Renten.
Die Invaliditätsleistungen sind Bestandteil des Krankenversicherungssystems.
Zusätzlich zum beitragsfinanzierten System gibt es ein zusätzliches Invalidengeld (allocation supplémentaire d'invalidité, ASI), um ein Mindesteinkommen zu gewährleisten (siehe Tabelle XI).</t>
  </si>
  <si>
    <t>Als invalide gilt, wer infolge eines Unfalls oder einer Krankheit, die nicht durch die Berufsausübung verursacht wurde, nur ein Drittel der normalen Einkünfte erzielen kann.</t>
  </si>
  <si>
    <t>Alle erwerbstätigen Personen. Keine Bedingungen in Bezug auf Wohnsitz oder Staatsbürgerschaft.
In bestimmten Fällen freiwillige Versicherung (ehemalige Pflichtversicherte, Eltern zu Hause, Personen, die ehrenamtlich die Funktion als Dritte für ein Familienmitglied übernehmen).</t>
  </si>
  <si>
    <t xml:space="preserve">
   * Mindestens 12 Monate versichert sein vor dem 1.Tag des Monats der Arbeitsunterbrechung entweder aufgrund von Invalidität oder nach ärztlicher Bescheinigung der Invalidität.
   * Mindestens 600 Stunden gearbeitet haben oder Beiträge auf einer Bruttoeinkommensbasis von mindestens dem 2.030-fachen des stündlichen Mindestlohns (salaire minimum interprofessionnel de croissance, SMIC, beläuft sich am 1. Januar 2025 auf €11,88 brutto) während der letzten 12 Monate, die an die Arbeitsunterbrechung oder die Feststellung der Invalidität vorangehen, entrichtet haben.
Keine altersabhängigen Abweichungen.</t>
  </si>
  <si>
    <t>Rentenbeginn mit Feststellung der Invalidität oder nach Beendigung des maximalen Krankengeldbezugs (indemnités journalières de maladie) (höchstens 3 Jahre) oder bei medizinischer Feststellung der Invalidität aufgrund vorzeitiger Verschleißerscheinungen. Die Rente wird immer befristet gewährt.
Die Rente wird ab dem Rentenalter durch eine Altersrente (pension de vieillesse) ersetzt, außer wenn die betroffene Person arbeitet (in diesem Fall kann die Invaliditätsrente bis zu dem Alter bezogen werden, ab dem automatisch die Rente zum vollen Satz gewährt wird, d. h. bis zum 67. Lebensjahr). Die Invaliditätsrente wird im Falle eines stufenweisen Eintritts in den Ruhestand ebenfalls ausgesetzt.
Mit der Invalidenrente können Sie zwischen 55 und 59 Jahren ausscheiden, sofern Sie über eine dauerhafte Invalidenquote von mindestens 50% verfügen oder eine gleichwertige Behinderung aufweisen und eine bestimmte Anzahl von Quartalen nachweisen können, für die Sie in dieser Zeit der Arbeitsunfähigkeit Beiträge geleistet haben.</t>
  </si>
  <si>
    <t>Der Invaliditätsgrad wird von den medizinischen Beratern der Krankenkassen beurteilt.
Nationale Verfahren.
Es ist möglich, Widerspruch gegen die Entscheidung der Krankenkasse (Ablehnung der Zuweisung oder der Einstufung in eine bestimmte Kategorie) einzulegen. Dazu wendet man sich an die medizinische Berufungskommission (Commission médicale de recours amiable, CMRA).Wenn dieser Antrag abgelehnt wird, ist es möglich, ein gerichtliches Verfahren (Abteilung für Soziales) anzustrengen sowie beim Berufungsgericht und/oder beim Kassationsgericht Berufung einzulegen.</t>
  </si>
  <si>
    <t>Bei einer Änderung der Invalidität oder bei Aufnahme einer beruflichen Tätigkeit besteht die Möglichkeit zur Revision der Rente.
Keine feste Regelmäßigkeit in Bezug auf die medizinische Überprüfung. Die Ressourcen werden jedoch jedes Jahr überprüft (regelmäßiger bei Erwerbstätigen).
Die Neubewertung erfolgt durch den ärztlichen Kontrolldienst der Krankenkassen.</t>
  </si>
  <si>
    <t xml:space="preserve">
   * Invalide der 1.Kategorie (gesundheitlich in der Lage, eine Tätigkeit auszuüben): 30% des mittleren Jahresbruttoeinkommens der 10 besten Versicherungsjahre vor Eintritt des Versicherungsfalls.
   * 2. Kategorie (gesundheitlich nicht in der Lage, eine Tätigkeit auszuüben): 50% des mittleren Jahresbruttoeinkommens der 10 besten Versicherungsjahre vor Eintritt des Versicherungsfalls.
   * Invaliden der 3. Kategorie (gesundheitlich nicht in der Lage, eine Tätigkeit auszuüben, und im Alltag auf Hilfe Dritter angewiesen): Rente der 2. Kategorie zuzüglich Zulage für Dritte.
Der Leistungsempfänger einer Invalidenrente muss regelmäßig eine Erklärung ausfüllen und die Rente wird zwölfmal im Jahr gezahlt. Sein Berufseinkommen sowie die erhaltenen Sozialleistungen beeinflussen aller Wahrscheinlichkeit nach die Höhe der Rente.
Die Rente wird jeden Monat nachträglich ausbezahlt.</t>
  </si>
  <si>
    <t>Durchschnittliches Bruttoeinkommen der 10 besten Beschäftigungsjahre (sozialversicherungspflichtiges Arbeitsentgelt der jährlichen Bemessungsgrenze der sozialen Sicherung). Das berücksichtigte Gehalt wird erhöht.</t>
  </si>
  <si>
    <t>Zeiten, in denen Geldleistungen bei Krankheit, Mutterschaft oder Berufsunfällen oder eine Rente bei dauernder Erwerbsunfähigkeit (rente pour incapacité permanente) von mindestens 66,66%, die Zulage für die elterliche Präsenz (allocation journalière de présence parentale, AJPP), bezogen wurden; Tage der beruflichen Rehabilitation nach einem Arbeitsunfall.</t>
  </si>
  <si>
    <t>Das zusätzliche Invalidengeld (allocation supplémentaire d'invalidité, ASI) ergänzt eine Invalidenrente oder eine Rente für den Witwer/die Witwe des Invaliden. Sie kann ausgezahlt werden, wenn die Ressourcen eine bestimmte Obergrenze unterschreiten (siehe Tabelle XI „Mindestsicherung“).</t>
  </si>
  <si>
    <t>Berufliche Umschulung im Betrieb unter Kostenbeteiligung der Kassen der Sozialen Sicherheit.
Darüber hinaus wird die Wiederaufnahme einer Tätigkeit mit der Möglichkeit der Inanspruchnahme einer stufenweisen Wiederaufnahme in Teilzeit (temps partiel thérapeutique) gefördert, bei der das erhaltene Gehalt teilweise mit einem Taggeld der französischen Krankenkasse kumuliert wird.
Die Zahlung einer Invaliditätsrente ist nicht an die Teilnahme an (Um-)Schulungs-/Wiedereingliederungsmaßnahmen gebunden.</t>
  </si>
  <si>
    <t>Pflicht zur Beschäftigung von Arbeitnehmern mit Behinderung in Unternehmen mit mindestens 20 Arbeitnehmern zu einem Anteil von 6% des gesamten Personalbestands.
Alternativ kann der Arbeitgeber eine bestimmte Ausgleichzahlung für jeden nicht besetzten Arbeitsplatz entrichten, Programme für Arbeitnehmer mit Behinderungen, Maßnahmen zur Rückkehr zur Arbeit und Dienste von darauf abgestimmten Unternehmen.</t>
  </si>
  <si>
    <t>Die für die Berechnung der Renten herangezogenen Löhne/Gehälter und die bereits liquidierten Renten werden jedes Jahr am 1. April entsprechend der Entwicklung der durchschnittlichen jährlichen Verbraucherpreise – ohne Tabak – neu bewertet.</t>
  </si>
  <si>
    <t>Integrale Kumulierung im Rahmen des vor der Invalidität bezogenen Einkommens, wobei das 1,5-Fache der monatlichen Bemessungsgrenze der Sozialversicherung nicht überschritten werden darf (d.h. €5.887,50 im Jahr 2025). Darüber hinaus, Kürzung der Rente um 50% der Überschreitung.</t>
  </si>
  <si>
    <t>Die Invaliditätsrente (pension d‘invalidité) unterliegt der Besteuerung.
Die Zulage für Pflege durch Dritte (majoration pour l'assistance d'une tierce personne) und der Zusätzlichen Invaliditätsbeihilfe (allocation supplémentaire d’invalidité, ASI) unterliegen nicht der Besteuerung.</t>
  </si>
  <si>
    <t>Invaliditätsrente (pension d'invalidité): Abzug von 10% des Gesamtbetrags der Renten (sofern nicht unter €450 pro Rentner und nicht höher als €4.399 pro steuerpflichtigem Haushalt).
Befreiung möglich entsprechend der Höhe der Rente und den Eigenmitteln des Rentners.</t>
  </si>
  <si>
    <t>Invaliditätsrente:
Allgemeiner Sozialbeitrag (contribution sociale généralisée, CSG) nach Besteuerung: 8,3%, 6,6% oder 3,8%; Beitrag zur Tilgung der Sozialschuld (contribution pour le remboursement de la dette sociale, CRDS): 0,5%; zusätzlicher Solidaritätsbeitrag für eigenständige Lebensführung (contribution additionnelle de solidarité pour l’autonomie, Casa): 0,3%.
Befreiung möglich entsprechend dem Referenzsteuereinkommen.
Zusätzliche Invaliditätsbeihilfe (allocation supplémentaire d’invalidité, ASI), und Zulage für dritte Personen: keine Beiträge.</t>
  </si>
  <si>
    <t>Sozialversicherungspflichtsystem: MSA für Landwirte, das allgemeine Versicherungssystem für Handwerker und Kaufleute, die 10 Berufskategorien der Staatlichen Kasse für die Altersversicherung (caisse nationale d'assurance vieillesse des professions libérales, CNAVPL) für freie Berufe (von Ausnahmen abgesehen).</t>
  </si>
  <si>
    <t>Koordinierung zwischen den Systemen für die Invaliditätsversicherung zur Berechnung der Versicherungszeit und der Höhe der Renten. Die Invaliditätsrente wird generell von dem System gezahlt, das die Pflegeleistungen übernimmt. Diese Koordinierung betrifft jedoch nicht alle Systeme (die Koordinierung gilt nicht für das System der Invaliditäts- und Todesfallversicherung für Selbständige, die nicht in der Landwirtschaft tätig sind).</t>
  </si>
  <si>
    <t>Landwirte, Handwerker, Kaufleute und Gewerbetreibende
Die Bedingungen entsprechen den für Arbeitnehmer geltenden Bedingungen in Bezug auf Mitgliedschaft (1 Jahr Beitragszahlungen), Alter (Arbeitnehmer und Selbstständige dürfen das gesetzliche Rentenalter noch nicht erreicht haben) und den Grad der Behinderung (Invalidität, die die Erwerbsfähigkeit um mindestens zwei Drittel einschränkt).
Wenn sie zum Zeitpunkt des Rentenantrags kein Krankentagegeld beziehen, müssen Selbstständige, die dem allgemeinen Versicherungssystem angehören, in den letzten drei Jahren ein Einkommen in Höhe von mindestens 10% der durchschnittlichen jährlichen Sozialversicherungsobergrenze erzielt haben.
Freie Berufe
Von Ausnahmen abgesehen wird die Invaliditätsversicherung über eine der Berufskategorien der Staatlichen Kasse für die Altersversicherung (caisse nationale d'assurance vieillesse des professions libérales, CNAVPL) verwaltet. Es gelten unterschiedliche Zuweisungsbedingungen je nach Versicherungsträger.</t>
  </si>
  <si>
    <t>Landwirte
Für eine Teilinvalidität beläuft sich der Rentenbetrag auf 30% des mittleren Gehalts (zwischen €368,82 und €588,75 pro Monat). Für eine vollständige Invalidität beläuft sich der Rentenbetrag auf 50% des mittleren Gehalts (zwischen €639,74 und €981,25 pro Monat).
Invaliditätsrente wird als Pauschalbetrag gezahlt: (jährliche Anpassung im April). Eine Zulage von 40% wird gewährt, wenn der Versicherte aufgrund seines Gesundheitszustandes die Hilfe von Dritten für wesentliche Tätigkeiten des täglichen Lebens in Anspruch nehmen muss.
Die Beträge sind niedriger als die für die Mehrheit der Arbeitnehmer geltenden Beträge (gleiche Prozentsätze für die Berechnung, aber obwohl die Mindestrente für Arbeitnehmer niedriger ist, ist die maximale Rente für Arbeitnehmer höher als für Landwirte).
Handwerker, Kaufleute und Gewerbetreibende
Die Höhe der Rente entspricht einem prozentualen Anteil des Mittelwerts des vorhergehenden Jahreseinkommens (50% oder 30% gemäß dem Invaliditätsgrad).Rente wegen Teilinvalidität: zwischen €517,21 und €1.177,50 pro Monat.Rente für vollständige und endgültige Invalidität: zwischen €728,69 und €1.962,50 pro Monat.Gleiche Sätze und Obergrenzen wie für Arbeitnehmer, aber höhere Mindestbeträge.
Eine Zulage kann für Dritte in Höhe von monatlich €1.266,60 gewährt werden, wenn der Versicherte aufgrund seines Gesundheitszustands die Hilfe von Dritten für Tätigkeiten des täglichen Lebens in Anspruch nehmen muss (wie für Arbeitnehmer).
Freie Berufe
Je nach Versicherungsträger werden unterschiedliche Leistungen gewährt.</t>
  </si>
  <si>
    <t>Gesetz über die Volksrenten Nr. 568/2007 (Kansaneläkelaki, KEL).
Gesetz über die garantierten Renten Nr. 703/2010 (Laki takuueläkkeestä).
Gesetz über Renten für Seeleute Nr. 1290/2006 (Merimieseläkelaki, MEL).
Gesetz über Renten für Arbeitnehmer 395/2006 (Työntekijän eläkelaki, TyEL)
Gesetz über Renten des öffentlichen Sektors 81/2016 (Julkisten alojen eläkelaki, JuEL).
Gesetz über Renten der Selbstständigen Nr. 1272/2006 (Yrittäjän eläkelaki, YEL).
Rentengesetz für Landwirte Nr. 1280/2006 (Maatalousyrittäjän eläkelaki, MYEL).
Verzeichnis der Rechtsakte: https://www.finlex.fi/en/</t>
  </si>
  <si>
    <t>Duales System:
Invaliditätsrente (Työkyvyttömyyseläke) ist zahlbar als Teil der
(1) Beitragsfinanzierten Versicherung (Gesetzliche einkommensbezogene Rente, Työeläke) für alle Arbeitnehmer, Selbstständigen, Landwirte. Bei Teilzeitbeschäftigung ist es möglich, Teilinvaliditätsrente (Osatyökyvyttömyyseläke) zu beantragen.
(2) Aus Steuern finanziertes universelles System (Volksrente, Kansaneläke und garantierte Rente, Takuueläke), das eine Mindestrente garantiert.
Die Rentensysteme sind miteinander verknüpft. Überschreitet die Gesetzliche einkommensbezogene Rente eine bestimmte Höchstgrenze, so wird keine Volksrente oder garantierte Rente gewährt.
Garantierte Rente (Takuueläke):
Personen mit ihrem Wohnsitz in Finnland, die eine volle Invaliditätsrente beziehen, haben Anspruch auf eine garantierte Rente, wenn ihr gesamtes Rentenbruttoeinkommen weniger als €978,34 pro Monat im Jahr 2025 beträgt.
Zweck der garantierten Rente ist es, die Einwohner Finnlands mit einer Mindestrente zu versorgen.
Die Bezirke für Gesundheitsleistungen können zudem in Situationen, in denen einer Person besondere Kosten aufgrund von Behinderung oder einer Langzeiterkrankung entstehen, zusätzliche Sozialhilfe gewähren.</t>
  </si>
  <si>
    <t>Volksrente (Kansaneläke):
Invalidität wird definiert als die verbliebene Fähigkeit zu arbeiten/verdienen als Resultat einer Krankheit, Behinderung oder Schädigung während eines ununterbrochenen Zeitraums.
Gesetzliche einkommensbezogene Rente (Työeläke): Personen mit Wohnsitz in Finnland, die ihre Arbeitsfähigkeit durch Krankheit oder wegen dauerhafter Behinderung oder Schädigung verloren haben.</t>
  </si>
  <si>
    <t>Volksrente (Kansaneläke) und garantierte Rente (Takuueläke):
Versicherungspflicht für alle Einwohner im Alter von 16 bis 64 Jahren. Für Einwohner, die im Jahr 2008 oder früher geboren wurden, liegt das Mindestalter bei 16 Jahren.
Immigranten, die nicht anspruchsberechtigt für jegliche anderen Renten sind, haben Anspruch auf die Garantierte Rente, vorausgesetzt, sie sind mindestens 18 Jahre alt und haben eine Behinderung im Sinne des Gesetzes über die Volksrenten (Kansaneläkelaki, KEL).
Gesetzliche einkommensbezogene Rente (Työeläke):
Alle versicherten Arbeitnehmer, Landwirte und Selbstständigen im Alter von 17 bis 68 Jahren, wenn sie 1957 oder früher geboren wurden, im Alter von 69 Jahren, wenn sie zwischen 1958 und 1961 geboren wurden, und im Alter von 70 Jahren, wenn sie 1962 oder später geboren wurden.</t>
  </si>
  <si>
    <t>Gesetzliche einkommensbezogene Rente (Työeläke):
Arbeitnehmer: sind von den Pflichtbeiträgen ausgenommen, wenn ihr monatliches Bruttoeinkommen unter €70,08 liegt (TyEL).
Selbstständige und Landwirte sind in den ersten 4 Monaten der Selbstständigkeit von den Pflichtbeiträgen ausgenommen und wenn das versicherungspflichtige Einkommen pro Jahr weniger als €9.208,43 für Selbstständige und weniger als €4.605 für Landwirte beträgt.</t>
  </si>
  <si>
    <t>Volksrente (Kansaneläke) und garantierte Rente (Takuueläke):
Ab Vollendung des 16. Lebensjahrs mindestens 3 Jahre Wohnsitz in Finnland (kein bestimmter Zeitraum des Wohnsitzes erforderlich, wenn die Person vor der Vollendung des 19. Lebensjahres invalide wurde, während sie in Finnland wohnhaft war oder, wenn bei Personen ab dem Alter von 16 Jahren Anspruch auf Invaliditätsbeihilfe (16 vuotta täyttäneen vammaistuki) besteht.
Gesetzliche einkommensbezogene Rente (Työeläke):
   * Angestellte: Keine Mindestversicherungszeit;
   * Selbstständige und Landwirte: 4 Versicherungsmonate.</t>
  </si>
  <si>
    <t>Volksrente (Kansaneläke):
Invaliditätsrente kann gewährt werden, wenn eine Person durch Krankheit, Schädigung oder ein Gebrechen daran gehindert wird, ein angemessenes Einkommen zu erwirtschaften. Alter, Ausbildung, berufliche Fähigkeiten sowie vorherige Beschäftigungen werden bei der Beurteilung der Funktionsfähigkeit berücksichtigt. Ab dem Alter von 60 Jahren gelten weniger strenge Kriterien bei der Invaliditätsrente. Personen unter 20 Jahren können keine Rente beziehen, bevor ihre Aussichten auf Rehabilitation beurteilt wurden. Wenn die Arbeitsfähigkeit als wiederherstellbar eingestuft wird, hat die betroffene Person Anspruch auf befristete Invaliditätsrente (Kuntoutustuki), d.h. zeitlich befristete Invaliditätsrente.
Gesetzliche einkommensbezogene Rente (Työeläke):
Die Bewertungskriterien, die zur Beurteilung der Anspruchsberechtigung genutzt werden, stehen im Zusammenhang mit dem Grad der Fähigkeit, jegliche Arten von Arbeit auszuüben, worin sich die Fähigkeit der betroffenen Person widerspiegelt, ein Einkommen zu erwirtschaften. Die Kriterien berücksichtigen die formale Ausbildung des Arbeitnehmers, bisherige Tätigkeiten, Alter, Wohnsitz und andere vergleichbare Aspekte.
Schwankt die Erwerbsfähigkeit, wird das Bruttojahreseinkommen des Arbeitnehmers berücksichtigt. Auch wird die berufliche Art der Invalidität bei Personen über 60 Jahren berücksichtigt.
Entsprechend der verbleibenden Erwerbsfähigkeit sind die folgenden Leistungen erhältlich:
   * Invaliditätsrente (Työkyvyttömyyseläke): nur noch zu höchstens 2/5 arbeitsfähig;
   * Teilinvaliditätsrente (osatyökyvyttömyyseläke): nur noch zu höchstens 3/5 arbeitsfähig.
Wenn die Arbeitsfähigkeit als wiederherstellbar eingestuft wird, hat die betroffene Person Anspruch auf befristete Invaliditätsrente (Kuntoutustuki), d.h. zeitlich befristete Invaliditätsrente.</t>
  </si>
  <si>
    <t>Volksrente (Kansaneläke):
   * Invaliditätsrente (Työkyvyttömyyseläke): Ab dem Ende der Höchstzahlungsdauer des Krankengeldes (sairauspäiväraha) (300 Arbeitstage (Samstage eingeschlossen)), so lange die Bedingungen erfüllt werden (Grundregel) bis zur Altersrente;
   * Rehabilitationsgeld (Kuntoutustuki): Ab dem Ende der Höchstzahlungsdauer des Krankengeldes (sairauspäiväraha) (300 Arbeitstage (Samstage eingeschlossen)) für einen begrenzten Zeitraum, beruhend auf dem Begutachtungsverfahren.
Gesetzliche einkommensbezogene Rente (Työeläke):
   * Invaliditätsrente (Työkyvyttömyyseläke) und Teilinvaliditätsrente (Osatyökyvyttömyyseläke): ab der Einstellung der Zahlungen vom Krankengeld (sairauspäiväraha) (nach max. 300 Arbeitstagen (Samstage eingeschlossen)) bis zum Rentenalter, falls die Voraussetzungen erfüllt bleiben (Ruhestandsalter für einkommensbezogene Rente, ist schrittweise im Zuge der Rentenform angestiegen, siehe Tabelle VI „Alter“);
   * Rehabilitationsgeld (Kuntoutustuki): ab der Einstellung der Zahlungen des Krankengeldes (300 Arbeitstage (Samstage eingeschlossen)) für einen vorübergehenden Zeitraum aufgrund dem Bewertungsverfahren.
Vorgezogener Ruhestand ist im Fall von verminderter Erwerbsfähigkeit möglich für die Dienstaltersrente (Työuraeläke) (siehe Tabelle VI zu Alter, „Gesetzliches Rentenalter, Beschwerliche Arbeiten“).</t>
  </si>
  <si>
    <t>Das gesetzliche einkommensabhängige Rentensystem (Työeläke) für im privaten Sektor Beschäftigte wird von privaten Versicherungsgesellschaften, branchenweiten Pensionsfonds und betrieblichen Pensionsfonds verwaltet.
Der Rentenantrag kann bei jedem Rentenversicherungsträger, beim Finnischen Rentenzentrum oder bei einem der authorisierten Vertreter (z.B bei der Sozialversicherung von Finnland) gestellt werden. Mit dem gleichen Antragsformular kann auch die Volksrente (Kansaneläke) beantragt werden.
Beglaubigte Ärzte sollen bei der Vorbereitung von Fällen involviert sein, die Invaliditäts- und Rehabilitationsaspekte sowie andere medizinische Aspekte beinhalten, und ihre fundierte Bewertung in der Dokumentierung festhalten.
Es gelten die gleichen Bewertungsverfahren und –kriterien im ganzen Land.
Der Antragsteller hat die Möglichkeit, beim Rentenberufungsgericht oder dem Berufungsausschuss des Sozialversicherungsamts (kansaneläke) Widerspruch einzulegen; im Weiteren kann das Versicherungsgericht angerufen werden.</t>
  </si>
  <si>
    <t>Volksrente (Kansaneläke):
Es wird eine Überprüfung vorgenommen, wenn die Erwerbsfähigkeit einer Person, die Invaliditätsrente bezieht, wiederhergestellt ist.
Die Neubewertung wird von der Sozialversicherungsanstalt (Kansaneläkelaitos) durchgeführt. Es gibt keine festen Zeiträume, in denen diese Neubewertungen vorgenommen werden müssen.
Für das Rehabilitationsgeld (Kuntoutustuki), nachdem die Leistung erschöpft wurde, muss eine neue ärztliche Bescheinigung vorgelegt werden.
Gesetzliche einkommensbezogene Rente (Työeläke):
Eine Überprüfung erfolgt, wenn ein Bezieher einer Invaliditätsrente wieder eine Erwerbstätigkeit aufnimmt.
Die Neubewertung wird vom Rentenversicherungsträger vorgenommen, der die Rente zahlt. Es gibt keine festgelegten Zeiträume, wann dies stattfinden muss. Wenn der Rentenversicherungsträger Grund zur Annahme hat, dass die Arbeitsfähigkeit wiederhergestellt ist, ist der Rentenempfänger verpflichtet, auf Veranlassung des Rentenversicherungsträgers eine Untersuchung durch einen beglaubigten, vom Rentenversicherungsträger bestimmten Arzt, eine Rehabilitations- oder eine Forschungseinrichtung durchführen zu lassen, um festzustellen, ob die Invalidität andauert. Der Rentenversicherungsträger ist verpflichtet, angemessene Kosten und Reisekosten zu übernehmen, die durch die Untersuchung verursacht wurden.
Für das Rehabilitationsgeld (Kuntoutustuki), nachdem die Leistung erschöpft wurde, muss ein neuer Antrag gestellt bzw. eine ärztliche Bescheinigung vorgelegt werden.</t>
  </si>
  <si>
    <t>Volksrente (Kansaneläke):
Invaliditätsrente (Työkyvyttömyyseläke): Gesamtbetrag im Jahr 2025: €699,42 und €783,41 pro Monat je nach Familienstand. Gesamtbetrag für Personen, die nach Erreichen des 16. Lebensjahres und vor Beginn der Rente zu mindestens 80% der Zeit wohnhaft in Finnland waren. Andernfalls wird der Betrag an die Dauer des Aufenthaltes angepasst.
Der Betrag wird um 50% der Gesetzlichen einkommensbezogenen Rente (Työeläke) sowie anderer Renten, die in Finnland und im Ausland bezogen werden, gekürzt, falls der jährliche Gesamtbetrag im Jahr 2025 €795 überschreitet. Der Anspruch auf Volksrente geht verloren, wenn das Einkommen aus der einkommensbezogenen Rente folgende Beträge überschreitet:
   * für Alleinstehende: €1.617,13 pro Monat im Jahr 2025;
   * für Verheiratete oder zusammenlebende Partner: €1.449,13 pro Monat im Jahr 2025.
Keine Teilinvaliditätsrente.
Garantierte Rente (Takuueläke):
Der volle Betrag beläuft sich auf €986,30 pro Monat im Jahr 2025. Anderes Renteneinkommen wird von dem vollen Betrag der garantierten Rente abgezogen.
Gesetzliche einkommensbezogene Rente (Työeläke):
   * Invaliditätsrente (Työkyvyttömyyseläke): Erworbener Rentenanspruch unter Berücksichtigung des Zuwachses für zugerechnete Jahre bis zum Ruhestandsalter (unter der Bedingung, dass sich in den zehn Jahren vor Eintritt der Invalidität das jährliche Bruttoeinkommen auf mindestens €21.024,09 belief). Die Jahresrate in Relation zum Einkommen ist altersabhängig: 1,5% ab 17 Jahren bis zum Ruhestandsalter des Erwerbseinkommens (zwischen 68 und 70 Jahren gemäß dem Geburtsjahr, siehe Tabelle VI „Alter“). Bei Eintritt der Invalidität während der Beschäftigungszeit beläuft sich die Rate für zugerechnete Zeiten bis zum Ruhestandsalter auf: 1,5%. Für noch erwerbstätige Rentner beläuft sich die Steigerungsrate auf 1,5% des Einkommens. Eine Zuwachsrate von 1,5% gilt auch für unbezahlte Zeiten. Die Höhe der Invaliditätsrente wird entsprechend des Anstiegs der Lebenserwartung um einen Lebenserwartungs-Koeffizienten angepasst;
   * Teilinvaliditätsrente (osatyökyvyttömyyseläke): 50% der vollen Invaliditätsrente.
Die Anspruchsberechtigung unterliegt keiner Bedürftigkeitsprüfung, ausgenommen bei der Garantierten Rente (Takuueläke).
Die Renten werden monatlich gezahlt. Ihr Betrag kann vermindert werden, wenn die Person andere Leistungen wie die der Arbeitsunfallversicherung (tapaturmaetuus) bezieht.
Es gibt keine zusätzlichen Zahlungen zu bestimmten Zeiten des Jahres.</t>
  </si>
  <si>
    <t>Volksrente (Kansaneläke) und garantierte Rente (Takuueläke):
Nicht anwendbar.
Gesetzliche einkommensbezogene Rente (Työeläke):
Die Rentenhöhe ergibt sich aus den jährlichen Erwerbseinkommen. Es gibt keine Bemessungsgrenze für Einkommen. Für zugerechnete Jahre (d.h. die Jahre zwischen dem Auftreten der Invalidität und dem Rentenalter) gelten die Einkünfte der fünf Jahre vor Eintritt des Versicherungsfalls als Berechnungsgrundlage.
Für ungezahlte angerechnete Zeiten basiert die Wachstumsrate auf den Einkommen, auf denen die Leistungen beruhen. Für Mindestleistungen gilt ebenso wie für Zeiten des Studiums und häuslicher Kinderbetreuung ein fester monatlicher Betrag (2025: €876) als Referenzbasis.
Bei der erstmaligen Rentenbewilligung werden die Einkünfte aus abhängiger und selbstständiger Erwerbstätigkeit des gesamten Arbeitslebens mit einem Koeffizienten an das Niveau des Jahres des Rentenbeginns angepasst. Dieser Koeffizient wird zu 20% mit der Preisentwicklung und zu 80% mit der Lohnentwicklung gewichtet.</t>
  </si>
  <si>
    <t>Die Garantierte Rente (Takuueläke) garantiert Personen mit Wohnsitz in Finnland mit einer geringen Rente oder keiner anderen Rente eine Mindestrente. Der volle Betrag liegt im Jahr 2025 bei €986,30 pro Monat. Anderes Renteneinkommen wird vom vollen Betrag der Garantierten Rente abgezogen.
Gesetzliche einkommensbezogene Rente (Työeläke): Kein Mindestbetrag, keine Obergrenze.</t>
  </si>
  <si>
    <t>Gesetzliche einkommensbezogene Rente (Työeläke):
Zeiten des Bezugs von Erziehungsgeld (bei Kindern unter 3 Jahren) und Zeiten eines abgeschlossenen Studiums bis zu 5 Jahren. Zeiten, die ebenfalls angerechnet werden, sind solche des Bezugs von einkommensbezogenem Mutterschafts-, Vaterschafts- und Elternschaftsgeld, Tage mit einkommensbezogenem Arbeitslosengeld, Bildungsurlaub, Tage mit Krankengeld, Erwachsenenfortbildungszuschüsse, Rehabilitationsgelder und Lohnersatzleistungen der Arbeitsunfall-, Militärunfall- und Kraftfahrzeughaftpflichtversicherung.</t>
  </si>
  <si>
    <t>Ehepartner:
Volksrente (Kansaneläke), garantierte Rente (Takuueläke) und Gesetzliche einkommensbezogene Rente (Työeläke): Keine Zulagen.
Kinder:
Volksrente (Kansaneläke): Kinderzulage (lapsikorotus) in Höhe von €26,28 je Kind unter 16 Jahren pro Monat im Jahr 2025. Diese erhalten auch solche Rentner, die keine Volksrente beziehen.</t>
  </si>
  <si>
    <t xml:space="preserve">
   * Pflegebeihilfe für Rentner (Eläkettä saavan hoitotuki): 3 Kategorien von Beträgen, welche sich belaufen auf: €84,17, €183,36 und €387,73 pro Monat im Jahr 2025, zahlbar entsprechend der Bedürftigkeit, dem Beratungs- und Beaufsichtigungsbedarf oder zusätzlichen Ausgaben für die Kosten der häuslichen Pflege oder Sonderausgaben aufgrund von Krankheit oder Unfall;
   * Wohngeld für Rentner (eläkkeensaajan asumistuki): Wird u.U. Rentenempfängern mit Wohnsitz in Finnland gewährt. Die Höhe des Wohngeldes richtet sich nach dem Einkommen des Rentenempfängers und Ehepartners, des Einkommens aus Vermögen und den Wohnkosten;
   * Invaliditätsbeihilfe für Personen ab 16 Jahre (16 vuotta täyttäneen vammaistuki) für Nicht-Rentner: Personen über 16 Jahren, die keine Rente beziehen, deren Arbeitsfähigkeit jedoch aufgrund einer Krankheit oder eines Unfalls für einen Zeitraum von mindestens einem Jahr eingeschränkt ist, erhalten eine besondere Invaliditätsbeihilfe zum Ausgleich für Härten, notwendige Dienste etc. Die Leistungshöhe, die vom Grad der Behinderung, der Bedürftigkeit, dem Beratungs- und Beaufsichtigungsbedarf und der Höhe zusätzlicher Ausgaben abhängt, beläuft sich auf €109,97, €256,62 oder €497,60 pro Monat im Jahr 2025. Kinderzulage für Kinder unter 16 Jahren (lapsikorotus).
</t>
  </si>
  <si>
    <t>Rehabilitationsmaßnahmen werden von den Rentenanstalten angeboten. Vor der Genehmigung der Invaliditätsrente (Työkyvyttömyyseläke) muss durch die Rentenversicherungsträger sichergestellt werden, dass die Chancen des Antragstellers auf eine Wiedereingliederung überprüft wurden.
Kela stellt medizinische und berufliche Rehabilitation bereit.
Die Höhe der Rehabilitationsbeihilfe (Kuntoutusraha), die von der Kela bezahlt wird, entspricht dem Betrag des Krankengeldes, auf welches der Empfänger der Rehabilitation Anspruch gehabt hätte, wenn er oder sie zum Beginn der Rehabilitation eine Beeinträchtigung erlitten hätte und welches direkt gezahlt wird oder nach einer Karenzfrist von entweder 1, 10 oder 30 Arbeitstagen (Samstage eingeschlossen). Die Länge der Karenzfrist hängt von der Art der Rehabilitationsmaßnahme ab. Die Karenzfrist von 30 Tagen gilt, wenn eine Person zu Beginn der Rehabilitation die volle Rente erhält. Der Mindestbetrag liegt bei €31,99 pro Arbeitstag im Jahr 2025.
Eine teilweise Rehabilitätsbeihilfe kann von Kela gezahlt werden, wenn die tägliche Arbeitszeit der Person um 40% gekürzt wird.
Nach einer Karenzzeit von 30 Tagen wird an Rentner eine Rehabilitationsbeihilfe von 10% zusätzlich zur Rente gezahlt. Kosten der Rehabilitationsmaßnahme werden voll übernommen.
Rehabilitationsbeihilfe (Kuntoutusraha), die von anderen Rententrägern erbracht wird, beläuft sich auf die volle Höhe der Invaliditätsrente (Työkyvyttömyyseläke) zzgl. einer Erhöhung von 33% für Zeiten aktiver, vom Rentenversicherungsträger eingeleiteter Rehabilitation. Teilweise Rehabilitationsbeihilfe kann von anderen Rententrägern erbracht werden, wenn der Arbeitnehmer während der beruflichen Rehabilitation mehr als die Hälfte der stabilisierten Erträge verdient.</t>
  </si>
  <si>
    <t>Entgeltzuschuss kann gewährt werden, wenn die Behinderung oder Krankheit eines Arbeitssuchenden seine Arbeitsleistung in einer Beschäftigung erheblich und dauerhaft beeinträchtigt. Der Zuschuss kann bis zu 50% der Personalkosten decken. Die Zeitraum für den Zuschuss darf nicht länger als 24 Monate am Stück dauern.</t>
  </si>
  <si>
    <t>Volksrente (Kansaneläke) und garantierte Rente (Takuueläke):
Jährliche Anpassung an die Entwicklung des Preisindex für die Lebenshaltung.
Gesetzliche einkommensbezogene Rente (Työeläke):
Laufende Renten werden jährlich im Januar nach dem Index für einkommensbezogene Renten angepasst. Dieser gewichtete Index berücksichtigt die Preisentwicklung zu 80% und die Einkommensentwicklung zu 20%.</t>
  </si>
  <si>
    <t>In Grenzen ist Erwerbstätigkeit mit Rentenbezug vereinbar.
Volksrente (Kansaneläke) und garantierte Rente (Takuueläke):
Wenn die Bruttoeinkünfte im Jahr 2025 €986,30 pro Monat übersteigen, so kann die Rente für 3-24 Monate suspendiert werden.
Gesetzliche einkommensbezogene Rente (Työeläke):
Wenn die Einkünfte 60% des der Rente zugrunde liegenden Einkommens übersteigen, so kann die Invaliditätsrente (Työkyvyttömyyseläke) für 3 bis zu 24 Monate suspendiert werden.</t>
  </si>
  <si>
    <t> Es wird nur eine Rente des staatlichen Volksrentensystems (Kansaneläke) bezahlt. Jedes andere Renteneinkommen wird von dem vollen Betrag der garantierten Rente (Takuueläke) abgezogen.
Bei Kumulierung beispielsweise mit einer Gesetzlichen einkommensbezogenen Rente (Työeläke) oder einer Rente wegen Arbeitsunfall oder Berufskrankheit wird die Volksrente (Kansaneläke) gekürzt.
Die Gesetzliche einkommensbezogene Rente (Työeläke) ist gegenüber einer Leistung der Arbeitsunfallversicherung nachrangig, so dass nur der Teil zu zahlen ist, der über der Arbeitsunfallentschädigung liegt. Dies gilt auch für Leistungen der Kraftfahrzeughaftpflichtversicherung.</t>
  </si>
  <si>
    <t>Renten unterliegen der Besteuerung. Bei unterschiedlichen Einkommensarten (Rente, Lohn, Tagegeld) besteht jedoch Anspruch auf unterschiedliche Steuerfreibeträge. Bezieher einer Rente haben Anspruch auf spezielle Steuerfreibeträge. Gibt es neben der Volksrente (Kansaneläke) kein weiteres Einkommen, bleibt die Rente einkommensteuerfrei. Siehe Tabelle V „Besteuerung und Sozialbeiträge - Einkommensgrenze für Besteuerung von Geldleistungen“.
Invaliditätsbeihilfe für Personen im Alter von 16 Jahren oder älter (16 vuotta täyttäneen vammaistuki), Pflegebeihilfe für Rentner (Eläkettä saavan hoitotuki) und Wohngeld für Rentner (Eläkkeensaajan asumistuki) unterliegen nicht der Besteuerung.</t>
  </si>
  <si>
    <t>Renteneinkommen unterliegt bei der Besteuerung einem Renteneinkommensabzug wie folgt:
   * voller Abzug bei einem jährlichen Renteneinkommen unter €11.030;
   * Steuern werden fällig, wenn das jährliche Renteneinkommen über €13.756 liegt;
   * Kein Abzug bei einem jährlichen Renteneinkommen über €48.931.
5,85% Zusatzsteuer auf den Teil des jährlichen Renteneinkommens, der €47.000 überschreitet.</t>
  </si>
  <si>
    <t>Krankenversicherung (Sairausvakuutus/ Sairaanhoitovakuutus):
Der Versichertenbeitrag beträgt 1,45% von Renten und anderen Sozialleistungen.</t>
  </si>
  <si>
    <t>Gesetzliche einkommensabhängige Rente, Staatliche Rente, Invaliditätsbeihilfen (Invaliditätsbeihilfe für Personen unter 16 Jahren, Invaliditätsbeihilfe für Personen von 16 Jahren und darüber, Betreuungsbeihilfe für Senioren): Selbstständige und Landwirte sind durch die gleichen Systeme abgedeckt wie Arbeitnehmer.</t>
  </si>
  <si>
    <t>Gesetzliche einkommensbezogene Rente: Obligatorisches versicherungsgebundenes System (YEL und MYEL).
Staatliche Rente und Invaliditätsbeihilfen: Obligatorisches wohnsitzgebundenes System.</t>
  </si>
  <si>
    <t>Gesetzliche einkommensbezogene Rente: 4 Versicherungsmonate erforderlich für Selbstständige und Landwirte. Keine Mindestversicherungszeit für Arbeitnehmer.
Im Jahr 2025 beträgt das versicherbare Mindesteinkommen von Selbstständigen €9.208,43 pro Jahr; für Landwirte €4.605 pro Jahr. Für Arbeitnehmer beträgt es €70,08 pro Monat.
Staatliche Rente und Invaliditätsbeihilfen: Keine bestimmten Voraussetzungen für Selbstständige und Landwirte.</t>
  </si>
  <si>
    <t>Gesetz über die staatliche Rentenversicherung (Riikliku pensionikindlustuse seadus) 2001.
Gesetz zur Arbeitsfähigkeitsbeihilfe (Töövõimetoetuse seadus) 2014.
Verzeichnis der Rechtsakte – siehe hier.</t>
  </si>
  <si>
    <t>Arbeitsfähigkeitsbeihilfe (töövõimetoetus):
Allgemeines System mit Pauschalleistung, das aus dem Staatshaushalt finanziert wird. Das System gilt für alle Einwohner im Alter zwischen 16 Jahren und dem rentenfähigen Alter. Diese Beihilfe wird die Invaliditätsrente schrittweise ersetzen.
Die Arbeitsfähigkeitsbeihilfe ist nicht Teil des nationalen Rentensystems, sondern ein gesondertes System.
Kein besonderes Sozialhilfesystem bei Invalidität.</t>
  </si>
  <si>
    <t>Alle Einwohner zwischen 16 Jahren und Renteneintrittsalter, einschließlich estnische Staatsbürger und Ausländer mit Aufenthaltsrecht oder internationalem Schutzstatus sind anspruchsberechtigt.</t>
  </si>
  <si>
    <t>Keine Anwartschaftszeit erforderlich.</t>
  </si>
  <si>
    <t>Die Arbeitsfähigkeitsbeihilfe wird ab dem Datum des Antrags für den Zeitraum der festgestellten teilweisen oder vollständigen Arbeitsfähigkeit gewährt (normalerweise für bis zu fünf Jahren). Wenn der Gesundheitszustand jegliche Arbeitsfähigkeit ausschließt oder unverändert oder fortschreitend ist, kann die Beihilfe längerfristig bis zum Rentenalter gewährt werden.
Keine vorgezogene Rente im Fall reduzierter Arbeitsfähigkeit.</t>
  </si>
  <si>
    <t>Fachärzte bestimmen die Dauer der eingeschränkten Arbeitsfähigkeit einer Person, die zwischen 6 Monaten und 5 Jahren liegen kann.
Einige im Gesetz aufgeführte schwere Leiden wie beispielsweise Demenz, Dialysebehandlung, Krebs im Endstadium, dauerhafte Bettlägerigkeit, kontrollierte Atmung, leichte, schwere oder tiefgreifende geistige Behinderung unterliegen einer vereinfachten Bewertung, die zur Arbeitsunfähigkeit bis zum Rentenalter führt. </t>
  </si>
  <si>
    <t>Nicht anwendbar. Leistungen sind nicht einkommensbezogen.</t>
  </si>
  <si>
    <t>Pauschalleistung.</t>
  </si>
  <si>
    <t>Medizinische Rehabilitation wird im Rahmen der Gesundheitsfürsorge als Sachleistung angeboten.
Die Arbeitslosenversicherungskasse (Eesti Töötukassa) bietet Arbeitsrehabilitation an für Personen, die teilweise arbeitsfähig oder arbeitsunfähig sind, eine Behinderung haben oder dauerhaft erwerbsunfähig sind und Personen, die erwerbstätig, als arbeitssuchend gemeldet oder Studierende sind.
Eine erwerbsunfähige Person, die dennoch erwerbstätig ist, hat auch Anspruch auf Arbeitsrehabilitation.
Das Landesversicherungsamt ist zuständig für die soziale Wiedereingliederung (z.B. Ergotherapie, Sprachtherapie, Physiotherapie) von Personen, die arbeitsunfähig oder nur teilweise arbeitsfähig sind, mit einer Behinderung oder einem Verlust der Arbeitsfähigkeit oder mit einer Behinderungsstufe, die nicht aktiv erwerbstätig sind, d.h. keiner Beschäftigung nachgehen, nicht studieren oder als arbeitslos bei der Estnischen Arbeitslosenversicherungskasse gemeldet sind.
Lokale Behörden sind dafür zuständig, den Bedarf an Unterstützung einer Person zu ermitteln und die angemessene Unterstützung zu bestimmen. Die angebotenen Dienstleistungen umfassen z.B. spezielle Beförderungsmöglichkeiten, Anpassung der Wohnung, persönliche Hilfe, Hilfsperson.
Teilnahme an beruflicher Ausbildung oder Rehabilitation ist für den Bezug der Leistung nicht verpflichtend.
Siehe auch unten, Invalidität – Bevorzugte oder vorbehaltene Be-schäftigung von/für Menschen mit Behinderungen, Bevorzugte Beschäftigung von Menschen mit Behinderungen.</t>
  </si>
  <si>
    <t>Arbeitsfähigkeitsbeihilfe wird jährlich zum 1. April angepasst. Der Anpassungsindex ist abhängig vom Anstieg der Verbraucherpreise und der Einnahmen aus der Sozialsteuer (sotsiaalmaks) (im Verhältnis von 20:80).</t>
  </si>
  <si>
    <t>Kumulierung mit Arbeitseinkommen ist möglich. Allerdings wird die Beihilfe gekürzt, wenn das Einkommen einer Person einen Höchstbetrag des 90-fachen des täglichen Beihilfesatzes übersteigt.
Die Kürzung entspricht der Hälfte der Differenz zwischen dem Einkommen und dem 90-fachen des Tagessatzes.
Siehe auch Tabelle V zu Invalidität, „Berechnung, Methode, Rentenformel oder Beträge“.</t>
  </si>
  <si>
    <t>Kumulierung mit Sozialversicherungsleistungen ist nicht möglich.</t>
  </si>
  <si>
    <t>Leistungen unterliegen nicht der Besteuerung.</t>
  </si>
  <si>
    <t>Nicht anwendbar: Leistungen werden nicht besteuert.</t>
  </si>
  <si>
    <t>Allgemeine, wohnsitzgebundene, steuerfinanzierte Systeme: Arbeitsfähigkeitsbeihilfe und Sozialleistungen für Menschen mit Behinderung.</t>
  </si>
  <si>
    <t>Gleiche Bedingungen wie für Arbeitnehmer (nicht anwendbar).</t>
  </si>
  <si>
    <t>https://view.officeapps.live.com/op/view.aspx?src=https%3A%2F%2Fwww.destatis.de%2FDE%2FThemen%2FGesellschaft-Umwelt%2FBevoelkerung%2FSterbefaelle-Lebenserwartung%2FPublikationen%2FDownloads-Sterbefaelle%2Fkohortensterbetafeln-5126101209005.xlsx%3F__blob%3DpublicationFile&amp;wdOrigin=BROWSELINK</t>
  </si>
  <si>
    <t>Erweiterte Suche - Statistisches Bundesamt (destatis.de)</t>
  </si>
  <si>
    <t>1970, 3%,0%,60,(48)</t>
  </si>
  <si>
    <t>Invalidenrente</t>
  </si>
  <si>
    <t>Alters und Invaliditätsrente</t>
  </si>
  <si>
    <t>Witwenrente 100%</t>
  </si>
  <si>
    <t xml:space="preserve">Witwenrente </t>
  </si>
  <si>
    <t>Anwartschafts-barwert
Altersrente</t>
  </si>
  <si>
    <r>
      <rPr>
        <sz val="12"/>
        <color indexed="8"/>
        <rFont val="Calibri"/>
        <family val="2"/>
      </rPr>
      <t xml:space="preserve">Zuschläge zum Barwert für </t>
    </r>
    <r>
      <rPr>
        <b/>
        <sz val="12"/>
        <color indexed="8"/>
        <rFont val="Calibri"/>
        <family val="2"/>
      </rPr>
      <t xml:space="preserve">
Invaliditäts- und Hinterbliebenenversorgung </t>
    </r>
    <r>
      <rPr>
        <sz val="11"/>
        <color rgb="FF000000"/>
        <rFont val="Calibri"/>
        <family val="2"/>
      </rPr>
      <t xml:space="preserve">
- Männer -</t>
    </r>
  </si>
  <si>
    <r>
      <t xml:space="preserve">Zuschläge zum Barwert für 
</t>
    </r>
    <r>
      <rPr>
        <b/>
        <sz val="12"/>
        <color indexed="8"/>
        <rFont val="Calibri"/>
        <family val="2"/>
      </rPr>
      <t xml:space="preserve">Invaliditäts- und Hinterbliebenenversorgung </t>
    </r>
    <r>
      <rPr>
        <sz val="11"/>
        <color rgb="FF000000"/>
        <rFont val="Calibri"/>
        <family val="2"/>
      </rPr>
      <t xml:space="preserve">
- Frauen -</t>
    </r>
  </si>
  <si>
    <r>
      <t>(12)a</t>
    </r>
    <r>
      <rPr>
        <vertAlign val="subscript"/>
        <sz val="8"/>
        <color indexed="8"/>
        <rFont val="Calibri"/>
        <family val="2"/>
      </rPr>
      <t>x</t>
    </r>
    <r>
      <rPr>
        <sz val="8"/>
        <color indexed="8"/>
        <rFont val="Arial"/>
        <family val="2"/>
      </rPr>
      <t>aiz</t>
    </r>
  </si>
  <si>
    <r>
      <t>(12)a</t>
    </r>
    <r>
      <rPr>
        <vertAlign val="subscript"/>
        <sz val="8"/>
        <color indexed="8"/>
        <rFont val="Calibri"/>
        <family val="2"/>
      </rPr>
      <t>x</t>
    </r>
    <r>
      <rPr>
        <sz val="8"/>
        <color indexed="8"/>
        <rFont val="Arial"/>
        <family val="2"/>
      </rPr>
      <t>aia</t>
    </r>
  </si>
  <si>
    <r>
      <t>a</t>
    </r>
    <r>
      <rPr>
        <vertAlign val="subscript"/>
        <sz val="8"/>
        <color indexed="8"/>
        <rFont val="Calibri"/>
        <family val="2"/>
      </rPr>
      <t>x</t>
    </r>
    <r>
      <rPr>
        <sz val="8"/>
        <color indexed="8"/>
        <rFont val="Arial"/>
        <family val="2"/>
      </rPr>
      <t>aw</t>
    </r>
  </si>
  <si>
    <t>Anteil IR</t>
  </si>
  <si>
    <t>Anteil HR</t>
  </si>
  <si>
    <t>Gesamt IR + HR</t>
  </si>
  <si>
    <r>
      <t>(12)a</t>
    </r>
    <r>
      <rPr>
        <vertAlign val="subscript"/>
        <sz val="8"/>
        <color indexed="8"/>
        <rFont val="Calibri"/>
        <family val="2"/>
      </rPr>
      <t>y</t>
    </r>
    <r>
      <rPr>
        <sz val="8"/>
        <color indexed="8"/>
        <rFont val="Arial"/>
        <family val="2"/>
      </rPr>
      <t>aiz</t>
    </r>
  </si>
  <si>
    <r>
      <t>(12)a</t>
    </r>
    <r>
      <rPr>
        <vertAlign val="subscript"/>
        <sz val="8"/>
        <color indexed="8"/>
        <rFont val="Calibri"/>
        <family val="2"/>
      </rPr>
      <t>y</t>
    </r>
    <r>
      <rPr>
        <sz val="8"/>
        <color indexed="8"/>
        <rFont val="Arial"/>
        <family val="2"/>
      </rPr>
      <t>aia</t>
    </r>
  </si>
  <si>
    <t>ayaw</t>
  </si>
  <si>
    <t>1974, 3%,0%,61,(48)</t>
  </si>
  <si>
    <r>
      <t>(12)a</t>
    </r>
    <r>
      <rPr>
        <vertAlign val="subscript"/>
        <sz val="9"/>
        <color indexed="8"/>
        <rFont val="Calibri"/>
        <family val="2"/>
      </rPr>
      <t>x</t>
    </r>
    <r>
      <rPr>
        <sz val="9"/>
        <color indexed="8"/>
        <rFont val="Arial"/>
        <family val="2"/>
      </rPr>
      <t>aiz</t>
    </r>
  </si>
  <si>
    <r>
      <t>(12)a</t>
    </r>
    <r>
      <rPr>
        <vertAlign val="subscript"/>
        <sz val="9"/>
        <color indexed="8"/>
        <rFont val="Calibri"/>
        <family val="2"/>
      </rPr>
      <t>x</t>
    </r>
    <r>
      <rPr>
        <sz val="9"/>
        <color indexed="8"/>
        <rFont val="Arial"/>
        <family val="2"/>
      </rPr>
      <t>aia</t>
    </r>
  </si>
  <si>
    <r>
      <t>a</t>
    </r>
    <r>
      <rPr>
        <vertAlign val="subscript"/>
        <sz val="9"/>
        <color indexed="8"/>
        <rFont val="Calibri"/>
        <family val="2"/>
      </rPr>
      <t>x</t>
    </r>
    <r>
      <rPr>
        <sz val="9"/>
        <color indexed="8"/>
        <rFont val="Arial"/>
        <family val="2"/>
      </rPr>
      <t>aw</t>
    </r>
  </si>
  <si>
    <r>
      <t>0,6 a</t>
    </r>
    <r>
      <rPr>
        <vertAlign val="subscript"/>
        <sz val="9"/>
        <color indexed="8"/>
        <rFont val="Calibri"/>
        <family val="2"/>
      </rPr>
      <t>x</t>
    </r>
    <r>
      <rPr>
        <sz val="9"/>
        <color indexed="8"/>
        <rFont val="Arial"/>
        <family val="2"/>
      </rPr>
      <t>aw</t>
    </r>
  </si>
  <si>
    <r>
      <t>(12)a</t>
    </r>
    <r>
      <rPr>
        <vertAlign val="subscript"/>
        <sz val="9"/>
        <color indexed="8"/>
        <rFont val="Calibri"/>
        <family val="2"/>
      </rPr>
      <t>y</t>
    </r>
    <r>
      <rPr>
        <sz val="9"/>
        <color indexed="8"/>
        <rFont val="Arial"/>
        <family val="2"/>
      </rPr>
      <t>aiz</t>
    </r>
  </si>
  <si>
    <r>
      <t>(12)a</t>
    </r>
    <r>
      <rPr>
        <vertAlign val="subscript"/>
        <sz val="9"/>
        <color indexed="8"/>
        <rFont val="Calibri"/>
        <family val="2"/>
      </rPr>
      <t>y</t>
    </r>
    <r>
      <rPr>
        <sz val="9"/>
        <color indexed="8"/>
        <rFont val="Arial"/>
        <family val="2"/>
      </rPr>
      <t>aia</t>
    </r>
  </si>
  <si>
    <t>0,6 ayaw</t>
  </si>
  <si>
    <t>1974, 3%,0%,62,(48)</t>
  </si>
  <si>
    <t>1974,3%,0%,63,(48)</t>
  </si>
  <si>
    <r>
      <t xml:space="preserve">Zuschläge zum Barwert für 
</t>
    </r>
    <r>
      <rPr>
        <b/>
        <sz val="12"/>
        <color indexed="8"/>
        <rFont val="Calibri"/>
        <family val="2"/>
      </rPr>
      <t xml:space="preserve">Invaliditäts- und Hinterbliebenenversorgung </t>
    </r>
    <r>
      <rPr>
        <sz val="11"/>
        <color rgb="FF000000"/>
        <rFont val="Calibri"/>
        <family val="2"/>
      </rPr>
      <t xml:space="preserve">
- Divers -</t>
    </r>
  </si>
  <si>
    <t>1970,3%,0,64,(48)</t>
  </si>
  <si>
    <r>
      <rPr>
        <sz val="10"/>
        <color indexed="8"/>
        <rFont val="Calibri"/>
        <family val="2"/>
      </rPr>
      <t xml:space="preserve">Zuschläge zum Barwert für </t>
    </r>
    <r>
      <rPr>
        <b/>
        <sz val="10"/>
        <color indexed="8"/>
        <rFont val="Calibri"/>
        <family val="2"/>
      </rPr>
      <t xml:space="preserve">
Invaliditäts- und Hinterbliebenenversorgung </t>
    </r>
    <r>
      <rPr>
        <sz val="10"/>
        <color indexed="8"/>
        <rFont val="Arial"/>
        <family val="2"/>
      </rPr>
      <t xml:space="preserve">
- Männer -</t>
    </r>
  </si>
  <si>
    <r>
      <t xml:space="preserve">Zuschläge zum Barwert für 
</t>
    </r>
    <r>
      <rPr>
        <b/>
        <sz val="10"/>
        <color indexed="8"/>
        <rFont val="Calibri"/>
        <family val="2"/>
      </rPr>
      <t xml:space="preserve">Invaliditäts- und Hinterbliebenenversorgung </t>
    </r>
    <r>
      <rPr>
        <sz val="10"/>
        <color indexed="8"/>
        <rFont val="Arial"/>
        <family val="2"/>
      </rPr>
      <t xml:space="preserve">
- Frauen -</t>
    </r>
  </si>
  <si>
    <r>
      <t xml:space="preserve">Zuschläge zum Barwert für 
</t>
    </r>
    <r>
      <rPr>
        <b/>
        <sz val="10"/>
        <color indexed="8"/>
        <rFont val="Calibri"/>
        <family val="2"/>
      </rPr>
      <t xml:space="preserve">Invaliditäts- und Hinterbliebenenversorgung </t>
    </r>
    <r>
      <rPr>
        <sz val="10"/>
        <color indexed="8"/>
        <rFont val="Arial"/>
        <family val="2"/>
      </rPr>
      <t xml:space="preserve">
- unisex -</t>
    </r>
  </si>
  <si>
    <t>1970,3%,0%,65</t>
  </si>
  <si>
    <r>
      <t xml:space="preserve">Zuschläge zum Barwert für 
</t>
    </r>
    <r>
      <rPr>
        <b/>
        <sz val="10"/>
        <color indexed="8"/>
        <rFont val="Calibri"/>
        <family val="2"/>
      </rPr>
      <t xml:space="preserve">Invaliditäts- und Hinterbliebenenversorgung </t>
    </r>
    <r>
      <rPr>
        <sz val="10"/>
        <color indexed="8"/>
        <rFont val="Arial"/>
        <family val="2"/>
      </rPr>
      <t xml:space="preserve">
- Divers -</t>
    </r>
  </si>
  <si>
    <r>
      <t>(12)a</t>
    </r>
    <r>
      <rPr>
        <vertAlign val="subscript"/>
        <sz val="9"/>
        <color indexed="8"/>
        <rFont val="Calibri"/>
        <family val="2"/>
      </rPr>
      <t>x</t>
    </r>
    <r>
      <rPr>
        <sz val="9"/>
        <color indexed="8"/>
        <rFont val="Arial"/>
        <family val="2"/>
      </rPr>
      <t>auiz</t>
    </r>
  </si>
  <si>
    <r>
      <t>(12)a</t>
    </r>
    <r>
      <rPr>
        <vertAlign val="subscript"/>
        <sz val="9"/>
        <color indexed="8"/>
        <rFont val="Calibri"/>
        <family val="2"/>
      </rPr>
      <t>y</t>
    </r>
    <r>
      <rPr>
        <sz val="9"/>
        <color indexed="8"/>
        <rFont val="Arial"/>
        <family val="2"/>
      </rPr>
      <t>auiz</t>
    </r>
  </si>
  <si>
    <r>
      <t>(12)an</t>
    </r>
    <r>
      <rPr>
        <sz val="9"/>
        <color indexed="8"/>
        <rFont val="Arial"/>
        <family val="2"/>
      </rPr>
      <t>aiz</t>
    </r>
  </si>
  <si>
    <r>
      <t>(12)an</t>
    </r>
    <r>
      <rPr>
        <sz val="9"/>
        <color indexed="8"/>
        <rFont val="Arial"/>
        <family val="2"/>
      </rPr>
      <t>aia</t>
    </r>
  </si>
  <si>
    <t>anaw</t>
  </si>
  <si>
    <t>0,6 anaw</t>
  </si>
  <si>
    <t>Männer</t>
  </si>
  <si>
    <t>Frauen</t>
  </si>
  <si>
    <t>Unisex</t>
  </si>
  <si>
    <t>1970(48),3%,0%,66</t>
  </si>
  <si>
    <t>ReZi 6%/0%</t>
  </si>
  <si>
    <t>Witwenrente 0,6</t>
  </si>
  <si>
    <r>
      <t xml:space="preserve">Zuschläge zum Barwert AR für 
</t>
    </r>
    <r>
      <rPr>
        <b/>
        <sz val="12"/>
        <color indexed="8"/>
        <rFont val="Calibri"/>
        <family val="2"/>
      </rPr>
      <t xml:space="preserve">Invaliditäts- und Hinterbliebenenversorgung </t>
    </r>
    <r>
      <rPr>
        <sz val="11"/>
        <color rgb="FF000000"/>
        <rFont val="Calibri"/>
        <family val="2"/>
      </rPr>
      <t xml:space="preserve">
- Frauen -</t>
    </r>
  </si>
  <si>
    <t>Anwartschafts-barwert</t>
  </si>
  <si>
    <t>x</t>
  </si>
  <si>
    <t>(12)axaiZ</t>
  </si>
  <si>
    <t>(12)axaiA</t>
  </si>
  <si>
    <r>
      <t>a</t>
    </r>
    <r>
      <rPr>
        <vertAlign val="subscript"/>
        <sz val="9"/>
        <color indexed="8"/>
        <rFont val="Arial"/>
        <family val="2"/>
      </rPr>
      <t>x</t>
    </r>
    <r>
      <rPr>
        <sz val="9"/>
        <color indexed="8"/>
        <rFont val="Arial"/>
        <family val="2"/>
      </rPr>
      <t>aw</t>
    </r>
  </si>
  <si>
    <t>0,6 axaaw</t>
  </si>
  <si>
    <r>
      <t>a</t>
    </r>
    <r>
      <rPr>
        <vertAlign val="subscript"/>
        <sz val="9"/>
        <color indexed="8"/>
        <rFont val="Arial"/>
        <family val="2"/>
      </rPr>
      <t>y</t>
    </r>
    <r>
      <rPr>
        <sz val="9"/>
        <color indexed="8"/>
        <rFont val="Arial"/>
        <family val="2"/>
      </rPr>
      <t>aw</t>
    </r>
  </si>
  <si>
    <t>n</t>
  </si>
  <si>
    <t>(12)anaiZ</t>
  </si>
  <si>
    <t>(12)anaiA</t>
  </si>
  <si>
    <r>
      <t>an</t>
    </r>
    <r>
      <rPr>
        <sz val="9"/>
        <color indexed="8"/>
        <rFont val="Arial"/>
        <family val="2"/>
      </rPr>
      <t>aw</t>
    </r>
  </si>
  <si>
    <t>1975, 3%,0,67</t>
  </si>
  <si>
    <t>Witwenrente x x%</t>
  </si>
  <si>
    <t>Anwartschafts-barwert d. Altersrente</t>
  </si>
  <si>
    <t>Witwenrente</t>
  </si>
  <si>
    <r>
      <t>a</t>
    </r>
    <r>
      <rPr>
        <vertAlign val="subscript"/>
        <sz val="11"/>
        <color indexed="8"/>
        <rFont val="Arial"/>
        <family val="2"/>
      </rPr>
      <t>x</t>
    </r>
    <r>
      <rPr>
        <sz val="11"/>
        <color rgb="FF000000"/>
        <rFont val="Calibri"/>
        <family val="2"/>
      </rPr>
      <t>aw</t>
    </r>
  </si>
  <si>
    <t xml:space="preserve"> axaw</t>
  </si>
  <si>
    <r>
      <t>a</t>
    </r>
    <r>
      <rPr>
        <vertAlign val="subscript"/>
        <sz val="11"/>
        <color indexed="8"/>
        <rFont val="Arial"/>
        <family val="2"/>
      </rPr>
      <t>y</t>
    </r>
    <r>
      <rPr>
        <sz val="11"/>
        <color rgb="FF000000"/>
        <rFont val="Calibri"/>
        <family val="2"/>
      </rPr>
      <t>aw</t>
    </r>
  </si>
  <si>
    <t>ISO</t>
  </si>
  <si>
    <t>2025-Status</t>
  </si>
  <si>
    <t>Max. Jahresanp.</t>
  </si>
  <si>
    <t>Min. Jahresanp.</t>
  </si>
  <si>
    <t>Volatilität</t>
  </si>
  <si>
    <t>Hinweis</t>
  </si>
  <si>
    <t>Quelle</t>
  </si>
  <si>
    <t>BE</t>
  </si>
  <si>
    <t>2025: Schwellenindex-System bleibt maßgeblich; konkrete jährliche Wirkung hängt von Zahl/Zeitpunkt der Schwellenüberschreitungen ab.</t>
  </si>
  <si>
    <t>Multiplikatoren der Quelle wurden in Prozentwerte umgerechnet; siehe Methodik.</t>
  </si>
  <si>
    <t>Boguslawski 2026 Supplementary Material</t>
  </si>
  <si>
    <t>BG</t>
  </si>
  <si>
    <t>2025: weiterhin stark politisch/ad-hoc geprägt; für exakte Sätze nationale Sozialversicherungsquelle heranziehen.</t>
  </si>
  <si>
    <t>DK</t>
  </si>
  <si>
    <t>DE</t>
  </si>
  <si>
    <t>2025: Rentenanpassung weiterhin lohnorientiert; aktuelle 2025-Gesetzgebung stabilisiert Rentenniveau politisch.</t>
  </si>
  <si>
    <t>EE</t>
  </si>
  <si>
    <t>2025: Indexformel gilt; konkreter Satz national prüfen.</t>
  </si>
  <si>
    <t>FI</t>
  </si>
  <si>
    <t>2025: Indexregel fortgeführt; genaue Sätze je Systemkomponente unterscheiden sich.</t>
  </si>
  <si>
    <t>FR</t>
  </si>
  <si>
    <t>2025: Grundsystem weiterhin CPI-orientiert; konkrete Haushalts-/Revalorisierungsentscheidungen beachten.</t>
  </si>
  <si>
    <t>EL</t>
  </si>
  <si>
    <t>2025: Formelregime fortgeführt; konkreter Satz national prüfen.</t>
  </si>
  <si>
    <t>IT</t>
  </si>
  <si>
    <t>2025: automatische Inflation; MISSOC nennt 0,80 % offiziellen Indexationssatz mit Staffelung nach Pensionshöhe.</t>
  </si>
  <si>
    <t>HR</t>
  </si>
  <si>
    <t>2025: Formel-/Halbjahresanpassung; kein einheitlicher EU-Panelwert verfügbar.</t>
  </si>
  <si>
    <t>LU</t>
  </si>
  <si>
    <t>2025: Index-/Lohnmechanik fortgeführt; konkrete Jahreswirkung hängt von Indextranchen und politischer Entscheidung ab.</t>
  </si>
  <si>
    <t>AT</t>
  </si>
  <si>
    <t>2025: 4,6 % bis zu einer hohen Pensionsgrenze; darüber fixer Betrag; Quelle: MISSOC/Boguslawski-Anhang.</t>
  </si>
  <si>
    <t>PL</t>
  </si>
  <si>
    <t>2025: gesetzliche Indexformel; konkrete Zusatzleistungen separat betrachten.</t>
  </si>
  <si>
    <t>PT</t>
  </si>
  <si>
    <t>2025: Formel nach CPI/BIP/Schwellenwerten; exakte Staffel je Pensionshöhe national prüfen.</t>
  </si>
  <si>
    <t>RO</t>
  </si>
  <si>
    <t>2025: nach neuerem Rentenrecht und Haushaltslage national prüfen; Panelwert nicht verfügbar.</t>
  </si>
  <si>
    <t>SE</t>
  </si>
  <si>
    <t>2025: einkommensindexbasierte Anpassung; konkrete Sätze unterscheiden sich nach Rentenbestandteil.</t>
  </si>
  <si>
    <t>SK</t>
  </si>
  <si>
    <t>2025: Rentnerinflationslogik/Valorisierung; konkrete Sätze national prüfen.</t>
  </si>
  <si>
    <t>SI</t>
  </si>
  <si>
    <t>2025: Mischformel/außerordentliche Anpassungen nach nationaler Entscheidung; Panelwert nicht verfügbar.</t>
  </si>
  <si>
    <t>ES</t>
  </si>
  <si>
    <t>2025: CPI-basierte Anpassung über Staatshaushalt; Mindestrenten teils stärker.</t>
  </si>
  <si>
    <t>CZ</t>
  </si>
  <si>
    <t>Tschechien</t>
  </si>
  <si>
    <t>2025: neue restriktivere Hochinflations-/Indexierungslogik nach Reformen 2023/2024; konkrete Sätze national prüfen.</t>
  </si>
  <si>
    <t>HU</t>
  </si>
  <si>
    <t>2025: CPI-/Budgetmechanismus; konkrete Nachzahlungen abhängig von tatsächlicher Inflation.</t>
  </si>
  <si>
    <t>ZY</t>
  </si>
  <si>
    <t>Missoc Comparative Tables
Updated at: 01 July 2025</t>
  </si>
  <si>
    <t>Für Versicherte vor 1996 gilt eine Mindestversicherungszeit von 20 geleisteten und/oder fiktiven Beitragsjahren ungeachtet des Rentenberechnungssystems.
Für Personen, die erstmals nach dem 1. Januar 1996 versichert waren, kann eine Mindestversicherungszeit von 5 geleisteten Beitragsjahren gelten (fiktive Beiträge werden nicht berücksichtigt), das Renteneintrittsalter ist jedoch höher (71 Jahre + 3 Monate).
Der Anspruch auf eine volle Rente, die sogenannte Vorgezogene Rente (pensione anticipata) beruht auf den folgenden Voraussetzungen (gültig bis Dezember 2026):
   * 42 Jahre und 10 Monate an Beiträgen ungeachtet des Alters;
   * 41 Jahre und 10 Monate an Beiträgen für weibliche Arbeitnehmer ungeachtet des Alters.
Der Rentenbetrag unterliegt keiner dauerhaften Reduzierung mehr, auch wenn er bereits vor dem Alter von 62 Jahren bezogen wird. Denoch gilt ein Aufschub-System bezüglich des Datums, an dem die erste Rentenzahlung fällig wird.
Vorteilhaftere Anspruchsvoraussetzungen werden weiterhin für frühzeitige Arbeitnehmer gelten (sogenannte „lavoratori precoci“) (d.h. jene, die vor dem Erreichen des 19. Lebensjahres bereits 12 Monate lang Beiträge geleistet haben):
   * 41 Beitragsjahre, unabhängig vom Alter, für Männer und Frauen gleichermaßen sowie eine der folgenden Voraussetzungen erfüllt sein:
   * Langzeitarbeitslosigkeit mit geringen Chancen für die Wiedereingliederung in den Arbeitsmarkt 3 Monate nach Ende des Arbeitslosengelds (siehe auch Tabelle X – „Arbeitslosigkeit“);
   * Einstufung als Person mit Behinderungen und einem Grad der Invalidität von mindestens 74% (siehe auch Tabelle XI – „Mindestsicherung“);
   * Unterstützung einer Person mit Behinderungen über einen Zeitraum von mindestens 6 Monaten, die im Haushalt wohnt und ein Verwandter 1. Grades (z.B.: Ehegatte, Eltern, Kind) ist (siehe auch Tabelle IX – „Familienleistungen“);
   * beschwerliche Arbeiten wie in Tabelle E des „Haushaltsgesetzes“ für 2018 aufgeführt haben;
   * anstrengende Arbeiten ausgeführt haben.
Für die erste anstehende Rentenzahlung gibt es ein System der 3-monatigen Stundung.
Diese Maßnahme wird versuchsweise weiterhin bis zum Jahr 2026 in Kraft bleiben.</t>
  </si>
  <si>
    <t>Allgemeines Gesetz über die soziale Sicherheit (Ley General de Seguridad Social) aufgrund des Gesetzgebenden Königlichen Dekret Nr. 8/2015 vom Freitag, 30. Oktober 2015, einschließlich Änderungen.
Ministerialerlass vom 15.4.1969 zur Festlegung von Regeln zur Anwendung und Entwicklung von Invaliditätsleistungen im Rahmen des Allgemeinen Systems der Sozialen Sicherheit.
Königliches Dekret Nr. 1300/95 vom 21.7.1995, einschließlich Änderungen.
Königliches Dekret Nr. 1647/97 vom Freitag, 31. Oktober 1997, einschließlich Änderungen.
Verzeichnis der Rechtsakte: https://www.boe.es/buscar/legislacion.php</t>
  </si>
  <si>
    <t>Beitragsfinanziertes obligatorisches Sozialversicherungssystem für Arbeitnehmer und Gleichgestellte mit einkommensbezogenen Geldleistungen bei dauernder Minderung der Erwerbsfähigkeit (incapacidad permanente). Teil des nationalen Rentensystems.
Sondersystem für Selbstständige (siehe den Abschnitt der MISSOC-Datenbank zum Sozialschutz von Selbstständigen).
Freiwillige Versicherung möglich (Convenio especial).
Spezifische Sozialhilfe für Personen mit Behinderungen wird von den Regionen bereitgestellt: für nähere Informationen siehe Beitragsun-abhängige Invaliditätsleistung (Pensión de invalidez no contributiva) in Tabelle XI „Mindestsicherung”.</t>
  </si>
  <si>
    <t>Das System beruht auf der Arbeitsfähigkeit der betroffenen Person.
Invalidität entspricht dem Zustand eines Arbeitnehmers, der nach einer verordneten Behandlung ernsthafte körperliche oder funktionelle Störungen aufweist, die voraussichtlich dauerhaft sind und seine Arbeitsfähigkeit teilweise oder völlig einschränken.</t>
  </si>
  <si>
    <t>Arbeitnehmer und Gleichgestellte (z.B. Empfänger von beitragsabhängigem Arbeitslosengeld, Arbeitnehmer während des Zeitraums des unbezahlten jährlichen Urlaubs, der nicht vor dem Vertragsende genommen wurde, Nehmer einer freiwilligen Versicherung).
Sondersystem für Selbstständige.
Anspruchsberechtigung ist unabhängig vom Wohnsitz und/oder der Staatsangehörigkeit.</t>
  </si>
  <si>
    <t>Der Antrag wird innerhalb der Provinzämter des Nationalen Instituts für Soziale Sicherheit (Instituto Nacional de la Seguridad Social) vom Bewertungsteam für Behinderungen (Equipo de Valoración de Incapacidades) (bestehend aus 1 Präsidenten, 1 ärztlichen Inspektor, 1 Arzt, 1 Inspektor für Arbeit und soziale Sicherheit und 1 Beamten) bearbeitet.
Das Bewertungsteam für Behinderungen formuliert eine erste Entscheidung unter Berücksichtigung des zusammenfassenden medizinischen Berichts, der durch das medizinische Personal der Landesdirektion des Nationalen Instituts für Soziale Sicherheit erstellt wurde sowie dem Bericht über den beruflichen Werdegang.
Auf dieser Basis formulieren die Provinzdirektoren des INSS eine ausdrückliche Entscheidung über den Grad der Invalidität, den Betrag der Leistung und das Datum, ab dem eine Überprüfung der Arbeitsunfähigkeit durchgeführt werden kann.
Das Bewertungsverfahren ist landesweit das gleiche mit der Besonderheit, dass in Katalonien die Pflichten des Bewertungsteams für Behinderungen vom Katalonischen Institut zur Bewertung von Behinderungen (Instituto Catalán de Evaluación de Incapacidades) und dem Gutachterausschuss für Behinderungen (Comisión de Evaluación de Incapacidades) übernommen werden.
Bei Unzufriedenheit mit der Entscheidung des Nationalen Instituts für Soziale Sicherheit kann ein „Vorrecht” (reclamación previa) beim Provinzbüro geltend gemacht werden. Im Fall einer Ablehung kann Widerspruch bei der Sozialgerichtsbarkeit eingelegt werden.</t>
  </si>
  <si>
    <t>Dauernde teilweise Minderung der Berufsfähigkeit (incapacidad permanente parcial para la profesión habitual): Pauschalleistung in Höhe von 24 Monatsbeträgen der Berechnungsgrundlage für Geldleistungen im Krankheitsfall (siehe Tabelle III).
Dauernde vollständige Berufsunfähigkeit (incapacidad permanente total para la profesión habitual): monatlicher Betrag entsprechend 55% der Berechnungsgrundlage. Zuzüglich 20%, wenn über 55 und arbeitslos (Leistung von 75%). Leistung kann auf Antrag des Leistungsempfängers in Form einer Einmalzahlung in Höhe des 84-fachen der monatlichen Leistung (abzüglich 12 Monate für jedes Jahr, welches der Antragsteller älter ist als 54, mindestens jedoch 12 Monate) eingelöst werden.
Dauernde vollständige Erwerbsunfähigkeit (incapacidad permanente absoluta): monatlicher Betrag entsprechend 100% der Berechnungsgrundlage.
Schwerstbehinderung (gran incapacidad): Die Rente entspricht dem monatlichen Betrag der Leistung bei dauernder vollständiger und totaler Erwerbsunfähigkeit zuzüglich einer Zulage (45% der Mindestbeitragsbasis des Jahres und 30% der Arbeitnehmerbeitragsbasis).
Der Leistungsbetrag wird aufgrund der bisherigen Bruttoerwerbseinkünfte berechnet.
Der Bezug anderer Sozialleistungen, die mit der Invaliditäsleistung kompatibel sind, hat keinen Einfluss auf den Betrag der bezogenen Invaliditätsleistung, so lange der Höchstbetrag (d.h. €3.267,60) nicht überschritten wird.
Besteht die Invalidität aufgrund einer weitverbreiteten Krankheit oder eines Unfalls außerhalb des Arbeitslebens, wird die Leistung in 14 Monatsraten gezahlt (einschließlich zwei Sonderzahlungen im Juni und im November). Wenn die Invalidität aufgrund eines Arbeitsunfalls oder einer Berufskrankheit besteht, wird die Leistung in 12 Monatsraten gezahlt, da die Extrazahlungen anteilsmäßig auf die 12 Monate aufgeteilt werden.</t>
  </si>
  <si>
    <t>Berechnungsgrundlage: Summe der Beitragsgrundlagen der 96 Monate vor dem Monat, in dem das Ereignis eingetreten ist, dividiert durch 112. Die 24 Monate unmittelbar vor dem Ruhestand werden mit ihrem jeweiligen tatsächlichen Wert berücksichtigt, die Werte der übrigen Zeiten werden nach dem Verbraucherpreisindex angepasst. Der Altersprozentsatz wird angewendet.
Handelt es sich um keinen Arbeitsunfall, so ist die Berechnungsgrundlage 1/28 des durchschnittlichen beitragspflichtigen Entgelts, das der Versicherte in einem selbst gewählten Zeitraum von 24 aufeinander folgenden Monaten in den letzten 7 Jahren vor Eintritt des Versicherungsfalls bezogen hat.</t>
  </si>
  <si>
    <t>Manche Zeiten der Abwesenheit vom Arbeitsplatz werden angerechnet, darunter Krankenstand, Arbeitslosigkeit, die ersten drei Jahre des Erziehungsurlaubs (excedencia por cuidado de hijo) zur Erziehung eines Kindes und bis maximal die ersten drei Jahre der Beurlaubung um Verwandte zu pflegen (Excedencia para el cuidado de familiares), die aufgrund von Alter, Krankheit oder Arbeitsunfähigkeit dauerhafte Unterstützung benötigen, um die meisten grundlegenden Aktivitäten des täglichen Lebens auszuführen.</t>
  </si>
  <si>
    <t>Keine Zulagen, jedoch höherer Mindestbetrag (pensión mínima) für Rentner mit unterhaltsberechtigtem Ehepartner oder wenn der Leistungsempfänger in einem Einpersonenhaushalt lebt.</t>
  </si>
  <si>
    <t>Zulage zur Verringerung des Lohngefälles zwischen den Geschlechtern (complemento para la reducción de la brecha de género) von €35,90/monatlich pro Kind im Jahr 2025 (mit einer Obergrenze von 4 Kindern).
Rentenempfänger zahlen nur 10% des Arzneimittelpreises wenn ihr Jahreseinkommen unter €100.000 liegt.
Für bestimmte besondere Arzneimittel (langandauernde Behandlungen) gibt es bestimmte Höchstbeträge.</t>
  </si>
  <si>
    <t>Berufliche Bildung und Rehabilitation sind für den Bezug von Invaliditätsleistungen nicht erforderlich.
Aber Personen mit Behinderungen können Anspruch haben auf geförderte Arbeitsplätze (servicios de empleo con apoyo), die die Inklusion in Unternehmen des regulären Arbeitsmarktes erleichtern.</t>
  </si>
  <si>
    <t>Anpassung jeweils zum Jahresbeginn bei Inkrafttreten des jährlichen allgemeinen Staatshaushaltsgesetzes entsprechend der jährlichen Schwankung des Verbraucherpreisindexes.</t>
  </si>
  <si>
    <t>Invaliditätsleistungen (pensiones de incapacidad) können nicht mit anderen Leistungen des allgemeinen Systems kombiniert werden, ausgenommen das Witwengeld (bis zum Höchstbetrag).
Keine Kumulation möglich mit Pauschalleistungen für Verletzungen, Verstümmelungen und Entstellungen, sofern diese nicht vollkommen unabhängig von der Ursache der Invalidität sind.
Kumulation mit Arbeitslosengeld möglich nach Verlust einer passenden Arbeitsstelle, d.h. einer Arbeit, zu der der Arbeitnehmer befähigt war im Fall von dauernder vollständiger Berufsunfähigkeit (incapacidad permanente total para la profesión habitual).
Die Höhe der Leistung wird nicht gekürzt.</t>
  </si>
  <si>
    <t>Dauernde teilweise (incapacidad permanente parcial) oder vollständige Berufsunfähigkeit (incapacidad permanente total para la profesión habitual): Die Leistungen unterliegen der Besteuerung.
Dauernde vollständige Erwerbsunfähigkeit (incapacidad permanente absoluta) oder Schwerstbehinderung (gran incapacidad): Die Leistungen unterliegen keiner Besteuerung.</t>
  </si>
  <si>
    <t>Besteuerung nach allgemeinem Regeln. Keine Sonderbestimmungen für Invaliditätsleistungen.</t>
  </si>
  <si>
    <t>Dieselben wie für Arbeitnehmeraber Selbstständige erhalten Leistungen für permanente Teilinvalidität nur in Fällen von Arbeitsunfällen oder Berufskrankheiten. Die Leistung bei vollständiger Erwerbsunfähigkeit kann auf Antrag des Berechtigten als Pauschalzahlung in Höhe von 40-mal der Berechnungsgrundlage ausgezahlt werden.</t>
  </si>
  <si>
    <t>Tchechische Republik</t>
  </si>
  <si>
    <t>Nr.</t>
  </si>
  <si>
    <t>Land / Einrichtung</t>
  </si>
  <si>
    <t>Versorgungssystem</t>
  </si>
  <si>
    <t>Auskünfte zum Ehezeitanteil</t>
  </si>
  <si>
    <t>Bemerkungen</t>
  </si>
  <si>
    <t>Albanien</t>
  </si>
  <si>
    <t>staatliche Rentenversicherung</t>
  </si>
  <si>
    <t>Nein</t>
  </si>
  <si>
    <t>Keine Auskunftserteilung zu Rentenanwartschaften.</t>
  </si>
  <si>
    <t>Australien</t>
  </si>
  <si>
    <t>Centrelink (Grundrente) / Superannuation Funds</t>
  </si>
  <si>
    <t>Eingeschränkt</t>
  </si>
  <si>
    <t>Grundrente meist nicht VA-relevant; Auskünfte zu Superannuation nur ausnahmsweise, insb. bei Gerichtsbeschluss.</t>
  </si>
  <si>
    <t>ONP / SFP (öffentl. Sektor)</t>
  </si>
  <si>
    <t>Ja</t>
  </si>
  <si>
    <t>Rentenauskünfte auf Antrag, i. d. R. über die Deutsche Rentenversicherung (DRV).</t>
  </si>
  <si>
    <t>Bosnien-Herzegowina</t>
  </si>
  <si>
    <t>Keine Auskunftserteilung.</t>
  </si>
  <si>
    <t>Brasilien</t>
  </si>
  <si>
    <t xml:space="preserve">Erläuterungsdokument: keine Auskunft zu Rentenanwartschaften. </t>
  </si>
  <si>
    <t xml:space="preserve">nicht kooperativ geführt. </t>
  </si>
  <si>
    <t>Chile</t>
  </si>
  <si>
    <t>ATP / Udbetaling Danmark; Volks-/Grundrente</t>
  </si>
  <si>
    <t>Volks-/Grundrente i. d. R. nicht VA-relevant; ATP-Auskunft über zentrale Stellen/Online-Portal möglich.</t>
  </si>
  <si>
    <t>Volksrente + Beschäftigungsrenten</t>
  </si>
  <si>
    <t>Volksrente meist nicht VA-relevant; Beschäftigungsrenten auf Antrag direkt bei finnischer Stelle (Angabe zahlreicher Personendaten).</t>
  </si>
  <si>
    <t>CNAV + AGIRC-ARRCO</t>
  </si>
  <si>
    <t>DRV erteilt keine Auskunft; Familiengericht kann im Bewertungsverfahren direkt CNAV/AGIRC-ARRCO anschreiben.</t>
  </si>
  <si>
    <t>Indien</t>
  </si>
  <si>
    <t>staatliche Renten-/Altersversorgung</t>
  </si>
  <si>
    <t>zurzeit nicht bekannt</t>
  </si>
  <si>
    <t xml:space="preserve">Verfahren in der Übersicht als „zurzeit nicht bekannt“ bezeichnet. </t>
  </si>
  <si>
    <t>Keine belastbare Information; Verfahren „zurzeit nicht bekannt“ und ohne Status.</t>
  </si>
  <si>
    <t>Volks- und Beschäftigungsrente</t>
  </si>
  <si>
    <t xml:space="preserve">Auskunft zu Beschäftigungsrenten über isländische Rentenversicherung; Volksrente häufig nicht VA-relevant. </t>
  </si>
  <si>
    <t>Israel</t>
  </si>
  <si>
    <t xml:space="preserve">Keine Auskunft zu Rentenanwartschaften. </t>
  </si>
  <si>
    <t>gesetzliche Rentenversicherung (INPS u. a.)</t>
  </si>
  <si>
    <t>Auskunft über DRV möglich; Versicherte können zusätzlich allgemeine italienische Rentenauskunft anfordern.</t>
  </si>
  <si>
    <t>Japan</t>
  </si>
  <si>
    <t>National Pension / Employees’ Pension Insurance</t>
  </si>
  <si>
    <t xml:space="preserve">Keine spezifische VA-Auskunft; Probeberechnung der Altersrente auf Antrag möglich. </t>
  </si>
  <si>
    <t>CPP / QPP; Volksrente</t>
  </si>
  <si>
    <t>Allgemeine Rentenauskunft möglich; teils Vollmacht/gerichtliches Ersuchen erforderlich; Volksrente meist nicht VA-relevant.</t>
  </si>
  <si>
    <t>Korea</t>
  </si>
  <si>
    <t>Kosovo</t>
  </si>
  <si>
    <t>Keine Auskunft zu kroatischen Anwartschaften.</t>
  </si>
  <si>
    <t>staatliche Altersversicherung + betriebliche Kassen</t>
  </si>
  <si>
    <t>Regelmäßige Auskunft, typischerweise über DRV.</t>
  </si>
  <si>
    <t xml:space="preserve">Auskunft über DRV; zusätzlich allgemeine Rentenprognose möglich. </t>
  </si>
  <si>
    <t>CNAP (Caisse Nationale d’Assurance Pension)</t>
  </si>
  <si>
    <t>Kooperation im Rahmen der EU-Koordinierung; Auskünfte können über DRV laufen.</t>
  </si>
  <si>
    <t>Verfahren nicht konkret beschrieben („zurzeit nicht bekannt“); Tabellenfeld ohne Status.</t>
  </si>
  <si>
    <t>Marokko</t>
  </si>
  <si>
    <t>Auskunft möglich</t>
  </si>
  <si>
    <t>Mexiko</t>
  </si>
  <si>
    <t>staatliche Rentenversicherung(en)</t>
  </si>
  <si>
    <t xml:space="preserve">Familiengericht kann Auskunft direkt bei zuständiger mexikanischer Stelle einholen. </t>
  </si>
  <si>
    <t>Moldau</t>
  </si>
  <si>
    <t>Verfahren faktisch offen.</t>
  </si>
  <si>
    <t>Montenegro</t>
  </si>
  <si>
    <t>Tabelle: keine Auskunft; Erläuterungsdokument nennt teils Anfragen über DRV (uneinheitliche Aussagen).</t>
  </si>
  <si>
    <t>SVB (AOW) / Pensionsfonds (z. B. ABP)</t>
  </si>
  <si>
    <t>AOW meist nicht VA-relevant; Auskünfte zu Pensionsfonds über Verbindungsstellen, Verfahren teils langwierig.</t>
  </si>
  <si>
    <t>Nordmazedonien</t>
  </si>
  <si>
    <t xml:space="preserve">Erläuterungsdokument: Auskunft über DRV vorgesehen. </t>
  </si>
  <si>
    <t>NAV (Volks- und einkommensabhängige Rente)</t>
  </si>
  <si>
    <t>Auskunft im Rahmen von Sozialversicherungsabkommen; Volksrente ggf. nicht VA-relevant.</t>
  </si>
  <si>
    <t>Pensionsversicherungsanstalt (PVA)</t>
  </si>
  <si>
    <t>Regelmäßige Kooperation; Einholung über DRV mit Einverständnis des Versicherten.</t>
  </si>
  <si>
    <t>Philippinen</t>
  </si>
  <si>
    <t>SSS/GSIS (staatliche Rentensysteme)</t>
  </si>
  <si>
    <t>nicht auskunftsbereit aufgeführt.</t>
  </si>
  <si>
    <t>allgemeines staatliches Rentensystem</t>
  </si>
  <si>
    <t>Tabelle: „Nein“; Erläuterungsdokument beschreibt Sonderregelung, praktisch jedoch kaum belastbare Auskunftsbeschaffung.</t>
  </si>
  <si>
    <t>landwirtschaftliches Versicherungssystem</t>
  </si>
  <si>
    <t>Für landwirtschaftliche Anrechte Auskunft möglich; zahlreiche Nachweise erforderlich.</t>
  </si>
  <si>
    <t>Tabelle: „Ja“; frühere Darstellung eher zurückhaltend – Praxis scheint kooperativ.</t>
  </si>
  <si>
    <t>Tabelle: keine Auskunft; Erläuterungsdokument sieht zwar Anfragen über DRV vor, Kooperation jedoch unsicher.</t>
  </si>
  <si>
    <t>Russland</t>
  </si>
  <si>
    <t xml:space="preserve">Spezialverfahren; Auskunft nur bei sehr detaillierten Angaben des Gerichts, praktische Umsetzung schwierig. </t>
  </si>
  <si>
    <t>Pensionsmyndigheten</t>
  </si>
  <si>
    <t>EU-Koordinierung; laut Tabelle regelmäßige Auskunft durch Pensionsmyndigheten.</t>
  </si>
  <si>
    <t>AHV / Pensionskasse (BVG)</t>
  </si>
  <si>
    <t>Auskunft zu AHV/BVG, teils über Zentrale Ausgleichsstelle (ZAS) in Genf.</t>
  </si>
  <si>
    <t>Serbien</t>
  </si>
  <si>
    <t>Auskunftserteilung über DRV auf Grundlage EU-Recht.</t>
  </si>
  <si>
    <t>Keine Auskunft; VA-Bewertung regelmäßig nicht möglich.</t>
  </si>
  <si>
    <t>Keine Auskunft zu spanischen Anwartschaften.</t>
  </si>
  <si>
    <t>Tabelle: „Nein“; frühere sinngemäße Annahme einer Kooperation bestätigt sich nicht.</t>
  </si>
  <si>
    <t>Tunesien</t>
  </si>
  <si>
    <t>Türkei</t>
  </si>
  <si>
    <t>Keine Auskunft zu türkischen Anwartschaften.</t>
  </si>
  <si>
    <t>Ukraine</t>
  </si>
  <si>
    <t>Tabellenfeld leer; Verfahren derzeit nicht dokumentiert.</t>
  </si>
  <si>
    <t>Tabelle: „Nein“; Erläuterungsdokument: Verfahren „zurzeit nicht bekannt“.</t>
  </si>
  <si>
    <t>DWP (State Pension) / private pensions</t>
  </si>
  <si>
    <t>Kooperation möglich, aber ohne rechtliche Verpflichtung; keine Auskünfte über DRV, ggf. direkte Anfragen/Initiative der Versicherten.</t>
  </si>
  <si>
    <t>Uruguay</t>
  </si>
  <si>
    <t xml:space="preserve">Erläuterungsdokument: Verfahren „zurzeit nicht bekannt“; keine verlässliche Kooperation. </t>
  </si>
  <si>
    <t>Social Security Administration (SSA) – Social Security</t>
  </si>
  <si>
    <t>Keine Auskunftspflicht; Kooperation teils problematisch, gerichtliche Ersuchen und SSA-Eigenauskünfte/Online-Rechner maßgeblich.</t>
  </si>
  <si>
    <t>Defense Finance and Accounting Service (DFAS) – Militärpensionen</t>
  </si>
  <si>
    <t>Kooperation bei Scheidungsverfahren, insbesondere auf Grundlage eines Gerichtsbeschlusses.</t>
  </si>
  <si>
    <t>Erläuterungsdokument: Verfahren „zurzeit nicht bekannt“; keine näheren Hinweise.</t>
  </si>
  <si>
    <t>Auskunft erteilende Staaten</t>
  </si>
  <si>
    <t>1. Säule – Staatliche Rente (Art/Finanzierung)</t>
  </si>
  <si>
    <t>2. Säule – Betriebliche Vorsorge</t>
  </si>
  <si>
    <t>3. Säule – Private Vorsorge</t>
  </si>
  <si>
    <t>Umlagefinanzierte gesetzliche Rente</t>
  </si>
  <si>
    <t>Freiwillig, tarif-/arbeitgeberbasiert; verbreitet in größeren Firmen</t>
  </si>
  <si>
    <t>Steuerlich geförderte private Renten/Versicherungen</t>
  </si>
  <si>
    <t>Umlage + obligatorische kapitalgedeckte Konten für Jüngere</t>
  </si>
  <si>
    <t>Obligatorische/optionale Fonds für bestimmte Gruppen</t>
  </si>
  <si>
    <t>Steuerbegünstigte private Fonds/Versicherungen</t>
  </si>
  <si>
    <t>Steuerfinanzierte Grundrente (Folkepension) + ATP (kapitalgedeckt, quasi-Pflicht)</t>
  </si>
  <si>
    <t>Tarifbasierte, de-facto obligatorische Betriebsrenten; sehr hohe Abdeckung</t>
  </si>
  <si>
    <t>Individuelle, steuerlich geförderte Sparformen</t>
  </si>
  <si>
    <t>Umlagefinanzierte GRV + Grundsicherung im Alter</t>
  </si>
  <si>
    <t>Freiwillig (Direktzusagen, Pensionskassen/-fonds), staatlich gefördert</t>
  </si>
  <si>
    <t>Riester/Rürup und sonstige private Produkte, steuerlich gefördert</t>
  </si>
  <si>
    <t>Umlagefinanzierte Basis + reformiertes kapitalgedecktes Pflicht-/Opt-out-System</t>
  </si>
  <si>
    <t>Betriebliche Modelle vorhanden, nicht obligatorisch</t>
  </si>
  <si>
    <t>Freiwillige kapitalgedeckte Produkte</t>
  </si>
  <si>
    <t>Gesetzliche Erwerbsrenten (beitragsbezogen, teils fondsunterlegt) + Garantierente</t>
  </si>
  <si>
    <t>Verbreitet, meist freiwillig</t>
  </si>
  <si>
    <t>Steuerlich geförderte private Vorsorge</t>
  </si>
  <si>
    <t>Umlage: Grundrente + obligatorische Zusatzkassen (Agirc-Arrco)</t>
  </si>
  <si>
    <t>Zusätzliche Betriebsrenten möglich (obligatorische Kassen decken vieles ab)</t>
  </si>
  <si>
    <t>PER (Plan d’Épargne Retraite) u. a., steuerbegünstigt</t>
  </si>
  <si>
    <t>Umlagefinanzierte gesetzliche Rente (mit Reformen)</t>
  </si>
  <si>
    <t>Freiwillige betriebliche Pläne begrenzt verbreitet</t>
  </si>
  <si>
    <t>Steuerbegünstigte private Vorsorge</t>
  </si>
  <si>
    <t>Steuerfinanzierte State Pension (contributory/non-contributory)</t>
  </si>
  <si>
    <t>Auto-Enrolment im Aufbau; bisher freiwillig</t>
  </si>
  <si>
    <t>Weit verbreitete private Pensions (PRSA, Personal Pensions)</t>
  </si>
  <si>
    <t>Umlage (NDC-ähnlich) + Mindestsicherung</t>
  </si>
  <si>
    <t>TFR (Abfertigung) lenkbar in Fonds; freiwillig</t>
  </si>
  <si>
    <t>Private Pensionsfonds/Lebensversicherungen, steuerlich begünstigt</t>
  </si>
  <si>
    <t>Umlage (I. Säule) + obligatorische kapitalgedeckte II. Säule</t>
  </si>
  <si>
    <t>Betriebliche Pläne vorhanden, nicht Pflicht</t>
  </si>
  <si>
    <t>Freiwillige III.-Säule-Fonds</t>
  </si>
  <si>
    <t>Umlage (NDC) + obligatorische kapitalgedeckte II. Säule</t>
  </si>
  <si>
    <t>Betriebliche Pläne möglich, geringe Abdeckung</t>
  </si>
  <si>
    <t>Freiwillige private Fonds</t>
  </si>
  <si>
    <t>Umlage + opt-in/opt-out kapitalgedeckte Säule</t>
  </si>
  <si>
    <t>Betriebliche Pläne im Aufbau, nicht Pflicht</t>
  </si>
  <si>
    <t>Freiwillige private Sparformen</t>
  </si>
  <si>
    <t>Freiwillige betriebliche Pläne (teils verbreitet)</t>
  </si>
  <si>
    <t>Steuerlich geförderte private Produkte</t>
  </si>
  <si>
    <t>Betriebliche Pläne möglich; begrenzte Abdeckung</t>
  </si>
  <si>
    <t>Private Renten/Versicherungen, steuerlich gefördert</t>
  </si>
  <si>
    <t>Steuerfinanzierte Grundrente (AOW)</t>
  </si>
  <si>
    <t>Weitgehend obligatorische/tarifgebundene Betriebsrenten; sehr hohe Abdeckung</t>
  </si>
  <si>
    <t>Ergänzende private Vorsorge</t>
  </si>
  <si>
    <t>Umlagefinanzierte gesetzliche Pension</t>
  </si>
  <si>
    <t>Kollektivverträge/Pensionskassen, freiwillig</t>
  </si>
  <si>
    <t>Private Zusatzpensionen/Versicherungen, steuerbegünstigt</t>
  </si>
  <si>
    <t>Umlage (ZUS) + Kapitalbestandteile (Reformen/PPK)</t>
  </si>
  <si>
    <t>PPK (Auto-Enrolment) für Arbeitnehmer</t>
  </si>
  <si>
    <t>IKZE/IGE/IO u. a. private Produkte</t>
  </si>
  <si>
    <t>Freiwillige Betriebsrenten/Fonds, selektive Abdeckung</t>
  </si>
  <si>
    <t>Private PPR-Produkte, steuerlich gefördert</t>
  </si>
  <si>
    <t>Umlage (I) + obligatorische kapitalgedeckte II. Säule</t>
  </si>
  <si>
    <t>Betriebliche Pläne möglich, begrenzte Verbreitung</t>
  </si>
  <si>
    <t>Garantierente (steuerfinanziert) + einkommensbezogene NDC + obligatorische Prämienrente (fondsgebunden)</t>
  </si>
  <si>
    <t>Tarifliche Betriebsrenten; sehr hohe Abdeckung (quasi Pflicht)</t>
  </si>
  <si>
    <t>Private, steuerbegünstigte Produkte</t>
  </si>
  <si>
    <t>Umlage (I) + kapitalgedeckte II. Säule (Opt-in/-out Wellen)</t>
  </si>
  <si>
    <t>Freiwillige betriebliche Zusatzrenten (steuerlich gefördert)</t>
  </si>
  <si>
    <t>Private Zusatzvorsorge</t>
  </si>
  <si>
    <t>Betriebliche Pläne im Ausbau (inkl. kollektiver Fonds); traditionell geringe Abdeckung</t>
  </si>
  <si>
    <t>Private Pensionspläne, steuerlich gefördert</t>
  </si>
  <si>
    <t>Betriebliche Pläne begrenzt</t>
  </si>
  <si>
    <t>Staatlich geförderte private Pensionsprodukte</t>
  </si>
  <si>
    <t>Umlage (Rückführung früherer II. Säule), Mindestsicherung</t>
  </si>
  <si>
    <t>Betriebliche Pläne möglich, begrenzt</t>
  </si>
  <si>
    <t>Umlagefinanzierte gesetzliche Rente + Sozialrente</t>
  </si>
  <si>
    <t>Betriebliche/berufsständische Pläne verbreitet, meist freiwillig</t>
  </si>
  <si>
    <t>Private Vorsorge, steuerlich gefördert</t>
  </si>
  <si>
    <t>EU-Broschüren zu Sozialsystemen der EU-Staaten</t>
  </si>
  <si>
    <t>5-Jahresdurchschnitt</t>
  </si>
  <si>
    <t xml:space="preserve">Nr. </t>
  </si>
  <si>
    <t>Sonstiges</t>
  </si>
  <si>
    <t>Witwen- bzw. Witwerrente (Vdovský/vdovecký důchod):
Die Rente wird für ein Jahr ab dem Zeitpunkt des Todes des Ehepartners gewährt. Danach wird diese Leistung nur an Hinterbliebene gewährt, die das gesetzliche Rentenalter erreicht haben oder 4 Jahre vom gesetzlichen Rentenalter entfernt sind, sowie an Hinterbliebene mit Invalidität dritten Grades oder Hinterbliebene, die für:
   * ein unterhaltsberechtigtes Kind ;
   * ein überwiegend oder vollständig pflegebedürftiges Kind;
   * den im selben Haushalt lebenden, überwiegend oder vollständig unterhaltsberechtigten Elternteil oder Schwiegerelternteil des Kindes sorgen.
Der Anspruch auf eine Witwen- oder Witwerrente kann innerhalb von fünf Jahren nach Ablauf des vorherigen Anspruchs wiederhergestellt werden, wenn eine der gesetzlichen Voraussetzungen erfüllt ist.
Die Hinterbliebenenrente kann ohne Einschränkung mit Erwerbseinkommen kombiniert werden.</t>
  </si>
  <si>
    <t>Grundbetrag (Základní složka): Pauschale (10% des nationalen monatlichen Bruttodurchschnittslohns) von CZK 4.660 (€188) monatlich.
Prozentualer Betrag (Procentní část): 50% des prozentualen Betrags der Alters- oder Invalidenrente, auf den der Verstorbene Anspruch hatte oder gehabt hätte.
Die Leistung ist nicht bedürftigkeitsabhängig.
Die Rente wird für einen Zeitraum von einem Jahr ab dem Todesdatum des Ehepartners gewährt. Danach wird sie nur Hinterbliebenen bewilligt, die das gesetzliche Renteneintrittsalter erreicht haben oder denen höchstens 4 Jahre bis zum gesetzlichen Renteneintrittsalter für Männer fehlen, Hinterbliebenen, die an einer Erwerbsunfähigkeit 3. Grades leiden oder Hinterbliebenen, die folgende Personen versorgen:
   * ein unterhaltsberechtigtes Kind ;
   * ein überwiegend oder vollständig pflegebedürftiges Kind;
   * dessen überwiegend oder vollständig pflegebedürftiges Elternteil, das im selben Haushalt lebt.
Anspruch auf Hinterbliebenenrente erwächst erneut, wenn sämtliche oben dargelegten Bedingungen innerhalb von 5 Jahren nach Auslaufen des vorherigen Anspruchs auf diese Rente erfüllt werden.
Zahlungen erfolgen monatlich.
Keine zusätzlichen Zahlungen.</t>
  </si>
  <si>
    <t>Grundsätzlich keine Ausnahmen.
Bestimmte Arten von Ergänzungsvereinbarungen zu Arbeitsverträgen sind von der obligatorischen Sozialversicherungsdeckung ausgenommen:
   * Beschäftigung mit Bruttoeinkünften unterhalb CZK 4.500 (€182) monatlich.
   * “Übereinkünfte über das Beenden eines Auftrags” (Dohoda o provedení práce), d.h. Arbeitsverträge für die Beendigung eines bestimmten Auftrags mit höchstens 300 Arbeitsstunden in einem Kalenderjahr sind von der obligatorischen Sozialversicherungsdeckung ausgenommen, wenn die monatlichen Bruttoeinkünfte geringer sind als CZK 11.500 (€465).</t>
  </si>
  <si>
    <t>Männer: 64 Jahre und 4 Monate.
Frauen: abhängig von der Anzahl der großgezogenen Kinder:
   * keine Kinder: 64 Jahre und 4 Monate;
   * 1 Kind: 64 Jahre und 2 Monate ;
   * 2 Kinder: 63 Jahre und 2 Monate ;
   * 3 oder 4 Kinder: 62 Jahre und 2 Monate;
   * 5 oder mehr Kinder: 61 Jahre und 2 Monate.
Das gesetzliche Renteneintrittsalter für Männer wird schrittweise jedes Jahr um 2 Monate bis auf 65 Jahre erhöht und danach um 1 Monat pro Jahr, bis 67 Jahre erreicht sind.
Das gesetzliche Renteneintrittsalter für Frauen wird jedes Jahr um 6 Monate erhöht, bis das Renteneintrittsalter der Männer erreicht wurde. Danach beträgt die Erhöhung ebenfalls 2 Monate pro Jahr, bis 65 Jahre erreicht sind und danach um 1 Monat pro Jahr, bis 67 Jahre erreicht sind.
Siehe weiter unten „2. Mindestversicherungszeit und andere Bedingungen für den Bezug einer Altersrente“ für sonstige Bedingungen für den Anspruch auf Altersrente.</t>
  </si>
  <si>
    <t>Staat</t>
  </si>
  <si>
    <t>Die Einzelwerte stammen aus den jeweiligen FRED-Ländertabellen, u. a. für Österreich, Belgien, Bulgarien, Kroatien, Zypern, Tschechien, Deutschland, Estland, Ungarn, Irland, Italien, Lettland, Litauen, Luxemburg, Malta, Niederlande, Polen, Portugal, Rumänien, Schweden, Slowakei, Slowenien und Spanien. (FRED)</t>
  </si>
  <si>
    <t>CAGR</t>
  </si>
  <si>
    <r>
      <t xml:space="preserve">Die Rente besteht aus zwei Elementen:
   * Grundbetrag (Základní složka): Pauschale (10% des nationalen monatlichen Bruttodurchschnittslohns) von CZK 4.660 (€188) monatlich.
   * Prozentualer Betrag (Procentní část): Einkommensabhängiges Element berechnet auf der Basis der Persönlichen Bemessungsgrundlage (Osobní vyměřovací základ) (siehe unten „Referenzentgelte und Berechnungsgrundlage“) und der Anzahl der Versicherungsjahre.
</t>
    </r>
    <r>
      <rPr>
        <b/>
        <sz val="11"/>
        <color rgb="FF000000"/>
        <rFont val="Calibri"/>
        <family val="2"/>
      </rPr>
      <t xml:space="preserve">Die Formel für den prozentualen Betrag variiert abhängig von der Art der Rente:
</t>
    </r>
    <r>
      <rPr>
        <sz val="11"/>
        <color rgb="FF000000"/>
        <rFont val="Calibri"/>
        <family val="2"/>
      </rPr>
      <t xml:space="preserve">   * Invaliditätsrente dritten Grades (Invalidní důchod třetího stupně): 1,5% der reduzierten Persönlichen Bemessungsgrundlage pro Versicherungsjahr, keine Höchstgrenze;
   * Invaliditätsrente zweiten Grades (Invalidní důchod druhého stupně): die Hälfte des prozentualen Betrags für Invaliditätsrente dritten Grades;
   * Invaliditätsrente ersten Grades (Invalidní důchod prvního stupně): ein Drittel des prozentualen Betrags für Invaliditätsrente dritten Grades;
   * Leistung für von Jugend an arbeitsunfähige Personen: 45% der jährlichen allgemeinen Bemessungsgrundlage (die auf dem nationalen monatlichen Durchschnittsverdienst analog zur Berechnung der Persönlichen Bemessungsgrundlage für das dem Anspruch auf Rente vorangegangene Jahr beruht (siehe unten „Referenzentgelte und Berechnungsgrundlage);
   * Diese Formel wird auch für Personen angewandt, die für mindestens 15 Jahre (ohne angerechnete Versicherungsjahre) versichert waren und (in einigen Fällen) für Personen unter 28 Jahren, deren Rente andernfalls geringer wäre.
Die Rente wird monatlich ausgezahlt.</t>
    </r>
  </si>
  <si>
    <t>Berechnungsdatum (nach § 24 VersAusglG ist der Zeitwert d. AusglWerts)</t>
  </si>
  <si>
    <t>Grundlagen</t>
  </si>
  <si>
    <t xml:space="preserve">Als invalide gilt ein Arbeitnehmer, der infolge von Krankheit oder Behinderung nicht mehr als ein Drittel des normalen Einkommens eines Arbeitnehmers gleicher Kategorie und gleicher Ausbildung erzielen kann.
Es gibt folglich drei Bedingungen, um als arbeitsunfähig anerkannt zu werden:
   * die vollständige Einstellung der Tätigkeit aus gesundheitlichen Gründen;
   * die Einstellung muss die Folge des Auftretens von Verletzungen oder Funktionsstörungen oder der Verschlimmerung von Verletzungen oder Funktionsstörungen sein;
   * zu mehr als 66 % in Bezug auf den zuletzt ausgeübten Beruf und alle zuvor ausgeübten Berufe, oder die mit einer Ausbildung hätten ausgeübt werden können, als arbeitsunfähig anerkannt sein. 
</t>
  </si>
  <si>
    <t>Nach dem 1. Jahr der Arbeitsunfähigkeit
   * der Vertrauensarzt des Versicherungsträgers kann dem medizinischen Invalidenausschuss vorschlagen, die Arbeitsunfähigkeit zu verlängern oder zu beenden; 
   * der Invalidenausschuss kann die Arbeitsunfähigkeit auf Vorschlag des Vertrauensarztes verlängern oder beenden. 
Bewertung auf der Grundlage von Artikel 100 des koordinierten Gesetzes von 1994.
Gleiche Verfahren und Kriterien für das gesamte Land.
Möglichkeit der Einlegung einer Beschwerde gegen die Entscheidung über die Beendigung der Arbeitsunfähigkeit beim Arbeitsgericht des Wohnsitzes innerhalb der folgenden 3 Monate nach Mitteilung der Beendigung der Arbeitsunfähigkeit.</t>
  </si>
  <si>
    <t>Normaler Betrag:
   * Für Berechtigte mit Unterhaltsverpflichtungen: 65% des entgangenen Einkommens (mit Höchstgrenze), 
   * Für Alleinstehende (oder als alleinstehend geltende Personen), 55%; 
   * Haushaltsmitglied ohne Unterhaltsverpflichtungen: 40%. 
Die Zahlung erfolgt monatlich.
Für Arbeitnehmer: entgangenes tägliches Arbeitseinkommen: Bruttogehalt des letzten Tages des 2. Kalenderquartals, das dem des Risikos oder des letzten Bruttogehalts vorausgeht.
Für Arbeitslose: entgangenes Einkommen: begrenztes tägliches Bruttogehalt, auf dessen Grundlage das Arbeitslosengeld berechnet wird.
Grundsätzlich keine Kumulierung mit anderen Sozialversicherungsleistungen (siehe Kumulierung mit anderen Leistungen der sozialen Sicherheit) und dem Erwerbseinkommen möglich.
Es erfolgen keine zusätzlichen Zahlungen.
Eine Art „Urlaubsgeld“ (Ausgleichsprämie) wird im Mai an bestimmte erwerbsunfähige Personen gezahlt. Bei der Prämie handelt es sich um einen Pauschalbetrag.</t>
  </si>
  <si>
    <t xml:space="preserve">   * Versichertes Mitglied 
   * 180 Arbeitstage oder diesen gleichgestellte Tage und Wartezeit von zwölf Monaten. 
   * Entrichtung von Beiträgen für den Zweig Entschädigungsversicherung. </t>
  </si>
  <si>
    <t xml:space="preserve">   * Die Ehe muss seit mindestens einem Jahr bestehen, oder Dauer der gesetzlichen Ehe oder Lebensgemeinschaft ein Jahr (außer wenn aus der Ehe ein Kind hervorgegangen ist oder ein Kind unterhalten wird oder wenn der Tod Folge eines Unfalls oder einer nach der Eheschließung eingetretenen Berufskrankheit ist).
   * Das Alter von 50 Jahren muss erreicht sein, und das Sterbedatum muss im Jahr 2025 liegen (für die Hinterbliebenenrente); ist diese Bedingung nicht erfüllt, hat der überlebende Ehepartner Anspruch auf Übergangsgeld;
   * (für die Hinterbliebenenrente) darf der Ehepartner außer genehmigter Arbeit keiner Erwerbstätigkeit nachgehen.
   * Der Ehepartner darf bei der Beantragung der Hinterbliebenenrente nicht wieder verheiratet sein. </t>
  </si>
  <si>
    <t xml:space="preserve">   * Hinterbliebener Ehepartner (einschl. Getrenntlebender). 
   * Keine andere Gruppe. </t>
  </si>
  <si>
    <t>Berechnung der Leistung: Hinterbliebener Ehepartner (Hinterbliebenenrente und Übergangsgeld): 80% der tatsächlichen Ruhestandsrente (pension de retraite/rustpensioen) oder der hypothetischen Rente des Versicherten, wenn dieser eine Rente erhält, die zum Haushaltssatz berechnet wurde.
Erhielt der verstorbene Ehepartner eine nach dem isolierten Satz berechnete Altersrente, entspricht die Höhe der Hinterbliebenenrente der Rente des verstorbenen Ehepartners.
Warder verstorbene Ehepartner kein Rentner, so wird die Hinterbliebenenrente unter Anwendung besonderer Regeln für die berufliche Entwicklung und die Begrenzung der Hinterbliebenenrente als Altersrente berechnet.
Bei der Berechnung des Übergangsgelds kommen dieselben Regeln wie bei der Berechnung der Hinterbliebenenrente zur Anwendung, wenn der verstorbene Ehepartner noch kein Rentner war.
Die Dauer der Leistung des Übergangsgelds richtet sich nach der familiären Situation bei Versterben des Ehepartners.
Das Übergangsgeld wird über folgende Dauer ausgezahlt: 18 Monate (ohne unterhaltsberechtigtes Kind);   36 Monate (alle unterhaltsberechtigten Kinder waren mindestens 13 Jahre alt);  Monate, wenn mindestens ein Kind im Alter von unter 13 Jahren unterhaltsberechtigt war oder48  wenn mindestens ein unterhaltsberechtigtes Kind Behinderungen aufwies oder wenn ein Kind in den 300 Tagen nach dem Todesfall geboren wurde. 
Die Leistungen werden monatlich ausgezahlt und unterliegen keinerlei Einkommensbedingungen.
Ledigich im Rahmen der Hinterbliebenenrente wird ein Urlaubsgeld einmal jährlich ausgezahlt.</t>
  </si>
  <si>
    <t>gesch.Hinterbliebene</t>
  </si>
  <si>
    <t>Dynamisierung</t>
  </si>
  <si>
    <t>Text1</t>
  </si>
  <si>
    <t>Text2</t>
  </si>
  <si>
    <t>Text3</t>
  </si>
  <si>
    <t>Text4</t>
  </si>
  <si>
    <t>Volksrente (Perhe-eläke): wird hinterbliebenen Ehepartnern, Partnern und zusammenlebenden Partnern unter 65 Jahren jeden Monat gezahlt.
In den ersten 6 Monaten erhielt der hinterbliebene Partner im Jahr 2025 €387,11 monatlich (volle Sätze; Anpassung an die Dauer des Wohnsitzes des Verstorbenen in Finnland).
Nach Ablauf der 6 Monate wird die Rente mit einem Grundbetrag von €121,25 und einer Zulage zwischen €544,51 und €629,33 im Monat gezahlt, falls der hinterbliebene Ehegatte ein Kind unter 18 Jahren unterhält (volle Beträge; angepasst an die Dauer des Wohnsitzes des Verstorbenen in Finnland). Die Höhe der Zulage ist abhängig von anderen Einkommen und dem Personenstand. Ist kein Kind vorhanden, wird nur die Zulage gezahlt, deren Höhe von anderem Einkommen abhängt.
Die Dauer der Zahlung ist:
   * Für Witwen und Witwer und hinterbliebene Partner einer eingetragenen Lebenspartnerschaft, die im Jahr 1975 oder später geboren wurden: 10 Jahre, sofern ein Kind vorhanden ist, bis zu dessen Erreichen des 18. Lebensjahres.
   * Für zusammenlebende Lebenspartner: bis das Kind 18 Jahre alt ist.
Monatliche Zahlungen, 12 Mal im Jahr. Keine zusätzlichen Zahlungen.
Mehrere Faktoren beeinflussen das Anrecht und den Betrag der Volksrente, wie etwa:
   * die Dauer des Wohnsitzes des Verstorbenen in Finnland;
   * die Rente und alle sonstigen Einkünfte des hinterbliebenen Ehegatten. Die Volksrente wird nicht gezahlt, wenn der Betrag der sonstigen Einkünfte im Jahr 2025 €1.139,38—€1.324,88 pro Monat überstieg, je nachdem, ob der Ehepartner allein lebt oder Kinder unter 18 Jahren hat;
   * und die familiären Umstände (ob der hinterbliebene Ehegatte ein Kind unter 18 Jahren versorgt und einen neuen Partner hat oder wieder geheiratet hat).
Gesetzliche einkommensbezogene Rente (Työeläke):
Die Rente beträgt in Abhängigkeit von der Anzahl der anspruchsberechtigten Kinder zwischen 17% und 50% der Rente der verstorbenen Person. Wenn die Witwe bzw. der Witwer und zwei Kinder anspruchsberechtigt sind, ist die Höhe der Rente gleich der Rente, die der/die Verstorbene bezogen hat.
Die Waisenrente wird gezahlt bis zum Alter von 20 Jahren. Erreicht eines der Kinder die Altersgrenze für die Waisenrente, werden die Anteile unter den verbleibenden Begünstigten aufgeteilt.
Wenn der/die Verstorbene zum Zeitpunkt des Todes nicht im Ruhestand war, wird zur Berechnung der Hinterbliebenenrente die Invaliditätsrente herangezogen, auf die der/die Verstorbene zum Zeitpunkt des Todes Anspruch gehabt hätte. Bei Witwen bzw. Witwern wird die Hinterbliebenenrente mit der eigenen Alters- oder vorgezogenen Rente zusammengefasst. Bei Überschreiten eines bestimmten Betrags (€836,50) wird die Hinterbliebenenrente gekürzt. Diese errechnet sich aus folgender Formel: 50% der Rente der verstorbenen Person – 50% der eigenen Rente der hinterbliebenen Person – Grundbetrag. Die Leistung unterliegt keinem Bedürftigkeitsnachweis und wird monatlich gezahlt.
Ein hinterbliebener Ehepartner, der mit der verstorbenen Person verheiratet war, erhält die Hinterbliebenenrente für den Rest seines/ihres Lebens, sofern der verstorbene Ehepartner vor 1975 geboren wurde oder wenn der Ehepartner vor dem 1. Januar 2022 verstorben ist. Generell erhalten hinterbliebene Ehepartner, die im Jahr 1975 oder später geboren wurden, Hinterbliebenenrente für einen Zeitraum von 10 Jahren. Die Hinterbliebenenrente wird jedoch in jedem Fall gezahlt, bis das jüngste Kind, das Waisenrente erhält, 18 Jahre alt wird.
Geschiedener Ehegatte: Die Witwenrente wird geteilt. Der Teil, der an den früheren Ehepartner geht, hängt von der Höhe der bisherigen Unterhaltszahlung ab.</t>
  </si>
  <si>
    <t>=jährlich:</t>
  </si>
  <si>
    <r>
      <t>L</t>
    </r>
    <r>
      <rPr>
        <vertAlign val="subscript"/>
        <sz val="11"/>
        <color rgb="FF000000"/>
        <rFont val="Calibri"/>
        <family val="2"/>
      </rPr>
      <t>Pfl</t>
    </r>
    <r>
      <rPr>
        <sz val="11"/>
        <color rgb="FF000000"/>
        <rFont val="Calibri"/>
        <family val="2"/>
      </rPr>
      <t>/L</t>
    </r>
    <r>
      <rPr>
        <vertAlign val="subscript"/>
        <sz val="11"/>
        <color rgb="FF000000"/>
        <rFont val="Calibri"/>
        <family val="2"/>
      </rPr>
      <t>Ber</t>
    </r>
  </si>
  <si>
    <t>Ehezeitende</t>
  </si>
  <si>
    <r>
      <t>Versorgung enthält</t>
    </r>
    <r>
      <rPr>
        <b/>
        <sz val="11"/>
        <color rgb="FF000000"/>
        <rFont val="Calibri"/>
        <family val="2"/>
      </rPr>
      <t xml:space="preserve"> Invaliditätsabsicherung</t>
    </r>
    <r>
      <rPr>
        <sz val="11"/>
        <color rgb="FF000000"/>
        <rFont val="Calibri"/>
        <family val="2"/>
      </rPr>
      <t xml:space="preserve"> (Nr. 5ff.)</t>
    </r>
  </si>
  <si>
    <r>
      <t xml:space="preserve">Versorgung enthält </t>
    </r>
    <r>
      <rPr>
        <b/>
        <sz val="11"/>
        <color rgb="FF000000"/>
        <rFont val="Calibri"/>
        <family val="2"/>
      </rPr>
      <t>Hinterbliebenenabsicherung</t>
    </r>
    <r>
      <rPr>
        <sz val="11"/>
        <color rgb="FF000000"/>
        <rFont val="Calibri"/>
        <family val="2"/>
      </rPr>
      <t xml:space="preserve"> (Nr. 75ff.)</t>
    </r>
  </si>
  <si>
    <r>
      <rPr>
        <b/>
        <sz val="11"/>
        <color rgb="FF000000"/>
        <rFont val="Calibri"/>
        <family val="2"/>
      </rPr>
      <t>Dynamisierung der Versorgungsleistungen</t>
    </r>
    <r>
      <rPr>
        <sz val="11"/>
        <color rgb="FF000000"/>
        <rFont val="Calibri"/>
        <family val="2"/>
      </rPr>
      <t xml:space="preserve"> (Nr. 21, 57, 91)</t>
    </r>
  </si>
  <si>
    <r>
      <rPr>
        <b/>
        <sz val="11"/>
        <color rgb="FF000000"/>
        <rFont val="Calibri"/>
        <family val="2"/>
      </rPr>
      <t xml:space="preserve">Steuerabgaben </t>
    </r>
    <r>
      <rPr>
        <sz val="11"/>
        <color rgb="FF000000"/>
        <rFont val="Calibri"/>
        <family val="2"/>
      </rPr>
      <t>auf Renten (Nr. 60)</t>
    </r>
  </si>
  <si>
    <r>
      <rPr>
        <b/>
        <sz val="11"/>
        <color rgb="FF000000"/>
        <rFont val="Calibri"/>
        <family val="2"/>
      </rPr>
      <t>Sozialabgaben</t>
    </r>
    <r>
      <rPr>
        <sz val="11"/>
        <color rgb="FF000000"/>
        <rFont val="Calibri"/>
        <family val="2"/>
      </rPr>
      <t xml:space="preserve"> auf Renten (Nr. 62)</t>
    </r>
  </si>
  <si>
    <t xml:space="preserve">       ./. Sozialabgaben in %</t>
  </si>
  <si>
    <t xml:space="preserve">       ./. Steuern in %</t>
  </si>
  <si>
    <t>Abfindungsbetrag Methode 3</t>
  </si>
  <si>
    <t xml:space="preserve">pauschaler Sozialversicherungsabschlag in % </t>
  </si>
  <si>
    <t>Grundinformationen zu der auszugleichenden Altersversorgung</t>
  </si>
  <si>
    <t>Liste der Doppelbesteuerungsabkommen hier klicken</t>
  </si>
  <si>
    <t>Nach der BMF-Übersicht zum Stand 1. Januar 2026 bestehen mit folgenden europäischen Staaten DBA auf dem Gebiet der Steuern vom Einkommen und vom Vermögen. Grundlage ist Abschnitt I.1 „Geltende Abkommen“ der BMF-Tabelle; Belarus und Russland sind mit Sonderhinweisen zu lesen. (Bundesministerium der Finanzen)</t>
  </si>
  <si>
    <t>Europäisches Land</t>
  </si>
  <si>
    <t>DBA gelistet</t>
  </si>
  <si>
    <t>Armenien</t>
  </si>
  <si>
    <t>Aserbaidschan</t>
  </si>
  <si>
    <t>Belarus</t>
  </si>
  <si>
    <r>
      <t xml:space="preserve">DBA gelistet, aber </t>
    </r>
    <r>
      <rPr>
        <b/>
        <sz val="11"/>
        <color rgb="FF000000"/>
        <rFont val="Calibri"/>
        <family val="2"/>
      </rPr>
      <t>seit 01.01.2025 vollständig ausgesetzt</t>
    </r>
  </si>
  <si>
    <t>Bosnien und Herzegowina</t>
  </si>
  <si>
    <t>Fortgeltung DBA SFR Jugoslawien</t>
  </si>
  <si>
    <t>DBA gelistet; zusätzlich BEPS-MLI-Anwendung</t>
  </si>
  <si>
    <t>Georgien</t>
  </si>
  <si>
    <t>Fortgeltung DBA UdSSR</t>
  </si>
  <si>
    <t>Russische Föderation</t>
  </si>
  <si>
    <t>DBA besteht fort; wegen russischer Suspendierung/StAbwG Sonderlage</t>
  </si>
  <si>
    <t>Fortgeltung DBA Tschechoslowakei; zusätzlich BEPS-MLI-Anwendung</t>
  </si>
  <si>
    <t>Vereinigtes Königreich</t>
  </si>
  <si>
    <t>Die Länder sind in der BMF-Tabelle in den maßgeblichen Abschnitten aufgeführt: Albanien bis Lettland finden sich auf den ersten Tabellen-Seiten, Liechtenstein bis Türkei im Folgeabschnitt, Ukraine bis Zypern am Ende von Abschnitt I.1; die BEPS-MLI-Länder sind separat in Abschnitt I.2 aufgeführt. (Bundesministerium der Finanzen)</t>
  </si>
  <si>
    <t>Fundstelle: BMF, Stand der Doppelbesteuerungsabkommen und anderer Abkommen im Steuerbereich sowie der Abkommensverhandlungen am 1. Januar 2026, Schreiben vom 7. Januar 2026. (Bundesministerium der Finanzen)</t>
  </si>
  <si>
    <r>
      <t xml:space="preserve">Nicht aufgenommen habe ich reine Informationsaustausch-/Amtshilfeabkommen und Sonderabkommen, z. B. mit Andorra, Monaco oder San Marino. </t>
    </r>
    <r>
      <rPr>
        <b/>
        <sz val="11"/>
        <color rgb="FF000000"/>
        <rFont val="Calibri"/>
        <family val="2"/>
      </rPr>
      <t>Jersey</t>
    </r>
    <r>
      <rPr>
        <sz val="11"/>
        <color rgb="FF000000"/>
        <rFont val="Calibri"/>
        <family val="2"/>
      </rPr>
      <t xml:space="preserve"> ist in der BMF-Übersicht zwar mit einem DBA gelistet, ist aber kein souveräner europäischer Staat; bei Bedarf sollte es als „europäische Jurisdiktion“ gesondert ergänzt werden.</t>
    </r>
  </si>
  <si>
    <r>
      <rPr>
        <b/>
        <sz val="11"/>
        <color rgb="FF000000"/>
        <rFont val="Calibri"/>
        <family val="2"/>
      </rPr>
      <t>Ausgleichsberechtigte Person</t>
    </r>
    <r>
      <rPr>
        <sz val="11"/>
        <color rgb="FF000000"/>
        <rFont val="Calibri"/>
        <family val="2"/>
      </rPr>
      <t>, Geburtstag:</t>
    </r>
  </si>
  <si>
    <t>1. Regelrenteneintrittsalter für männliche Person, Jahrgang 1976</t>
  </si>
  <si>
    <t>2. Grundsatz des Versorgungserwerbs</t>
  </si>
  <si>
    <t>5. Steuerpflicht der Leistungen</t>
  </si>
  <si>
    <t>6. Sozialabgaben auf Versorgungsleistungen</t>
  </si>
  <si>
    <t>67 Jahre. Für Geburtsjahrgänge ab 1964 liegt die Regelaltersgrenze bei 67 Jahren. Für Jahrgang 1976 also: Rentenalter 2043. (Deutsche Rentenversicherung)</t>
  </si>
  <si>
    <t>Noch nicht endgültig bezifferbar. Das allgemeine Rentenalter liegt 2026 bei 65 Jahren und wird ab 2027 an die Lebenserwartung gekoppelt; Änderungen werden jeweils zwei Jahre vorher festgelegt und dürfen höchstens drei Monate pro Jahr betragen. Für Jahrgang 1976, der 2041 65 wird, ist daher das konkrete Regelalter heute nicht abschließend festgelegt. (Sotsiaalkindlustusamet)</t>
  </si>
  <si>
    <t>64 Jahre als gesetzliches Mindestalter, aber für eine volle Rente regelmäßig nur bei ausreichender Versicherungsdauer. Für ab 1969 Geborene gelten 64 Jahre und 172 Quartale; bei fehlenden Quartalen gibt es den automatischen vollen Satz erst mit 67 Jahren. Jahrgang 1976 fällt in diese Gruppe. (service-public.gouv.fr)</t>
  </si>
  <si>
    <t>Beitrags-/versicherungsbezogen. Die gesetzliche Rente beruht auf Versicherungszeiten, Beitragszeiten und Entgeltpunkten. Für die Regelaltersrente sind mindestens fünf Jahre Wartezeit erforderlich. (Deutsche Rentenversicherung)</t>
  </si>
  <si>
    <t>Überwiegend versicherungs-/beitragsbezogen, aber mit Grundkomponenten. Die Altersrente setzt grundsätzlich das Rentenalter und mindestens 15 Jahre estnische Versicherungs-/Anrechnungszeit voraus. Seit 1999 hängt ein wesentlicher Teil der Anwartschaft davon ab, in welchem Umfang Sozialsteuer auf das Arbeitsentgelt gezahlt wurde. (Sotsiaalkindlustusamet)</t>
  </si>
  <si>
    <t>Beitrags-/versicherungsbezogen. Die Basisrente beruht auf Beitragszeiten, beitragspflichtigem Einkommen, Quartalen und dem Durchschnitt der besten 25 Jahre; daneben besteht für Arbeitnehmer die obligatorische Zusatzrente Agirc-Arrco als Punktesystem. (cleiss.fr)</t>
  </si>
  <si>
    <t>Ja. In der allgemeinen Rentenversicherung beträgt der Beitragssatz 2026 18,6 %, regelmäßig hälftig getragen von Arbeitgeber und Arbeitnehmer, also jeweils 9,3 %. (Deutsche Rentenversicherung)</t>
  </si>
  <si>
    <t>Ja, für den einkommensbezogenen Teil. Die Anwartschaft seit 1999 wird wesentlich durch die auf das Arbeitsentgelt gezahlte Sozialsteuer geprägt; daraus ergibt sich der individuelle Versicherungsfaktor. (pensionikeskus.ee)</t>
  </si>
  <si>
    <t>Ja, für die earnings-related pension. Diese wird hauptsächlich durch Beiträge von Arbeitgebern, Arbeitnehmern und Selbständigen finanziert. (Eläketurvakeskus)</t>
  </si>
  <si>
    <t>Ja. Arbeitnehmer und Arbeitgeber zahlen Beiträge zur Altersversicherung; 2026 z. B. 6,90 % Arbeitnehmer- und 8,55 % Arbeitgeberanteil bis zur Beitragsbemessungsgrenze sowie zusätzliche unlimitierte Altersversicherungsbeiträge. (cleiss.fr)</t>
  </si>
  <si>
    <t>Teilweise. Die reguläre Altersrente ist nicht reine Aufenthaltsrente. Es gibt aber eine nationale Mindest-/Volksrente für Personen im Rentenalter ohne ausreichenden Altersrentenanspruch, wenn bestimmte Aufenthaltsvoraussetzungen erfüllt sind. (riigiteataja.ee)</t>
  </si>
  <si>
    <t>Ja, teilweise. Die national pension setzt grundsätzlich Wohnsitz in Finnland bzw. mindestens drei Jahre Aufenthalt nach Vollendung des 16. Lebensjahres voraus; die earnings-related pension bleibt dagegen beitrags-/einkommensbezogen. (Kela)</t>
  </si>
  <si>
    <t>Anwartschaften werden über Entgeltpunkte aufgebaut: eigenes beitragspflichtiges Entgelt im Verhältnis zum Durchschnittsentgelt. Der Geldwert der Entgeltpunkte wird über den aktuellen Rentenwert bestimmt. (Deutsche Rentenversicherung)</t>
  </si>
  <si>
    <t>Anwartschaften bestehen aus Grundbetrag, Dienstzeitkomponente für Zeiten bis 1998 und Versicherungs-/Beitragskomponente ab 1999. Die jährliche Versicherungsbewertung richtet sich nach dem Verhältnis der für die Person gezahlten Sozialsteuer zum nationalen Durchschnitt. (pensionikeskus.ee)</t>
  </si>
  <si>
    <t>In der earnings-related pension werden während des Erwerbslebens Rentenansprüche aus Erwerbseinkommen aufgebaut. Bei Rentenbeginn werden frühere Einkommen mit einem wage coefficient aufgewertet. (Eläketurvakeskus)</t>
  </si>
  <si>
    <t>Die Basisrente richtet sich u. a. nach dem durchschnittlichen Jahreseinkommen der besten 25 Jahre, dem Rentensatz und der Versicherungsdauer. Frühere Einkommen fließen in die Berechnungsformel ein; in der obligatorischen Zusatzrente entstehen Punkte. (cleiss.fr)</t>
  </si>
  <si>
    <t>Laufende Renten werden grundsätzlich jährlich zum 1. Juli angepasst; maßgeblich ist insbesondere die Bruttolohnentwicklung. (Deutsche Rentenversicherung)</t>
  </si>
  <si>
    <t>Laufende Renten werden jährlich zum 1. April indexiert. Der Index berücksichtigt zu 20 % Verbraucherpreisentwicklung und zu 80 % die Entwicklung der rentenversicherungsbezogenen Sozialsteuereinnahmen; bei negativem Index werden Renten nicht gekürzt. (Sotsiaalkindlustusamet)</t>
  </si>
  <si>
    <t>Laufende earnings-related pensions werden jährlich zu Jahresbeginn mit dem earnings-related pension index angepasst. (Työeläke.fi)</t>
  </si>
  <si>
    <t>Basisrenten werden grundsätzlich jährlich anhand der Preisentwicklung ohne Tabak angepasst; zum 1. Januar 2026 betrug die Anpassung 0,9 %. (service-public.gouv.fr)</t>
  </si>
  <si>
    <t>Ja. Es gibt Rente wegen voller oder teilweiser Erwerbsminderung. Keine einfache Quote zur Altersrente; die volle Erwerbsminderungsrente hat in der Rentenformel den Rentenartfaktor 1,0, die teilweise Erwerbsminderungsrente 0,5. (Deutsche Rentenversicherung)</t>
  </si>
  <si>
    <t>Ja, aber systematisch heute vor allem als Arbeitsfähigkeitsleistung. Klassische neue Erwerbsunfähigkeitsrenten wurden durch die Work Ability Allowance für teilweise oder fehlende Arbeitsfähigkeit ersetzt. Keine Quote zur Altersrente. (riigiteataja.ee)</t>
  </si>
  <si>
    <t>Ja. Die disability pension ist keine pauschale Quote der Altersrente. Volle Leistung bei mindestens 60 % Minderung der Arbeitsfähigkeit; Teilinvaliditätsrente bei mindestens 40 %. Die Teilinvaliditätsrente beträgt die Hälfte der vollen Invaliditätsrente. (Työeläke.fi)</t>
  </si>
  <si>
    <t>Ja. Keine Quote der Altersrente, sondern Invaliditätsrente nach Kategorie. Im allgemeinen Schema liegt die Leistung typischerweise bei 30 % des durchschnittlichen Einkommens der besten zehn Jahre in Kategorie 1 und bei 50 % in Kategorie 2 bzw. 3; Kategorie 3 kann eine Zulage für Drittpflege enthalten. (service-public.gouv.fr)</t>
  </si>
  <si>
    <t>Ja. Große Witwen-/Witwerrente grundsätzlich 55 % der Rente des Verstorbenen; nach altem Recht teilweise 60 %. Kleine Witwen-/Witwerrente ist niedriger und zeitlich begrenzt. (Deutsche Rentenversicherung)</t>
  </si>
  <si>
    <t>Ja. Hinterbliebenenrente für bestimmte Familienangehörige. Quote bezogen auf die berechnete Rente des Verstorbenen: 50 % bei einem Hinterbliebenen, 80 % bei zwei, 100 % bei drei oder mehr Berechtigten. (riigiteataja.ee)</t>
  </si>
  <si>
    <t>Ja. Die Hinterbliebenenrente basiert auf der Rente des verstorbenen Ehegatten bzw. Elternteils. Die Ehegattenrente kann höchstens die Hälfte der Rente des Verstorbenen betragen und wird durch eigene Renteneinkünfte sowie Kinderanteile beeinflusst. (Työeläke.fi)</t>
  </si>
  <si>
    <t>Ja. Die réversion beträgt grundsätzlich 54 % der Altersrente, die der verstorbene Ehegatte bezog oder hätte beanspruchen können; sie ist einkommensabhängig. (L'Assurance retraite)</t>
  </si>
  <si>
    <t>Nur in Sonderkonstellationen. Für vor dem 1. Juli 1977 geschiedene Ehen kann eine Geschiedenenwitwen-/witwerrente in Betracht kommen. Sonst können bei Tod des früheren Ehegatten insbesondere Erziehungsrente oder Versorgungsausgleichsmechanismen relevant sein. (Deutsche Rentenversicherung)</t>
  </si>
  <si>
    <t>Ja, unter engen Voraussetzungen. Ein geschiedener Ehegatte kann anspruchsberechtigt sein, wenn er vor oder innerhalb von drei Jahren nach der Scheidung das Rentenalter erreicht hat oder teilweise/gar nicht arbeitsfähig ist und die Ehe mindestens 25 Jahre bestand. (riigiteataja.ee)</t>
  </si>
  <si>
    <t>Ja, unter Voraussetzung einer Unterhaltsverpflichtung. Ein früherer Ehegatte kann Anspruch haben, wenn der Verstorbene aufgrund gerichtlicher Entscheidung oder wirksamer Vereinbarung Unterhalt zahlen musste. (Eläketurvakeskus)</t>
  </si>
  <si>
    <t>Ja. Auch frühere Ehegatten können Anspruch auf réversion haben; bei mehreren Ehegatten bzw. Ex-Ehegatten wird die Leistung grundsätzlich nach Ehedauer aufgeteilt. (L'Assurance retraite)</t>
  </si>
  <si>
    <t>Gesetzliche Renten sind steuerpflichtig mit Besteuerungsanteil nach Rentenbeginn. Für Neurentner 2026 beträgt der steuerpflichtige Anteil 84 %; er steigt jährlich um 0,5 Prozentpunkte bis zur Vollbesteuerung. Für Jahrgang 1976 mit Rentenbeginn 2043 ergäbe sich nach heutiger Übergangslogik rechnerisch ein steuerpflichtiger Anteil von 92,5 %. (Deutsche Rentenversicherung)</t>
  </si>
  <si>
    <t>Gesetzliche Renten sind grundsätzlich einkommensteuerlich relevant, werden aber durch einen besonderen Grundfreibetrag für Personen im Rentenalter entlastet. 2025/2026 beträgt dieser 776 € monatlich bzw. 9.312 € jährlich. (MTA)</t>
  </si>
  <si>
    <t>Renten sind grundsätzlich steuerpflichtiges Einkommen; die konkrete Belastung hängt von Rentenhöhe, Abzügen und kommunaler Besteuerung ab. Für Pensionseinkommen bestehen besondere Renteneinkommensabzüge. (Eläketurvakeskus)</t>
  </si>
  <si>
    <t>Renten sind grundsätzlich einkommensteuerpflichtig und unterliegen regelmäßig dem Quellensteuer-/Withholding-System. (impots.gouv.fr)</t>
  </si>
  <si>
    <t>Auf gesetzliche Renten fallen regelmäßig Beiträge zur Kranken- und Pflegeversicherung an. In der gesetzlichen Krankenversicherung wird der allgemeine Beitrag von 14,6 % hälftig getragen; Pflegeversicherungsbeiträge trägt der Rentner grundsätzlich selbst. (Deutsche Rentenversicherung)</t>
  </si>
  <si>
    <t>Auf Rentenzahlungen fallen typischerweise keine arbeitnehmerähnlichen Sozialversicherungsbeiträge an. Die Sozialsteuer ist primär eine Abgabe auf Erwerbseinkommen bzw. Arbeitgeberseite; steuerlich relevant bleibt die Einkommensteuer oberhalb der Freibeträge. (pensionikeskus.ee)</t>
  </si>
  <si>
    <t>Auf Pensionseinkommen fällt insbesondere der Krankenversicherungsbeitrag für medizinische Versorgung an; 2026 beträgt der medical care contribution auf Pensions- und Sozialleistungseinkommen 1,49 %. (vero.fi)</t>
  </si>
  <si>
    <t>Auf Renten können CSG, CRDS und CASA anfallen, abhängig vom Referenzsteuereinkommen. 2026 reichen die Belastungen von vollständiger Befreiung bis zu CSG 8,3 %, CRDS 0,5 % und CASA 0,3 %; auf Zusatzrenten kann zusätzlich ein Krankenversicherungsbeitrag von 1 % anfallen. (cleiss.fr)</t>
  </si>
  <si>
    <r>
      <t>Nein</t>
    </r>
    <r>
      <rPr>
        <sz val="11"/>
        <rFont val="Calibri"/>
        <family val="2"/>
      </rPr>
      <t>, nicht für die gesetzliche Altersrente. Bloßer Aufenthalt begründet keine Rentenanwartschaft; Sozialhilfe-/Grundsicherungsleistungen sind davon zu trennen.</t>
    </r>
  </si>
  <si>
    <r>
      <t>Nein</t>
    </r>
    <r>
      <rPr>
        <sz val="11"/>
        <rFont val="Calibri"/>
        <family val="2"/>
      </rPr>
      <t>, nicht für die Altersrente aus dem Arbeitnehmer-Regelsystem. Bloßer legaler Aufenthalt begründet keine beitragsbezogene Altersrente; bedürftigkeitsabhängige Sozialleistungen sind gesondert zu betrachten.</t>
    </r>
  </si>
  <si>
    <t>67 Jahre bei mindestens 15 Versicherungsjahren; alternativ volle Rente ab 62 bei 40 Versicherungsjahren. Für Jg. 1976: regulär 2043. (ypergasias.gov.gr)</t>
  </si>
  <si>
    <t>66 Jahre, mit Wahlrecht zum späteren Abruf bis 70 für nach 1958 Geborene. Für Jg. 1976: 2042; späterer Abruf erhöht den Satz. (gov.ie)</t>
  </si>
  <si>
    <t>67 Jahre für die öffentliche Wohnsitzrente; Pensionsfonds beginnen regelmäßig ebenfalls bei 67, teilweise schon ab 65. Für Jg. 1976: 2043. (norden.org)</t>
  </si>
  <si>
    <t>Mindestens 67 Jahre, aber ab 2027 an Lebenserwartung anzupassen. Für Jg. 1976 ist das genaue spätere Regelalter daher nicht endgültig bezifferbar; heutiger Ausgangswert: 67. (inps.it)</t>
  </si>
  <si>
    <t>Prüfbedürftig wegen divergierender amtlicher Darstellungen. Das Migrationsportal nennt ab 2030 einheitlich 65 Jahre; eine Ministeriumsseite nennt dagegen eine Erhöhung bis 67 ab 2038. OECD 2026 beschreibt den aktuellen Stand mit 65 und Angleichung der Frauen bis 2030. (migracije.hr)</t>
  </si>
  <si>
    <t>65 Jahre; mindestens 20 Versicherungsjahre. Für Jg. 1976: 2041. (vsaa.gov.lv)</t>
  </si>
  <si>
    <t>Mischsystem mit starkem Beitragsbezug. Die Altersrente besteht aus nationaler Rente und beitragsbezogener/kompensatorischer Rente; die nationale Rente ist steuerfinanziert, setzt aber einen Rentenanspruch voraus. (ypergasias.gov.gr)</t>
  </si>
  <si>
    <t>Mischsystem. Öffentliche Sozialversicherungsrente ist steuerfinanziert und wohnsitzbezogen; obligatorische Pensionsfonds beruhen auf Beiträgen während Erwerbstätigkeit. (norden.org)</t>
  </si>
  <si>
    <t>Beitrags-/versicherungsbezogen. Allgemeine Altersrente setzt grundsätzlich Beitragszeiten voraus; soziale Altersleistung ist gesonderte Sozialhilfe-/Mindestsicherungsleistung. (inps.it)</t>
  </si>
  <si>
    <t>Beitrags-/versicherungsbezogen. Pflichtversicherung beruht auf Erwerbstätigkeit und Beitragszahlung; Berechnung nach Versicherungszeit, Entgelt-/Wertpunkten und Rentenwert. (mirovinsko.hr)</t>
  </si>
  <si>
    <t>Beitrags-/kapitalbezogen. Lettland nutzt ein Mehrsäulensystem mit staatlicher NDC-Komponente und obligatorischer kapitalgedeckter 2. Säule; höhere Beiträge führen zu höherer Rente. (lm.gov.lv)</t>
  </si>
  <si>
    <t>Ja. Für die Primärrente beträgt der Beitrag 20 %, davon 6,67 % Arbeitnehmer und 13,33 % Arbeitgeber. (ypergasias.gov.gr)</t>
  </si>
  <si>
    <t>Ja. Die State Pension Contributory beruht auf PRSI-Beiträgen; für die volle Leistung unter dem Total Contributions Approach sind 2.080 Beiträge, also ca. 40 Jahre, maßgeblich. (citizensinformation.ie)</t>
  </si>
  <si>
    <t>Ja, für Pensionsfonds. Arbeitnehmer und Arbeitgeber müssen grundsätzlich Beiträge leisten; Mindestbeitrag 15,5 %, davon 4 % Arbeitnehmer und 11,5 % Arbeitgeber. (taxsummaries.pwc.com)</t>
  </si>
  <si>
    <t>Ja. Altersrente setzt regelmäßig 20 Beitragsjahre voraus; Beiträge werden im Erwerbsleben an INPS bzw. die zuständigen Systeme entrichtet. (inps.it)</t>
  </si>
  <si>
    <t>Ja. Pensionsbeiträge werden aus dem Arbeitnehmerentgelt entrichtet; Gesundheitsbeiträge grundsätzlich arbeitgeberseitig. (migracije.hr)</t>
  </si>
  <si>
    <t>Ja. Die Gesamtbeiträge zur Altersversorgung betragen 20 % des Einkommens und werden zwischen 1. und 2. Säule aufgeteilt. (lm.gov.lv)</t>
  </si>
  <si>
    <t>Nicht allein. Die nationale Rente ist zwar nicht beitragsfinanziert und verlangt für den vollen Betrag 40 Jahre Aufenthalt, wird aber nur bei bestehendem Rentenanspruch gewährt. (ypergasias.gov.gr)</t>
  </si>
  <si>
    <t>Ja, aber nur für die Non-Contributory Pension. Diese setzt u. a. rechtmäßigen und gewöhnlichen Aufenthalt sowie Bedürftigkeitsprüfung voraus; die beitragsbezogene Rente bleibt PRSI-basiert. (services.mywelfare.ie)</t>
  </si>
  <si>
    <t>Ja, für die öffentliche Rente. Anspruch im allgemeinen Sozialversicherungssystem ist an Wohnsitz in Island geknüpft; volle Zahlung beruht typischerweise auf langer Wohnsitzdauer. (norden.org)</t>
  </si>
  <si>
    <t>Nicht für die beitragsbezogene Altersrente. Es gibt aber einen einkommensabhängigen Sozialzuschuss/assegno sociale bei langjährigem Aufenthalt. (Social Security)</t>
  </si>
  <si>
    <t>Nicht für die reguläre Altersrente. Es existiert daneben eine nationale Altersleistung/Mindestleistung für Ältere unter Bedürftigkeits- und Aufenthaltsvoraussetzungen. (mirovinsko.hr)</t>
  </si>
  <si>
    <t>Nicht für die reguläre Altersrente. Bei fehlender Rentenanwartschaft kann nach Erreichen des Rentenalters eine staatliche Sozialleistung in Betracht kommen. (lm.gov.lv)</t>
  </si>
  <si>
    <t>Die beitragsbezogene Komponente hängt von beitragspflichtigem Einkommen seit 2002, Versicherungszeit und Ersatz-/Akkumulationssätzen ab; die nationale Komponente ist pauschal und wohnsitzabhängig. (ypergasias.gov.gr)</t>
  </si>
  <si>
    <t>Anwartschaft über PRSI-Beiträge. Nach dem Total Contributions Approach führt die Zahl der Beiträge direkt zur Quote der Vollrente; 1.040 Beiträge ergeben z. B. 50 % der Vollrente. (citizensinformation.ie)</t>
  </si>
  <si>
    <t>Öffentliche Rente: Aufbau nach Wohnsitzjahren. Pensionsfonds: Aufbau nach kumulierten Beiträgen und Fondsregeln. (norden.org)</t>
  </si>
  <si>
    <t>Im NDC-System werden fiktive Beitragskonten jährlich anhand des durchschnittlichen BIP-Wachstums aufgewertet; Alt-/Mischsysteme enthalten lohn-/preisbezogene Rechenbestandteile. (Social Security)</t>
  </si>
  <si>
    <t>Entgeltbezogene Wertpunkte: Arbeitsentgelt bzw. Beitragsgrundlage wird ins Verhältnis zum Durchschnittsentgelt gesetzt; daraus entstehen persönliche Punkte. (mirovinsko.hr)</t>
  </si>
  <si>
    <t>Aufbau über individuelles Rentenkapital: Beiträge werden in der 1. Säule fiktiv und in der 2. Säule kapitalgedeckt angesammelt. (lm.gov.lv)</t>
  </si>
  <si>
    <t>Gesetzlich vorgesehene jährliche Anpassung nach BIP-Wachstum und Verbraucherpreisindex. (issa.int)</t>
  </si>
  <si>
    <t>Keine starre lohn-/preisgebundene Rentenformel wie in Deutschland; Beträge werden politisch/budgetär angepasst, z. B. durch jährliche Sozialhaushalte. (gov.ie)</t>
  </si>
  <si>
    <t>Öffentliche Leistungen werden über gesetzlich festgelegte Beträge und Einkommensprüfungen angepasst; Pensionsfonds folgen ihren jeweiligen Fondsregeln. (norden.org)</t>
  </si>
  <si>
    <t>Laufende Renten werden jährlich nach der durchschnittlichen Entwicklung der Lebenshaltungskosten angepasst. (Social Security)</t>
  </si>
  <si>
    <t>Laufende Renten werden grundsätzlich zweimal jährlich unter Berücksichtigung von Preisindex und Durchschnittslohn angepasst. (Portal.hr)</t>
  </si>
  <si>
    <t>Jährliche Indexierung zum 1. Oktober: Verbraucherpreisindex plus Anteil am realen Wachstum der sozialversicherungspflichtigen Beitragslöhne; Anteil steigt mit Versicherungsdauer. (lm.gov.lv)</t>
  </si>
  <si>
    <t>Ja. Keine einfache Quote zur Altersrente. e-EFKA gewährt Invaliditätsrenten bei gesetzlichen Voraussetzungen; bei Arbeitsunfall/Berufskrankheit gelten besondere Mindestregeln. (ypergasias.gov.gr)</t>
  </si>
  <si>
    <t>Ja. Invalidity Pension ist eine PRSI-basierte Wochenleistung bei langfristiger Arbeitsunfähigkeit; keine Quote zur Altersrente. Mit 66 automatischer Übergang zur State Pension Contributory zum vollen Satz. (gov.ie)</t>
  </si>
  <si>
    <t>Ja. Öffentliche Invaliditätsleistung bei mindestens 50 % Erwerbsfähigkeitsverlust und Wohnsitzvoraussetzungen; Pensionsfonds ebenfalls bei mindestens 50 % Erwerbsfähigkeitsverlust und Beiträgen. Keine feste Quote zur Altersrente. (norden.org)</t>
  </si>
  <si>
    <t>Ja. Ordinary invalidity allowance bei Reduktion der Arbeitsfähigkeit auf unter ein Drittel; inabilità pension bei vollständiger Unfähigkeit zu jeder Erwerbstätigkeit. Keine pauschale Quote zur Altersrente. (ambpanama.esteri.it)</t>
  </si>
  <si>
    <t>Ja. Bei teilweisem oder vollständigem Verlust der Arbeitsfähigkeit und ausreichender Versicherungszeit; keine einfache Quote zur Altersrente, Berechnung nach allgemeinen Rentenfaktoren. (mss.gov.hr)</t>
  </si>
  <si>
    <t>Ja. Mindestens drei Versicherungsjahre und anerkannte Invalidität vor Rentenalter. Gruppen I/II werden nach Entgelt, Versicherungszeit und möglicher Versicherungszeit berechnet; Gruppe III ist pauschaler. Keine feste Quote zur Altersrente. (lm.gov.lv)</t>
  </si>
  <si>
    <t>Ja. Überlebender Ehegatte/Lebenspartner erhält 70 % der Rente des Verstorbenen für die ersten drei Jahre; danach Fortzahlung, wenn keine Arbeit/eigene Rente, sonst Reduktion auf 50 % der Todesrente. Kinder grundsätzlich 25 %. (ypergasias.gov.gr)</t>
  </si>
  <si>
    <t>Ja, aber nicht als Quote zur Altersrente. Bereaved Partner’s Contributory Pension ist eine eigene PRSI-basierte Leistung; Berechnung nach Sozialversicherungsrecord, nicht prozentual aus der Altersrente. (gov.ie)</t>
  </si>
  <si>
    <t>Begrenzt im öffentlichen System. Residence-based survivor benefit grundsätzlich für Kinder, nicht für Ehegatten; obligatorische Pensionsfonds können Ehegatten-/Partner- und Kinderleistungen gewähren. (secure.ssa.gov)</t>
  </si>
  <si>
    <t>Ja. Ehegatte ohne Kinder: 60 % der Rente des Verstorbenen; mit einem Kind 80 %, mit zwei oder mehr Kindern 100 %, jeweils unter Einkommens-/Kombinationsgrenzen. (Social Security)</t>
  </si>
  <si>
    <t>Ja. Hinterbliebenenrente für Ehegatten, Lebenspartner, geschiedene Unterhaltsberechtigte, Kinder und ggf. Eltern. Quote: 77 % bei einem, 88 % bei zwei, 100 % bei drei, 110 % bei vier oder mehr Berechtigten. (Employment, Social Affairs and Inclusion)</t>
  </si>
  <si>
    <t>Ja, aber primär für Kinder/dependente Angehörige, nicht als allgemeine Ehegattenrente. Quote aus der möglichen Altersrente des Verstorbenen: 50 % für ein Kind, 75 % für zwei, 90 % für drei oder mehr Kinder. (lm.gov.lv)</t>
  </si>
  <si>
    <t>Ja. Geschiedene Ehegatten können unter kumulativen gesetzlichen Voraussetzungen einen Anteil der Rente des Verstorbenen erhalten. (ypergasias.gov.gr)</t>
  </si>
  <si>
    <t>Nur eingeschränkt/statusabhängig. Keine klare allgemeine Ex-Ehegattenrente; bei Auflösung einer civil partnership vor Todesfällen bis 21.07.2025 kann Anspruch bestehen, während längere Trennung bei späteren Todesfällen ausschließt. (gov.ie)</t>
  </si>
  <si>
    <t>Im öffentlichen System grundsätzlich nein für geschiedene Ehegatten, da keine allgemeine Ehegatten-Hinterbliebenenrente besteht; Pensionsfonds können eigene Regeln haben. (secure.ssa.gov)</t>
  </si>
  <si>
    <t>Ja. Auch rechtlich getrennte oder geschiedene Ehegatten können unter Bedingungen Hinterbliebenenleistungen erhalten. (consedimburgo.esteri.it)</t>
  </si>
  <si>
    <t>Ja. Geschiedene Ehegatten sind anspruchsberechtigt, wenn ihnen Unterhalt zugesprochen wurde. (mss.gov.hr)</t>
  </si>
  <si>
    <t>Grundsätzlich nein. Die gesetzliche Hinterbliebenenrente ist auf Kinder bzw. unterhaltsabhängige Geschwister/Enkel ausgerichtet; geschiedene Ehegatten werden nicht als Berechtigte genannt. (vsaa.gov.lv)</t>
  </si>
  <si>
    <t>Renten sind grundsätzlich steuerpflichtiges Einkommen; griechische Steuerresidenten werden mit ihrem Welteinkommen besteuert. Für ausländische Pensionäre kann unter Sonderregime eine 7 %-Flat-Tax auf ausländische Einkünfte in Betracht kommen. (gov.gr)</t>
  </si>
  <si>
    <t>State Pension Contributory ist steuerpflichtig, auch wenn bei alleiniger Staatspension häufig keine Steuer anfällt. (gov.ie)</t>
  </si>
  <si>
    <t>Renten- und Pensionszahlungen unterliegen normaler Einkommensteuer; der Steuerabzug erfolgt regelmäßig monatlich. (LSR)</t>
  </si>
  <si>
    <t>Renten sind grundsätzlich einkommensteuerpflichtig; italienische Renten werden in der Regel nach den allgemeinen italienischen Steuerregeln erfasst. (agenziaentrate.gov.it)</t>
  </si>
  <si>
    <t>Renten können der Einkommensteuer unterliegen; der Rentenzahler berechnet, behält ein und führt die Steuer ab. (porezna-uprava.gov.hr)</t>
  </si>
  <si>
    <t>Renten unterliegen der Einkommensteuer. Seit 2025 beträgt der persönliche Einkommensteuersatz 25,5 %; der Rentnerfreibetrag beträgt 1.000 € monatlich. (vsaa.gov.lv)</t>
  </si>
  <si>
    <t>Auf Renten können Krankenversicherungsbeiträge und Solidaritätsabgaben anfallen; Beiträge zur Krankenversicherung für Rentner werden als Pflichtabgaben beschrieben. (mpisoc.mpg.de)</t>
  </si>
  <si>
    <t>Sozialversicherungsrenten sind einkommensteuerpflichtig, aber nicht USC- oder PRSI-pflichtig; PRSI endet bei Bezug der State Pension Contributory bzw. spätestens mit 70. (citizensinformation.ie)</t>
  </si>
  <si>
    <t>Arbeitnehmer-/Arbeitgeber-Pensionsbeiträge betreffen Erwerbseinkommen; Rentenzahlungen werden primär einkommensteuerlich behandelt. Zusätzlich besteht ein Altersfondsbeitrag für steuerpflichtige Personen bis 69. (LSR)</t>
  </si>
  <si>
    <t>Auf Rentenleistungen fallen regelmäßig keine arbeitnehmerähnlichen Sozialversicherungsbeiträge wie auf Erwerbseinkommen an; Sozialbeiträge betreffen grundsätzlich Arbeitsvergütung. (taxsummaries.pwc.com)</t>
  </si>
  <si>
    <t>Auf Rentenzahlungen selbst stehen vor allem Einkommensteuerfragen im Vordergrund; Pensionsbeiträge werden aus Arbeitsentgelt erhoben. Bei Erwerbstätigkeit neben der Rente können Beiträge auf Erwerbseinkommen anfallen. (migracije.hr)</t>
  </si>
  <si>
    <t>Keine gesonderten arbeitnehmerähnlichen Sozialversicherungsbeiträge auf die Rentenzahlung ersichtlich; maßgeblich ist die Einkommensteuerbelastung oberhalb des Rentnerfreibetrags. (vsaa.gov.lv)</t>
  </si>
  <si>
    <t>65 Jahre. Für Männer und Frauen ab Jahrgang 1958 gilt das ordentliche AHV-Rentenalter 65. (AHV Liechtenstein)</t>
  </si>
  <si>
    <t>65 Jahre. Das Rentenalter wird bis 2026 auf 65 Jahre für Männer und Frauen angehoben; für Jg. 1976 damit 2041. (OECD)</t>
  </si>
  <si>
    <t>65 Jahre, bei grundsätzlich mindestens 120 Versicherungsmonaten. (BGL BNP Paribas)</t>
  </si>
  <si>
    <t>65 Jahre. Für Personen ab Geburtsjahrgang 1962 gilt Rentenalter 65; für Jg. 1976 also 2041. (Servizz)</t>
  </si>
  <si>
    <t>Mischsystem mit Beitragskern. AHV/IV beruhen auf Beitragsjahren und durchschnittlichem Jahreseinkommen; volle Rente setzt lückenlose Beitragszeit voraus. Die zweite Säule beruht auf angespartem Altersguthaben. (AHV Liechtenstein)</t>
  </si>
  <si>
    <t>Beitrags-/versicherungsbezogen mit Grundkomponente. Die Sozialversicherungsrente besteht aus allgemeinem und individuellem Teil; Rentenpunkte und Versicherungszeiten sind maßgeblich. (socmin.lrv.lt)</t>
  </si>
  <si>
    <t>Beitrags-/versicherungsbezogen. Anspruch und Höhe hängen von Versicherungszeiten und Beiträgen ab; die Altersrente setzt grundsätzlich Beitragszeiten voraus. (guichet.public.lu)</t>
  </si>
  <si>
    <t>Beitragsbezogen. Die Retirement Pension ist eine contributory pension; Mindestbeiträge und Beitragshistorie sind entscheidend. (MFSA)</t>
  </si>
  <si>
    <t>Ja. AHV/IV werden durch Beiträge finanziert; in der zweiten Säule werden Beiträge dem individuellen Vorsorgekonto gutgeschrieben. (Social Security)</t>
  </si>
  <si>
    <t>Ja. Arbeitnehmerbeiträge zur staatlichen Sozialversicherung betragen 2026 insgesamt 19,5 %, davon 8,72 % für Rentenversicherung; Arbeitgeberbeiträge kommen hinzu. (socmin.lrv.lt)</t>
  </si>
  <si>
    <t>Ja. Das System wird über Beiträge von Arbeitnehmer, Arbeitgeber und Staat finanziert; die Altersrente knüpft an Versicherungszeiten und Beiträge an. (Chambre des salariés - CSL)</t>
  </si>
  <si>
    <t>Ja. Contributory pensions sind mit Beschäftigungseinkommen und Beiträgen von Arbeitgeber und Arbeitnehmer verknüpft. (MTCA)</t>
  </si>
  <si>
    <t>Teilweise. AOW ist eine Volksversicherung: Wer wohnt oder arbeitet, ist grundsätzlich versichert; Beiträge werden über Lohn-/Einkommensteuermechanik erhoben. (business.gov.nl)</t>
  </si>
  <si>
    <t>Ja, für den einkommensbezogenen Teil. Jährlich werden 18,1 % des rentenbegründenden Einkommens bis 7,1 G dem individuellen Rentenkonto gutgeschrieben. (mpisoc.mpg.de)</t>
  </si>
  <si>
    <t>Nein, nicht allein. Erforderlich sind AHV-Beitragszeiten; bloßer Aufenthalt ohne Beitragsstatus genügt nicht. (AHV Liechtenstein)</t>
  </si>
  <si>
    <t>Nicht für die reguläre Sozialversicherungsrente. Diese setzt Versicherungszeiten und Beitrags-/Punktesystem voraus; beitragsfreie Sozialhilfeleistungen sind davon zu trennen. (socmin.lrv.lt)</t>
  </si>
  <si>
    <t>Nein. Die reguläre gesetzliche Altersrente setzt Versicherungszeiten/Beiträge voraus. (BGL BNP Paribas)</t>
  </si>
  <si>
    <t>Nein, nicht für die contributory retirement pension. Es gibt eine nicht beitragsbezogene Age Pension als bedürftigkeitsabhängige Sicherheitsleistung, aber die reguläre Altersrente ist beitragsbezogen. (MFSA)</t>
  </si>
  <si>
    <t>Ja, im Grundsatz. Die AOW wird für Versicherungsjahre aufgebaut, die regelmäßig an Wohnen oder Arbeiten in den Niederlanden anknüpfen. (business.gov.nl)</t>
  </si>
  <si>
    <t>Teilweise. Wohnsitzzeiten sind für die Garantie-/Grundabsicherung wesentlich; die einkommensbezogene Komponente wird durch Erwerbseinkommen aufgebaut. (nav.no)</t>
  </si>
  <si>
    <t>AHV-Anwartschaften richten sich nach Beitragsjahren und durchschnittlichem Jahreseinkommen; Beitragslücken kürzen die Rente. In der zweiten Säule wächst das Altersguthaben durch Beiträge und Verzinsung. (AHV Liechtenstein)</t>
  </si>
  <si>
    <t>Aufbau über allgemeine Komponente, Versicherungszeiten und individuelle Rentenpunkte; der Wert der Rentenpunkte wird gesetzlich fortgeschrieben. (socmin.lrv.lt)</t>
  </si>
  <si>
    <t>Frühere Einkommen werden über Revalorisierung/Anpassungsfaktoren in die Rentenberechnung überführt; die Rente setzt sich aus fixen und proportionalen Bestandteilen zusammen. (Chambre des salariés - CSL)</t>
  </si>
  <si>
    <t>Für nach 1962 Geborene wirkt die Reformlogik stärker lohnbezogen; die Renten-/Bemessungsentwicklung nutzt u. a. eine 70-%-Lohn-/30-%-Inflationskomponente. (Gemma - Know, Plan, Act.)</t>
  </si>
  <si>
    <t>Pro Versicherungsjahr werden 2 % der vollen AOW aufgebaut; volle AOW setzt 50 Versicherungsjahre voraus. (government.nl)</t>
  </si>
  <si>
    <t>Rentenansprüche werden jährlich auf dem individuellen Konto aufgebaut und in der Anwartschaftsphase grundsätzlich mit der Lohnentwicklung angepasst. (mpisoc.mpg.de)</t>
  </si>
  <si>
    <t>AHV/IV-Leistungen werden regelmäßig an Lohn- und Preisentwicklung angepasst; EU-Rechteübersicht nennt eine Anpassung alle zwei Jahre. (European Commission)</t>
  </si>
  <si>
    <t>Renten werden jährlich indexiert; maßgeblich ist insbesondere das Wachstum der beitragspflichtigen Lohnsumme. (OECD)</t>
  </si>
  <si>
    <t>Renten werden an Lebenshaltungskosten indexiert und an die Lohnentwicklung angepasst bzw. readjustiert. (guichet.public.lu)</t>
  </si>
  <si>
    <t>Staatliche Renten werden über COLA-/gesetzliche Erhöhungsmechanismen angepasst; für jüngere Kohorten besteht eine lohn- und inflationsbezogene Indexierungslogik. (Servizz)</t>
  </si>
  <si>
    <t>AOW-Beträge werden zweimal jährlich aktualisiert; die Leistung ist an den Mindestlohnmechanismus gekoppelt. (SVB)</t>
  </si>
  <si>
    <t>Laufende Renten werden mit Lohnwachstum abzüglich 0,75 Prozentpunkten indexiert. (mpisoc.mpg.de)</t>
  </si>
  <si>
    <t>Ja. IV-Rente als ganze, halbe oder Viertelsrente je nach Invaliditätsgrad; ganze IV-Rente entspricht systematisch der vollen Invalidenrente nach AHV/IV-Skala, keine pauschale Quote zur individuell späteren Altersrente. (AHV Liechtenstein)</t>
  </si>
  <si>
    <t>Ja. Sozialversicherungs-Invaliditätsrente; keine feste Quote zur Altersrente. Berechnung über allgemeinen und individuellen Teil mit Multiplikatoren nach Teilhabeverlust. (socmin.lrv.lt)</t>
  </si>
  <si>
    <t>Ja. Invaliditätspension bei gesetzlichen Voraussetzungen; keine einfache Quote zur Altersrente, sondern Berechnung nach eigener Rentenformel mit Versicherungsbiografie. (cnap.public.lu)</t>
  </si>
  <si>
    <t>Ja. Invalidity Pension; keine feste Quote zur Altersrente. Invaliditätsrentner erhalten zudem Sozialversicherungscredits für die spätere Altersrentenberechnung. (Social Security)</t>
  </si>
  <si>
    <t>Ja, aber nicht als Altersrentenquote. WIA-Leistungen greifen nach zwei Jahren Krankheit bei mindestens 35 % Erwerbsunfähigkeit; sie sind einkommens-/arbeitsfähigkeitsbezogen, nicht AOW-prozentual. (business.gov.nl)</t>
  </si>
  <si>
    <t>Ja. Disability benefit beträgt grundsätzlich 66 % des Durchschnitts der besten 3 der letzten 5 Jahre vor Eintritt der Invalidität, begrenzt durch Systemregeln; keine Quote zur Altersrente. (Regjeringen.no)</t>
  </si>
  <si>
    <t>Ja. Witwen-/Witwerrente; im AHV-System beträgt die Witwen-/Witwerrente grundsätzlich 80 % der Altersrente, Waisenrente 40 %. (AHV Liechtenstein)</t>
  </si>
  <si>
    <t>Ja. Witwen-/Witwer- und Waisenrenten; Waisenrenten betragen typischerweise 50 % der Rente des Verstorbenen, Vollwaisen 100 %. Witwen-/Witwerrente ist eher pauschal/grundbetragsbezogen. (socmin.lrv.lt)</t>
  </si>
  <si>
    <t>Ja. Ehegatten-/Partner-Hinterbliebenenrente: 100 % der fixen Rentenbestandteile und 75 % der proportionalen Bestandteile; keine einfache Gesamtquote zur Altersrente. (guichet.public.lu)</t>
  </si>
  <si>
    <t>Ja. Contributory Widow(er)’s Pension; auch Ex-Partner können erfasst sein. Historisch/gesetzlich ist die Leistung an die Rente des Verstorbenen gekoppelt; 2026 soll der Satz 0,64814 des maßgeblichen Rentenbetrags erreichen. (Social Security)</t>
  </si>
  <si>
    <t>Ja, aber nicht als AOW-Quote. Anw-survivor benefit ist eine eigenständige Hinterbliebenenleistung für Partner/Ex-Partner unter Bedingungen, insbesondere unter AOW-Alter und mit Kind unter 18 oder mindestens 45 % Erwerbsunfähigkeit. (government.nl)</t>
  </si>
  <si>
    <t>Eingeschränkt. Neue klassische survivor’s pension wird weitgehend durch zeitlich begrenzte adjustment allowance/Übergangsleistungen ersetzt; für nach 1963 Geborene bestehen keine survivor’s rights in der retirement pension. (nav.no)</t>
  </si>
  <si>
    <t>Ja, unter Voraussetzungen. Geschiedene Personen werden Witwen/Witwern gleichgestellt, wenn der verstorbene Ex-Ehegatte zu laufendem Unterhalt verpflichtet war und weitere Bedingungen erfüllt sind. (AHV Liechtenstein)</t>
  </si>
  <si>
    <t>Grundsätzlich nicht als allgemeine Ex-Ehegattenversorgung ersichtlich. Die amtliche Beschreibung nennt Ehegatten und Kinder; geschiedene Ehegatten werden dort nicht als allgemeine Anspruchsgruppe genannt. (socmin.lrv.lt)</t>
  </si>
  <si>
    <t>Ja. Bei Scheidung oder Auflösung einer Partnerschaft wird die Hinterbliebenenrente grundsätzlich anteilig nach Dauer der Ehe/Partnerschaft aufgeteilt. (cnap.public.lu)</t>
  </si>
  <si>
    <t>Ja. Die Contributory Widow(er)’s Pension kann auch für frühere Ehegatten/Partner relevant sein; bei Scheidung erfolgt anteilige Behandlung nach Dauer der Ehe. (Social Security)</t>
  </si>
  <si>
    <t>Ja, unter Bedingungen. Anw kann auch bei Tod eines Ex-Partners beansprucht werden; SVB prüft die Situation am Todestag, u. a. Ex-Partnerstatus und weitere Anspruchsvoraussetzungen. (SVB)</t>
  </si>
  <si>
    <t>Sehr eingeschränkt/regelmäßig nein für Jg. 1976. Bei nach 1963 Geborenen bestehen keine survivor’s rights in der retirement pension; Übergangsleistungen sind gesondert zu prüfen. (nav.no)</t>
  </si>
  <si>
    <t>Rentenleistungen sind als Einkommen steuerlich zu prüfen; Liechtenstein erhebt Einkommensteuer auf steuerpflichtiges Einkommen, Sonderdetails hängen von Wohnsitz und Leistungsart ab. (regierung.li)</t>
  </si>
  <si>
    <t>Gesetzliche Sozialversicherungsrenten werden nach EU-Länderfiche nicht mit Einkommensteuer belastet; bei anderen Renten-/Kapitalleistungen sind Sonderregeln zu prüfen. (Economy and Finance)</t>
  </si>
  <si>
    <t>Renten sind steuerlich relevant; CNAP weist steuerliche Abzüge/Steuerbescheinigungen aus. (cnap.public.lu)</t>
  </si>
  <si>
    <t>Renteneinkommen ist grundsätzlich steuerlich relevant; ab basis year 2026 gilt eine weitgehende Steuerbefreiung für Pension Income bis zu 37.104 €. (MTCA)</t>
  </si>
  <si>
    <t>AOW unterliegt Lohnsteuer-/Payroll-tax-Abzug; bei Auslandsbezug hängt die Besteuerung zusätzlich von Doppelbesteuerungsabkommen ab. (SVB)</t>
  </si>
  <si>
    <t>Renteneinkommen ist steuerpflichtig; pensioners zahlen allerdings reduzierte Sozialversicherungsbeiträge und profitieren ggf. von Rentner-Steuerermäßigungen. (mpisoc.mpg.de)</t>
  </si>
  <si>
    <t>Keine arbeitnehmerähnlichen AHV-Beiträge auf die Altersrente selbst ersichtlich; AHV/IV-Beitragspflicht endet grundsätzlich mit Erreichen des ordentlichen Rentenalters. Krankenversicherung ist separat zu prüfen. (AHV Liechtenstein)</t>
  </si>
  <si>
    <t>Auf Rentenzahlungen selbst sind keine arbeitnehmerähnlichen Sozialversicherungsbeiträge ersichtlich; die Sozialversicherungsbeiträge knüpfen vor allem an Erwerbs-/selbständige Einkünfte an. (socmin.lrv.lt)</t>
  </si>
  <si>
    <t>Auf Luxemburger Renten werden gesetzliche Abzüge erhoben, insbesondere 2,80 % Krankenversicherungsbeitrag; daneben können Pflegeversicherung und Steuerabzug relevant sein. (cnap.public.lu)</t>
  </si>
  <si>
    <t>Sozialversicherungsbeiträge sind primär Beitragsabgaben aus Erwerbseinkommen; auf Renteneinkommen steht vor allem die steuerliche Behandlung im Vordergrund. (MTCA)</t>
  </si>
  <si>
    <t>Von AOW werden Lohnsteuer/National Insurance und der einkommensabhängige Krankenversicherungsbeitrag Zvw einbehalten; AOW-Empfänger zahlen keine AOW-Beiträge mehr, aber Anw/Wlz-Beiträge können enthalten sein. (SVB)</t>
  </si>
  <si>
    <t>Auf Renteneinkommen fällt ein reduzierter National-Insurance-Beitrag an: 2026 5,1 % auf pension income, soweit die Schwellen überschritten sind. (skatteetaten.no)</t>
  </si>
  <si>
    <t>65 Jahre. Für Männer gilt das Regelpensionsalter 65; der Jahrgang 1976 erreicht dies 2041. (oesterreich.gv.at)</t>
  </si>
  <si>
    <t>65 Jahre. Das gesetzliche Rentenalter beträgt für Männer 65 Jahre; Jahrgang 1976 erreicht dies 2041. (ZUS)</t>
  </si>
  <si>
    <t>Nicht endgültig statisch bezifferbar. 2026 liegt das normale Rentenalter bei 66 Jahren und 9 Monaten; das portugiesische Alter wird jedoch fortlaufend nach Lebenserwartungsmechanismen angepasst, sodass das konkrete Alter für Jg. 1976 erst später feststeht. (www2.gov.pt)</t>
  </si>
  <si>
    <t>65 Jahre. Für Männer gilt ein Rentenalter von 65 Jahren; Mindestbeitragszeit 15 Jahre, volle Beitragszeit 35 Jahre. (European Commission)</t>
  </si>
  <si>
    <t>Beitrags-/versicherungsbezogen. Für ab 1955 Geborene erfolgt der Erwerb über das Pensionskonto; jährlich werden grundsätzlich 1,78 % der Beitragsgrundlage gutgeschrieben. (oesterreich.gv.at)</t>
  </si>
  <si>
    <t>Beitrags-/versicherungsbezogen. Anspruch genügt grundsätzlich mit Erreichen des Alters und mindestens einem auf dem ZUS-Konto verbuchten Beitrag; die Höhe hängt wesentlich von den angesammelten Beiträgen ab. (ZUS)</t>
  </si>
  <si>
    <t>Beitrags-/versicherungsbezogen. Die reguläre Altersrente setzt Versicherung im Sozialversicherungssystem und grundsätzlich mindestens 15 Kalenderjahre mit Entgelt-/Beitragsaufzeichnungen voraus. (www2.gov.pt)</t>
  </si>
  <si>
    <t>Beitrags-/versicherungsbezogen. Anspruch setzt Erreichen des Rentenalters und Mindestbeitragszeit voraus; die Höhe beruht auf Beitragszeiten, beitragspflichtigen Einkünften und Rentenpunkten. (European Commission)</t>
  </si>
  <si>
    <t>Ja. Der Versorgungserwerb im Pensionskonto knüpft an beitragspflichtige Erwerbseinkommen an. (oesterreich.gv.at)</t>
  </si>
  <si>
    <t>Ja. Das System ist konten-/beitragsbezogen; Beiträge werden dem individuellen ZUS-Konto gutgeschrieben. (zus.pl)</t>
  </si>
  <si>
    <t>Ja. Die reguläre Altersrente setzt versicherte Beschäftigung bzw. Beitragszeiten voraus. (www2.gov.pt)</t>
  </si>
  <si>
    <t>Ja. Die staatliche Rente beruht auf Beitragspflicht; seit der Reform trägt im Regelfall der Arbeitnehmer den gesetzlichen Rentenversicherungsbeitrag, mit Sonderbeiträgen des Arbeitgebers bei besonderen Arbeitsbedingungen. (mpisoc.mpg.de)</t>
  </si>
  <si>
    <t>Ja, für die einkommensbezogene Rente. Jährlich werden 16 % des rentenbegründenden Einkommens der Einkommensrente und 2,5 % der Prämienrente zugeordnet. (pensionsmyndigheten.se)</t>
  </si>
  <si>
    <t>Nein, nicht für die reguläre Alterspension. Bloßer Aufenthalt begründet keine Pensionsanwartschaft; maßgeblich sind Versicherungs- und Beitragszeiten. (oesterreich.gv.at)</t>
  </si>
  <si>
    <t>Nein. Die reguläre Altersrente ist kein reines Wohnsitzsystem, sondern setzt zumindest Beitragsverbuchung voraus. (ZUS)</t>
  </si>
  <si>
    <t>Nein, nicht für die reguläre Altersrente. Aufenthaltsbezogene Sozial-/Mindestleistungen sind von der beitragsbezogenen Altersrente zu trennen. (www2.gov.pt)</t>
  </si>
  <si>
    <t>Nein, nicht für die reguläre Altersrente. Diese setzt Beitragszeiten voraus; Mindestsicherungsleistungen sind gesondert zu prüfen. (European Commission)</t>
  </si>
  <si>
    <t>Teilweise ja. Die Garantierente knüpft an Wohnen/Leben in Schweden an; die Einkommens- und Prämienrente bleiben einkommensbezogen. (pensionsmyndigheten.se)</t>
  </si>
  <si>
    <t>Anwartschaften werden im Pensionskonto jährlich aufgebaut; frühere Gutschriften werden mit einem Anpassungsfaktor fortgeschrieben. (oesterreich.gv.at)</t>
  </si>
  <si>
    <t>Beiträge auf dem individuellen Rentenkonto werden jährlich valorisiert; auch Subkonten werden gesetzlich aufgewertet. (zus.pl)</t>
  </si>
  <si>
    <t>Frühere Erwerbseinkommen werden für die Rentenberechnung aufgewertet; die Rentenformel arbeitet u. a. mit Referenzeinkommen, Versicherungsjahren und Steigerungssätzen. (dgaep.gov.pt)</t>
  </si>
  <si>
    <t>Die Rentenhöhe wird über jährliche und durchschnittliche Punktwerte aus beitragspflichtigem Einkommen und Beitragszeit ermittelt. (mpisoc.mpg.de)</t>
  </si>
  <si>
    <t>Die Einkommensrente ist ein Notional-Defined-Contribution-System; Anwartschaften werden nach Einkommens-/Balanceindex fortgeschrieben. Die Prämienrente folgt der Kapitalanlageentwicklung. (pensionsmyndigheten.se)</t>
  </si>
  <si>
    <t>Laufende Pensionen werden grundsätzlich jährlich angepasst; für 2026 lag der Richtwert bei 1,027, mit konkreter Staffelung nach Pensionshöhe. (BMAS)</t>
  </si>
  <si>
    <t>Laufende Renten werden jährlich valorisiert; 2026 betrug der Index 105,3 %, berechnet aus Verbraucherpreisentwicklung und einem Anteil am realen Lohnwachstum. (zus.pl)</t>
  </si>
  <si>
    <t>Laufende Renten werden gesetzlich angepasst; die allgemeine Rentenentwicklung ist u. a. an Preis-/Wirtschaftsgrößen gekoppelt. (mpisoc.mpg.de)</t>
  </si>
  <si>
    <t>Renten werden jährlich angepasst; die rumänische Formel knüpft an den Referenzpunkt und gesetzliche Anpassungsmechanismen an. (mpisoc.mpg.de)</t>
  </si>
  <si>
    <t>Einkommensrenten werden jährlich mit dem Einkommens-/Balanceindex abzüglich des bereits eingerechneten Vorschusszinses angepasst; Garantierenten folgen eigenen Grundsicherungsregeln. (pensionsmyndigheten.se)</t>
  </si>
  <si>
    <t>Ja. Invaliditäts-/Berufsunfähigkeitspension bei dauerhafter Erwerbsunfähigkeit bzw. fehlender Rehabilitationsmöglichkeit. Keine einfache Quote zur Altersrente; die Höhe folgt der eigenen Pensionsberechnung. (oesterreich.gv.at)</t>
  </si>
  <si>
    <t>Ja. Rente wegen Erwerbsunfähigkeit. Keine Quote zur Altersrente; bei teilweiser Erwerbsunfähigkeit beträgt die Leistung 75 % der Rente bei vollständiger Erwerbsunfähigkeit. (ZUS)</t>
  </si>
  <si>
    <t>Ja. Invaliditätsrente bei relativer oder absoluter Invalidität. Keine feste Quote zur Altersrente; die Leistung wird nach eigener Invaliditäts-/Rentenformel berechnet. (Segurança Social)</t>
  </si>
  <si>
    <t>Ja. Invaliditätsrente bei geminderter Arbeitsfähigkeit in den gesetzlichen Invaliditätsgraden. Keine Quote zur Altersrente; Berechnung nach Beitragszeit, Einkommen, Invaliditätskategorie und ggf. gutgeschriebener potenzieller Beitragszeit. (European Commission)</t>
  </si>
  <si>
    <t>Ja. Sickness/activity compensation bei dauerhaft eingeschränkter Arbeitsfähigkeit, grundsätzlich bis 64. Keine Quote zur Altersrente; es handelt sich um eine eigenständige Sozialversicherungsleistung. (forsakringskassan.se)</t>
  </si>
  <si>
    <t>Ja. Witwen-/Witwerpension zwischen 0 % und 60 % der Pension des Verstorbenen, abhängig von den Einkommensverhältnissen der Ehegatten. Waisenpension grundsätzlich 40 % bzw. 60 % der Witwen-/Witwerpension. (oesterreich.gv.at)</t>
  </si>
  <si>
    <t>Ja. Eine gemeinsame Hinterbliebenenrente wird gewährt und auf Berechtigte verteilt: 85 % bei einer berechtigten Person, 90 % bei zwei, 95 % bei drei oder mehr Berechtigten. (ZUS)</t>
  </si>
  <si>
    <t>Ja. Hinterbliebenenrente für Ehegatten, frühere Ehegatten, Lebenspartner und bestimmte Nachkommen. Ehegatte/früherer Ehegatte/Lebenspartner erhält grundsätzlich 60 % der Rente des Verstorbenen bei einem Berechtigten, 70 % bei mehreren, aufgeteilt. (www2.gov.pt)</t>
  </si>
  <si>
    <t>Ja. Hinterbliebenenrente für Kinder und Ehegatten; Quote aus der Rente des Verstorbenen: 50 % bei einem Berechtigten, 75 % bei zwei, 100 % bei drei oder mehr. (European Commission)</t>
  </si>
  <si>
    <t>Ja, aber nicht als klassische Quote zur Altersrente. Es gibt u. a. adjustment pension, child pension und ältere Witwenpensionen; die Leistung knüpft an Einkommen/Ansprüche des Verstorbenen und die jeweilige Anspruchsgruppe an. (pensionsmyndigheten.se)</t>
  </si>
  <si>
    <t>Ja, unter Voraussetzungen. Geschiedene Ehegatten können anspruchsberechtigt sein, insbesondere bei gesetzlicher oder tatsächlicher Unterhaltsverpflichtung des Verstorbenen; die Leistung ist regelmäßig durch den Unterhaltsanspruch begrenzt. (BMAS)</t>
  </si>
  <si>
    <t>Ja, unter Voraussetzungen. Eine geschiedene oder getrennt lebende Ehefrau kann Anspruch haben, wenn sie die Witwenbedingungen erfüllt und am Todestag einen Unterhaltsanspruch gegen den Verstorbenen hatte. (zus.pl)</t>
  </si>
  <si>
    <t>Ja. Frühere Ehegatten können anspruchsberechtigt sein, wenn ihnen Unterhalt zustand; der Anspruch ist auf den Unterhaltsbetrag begrenzt. (www2.gov.pt)</t>
  </si>
  <si>
    <t>Ja, eingeschränkt. Die rumänischen Regeln erfassen den überlebenden Ehegatten; bei geschiedenen Personen ist regelmäßig kein allgemeiner eigener Ex-Ehegattenanspruch ersichtlich, sondern allenfalls über besondere Unterhalts-/Statuskonstellationen zu prüfen. (European Commission)</t>
  </si>
  <si>
    <t>Grundsätzlich keine allgemeine geschiedenenbezogene Hinterbliebenenrente im heutigen öffentlichen System. Die aktuellen Anspruchsgruppen betreffen vor allem Ehe-/Lebenspartner, bestimmte zusammenlebende Partner und Kinder; Altbestände der Witwenpension sind gesondert zu prüfen. (pensionsmyndigheten.se)</t>
  </si>
  <si>
    <t>Gesetzliche Pensionen sind grundsätzlich steuerpflichtige Einkünfte; der Pensionsversicherungsträger behält Lohnsteuer ein. (oesterreich.gv.at)</t>
  </si>
  <si>
    <t>Alters- und Invaliditätsrenten sind grundsätzlich einkommensteuerpflichtig nach der polnischen Steuerskala. (podatki-arch.mf.gov.pl)</t>
  </si>
  <si>
    <t>Rentenleistungen sind grundsätzlich einkommensteuerpflichtig, typischerweise als Kategorie-H-Einkünfte; konkrete Belastung hängt von Ansässigkeit, Freibeträgen und Gesamteinkommen ab. (mpisoc.mpg.de)</t>
  </si>
  <si>
    <t>Renten sind oberhalb des gesetzlichen Freibetrags steuerpflichtig; die EU-Rechteübersicht nennt eine Besteuerung von Rentenanteilen oberhalb von RON 3.000. (European Commission)</t>
  </si>
  <si>
    <t>Öffentliche Alters-, Invaliditäts- und Hinterbliebenenrenten sind grundsätzlich einkommensteuerpflichtig, aber nicht lohnnebenkosten-/payroll-tax-pflichtig.</t>
  </si>
  <si>
    <t>Auf österreichische Pensionen fällt regelmäßig Krankenversicherungsbeitrag an; der Beitragssatz wird mit 6 % der Bruttopension angegeben. (bvaeb.at)</t>
  </si>
  <si>
    <t>Auf Renten wird Krankenversicherungsbeitrag erhoben; ZUS weist für die Krankenversicherung grundsätzlich 9 % der Bemessungsgrundlage aus, auch bei Alters-/Invaliditätsrenten. (zus.pl)</t>
  </si>
  <si>
    <t>Rentenleistungen sind nach der herangezogenen Länderübersicht nicht sozialversicherungspflichtig; die Belastung erfolgt primär über Einkommensteuer. (mpisoc.mpg.de)</t>
  </si>
  <si>
    <t>Rentenleistungen unterliegen nach der herangezogenen Systemdarstellung nicht den regulären Sozialversicherungsbeiträgen; relevant ist vor allem die Einkommensteuer oberhalb des Freibetrags. (mpisoc.mpg.de)</t>
  </si>
  <si>
    <t>Öffentliche Renten unterliegen Einkommensteuer, aber grundsätzlich keinen payroll taxes/Sozialabgaben wie Erwerbseinkommen.</t>
  </si>
  <si>
    <t>65 Jahre. Für Männer gilt in der AHV das Referenzalter 65; Jahrgang 1976 erreicht dies 2041. (ahv-iv.ch)</t>
  </si>
  <si>
    <t>Heute nicht abschließend bezifferbar. Für nach 1966 Geborene wird das Rentenalter erst fünf Jahre vor Erreichen des Rentenalters amtlich festgelegt; Jahrgang 1976 ist daher noch nicht verbindlich bezifferbar. (socpoist.sk)</t>
  </si>
  <si>
    <t>67 Jahre nach aktueller Reformlogik. Slowenien hat die Anhebung des gesetzlichen Rentenalters von 65 auf 67 beschlossen; 67 soll 2035 erreicht sein, also vor Renteneintritt des Jahrgangs 1976. (OECD)</t>
  </si>
  <si>
    <t>67 Jahre, oder 65 Jahre bei mindestens 38 Jahren und 6 Monaten Beitragszeit. Für Jahrgang 1976 bedeutet dies regulär 2043, bei langer Beitragsbiografie 2041. (Social Security)</t>
  </si>
  <si>
    <t>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t>
  </si>
  <si>
    <t>65 Jahre. Das Regelrentenalter liegt seit 2022 einheitlich bei 65; volle Altersrente setzt regelmäßig 20 Dienstjahre voraus, Teilrente 15 Jahre. (OECD)</t>
  </si>
  <si>
    <t>65 Jahre. Die gesetzliche Altersrente wird grundsätzlich mit 65 gezahlt; unter besonderen Voraussetzungen kann ein Bezug ab 63 möglich sein. (mlsi.gov.cy)</t>
  </si>
  <si>
    <t>Beitrags-/versicherungsbezogen mit universalem Einschlag. AHV/IV knüpfen an Versicherung und Beiträge an; Höhe nach Beitragsjahren und durchschnittlichem Jahreseinkommen. (ch.ch)</t>
  </si>
  <si>
    <t>Beitrags-/versicherungsbezogen. Anspruch auf Altersrente setzt Rentenalter und mindestens 15 Jahre Rentenversicherung voraus. (socpoist.sk)</t>
  </si>
  <si>
    <t>Beitrags-/versicherungsbezogen. Die staatliche Pension beruht auf Pflichtversicherung, Beitragszeiten, Pensionbasis und Versicherungsdauer. (zpiz.si)</t>
  </si>
  <si>
    <t>Beitrags-/versicherungsbezogen. Die contributory pension ist Teil der Sozialversicherung; Rentenalter und Beitragsdauer sind maßgeblich. (Social Security)</t>
  </si>
  <si>
    <t>Beitrags-/versicherungsbezogen. Die gesetzliche Rentenversicherung erfasst Alter, Invalidität und Tod des Ernährers und ist als Pflichtversicherung organisiert. (cssz.cz)</t>
  </si>
  <si>
    <t>Beitrags-/versicherungsbezogen. Das System ist ein umlagefinanziertes earnings-related public pension scheme. (mpisoc.mpg.de)</t>
  </si>
  <si>
    <t>Beitrags-/versicherungsbezogen. Das General Social Insurance Scheme deckt Alter, Invalidität und Hinterbliebene ab; Ansprüche hängen von Versicherungs-/Beitragsbedingungen ab. (issa.int)</t>
  </si>
  <si>
    <t>Ja. Arbeitnehmer und Arbeitgeber zahlen AHV/IV/EO-Beiträge; auch Nichterwerbstätige können beitragspflichtig sein. (Relocation Genevoise)</t>
  </si>
  <si>
    <t>Ja. Für die erste Säule werden Beiträge erhoben; als Richtgröße werden 4 % Arbeitnehmer- und 14 % Arbeitgeberanteil für die Altersversicherung genannt. (cms.law)</t>
  </si>
  <si>
    <t>Ja. Der Beitragssatz für die öffentliche Pensionsversicherung beträgt 24,35 % des Bruttolohns, davon 15,5 % Arbeitnehmer und 8,85 % Arbeitgeber. (SPOT | Slovenska poslovna točka)</t>
  </si>
  <si>
    <t>Ja. Beiträge werden aus Erwerbseinkommen entrichtet; die allgemeinen Sozialversicherungsbeiträge sind auf Löhne/Gehälter bezogen. (taxsummaries.pwc.com)</t>
  </si>
  <si>
    <t>Ja. Arbeitnehmer tragen 6,5 % des Bruttolohns zur Rentenversicherung, Arbeitgeber 21,5 %. (European Commission)</t>
  </si>
  <si>
    <t>Ja. Erfasst sind insbesondere Arbeitnehmer, Selbständige und sonstige sozialversicherungspflichtige Gruppen. (mpisoc.mpg.de)</t>
  </si>
  <si>
    <t>Ja. Arbeitnehmer und Arbeitgeber zahlen seit 2024 jeweils 8,8 % der versicherbaren Vergütung; es gilt eine jährliche Beitragsbemessungsgrenze. (taxsummaries.pwc.com)</t>
  </si>
  <si>
    <t>Nicht beitragsfrei allein durch Aufenthalt. Wohnsitz oder Erwerbstätigkeit begründen zwar grundsätzlich Versicherung/Beitragspflicht; Rentenansprüche setzen aber Beitragszeiten voraus. (ch.ch)</t>
  </si>
  <si>
    <t>Nein. Maßgeblich ist Rentenversicherung; das System knüpft nicht allein an legalen Aufenthalt an. (researchinslovakia.saia.sk)</t>
  </si>
  <si>
    <t>Nein, nicht für die reguläre Altersrente. Diese ist Pflichtversicherungs-/Beitragssystem; Sozialhilfe- oder Mindestsicherungsleistungen sind davon zu trennen. (zpiz.si)</t>
  </si>
  <si>
    <t>Nein, nicht für die beitragsbezogene Altersrente. Es gibt zwar nicht beitragsbezogene Leistungen für Bedürftige, diese sind aber nicht die reguläre beitragsbezogene Altersrente. (EURAXESS)</t>
  </si>
  <si>
    <t>Nein. Erwerb und Höhe hängen von Versicherungszeiten und beitragspflichtigen Einkünften ab; bloßer Aufenthalt genügt nicht. (cssz.cz)</t>
  </si>
  <si>
    <t>Nein. Anspruchserwerb beruht auf Dienst-/Versicherungszeiten; 15 bzw. 20 Jahre sind zentrale Schwellen. (findyourpension.eu)</t>
  </si>
  <si>
    <t>Nicht für die beitragsbezogene Altersrente. Daneben gibt es eine Social Pension für Personen mit langfristigem Aufenthalt, aber die gesetzliche Altersrente aus dem Social Insurance Scheme ist beitragsbezogen. (mlsi.gov.cy)</t>
  </si>
  <si>
    <t>Einkommen früherer Jahre werden aufgewertet; maßgeblich sind Beitragsjahre, durchschnittliches Jahreseinkommen, Erziehungs-/Betreuungsgutschriften und Splitting-Regeln. (ahv-iv.ch)</t>
  </si>
  <si>
    <t>Aufbau über Versicherungszeiten, Bemessungsgrundlagen und persönliche Lohnpunkte; die elektronische Versichertenübersicht stellt genau diese Parameter dar. (socpoist.sk)</t>
  </si>
  <si>
    <t>Frühere Einkommen werden bei der Berechnung aufgewertet; derzeit maßgeblich ist die günstigste mehrjährige Bemessungsgrundlage, wobei Reformen den Referenzzeitraum ausweiten. (zpiz.si)</t>
  </si>
  <si>
    <t>Anwartschaften hängen von Beitragsjahren und Beitragsbasen ab; für die volle Rente ist die erreichte Beitragsdauer entscheidend. (Social Security)</t>
  </si>
  <si>
    <t>Die Rente hat einen Grundbetrag und einen prozentualen Teil; der prozentuale Teil wird aus Berechnungsgrundlage und Versicherungsjahren ermittelt, wobei der Steigerungssatz ab 2026 schrittweise sinkt. (cssz.cz)</t>
  </si>
  <si>
    <t>Erwerb über Dienstzeiten und beitragspflichtige Einkommen; die Altersrente ist einkommensbezogen und leistungsdefiniert. (mpisoc.mpg.de)</t>
  </si>
  <si>
    <t>Anwartschaften entstehen über Versicherungs-/Beitragspunkte; versicherbare Einkommen werden jährlich angepasst. (EURAXESS)</t>
  </si>
  <si>
    <t>AHV/IV-Renten werden nach dem Mischindex aus Lohn- und Preisentwicklung angepasst. (Loyco)</t>
  </si>
  <si>
    <t>Laufende Renten werden jährlich angepasst, insbesondere nach der Entwicklung der Rentner-Verbraucherpreise. (Social Security)</t>
  </si>
  <si>
    <t>Laufende Renten werden indexiert; aktuell ist ein Übergang von 60 % Lohn-/40 % Preisentwicklung zu 20 % Lohn-/80 % Preisentwicklung bis 2045 vorgesehen. (OECD)</t>
  </si>
  <si>
    <t>Laufende beitragsbezogene Renten werden zur Kaufkrafterhaltung anhand des Verbraucherpreisindex angepasst; 2026 betrug die allgemeine Erhöhung 2,7 %. (La Moncloa)</t>
  </si>
  <si>
    <t>Laufende Renten werden gesetzlich valorisiert; zugleich enthält die Reform ab 2026 Änderungen bei Berechnung und Steigerungssatz. (cssz.cz)</t>
  </si>
  <si>
    <t>Laufende Renten werden jährlich angepasst; ISSA beschreibt eine Anpassung nach Verbraucherpreisen und Nettolohnentwicklung. (issa.int)</t>
  </si>
  <si>
    <t>Leistungen werden gesetzlich angepasst; ISSA beschreibt jährliche Anpassungen im Januar und ggf. Juli nach Lohn- und Preisentwicklung. (issa.int)</t>
  </si>
  <si>
    <t>Ja. Invalidität setzt eine langfristige Gesundheitsbeeinträchtigung mit mehr als 40 % Minderung der Erwerbsfähigkeit voraus; keine feste Quote zur Altersrente. (socpoist.sk)</t>
  </si>
  <si>
    <t>Ja. Invaliditätsversicherung ist Teil des Systems; keine einfache Quote zur Altersrente, sondern eigenständige Berechnung nach Versicherungsbiografie. (findyourpension.eu)</t>
  </si>
  <si>
    <t>Ja. Teilweise Invalidität als Einmalbetrag; totale dauerhafte Erwerbsunfähigkeit regelmäßig 55 % der Berechnungsgrundlage, ab 55 unter Bedingungen 75 %; absolute Invalidität 100 %. (administracion.gob.es)</t>
  </si>
  <si>
    <t>Ja. Invaliditätsrente bei langfristiger Erwerbsminderung; keine Quote zur Altersrente, sondern drei Invaliditätsgrade und eigene Berechnung. (portal.gov.cz)</t>
  </si>
  <si>
    <t>Ja. Leistungen bei veränderter Arbeitsfähigkeit sind im System als Gesundheits-/Rehabilitations- bzw. Disability Benefit ausgestaltet; keine feste Quote zur Altersrente. (European Commission)</t>
  </si>
  <si>
    <t>Ja. Invalidity Pension bei voller Erwerbsunfähigkeit und erfüllten Beitragsbedingungen; keine pauschale Quote zur Altersrente, aber Berechnung im selben Sozialversicherungssystem. (issa.int)</t>
  </si>
  <si>
    <t>Ja. Witwen-/Witwerrente bis maximal 80 % der Altersrente; Waisenrente 40 %. (ahv-iv.ch)</t>
  </si>
  <si>
    <t>Ja. Witwen-/Witwerrente grundsätzlich 60 % der Rente des Verstorbenen; Waisenrente 40 %. (socpoist.sk)</t>
  </si>
  <si>
    <t>Ja. Hinterbliebenenrente: 70 % bei einem Berechtigten, 80 % bei zwei, 90 % bei drei und 100 % bei vier oder mehr Berechtigten bzw. Vollwaisen. (Social Security)</t>
  </si>
  <si>
    <t>Ja. Witwen-/Witwerrente grundsätzlich 52 % der regulatorischen Basis, unter bestimmten Bedingungen bis 70 %. (Sécurité Sociale)</t>
  </si>
  <si>
    <t>Ja. Witwen-/Witwerrente besteht aus Grundbetrag und prozentualem Teil; der prozentuale Teil beträgt 50 % des maßgeblichen prozentualen Rententeils des Verstorbenen. (portal.gov.cz)</t>
  </si>
  <si>
    <t>Ja. Witwen-/Witwerrente typischerweise 60 % der Rente, auf die der Verstorbene Anspruch gehabt hätte; bei eigener Rente des Hinterbliebenen können andere Sätze gelten. (allamkincstar.gov.hu)</t>
  </si>
  <si>
    <t>Ja. Hinterbliebenenleistungen für Ehegatten und Waisen; ISSA beschreibt u. a. Ehegatten- und Waisenrenten im General Social Insurance Scheme. (issa.int)</t>
  </si>
  <si>
    <t>Ja, unter Voraussetzungen. Geschiedene Personen können in AHV/BVG-Konstellationen Hinterbliebenenleistungen erhalten, insbesondere bei langer Ehe bzw. Unterhalts-/Scheidungsregelungen. (ahv-iv.ch)</t>
  </si>
  <si>
    <t>Grundsätzlich nein. Die Sozialversicherung weist ausdrücklich darauf hin, dass nach Scheidung kein Anspruch auf Witwen-/Witwerrente nach dem früheren Ehegatten besteht. (socpoist.sk)</t>
  </si>
  <si>
    <t>Ja. Wenn ein späterer Ehegatte und ein geschiedener Ehegatte beide berechtigt sind, wird die Witwen-/Witwerrente mit 70 % der Bemessungsgrundlage festgesetzt und geteilt. (zpiz.si)</t>
  </si>
  <si>
    <t>Ja, unter Bedingungen. Getrennte oder geschiedene Personen können Witwen-/Witwerrente erhalten, wenn die gesetzlichen Voraussetzungen erfüllt sind. (Sécurité Sociale)</t>
  </si>
  <si>
    <t>Nein. Geschiedene Ehegatten haben nach dem früheren Ehegatten keinen Anspruch auf Witwen-/Witwerrente; auch bloße Lebensgefährten sind nicht anspruchsberechtigt. (cssz.cz)</t>
  </si>
  <si>
    <t>Ja, unter Voraussetzungen. Anspruchsgruppen können auch geschiedene Ehegatten bzw. frühere Partner umfassen; bei mehreren Berechtigten kann die Leistung aufgeteilt werden. (issa.int)</t>
  </si>
  <si>
    <t>Eher eingeschränkt. Das System kennt Ehegatten-/Waisenleistungen; ein allgemeiner geschiedenenbezogener Hinterbliebenenanspruch ist in den zugänglichen Regelübersichten nicht als Standardanspruch ausgewiesen. (issa.int)</t>
  </si>
  <si>
    <t>AHV-/Pensionsleistungen sind grundsätzlich steuerbares Einkommen; konkrete Belastung hängt von Bund, Kanton, Gemeinde und Gesamtveranlagung ab. (Fiduciary Genevoise)</t>
  </si>
  <si>
    <t>Rentenleistungen sind nicht einkommensteuerpflichtig. (mpisoc.mpg.de)</t>
  </si>
  <si>
    <t>Renten sind einkommensteuerlich relevant; slowenische Steuerresidenten versteuern grundsätzlich ihr Welteinkommen, ausländische Pensionen sind gesondert zu erklären. (fu.gov.si)</t>
  </si>
  <si>
    <t>Renten sind grundsätzlich einkommensteuerpflichtig; spanische Sozialversicherungsrenten an Nichtresidenten unterliegen ebenfalls der spanischen Nichtresidentenbesteuerung, während bestimmte Invaliditätsleistungen steuerbefreit sein können. (sede.agenciatributaria.gob.es)</t>
  </si>
  <si>
    <t>Renten sind grundsätzlich steuerlich relevant; nach gängigen Darstellungen sind staatliche Pflichtleistungen nur oberhalb gesetzlicher Schwellen steuerpflichtig. (cms.law)</t>
  </si>
  <si>
    <t>Rentenleistungen sind nicht steuerpflichtig. (mpisoc.mpg.de)</t>
  </si>
  <si>
    <t>Renten können einkommensteuerlich relevant sein; die Steuererklärung unterscheidet u. a. Pensionen der Social Insurance Services und spezielle Behandlung von Witwenrenten. (mof.gov.cy)</t>
  </si>
  <si>
    <t>Keine arbeitnehmerähnlichen AHV-Beiträge auf die Altersrente selbst; Krankenversicherung ist separat und prämienbasiert, nicht lohnprozentual wie Sozialabgaben auf Erwerbseinkommen. (ahv-iv.ch)</t>
  </si>
  <si>
    <t>Rentenleistungen unterliegen keinen Sozialversicherungsbeiträgen. (mpisoc.mpg.de)</t>
  </si>
  <si>
    <t>Reguläre Arbeitnehmer-/Arbeitgeberpensionsbeiträge knüpfen an Erwerbseinkommen an; Renten werden vor allem einkommensteuerlich behandelt, neue Pflege-/Langzeitpflegebeiträge sind gesondert zu prüfen. (fu.gov.si)</t>
  </si>
  <si>
    <t>Sozialversicherungsbeiträge werden im Grundsatz auf Löhne/Gehälter erhoben, nicht als reguläre Arbeitnehmerbeiträge auf Rentenzahlungen. (taxsummaries.pwc.com)</t>
  </si>
  <si>
    <t>Keine regulären Rentenversicherungsbeiträge auf Rentenzahlungen; Sozialversicherung betrifft vor allem Erwerbstätigkeit, Gesundheitsversicherung ist gesondert geregelt. (taxsummaries.pwc.com)</t>
  </si>
  <si>
    <t>Beiträge zur Social Insurance werden auf Erwerbs-/versicherbare Einkommen erhoben; für Rentenleistungen selbst ergibt sich aus den herangezogenen Quellen keine reguläre arbeitnehmerähnliche Sozialversicherungsbelastung. (taxsummaries.pwc.com)</t>
  </si>
  <si>
    <r>
      <t>Ja.</t>
    </r>
    <r>
      <rPr>
        <sz val="11"/>
        <rFont val="Calibri"/>
        <family val="2"/>
      </rPr>
      <t xml:space="preserve"> IV-Rente nach Invaliditätsgrad; seit der linearen Logik keine einfache Quote zur Altersrente, sondern Abstufung nach Invaliditätsgrad.</t>
    </r>
  </si>
  <si>
    <r>
      <t xml:space="preserve">Auf gesetzliche Rentenzahlungen fallen grundsätzlich </t>
    </r>
    <r>
      <rPr>
        <b/>
        <sz val="11"/>
        <rFont val="Calibri"/>
        <family val="2"/>
      </rPr>
      <t>keine arbeitnehmerähnlichen Sozialversicherungsbeiträge</t>
    </r>
    <r>
      <rPr>
        <sz val="11"/>
        <rFont val="Calibri"/>
        <family val="2"/>
      </rPr>
      <t xml:space="preserve"> an.</t>
    </r>
  </si>
  <si>
    <r>
      <t xml:space="preserve">Auf staatliche Renten fallen grundsätzlich </t>
    </r>
    <r>
      <rPr>
        <b/>
        <sz val="11"/>
        <rFont val="Calibri"/>
        <family val="2"/>
      </rPr>
      <t>keine Sozialversicherungsbeiträge</t>
    </r>
    <r>
      <rPr>
        <sz val="11"/>
        <rFont val="Calibri"/>
        <family val="2"/>
      </rPr>
      <t xml:space="preserve"> an; die soziale Sicherung ist stark steuerfinanziert.</t>
    </r>
  </si>
  <si>
    <t>Kurzübersicht</t>
  </si>
  <si>
    <t>Gericht, Datum und Aktenzeichen</t>
  </si>
  <si>
    <t>Versorgungsbezeichnung</t>
  </si>
  <si>
    <t>AG Schöneberg, 13.07.2015 – 21 F 62/14</t>
  </si>
  <si>
    <t>Anrecht der Ehefrau bei der österreichischen Sozialversicherung</t>
  </si>
  <si>
    <t>Österreichische Versorgungsanrechte des Ehemanns (nicht näher bezeichnet)</t>
  </si>
  <si>
    <t>KG Berlin, 16.02.2016 – 3 UF 140/15</t>
  </si>
  <si>
    <t>Fiktive österreichische Pension der früheren Ehefrau bei der österreichischen Pensionsversicherungsanstalt</t>
  </si>
  <si>
    <t>Österreichische Anwartschaften des früheren Ehemanns (Höhe nicht ermittelt)</t>
  </si>
  <si>
    <t>OLG Stuttgart, 26.06.2025 – 11 UF 241/24</t>
  </si>
  <si>
    <t>Österreichische Pensionsanwartschaft / Alterspension</t>
  </si>
  <si>
    <t>OLG Koblenz, 11.04.2011 – 13 UF 205/11</t>
  </si>
  <si>
    <t>Anrechte bei einem schweizerischen Versorgungsträger</t>
  </si>
  <si>
    <t>OLG Stuttgart, 15.12.2011 – 16 WF 240/11</t>
  </si>
  <si>
    <t>Anrechte nach dem Drei-Säulen-System der Schweiz</t>
  </si>
  <si>
    <t>Alters- und Hinterlassenenversicherung (AHV)</t>
  </si>
  <si>
    <t>Versorgungsstiftung A.</t>
  </si>
  <si>
    <t>OLG Karlsruhe, 19.01.2015 – 5 UF 167/14</t>
  </si>
  <si>
    <t>A. Pensionskasse Schweiz</t>
  </si>
  <si>
    <t>Schweizerische AHV/IV-Anwartschaft</t>
  </si>
  <si>
    <t>OLG Sachsen-Anhalt, 30.09.2016 – 3 UF 132/16</t>
  </si>
  <si>
    <t>Schweizer Freizügigkeitsguthaben / Schweizer Versorgungsanwartschaften</t>
  </si>
  <si>
    <t>BGH, 11.07.2018 – XII ZB 336/16</t>
  </si>
  <si>
    <t>Schweizerisches Vorsorgeanrecht auf einem Freizügigkeitskonto bei der C.S. Freizügigkeitsstiftung</t>
  </si>
  <si>
    <t>Alters- und Hinterlassenenversicherung der Schweiz (AHV) bei der AHV-Ausgleichskasse des Kantons …</t>
  </si>
  <si>
    <t>Schweizerische Pensionskasse</t>
  </si>
  <si>
    <t>OLG Zweibrücken, 19.08.2020 – 2 UF 66/20</t>
  </si>
  <si>
    <t>Schweizerische Alters- und Hinterlassenenversicherung / schweizerische Rentenkasse</t>
  </si>
  <si>
    <t>OLG Karlsruhe, 16.01.2023 – 5 UF 58/22</t>
  </si>
  <si>
    <t>Alters- und Hinterlassenenversicherung / Invalidenversicherung (AHV/IV)</t>
  </si>
  <si>
    <t>Schweizerische betriebliche Vorsorge bei der M.-Pensionskasse</t>
  </si>
  <si>
    <t>OLG Karlsruhe, 28.06.2023 – 18 UF 12/23</t>
  </si>
  <si>
    <t>Alters- und Hinterlassenenversicherung (AHV) Schweiz</t>
  </si>
  <si>
    <t>Schweizer Pensionskasse</t>
  </si>
  <si>
    <t>OLG Karlsruhe, 14.11.2023 – 5 WF 124/23</t>
  </si>
  <si>
    <t>Schweizerische betriebliche Altersvorsorge / A. Pensionskasse bzw. T.-Pensionskasse</t>
  </si>
  <si>
    <t>—</t>
  </si>
  <si>
    <t>KG Berlin, 20.10.2021 – 19 UF 47/21</t>
  </si>
  <si>
    <t>Keine konkret bezeichnete ausländische Versorgung; Entscheidung betrifft fehlende Mitwirkung im Versorgungsausgleich</t>
  </si>
  <si>
    <t>ATP</t>
  </si>
  <si>
    <t>Pension Danmark</t>
  </si>
  <si>
    <t>Udbetaling Danmark</t>
  </si>
  <si>
    <t>OLG Zweibrücken, 22.05.2015 – 2 UF 19/15</t>
  </si>
  <si>
    <t>Anrechte bei staatlichen Versorgungsträgern in Frankreich</t>
  </si>
  <si>
    <t>Versicherungssystem für Selbständige</t>
  </si>
  <si>
    <t>Betriebliche Altersvorsorge bei Versorgungsträger (Y), Unternehmen mit Hauptsitz in Irland</t>
  </si>
  <si>
    <t>OLG Frankfurt, 21.07.2014 – 5 UF 149/14</t>
  </si>
  <si>
    <t>In Italien bestehende Versorgungsanrechte beider Ehegatten</t>
  </si>
  <si>
    <t>OLG Düsseldorf, 07.09.2018 – II-8 UF 36/17</t>
  </si>
  <si>
    <t>Italienische Rentenversicherung / italienische Versorgungsanrechte beider Ehegatten</t>
  </si>
  <si>
    <t>Luxemburgische Renten-/Versicherungsanrechte des Ehemanns (Versicherungszeiten in Luxemburg 2007–2010)</t>
  </si>
  <si>
    <t>Luxemburgische Pensionsversicherung</t>
  </si>
  <si>
    <t>nicht konkret bezeichnet</t>
  </si>
  <si>
    <t>Zwei Anrechte auf private Rentenversicherung bei der P… AG / ausländischem Versorgungsträger</t>
  </si>
  <si>
    <t>Drei ausländische Versorgungsanrechte des Antragstellers (nicht näher bezeichnet)</t>
  </si>
  <si>
    <t>Ausländische Versorgungsanwartschaften der beteiligten Ehegatten (nicht näher bezeichnet)</t>
  </si>
  <si>
    <t>OLG Köln, 17.05.2011 – II-27 UF 54/11</t>
  </si>
  <si>
    <t>Einwohnerversicherung (AOW) / AOW-Anwartschaft bei T. in den Niederlanden</t>
  </si>
  <si>
    <t>OLG Düsseldorf, 09.02.2015 – 8 UF 72/14</t>
  </si>
  <si>
    <t>AOW-Altersleistung / AOW-Anwartschaft bei der Sociale Verzekeringsbank (SVB)</t>
  </si>
  <si>
    <t>OLG Koblenz, 07.11.2016 – 11 UF 180/16</t>
  </si>
  <si>
    <t>Polnische Altersrente / polnischer Rentenversicherungsträger</t>
  </si>
  <si>
    <t>OLG Frankfurt, 10.08.2017 – 3 UF 401/11</t>
  </si>
  <si>
    <t>In Portugal erworbene Versorgungsanrechte / Rentenanwartschaften</t>
  </si>
  <si>
    <t>OLG Zweibrücken, 23.11.2012 – 6 UF 60/12</t>
  </si>
  <si>
    <t>Rumänische Pensionskasse / rumänische Rentenanwartschaften</t>
  </si>
  <si>
    <t>OLG Düsseldorf, 17.08.2021 – II-7 UF 77/21</t>
  </si>
  <si>
    <t>Rumänische Rentenversicherung / rumänischer Versorgungsträger</t>
  </si>
  <si>
    <t>OLG Celle, 30.01.2020 – 19 UF 32/17</t>
  </si>
  <si>
    <t>Anrechte bei Versorgungsträger G.</t>
  </si>
  <si>
    <t>Freiwilliger Rentenfonds bei Versorgungsträger D.</t>
  </si>
  <si>
    <t>Serbische gesetzliche Rentenversicherung</t>
  </si>
  <si>
    <t>OLG Düsseldorf, 26.01.2011 – II-5 UF 129/10</t>
  </si>
  <si>
    <t>In Spanien erworbene Anrechte auf Altersversorgung bei einem spanischen Versorgungsträger (Höhe unbekannt)</t>
  </si>
  <si>
    <t>BGH, 19.05.2021 – XII ZB 190/18</t>
  </si>
  <si>
    <t>Etwaige nicht ehezeitlich erworbene ausländische Anrechte der Ehefrau in Tschechien (konkret nicht festgestellt)</t>
  </si>
  <si>
    <t>USA</t>
  </si>
  <si>
    <t>US-amerikanische Anrechte / Social-Security-Anrechte bei der Social Security Administration</t>
  </si>
  <si>
    <t>US-amerikanischer Rentenplan bei der F… Bank aus Arbeitgeberleistungen</t>
  </si>
  <si>
    <t>OLG Zweibrücken, 23.12.2015 – 2 UF 163/15</t>
  </si>
  <si>
    <t>In den USA bestehende Versorgungsanrechte des Antragstellers (nicht näher bezeichnet)</t>
  </si>
  <si>
    <t>OLG Frankfurt, 22.03.2018 – 4 UF 31/17</t>
  </si>
  <si>
    <t>Federal Employees Retirement System (FERS)</t>
  </si>
  <si>
    <t>Social Security</t>
  </si>
  <si>
    <t>Thrift Savings Plan (TSP)</t>
  </si>
  <si>
    <t>OLG Frankfurt, 18.08.2020 – 3 UF 30/18</t>
  </si>
  <si>
    <t>„Retirement Benefits“ / Altersbezüge aus Partnerschaftsvertrag einer US-amerikanischen Anwaltssozietät</t>
  </si>
  <si>
    <t>BGH, 05.05.2021 – XII ZB 381/20</t>
  </si>
  <si>
    <t>„Retirement Benefits“ / Altersbezüge aus Partnerschaftsvertrag der US-amerikanischen Sozietät M. LLP</t>
  </si>
  <si>
    <t>OLG Celle, 04.05.2011 – 10 UF 147/10</t>
  </si>
  <si>
    <t>Staatliche Sozialversicherung Großbritanniens / britische Rentenanwartschaft</t>
  </si>
  <si>
    <t>AG Traunstein, 04.10.2011 – 2 F 680/08</t>
  </si>
  <si>
    <t>Anrecht bei HM Revenue &amp; Customs; monatliche Rente 78,21 EUR (69,77 GBP)</t>
  </si>
  <si>
    <t>OLG Schleswig, 26.07.2024 – 15 UF 85/24</t>
  </si>
  <si>
    <t>OLG OLG Schleswig, 26.07.2024 – 15 UF 85/24</t>
  </si>
  <si>
    <t>OLG Brandenburg, 17.08.2021 – 13 UF 25/20</t>
  </si>
  <si>
    <t>OLG Brandenburg, 14.06.2011 – 10 UF 249/10</t>
  </si>
  <si>
    <t>OLG Brandenburg, 08.07.2020 – 15 UF 66/20</t>
  </si>
  <si>
    <t>OLG Brandenburg, 30.05.2013 – 10 UF 45/11</t>
  </si>
  <si>
    <t>OLG Saarbrücken, 21.01.2013 – 6 UF 440/12</t>
  </si>
  <si>
    <t>OLG Saarbrücken, 24.04.2012 – 6 WF 33/12</t>
  </si>
  <si>
    <t>OLG Saarbrücken, 17.05.2011 – 6 UF 60/11</t>
  </si>
  <si>
    <t>Kennzeichen</t>
  </si>
  <si>
    <t>CH</t>
  </si>
  <si>
    <r>
      <t xml:space="preserve">Land
</t>
    </r>
    <r>
      <rPr>
        <b/>
        <sz val="9"/>
        <color theme="1"/>
        <rFont val="Calibri"/>
        <family val="2"/>
        <scheme val="minor"/>
      </rPr>
      <t>Download Infos</t>
    </r>
  </si>
  <si>
    <t>Steuern</t>
  </si>
  <si>
    <t>Sozialabgaben</t>
  </si>
  <si>
    <t>Zuschläge zum Abfindungsbetrag a.G. des Leistungsspektrums der auszugl. Versorgung</t>
  </si>
  <si>
    <t>3.a. Dynamisierung in der Anwartschaftsphase</t>
  </si>
  <si>
    <t>3.b. Dynamisierung in der Leistungsphase</t>
  </si>
  <si>
    <t>Infos zu dieser Datenbank</t>
  </si>
  <si>
    <t>Kurzinformationen zur Anwendung dieses Datenblattes</t>
  </si>
  <si>
    <t>Gesetzliche Alterssicherung als erwerbs- und beitragsbezogene Pflichtsysteme für Arbeitnehmer, Selbständige und Beamte. Die Arbeitnehmer-/Selbständigenrente knüpft an die berufliche Laufbahn und versicherte Einkommen an. (settlinginbelgium.be)</t>
  </si>
  <si>
    <t>67 Jahre. Belgien hebt das gesetzliche Rentenalter auf 67 Jahre für Personen an, die ab dem 01.01.1964 geboren sind. (sfpd.fgov.be)</t>
  </si>
  <si>
    <t>Nach der aktuellen Reformlogik: 65 Jahre, sofern die erforderliche Versicherungszeit erfüllt ist. Für Männer steigt das Alter bis 2029 auf 65 Jahre; der Jahrgang 1976 erreicht 65 erst 2041. Zu beachten ist, dass nach 2037 eine Kopplung an die Lebenserwartung vorgesehen ist, deren Mechanismus nach OECD-Angaben noch nicht abschließend definiert ist. Bei fehlender voller Versicherungszeit besteht derzeit eine Auffangregel mit 67 Jahren und mindestens 15 Versicherungsjahren. (OECD)</t>
  </si>
  <si>
    <t>Ja. Die Altersrente wird im Kern aus Berufslaufbahn und beitragspflichtigem Einkommen hergeleitet. Bei Arbeitnehmern werden Sozialversicherungsbeiträge von Arbeitnehmern und Arbeitgebern erhoben; OECD nennt u.a. 13,07 % Arbeitnehmeranteil und 25 % Arbeitgeberanteil als allgemeine Sozialversicherungsbeiträge. Selbständige zahlen eigene Beiträge.</t>
  </si>
  <si>
    <t>Ja. Die erste Säule ist beitrags-/versicherungszeitenbezogen; die Rentenhöhe richtet sich nach Versicherungsdauer und dem Einkommen, auf das Beiträge gezahlt wurden. OECD beschreibt eine Gesamtbeitragslast zur Alterssicherung von 19,8 % des Bruttoeinkommens, davon 56 % Arbeitgeber- und 44 % Arbeitnehmeranteil; für nach 1959 Geborene gehen grundsätzlich 5 Prozentpunkte in die zweite Säule. (OECD)</t>
  </si>
  <si>
    <t>Für die reguläre Altersrente: nein. Sie knüpft an Beschäftigung/Selbständigkeit und Versicherungszeiten an; auch gleichgestellte Zeiten können berücksichtigt werden. Eine bedürftigkeitsgeprüfte Mindestsicherung im Alter ist davon zu trennen. (settlinginbelgium.be)</t>
  </si>
  <si>
    <t>Für die reguläre Altersrente: nein. Es bedarf Versicherungszeiten und beitragsbezogener Erwerbsbiografie. Es gibt allerdings eine soziale Altersleistung bei Bedürftigkeit, etwa für ältere Personen ohne ausreichende Versicherungsrente; diese ist nicht mit der beitragsbezogenen Altersrente gleichzusetzen. (European Commission)</t>
  </si>
  <si>
    <t>Ja, bei der Folkepension grundsätzlich wohnsitz-/aufenthaltsbezogen. Voraussetzungen sind u.a. Staatsangehörigkeits-/Aufenthaltsregeln. Für EU-/EWR-/Schweizer-/UK-Staatsangehörige nennt die offizielle Seite u.a. insgesamt mindestens drei Jahre erworbene Ansprüche, davon mindestens ein Jahr in Dänemark; alternativ kommen längere Wohnsitzzeiten in Dänemark in Betracht. (Life in Denmark)</t>
  </si>
  <si>
    <t>Frühere Erwerbseinkommen werden bei der Rentenberechnung preisindexiert bzw. revalorisiert; außerdem werden bestimmte Zeiten ohne tatsächliche Erwerbstätigkeit als gleichgestellte Zeiten berücksichtigt.</t>
  </si>
  <si>
    <t>Die Anwartschaft entsteht über Versicherungszeiten, individuelles beitragspflichtiges Einkommen, individuellen Koeffizienten und nationale Durchschnittsgrößen. In der zweiten Säule wächst das individuelle Konto durch Beiträge und Kapitalerträge. (OECD)</t>
  </si>
  <si>
    <t>Bei der Folkepension entsteht der Anspruch nicht durch Entgeltpunkte, sondern über Wohnsitz-/Aufenthaltszeiten. Bei ATP entstehen Anwartschaften über Beiträge; die spätere ATP-Leistung hängt von Versicherungsdauer und Beitragszahlungen ab. (Life in Denmark)</t>
  </si>
  <si>
    <t>Laufende Pensionen werden automatisch anhand des belgischen Verbraucherpreis-/Gesundheitsindex angepasst; zusätzlich gibt es periodische „well-being“-Anpassungen nach politischer Entscheidung.</t>
  </si>
  <si>
    <t>Gesetzliche Renten werden jährlich zum 1. Juli nach der sogenannten Schweizer Regel angepasst: 50 % Entwicklung der versicherten Einkommen und 50 % Verbraucherpreisentwicklung/HICP. (OECD)</t>
  </si>
  <si>
    <t>Öffentliche Altersrenten werden jährlich im Zusammenhang mit der Lohnentwicklung angepasst; ATP-Leistungen werden nach System-/Finanzierungslage angepasst. (OECD)</t>
  </si>
  <si>
    <t>Ja, aber keine feste Quote zur Altersrente. Belgien kennt Invaliditätsleistungen nach längerer Arbeitsunfähigkeit; die Leistung wird typischerweise nach Familienstand als Prozentsatz des Referenzeinkommens bemessen, etwa 65 %, 55 % oder 40 %, nicht als Prozentsatz der Altersrente. (Social Security)</t>
  </si>
  <si>
    <t>Ja. Voraussetzung ist insbesondere eine dauerhaft/langfristig geminderte Erwerbsfähigkeit von mindestens 50 %. Die Mindestbeträge sind nach Grad der Erwerbsminderung gestaffelt; genannt werden 85 %, 105 % oder 115 % der Mindestaltersrente je nach Invaliditätsgrad. (European Commission)</t>
  </si>
  <si>
    <t>Ja, Førtidspension bei dauerhaft geminderter Erwerbsfähigkeit. Keine feste Quote zur Altersrente; es handelt sich um eine eigene Sozialrente mit festen, einkommensabhängig reduzierbaren Beträgen. Für 2026 nennt die offizielle Seite monatlich vor Steuer DKK 22.053 für Alleinstehende und DKK 18.745 für Verheiratete/Zusammenlebende. (Life in Denmark)</t>
  </si>
  <si>
    <t>Ja. Die Hinterbliebenenpension für Arbeitnehmer wird in Übersichten mit 80 % der Altersrente zum Familienbetrag beschrieben; das entspricht rechnerisch etwa 60 % der maßgeblichen Bemessungsgrundlage. Anspruch und Höhe hängen von persönlichen Voraussetzungen ab. (Plan.be)</t>
  </si>
  <si>
    <t>Ja. Hinterbliebenenrenten betragen 50 % der Rente des Verstorbenen bei einem Berechtigten, 75 % bei zwei und 100 % bei drei oder mehr Berechtigten; die Summe wird unter den Berechtigten verteilt. (European Commission)</t>
  </si>
  <si>
    <t>Keine klassische lebenslange Witwen-/Witwerrente aus der Folkepension. Es gibt eine befristete/pauschale Hinterbliebenenhilfe unter engen Bedingungen; für 2026 wird ein Maximalbetrag von DKK 17.431 genannt. ATP sieht für Ehegatten, Lebensgefährten und Kinder unter Voraussetzungen pauschale Todesfallleistungen vor, typischerweise bis DKK 75.000 vor Steuer; darauf werden 40 % Steuer einbehalten. (Life in Denmark)</t>
  </si>
  <si>
    <t>Belgien kennt eine Pension als geschiedener Ehegatte bzw. Rentenrechte aus der Laufbahn des früheren Ehegatten während der Ehe unter Voraussetzungen. Das ist eher eine eigene Altersrentenregelung für Geschiedene, nicht schlicht eine fortbestehende Witwen-/Witwerrente nach Scheidung. (settlinginbelgium.be)</t>
  </si>
  <si>
    <t>In den herangezogenen gesetzlichen Sozialversicherungsquellen werden Hinterbliebenenrechte für Ehegatten, Kinder und Eltern beschrieben; eine allgemeine gesetzliche Geschiedenenhinterbliebenenversorgung ist dort nicht ausgewiesen. (European Commission)</t>
  </si>
  <si>
    <t>Nein, im Regelfall nicht. Die dänische Hinterbliebenenhilfe knüpft an Ehegatten oder Zusammenleben unmittelbar vor dem Tod an; ATP-Todesfallleistungen betreffen Ehegatten, registrierte/zusammenlebende Partner und Kinder, nicht geschiedene frühere Ehegatten als solche. (Life in Denmark)</t>
  </si>
  <si>
    <t>Gesetzliche Pensionen sind grundsätzlich einkommensteuerpflichtig; nach OECD werden sie nach Abzug bestimmter Sozialbeiträge wie Erwerbseinkommen besteuert, jedoch mit rentenspezifischen Steuerermäßigungen.</t>
  </si>
  <si>
    <t>Bulgarische Renten aus verpflichtender und freiwilliger Versicherung werden in den herangezogenen Steuerhinweisen als nicht steuerpflichtig beschrieben; bei grenzüberschreitenden Bezügen sind Doppelbesteuerungsabkommen gesondert zu prüfen. (pfg.bg)</t>
  </si>
  <si>
    <t>Rentenzahlungen sind grundsätzlich in Dänemark steuerpflichtig. Die offizielle dänische Steuerinformation führt aus, dass Pensionszahlungen im Regelfall steuerbar sind; ATP-Todesfallkapitalleistungen werden mit 40 % besteuert. (Life in Denmark)</t>
  </si>
  <si>
    <r>
      <t xml:space="preserve">Ja. Auf belgische Pensionen können insbesondere ein Beitrag zur Kranken-/Invaliditätsversicherung von </t>
    </r>
    <r>
      <rPr>
        <b/>
        <sz val="11"/>
        <color rgb="FF000000"/>
        <rFont val="Calibri"/>
        <family val="2"/>
      </rPr>
      <t>3,55 %</t>
    </r>
    <r>
      <rPr>
        <sz val="11"/>
        <color rgb="FF000000"/>
        <rFont val="Calibri"/>
        <family val="2"/>
      </rPr>
      <t xml:space="preserve"> oberhalb bestimmter Schwellen sowie ein Solidaritätsbeitrag von </t>
    </r>
    <r>
      <rPr>
        <b/>
        <sz val="11"/>
        <color rgb="FF000000"/>
        <rFont val="Calibri"/>
        <family val="2"/>
      </rPr>
      <t>0,5 % bis 2 %</t>
    </r>
    <r>
      <rPr>
        <sz val="11"/>
        <color rgb="FF000000"/>
        <rFont val="Calibri"/>
        <family val="2"/>
      </rPr>
      <t xml:space="preserve"> erhoben werden.</t>
    </r>
  </si>
  <si>
    <t>Auf die Rentenleistung selbst ergibt sich aus den herangezogenen Quellen keine Arbeitnehmer-/Arbeitgeber-Sozialabgabe; die Sozialversicherungsbeiträge belasten primär Erwerbseinkommen während der aktiven Phase. (OECD)</t>
  </si>
  <si>
    <t>Auf die Rentenleistung selbst steht die Besteuerung im Vordergrund; eine klassische Arbeitnehmer-/Arbeitgeber-Sozialabgabe auf die laufende Folkepension/ATP-Leistung wird in den herangezogenen offiziellen Renteninformationen nicht ausgewiesen. (Life in Denmark)</t>
  </si>
  <si>
    <t>Abfindungsbetrag Methode 3:</t>
  </si>
  <si>
    <t>Link zur Rechtsdatensammlung der DRV</t>
  </si>
  <si>
    <t>*) Der Autor übernimmt keine Haftung für die aufgeführten Werte</t>
  </si>
  <si>
    <t>Rechenparameter für Versorgungsausgleich und Sozialversicherung*</t>
  </si>
  <si>
    <t>Monatliche Bezugsgröße nach § 18 SGB VI</t>
  </si>
  <si>
    <t>Bagatellgrenze § 18 VersAusglG in €</t>
  </si>
  <si>
    <t>aktueller Rentenwert in €</t>
  </si>
  <si>
    <t>Ø-Entgelt ges. Renten-versicherung § 69 II SGB VI</t>
  </si>
  <si>
    <t>Beitragsbem.Grenze gRV § 159 SGB VI</t>
  </si>
  <si>
    <t>Beitragssatz in gesetzlicher RV</t>
  </si>
  <si>
    <t>Umrechenfaktoren Entgeltpunkte in Beiträge</t>
  </si>
  <si>
    <t>Umrechenfaktor Beitrag in Entgeltpunkte</t>
  </si>
  <si>
    <t>Rentenererwerb aus 1.000 € Beitrag</t>
  </si>
  <si>
    <t>Beitragskosten für
1 Euro Rente</t>
  </si>
  <si>
    <t>VBL Altersfaktoren</t>
  </si>
  <si>
    <t>Beamtenversorgung</t>
  </si>
  <si>
    <t>Jahr</t>
  </si>
  <si>
    <t>West in Euro</t>
  </si>
  <si>
    <t>Ost in Euro</t>
  </si>
  <si>
    <t>ab</t>
  </si>
  <si>
    <t xml:space="preserve">Ost in Euro </t>
  </si>
  <si>
    <t>Beitrags-satz</t>
  </si>
  <si>
    <t>West</t>
  </si>
  <si>
    <t>Ost</t>
  </si>
  <si>
    <t>Anpassung</t>
  </si>
  <si>
    <t>Tabelle9a</t>
  </si>
  <si>
    <t>EP</t>
  </si>
  <si>
    <r>
      <rPr>
        <b/>
        <sz val="14"/>
        <color rgb="FF000000"/>
        <rFont val="Calibri"/>
        <family val="2"/>
      </rPr>
      <t>Das bedeutet konkret:</t>
    </r>
    <r>
      <rPr>
        <sz val="11"/>
        <color rgb="FF000000"/>
        <rFont val="Calibri"/>
        <family val="2"/>
      </rPr>
      <t xml:space="preserve">
</t>
    </r>
    <r>
      <rPr>
        <b/>
        <sz val="11"/>
        <color rgb="FF000000"/>
        <rFont val="Calibri"/>
        <family val="2"/>
      </rPr>
      <t>1.Das auszugleichende Leistungsspektrum der sVA-Rente</t>
    </r>
    <r>
      <rPr>
        <sz val="11"/>
        <color rgb="FF000000"/>
        <rFont val="Calibri"/>
        <family val="2"/>
      </rPr>
      <t xml:space="preserve"> ist </t>
    </r>
    <r>
      <rPr>
        <b/>
        <sz val="11"/>
        <color rgb="FF000000"/>
        <rFont val="Calibri"/>
        <family val="2"/>
      </rPr>
      <t>beschränkt auf Alters- und Invaliditätsversorgung</t>
    </r>
    <r>
      <rPr>
        <sz val="11"/>
        <color rgb="FF000000"/>
        <rFont val="Calibri"/>
        <family val="2"/>
      </rPr>
      <t xml:space="preserve">. Die Hinterbliebenenversorgung wird nicht von der ausglpfl. Person geschuldet und kommt ihr auch nicht zugute. Sie spielt deswegen bei dieser Berechnungsmethode keine Rolle.
2. Maßgeblich für die </t>
    </r>
    <r>
      <rPr>
        <b/>
        <sz val="11"/>
        <color rgb="FF000000"/>
        <rFont val="Calibri"/>
        <family val="2"/>
      </rPr>
      <t>Höhe des Abfindungsbetrages</t>
    </r>
    <r>
      <rPr>
        <sz val="11"/>
        <color rgb="FF000000"/>
        <rFont val="Calibri"/>
        <family val="2"/>
      </rPr>
      <t xml:space="preserve"> (Bar- oder Kapitalwerts) ist die</t>
    </r>
    <r>
      <rPr>
        <b/>
        <sz val="11"/>
        <color rgb="FF000000"/>
        <rFont val="Calibri"/>
        <family val="2"/>
      </rPr>
      <t xml:space="preserve"> voraussichtliche Bezugsdauer der Versorgung durch die ausgleichspflichtige Person</t>
    </r>
    <r>
      <rPr>
        <sz val="11"/>
        <color rgb="FF000000"/>
        <rFont val="Calibri"/>
        <family val="2"/>
      </rPr>
      <t xml:space="preserve">. Die Abfindungshöhe wird in Abhängigkeit von der </t>
    </r>
    <r>
      <rPr>
        <b/>
        <sz val="11"/>
        <color rgb="FF000000"/>
        <rFont val="Calibri"/>
        <family val="2"/>
      </rPr>
      <t xml:space="preserve">im Berechnungszeitpunkt maßgeblichen Höhe </t>
    </r>
    <r>
      <rPr>
        <sz val="11"/>
        <color rgb="FF000000"/>
        <rFont val="Calibri"/>
        <family val="2"/>
      </rPr>
      <t xml:space="preserve">des ehezeitlichen Versorgunsgerwerbs und die weiterhin </t>
    </r>
    <r>
      <rPr>
        <b/>
        <sz val="11"/>
        <color rgb="FF000000"/>
        <rFont val="Calibri"/>
        <family val="2"/>
      </rPr>
      <t xml:space="preserve">anzunehmende Dynamik der Versorgung </t>
    </r>
    <r>
      <rPr>
        <sz val="11"/>
        <color rgb="FF000000"/>
        <rFont val="Calibri"/>
        <family val="2"/>
      </rPr>
      <t xml:space="preserve">bestimmt.
3. Wenn die Berechnung der Höhe der Abfindung nicht auf das Ehezeitende erfolgt, ist die </t>
    </r>
    <r>
      <rPr>
        <b/>
        <sz val="11"/>
        <color rgb="FF000000"/>
        <rFont val="Calibri"/>
        <family val="2"/>
      </rPr>
      <t>Veränderung der biometrischen Daten durch Zeitablauf</t>
    </r>
    <r>
      <rPr>
        <sz val="11"/>
        <color rgb="FF000000"/>
        <rFont val="Calibri"/>
        <family val="2"/>
      </rPr>
      <t xml:space="preserve"> zwischen Ehezeitende und dem Berechnungszeitpunkt zu berücksichtigen (Verminderung des Vorversterbensrisikos) . Da sich durch Zeitablauf nach Ehezeitende ein in der Anwartschaftsphase bestehendes Versterbensrisiko der ausglpfl. Person vermindert, wirkt sich das tendenziell werterhöhend aus.
</t>
    </r>
  </si>
  <si>
    <r>
      <rPr>
        <b/>
        <sz val="11"/>
        <color rgb="FF000000"/>
        <rFont val="Calibri"/>
        <family val="2"/>
      </rPr>
      <t>Höhe der zu berücksichtigenden Hinterbliebenenabsicherung</t>
    </r>
    <r>
      <rPr>
        <sz val="10"/>
        <color rgb="FF000000"/>
        <rFont val="Calibri"/>
        <family val="2"/>
      </rPr>
      <t xml:space="preserve"> im Verhältnis zur Altersrente (Änderungen in Blatt &lt;Abfindungsberechnung&gt;</t>
    </r>
    <r>
      <rPr>
        <sz val="11"/>
        <color rgb="FF000000"/>
        <rFont val="Calibri"/>
        <family val="2"/>
      </rPr>
      <t>)</t>
    </r>
  </si>
  <si>
    <t>Alle Felder sind verlinkt, auch wenn nicht unterstrichen!</t>
  </si>
  <si>
    <t>AlterEzE_Plf</t>
  </si>
  <si>
    <t>LeistungsphaseBerztpkt_Pfl</t>
  </si>
  <si>
    <t>Anwartschaftsphase_Pfl</t>
  </si>
  <si>
    <t>AlterEzEBerZtpkt_Plf</t>
  </si>
  <si>
    <t>AnwPhaseEzEbisLBeginn_Pfl</t>
  </si>
  <si>
    <t>LPhaseReAlterbisBerDat_Pfl</t>
  </si>
  <si>
    <t>Renteneintrittsalter_Pfl</t>
  </si>
  <si>
    <r>
      <t>Rente</t>
    </r>
    <r>
      <rPr>
        <vertAlign val="subscript"/>
        <sz val="11"/>
        <color rgb="FF000000"/>
        <rFont val="Calibri"/>
        <family val="2"/>
      </rPr>
      <t>EZE</t>
    </r>
    <r>
      <rPr>
        <sz val="11"/>
        <color rgb="FF000000"/>
        <rFont val="Calibri"/>
        <family val="2"/>
      </rPr>
      <t xml:space="preserve"> x (1 + AnwDyn)^(Alter</t>
    </r>
    <r>
      <rPr>
        <vertAlign val="subscript"/>
        <sz val="11"/>
        <color rgb="FF000000"/>
        <rFont val="Calibri"/>
        <family val="2"/>
      </rPr>
      <t>Berzpkt</t>
    </r>
    <r>
      <rPr>
        <sz val="11"/>
        <color rgb="FF000000"/>
        <rFont val="Calibri"/>
        <family val="2"/>
      </rPr>
      <t xml:space="preserve"> - Alter</t>
    </r>
    <r>
      <rPr>
        <vertAlign val="subscript"/>
        <sz val="11"/>
        <color rgb="FF000000"/>
        <rFont val="Calibri"/>
        <family val="2"/>
      </rPr>
      <t>EzE</t>
    </r>
    <r>
      <rPr>
        <sz val="11"/>
        <color rgb="FF000000"/>
        <rFont val="Calibri"/>
        <family val="2"/>
      </rPr>
      <t>)</t>
    </r>
  </si>
  <si>
    <t>Renteneintrittstabelle, § 235 SGB VI, § 51 BBG</t>
  </si>
  <si>
    <t>Für den Geburtsjahrgang</t>
  </si>
  <si>
    <t>erfolgt eine Anhebung um ... Monate</t>
  </si>
  <si>
    <t>auf Vollendung eines Lebensalters von</t>
  </si>
  <si>
    <t>65 Jahre</t>
  </si>
  <si>
    <t>65 Jahren und 1 Monat</t>
  </si>
  <si>
    <t>65 Jahren und 2 Monaten</t>
  </si>
  <si>
    <t>65 Jahren und 3 Monaten</t>
  </si>
  <si>
    <t>65 Jahren und 4 Monaten</t>
  </si>
  <si>
    <t>65 Jahren und 5 Monaten</t>
  </si>
  <si>
    <t>65 Jahren und 6 Monaten</t>
  </si>
  <si>
    <t>65 Jahren und 7 Monaten</t>
  </si>
  <si>
    <t>65 Jahren und 8 Monaten</t>
  </si>
  <si>
    <t>65 Jahren und 9 Monaten</t>
  </si>
  <si>
    <t>65 Jahren und 10 Monaten</t>
  </si>
  <si>
    <t>65 Jahren und 11 Monaten</t>
  </si>
  <si>
    <t>66 Jahren</t>
  </si>
  <si>
    <t>66 Jahren und 2 Monaten</t>
  </si>
  <si>
    <t>66 Jahren und 4 Monaten</t>
  </si>
  <si>
    <t>66 Jahren und 6 Monaten</t>
  </si>
  <si>
    <t>66 Jahren und 8 Monaten</t>
  </si>
  <si>
    <t>66 Jahren und 10 Monaten</t>
  </si>
  <si>
    <t>67 Jahren</t>
  </si>
  <si>
    <t>Renteneintritt</t>
  </si>
  <si>
    <t>Renteneintrittsalter</t>
  </si>
  <si>
    <t>Leistungszeit</t>
  </si>
  <si>
    <t>VVR</t>
  </si>
  <si>
    <t>Kohorte Renteneintritt</t>
  </si>
  <si>
    <t>Kohorte Alter im Berechnungszeitpunkt</t>
  </si>
  <si>
    <t>Anwartschaftszeit</t>
  </si>
  <si>
    <t>Rente bei Leistungsbeginn</t>
  </si>
  <si>
    <t>∑</t>
  </si>
  <si>
    <t>Dynamisierungsprinzip der gesetzlichen Altersrente (vereinfacht)</t>
  </si>
  <si>
    <r>
      <t>Preisindexierung</t>
    </r>
    <r>
      <rPr>
        <sz val="11"/>
        <color rgb="FF000000"/>
        <rFont val="Calibri"/>
        <family val="2"/>
      </rPr>
      <t xml:space="preserve"> (Gesundheitsindex, automatische Indexsprünge)</t>
    </r>
  </si>
  <si>
    <r>
      <t>Mischindex</t>
    </r>
    <r>
      <rPr>
        <sz val="11"/>
        <color rgb="FF000000"/>
        <rFont val="Calibri"/>
        <family val="2"/>
      </rPr>
      <t xml:space="preserve"> (Lohn‑ und Preisentwicklung, politisch modifiziert)</t>
    </r>
  </si>
  <si>
    <r>
      <t>Lohn- und Preisentwicklung</t>
    </r>
    <r>
      <rPr>
        <sz val="11"/>
        <color rgb="FF000000"/>
        <rFont val="Calibri"/>
        <family val="2"/>
      </rPr>
      <t>, plus politische Anpassungen</t>
    </r>
  </si>
  <si>
    <r>
      <t>Lohnindexierung</t>
    </r>
    <r>
      <rPr>
        <sz val="11"/>
        <color rgb="FF000000"/>
        <rFont val="Calibri"/>
        <family val="2"/>
      </rPr>
      <t xml:space="preserve"> (Rentenanpassungsformel, inkl. Nachhaltigkeits‑ und Beitragssatzfaktor)</t>
    </r>
  </si>
  <si>
    <r>
      <t>Mischindex</t>
    </r>
    <r>
      <rPr>
        <sz val="11"/>
        <color rgb="FF000000"/>
        <rFont val="Calibri"/>
        <family val="2"/>
      </rPr>
      <t xml:space="preserve"> (Löhne + Preise, gesetzliche Formel)</t>
    </r>
  </si>
  <si>
    <r>
      <t>Preisdominierte Mischindexierung</t>
    </r>
    <r>
      <rPr>
        <sz val="11"/>
        <color rgb="FF000000"/>
        <rFont val="Calibri"/>
        <family val="2"/>
      </rPr>
      <t xml:space="preserve"> (ca. 80 % Preise, 20 % Löhne)</t>
    </r>
  </si>
  <si>
    <r>
      <t xml:space="preserve">Überwiegend </t>
    </r>
    <r>
      <rPr>
        <b/>
        <sz val="11"/>
        <color rgb="FF000000"/>
        <rFont val="Calibri"/>
        <family val="2"/>
      </rPr>
      <t>Preisindexierung</t>
    </r>
    <r>
      <rPr>
        <sz val="11"/>
        <color rgb="FF000000"/>
        <rFont val="Calibri"/>
        <family val="2"/>
      </rPr>
      <t xml:space="preserve"> (Inflation, teils Reformen/Abweichungen)</t>
    </r>
  </si>
  <si>
    <r>
      <t xml:space="preserve">Nach der Krise lange </t>
    </r>
    <r>
      <rPr>
        <b/>
        <sz val="11"/>
        <color rgb="FF000000"/>
        <rFont val="Calibri"/>
        <family val="2"/>
      </rPr>
      <t>stark politisiert</t>
    </r>
    <r>
      <rPr>
        <sz val="11"/>
        <color rgb="FF000000"/>
        <rFont val="Calibri"/>
        <family val="2"/>
      </rPr>
      <t>, teils Nullrunden, teils Preis-/Lohnbezug</t>
    </r>
  </si>
  <si>
    <r>
      <t>Diskretionäre politische Anpassungen</t>
    </r>
    <r>
      <rPr>
        <sz val="11"/>
        <color rgb="FF000000"/>
        <rFont val="Calibri"/>
        <family val="2"/>
      </rPr>
      <t>, orientiert an Preisen/Löhnen, aber ohne starre Formel</t>
    </r>
  </si>
  <si>
    <r>
      <t xml:space="preserve">Kombination aus </t>
    </r>
    <r>
      <rPr>
        <b/>
        <sz val="11"/>
        <color rgb="FF000000"/>
        <rFont val="Calibri"/>
        <family val="2"/>
      </rPr>
      <t>Preis‑ und Lohnentwicklung</t>
    </r>
    <r>
      <rPr>
        <sz val="11"/>
        <color rgb="FF000000"/>
        <rFont val="Calibri"/>
        <family val="2"/>
      </rPr>
      <t>, stark durch Tarif‑ und Politikprozesse geprägt</t>
    </r>
  </si>
  <si>
    <r>
      <t xml:space="preserve">Überwiegend </t>
    </r>
    <r>
      <rPr>
        <b/>
        <sz val="11"/>
        <color rgb="FF000000"/>
        <rFont val="Calibri"/>
        <family val="2"/>
      </rPr>
      <t>Preisindexierung</t>
    </r>
    <r>
      <rPr>
        <sz val="11"/>
        <color rgb="FF000000"/>
        <rFont val="Calibri"/>
        <family val="2"/>
      </rPr>
      <t>, teils abgestuft nach Rentenhöhe</t>
    </r>
  </si>
  <si>
    <r>
      <t>Lohnindexierung</t>
    </r>
    <r>
      <rPr>
        <sz val="11"/>
        <color rgb="FF000000"/>
        <rFont val="Calibri"/>
        <family val="2"/>
      </rPr>
      <t xml:space="preserve"> mit Zuschlägen, abhängig von Beitragszeiten und Wirtschaftslage</t>
    </r>
  </si>
  <si>
    <r>
      <t xml:space="preserve">Anbindung an </t>
    </r>
    <r>
      <rPr>
        <b/>
        <sz val="11"/>
        <color rgb="FF000000"/>
        <rFont val="Calibri"/>
        <family val="2"/>
      </rPr>
      <t>Schweizer AHV‑Mechanismus</t>
    </r>
    <r>
      <rPr>
        <sz val="11"/>
        <color rgb="FF000000"/>
        <rFont val="Calibri"/>
        <family val="2"/>
      </rPr>
      <t xml:space="preserve"> (Lohn‑/Preis‑Mischindex)</t>
    </r>
  </si>
  <si>
    <r>
      <t>Mischindex</t>
    </r>
    <r>
      <rPr>
        <sz val="11"/>
        <color rgb="FF000000"/>
        <rFont val="Calibri"/>
        <family val="2"/>
      </rPr>
      <t xml:space="preserve"> (Löhne + Preise), Reformen in den 2010er Jahren</t>
    </r>
  </si>
  <si>
    <r>
      <t>Automatische Indexierung</t>
    </r>
    <r>
      <rPr>
        <sz val="11"/>
        <color rgb="FF000000"/>
        <rFont val="Calibri"/>
        <family val="2"/>
      </rPr>
      <t xml:space="preserve"> an Verbraucherpreise (Indextranche), plus politische Anpassungen</t>
    </r>
  </si>
  <si>
    <r>
      <t>Preisindexierung</t>
    </r>
    <r>
      <rPr>
        <sz val="11"/>
        <color rgb="FF000000"/>
        <rFont val="Calibri"/>
        <family val="2"/>
      </rPr>
      <t>, teils mit Mindestanpassungen</t>
    </r>
  </si>
  <si>
    <r>
      <t xml:space="preserve">Grundrente: politisch gesteuerte </t>
    </r>
    <r>
      <rPr>
        <b/>
        <sz val="11"/>
        <color rgb="FF000000"/>
        <rFont val="Calibri"/>
        <family val="2"/>
      </rPr>
      <t>Preis-/Lohnorientierung</t>
    </r>
    <r>
      <rPr>
        <sz val="11"/>
        <color rgb="FF000000"/>
        <rFont val="Calibri"/>
        <family val="2"/>
      </rPr>
      <t xml:space="preserve">, Betriebsrenten: </t>
    </r>
    <r>
      <rPr>
        <b/>
        <sz val="11"/>
        <color rgb="FF000000"/>
        <rFont val="Calibri"/>
        <family val="2"/>
      </rPr>
      <t>Deckungsgrad‑abhängige Indexierung</t>
    </r>
  </si>
  <si>
    <r>
      <t>Lohnentwicklung minus Abschlag</t>
    </r>
    <r>
      <rPr>
        <sz val="11"/>
        <color rgb="FF000000"/>
        <rFont val="Calibri"/>
        <family val="2"/>
      </rPr>
      <t xml:space="preserve"> (z. B. Löhne – 0,75 %), gesetzlich fixiert</t>
    </r>
  </si>
  <si>
    <r>
      <t>Preisindexierung</t>
    </r>
    <r>
      <rPr>
        <sz val="11"/>
        <color rgb="FF000000"/>
        <rFont val="Calibri"/>
        <family val="2"/>
      </rPr>
      <t xml:space="preserve"> (Inflation), teils abgestuft nach Rentenhöhe, politisch übersteuert</t>
    </r>
  </si>
  <si>
    <r>
      <t>Preisindexierung</t>
    </r>
    <r>
      <rPr>
        <sz val="11"/>
        <color rgb="FF000000"/>
        <rFont val="Calibri"/>
        <family val="2"/>
      </rPr>
      <t xml:space="preserve"> mit kleinem Lohnanteil, Mindestanpassung gesetzlich garantiert</t>
    </r>
  </si>
  <si>
    <r>
      <t>Mischindex</t>
    </r>
    <r>
      <rPr>
        <sz val="11"/>
        <color rgb="FF000000"/>
        <rFont val="Calibri"/>
        <family val="2"/>
      </rPr>
      <t xml:space="preserve"> (BIP, Preise, Löhne), mit Schutzklauseln für niedrige Renten</t>
    </r>
  </si>
  <si>
    <r>
      <t>Lohnorientierte Anpassung</t>
    </r>
    <r>
      <rPr>
        <sz val="11"/>
        <color rgb="FF000000"/>
        <rFont val="Calibri"/>
        <family val="2"/>
      </rPr>
      <t xml:space="preserve"> (Punktwert), stark politisch beeinflusst</t>
    </r>
  </si>
  <si>
    <r>
      <t>Notional Defined Contribution + Preis-/Lohnindex</t>
    </r>
    <r>
      <rPr>
        <sz val="11"/>
        <color rgb="FF000000"/>
        <rFont val="Calibri"/>
        <family val="2"/>
      </rPr>
      <t xml:space="preserve"> (Einkommensindex, Ausgleichsmechanismus)</t>
    </r>
  </si>
  <si>
    <r>
      <t>Mischindex</t>
    </r>
    <r>
      <rPr>
        <sz val="11"/>
        <color rgb="FF000000"/>
        <rFont val="Calibri"/>
        <family val="2"/>
      </rPr>
      <t xml:space="preserve"> (50 % Löhne, 50 % Preise; AHV/1. Säule)</t>
    </r>
  </si>
  <si>
    <r>
      <t>Preisindexierung</t>
    </r>
    <r>
      <rPr>
        <sz val="11"/>
        <color rgb="FF000000"/>
        <rFont val="Calibri"/>
        <family val="2"/>
      </rPr>
      <t>, jüngere Reformen mit Lohnbezug</t>
    </r>
  </si>
  <si>
    <r>
      <t>Mischindex</t>
    </r>
    <r>
      <rPr>
        <sz val="11"/>
        <color rgb="FF000000"/>
        <rFont val="Calibri"/>
        <family val="2"/>
      </rPr>
      <t xml:space="preserve"> (Löhne + Preise), politisch modifiziert</t>
    </r>
  </si>
  <si>
    <r>
      <t xml:space="preserve">Nach 2018 wieder </t>
    </r>
    <r>
      <rPr>
        <b/>
        <sz val="11"/>
        <color rgb="FF000000"/>
        <rFont val="Calibri"/>
        <family val="2"/>
      </rPr>
      <t>Preisindexierung</t>
    </r>
    <r>
      <rPr>
        <sz val="11"/>
        <color rgb="FF000000"/>
        <rFont val="Calibri"/>
        <family val="2"/>
      </rPr>
      <t xml:space="preserve"> (Inflation), zuvor Reform mit Minimalindexierung</t>
    </r>
  </si>
  <si>
    <r>
      <t>Preisindexierung + Lohnkomponente</t>
    </r>
    <r>
      <rPr>
        <sz val="11"/>
        <color rgb="FF000000"/>
        <rFont val="Calibri"/>
        <family val="2"/>
      </rPr>
      <t>, Mindestanpassung gesetzlich</t>
    </r>
  </si>
  <si>
    <r>
      <t xml:space="preserve">Überwiegend </t>
    </r>
    <r>
      <rPr>
        <b/>
        <sz val="11"/>
        <color rgb="FF000000"/>
        <rFont val="Calibri"/>
        <family val="2"/>
      </rPr>
      <t>Preisindexierung</t>
    </r>
    <r>
      <rPr>
        <sz val="11"/>
        <color rgb="FF000000"/>
        <rFont val="Calibri"/>
        <family val="2"/>
      </rPr>
      <t>, Anpassungen politisch festgelegt</t>
    </r>
  </si>
  <si>
    <r>
      <t>Preisindexierung</t>
    </r>
    <r>
      <rPr>
        <sz val="11"/>
        <color rgb="FF000000"/>
        <rFont val="Calibri"/>
        <family val="2"/>
      </rPr>
      <t>, teils mit Lohnbezug in der Vergangenheit</t>
    </r>
  </si>
  <si>
    <t>Quellenlink</t>
  </si>
  <si>
    <t>Verlinkung zur Dynamisierungsquelle</t>
  </si>
  <si>
    <t>Dyn</t>
  </si>
  <si>
    <t>https://journals.sagepub.com/action/downloadSupplement?doi=10.1177%2F09589287261430475&amp;file=sj-pdf-1-esp-10.1177_09589287261430475.pdf</t>
  </si>
  <si>
    <t>https://www.oecd.org/content/dam/oecd/en/topics/policy-sub-issues/incomes-support-redistribution-and-work-incentives/TaxBEN-Switzerland-latest.pdf</t>
  </si>
  <si>
    <t>https://www.parlament.gv.at/dokument/XXVII/EU/187913/imfname_11382449.pdf</t>
  </si>
  <si>
    <t>Entwicklung des AOW-Grundbetrags (Niederlande) 2015–2026</t>
  </si>
  <si>
    <t>Brutto-Monatsbetrag der vollen AOW-Pension (Alleinstehend)</t>
  </si>
  <si>
    <t>Stichtag</t>
  </si>
  <si>
    <t>Brutto AOW (€)</t>
  </si>
  <si>
    <t>Änderung (€)</t>
  </si>
  <si>
    <t>Änderung %</t>
  </si>
  <si>
    <t>-</t>
  </si>
  <si>
    <t>Gesamtanstieg 2015–2026:</t>
  </si>
  <si>
    <t>Ø Jährliche Anpassung:</t>
  </si>
  <si>
    <t>Hinweis: Die AOW folgt dem niederländischen Mindestlohn. Alleinstehende erhalten 70% des Netto-Mindestlohns. Quelle: SVB, hr-kiosk.nl</t>
  </si>
  <si>
    <r>
      <t xml:space="preserve">– G‑Beträge: offizielle Werte von NAV / Statistisk sentralbyrå – Reale Rentenanpassung: gesetzliche Formel → </t>
    </r>
    <r>
      <rPr>
        <i/>
        <sz val="11"/>
        <color rgb="FF000000"/>
        <rFont val="Calibri"/>
        <family val="2"/>
      </rPr>
      <t>Lohnwachstum – 0,75 %</t>
    </r>
    <r>
      <rPr>
        <sz val="11"/>
        <color rgb="FF000000"/>
        <rFont val="Calibri"/>
        <family val="2"/>
      </rPr>
      <t xml:space="preserve"> – Die Lohnwachstumswerte stammen aus den jährlichen norwegischen Lohnstatistiken (TBU‑Berichte)</t>
    </r>
  </si>
  <si>
    <t>G-Betrag (NOK)</t>
  </si>
  <si>
    <t>% Änderung G</t>
  </si>
  <si>
    <t>Berechnungsbasis Lohnwachstum</t>
  </si>
  <si>
    <t>Reale Rentenanpassung (%)</t>
  </si>
  <si>
    <r>
      <t xml:space="preserve">– G‑Beträge: offizielle Werte von NAV / Statistisk sentralbyrå – Reale Rentenanpassung: gesetzliche Formel → </t>
    </r>
    <r>
      <rPr>
        <i/>
        <sz val="11"/>
        <color rgb="FF000000"/>
        <rFont val="Calibri"/>
        <family val="2"/>
      </rPr>
      <t>Lohnwachstum – 0,75 %</t>
    </r>
    <r>
      <rPr>
        <sz val="11"/>
        <color rgb="FF000000"/>
        <rFont val="Calibri"/>
        <family val="2"/>
      </rPr>
      <t xml:space="preserve"> – Die Lohnwachstumswerte stammen aus den jährlichen norwegischen Lohnstatistiken (TBU‑Berichte)</t>
    </r>
  </si>
  <si>
    <r>
      <t xml:space="preserve">Natürlich, Joern — hier ist deine </t>
    </r>
    <r>
      <rPr>
        <b/>
        <sz val="11"/>
        <color rgb="FF000000"/>
        <rFont val="Calibri"/>
        <family val="2"/>
      </rPr>
      <t>Excel‑fertige Tabelle</t>
    </r>
    <r>
      <rPr>
        <sz val="11"/>
        <color rgb="FF000000"/>
        <rFont val="Calibri"/>
        <family val="2"/>
      </rPr>
      <t>, sauber formatiert und direkt einfügbar.</t>
    </r>
  </si>
  <si>
    <r>
      <t xml:space="preserve">Ich gebe </t>
    </r>
    <r>
      <rPr>
        <b/>
        <sz val="11"/>
        <color rgb="FF000000"/>
        <rFont val="Calibri"/>
        <family val="2"/>
      </rPr>
      <t>nur die Werte</t>
    </r>
    <r>
      <rPr>
        <sz val="11"/>
        <color rgb="FF000000"/>
        <rFont val="Calibri"/>
        <family val="2"/>
      </rPr>
      <t>, ohne zusätzliche Erklärtexte, damit du sie 1:1 in Excel übernehmen kannst.</t>
    </r>
  </si>
  <si>
    <t>📊 Dänemark – Rentendynamisierung der Folkepension (Grundbeløb) seit 2015</t>
  </si>
  <si>
    <t>(Excel‑kompatibles Format)</t>
  </si>
  <si>
    <t>Wenn du möchtest, kann ich dir die Tabelle auch:</t>
  </si>
  <si>
    <r>
      <t>mit Formeln</t>
    </r>
    <r>
      <rPr>
        <sz val="11"/>
        <color rgb="FF000000"/>
        <rFont val="Calibri"/>
        <family val="2"/>
      </rPr>
      <t xml:space="preserve"> (z. B. automatische Prozentberechnung),</t>
    </r>
  </si>
  <si>
    <r>
      <t>mit Diagramm</t>
    </r>
    <r>
      <rPr>
        <sz val="11"/>
        <color rgb="FF000000"/>
        <rFont val="Calibri"/>
        <family val="2"/>
      </rPr>
      <t>,</t>
    </r>
  </si>
  <si>
    <r>
      <t xml:space="preserve">oder </t>
    </r>
    <r>
      <rPr>
        <b/>
        <sz val="11"/>
        <color rgb="FF000000"/>
        <rFont val="Calibri"/>
        <family val="2"/>
      </rPr>
      <t>im Vergleich zu Norwegen/Schweden</t>
    </r>
    <r>
      <rPr>
        <sz val="11"/>
        <color rgb="FF000000"/>
        <rFont val="Calibri"/>
        <family val="2"/>
      </rPr>
      <t xml:space="preserve"> aufbereiten.</t>
    </r>
  </si>
  <si>
    <t>Sag einfach Bescheid.</t>
  </si>
  <si>
    <t>Grundbeløb pro Monat (DKK)  % Veränderung ggü. Vorjahr</t>
  </si>
  <si>
    <r>
      <t xml:space="preserve">Die offiziellen Seiten (TR, Ísland.is) liefern </t>
    </r>
    <r>
      <rPr>
        <b/>
        <sz val="11"/>
        <color rgb="FF000000"/>
        <rFont val="Calibri"/>
        <family val="2"/>
      </rPr>
      <t>aktuelle Rentenregeln</t>
    </r>
    <r>
      <rPr>
        <sz val="11"/>
        <color rgb="FF000000"/>
        <rFont val="Calibri"/>
        <family val="2"/>
      </rPr>
      <t xml:space="preserve">, aber </t>
    </r>
    <r>
      <rPr>
        <b/>
        <sz val="11"/>
        <color rgb="FF000000"/>
        <rFont val="Calibri"/>
        <family val="2"/>
      </rPr>
      <t>keine historische Prozentreihe</t>
    </r>
    <r>
      <rPr>
        <sz val="11"/>
        <color rgb="FF000000"/>
        <rFont val="Calibri"/>
        <family val="2"/>
      </rPr>
      <t>.</t>
    </r>
  </si>
  <si>
    <r>
      <t xml:space="preserve">Malta hat </t>
    </r>
    <r>
      <rPr>
        <b/>
        <sz val="10"/>
        <color rgb="FF000000"/>
        <rFont val="Aptos"/>
        <family val="2"/>
      </rPr>
      <t>keine feste Indexierungsformel</t>
    </r>
    <r>
      <rPr>
        <sz val="10"/>
        <color rgb="FF000000"/>
        <rFont val="Aptos"/>
        <family val="2"/>
      </rPr>
      <t xml:space="preserve"> wie Deutschland oder Norwegen. Die Renten werden jährlich im Rahmen des </t>
    </r>
    <r>
      <rPr>
        <b/>
        <sz val="10"/>
        <color rgb="FF000000"/>
        <rFont val="Aptos"/>
        <family val="2"/>
      </rPr>
      <t>Budget Acts</t>
    </r>
    <r>
      <rPr>
        <sz val="10"/>
        <color rgb="FF000000"/>
        <rFont val="Aptos"/>
        <family val="2"/>
      </rPr>
      <t xml:space="preserve"> angepasst, meist: </t>
    </r>
    <r>
      <rPr>
        <b/>
        <sz val="10"/>
        <color rgb="FF000000"/>
        <rFont val="Aptos"/>
        <family val="2"/>
      </rPr>
      <t>Inflationsorientiert</t>
    </r>
    <r>
      <rPr>
        <sz val="10"/>
        <color rgb="FF000000"/>
        <rFont val="Aptos"/>
        <family val="2"/>
      </rPr>
      <t xml:space="preserve">, mit </t>
    </r>
    <r>
      <rPr>
        <b/>
        <sz val="10"/>
        <color rgb="FF000000"/>
        <rFont val="Aptos"/>
        <family val="2"/>
      </rPr>
      <t>Mindestanpassungen</t>
    </r>
    <r>
      <rPr>
        <sz val="10"/>
        <color rgb="FF000000"/>
        <rFont val="Aptos"/>
        <family val="2"/>
      </rPr>
      <t xml:space="preserve"> und gelegentlichen </t>
    </r>
    <r>
      <rPr>
        <b/>
        <sz val="10"/>
        <color rgb="FF000000"/>
        <rFont val="Aptos"/>
        <family val="2"/>
      </rPr>
      <t>Sondererhöhungen</t>
    </r>
    <r>
      <rPr>
        <sz val="10"/>
        <color rgb="FF000000"/>
        <rFont val="Aptos"/>
        <family val="2"/>
      </rPr>
      <t>.</t>
    </r>
  </si>
  <si>
    <t>*) CAGR = Compound Annual Growth Rate = durchschnittliche jährliche Wachstumsrate</t>
  </si>
  <si>
    <t>Lebenserwartung ausglner.Person ab Rente</t>
  </si>
  <si>
    <t>Rntenalter:</t>
  </si>
  <si>
    <t>AlterBerDat</t>
  </si>
  <si>
    <t>Lebenserwartung ab Rente</t>
  </si>
  <si>
    <t>VVR Ber</t>
  </si>
  <si>
    <t>ReBeginn_Ber</t>
  </si>
  <si>
    <t>ReBeginn_Pfl</t>
  </si>
  <si>
    <t>Rentenhöhe</t>
  </si>
  <si>
    <t>L_Zeit</t>
  </si>
  <si>
    <t>ReBeginn_sVA</t>
  </si>
  <si>
    <t>Alter_Ber_ReStart</t>
  </si>
  <si>
    <t>Alter_Pfl_ReStart</t>
  </si>
  <si>
    <t>Alter_BerDat_Pfl</t>
  </si>
  <si>
    <t>Kohorte_BerDat_Ber</t>
  </si>
  <si>
    <t>Kohorte_BerDat_Pfl</t>
  </si>
  <si>
    <t>L_Pfl_sVABeginn</t>
  </si>
  <si>
    <t>Kohorte_Ldat_Pfl</t>
  </si>
  <si>
    <t>Alter_BerDat_ Ber</t>
  </si>
  <si>
    <t>VVR-Faktor</t>
  </si>
  <si>
    <t>L_Zeit (VVR)</t>
  </si>
  <si>
    <t>L_Zeit bis sVA_beginn</t>
  </si>
  <si>
    <t>L_Ber_sVABeginn</t>
  </si>
  <si>
    <t>AlterPflbeisVAStart</t>
  </si>
  <si>
    <t>AlterBerbeisVAStart</t>
  </si>
  <si>
    <t>Kohorte_sVAStart_Ber</t>
  </si>
  <si>
    <t>Berücksichtigungssatz</t>
  </si>
  <si>
    <t>Zeile</t>
  </si>
  <si>
    <t>Monatszuschlag</t>
  </si>
  <si>
    <t>LeistungszeitDRV_Ber:</t>
  </si>
  <si>
    <r>
      <rPr>
        <sz val="10"/>
        <color rgb="FF000000"/>
        <rFont val="Aptos Narrow"/>
        <family val="2"/>
      </rPr>
      <t>∑</t>
    </r>
    <r>
      <rPr>
        <sz val="10"/>
        <color rgb="FF000000"/>
        <rFont val="Calibri"/>
        <family val="2"/>
      </rPr>
      <t xml:space="preserve"> DRV-Rente</t>
    </r>
  </si>
  <si>
    <t>aktRW</t>
  </si>
  <si>
    <t>Versorgungserwerb aus Ausgleichswert</t>
  </si>
  <si>
    <t>Anwartschaftszeit:</t>
  </si>
  <si>
    <t>Anwartschafts-zeit bis sVA-Start</t>
  </si>
  <si>
    <t>AnwZeit bis DRV-Start</t>
  </si>
  <si>
    <t>DRV-Renteneintritt</t>
  </si>
  <si>
    <t>DRV-Rente bei Start:</t>
  </si>
  <si>
    <t>Geburtstag ausglBer</t>
  </si>
  <si>
    <t>Alter Berechnungsdatum:</t>
  </si>
  <si>
    <t>DRV-Renteneintritt Ber</t>
  </si>
  <si>
    <t>Alter bei DRV-Renteneintritt Ber</t>
  </si>
  <si>
    <t>Bezugszeit DRV-Rente durch ber. Person:</t>
  </si>
  <si>
    <t>Summe erwartbarer Rentenzahlungen</t>
  </si>
  <si>
    <t>Quote der Altersrente / Aufschlag:</t>
  </si>
  <si>
    <t>Rentenhöhe im Ehezeitende</t>
  </si>
  <si>
    <r>
      <t xml:space="preserve">Anzahl der jährl. Zahlungen </t>
    </r>
    <r>
      <rPr>
        <sz val="11"/>
        <color rgb="FF000000"/>
        <rFont val="Consolas"/>
        <family val="3"/>
      </rPr>
      <t>►</t>
    </r>
  </si>
  <si>
    <t>Dynamik der EU-Renten</t>
  </si>
  <si>
    <t>K_Text1</t>
  </si>
  <si>
    <t>K_Text2</t>
  </si>
  <si>
    <t>K_Text3</t>
  </si>
  <si>
    <t>K_Text4</t>
  </si>
  <si>
    <t>K_Text5</t>
  </si>
  <si>
    <t>K_Text6</t>
  </si>
  <si>
    <t>K_Text7</t>
  </si>
  <si>
    <t>K_Text8</t>
  </si>
  <si>
    <t>K_Text9</t>
  </si>
  <si>
    <t>K_Text10</t>
  </si>
  <si>
    <t>K_Text11</t>
  </si>
  <si>
    <t>O_Box_K_L</t>
  </si>
  <si>
    <t>Ausglpfl. kann vom VT  Info i.d.R. bekommen (Darlegungslast)</t>
  </si>
  <si>
    <t>1. Säule (Grundsystem):
   * Jede Person, die in der Schweiz Wohnsitz hat oder hier eine Erwerbstätigkeit ausübt.
   * Unter bestimmten Bedingungen, freiwillige Versicherung für Schweizer Bürger und Staatsangehörige der Mitgliedstaaten der EU oder der EFTA, die ausserhalb der Schweiz, der EU oder der EFTA leben.
2. Säule (obligatorische Mindestvorsorge):
   * Arbeitnehmer über 17 Jahren, die in der 1. Säule versichert sind und vom gleichen Arbeitgeber einen Lohn von mehr als CHF22.680 (€24.233) erhalten.
   * Bezüger von Taggeldern der Arbeitslosenversicherung.
   * Freiwillige Versicherung für gewisse nicht obligatorisch unterstellte Arbeitnehmer sowie Selbstständigerwerbende.</t>
  </si>
  <si>
    <t>1. Säule (Grundsystem):
Insbesondere:
   * Bei Doppelbelastung (gleichzeitige ausländische Versicherung).
   * Selbstständigerwerbende und Arbeitnehmer nicht beitragspflichtiger Arbeitgeber, welche die Voraussetzungen der obligatorischen Versicherung nur für eine verhältnismäßig kurze Zeit erfüllen.
2. Säule (obligatorische Mindestvorsorge):
Insbesondere:
   * Arbeitnehmer, deren Arbeitgeber der Beitragspflicht in der 1. Säule nicht unterliegt.
   * Arbeitnehmer mit einem befristeten Arbeitsvertrag von höchstens 3 Monaten.
   * Personen, die zu mindestens 70% invalid sind.
   * Gewisse Familienmitglieder des Leiters eines Landwirtschaftsbetriebes, die in diesem Betrieb arbeiten.
Bei Doppelbelastung (gleichzeitige ausländische Versicherung).</t>
  </si>
  <si>
    <t>1. Säule (Grundsystem)/2. Säule (obligatorische Mindestvorsorge):
Für die Bemessung der Invalidität wird das Erwerbseinkommen, das die versicherte Person erzielen könnte, wenn sie nicht invalid geworden wäre, in Beziehung gesetzt zum Erwerbseinkommen, das die versicherte Person nach Durchführung der medizinischen Behandlung und der Eingliederungsmassnahmen durch eine ihr zumutbare Tätigkeit erzielen könnte.
Bei nicht erwerbstätigen Versicherten, denen die Aufnahme einer Erwerbstätigkeit nicht zugemutet werden kann, wird für die Bemessung der Invalidität darauf abgestellt, in welchem Masse sie eingeschränkt sind, sich im bisherigen Aufgabenbereich zu betätigen.
Die Höhe des Rentenanspruchs wird in prozentualen Anteilen an einer ganzen Rente festgelegt.
   * Bei einem Invaliditätsgrad zwischen 40 und 49 Prozent liegt der prozentuale Anteil nach einer gesetzlich festgelegten Skala zwischen 25 und 47,5 Prozent;
   * Bei einem Invaliditätsgrad von 50‒69 Prozent entspricht der prozentuale Anteil dem Invaliditätsgrad;
   * Bei einem Invaliditätsgrad ab 70 Prozent besteht Anspruch auf eine ganze Rente.</t>
  </si>
  <si>
    <t>1. Säule (Grundsystem):
Das durchschnittliche Jahreseinkommen setzt sich zusammen aus:
+F18   * den aufgewerteten Erwerbseinkommen (die Beiträge der nichterwerbstätigen Personen werden als Erwerbseinkommen gewertet);
   * den Erziehungsgutschriften und den Betreuungsgutschriften (vgl. Tabelle V „Invalidität“, „Leistungen, 4. Angerechnete oder berücksichtigungsfähige Zeiten“).
Die Einkommen der Ehegatten während der Ehedauer werden zwischen den Ehegatten geteilt (Splitting),
   * wenn die beiden Gatten das Referenzalter (Rentenalter) erreicht haben und/oder Anspruch auf eine Invalidenrente haben;
   * wenn die Witwe oder der Witwer das Referenzalter (Rentenalter) erreicht haben oder Anspruch auf eine Invalidenrente haben;
   * oder im Falle einer Scheidung.
Die eingetragene Partnerschaft ist einer Ehe und die gerichtliche Auflösung der Partnerschaft einer Scheidung gleichgestellt.
2. Säule (obligatorische Mindestvorsorge):
Als versicherter Lohn (= koordinierter Lohn) gilt der Teil des Jahreslohnes zwischen CHF26.460 (€28.272) und CHF90.720 (€96.933). Minimaler koordinierter Lohn: CHF3.780 (€4.039).</t>
  </si>
  <si>
    <t>1. Säule (Grundsystem):
   * Hilflosenentschädigung.
   * Assistenzbeitrag.
   * Außerordentliche Rente.
   * Ergänzungsleistungen zur 1. Säule (vgl. Tabelle XI „Mindestsicherung“).
2. Säule (obligatorische Mindestvorsorge):
Die Vorsorgeeinrichtung kann eine Kapitalleistung ausrichten, wenn die Rente weniger als 10% der Mindestrente der Alters- und Hinterlassenenversicherung (1. Säule) beträgt.</t>
  </si>
  <si>
    <t>Die Bestimmungen über die Witwen:Witwerrente sind auch auf die Rente für hinterbliebene eingetragene Partner:innen sinngemäß anzuwenden.
Zwischen 0% und 60% der Invaliditäts- oder Altersrente, auf die der:die Verstorbene Anspruch hatte oder gehabt hätte. Der Prozentsatz hängt vom Verhältnis des bisherigen Einkommens des:der Verstorbenen zu jenem des:der hinterbliebenen Ehepartner:in/hinterbliebenen eingetragenen Partners:Partnerin ab (so gebühren z.B. bei gleich hoher Berechnungsgrundlage 40% - siehe Tabelle VII, Kumulation mit Erwerbseinkommen oder anderen Sozialleistungen). Der Prozentsatz wird nach folgender Formel berechnet:
70-(30*(Bruttoeinkommen der:des Witwe:Witwers/Bruttoeinkommen des:der Verstorbenen)).
Erreicht die Summe aus gekürzter Hinterbliebenenrente und eigenem Einkommen des:der Hinterbliebenen nicht monatlich €2.547,91 brutto (2025), so ist ein entsprechender Differenzbetrag bis zum Maximum von 60% der Rente des:der Verstorbenen zu gewähren, bis das Gesamteinkommen €2.547,91 brutto (2025) erreicht (60% dürfen aber dabei keinesfalls überschritten werden) wird („Schutzbetrag“).
Die Witwen:Witwerrente ist grundsätzlich zeitlich nicht befristet, aber gebührt nur für 30 Monate,
   * wenn der:die hinterbliebene Ehepartner:in zum Zeitpunkt des Todes des:der Verstorbenen jünger als 35 ist (Ausnahme: die Ehe dauerte bereits mindestens 10 Jahre) oder
   * wenn die Ehe erst nach dem Rentenbeginn bzw. der Erreichung der gesetzlichen Altersgrenze des:der Verstorbenen geschlossen wurde (Ausnahme: bestimmte Mindestehedauer).
   * Diese Limitierung gilt (u.a.) nicht, wenn aus der Ehe ein Kind geboren wurde, die:der Witwe:Witwer zum Zeitpunkt des Todes des:der Ehepartners:Ehepartnerin schwanger war, die beiden Partner:innen bereits früher miteinander verheiratet gewesen sind und bei Fortdauer dieser Ehe/eingetragenen Partnerschaft anspruchsberechtigt wären oder der:die hinterbliebene Ehepartner:in im Zeitpunkt des Fristablaufes invalid ist.
Die Rente an den:die geschiedenen Ehepartner:in ist mit der Unterhaltsleistung begrenzt (Ausnahmen bei Scheidung aufgrund Verschuldens des Verstorbenen, Ehedauer von mindestens 15 Jahren und wenn die:der Witwe:Witwer im zum Zeitpunkt der Scheidung bereits 40 Jahre alt war).
Die Auszahlung der Rente erfolgt im Nachhinein, jeweils am Ersten des folgenden Monats.
Die Rente wird 14-mal jährlich gezahlt (Sonderzahlungen im April und Oktober).</t>
  </si>
  <si>
    <t>1. Säule (Grundsystem):
Die Monatsrente setzt sich aus einem Teil des Mindestbetrages der Altersrente (Festbetrag) und einem Teil des maßgebenden durchschnittlichen Jahreseinkommens (variabler Betrag) zusammen.
Wenn das maßgebende durchschnittliche Jahreseinkommen niedriger oder gleich CHF45.360 (€48.467) ist, so entspricht der feste Teil der Rente CHF932 (€996) und der variable Teil dem mit 13/600 vervielfachten maßgebenden durchschnittlichen Jahreseinkommen.
Wenn das maßgebende durchschnittliche Jahreseinkommen höher ist als CHF45.360 (€48.467), so entspricht der feste Teil der Rente CHF1.310 (€1.400) und der variable Teil dem mit 8/600 vervielfachten maßgebenden durchschnittlichen Jahreseinkommen.
2. Säule (obligatorische Mindestvorsorge):
Jährliche Rente = (a + b) x t.
a = Guthaben des Versicherten bei Entstehung des Anspruchs auf Invalidenrente (Beiträge + Zinsen).
b = Gutschriften für die bis zum Referenzalter (Rentenalter) fehlenden Jahre (ohne Zinsen). Diese Gutschriften werden auf dem versicherten Lohn während des letzten Versicherungsjahres in der Vorsorgeeinrichtung berechnet.
t = Umwandlungssatz = 6,8%.
Nicht einkommensabhängige Leistungen.
Die Leistungen werden grundsätzlich monatlich gezahlt. Keine zusätzlichen Zahlungen.
Die Höhe der Leistung variiert insbesondere je nach früherem Erwerbseinkommen und, für die 2. Säule, nach dem Erhalt anderer Sozialleistungen.</t>
  </si>
  <si>
    <t>https://employment-social-affairs.ec.europa.eu/document/download/56aa99cf-f963-4065-8215-f262c195ea00_de</t>
  </si>
  <si>
    <t>https://employment-social-affairs.ec.europa.eu/document/download/f3436d8c-426b-472b-8012-9e830de438c3_de</t>
  </si>
  <si>
    <t>https://employment-social-affairs.ec.europa.eu/document/download/3ee120a1-88e4-40cd-a3d7-1a5e33008cfc_de?filename=missoc-ssg-DK-2024-de.pdf</t>
  </si>
  <si>
    <t>https://employment-social-affairs.ec.europa.eu/document/download/cd0ec727-04e8-4dcb-8d6e-bdaa0b04ff12_de</t>
  </si>
  <si>
    <t>https://employment-social-affairs.ec.europa.eu/document/download/4617b81d-4bc3-4fdc-9994-d9a8ae3e53ff_de</t>
  </si>
  <si>
    <t>https://employment-social-affairs.ec.europa.eu/document/download/48c6ea1f-8284-42db-804d-47fabf896a6d_de</t>
  </si>
  <si>
    <t>https://employment-social-affairs.ec.europa.eu/document/download/e0b8e868-4fae-4a4a-883b-75b02cf0bd1f_de</t>
  </si>
  <si>
    <t>https://employment-social-affairs.ec.europa.eu/document/download/f476ffdd-db90-48e3-8e1b-cd861a3f82e1_de</t>
  </si>
  <si>
    <t>https://employment-social-affairs.ec.europa.eu/document/download/d19d3105-4ff4-4e45-b8ef-c3a3fbe1abac_de</t>
  </si>
  <si>
    <t>https://employment-social-affairs.ec.europa.eu/document/download/1526299a-d95c-441b-8a5e-71acb2c981eb_de</t>
  </si>
  <si>
    <t>https://employment-social-affairs.ec.europa.eu/document/download/3f43aab0-d0c5-4c70-a7d2-f56fa6ee565c_de</t>
  </si>
  <si>
    <t>https://employment-social-affairs.ec.europa.eu/document/download/8ceb35da-6b70-41e8-acf9-381e8d7c6cf3_de</t>
  </si>
  <si>
    <t>https://employment-social-affairs.ec.europa.eu/document/download/07fba796-b245-416b-ac58-5b6dc4d06d4e_de</t>
  </si>
  <si>
    <t>https://employment-social-affairs.ec.europa.eu/document/download/4f16edeb-895f-4b75-ad39-dcd6f7bd4cb1_de</t>
  </si>
  <si>
    <t>https://employment-social-affairs.ec.europa.eu/document/download/b920adf8-38c1-4a1c-9579-7f8a62bc6ef6_de</t>
  </si>
  <si>
    <t>https://employment-social-affairs.ec.europa.eu/document/download/d18b3308-2094-4a67-9964-a59e1497a9af_de</t>
  </si>
  <si>
    <t>https://employment-social-affairs.ec.europa.eu/document/download/ad6d37a8-9b44-45c9-b366-f19633602983_de</t>
  </si>
  <si>
    <t>https://employment-social-affairs.ec.europa.eu/document/download/281c2e4d-bbb3-4a73-93b6-ff3368cb15c6_de</t>
  </si>
  <si>
    <t>https://employment-social-affairs.ec.europa.eu/document/download/7bb82c27-9a98-4ab5-948c-e875d1d18f02_de</t>
  </si>
  <si>
    <t>https://employment-social-affairs.ec.europa.eu/document/download/9b140205-9066-4a16-876f-eb7643365cc9_de</t>
  </si>
  <si>
    <t>https://employment-social-affairs.ec.europa.eu/document/download/1801fedc-6583-47f2-be14-8650bc6b71c8_de</t>
  </si>
  <si>
    <t>https://employment-social-affairs.ec.europa.eu/document/download/fa90d105-d7fc-417e-a79c-603796821761_en</t>
  </si>
  <si>
    <t>https://employment-social-affairs.ec.europa.eu/document/download/a8097a78-9595-456c-890f-0a6e44674343_de</t>
  </si>
  <si>
    <t>https://employment-social-affairs.ec.europa.eu/document/download/c4767d73-7286-41ad-bc5a-557aedfff7e1_de</t>
  </si>
  <si>
    <t>https://employment-social-affairs.ec.europa.eu/document/download/0b4342bd-0bd0-4b42-b09e-e43733ae8b8e_de</t>
  </si>
  <si>
    <t>https://employment-social-affairs.ec.europa.eu/document/download/cda27b4f-ad1c-419d-b4c4-28222a5d2c34_de</t>
  </si>
  <si>
    <t>https://employment-social-affairs.ec.europa.eu/document/download/788be1e1-a21f-42a7-a201-a90e5e913bea_de</t>
  </si>
  <si>
    <t>K2_Text1</t>
  </si>
  <si>
    <t>K2_Text2</t>
  </si>
  <si>
    <t>K2_Text3</t>
  </si>
  <si>
    <t>2.b. Erwerb allein aufgrund legalen Aufenthalts?</t>
  </si>
  <si>
    <t>4.a. Invaliditätsrente? Quote zur Altersrente?</t>
  </si>
  <si>
    <t>4.c. Geschiedenen-Hinterbliebenenversorgung?</t>
  </si>
  <si>
    <t>2.a. Erwerb aufgrund von Arbeitnehmer- und Arbeitgeberbeiträgen?</t>
  </si>
  <si>
    <t>4.b. Hinterbliebenenversorgung? Quote zur Altersrente?</t>
  </si>
  <si>
    <t>Infos aus:</t>
  </si>
  <si>
    <t xml:space="preserve">       ...Kurzübersicht</t>
  </si>
  <si>
    <r>
      <t xml:space="preserve">...EU-Datenbank </t>
    </r>
    <r>
      <rPr>
        <b/>
        <sz val="14"/>
        <color theme="0"/>
        <rFont val="Segoe UI Symbol"/>
        <family val="2"/>
      </rPr>
      <t xml:space="preserve">⏵  </t>
    </r>
    <r>
      <rPr>
        <b/>
        <sz val="14"/>
        <color theme="0"/>
        <rFont val="Calibri"/>
        <family val="2"/>
      </rPr>
      <t xml:space="preserve">  </t>
    </r>
  </si>
  <si>
    <t>Rsprechung</t>
  </si>
  <si>
    <t>Rspr</t>
  </si>
  <si>
    <t>Info-Box für Abfindungsberechnung</t>
  </si>
  <si>
    <t>Ktext</t>
  </si>
  <si>
    <t>KTextZus3</t>
  </si>
  <si>
    <t>*) das Vorversterbensrisiko der ausgleichspflichtigen Person zwischen Berechnungszeitpunkt und sVA-Bezugszeitpunkt ist bei der Leistungszeit für die  ausglber. Person  berücksichtigt</t>
  </si>
  <si>
    <t>Infobereich:</t>
  </si>
  <si>
    <t xml:space="preserve">       Höhe der Invaliditätsabsicherung in % der Altersrente (i.d.R. 100%) (Nr. 3ff)</t>
  </si>
  <si>
    <t xml:space="preserve">       Höhe der  Hinterbliebenenversorgung im Verhältnis zur Altersversorgung</t>
  </si>
  <si>
    <t>HI-Versorgung</t>
  </si>
  <si>
    <t>info_IRZuschlag</t>
  </si>
  <si>
    <t>B</t>
  </si>
  <si>
    <t>Bg</t>
  </si>
  <si>
    <t>D</t>
  </si>
  <si>
    <t>E</t>
  </si>
  <si>
    <t>EST</t>
  </si>
  <si>
    <t>F</t>
  </si>
  <si>
    <t>GR</t>
  </si>
  <si>
    <t>IS</t>
  </si>
  <si>
    <t>I</t>
  </si>
  <si>
    <t>IRL</t>
  </si>
  <si>
    <t>LV</t>
  </si>
  <si>
    <t>LI</t>
  </si>
  <si>
    <t>FL</t>
  </si>
  <si>
    <t>L</t>
  </si>
  <si>
    <t>M</t>
  </si>
  <si>
    <t>NL</t>
  </si>
  <si>
    <t>A</t>
  </si>
  <si>
    <t>PO</t>
  </si>
  <si>
    <t>S</t>
  </si>
  <si>
    <t>SLO</t>
  </si>
  <si>
    <t>H</t>
  </si>
  <si>
    <t>CY</t>
  </si>
  <si>
    <t>Sprungziel</t>
  </si>
  <si>
    <t>KR</t>
  </si>
  <si>
    <t>N</t>
  </si>
  <si>
    <t>Alter im BerDat Pfl/Ber</t>
  </si>
  <si>
    <t>Leistungszeit bis Ber_Ztpkt</t>
  </si>
  <si>
    <t>Anwartschaftszeit bis Ber_Ztpkt</t>
  </si>
  <si>
    <t>LZeitbisBer_Ztpkt</t>
  </si>
  <si>
    <t>Fälligkeit der sVA-Rente</t>
  </si>
  <si>
    <t>pfl</t>
  </si>
  <si>
    <t>ber</t>
  </si>
  <si>
    <t>Datum</t>
  </si>
  <si>
    <t>Fälligkeit_sVA</t>
  </si>
  <si>
    <t>AnwZeit Pfl.</t>
  </si>
  <si>
    <t>Erlebenswahrscheinlichkeit Pfl</t>
  </si>
  <si>
    <t>Erlebenswahrscheinlichkeit Ber</t>
  </si>
  <si>
    <t>Alter sVA-Start</t>
  </si>
  <si>
    <r>
      <rPr>
        <b/>
        <sz val="11"/>
        <color rgb="FF000000"/>
        <rFont val="Calibri"/>
        <family val="2"/>
      </rPr>
      <t>Alter der ausgleichspflichtigen Person</t>
    </r>
    <r>
      <rPr>
        <sz val="11"/>
        <color rgb="FF000000"/>
        <rFont val="Calibri"/>
        <family val="2"/>
      </rPr>
      <t xml:space="preserve"> bei Renteneintritt der ausglber. Person</t>
    </r>
  </si>
  <si>
    <t>StartrenteDRV zum BerDat</t>
  </si>
  <si>
    <t>Startrente Renteneintritt:</t>
  </si>
  <si>
    <t>Rentensumme DRV Ber</t>
  </si>
  <si>
    <t>Regelaltersgrenze</t>
  </si>
  <si>
    <t>Sterbealter</t>
  </si>
  <si>
    <t>Leistungsdauer</t>
  </si>
  <si>
    <t>Renteneintrittsalter Pflichtiger:</t>
  </si>
  <si>
    <t>Alter d. Pflichtiger im Ehezeitende:</t>
  </si>
  <si>
    <t>K_Renteneintritt</t>
  </si>
  <si>
    <t>K_EzE</t>
  </si>
  <si>
    <t>ℹ Information: Abfindung zum Berechnungezeitpunkt Methode 1:</t>
  </si>
  <si>
    <t>ℹ Information: Abfindung zum Berechnungezeitpunkt Methode 2:</t>
  </si>
  <si>
    <t>ℹ: Abfindungsbetrag Methode 2: Abfindung des Anspruchs der ausgleichsberechtigten Person auf sVA-Rente</t>
  </si>
  <si>
    <r>
      <t>Alternativeingabe:</t>
    </r>
    <r>
      <rPr>
        <sz val="10"/>
        <color rgb="FF000000"/>
        <rFont val="Wingdings 3"/>
        <family val="1"/>
        <charset val="2"/>
      </rPr>
      <t>Ú</t>
    </r>
  </si>
  <si>
    <t xml:space="preserve">pauschaler Steuerabschlag in % </t>
  </si>
  <si>
    <t>ℹ: Abfindung nach Methode 3:</t>
  </si>
  <si>
    <t>Info</t>
  </si>
  <si>
    <t>Info_Thema</t>
  </si>
  <si>
    <t>Grundinfo</t>
  </si>
  <si>
    <t>TextEUZus1</t>
  </si>
  <si>
    <t>OLG Koblenz, 29.05.2015 – 9 UF 386/14 (Juris)</t>
  </si>
  <si>
    <t>OLG Karlsruhe, 06.06.2012 – 18 UF 293/10 Juris</t>
  </si>
  <si>
    <t>OLG Zweibrücken, 09.04.2014 – 2 WF 80/14 Juris</t>
  </si>
  <si>
    <t>Rechtsprechung (verlinkt)</t>
  </si>
  <si>
    <t>Die Leistung bemisst sich nach der prozentualen Minderung der Erwerbsfähigkeit. Zur Vereinfachung gibt es drei Kategorien der Erwerbsminderung:
   * Kategorie I: Personen mit einer Minderung der Erwerbsfähigkeit um/Grad der Behinderung von mehr als 90 %;
   * Kategorie II: Personen mit einer Minderung der Erwerbsfähigkeit/Grad der Behinderung von 71 % bis 90 %,
   * Kategorie III: Personen mit einer Minderung der Erwerbsfähigkeit/Grad der Behinderung von 50 % bis 70,99 %,
„Dauerhafte Minderung der Arbeitsfähigkeit“ beschreibt einen Zustand, in welchem eine Person (Person im arbeitsfähigen Alter oder erwerbstätiger Empfänger einer Altersrente ohne festgelegte Art oder festgelegtem Grad der Behinderung) eine eingeschränkte Arbeitsfähigkeit in Verbindung mit einem dauerhaften funktionellen Ausfall eines bestimmten Organs oder Systems aufgrund einer chronisch traumatischen oder nicht-traumatischen Behinderung (Krankheit) besitzt.
„Art und Grad der Behinderung“ bezeichnet einen Zustand, in welchem eine nicht im arbeitsfähigen Alter befindliche Person (bis zu einem Alter von 16 Jahren oder als Empfänger einer Altersrente aus Versicherung) einen dauerhaften funktionellen Ausfall eines bestimmten Organs oder Systems aufweist.
Als „Personen mit dauerhafter Behinderung“ werden Personen bezeichnet, die dauerhafte körperliche, geistige, intellektuelle oder sensorische Defizite aufweisen, welche sie in Wechselbeziehungen mit ihrer Umwelt an der vollen und wirksamen Teilhabe am gesellschaftlichen Leben hindern können, wobei im Rahmen der fachärztlichen Begutachtung dieser Personen eine Art und ein Grad der Behinderung oder einer dauerhaft verminderten Erwerbsfähigkeit von 50% oder mehr festgestellt wurden. Der Bedarf an dauerhafter Unterstützung von Pflegepersonen wird für folgende Gruppen definiert:
   * Personen mit verminderter Erwerbsfähigkeit von über 90 %, die nicht in der Lage sind alltägliche Aktivitäten (Aufstehen, Verrichten der Notdurft, Nahrungsaufnahme, usw.) selbstständig auszuführen. Die regionalen Fachausschüsse für ärztliche Untersuchung/staatlichen Fachausschüsse für ärztliche Untersuchung entscheiden über die Notwendigkeit ausländischer Hilfe und bei einem Grad der dauernden Erwerbsminderung (Invaliditätsgrad) von 80 Prozent, wenn eine oder mehrere Begleiterkrankungen mehr als 50 Prozent der dauernden Erwerbsminderung (Invaliditätsgrad) verursachen;
   * Blinde;
   * Personen mit geistiger Behinderung, die nicht in der Lage sind ihr Verhalten zu kontrollieren;
   * Kinder mit einem Behinderungsgrad von über 90 %. Bei Kindern kann die dauerhafte Unterstützung auch für einen Grad der Behinderung unter 90 % bestimmt werden, je nach der Art der Erkrankung und der Möglichkeit, diese außerhalb der Familie aufzubringen (Kinderkrippe, Kindergarten, Schule usw.)</t>
  </si>
  <si>
    <t xml:space="preserve">   * Personen, die von einer bulgarischen Vermittlungsfirma zur Arbeit ins Ausland entsandt werden, können sich selbst für Invalidität, Alter und Tod auf der Grundlage eines selbst erklärten Einkommens zwischen dem Mindest- und dem Höchstbetrag des monatlichen versicherungspflichtigen Einkommens versichern;
   * Rentner, die ohne Arbeitsvertrag erwerbstätig sind, können sich freiwillig versichern.</t>
  </si>
  <si>
    <t>Die Mindestversicherungszeit ist abhängig vom Alter des Betroffenen zum Zeitpunkt des Eintritts der dauernden Erwerbsunfähigkeit:
   * Bis zum Alter von 20 Jahren (sowie für Personen, die blind geboren wurden oder ihr Augenlicht vor Aufnahme der Erwerbstätigkeit verloren haben): keine Wartezeit.
   * Bis 25 Jahre: ein Jahr, davon ein Drittel effektiv.
   * Bis 30 Jahre: 3 Jahre, davon ein Drittel effektiv.
   * Über 30 Jahre: 5 Jahre, davon ein Drittel effektiv.
Personen, die von Geburt an behindert sind oder die vor Aufnahme der Erwerbstätigkeit behindert werden, haben nach einem effektiven Versicherungsjahr Anspruch auf Invalidenrente (Пенсия за инвалидност).Siehe Tabelle V „Anrechenbare bzw. berücksichtigungsfähige beitragsfreie Zeiten.“</t>
  </si>
  <si>
    <t>Der Betrag der Invalidenrente entspricht dem Produkt der Multiplikation des Einkommens, auf dessen Grundlage die Rente zu jeweils 1,35 % pro Beitragsjahr (anteilig für unvollständige Jahre) berechnet wird.
Die vollständig als Beitragszeit angerechnete Periode wird dann mit folgenden Koeffizienten multipliziert:
   * Personen mit einer Minderung der Erwerbsfähigkeit um/Grad der Behinderung von mehr als 90 %: 0,9;
   * Personen mit bei einer Minderung der Erwerbsfähigkeit um/Grad der Behinderung von 71 % bis 90 %; 0,7;
   * Personen mit bei einer Minderung der Erwerbsfähigkeit um/Grad der Behinderung von 50 % bis 70,99 %; 0,5.
Die Rente unterliegt keiner Bedürftigkeitsprüfung und wird monatlich ausgezahlt, siehe Tabelle V, „Anrechenbare bzw. berücksichtigungsfähige beitragsfreie Zeiten“.
Bei vorübergehender Erwerbsunfähigkeit von 90 % oder mehr können Personen einmalig oder aufgeschoben bis zu 50 % von der auf ihrem individuellen Konto bei dem universellen Fonds akkumulierte Summe abziehen (Zweite Säule der Rente).
Die Zuschläge für Ostern/Weihnachten werden durch Beschluss des Ministerrates gezahlt. Sie sind nicht gesetzlich begründet.</t>
  </si>
  <si>
    <t>Die Berechnungsgrundlage ergibt sich aus der Multiplikation des nationalen durchschnittlichen versicherungspflichtigen Bruttoeinkommens während der 12 Kalendermonate vor der Bewilligung der Rente und dem individuellen Koeffizienten des Antragstellers.
Für die vor 2019 gewährten Renten:
Dieser Koeffizient berücksichtigt:
   * das Verhältnis zwischen dem durchschnittlichen monatlichen versicherungspflichtigen Einkommen des Anwärters über drei selbst gewählte aufeinander folgende Jahre innerhalb der 15 Jahre vor dem 31. Dezember 1996 und dem nationalen monatlichen Durchschnittslohn im selben Zeitraum,
   * das Verhältnis zwischen dem durchschnittlichen monatlichen versicherungspflichtigen Einkommen des Anwärters seit dem 31. Dezember 1996 und dem nationalen Durchschnittslohn desselben Zeitraums.
Für die nach 2019 gewährten Renten:
Dieser Koeffizient berücksichtigt das Verhältnis zwischen dem durchschnittlichen monatlichen versicherungspflichtigen Einkommen des Anwärters seit dem 31. Dezember 1999 und dem nationalen beitragspflichtigen monatlichen Durchschnittslohn desselben Zeitraums.</t>
  </si>
  <si>
    <t xml:space="preserve">Die Invalidenrente beträgt monatlich mindestens:
   * bei einer Minderung der Erwerbsfähigkeit um/Grad der Behinderung von mehr als 90%: 115% des Mindestbetrags der beitragsabhängigen Altersrente, also BGN 725,08 (€ 371).
   * bei einer Minderung der Erwerbsfähigkeit/Grad der Behinderung zwischen 71 % und 90 %: 105 % des Mindestbetrags der beitragsabhängigen Altersrente, also BGN 633,68 (€ 324).
   * bei einer Minderung der Erwerbsfähigkeit/Grad der Behinderung zwischen 50 % und unter 70,99 %: 85 % des Mindestbetrags der beitragsabhängigen Altersrente, also BGN 493,48 (€ 252).
Der Mindestbetrag der beitragsabhängigen Altersrente beträgt momentan BGN 630,50 (€ 322).
Ab dem 1.7.2019 wird festgelegt, dass am 1. Juli eines jeden Kalenderjahres der Gesamtbetrag, der aus einer oder mehreren Renten (ohne Zulagen) bezogen wird, 40 % des Höchstbetrags des versicherungspflichtigen Einkommens in dem jeweiligen Jahr beträgt (BGN 3.400 (€1.738)).
</t>
  </si>
  <si>
    <t>Falls die versicherte Person bei Beginn der Erwerbsunfähigkeit das Rentenalter noch nicht erreicht hat, wird die bis dahin verbleibende Zeit, jedoch mindestens 16 Jahre, als Versicherungszeit angerechnet. Bei der Berechnung des Rentenbetrags werden diese angerechneten Versicherungsjahre mit folgenden Koeffizienten multipliziert:
   * Kategorie I: 0,9
   * Kategorie II:  0,7
   * Kategorie III: 0,5</t>
  </si>
  <si>
    <t>Personen, die die erforderliche Versicherungszeit für den Anspruch auf Invalidenrente (Пенсия за инвалидност) nicht vorweisen können, erhalten eine Pauschalzahlung in Höhe des Krankengelds für 60 Arbeitstage (siehe Tabelle III "Krankheit: Geldleistungen").
Folgende Personen haben Anspruch auf zwei Hin- und Rückfahrscheine für die nationale Bahn pro Jahr:
   * Personen mit einer Behinderungsart und einem Grad von 71 % oder mehr,
   * Personen mit dauerhafter Erwerbsunfähigkeit von 71 % oder mehr,
   * Militärinvaliden,
   * dauerhaft behinderte Kinder unter 16 Jahren.
Das Recht gilt auch für die begleitende Pflegeperson/den persönlichen Assistent/Blindenhund, wenn diese mit dem Begünstigten reisen.</t>
  </si>
  <si>
    <t>Leistungen für Behandlung in Sanatorien und Heilstätten (Обезщетения за санаторно-курортно лечение):
Invalide Personen, die von den Gesundheitsbehörden an eine Behandlung in Sanatorien und Heilstätten überwiesen werden, erhalten für die gesamte Dauer der Behandlung einschließlich von bis zu 3 Reisetagen eine Geldleistung in Höhe des für Invalidität aufgrund allgemeiner Krankheit bzw. von Arbeitsunfall/Berufskrankheit geltenden Betrages.
Geldleistung bei beruflicher Rehabilitation (Парично обезщетение при трудоустрояване):
Bei beruflicher Rehabilitation hat ein vorübergehend erwerbsgeminderter Versicherter Anspruch auf eine Geldleistung, wenn der neue Arbeitsplatz mit einem Einkommensverlust verbunden ist. Die Leistung entspricht der Differenz zwischen dem durchschnittlichen Entgelt während der 18 Monate vor der Rehabilitation und der anschließenden Entlohnung. Hat die Person vorher weniger als 18 Monate gearbeitet, so bemisst sich die Leistung nach der Differenz zwischen dem Durchschnittslohn und dem Entgelt nach der Rehabilitation.
Die Eingliederung von Personen mit Behinderungen erfolgt durch folgende Maßnahmen:
   * Leistungen an Eltern (Adoptiveltern), Ehepartner oder einen Großelternteil, die eine Person mit einer dauerhaften Erwerbsminderung/Art oder Grad der Behinderung und ständigem Hilfebedarf betreuen, sofern die Eltern (Adoptiveltern), Ehepartner oder Großeltern nicht versichert sind und in dieser Zeit keine Rente beziehen.
   * Medizinische und soziale Rehabilitation.
   * Maßnahmen der Bildung und Ausbildung.
Die Teilnahme an einer Ausbildung oder Rehabilitätion ist für den Bezug einer Invaliditätsrente nicht obligatorisch.</t>
  </si>
  <si>
    <t>Wie für Arbeitnehmer.
Personen haben Anspruch auf Invaliditätsrente, wenn sie ihre Arbeitsfähigkeit ganz oder teilweise auf unbestimmte Zeit oder für längere Zeit verloren haben. Personen müssen eine um 50 % oder mehr reduzierte Arbeitsfähigkeit/Art und Grad der Behinderung haben.
Diese Personen müssen folgende Versicherungszeiten vor dem Datum der Feststellung der Invalidität erworben haben
   * bis zum 20. Lebensjahr und von Geburt an blind vor Arbeitsaufnahme - unabhängig von den Versicherungszeiten;
   * bis zur Vollendung des 25. Lebensjahres - 1 Jahr
   * bis zur Vollendung des 30. Lebensjahres - 3 Jahre;
   * über 30 Jahre - 5 Jahre.
Mindestens 1/3 dieser Versicherungszeiten muss durch eine tatsächliche Tätigkeit erworben werden.</t>
  </si>
  <si>
    <t>Erste SäuleObligatorisches öffentliches Rentenversicherungssystem nach dem Umlageverfahren, auf Grundlage eines leistungsorientierten Prinzips für alle Arbeitnehmer, Selbstständige, Landwirte, Erwerbstätige ohne formellen Arbeitsvertrag sowie sonstige (etwa 30 Gruppen versicherter Personen).
Zweite SäuleErgänzendes obligatorisches kapitalgedecktes Rentensystem.
Es gibt zwei Arten von Fonds
   * Der universelle Rentenfonds, der alle Personen abdeckt, die nach 31.12.1959 geboren sind.
   * Der berufliche Rentenfonds, der Personen abdeckt, deren Arbeit unter die erste oder zweite Kategorie fällt (schwere oder schädliche Arbeitsbedingungen).
Ab 2015 besteht die Möglichkeit, sowohl in der öffentlichen Rentenkasse als auch dem universellen Rentenfonds versichert zu sein oder Mittel aus dem universellen Rentenfonds in die öffentliche Rentenversicherung zu übertragen. Dieser Beschluss ist umkehrbar.
Mittel können auch aus dem beruflichen Rentenfonds in die öffentliche Rentenversicherung übertragen werden, in diesem Fall ist der Beschluss jedoch unumkehrbar.
Dritte SäuleFreiwillige Zusatzrentenversicherung nach dem Prinzip der Kapitaldeckung mit festgelegten Beiträgen.
Es gibt zwei Arten von Fonds
   * den freiwilligen Zusatzrentenversicherungsfonds und
   * den Berufsrentenfonds.
Beide Fonds sind freiwillig für alle Personen, die das Alter von 16 Jahren erreicht haben.
Es existiert eine spezifische beitragsbunabhängige Altersrente für Personen ab 70 Jahren – siehe Garantiertes Mindesteinkommen.</t>
  </si>
  <si>
    <t>Erste Säule
   * Männer: Alter von 64 Jahren und 8 Monaten und Versicherungszeitraum von 39 Jahren und 8 Monaten;
   * Frauen: Alter von 62 Jahren und 4 Monaten und Versicherungszeitraum von 36 Jahren und 8 Monaten.
Das Rentenalter wird wie folgt angehoben
   * bei Frauen um 2 Monate pro Kalenderjahr bis zum 31.12.2029 und um 3 Monate ab dem 01.01.2030 bis zum 65. Lebensjahr;
   * bei Männern um 2 Monate pro Kalenderjahr bis zum 31.12.2017 und um 1 Monat ab 01.01.2018 bis zum 65. Lebensjahr.
Nach dem 31.12.2037 wird das Rentenalter an die Lebenserwartung gebunden.
Der benötigte Versicherungszeitraum wird um 2 Monate pro Kalenderjahr erhöht, bis er bei Frauen 37 Jahre und bei Männern 40 Jahre erreicht.
Zweite SäuleSiehe oben Erste Säule "2. Vorzeitiger Rentenbezug“.</t>
  </si>
  <si>
    <t>Es gibt drei Kategorien von Arbeit, die in einer konkreten Verordnung aufgelistet sind
   * Kategorie I und II beinhalten die beschwerlichsten und gefährlichsten Tätigkeiten (Minenarbieter, Piloten, Berufskraftfahrer von LKW mit eine Tragfähigkeit von 12 Tonnen und mehr; Arbeiter in der Metallindustrie etc.).
   * Kategorie III umfasst alle anderen Arbeiten.
Drei Jahre in Kategorie I oder vier Jahre in Kategorie II entsprechen fünf Jahren in Kategorie III.
Personen, die in einem Berufsrentenfonds versichert waren und ihre Mittel nicht in die öffentliche Rentenkasse (Erste Säule) übertragen haben, sind anspruchsberechtigt auf befristete Zusatzberufsrente, die vom beruflichen Rentenfonds unter folgenden Bedingungen gezahlt wird
   * mindestens 10 Versicherungsjahre unter Kategorie I nach dem 31.12.1999 und noch 10 verbleibende Jahre vor dem Rentenalter;
   * mindestens 15 Versicherungsjahre unter Kategorie I oder II nach dem 31.12.1999 und noch 10 verbleibende Jahre vor dem Rentenalter.
Die befristete Zusatzberufsrente wird gezahlt, bis die Person das reguläre Rentenalter erreicht.
Personen, die keinen Anspruch auf eine Rente aus einem beruflichen Rentenfonds erworben oder ihre Mittel in die öffentliche Rentenkasse (Erste Säule) übertragen haben, sind anspruchsberechtigt auf eine lebenslange Rente, die vom Staatlichen Institut für Soziale Sicherheit unter folgenden Bedingungen gezahlt wird
   * mindestens 10 Versicherungsjahre der Kategorie I und 51 Jahre bei Frauen und 54 Jahre und 4 Monate  bei Männern, sofern die Summe von Versicherungszeiten und Alter 94 Jahren für Frauen und 100 Jahren für Männer entspricht. Das Rentenalter wird für Männer pro Kalenderjahr um 2 Monate und für Frauen pro Kalenderjahr um 4 Monate angehoben, bis es 55 Jahre erreicht;
   * mindestens 15 Versicherungsjahre der Kategorie II und 56 Jahre bei Frauen und 59 Jahre und 4 Monate bei Männern, sofern die Summe von Versicherungszeiten und Alter 94 Jahren für Frauen und 100 Jahren für Männer entspricht. Das Rentenalter wird um 2 Monate pro Kalenderjahr für Männer und 4 Monate für Frauen angehoben, bis es 60 Jahre erreicht.
Für bestimmte Berufe existieren konkrete Bestimmungen
   * Normale Soldaten, Offiziere und Beamte des Innenministeriums und der Staatlichen Agentur für nationale Sicherheit, Beamte, die in der Durchführung von Strafen, Sicherheit, Brandschutz und Schutz tätig sind: 54 Jahre und 4 Monate, wenn sie 27 Jahre Beschäftigung vorweisen können, von denen zwei Drittel tatsächlich in diesen Berufen geleistet wurden.
   * Flugbesatzung, Fallschirmspringer, Besatzung von Unterwasserschiffen und Unterwassertauchmannschaften mit mindestens 15 Dienstjahren und Balletttänzer mit mindestens 25 Dienstjahren: 44 Jahre und 4 Monate.
Das Rentenalter für diese Berufe wird um 2 Monate pro Kalenderjahr angehoben, bis es 55 oder 45 Jahre für Arbeiter erreicht.</t>
  </si>
  <si>
    <t>Erste Säule
   * Bezugslohn,
   * Versicherungszeit,
   * Nationales durchschnittliches monatliches versicherungspflichtiges Einkommen,
   * individueller Koeffizient des Anspruchsberechtigten.
Zweite Säule
   * Akkumulierte Mittel des individuellen Kontos,
   * offizielle biometrische Tabellen (Berücksichtigung der Lebenserwartung) für lebenslange oder befristete Renten,
   * genehmigter rechnerischer Zinssatz.</t>
  </si>
  <si>
    <t>Erste SäuleFolgende Zeiten werden auch ohne Beitragszahlung als Versicherungszeiten anerkannt
   * Bezahlter und unbezahlter Erziehungsurlaub,
   * bezahlte oder unbezahlte Beurlaubung wegen vorübergehender Erwerbsunfähigkeit sowie Schwangerschaft und Entbindung,
   * bis zu 30 Arbeitstage unbezahlter Urlaub pro Kalenderjahr;
   * Zeiten des Bezugs von Arbeitslosengeld;
   * Zeiten, in denen eine versicherte Person, die aus medizinischen Gründen einem anderen Arbeitsplatz zugewiesen wurde, nicht arbeitet, da dieser Arbeitsplatz für ihren Gesundheitszustand nicht geeignet ist;
   * Zeiten, in denen ein Elternteil (oder Adoptivelternteil) oder Ehepartner oder ein Großelternteil einer behinderten Person eine behinderte Person mit mindestens 90% dauerhaft verminderter Erwerbsfähigkeit und ständigem Hilfebedarf pflegt;
   * Wehrdienst oder nationaler Militär- oder Zivildienst in Friedenszeiten;
   * Erziehung eines Kindes bis zum Alter von 3 Jahren durch eine nicht-erwerbstätige Mutter.
Zweite SäuleKeine anrechenbaren bzw. berücksichtigungsfähigen beitragsfreien Zeiten.</t>
  </si>
  <si>
    <t>Die folgenden Zeiträume können rückwirkend gezahlt werden
   * Personen, die das gesetzliche Rentenalter erreicht haben, denen aber bis zu 5 Jahren Versicherungszeit fehlt, um einen Rentensanspruch zu haben, können den fehlenden Zeitraum (bis zu 5 Jahren) bezahlen
Und wenn nicht aus anderen Gründen anerkannt
   * die Studienjahre in einer höheren oder postsekundären, nicht tertiären Ausbildung, die aber nicht die regulären Zeiten der verfolgten Studien überschreiten;
   * die Dauer eines PhD-Studiums, wenn der PhD erworben wurde.
Versicherungsbeiträge, die für diese Zeiträume zahlbar sind, werden auf der Grundlage des Mindestbetrags des versicherungspflichtigen Einkommens berechnet, wie im Gesetz über den Haushalt der Sozialversicherung festgelegt. Beide werden für den Anspruch auf Altersrente und die Berechnung des Betrags verwendet.</t>
  </si>
  <si>
    <t>Die folgenden Rentenleistungen können nicht gleichzeitig in Anspruch genommen werden
   * eine Beitragsabhängige Altersrente aus eigenem Anspruch (лична пенсия за осигурителен стаж и възраст) mit einer Beitragsabhängigen Hinterbliebenenrente im Alter (Наследствена пенсия за осигурителeнстаж и възраст);
   * eine Beitragsabhängige Altersrente aus eigenem Anspruch oder eine Beitragsabhängige Hinterbliebenenrente im Alter (лична или наследствена пенсия за осигурителен стаж и възраст) mit einer Invalidenrente aus eigenem Anspruch oder als Hinterbliebener aufgrund von Allgemeinkrankheit (лична или наследствена пенсия за инвалидност поради общо заболяване);
   * eine Invalidenrente aus eigenem Anspruch aufgrund von Allgemeinkrankheit (лична пенсия за инвалидност поради общо заболяване) mit einer Invalidenrente als Hinterbliebener aufgrund von Allgemeinkrankheit (наследствена пенсия за инвалидност поради общо заболяване);
   * eine Soziale Altersrente (Социална пенсия за старост), eine Soziale Invaliditätsrente (Социална пенсия за инвалидност) und eine persönliche Rente (Персоналнa пенсия) mit irgendeiner anderen Rente.
Bei Anspruch auf mehr als eine eigene Invalidenrente wird der höchste Betrag gewährt.
Bei Anspruch auf mehr als eine Rentenleistung kann der Empfänger auswählen, welche Leistung voll ausgezahlt wird, und die anderen werden um 50 % verringert.</t>
  </si>
  <si>
    <t>Erste Säule:
Die Referenzeinkommen ergeben sich aus der Multiplikation des nationalen durchschnittlichen versicherungspflichtigen Einkommens während der 12 Kalendermonate vor der Bewilligung der Rente und dem individuellen Koeffizienten des Antragstellers.
Für vor 2019 gewährte Renten:
Dieser Koeffizient berücksichtigt:
   * für den Zeitraum vor dem 31. Dezember 1996: das Verhältnis zwischen dem durchschnittlichen monatlichen versicherungspflichtigen Bruttoeinkommen des Anwärters über drei selbst gewählte aufeinander folgende Jahre innerhalb der 15 Jahre vor dem 31. Dezember 1996 und dem nationalen monatlichen Durchschnittslohn im selben Zeitraum,
   * für den Zeitraum nach dem 31. Dezember 1996: das Verhältnis zwischen dem durchschnittlichen monatlichen versicherungspflichtigen Bruttoeinkommen des Anwärters seit dem 31. Dezember 1996 und dem nationalen Durchschnittslohn desselben Zeitraums.
Für ab 2019 gewährte Renten:
Der individuelle Koeffizient berücksichtigt das Verhältnis zwischen dem durchschnittlichen monatlichen versicherungspflichtigen Bruttoeinkommen des Anwärters seit dem 31. Dezember 1999 und dem nationalen beitragspflichtigen monatlichen Durchschnittseinkommen desselben Zeitraums.
Zweite Säule:
Die Rente basiert auf dem angesammelten Kapital auf dem individuellen Konto der versicherten Person.</t>
  </si>
  <si>
    <t>Die Hinterbliebenenrente (Наследствена пенсия) wird prozentual von der Rente, die der/die Verstorbene bezogen hat oder hätte, berechnet.Dabei gilt:
   * Falls der/die Verstorbene zum Todeszeitpunkt keine Rente bezogen hat, wird die Hinterbliebenenrente anhand der Invalidenrente (Пенсия за инвалидност) wegen allgemeiner Erkrankung oder Arbeitsunfällen und Berufskrankheiten berechnet, die der/die Verstorbene im Falle einer Minderung der Erwerbsfähigkeit um mehr als 90 % erhalten hätte;
   * falls der/die Verstorbene zum Todeszeitpunkt bereits Altersrente bezog, wird die Hinterbliebenenrente auf Basis der Altersrente berechnet, falls diese höher ist als die oben beschriebene Leistung;
   * falls der/die Verstorbene zum Todeszeitpunkt Invalidenrente bezog, wird die Hinterbliebenenrente anhand dieser berechnet, wobei die Invalidenrente zur Berechnung so aufgestockt wird, als hätte eine Erwerbsunfähigkeit/ein Grad der Behinderung von mindestens 90 % vorgelegen.
Die Hinterbliebenenrente wird prozentual abhängig von der Rente der verstorbenen versicherten Person folgendermaßen berechnet:
   * Ein/e Hinterbliebene/r: 50 %;
   * zwei Hinterbliebene: 75 %;
   * drei oder mehr Hinterbliebene: 100 %.
Die Hinterbliebenenrente wird allen anspruchsberechtigten Personen gewährt und wird zu gleichen Teilen unter ihnen verteilt.
Renten werden auf monatlicher Basis ausgezahlt.
Rentner mit Hinterbliebenenrente erhalten Oster- oder Weihnachtsgeld, sofern dies für alle Rentner vorgesehen ist.</t>
  </si>
  <si>
    <t>Minimum bei Vollzeitbeschäftigung
   * Personen mit Unterhaltsberechtigten: € 79,51 täglich. 
   * Ohne Unterhaltsberechtigte:  
   *  Alleinstehend: € 63,01 täglich, 
   *  Haushaltsmitglied: € 54,02 täglich. 
Minimum bei Teilzeitbeschäftigung
   * Personen mit Unterhaltsberechtigten: € 68,31 täglich, 
   * Ohne Unterhaltsberechtigte: € 50,55 täglich. 
Die Obergrenze des als Leistungsbemessungsgrundlage dienenden Arbeitsentgelts pro Tag beläuft sich je nach dem Zeitpunkt des Eintritts der Invalidität auf € 181,1385 oder € 183,1311 (aktuelle Obergrenzen)</t>
  </si>
  <si>
    <t>Arbeitsunfähige Leistungsempfänger, die einen anerkannten Hilfsbedarf an Unterstützung durch eine dritte Person haben, wird eine pauschale Zulage frühestens ab dem vierten Monat der Arbeitsunfähigkeit gewährt. Täglicher Betrag: € 29,39 (siehe Tabelle Krankheit – Geldleistungen, sonstige Leistungen).
 Pauschale Ausgleichsprämie (Arbeitnehmer) von 
   * € 713,26 und € 547,45 (ohne Unterhaltsberechtigte) bei ein- bis zweijähriger Arbeitsunfähigkeit am 31. Dezember des Vorjahres
   * € 1.072,88 (mit Familienzulage) und € 875,56 (ohne Familienzulage) bei mindestens zweijähriger Arbeitsunfähigkeit am 31. Dezember des Vorjahres) (siehe Tabelle Krankheit – Geldleistungen, sonstige Leistungen). </t>
  </si>
  <si>
    <t>Im Rahmen von mehreren Programmen können nicht erwerbsfähige Personen Kompetenzen erwerben oder aktualisieren, um an den Arbeitsmarkt zurückzukehren (soziale und berufliche Wiedereingliederung) Im Rahmen des Programms „Weg zurück zur Arbeit“ erhält der Arbeitnehmer Betreuung und Anleitung. Der „Weg zurück zur Arbeit“ wird eingeleitet durch die Krankenkasse oder die regionale Arbeitsverwaltung
   * durch die Krankenkasse auf Initiative des Vertrauensarztes oder des Begünstigten, 
   * durch die regionale Arbeitsverwaltung (siehe Krankheit - Geldleistungen - Rückkehr ins aktive Erwerbsleben). 
Der „Weg zurück zur Arbeit“ erfolgt auf freiwilliger Basis und richtet sich an nicht erwerbsfähige Personen.</t>
  </si>
  <si>
    <t>Das gesetzliche Rentenalter für Männer und Frauen ist wie folgt festgelegt:
   * 65 Jahrefür Personen, die vor dem 1. Januar 1960 geboren sind 
   * 66 Jahre für Personen, die nach dem 31. Dezember 1959 und vor dem 1. Januar 1964 geboren sind 
   * 67 Jahre für Personen, die nach dem 31. Dezember 1964 geboren sind. 
Das gesetzliche Rentenalter ist nicht an eine bestimmte Anzahl von Beitragsjahren gebunden und richtet sich nicht nach der Entwicklung der Lebenserwartung.</t>
  </si>
  <si>
    <t>Berechnung des Bezugslohns:
Für Jahre vor dem 1. Januar 1955:
S = pauschal € 18.413,22 (Jährliches Arbeitsentgelt).
Für die Jahre von 1955 - 1980:
   * Arbeiter: Bruttoarbeitsentgelt ohne Bemessungsgrenze. 
   * Angestellte: Bruttoentgelt ohne Bemessungsgrenze (mit Ausnahme der Jahre 1955-1957: pauschale Beträge pro Tag, an dem für mindestens vier Stunden eine Beschäftigung ausgeübt wurde). 
Für Jahre nach 1980:
Bruttoentgelt bis zur Bemessungsgrenze (2024) von: € 80.485,32
In einigen Fällen (z. B. bestimmte Arten von Arbeitslosigkeit) ist die fiktive Vergütung auf einen Betrag begrenzt, der unter der normalen Obergrenze liegt (d. h. € 72.598,16).
Die Gehälter des gesamten Erwerbslebens werden berücksichtigt und an die aktuellen Lebenshaltungskosten angepasst (mit einem Anpassungskoeffizienten multipliziert).
Die Berechnung erfolgt gemäß dem Prinzip„Einheit der Laufbahn“ (unité de carrière):
Bei einer Versicherungszeit von mehr als 14.040 Tagen werden bei der Berechnung die einkommensmäßig günstigeren Tage berücksichtigt;
   * die tatsächlich geleisteten Tage werden berücksichtigt, um zusätzliche Ansprüche des Arbeitnehmers zu bilden; 
   * bestimmte Tage der Inaktivität (z. B. Arbeitslosigkeit) werden nie berücksichtigt, wenn sie nach dem 14.040. Tag des Vollzeitäquivalents liegen. </t>
  </si>
  <si>
    <t>Folgende beitragsfreie Zeiten können bei der Rentenberechnung angerechnet werden:
Studienzeiten:
Kostenpflichtige Regularisierung für Beamte, Arbeitnehmer und Selbstständige;
Für Arbeitnehmer: Zeitlich nicht beschränkte Regularisierung (Pauschalbetrag von €1.902,39 bei Abbfindung in den 10 Jahren nach Studiumabschluss; ansonsten versicherungsmathematische Berechnung. Die regularisierten Studienjahre werden hinsichtlich der vorgeschriebenen Versicherungszeit nicht berücksichtigt).
können regularisiert werden:
   * Zeiträume von einem Jahr der universitären und außeruniversitären Hochschulbildung in Vollzeit einer vollwertigen technischen, beruflichen, maritimen oder künstlerischen Hochschulausbildung, im Rahmen derer der Studiengang vollständig absolviert und ein Abschluss erworben wurde (die Höchstdauer der Abfindung entspricht der Mindestanzahl an Studienjahren, die für einen Studienabschluss zu absolvieren sind); 
   * Zeiträume für die Doktorarbeit, sofern der akademische Doktorgrad erlangt wurde (höchstens 2 Jahre); 
   * Berufspraktika (unter bestimmten Bedingungen) (der maximale Zeitraum, der abgefunden werden kann, ist auf den Mindestzeitraum beschränkt, der für den Erwerb der Berufsqualifikation erforderlich ist) ; 
   * Zeiträume ab dem Jahr des 18. Geburtstags, in denen ein Ausbildungsvertrag abgeschlossen wurde und die bei der Rentenberechnung in einem belgischen oder ausländischen Sozialversicherungssystem nicht berücksichtigt werden (maximal 1 Jahr);;
   * Die einjährigenGesamtzeiträume, in denen die Jahre der Sekundarstufe II nach dem 6. Sekundarjahr verfolgt werden (der maximale Zeitraum, der abgefunden werden kann, entspricht der Mindestanzahl der Studienjahre (nach dem 6. Sekundarjahr), die für den Erwerb des Diploms erforderlich sind). 
   *  Wenn der Arbeitgeber in einem bestimmten Zeitraum keine Rentenbeiträge gezahlt hat, kann weiterhin bescheinigt werden, dass in diesem Zeitraum eine unselbstständige Tätigkeit ausgeübt wurde. Die betroffene Person hat dann die Möglichkeit, die geschuldeten Beiträge zu entrichten. 
   *  Zeiten der Erwerbstätigkeit, für die keine Rentenbeiträge einbehalten wurden:  
   * die Erwerbstätigkeit muss nachgewiesen werden; 
   * Zahlung der Arbeitgeberbeiträge und der Eigenbeiträge für Rentenzwecke berechnet anhand des garantierten durchschnittlichen monatlichen Mindesteinkommens, Rente wird auf der Basis dieses Einkommens berechnet. </t>
  </si>
  <si>
    <t xml:space="preserve">Einem Arbeitnehmer, der seine Berufstätigkeit nach dem Erfüllen bestimmter Bedingungen in Bezug auf Alter oder Berufslaufbahn bis zum Renteneintritt fortsetzt, wird ein Rentenbonus gewährt.
Früherer Bonus: Für Renten, die ab dem 1.1.2015 gewährt werden, wird der Bonus nur bei Arbeitnehmern angewendet, die vor dem 1.12.2014 vorzeitig in Rente gehen konnten oder das Alter von 65 Jahren erreicht und 40 Arbeitsjahre hinter sich haben.
Neuer Bonus: FürRenten, die ab dem 01.01.2025 gewährt werden, kann ein Rentenbonus ab dem 01.07.2024 erworben werden. Wenn der Arbeitnehmer – der die Bedingungen für den vorzeitigen Ruhestand erfüllt oder ansonsten Anspruch auf eine gesetzliche Rente erworben hat – weiter berufstätig ist, anstatt in den Ruhestand zu gehen, kann er für jeden Arbeitstag in Belgien einen zusätzlichen Nettobonus erwerben. Dieser Bonus kann höchstens für eine Dauer von 3 Jahren kumuliert werden und wird als Einmalzahlung oder als Monatsrente, je nach Wahl des Arbeitnehmers, ausgezahlt.
Höchstbetrag des Rentenbonus:
   * die berufliche Laufbahn beträgt zu Beginn des Rentenanspruchs weniger als 43 Jahre: 
   * Einmalzahlung: € 24.036,18 
   * Monatszahlung: € 99,32
   * die berufliche Laufbahn beträgt zu Beginn des Rentenanspruchs 43 Jahre oder mehr: 
   * Einmalzahlung: € 36.054,27
   * Monatszahlung: € 148,98
</t>
  </si>
  <si>
    <t>Betrag der garantierten Mindestrente (pension minimale garantie/gewaarborgd minimumpensioen) bei einem Versicherungsverlauf von mindestens 2/3 des vollständigen Versicherungsverlaufs (anteilig von folgenden Jahressätzen):
   * Haushaltssatz: € 27.123,07 
   * Satz für Alleinstehende: € 21.705,29. 
   * Garantierter gesetzlicher Mindestlohn (Mindestanspruch pro Berufsjahr): 
Ein Mindestrentenbetrag wird unter bestimmten Bedingungen garantiert, je nach Dauer und Art des Versicherungsverlaufs.
Eine Person, deren Versicherungsverlauf im Sicherungssystem für Arbeitnehmer mindestens 15 Jahre und 104 Tage beträgt, hat für jedes Jahr der Erwerbstätigkeit Anspruch auf ein Minimum, das auf der Basis eines garantierten Mindesteinkommens von € 32.764,09 (jährlich) für ein volles Erwerbsleben berechnet wird, wenn ihre Rente für einen vollständigen Versicherungsverlauf jährlich nicht folgende Beträge übersteigt:
   * € 22.900,17 (jährlicher Betrag) für Alleinstehende 
   * € 28.625,23 (jährlicher Betrag) für einen Haushalt 
2. Garantierte Mindestrente (Anspruch nur bei einem Mindestversicherungsverlauf (Arbeitnehmer + Selbständiger)
Der Anspruch auf eine garantierte Mindestrenteist Personen mit einem ausreichenden Versicherungsverlauf vorbehalten, wobei zwischen Vollzeit- und Teilzeitbeschäftigung unterschieden wird:
Garantierte Mindestrente bei Vollzeitbeschäftigung :
   * Mindestens 2/3 eines vollständigen Versicherungsverlaufs nachweisen.
   * Mindestens über 208 vollzeitäquivalente Tage pro Kalenderjahr verfügen.
Garantierte Mindestrente bei Teilzeitbeschäftigung:
   * Mindestens 2/3 eines vollständigen Versicherungsverlaufs nachweisen.
   * Mindestens über 156 vollzeitäquivalente Tage pro Kalenderjahr verfügen.
Ab dem 1. Januar 2025: Neben der Bedingung eines Mindestversicherungsverlaufs wird eine zusätzliche Bedingung für die effektive Erwerbstätigkeit eingeführt. Um diese Bedingung zu erfüllen, muss eine Person mindestens eine Erwerbstätigkeit wie folgt nachweisen:
   * Für eine Vollzeit-Mindestrente: 5.000 effektiv geleistete vollzeitäquivalente Arbeitstage als Arbeitnehmer; 
   * Für eine Teilzeit-Mindestrente als Arbeitnehmer: 3.120 effektiv geleistete vollzeitäquivalente Arbeitstage als Arbeitnehmer oder in einer gemischten Berufslaufbahn (Arbeitnehmer, Selbstständiger, Beamter).
Ausnahmen:
Bestimmte Zeiten der Inaktivität werden mit effektiv geleisteten Arbeitstagen gleichgesetzt. Um zu vermeiden, dass Personen aufgrund ihres Gesundheitszustands den Anspruch auf eine Mindestrente verlieren, werden außerdem bestimmte Zeiten längerer Abwesenheit aus medizinischen Gründen (teilweise) von der Anzahl der effektiven Arbeitstage in Abzug gebracht, die nachzuweisen sind.
Außerdem wird bei der Berechnung berücksichtigt, dass Teilzeitarbeit vor 2002 als abhängige Beschäftigung anerkannt wurde.
Nach Beendigung der Berufslaufbahn darf die Rente einen festen Mindestbetrag nicht unterschreiten:
   * Jahressatz für einen Haushalt: € 27.123,07 
   * ahressatz für Alleinstehende: € 21.705,29 
Wenn der Versicherungsverlauf nicht vollständig ist, aber mindestens einem Zeitraum von 2/3 eines vollständigen Versicherungsverlaufs entspricht, wird eine Mindestrente anteillig zur Berufslaufbahn eines Arbeitnehmers garantiert:
   * Garantiere Mindestrente auf der Grundlage einer Vollzeitbeschäftigung: Der Betrag wird für einen vollständigen Versicherungsverlauf mit dem Bruchteil des Versicherungsverlaufs eines Arbeitnehmers in Berufsjahren multipliziert. Der Zähler des Bruchteils berücksichtigt nur die Jahre, die mindestens 52 Tage Vollzeitäquivalente umfassen. 
   * Garantierte Mindestrente auf der Grundlage einer Teilzeitbeschäftigung: Der Betrag wird für einen vollständigen Versicherungsverlauf mit dem Bruchteil des Versicherungsverlaufs eines Arbeitsnehmers in Tagen multipliziert. Dabei werden alle Tage des Arbeitnehmers berücksichtigt, d. h. Arbeitstage und gleichgestellte Tage während der Erwerbstätigkeit. 
Betrag der garantierten Mindestrente (pension minimale garantie/gewaarborgd minimumpensioen) bei einem Versicherungsverlauf von mindestens 2/3 des vollständigen Versicherungsverlaufs (anteilig von folgenden Jahressätzen):
   * Haushaltssatz: € 27.123,07 
   * Satz für Alleinstehende: € 21.705,29 </t>
  </si>
  <si>
    <t>Die Kumulierung ist gestattet, sofern das Erwerbseinkommen 2025 die folgenden Obergrenzen nicht übersteigt:
Empfänger, die nicht das 65. Lebensjahr erreicht haben bzw. die nicht 45 Versicherungsjahre belegen können:
Für den Empfänger einer Rente zum Satz für Alleinstehende, der keine Erwerbstätigkeit von 45 Jahren aufweist, oder den Ehepartner des Empfängers einer Rente zum Haushaltssatz, die das gesetzliche Renteneintrittsalter nicht erreicht haben:
   * für eine Tätigkeit als Arbeitnehmer (berücksichtigt wird das Bruttoeinkommen): € 10.117,00 pro Jahr (ohne unterhaltsberechtigtes Kind) oder € 15.175,00 (mit unterhaltsberechtigtem Kind) 
   * für eine Tätigkeit als Selbstständiger oder eine kombinierte Tätigkeit (Nettoeinkommen als Selbstständiger + 80% des Bruttoentgelts): € 8.093,00 pro Jahr (ohne unterhaltsberechtigtes Kind) oder € 12.140,00 (mit unterhaltsberechtigtem Kind). 
   * Für eine Flexi-Job-Tätigkeit (berücksichtigtes Bruttoeinkommen): zusätzliche Obergrenze von € 7.876,00 zusätzlich zu den allgemeinen Obergrenzen (mit oder ohne unterhaltsberechtigtes Kind) 
Für den Empfänger einer Rente zum Satz für Alleinstehende, der das gesetzliche Renteneintrittsalter erreicht hat, aber weder das 65. Lebensjahr erreicht hat (möglich im Fall von Sonderregelungen, z.B. Seeleute, Bergwergleute oder Flugpersonal der zivilen Luftfahrt) noch eine Erwerbstätigkeit von 45 Jahren belegen kann, oder den Ehepartner des Empfängers einer Rente zum Haushaltssatz, der das gesetzliche Renteneintrittsalter erreicht hat:
   *  für eine Tätigkeit als Arbeitnehmer: € 29.221,00 (ohne unterhaltsberechtigtes Kind) oder € 35.544,00 (mit unterhaltsberechtigtem Kind);
   * für eine Tätigkeit als Selbstständiger oder eine kombinierte Tätigkeit: € 23.377,00 (ohne unterhaltsberechtigtes Kind) oder € 28.435,00 (mit unterhaltsberechtigtem Kind). 
Unbegrenzte Kumulierung mit Erwerbseinkommen ab dem gesetzlichen Rentenalter oder vorausgesetzt, dass die betreffende Person zum Renteneintritt 45 Jahre Erwerbstätigkeit nachweisen kann.
Liegt das Erwerbseinkommen über diesen Grenzen:
   * wird die Rente um den Prozentsatz der Überschreitung gekürzt.
   * Flexi-Job: Die Rente wird um den Prozentsatz gekürzt, der der Hälfte der Überschreitung entspricht. 
   * Möglichkeit der Verhängung einer Sanktion bei Überschreitung der allgemeinen Obergrenzen, kombiniert mit einer Sanktion im Fall der Überschreitung der Obergrenze für einen Flexi-Job 
   * Aussetzung der Rente: Wenn sich die Überschreitung auf 100% beläuft, wird die Rente für das volle Kalenderjahr ausgesetzt und muss zurückgezahlt werden.
   * Kürzung der Rente: Übersteigt das Erwerbseinkommen des Ehegatten eines Empfängers einer Rente zum Haushaltssatz die oben genannten Beträge, wird die Rente zum Haushaltssatz für die betreffenden Monate auf den Satz für Alleinstehende gekürzt. 
 Das – kumulativ mit einer Rente – bezogene Erwerbseinkommen berechtigt nicht zu einer Überprüfung der Rentenberechnung.</t>
  </si>
  <si>
    <t>Kumulation mit einem Erwerbseinkommen:
Bezieher einer Hinterbliebenenrente (overlevingspensioen), die noch nicht 65 Jahre alt sind, können diese mit einer Erwerbstätigkeit kumulieren, hierbei gelten für das Einkommen im Jahr 2025 die folgenden Grenzwerte:
   *  für eine Tätigkeit als Arbeitnehmer: € 23.555,00 pro Jahr (ohne unterhaltsberechtigtes Kind) oder € 35.333,00 pro Jahr (mit 1 unterhaltsberechtigtem Kind) + € 5889,00 pro zusätzlichem unterhaltsberechtigtem Kind pro Jahr. 
   *  für eine Tätigkeit als Selbstständiger oder eine kombinierte Tätigkeit: € 18.844,00 pro Jahr (ohne unterhaltsberechtigtes Kind) oder € 28.266,00 pro Jahr (mit 1 unterhaltsberechtigtem Kind) + € 4.711,00 pro zusätzlichem unterhaltsberechtigtem Kind pro Jahr. 
Für Bezieher einer Hinterbliebenenrente, die 65 Jahre und älter sind, sind die folgenden Beträge zulässig.
   * für eine Tätigkeit als Arbeitnehmer: € 29.221,00 pro Jahr (ohne unterhaltsberechtigtes Kind) oder € 35.544,00 pro Jahr (mit unterhaltsberechtigtem Kind);
   * für eine Tätigkeit als Selbstständiger oder eine kombinierte Tätigkeit: € 23.377,00 pro Jahr (ohne unterhaltsberechtigtes Kind) oder € 28.435,00 pro Jahr (mit unterhaltsberechtigtem Kind). 
Das Übergangsgeld kann unbegrenzt mit Arbeitseinkommen kumuliert werden.</t>
  </si>
  <si>
    <t>Es kann eine vorzeitige Rente unter den folgenden Bedingungen bezogen werden:
   * ab 63 Jahren (mit 42 Jahren Erwerbstätigkeit 
   * ab 62 Jahren mit 43 Jahren Erwerbstätigkeitab
   * 61 Jahren mit 43 Jahren Erwerbstätigkeit 
   * ab 60 Jahren mit 44 Jahren Erwerbstätigkeit. </t>
  </si>
  <si>
    <t>1. Säule:
Altersrente (Folkepension):
Alle Einwohner (abhängig von der Dauer ihres Wohnsitzes).
Frührente (Tidlig Pension):
Alle Einwohner mit langfristiger Beteiligung am Arbeitsmarkt.
Zusatzrente (arbejdsmarkedets tillægspension, ATP):
Pflichtversicherung für:
   * alle Arbeitnehmer ab dem Alter von 16 Jahren mit einer Wochenarbeitszeit von mindestens 9 Stunden sowie Personen, die Tagegeld wegen Krankheit, Geburt bzw. Adoption oder Arbeitslosigkeit beziehen oder an einer Beschäftigungsförderungs-, Ausbildungs- oder Fortbildungsmaßnahme teilnehmen oder sich in einer Trainingsmaßnahme nach dem Gesetz für eine aktive Arbeitsmarktpolitik befinden. Pflichtmitgliedschaft besteht auch für Bezieher einer ab dem 1. Januar 2003 bewilligten Invalidenrente (førtidspension);
   * Personen, die Sozialhilfe oder ein sonstiges Transfereinkommen beziehen.
Freiwillige Mitgliedschaft möglich für:
   * Personen im vorzeitigen Ruhestand sowie Bezieher einer vor dem 1. Januar 2003 bewilligten Invaliditätsrente;
   * Arbeitnehmer, die eine selbstständige Tätigkeit aufnehmen, können nach vorausgegangener dreijähriger Mitgliedschaft freiwillig im Versicherungssystem bleiben.
Obligatorisches Rentensystem (Obligatorisk Pensionsordning): Empfänger von bestimmten Sozialleistungen wie Arbeitslosengeld, Krankengeld, Invalidenrente, Seniorenrente, Bildungsförderung (uddannelseshjælp), Sozialhilfe (kontanthjælp) etc.</t>
  </si>
  <si>
    <t>1. Säule:
Altersrente (Folkepension):
   * 40/40 vom Grundbetrag (grundbeløb) = DKK 7.198 (€965) pro Monat;
   * 40/40 der Rentenzulage (pensionstillæg) = DKK 8.329 (€1.116) pro Monat für eine Person und DKK 4.262 (€571) pro Monat für einen Empfänger mit Ehepartner bzw. Lebensgefährten;
   * 40/40 des ergänzenden Rentenbetrags (supplerende pensionsydelse) = DKK 25.700 (€3.444) pro Jahr.
   * 40/40 des Betrags Mediacheck = DKK 1.087 (€146) pro Jahr.
Zusatzrente (arbejdsmarkedets tillægspension, ATP) und obligatorisches Rentensystem (Obligatorisk Pensionsordning):
DKK 26.000 (€3.467) pro Jahr ab dem Alter von 67 Jahren.</t>
  </si>
  <si>
    <t>1. Säule:
Bedingungen für Teilrente (delpension):
   * Geboren vor dem 1. Januar 1959 (das Programm wird für diejenigen, die später geboren wurden, abgeschafft);
   * Alter von 63 Jahren;
   * Wohnhaft in Dänemark;
   * Verkürzung der Arbeitszeit auf eine wöchentliche Arbeitszeit zwischen 12 und 30 Stunden;
   * Arbeitnehmerversicherung bei einer Arbeitszeit von mindestens 30 Wochenstunden mit dem Zusatzrentensystem (ATP-pension) über einen Zeitraum von mindestens 10 Jahren in den letzten 20 Jahren und mindestens 18 Monaten in den letzten 24 Arbeitsmonaten in Dänemark;
   * Selbstständige: während der letzten fünf Jahre Ausübung einer Ganztagstätigkeit; davon mindestens 4 Jahre und darüber hinaus während der letzten 12 Monate mindestens 9 Monate Ausübung einer selbstständigen Tätigkeit; Einkünfte aus selbstständiger Tätigkeit in bestimmter Höhe; Verkürzung der Wochenarbeitszeit auf durchschnittlich 18,5 Stunden;
   * Arbeitnehmer und Selbstständige: ein „Vorruhestandszertifikat“ darf nicht ausgestellt sein und ein detaillierter Nachweis der Ansprüche auf Ruhestandsleistungen muss vorgelegt werden;
   * Eine Person kann nur dann eine Teilrente erhalten, wenn sie keinen Anspruch auf eine vorgezogene Rente hat.
Betrag: 1/37 eines Grundbetrages (grundbeløb) pro Stunde, um die sich die Wochenarbeitszeit verringert, oder DKK 5.606,59 (€751) pro Jahr und gekürzte Stunde. Der Betrag entspricht 82% des Krankengeldhöchstsatzes und wird einmal jährlich angepasst. Für Selbstständige beträgt die Teilrente DKK 103.728 (€13.902) pro Jahr (entspricht einer durchschnittlichen Wochenarbeitszeit von 18,5 Stunden). Die Teilrente wird gekürzt, wenn Personen über eine private Alterssicherung verfügen oder Leistungen aus einem Altersrentensystem beziehen.
Finanzierung: Die Teilrente wird aus Steuermitteln finanziert. Die Gemeinden erhalten vom Staat eine Kostenerstattung in Höhe von 100%.
Kündigung: Durch konsolidiertes Gesetz Nr. 1120 (vom 17.9.2015) ist dieses System für ab dem 1. Januar 1959 geborene Personen nicht mehr anwendbar. Das bedeutet, das es zum Ende des Jahres 2025 auslaufen wird.</t>
  </si>
  <si>
    <t>1. Säule:
Altersrente (Folkepension):
   * Gesundheitszulage (helbredstillæg): Rentnern mit Einkünften unter einer bestimmten Schwelle wird eine Zulage gewährt, die bis zu 85% der Kosten der Selbstbeteiligung deckt:
   * für Kosten im Zusammenhang mit Sachleistungen der öffentlichen Krankenversicherung. Gewährung im Falle von Rentnern mit begrenzten Barmitteln;
   * für Kosten im Zusammenhang mit Zahnprothesen, Brillen und Fußpflege, falls die Gemeinde die Notwendigkeit der Ausgaben anerkennt. Gewährung im Falle von Rentnern mit begrenzten Barmitteln.
   * Einkommensabhängige Heizungszulage (varmetillæg);
   * Persönliche Zulage (personligt tillæg) kann Rentnern in einer schwierigen Lage gewährt werden, z. B. um Kosten für Arzneimittel zu decken u.Ä.</t>
  </si>
  <si>
    <t>Der Grad der Arbeitsfähigkeit wird wie folgt festgestellt:
   * Teilweise Fähikgkeit, wenn das Arbeiten teilweise durch eine Krankheit nicht möglich ist;
   * Keine Fähigkeit, wenn die Person zur Arbeit unfähig ist.
Das System beruht auf der Arbeitsfähigkeit der betroffenen Person. Die Beurteilung der Arbeitsfähigkeit berücksichtigt den Gesundheitszustand und die Bewegungseinschränkungen sowie die Beteilging, dies sich aus der Prognose sowie der geschätzten Dauer solcher Einschränkungen ergeben.</t>
  </si>
  <si>
    <t>Die Beurteilung der Arbeitsfähigkeit wird von der Estnischen Arbeitslosenversicherungskasse organisiert unter Einbeziehung von Gesundheitsdienstleistern und Fachärzten. Die Beurteilung stellt den Grad der Erwerbsfähigkeit von Menschen mit langfristigen Gesundheitsschäden fest, sowie Beschränkungen von Aktivität und Teilhabe; zudem gibt sie Empfehlungen zu Arbeitsbe-dingungen, Förderung der Arbeitsfähigkeit und den Bedarf an Hilfsmitteln.
Die Beurteilung soll klären, ob eine Person:
   * voll arbeitsfähig,
   * teilweise arbeitsfähig,
   * nicht arbeitsfähig ist.
Die zu beurteilende Person ist während der sechs Monate vor der Beurteilung zu einem Arztbesuch verpflichtet.
Der Antrag muss bei der Estnischen Arbeitslosenversicherungskasse gestellt werden. Die Person muss Fragen bezüglich ihrer Fähigkeiten in verschiedenen Bereichen beantworten (z.B. Mobilität, manuelle Tätigkeiten, Lernfähigkeit etc.).
Die Beurteilung beruht auf den zur Verfügung gestellten Informationen. Ein Facharzt gleicht die im Antrag angegebenen Informationen mit den Gesundheitsdaten aus dem Gesundheitsinformationssystem ab und erstellt eine Beurteilung der Arbeitsfähigkeit. Wo notwendig, werden die Daten mit Hilfe des Hausarztes oder eines Facharztes präzisiert, der den Antragsteller überprüft. Weichen die Beschränkungen der Arbeitsfähigkeit und die Gesundheitsdaten, die im Antrag angegeben sind deutlich voneinander ab, oder sind die Gesundheitsdaten, die ins Gesundheitsinformationssystem eingegeben werden, widersprüchlich, wird ein Gutachten auf Basis von Visiten erstellt.
Die Beurteilungsverfahren gelten landesweit.
Innerhalb von 30 Kalendertagen nach dem Erhalt der Entscheidung besteht Widerspruchsrecht.</t>
  </si>
  <si>
    <t>Der Tagessatz der neuen Arbeitsfähigkeitsbeihilfe beträgt
   * €21,74 für vollständig erwerbsunfähige Personen, und
   * 57% hiervon (€12,39 pro Kalendertag, etwa €371,75 pro Monat) für Personen mit einer teilweisen Arbeitsfähigkeit,
   * 100% hiervon (€21,74 pro Kalendertag, etwa €652,20 pro Monat) bei vollständiger Arbeitsunfähigkeit.
Die Behilfe wird verrringert, wenn das Einkommen des Empfängers den Höchstbetrag des 90-fachen des täglichen Beihilfesatzes (€1.956,60) übersteigt. Die Kürzung beträgt 50% des Unterschieds zwischen dem Einkommen und dem Höchstbetrag.
Die Arbeitsfähigkeitsbeihilfe wird nicht für den aktuellen Monat gezahlt:
   * wenn im Fall teilweiser Arbeitsfähigkeit das Einkommen des vorigen Monats €2.700,11 überstiegen hat,
   * €3.261 im Fall von vollständiger Arbeitsunfähigkeit.
Folgendes gilt als Einkommen: Die Vergütung, auf die Sozialsteuer entrichtet wird, Elternleistungen, Leistungen für vorrübergehende Arbeitsfähigkeit und vom Arbeitgeber gezahltes Krankengeld.
Die Beihilfe wird 12 Mal im Jahr ausgezahlt.</t>
  </si>
  <si>
    <t xml:space="preserve">Zulagen gemäß dem Gesetz über Sozialleistungen für behinderte Menschen:
   * Behindertenbeihilfe für Personen im Rentenalter (puudega vanaduspensioniealise inimese toetus),
   * Behindertenbeihilfe für Personen im Arbeitsalter (puudega tööealise inimese toetus),
   * Behindertenbeihilfe für Kinder (puudega lapse toetus), in deren Rahmen es auch eine getrennte Beihilfe für Kinder mit seltenen erkrankungen gibt,
   * Behindertenbeihilfe für Eltern (puudega vanematoetus),
   * Ausbildungsbeihilfe (õppetoetus),
   * Weiterbildungsbeihilfe (täienduskoolitustoetus).
</t>
  </si>
  <si>
    <t>Förderung der Beschäftigung von Menschen mit Behinderungen anhand folgender Maßnahmen:
   * Sozialsteuerausgleich für Personen mit verrringerter Arbeitsfähigkeit (finanziert durch den staatlichen Zuschuss zur vom Arbeitgeber gezahlten Sozialsteuer (sotsiaalmaks)) wird im Namen der Arbeitgeber gezahlt,
   * berufliche Rehabilitation,
   * bis zu 100% Kostenvergütung für Arbeitgeber für die Anpassung des Arbeitsplatzes,
   * Bereitstellung von besonderen Hilfsmitteln für die Person mit Behinderung, wenn dies zur Ausübung ihrer Arbeit notwendig ist,
   * Entschädigung, wenn die Person die Unterstützung einer Hilfsperson braucht,
   * Teilnahme an Beratungen,
   * Vergütung der Ausbildungskosten für Arbeitgeber, die verschiedene Arbeits- und Weiterbildungsmöglichkeiten für Angestellte anbieten, die aufgrund von gesundheitlichen Gründen ihrer vorherigen Arbeit nicht weiter nachgehen konnten,
   * Bruttolohnzuschüsse können Arbeitgebern gewährt werden, die eine Person einstellen, die mindestens sechs Monate lang erwerbslos war. Sie betragen 50% des Bruttolohns oder Gehalts (aber nicht mehr als den Mindestbruttolohn) und werden für höchstens 12 Monate gezahlt.
Kein Quotensystem.</t>
  </si>
  <si>
    <t>Flexible Altersrente (paindlik vanaduspension):
Bis zu fünf Jahre vor dem gesetzlichen Rentenalter möglich.
Das Recht auf vorgezogene Altersrente ist wie folgt mit der bestehenden Dienstdauer verknüpft: 1) beträgt die Mindestrentenversicherungszeit mindestens 20 Jahre: bis zu einem Jahr vor Erreichen des Rentenalters; 2) 25 Jahre: bis zu zwei Jahre; 3) 30 Jahre: bis zu drei Jahre; 4) 35 Jahre: bis zu vier Jahre; 5) 40 Jahre: bis zu fünf Jahre.
Vorgezogene Altersrente (ennetähtaegne vanaduspension):
Bis zu drei Jahre vor dem gesetzlichen Rentenalter möglich (verfügbar bis zum 31.12.2025).
Altersrente unter günstigen Bedingungen (soodustingimustel vanaduspension):
Nach mindestens 15 Beitragsjahren und 5 Jahre vor dem Rentenalter für:
   * einen Elternteil, Pflegeelternteil oder Vormund, der ein Kind mit einer mindestens mittelschweren Behinderung 8 Jahre lang erzogen hat,
   * einen Elternteil, Pflegeelternteil oder Vormund, der 5 oder mehr Kinder mindestens 8 Jahre lang erzogen hat,
   * eine Person, die an den Aufräumarbeiten in Tschernobyl beteiligt war,
   * eine Person, die mindestens 5 Jahre widerrechtlich inhaftiert oder im Exil war. Bei weniger als 5 Jahren wird das Renteneintrittsalter um je ein Jahr pro Haft oder Exiljahr reduziert.
Ein Elternteil, Pflegeelternteil oder Vormund, der mindestens 4 Kinder 8 oder mehr Jahre lang erzogen hat, kann 3 Jahre vor dem gesetzlichen Rentenalter Altersrente unter günstigen Bedingungen beziehen.
Ein um ein Jahr früherer Bezug ist für einen Elternteil, Pflegeelternteil oder Vormund, der mindestens 3 Kinder 8 Jahre lang erzogen hat, möglich.
Rente ab 45 Jahre möglich für Personen mit hypophysiärem Kleinwuchs.
Altersrente unter günstigen Bedingungen wird auch Personen gewährt, die unter harten oder gefährlichen Bedingungen arbeiten (z. B. in der chemischen, Metall-, Glas- oder Zellstoffindustrie, im Bergbau usw.); diese Personen können unter bestimmten gesetzlich festgelegten Bedingungen (zwischen 15 und 25 Beitragsjahren, davon mindestens die Hälfte im genannten Beruf) 5 oder 10 Jahre vor der gesetzlichen Altersgrenze in Rente gehen.
Altersrente bei Erreichen besonderer Altersgrenzen (väljateenitud aastate pension): Vorgezogene Altersrente für bestimmte Berufsgruppen (z. B. Piloten, Seeleute, Bergleute, bestimmte Gruppen von Künstlern), deren berufliche Fähigkeiten vor Erreichen des normalen Renteneintrittsalters nachlassen, unter bestimmten Bedingungen (15 bis 25 Beitragsjahre, abhängig vom jeweiligen Beruf).
2. Säule:
Keine vorgezogene Rente möglich, es sei denn, es liegt ein Austritt aus dem System vor.</t>
  </si>
  <si>
    <t>Altersrente (vanaduspension):
Summe von 4 Komponenten:
   * Grundbetrag,
   * Beschäftigungskomponente (für den Zeitraum bis zum 31.12.1998),
   * Versicherungskomponente(für den Zeitraum ab dem 01.01.1999 bis 31.12.2020);
   * Verbundkomponente (für den Zeitraum ab 01.01.2021).
Ab dem 01.04.2025 beläuft sich der monatliche Grundbetrag auf €377,25.
Die Komponente der Beschäftigungsdauer wird auf der Grundlage einer versicherten Beschäftigung bis zum 31.12.1998 berechnet, multipliziert mit dem Wert eines Beschäftigungsjahres.
Die Versicherungskomponente wird als Summe der jährlichen Rentenkoeffizienten multipliziert mit dem Wert eines Beschäftigungsjahres berechnet. Die Rentenversicherungskoeffizienten ergeben sich aus der Division der Summe der Beträge der für die Person gezahlten Sozialsteuer (sotsiaalmaks) ab dem 01.01.1999 durch den nationalen Durchschnitt der Sozialsteuer des entsprechenden Jahres.
Der Wert eines Beschäftigungsjahres beläuft sich ab dem 01.04.2025 auf €10.000.
Der Anteil der Verbundkomponente besteht aus:
   * einer Versicherungskomponente von 50%. Die Höhe der Versicherungskomponente wird auf Basis der erhaltenen Sozialsteuer berechnet. Sie wird auf gleiche Weise berechnet wie die derzeit akkumulierte Versicherungskomponente. Die Höhe der Versicherungskomponente für eine Person, die in Estland einen Durchschnittsbruttolohn bezieht, ist z.B. 1,0;
   * einer Solidarkomponente von 50%. Die Solidarkomponente beträgt 1,0, wenn die Sozialsteuer für mindestens das 12-fache des Mindestbruttolohns pro Jahr gezahlt wurde. Beträgt die gezahlte Sozialsteuer weniger als den jährlichen Mindestbruttolohn, wird die Solidarkomponente proportional berechnet.
Personen, die vor 2024 eine Vorzugsrente bezogen haben, können diese auch weiterhin bis Ende des Jahres 2030, 2036 oder 2049 beziehen.
Der Grundbetrag und der Wert eines Beschäftigungsjahres werden jährlich angepasst.
Altersrente wird monatlich gezahlt.
Keine zusätzlichen Zahlungen.
2. Säule:
Lebenslange Annuität (ohne Geschlechtsunterschied).
Befristete Rente.
Einmalige Auszahlung.</t>
  </si>
  <si>
    <t>1. Säule:
Anrechenbare Zeiten bis Ende 31.12.1998 sind:
   * Wehrpflicht oder Zivildienst, wenn die Person in Estland eingezogen wurde oder diese Person vor und nach dem Einzug in den Wehrdienst im Ausland in Estland wohnhaft war,
   * Vollzeitstudium,
   * Zeiten des Bezugs von Arbeitslosenleistungen oder der Teilnahme an Weiterbildungsmaßnahmen,
   * Zeiten der Tätigkeit in der Landwirtschaft,
   * Erziehung eines Kindes mindestens bis zum Alter von 8 Jahren,
   * Zeiten vorübergehender Arbeitsunfähigkeit, usw.
Seit dem 01.01.1999 zahlt der Staat die Sozialsteuer (sotsiaalmaks) für bestimmte Gruppen nicht erwerbstätiger Personen (siehe Tabelle I „Finanzierung").
2. Säule:
Keine Anrechnung beitragsfreier Zeiten, aber siehe Tabelle I „Finanzierung“, „Beteiligung des Staates“, 5. Alter“.</t>
  </si>
  <si>
    <t>1. Säule:
Rentenzulagen (pensionilisad) für:
   * Teilnehmer des estnischen Unabhängigkeitskrieges und deren Witwen bzw. Witwer: 100% des Volksrentenbetrags (rahvapensioni määr) €393,26 pro Monat),
   * Personen, die infolge einer Nuklearkatastrophe, eines Atomtests oder eines Unfalls in einem Atomkraftwerk zu mindestens 40% arbeitsunfähig sind: 10% des Volksrentenbetrags,
   * Teilnehmer des Zweiten Weltkrieges oder Mitglieder der Selbstverteidigungsmacht: 10% des Volksrentenbetrags,
   * einer der Elternteile, der Ehegatte einer der Elternteile, Vormund oder Pflegeperson; für jedes Kind das zwischen dem 31. Dezember 1980 und dem 31. Dezember 2012 geboren und das für mindestens acht Jahre aufgezogen wurde: eine Zulage gleichbedeutend mit zwei Jahren einer versicherten Beschäftigung,
   * einer der Elternteile, der Ehegatte eines der Elternteile, Vormund oder Pflegeperson; für jedes Kind, das vor dem 1. Januar 2013 geboren und für mindestens acht Jahre aufgezogen wurde; eine Zulage gleichbedeutend mit einem Jahr einer versicherten Beschäftigung.
2. Säule:
Vom Staat bezahlte zusätzliche monatliche Beiträge von 4% des Durchschnittseinkommens in Estland für Personen, die ein Kind im Alter von bis zu drei Jahren aufziehen für jedes Kind, das ab dem 1. Januar 2013 geboren wurde.</t>
  </si>
  <si>
    <t xml:space="preserve">1. Säule:
Die Leistungen unterliegen der Besteuerung.
2. Säule:
   * Beim Erreichen des Rentenalters und fünf Jahre vor dem Rentenalter wird die einmalige Auszahlung mit dem 10% Einkommenssteuersatz versteuert,
   * Die lebenslange Rente und die befristete Rente werden für den “empfohlenen Zeitraum” nicht besteuert. Der “empfohlene Zeitraum” wird auf der Basis der durchschnittlich verbleibenden Jahre der Lebenswerwartung von Männern und Frauen berechnet, wie sie vom Statistischen Amt Estlands veröffentlicht werden, sowie dem Alter des Rentners. Bei Renteneintritt fünf Jahre vor dem Erreichen des Rentenalters werden Renten der 2. Säule mit dem 20% Einkommenssteuersatz versteuert,
   * Erwerbsunfähige Personen werden nicht besteuert.
</t>
  </si>
  <si>
    <t>Anspruch auf Hinterbliebenenrente (toitjakaotuspension) hat eine Witwe/ein Witwer:
   * die (ab der 12. Woche) schwanger ist,
   * die/der nicht arbeitet und ein unter dreijähriges Kind der verstorbenen Person großzieht, oder
   * die/der im Rentenalter ist oder teilweise oder dauerhaft arbeitsunfähig ist, vorausgesetzt die Ehe bestand mindestens 1 Jahr.</t>
  </si>
  <si>
    <t>Berechnungsgrundlage ist der höhere der beiden folgenden Beträge:
   * Altersrente (vanaduspension) auf der Basis der Jahre versicherter Beschäftigung und des Rentenversicherungskoeffizienten der verstorbenen Person (siehe Tabelle VI „Alter"), oder
   * Altersrente für eine Person mit 30 Jahren versicherter Beschäftigung.
Die Höhe des monatlichen Betrags der Hinterbliebenenrente (toitjakaotuspension) ist abhängig von der Anzahl der anspruchsberechtigten Familienmitglieder:
   * ein Familienmitglied: 50%,
   * zwei Familienmitglieder: 80%,
   * drei oder mehr Familienmitglieder: 100%.
Der Betrag wird gleichmäßig unter den Anspruchsberechtigten aufgeteilt.
Die Leistung unterliegt keiner Bedürftigkeitsprüfung.
Die Leistung wird monatlich gezahlt.
Zusätzliche Zahlung einer Pauschalsumme (€200) an alleinstehende Rentner einmal pro Jahr im Oktober.</t>
  </si>
  <si>
    <t>Kein Mindestgrad der Arbeitsfähigkeit (Erwerbsunfähigkeit). Die Empfänger müssen als teilweise erwerbsfähig oder nicht erwerbsfähig eingestuft werden, um Anspruch auf die Leistung zu haben.
Die Beurteilung der Arbeitsfähigkeit beruht auf der Internationalen Einstufung der Funktionsfähigkeit, Behinderung und Gesundheit (ICF). Während des Beurteilungsprozesses werden der Gesundheitszustand und daraus resultierende Einschränkungen einer Person im Erwerbsalter berücksichtigt, um die Teilnahme am Erwerbsleben (das Finden und Behalten einer Arbeitsstelle) zu erleichtern.
Die Leistungsfähigkeit einer Person wird in folgenden Bereichen beurteilt:
   * Bewegung,
   * Manuelle Leistungsfähigkeit,
   * Kommunikation,
   * Selbstfürsorge und Selbstbewusstsein,
   * Lernfähigkeit und Anwendung von Kenntnissen/Fähigkeiten,
   * Anpassungsfähigkeit an Veränderungen und Sicherheitsempfinden,
   * Zwischenmenschliche Interaktion.
Die beurteilten Aktivitäten müssen wiederholt und sicher, auf gewohnte Weise (ohne störenden Schmerz) durchgeführt werden.
Die Beurteilung der Leistungsfähigkeit erfolgt unter der Annahme, dass die Behandlung (wo möglich) zum Ausgleich einer gesundheitlichen Störung verschrieben wurde und die betroffene Person den ärztlichen Empfehlungen folgt.</t>
  </si>
  <si>
    <t>Als invalide gilt, wer infolge eines Unfalls oder einer Krankheit, die nicht durch die Berufsausübung verursacht wurde, nur ein Drittel der normalen Einkünfte erzielen kann.
Es wird zwischen 3 Invaliditätskategorien unterschieden:
   * Invalide der 1. Kategorie: gesundheitlich in der Lage, eine Tätigkeit auszuüben;
   * Invalide der 2. Kategorie: gesundheitlich nicht in der Lage, eine Tätigkeit auszuüben;
   * Invalide der 3. Kategorie: gesundheitlich nicht in der Lage, eine Tätigkeit auszuüben, und benötigen die tägliche Hilfe einer dritten Person.</t>
  </si>
  <si>
    <t>Minimum:
Mindestrente (pension minimale) für alle Kategorien: €335,29 pro Monat.
Höhe der Zulage für Pflege durch Dritte (majoration pour l'assistance d'une tierce personne) Invalide der 3. Kategorie: €1.288,13 pro Monat.
Maximum:
   * Invaliden der 1. Kategorie: 30% der Bemessungsgrenze der Sozialversicherung, d. h. €1.177,50 pro Monat.
   * Invaliden der 2. Kategorie: 50% der Bemessungsgrenze der Sozialversicherung, d. h. €1.962,50 pro Monat.
   * Invaliden der 3. Kategorie: 50% der Bemessungsgrenze der Sozialversicherung zuzüglich der Zulage für Pflege durch Dritte (majoration pour l'assistance d'une tierce personne), d. h. €3.250,63 pro Monat (€1.962,50 + €1.288,13).</t>
  </si>
  <si>
    <t>Arbeitnehmer:
Kumulierung möglich mit:
   * einer Invaliditätsrente eines Sondersystems oder eines Systems für Landwirte (pension d’invalidité d’un régime spécial ou du régime agricole),
   * einer Arbeitsunfallrente (rente accident du travail) bis zur Höhe des Lohns eines erwerbsfähigen Arbeitnehmers der gleichen Berufsgruppe,
   * Arbeitslosengeld (unterschiedliche Bedingungen je nach Invaliditätskategorie).</t>
  </si>
  <si>
    <t>Allgemeines Basissystem (Régime de base): Sozialgesetzbuch (Code de la sécurité sociale), Artikel L 351-1 ff.
Arbeitnehmer-Zusatzrentensystem (retraite complémentaire des salariés, Agirc-Arrco): Nationales berufsübergreifendes Abkommen vom 17. November 2017.
Es gibt weitere Basis- und Zusatzsysteme, insbesondere:
   * für Selbstständige (Artikel L.633-1 ff. des Sozialgesetzbuchs);
   * für bestimmte Arbeitnehmergruppen (Arbeitnehmer in der Landwirtschaft, staatlich angestellte Arbeitnehmer, Arbeiternehmer in Unternehmen mit Sonderstatus usw.).
Verzeichnis der Rechtsakte: https://www.legifrance.gouv.fr/codes/texte_lc/LEGITEXT000006073189/ und https://www.agirc-arrco.fr/nos-etudes-et-publications/documentation-institutionnelle/textes-de-reference/</t>
  </si>
  <si>
    <t>Obligatorische Sozialversicherungssysteme, die nach dem Umlageprinzip finanziert werden, und aus zwei Säulen bestehen:
   * 1. Säule (Basissystem): obligatorische Grundversicherung, in deren Rahmen bestimmte Leistungen erbracht werden; ihre Höhe hängen vom Einkommen, den Beiträgen und der Versicherungsdauer ab;
   * 2. Säule (Zusatzsystem für Mitarbeiter Agirc-Arrco): obligatorische Zusatzversicherung, in deren Rahmen bestimmte Leistungen erbracht werden, deren Höhe auf dem Punktesystem beruht. Die Höhe der Rente entspricht der Anzahl der erworbenen Punkte, die mit dem Punktwert multipliziert werden.
Es existiert auch ein freiwilliges, kapitalgedecktes Versicherungssystem (Zusatz- oder komplementäres System), das jedoch nicht unter die Sozialversicherungsgesetzgebung fällt. Es wird in den MISSOC-Tabellen nicht aufgeführt.
Es existiert ein beitragsunabhängiges System von Mindestleistungen speziell für ältere Personen: Solidaritätsleistung für ältere Menschen (allocation de solidarité aux personnes âgées, ASPA) (weitere Informationen in der Tabelle XI „Mindestsicherung“).</t>
  </si>
  <si>
    <t>1. Säule (Basissystem):
Der Anspruch entsteht, sobald der Versicherte das gesetzliche Rentenalter erreicht hat und mit seinen Beitragszahlungen mindestens ein anrechenbares Versicherungsquartal belegen kann. Erwerb eines Versicherungsquartals durch Nachweis eines jährlichen Bruttoarbeitsentgelts in Höhe von 150 der geltenden Stundensätze des Mindestlohns (salaire minimum interprofessionnel de croissance, SMIC).
Der volle Satz wird gewährt, wenn:
   * die Altersbedingungen sowie der benötigte Versicherungszeitraum erfüllt sind. Der benötigte Versicherungszeitraum wird anhand des Geburtsjahres der betroffenen Person festgelegt (167 Quartale für Versicherte, die zwischen 1958 und 1960 geboren sind, 168 Quartale für Personen, die zwischen Januar und Ende August 1961 geboren sind, 169 Quartale für Personen, die zwischen September 1961 und Dezember 1962 geboren wurden und bis zu 172 Quartale für die ab 1965 geborenen Versicherten) oder entsprechend der Zugehörigkeit der betroffenen Person zu einer bestimmten Gruppe (versichert erwerbsunfähig usw.);
   * ersatzweise das gesetzliche Renteneintrittsalter (67 Jahre für Personen, die nach 1955 geboren sind), ohne vorgeschriebene Mindestversicherungszeit.
2. Säule (Zusatzrentensysteme (Agirc-Arrco)):
Keine Mindestversicherungsdauer.
Die volle Rente wird ab 67 Jahren oder beim Erhalt der Grundrente des allgemeinen Systems zum vollen Satz gewährt.</t>
  </si>
  <si>
    <t>1. Säule (Basissystem):
   * lange Karriere: Ab dem Alter von 58 Jahren, entsprechend dem Geburtsjahr; Alter bei Beschäftigungsaufnahme; die Versicherungsdauer; und Beitragsdauer;
   * Behinderung (mindestens 50%): Ab dem Alter von 55 Jahren, anhängig von der Vervollständigung der Beitragszeiten;
   * Arbeitsschwere: im Rahmen des beruflichen Arbeitsvorsorgekontos bis zu 2 Jahre vor dem gesetzlichen Alter, wenn der Versicherte die erforderliche Punktezahl erreicht hat;
   * Permanente berufsbedingte Arbeitsunfähigkeit (von mindestens 20%): ab 60 Jahre; oder zwischen 10% und 20% zwei Jahre vor dem gesetzlichen Rentenalter.
2. Säule (Zusatzrentensysteme (Agirc-Arrco)):
Mit Abschlag ab 57 Jahren.</t>
  </si>
  <si>
    <t>1. Säule (Basissystem):
   * Schule und Studium: Möglichkeit, die Studienzeiten bis zu 3 Beitragsjahren zu kaufen
   * Mutter- und Vaterschaft: 
   * „Mutterschafts-Kredit“: ein Jahr pro Kind für die versicherte Mutter;
   * „Adoptionskredit“: 1 Jahr für einen adoptierten Minderjährigen; wird einem der zwei versicherten Elternteile gewährt oder zwischen beiden aufgeteilt;
   * „Bildungskredit“: 1 Jahr pro Kind, wird einem der zwei versicherten Elternteile gewährt oder zwischen beiden aufgeteilt;
   * Elternschaftsurlaub bis zur effektiven Länge des Urlaubs (kann nicht mit dem Mutterschafts-, Bildungs- oder Adoptionskredit kumuliert werden; günstigste Wahl für den Versicherten);
   * Pflege und Betreuung von Kindern: Zulage „Versicherungsdauer“ für die Erziehung eines schwerbehinderten Kindes bis zu einer Höchstdauer von zwei Jahren;
   * Pflege und Betreuung eines unterhaltsberechtigten Erwachsenen: Zulage „Versicherungsdauer“ für die ständige Betreuung eines behinderten Erwachsenen (Behinderung von mindestens 80%), bis zu einer Höchstdauer von 2 Jahren;
   * Arbeitslosigkeit: Unfreiwillige Arbeitslosigkeit (nicht registrierte Zeiträume seit 1980, die aufgrund bestimmter Bedingungen und bestimmter Grenzen nicht berücksichtigt werden);
   * Krankheit: Bezug von Leistungen wegen Krankheit, Mutterschaft, Invalidität, Berufsunfällen (vorübergehende oder permanente Erwerbsminderung von mindestens 66%) oder beruflicher Rehabilitation;
   * Andere Zeiten: 
   * Militärdienst und Untersuchungshaft
   * vorzeitige Beendigung der Erwerbstätigkeit;
   * bestimmte Zeiten der beruflichen Weiterbildung (für Arbeitssuchende ohne Entschädigung oder Menschen mit einer Behinderung). Zivildienstzeiten können als anerkannte Quartale angerechnet werden, gelten aber nicht als Beitragszeiten.
2. Säule (Zusatzrentensysteme (Agirc-Arrco)):
Zeiten des Bezugs von Leistungen bei Krankheit, Mutterschaft, Arbeitsunfällen, Invalidität, Arbeitslosigkeit und Vorruhestand.</t>
  </si>
  <si>
    <t>1. Säule (Basissystem):
Haben Versicherte im allgemeinen System rückblickend nicht genügend Beitragszahlungen geleistet, können sie unter bestimmten Voraussetzungen in ihre Rente einzahlen, indem sie Beitragstrimester kaufen:
   * für Studienzeiten; das entsprechende Studium muss durch ein Abschlusszeugnis nachgewiesen werden.
   * für unvollständige Jahre, in denen der Versicherte weniger als 4 Trimester geltend gemacht hat.
Es gibt zwei Möglichkeiten des Kaufs:
   * nur bezogen auf den Satz. Der Kauf erhöht den Berechnungssatz für die Rente;
   * bezogen auf Satz und Versicherungsdauer. Der Kauf erhöht den Satz und die Anzahl der Trimester, die bei der Rentenberechnung berücksichtigt werden.
In beiden Fällen kann der Versicherte maximal 12 Trimester kaufen.
Voraussetzungen:
   * Alter zwischen 20 und einschließlich 66 Jahre, 
   * kein Bezug von Altersrente.
Der Betrag der Zahlungen richtet sich nach:
   * dem Alter des Antragstellers, 
   * der gewählten Option (nur Satz oder Satz und Versicherungsdauer), 
   * Einkünfte der letzten 3 Jahre.
Es ist möglich, aufgrund eines bezahlten Praktikums im Rahmen eines Universitätsstudiums maximal 2 Quartale zu kaufen.
2. Säule (Zusatzrentensysteme (Agirc-Arrco)): Hat der Versicherte Zeiten (Hochschulausbildung oder unvollständige Jahre) im Rahmen des Basissystems zurückgekauft, kann er auch Punkte im Zusatzrentensystem zurückkaufen (maximal 140 Punkte pro Jahr, bis zu einer Höchstdauer von 3 Jahren). Der Kaufpreis wird auf der Grundlage des aktuellen Wert des Punktes und des Alters des Leistungsempfängers berechnet.</t>
  </si>
  <si>
    <t>Ehepartner:
   * Säule (Basissystem): Für Renten, die ab 2011 festgesetzt werden, gibt es keine Zulagen für den unterhaltsberechtigten Ehepartner.
   * Säule (Zusatzrentensysteme (Agirc-Arrco)): Keine Rentenzulage für den unterhaltsberechtigten Ehepartner.
Kinder:
   * Säule (Basissystem): Keine Zulage für unterhaltsberechtigte Kinder.
   * Säule (Zusatzrentensysteme (Agirc-Arrco)): 5% der Ansprüche der gesamten Karriere für jedes unterhaltsberechtigte Kind.</t>
  </si>
  <si>
    <t>1. Säule (Basissystem) und 2. Säule (Zusatzrentensysteme (Agirc-Arrco)):
Kumulierung mit den folgenden Sozialversicherungsleistungen möglich:
   * Beihilfe für behinderte Erwachsene (allocation aux adultes handicapés, AAH) in Form einer Beihilfe zur Differenz: Die gezahlte Beihilfe für behinderte Erwachsene (AAH) entspricht der Differenz zwischen dem Betrag der Rente und dem Höchstbetrag der Beihilfe für behinderte Erwachsene (€1.033,32 pro Monat);
   * Hinterbliebenenrente (pension de réversion).
Die Höhe der Rente ändert sich nicht.</t>
  </si>
  <si>
    <t>1/Basissystem (Régime de base):
   * Witwer/Witwe
   * geschiedene Ehepartner
   * Vollwaisen (einschließlich Volladoption).
2/Zusatzrentensysteme (Agirc-Arrco):
   * Witwe oder Witwer
   * geschiedener Ehepartner
   * Vollwaisen. Adoptierte Kinder sind nur dann berechtigt, wenn es sich um eine Volladoption (und nicht um eine einfache Adoption) handelt. Pflegekinder haben keinen Anspruch auf eine Waisenrente.
Für das Basissystem und die Zusatzrentensysteme sind nur die Personen (des anderen oder des gleichen Geschlechts) betroffen, die mit dem Verstorbenen verheiratet waren. Durch den zivilen Solidaritätspakt (pacte civil de solidarité, PACS) oder die Lebensgemeinschaft entsteht kein Anspruch auf Leistungen.
Keine weiteren Gruppen von Leistungsberechtigten.</t>
  </si>
  <si>
    <t>1/Basissystem (Régime de base):
   * Hinterbliebenenrente (pension de réversion): Witwer oder Witwen von mindestens 55 Jahren, nach Bedürftigkeitsprüfung (jährliches Bruttoeinkommen unter €24.710,40 für eine alleinstehende Person oder €39.536,64 für ein Paar).
   * Invaliditätsrente für Witwer/Witwen (pension d'invalidité de veuf ou de veuve): Erwerbsunfähigkeit (um mindestens 2/3 verminderte Erwerbsfähigkeit) und Alter unter 55 Jahren.
   * Altersrente für Witwer/Witwen (pension de vieillesse de veuf ou de veuve): Erwerbsunfähigkeit (um mindestens 2/3 verminderte Erwerbsfähigkeit) und Alter unter 55 Jahren.
2/Zusatzrentensysteme (Agirc-Arrco):
Nicht wiederverheirateter Ehepartner im Alter von mindestens 55 Jahren; keine Altersbedingung im Falle einer Behinderung oder wenn 2 unterhaltsberechtigte Kinder vorhanden sind.</t>
  </si>
  <si>
    <t>1/Basissystem (Régime de base):
Hinterbliebenenrente (pension de réversion):
Kumulierung mit einem Erwerbseinkommen bis zu einer Höchstgrenze des Jahreseinkommens:
   * €24.710,40 für eine alleinlebende Person;
   * €39.536,64 für eine Person, die in einer Partnerschaft lebt.
Das Jahreseinkommen wird unter Berücksichtigung von 70% des Erwerbseinkommens berechnet. Ab der Einkommensgrenze wird die Rente um den Betrag der Überschreitung gekürzt.
Invaliditätsrente für Witwen/Witwer (pension d'invalidité de veuf ou de veuve):
Kumulierung beschränkt auf eine Bemessungsgrenze mit einem Erwerbseinkommen möglich.
Waisenrente:
Berücksichtigung des Erwerbseinkommens ab dem 21. Lebensjahr des Anspruchsberechtigten: Das Einkommen der letzten 12 Monate darf eine bestimmte Grenze nicht überschreiten (12 x 55% des Bruttomindestlohns (salaire minimum interprofessionnel de croissance, SMIC) pro Stunde am 1. Januar x 169). Die Waisenrente wird ab dem Monat, der auf die Überschreitung folgt, endgültig gestrichen.
2/Zusatzrentensysteme (Agirc-Arrco):
Kumulierung mit einem Erwerbseinkommen möglich. Die Höhe der Hinterbliebenenrente ist unabhängig vom Erwerbseinkommen, und die Hinterbliebenenrente wird ohne Einkommensgrenze gezahlt.</t>
  </si>
  <si>
    <t>Wie für Arbeitnehmer für das Basissystem.
Für Versorgungsleistungen an Hinterbliebene im Rahmen von Zusatzsystemen gelten folgende Koeffizienten:
   * 60% für Handwerker, Kaufleute und Gewerbetreibende (gleicher Satz wie bei der Zusatzrente AGIRC-ARRCO für Arbeitnehmer);
   * 54% für Landwirte (Zusatzrentenpflichtversicherung (retraite complémentaire obligatoire, RCO) für Hinterbliebene);
   * variable für reglementierte freie Berufe.
Bestimmte freie Berufe haben die Möglichkeit, eine freiwillige Beitragszahlung für den Ehegatten zu leisten, um diesen Satz auf 100% zu erhöhen.</t>
  </si>
  <si>
    <t>Bewertungskriterien:
Als normale Invalidität gilt (ΣΥΝΗΘΗ ΑΝΑΠΗΡΙΑ), wenn eine Person infolge einer Krankheit oder einer körperlichen oder geistigen Behinderung, die während der Versicherungsmitgliedschaft aufgetreten ist oder sich verschlimmert hat, mindestens ein Jahr lang nicht mehr als ein Drittel der normalen Bruttoeinkünfte einer psychisch und körperlich gesunden Person derselben Berufskategorie und desselben Ausbildungsstandes aus einer Arbeit erzielen kann, die den Stärken, Fähigkeiten und der Ausbildung und üblichen beruflichen Tätigkeit dieser Person entspricht.
Als Teilinvalidität gilt (ΜΕΡΙΚΗ ΑΝΑΠΗΡΙΑ), wenn eine Person infolge einer Krankheit oder einer körperlichen oder geistigen Behinderung, die während der Versicherungsmitgliedschaft aufgetreten ist oder sich verschlimmert hat, mindestens sechs Monate lang nicht mehr als die Hälfte der normalen Bruttoeinkünfte einer psychisch und körperlich gesunden Person derselben Berufskategorie und des Ausbildungsstandes in derselben Präfektur aus einer Arbeit erzielen kann, die den Stärken, Fähigkeiten und der Ausbildung und üblichen beruflichen Tätigkeit dieser Person entspricht.
Als schwere Invalidität gilt (ΒΑΡΙΑ ΑΝΑΠΗΡΙΑ), wenn eine Person infolge einer Krankheit oder einer körperlichen oder geistigen Behinderung, die während der Versicherungsmitgliedschaft aufgetreten ist oder sich verschlimmert hat, mindestens ein Jahr lang nicht mehr als ein Fünftel der normalen Bruttoeinkünfte einer Person desselben Ausbildungsstandes erzielen kann.
Die Ergebnisse der Anwendung dieser Kriterien werden in Prozent ausgedrückt:
   * schwere Invalidität: Invalidität von mehr als 80%;
   * normale Invalidität: Invalidität zwischen 67% und 79,99%;
   * Teilinvalidität: Invalidität zwischen 50% und 66,99%.
Mindestgrad für den Anspruch auf Invalidenrente: 50%.
Für Beamte hängen die Kriterien für die Beurteilung des Anspruchs auf Invalidenrente von der Fähigkeit ab, ihre Tätigkeit im öffentlichen Dienst wahrzunehmen. Die Ergebnisse werden nicht in Prozent ausgedrückt.</t>
  </si>
  <si>
    <t>Invaliditätsrente setzt sich zusammen aus:
(a) der staatlichen Rente (ΕΘΝΙΚΗ ΣΥΝΤΑΞΗ), die nicht beitragsfinanziert ist, sondern direkt aus dem Staats-haushalt gezahlt wird. Die Höhe ist auf €436,40 pro Monat für mindestens 20 Versicherungsjahre festgelegt. Diese Höhe reduziert sich um 2% für jedes Jahr, das zwischen 20 und 15 Versicherungsjahren fehlt (d.h. die Höhe der staatlichen Rente für 15 Versicherungsjahre ist €392,76 pro Monat).
Die oben genannte Höhe der staatlichen Rente reduziert sich weiter entsprechend dem Grad der Behinderung:
   * schwere Invalidität (ΒΑΡΙΑ ΑΝΑΠΗΡΙΑ): Grad der Erwerbsunfähigkeit von mindestens 80%: volle staatliche Rente;
   * normale Invalidität (ΣΥΝΗΘΗΣ ΑΝΑΠΗΡΙΑ): Grad der Erwerbsunfähigkeit von mindestens 67% bis 79,99%: 75% der staatlichen Rente;
   * Teilinvalidität (ΜΕΡΙΚΗ ΑΝΑΠΗΡΙΑ): Grad der Erwerbsunfähigkeit von 50% bis 66,99%: 50% der staatlichen Rente.
(b) die Zusatzrente (ΑΝΤΑΠΟΔΟΤΙΚΗ ΣΥΝΤΑΞΗ), welche berechnet wird entsprechend
   * den Versicherungsjahren, die bei der Anwendung von Ersatzraten pro Jahr (ποσοστά αναπλήρωσης) berücksichtigt werden und die bei 0,77% beginnen für 15 Versiche-rungsjahre und schrittweise angehoben werden auf 2,55% für 36-40 Versicherungsjahre und auf 0,5% fallen bei mehr als 40 Versicherungsjahren; und
   * den durchschnittlichen rentenberechtigten Einkommen des Versicherten ab dem Versicherungsjahr 2002 bis zum Tag des Rentenantrags.
Der beitragspflichtige Teil der Invalidenrente variiert je nach dem bisherigen Bruttoeinkommen während der Erwerbstätigkeit.
Sie wird monatlich gewährt und 12 Mal im Jahr ausgezahlt.
Der Anspruch auf Invalidenrente unterliegt nicht einer Bedürftigkeitsprüfung.
Der Bezug von nicht-stationärer Pflege (ΕΞΩΙΔΡΥΜΑΤΙΚΟ ΕΠΙΔΟΜΑ), Leistung bei Vollinvalidität (ΕΠΙΔΟΜΑ ΑΠΟΛΥΤΟΥ ΑΝΑΠΗΡΙΑΣ) oder sonstigen Sozialleistungen hat keinen Einfluss auf die Höhe der Invalidenrente.
Der Anspruch auf zusätzliche Invalidenrente aus der ersten Säule (Zweig für Zusatzversicherung innerhalb der e-EFKA) oder der zweiten Säule (Berufsfonds) beginnt, sobald der Leistungsempfänger die Hauptinvalidenrente aus der ersten Säule erhält (e-EFKA).</t>
  </si>
  <si>
    <t>1. Altersrente entsprechend Gesetz Nr. 612/77 (ΣΥΝΤΑΞΗ ΓΗΡΑΤΟΣ ΤΟΥ ΝΟΜΟΥ 612/77):
Völlig Blinde und an bestimmten Krankheiten leidende Versicherte (unabhängig vom Versicherungsbeginn), die 4.050 beitragspflichtige Arbeitstage vorweisen können, erhalten ungeachtet ihres Alters eine Rente, die einem Versicherungszeitraum von 10.500 Arbeitstagen entspricht. Monatliche Zahlung.
2. Leistungen für nicht-stationäre Pflege (ΕΞΩΙΔΡΥΜΑΤΙΚΟ ΕΠΙΔΟΜΑ):
Monatliche Leistungen an versicherte Personen, Empfänger von Alters-, Invaliditäts- und Hinterbliebenenrente, wenn diese keine Leistung bei Vollinvalidität (ΕΠΙΔΟΜΑ ΑΠΟΛΥΤΟΥ ΑΝΑΠΗΡΙΑΣ), beziehen, sowie Familienmitglieder der Rentenempfänger und versicherten Personen, wenn diese an besonderen Krankheiten leiden und bestimmte Bedingungen erfüllen.
Die versicherte Person muss Folgendes vervollständigt haben:
   * 50 Arbeitstage, die für den Anspruch für Sachleistungen bei Krankheit erforderlich sind, innerhalb des Jahres der Antragstellung und mindestens 350 versicherungspflichtige Arbeitstage während der letzten 4 Jahre vor der Invalidität, oder
   * 1.000 versicherungspflichtige Arbeitstage insgesamt.
Die Leistungen für nicht-stationäre Pflege werden nur von einer Anstalt/ Einrichtung gewährt.
Der Betrag entspricht dem 20-fachen des Bruttogehalts eines ungelernten Arbeiters, zuzüglich Zulagen für die Weihnachtsferien (100% der monatlichen Leistung), Osterferien und Sommerferien (jeweils 50% der monatlichen Leistung). Daher ist der Betrag €845,96 monatlich.
3. Leistung bei Vollinvalidität (ΕΠΙΔΟΜΑ ΑΠΟΛΥΤΟΥ ΑΝΑΠΗΡΙΑΣ):
Versicherungsbeginn vor 01.01.1993:
Monatliche Zahlung an Empfänger von Invaliditäts- und Hinterbliebenenrenten sowie an völlig erblindete Empfänger einer Altersrente, solange dauerhafte Pflege einer Drittperson erforderlich ist (Vollinvalidität). Der Monatsbetrag entspricht 50% der gezahlten Rente und darf das 20-Fache des Bruttogehalts eines ungelernten Arbeiters nicht übersteigen.
Versicherungsbeginn ab 01.01.1993:
Zahlung an Empfänger von Invaliditätsrenten sowie an völlig erblindete Empfänger einer Altersrente, solange dauerhafte Pflege einer Drittperson erforderlich ist (Vollinvalidität). Für Empfänger von Invaliditätsrenten entspricht der Monatsbetrag 25% des monatlichen Durchschnitts des für 1991 festgestellten Bruttosozialprodukts (BSP) je Einwohner, der jeweils entsprechend der Erhöhung der Beamtenpensionen angepasst wird. Für völlig erblindete Empfänger einer Altersrente entspricht der Monatsbetrag 50% der gezahlten Rente.
4. Sonderbeihilfen bei Invalidität: Geldleistungen, die unter bestimmten Bedingungen monatlich von der Organisation für Sozialleistungen (OPEKA) (ΟΡΓΑΝΙΣΜΟΣ ΠΡΟΝΟΙΑΚΩΝ ΕΠΙΔΟΜΑΤΩΝ ΚΑΙ ΚΟΙΝΩΝΙΚΗΣ ΑΛΛΗΛΕΓΓΥΣΗ - ΟΠΕΚΑ) gezahlt werden, sind in verschiedenen Ministeriellen Entscheidungen festgelegt für:
   * blinde Personen: sofern erwerbstätig oder Rentenempfänger: €391, sofern arbeitslos: €753;
   * taube und/oder taubstumme Personen: €391;
   * Personen mit geistiger Behinderung: €569;
   * Personen mit Thalassämie: €391;
   * Personen mit Hämophilie oder AIDS: €753;
   * Personen mit einer schweren Behinderung: €338;
   * Personen mit Zerebralparese: €753;
   * Personen mit Tetraplegie/Querschnittslähmung: €833.
Die Leistungen werden erbracht, so lange die Entscheidung des Zentrums zur Invaliditätsbescheinigung (KEPA) (ΚΕΝΤΡΑ ΠΙΣΤΟΠΟΙΗΣΗΣ ΑΝΑΠΗΡΙΑΣ – ΚΕΠΑ) unverändert bleibt.
5. EOPYY deckt die Unterhaltskosten für mittellose und unversicherte Personen mit Behinderung, die in Einrichtungen des betreuten Wohnens (Στέγες Υποστηριζόμενης Διαβίωσης) leben.</t>
  </si>
  <si>
    <t>6% der Hauptrente für Gesundheitsversorgung nach Abzug des sozialen Solidaritätsbeitrag für Rentenempfänger.
1. Beitrag entsprechend Artikel 38 des Gesetzes Nr. 3863/10, in der geänderten Fassung: Ein sozialer Solidaritätsbeitrag für Rentenempfänger (ΕΙΣΦΟΡΑ ΑΛΛΗΛΕΓΓΥΗΣ ΣΥΝΤΑΞΙΟΥΧΩΝ, ΕΑΣ) wird auf monatliche Renten über €1.433,61, zu folgenden Sätzen erhoben:
   * 3% für Renten zwischen €1.433,61 und €1740,80,
   * 6% für Renten zwischen €1.740,81 und €2.048,00,
   * 7% für Renten zwischen €2.048,01 und €2.355,20,
   * 9% für Renten zwischen €2.355,21 und €2.662,40,
   * 10% für Renten zwischen €2.662,41 und €2.969,60,
   * 12% für Renten zwischen €2.969,61 und €3.276,80,
   * 13% für Renten zwischen €3.276,81 und €3.584,
   * 14% für Renten über €3.584,01.
2. Beitrag entsprechend Artikel 44 des Gesetzes Nr. 3986/11: Für Rentner im Alter von unter 60 Jahren wird ein zusätzlicher sozialer Solidaritätsbeitrag auf monatliche Renten über €1.740,81 zu folgenden Sätzen erhoben:
   * 6% für Renten zwischen €1.740,81 und €2.355,20,
   * 8% für Renten zwischen €2.355,21 und €2.969,60,
   * 10% für Renten über €2.969,61.
Spezifische Kategorien von Rentnern sind von den oben genannten Beiträgen ausgenommen, z.B. Rentner mit Anspruch auf Leistungen für nicht-stationäre Pflege (ΕΞΩΙΔΡΥΜΑΤΙΚΟ ΕΠΙΔΟΜΑ).</t>
  </si>
  <si>
    <t>1. Säule (Hauptrente der e-EFKA):
   * 67 Jahre (bei 15 Versicherungsjahren),
   * 62 Jahre (bei 40 Versicherungsjahren).
Ab dem Jahr 2021 werden das Mindest- und das gesetzliche Renteneintrittsalter alle drei Jahre in Übereinstimmung mit Veränderungen der Lebenserwartung angepasst.</t>
  </si>
  <si>
    <t>1. Säule (Hauptrente der e-EFKA):
Folgende Bedingungen gelten in Kombination mit dem Lebensalter:
   * Staatliche Rente (ΕΘΝΙΚΗ ΣΥΝΤΑΞΗ): mindestens 15 Jahre legaler, dauerhafter Wohnsitz in Griechenland zwischen dem Alter von 15 Jahren und dem Renteneintrittsalter und mindestens 15 Versicherungsjahre;
   * Beitragsabhängige Rente (ΑΝΤΑΠΟΔΟΤΙΚΗ ΣΥΝΤΑΞΗ):
   * Versicherungszeitraum von 4.500 versicherungspflichtigen Arbeitstagen (oder 15 Versicherungsjahren) und Alter von 67 Jahren,
   * Mindestversicherungszeit von 12.000 versicherungspflichtigen Arbeitstagen (oder 40 Jahren) und Alter von 62 Jahren,
   * Mütter oder verwitwete Väter von Kindern jedes Alters, die erwerbsunfähig sind: 5.500 Arbeitstage (erste Versicherung bis 31.12.1992) oder 6.000 Arbeitstage (erste Versicherung nach dem 1.1.1993) und ein Alter von 55 Jahren für eine volle Rente unter der Bedingung, dass sie keine andere Rente beziehen,
   * Eltern und Geschwister von Personen mit einer Behinderung von mindestens 67% und Ehepartner von Personen mit einer Behinderung von mindestens 80%: 7.500 versicherungspflichtigen Arbeitstage im Alter von 62 Jahren.
Der Anspruch auf Altersrente ohne Kürzung des Betrags (volle Rente) ist abhängig vom Alter bei Beantragung der Rente, nicht der Anzahl der Jahre von geleisteten Sozialbeiträgen oder des Aufenthaltes. Kein Begriff der vollständigen Laufbahn oder vollständiger Beitragskonten.</t>
  </si>
  <si>
    <t>1. Säule (Hauptrente der e-EFKA):
Versicherungsbeginn vor 01.01.1993:
Gekürzter Betrag ab:
   * 62 Jahren für Männer und Frauen, wenn 15 Versicherungsjahre oder 4.500 Versicherungstage vorliegen (von denen 100 Tage in den letzten 5 Jahren gearbeitet wurde),
   * 62 Jahren für Mütter und verwitwete Väter minderjähriger Kinder nach 18 Versicherungsjahren oder 5.500 Arbeitstagen,
   * 50 Jahren für Mütter oder verwitwete Väter eines Kindes, das zu keinerlei Erwerbstätigkeit befähigt ist, sofern 5.500 Versicherungstage vorliegen.
Versicherungsbeginn ab 01.01.1993:
Gekürzter Betrag ab:
   * 62 Jahren mit 4.500 Versicherungstagen, davon 750 Arbeitstage in den letzten 5 Jahren vor Eintritt in den Ruhestand,
   * 62 Jahren für Mütter von minderjährigen Kindern mit 6.000 Versicherungstagen oder 20 Jahren,
   * 50 Jahren für Mütter und verwitwete Väter eines Kindes, das zu keinerlei Erwerbstätigkeit befähigt ist, sofern 6.000 Versicherungstage vorliegen.
Anspruch auf vorgezogene Altersrente ist möglich für Beschäftigte in beschwerlichen und gefährlichen Berufen (für nähere Informationen siehe Tabelle VI zu Alter „Bedingungen, Beschwerliche und gefährliche Arbeiten“).</t>
  </si>
  <si>
    <t xml:space="preserve">1. Säule (Hauptrente der e-EFKA):
Definition:
Beschwerliche und ungesunde Berufe sind in Ministerialentscheidung Nr. F10221/oik.26816/929/2011 aufgeführt. Die Entscheidung enthält Arbeitsplätze, an denen bestimmte Tätigkeiten unter dem Beschwerliche und ungesunde Berufe-Programm versichert sind. (z.B. Minen, Baustellen, Gerbereien, Eisen- und Stahlindustrie, Zementindutrie, Textilfabriken, Chemieindustrie, Waschmittelindustrie, Pflanzenschutzherstellung, Grubenausbau, Marmorverarbeitung, Lack- und Farbenindustrie, Chemiedüngerindustrie, Glasfabriken, Sprengstoffindustrie und Raffinerien).
Bedingungen zum Zugang zu beitrags-abhängiger Rente (ΑΝΤΑΠΟΔΟΤΙΚΗ ΣΥΝΤΑΞΗ):
Diejenigen, die unter den oben genannten Bedingungen versichert sind, gehen im Alter von 62 Jahren (mit weniger als 40 Beitragsjahren) in den Ruhestand und erhalten den vollen Rentenbetrag.
Bedingungen zum Zugang zu vorzeitiger Rente:
Versicherungsbeginn vor 01.01.1993:
   * Gesamtbetrag: ab 62 Jahren für Männer und Frauen, wenn sie 10.500 Versicherungstage absolviert haben (von denen an 7.500 unter beschwerlichen und ungesunden Bedingungen gearbeitet worden sein muss),
   * Gesamtbetrag: ab dem Alter von 62 Jahren für Männer und Frauen, wenn sie 4.500 Arbeitstage geleistet haben (davon 3.600 in beschwerlichen und gefährlichen Berufen – und von diesen 1.000 Tage in den letzten 17 Jahren vor dem Erreichen des Alters von 62),
   * Reduzierter Betrag: ab dem Alter von 60 Jahren für Männer und Frauen, wenn sie 35 Arbeitsjahre geleistet haben oder 10.500 Versicherungstage vorliegen (von denen 7.500 Tage unter beschwerlichen oder ungesunden Bedingungen gearbeitet worden sein müssen).
Versicherungsbeginn ab 01.01.1993:
   * Gesamtbetrag: ab dem Alter von 62 Jahren für Männer und Frauen, wenn sie 4.500 Arbeitstage geleistet haben, von diesen 3.375 in in beschwerlichen und gefährlichen Berufen.
</t>
  </si>
  <si>
    <t xml:space="preserve">1. Säule (Hauptrente der e-EFKA):
Zeiten, die nur für den Zweck der Bewertung des Pensionsanspruchs, nicht jedoch für die Berechnung des zahlbaren Rentenbetrags genutzt werden:
   * Zeiten, in denen eine Invalidenrente bezogen wurde,
   * Zeiten des Bezugs von Krankengeld oder Arbeitslosengeld,
   * Zeiten der Teilnahme am Widerstand während des 2. Weltkriegs.
Zeiträume, die sowohl für die Bewertung des Pensionsanspruchs als auch für die Berechnung der zu zahlenden Pension genutzt werden:
   * Fehlzeiten aufgrund der Versorgung eines Kindes werden gutgeschrieben, sofern Elternurlaubszeit zur Kindererziehung (Gesetz 4808) und Elterngeld gewährt wurden.
   * Fehlzeiten aufgrund von Schwangerschaft werden gutgeschrieben, sofern Leistungen bei Schwangerschaft (d.h. Mutterschaftsgeld, ergänzende Mutterschaftsschutzbeihilfe, besondere Mutterschaftsschutzhilfe) gewährt wurden.
Nicht anwendbar:
   * Fehlzeiten aufgrund der Versorgung eines hilfebedürftigen Erwachsenen;
   * Bildungsurlaub.
</t>
  </si>
  <si>
    <t>1. Säule (Hauptrente der e-EFKA):
Keine sonstigen Zulagen für Rentner. Bezug ist aber möglich von:
   * Leistung für nicht-stationäre Pflege (ΕΞΩΙΔΡΥΜΑΤΙΚΟ ΕΠΙΔΟΜΑ);
   * Invaliditätsleistung (ΕΠΙΔΟΜΑ ΑΠΟΛΥΤΟΥ ΑΝΑΠΗΡΙΑΣ) bei vollständiger Blindheit;
   * Sonderbeihilfen bei Invalidität;
   * Unterhaltskosten für mittellose und unversicherte Personen mit Behinderung, die in Einrichtungen des betreuten Wohnens leben(Στέγες Υποστηριζόμενης Διαβίωσης).</t>
  </si>
  <si>
    <t>1. Säule (Hauptrente der e-EFKA):
   * 6% der Hauptrente für Gesundheitsversorgung, nach Abzug des sozialen Solidaritätsbeitrags für Rentenempfänger.
   * sozialer Solidaritätsbeitrag für Rentenempfänger (ΕΙΣΦΟΡΑ ΑΛΛΗΛΕΓΓΥΗΣ ΣΥΝΤΑΞΙΟΥΧΩΝ, ΕΑΣ) wird auf monatliche Renten erhoben, die €1.433,61 übersteigen.
   * Für Rentner im Alter von unter 60 Jahren wird ein zusätzlicher sozialer Solidaritätsbeitrag auf monatliche Renten über €1.740,81 erhoben.
Spezifische Kategorien von Rentnern sind von den oben genannten Beiträgen ausgenommen, z.B. Rentner mit Anspruch auf Leistungen für nicht-stationäre Pflege (ΕΞΩΙΔΡΥΜΑΤΙΚΟ ΕΠΙΔΟΜΑ).
Siehe Tabelle V „Invalidität“, „Besteuerung und Sozialabgaben, Sozialabgaben von der Rente“ für nähere Informationen.</t>
  </si>
  <si>
    <t>Ehedauer muss mindestens 3 Jahre betragen, es sei denn:
   * der Verstorbene starb bei einem Arbeitsunfall oder durch Mord;
   * Kinder werden während der Ehe geboren oder adoptiert;
   * zum Todeszeitpunkt besteht eine Schwangerschaft, die zu einer Lebendgeburt führt;
   * das Paar verheiratet sich wieder, in welchem Fall die Dauer beider Ehen 5 Jahre oder mehr betragen und die zweite Ehe mindestens 6 Monate gedauert haben muss zum Zeitpunkt des Todes.
Keine Altersbeschränkungen.
Es gelten die gleichen Bedingungen für Männer und Frauen.</t>
  </si>
  <si>
    <t>Der überlebende geschiedene Ehepartner erhält eine Pension, wenn folgende Bedingungen erfüllt sind:
   * der ehemalige Ehepartner zahlte vor seinem/ihrem Tod Unterhaltsleistungen (auf der Grundlage eines Gerichtsurteils);
   * die Ehe dauerte mehr als 10 Jahre,vor der Scheidung;
   * wenn der frühere Ehepartner nicht die Scheidung verursachte;
   * der überlebende geschiedene Ehepartner ist nicht wieder verheiratet bzw. nicht in einer zivilen Lebenspartnerschaft.</t>
  </si>
  <si>
    <t>Die Invalidenrente (Invalidity Pension) ist ein obligatorisches Sozialversicherungssystem für Erwerbstätige (Arbeitnehmer und Selbstständige) mit pauschalen Geldleistungen.
Die Leistungen werden getrennt vom staatlichen Rentensystem erbracht.
Empfänger von Invalidenrente mit geminderter Erwerbsfähigkeit haben unter Umständen Anspruch auf Teilkrankengeld (Partial Capacity Benefit).
Zudem gibt es zwei relevante Sozialhilferegelungen bei Invalidität:
   * Behindertenbeihilfe (Disability Allowance) wird Personen gewährt, die wesentliche Einschränkungen aufgrund einer bestimmten Behinderung haben, um eine ihrem Alter, ihrer Erfahrung und ihrer Qualifikation angemessene Arbeit verrichten zu können.
   * Blindenrente (Blind Pension) ist eine Sozialhilferegelung für Personen mit Sehbehinderungen (siehe Tabelle XI, Mindestsicherung).</t>
  </si>
  <si>
    <t>Invaliditätsrente (Invalidity pension):
€249,50 pro Woche, falls unter 66 Jahren. Ab einem Alter von 66 Jahren haben die Empfänger Anspruch auf die beitragsabhängige Staatliche Rente in Höhe von wöchentlich €289,30.
Teilkrankengeld (Partial Capacity Benefit):
Der Betrag ist ein Prozentsatz des Krankengelds oder Invaliditätsrente, der auf der Bewertung der Einschränkung der Erwerbsfähigkeit basiert, d.h.:
   * Er beläuft sich auf 100% der Invaliditätsrente für Menschen mit schwerster Erwerbsunfähigkeit;
   * Er beträgt 50% bzw. 75% für Personen mit einer mittelschweren oder schweren Unfähigkeit.
Der jeweilige wöchentliche Betrag unterliegt nicht der Bedürftigkeitsprüfung.
Es kann Weihnachtsgeld ausbezahlt werden. Dazu ist ein Bescheid der Regierung gegebenenfalls im Rahmen des jährlichen Haushaltsverfahrens erforderlich.
Für Informationen zu Behindertenbeihilfe (Disability Allowance) und Blindenrente (Blind Pension) siehe Tabelle XI - Mindestsicherung.</t>
  </si>
  <si>
    <t>Das Lohnzuschussprogramm (Wage Subsidy Scheme) bietet Arbeitgebern außerhalb des öffentlichen Sektors finanzielle Anreize für die Anstellung von Personen mit Behinderungen, die mehr als 15 Stunden pro Woche arbeiten.
Die Behörden behalten bis zu 3% der geeigneten Arbeitsstellen Menschen mit Behinderungen vor.
Das Ministerium für Sozialschutz stellt verschiedene Beihilfen zur Verfügung:
   * Zulage für die Anpassung eines Arbeitsplatzes (Workplace Adaptation Grant), im Rahmen derer Personen mit einer Behinderung oder ihrem Arbeitgeber maximal €6.350 zur Deckung der Kosten bereitgestellt werden, die bei Anpassungen von Arbeitsumfeld oder Ausstattung anfallen. Das Programm zu Beihilfen für Beibehaltung von Arbeitnehmern (Employee Retention Grant Scheme) steht allen Unternehmen des Privatsektors offen. Förderung ist erhältlich zur Unterstützung der Beibehaltung jedes vorhandenen Arbeitnehmers auf jeder Ebene und mit jeder Beschäftigung innerhalb des Unternehmens, der eine Erkrankung oder Beeinträchtigung erleidet, die die aktuelle Befähigung, seine/ihre Tätigkeit auszuführen, beeinflusst.
   * EmployAbility Service ist ein Beschäftigungs- und Rekrutierungsdienst, der Menschen mit Behinderungen und Beeinträchtigungen hilft, einen Arbeitsplatz zu finden und zu behalten.
   * Zuschuss zur technischen Unterstützung von bis zu €1.000 für Personen, die nach Ermessen des Sachbearbeiters an vetraglich gebundene Vermittlungsdienste zur Beschäftigungsförderung verwiesen werden.</t>
  </si>
  <si>
    <t>Durchschnittlich (entrichtete oder angerechnete) Anzahl von Beiträgen pro Jahr.
Derzeit wird jeder Antrag nach zwei Methoden beurteilt:
   * jährlich gemeldete durchschnittliche Beitragsanzahl (entrichtet oder angerechnet) – die Beitragsanzahl geteilt durch die Verweildauer im Sozialversicherungssystem);
   * dem vorläufigen Gesamtbeitragsansatz. Alle geleisteten Beiträge und für bis zu zwei Jahre angerechnete Beiträge werden kombiniert.
Für die Zahlung wird die Methode genutzt, die für den Antragsteller vorteilhafter ist.</t>
  </si>
  <si>
    <t>(Beitragsabhängige) Staatliche Rente (State Pension (Contributory)):
(max.) €289,30 pro Woche. Bei weniger als 48 (aber mindestens 10) geleisteten Beitragswochen pro Jahr wird die Rente wie folgt gekürzt:
Durchschnittsrente pro Woche:
   * 40-47: €283,70
   * 30-39: €260,10
   * 20-29: €246,30
   * 15-19: €188,50
   * 10-14: €115,60
Der Satz, der für diejenigen gezahlt wird, die im Rahmen des vorläufigen Gesamtbeitragsansatzes bewertet werden, ist anteilig für diejenigen, die nicht die für eine volle Rente erforderlichen 2080 Beiträge erreichen.
Es kann Weihnachtsgeld ausbezahlt werden. Dazu ist ein Bescheid der Regierung gegebenenfalls im Rahmen des jährlichen Haushaltsverfahrens erforderlich.</t>
  </si>
  <si>
    <t>Beiträge können für die Bestimmung des jährlichen Durchschnitts und somit der gegebenenfalls zahlbaren Rentenhöhe berücksichtigt werden. Sie können nicht zur Abdeckung der grundlegenden Mindestversicherungszeit von 520 Beiträgen verwendet werden.
Vorbehaltlich von Bedingungen können Beiträge angerechnet werden für:
   * Personen im Alter von 16 bis 66 Jahren, die Geldleistungen bei Krankheit, Mutterschaft, dauernder Invalidität, Arbeitslosigkeit, Arbeitsunfall oder Ruhestandsrente erhalten;
   * Versicherte Personen, die arbeitssuchend oder krank gemeldet sind, aber keine Leistung erhalten.
Seit 1994 können bei der Berechnung des jährlichen Durchschnitts und somit der zahlbaren Rentenhöhe bis zu 20 Jahre berücksichtigt werden, in denen die versicherte Person ein Kind unter 12 Jahren erzogen oder eine invalide Person (ohne Altersbeschränkung) gepflegt hat.
Im Rahmen des vorläufigen Gesamtbeitragsansatzes können Zeiträume der häuslichen Pflege von bis zu 20 Jahren für Personen angerechnet werden, die Kinder bis zum Alter von 12 Jahren oder andere Personen mit Vollzeitpflegebedarf betreut haben. Andere Gutschriften sind gemäß der jährlichen Durchschnittsmethode verfügbar, es gilt jedoch ein Gesamtlimit von 20 Jahren (1040 Beiträgen).
Ab Januar 2024 können Personen, die mehr als 20 Jahre lang eine invalide Person in Vollzeit gepflegt haben, Anspruch auf den Gegenwert der gezahlten Beiträge (Beiträge für Pflegebedürftige) für Zeiträume von mehr als 20 Jahren haben, die sie in der Pflege verbracht haben, um Lücken in ihrem Beitragsnachweis zu schließen, die für die Berechnung der (beitragsabhängigen) staatlichen Rente (State Pension (Contributory)) erforderlich sind.</t>
  </si>
  <si>
    <t>(Beitragsabhängige) Staatliche Rente (State Pension (Contributory)):
Für unterhaltsberechtigte Erwachsene werden erhöhte Beträge von €104,20 bis €259,40 pro Woche je nach Alter des Unterhaltsberechtigten und der durchschnittlichen Anzahl von Beiträgen, die der Rentner in seinem Arbeitsleben geleistet hat, gezahlt.
Die Zulagen für Unterhaltsberechtigte umfassen:
   * €50 pro Woche für jedes unterhaltsberechtigte Kind unter 12 Jahren.
   * €62 pro Woche für jedes unterhaltsberechtigte Kind ab 12 Jahren.</t>
  </si>
  <si>
    <t>Mindestens 260 Wochen versicherungspflichtige Beschäftigung mit Beitragszahlung.
Im Jahresdurchschnitt:
   * 39 entrichtete oder angerechnete Wochenbeiträge für jedes der 3 oder 5 Beitragsjahre vor Vollendung des 66.Lebensjahres oder, falls dieser früher liegt, vor dem Tag des Todes des Ehepartners/ Lebenspartner oder
   * 48 entrichtete oder angerechnete Wochenbeiträge seit Eintritt in die Versicherung (in diesem Fall wird eine reduzierte Rente ausbezahlt, wenn der jährliche Durchschnitt an Beitragswochen mehr als 24 und weniger als 48 Wochen beträgt).
Es reicht aus, wenn einer der beiden Ehepartner/ Lebenspartner die Bedingungen erfüllt.</t>
  </si>
  <si>
    <t>Beitragsunabhängige Rente für Witwen, Witwer und hinterbliebene Lebenspartner (Widow's, Widower's or Surviving Civil Partner’s (Non-Contributory)):
Diese Leistung unterliegt nicht der Bedürftigkeitsprüfung.
Wöchentlicher Leistungsbetrag für hinterbliebene und geschiedene Ehepartner und für hinterbliebene Lebenspartner:
   * Unter 66 Jahre: €249,50 pro Woche;
   * ab 66 Jahren: €289,30 pro Woche.
Erhöhung für ein berechtigtes Kind:
   * Kind unter 12 Jahren: €50 voller Satz. Halber Satz: €25
   * Kind über 12 Jahren: €62 voller Satz. Halber Satz: €31
Zulage für Alleinlebende (Living Alone Allowance): wird an alleinlebende Rentner und Menschen mit Behinderung gezahlt: €22 pro Woche.
Empfänger haben gegebenenfalls Anspruch auf die Brennstoffbeihilfe (Fuel Allowance) (€33 pro Woche für die Dauer der 28-wöchigen Heizsaison).
Es kann Weihnachtsgeld ausbezahlt werden. Dazu ist ein Bescheid der Regierung gegebenenfalls im Rahmen des jährlichen Haushaltsverfahrens erforderlich.
Zudem wird eine Rente für Witwen, Witwer und hinterbliebene Lebenspartner (Widow's, Widower's or Surviving Civil Partner’s Pension) für Personen unterhalb des Rentenalters gewährt (siehe Tabelle XI – „Mindestsicherung“).</t>
  </si>
  <si>
    <t>Halbwaisen:
   * €50 pro Woche für jedes unterhaltsberechtigte Kind unter 12 Jahren.
   * €62 pro Woche für jedes unterhaltsberechtigte Kind ab 12 Jahren.
Die Leistungen werden unterhaltsberechtigten Kindern unter 18 Jahren (oder unter 22 Jahren, falls in Vollzeitausbildung) gewährt. Kumulation mit Kindergeld möglich.
Vollwaisen:
Beitragsabhängiges Pflegschaftsgeld (Guardian’s Payment (Contributory)) in Höhe von wöchentlich €227 erhalten Kinder unter 18 Jahren (22 Jahre bei ganztägiger Ausbildung), wenn mindestens 26 Wochenbeiträge seitens eines Eltern- oder Stiefelternteils entrichtet wurden.
Pauschalleistungen und keine Bedürftigkeitsprüfung.
Weihnachtsgeld kann gezahlt werden. Dies erfordert eine Regierungsentscheidung, die Teil des jährlichen Haushaltsverfahrens sein kann.</t>
  </si>
  <si>
    <t>Kumulation möglich:
   * zum vollen Satz mit Familienbeihilfen;
   * zum halben Satz mit Mutterschaftsgeld bzw. Adoptionsgeld (Maternity and Adoptive Benefit) oder Beihilfe für Pflegepersonen (Carer's Allowance).</t>
  </si>
  <si>
    <t>Duales System:
   * Volksrente (lífeyrir almannatrygginga) universelles, steuerfinanziertes System für alle Einwohner, im Rahmen dessen pauschale Leistungsbeträge mit Einkommensprüfung gezahlt werden, die von der Dauer des Wohnsitzes und dem Grad der Invalidität abhängen;
   * Arbeitsrente (lögbundnir lífeyrissjóðir) beitragsabhängiges System für alle Erwerbstätigen mit einkommensbezogenen Renten, die von den Beiträgen und der Versicherungsdauer abhängen (außer im System für Arbeitnehmer im Staatsdienst, das auf Versorgungszusagen mit im Voraus definierten Leistungen und teilweise auf einem beitragsorientierten (DC) System beruht).</t>
  </si>
  <si>
    <t>Volksrente (lífeyrir almannatrygginga):
   * Einen Rentenanspruch haben Personen im Alter von 18 bis 66 Jahren, bei denen aufgrund einer medizinisch diagnostizierten Krankheit oder Invalidität eine dauerhafte Invalidität von 75 % oder mehr festgestellt wird.
   * Personen mit einem Invaliditätsgrad vom 50 % oder mehr, die bis auf den Invaliditätsgrad alle sonstigen Bedingungen erfüllen.
Arbeitsrente (lögbundnir lífeyrissjóðir):
Anspruchsberechtigt sind Personen mit einer Arbeitsunfähigkeit von mindestens 50%, deren Einkommen durch die Invalidität gemindert ist.</t>
  </si>
  <si>
    <t>Volksrente (lífeyrir almannatrygginga):
Antragsteller müssen:
   * mindestens in den letzten drei Jahren vor der Feststellung einer Invalidität von 75% durchgehend versichert gewesen sein, es sei denn, die Invalidität von 75% wurde erstmals im Alter von 18 Jahren festgestellt und sie waren zu dem Zeitpunkt versichert.
   * Oder sie müssen mindestens 12 Monate vor der Feststellung einer Invalidität von 75%  durchgehend versichert gewesen sein und entweder 20 Jahre lang im Alter von über 16 Jahren versichert gewesen sein oder müssen mindestens 5 Jahre lang im Alter von über 16 Jahren versichert gewesen sein und dürfen sich höchstens 5 Jahre im Ausland aufgehalten haben.
Arbeitsrente (lögbundnir lífeyrissjóðir):
Mindestens für 2 Jahre müssen Beiträge an den Rentenfonds entrichtet worden sein.</t>
  </si>
  <si>
    <t>Volksrente (lífeyrir almannatrygginga):
Bei 40 Kalenderjahren Versicherung zwischen 16 und 66 Jahren: volle Anspruchsberechtigung.
Bei kürzerer Versicherungsdauer: proportionale Berechnung entsprechend der Versicherungsdauer vor dem  Zeitpunkt der Feststellung der Invalidität von 75%.
Die Rente ist ein pauschaler Betrag, der bei sonstigen steuerpflichtigen Einkünften gekürzt wird. Alle zu versteuernden Einkünfte des Rentners werden bei der Berechnung des Beihilfebetrags nach bestimmten Regeln berücksichtigt. Leistungen der sozialen Sicherheit und Sozialhilfe werden jedoch insofern nicht zu den Einkünften gezählt.
Berechnungsmethode: Besondere theoretische jährliche Einkommenskriterien werden auf steuerpflichtigen Einkünften aus Arbeit, Zusatzrente und Kapitaleinkommen basierend berechnet, wobei jeder Art von Einkommen einem bestimmten Gewichtungsprozentsatz zugrunde liegt. Das theoretische jährliche Einkommenskriterium und die Regelungen für die Einkommensprüfung unterscheiden sich je nach Leistungskategorie. Ein bestimmter Jahresbetrag wird für jede Einkommensart bei der Berechnung jeder Leistungskategorie ausgenommen. Wenn das auf diese Weise berechnete theoretische jährliche Einkommenskriterium eine bestimmte Höhe überschreitet (welche je nach Leistungskategorie variiert), wird der feste pauschale Leistungsbetrag entsprechend besonderen Regeln gekürzt oder ausgesetzt. Steuerpflichtiges Einkommen des Ehepartners, welches als gemeinsames Einkommen betrachtet wird, wird nicht bei der Berechnung berücksichtigt.
Invaliditätsrente (örorkulífeyrir) für Personen in einem geteilten Haushalt nach dem Grad der Invalidität:
Invaliditätsgrad von mindestens 75%:
   * Volle Invaliditätsrente (örorkulífeyrir) von ISK 788.760 (€5.481) pro Jahr. Der Betrag wird reduziert, wenn der Bezieher über ein Einkommen von mehr als ISK 2.575.220 (€17.896) verfügt, und er wird ausgesetzt, bei mehr als ISK 11.339.220 (€78.799). Rentenzahlungen aus dem Arbeitsrentensystem und Kapitaleinkommen bis ISK 98.640 (€685) werden bei dieser Leistungsberechnung nicht berücksichtigt;
   * Altersbezogene Rentenzulage (aldurstengd örorkuuppbót) von max. ISK 756.240 (€5.255) bis min. ISK 18.912 (€131) im Jahr, abhängig vom Alter zum Zeitpunkt der ersten Feststellung des Grades der Invalidität von mindestens 75%. Diese Zulage wird nach den gleichen Regeln wie bei der Invaliditätsrente gekürzt oder ausgesetzt;
   * Voller Jahresbetrag der Rentenzulage (tekjutrygging) von ISK 2.525.820 (€17.553). Der Betrag wird reduziert, wenn das jährliche Einkommen (siehe Berechnungsmethode oben) bestimmte Grenzen übersteigt, und wird ausgesetzt, wenn es ISK 6.586.170 (€45.769) übersteigt. Ein Jahreseinkommen von ISK 328.800 (€2.285) aus dem Arbeitsrentensystem und ISK 2.400.000 (€16.678) aus der Arbeit und Kapitaleinkommen bis ISK 98.640 (€685) wird bei dieser Berechnung nicht berücksichtigt.
Invaliditätsgrad von 50 % bis 75 %:
Voller Jahresbetrag von ISK 583.092 (€4.052) oder ISK 788.760 (€5.481), wenn der Rentner zwischen 62-66 Jahren ist. Gekürzt in Abhängigkeit des Einkommens, wie oben beschrieben.
Monatliche Zahlungen.
Arbeitsrente (lögbundnir lífeyrissjóðir): Die Rente wird nach den Regeln der einzelnen Rentenfonds berechnet. Im Allgemeinen hängt sie vom Grad der Arbeitsunfähigkeit und den erworbenen Rentenpunkten ab.
Es werden zusätzliche Zahlungen am 1. Juli und vor Weihnachten, am 1. Dezember gezahlt.</t>
  </si>
  <si>
    <t>Volksrente (lífeyrir almannatrygginga):
Nach dem Sozialhilfegesetz (Lög um félagslega aðstoð) können in besonderen Situationen sowie, falls der Empfänger darauf angewiesen ist, neben den Renten verschiedene Hilfen gewährt werden.Beispiele:
   * Haushaltszulage für Alleinstehende (heimilisuppbót) von bis zu ISK 71.146 (€494) im Monat;
   * Zulagen zur Deckung von Aufwendungen (uppbót vegna kostnaðar), zwischen 5 % und 140 % des Grundbetrags unter besonderen Umständen ohne, dass die tatsächlichen Kosten überstiegen werden;
   * Sonderzulagen zur Unterstützung (Sérstök uppbót til framfærslu) wenn sich zeigt, dass sie nicht in der Lage sind, sich ohne die Zulagen selbst zu unterhalten und alle zu versteuernden Einkünfte des Renterns, Leistungen der sozialen Sicherheit und Sozialhilfe eine bestimmte Grenze unterschreiten. Für die Berechnung dieser Sonderzulagen werden 65% des zu versteuernden Einkommens, 95% der Rentenzulage und 50% der altersabhängigen Zulage berücksichtigt. Zulagen zur Deckung von Ausgaben und Beihilfe für Alleinerziehende werden nicht berücksichtigt.
Zulagen und Beihilfen für Rehabilitation, siehe Tabelle V, „Berufliche Wiedereingliederung, 1. Rehabilitation, Umschulung“.
Arbeitsrente (lögbundnir lífeyrissjóðir):
Keine sonstigen Leistungen.</t>
  </si>
  <si>
    <t>Für den Anspruch auf eine Invaliditätsrente kann dem Antragsteller die Bedingung auferlegt werden, sich einer besonderen Beurteilung bezüglich seines Rehabilitationspotentials zu unterziehen und entsprechende Rehabilitationsmaßnahmen durchzuführen bevor die Invalidität endgültig beurteilt wird.
Bestimmungen in verschiedenen Gesetzen:
   * Eine Rehabilitationsbeihilfe (endurhæfingarlífeyrir) kann gemäß dem Sozialhilfegesetz (Lög um félagslega aðstoð) bis zu 36 Monate gewährt werden, wenn die Feststellung des Ausmaßes der dauerhaften Invalidität nicht möglich ist. Der Antragsteller ist dazu verpflichtet, an anerkannten Reha-Maßnahmen teilzunehmen, und darf keinen Anspruch auf ein Gehalt oder Krankengeld von den Krankenkassen oder Gewerkschaften haben. Es besteht die Möglichkeit, den Leistungszeitraum um höchstens 24 weitere Monate auszuweiten.
   * Die Arbeitsverwaltung (Vinnumálastofnun) kann auch mit Unternehmen oder Institutionen Vereinbarungen über die Beschäftigung von behinderten Menschen treffen, die eine Invalidenrente, eine Invalidenbeihilfe oder eine Rehabilitationsbeihilfe erhalten, aber dennoch in der Lage sin zu arbeiten. In diesem Fall erstattet die Sozialversicherungsanstalt 25 % bis 75 % der Bruttolohnkosten. Während der Beschäftigung werden die Renten gekürzt.
   * Alle Arbeitnehmer, selbstständige Leistungsempfänger und andere Personen, die aus gesundheitlichen Gründen nicht vollständig am Arbeitsmarkt teilnehmen können, haben Anrecht auf Dienstleistungen eines Fonds zur beruflichen Rehabilitation. Sie müssen willens und fähig sein, an der beruflichen Rehabilitation teilzunehmen, mit dem Ziel ihre Teilnahme am Arbeitsmarkt zu erhöhen und die Rehabilitation muss geeignet sein, um positive Ergebnisse zu erzielen.
   * Medizinische Hilfsmittel, siehe Tabelle II „Krankheit - Sachleistungen“.
   * Ferner gibt es eine Reihe von Hilfen nach dem Behindertengesetz.
Arbeitsrente (lögbundnir lífeyrissjóðir):
Der Rentenfonds kann die Teilnahme eines Versicherten, der eine Invaliditätsrente (örorkulífeyrir) beantragt hat, an einer Rehabilitationsmaßnahme verlangen.</t>
  </si>
  <si>
    <t>Volksrente (lífeyrir almannatrygginga):
Der Rentenanspruch bemisst sich proportional zur Dauer des Wohnsitzes in Island bei einem Minimum von 3 Jahren und einer Obergrenze von 40 Jahren. Die Rente wird monatlich gezahlt.
Die Rente ist ein fester pauschaler Betrag (volle Altersrente für eine Person in einem gemeinsam genutzten Haushalt mit 40 Jahren Wohnsitz in Island ohne weiteres steuerpflichtiges Einkommen: ISK 347.521 (€2.415) pro Monat oder ISK 4.170.252 (€29.980) pro Jahr.  Dieser Betrag wird reduziert oder ausgesetzt, wenn das Einkommen des Rentners aus anderen Quellen eine bestimmte Grenze übersteigt.
Das zu versteuernde Einkommen von Ehegatten, mit Ausnahme von Kapitalerträgen, wirkt sich nicht auf die Berechnung des Rentenbetrags aus.
Berechnungsmethode: Alle zu versteuernden Einkommen über einer bestimmten Grenze wie nachfolgend beschrieben wirken sich auf die Berechnung der Leistungsbeträge aus, mit Ausnahme von Sozialversicherungsleistungen und Sozialhilfe, die diesbezüglich kein Einkommen darstellen.
Nicht berücksichtigte steuerpflichtige Einkommen:
   * allgemeines Jahreseinkommen bis zu ISK 438.000 (€2.085),
   * Jahresverdienst bis zur Grenze von ISK 2.400.000 (€16.678) aus Beschäftigung und
   * 50 % Einkommen aus Kapital bei Paaren.
45 % des Einkommens der Rentner, das diese Grenze übersteigt, reduziert den festen pauschalen Rentenbetrag.
Wenn das theoretische wie oben beschrieben berechnete Einkommen des Rentners ISK 9.705.227 (€67.444) pro Jahr übersteigt, wird die Altersrente ausgesetzt.
Im Juli und Dezember jeden Jahres werden zusätzliche Zahlungen geleistet.
Die Rente wird monatlich ausgezahlt.
Im Falle einer Unterbringung für mindestens 6 Monate in einer Einrichtung, die aus dem Staatshaushalt finanziert wird, werden die Rentenzahlungen eingestellt. Der Rentner erhält stattdessen eine monatliche persönliche Beihilfe von ISK 104.321 (€725).
Arbeitsrente (lögbundnir lífeyrissjóðir):
Die Rente wird nach den Regeln der einzelnen Rentenfonds berechnet. Generell wird ihre Höhe durch die erworbenen Rentenpunkte bestimmt. Bei einem Beitragszeitraum von 40 Jahren ergibt sich eine Mindestrente von 56 % des beitragspflichtigen Monatsbruttoeinkommens.
Monatliche Zahlungen und keine zusätzlichen Zahlungen zu bestimmten Jahreszeiten (z.B. zu Weihnachten oder im Winter für Energiekosten).</t>
  </si>
  <si>
    <t>Volksrente (lífeyrir almannatrygginga):
Nach dem Sozialhilfegesetz (Lög um félagslega aðstoð) können in besonderen Situationen neben den Renten verschiedene Hilfen gewährt werden.Beispiele:
   * Haushaltszulage für Alleinstehende (heimilisuppbót) bis zu ISK 87.817 (€610) pro Monat;
   * Zulagen zur Deckung von Aufwendungen (uppbót vegna kostnaðar), zwischen 70 % und 120 % des Altersrentenbetrags unter besonderen Umständen ohne dass die tatsächlichen Kosten überstiegen werden.
Arbeitsrente (lögbundnir lífeyrissjóðir):
Keine sonstigen Zulagen.</t>
  </si>
  <si>
    <t>Duales System:
   * Steuerfinanziertes System der Volksrente. Ein universelles durch Steuern finanziertes System mit pauschalen Leistungen für hinterbliebene Kinder.
   * Beitragsfinanziertes System der Arbeitsrente. Ein beitragspflichtiges System für alle Erwerbstätigen mit Leistungen, die von der Rente der verstorbenen Person abhängen.</t>
  </si>
  <si>
    <t>Es gibt einen Mindestzeitraum von Versicherungsbeiträgen für Anspruchsberechtigung auf die Leistung, der unabhängig ist vom Alter:
   * 5 Jahre Beitragszahlung, davon mindestens 3 Jahre während der letzten 5 Jahre für vollständige Invalidität;
   * keine Mindestversicherungszeit erforderlich bei Invalidität (aufgrund der Berufstätigkeit, jedoch nicht durch Arbeitsunfall).
Personen, die seit dem 1. Januar 1996 versichert sind:
Zeiten der Beschäftigung eines Arbeitnehmers mit Behinderung mit einer verminderten Erwerbsfähigkeit von mindestens 74% werden um 2 Monate pro Jahr verlängert (bis zu einer Höchstdauer von 5 Jahren).</t>
  </si>
  <si>
    <t>Die Hauptkriterien zur Beurteilung der Anspruchsberechtigung auf Leistungen bei Invalidität stehen im Zusammenhang mit dem Ausmaß der Beeinträchtigungen einer Person hinsichtlich ihrer Fähigkeit, zu arbeiten und alltägliche Tätigkeiten auszuüben.
Die Beeinträchtigungen werden durch medizinische Beurteilung bemessen, die von Ad-hoc-Kommissionen sowohl innerhalb der lokalen Gesundheitsbehörden als auch der rechtlich-medizinischen Abteilung des INPS durchgeführt werden. Die verbleibende Kapazität, die bisherige Beschäftigung oder jegliche andere Art der Beschäftigung auszuüben, wird anhand von Re-ferenzwerten (z.B. die Katz Tabelle, siehe Tabelle XII, „Langzeitpflege, Indikatoren und Bedürfniskategorien“) gemessen.
Invalidität wird als ein Prozentsatz der normalen Erwerbsfähigkeit ausgedrückt:
   * zwischen 66% und 99% der Erwerbsfähigkeit für die Invaliditätsbeihilfe (assegno ordinario d‘invalidità, AOI): 66%.
   * 100% Erwerbsunfähigkeit für die Erwerbsunfähigkeitsrente (pensione di inabilità): 100%.
Der Mindestlevel der vermiderten Erwerbsfähigkeit ist 66%.</t>
  </si>
  <si>
    <t>Invaliditätsbeihilfe (assegno ordinario d‘invalidità, AOI) und Erwerbsunfähigkeitsrente (pensione di inabilità): Für Beitragszeiten, die vor dem 31. Dezember 2011 von vor dem 1. Januar 1996 versicherten Personen geleistet wurden, gilt folgendes einkommensbezogenes Berechnungssystem (das sich auf Bruttoverdienst bezieht):
   * Einkommen bis zur Bemessungsgrenze von €55.448,13 (Obergrenze): 2% x n x E;
   * zwischen €55.448,14 und €73.746,02 (133% der Grenze): 1,6% x n x E;
   * zwischen €73.746,03 und €92.043,89 (166% der Grenze): 1,35% x n x E;
   * zwischen €92.043,90 und €105.351,45 (190% der Grenze): 1,1% x n x E;
   * über €105.351,46: 0,9% x n x E.
n = Anzahl der Versicherungsjahre (max. 40). Die Jahre zwischen der Feststellung der Rente und dem Erreichen der gesetzlichen Rentenaltersgrenze werden als fiktive Beitragszeiten hinsichtlich der Anspruchsberechtigung auf Erwerbsunfähigkeitsrente einbezogen.
E = Bezugslohn (siehe unten in Tabelle V, „Invalidität, 3. Referenzeinkommen und Berechnungsgrundlage“).
Für Beitragszeiten, die seit dem 1. Januar 2012 geleistet wurden, werden die Rentenbeträge entsprechend des beitragsbasierten Berechnungssystems ermittelt: Der Beitrag wird jährlich entsprechend der durchschnittlichen Steigerung des BIP während der letzten fünf Jahre angepasst. Der Rentenbetrag ergibt sich aus der Multiplikation der Gesamtbeiträge (montante contributivo) mit einem von der Lebenserwartung abhängenden Koeffizienten.
Anspruchsberechtigung auf die Invaliditätsbeihilfe (assegno ordinario d'invalidità, AOI) unterliegt der Bedürftigkeitsprüfung mit Erwerbseinkommen.</t>
  </si>
  <si>
    <t>Bezugslohn ("E"):
   * Für Personen mit 15 Beschäftigungsjahren vor dem 31. Dezember 1992: Durchschnittseinkommen (mit Obergrenze) der letzten 5 Jahre;
   * Für Personen mit weniger als 15 Beschäftigungsjahren vor dem 31. Dezember 1992: Durchschnittseinkommen (mit Obergrenze) während eines variablen Zeitraums zwischen den letzten 5 und 10 Jahren;
   * Bei erstmaliger Beschäftigung ab dem 1. Januar 1996 erfolgt die Berechnung auf der Grundlage der Beiträge des gesamten Arbeitslebens.</t>
  </si>
  <si>
    <t>Anreize für bevorzugte Beschäftigung von Menschen mit Behinderung bestehen für Arbeitgeber in der Ausnahme von Sozialabgaben für:
   * 5 Jahre bei verminderter Erwerbsfähigkeit zwischen 67% und 79%;
   * 8 Jahre bei verminderter Erwerbsfähigkeit von 80% und darüber.
Verpflichtende Quoten für die Anzahl der einzustellenden Menschen mit Behinderung variieren entsprechend der Zahl der Angestellten:
   * zwischen 15 und 35 Angestellte: 1 Person;
   * zwischen 35 und 50 Angestellte: 2 Personen;
   * mehr als 50 Angestellte: 7% der Gesamtbelegschaft.
Siehe auch Tabelle VIII „Arbeitsunfälle und Berufskrankheiten“, „Leistungen, 4. Rehabilitation“.</t>
  </si>
  <si>
    <t>Erstmals ab 1. Januar 1996 Versicherte mit einer Arbeitsversicherung von mindestens 20 Jahren können ab einem Alter von 64 Jahren in den Ruhestand gehen, wenn der Rentenbetrag, auf welchen sie Anspruch hätten, dem 3-fachen der monatlichen Sozialhilfeleistung (assegno sociale) entspricht (gleich €1.616,07,41 im Jahr 2025 für Männer und Frauen ohne Kinder: das 2,8-fache (€1.508,33) des genannten Betrags für berufstätige Mütter mit 1 Kind; das 2,6-fache (€1.400,59)  für berufstätige Mütter mit 2 oder mehr Kindern.
Der Betrag der vorgezogenen Rente unter den oben genannten Bedingungen darf nicht das 5-fache des Betrags der gesetzlichen Mindestrente überschreiten (entsprechend €603,40 monatlich im Jahr 2025) bis der Leistungsempfänger das gesetzliche Altersrentenalter (67 Jahre im Jahr 2025) erreicht, bis der Leistungsempfänger das gesetzliche Altersrentenalter (67 Jahre im Jahr 2025) erreicht.
Die Rentenzahlung wird gestundet (so genannte “Fenster”), wodurch die Rentenzahlung um 3 Monate über den Zeitpunkt der Anspruchsberechtigung hinaus verzögert wird.
Vorruhestand für Frauen (sogenannte „opzione donna“): die, obwohl sie unter das Hybridsystem fallen, akzeptieren, Leistungen zu erhalten, die gänzlich entsprechend dem beitrags-bezogenen Berechnungssystem errechnet werden. Folgende Bedingungen müssen erfüllt werden: 35 Jahre Arbeitsversicherung + Erreichen eines Alters von 61 Jahren bis Dezember 2023, zudem Erfüllen einer der folgenden weiteren Bedingungen:
   * gekündigt worden sein oder Risiko einer Entlassung durch Unternehmen, die von der aktuellen Industriekrise betroffen sind (in diesen Fällen wird Zugang zu diesem System ab 59 Jahren gewährt);
   * eine um 74% oder mehr verringerte Erwerbsfähigkeit;
   * mindestens 6 Monate lang eine Pflegeperson für ein Familienmitglied mit Behinderung gewesen sein.
Versicherte Mütter, die sich für dieses System entscheiden, haben Anspruch auf eine Altersreduzierung um 1 Jahr pro Kind (aber auf maximal 2 Jahre).
Sobald ie Voraussetzung erfüllt sind, gilt ab dem Fälligkeitsdatum der ersten Rentenzahlung eine Aufschubregelung von 12 Monaten.
Vorruhestandsbeihilfe (A.PE Sociale - Anticipo Pensionistico): diese versuchsweise gewährte Maßnahme, verlängert bis zum 31. Dezember 2025, die ein vorgezogenes Rentenalter vorsieht:
   * Mindestalter von 63 Jahren und 5 Monaten;
   * Beitragszahlungen über einen Zeitraum von mindestens 30 Jahren für effektive Beschäftigung (36 Jahre für Arbeitnehmer, die beschwerliche Arbeiten ausgeführt haben); günstigere Voraussetzung gelten für Frauen, d.h. es werden pro Kind 1 Jahr (bis höchstens 2 Jahre) der fiktiven Beiträge gutgeschrieben;
   * Einstellung der Erwerbstätigkeit entweder als Beschäftigter oder Selbstständiger in Italien und im Ausland bei Beantragung der Leistung. Kumulierung mit dem Bezug von Vorruhestandsbeihilfe ist möglich, wenn das jährliche Erwerbseinkommen einzig aus gelegentlicher Selbstständigkeit höchstens €5.000 beträgt;
   * kein Bezug eigener Rentenleistung.
   * Zudem muss eine der folgenden Voraussetzungen erfüllt sein:
   * Langzeitarbeitslosigkeit mit geringen Chancen für die Wiedereingliederung in den Arbeitsmarkt (siehe auch Tabelle X „Arbeitslosigkeit“);
   * Einzahlung von Leistungen über einen Zeitraum von mindestens 18 Monaten in den 36 Monaten vor dem Arbeitsplatzverlust, selbst wenn der arbeitslose Antragssteller im Rahmen eines festen Arbeitsvertrags beschäftigt war;
   * Einstufung als Person mit Behinderungen und einem Grad der Invalidität von mindestens 74% (siehe auch Tabelle XI „Mindestsicherung“);
   * Unterstützung einer Person mit Behinderungen über einen Zeitraum von mindestens 6 Monaten vor Geltendmachung des Anspruchs, die im Haushalt wohnt und ein Verwandter 1. Grades (z.B. Ehegatte, Eltern, Kind) oder 2. Grades ist, wenn Ehegatte oder Eltern selbst eine Behinderung haben oder älter als 70 Jahre oder verstorben sind (siehe auch Tabelle IX „Familienleistungen“).
Flexible Vorruhestandsrente, die so genannte "Pensione anticipata flessibile" or “Quota 103”: eine experimentelle Maßnahme, die für das Jahr 2025 gilt unter den folgenden Voraussetzungen: 62 Lebensjahre und 41 Beitragsjahre (35 davon bezogen auf die tatsächliche Arbeit, d.h. es werden keine fiktiven Beiträge berücksichtigt). Sie gilt nicht für: Fachkräfte, Geistliche, Militärpersonal, Journalisten, Zollbeamte. Für Arbeitnehmer und Beamte gelten zwei unterschiedliche Stundungssysteme von 7 bzw. 9 Monaten, sobald sie die Anspruchsvoraussetzungen bis Dezember 2025 erfüllt haben. Beamte werden gebeten, eine Kündigungsfrist von 6 Monaten bei der öffentlichen Stelle einzuhalten, für die sie tätig sind. Der entsprechende Antrag muss bis spätestens November 2025 eingereicht werden.
Der Leistungsbetrag wird gemäß dem beitragsbezogenen Berechnungssystem (Defined Contribution System) berechnet: der monatliche Betrag darf das 4-fache des Mindestrentenbetrags nicht überschreiten, bis Leistungsempfänger das gesetzliche Rentenalter von 67 Jahren erreichen; ab diesem Zeitpunkt erhalten sie den Gesamtbetrag ihrer Altersrente.
Als Anreiz für aktives Altern werden versicherte Arbeiternehmer, die sich, obwohl sie anspruchsberechtigt sind für die “Quota 103”, für eine Fortsetzung ihrer Erwerbstätigkeit entscheiden, von der Zahlung ihres Beitragssatzes von 9,19% ausgenommen (8,80% für Beamte), was eine Erhöhung ihres Monatsgehalts zur Folge hätte.</t>
  </si>
  <si>
    <t>Beschwerliche Arbeiten:
Definition und Kategorien von beschwerlichen Arbeiten (lavori usuranti): Bergarbeiter, Arbeitnehmer, die in der Asbestentfernung eingesetzt werden, Nachtschichtarbeiter, Fahrer (eingestuft in drei Kategorien entsprechend der Anzahl der Arbeitsstunden pro Nacht) schwerer Fahrzeuge im öffentlichen Personenverkehr etc. wie in der gesetzgebenden Verordnung Nr. 67 vom 21. April 2011 festgelegt.
Vorteilhaftere Bedingungen gelten für Arbeitnehmer, die beschwerliche Arbeiten ausführen:
   * keine Anwendung des Stundungssystems;
   * Verkürzung des Rentenalters um 12 bis 18 Monate gegenüber dem normalen Rentenalter (d.h. 35-jährige Beitragszahlungen + 61 Jahre und 7 Monate, die die aktuelle Quote von 97,60 erklären, die bis Dezember 2026 gilt);
   * keine weiteren Anpassungen an Lebenserwartung.
Der Anspruch ist abhängig von der Ausführung einer beschwerlichen Arbeit über einen Zeitraum von mindestens 7 Jahren in den letzten 10 Jahren des Erwerbslebens des Arbeitnehmers oder, alternativ, über die Hälfte des gesamten Erwerbslebens. Eine auf der Lebenserwartung basierende Verlängerung des Rentenalters für den Zeitraum 2019-2026 kommt nicht zur Anwendung.
Beschwerliche Arbeiten (lavori gravosi):
Arbeiternehmer, die beschwerliche Arbeiten mindestens 6 Jahre in den letzten 7 Jahren des Erwerbslebens oder 7 Jahre in den letzten 10 Jahren ausgeführt haben, können zudem Anspruch auf eine Vorruhestandsbeihilfe (A. PE Sociale - Anticipo Pensionistico) haben, sofern die Voraussetzungen erfüllt sind. Kategorien beschwerlicher Arbeiten sind im Stabilitätsgesetz für 2017 aufgeführt (Anhänge C und E) und wurden im Jahr 2018 (Anhang B des „Haushaltsgesetzes“ des Jahres 2018) erweitert, eingeschlossen sind z.B. Seefahrer, Beschäftigte in der Stahlindustrie, Fischer und Beschäftigte in der Landwirtschaftsindustrie) sowie im Jahr 2022 (Haushaltsgesetz einschließlich 23 neue Kategorien). Zudem gelten vorteilhaftere Konditionen für Angestellte der Bauindustrie hinsichtlich des Anspruchs auf die Vorruhestandsbeihilfe (A. PE Sociale - Anticipo Pensionistico): 63 Jahre und 5 Monate und 32 Beitragsjahre (anstelle der gesetzlich festgelegten 36 Jahre).</t>
  </si>
  <si>
    <t>Für Beitragszeiten, die vor dem 31. Dezember 2011 von vor dem 1. Januar 1996 versicherten Personen geleistet wurden, gilt folgendes einkommensbezogenes Berechnungssystem:
   * Einkommen bis zur Bemessungsgrenze von €55.008,07: 2% x n x E;
   * Einkommensteil zwischen €55.008,07 und €73.160,73 (Bemessungsgrenze x 1,33): 1,6% x n x E;
   * Einkommensteil zwischen €73.160,73 und €91.313,38 (Bemessungsgrenze x 1,66): 1,35% x n x E;
   * Einkommensteil zwischen €91.313,38 und €104,515,33 (Bemessungsgrenze x 1,90): 1,1% x n x E;
   * Einkommen über €104.515,33: 0,9% x n x E.
n = Anzahl der Versicherungsjahre (max. 40).
E = Bezugslohn (siehe unten „3. Referenzeinkommen und Berechnungsgrundlage“).
Für Beitragszeiten, die seit dem 1. Januar 2012 geleistet wurden, werden die relevanten Rentenbeträge entsprechend des beitragsbezogenen Berechnungssystems ermittelt: Der Beitrag wird jährlich entsprechend der durchschnittlichen Steigerung des BIP während der letzten fünf Jahre angepasst. Der Rentenbetrag ergibt sich aus der Multiplikation der Gesamtbeiträge (montante contributivo) mit einem Transformationskoeffizienten (d.h. ein versicherungsmathematischer Koeffizient der je nach Alter variiert und schrittweise entsprechend der Lebenserwartung angehoben wird).
Die Renten werden in 13 monatlichen Teilbeträgen ausgezahlt, wobei der 13. dem Weihnachtsgeld entspricht. Das Sommergeld, das sogenannte „Quattordicesima“ (14. Rentenbetrag), ist eine einkommensunterstützende Maßnahme, die auf dem Einkommen und der Anzahl der geleisteten Beiträge basiert (siehe Kategorie „Leistungen, 7. Besondere Zulagen“).</t>
  </si>
  <si>
    <t>Bezugslohn:
   * Für Personen mit 15 Beschäftigungsjahren vor dem 31. Dezember 1992: Durchschnittseinkommen (mit Obergrenze) der letzten 5 Jahre;
   * Für Personen mit weniger als 15 Beschäftigungsjahren vor dem 31. Dezember 1992: Durchschnittseinkommen (mit Obergrenze) während eines variablen Zeitraums zwischen den letzten 5 und 10 Jahren;
   * Bei erstmaliger Beschäftigung ab dem 1. Januar 1996 erfolgt die Berechnung auf der Grundlage der Beiträge des gesamten Arbeitslebens.
Die oben aufgelisteten Bedingungen des Bezugslohns gelten nur für die Berechnung der anteiligen Rente basierend auf den Beiträgen, die von der vor dem 1. Januar 1996 versicherten Person bis zum 31. Dezember 2011 geleistet wurden.
Die Obergrenzen des Jahreseinkommens für das einkommensbezogene Berechnungssystem belaufen sich im Jahr 2025 auf: von €55.448 bis €105.351,45 (siehe unter Kategorie „Berechnungsmethode, Rentenformel oder Beträge“) für vor dem 1. Januar 1996 Versicherte; €120.607 für erstmals ab dem 1. Januar 1996 Versicherte.
Die Anpassung erfolgt entsprechend dem Verbraucherpreisindex.</t>
  </si>
  <si>
    <t>Möglichkeit zum Rückkauf der folgenden Versicherungszeiten sowohl im Hinblick auf den Rentenanspruch als auch die Berechnung der entsprechenden Beträge:
   * die rechtlich vorgesehene Dauer des Universitätsstudiums;
   * Zeiten der Arbeit im Ausland in Ländern, die kein Sozialversicherungsabkommen mit Italien unterzeichnet haben;
   * Zeiten des freiwilligen Mutterschaftsurlaubs, der nicht im Arbeitsvertrag geregelt ist;
   * Arbeitnehmer mit koordinierter und fortgesetzter Tätigkeit („Quasi-Mitarbeiter“), die unter dem gesonderten Rentensystem (Gestione Separata) versichert sind, mit Tätigkeit vor dem 1. April 1996.</t>
  </si>
  <si>
    <t xml:space="preserve">Zuschläge:
Bezieher des sozialen Zuschusses (maggiorazione sociale) erhalten einen Zuschuss:
   * ab dem Alter von 70 Jahren und in Abhängigkeit von der Anzahl der angesparten Beiträge ist eine Reduktion dieser Altersgrenze (bis auf 65 Jahre) möglich;
   * im Falle der Invalidität liegt sie bei 60 Jahren.
Das persönliche Jahreseinkommen kann höchstens €9.721,92 (€16.724,89 für Familieneinkommen) betragen. Die soziale Aufstockung auf die Sozialhilfe beträgt €209,15 im Monat (13 Monatssätze pro Jahr).
Einmalige, im Juli an Rentner im Alter von über 64 Jahren gezahlte Zusatzrente (sog. „quattordicesima") die als einkommensabhängiger „Sommerzuschlag" gewährt wird, dessen Betrag nach den Jahren der angesammelten Beiträgen und Einkommen unterschiedlich sein kann (siehe auch unter der Kategorie „Leistungen 2. Berechnungsmethode bzw. Rentenformel oder Beträge“).
Wenn das persönliche Jahreseinkommen eines Rentners den Betrag von €11.766,30 nicht überschreitet (entspricht dem 1,5-fachen der Mindesteinkommenszuschlags für 2025), beträgt der monatliche Zuschlag:
   * bis zu 15 Beitragsjahre: €437
   * zwischen 15 und 25: €546
   * bis zu 25 Jahre: €655
Wenn das persönliche Jahreseinkommen des Rentners zwischen €11.766,30 und €15.688,40 beträgt (entspricht jeweils dem 1,5 und 2-fachen der Mindesteinkommenszuschlags für 2025), beträgt der monatliche Zuschlag:
   * bis zu 15 Beitragsjahre: €336
   * zwischen 15 und 25 Jahre: €420
   * bis zu 25 Jahren: €504.
</t>
  </si>
  <si>
    <t>Im Allgemeinen gelten die gleichen Bedingungen wie für Arbeitnehmer bei Bedingungen bezüglich Rentenalter und Versicherungszeiten sowohl mit Hinsicht auf Alter als auch auf vorzeitige Rente.
Altersrente (Pensione di vecchiaia):
Mindestversicherungszeit von 20 Beitragsjahren.
Personen, die ab dem 1 Januar 1996 versichert waren, können im Alter von 71 Jahren + 3 Monaten in Rente gehen. Diese Altersbedingung kann auf 67 Jahre vorgezogen werden (derzeitiges gesetzliches Rentenalter), wenn daneben 20 Versicherungsjahre geleistet wurden und die Höhe ihrer Rente dem Betrag der Sozialhilfeleistung entspricht, d.h. €538,69 im Jahr 2025. Eine Mindestversicherungszeit von 5 Beitragsjahren (keine angenommenen Beiträge) gilt für Personen, die im Alter von 71 Jahren + 3 Monaten in Rente gehen.
Das normale Rentenalter ist wie folgt:
   * Männliche Selbstständige, einschließlich jene, die im gesonderten Rentensystem (Gestione separata) versichert sind: 67 Jahre;
   * Weibliche Selbstständige, einschließlich jene, die im gesonderten Rentensystem (Gestione separata) versichert sind: 67 Jahre.
Die schrittweise Anhebung des Rentenalters stützt sich auf die Lebenserwartung, ist jedoch bis Dezember 2026.
Flexibilität in den Anspruchsvoraussetzungen für das Rentenalter anstelle einer Stundung der Rente ist nun durch Anreize (bessere Transformationskoeffizienten für die Berechnung des Rentenbetrags) möglich bis zum Alter von 71 Jahren mit dem Ziel, das Arbeitsleben zu verlängern.
Vorgezogene Rente (Pensione anticipata):
Seit Januar 2012 wurde die frühere Rente nach Dienstalter (pensione di anzianità) von der vorgezogenen Rente ersetzt. Wenn die selbstständige Person die Beitragsbedingungen von 42 Jahren und 10 Monaten für Männer und 41 Jahre und 10 Monaten für Frauen erfüllt, kann sie die vorgezogene Rente zu jedem Alter beantragen (gilt noch im Jahr 2025).
Die stufenweise Verschärfung der Anspruchsbedingungen hinsichtlich der Beiträge für vorgezogene Renten aufgrund der erhöhten Lebenserwartung ausgesetzt bis 2025.
Günstigere Bedingungen gelten für Selbständige, die beschwerliche Tätigkeiten ausüben, d. h. 41 Beitragsjahre für Männer und Frauen.
Für den Anspruch sowohl auf Vorruhestandsrente für Frauen, die sogenannte „Opzione donna“ (ausgenommen das 18-Monats-Aufsschubssystem, das für die erste Rentenzahlung für selbstständige Frauen gilt im Vergleich zum 12-Monats-Aufschub, der für Arbeitnehmerinnen gilt) und die flexible Vorruhestandsrente (Pensione anticipata flessibile „Quota 103“) gelten die gleichen Bedingungen wie für Arbeitnehmer (62 Jahre + 41 Jahre Jahresbeiträge, wovon 35 sich auf effektive Arbeitstätigkeit und folglich nicht auf angenommene  Beitragszeiten, z.B. in Bezug auf Krankheit oder Arbeitslosigkeit beziehen). Das ist eine experimentelle Maßnahme, die im Jahr 2025 fortgeführt wird. Eine Aufschubregelung von drei Monaten trifft auf den Anfang der Rentenzahlung zu. Kumulierung mit Arbeitsentgelt ist nicht vorgesehen bis Empfänger, die unter der Regelung „Quota 103“ in Ruhestand gegangen sind, Anspruch auf die gesetzliche Altersrente haben, außer der jährlichen Bruttohöchstgrenze von €5.000 für Einkommen aus gelegentlicher Selbstständigkeit.
Beide Systeme ermöglichen eine Berechnung der Vorruhestandsrente entsprechend dem beitragsbezogenen System (Defined Contribution System).
Für den Anspruch auf die Vorruhestandsbeihilfe (APE sociale - Anticipo Pensionistico) gelten die gleichen Bedingungen wie für Arbeitnehmer für die Überbrückung zur gesetzlichen Altersrente mit Gewährung eines Höchstbetrags von €1.500 brutto monatlich, 12 Mal jährlich.
Nach einer Mitgliedschaft von 20 Jahren beläuft sich die Altersrente auf 2% der Anzahl der Beitragsjahre (höchstens 40), multipliziert mit dem pensionsfähigen Referenzeinkommen. Für Selbständige, die am 31. Dezember 1992 mindestens 15 Jahre Betriebszugehörigkeit vorweisen konnten, ist das Referenzeinkommen der Durchschnitt der Einkünfte aus Erwerbstätigkeit (mit einer Obergrenze) der vorangegangenen 10 Jahre. Für diejenigen, die am 31. Dezember 1992 weniger als 15 Jahre zugehörig waren, entspricht das Referenzeinkommen dem Durchschnitt des Erwerbseinkommens (mit einer Obergrenze) über einen variablen Zeitraum zwischen den vorangegangenen 10 Jahren und ihrem gesamten Arbeitsleben. Das Referenzeinkommen wird als konventionelles Einkommen auf der Grundlage von 4 Werten ermittelt und entsprechend dem Verbraucherpreisindex angepasst, der für jedes Jahr der selbständigen Tätigkeit um 1% erhöht wird.
Für jedes Beitragsjahr wird ein Beitrag von 20% des Jahreseinkommens zum Versicherungsnachweis für Selbständige hinzugefügt. Die jährliche Beitragshöhe wird am Ende des Jahres entsprechend der fünfjährigen Veränderung des BIP neu bewertet.</t>
  </si>
  <si>
    <t>Folgende Bedingungen muss der hinterbliebene Ehepartner erfüllen:
   * verheiratet oder Lebenspartner in eingetragener Lebensgemeinschaft sein und
   * Höhe des eigenen Einkommens.</t>
  </si>
  <si>
    <t>Halbwaisen:
Zusammen mit der Rente des hinterbliebenen Ehepartners entspricht die Leistung für Kinder:
   * 20% der Invaliden- oder Altersrente der versicherten Person pro Kind oder
   * 40% geteilt durch die Zahl der Kinder ab 3 Kindern.
Anspruch auf Kindergeld besteht nur, wenn der überlebende Ehepartner erwerbstätig ist.
Wenn der hinterbliebene Ehegatte Hinterbliebenenleistung bezieht, entspricht die Leistung für Kinder:
   * 40% für jedes Kind oder
   * 100% geteilt durch die Zahl der Kinder ab 3 Kindern.
Vollwaisen:
Die Leistung entspricht:
   * 40% je Kind oder
   * ab 3 Kindern: 100% geteilt durch die Zahl der Kinder.
Der Leistungsbetrag steigt auf 70% der Invaliden- oder Altersrente der versicherten Person, wenn das Kind der einzige Empfänger ist.
Die Leistung unterliegt einer Bedürftigkeitsprüfung (beitragsabhängige Leistung).
Die Leistungen werden monatlich gezahlt.
Zusätzliche Einmalzahlungen für Gas- oder Stromkosten gibt es nur für einkommensschwache Haushalte.</t>
  </si>
  <si>
    <t>Wenn die versicherte Person noch keinen Rentenanspruch geltend machen kann und mindestens 1 Jahr in den vergangenen 5 Jahren Beiträge geleistet hat: einmalige Beihilfe (Indennità „una tantum“) in Höhe des 45-fachen der gesamten gezahlten Beiträge:
   * Minimum: €22,31,
   * Maximum: €66,93.
Erstmals ab 1. Januar 1996 Versicherte:
€538,69 (entspricht dem monatlichen Betrag der Sozialhilfeleistung (assegno sociale)) mal der Beitragsjahre des Verstorbenen.
Prioritätenfolge: Ehegatte oder Lebenspartner, Kinder, Verwandte in aufsteigender Linie.</t>
  </si>
  <si>
    <t>Der Bezug von Leistungen für Hinterbliebene kann mit dem Bruttoarbeitsentgelt des Hinterbliebenen kumuliert werden. In solchen Fällen, in denen die Leistungen des Hinterbliebenen mit einem jährlichen Arbeitsentgelt kumuliert werden, das sich beläuft auf:
   * bis zu €23.532,60 (entspricht dem 3-fachen des Mindesteinkommens im Jahr 2025), keine Kürzungen;
   * bis zu €31.376,80 (entspricht dem 4-fachen des Mindesteinkommens im Jahr 2025), bis zur Höhe von 45% der Leistungen des verstorbenen Rentenempfängers;
   * bis zu €39.221 (entspricht dem 5-fachen des Mindesteinkommens im Jahr 2025), bis zur Höhe von 36% der Leistungen des verstorbenen Rentenempfängers;
   * über €39,221 bis zu 30% der Leistungen des verstorbenen Rentenempfängers.
Einkommen aus Erwerbstätigkeit bis zu einer bestimmten Bemessungsgrenze, d.h. €10.197,46 (entsprechend dem Betrag des jährlichen Mindesteinkommens + 30% im Jahr 2025), die im Fall ewerbstätiger Kinder mit Behinderung verdoppelt wird und mit der Hinterbliebenenleistung der Kinder kumuliert werden kann, bis sie aufgrund ihres Alters selbst anspruchsberechtigt darauf sind.</t>
  </si>
  <si>
    <t xml:space="preserve">
   * Säule:
Rentenversicherungsgesetz (Zakon o mirovinskom osiguranju) von 2025, Abl. Nr. 96/25.
Gesetz über die Höchstrente (Zakon o najvišoj mirovini) von 1998, Abl. Nr. 162/98, 82/01.
Gesetz über Zulagen zu Renten, die nach dem Rentenversicherungsgesetz erworben wurden (Zakon o dodatku na mirovine ostvarene prema Zakonu o mirovinskom osiguranju) von 2007, Abl. Nr. 79/07, 114/11, 115/18 und 156/23.
Gesetz über persönliche Assistenz (Zakon o osobnoj asistenciji), Abl. Nr. 71/23:
   * unabhängig von der Ursache der Behinderung; für nähere Informationen siehe Tabelle Langzeitpflege.
Gesetz über die Inklusionsbeihilfe (Zakon o inkluzivnom dodatku), Abl. Nr. 156/23:
   * unabhängig von der Ursache der Behinderung; für nähere Informationen siehe Tabelle Langzeitpflege.
Verordnung zu Beurteilungsmethoden (Uredba o metodologijama vještačenja) von 2023, Abl.Nr. 96/2023.
2. Säule:
Gesetz über obligatorische Rentenfonds (Zakon o obveznim mirovinskom fondovima) von 2014, Abl. Nr. 19/14, 93/15, 64/18, 115/18, 58/20 und 156/23.
Gesetz über freiwillige Rentenfonds (Zakon o dobrovoljnim mirovinskom fondovima) von 2014, Abl. Nr. 19/14 (in Kraft seit dem 20. Februar 2014), 29/18 115/18 und 156/23.
Gesetz über Rentenversicherungsunternehmen (Zakon o mirovinskim osiguravajućim društvima), von 2014, Abl. Nr. 22/14 (in Kraft seit dem 27. Februar 2014), 29/18 115/18 und 156/23.
Verzeichnis der Rechtsakte – siehe hier und hier.</t>
  </si>
  <si>
    <t>1. Säule:
   * Arbeitnehmer,
   * Selbstständige, selbstständige Landwirte.
2. Säule:
   * Mitglieder der 1. Säule unter 40 Jahren: Pflichtmitgliedschaft;
   * Von Januar 2002 bis Juni 2002 konnten Mitglieder der 1. Säule, die damals zwischen 40 und 50 Jahre alt waren, die obligatorische Versicherung des Systems der 2. Säule wählen.
Die Anspruchsberechtigung für Invaliditätsleistungen ist abhängig von der Versicherungszeit, nicht von Wohnort und/oder Staatsangehörigkeit. Wenn eine Person jedoch eine Behindertenrente beantragt, berücksichtigt die zuständige kroatische Einrichtung Zeiten der Versicherung oder des Wohnsitzes in einem anderen Mitgliedsstaat, wenn dies zur Anerkennung des Anspruchs auf eine Behindertenrente nötig ist.</t>
  </si>
  <si>
    <t xml:space="preserve">Versicherungszeit, die einem Drittel des Arbeitslebens entspricht.
Die volle Anzahl der Jahre zwischen dem Alter von 20 Jahren (23 bei Personen mit post-sekundärer Qualifikation und 26 Jahre bei Personen mit Universitätsabschluss) und dem Tag der Erwerbsunfähigkeit.
Personen im Alter von unter 30 bzw. 35 Jahren sind unter vorteilhafteren Bedingungen anspruchsberechtigt:
   * bis 30 Jahre: mindestens 1 Versicherungsjahr;
   * 30 bis 35 Jahre: mindestens 2 Jahre (1 Jahr bei Universitätsabschluss).
</t>
  </si>
  <si>
    <t>1. Säule:
Folgende Elemente werden berücksichtigt:
   * vorherige Bruttoeinkommen,
   * Zeitraum der Anstellung,
   * Quotient, der von der kroatischen Rentenversicherungsanstalt (Hrvatski zavod za mirovinsko osiguranje) aufgrund der statistischen Information bestimmt wird (der jährliche Wert des Durchschnittsbruttolohns),
   * Grad der Invalidität und Art der Invalidität: vollständig (potpuna), teilweise (djelomična) und vorübergehend (privremena).
Die Methode der Berechnung ist wie folgt:
   * Persönliche Entgeltpunkte x Rentenfaktor x aktueller Rentenwert;
   * Persönliche Entgeltpunkte: durchschnittliche Wertpunkte x gesamte Versicherungszeit (ist der Verlust von Arbeitsfähigkeit bedingt durch einen Arbeitsunfall oder eine Berufskrankheit, verwendet die Berechnung mindestens 40 Jahre als Versicherungszeit; besteht kein Zusammenhang zu einem Arbeitsunfall oder einer Berufskrankheit, werden mindestens 21 Jahre verwendet);
   * Wertpunkte: das entsprechende Brutto- oder Nettoeinkommen der Person in jedem Kalenderjahr, dividiert durch das durchschnittliche nationale Brutto- oder Netto-Jahreseinkommen aller Arbeitnehmer in demselben Jahr;
   * Durchschnittliche Wertpunkte: Gesamtzahl der Wertpunkte, dividiert durch den jeweiligen Zeitraum, für den die Wertpunkte angerechnet werden (Erwerbsdauer nach 1970, die kürzer als die gesamte Versicherungszeit sein kann);
   * Rentenfaktor: 1, 0,8, 0,6667 und 0,5 abhängig von der Art der Invalidität, der Ursache der Invalidität und davon, ob der Leistungsempfänger erwerbstätig, selbstständig oder arbeitslos ist;
   * Tatsächlicher Wert der Rente: der Betrag eines persönlichen Punkts wird zwei Mal jährlich durch den Vorstand des kroatischen Rentenversicherungsinstituts (Hrvatski zavod za mirovinsko osiguranje) bestimmt.
Renten werden monatlich ausgezahlt.
Der Empfänger einer Rente, die entsprechend den allgemeinen Regeln oder Sonderreglungen angesammelt wurde, hat Anspruch auf die Zahlung einer jährlichen Rentenzulage für jedes Kalenderjahr, in der die Rente gezahlt wurde.
2. Säule:
Die Rente basiert auf den Ersparnissen der Person und den versicherungsmathematischen Berechnungen mit Zahlungsbedingungen, die in einem Vertrag zwischen der Rentenversicherungsgesellschaft und dem Begünstigten vereinbart wurden.
Die zweite Säule finanziert hauptsächlich Altersrenten, kann aber auch Invaliditätsrenten abdecken. Wenn jemand Anspruch auf eine Invaliditätsrente hat, werden Gelder aus der zweiten Säule in die erste Säule überwiesen. Übersteigt die Summe aus beiden Säulen jedoch die Rente der ersten Säule allein, erhält der Begünstigte die Rente aus beiden Säulen.</t>
  </si>
  <si>
    <t xml:space="preserve">Medizinische Rehabilitation erfolgt über die Krankenversicherung, Berufsumschulung über die Arbeitslosenversicherung, während die Rentenversicherung für berufliche Rehabilitation zuständig ist. Das Zentrum für berufliche Rehabilitation führt diese Dienstleistungen für anspruchsberechtigte versicherte Personen aus, und organisiert und leitet Programme, die dem Standard des Rentenversicherungsgesetzes entsprechen, darin enthalten 12 verschiedene berufliche Rehabilitationsdienste.
Menschen mit Behinderung haben gemäß einer besonderen Verordnung Anrecht auf berufliche Rehabilitation, wenn sie die Bedingungen für die Eintragung in das Register von Menschen mit Behinderungen erfüllen. Über den Anspruch auf berufliche Rehabilitation entscheidet die Bezirksdirektion des kroatischen Rentenversicherungsinstituts, und für das Ziel einer beruflichen Rehabilitation des Rentenversicherungssystems muss eine Person ihre Arbeitsfähigkeit nachweisen.
Für Arbeitslose mit Behinderung entscheidet das kroatische Arbeitsamt, bei dem sie gemeldet sind, über ihren Anspruch auf berufliche Rehabilitation beim zuständigen beruflichen Rehabilitationszentrum aufgrund dem Grad ihrer Arbeitsfähigkeit, Wissen, Fähigkeiten und beruflichen Interessen.
Berufliche Rehabilitation beinhaltet:
   * Umschulungskurse für berufliche Umorientierung oder
   * Schulungen zum Erwerb von Zusatzqualifikationen angesichts der noch verbleibenden Arbeitsfähigkeit.
Lohnausgleich wird gezahlt an:
   * Personen mit Einschränkungen wegen Verletzungen, die sie außerhalb der Arbeit erlitten oder Krankheit, haben Anspruch auf Lohnausgleich durch berufliche Rehabilitation für eine Höchstdauer von 12 Monaten ab dem Datum des Abschlusses der beruflichen Rehabilitation;
   * Personen mit Einschränkungen aufgrund von Arbeitsunfällen oder Berufskrankheiten haben Anspruch auf Lohnausgleich durch berufliche Rehabilitation für eine Höchstdauer von 24 Monaten ab dem Datum des Abschlusses der beruflichen Rehabilitation.
</t>
  </si>
  <si>
    <t>Das Institut für medizinische Bewertungen, berufliche Rehabilitation und die Beschäftigung behinderter Menschen (Fond za profesionalnu rehabilitaciju i zapošljavanje osoba s invaliditetom) ist eine öffentliche Einrichtung, die für die Entwicklung und Verbesserung der beruflichen Rehabilitation und der Beschäftigung von Menschen mit Behinderungen zuständig ist. Ferner ist es für die Finanzierung und Kofinanzierung von Programmen und Projekten für Anreize und den Erhalt des Beschäftigungsniveaus und andere Aktivitäten, wie durch das Gesetz über die berufliche Wiedereingliederung und Beschäftigung von Personen mit Behinderungen von 2013 festgelegt, zuständig.
Arbeitgeber, die Menschen mit Behinderung im offenen Arbeitsmarkt beschäftigen, Selbstständige oder Personen, die in Behindertenwerkstätten oder integrativen Werkstätten arbeiten, können Anreize vom Institut erhalten.
Eine Behindertenwerkstatt ist eine Einrichtung oder ein Unternehmen, in dem mindestens 51% der Arbeitnehmer Menschen mit Behinderung sind, wobei 20% von ihnen ausschließlich an geschützten Arbeitsplätzen beschäftigt sind.
Bei einer integrativen Werkstatt handelt es sich um eine Einrichtung oder ein Unternehmen, in dem mindestens 40% der Arbeitnehmer Menschen mit Behinderung sind.
Das Kroatische Institut für Gesundheitsschutz (Hrvatski zavod za javno zdravstvo) führt das Behindertenregister.
Das Ministerium für Arbeit, Rentenversicherung, Familie und Sozialpolitik (Ministarstvo rada,i mirovinskoga sustava, obitelji I socijalne politike) ist für die allgemeine Aufsicht über die Systeme ebenso wie für die allgemeine Arbeitslosenunterstützung zuständig.
Ansprüche:
   * das Recht auf berufliche Rehabilitation und
   * das Recht auf Beschäftigung und Arbeit nach allgemeinen und besonderen Bedingungen.
Finanzierung:
Beitrag des Versicherten: keine.
Beschäftigungsanreize beinhalten folgende Maßnahmen:
   * Lohnkostenzuschüsse,
   * Mitfinanzierung einiger Kosten (z.B. Ausbildung, Anpassung des Arbeitsplatzes und der Arbeitsbedingungen, professionelle Unterstützung, Transport zum Arbeitsplatz oder Ausübung von Aktivitäten),
   * Entschädigung für geleistete Beiträge (obligatorische Krankenversicherung),
   * Besondere Instrumente für die Entwicklung neuer Technologien und Geschäftsprozesse für das Einstellen von Personen mit Behinderung und das Aufrechterhalten ihrer Arbeitsstellen,
   * Unterstützung für selbstständige Personen mit Behinderung.
Quoten:
Alle Arbeitgeber mit mehr als 20 oder mehr Mitarbeitern müssen mindestens 3% Personen mit Behinderung einstellen.</t>
  </si>
  <si>
    <t xml:space="preserve">1. Säule:
   * Arbeitnehmer,
   * Selbstständige.
2. Säule:
   * Mitglieder der 1. Säule unter 40 Jahren: Pflichtmitgliedschaft;
   * Von Januar 2002 bis Juni 2002 konnten Mitglieder der 1. Säule, die damals zwischen 40 und 50 Jahre alt waren, die obligatorische Versicherung des Systems der 2. Säule wählen;
   * Versicherte Personen, die seit dem 1. Januar 1962 geboren sind und die in Rentensäulen 1 und 2 pflichtversichert sind sowie Personen, die freiwillig der 2. Säule beigetreten sind, sind berechtigt, sich ihr Rentensystem auzusuchen (Säule 1 oder 2).
</t>
  </si>
  <si>
    <t>Das Renteneintrittsalter liegt derzeit bei:
   * Männer: 65 Jahre;
   * Frauen: 63 Jahre und 9 Monate im Jahr 2025;
   * Langzeitversicherte mit 41 Versicherungsjahren oder mehr: 60 Jahre.
Das Renteneintrittsalter für Frauen wird in der Übergangszeit von 2020 bis 2029 schrittweise um 3 Monate pro Kalenderjahr angehoben, um 2030 65 Jahre zu erreichen.
Das Renteneintrittsalter ist mit Veränderungen der Lebenserwartung verknüoft.</t>
  </si>
  <si>
    <t xml:space="preserve">Das Gesetz über zu berücksichtigende Versicherungszeiten mit erhöhter Dauer definiert beschwerliche und gefährliche Arbeiten als Tätigkeiten, die an „Arbeitsplätzen ausgeübt werden, an denen negative Auswirkungen auf die Gesundheit und die Arbeitsfähigkeit der Arbeitnehmer auftreten, obwohl allgemeine und spezielle Gesundheits- und Sicherheitsmaßnahmen getroffen wurden“.
Zugang zu Altersruhegeld in einem jüngeren Alter (eine Art risikospezifische vorzeitige Rente) entsprechend der in solchen Arbeitsstellen verbrachten Jahre und dem Grad der Dienststeigerung (wie zugerechnete Dienstzusatzjahre/-monate).
Das Rentenalter für beschwerliche und gefährliche Arbeiten wird wie folgt herabgesetzt:
   * um ein Jahr pro sechs Jahre in Arbeitsstellen oder Berufen, in denen eine Versicherungszeit von 12 Monaten als 14 Monate angerechnet wird,
   * um ein Jahr pro fünf Jahre in Arbeitsstellen oder Berufen, in denen eine Versicherungszeit von 12 Monaten als 15 Monate angerechnet wird,
   * um ein Jahr pro vier Jahre in Arbeitsstellen oder Berufen, in denen eine Versicherungszeit von 12 Monaten als 16 Monate angerechnet wird,
   * um ein Jahr pro drei Jahre in Arbeitsstellen oder Berufen, in denen eine Versicherungszeit von 12 Monaten als 18 Monate angerechnet wird.
Deutlich geringere Renteneintrittsalter wurden für einige spezifische Arbeiten vorgeschrieben:
   * Schiffbesatzungsmitglieder,
   * Arbeiter, die bei der Minenräumung oder im Heimatkrieg eingesetzt waren,
   * Arbeiter, die direkt oder indirekt Asbest ausgesetzt waren,
   * Feuerwehrleute,
   * Balletttänzer und Tanztheaterdarsteller.
</t>
  </si>
  <si>
    <t xml:space="preserve">1. Säule:
   * früheres Einkommen,
   * Erwerbsbiografie,
   * von der Kroatischen Rentenversicherungsanstalt (Hrvatski zavod za mirovinsko osiguranje) festgelegter Quotient.
2. Säule:
   * individuelle Ansparung,
   * geschlechtsneutrale versicherungsmathematische Tabellen.
</t>
  </si>
  <si>
    <t>1. Säule:
Personen, die nur Anspruch auf eine Rente der 1. Säule haben: persönliche Entgeltpunkte x Rentenfaktor x aktueller Rentenwert, wobei gilt:
   * Persönliche Entgeltpunkte: durchschnittliche Wertpunkte x gesamte Versicherungszeit.
   * Wertpunkte: das entsprechende Brutto- oder Nettoeinkommen der Person in jedem Kalenderjahr, dividiert durch das durchschnittliche nationale Brutto- oder Netto-Jahreseinkommen (gemäß der in den Jahren geltenden Verordnung, auf denen basierend die Rente berechnet wird) aller Arbeitnehmer in demselben Jahr.
   * Durchschnittliche Wertpunkte: Gesamtzahl der Wertpunkte, dividiert durch den jeweiligen Zeitraum, für den die Wertpunkte angerechnet werden (Erwerbsdauer nach 1970, die kürzer als die gesamte Versicherungszeit sein kann).
Rentenfaktor: 1.
Tatsächlicher Wert der Rente: der Betrag eines persönlichen Punkts bestimmt wird zwei Mal jährlich durch den Vorstand des kroatischen Rentenversicherungsinstituts (Hrvatski zavod za mirovinsko osiguranje) bestimmt.
Personen mit Rentenansprüchen aus der 1. Wie der 2. Säule erhalten die Rente der 1. Säule für die Versicherungszeit, die vor der Einführung der 2. Säule zurückgelegt wurde. Für die Versicherungszeit, die nach der Einführung der 2. Säule zurückgelegt wurde, erhalten sie die Grundrente (osnovna mirovina) der 1. Säule, welche von dem Grundrentenfaktor abhängig ist. Der Grundrentenfaktor beträgt momentan 0,75 und gibt den Anteil des Beitragssatzes für die Beiträge der 1. Säule für in beiden Säulen versicherte Personen (15%), in dem Gesamtbeitragssatz für die 1. Säule für Versicherte, die ausschließlich in der 1. Säule versichert sind (20%), wieder.
Die Rentenzulage (27%) für Personen, denen nur eine Rente aus der 1. Säule gewährt wird, wird in den Rentenbetrag integriert2. Säule:
Die Rente beruht auf den persönlichen Ersparnissen mit den versicherungsmathematischen Berechnungen mit Zahlungsbedingungen, die zwischen dem Rentenversicherungsunternehmen und dem Anspruchsberechtigten in Vertragsform vereinbart wurden.
Zahlungen auf monatlicher Basis.
Rentenempfänger haben Anspruch auf eine jährliche Rentenzulage für jedes Jahr, in dem ihre Rente gezahlt wird. Der Betrag der Zulage entspricht der Anzahl von Versicherungsjahren multipliziert mit einem von der Regierung festgelegten jährlichen Wert (oder 15 Jahren, wenn die Rente nicht auf Versicherungszeiten beruht).</t>
  </si>
  <si>
    <t xml:space="preserve">Angerechnete anrechenbare Zeiträume nur für die Berechtigung auf eine Rente:
   * für (Adoptiv-) Mütter (oder ausnahmsweise (Adoptiv-) Väter, wenn der Urlaub hauptsächlich von ihnen genommen wird),
   * Zeiten, die Militärangehörige oder Soldaten im Krieg verbracht haben,
   * Zeiten im Krieg und Zeiten der politischen Gefangenschaft nach dem Krieg.
Angerechnete anrechenbare Zeiträume nur für die Berechnung der Rente:
   * Fiktive Zeiträume für die Berechnung einer Behinderten- oder Hinterbliebenenrente, wenn eine Person unter 60 Jahre alt ist;
   * Angerechnete Zeiträume für ein geborenes oder adoptiertes Kind für den Rentenanspruch.
Für eine Mutter oder Adoptivmutter mit Recht auf Pensionierung wird in der Gesamtversicherungszeit für den Rentenanspruch ein Zeitraum von bis zu 12 Monaten für jedes geborene oder adoptierte Kind hinzugefügt (nicht für den Rentenanspruch, sondern zur Bestimmung der Höhe der Rente).
Wenn ausnahmsweise nicht die Mutter oder Adoptivmutter, sondern der Vater oder Adoptivvater den Elternurlaub nutzt, hat er Anspruch auf das oben genannte Recht.
Angerechnete Zeiträume für die Berechtigung und Berechnung einer Rente:
   * Perioden mit Fehlzeiten bei der Arbeit aufgrund der Versorgung von Kindern:
   * Für beschäftige Eltern (Beiträge werden vom Arbeitgeber und aus dem staatlichen Budget – je 12 Monate – gezahlt),
   * Für arbeitslose Eltern im ersten Jahr nach der Geburt des Kindes (Beiträge werden aus dem staatlichen Budget gezahlt).
   * Zeiträume für die Versorgung eines hilfsbedürftigen Erwachsenen mit einem Pflegerstatus nach dem Gesetz über die soziale Wohlfahrt oder nach anderen spezifischen Gesetzen (Beiträge werden aus dem staatlichen Budget gezahlt);
   * Zeiträume, in denen Krankengeld gezahlt wird;
   * Zeiträume, in denen eine Person, die ein Anrecht auf Beihilfe hat und die Altersbedingungen für das Recht auf Altersrente erfüllt, Arbeitslosenhilfe erhält, bis die erste Bedingung über die Dienstjahre für die Pensionierung erfüllt ist, was aber nicht mehr als 5 Jahre beträgt (Beiträge werden aus dem staatlichen Budget gezahlt).
</t>
  </si>
  <si>
    <t>Abgedeckt sind die Familienmitglieder der folgenden Personen:
1. Säule:
   * Arbeitnehmer,
   * Selbstständige.
2. Säule:
   * Mitglieder der 1. Säule unter 40 Jahren: Pflichtmitgliedschaft;
   * Von Januar 2002 bis Juni 2002 konnten Mitglieder der 1. Säule, die damals zwischen 40 und 50 Jahre alt waren, die obligatorische Versicherung des Systems der 2. Säule wählen.</t>
  </si>
  <si>
    <t>1. Säule:
   * 5 Versicherungsjahre oder
   * Versicherungszeiten von 10 Jahren,
   * wenn die versicherte Person die erforderliche Versicherungszeit für einen Anspruch auf Invaliditätsrente erfüllt oder
   * wenn die versicherte Person Empfänger einer Altersrente, vorgezogenen Altersrente oder Invaliditätsrente war oder
   * wenn die versicherte Person Anspruch auf berufliche Rehabilitation hatte oder
   * wenn der Tod der versicherten Person durch Arbeitsunfall oder Berufskrankheit begründet ist, haben Familienmitglieder Anspruch auf Hinterbliebenenrente, ungeachtet der Versicherungszeiten des Rentners.
Versicherungsjahre umfassen die Zeit, in der der Versicherte tatsächlich Beiträge gezahlt hat oder Versicherungszeiten, die anrechenbar oder berücksichtigungsfähig sind, siehe Tabelle VI „Alter”, „Leistungen – Angerechnete oder als berücksichtigungsfähig behandelte Zeiten”.</t>
  </si>
  <si>
    <t>1. und 2. Säule:
An Altersgrenzen gebunden:
   * normal: 15 Jahre,
   * Arbeitslos: 18 Jahre,
   * Vollzeitstudenten: 26 Jahre,
   * Behinderte Kinder: unbeschränkt.
Heirat oder Beginn einer Erwerbstätigkeit beeinflussen den Anspruch auf Leistung.</t>
  </si>
  <si>
    <t>1. und 2. Säule:
Verwandte, die vom Verstorbenen abhängig waren und mindestens 60 Jahre alt sind. Keine Altersbedingung bei Behinderung.
Geschwister, die vom Verstorbenen abhängig waren. Die gleichen Bedingungen gelten für Kinder bis zu einem gewissen Alter:
   * normal: 15 Jahre,
   * Arbeitslos: 18 Jahre,
   * Vollzeitstudenten: 26 Jahre,
   * Behinderte Kinder: unbeschränkt.</t>
  </si>
  <si>
    <t>1. Säule:
Die Hinterbliebenenrente wird nach der Anzahl der anspruchsberechtigten Familienmitglieder (einschließlich Ehegatte) festgelegt.
Die Rente basiert auf der allgemeinen Invaliditäts- oder der Altersrente, die der Verstorbene zum Todeszeitpunkt bezogen hat oder bezogen hätte (siehe Tabellen V „Invalidität”, „Leistungen” und VI „Alter”, „Leistungen”). Die persönlichen Entgeltpunkte für die Hinterbliebenenrente werden auf Basis der Wertpunkte für eine Versicherungszeit von mindestens 21 Jahren ermittelt.
Die Größe oder Zusammensetzung des Haushalts spielt keine Rolle bei der Rentenberechnung.
Die Hinterbliebenenrente wird als Prozentsatz der Rente, auf die der Verstorbene Anspruch gehabt hätte, nach der Anzahl der anspruchsberechtigten Hinterbliebenen berechnet:
   * ein Hinterbliebener: 77%,
   * zwei Hinterbliebene: 88%,
   * drei Hinterbliebene: 100%,
   * vier oder mehr Hinterbliebene: 110%.
Die Leistungen werden erhöht, wenn der Verstorbene Anspruch auf eine aufgeschobene Rente gehabt hätte. Die Leistungen werden monatlich ausgezahlt.
2. Säule:
Berechnet nach dem Wert der auf dem Konto der jeweiligen Person angesparten Mittel und den geschlechtsneutralen versicherungsmathematischen Tabellen. Die Art der Rentenzahlung wird zwischen dem Rentenversicherungsfonds-Unternehmen und dem Anspruchsberechtigten in Vertragsform vereinbart. Die Leistungen werden monatlich ausgezahlt.
Dies richtet sich grundsätzlich auf die Finanzierung der Altersrenten. Wenn die Familie eines Beitragszahlers der 2. Säule Anspruch auf Hinterbliebenenrente hat, werden die Mittel, über die der Verstorbene auf dem Konto der 2. Säule verfügt, auf die 1. Säule übertragen, um die Hinterbliebenenrente der 1. Säule auszuzahlen. Falls die Mittel auf dem Konto der 2. Säule des Verstorbenen jedoch ausreichen, um eine höhere Leistung als über die Hinterbliebenenrente der 1. Säule auszuzahlen, wird stattdessen die Rente der 2. Säule gezahlt.
Der Empfänger einer Rente, die entsprechend den allgemeinen Regeln oder Sonderreglungen angesammelt wurde, hat Anspruch auf die Zahlung einer jährlichen Rentenzulage für jedes Kalenderjahr, in der die Rente gezahlt wurde.</t>
  </si>
  <si>
    <t>Auf Basis der allgemeinen Invaliditäts- oder der Altersrente, die der Verstorbene zum Todeszeitpunkt bezogen hat oder bezogen hätte (siehe Tabellen V „Invalidität”, „Leistungen” und VI „Alter”, „Leistungen”). Der Monatsbetrag der Leistung richtet sich nach der Anzahl der abhängigen Familienmitglieder:
   * ein Hinterbliebener: 77%,
   * zwei Hinterbliebene: 88%,
   * drei Hinterbliebene: 100%,
   * vier oder mehr Hinterbliebene: 110%.
Vollwaisen: Die Rente wird auf Basis der (potenziellen) Rente beider Elternteile berechnet, wobei eine zusätzliche Zahlung im Verhältnis zur jährlichen Rentenzulage erbracht wird.
Der Empfänger einer Rente, die entsprechend den allgemeinen Regeln oder Sonderreglungen angesammelt wurde, hat Anspruch auf die Zahlung einer jährlichen Rentenzulage für jedes Kalenderjahr, in der die Rente gezahlt wurde.
Die jährliche Zulage wendet sich an für Rentenempfänger, die eine Rente im Rahmen der allgemeinen Regelungen oder Sonderregeln erhalten und Anspruch auf eine jährliche Rentenzulage für jedes Jahr haben, für das eine Rente gezahlt wurde.</t>
  </si>
  <si>
    <t>Auf Basis der allgemeinen Invaliditäts- oder der Altersrente, die der Verstorbene zum Todeszeitpunkt bezogen hat oder bezogen hätte (siehe Tabellen V „Invalidität”, „Leistungen” und VI „Alter”, „Leistungen”). Die Höhe der Leistung richtet sich nach der Anzahl der abhängigen Familienmitglieder:
   * ein Hinterbliebener: 77%,
   * zwei Hinterbliebene: 88%,
   * drei Hinterbliebene: 100%,
   * vier oder mehr Hinterbliebene: 110%.
Für Leistungsempfänger, die eine Rente gemäß den allgemeinen Regelungen oder Sonderregeln erhalten, wurde eine jährliche Rentenzulage eingeführt. Sie wird für jedes Jahr gewährt, in dem die Rente gezahlt wurde. Der Betrag wird errechnet, indem die Beitragsjahre mit einem jährlichen Wert multipliziert werden, den die Regierung von Kroatien festlegt.</t>
  </si>
  <si>
    <t>Gemäß dem Behindertengesetz (Invaliditātes likums) ist Invalidität eine langfristige oder nicht übergangsweise (sehr schwer, schwer oder moderat) eingeschränkte Funktion, welche die geistigen oder körperlichen Fähigkeiten einer Person beeinträchtigt (d. h. Arbeitsfähigkeit, Selbstversorgung und Integration in die Gesellschaft).
Menschen mit Behinderung ab dem Alter von 18 Jahren werden in drei Kategorien aufgeteilt:
   * Kategorie I, wenn der Verlust der Arbeitsfähigkeit 80 bis 100% beträgt - sehr starke Behinderung,
   * Kategorie II, wenn der Verlust der Arbeitsfähigkeit 60 bis 79% beträgt - starke Behinderung,
   * Kategorie III, wenn der Verlust der Arbeitsfähigkeit 25 bis 59% beträgt - leichte Behinderung.
Die Aufteilung in Gruppen gilt nicht für Personen unter 18 Jahren.</t>
  </si>
  <si>
    <t>Der Anspruch auf Leistungen bei Invalidität (Invaliditātes pensija) richtet sich nach dem Grad der Arbeitsunfähigkeit.
Gemäß dem Behindertengesetz werden Personen mit Behinderungen zwischen 18 Jahren und dem Rentenalter entsprechend ihrer eingeschränkten Arbeitssfähigkeit in 3 Gruppen aufgeteilt:
   * Gruppe I, wenn der Verlust der Arbeitsfähigkeit 80 bis 100% beträgt - sehr starke Behinderung,
   * Gruppe II, wenn der Verlust der Arbeitsfähigkeit 60 bis 79% beträgt - starke Behinderung,
   * Gruppe III, wenn der Verlust der Arbeitsfähigkeit 25 bis 59% beträgt - leichte Behinderung.
Minimale Einschränkung der Arbeitsfähigkeit: 25%.</t>
  </si>
  <si>
    <t>Die Staatliche Kommission der Fachärzte für Gesundheit und Arbeitsfähigkeit (Veselības un darbspēju ekspertīzes ārstu valsts komisija) führt eine Begutachtung durch und ermittelt:
   * den Invaliditätsstatus und Zeitraum der Arbeitsunfähigkeit für Personen unter 18 Jahren;
   * den Grad der Arbeitsunfähigkeit und die Gruppe der Behinderung für Personen über 18 Jahren bis zum Rentenalter.
Das Verfahren zur Bewertung der Behinderung und die angewandten Kriterien sind im ganzen Land identisch.
Die Entscheidung der Staatlichen Kommission kann innerhalb eines Monats nach Inkrafttreten beim Direktor der Staatlichen Kommission angefochten werden. Gegen die Entscheidung des Direktors der Staatlichen Kommission kann bei einem Gericht Berufung eingelegt werden. Eine Entscheidung wird durch eine Anfechtung oder Berufung nicht außer Kraft gesetzt.</t>
  </si>
  <si>
    <t xml:space="preserve">Bezugszeitraum von Mutterschaftsgeld (Maternitātes pabalsts), Vaterschaftsgeld (Paternitātes pabalsts), Kinderbetreuung (für Kinder unter 1,5 Jahren), Erziehungsgeld für ein adoptiertes Kind und Leistung für die Erfüllung von Pflichten als Pflegefamilie.
Bis zum 1. Januar 1991 wurden die folgenden Zeiten angerechnet:
   * Militärdienst,
   * Studium an höheren Bildungseinrichtungen,
   * Erziehung von Kindern unter 8 Jahren durch die Mutter,
   * Zeiten politischer Unterdrückung etc.
</t>
  </si>
  <si>
    <t>Der Staat zahlt einen monatlichen Zuschlag auf Invaliditätsrenten von €1,62 für jedes geleistete Arbeitsjahr bis 1995 (einschließlich) für Rentner, die bis 2012 in den Ruhestand gegangen sind. Der Zuschlag beträgt €2,43 für jedes geleistete Arbeitsjahr bis 1995 (einschließlich), wenn der Person Invaliditätsrente gewährt wurde und sie das gesetzliche Rentenalter vor dem 31. Dezember 1996 erreichte.
Personen mit Behinderung haben zum Teil Anspruch auf eine Fahrkostenbeihilfe für behinderte Personen mit verminderter Gehfähigkeit (pabalsts transporta izdevumu kompensēšanai personām ar invaliditāti kurām ir apgrūtināta pārvietošanās): €105 alle 6 Monate. Diese Beihilfe wird an Personen mit Behinderungen oder an Personen mit unterhaltsberechtigten Kindern mit Behinderungen gezahlt, bei Vorlage einer ärztlichen Bescheinigung, die die Notwendigkeit zur Anschaffung eines speziell angepassten Fahrzeuges und den Erhalt einer Beihilfe zum Ausgleich der Transportkosten bestätigt.
Eine besondere Unterstützung wird an jene Personen gezahlt, die von dem Unfall im Tschernobyl-Atomkraftwerk betroffen waren, und an Familienmitglieder von Personen, die an den Folgen der Katastrophe gestorben sind: €166 im Monat.
Hat eine Person mit Behinderung keinen Anspruch auf Invalidenrente, kann die Staatliche Grundleistung der sozialen Sicherheit (Valsts sociālā nodrošinājuma pabalsts) gewährt werden.
   * Gruppe I: €232,40 im Monat. (€302,12 im Monat für Personen ohne Arbeit),
   * Gruppe II: €199,20 im Monat (€239,04 im Monat für Personen ohne Arbeit),
   * Gruppe III: €166 im Monat.
Für Personen mit Behinderung seit Kindesalter:
   * Gruppe I: €264,60 im Monat (€343,98 im Monat für Personen ohne Arbeit),
   * Gruppe II: €226,80 im Monat (€272,16 im Monat für Personen ohne Arbeit),
   * Gruppe III: €189 im Monat.
Die Pflegebeihilfe für Personen mit Behinderungen (Pabalsts invalīdam, kuram nepieciešama īpaša kopšana) in Höhe von €213,43 monatlich wird an Personen mit Behinderungen über 18 Jahren gewährt, bei denen die Staatliche Kommission der Fachärzte für Gesundheit und Arbeitsfähigkeit (Veselības un darbspēju ekspertīzes ārstu valsts komisija) die medizinische Indikation für besondere Pflege festgestellt hat. Der Betrag für Personen mit schwerer Behinderung seit der Kindheit ist €413,43 im Monat.
Leistung für Personen mit Sehbehinderung der Gruppe I für die Inanspruchnahme von Begleitpersonen (Pabalsts par asistenta izmantošanu personām ar I grupas redzes invaliditāti): €17,07 wöchentlich (10 Stunden pro Woche).
Bestattungsbeihilfe (Apbedīšanas pabalsts): Beim Tod eines Rentenempfängers oder Empfänger der Staatlichen Grundleistung der sozialen Sicherheit erhält die Person, die die Beerdigung organisiert, eine Pauschale in doppelter Höhe der monatlichen Rente und des Zuschlags (wenn so bestimmt) oder der Staatlichen Grundleistung der sozialen Sicherheit des Verstorbenen.
Leistung für den hinterbliebenen Ehegatten (Pabalsts pārdzīvojušam laulātajam): Bei dem Tod eines Rentners hat der hinterbliebene Ehegatte, der ebenfalls Rentner ist, Anspruch auf eine Vergütung von 50% der monatlichen Rente und des Zuschlags (wenn so bestimmt) des verstorbenen Ehegatten, die für 12 Monate gezahlt wird.</t>
  </si>
  <si>
    <t xml:space="preserve">Kumulierung mit anderen staatlichen langfristigen Leistungen (Alters-, Hinterbliebenen-, Dienstrenten, Entschädigung für den Verlust von Arbeitsfähigkeit) ist nicht möglich. Leistungsberechtigte, die Anspruch auf mehr als eine staatliche langfristige Leistung (Invaliden-, Alters-, Hinterbliebenenrente oder Entschädigung für den Verlust von Arbeitsfähigkeit) haben, erhalten die jeweils höchste dieser Renten.
Kumulierung möglich mit:
   * Kindergeld,
   * Arbeitslosengeld (Bezdarbnieka pabalsts),
   * Mutterschafts- und Vaterschaftsgeld (Maternitātes un Paternitātes pabalsts),
   * Elternschaftsgeld (Vecāku pabalsts),
   * Kinderbetreuungsgeld,
   * Pflegebeihilfe für Personen mit Behinderungen, Betreuungsgeld für behinderte Kinder, Fahrkostenbeihilfe für behinderte Personen mit verminderter Gehfähigkeit.
</t>
  </si>
  <si>
    <t>Steuerfreibetrag für Leistungen, die nach dem 01.01.1996 gewährt oder neu berechnet wurden:
Steuerfreigrenze: €12.000 jährlich seit 01.01.2025.
Zusätzlicher Steuerfreibetrag für Menschen mit Behinderung:
   * Gruppen I &amp; II: €1.848 jährlich,
   * Gruppe III: €1.440 jährlich.
Zusätzlicher Steuerfreibetrag angewendet für Personen mit dem Status von politisch Unterdrückten oder Mitgliedern einer nationalen Widerstandsbewegung (€1.848 jährlich) oder für eine unterhaltsberechtigte Person (€3.000 jährlich).</t>
  </si>
  <si>
    <t>Obligatorische Sozialversicherungssysteme:
   * 1. Säule: Auf dem Umlageverfahren beruhendes System mit einkommensbezogenen Renten, die von Beiträgen und der Versicherungsdauer abhängen (auf der Basis fiktiver Beiträge).
   * 2. Säule: System, das auf dem Kapitaldeckungsverfahren beruht, mit Renten entsprechend den angesammelten Beiträgen und ausgewählten Rentenfonds (auf der Basis von Festbeiträgen).
Die obligatorischen Systeme werden ergänzt durch ein privates freiwilliges Rentensystem, welches der 3. Säule entspricht. Es wird nicht in den MISSOC-Tabellen dargestellt.
Es gibt kein besonderes Sozialhilfesystem für alte Menschen. Es gilt das allgemeine Mindestsicherungssystem (siehe Tabelle XI). Zusätzlich kann, wer keinen Anspruch auf Altersrente (Vecuma pensija)  hat, unter bestimmten Umständen die Staatliche Grundleistung der sozialen Sicherheit (Valsts sociālā nodrošinājuma pabalsts) erhalten.</t>
  </si>
  <si>
    <t>1. Säule:
Ein vorzeitiger Rentenbezug bis zu zwei Jahre vor dem normalen Rentenalter, d.h. im Jahr 2025 im Alter von 63 Jahren, ist möglich, wenn mindestens 30 Versicherungsjahre (Männer und Frauen) erfüllt sind.
Folgende Personengruppen haben Anspruch auf einen vorzeitigen Rentenbezug bis zu fünf Jahre vor dem normalen Rentenalter, d.h. 2025 im Alter von 60 Jahren:
   * Politisch unterdrückte Personen mit einer Versicherungsdauer von mindestens 30 Jahren;
   * Personen mit einer Versicherungsdauer von mindestens 25 Jahren, wenn sie für die Erziehung von fünf oder mehr Kindern oder einem Kind mit Behinderung, während eines Zeitraums von mindestens 8 Jahren, bis das Kind das Alter von 18 Jahren erreicht hat, zuständig waren und wenn ihnen das Recht auf Pflege oder das Sorgerecht nicht genommen wurde.
Folgende Personengruppen können Anspruch auf Rentenbezug vor dem Erreichen des Regelrentenalters erheben:
   * Personen, die bis 1996 unter besonders gefährlichen und schwierigen Bedingungen oder unter gefährlichen und harten Bedingungen gearbeitet haben (siehe nähere Informationen in Tabelle VI „Bedingungen, Beschwerliche und gefährliche Arbeiten“);
   * Personen mit Kleinwuchs und Blinde Personen können im Alter von 55 Jahren und 6 Monaten (Frauen mit einer Versicherungsdauer von mindestens 15 Jahren) und 60 Jahren und 6 Monaten (Männer mit einer Versicherungsdauer von mindestens 20 Jahren) in den Ruhestand gehen;
   * Personen, die Teil des Tschernobyl NPS Reinigungsteams waren, mit einer Versicherungsdauer von mindestens 20 Jahren können im Alter von 60 Jahren Rente beziehen.
2. Säule:
Teilnehmer des kapitalgedeckten Rentensystems nutzen das angesparte Rentenkapital, wenn ihnen eine vorgezogene Altersrente aus der 1. Säule gewährt wird.</t>
  </si>
  <si>
    <t>Beschwerliche und gefährliche Arbeiten wurden im Jahr 1956 unter der regierung der UdSSR definiert.
Es gibt zwei Listen von Arbeitsplätzen (Liste Nr. 1 und Liste Nr. 2), die je nach dem Grad der Gefährlichkeit und Beschwerlichkeit variieren und aus denen einen Anspruch auf Ruhestand einige Jahre vor dem normalen Rentenalter entsteht, vorausgesetzt, diese Arbeit wurde vor 1996 durchgeführt:
   * Personen, die bis 1996 unter besonders gefährlichen und schweren Bedingungen gearbeitet haben Liste Nr. 1), können im Alter von 60 Jahren und 6 Monaten in Rente gehen (Frauen mit einer Versicherungszeit von mindestens 15 Jahren sowie 3 Jahren und 9 Monaten der Versicherung unter den betreffenden Bedingungen) und 63 Jahren (Männer mit einer Versicherungszeit von mindestens 20 Jahren sowie 5 Jahren der Versicherung unter den betreffenden Bedingungen);
   * Personen, die bis 1996 unter gefährlichen und schweren Bedingungen (Liste Nr. 2) gearbeitet haben, können im Alter von 63 Jahren in Rente gehen (Frauen mit einer Versicherungszeit von mindestens 20 Jahren sowie 5 Versicherungsjahren unter den betreffenden Bedingungen und Männer mit einer Versicherungszeit von mindestens 25 Jahren sowie 6 Jahren und 6 Monaten der Versicherung unter den betreffenden Bedingungen).</t>
  </si>
  <si>
    <t xml:space="preserve">1. Säule:
   * Versicherungsjahre bis 1996,
   * Höhe der gezahlten Beiträge seit 1996,
   * Alter der versicherten Person.
2. Säule:
   * angesammeltes Rentenkapital,
   * von dem Versicherten gewählter Rentenfonds.
</t>
  </si>
  <si>
    <t xml:space="preserve">1. Säule:
Rentenformel (d. h. für Personen mit sozialversicherungspflichtigen Zeiten ab 1996):
P = K / G, wobei
   * P: Jahresrente;
   * K: Rentenkapital der versicherten Person;
   * G: voraussichtliche Dauer (in Jahren) der Rentenzahlung ab dem Jahr der Bewilligung (Lebenserwartung in einem bestimmten Rentenalter).
Rentenformel in der Übergangszeit (d. h. für Personen mit sozialversicherungspflichtigen Zeiten auch vor 1996):
P = Ks + K / G, wobei
   * P, K, G: siehe oben;
   * Ks: (gutgeschriebenes) Anfangskapital, berechnet nach der folgenden Formel: Ks = Vi x As x 0,2 wobei
   * As: Anzahl der Versicherungsjahre bis einschließlich 1995;
   * Vi: Durchschnittsbruttoeinkommen, auf das Beiträge gezahlt wurden (siehe Tabelle VI „Leistungen, 2. Referenzeinkommen bzw. Berechnungsgrundlage").
Monatliche Zahlung. Keine zusätzlichen Zahlungen.
2. Säule:
Zwei Möglichkeiten:
   * Das angesammelte Rentenkapital kann auf das individuelle Konto der ersten Säule übertragen werden und die Rente wird nach obiger Formel berechnet;
   * die versicherte Person kann mit dem angesammelten Kapital eine Annuität bei einer Versicherungsgesellschaft erwerben.
</t>
  </si>
  <si>
    <t>1. Säule:
   * Erziehungszeiten für ein Kind jünger als 1,5 Jahren,
   * Bezugszeitraum von Mutterschaftsgeld (Maternitātes pabalsts) und Vaterschaftsgeld (Paternitātes pabalsts),
   * Bezugszeitraum von Arbeitslosengeld (Bezdarbnieka pabalsts),
   * Bezugszeitraum von Krankengeld (Slimības pabalsts),
   * Zeiten beruflicher Untätigkeit von Menschen mit Behinderung,
   * Zeiten beruflicher Untätigkeit von Ehegatten von im diplomatischen oder konsularischen Dienst stehenden Personen oder aktiven Militärangehörigen, die mit im Ausland leben,
   * Bezugszeitraum von Kinderbetreuungsgeld für ein adoptiertes Kind,
   * Bezugszeitraum von Leistungen für die Erfüllung von Pflichten als Pflegefamilie,
   * Bezugszeitraum von Betreuungsgeld für behinderte Kinder (Bērna ar invaliditāti kopšanas pabalsts),
   * Zeiten, über die entlohnte befristete öffentliche Arbeiten verrichtet wurden.
Bis zum 1. Januar 1991 wurden die folgenden Zeiten angerechnet:
   * Militärdienst,
   * Studium an höheren Bildungseinrichtungen oder an Sekundarschulen für höchstens 5 Jahre (oder 6 Jahre bei einer längeren Ausbildung),
   * Erziehung von Kindern unter 8 Jahren durch die Mutter,
   * Zeiten politischer Unterdrückung etc.
2.Säule:
Keine anrechenbaren oder beitragsfähigen Zeiten.</t>
  </si>
  <si>
    <t>1. Säule/2.Säule:
Steuerfreibetrag für Rentner, deren Renten nach dem 01.01.1996 gewährt oder neu berechnet wurden:
Steuerfreigrenze: €12.000 jährlich seit 01.01.2025.
Zusätzlicher Steuerfreibetrag für Menschen mit Behinderung:
   * Gruppen I &amp; II: €1.848 jährlich,
   * Gruppe III: €1.440 jährlich.
Zusätzlicher Steuerfreibetrag für politisch unterdrückte Personen oder Mitglieder der nationalen Widerstandsbewegung (€1.848 jährlich) oder für unterhaltsberechtigte Personen (€3.000 jährlich).</t>
  </si>
  <si>
    <t>Halbwaisen:
Sie erhalten einen Prozentsatz der Rente, die auf Basis der potenziellen Altersrente der/des Verstorbenen (siehe Tabelle VI zu „Alter", „Berechnungsmethode, Rentenformel oder Beträge“) berechnet wird:
   * ein Kind:  50%;
   * zwei Kinder: 75%;
   * drei und mehr Kinder: 90% der Rente.
Vollwaisen:
Sie erhalten für jeden Elternteil jeweils einen Prozentsatz der Rente (s.o.), der auf Basis der potenziellen Altersrente und entsprechend der genannten Rentenformel berechnet und gewährt wird.
Die Leistung wird gezahlt, bis das Kind 18 Jahre alt ist (24 Jahre unter bestimmten Bedingungen) oder für den Zeitraum der Behinderung bei Kindern mit Behinderung seit der Kindheit.
Sie wird monatlich gezahlt und es werden keine zusätzlichen Zahlungen geleistet.</t>
  </si>
  <si>
    <t>Steuerfreibetrag für Rentner, deren Renten, nach dem 01.01.1996 gewährt oder neu berechnet wurden:
Steuerbefreiungsschwelle: €12.000 jährlich seit 01.01.2025.
Zusätzlicher Steuerfreibetrag für Personen mit Behinderung:
   * Gruppen I &amp; II: €1.848 jährlich,
   * Gruppe III: €1.440 jährlich.
Zusätzlicher Steuerfreibetrag für politisch unterdrückte Personen oder Mitglieder der nationalen Widerstandsbewegung (€1.848 jährlich) oder für unterhaltsberechtigte Personen (€3.000 jährlich).</t>
  </si>
  <si>
    <t xml:space="preserve">1. Säule:
   * bei unzumutbarer Doppelbelastung durch gleichzeitige ausländische Versicherung.
2. Säule:
   * Arbeitnehmer, die bereits für eine hauptberufliche Erwerbstätigkeit obligatorisch versichert sind oder im Hauptberuf eine selbständige Erwerbstätigkeit ausüben;
   * Arbeitnehmer, die nicht dauernd in Liechtenstein tätig sind und für die im Ausland ein genügender Versicherungsschutz besteht;
   * Arbeitnehmer, deren Arbeitgeber nach dem AHVG nicht beitragspflichtig ist;
   * Arbeitnehmer von juristischen Personen, die daran maßgebend beteiligt sind und Arbeitgeberfunktionen ausüben;
   * Arbeitnehmer, die zumindest zwei Drittel invalid sind;
   * die Familienmitglieder des Arbeitgebers, die in dessen Betrieb mitarbeiten und keinen Barlohn beziehen oder deren Barlohn nicht den Jahresbetrag der minimalen jährlichen Altersrente der Alters- und Hinterlassenenversicherung erreicht.
</t>
  </si>
  <si>
    <t>Für die Bemessung der Invalidität wird das "als Invalider zumutbare Erwerbseinkommen" (sog. Invalideneinkommen) in Beziehung gesetzt zu dem "als Gesunder erzielten Einkommen" (sog. Valideneinkommen). Die "invaliditätsbedingte Erwerbseinbuße" (Differenz zwischen Valideneinkommen und Invalideneinkommen) in Prozenten zum Valideneinkommen entspricht dem Invaliditätsgrad.
Ein Invaliditätsgrad von 40% bildet die Untergrenze.
Beispiel:
Invalideneinkommen:  CHF 3.000/Monat, Valideneinkommen:  CHF 5.000/Monat. Erwerbseinbuße:  CHF 5.000 -  CHF 3.000 =  CHF 2.000 = 40% von  CHF 5.000, also Invaliditätsgrad: 40%.
1. Säule:
   * 40% für Viertelsrente,
   * 50% für halbe Rente,
   * 67% für ganze Rente.
2. Säule: Analog zur 1. Säule.
Bezüglich des Vorliegens einer Invalidität und des Invaliditätsgrades sind die Feststellungen der Liechtensteinischen Invalidenversicherung maßgeblich.</t>
  </si>
  <si>
    <t>1. Säule:
   * Die Beitragsdauer bestimmt die anwendbare Rentenskala; innerhalb der Rentenskala variiert der Rentenbetrag zwischen dem Höchstbetrag für diese Rentenskala und dem Mindestbetrag für diese Rentenskala, abhängig vom maßgebenden durchschnittlichen Jahreseinkommen (welches sich aus verschiedenen weiteren Faktoren zusammensetzt: Beiträge, Erziehungsgutschriften, Beiträge des Ehegatten usw.).
   * Bei vollständiger Beitragsdauer (wenn zwischendem vollendetem 20. Altersjahr und dem Versicherungsfall lückenlos Beiträge entrichtet wurden) besteht Anspruch auf Vollrente (Rentenskala 44): Höchstrente  CHF 2.380 (€2.543) pro Monat und Mindestrente  CHF 1.190 (€1.272) pro Monat. Bei unvollständiger Beitragsdauer besteht Anspruch auf Teilrente (Rentenskala 1 bis Rentenskala 43).
   * Die Rente wird 13-mal jährlich ausgerichtet (2-mal im Dezember, neben der Rente das sog. Weihnachtsgeld).
2. Säule:
   * Die Invaliditätsleistung ist von der Leistungsseite her definiert, d.h. die Leistung wird als Mindestprozentsatz des versicherten Lohns festgesetzt.
   * Invalidenrente (bei Vollinvalidität): 30% des versicherten Lohns. Bei Teilinvalidität kann die Rente dem Invaliditätsgrad entsprechend niedriger festgesetzt werden.
Die Leistungen der Vorsorgeeinrichtungen können nach Maßgabe des jeweiligen Reglements gekürzt werden, wenn sie mit Leistungen anderer Versicherungen oder mit Haftpflichtleistungen Dritte zusammen und anderen anrechenbaren Einkünften 90% des mutmaßlich entgangenen Verdienstes übertreffen.</t>
  </si>
  <si>
    <t>1. Säule:
   * Erwerbseinkommen der gesamten Versicherungskarriere;
   * Nichterwerbstätigenbeiträge;
   * Erziehungsgutschriften (fiktive Einkommen);
   * Betreuungsgutschriften (fiktive Einkommen).
Diese vier Faktoren des sog. maßgebenden durchschnittlichen Jahreseinkommens werden für Ehegatten während der Ehedauer hälftig aufgeteilt ("Splitting"), sobald beide Ehegatten rentenberechtigt sind (zudem auch bei Scheidung oder wenn eine verwitwete Person eine Alters- oder Invalidenrente bezieht).
Bei Eintritt der Invalidität vor dem 45. Altersjahr wird das maßgebende durchschnittliche Jahreseinkommen durch einen sog. "Karrierezuschlag" aufgewertet.
2. Säule:
Der für die Versicherung anrechenbare Lohn entspricht dem maßgebenden Lohn. Als maßgebender Lohn gilt grundsätzlich das auf das ganze Jahr berechnete Einkommen aus dem Arbeitsverhältnis nach dem sich die AHV-Beiträge bemessen.</t>
  </si>
  <si>
    <t>1. Säule:
   * Ehepartner: keine Zulage.
   * Kinder: 40% des Mindestbetrags der für den Vater oder die Mutter anwendbaren Rentenskala (vgl. Tabelle V, 2. Berechnungsmethode).
2. Säule:
Generell keine Zulagen, aber Kinder haben einen eigenen Rentenanspruch von mindestens 6% des versicherten Lohnes.</t>
  </si>
  <si>
    <t xml:space="preserve">1. Säule:
Die Kumulation von Invalidenrenten und vorgezogenen Altersrenten ist möglich (z.B. halbe Invalidenrente zusammen mit halber vorgezogener Altersrente).
Bei Zusammentreffen von Hinterlassenenrenten und Invalidenrenten besteht ungeachtet des Invaliditätsgrades Anspruch auf ganze Invalidenrente; es wird aber nur die höhere der beiden Renten (Hinterlassenenrente oder Invalidenrente, letztere allenfalls ergänzt durch einen Verwitwetenzuschlag), ausgerichtet.
Die übrigen Leistungen der sozialen Sicherheit treten ergänzend zu den Renten der Invalidenversicherung hinzu.
2. Säule:
   * Keine Leistungspflicht, solange ein Taggeld der Kranken- oder Unfallversicherung ausbezahlt wird.
   * Möglichkeit der Leistungskürzung, sofern sie mit den übrigen Leistungen 90% des mutmaßlich entgangenen Verdienstes übertreffen.
</t>
  </si>
  <si>
    <t xml:space="preserve">1. Säule:
   * bei unzumutbarer Doppelbelastung durch gleichzeitige ausländische Versicherung,
   * bei kurzer Versicherungszugehörigkeit.
2. Säule:
   * Arbeitnehmer, die bereits für eine hauptberufliche Erwerbstätigkeit obligatorisch versichert sind oder im Hauptberuf eine selbständige Erwerbstätigkeit ausüben;
   * Arbeitnehmer, die nicht dauernd in Liechtenstein tätig sind und für die im Ausland ein genügender Versicherungsschutz besteht;
   * Arbeitnehmer, deren Arbeitgeber nach dem AHVG nicht beitragspflichtig ist;
   * Arbeitnehmer von juristischen Personen, die daran maβgebend beteiligt sind und Arbeitgeberfunktionen ausüben;
   * Arbeitnehmer, die zumindest zwei Drittel invalid sind;
   * die Familienmitglieder des Arbeitgebers, die in dessen Betrieb mitarbeiten und keinen Barlohn beziehen oder deren Barlohn nicht den Jahresbetrag der minimalen jährlichen Altersrente der Alters- und Hinterlassenenversicherung erreicht.
</t>
  </si>
  <si>
    <t>1. Säule: Die Höhe der Rente berechnet sich nach zwei Faktoren:
   * nach der Beitragsdauer (zur Bestimmung der Rentenskala) und
   * nach dem sog. "maßgebenden durchschnittlichen Jahreseinkommen" (zur Bestimmung der Rentenhöhe innerhalb der anwendbaren Rentenskala).
2. Säule: Dauer der Beitragszahlung, Höhe der Beiträge, Höhe des Umwandlungssatzes (allfällige Einkaufsleistungen, um sich höher zu versichern).</t>
  </si>
  <si>
    <t>1. Säule:
   * Die Beitragsdauer bestimmt die anwendbare Rentenskala; innerhalb der Rentenskala variiert der Rentenbetrag zwischen dem Höchstbetrag für diese Rentenskala und dem Mindestbetrag für diese Rentenskala, abhängig vom maßgebenden durchschnittlichen Jahreseinkommen (welches sich aus verschiedenen weiteren Faktoren zusammensetzt: Beiträge, Erziehungsgutschriften, Beiträge des Ehegatten usw.).
   * Bei lückenloser Beitragsdauer (zwischen dem 20. Altersjahr und dem Versicherungsfall) besteht Anspruch auf Vollrente (Rentenskala 44): Höchstrente  CHF 2.380 (€2.543) pro Monat und Mindestrente  CHF 1.190 (€1.272) pro Monat. Bei einer nicht lückenlosen Beitragsdauer sinkt der Höchst- und Mindestbetrag mit jedem fehlenden Beitragsjahr um 1/44.
   * Die aufgeschobene Altersrente wird mit folgendem Zuschlag ausbezahlt: bei einem Aufschub bis zum vollendeten 66. Altersjahr um 4,5%; bei einem Aufschub bis zum vollendeten 67. Altersjahr um 9,3%; bei einem Aufschub bis zum vollendeten 68. Altersjahr um 14,4%; bei einem Aufschub bis zum vollendeten 69. Altersjahr um 20,1%; bei einem Auf-schub bis zum vollendeten 70. Al-tersjahr um 26,1%.
Die Rente wird monatlich ausgerichtet (im Dezember zusätzlich das sog. Weihnachtsgeld).
2. Säule:
Die Altersleistung ist entweder von der Beitragsseite oder der Leistungsseite her definiert (Beitragsprimat oder Leistungsprimat). Die Höhe der Altersrente hängt vom individuell angesammelten Alterskapital ab.
Anstelle einer Altersleistung kann die Vorsorgeeinrichtung eine Kapitalabfindung vorsehen.</t>
  </si>
  <si>
    <t>1. Säule:
   * Erwerbseinkommen der gesamten Versicherungskarriere;
   * Nichterwerbstätigenbeiträge;
   * Erziehungsgutschriften (fiktive Einkommen);
   * Betreuungsgutschriften (fiktive Einkommen).
Diese vier Faktoren des sog. maßgebenden durchschnittlichen Jahreseinkommens werden für Ehegatten während der Ehedauer hälftig aufgeteilt ("Splitting"), sobald beide Ehegatten rentenberechtigt sind (zudem auch bei Scheidung oder wenn eine verwitwete Person eine Alters- oder Invalidenrente bezieht).
Keine Obergrenzen.
2. Säule:
Der für die Versicherung anrechenbare Lohn entspricht dem maßgebenden Lohn. Der maßgebende Jahreslohn (brutto) kann in der Höhe auf CHF 88.200  (€94.241) begrenzt werden.
Der maßgebende Jahreslohn (brutto) muss mindestens  CHF 14.700 (€15.707) betragen und ist bis mindestens  CHF 88.200 (€94.241) zu versichern.</t>
  </si>
  <si>
    <t>1. Säule: Für die Berechnung der Altersrente können folgende Zeiten berücksichtigt werden:
   * die Beitragsdauer als unselbständig-, selbständig- oder nicht-erwerbstätige Person, soweit die Person beitragspflichtig ist (Art. 36 AHVG);
   * Erziehungsgutschrift für Kalenderjahre, in denen während dieser Zeit die versicherte Personen die elterliche Obsorge über eines oder mehrere Kinder, die das 16. Altersjahr noch nicht vollendet haben, ausüben, und
   * Betreuungsgutschriften für jene Kalenderjahre, a) in denen Versicherte ihre in erheblichem Masse pflege- und hilfsbedürftigen Angehörigen betreuen, sofern sie in einem gemeinsamen Haushalt oder in einem nicht weiter als 30 Kilometer (Wegstrecke) entfernt gelegenen Haushalt wohnen oder b) in denen Versicherte andere in erheblichem Masse pflege- und hilfsbedürftige Personen betreuen, sofern sie in einem gemeinsamen Haushalt wohnen.
2. Säule: Keine anrechenbaren bzw. berücksichtigungsfähigen beitragsfreien Zeiten.</t>
  </si>
  <si>
    <t>1. Säule:
   * Ehepartner: Keine Zulage für Ehepartner
   * Kinder: 40% des Mindestbetrags der für den Vater oder die Mutter anwendbaren Rentenskala.
2. Säule: Keine gesetzlichen Zulagen. Reglement der Vorsorgeeinrichtung kann Zulagen für Kinder vorsehen.</t>
  </si>
  <si>
    <t>1. Säule:
   * Beitrags- (und teilweise steuer-) finanziertes obligatorisches Sozialversicherungssystem für alle Personen mit Wohnsitz oder Erwerbstätigkeit (Arbeitnehmer und Selbstständige) in Liechtenstein;
   * Renten hängen im Wesentlichen von der Versicherungsdauer und von Beiträgen (z.T. fiktiven Beiträgen) ab.
   * Reichen die anrechenbaren Einnahmen aus den Renten und allfälligen anderen Quellen nicht aus, um die anerkannten Ausgaben zu decken, besteht ein Anspruch auf Ergänzungsleistungen um die minimalen Lebenshaltungskosten decken zu können (s. Tabelle XI ‚Mindestsicherung‘).
2. Säule:
   * Beitragsfinanziertes obligatorisches Sozialversicherungssystem für unselbstständig Erwerbstätige
   * Renten sind entgeltbezogen und hängen im Wesentlichen von Beiträgen ab.
Bei bereits erfolgtem Rentenbezug des Verstorbenen hängen die Leistungen von der Rente des Verstorbenen ab.</t>
  </si>
  <si>
    <t>1. Säule:
   * Alle Erwerbstätigen (Arbeitnehmer und Selbstständige) sowie alle nichterwerbstätigen Einwohner.
2. Säule:
   * Beitragsfinanziertes obligatorisches Sozialversicherungssystem für unselbstständig Erwerbstätige;
   * Arbeitnehmer und Arbeitslose, die mit dem 1. Januar das 17. Altersjahr vollendet haben und in der 1. Säule beitragspflichtig sind;
   * Freiwillige Versicherung ist für nicht beitragspflichtige Arbeitnehmer und für selbstständig Erwerbstätige möglich.</t>
  </si>
  <si>
    <t>1. Säule:
   * bei unzumutbarer Doppelbelastung durch gleichzeitige ausländische Versicherung,
   * bei kurzer Versicherungszugehörigkeit.
2. Säule:
   * Arbeitnehmer und Arbeitslose, die mit dem 1. Januar 2018 das 17. Altersjahr vollendet haben, in der 1. Säule beitragspflichtig sind und weniger als  CHF 14.700 (€15.707) Jahreseinkommen aufweisen.
   * Arbeitnehmer, die bereits für eine hauptberufliche Erwerbstätigkeit obligatorisch versichert sind oder im Hauptberuf eine selbständige Erwerbstätigkeit ausüben;
   * Arbeitnehmer, die nicht dauernd in Liechtenstein tätig sind und für die im Ausland ein genügender Versicherungsschutz besteht;
   * Arbeitnehmer, deren Arbeitgeber nach dem AHVG nicht beitragspflichtig ist; z.B. Arbeitgeber mit Sitz im Ausland.
   * Arbeitnehmer von juristischen Personen, die daran maßgebend beteiligt sind und Arbeitgeberfunktionen ausüben;
   * Arbeitnehmer, die zumindest zwei Drittel invalid sind;
   * die Familienmitglieder des Arbeitgebers, die in dessen Betrieb mitarbeiten und keinen Barlohn beziehen oder deren Barlohn nicht den Jahresbetrag der minimalen jährlichen Altersrente der Alters- und Hinterlassenenversicherung erreicht.</t>
  </si>
  <si>
    <t>1. Säule:
   * Hinterbliebene Ehegatten oder eingetragene Partner;
   * geschiedene Ehepartner oder getrennte eingetragene Partner;
   * leibliche Kinder, Adoptionskinder, Pflegekinder.
2. Säule:
   * Hinterbliebene Ehegatten oder eingetragene Partner;
   * Geschiedene Ehepartner oder getrennte eingetragene Partner, soweit im Reglement vorgesehen;
   * Konkubinatspartner (d.h. nicht-eingetragene Partner), soweit im Reglement vorgesehen;
   * leibliche Kinder, Adoptionskinder, Pflegekinder.
Der eingetragene Partner ist dem Ehegatten gleichgestellt.</t>
  </si>
  <si>
    <t>1. und 2. Säule:
   *  Aufrechte Ehe im Todeszeitpunkt.
   *  Der überlebende Ehegatte muss für den Unterhalt mindestens eines Kindes aufkommen oder älter als 45 Jahre sein und die Ehe muss mindestens fünf Jahre gedauert haben.
Sofern diese Voraussetzungen nicht erfüllt sind, hat der überlebende Ehegatte Anspruch auf eine einmalige Abfindung in der Höhe von drei Jahresrenten.</t>
  </si>
  <si>
    <t>1. Säule:
   * Halbwaisen: 40% der hypothetischen Rente des verstorbenen Elternteils,
   * Vollwaisen: 2 Waisenrenten (jeweils 40% der hypothetischen Rente des verstorbenen Elternteils).
   * Die Leistung wird keiner Bedürftigkeitsprüfung unterzogen“
   * Die Leistungszahlungen erfolgen monatlich, im Dezember erfolgt eine zusätzliche Rentenzahlung als Weihnachtsgeld.
2. Säule:
   * Waisenrenten von jährlich mindestens 6% des versicherten Lohns.
   * Beim Tod einer Person, die eine Alters- oder Invalidenrente bezogen hat, beträgt die Waisenrente je 20% der zuletzt ausgerichteten Alters- und Invalidenrente.
   * Die Leistung wird keiner Bedürftigkeitsprüfung unterzogen“
Im Übrigen gelten für den Anspruch zusätzlich und sinngemäß die entsprechenden Bestimmungen der 1. Säule.
Die Leistungszahlungen erfolgen monatlich.</t>
  </si>
  <si>
    <t xml:space="preserve">1. Säule: Keine gesetzliche Mindestrente, aber de facto gibt es für die 1. Säule die folgenden Mindestbeträge:
   * Verwitwetenrente:  CHF 952 (€1.017) pro Monat (13 x im Jahr)
   * Waisenrente:  CHF 476 (€509) pro Monat (13 x im Jahr) bei lückenloser Beitragsdauer.
2. Säule:
   * Verwitwetenrente: jährlich 18% des versicherten Lohns. Beim Tod einer Person die eine Alters- oder Invalidenrente bezogen hat, beträgt eine Verwitwetenrente 60% der zuletzt ausgerichteten Alters- oder Invalidenrente.
   * Waisenrente: jährlich je 6% des versicherten Lohns. Beim Tod einer Person, die eine Alters- oder Invalidenrente bezogen hat, beträgt die Waisenrente je 20% der zuletzt ausgerichteten Alters- und Invalidenrente.
</t>
  </si>
  <si>
    <t>1. Säule:
   * Verwitwetenrente von  CHF 1.912 (€2.043) pro Monat (13 x im Jahr) bei lückenloser Beitragsdauer.
   * Waisenrente von  CHF 956 (€1.021) pro Monat (13 x im Jahr) bei lückenloser Beitragsdauer.
2. Säule:
Keine gesetzliche Höchstrente.</t>
  </si>
  <si>
    <t>Die Mindestversicherungszeit für einen Anspruch auf Behindertenrente (Negalios pensija) ist abhängig vom Alter zum Zeitpunkt des Auftretens der Invalidität:
   * 2 Monate unter 22 Jahren;
   * 4 Monate bei 22 Jahren.
Pro weiteres Lebensjahr bis zum Alter von 36 Jahren steigt die Mindestversicherungszeit um zwei Monate (wenn die erforderliche Mindestversicherungszeit 3 Jahre beträgt) und um 6 Monate für jedes weitere Lebensjahr bis zum Alter von 60 Jahren (bei 15 Beitragsjahren).
Volle Rente (Visa pensija):
Die obligatorische Mindestsozialversicherungszeit ist ebenfalls altersabhängig, d.h. diese beträgt:
   * 1 Jahr unter 24 Jahren;
   * verlängert um 4 Monate pro weiteres Lebensjahr zwischen 24 bis 38 Jahren:
   * verlängert um 6 Monate pro weiteres Lebensjahr zwischen 30 und 33;
   * verlängert um 8 Monate pro weiteres Lebensjahr zwischen 40 und 39;
   * ab 40 Jahren und darüber verlängert sich die erforderliche Mindestversicherungszeit um 1 Jahr für jedes weitere Lebensjahr, ohne den obligatorischen Beitragszeitraum bei der Rentensozialversicherung für die Altersrente (Senatvės pensija) (siehe Table VI „Alter“) zu überschreiten.</t>
  </si>
  <si>
    <t>Die Feststellung der Teilhabefähigkeit erfolgt auf der Grundlage einer umfassenden Bewertung des Einflusses von Umweltfaktoren auf die Selbstständigkeit, die Möglichkeiten einer effektiven Teilhabe an der Gesellschaft und die Beeinträchtigungen der Körperfunktionen der Person nach Ausschöpfung aller möglichen medizinischen Maßnahmen und unter Berücksichtigung des Ausmaßes des individuellen Hilfebedarfs der Person.
Der Verlust der Teilhabefähigkeit wird ausgedrückt als ein Prozentsatz.
Es kann sich handeln um:
   * vollständig, wenn der Verlust der Erwerbsfähigkeit zwischen 75-100% liegt;
   * teilweise, wenn er zwischen 45-75% liegt.
Es gibt eine Mindestfähigkeit zur Teilhabe von 45%, um anspruchsberechtigt für Behindertenrente (Negalios pensija) zu sein.</t>
  </si>
  <si>
    <t>Es gibt keine regelmäßige Überprüfung des Anspruchs auf Behindertenrente (Negalios pensija), dennoch ist Überprüfung möglich:
   * nach dem Ende des Anspruchszeitraums,
   * bei einer Änderung des Gesundheitszustands,
   * bei Anfechtung der Entscheidung,
   * bei Zweifeln an der Gültigkeit der Entscheidung.
Die Agentur zum Schutz der Rechte von Menschen mit Behinderung des Ministeriums für Soziale Sicherheit und Arbeit ist verantwortlich für die Durchführung der Neubewertung.</t>
  </si>
  <si>
    <t>Zeiten, die als Beitragszeiten behandelt werden, um die Anspruchsberechtigung auf Behindertenrente (Negalios pensija) zu berechnen:
   * Krankenstand;
   * Mutterschaftsurlaub;
   * berufliche Rehabilitation;
   * Zeiten des Bezugs von Leistungen bei Arbeitslosigkeit;
   * Betreuung eines Kindes unter 3 Jahren oder einer Person mit Behinderung;
   * Wehrdienstzeiten;
   * Zeiten des Auslandsaufenthalts von Ehepartnern von Diplomaten;
   * Dienstzeiten von Pfarrern aller staatlich anerkannten Religionen;
   * Dienstzeiten ohne versichertes Einkommen von Nonnen und Mönchen in Klöstern.</t>
  </si>
  <si>
    <t>Es gibt Lohnkostenzuschüsse (darbinimas subsidijuojant) zur Entschädigung von Arbeitgebern, die Menschen mit Behinderungen einstellen. Der Arbeitsmarktservice bietet teilweise Erstattungen von Löhnen und Sozialabgaben.
Die Zuschüsse werden gezahlt:
   * für bis zu 6 Monate, wenn der Arbeitsvertrag mit Menschen mit Behinderung abgeschlossen wird, deren Arbeitsfähigkeit bei 45-55% liegt oder bei denen nur eine leichte Behinderung vorliegt;
   * für bis zu 36 Monate, wenn der Arbeitsvertrag mit behinderten Personen abgeschlossen wird, deren Arbeitsfähigkeit zwischen 30 und 40% liegt oder bei denen eine mittelschwere Behinderung vorliegt;
   * unbegrenzt während des Arbeitszeitraums für behinderte Personen, deren Arbeitsfähigkeit 25% nicht überschreitet oder bei denen eine schwere Behinderung vorliegt.
Zuschuss zur Anpassung von Arbeitsplätzen (Darbo vietų pritaikymo subsidijavimas):
Die Bezuschussung wird gezahlt für Anschaffung, Einbau und Anpassung von Arbeitsmitteln oder technischen Hilfsmitteln für Personen mit Behinderung und die Instandsetzung oder Anpassung von Räumlichkeiten, bei denen die geschätzten Kosten 50% Gesamtbetrags des Zuschusses für die neugeschaffenen Arbeitsplätze nicht überschreiten.
Die Unterstützung pro Arbeitsplatz darf den monatlichen Mindestlohn (€1.038) multipliziert mit 31 nicht überschreiten. Der Zuschuss darf den monatlichen Mindestlohn multipliziert mit 4,7 nicht überschreiten.
Der Empfänger der Unterstützung soll verpflichtet werden, mindestens 35% der Kosten der Anpassung eines Arbeitsplatzes zu tragen, ausgenommen im Fall der Beschäftigung von Personen mit Behinderung (20% für jede Person mit schwerer Behinderung oder deren Arbeitsfähigkeit 25% nicht übersteigt und 30% für jede Person mit einer mittelschweren Behinderung oder deren Arbeitsfähigkeit zwischen 30-40% liegt) und soll den angepassten Arbeitsplatz während mindestens 36 Monaten ab dem Tag der Einstellung der Person erhalten, die ihm der Arbeitsmarktservice vermittelt hat.
Ab dem 1. Januar 2024 muss in öffentlichen Einrichtungen auf nationaler und kommunaler Ebene, in Unternehmen und Aktiengesellschaften, bei denen der Staat oder die Gemeinde Anteilseigner ist, die Zahl der Arbeitnehmer mit Behinderungen mindestens 5% der Gesamtzahl der Arbeitnehmer ausmachen, wenn die Zahl der Arbeitnehmer in diesen Organisationen 25 oder mehr beträgt.
Seit 1. Januar 2023 werden Sozialunternehmen nicht mehr vom Staat unterstützt, wenn sie Personen mit Behinderung einstellen.
Zuschuss für die Kosten einer Arbeitsassistenz (subsidija darbo asistento išlaidoms) wird für Arbeitnehmer erbracht, wenn diese Hilfe bei der Ausübung ihrer Erwerbstätigkeit benötigen. Bedarf und Dauer der Arbeitsassistenz wird vom Dienst für Invalidität und Arbeitsfähigkeit bestimmt, der dem Ministerium für soziale Sicherheit und Arbeit unterstellt ist.
Der Zuschuss beträgt 62% des Mindeststundenlohns (€6,35) für jede Person für die Zeit, in der die Assistenz erbracht wurde.</t>
  </si>
  <si>
    <t>1. und 2. Säule:
Das Rentenalter wird jährlich um 4 Monate für Frauen und 2 Monate für Männer angehoben, bis es im Jahr 2026 65 Jahre für beide erreicht.
Im Jahr 2025 liegt das Rentenalter bei:
   * 64 Jahren und 10 Monaten für Männer;
   * 64 Jahren und 8  Monaten für Frauen.</t>
  </si>
  <si>
    <t>Vorzeitiger Rentenbezug (išankstinė senatvės pensija) ist möglich, wenn Personen folgende Bedingungen erfüllen:
   * sie können die erforderliche Pflichtversicherungszeit für die Altersrente vorweisen, wirksam im Jahr des Renteneintritts;
   * sie stehen weniger als 5 Jahre vor dem Rentenalter;
   * sie haben kein anderes Einkommen, und erhalten keine andere Rente oder Leistungen;
   * sie sind kein Landwirt oder Partner eines Landwirts und beziehen kein Einkommen aus einem Arbeitsverhältnis in einem anderen Staat.
Die vorgezogene Altersrente kann auch gewährt werden:
   * Mütttern, die mindestens fünf Kinder geboren und bis zum Alter von 8 Jahren aufgezogen haben sowie Eltern (einschließlich Adoptiveltern), die mindestens 15 Jahre lang Kinder mit Behinderung gepflegt oder adoptierte Kinder zu Hause aufgezogen haben;
   * Personen, die mindestens 15 Jahre lang eine Person mit Behinderung (für die ein Bedarf an Rückerstattung der Kosten für individuelle Unterstützung festgestellt wurde, d.h. eine Person mit vollständiger Behinderung) zu Hause gepflegt haben, vorausgesetzt, die Person erfüllt beim Antrag der vorgezogenen Altersrente alle anderen oben genannten Bedingungen und kann mindestens die Hälfte der erforderlichen Pflichtversicherungsjahre für eine vorgezogene Altersrente vorweisen.</t>
  </si>
  <si>
    <t>1. Säule - Die monatliche Altersrente (Senatvės pensija) entspricht der Summe der allgemeinen und individuellen Teile.
Der allgemeine Teil wird nach der Formel β × B berechnet, wobei:
   * β das Verhältnis der Versicherungszeit der Person und der Mindestversicherungszeit ist, wirksam im Jahr des Rentenanspruchs. Liegen die Versicherungszeiten einer Person unter den für eine Altersrente vorgeschriebenen, entspricht der Multiplikator ß eins;
   * B die Grundrente ist (in Euro).
Der individuelle Teil der Rente wird nach der Formel V × p berechnet, wobei:
   * V die Anzahl der von der Person gesammelten Rentenpunkte ist;
   * P der Wert des Rentenpunktes ist (in Euro).
Jede versicherte Person erhält eine bestimmte Anzahl von Rentenpunkten für den Betrag von Sozialversicherungsbeiträgen, die während eines Jahres gezahlt wurden. Wenn der Betrag von Beiträgen, der während des Jahres für den individuellen Teil der Rente vom Einkommen der Person abgezogen wurde, dem Betrag der jährlichen Rentenbeiträge entspricht, die auf der Basis des jährlichen Durchschnittsgehalts festgelegt werden, erhält die Person einen Rentenpunkt. Ein größerer oder kleinerer Betrag führt entsprechend zu einer größeren oder kleineren Menge von Rentenpunkten. Die Gesamtanzahl von Rentenpunkten, die während eines Jahres erworben wurde, darf jedoch 5 nicht übersteigen. Um den individuellen Teil der Rente zu bestimmen, werden die erworbenen Rentenpunkte addiert und mit dem Wert des Rentenpunkts multipliziert.
Die Altersrente wird monatlich ausgezahlt.
2. Säule - kapitalgedecktes System, finanziert aus privaten Mitteln (3% des persönlichen Lohns) und Staatszuschüssen (1,5% des nationalen Durchschnittslohns).</t>
  </si>
  <si>
    <t>Witwen-/Witwerrente (Našlių pensija):
   * Hinterbliebener andersgeschlechtlicher Ehepartner.
Waisenrente (Našlaičio pensija):
   * Kinder, einschließlich Adoptivkinder, falls diese nicht bereits Hinterbliebenenrente für ihre leiblichen Eltern erhalten.
Leistung für Alleinstehende (Vienišo asmens išmoka):
   * geschiedener Ehepartner;
   * hinterbliebene Partner oder Lebenspartner.</t>
  </si>
  <si>
    <t>Anspruchsbedingungen für die Witwen-/Witwerrente (Našlių pensija) an den hinterbliebenen Ehepartner sind:
   * mit dem Verstorbenen für mindestens ein Jahr verheiratet gewesen sein, falls keine gemeinsamen Kinder vorhanden sind;
   * zum Todeszeitpunkt des Partners oder spätestens innerhalb von 5 Jahren nach dem Tod des Partners als erwerbsunfähig anerkannt sein/worden sein;
   * das gesetzliche Rentenalter erreicht haben.</t>
  </si>
  <si>
    <t>Der geschiedene Ehepartner kann die Leistung für Alleinstehende (Vienišo asmens išmoka) beziehen, basierend auf den folgenden Bedingungen:
   * eine ältere, alleinstehende Person (die das Altersrentenalter erreicht hat) oder eine alleinstehende Person mit Behinderung sein.
   * Litauen als Wohnsitz erklärt haben oder bei Nichterfüllung eine der folgenden Anforderungen:
   * keine erneute Heirat, weder in Litauen noch im Ausland;
   * erneute Heirat, die jedoch beendet wurde.</t>
  </si>
  <si>
    <t>Anspruchsbedingungen für die Waisenrente (Našlaičio pensija):
   * unter 18 Jahre alt sein;
   * zwischen 18 und 24 Jahre alt sein und Vollzeitstudent in höherer, beruflicher, weiterführender Bildung oder Weiterbildung sein;
   * als behindert anerkannt zu sein vor dem Erreichen des 24. Lebensjahres oder zwischen 24 und 26 aufgrund einer Krankheit oder Verletzung, die vor dem Alter von 24 passierten.
Keine Altersgrenze für Kinder mit Behinderung (wenn die Behinderung vor Vollendung des 18. Lebensjahrs anerkannt wurde, wird die Rente bis zum Ende der Behinderung gezahlt oder lebenslang im Fall einer dauerhaften Behinderung).
Eine Heirat der Kinder oder die Aufnahme einer Erwerbstätigkeit hat keinen Einfluss auf die Anspruchsberechtigung.</t>
  </si>
  <si>
    <t>Hat die verstorbene Person Anspruch auf die Sozialversicherungsrente für Waisen, die geringer ist als die Sozialhilferente für Waisen, wird eine Sozialhilferente für Waisen an die Kinder oder Adoptivkinder gezahlt, die die folgenden Bedingungen erfüllen:
   * unter 18 Jahren alt sein;
   * zwischen 18 und 24 Jahren in einer Vollzeit-Ausbildung an einer anerkannten Einrichtung der höheren oder beruflichen Bildung sein;
   * vor oder nach der Vollendung des 24. Lebensjahres als behindert eingestuft worden sein (aber nicht nach Vollendung des 26. Lebensalters) aufgrund von Krankheiten oder Verletzungen vor dem 24. Lebensjahr.
Die Sozialhilferente für Waisen beläuft sich für jedes Kind auf 0,5 der Sozialhilferentenbasis (Šalpos pensijų bazė) (d.h. €124 im Jahr 2025). Sind vier oder mehr rentenberechtigte leibliche oder adoptierte Kinder vorhanden, so wird ein Betrag entsprechend des 1,5-fachen der Sozialhilferentenbasis der verstorbenen Person (d.h. €372 im Jahr 2025) unter allen Kindern (oder adoptierten Kindern) aufgeteilt.
Die Sozialhilferentenbasis (Šalpos pensijų bazė): Der Betrag wird von der Regierung festgesetzt und beläuft sich 2025 auf €248.</t>
  </si>
  <si>
    <t>Die Behindertenrente (Negalios pensija) der Sozialversicherung besteht aus zwei Teilen: dem allgemeinen Teil und dem individuellen Teil.
Allgemeiner Teil:
Betrag wird gemäß der Formel: d x β x B berechnet, wobei:
   * B der Grundrentenbetrag ist;
   * d der Multiplikator des Grades der Teilhabefähigkeit ist, wie ausgeführt in Anhang 3 zum Gesetz über Renten der Sozialversicherung;
   * und β ist der Mulitplikator des Verhältnisses der Versicherungszeit einer Person und der obligatorischen Mindestversicherungszeit, das wie folgt bestimmt wird:
   * wenn eine Person einen Anspruch auf Behindertenrente erwirbt, aber über eine Versicherungszeit unter der obligatorischen Mindestversicherungszeit verfügt, soll der Multiplikator β 1 entsprechen;
   * wenn die Versicherungszeit einer Person der obligatorischen Mindestversicherungszeit für Altersrente entspricht oder darüber liegt, entspricht der Multiplikator β dem Verhältnis von ersterem zu der obligatorischen Mindestversicherungszeit für einen Anspruch auf Altersrente.
Individueller Teil:
Betrag wird gemäß der Formel: N x p x d berechnet, wobei:
   * N die Anzahl der Punkte einer Person ist, die gültig für eine Behindertenrente sind, berechnet als die Summe der Rentenpunkte, die die Person erworben hat, den Behindertenrentenpunkten und den vorübergehenden Rentenpunkten (Punkte, die vorübergehend zur Berechnung des individuellen Anteils der Behindertenrente der Sozialversicherung genutzt werden, um zu verhindern, dass die Mitgliedschaft im Rentenfonds der 2. Säule diesen Rentenbetrag beeinträchtigt);
   * p der Wert eines Rentenpunktes ist, wirksam in dem Monat, für den die Rente gezahlt wird;
   * d der Multiplikator des Grades der Teilhabefähigkeit ist wie ausgeführt in Anhang 3 zum Gesetz über Sozialversicherungsrenten.
Die Behindertenrente der Sozialversicherung unterliegt keiner Bedürftigkeits- oder Leistungsüberprüfung. Behindertenrenten der Sozialversicherung werden monatlich gezahlt.</t>
  </si>
  <si>
    <t>1. Säule:
Rente bestehend aus einer von der Dauer der Versicherung abhängenden Pauschalleistung (1/40 pro Versicherungsjahr, maximal 40 Jahre) und einer beitrags- bzw. einkommensabhängigen Komponente:
   * Die von der Versicherungsdauer abhängige Pauschalleistung (majorations forfaitaires) beträgt bei 40 Versicherungsjahren €652,06 im Monat (andernfalls anteilmäßige Kürzung).
   * Der einkommensabhängige Rententeilbetrag (majorations proportionnelles) beträgt 1,769% der Summe der beitragspflichtigen Einkommen.
   * Gestaffelte Erhöhung (majoration échelonnée):Wenn die Summe der Versicherungszeiten und das Alter die Zahl 95 übersteigt, wird der Erhöhungssatz um die Summe der Anzahl der Jahre, die diese Zahl um 0,015% übersteigt, angehoben.
Zulage zum Jahresende (allocation de fin d'année): jährlicher Pauschalbetrag in Höhe von €1.004,28 (für 40 Versicherungsjahre, andernfalls anteilig gekürzt).</t>
  </si>
  <si>
    <t>1. Säule:
Als effektive Versicherungszeiten, die für die Mindestversicherungszeit und die Berechnung der pauschalen und anteiligen Zuschläge berücksichtigt werden, gelten insbesondere folgende:
   * Zeiten, die durch ein Ersatzeinkommen abgedeckt sind, auf das ein Rentenbeitrag einbehalten wird: Arbeitslosigkeit, Krankheit, Mutterschaft, Unfallrente, Elternurlaub;
   * ein Zeitraum von 24 Monaten für die Erziehung eines Kindes („Babyjahre“ (années bébé);
   * Zeiten, in denen ein informeller Helfer eine Person betreut, die nach den Rechtsvorschriften über die Pflegebedürftigkeit pflegebedürftig ist.
Als zusätzliche Zeiten, die für Mindestversicherungszeit und die pauschalen Zuschläge berücksichtigt werden, gelten insbesondere folgende:
   * Ausbildungszeiten zwischen dem 18. und dem 27. Lebensjahr;
   * Zeiten der Erziehung von Kindern unter 6 Jahren (18 Jahre bei Krankheit des Kindes) – Insgesamt: 8 Jahre für 2 Kinder und 10 Jahre für 3 Kinder;
   * Zeiten für die Pflege eines Hilfsbedürftigen;
   * Zeiten, in denen eine Invaliditätsrente gewährt wird.</t>
  </si>
  <si>
    <t>Die Invalidität beruht auf dem Ausmaß der Einschränkungen, die die Erwerbsfähigkeit begrenzen.
Invalidität wird definiert als:
   * Erwerbsunfähigkeit für eine angemessene Voll- oder Teilzeitbeschäftigung oder eine Selbstständigkeit aufgrund schwerer Erkrankung oder körperlicher oder geistiger Beeinträchtigung;
   * dauerhafte oder noch nicht endgültig als dauerhaft festgestellte Erwerbsunfähigkeit bedingt, dass für mindestens ein Jahr ab der Antragstellung keine angemessene Voll- oder Teilzeiterwerbstätigkeit ausgeübt werden kann.</t>
  </si>
  <si>
    <t xml:space="preserve">Unter folgenden Umständen sind Personen von der Pflichtversicherung ausgenommen:
   * Personen mit einer Gelegenheitsbeschäftigung, die nicht dazu bestimmt ist, Teil eines Handels oder Geschäfts zu sein;
   * Arbeitnehmer mit Wohnsitz in Malta, deren Arbeitgeber seinen Unternehmenssitz im Ausland hat;
   * Personen mit einer Beschäftigung von weniger als 8 Stunden wöchentlich;
   * Personen, die Beschäftigung und Wohnsitz in Malta haben, Beiträge jedoch in ihrem Herkunftsland zahlen;
   * Geschäftsführer von Familienunternehmen;
   * Mehrheitseigentümer in Partnerschaftsgesellschaften;
   * Arbeitnehmer, die seit einem Zeitpunkt vor dem 5. Januar 2008 eine Rente im Rahmen des maltesischen Systems beziehen;
   * Hinterbliebene Ehepartner oder Partner, die eine Witwen-/Witwerrente im Rahmen des maltesischen Systems beziehen, sofern ihr Bruttoerwerbseinkommen den nationalen Mindestlohn nicht überschreitet;
   * Personen, die als gelegentliche Sozialassistenten im Rahmen des Programms „Aktives Altern und gemeinschaftliche Pflege” beschäftigt sind.
</t>
  </si>
  <si>
    <t>Die Hauptkriterien für die Bestimmung der Anspruchsberechtigung beziehen sich auf das Ausmaß, in dem die Fähigkeiten einer Person, eine Arbeit und alltägliche Tätigkeiten auszuüben, eingeschränkt ist, nachdem ihre Erkrankung abschließend behandelt wurde.
Das Ausmaß der Einschränkung bestimmt die Beeinträchtigung des Antragstellers als:
   * dauerhaft, d.h. der Zustand wird wahrscheinlich für mindestens ein Jahr nach Diagnose und Behandlung anhalten;
   * vorübergehend, d.h. entweder ist die Person kürzer als ein Jahr beeinträchtigt oder es erfolgten noch keine Diagnose und Behandlung.
Beruhend auf diesen Kriterien wird jeder Kategorie verminderter Erwerbsfähigkeit ein Prozentsatz zugeordnet. Beruhend auf einer Tabelle der Einschränkungen, die im nationalen Recht verankert ist, legt das Ärzteteam fest, zu welchem Prozentsatz die Erwerbsfähigkeit eingeschränkt ist.
Für einen Anspruch auf diese Rente muss der Mindestlevel von verminderter Erwerbsfähigkeit 20% betragen.</t>
  </si>
  <si>
    <t>Höchstrente:
   * Verheiratete: €190,33 pro Woche;
   * Alleinstehende: €170,53 pro Woche.
Der gezahlte Betrag hängt von der Anzahl der geleisteten Beiträge und vom Invaliditätsgrad ab. Der Betrag ist unabhängig von derzeitigen oder bisherigen Einkünften aus Erwerbstätigkeit, ausgenommen, eine Person bezieht eine Rente aus dem Arbeitsverhältnis (Pensjoni tas-Servizz). Dadurch reduziert sich die Grundrente (Pensjoni Bazika) auf:
   * Verheiratete: €145,99 pro Woche;
   * Alleinstehende: €135,84 pro Woche.
Eine Rente aus dem Arbeitsverhältnis (Pensjoni tas-Servizz) ist eine Rente oder eine sonstige Leistung, die einer Person vom oder an Stelle des Arbeitgebers für frühere Beschäftigung in Malta oder im Ausland gezahlt wird.
Der Bezug anderer Sozialleistungen hat keine Auswirkungen auf den Rentensatz.
Die Rente unterliegt keiner Bedürftigkeitsprüfung und wird alle vier Wochen ausgezahlt. Unter bestimmten Umständen können Rentner im Juni und im Dezember einen Regierungsbonus erhalten (siehe Näheres unter Tabelle VI zu „Alter“).
Für Rentenzulagen siehe Tabelle VI zu „Alter“, „Leistungen, Sonderzulagen“.</t>
  </si>
  <si>
    <t>Pauschalleistung, einkommensunabhängige Einheitsrente:
   * Verheiratete: €152,87 pro Woche.
   * Alleinstehende: €146,94 pro Woche.
Pauschalleistung, einkommensunabhängige Einheitsrente:
   * Verheiratete: €190,33 pro Woche.
   * Alleinstehende: €170,53 pro Woche.
Einkommensunabhängiger Höchstpauschalbetrag für arbeitsunfähige Personen: €206,90 pro Woche.
Einkommensunabhängiger Mindestpauschalbetrag für arbeitsunfähige Personen: €168,16 pro Woche.</t>
  </si>
  <si>
    <t>Zeiten der Abwesenheit vom Arbeitsplatz, die für die Anspruchsberechtigung auf Invaliditätsrente sowie die Berechnung von deren Betrag angerechnet werden sind:
   * Krankheit;
   * Arbeitslosigkeit;
   * Verletzung aufgrund von Arbeitsunfällen oder Berufskrankheiten.
Besondere Anrechnungszeiten für ehemalige Bedienstete der Polizei, der Streitkräfte und der Abteilung für Katastrophenschutz, Pflegekräfte, Gefängniswärter und ehrenamtlich tätige Personen.</t>
  </si>
  <si>
    <t>Unter folgenden Umständen sind Personen von der Pflichtversicherung ausgenommen:
   * Personen mit einer Gelegenheitsbeschäftigung, die nicht dazu bestimmt ist, Teil eines Handels oder Geschäfts zu sein;
   * Personen mit Wohnsitz in Malta, deren Arbeitgeber seinen Unternehmenssitz im Ausland hat;
   * Personen mit einer Beschäftigung von weniger als 8 Stunden wöchentlich;
   * Personen, die Beschäftigung und Wohnsitz in Malta haben, Beiträge jedoch in ihrem Herkunftsland zahlen;
   * Geschäftsführer von Familienunternehmen;
   * Mehrheitseigentümer in Partnerschaftsgesellschaften;
   * Arbeitnehmer, die seit einem Zeitpunkt vor dem 5. Januar 2008 eine Rente im Rahmen des maltesischen Systems beziehen;
   * Hinterbliebene Ehepartner oder Partner, die eine Witwen-/Witwerrente im Rahmen des maltesischen Systems beziehen, sofern ihr Bruttoerwerbseinkommen den nationalen Mindestlohn nicht überschreitet;
   * Personen, die als gelegentliche Sozialassistenten im Rahmen des Programms „Aktives Altern und gemeinschaftliche Pflege” beschäftigt sind.</t>
  </si>
  <si>
    <t xml:space="preserve">Für Männer und Frauen mit Geburtsdatum zwischen:
   * 1959 - 1961: 64 Jahre;
   * 1962 und Folgejahren: 65 Jahre.
</t>
  </si>
  <si>
    <t xml:space="preserve">Abgesehen vom Alter ist die weitere Bedingung für den Bezug einer Altersrente eine Mindestversicherungszeit von:
   * vor dem Ruhestand mindestens zehn Jahre abhängig oder selbstständig erwerbstätig gewesen sein;
   * durchschnittlich mindestens zwischen 20 und höchstens 50 Wochenbeiträge (gezahlt oder angerechnet) pro Jahr ab dem Alter von 18 Jahren aufweisen für Personen, die nach 1958 geboren sind.
Ein voller Altersrentenanspruch beruht auf folgenden Beitragszeiten:
   * 35 Jahre entrichtete oder angerechnete Beiträge für Personen, die zwischen 1952 und 1961 geboren sind;
   * 40 Jahre entrichtete oder angerechnete Beiträge für Personen, die zwischen 1962 und 1968 geboren sind;
   * 41 Jahre entrichtete oder angerechnete Beiträge für Personen, die am oder nach dem 1. Januar 1969 geboren sind;
   * 42 Jahre entrichtete oder angerechnete Beiträge für Personen, die an oder nach dem 1. Januar 1976 geboren sind.
</t>
  </si>
  <si>
    <t>Formel für die Zwei-Drittel-Rente (Pensjoni taz-Zewg terzi):
   *       Für vor dem 24. April 1958 Geborene:
N1/10 + N2/20(*)  x  1/50  x  2/3 x PI
     2
N1 = Anzahl der wöchentlichen Beiträge in den letzten zehn Jahren.
N2 =  Anzahl der wöchentlichen Beiträge in den besten 20 Jahren seit der Vollendung des 19. Lebensjahres.
PI =  Rentenfähiges Einkommen („pensionable income“).
Beispiel:
Zahl der Beiträge in den letzten 10 Jahren: 300
Zahl der Beiträge in den besten 20(*) Jahren: 800
Erster Durchschnitt: 300/10 = 30
Zweiter Durchschnitt: 800/20(*) = 40
Insgesamt: 70/2 = 35
Die Rente beläuft sich somit auf 35/50 von zwei Drittel des rentenfähigen Einkommens. Der wöchentliche Höchstsatz einer Zwei-Drittel-Rente (Pensjoni taz-Zewg terzi) beträgt €301,28.
(*) Statt 20 gilt für zwischen dem 1.1.1952 und dem 31.12.1961 geborene Personen 25.
   *       Für ab dem 24. April 1958 Geborene:
 N  x  1/50  x  2/3 x PI
40
N = Höchste Anzahl der entrichteten oder angerechneten Wochenbeiträge in 40 Jahren ab Vollendung des 18. Lebensjahres bis zum Ruhestandsalter
PI =  Rentenfähiges Einkommen („pensionable income“).
N =  Maximum 50, Minimum 15.
40
Beispiel:
Zahl der Beiträge in den  besten 40 Jahren: 1600.
Durchschnitt pro Jahr: 1600/40 = 40.
Die Rente beläuft sich somit auf 40/50 von zwei Drittel des rentenfähigen Einkommens. Der wöchentliche Höchstsatz einer Zwei-Drittel-Rente (Pensjoni taz-Zewg terzi) beträgt €354,86. Die Rente wird alle 4 Wochen gezahlt, daher gibt es 13 Zahlungen im Jahr.</t>
  </si>
  <si>
    <t>Angerechnet werden Zeiten von:
   * Krankheit, für den Anspruch auf Krankengeld angerechnete Zeiten;
   * Eine Witwe gilt unabhängig von einem Anspruch auf Witwenrente als nicht erwerbstätig, solange sie nicht erneut heiratet und vorausgesetzt, dass ihr verstorbener Ehemann oder Partner vor seinem Tod mindestens 156 Wochenbeiträge geleistet hat;
   * Invalidität: vorausgesetzt, dass die Anzahl der anrechenbaren Beiträge die Anzahl der tatsächlich vom Leistungsempfänger ab 1979 entrichteten Beiträge nicht übersteigt;
   * Anspruch auf Leistungen bei Arbeitslosigkeit;
   * Anspruch auf Leistungen bei Verletzung;
   * für nach dem 1. Januar 1952 geborene Eltern Zeiten der Erziehung eines Kindes, wenn das Kind jünger als 6 Jahre ist (unter 10 Jahren bei einem Kind mit Behinderung).
Studien-Anrechnungszeiten für Studenten, die nach dem 1. Januar 1952 geboren sind.
Besondere Anrechnungszeiten für ehemalige Bedienstete der Polizei, der Streitkräfte und der Abteilung für Katastrophenschutz, Gefängniswärter, Pflegekräfte und ehrenamtlich tätige Personen.</t>
  </si>
  <si>
    <t>Beiträge können rückwirkend entrichtet werden. Sie werden bei der Beurteilung des Rentenanspruchs und der Berechnung des Betrags unter folgenden Umständen berücksichtigt:
   * Für alleinstehende (unverheiratete) Personen im Fall von fehlenden Beiträgen innerhalb der vorhergehenden 5 Jahre vor dem Datum des Antrags. Ebenfalls anwendbar für Versicherte, die an einem von der Regierung genehmigten Vorruhestandsprogramm teilgenommen haben.
   * Für Selbstständige im Fall von fehlenden Beiträgen innerhalb der vorhergehenden 5 Jahre vor dem Datum des Antrags und die zu diesem Zeitpunkt einer Erwerbstätigkeit nachgingen (entweder als Arbeitnehmer oder Selbstständige) , jedoch die fristgerechte Zahlung der Versicherungsbeiträge versäumt haben. Ebenfalls anwendbar für Versicherte gemäß Artikel 13(1) des Sozialversicherungsgesetzes (Malta) – Im Ausland beschäftigte maltesische Saatsangehörige.
   * für Personen im Alter zwischen 59 und 64 Jahren, die aktuell einer Erwerbstätigkeit nachgehen im Fall von lückenhaften Versicherungszeiten mit Wohnsitz in Malta, vorausgesetzt, dass die Gesamtzahl von rückgekauften Jahren fünf Jahre nicht überschreitet im Alter zwischen 18 Jahren und dem Rentenalter. Dies gilt ebenfalls für Personen, die im maltesischen System versichert sind und in deren Versicherungszeiten für Beschäftigungszeiträume in Libyen zwischen den Jahren 1990 und 2018 Beitragslücken entstanden.
   * Für Personen, die im Rahmen des maltesischen Sozialversicherungsgesetzes versichert sind und eine Unfallrente aus dem gleichen System beziehen und in deren Versicherungszeiten eine Beitragslücke von besteht, vorausgesetzt, dass die Gesamtzahl von rückgekauften Jahren fünf Jahre zwischen dem Alter von 18 Jahren und dem Rentenalter nicht überschreitet. Dies gilt ebenfalls für Personen, die gemäß dem maltesischen Sozialversicherungsgesetz versichert sind und unter diesem System eine Rente für Pflegepersonen beziehen.
   * Für Personen, deren offizielle Beschäftigungszeiten bei der staatlichen Arbeitsvermittlung (Jobsplus) Beschäftigungszeiträume von vor 1990 (dem Jahr der Einführung von Jobsplus) angeben, die aber offiziell durch keine Beitragszahlungen abgedeckt sind.
Rückkauf von Beiträgen gilt sowohl für den Anspruch auf Altersrente als auch der Berechnung des Altersrentenbetrags.</t>
  </si>
  <si>
    <t xml:space="preserve">Unter folgenden Umständen sind Personen von der Pflichtversicherung ausgenommen:
   * Personen mit Gelegenheitsarbeit, deren Zweck weder das Handelstreiben noch die Fürhung eines Unternehmens ist;
   * Personen mit Wohnsitz, deren Arbeitgeber seinen Unternehmenssitz jedoch im Ausland hat;
   * Personen mit einer Beschäftigung von weniger als 8 Stunden wöchentlich;
   * Personen, die Beschäftigung und Wohnsitz in Malta haben, Beiträge jedoch in ihrem Herkunftsland zahlen;
   * Geschäftsführer von Familienunternehmen;
   * Mehrheitseigentümer in Partnerschaftsgesellschaften;
   * Arbeitnehmer, die seit einem Zeitpunkt vor dem 5. Januar 2008 eine Rente im Rahmen des maltesischen Systems beziehen;
   * Hinterbliebene Ehepartner oder Partner, die eine Witwen-/Witwerrente im Rahmen des maltesischen Systems beziehen, sofern ihr Bruttoerwerbseinkommen den nationalen Mindestlohn nicht überschreitet;
   * Personen, die als gelegentliche Sozialassistenten im Rahmen des Programms „Aktives Altern und gemeinschaftliche Pflege“ beschäftigt sind.
</t>
  </si>
  <si>
    <t>Leistungen bei Invalidität werden unter getrennten Systemen erbracht:
WIA (WGA und IVA)
Das derzeitige WIA-System, das auf dem Gesetz über Arbeit und Einkommen entsprechend der Arbeitsfähigkeit (Wet Werk en Inkomen naar Arbeidsvermogen, WIA) beruht, deckt das Risiko der Erwerbsunfähigkeit für Arbeitnehmer, denen es ab dem 1. Januar 2004 nicht möglich ist, einer Arbeit nachzugehen. Der Mindestgrad der Erwerbsunfähigkeit ist auf 35% festgelegt.
Das WIA-System ist sozialversicherungsbasiert, Leistungen sind einkommensbezogen oder basieren auf dem Existenzminimum (siehe „Leistungen – 1. Berechnungsmethode oder Rentenformel“). Es besteht aus zwei Bestimmungen:
   * Für Personen mit teilweiser Erwerbsunfähigkeit liegt der Schwerpunkt auf der Wiederaufnahme der Arbeit. Die Regelung zur Wiederaufnahme von Arbeit von Personen mit teilweiser Minderung der Erwerbsfähigkeit (Regeling Werkhervatting Gedeeltelijk Arbeidsgehandicapten, WGA) bietet Arbeitgebern und Arbeitnehmern Anreize für die Rehabilitation des Arbeitnehmers.
   * Die Regelung zur Einkommenssicherung für vollständig erwerbsunfähige Menschen (Regeling Inkomensvoorziening Volledig Arbeidsongeschikten, IVA) bietet ein Einkommen im Fall vollständiger und dauerhafter Erwerbsunfähigkeit, bei der keine oder nur geringe Aussicht auf Erholung besteht.
Wajong
Das Gesetz zur Hilfe bei Arbeitsunfähigkeit für junge Behinderte (Wet arbeidsongeschiktheidsvoorziening jonggehandicapten, Wajong) bietet eine Mindestleistung für Personen, die in jungen Jahren (vor Ende des 17. Lebensjahres) oder bis zum Alter von 30 Jahren während des Studiums (Schule oder Universität) erwerbsunfähig werden. Wajong ist steuerfinanziert.
WAO
Das bisherige System, das auf dem Invaliditätsversicherungsgesetz (Wet op de arbeidsongeschiktheidsverzekering, WAO) beruht, berechtigt Arbeitnehmer mit Behinderungen unter dem gesetzlichen Rentenalter zu Leistungen, wenn sie nach 104 Wochen der Behinderung zu mindestens 15% untauglich für eine geeignete Beschäftigung waren. Das WAO-System deckt nur Personen, die bereits vor dem 1. Januar 2004 eine WAO-Leistung bezogen.
Es ist sozialversicherungsbasiert und Leistungen sind einkommensbezogen.
Es gibt in den Niederlanden kein spezifisches Sozialhilfesystem für Invalidität.</t>
  </si>
  <si>
    <t>WIA/WAO
Ist die Einkommenskapazität nach zweijähriger Krankheit aufgrund der Invalidität noch immer vermindert, führt ein Arzt und Experte der Ausführungsbehörde für Arbeitnehmerversicherungen (Uitvoeringsinstituut werknemersverzekeringen, UWV) eine Untersuchung zur Bestimmung des Grades der Erwerbsunfähigkeit durch, indem sogenannte Einkommenseinbußen ermittelt werden, d.h. der Verlust von Einkommen aufgrund von Krankheit oder Behinderung im Bezug zum vorherigen Einkommen des Antragstellers.
In den Niederlanden ist die Ursache der Arbeitsunfähigkeit (Invalidität oder Arbeitsunfall) unerheblich. Bei der Untersuchung werden auch die Schritte berücksichtigt, die der Arbeitgeber und der Arbeitnehmer für eine vereinfachte Rückkehr an den Arbeitsplatz unternommen haben (siehe Tabelle III, „Berufliche Wiedereingliederung’).
Wajong vor 2015
Personen waren für Wajong anspruchsberechtigt, wenn ihre Einkommenskapazität unter 70% der Bezugsperson (maatman) lag (in den meisten Fällen 70% des Mindestlohns), und die Erwerbsunfähigkeit vor dem Alter von 18 Jahren eintrat (oder von 30 Jahren im Fall von Studenten).
Wajong seit 2015
Für eine Anspruchsberechtigung muss die Invalidität vor dem Alter von 18 Jahren eintreten (oder vor 30 Jahren im Fall von Studenten). Ein Arzt und Experte des Durchführungsinstituts für Arbeitnehmer-Versicherungen (Uitvoeringsinstituut werknemersverzekeringen, UWV) führt eine Untersuchung durch, um zu ermitteln, ob die Erwerbsunfähigkeit dauerhaft ist (duurzaam geen arbeidsvermogen), d.h. dass eine Person nicht in der Lage ist, eine Aufgabe innerhalb einer Arbeitsorganisation auszuüben und/oder über keinerlei reguläre Mitarbeiterkompetenzen verfügt und/oder nicht ununterbrochen für mindestens eine Stunde am Stück arbeiten kann und/oder nicht in der Lage ist, mindestens vier Stunden täglich zu arbeiten.
Mindestniveau verminderter Erwerbs-fähigkeit/Einkommenskapazität für eine Anspruchsberechtigung für Leistungen:
   * WAO (bisheriges System): 15%
   * WIA (derzeitiges System): 35%
   * Wajong: 100%</t>
  </si>
  <si>
    <t>WIA/WAO:
Nach Erschöpfung des Krankengeldes (104 Wochen, siehe Tabelle III ‘Geldleistungen bei Krankheit’) bis zum Erreichen des gesetzlichen Rentenalters. Die Anspruchsberechtigung kann früher enden, wenn der Arzt und Arbeitsmarktexperte des UWV (aus triftigem Grund) entschieden, den Invaliditätsgrad zu überprüfen und eine Absenkung unter das Mindestinvaliditätsniveau feststellten.
Im Falle verminderter Erwerbsfähigkeit bestehen keine Möglichkeiten des vorzeitigen Ruhestands.
WAO (bisheriges System):
Dauer der Anfänglichen Leistung (loondervingsuitkering) ist abhängig vom Alter des Arbeitnehmers am Tag des Bezugsbeginns der WAO-Leistung. Beispiele:
   * 6 Monate für Arbeitnehmer zwischen 33 und 37 Jahren,
   * 18 Monate für Arbeitnehmer zwischen 43 und 47 Jahren,
   * 6 Jahre für Arbeitnehmer ab 58 Jahren und
Eine Anschlussleistung (vervolguitkering) wird gezahlt, bis der Empfänger das gesetzliche Rentenalter erreicht.
Keinen Anspruch auf Anfängliche Leistung für Personen unter 33 Jahren.
WIA (derzeitiges System):
Das WIA besteht aus zwei Teilen:
   * Die Regelung zur Wiederaufnahme von Arbeit von Personen mit teilweiser Minderung der Erwerbsfähigkeit (Regeling Werkhervatting Gedeeltelijk Arbeidsgehandicapten, WGA) und
   * die Regelung zur Einkommenssicherung für vollständig erwerbsunfähige Menschen (Regeling Inkomensvoorziening Volledig Arbeidsongeschikten, IVA)
WGA: einkommensbezogene Leistung in Abhängigkeit vom bisherigen Beschäftigungsverlauf für eine Dauer von 3 bis 24 Monaten.
Zusätzliche WGA-Einkommensunterstützung / Anschlussleistung bis zum Erreichen der Regelaltersgrenze.
IVA: bei unveränderter Invalidität Leistungsgewährung bis zum Erreichen der Regelaltersgrenze (AOW-gerechtigde leeftijd).
Wajong (bisheriges System):
   * Alter von 18 Jahren bis zum Erreichen der Regelaltersgrenze. Der Arzt und Experte des UWV kann die Invalidität zu einem angemessenen Zeitpunkt überprüfen.
   * Im Falle verminderter Erwerbsfähigkeit bestehen keine Möglichkeiten des vorzeitigen Ruhestands.
Wajong (derzeitiges System):
Ab dem Alter von 18 Jahren bis zur Regelaltersgrenze. Normalerweise wird die Invalidität nicht mehr überprüft, da die Erwerbsunfähigkeit als dauerhaft angesehen wird.</t>
  </si>
  <si>
    <t>Invaliditätsleistungen (WAO, WIA und Wajong) werden monatlich ausgezahlt. Zusätzlich wird ein Urlaubsgeld in Höhe von 8% der Leistung für jeden Bezugsmonat der Invaliditätsleistung im Mai ausgezahlt.
„Letzer Lohn“ in den Paragrafen bezieht sich auf den letzten erhaltenen Bruttolohn vor Eintreten der Invalidität.
WAO (bisheriges System):
Anfängliche Leistung:
Tagegeld zwischen 14% und 75% von 100/108 vom täglichen Arbeitseinkommen des Leistungsempfängers in Abhängigkeit von der Stufe der Minderung der Erwerbsfähigkeit.
Anschlussleistung:
   * Berechnungsgrundlage: Für jedes Jahr, das der Empfänger bei Beginn seines WAO-Leistungsbezugs über 15 Jahre alt ist, wird der Mindestlohn um jeweils 2% der Differenz zwischen seinem früheren Einkommen (d.h. dem letzten Lohn vor der Invalidität) und dem gesetzlichen Mindestlohn erhöht. Auf der Basis dieses Betrages erfolgt die Leistungsberechnung.
   * Leistungsbetrag: Der Leistungsprozentsatz ist abhängig vom Invaliditätsgrad.
WIA (derzeitiges System):
IVA (vollständig erwerbsunfähige Menschen): 75% des letzten Arbeitseinkommens.
WGA:
Ein Arbeitnehmer mit teilweiser Erwerbsunfähigkeit hat Anspruch auf eine einkommensbezogene Leistung, wenn die entsprechenden Bedingungen erfüllt sind, d.h. wenn die Person in den 36 Wochen vor Beendigung der Wartezeit von 104 Wochen mindestens 26 Wochen eine Beschäftigung ausgeübt hat (vergleichbar mit WW).
Leistungsbetrag:
   * Wenn die erwerbsunfähige Person nicht arbeitet: während der ersten 2 Monate 75% des letzten Arbeitsverdienstes und anschließend 70% des letzten Arbeitsverdienstes.
Beispiel: Tagesentgelt: €100
0,7*€100 = €70
   * Wenn die teilweise erwerbsunfähige Person arbeitet: 75% des Unterschieds zwischen dem früheren und dem jetzigen Arbeitsverdienst wird zusätzlich zum Einkommen während der ersten 2 Monate gewährt. Anschließend 70%.
Beispiel: Tagesentgelt €100Einkommen €50Leistungsbetrag 0,7*(€100 - €50) = €35Daher ist das Gesamteinkommen €85.
Nach Erschöpfung der Leistung (siehe „Zeitraum der Leistungszahlung’) oder - falls die Anspruchsvoraussetzungen für die einkommensabhängige Leistung nicht erfüllt sind - unmittelbar kann eine Einkommensunterstützung oder Anschlussleistung beantragt werden:
   * 70% des Unterschieds zwischen dem früheren und dem jetzigen Arbeitsverdienst wird zu ihrem Einkommen hinzugefügt, falls die Person mindestens 50% ihrer verbleibenden Einkommenskapazität verdient.
Beispiel: Tagesentgelt war €100
verbleibende Einkommenskapazität ist €50
(Invaliditätsprozentsatz 50%)
Einkommen €40
Einkommensunterstützung 0,7*(€100-€50) = €35
Gesamteinkommen: €75
   * Verdient die Person mindestens 100% ihrer verbleibenden Einkommenskapazität, wird ihr Lohn um 70% des Unterschieds zwischen dem früheren und dem jetzigen Arbeitsverdienst ergänzt.
Beispiel: Tagesentgelt war €100
verbleibende Einkommenskapazität ist €50 (Invaliditätsprozentsatz 50%)
Einkommen €60
Einkommensunterstützung 0,7 * (€100-€60) = €28
Gesamteinkommen: €88
   * Falls die Person nach dem Ablauf der einkommensbezogenen Leistung nicht erwerbstätig ist, oder weniger als 50% der verbleibenden Einkommenskapazität verdient, beläuft sich die Zulage auf einen Anteil des gesetzlichen Mindesteinkommens abhängig vom Grad der Invalidität.
Beispiel: Tagesentgelt war €100
verbleibende Einkommenskapazität ist €50
(Invaliditätsprozentsatz 50%)
Einkommen ist €0
Anschlussleistung (und Gesamteinkommen): 35% (50%*0,7) des Mindestlohns
WAO und WIA: Anspruchsberechtigung unterliegt keiner Bedürftigkeitsüberprüfung. Der Bezug anderer Sozialleistungen hat keinen Einfluss auf den Betrag der Invaliditätsleistung.
Wajong:
Wajong-Leistungen sind unterschiedlich für erwerbsfähige Leistungsempfänger und Leistungsempfänger, die nie wieder arbeiten können (DGA, duurzaam geen arbeidsvermogen).
Nicht-erwerbsfähige Leistungsempfänger (DGA): Leistungen in der Höhe von 75% des gesetzlichen Mindestlohns (WML, wettelijk minimumloon). Das Niveau des gesetzlichen Mindestlohns ist abhängig vom Alter und variiert zwischen €1.095,90 pro Monat für Personen im Alter von 18 Jahren und €2.191,80 pro Monat für Personen im Alter von 21 Jahren seit 1. Januar 2025.
Erwerbsfähige Leistungsempfänger erhalten zusätzlich zum monatlichen Arbeitseinkommen Leistungen. Der Höchstbetrag entspricht 70% des Mindestlohnes (WML), wenn die Person nicht arbeitet. Wenn die Person arbeitet, wird 70% des Bruttolohnes von den Leistungen abgezogen. Demzufolge nimmt das gesamte Bruttoeinkommen aus Leistungen und Arbeit zu, wenn das Arbeitseinkommen steigt (30 cent pro verdientem Euro) und haben Leistungsempfänger einen Anreiz zu arbeiten.</t>
  </si>
  <si>
    <t>WIA/WAO: Keine Mindestleistung.
Wajong: Keine Mindestrente.
Wenn die Invaliditätszulage und die Arbeitslosenunterstützung zusammen niedriger sind als das Existenzminimum (sociaal minimum), kann nach dem Gesetz über Ergänzungsleistungen (Toeslagenwet, TW) ein Zuschlag gezahlt werden (Bedürftigkeitsprüfung).
WIA/WAO:
Anfängliche Leistung:
Für vollständig und Langzeit Erwerbsunfähige: 75% des letzten Bruttotageseinkommens (mit einer Höchstgrenze von €297,82 täglich).
Für vollständig aber nicht Langzeit Erwerbsunfähige: 70% des letzten Bruttotageseinkommens (mit einer Höchstgrenze von €297,82 täglich).
Für teilweise Erwerbsunfähige (WGA):
   * Wenn die erwerbsunfähige Person nicht arbeitet: 75% des letzten Bruttotageseinkommens während der ersten 2 Monate und 70% des letzten Tageseinkommens ab dem 3. Monat (mit einer Höchstgrenze von €297,82 täglich).
   * Wenn die teilweise erwerbsunfähige Person arbeitet: während der ersten zwei Monate werden 75% des Unterschieds zwischen dem früheren und dem jetzigen Arbeitsverdienst zusätzlich zum Einkommen gewährt und ab dem dritten Monat 70% des Unterschieds zwischen dem letzten Bruttolohn und dem jetzigen Arbeitsverdienst.
Anschlussleistung für teilweise Erwerbsunfähige
70% des Unterschieds zwischen 100/108 ihres letzten Bruttotageseinkommens (was sich auf den letzten erhaltenen Lohn vor der Invalidität bezieht mit einer Höchstgrenze von €297,82 täglich) und der verbleibenden Einkommenskapazität, falls die Person mindestens 50% der verbleibenden Einkommenskapazität verdient nach dem Ablauf der anfänglichen Leistung. Falls die Person nach dem Ablauf der anfänglichen Leistung nicht erwerbstätig ist, oder weniger als 50% der verbleibenden Einkommenskapazität verdient, beläuft sich die Zulage auf einen Anteil des gesetzlichen Mindesteinkommens (€2.245,91 monatlich) abhängig vom Grad der Erwerbsunfähigkeit.
Wajong: Bei voller Erwerbsunfähigkeit 75% des Mindestlohns für Jüngere.</t>
  </si>
  <si>
    <t>Duales System:
   * Durch steuerliche ‚Beiträge‘ vom Erwerbseinkommen auf Umlagebasis und zusätzlich durch Steuern finanziertes Sozialversicherungssystem (erste Säule) für alle Einwohner. Das System bietet je nach Haushaltssituation unterschiedliche pauschale Leistungen;
   * Zusatzrentensysteme aufgrund von Tarifverträgen mit Versicherungspflicht für die Mehrzahl der Arbeitnehmer (zweite Säule). Diese Systeme werden in den MISSOC-Tabellen nicht dargestellt, da sie auf Unternehmens-, Sektor- oder beruflicher Ebene organisiert sind.
   * Die Klassifizierung auf der Grundlage der Leistungsdefinition gilt nicht für die staatliche pauschal tarifierte Rentenversicherung.
Individuelle Mitgliedschaft in freiwilligen Zusatzrentensystemen ist möglich (dritte Säule).
Die unten stehenden Informationen beziehen sich ausschließlich auf das gesetzliche Sozialversicherungssystem für das Alter (erste Säule).</t>
  </si>
  <si>
    <t>Das gesetzliche Renteneintrittsalter ist an die verbleibende Lebenserwartung gebunden und steigt um 3 Monate für jede 4,5 Monate der gestiegenen Lebenserwartung. Das Renteneintrittsalter muss mindestens 5 Jahre im Voraus bekanntgegeben werden.
Das gesetzliche Renteneintrittsalter im Jahr:
   * 2025 ist 67 Jahre
   * 2026 ist 67 Jahre
   * 2027 ist 67 Jahre
   * 2028 ist 67 Jahre und 3 Monate
   * 2029 ist 67 Jahre und 3 Monate
   * 2030 ist 67 Jahre und 3 Monate</t>
  </si>
  <si>
    <t>Für jedes Versicherungsjahr erhält man 2% der vollen Rente.
Rente (monatliche Bruttobeträge, ohne Urlaubszulage), seit Juli 2025:
   * Alleinstehende: €1.612,44
   * Verheiratete und unverheiratete im gemeinsamen Haushalt lebende (unabhängig vom Geschlecht) Paare, die beide die Regelaltersgrenze erreicht haben: €1.103,97 pro Person.
Anspruch auf die volle Rente nach 50 Versicherungsjahren. Für jedes fehlende Versicherungsjahr wird der volle Rentensatz um 2% gekürzt.</t>
  </si>
  <si>
    <t>Duales System:
   * allgemeines Rentensystem für alle Einwohner und Personen, die in den Niederlanden arbeiten,
   * finanziert durch Beiträge vom Erwerbseinkommen mit pauschalen Leistungen;
Zusatzrentensysteme aufgrund von Tarifverträgen mit Versicherungspflicht für die Mehrzahl der Arbeitnehmer. Diese Systeme werden in den MISSOC-Tabellen nicht dargestellt.</t>
  </si>
  <si>
    <t>Hinterbliebenenrente wird gewährt, wenn der überlebende Ehepartner:
   * ein nicht in einem anderen Haushalt lebendes lediges Kind unter 18 Jahren hat oder
   * eine Minderung der Erwerbsfähigkeit um mindestens 45% aufweist.
Bei Erreichen der Regelaltersgrenze tritt die allgemeine Altersrente (Algemene Ouderdomswet, AOW) an die Stelle der Hinterbliebenenrente.</t>
  </si>
  <si>
    <t>Anw Hinterbliebenenrente wird gewährt, wenn:
   * wenn der verstorbene geschiedene Ehepartner versichert und rechtlich zur Unterhaltszahlung verpflichtet war.
   * Der hinterbliebene geschiedene Ehepartner: 
   * ein nicht in einem anderen Haushalt lebendes lediges Kind unter 18 Jahren hat oder
   * eine Minderung der Erwerbsfähigkeit um mindestens 45% aufweist.
Bei Erreichen der Regelaltersgrenze tritt die allgemeine Altersrente (Algemene Ouderdomswet, AOW) an die Stelle der Hinterbliebenenrente.</t>
  </si>
  <si>
    <t>Gleiche Bedingungen für eine Person, die einen Haushalt mit dem Verstorbenen geteilt hat.
Anw Hinterbliebenenrente wird gewährt, wenn der überlebende Lebenspartner:
   * ein nicht in einem anderen Haushalt lebendes lediges Kind unter 18 Jahren hat oder
   * eine Minderung der Erwerbsfähigkeit um mindestens 45% aufweist.
Bei Erreichen der Regelaltersgrenze tritt die allgemeine Altersrente (Algemene Ouderdomswet, AOW) an die Stelle der Hinterbliebenenleistung.</t>
  </si>
  <si>
    <t>Ein Kind kann nur dann Waisenleistung empfangen, wenn der Elternteil, der zuletzt gestorben ist, im Rahmen des Anw Systems versichert war. Waisenleistung endet immer, sobald das Kind das Alter von 21 Jahren erreicht.
Für Kinder unter 16 Jahren gibt es keine Sonderbedingungen.
Kinder im Alter von 16 oder 17 Jahren haben Anspruch auf Waisenleistung, wenn sie
   * täglich zur Schule gehen, um eine Basisqualifikation zu erlangen oder
   * von der Pflicht der Erlangung einer Basisqualifikation befreit sind oder
   * sie nach Erlangung einer Basisqualifikation weiterhin einer Vollzeitausbildung nachgehen.
Waisen im Alter von 18 bis 21 Jahren können Waisenleistung beziehen, wenn sie in einer Vollzeitausbildung nachgehen.
Waisen im Alter von 16 bis 21 Jahren, die als Haushaltsvorstand agieren, können jedoch Waisenleistung beziehen, wenn:
   * sie unverheiratet sind, nicht mit einem Partner zusammenleben und mehr als die Hälfte ihrer Zeit mit der Haushaltsführung verbringen und
   * der Haushalt ein weiteres Kind umfasst, das Waisenleistung bezieht, z.B. einen Bruder oder eine Schwester und
   * sie bereits eine Basisqualifikation erlangt haben und nicht verpflichtet sind, eine Basisqualifikation zu erlangen (Befreiung).</t>
  </si>
  <si>
    <t>Vollwaisen (keine Beschränkung der Kumulation mit Familienleistungen) haben Anspruch auf folgende Leistungen für Waisen:
   * jedes Kind unter 10 Jahren: €536,59 monatlich, plus eine monatliche Brutto-Urlaubsbeihilfe in Höhe von €38,94, einmal jährlich gezahlt als Pauschalbetrag.
   * jedes Kind zwischen 10 und 16 Jahren: €794,30 monatlich, eine monatliche Brutto-Urlaubsbeihilfe in Höhe von €58,42, einmal jährlich gezahlt als Pauschalbetrag.
   * jedes Kind zwischen 16 und 21 Jahren: €1.052,01 monatlich, plus eine monatliche Brutto-Urlaubsbeihilfe in Höhe von €77,89 einmal jährlich gezahlt als Pauschalbetrag.
Die monatliche Anw-Beihilfe in Höhe von €21,16 ist in den oben genannten Beträgen enthalten.
Die Bruttohinterbliebenenleistung ist auf einer solchen Höhe festgelegt, dass die Nettohinterbliebenenleistung 70% des Nettomindestlohns entspricht. Die Waisenbeihilfe entspricht einem Prozentsatz des Mindestnettolohns:
   * 32% für Waisen unter 10 Jahren,
   * 48% für Waisen im Alter von 10-15 Jahren und
   * 64% für Waisen im Alter von 16-20 Jahren.
Die Bruttoferienzahlung auf die Hinterbliebenenleistung wird so festgelegt, dass die Nettoferienzahlung auf die Hinterbliebenenleistung 70% der monatlichen Nettomindestferienzahlung entspricht.</t>
  </si>
  <si>
    <t>Obligatorische universelle Volksversicherung (folketrygden):
   * Invaliditätsleistungen (uføretrygd) basieren auf früherem Einkommen;
   * Bei der Leistung gibt es einen jährlichen Mindestbetrag für Personen mit geringem oder ohne früheres Einkommen;
   * Bei weniger als 40-jährigem früheren oder zukünftigen Wohnsitz in Norwegen (einschließlich zukünftiger Zeiträume bis zum 67. Lebensjahr) werden Invaliditätsleistungen gekürzt;
   * Invaliditätsleistungen sind nicht Teil des nationalen Rentensystems;
   * Es gibt kein besonderes Sozialhilfesystem bei Invalidität. Wie oben erwähnt gibt es eine jährliche Mindestleistung, die in den meisten Fällen als Mindestsicherung wirkt.
Umlagesystem. Finanziert durch Steuern und Beiträge.</t>
  </si>
  <si>
    <t>1. Säule:
Die Volksversicherung (folketrygden) ist ein universelles Pflichtsystem. Es ist ein Umlagesystem auf der Grundlage eines fiktiv beitragsorientierten Schemas. Finanzierung durch Steuern und Beiträge.
Das Rentensystem dieser Versicherung besteht aus folgenden Kernstücken (uneingeschränkt für vor dem Jahr 1954 geborenen Personen; alte Regelung):
   * Einkommensbasierte Zusatzrente (tilleggspensjon), beruhend auf den jährlichen Rentenpunkten (pensjonspoeng), die das Einkommensniveau widerspiegeln;
   * Grundrente (grunnpensjon), beruhend auf der Zeit des Wohnsitzes;
   * Mindestrente (minste pensjonsnivå) für diejenigen Personen, die keinen Anspruch auf eine Zusatzrente haben oder eine sehr geringe Zusatzrente beziehen. Wenn die Summe der Grundrente und der Zusatzrente geringer ist als die Mindestrente, wird der Differenzbetrag als Rentenzulage (pensjonstillegg) gezahlt.
Für Personen, die ab dem Jahr 1963 geboren sind (neue Regelung):
   * Einkommensbasierte Rente (inntektspensjon) basierend auf kumulierter Rentensparbeträge, die das Lebenseinkommen widerspiegelt;
   * Garantierte Rente (garantipensjon) basierend auf dem Aufenthaltszeitraum, für diejenigen Personen, die nur geringfügige oder keine Rentensparbeträge haben.
Personen, die zwischen den Jahren 1954 und 1962 geboren wurden, erhalten eine Rente, die proportional aus alten und neuen Regelungen berechnet wurde.
Im Rahmen der norwegischen Volksversicherung gibt es kein freiwilliges Altersrentensystem.
2. Säule:
Obligatorische berufsbezogene Rente (obligatorisk tjenestepensjon): Vom Arbeitgeber finanzierte Aufstockung der Rente der Volksversicherung.
3. Säule:
Freiwillige private Versicherung. Diese ist jedoch nicht in der Tabelle aufgeführt.</t>
  </si>
  <si>
    <t>Für alle Leistungen:
   * Renteneintrittsalter (Alter zu Beginn des Rentenbezugs);
   * Lebenserwartung der Altersgruppe.
Einkommensbasierte Rente (inntektspensjon):
   * Einkommen ab dem Alter von 13 Jahren bis zu einem Alter von 75 Jahren.
Einkommensbasierte Zusatzrente (tilleggspensjon):
   * Anzahl der Jahre mit Rentenpunkten (bis zu 40 Jahre);
   * Höhe der Rentenpunkte (pensjonspoeng) während der besten 20 Jahre.
Garantierte Rente (garantipensjon), Grundrente (grunnpensjon) und Mindestrente (minste pensjonsnivå):
   * Anzahl der Jahre des Wohnsitzes in Norwegen (bis zu 40 Jahre);
   * Familienstand.</t>
  </si>
  <si>
    <t>Einkommensbasierte Rente (inntektspensjon):
Bestimmte anrechenbare bzw. berücksichtigungsfähige beitragsfreie Zeiten:
   * Einkommen entsprechend 18% eines Betrags entsprechend dem 4,5-Fachen des Grundbetrags (Grunnbeløpet) für jedes Jahr der Kinderbetreuung von Kindern unter 6 Jahren oder der Pflege von behinderten, kranken oder älteren Personen;
   * Einkommen entsprechend dem 2,5-Fachen des Grundbetrags für jedes Jahr des verpflichteten Wehr- oder Zivildienstes;
   * Früheres Einkommen bis zum 7,1-Fachen des Grundbetrags für Empfänger von Leistungen bei Arbeitslosigkeit;
   * Geschätztes zukünftiges Einkommen bis zum 7,1-Fachen des Grundbetrags für Empfänger von Invaliditätsrenten.
Einkommensbasierte Zusatzrente (tilleggspensjon):
   * Invaliditätsrentnern werden für Zurechnungszeiten Rentenpunkte (pensjonspoeng) angerechnet;
   * Jahre der Erziehung eines Kindes unter 6 Jahren oder der Pflege behinderter, kranker oder älterer Menschen. Für solche Jahre werden jeweils mindestens 3,5 Rentenpunkte angerechnet.
Für die Anzahl von Jahren der Nichtarbeitszeit, die gutgeschrieben werden können, gibt es in beiden Systemen keine Obergrenze. Eine Einschränkung besteht aber darin, dass die Bedingungen für eine Gutschrift erfüllt werden müssen. Beispielsweise wird Kinderbetreuung nur für Kinder unter sechs Jahren anerkannt.</t>
  </si>
  <si>
    <t>Einkommensbasierte Rente (inntektspensjon):
   * Jährliche Anpassung an das Lohnwachstum der Rentensparbeträge während der Kumulation;
   * Jährliche Anpassung an die durchschnittliche Lohn- und Preissteigerung während der Auszahlung.
Die Sätze des Grundbetrags (Grunnbeløpet), der Mindestrente (minste pensjonsnivå) und der garantierten Rente (garantipensjon) werden jährlich durch den am 1. Mai in Kraft getretenen königlichen Erlass an die allgemeine Einkommensentwicklung sowie für die beiden letzteren Renten an der Erhöhung des Lebensstandards angepasst. Mindestrente und Garantierte Rente werden an die durchschnittliche Lohn- und Preissteigerung angepasst.</t>
  </si>
  <si>
    <t>Hat das verstorbene Elternteil mindestens 40 Jahre lang Versicherungsbeiträge in Norwegen geleistet, erhält das hinterbliebene Kind:
   * eine jährliche Rente entsprechend dem Grundbetrag (grunnbeløpet (NOK 130.160 (€11.038)), wenn ein Elternteil verstorben ist;
   * eine jährliche Rente entsprechend dem 2,25-fachen des Grundbetrags (grunnbeløpet), wenn beide Elternteile verstorben sind.
Hat das verstorbene Elternteil weniger als 40 Jahre lang Versicherungsbeiträge in Norwegen geleistet, werden die Beträge anteilig vermindert. Sind beide Elternteile verstorben, wird die Versicherungszeit der Person als Grundlage genommen, die am längsten Beiträge geleistet hat.
Die Leistung unterliegt keiner Bedürftigkeitsprüfung.
Bezieht das Kind eine Invaliditätsleistung, wird die Rente für hinterbliebene Kinder anteilig gekürzt. Dies gilt nur zwischen dem 18. und 20. Lebensjahr, da ein Kind mindestens 18 Jahre alt sein muss, um eine Invaliditätsleistung zu erhalten, und die Rente für hinterbliebene Kinder bis zum Alter von 20 Jahren gezahlt wird.
Renten der Volksversicherung werden monatlich ausgezahlt. Es gibt keine zusätzlichen Zahlungen, im Zusammenhang z.B. mit Sommer oder Weihnachten; von der Dezemberzahlung werden jedoch keine Steuern abgezogen.</t>
  </si>
  <si>
    <t>Beitragsfinanziertes obligatorisches Sozialversicherungssystem für Arbeitnehmer:innen mit entgeltbezogenen Renten, die von Beiträgen und der Versicherungsdauer abhängen.
Für Erwerbstätige gibt es bei geminderter Arbeitsfähigkeit oder Erwerbsunfähigkeit von voraussichtlich mindestens sechs Monaten folgende Rentenleistungen:
   * Invaliditätsrente (Rentenversicherung der Arbeiter)
   * Berufsunfähigkeitsrente (Rentenversicherung der Angestellten)
   * Erwerbsunfähigkeitsrente (Rentenversicherung der Selbstständigen und Bauern). Mehr dazu in den Informationen über den Sozialschutz von Selbstständigen auf www.missoc.org. 
   * Knappschaftsvollrente (Knappschaftliche Rentenversicherung)
Invaliditätsrente (d.h. Invaliditätsrente, Berufsunfähigkeitsrente bzw. Knappschaftsvollrente und Erwerbsunfähigkeitsrente) ist Teil des nationalen Sozialversicherungssystems.
Zu den oben genannten Renten kann bei Erfüllung der sonstigen Voraussetzungen eine Ausgleichszulage zur Sicherung eines Mindesteinkommens gewährt werden (siehe Tabelle V, Leistungen - Mindest- und Höchstleistungen).</t>
  </si>
  <si>
    <t>Sowohl Arbeitsfähigkeit der betreffenden Person als auch die Fähigkeit ein Einkommen zu erzielen spielen eine Rolle (je nachdem ob Berufsschutz besteht oder nicht - unterschiedliche Fallgruppen).
Es gibt einen unterschiedlichen Invaliditäts- bzw. Berufsunfähigkeitsbegriff für erlernte und angelernte Berufe bzw. ungelernte Tätigkeiten:
   * Bei erlernten bzw. angelernten Arbeiter:innenberufen und Angestelltenberufen (zum Teil auch bei selbstständigen Tätigkeiten) gilt Berufsschutz, wenn diese Tätigkeiten innerhalb der letzten 15 Jahre zumindest 90 Monate ausgeübt wurden. Liegen zwischen Ausbildungsende und Stichtag weniger als 15 Jahre, muss mind. die Hälfte der Kalendermonate (jedenfalls aber 12 Pflichtversicherungsmonate) – eine Erwerbstätigkeit in einem solchen erlernten/angelernten Beruf oder als Angestellte:r vorliegen, d.h. Betroffene können bei geminderter Arbeitsfähigkeit nur auf andere Berufe ihrer Berufsgruppe verwiesen werden.
   * Für Versicherte in nicht erlernten oder angelernten Berufen unter 60 Jahren gibt es keinen Berufsschutz: Sie können auf jede andere Tätigkeit auf dem allgemeinen Arbeitsmarkt verwiesen werden. Ab dem 50. Lebensjahr ist unter bestimmten Voraussetzungen eine „Härtefallregelung“ vorgesehen.
Ab Vollendung des 60. Lebensjahres liegt sowohl für Frauen als auch für Männer ein verstärkter Berufsschutz für alle (auch ungelernte) Berufsgruppen vor, wenn in den letzten 180 Kalendermonaten in zumindest 120 Kalendermonaten die gleiche Tätigkeit ausgeübt wurde.
Originäre Invalidität/Berufsunfähigkeit: Personen, die bei Eintritt in die Erwerbstätigkeit auf Grund ihrer starken gesundheitlichen Einschränkungen grundsätzlich arbeitsunfähig waren, aber dennoch mindestens 10 Beitragsjahre erworben haben.
Für Personen, die ab 1.1.1964 geboren sind: Eine Invaliditätsrente/Berufsunfähigkeitsrente bzw. Knappschaftsvollrente gebührt nur bei dauerhafter Invalidität/Berufsunfähigkeit.
Befristete Erwerbsunfähigkeitsrenten werden weiterhin bei vorübergehender Erwerbsunfähigkeit zuerkannt.
Bei befristeter Invalidität/Berufsunfähigkeit die mindestens 6 Monate andauert, besteht Anspruch auf Rehabilitationsgeld (siehe Tabelle III, Krankheit – Geldleistungen, Leistungen) oder Umschulungsgeld (siehe Tabelle X, Arbeitslosigkeit, Geldzahlungen, um Arbeitslosen den Eintritt ins Erwerbsleben zu erleichtern). Damit wird der Lebensunterhalt jener gesundheitlich beeinträchtigten Personen gesichert, die an zweckmäßigen und zumutbaren Maßnahmen der Rehabilitation teilnehmen und damit ihre Chance auf Beschäftigung steigern können.</t>
  </si>
  <si>
    <t>Pflichtversichert:
   * Alle gegen Entgelt beschäftigten Arbeitnehmer:innen und Lehrlinge.
   * Selbstständige und in den Betrieben Selbstständiger mitarbeitende Familienangehörige.
   * Freie Dienstnehmer:innen: Personen, die zwar keinen Arbeitsvertrag haben, im Wesentlichen aber wie ein:e Arbeitnehmer:in tätig werden (z.B. keine eigene betriebliche Struktur, persönliche Leistungserbringung).
Der Anspruch auf Invaliditätsrente besteht bei Pflichtversicherten unabhängig von Staatsangehörigkeit oder Wohnsitz.
Freiwillige Versicherung möglich für nicht pflichtversicherte Personen, die älter als 15 Jahre sind und im Inland ihren Wohnort haben.</t>
  </si>
  <si>
    <t>Vom Monatsersten, der dem Eintritt der Invalidität/Berufsunfähigkeit/Erwerbsunfähigkeit bzw. der späteren Antragstellung folgt. Bei Erreichung des Rentenanfallsalters wird die Rente im selben Betrag weitergewährt. Nach Erreichen des Regelrentenalters kann die Umwandlung einer Invaliditäts-, Berufsunfähigkeits-, Erwerbsunfähigkeit- bzw. Knappschaftsvollrente in eine Altersrente beantragt werden. Eine Umwandlung (mit Neuberechnung) ist allerdings nur dann möglich, wenn die für eine Altersrente geforderte Wartezeit erfüllt ist. Anderenfalls verbleibt es beim Anspruch auf Invaliditäts-, Berufsunfähigkeits-, Erwerbsunfähigkeit- bzw. Knappschaftsvollrente.
Bei Erfüllung der sonstigen Voraussetzungen besteht die Möglichkeit, eine Schwerarbeitsrente zu beanspruchen. Im Zusammenhang mit geminderter Arbeitsfähigkeit kommen zwei Fallgruppen in Betracht:
   * Personen, die Tätigkeiten unter chemischen oder physikalischen Einflüssen ausüben, wenn dadurch eine Minderung der Erwerbsfähigkeit von mindestens 10% verursacht wurde (siehe Tabelle VI, Voraussetzungen, Beschwerliche und gefährliche Arbeit).
   * Personen, die eine Tätigkeit ausüben, sofern ein Anspruch auf Pflegegeld zumindest in Höhe der Stufe 3 besteht (siehe Tabelle XII, Langzeitpflege).
Bei befristeter Rentengewährung (nur für Versicherte, die vor 1.1.1964 geboren sind): Zuerkennung jeweils für 24 Monate; für Weitergewährung ist ein neuerlicher Antrag erforderlich.</t>
  </si>
  <si>
    <t>Sofern die monatliche/n Rente/n einschließlich sonstiger Einkünfte (auch jener des:der im gemeinsamen Haushalt lebenden Ehepartner:in) die folgenden Beträge nicht erreichen, gebührt eine Ausgleichszulage in der Höhe des Differenzbetrages:
   * Einzelrichtsatz für alleinstehende:n Rentenbezieher:in: €1.273,99 (2025) pro Monat.
   * Familienrichtsatz für Rentenbezieher:in, der:die mit Ehepartner:in im gemeinsamen Haushalt lebt: €2.009,85 (2025) pro Monat.
   * Erhöhung der Ausgleichszulage für jedes Kind bis zur Vollendung des 18. Lebensjahres bzw. des 27. Lebensjahres bei Studium oder Berufsausbildung; kein Alterslimit bei Behinderung des Kindes: €196,57 (2025) pro Monat.
Ausgleichszulagen/Rentenbonus
Bei Vorliegen einer bestimmten Anzahl an Versicherungsmonaten gebührt
   * ein Ausgleichszulagenbonus, wenn eine Ausgleichszulage zu einer Eigen(Direkt)rente bezogen wird oder
   * ein Rentenbonus zur Eigen(Direkt)rente, wenn keine Ausgleichszulage bezogen wird
und wenn das Gesamteinkommen unter einem bestimmten Grenzbetrag liegt.
   * Einzelrichtsatz mind. 360 Beitragsmonate (inklusive Kindererziehungszeiten und Präsenz- und Zivildienstzeiten)Grenzwert für Gesamteinkommen: €1.386,20 (2025)Maximale Höhe: €188,60 (2025)
   * Einzelrichtsatz mind. 480 Beitragsmonate (inklusive Kindererziehungszeiten und Präsenz- und Zivildienstzeiten)Grenzwert für Gesamteinkommen: €1.656,05 (2025)Maximale Höhe: €481,00 (2025).
   * Familienrichtsatz mind. 480 Beitragsmonate (inklusive Kindererziehungszeiten und Präsenz- und Zivildienstzeiten) bei einem oder beiden Partner:innenGesamteinkommen: €2.235,34 (2025)Maximale Höhe: €480,49 (2025).
* Das Gesamteinkommen setzt sich aus der Bruttorente, ggf. der Bruttoausgleichzulage, dem auf die Ausgleichzulage anzurechnenden Nettoeinkommen aus sonstigen Einkünften, Nettoeinkünften der:s Ehepartnerin/Ehepartners (sowie eingetragnen Partners:in) und etwaigen Unterhaltsansprüchen zusammen.
Keine gesetzliche Höchstrente.</t>
  </si>
  <si>
    <t>Seit 1.1.2005: Folgende Beitragszeiten, für die Beiträge aus öffentlichen Mitteln entrichtet werden (beispielhafte Aufzählung):
   * Kindererziehungszeiten (maximal 4 Jahre pro Kind, 5 Jahre pro Mehrlingsgeburt).
   * Militär- bzw. Kriegsdienstzeiten sowie gleichgestellte Zeiten (z.B. Zivildienstzeiten).
   * Zeiten des Bezugs von Wochengeld (Zeiten des Mutterschaftsurlaubes).
   * Zeiten des Bezuges von Arbeitslosengeld bzw. Krankengeld.
Für Versicherungszeiten, die vor dem 1.1.2005 erworben wurden, sowie für Personen, die am 1.1.2005 das 50. Lebensjahr schon vollendet haben (unbegrenzt), werden die oben genannten Zeiten beitragsfrei als gleichgestellte Zeiten angerechnet.
Für Zeiten der Kindererziehung gebührt eine fixe Bemessungsgrundlage in der Höhe von €2.300,10 (2025). Für Personen, die vor dem 1.1.1955 geboren sind, beträgt die Bemessungsgrundlage €1.834,55 (2025).</t>
  </si>
  <si>
    <t>Personen, bei denen vorübergehende Invalidität/Berufsunfähigkeit im Ausmaß von zumindest sechs Monaten vorliegt, haben zunächst Anspruch auf medizinische Maßnahmen der Rehabilitation, verbunden mit Anspruch auf Rehabilitationsgeld aus der Krankenversicherung (siehe Tabelle III, Krankheit – Geldleistungen, Leistungen).
Anspruch auf berufliche Maßnahmen der Rehabilitation besteht, sobald diese zweckmäßig und zumutbar sind. Während dieser Maßnahmen besteht Anspruch auf Umschulungsgeld aus der Arbeitslosenversicherung (siehe Tabelle X, Arbeitslosigkeit, Geldzahlungen, um Arbeitslosen den Eintritt ins Erwerbsleben zu erleichtern). Damit wird der Unterhalt jener gesundheitlich beeinträchtigten Personen gesichert, die an zweckmäßigen und zumutbaren Maßnahmen der Rehabilitation teilnehmen und damit ihre Chancen auf Beschäftigung steigern können.
Menschen mit Behinderungen können ab einem festgestellten Grad der Behinderung von zumindest 50% folgende Zuschüsse beim Sozialministeriumservice beantragen:
   * Individualförderungen zur beruflichen Teilhabe von Menschen mit Behinderungen des BMSGPK, wie Beschaffung und Instandsetzung von behinderungsbedingt notwendigen technischen Arbeitshilfen zur beruflichen Teilhabe;
   * Zuschüsse oder Sachleistungen zur Adaptierung oder Erlangung bzw. Sicherung von Arbeits- und Ausbildungsplätzen;
   * Schulungskosten zur Sicherung oder Erlangung eines Arbeitsplatzes bzw. im Zuge der Aufnahme einer selbständigen Erwerbstätigkeit;
Orientierungs- und Mobilitätstraining;
   * Zuschuss zur barrierefreien Ausbildung nach Beendigung der 9. Schulstufe für den behinderungsbedingten Mehraufwand im Rahmen einer Schul- oder Berufsausbildung;
   * Anschaffung eines Assistenzhundes, wenn dieser für die Ausübung einer Erwerbstätigkeit erforderlich ist;
   * Mobilitätsförderungen wie z.B. Zuschüsse zur barrierefreien Anpassung und Umrüstung eines Kraftfahrzeuges, wenn dies für die Suche nach einem Arbeitsplatz bzw. den Antritt oder die Ausübung einer Erwerbstätigkeit erforderlich und die Benützung öffentlicher Verkehrsmittel behinderungsbedingt nicht zumutbar ist;
   * Übernahme von Kosten für Gebärdensprachdolmetschungen, wenn sie für die Erlangung und Sicherung einer Erwerbstätigkeit bzw. für berufsbezogene Schulungs- und Ausbildungsmaßnahmen (z.B. Lehrlingsausbildung, Meisterprüfung, berufliche Weiterbildung) erforderlich ist;
   * Startförderung zur Abgeltung der bei Begründung einer selbständigen Erwerbstätigkeit anfallenden Kosten;
   * Förderung barrierefreie Arbeitsplatzadaptierung für Menschen mit Behinderungen und Unternehmen um einen bestehende Arbeitsplatz zu sichern oder Menschen mit Behinderungen in die Lage zu versetzen, einen neuen Arbeitsplatz für dessen Anforderungen zu adaptieren.</t>
  </si>
  <si>
    <t>Verpflichtung der Betriebe, für jeweils 25 Beschäftigte eine:n begünstigte:n Behinderte:n (Minderung der Erwerbsfähigkeit von mindestens 50%) einzustellen oder eine Ausgleichstaxe von €335 (€472 bei Beschäftigung von 100 oder mehr Arbeitnehmer:innen bzw. €499 bei Beschäftigung von 400 oder mehr Arbeitnehmer:innen) pro offene Pflichtstelle monatlich zu zahlen.
Zuschüsse zu den Lohnkosten für Menschen mit einer Behinderung von 50% in Form einer
   * Inklusionsförderung, InklusionsförderungPlus und InklusionsförderungPlus für Frauen im Anschluss an die AMS-Eingliederungsbeihilfe für die Dauer von 12 Monaten. Die Höhe der Inklusionsförderung bzw. der Inklusionsförderung Plus beträgt monatlich 30% bzw. 37,5% des Bruttogehalts, ohne Sonderzahlungen. Die monatliche Obergrenze beträgt €1.000 bzw. €1.250
   * Entgeltzuschüsse zum Ausgleich ihrer behinderungsbedingten Leistungsminderung
   * Arbeitsplatzsicherungszuschüsse bei Gefährdung des Arbeitsplatzes können Dienstgeber:innen für Mitarbeiter:innen mit körperlichen, psychischen oder kognitiven Beeinträchtigungen oder Sinnesbehinderten, die einen Grad der Behinderung von mindestens 30 % aufweisen erhalten.
   * Mit dem Inklusionsbonus für Lehrlinge wird die Neuaufnahme von Lehrlingen mit einem Behindertenpass in einen Lehrbetrieb gefördert.
Vorteile für Dienstgeber:innen bei der Beschäftigung von begünstigten Behinderten:
   * Befreiung von der Kommunalsteuer
   * Befreiung von der Abgabe zum Familienlastenausgleichsfonds
   * Befreiung von der Kammerumlage der Wirtschaftskammer und in Wien von der U-Bahn-Steuer;
   * Prämien für die Beschäftigung eines begünstigt behinderten Lehrlings in Höhe der Ausgleichstaxe €335 (jene, die ein:e Dienstgeber:in, der:die zwischen 25 und 99 Dienstnehmer:innen beschäftigt und seiner:ihrer Verpflichtung nicht oder nicht vollständig nachkommt, zu entrichten hätte).</t>
  </si>
  <si>
    <t>Es gibt grundsätzlich immer eine jährliche Anpassung. Bei der Ermittlung des Anpassungsfaktors wird die Inflationsrate berücksichtigt: die jährliche Inflationsrate ist der Preis des gesamten fiktiven Warenkorbs in einem bestimmten Monat im Vergleich zum Preis des Warenkorbs im selben Monat des Vorjahrs. Die Höhe wird für jedes Jahr neu festgesetzt. Für das Jahr 2025 erfolgt, abhängig vom monatlichen Gesamtrenteneinkommen die Rentenerhöhung wie folgt:
   * bis €6.060 brutto mit 4,6% des Gesamtrenteneinkommens* (entspricht dem Anpassungsfaktor für das Jahr 2025).
   * ab €6.060,01 brutto mit einem Fixbetrag in Höhe von €278,76.
*Zum Gesamtrenteneinkommen zählen die Renten aus der gesetzlichen Rentenversicherung, alle Sonderrenten nach dem Sonderpensionenbegrenzungsgesetz sowie die Ruhe- und Versorgungsbezüge nach dem Bundestheaterpensionsgesetz und dem Bundesbahn-Pensionsgesetz, auf die am 31. Dezember 2024 Anspruch besteht.
Die Ausgleichszulagenrichtsätze werden im Jahr 2025 um 4,6% erhöht.</t>
  </si>
  <si>
    <t>Arbeitsgebundenes Pflichtversicherungssystem, mit Ausnahme auf Grund geringen Einkommens.
Folgende Ausnahmen von der Pflichtversicherung sind hervorzuheben:
BSVG: Wegfall der Pflichtversicherung, wenn der Einheitswert* des Betriebes unter €1.500 liegt und der Lebensunterhalt nicht überwiegend aus Ertrag des Betriebes bestritten wird.
(* Der Einheitswert ist ein vom Finanzamt für Steuerzwecke festgestellter Wert, der die Ertragsfähigkeit des land- und forstwirtschaftlichen Betriebes ausdrückt.)
GSVG:
   * Opting out: Jene Gruppen von Freiberuflern, die in gesetzlichen Interessenvertretungen (Kammern) organisiert sind, haben die Möglichkeit, aus der Pensions- bzw. Krankenversicherung auszutreten, wenn im jeweiligen Versicherungszweig eine gleichartige oder zumindest annähernd gleichwertige Versorgung der Kammermitglieder sichergestellt ist. Diese Möglichkeit besteht auch für die vom FSVG umfassten Berufsgruppen.
   * Ausnahme wegen „geringfügiger“ Einkünfte (gilt für Gewerbetreibende und Inhaber einer Konzession, nicht aber für Gesellschafter); „Kleinunternehmerregelung“: Personen, deren Umsätze €55.000 im Jahr nicht übersteigen sowie deren Einkünfte aus dieser Tätigkeit €6.613,20 (2025) im Jahr nicht übersteigen, können die Ausnahme von der GSVG Kranken-, und Pensionsversicherung beantragen wenn sie:- innerhalb der letzten 60 Kalendermonate nicht mehr als zwölf Kalendermonate nach dem GSVG/FSVG pflichtversichert waren oder- das Regelpensionsalter erreicht haben oder- das 57. Lebensjahr vollendet haben und innerhalb der letzten fünf Kalenderjahre vor Antragstellung die oben genannte Umsatz- bzw. Einkommensgrenze nicht überschritten haben.
Nichterreichen der Versicherungsgrenze: Als Freiberufler oder Neuer Selbständiger fällt man nur dann unter die Pflichtversicherung, wenn die versicherungspflichtigen Erwerbseinkünfte über einer bestimmten Grenze liegen. Die Versicherungsgrenze beträgt im Kalenderjahr 2025 €6.613,20; dies unabhängig davon, ob neben der selbständigen Erwerbstätigkeit auch andere Jobs ausgeübt oder ein Einkommen aus einer anderen Quelle bezogen wird.</t>
  </si>
  <si>
    <t>Pflichtversichert:
   * Alle gegen Entgelt beschäftigten Arbeitnehmer:innen, Lehrlinge.
   * Selbständige und in den Betrieben Selbstständiger ohne Entgelt mitarbeitende Kinder.
   * Freie Dienstnehmer:in: Personen, die zwar keinen Arbeitsvertrag haben, im Wesentlichen aber wie ein:e Arbeitnehmer:in tätig werden (z.B. keine eigene betriebliche Struktur, persönliche Leistungserbringung).
Freiwillige Versicherung möglich für nicht pflichtversicherte Personen, die älter als 15 Jahre sind und im Inland ihren Wohnort haben.
Weiters begünstigte Selbstversicherung bzw. Weiterversicherung für pflegende Angehörige möglich, die einen nahen Angehörigen ab Pflegegeldstufe 3 oder ein behindertes Kind betreuen.</t>
  </si>
  <si>
    <t>Schwerarbeitsrente:
   * Bei Schwerarbeit wird auf physische und psychische Belastungsmomente abgestellt. Diese Belastungsmomente sind in der sogenannten Schwerarbeitsverordnung festgeschrieben, die grundsätzlich nicht auf konkrete Berufe abstellt, sondern vielmehr berufsbedingt belastende Tätigkeiten normiert (z.B. Schichtdienste während der Nacht, Arbeit unter Hitze oder Kälte oder schwere körperliche Arbeit).
   * Frühestens mit Vollendung des 60. Lebensjahres.
   * Mindestens 540 Versicherungsmonate (45 Jahre), wobei innerhalb der letzten 240 Kalendermonate (20 Jahre) vor dem Stichtag mindestens 120 sogenannte Schwerarbeitsmonate (10 Jahre) vorliegen müssen.</t>
  </si>
  <si>
    <t>Ab 1.1.2005:
Beitragszeiten, für die Beiträge aus öffentlichen Mitteln entrichtet werden (keine Arbeitnehmer:innenbeiträge, beispielhafte Aufzählung):
   * Kindererziehungszeiten (maximal 4 Jahre pro Kind, im Falle einer Mehrlingsgeburt 5 Jahre), jeweils gezählt ab der Geburt des Kindes.
   * Militär- bzw. Kriegsdienstzeiten sowie gleichgestellte Zeiten (z.B. Zivildienstzeiten).
   * Zeiten des Bezuges von Wochengeld (Zeiten des Mutterschaftsurlaubes).
   * Zeiten des Bezuges von Arbeitslosengeld bzw. Notstandshilfe sowie Krankengeld.
   * Zeiten der Pflege eines behinderten Kindes (bis zur Vollendung des 40. Lebensjahres), für das erhöhte Familienbeihilfe gewährt wird, unter überwiegender Beanspruchung der Arbeitskraft in häuslicher Umgebung.
   * Zeiten der Pflege eines nahen Angehörigen mit Anspruch auf Pflegegeld zumindest der Stufe 3 unter erheblicher Beanspruchung der Arbeitskraft der pflegenden Person in häuslicher Umgebung.
Für Versicherungszeiten, die vor dem 1.1.2005 erworben wurden, sowie für Personen, die am 1.1.2005 das 50. Lebensjahr schon vollendet haben (unbegrenzt) werden die oben genannten Zeiten beitragsfrei als gleichgestellte Zeiten angerechnet.
Für Zeiten der Kindererziehung, der Pflege eines nahen Angehörigen oder eines behinderten Kindes gebührt eine fixe Bemessungsgrundlage in der Höhe von €2.300,10 (2025).
Für Personen, die vor dem 1.1.1955 geboren sind, beträgt die Bemessungsgrundlage für Kindererziehungszeiten €1.834,55 (2025).</t>
  </si>
  <si>
    <t>Schul-, Studien- oder Ausbildungszeiten werden in der Regel dann anspruchs- oder leistungswirksam, wenn für diese Zeiten ein entsprechender Beitrag (nach)entrichtet wird, wobei man die Zahlung vor dem Rentenstichtag leisten muss. Der Rückkauf bezieht sich sowohl auf den Anspruch auf eine Altersrente als auf deren Berechnung.
Berücksichtigt wird jedes volle Schuljahr, angefangen ab dem Kalenderjahr der Vollendung des 15. Lebensjahres begonnen hat und zwar
   * für jedes anrechenbare Schuljahr 12 Monate
   * für jedes anrechenbare Hochschulsemester 6 Monate und
   * Ausbildungsmonate mit der gesamten Dauer
Abhängig vom Schultyp ist folgendes Höchstausmaß vorgesehen:
   * Mittlere Schule - 24 Monate
   * Höhere Schule oder Akademie – 36 Monate
   * Hochschule/Kunstakademie/Ausbildungszeiten - 72 Monate
Wenn infolge rentenrechtlicher Änderungen die Situation entsteht, dass die nachgekauften Schul-, Studien- oder Ausbildungszeiten weder anspruchs- noch leistungswirksam werden, müssen die bereits entrichteten Beiträge für Renten mit einem Stichtag ab 1. Jänner 2004 von Amts wegen zurückbezahlt werden.</t>
  </si>
  <si>
    <t>Sofern die monatliche Rente bzw. Renten einschließlich sonstiger Einkünfte (auch jener des:der im gemeinsamen Haushalt lebenden Ehepartner:in) die folgenden Beträge nicht erreichen, gebührt eine Ausgleichszulage in der Höhe des Differenzbetrages:
   * Einzelrichtsatz für alleinstehende:n Rentenbezieher:in: €1.273,99 (2025) pro Monat.
   * Familienrichtsatz für Rentenbezieher:in, der:die mit Ehepartner:in im gemeinsamen Haushalt lebt: €2.009,85 (2025) pro Monat.
   * Erhöhung der Ausgleichszulage für jedes Kind bis zur Vollendung des 18. Lebensjahres bzw. des 27. Lebensjahres bei Studium oder Berufsausbildung; kein Alterslimit bei Behinderung des Kindes: €196,57 (2025) pro Monat.
Ausgleichszulagen/Rentenbonus
Bei Vorliegen einer bestimmten Anzahl an Versicherungsmonaten gebührt
   * ein Ausgleichszulagenbonus, wenn eine Ausgleichszulage zu einer Eigen(Direkt)rente bezogen wird oder
   * ein Rentenbonus zur Eigen(Direkt)rente, wenn keine Ausgleichszulage bezogen wird
und wenn das Gesamteinkommen unter einem bestimmten Grenzbetrag liegt.
   * Einzelrichtsatz mind. 360 Beitragsmonate (inklusive Kindererziehungszeiten und Präsenz- und Zivildienstzeiten)Grenzwert für Gesamteinkommen: €1.386,20 (2025)Maximale Höhe: €188,60 (2025)
   * Einzelrichtsatz mind. 480 Beitragsmonate (inklusive Kindererziehungszeiten und Präsenz- und Zivildienstzeiten)Grenzwert für Gesamteinkommen: €1.656,05 (2025)Maximale Höhe: €481,00 (2025)
   * Familienrichtsatz mind. 480 Beitragsmonate (inklusive Kindererziehungszeiten und Präsenz- und Zivildienstzeiten) bei einem oder beiden Partner:innenGesamteinkommen: €2.235,34 (2025)Maximale Höhe: €480,49 (2025)</t>
  </si>
  <si>
    <t>Renten werden mit Wirksamkeit ab dem 1. Jänner eines jeden Jahres grundsätzlich mit dem Anpassungsfaktor, der die Inflationsrate berücksichtigt, angepasst: Die jährliche Inflationsrate ist der Preis des gesamten fiktiven Warenkorbs in einem bestimmten Monat im Vergleich zum Preis des Warenkorbs im selben Monat des Vorjahrs. Mittels Beschluss eines "Pensionsanpassungsgesetzes" kann der Gesetzgeber davon jedoch abweichen.
Die Höhe wird für jedes Jahr neu festgesetzt. Für das Jahr 2025 erfolgt, abhängig vom monatlichen Gesamtrenteneinkommen* (brutto), die Rentenerhöhung wie folgt:
   * bis €6.060 mit 4,6% des Gesamtrenteneinkommens (entspricht dem Anpassungsfaktor für das Jahr 2025)
   * ab €6.060,01 mit einem Fixbetrag in Höhe von €278,76.
*Zum Gesamtrenteneinkommen zählen die Renten aus der gesetzlichen Rentenversicherung, alle Sonderrenten nach dem Sonderpensionenbegrenzungsgesetz sowie die Ruhe- und Versorgungsbezüge nach dem Bundestheaterpensionsgesetz und dem Bundesbahn-Pensionsgesetz, auf die am 31. Dezember 2024 Anspruch besteht.
Die Ausgleichszulagenrichtsätze werden im Jahr 2025 um 4,6% erhöht.</t>
  </si>
  <si>
    <t>BSVG und GSVG: Arbeitsgebundene Pflichtversicherung.
Folgende Ausnahmen von der Pflichtversicherung sind hervorzuheben:
BSVG: Wegfall der Pflichtversicherung, wenn Einheitswert* des Betriebes unter €1.500 liegt und der Lebensunterhalt nicht überwiegend aus Ertrag des Betriebes bestritten wird.
(* Der Einheitswert ist ein vom Finanzamt für Steuerzwecke festgestellter Wert, der die Ertragsfähigkeit des land- und forstwirtschaftlichen Betriebes ausdrückt.)
GSVG:
   * Opting out: Jene Gruppen von Freiberuflern, die in gesetzlichen Interessenvertretungen (Kammern) organisiert sind, haben die Möglichkeit, aus der Pensions- bzw. Krankenversicherung auszutreten, wenn im jeweiligen Versicherungszweig eine gleichartige oder zumindest annähernd gleichwertige Versorgung der Kammermitglieder sichergestellt ist. Diese Möglichkeit besteht auch für die vom FSVG umfassten Berufsgruppen.
   * Ausnahme wegen „geringfügiger“ Einkünfte (gilt für Gewerbetreibende und Inhaber einer Konzession, nicht aber für Gesellschafter); „Kleinunternehmerregelung“: Personen, deren Umsätze €55.000 im Jahr nicht übersteigen sowie deren Einkünfte aus dieser Tätigkeit €6.613,20 (2025) im Jahr nicht übersteigen können die Ausnahme von der GSVG Kranken-, und Pensionsversicherung beantragen wenn sie:- innerhalb der letzten 60 Kalendermonate nicht mehr als zwölf Kalendermonate nach dem GSVG/FSVG pflichtversichert waren oder- das Regelpensionsalter erreicht haben oder- das 57. Lebensjahr vollendet haben und innerhalb der letzten fünf Kalenderjahre vor Antragstellung die oben genannte Umsatz- bzw. Einkommensgrenze nicht überschritten haben.
Nichterreichen der Versicherungsgrenze: Als Freiberufler oder Neuer Selbständiger fällt man nur dann unter die Pflichtversicherung, wenn die versicherungspflichtigen Erwerbseinkünfte über einer bestimmten Grenze liegen. Die Versicherungsgrenze beträgt im Kalenderjahr 2025 €6.613,20; dies unabhängig davon, ob neben der selbständigen Erwerbstätigkeit auch andere Jobs ausgeübt oder ein Einkommen aus einer anderen Quelle bezogen wird.
Bei den oben beschriebenen Ausnahmen von der Pflichtversicherung besteht in gewissen Fällen die Möglichkeit einer freiwilligen Teilnahme an der Pensionsversicherung.</t>
  </si>
  <si>
    <t>Pflichtversichert:
   * Alle gegen Entgelt beschäftigten Arbeitnehmer:innen, Lehrlinge.
   * In den Betrieben Selbstständiger ohne Entgelt mitarbeitende Kinder.
   * Freie Dienstnehmer:innen: Personen, die zwar keinen Arbeitsvertrag haben, im Wesentlichen aber wie ein:e Arbeitnehmer:in tätig werden (z.B. keine eigene betriebliche Struktur, persönliche Leistungserbringung).
Freiwillige Versicherung möglich für nicht pflichtversicherte Personen, die älter als 15 Jahre sind und im Inland ihren Wohnort haben.</t>
  </si>
  <si>
    <t>Wenn die Hinterbliebenenrenten mangels Erfüllung der Wartezeit nicht anfallen, aber mindestens ein Beitragsmonat des:der Verstorbenen vorliegt: Abfindung in der Höhe der sechsfachen Bemessungsgrundlage, sofern die Bestimmungen des ASVG zur Anwendung gelangen. Kommen die Bestimmungen des APG zur Anwendung, beträgt die Abfindung sechs Vierzehntel jener Bemessungsgrundlage, die bei einem Arbeitsunfall gegolten hätte. (Referenzeinkommen bzw. Berechnungsgrundlage, siehe Tabelle VI).
Wenn die Wartezeit für Hinterbliebenenrenten erfüllt ist, aber keine anspruchsberechtigten Hinterbliebenen vorhanden sind: Abfindung in der Höhe der dreifachen Bemessungsgrundlage, sofern die Bestimmungen des ASVG zur Anwendung gelangen. Kommen die Bestimmungen des APG zur Anwendung, beträgt die Abfindung drei Vierzehntel der Bemessungsgrundlage, die bei einem Arbeitsunfall gegolten hätte. (Referenzeinkommen bzw. Berechnungsgrundlage, siehe Tabelle VI) der Reihe nach an die Kinder, die Mutter, den Vater oder die Geschwister des Verstorbenen, wenn diese im Zeitpunkt des Todes des:der Versicherten in Hausgemeinschaft gelebt haben und überwiegend von dem:der Verstorbenen versorgt worden sind.
Sofern die Rente einschließlich sonstiger Einkünfte die folgenden Richtsätze nicht erreicht, gebührt eine Ausgleichszulage in Höhe des Differenzbetrages:
   * Witwe:Witwer/Hinterbliebene:r eingetragene:r Partner:in: €1.273,99 (2025) pro Monat.
   * Halbwaisen bis zum 24. Lebensjahr €468,58 (2025) pro Monat, nach dem 24. Lebensjahr €832,68 (2025) pro Monat.
   * Vollwaisen bis zum 24. Lebensjahr €703,58 (2025) pro Monat, nach dem 24. Lebensjahr €1.273,99 (2025) pro Monat.
Zur Mindestgrenze der Witwen:Witwerrente unter Berücksichtigung des Einkommens des:der Hinterbliebenen siehe Tabelle VII, Leistungen 7. Mindestleistung („Schutzbetrag“).
Für zusätzlichen Anspruch auf Familienbeihilfe siehe Tabelle IX, für zusätzlichen Anspruch auf Pflegegeld siehe Tabelle XII.</t>
  </si>
  <si>
    <t xml:space="preserve">Erreicht die Summe aus gekürzter Hinterbliebenenrente und eigenem Einkommen des:der Hinterbliebenen nicht monatlich €2.547,91 brutto (2025), so ist ein entsprechender Differenzbetrag bis zum Maximum von 60% der Rente des:der Verstorbenen zu gewähren, bis das Gesamteinkommen €2.547,91 brutto (2025) erreicht („Schutzbetrag“).
Sofern die monatliche Rente bzw. Renten einschließlich sonstiger Einkünfte die folgenden Beträge nicht erreichen, gebührt eine Ausgleichszulage in der Höhe des Differenzbetrages:
   * Alleinstehende:r Rentenbezieher:in: €1.273,99 (2025) pro Monat.
   * Halbwaisen bis zum 24. Lebensjahr €468,58 (2025) pro Monat, nach dem 24. Lebensjahr €832,68 (2025) pro Monat.
   * Vollwaisen bis zum 24. Lebensjahr €703,58 (2025) pro Monat, nach dem 24. Lebensjahr €1.273,99 (2025) pro Monat.
</t>
  </si>
  <si>
    <t>Renten werden mit Wirksamkeit ab dem 1. Jänner eines jeden Jahres grundsätzlich mit dem Anpassungsfaktor, der die Inflationsrate berücksichtigt, angepasst: Die jährliche Inflationsrate ist der Preis des gesamten fiktiven Warenkorbs in einem bestimmten Monat im Vergleich zum Preis des Warenkorbs im selben Monat des Vorjahrs. Bei der Ermittlung des Anpassungsfaktors wird die Inflationsrate berücksichtigt. Mittels Beschluss eines "Rentenanpassungsgesetzes" kann der Gesetzgeber davon jedoch abweichen.
Die Höhe wird für jedes Jahr neu festgesetzt. Für das Jahr 2025 erfolgt, abhängig vom monatlichen Gesamtrenteneinkommen* (brutto), die Rentenerhöhung wie folgt:
   * bis €6.060 mit 4,6% des Gesamtrenteneinkommens (entspricht dem Anpassungsfaktor für das Jahr 2025)
   * ab €6.060,01 mit einem Fixbetrag in Höhe von €278,76.
*Zum Gesamtrenteneinkommen zählen die Renten aus der gesetzlichen Rentenversicherung, alle Sonderrenten nach dem Sonderpensionenbegrenzungsgesetz sowie die Ruhe- und Versorgungsbezüge nach dem Bundestheaterpensionsgesetz und dem Bundesbahn-Pensionsgesetz, auf die am 31. Dezember 2024 Anspruch besteht.
Die Ausgleichszulagenrichtsätze werden im Jahr 2025 um 4,6% erhöht.</t>
  </si>
  <si>
    <t>Der Mindestversicherungszeitraum (beitragspflichtige und beitragsfreie Zeiträume) hängt vom Alter bei Auftreten der Erwerbsunfähigkeit ab:
   * unter 20 Jahren: mindestens 1 Jahr Versicherungsbeiträge;
   * 20 - 22 Jahre: 2 Jahre
   * 22 - 25 Jahre: 3 Jahre
   * 25 - 30 Jahre: 4 Jahre
   * 30 Jahre und älter: 5 Jahre über die 10 Jahre unmittelbar vor Eintritt der Invalidität.</t>
  </si>
  <si>
    <t>Die Anspruchsberechtigung einer Person auf Invaliditätsrente ist verknüpft mit deren teilweisen oder vollständigen Verlust der Arbeitsfähigkeit aufgrund von Arbeitsunfall oder Berufskrankheit.
Die Kriterien, anhand denen die Anspruchsberechtigung beurteilt wird, stehen im Zusammenhang mit dem Umfang der Beeinträchtigung und der Möglichkeit einer Wiederherstellung durch Medikation und Rehabilitation und der Fähigkeit, die derzeitige Arbeit oder eine andere Art der Arbeit auszuüben sowie der Wahrscheinlichkeit einer beruflichen Umschulung (auch unter Berücksichtigung von Ausbildung und Alter).
Invalidität ist nicht definiert in Prozentsätzen oder Punkten, sondern als entweder „vollständig“ oder „teilweise“ entsprechend der verbliebenen Arbeitsfähigkeit:
   * vollständig, wenn die Person jegliche Arbeitsfähigkeit verloren hat. Dies berechtigt auf Dauerhafte Invaliditätsrente (Renta stała);
   * teilweise, wenn die Person – zu einem mittleren Ausmaß – die Fähigkeit verloren hat, die ihrer Ausbildung entrpechende Arbeit auszuüben. Dies berechtigt zu einer Teilinvaliditätsrente (Renta okresowa).
Kein Mindestmaß an Arbeitsfähigkeit/-unfähigkeit festgelegt.</t>
  </si>
  <si>
    <t>Anträge für Invaliditätsrenten werden von Ärzten und medizinischen Kommissionen der Sozialversicherungsanstalt (Zakład Ubezpieczeń Społecznych, ZUS) beurteilt.
Der Antrag muss eingereicht werden mitsamt der Bescheinigung über den Gesundheitszustand, ausgestellt vom behandelnden Arzt, sowie der Dokumentation der ärztlichen Behandlung (medizinisches Kurrikulum).
Die medizinische Bewertung der Erwerbsunfähigkeit durch die ZUS hat 2 Ebenen: die erste Instanz ist der bewertende Arzt der ZUS (die medizinische Untersuchung wird von einem Arzt durchgeführt), die zweite Instanz (Einspruch) ist die medizinische Kommission der ZUS (bestehend aus drei Ärzten).
Der bewertende Arzt der ZUS und die medizinische Kommission bescheinigen die Erwerbsunfähigkeit und ihren Grad (vollständig oder teilweise). Sie legen zudem fest:
   * das Datum des Auftretens der Erwerbsunfähigkeit;
   * die Dauer oder erwartete Dauer der Erwerbsunfähigkeit;
   * die Ursachen der Erwerbsunfähigkeit oder des Todes unter bestimmten Umständen;
   * die Unfähigkeit zu einem unabhängigen Leben;
   * die Eignung zu einer beruflichen Rehabilitation.
Die Erwerbsfähigkeit (teilweise Erwerbsunfähigkeit) wird für einen Zeitraum von höchstens 5 Jahren vom bewertenden Arzt der ZUS bescheinigt, kann aber um einen längeren Zeitraum verlängert oder als dauerhaft erklärt werden (vollständige Erwerbsunfähigkeit), wenn die Wiederherstellung der Erwerbsfähigkeit innerhalb dieses Zeitraums nur unwahrscheinlich ist.
Jede Person, die mit der Entscheidung der ersten Instanz unzufrieden ist, kann bei der medizinischen Kommission der ZUS (bestehend aus 3 Ärzten) innerhalb von 14 Tagen ab dem Tag der Entscheidungsfindung Widerspruch einlegen. Nach der Entscheidung der medizinischen Kommission der ZUS kann beim Arbeits- und Sozialversicherungsgericht innerhalb von 30 Tagen nach Erhalt der Entscheidung Widerspruch eingelegt werden.
Es gelten landesweit die gleichen Bewertungskriterien und verfahren.</t>
  </si>
  <si>
    <t>Volle Invaliditätsrente (Renta z tytułu całkowitej niezdolności do pracy):
Berechnung nach folgender Formel:
R = kb x (wpw x os x 1,3% + wpw x on x 0,7% + wpw x oh x 0,7% + 24%).
Hierbei bedeuten
   * kb: „Grundbetrag" in Höhe des nationalen Durchschnittslohns des Vorjahres abzüglich der Sozialversicherungsbeiträge;
   * wpw: Bezugslohnkoeffizient: prozentuales Verhältnis zwischen dem durchschnittlichen Bezugsentgelt der Person im Rentenberechnungszeitraum und dem entsprechenden nationalen Durchschnittslohn;
   * os: Beitragszeiten;
   * on: beitragsfreie Zeiten;
   * oh: Zurechnungszeit: wenn der Zeitraum, für den Beiträge gezahlt oder angerechnet wurden, weniger als die erforderlichen 25 Jahre beträgt, wird die Anzahl der Jahre, die zwischen dem Alter des Versicherten bei Antragstellung auf Invalidität und dem gesetzlichen Rentenalter fehlen, ebenfalls berücksichtigt (höchstens 25 Jahre).
Der Betrag der Leistung ist abhängig von früheren Einkommen.
Der Bezug von anderen Sozialleistungen hat keinen Einfluss auf den Betrag der Invaliditätsleistung.
Anspruch unterliegt keiner Bedürftigkeitsprüfung.
Teilinvaliditätsrente (Renta z tytułu częściowej niezdolnosci do pracy):
75% der vollen Invaliditätsrente.
Beide Leistungen werden monatlich ausbezahlt.
Eine zusätzliche jährliche Geldleistung (Dodatkowe roczne świadczenie pieniężne) wird wie folgt gezahlt:
   * im April – der Betrag ist derselbe wie der der Mindestaltersrente;
   * im August oder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</si>
  <si>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Mindestrente:
   * Vollinvalidität: PLN 1.878,19 (€443) pro Monat.
   * Teilinvalidität: PLN 1.409,69 (€332) pro Monat.
Höchstrente: 100% des Bezugsentgelts (wpw – siehe Tabelle V, „Leistungen, 2. Berechnungsmethode, Formel, Beträge und Zahlungshäufigkeit“).</t>
  </si>
  <si>
    <t>Die folgenden Zeiträume werden als Beitragszeiten für die Anspruchsberechtigung auf Invaliditätsrenten und für die Berechnung der zahlbaren Betrags behandelt:
   * Krankengeld (Zasilek chorobowy);
   * Rehabilitationsgeld (Świadczenie rehabilitacyjne);
   * Arbeitslosengeld (Zasiłek dla bezrobotnych);
   * Zeiten der Nichterwerbstätigkeit aus Gründen der Kinderbetreuung (bis zu 4 Jahre), beendet vor dem 1.1.1999;
   * Studium;
   * Militärdienst;
   * Zuschüsse für Pflegepersonen (zasiłek opiekuńczy).</t>
  </si>
  <si>
    <t>Die Sozialversicherungsanstalt (Zakład Ubezpieczeń Społecznych, ZUS) trifft die Entscheidung über medizinische Rehabilitation in den Fällen, in denen die Wiederherstellung der Arbeitsfähigkeit nach der Rehabilitation wahrscheinlich ist.
Die Rehabilitation setzt normalerweise nach Ausschöpfung des Bezugs der Geldleistungen (in bar) bei Krankheit (zasiłek chorobowy) ein, kann aber auch innerhalb von sechs Monaten nach dem Beginn der Invalidität erfolgen. Sie ist nicht verpflichtend.
Geldleistungen:
Während des Rehabilitationszeitraums wird Rehabilitationsgeld (Świadczenie rehabilitacyjne) für bis zu 12 Monate gezahlt. Es beträgt:
   * 90% der Bemessungsgrundlage für Krankengeld (zasiłek chorobowy) während der ersten 90 Tage;
   * 75% für den verbleibenden Zeitraum;
   * 100%, wenn die Erwerbsunfähigkeit während der Schwangerschaft auftrat oder durch Arbeitsunfall oder Berufskrankheit ausgelöst wurde.
Ausbildungsgeld (Renta szkoleniowa) wird an Empfänger von Invaliditätsrente gezahlt, denen offiziell geraten wurde, eine berufliche Umschulung zu machen. Es wird normalerweise für einen Zeitraum von 6 Monaten gewährt (der jedoch verlängert oder verkürzt werden kann). Es beträgt: 75% der Bemessungsgrundlage oder 100% dieser Grundlage, wenn die Erwerbsunfähigkeit durch einen Arbeitsunfall oder eine Berufskrankheit verursacht wurde, und es darf nicht weniger betragen als die Mindestrente für eine Person, die teilweise arbeitsunfähig ist (PLN 1.409,18 (€332)).</t>
  </si>
  <si>
    <t>Die Rente wird ausgesetzt oder gekürzt, falls der Empfänger Erwerbseinkünfte über folgenden Grenzwerten erzielt:
   * monatliche Einkünfte zwischen 70% und 130% des nationalen Durchschnittslohns: Kürzung des Grundbetrags der Rente um 24% bei Vollinvalidität bzw. um 18% bei Teilinvalidität (Renta z tytułu częściowej niezdolnosci do pracy);
   * monatliche Einkünfte von mehr als 130% des nationalen Durchschnittslohns: Rente wird eingestellt.</t>
  </si>
  <si>
    <t>Invaliditätsrente (Renta z tytułu niezdolności do pracy) kann mit anderen Leistungen kombiniert werden, mit Ausnahme von:
   * Altersrente;
   * Hinterbliebenenrente;
   * Rente, die aufgrund eines Arbeitsunfalls oder einer Berufskrankheit gewährt wurde oder
   * Leistungen bei Arbeitslosigkeit.</t>
  </si>
  <si>
    <t>Selbstständige
Wie für Arbeitnehmer.
Landwirte
Eine Person, die für eine Invalidenrente berechtigt ist, wenn sie die folgenden kumulativen Bedingungen erfüllt:
   * sie waren über die erforderliche Zeitdauer rentenversichert (1 bis 5 Jahre – je nach Alter, in dem die vollständige Erwerbsunfähigkeit in Bezug auf den Landwirtschaftsbetrieb eintrat).
   * sie sind dauerhaft oder vorübergehend nicht in der Lage, im Landwirtschaftsbetrieb tätig zu sein.
Die vollständige Erwerbsunfähigkeit in Bezug auf den Landwirtschaftsbetrieb trat in dem Zeitraum ein, in dem sie sozialversichert waren, oder nicht später als 18 Monate nach Ende der Sozialversicherungsdauer.</t>
  </si>
  <si>
    <t>Neben dem Alter ist die andere Bedingung für die Gewährung einer Altersrente (Emerytura) mit einer garantierten Mindestrente eine Mindestversicherungszeit (Beitrags- und beitragsfreie Zeiten) von 25 Jahren für Männer und 20 Jahren für Frauen.
Altersrente (Emerytura) ohne garantiertes Minimum:
   * Personen, die vor dem 1. Januar 1949 geboren wurden: Versicherungsdauer (Beitrags- und beitragsfreie Zeiten) von 20 Jahren für Männer und 15 Jahren für Frauen. Die Bedingungen gelten in Kombination mit dem Alter;
   * Personen, die nach dem 31. Dezember 1948 geboren wurden: Keine Mindestdauer erforderlich.
Kein Konzept einer vollständigen Laufbahn oder vollständigen Beitragszeiten.</t>
  </si>
  <si>
    <t>Seit 31. Dezember 2008: Vorgezogene Rente (Wcześniejsza emerytura) nur für Personen, die zwischen 1949 und 1968 geboren wurden und folgende Bedingungen erfüllen:
   * Erreichung eines Rentenalters, das niedriger ist als das reguläre, welches abhängig ist von Geschlecht und Art der Beschäftigung (z.B. 55 oder 50 Jahre für Minenarbeiter);
   * Mindestanzahl von 25 Beitragsjahren und beitragsfreien Zeiten für Männer und 20 für Frauen;
   * Ausübung eines beschwerlichen oder gefährlichen Berufs (siehe Kategorie „Beschwerliche oder gefährliche Berufe“).</t>
  </si>
  <si>
    <t>Für Personen, die vor dem 1. Januar 1949 geboren wurden:
Es gibt keine Definition von beschwerlichen oder gefährlichen Berufen. Personen, die unter besonderen Umständen oder in Berufen mit besonderen Merkmalen und in Vollzeit arbeiten, haben Anspruch auf Vorgezogene Rente (Wcześniejsza emerytura). Es gibt eine Liste von Berufen und Arbeitsarten, die unter diese Kategorie fallen.
Für Personen, die nach dem 31. Dezember 1948 geboren wurden:
Es gibt eine Definition von Berufen unter besonderen Bedingungen oder Berufen mit besonderen Merkmalen und eine Liste von Arbeitsarten.
Definition:
   * Berufe unter besonderen Bedingungen (praca w szczególnych warunkach) sind verbunden mit Risikofaktoren, die mit zunehmendem Alter mit hoher Wahrscheinlichkeit dauerhafte Gesundheitsschäden verursachen; Berufe müssen unter besonderen Arbeitsbedingungen ausgeübt werden und sind von Naturgewalten oder technologischen Prozessen bestimmt, die – trotz der Verwendung technischer, organisatorischer und medizinischer Präventivmaßnahmen – ein Gesundheitsrisiko darstellen.
   * Berufe mit besonderen Merkmalen (praca o szczególnym charakterze) sind solche, die besondere Verantwortung erfordern sowie hohe psycho-physische Effizienz und die Fähigkeit, die öffentliche Sicherheit nicht zu gefährden inklusive Gesundheit und Leben anderer. Diese Fähigkeiten können mit zunehmendem Alter abnehmen.
Personen, die unter gesundheitsschädlichen Bedingungen arbeiten oder eine bestimmte Art von Arbeit ausführen (enthalten in einer offiziellen Liste): 5 Jahre vor dem normalen Rentenalter, z. B. bei Journalisten, Glasarbeitern, Eisenbahnarbeitern; 10 Jahre z. B. bei Bergarbeitern, Personen beschäftigt im Umgang mit Blei, Kadmium oder Asbest, Stahlarbeitern, Piloten, Tauchern oder 15 Jahre z.B. bei Blasinstrumentenspielern.
Personen, die diese Berufe ausgeübt haben, haben unter bestimmten Bedingungen Anspruch auf die Überbrückungsrente (Emerytura pomostowa), die in Tabelle X – „Arbeitslosigkeit“, „Besondere Vereinbarungen für ältere Arbeitslose, 2. Bedingungen” enthalten sind.</t>
  </si>
  <si>
    <t>Personen, die vor dem 1. Januar 1949 geboren wurden:
   * Höhe des Bezugsentgelts;
   * Anzahl der Versicherungsjahre;
   * Grundbetrag.
Personen, die nach 31. Dezember 1948 geboren wurden:
   * Beitragspflichtiges Arbeitsentgelt während des gesamten Versicherungszeitraums;
   * Alter des Versicherten zum Zeitpunkt der Zuerkennung der Rente.</t>
  </si>
  <si>
    <t>Altersrente (Emerytura):
Personen, die vor dem 1. Januar 1949 geboren wurden:
Der Betrag der Altersrente wird nach folgender Formel berechnet:
E = kb x (wpw x os x 1,3% + wpw x on x 0,7% + 24%)
dabei bedeutet:
   * kb: „Grundbetrag" in Höhe des nationalen Durchschnittslohns des Vorjahres abzüglich der Sozialversicherungsbeiträge;
   * wpw: „Bezugslohnkoeffizient“: prozentuales Verhältnis zwischen dem durchschnittlichen Bezugsentgelt der Person im Rentenberechnungszeitraum und dem entsprechenden nationalen Durchschnittslohn;
   * os: Beitragszeiten;
   * on: beitragsfreie Zeiten.
Personen, die nach dem 31. Dezember 1948 geboren wurden:
Der Betrag der Altersrente wird wie folgt berechnet:
Die Höhe der Altersrente ergibt sich aus der Division der Summe der auf dem individuellen Rentenkonto angesammelten Anwartschaften durch die durchschnittliche verbleibende Lebenserwartung bei Stellung des Rentenantrags.
Größe und Zusammensetzung des Haushalts werden nicht bei der Rentenberechnung berücksichtigt.
Eine zusätzliche jährliche Geldleistung (Dodatkowe roczne świadczenie pieniężne) wird wie folgt gezahlt:
   * im April – der Betrag ist derselbe wie der der Mindestaltersrente;
   * im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</si>
  <si>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PLN 1.878,91 (€443) pro Monat. Die Mindestrente ist nur garantiert, wenn die betroffene Person:
   * 25 Jahre für Männer;
   * 20 Jahre für Frauen
beitrags- und beitragsfreie Zeiten hat.
Die Mindestrente unterliegt keiner Bedürftigkeitsprüfung.</t>
  </si>
  <si>
    <t>Personen, die vor dem 1. Januar 1949 geboren wurden:
Ein längerer Beschäftigungszeitraum wird in der Rentenformel berücksichtigt:
   * 1,3% der Bemessungsgrundlage für jedes zusätzliche Beitragsjahr
   * 0,7% der Bemessungsgrundlage für jedes beitragsfreie Jahr
Personen, die nach dem 31. Dezember 1948 geboren wurden:
Erhöhung des aus den Beiträgen angesammelten Kapitals.</t>
  </si>
  <si>
    <t>Kumulierung der Altersrente (Emerytura) mit Einkünften aus Erwerbsarbeit ist möglich, wenn der Rentner das gesetzliche Rentenalter erreicht und sein Arbeitsverhältnis beendet hat, bevor er den Anspruch auf Altersrente erworben hat (ein neuer Arbeitsvertrag kann später mit demselben Arbeitgeber abgeschlossen werden). Kumulierung ist nicht möglich und die Rente wird ausgesetzt, wenn das Arbeitsverhältnis mit demselben Arbeitgeber im Ruhestand ohne Unterbrechung fortgeführt wird.
Vorgezogene Rente (Wcześniejsza emerytura) wird eingestellt oder gekürzt, wenn die monatlichen Einkünfte des Rentners über den folgenden Grenzwerten liegen:
   * zwischen 70% und 130% des nationalen Durchschnittslohns: Kürzung des Grundbetrags der Rente um 24%;
   * mehr als 130% des nationalen Durchschnittslohns: Rente wird eingestellt.</t>
  </si>
  <si>
    <t>Kumulation mit Arbeitsunfallrente oder Berufskrankheitsrente (Renta z tytułu wypadku przy pracy lub Renta z tytułu choroby zawodowej) möglich. In diesem Fall wird der Betrag einer der beiden Leistungen gekürzt, wobei die Wahlmöglichkeit besteht zwischen:
   * volle Rente aus der Versicherung für Arbeitsunfälle und Berufskrankheiten und die Hälfte der Altersrente oder;
   * volle Altersrente und die Hälfte der Rente aus der Versicherung für Arbeitsunfälle und Berufskrankheiten.
Ab dem 1. Juli 2025 ist es möglich, die Altersrente mit der Hinterbliebenenrente zu kumulieren. In diesem Fall werden die Renten wie folgt ausgezahlt: 100% der Altersrente und 15% der Hinterbliebenenrente oder umgekehrt, wenn dies günstiger ist (d. h. 15% der Altersrente und 100% der Hinterbliebenenrente).</t>
  </si>
  <si>
    <t>Selbstständige
Wie für Arbeitnehmer.
Landwirte
Um Anspruch auf eine Altersrente zu haben, müssen Landwirte:
   * das Rentenalter erreicht haben (d. h. dasselbe wie für Arbeitnehmer: 60 – Frauen, 65 – Männer) und
   * über eine Rentenversicherungsdauer von mindestens 25 Jahren verfügen.
Um Anspruch auf eine vorzeitige Altersrente zu haben, müssen versicherte Landwirte:
   * bei Frauen das 55. Lebensjahr und bei Männern das 60. Lebensjahr vollendet haben;
   * die landwirtschaftlichen Tätigkeiten eingestellt haben;
   * seit mindestens 30 Jahren Beiträge gezahlt haben (nur Zeitraum der Agrarversicherung).
Eine solche vorgezogene Altersrente wird Landwirten gewährt, die die Voraussetzungen bis zum 31. Dezember 2017 erfüllt haben, also für Frauen, die vor dem 31. Dezember 1962 geboren wurden, und für Männer, die vor dem 31. Dezember 1957 geboren wurden. Nach diesem Datum Geborene haben keinen Anspruch auf eine vorgezogene Bauernaltersrente.</t>
  </si>
  <si>
    <t>Waisen müssen folgende Bedingungen erfüllen:
   * unter 16 Jahre alt sein (25 Jahre, falls Vollzeitstudent) oder;
   * voll erwerbsunfähig sein.
Für sonstige Kinder, die vom Versicherten unterhalten wurden (z.B. Pflegekinder, Stiefkinder, Enkelkinder und sonstige Kinder, die vom Versicherten unterhalten wurden), gelten folgende Bedingungen:
   * bei der verstorbenen Person mindestens ein Jahr vor deren Tod gelebt haben und;
   * keinen Anspruch auf eine Leistung wegen Todes ihrer eigenen Eltern haben oder falls ihre eigenen Eltern nicht ihren Unterhalt sichern können.</t>
  </si>
  <si>
    <t>Hinterbliebene Ehepartner und geschiedene Partner:
Die Höhe der Hinterbliebenenrente (Renta rodzinna) hängt von der Anzahl der Empfänger ab und wird als Prozentsatz der Alters- oder Invaliditätsrente ausgezahlt, auf die der Verstorbene Anspruch hatte oder gehabt hätte:
   * eine Person: 85%;
   * zwei Personen: 90%;
   * drei oder mehr Personen: 95%.
Dieser Betrag wird dann gleichmäßig zwischen allen Empfängern aufgeteilt.
Diese Leistung unterliegt keiner Bedürftigkeitsprüfung.
Die Hinterbliebenenrente wird zwölf Mal pro Jahr (monatlich) ausbezahlt.
Eine zusätzliche jährliche Geldleistung (Dodatkowe roczne świadczenie pieniężne) wird wie folgt gezahlt:
   * im April – der Betrag ist derselbe wie der der Mindestaltersrente;
   * im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</si>
  <si>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Halbwaisen:
Leistung wird gleichmäßig zwischen allen berechtigten Hinterbliebenen aufgeteilt, siehe oben „Leistungen: 1. Hinterbliebener Ehegatte, geschiedener Ehegatte, hinterbliebener Lebenspartner").
Vollwaisen:
   * Leistung wird gleichmäßig zwischen allen berechtigten Hinterbliebenen aufgeteilt (siehe oben „Leistungen: 1. Hinterbliebener Ehegatte, geschiedener Ehegatte, hinterbliebener Lebenspartner ");
   * Zulage von PLN 654,48 (€154) pro Monat, Anpassung wie Renten.
Die Leistung unterliegt keiner Bedürftigkeitsprüfung und wird zwölfmal pro Jahr (monatlich) ausbezahlt.
Eine zusätzliche jährliche Geldleistung (Dodatkowe roczne świadczenie pieniężne) wird wie folgt gezahlt:
   * im April – der Betrag ist derselbe wie der der Mindestaltersrente;
   * im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</si>
  <si>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Leistung wird gleichmäßig zwischen allen berechtigten Hinterbliebenen aufgeteilt (siehe oben „Leistungen: hinterbliebener Ehepartner, geschiedener Ehepartner, hinterbliebener Lebenspartner”).
Die Leistung unterliegt keiner Bedürftigkeitsprüfung und wird zwölfmal pro Jahr (monatlich) ausbezahlt.
Eine zusätzliche jährliche Geldleistung (Dodatkowe roczne świadczenie pieniężne) wird wie folgt gezahlt:
   * im April – der Betrag ist derselbe wie der der Mindestaltersrente;
   * im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</si>
  <si>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Kumulation mit Erwerbseinkommen ist möglich, aber die Rente wird ausgesetzt oder gesenkt, wenn die Einkünfte des Leistungsempfängers über den folgenden Grenzwerten liegen:
   * zwischen 70% und 130% des nationalen Durchschnittslohns: Kürzung des Grundbetrags der Rente um 24%;
   * mehr als 130% des nationalen Durchschnittslohns: Rente wird eingestellt.</t>
  </si>
  <si>
    <t>Alle Arbeitnehmer und Selbständige sind im Falle der Invalidität pflichtversichert (weitere Informationen finden sich in dem Abschnitt über Selbständige).
Für gewisse Gruppen besteht die Möglichkeit der freiwilligen Versicherung. Dazu gehören folgende:
   * Bürger und ausländische Bürger (einschließlich Bürger der Europäischen Union) oder Staatenlose, die seit mehr als einem Jahr in Portugal wohnhaft sind;
   * Staatsangehörige, die im Ausland tätig sind und nicht durch die internationalen Instrumente der Sozialversicherung abgedeckt sind, an die Portugal gebunden ist;
   * Seeleute, die als Fischer auf Fischereifahrzeugen ausländischer oder binationaler Unternehmen tätig sind;
   * Freiwillige Sozialarbeiter, die in den privaten Institutionen der sozialen Solidarität tätig sind;
   * Forschungsstipendiaten, die zum Status des Forschers festgelegte Bedingungen erfüllen und nicht durch ein Sozialschutzsystem abgedeckt sind;
   * Hochleistungssportler;
   * Hauptverantwortliche informelle Pflegepersonen (Personen, die andere dauerhaft pflegen und keine Vergütung für ihre berufliche Tätigkeit erhalten – siehe Tabelle XII – Langzeitpflege. 5. Leistungserbringer; Identifizierung informeller Pflegepersonen) 
Der Anspruch auf Invalidenleistungen ist nicht vom Wohnsitz und/oder der Staatsangehörigkeit abhängig.</t>
  </si>
  <si>
    <t>Invalidenrente (pensão de invalidez):
Seit dem 01.01.2002 versicherte Personen:
Der monatliche Rentenbetrag ergibt sich aus dem Produkt des Referenzeinkommens mit dem Rentenprozentsatz, der von der Versicherungsdauer abhängt:
   * bis zu 20 Versicherungsjahre: Rente = 2% x J x RE
J = Anzahl der Versicherungsjahre.
RE = Referenzeinkommen.
   * mehr als 20 Versicherungsjahre: variable degressive Sätze von 2,3% bis 2% für Teilbeträge des Referenzeinkommens (an die Entwicklung des Indexwerts für soziale Unterstützungen IAS (indexante dos apoios sociais = € 522,50) gebunden), zwischen dem 1,1-Fachen und dem 8-Fachen dieses Wertes.
Vor dem 31.12.2001 versicherte Personen:
Anteilige Anwendung der Rentenberechnung nach altem und nach neuem Recht für die Beitragszeit.
Invalidenrente im Rahmen der besonderen Schutzregelung bei Invalidität : Der Rentenprozentsatz beträgt 3% für jedes Beitragsjahr.
14 Rentenzahlungen pro Jahr: Weihnachts- und Urlaubsgeld in Höhe der für den entsprechenden Monat gezahlten Leistung.
Die Höhe der Invalidenrente richtet sich nach der beitragspflichtigen Berufstätigkeit und dem aus der beitragspflichtigen Berufstätigkeit erzielten Einkommen, wird monatlich gezahlt und ist nicht von einer Bedürftigkeitsprüfung abhängig.
Die Invalidenrente (nur eine Leistung) kann nur mit der Erhöhung für einen unterhaltsberechtigten Ehepartner, dem Hinterbliebenenzuschlag, der Hinterbliebenenrente und Renten aus freiwilligen oder obligatorischen ausländischen oder nationalen Systemen kumuliert werden, die den entsprechenden Betrag nicht beeinträchtigen.</t>
  </si>
  <si>
    <t>Mindestbetrag der Invalidenrente: 30% des durchschnittlichen Monatseinkommens (siehe „Berechnungsmethode bzw. Rentenformel“). Auf keinen Fall kann die Rente unter folgenden Minima liegen:
Relative Invalidität und besondere Schutzregelung bei Invalidität:
Der monatliche Mindestbetrag ist an den Indexwert für soziale Unterstützungen (indexante dos apoios sociais = € 522,50) gemäß den Sätzen entsprechend den Beitragsjahren gebunden:
   * Minimum für Rentner mit mehr als 15 Beitragsjahren: € 331,79.
   * Minimum für Rentner mit 15 bis 20 Beitragsjahren: € 348,05.
   * Minimum für Rentner mit 21 bis 30 Beitragsjahren: € 384,07.
   * Minimum für Rentner mit mehr als 30 Beitragsjahren: € 480,08.
Absolute Invalidität:
Der monatliche Mindestbetrag entspricht dem Mindestbetrag einer Rente wegen relativer Invalidität und der Altersrente bei einer Beitragsdauer von 40 Jahren.
Keine Obergrenze.</t>
  </si>
  <si>
    <t>Relative Invalidität:
Kumulierung bis zu folgenden Grenzen möglich:
   * 100% des Referenzlohns der Leistungsberechnung, falls das Entgelt auf einer Tätigkeit beruht, die der Empfänger zu Beginn der Invalidität ausübte;
   * regressive variable Werte je nach Anzahl der Versicherungsjahre zwischen dem 2- und dem 1,33fachen des Referenzlohns, wenn das Entgelt auf anderen Aktivitäten beruht.
Absolute Invalidität:
Keine Kumulierung zulässig.</t>
  </si>
  <si>
    <t>Versicherte ab dem Alter von 60 Jahren, die die Mindestversicherungszeit erfüllt haben und eine Beitragsperiode von 40 Jahren und mehr aufweisen, haben Anspruch auf eine vorzeitige Rente (System der Flexibilisierung).
Erst nach vorheriger Annahme der ihm mitgeteilten Rentenhöhe wird dem Begünstigten die vorzeitige Rente bewilligt.
Vorzeitge Rente bei langen Beitragszeiten:
wenn der Leistungsempfänger mindestens 60 Jahre alt ist und eine Beitragszeit von mindestens:
   * 48 Kalenderjahren mit entgeltbezogenen Leistungen, die in die Rentenberechnung einfließen, belegen kann; oder
   * 46 Kalenderjahren mit entgeltbezogenen Leistungen, die in die Rentenberechnung einfließen, belegen kann und vor dem 17. Lebensjahr Beiträge in das allgemeine Sozialversicherungssystem oder in die Allgemeine Rentenkasse einzahlt.
Arbeitslose: Vorzeitige Rente ab 62 Jahren, sofern sie zu Beginn der Arbeitslosigkeit mindestens 57 Jahre alt waren und die erforderliche Beitragszeit für die Gewährung der Altersrente (15 aufeinanderfolgende oder nicht aufeinanderfolgende Kalenderjahre mit gemeldeten Vergütungen) erfüllt haben. Tritt die Arbeitslosigkeit im Alter von 52 oder mehr Jahren ein und sind 22 Kalenderjahre Versicherungszeit erfüllt, ist eine Verrentung ab 57 Jahren möglich.
Bei schwerer oder gefährlicher Arbeit: in der Regel ab 55,1 Jahren (gilt nur für gesetzlich vorgesehene Berufe).
Ab 55 Jahren im Rahmen besonderer konjunktureller Maßnahmen zum Schutz von Aktivitäten oder Unternehmen.
Menschen mit Behinderungen können die vorzeitige Altersrente in Anspruch nehmen, wenn sie mindestens 60 Jahre alt sind, einen Grad der Behinderung von 80% oder mehr haben und mindestens 15 Jahre lang eine beitragspflichtige Laufbahn mit einem Behinderungsgrad von mindestens 80% aufweisen. Die vorzeitige Altersrente ist nicht an die Entwicklung der Lebenserwartung gekoppelt.</t>
  </si>
  <si>
    <t>Die Höhe der zu beziehenden Rente richtet sich nach:
   * Anzahl der Versicherungsjahre.
   * Durchschnittlicher Monatsverdienst im gesamten Beitragszeitraum.
   * Alter der antragstellenden Person.
   * Der Nachhaltigkeitsfaktor (Abschlag auf vorzeitige Renten, die sich aus dem Verhältnis zwischen der mittleren Lebenserwartung im Jahr 2000 und der im Jahr vor dem Rentenantrag ermittelten Lebenserwartung ergeben) wird nur bei der Berechnung der vorzeitigen Rente verwendet.</t>
  </si>
  <si>
    <t>Monatlicher Betrag der Altersrente (pensão de velhice):
Seit dem 01.01.2002 versicherte Personen:
Der monatliche Rentenbetrag ergibt sich aus dem Produkt des Referenzeinkommens mit dem Rentenprozentsatz, der von der Versicherungsdauer abhängt:
   * bis zu 20 Versicherungsjahre: Rente = 2% x J x RE
J = Anzahl der Versicherungsjahre.
RE = Referenzeinkommen.
   * mehr als 20 Versicherungsjahre: variable degressive Sätze von 2,3% bis 2% für Teilbeträge des Referenzeinkommens (an die Entwicklung des Indexwerts für soziale Unterstützungen IAS (indexante dos apoios sociais = € 522,50) gebunden), zwischen dem 1,1-Fachen und dem 8-Fachen dieses Wertes.
Vor dem 31.12.2001 versicherte Personen:
Monatlicher Betrag bestimmt durch die anteilige Rentenberechnung nach altem Recht und nach neuem Recht für die Beitragszeit.
 Im Fall einer vorzeitigen Rente wird der Nachhaltigkeitsfaktor angewendet, außer im Rahmen des Flexibilisierungssystems, bei langen Beitragszeiten und bei gewährten vorzeitigen Renten aufgrund von gefährlicher oder beschwerlicher Arbeit.
Zusätzliche Zahlungen erfolgen in den Monaten Juli und Dezember - Jährlich erfolgen 14 Zahlungen. Das Urlaubs- und Weihnachtsgeld entspricht jeweils dem Betrag des entsprechenden Monats.</t>
  </si>
  <si>
    <t>Es liegt keine konkrete Definition für schwere oder ungesunde Berufe vor, aber gesetzlich sind Sonderbedingungen für den Anspruch auf Altersrente für Personen vorgesehen, die einen besonders schweren oder ungesunden Beruf ausgeübt haben:
   * Bergbauarbeiter und Arbeiter der Bergbauindustrie (Förderung und Verarbeitung von Grundstein) - Anspruch auf Rente im gesetzlich geregelten Alter (66 Jahre und 7 Monate im Jahr 2025), Kürzung um ein Jahr pro 2 Jahre effektiver Erwerbstätigkeit bis zu einer Obergrenze von 50 Jahren (die unter außergewöhnlichen Umständen um bis zu 5 Jahre gekürzt werden kann) und Erhöhung um 2,2% für jeden Zeitraum von 2 Jahren der Erwerbstätigkeit bis zu einer Obergrenze von 80%);
   * Seeleute - ab 55 Jahren, wenn sie mindestens 15 Jahre als Seemann erwerbstätig waren (273 Arbeitstage gelten als ein effektives Arbeitsjahr).
   * Hochseefischer - ab 55 Jahren, wenn 15 Beitragsjahre und mindestens 30 Erwerbsjahre vorliegen (150 Arbeitstage gelten als ein Jahr).
Ab 50 Jahren (Rente für vorzeitigen körperlichen Verschleiß): bei mindestens 40 Erwerbsjahren (273 Tage gelten als ein effektives Arbeitsjahr).
   * Fluglotsen - 60 Jahre bei mindestens 22 Erwerbsjahren in operativen Funktionen;
   * Tänzer (klassisches und zeitgenössisches Ballett) - 45 Jahre bei 20 Jahren Halbtagstätigkeit oder 55 Jahre bei 10 Jahren Vollzeittätigkeit;
   * Stickerinnen auf Madeira - 60 Jahre im Fall von 15 Beitragsjahren.</t>
  </si>
  <si>
    <t>30% des durchschnittlichen Monatseinkommens (siehe „Berechnungsmethode bzw. Rentenformel“). Der Betrag darf jedoch bestimmte gesetzliche monatliche Mindestwerte nicht unterschreiten, die an den Indexwert für soziale Unterstützungen IAS (indexante dos apoios sociais) = € 522,50 gekoppelt sind. Dabei gelten je nach Beitragsdauer folgende Prozentsätze:
   * Minimum für Rentner mit mehr als 15 Beitragsjahren:€ 331,79.
   * Minimum für Rentner mit 15 bis 20 Beitragsjahren: € 348,05.
   * Minimum für Rentner mit 21 bis 30 Beitragsjahren: € 384,07.
   * Minimum für Rentner mit mehr als 30 Beitragsjahren: € 480,08.
Sonderzulage für die Mindestrente ((complemento extraordinário para pensões de mínimos de velhice): für Rentner mit einer Mindestrente, die ab dem 1. Januar 2019 oder zwischen dem 1. Januar 2017 und dem 31. Dezember 2018 gezahlt wird und deren Gesamtbetrag 1,5xIAS (€ 783,75) oder weniger beträgt.
Rentner des allgemeinen Systems mit Rentenbezug ab 2017, 2018 oder nach 2019: Monatliche Leistung in Höhe von € 5,68 bis € 23,18, je nach dem Jahr des Renteneintritts (2017, 2018 oder ab 2019) und der Dauer der beitragspflichtigen Erwerbstätigkeit.</t>
  </si>
  <si>
    <t>Berechnung nach der allgemeinen Formel. Der Betrag wird durch die Anwendung eines Reduktionsfaktors (1 - x) gesenkt.
x = Reduktionsfaktor, entsprechend dem Produkt aus dem monatlichen Betrag von 0,5% und der Anzahl der Monate der vorzeitigen Renten.
Berücksichtigt werden die vollen Monate des vorzeitigen Rentenbeginns zwischen dem Rentenantragsdatum und dem geltenden regulären Renteneintrittsalter. Die Reduktion gilt dauerhaft.
Falls die Beitragsdauer des Leistungsempfängers zum Zeitpunkt des Antrags auf vorzeitige Rente mehr als 40 Jahre beträgt, wird die Anzahl der Monate des vorzeitigen Rentenbeginns, die für die Bestimmung des Reduktionsfaktors für die Rente zu berücksichtigen ist, um 4 Monate für jedes Jahr über 40 Jahre verringert.
Keine Reduktion findet Anwendung, wenn der Leistungsempfänger 60 Jahre alt ist und mindestens Folgendes geleistet hat:
   * 48 Kalenderjahren mit entgeltbezogenen Leistungen, die in die Rentenberechnung einfließen, belegen kann; oder
   * 46 Kalenderjahren mit entgeltbezogenen Leistungen, die in die Rentenberechnung einfließen, belegen kann und vor dem 17. Lebensjahr Beiträge in das allgemeine Sozialversicherungssystem oder in die Allgemeine Rentenkasse einzahlt.
Die Kürzung des Rentenbetrags entfällt für Arbeitslose, die die Rente ab dem Alter von 62 Jahren beantragen und für solche vorzeitige Renten, die aufgrund belastender oder gefährlicher Tätigkeiten gewährt werden sowie für Menschen mit Behinderungen, die die vorzeitige Rente ab dem 60. Lebensjahr beantragen.</t>
  </si>
  <si>
    <t>Die folgenden Personen haben Anspruch auf die Hinterbliebenenleistungen (Männer und Frauen):
   * Hinterbliebener Ehepartner,
   * geschiedener oder getrennt lebender Ehepartner,
   * hinterbliebener Lebenspartner,
   * Kinder, einschließlich ungeborener Kinder und voll adoptierter Kinder sowie Stiefkinder (bei Unterhaltspflicht des verstorbenen Leistungsempfängers)
   * vom verstorbenen Versicherten unterhaltene Eltern.</t>
  </si>
  <si>
    <t>Bedingungen für den Anspruch auf die Leistung:
   * Bestand der Ehe seit mindestens einem Jahr, außer, wenn Kinder vorhanden sind oder eine Schwangerschaft vorliegt oder wenn der Tod durch Unfall verursacht war.
   * Alter von mindestens 35 Jahren (sonst Beschränkung des Rentenanspruchs auf 5 Jahre), außer, wenn Kinder mit Anspruch auf Hinterbliebenenrente vorhanden sind oder dauernde Arbeitsunfähigkeit vorliegt.
Gleiche Bedingungen für Männer und Frauen.</t>
  </si>
  <si>
    <t>Der Monatsbetrag beläuft sich auf 60% der Alters- oder Invalidenrente, die der Versicherte erhielt oder auf die er zum Zeitpunkt seines Todes Anspruch gehabt hätte. 70% dieser Renten, wenn - neben dem Ehe- oder Lebenspartner - ein rentenberechtigter früherer Ehepartner des Verstorbenen existiert.
Jährlich erfolgen 14 Zahlungen. Das Urlaubs- und Weihnachtsgeld entspricht jeweils dem Betrag des entsprechenden Monats.
Keine bedürftigkeitsabhängigen Leistungen.
Die Höhe der Hinterbliebenenrente kann für ehemalige Ehepartner, oder im Fall von Scheidung oder Aufhebung der Ehe, die Höhe der empfangenen Unterhaltszahlung zum Zeitpunkt des Todes der versicherten Person nicht überschreiten.
Die Rente wird gewährt :
   *            für 5 Jahre, wenn die berechtigte Person unter 35 Jahre alt ist, mit möglicher Verlängerung, wenn Nachkommen eine Hinterbliebenenrente beziehen, und zwar bis zum Ende dieses Anspruchs.
   *            ohne zeitliche Begrenzung, wenn die berechtigte Person mindestens 35 Jahre alt ist oder dauerhaft vollständig erwerbsunfähig ist.</t>
  </si>
  <si>
    <t>Die Hinterbliebenenrente kann kumuliert werden mit :
   * Renten, die aus beitragsabhängigen Sozialversicherungssystemen oder anderen Systemen der sozialen Absicherung, insbesondere im Ausland, gezahlt werden;
   * Nicht beitragsabhängigen Altersrenten oder mit Invaliden-, Alters- oder Hinterbliebenenrente von Systemen, die dem nicht beitragsabhängigen System weitgehend entsprechen, bis zu einem Mindestbetrag, der für die Invaliden- und Altersrente des allgemeinen Sozialversicherungssystems garantiert wird. Wird dieser Betrag überschritten, wird die im Rahmen des nicht beitragsabhängigen Systems gezahlte Rente entsprechend gekürzt.
Wird eine Hinterbliebenenrente des allgemeinen Systems mit einer im Rahmen der Absicherung gegen Arbeitsunfälle und Berufskrankheiten gezahlten Rente kumuliert, so wird die Hinterbliebenenrente des allgemeinen Systems nur entsprechend dem Betrag angepasst, der den Betrag der Rente im Bereich des Schutzes gegen Berufskrankheiten übersteigt.</t>
  </si>
  <si>
    <t xml:space="preserve">Invalidität:
Teilweiser Verlust der Arbeitsfähigkeit aufgrund von:a) Arbeitsunfällen und Berufskrankheiten;b) anderen Krankheiten und Unfällen ohne Bezug zur Erwerbstätigkeit.
In Bezug auf den Grad der Verminderung der Arbeitsfähigkeit wird Invalidität in drei Kategorien unterteilt:
   * Kategorie I: schwere Funktionsbeeinträchtigung und vollständiger Verlust der Fähigkeit zur Selbstversorgung;
   * Kategorie II: erhebliche Funktionsbeeinträchtigung bei teilweise erhaltener Fähigkeit zur Selbstversorgung;
   * Kategorie III: leichte Funktionsbeeinträchtigung und erhaltene Fähigkeit zur Selbstversorgung.
</t>
  </si>
  <si>
    <t xml:space="preserve">Gesetzlicher Versicherungsschutz auf Grundlage des Personalstatuts für Bürger mit Wohnsitz oder Aufenthalt in Rumänien (oder ohne Wohnsitz oder Aufenthalt in Rumänien entsprechend den gesetzlich bindenden internationalen Regelungen).
Pflichtsystem:
   * Personen, die Tätigkeiten auf der Grundlage eines individuellen Beschäftigungsvertrags ausführen;
   * Beamte;
   * Sonstige Kategorien, für die Sozialversicherungsbeiträge gemäß dem Steuergesetz anfallen (z.B. Arbeitslose, die Arbeitslosengeld beziehen);
   * Selbstständige, falls ihr monatliches durchschnittliches Nettoeinkommen dem Mindestbruttolohn entspricht oder ihn überschreitet, d. h. RON 4.050 (€797) überschreitet.
</t>
  </si>
  <si>
    <t>Folgende Personen sind von der Zahlung von Sozialabgaben befreit:
   * Arbeitnehmer und Selbstständige, die anderen Sozialversicherungssystemen angehören (z. B. Soldaten, Rechtanwälte, Geistliche und anderes religiöses Personal);
   * Selbstständige im Ruhestand*;
   * Selbstständige, falls ihr monatliches durchschnittliches Nettoeinkommen (abzüglich Sozialversicherungsbeiträge) unter dem Mindestbruttolohn liegt, d. h. RON 4.050 (€797).
* Die Kategorie „Selbstständige im Ruhestand“ bezieht sich auf Personen, die nach ihrer Pensionierung weiterhin selbstständige Tätigkeiten ausüben. Personen mit Rentnerstatus sind gemäß Artikel 150 Absatz 1 des rumänischen Steuergesetzbuchs nicht verpflichtet, Sozialversicherungsbeiträge auf Einkünfte aus selbstständiger Tätigkeit und geistigen Eigentumsrechten zu zahlen.</t>
  </si>
  <si>
    <t>Hauptkriterium: Verminderte Arbeitsfähigkeit. Es gibt keine Mindestangabe in Prozent oder einen bestimmten Grad von verminderter Arbeitsfähigkeit für die Anspruchsberechtigung auf Invaliditätsleistung.
Im rumänischen System zur Feststellung der Arbeitsfähigkeit wird der Schweregrad der Funktionsbeeinträchtigung von einem medizinischen Sachverständigen der Sozialversicherung anhand einer fünfstufigen Skala bewertet, die von keiner Beeinträchtigung bis zu schwerer Beeinträchtigung reicht. Die Invalidität wird dann in drei Kategorien eingeteilt, basierend auf der Fähigkeit der Person, berufliche und tägliche Aktivitäten auszuführen:
   * Kategorie I: schwere Funktionsbeeinträchtigung und vollständiger Verlust der Fähigkeit zur Selbstversorgung;
   * Kategorie II: erhebliche Funktionsbeeinträchtigung bei teilweise erhaltener Fähigkeit zur Selbstversorgung;
   * Kategorie III: leichte Funktionsbeeinträchtigung und erhaltene Fähigkeit zur Selbstversorgung.</t>
  </si>
  <si>
    <t>Invalidenrente (pensie de invaliditate) wird gewährt:
   * ab dem Tag der Beendigung der Leistung für Arbeitsunfähigkeit (Concediu medical şi indemnizaţie pentru incapacitate tem-porară de muncă), d. h. generell 183 Kalendertage nach der Verletzung;
   * oder ab dem Tag, ab dem die Person nicht mehr über das Rentensystem versichert ist;
   * ab dem Tag der Ausstellung der medizinischen Entscheidung (sofern der Antrag innerhalb von 30 Tagen nach der medizinischen Entscheidung eingereicht wird);
   * oder ab dem Tag des Antragseingangs (sofern der Antrag 30 Tage nach der medizinischen Entscheidung eingereicht wird).
Es gibt keine ausdrücklichen gesetzlichen Bestimmungen zum Mindestalter für den Bezug. Durch das Arbeitsgesetzbuch (Codul Muncii), das ein Mindestalter von 15 Jahren für die Erwerbstätigkeit vorschreibt, wird jedoch ein effektives Mindestalter vorgegeben.
Für bestimmte, gesetzlich besonders festgelegte Personengruppen im gesetzlichen Rentenalter oder im reduzierten Ruhestandsalter wird die Invalidenrente von Amts wegen in eine Altersrente umgewandelt und der Bezieher der Invalidenrente kann sich zwischen Invalidenrente und Altersrente oder Altersrente mit reduziertem Ruhestandsalter (pensie pentru limita de varsta cu reducerea varstelor standard de pensionare) entscheiden.
Keine Frührente speziell im Fall von verringerter Arbeitsfähigkeit. Ist eine Person jedoch sowohl auf eine vorgezogene Ruhestandsrente (pensie anticipata) als auch auf eine Invalidenrente (pensie de invaliditate) anspruchsberechtigt, kann sie sich entscheiden, welche der beiden Leistungen sie empfangen möchte.</t>
  </si>
  <si>
    <t>Empfänger einer Invalidenrente (pensie de invaliditate) müssen sich bis zum gesetzlichen Renteneintrittsalter abhängig von ihrer Behinderung oder Erkrankung in Abständen von ein bis drei Jahren einer medizinischen Untersuchung unterziehen.
Ausnahme:
   * Empfänger einer Invalidenrente bei unheilbarem Zustand,
   * Empfänger einer Invalidenrente, die sich bis zu 5 Jahre unterhalb des gesetzlichen Renteneintrittsalters befinden und den vollständigen beitragsabhängigen Versicherungszeitraum abgeschlossen haben.
Die Nichteinhaltung dieser Verpflichtung führt zur Einstellung oder Beendigung der Invalidenrente.
Eine Person mit Invalidenrente ist berechtigt, medizinische Untersuchungen zu beantragen.
Der Facharzt der Sozialversicherung stellt fest, ob die Einstufung beibehalten wird, eine Neueinstufung erfolgt oder ganz aufgehoben wird.</t>
  </si>
  <si>
    <t>Folgende beitragsfreie Zeiträume werden angerechnet:
   * Zeiten des Bezugs befristeter Leistungen seit dem 1. Januar 2005: z.B. Geldleistung bei vorübergehender Arbeitsunfähigkeit (indemnizatie pentru incapacitate temporara de munca) aufgrund eines Arbeitsunfalls oder Berufskrankheit usw.;
   * Zeiten des Bezugs befristeter Leistungen seit dem 1. Januar 2006: z.B. Erziehungsurlaub und -Leistungen (concediu și indemnizatie pentru cresterea copilului);
   * Zeiten eines mit einem Diplom, Bachelor, Master oder Doktortitel abgeschlossenen Vollzeit-Universitätsstudiums;
   * Wehrdienst oder Zeiträume, in denen der Betroffene einberufen oder dienstverpflichtet war oder sich in Kriegsgefangenschaft befand.
Sie werden bei der Berechnung des zahlbaren Betrags berücksichtigt.</t>
  </si>
  <si>
    <t>Mehrsäulensystem:
   * Erste Säule: mit Beiträgen von Arbeitnehmern und Selbstständigen finanziertes obligatorisches, beitragsorientiertes Sozialversicherungssystem auf Umlagebasis mit entgeltbezogenen, von der Höhe der Beiträge und der Versicherungsdauer abhängigen Leistungen; Berechnungsmethode basiert auf Punktesystem.
   * Zweite Säule: mit Beiträgen von Arbeitnehmern (und gleichgestellten Gruppen), die nach dem 1. Juli 1971 geboren sind, vollständig finanziertes, obligatorisches, kapitalgedecktes Sozialversicherungssystem mit beitragsabhängigen Leistungen.
   * Dritte Säule: beitragsfinanziertes, freiwilliges, vollständig kapitalgedecktes Sozialversicherungssystem.
   * Vierte Säule: betriebliche Altersversorgung, finanziert von Arbeitgebern und/oder durch Arbeitnehmerbeiträge (freiwilliges System).
Die 3. Säule und 4. Säule werden in den MISSOC-Tabellen nicht dargestellt.
Sozialbeihilfe für Rentner (indemnizatie sociala pentru pensionari): beitragsunabhängige Mindestleistung, zahlbar an Personen im Ruhestand, wenn der Betrag der bezogenen Leistung unter der monatlichen Schwelle von RON 1.281 (€252) liegt.</t>
  </si>
  <si>
    <t>Erste Säule:
Gesetzlicher Versicherungsschutz auf Grundlage des Personalstatuts von Bürgern mit Wohnsitz oder Aufenthalt in Rumänien (oder ohne Wohnsitz oder Aufenthalt in Rumänien entsprechend den gesetzlich bindenden internationalen Regelungen).
Pflichtsystem:
   * Personen, die Tätigkeiten auf der Grundlage eines individuellen Beschäftigungsvertrags ausführen;
   * Beamte;
   * Sonstige Kategorien, für die Sozialversicherungsbeiträge gemäß dem Steuergesetz anfallen;
   * Personen, die monatliche Zahlungen aus dem Etat der Arbeitslosenversicherung erhalten;
   * Selbstständige, falls ihr monatliches durchschnittliches Nettoeinkommen dem Mindestbruttolohn entspricht oder ihn überschreitet, d. h. RON 4.050 (€797), überschreitet;
   * Anbieter haushaltsnaher Dienstleistungen (d.h. natürliche Person, die in einem oder mehreren Haushalten Haushaltstätigkeiten erledigen kann gegen Vergütung, die ausschließlich in Form von Gutscheinen für Haushaltsaktivitäten gewährt werden darf).
Freiwilliges System:
   * Mitglieder des Systems, die nicht im allgemeinen Rentensystem integriert sind (Rechtsanwälte, Mitarbeiter in religiösen Gruppen);
   * Personen, die sich versichern wollen oder ihr versichertes Einkommen erhöhen wollen.
Zweite Säule:
Obligatorisch für Arbeitnehmer und Selbstständige, die in der ersten Säule versichert und nach dem 1. Juli 1971 geboren sind. Freiwillige Mitgliedschaft möglich für Personen, die zwischen dem 1. Juli 1961 und dem 1. Juli 1971 geboren sind.</t>
  </si>
  <si>
    <t xml:space="preserve">Erste Säule:
   * Arbeitnehmer und Selbstständige, die anderen Sozialversicherungssystemen angehören (z. B. Soldaten, Rechtanwälte, Personal religiöser Gemeinschaften).
   * Selbstständige im Ruhestand.
   * Selbstständige, falls ihr monatliches durchschnittliches Nettoeinkommen (abzüglich Sozialversicherungsbeiträge) unter dem Mindestbruttolohn liegt, d. h. RON 4.050 (€797).
Zweite Säule:
   * Personen, die vom Versicherungsschutz der ersten Säule ausgenommen sind.
   * Arbeitnehmer im Bausektor, der Landwirtschaft und Lebensmittelindustrie.
</t>
  </si>
  <si>
    <t>Erste Säule:
Altersrente mit reduziertem Ruhestandsalter (pensie pentru limita de varsta cu reducerea varstelor standard de pensionare):
Das Regelpensionsalter wird herabgesetzt für:
   * Personen, die unter besonderen, schwierigen oder anderen bestimmten Bedingungen arbeiteten,
   * Personen, die während der Arbeitsunfähigkeit Beiträge in das Rentensystem gezahlt haben,
   * Personen, die von dem ab dem 6. März 1945 herrschenden Regime aus politischen Gründen verfolgt, deportiert oder als Kriegsgefangene inhaftiert wurden,
   * Erblindete Personen,
   * Personen, die den vollständigen beitragsabhängigen Versicherungszeitraum um mindestens 5 Jahre überschreiten,
   * Frauen, die den vollständigen beitragsabhängigen Versicherungszeitraum erfüllt haben und die Kinder geboren und bis zum Alter von 16 Jahren großgezogen haben,
   * andere, gesetzlich besonders festgelegte Personengruppen.
Vorgezogene Ruhestandsrente (pensie anticipata):
Bewilligt bis zu 5 Jahre vor dem gesetzlichen Renteneintrittsalter für Personen, die den vollständigen beitragsabhängigen Versicherungszeitraum um höchstens 5 Jahre überschreiten.
Vollständiger beitragsabhängiger Versicherungszeitraum:
Männer: 35 Jahre
Frauen: 33 Jahre, bis 1. Januar 2030 stufenweise angehoben auf 35 Jahre.
Zweite Säule:
Altersrente mit reduziertem Ruhestandsalter (pensie pentru limita de varsta cu reducerea varstelor standard de pensionare) aus dem Umlagesystem (erste Säule) wird Personen mit ausreichendem persönlichem Pensionsvermögen gewährt.</t>
  </si>
  <si>
    <t>Erste Säule:
Personen, die den vollständigen beitragsabhängigen Versicherungszeitraum geleistet haben, haben Anspruch auf Altersrente mit reduziertem Ruhestandsalter, wenn sie Mindestversicherungszeiten geleistet haben in:
   * besonderen und schwierigen Arbeitsbedingungen;
   * den früheren Arbeitsgruppen I und II, welche bis 1. April 2011 existierten.
Die maximale Reduzierung des Rentenalters ist für Personen, die unter schwierigen Bedingungen oder im Rahmen der früheren Arbeitsgruppe II gearbeitet haben, auf 7 Jahre und für Personen, die unter besonderen Bedingungen oder unter der früheren Arbeitsgruppe I gearbeitet haben, auf 10 Jahre begrenzt. Besondere Befreiungen gelten jedoch für bestimmte Arbeitsstätten, die als Arbeitsstätten mit besonderen Bedingungen eingestuft sind und an denen das Rentenalter um 11, 13, 18 oder sogar 20 Jahre gesenkt werden kann, sofern die gesetzlich vorgeschriebenen Beitragszeiten erfüllt wurden.
Als Arbeitsplätze mit besonderen Bedingungen sind diejenigen definiert, an denen der Belastungsgrad mit Berufsrisiken oder Bedingungen, die spezifisch für bestimmte Bereiche des öffentlichen Dienstes sind, für die Gesamtdauer der normalen Arbeitszeit langfristig zu Berufskrankheiten oder gefährlichem Arbeitsverhalten führen können mit ernsten Konsequenzen für Sicherheit und Gesundheit von Versicherten bei der Arbeit.
Als Arbeitsplätze mit schwierigen Bedingungen werden diejenigen definiert, an denen der Belastungsgrad mit Berufsrisiken oder Bedingungen, die spezifisch für bestimmte Bereiche des öffentlichen Dienstes sind, für mindestens 50% der normalen Arbeitszeit langfristig zu Berufskrankheiten oder gefährlichem Arbeitsverhalten führen können mit ernsten Konsequenzen für Sicherheit und Gesundheit von Versicherten bei der Arbeit.
Zweite Säule:
Keine formale Anerkennung von Arbeitnehmern in beschwerlichen und gefährlichen Berufen.</t>
  </si>
  <si>
    <t>Erste Säule:
Für den Anspruch auf Altersrente (pensie pentru limita de varsta) und Altersrente mit reduziertem Ruhestandsalter (pensie pentru limita de varsta cu reducerea varstelor standard de pensionare) werden folgende beitragsunabhängige Anrechnungszeiten berücksichtigt:
   * Zeiträume, in denen nach dem 1. Januar 2006 Erziehungsurlaub und -Leistungen (concediu și indemnizatie pentru cresterea copilului) bezogen werden;
   * Zeiten der Arbeitslosigkeit nach dem 1. April 2001, in denen Personen Arbeitslosengeld bezogen haben.
Folgende beitragsfreie Zeiträume werden bei der Berechnung der zu zahlenden Altersrente (pensie pentru limita de varsta) und Altersrente mit reduziertem Ruhestandsalter (pensie pentru limita de varsta cu reducerea varstelor standard de pensionare) berücksichtigt:
   * Zeiten des Bezugs befristeter Leistungen seit dem 1. Januar 2005: d. h Geldleistung bei vorübergehender Arbeitsunfähigkeit (indemnizatie pentru incapacitate temporara de munca) aufgrund eines Arbeitsunfalls oder einer Berufskrankheit;
   *  Zeiten des Bezugs befristeter Leistungen seit dem 1. Januar 2006 für Erziehungsurlaub und -Leistungen (concediu și indemnizatie pentru cresterea copilului), gewährt für das Aufziehen eines Kindes bis 2 Jahre oder, bei Kindern mit Behinderung, bis 3 Jahre;
   * Zeiten der Arbeitslosigkeit nach dem 1. April 2001, während denen Leistungen bei Arbeitslosigkeit bezogen wurden;
   * Zeiten eines mit einem Diplom, Bachelor-, Master- oder Doktortitel abgeschlossenen Vollzeit-Universitätsstudiums;
   * Wehrdienst oder Zeiträume, in denen der Betroffene einberufen oder dienstverpflichtet war oder sich in Kriegsgefangenschaft befand.
Zweite Säule:
Nicht anwendbar.</t>
  </si>
  <si>
    <t>Erste Säule:
Nachkauf von Versicherungszeiten ist möglich (sowohl für den Anspruch auf Altersrente als auch für die Berechnung des Betrags) für Personen, die einen Versicherungsvertrag abschließen. Nur Versicherungszeiten, die dem normalen Rentenalter vorausgehen, können rückwirkend gekauft werden mit einer Höchstdauer von 6 Jahren vor der Unterzeichnung des Vertrags.
Für den Nachkauf von Beiträgen müssen verschiedene Bedingungen erfüllt sein. Die Person:
   *  war zum Zeitpunkt des Abschlusses des Sozialversicherungsvertrags kein Rentner;
   * hatte während des Zeitraums, für den die Versicherung beantragt wurde, keinen Beitragszeitraum oder einen dem Beitragszeitraum gleichgestellten Zeitraum im staatlichen Rentensystem oder in einem darin integrierten Sozialversicherungssystem abgeschlossen;
   * unterlag während des Zeitraums, für den die Versicherung beantragt wurde, keiner Versicherungspflicht im staatlichen Rentensystem.
Zweite Säule:
Nachkauf von Versicherungszeiten ist nicht möglich.</t>
  </si>
  <si>
    <t>Erste Säule:
Kumulation mit Erwerbseinkommen:
   * Rentner mit einer Altersrente (pensie pentru limita de varsta) und Altersrente mit reduziertem Ruhestandsalter (pensie pentru limita de varsta cu reducerea varstelor standard de pensionare): Kumulation möglich. Der Betrag der Altersrenten wird nicht gekürzt.
   * Rentner mit einer vorgezogenen Ruhestandsrente (pensie anticipata): Kumulation nicht möglich.
Kumulation mit Einkommen aus Selbstständigkeit:
   * Rentner mit einer Altersrente, Altersrente mit reduziertem Ruhestandsalter und vorgezogene Ruhestandsrente: Kumulation möglich.
Die Neuberechnung der Rente ist einmal jährlich möglich, basierend auf der Altersrentenformel unter Aktualisierung der Gesamtzahl der Punkte.
Zweite Säule:
Kumulation mit Erwerbseinkommen möglich. Keine Kürzung des Leistungsbetrags.</t>
  </si>
  <si>
    <t>Gesetzlicher Versicherungsschutz auf Grundlage des Personalstatuts für Bürger mit Wohnsitz oder Aufenthalt in Rumänien (oder ohne Wohnsitz oder Aufenthalt in Rumänien entsprechend den gesetzlich bindenden internationalen Regelungen).
Pflichtsystem:
   * Personen, die Tätigkeiten auf der Grundlage eines individuellen Beschäftigungsvertrags ausführen;
   * Beamte;
   * Sonstige Kategorien, für die Sozialversicherungsbeiträge gemäß dem Steuergesetz anfallen (z.B. Arbeitslose, die Arbeitslosengeld beziehen);
   * Selbstständige, falls ihr monatliches durchschnittliches Nettoeinkommen dem Mindestbruttolohn entspricht oder ihn überschreitet, d. h. RON 4.050 (€797)
   * Anbieter haushaltsnaher Dienstleistungen.</t>
  </si>
  <si>
    <t>Altersbedingungen:
Gesetzliches Renteneintrittsalter und Ehedauer von mindestens 15 Jahren (10 Jahre mit Abzug vom Betrag der Hinterbliebenenrente).
Altersunabhängige Bedingungen:
   * die Ehe muss mindestens 1 Jahr bestanden haben und eine Invalidität der Kategorien I oder II vorliegen oder
   * das Bruttoeinkommen liegt unter dem Mindestbruttolohn, d. h. RON 4.050 (€797) monatlich, und Betreuung eines Kindes unter 7 Jahren.
Erfüllt der Hinterbliebene Ehegatte die oben genannten Bedingungen nicht, hat er dennoch Anspruch auf eine Hinterbliebenenrente (pensie de urmas) für einen begrenzten Zeitraum (6 Monate nach dem Tod des unterhaltsverpflichteten Ehegatten), wenn in diesem Zeitraum das Einkommen unterhalb des Mindestbruttolohns, d. h. RON 4.050 (€797) monatlich liegt.
Es gibt bezüglich der Bedingungen und der angewandten Berechnungsformel keine Geschlechtsunterschiede zwischen Hinterbliebenen Ehepartnern.</t>
  </si>
  <si>
    <t>Kumulation mit Erwerbseinkommen:
   * Hinterbliebener Ehepartner: Kumulation erlaubt, wenn das Bruttoeinkommen unterhalb des Mindestbruttolohns, d. h. RON 4.050 (€797) monatlich, liegt;
   * Vollwaisen: Kumulation erlaubt.
Der Leistungsbetrag wird nicht gekürzt.</t>
  </si>
  <si>
    <t>Obligatorisches öffentliches System mit einkommensbezogenen Leistungen, finanziert durch Beiträge der Arbeitnehmer und Selbstständigen, im Fall von Arbeitsunfähigkeit, und steuerfinanzierten Leistungen für alle Einwohner zur Deckung von besonderen Bedarfe.
Krankheitsausgleich (sjukersättning) oder Aktivitätsausgleich (aktivitetsersättning) kann Personen mit vollständiger oder teilweiser Reduktion der Arbeitsfähigkeit gewährt werden.
Sie bestehen aus zwei Teilen:
   * dem aus Beiträgen der Arbeitnehmer und Selbstständigen finanzierten Einkommensbezogenen Aktivitäts-/Krankheitsausgleich (inkomstrelaterad sjukersättning/aktivitetsersättning);
   * dem steuerfinanzierten Krankheits- und Aktivitätsausgleich in der Form des Garantierten Ausgleichs (garantiersättning), der eine Form grundlegenden Schutzes für Einwohner ohne oder mit nur geringem einkommensbezogenen Ausgleich darstellt.
Kein spezifisches System. Es gilt das allgemeine System der Mindestsicherung (siehe Tabelle XI).</t>
  </si>
  <si>
    <t>Einkommensbezogener Krankheits-/Aktivitätsausgleich (inkomstrelaterad sjukersättning/aktivitetsersättning): Mindestens 1 Jahr mit einem rentenfähigen Einkommen in einer Rahmenperiode unmittelbar vor dem Jahr des Eintritts der Arbeitsunfähigkeit, deren Dauer vom Alter des Berechtigten bei Eintritt der Invalidität abhängt:
   * 5 Jahre bei einem Alter von 53 oder mehr Jahren;
   * 6 Jahre bei einem Alter zwischen 50 und 52 Jahren;
   * 7 Jahre bei einem Alter zwischen 47 und 49 Jahren;
   * 8 Jahre bei einem Alter bis zu 46 Jahren.
Garantierter Ausgleich (garanti-ersättning): Mindestens 3 Jahre Wohnsitz in Schweden.</t>
  </si>
  <si>
    <t>Aktivitätsausgleich (aktivitetsersättning): Während Zeiten der Minderung der Erwerbsfähigkeit ab Vollendung des 19. Lebensjahres bis zum Alter von 29 Jahren. Die Leistung wird immer für einen begrenzten Zeitraum gewährt (maximal 3 Jahre).
Krankheitsausgleich (sjukersättning): Während Zeiten der Minderung der Erwerbsfähigkeit ab Vollendung des 19. Lebensjahres bis zum Alter von 65 Jahren. Die Leistung wird unbegrenzt gewährt, sofern die Arbeitsunfähigkeit:
   * dauerhaft und vollständig für Personen im Alter von 19 bis 29 Jahren ist;
   * dauerhaft, vollständig oder teilweise gemindert für Personen im Alter von 30 bis 65 Jahren ist.
Bei Vollendung des 66. Lebensjahres wird die Leistung durch die Altersrente abgelöst.
Der Anspruch auf den Aktivitätsausgleich und den Krankheitsausgleich ist nicht von dem vorhergehenden Bezug von Krankengeld abhängig.
Aktivitätsausgleich und Krankheitsausgleich können rückwirkend bis zu drei Monate vor der Anfrage für die Leistung gewährt werden.</t>
  </si>
  <si>
    <t>Einkommensbezogener Krankheits-/Aktivitätsausgleich (inkomstrelaterad sjukersättning/aktivitetsersättning):
Die Leistung wird dem Grad der Erwerbsminderung entsprechend in vier Stufen gezahlt. Bei vollständiger Erwerbsunfähigkeit beträgt die Leistung 64,7% des angenommenen zukünftigen Einkommens der Person bis zu einer Grenze von SEK 441.000 (€40.091).
Das Einkommen wird nach dem Durchschnitt der drei höchsten Brutto-Jahreseinkommen innerhalb einer Rahmenperiode, die unmittelbar dem Jahr des Eintritts der Invalidität vorausgeht; berechnet. Diese Rahmenperiode beträgt:
   * 5 Jahre bei einem Alter von 53 oder mehr Jahren;
   * 6 Jahre bei einem Alter zwischen 50 und 52 Jahren;
   * 7 Jahre bei einem Alter zwischen 47 und 49 Jahren;
   * 8 Jahre bei einem Alter bis höchstens 46 Jahre.
Garantierte Vergütung (garantiersättning):
Für all diejenigen, die einen geringen oder keinen einkommensbezogenen Kranheits-/Aktivitätsausgleich beziehen. Erforderlich sind 40 Jahre Wohnsitz. Für jedes fehlende Jahr wird der Betrag um 1/40 gekürzt.
Bei einer Erwerbsunfähigkeit von 100% wird der volle Krankheits-/Aktivitätsausgleich in Form der Garantierten Vergütung (sjukersättning/aktivitetsersättning I form av garantiersättning) gezahlt.
Die monatlichen Beträge sind:
   * unter 21 Jahren Wohnsitz: SEK 12.152 (€1.105)
   * 21 - 23 Jahre: SEK 12.397 (€1.127)
   * 23 - 25 Jahre: SEK 12.642 (€1.149)
   * 25 - 27 Jahre: SEK 12.887 (€1.172)
   * 27 - 29 Jahre: SEK 13.132 (€1.194)
   * 29 - 30 Jahre: SEK 13.377 (€1.216)
   * Ab 30 Jahren: SEK 13.622 (€1.238)
Die Höhe der Garantierten Vergütung wird gekürzt, wenn sie mit dem einkommensbezogenen Krankheits-/Aktivitätsausgleich kumuliert wird und wird je nach Grad der Erwerbsminderung in vier Stufen gezahlt.
Keine zusätzlichen Zahlungen.</t>
  </si>
  <si>
    <t>Pflegebeihilfe (assistansersättning):
Wohnsitzgebundene Leistung an behinderte Personen mit schweren funktionellen Störungen bis zum Alter von 66 Jahren, die mehr als 20 Stunden pro Woche persönliche Unterstützung zur Befriedigung der Grundbedürfnisse benötigen. Hilfe von bis zu 20 Stunden pro Woche wird von den Gemeinden zur Verfügung gestellt und finanziert.
Wenn eine Pflegebeihilfe vor dem Alter von 66 Jahren bewilligt wurde, kann die Leistung ab dem Alter von 66 Jahren gezahlt werden. Der reguläre Betrag beläuft sich auf SEK 342,60 (€31) pro Stunde und der erhöhte Betrag beläuft sich auf SEK 383.71 (€35) pro Stunde.
Beihilfe zur Deckung von Mehrkosten (merkostnadsersättning):
Wohnsitzgebunden und zahlbar sowohl an Kinder als auch an Erwachsene, die aufgrund von Behinderungen zusätzliche Kosten haben. Wenn die Invalidität vor dem 66. Lebensjahr eingetreten ist, kann die Leistung auch nach dem 66. Lebensjahr gewährt werden. Der Höchstbetrag ist 70% des Grundbetrages (prisbasbelopp), d.h. SEK 3.430 (€312) monatlich (im Jahr 2025). Die Beihilfe hat die Behindertenbeihilfe (handikappersättning) ersetzt.
Behindertenbeihilfe (handikappersättning):
Wohnsitzgebundene Leistung an behinderte Personen ab dem Alter von 19 Jahren, die Unterstützung bei täglichen Tätigkeiten benötigen oder zusätzliche Aufwendungen aufgrund von Behinderungen zu tragen haben. Wenn die Behinderung vor dem 65. Lebensjahr eintrat, kann die Leistung nach dem 65. Lebensjahr weiter gewährt werden. Der Höchstbetrag ist 69% des Grundbetrages (prisbasbelopp), d.h. SEK 3.381 (€307) pro Monat (im Jahr 2025). Seit 1. Januar 2019 kann die Leistung nicht mehr beantragt werden, aber diejenigen Personen, denen die Beihilfe bereits bewilligt wurde, beziehen diese weiterhin.
Betreuungsgeld für Kinder mit Behinderungen (omvårdnadsbidrag):
Wohnsitzgebunden und zahlbar an einen Elternteil, der ein Kind betreut, das aufgrund einer Behinderung bis zum Alter von 19 Jahren der besonderen Aufsicht und Betreuung bedarf. Eltern, die diese Leistung beziehen, haben das Recht, ihre Arbeitszeit auf 75% zu reduzieren. Der Höchstbetrag ist 250% des Grundbetrages (prisbasbelopp), d.h. SEK 12.250 (€1.114) im Monat. Die Beihilfe hat die Pflegebeihilfe für behinderte Kinder (vårdbidrag) ersetzt.
Pflegebeihilfe für behinderte Kinder (vårdbidrag):
Wohnsitzgebunden und zahlbar an einen Elternteil, der ein Kind unter 19 Jahren pflegt, das besondere Betreuung und Pflege aufgrund einer Behinderung benötigt. Der Höchstbetrag ist 250% des Grundbetrages (prisbasbelopp), also SEK 12.250 (€1.114) im Monat. Seit dem 1. Januar 2019 kann die Pflegebeihilfe für behinderte Kinder nicht mehr beantragt werden; deswegen können nur Personen, denen die Beihilfe bereits bewilligt wurde, diese weiterhin beziehen.
Kraftfahrzeugbeihilfe für Personen mit Behinderung (bilstöd):
Wohnsitzgebunden und zahlbar an Personen im Alter von 18–66 Jahren, die aufgrund einer dauerhaften Behinderung keine öffentlichen Verkehrsmittel benutzen können und an ein Elternteil, das ein Kind mit einer solchen Behinderung betreut. Zweck der Beihilfe ist, die Anschaffung oder Anpassung eines Kraftfahrzeugs zur persönlichen Verwendung zu ermöglichen. Der Grundbetrag beläuft sich auf SEK 30.000 (€2.727) für die Anschaffung eines Pkws, SEK 12.000 (€1.091) für die Anschaffung eines Motorrads und SEK 3.000 (€273) für die Anschaffung eines Mopeds. Ein zusätzlicher Betrag bis zu maximal SEK 40.000 (€3.636) ist einkommensabhängig. Zusätzliche Kosten für Anpassungen des Fahrzeugs oder den Kauf eines speziell angefertigten Fahrzeugs aufgrund besonderer Bedürfnisse einer Person werden auch gedeckt.
Wohnzulage (bostadstillägg):
Wohnsitzgebundene Leistung, die an Personen ausgezahlt wird, die Krankheits- oder Aktivitätsentschädigung erhalten. Sie beläuft sich auf:
   * einen Höchstbetrag von SEK 6.550 (€595) pro Monat für alleinstehende Personen in einem Singlehaushalt. Sie entspricht 96% der Wohnkosten bis zu SEK 5.000 (€455) pro Monat und 70% der Wohnkosten ab SEK 5.001 (€455) bis SEK 7.500 (€682) pro Monat.
   * einen Höchstbetrag von SEK 3.275 (€298) pro Monat für verheiratete Paare oder Lebenspartner. Sie entspricht 96% der Wohnkosten bis zu SEK 2.500 (€227) und 70% der Wohnkosten von SEK 2.501 (€227) bis SEK 3.750 (€341).
Die Wohnzulage unterliegt einer Einkommensprüfung.</t>
  </si>
  <si>
    <t>Pflichtsystem, das aus zwei Teilen besteht:
   * versicherungsabhängig (einkommensbezogene Ausgleichszahlungen im Fall von Krankheit und Erwerbsunfähigkeit, Inkomstrelaterad sjukersättning/aktivitetsersättning)
   * und wohnsitzabhängig (garantiertes Ersatzeinkommen, Garantiersättning) für alle Gebietsansässigen mit geringem oder ohne Einkommen in Verbindung mit Ausgleichszahlungen im Fall von Krankheit und Erwerbsunfähigkeit.</t>
  </si>
  <si>
    <t>Das Altersrentensystem (allmän ålderspension) ist ein universelles Pflichtsystem, das aus verschiedenen Teilen besteht:
   * Die einkommensabhängige Altersrente umfasst die entgeltbezogene Altersrente (inkomstpension) und die Prämienrente (premiepension). Die entgeltbezogene Altersrente ist ein beitragsorientiertes System mit Nennbeträgen (NDC), und die Prämienrente ist ein vollständig kapitalgedecktes Rentensystem mit beitragsorientierten Beiträgen, die in individuelle Konten (DC) eingezahlt wird.
   * Personen, die vor 1954 geboren wurden, erhalten ihre volle Rente oder Teile davon in Form einer einkommensabhängigen Zusatzrente (tilläggspension), bei der es sich um ein  leistungsorientiertes System handelt, das durch Beiträge auf einer Umlagebasis finanziert wird (DB);
   * eine steuerfinanzierte Garantierente (garantipension), welche festgelegte Leistungen für alle Einwohner ohne oder nur mit einer niedrigen entgeltbezogenen Altersrente bereitstellt. Die Garantierente ist eine Mindestleistung.
   * die steuerfinanzierte Ergänzung zur Einkommensrente (inkomstpensionstillägg) ist eine Ergänzung zur Einkommensrente für Personen, die eine vollständige Erwerbsbiographie hatten, aber noch eine geringe Einkommensrente beziehen.
Es gibt berufliche und private Alterssysteme. Nähere Informationen dazu werden nicht in den MISSOC-Tabellen dargestellt.
Ältere Menschen können grundlegende Unterstützung in Form einer Einkommenshilfe für Ältere (äldreförsörjningsstöd) und einer Garantierente (garantipension) erhalten.
Kein spezifisches System für ältere Menschen. Es gilt das allgemeine System der Mindestsicherung (siehe Tabelle XI).</t>
  </si>
  <si>
    <t>Abgesehen vom Alter beruht der Anspruch auf eine Altersrente auf den folgenden Mindestversicherungszeiten:
   * keine für die entgeltbezogene Altersrente (inkomstpension) und die Prämienrente (premiepension);
   * drei Jahre mit rentenfähigem Einkommen* für die entgeltbezogene Zusatzrente (tilläggspension) für Personen, die vor 1954 geboren wurden;
   * mindestens 3 Jahre Wohnsitz in Schweden für die Garantierente (garantipension);
   * ein Jahr Bezug eines rentenfähigen Einkommens* für die Ergänzung zur Einkommensrente (inkomstpensionstillägg).
Es gibt kein Konzept einer vollständigen Laufbahn oder vollständigen Versicherungszeiten für die entgeltbezogene Altersrente (inkomstpension) und Prämienrente (premiepension), es existiert jedoch wie folgt für:
   * entgeltbezogene Zusatzrente (tilläggspension): 30 mit Jahre mit rentenfähigem Einkommen für eine volle Rente für Personen, die vor 1954 geboren wurden;
   * Garantierente (garantipension): 40 Jahre Wohnsitz in Schweden für eine volle Rente;
   * Ergänzung zur Einkommensrente (inkomstpensionstillägg):
   * Zwischen 30 und 40 Jahren mit einem rentenfähigen Einkommen* je nach Geburtsjahr;
   * Ein Mindesteinkommen von 42,3% des Grundbetrags jährlich (welches sich im Jahr 2025 auf SEK 24.872 (€2.261) beläuft) oder mehr.
*Rentenfähiges Einkommen umfasst Erwerbseinkommen und Einkommen aus bestimmten anderen Sozialversicherungssystemen wie z.B. Entschädigung für Einkommensverlust aufgrund von Krankheit, Arbeitslosigkeit oder Elternurlaub.</t>
  </si>
  <si>
    <t xml:space="preserve">Entgeltbezogene Altersrente, Einkommensrente (inkomstpension):
   * Einkünfte während des gesamten Erwerbslebens;
   * Alter bei Beginn des Ruhestands;
   * Lebenserwartung der Alterskohorte;
   * Entwicklung von Wirtschaft/Einkommen.
Kapitalgedeckte Prämienrente (premiepension):
   * Allgemeine Versicherungsprinzipien und die Wertentwicklung des gewählten Fonds;
   * Einkünfte während des gesamten Erwerbslebens (Beginn im Jahr 1995);
   * Alter bei Beginn des Ruhestands;
   * Lebenserwartung der Alterskohorte.
Entgeltbezogene Zusatzrente (tilläggspension) (altes System):
   * Anzahl der Jahre mit rentenfähigem Einkommen in Schweden (bis zu 30 Jahre);
   * Einkommenshöhe;
   * Alter bei Beginn des Ruhestands;
   * Einkommensentwicklung für Personen über 65 Jahre.
Garantierente (garantipension):
   * Dauer des Wohnsitzes in Schweden (maximal 40 Jahre);
   * Höhe der entgeltbezogenen Renten;
   * Familienstand.
Ergänzung zur Einkommensrente (inkomstpensionstillägg):
   * Anzahl der Jahre rentenfähigen Einkommens in Schweden (die Höchstzahl der Jahre ist abhängig vom Geburtsjahr);
   * Betrag der einkommensbezogenen Renten.
</t>
  </si>
  <si>
    <t>Entgeltbezogene Altersrente, Einkommensrente (inkomstpension):
Erworbene Anwartschaftsrechte werden jährlich an die Entwicklung der durchschnittlichen Löhne angepasst.
Die Rentenhöhe ergibt sich aus der Division der Anwartschaftsrechte durch einen Annuitätsfaktor, der von der Lebenserwartung der Alterskohorte, dem individuellen Rentenzugangsalter und einem erwarteten Anstieg der Löhne abhängt.
Der erwartete Anstieg der Durchschnittslöhne beträgt 1,6%. Wird die Einkommensrente zum ersten Mal berechnet, gelten 1,6%. Dieser Satz wird von den nächsten jährlichen Anpassungen abgezogen. Die Zahlungsfrequenz ist monatlich (12 mal/Jahr).
Entgeltbezogene Zusatzrente (tilläggspension):
   * 60% x Grundbetrag x Durchschnittsrentenpunkt x Anzahl der Jahre mit Rentenpunkten und
   * 78,5 oder 96% x Grundbetrag x Anzahl der Jahre mit Rentenpunkten.
Die Entscheidung über das rentenfähige Einkommen liegt bei den Steuerbehörden. Ausgangspunkt ist die Steuererklärung der betroffenen Person. Das Einkommen der einzelnen Einkommensjahre wird in einen Rentenpunkt umgewandelt. Nur die 15 ertragsstärksten Jahre werden in die Berechnung des Durchschnittsrentenpunktes mit einbezogen, es werden jedoch 30 rentenfähige Einkommen benötigt, um eine volle Zusatzrente zu beziehen. Die Zahlungsfrequenz ist monatlich. Der Familienstand einer Person bestimmt den Prozentsatz von Punkt 2 in der Formel: 78,5% bei verheirateten Personenund 96% bei alleinstehenden Personen. Die Zahlungsfrequenz ist monatlich (12 mal/Jahr).
Prämienrente (premiepension):
Es gelten die üblichen Versicherungsprinzipien. Es ist ausschließlich lebenslange Rentenzahlung möglich. Auch diese Renten werden mit einem Annuitätsfaktor, der die verbleibende Lebenserwartung widerspiegelt, berechnet. Beim Eintritt in den Ruhestand besteht die Wahl, das Rentenkapital bei dem Fonds zu belassen und eine Rente zu erhalten, die unter Berücksichtigung der Wertentwicklung des Fonds jährlich neu berechnet wird, oder das Kapital in eine herkömmliche Lebensversicherung einzuzahlen, die bis zum Tode eine festen monatlichen Betrag garantiert. Die Zahlungsfrequenz ist monatlich (12 mal/Jahr).
Garantierente (garantipension):
Eine volle Rente nach 40 Jahren Wohnsitz in Schweden für eine unverheiratete Person, die nach 1938 geboren wurde, beläuft sich 2025 auf das 2,43-Fache des Grundbetrages (prisbasbelopp), d. h. SEK 142.884 (€12.989). Eine volle Rente für eine verheiratete Person beläuft sich 2025 auf das 2,2-Fache Grundbetrages, d h. SEK 129.360 (€11.760). Für jedes fehlende Jahr wird der Betrag um 1/40 gekürzt. Die Garantierente wird ferner proportional zur Höhe der entgeltbezogenen Rente gekürzt. Die Zahlungsfrequenz ist monatlich (12 mal/Jahr). Diese Rente wird als Mindestleistung berechnet.
Ergänzung zur Einkommensrente (inkomstpensionstillägg): wird gezahlt, wenn mindestens ein Jahr rentenfähiges Einkommen in Schweden bezogen wurde und zudem folgende Voraussetzungen erfüllt sind:
   * 30 Jahre rentenfähiges Einkommen für Personen, die im Jahr 1937 oder früher geboren wurden;
   * 35 Jahre rentenfähiges Einkommen für Personen, die 1938-1944 geboren wurden;
   * 40 Jahre rentenfähiges Einkommen für Personen, die im Jahr 1945 oder später geboren wurden.
Der Betrag der Ergänzung basiert auf den entgeltbezogenen Renten, d.h. wenn diese im Jahr 2025 zwischen:
   * SEK 119.674 (€10.879) und SEK 146.268 (€13.297) jährlich betragen, liegt die Ergänzung zwischen SEK 300 (€27) und SEK 6.900 (€627) jährlich;
   * SEK 146.269 (€13.297) und 186.159 (€16.924) jährlich betragen, liegt die Ergänzung bei SEK 7.200 (€655) jährlich;
   * SEK 186.160 (€16.924) und SEK 226.050 (€20.550) jährlich betragen, stuft sich die Ergänzung ab von SEK 6,900 (€627) auf SEK 300 (€27) jährlich.
Für jedes Jahr rentenfähigen Einkommens, das zur oben genannten Anzahl von Jahren fehlt, reduziert sich der Betrag um 1/40, 1/35 oder 1/30.
Staatliche Renten (Einkommensrente, Prämienrente, Zusatzrente, Garantierente und Ergänzung zur Einkommensrente) können auch in Teilen gewährt werden – zu 3/4, ½ oder als ¼ einer vollen (1/1) Rente.</t>
  </si>
  <si>
    <t xml:space="preserve">Die einbezogenen, nicht beitragspflichtigen Zeiten sind:
   * Kindererziehung gilt für das Elternteil, das am wenigsten verdient während der ersten vier Lebensjahre des Kindes oder der ersten vier Jahre der Adoption, aber nicht über das 10. Lebensjahr des Kindes hinaus).
   * Studium für Universitätsstudenten oder Berufsschüler, die Studienförderung der schwedischen Zentralstelle für Studienförderung (CSN) erhalten (oder Studenten über 20 Jahre, die die Pflichtstufe oder die obere Sekundarstufe der Volkshochschule besuchen).
   * Bezug anspruchsberechtigender Einkünfte von Beziehern des einkommensbezogenen Aktivitäts-/ Krankheitsausgleichs (aktivitets-/sjukersättning). Für die angeführten Zeiten ist ein Beitrag zu entrichten, wobei der Staat jeweils den Differenzbetrag bis zu einem Sa tz von 18,5% zahlt.
   * Militärdienst oder andere Pflichtdienste. Die Person muss an mindestens 120 aufeinanderfolgenden Tagen gedient haben um Rentenansprüche zu erwerben.
</t>
  </si>
  <si>
    <t>Wohnzulage (bostadstillägg): Die Obergrenze ist beläuft sich auf SEK 7.500 (€682) pro Monat für alleinstehende Leistungsempfänger und SEK 3.750 (€341) für verheiratete Leistungsempfänger. Somit werden die Wohnkosten wie folgt erstattet:
   * 100% bis zu SEK 3.000 (€273)
   * 90% zwischen SEK 3.001(€273) und SEK 5.000 (€455)
   * 70% zwischen SEK 5.001 (€455) und SEK 7.000 (€636)
   * 50% zwischen SEK 7.001 (€636) und SEK 7.500 (€682).
Für verheiratete Leistungsempfänger gilt nur die Hälfte für jede Stufe der oben dargestellten Wohnkosten bis SEK 3.750 (€341), während die Prozentsätze gleich bleiben.
Zusätzlich werden SEK 840 (€76) pro Monat für alleinstehende Leistungsempfänger zu den Wohnkosten hinzugefügt und SEK 420 (€38) für verheiratete Leistungsempfänger.
Die Zulage unterliegt einer Einkommensprüfung.
Einkommenshilfe für ältere Menschen (äldreförsörjningsstöd): umfasst eine Unterstützung für Wohnkosten bis SEK 7.500 (€682) monatlich für alleinstehende Leistungsempfänger und SEK 3.750 (€341) für Verheiratete. Hilfe für weitere Unterhaltskosten bis SEK 7.525 (€684) monatlich für alleinstehende Leistungsempfänger und SEK 6.053 (€550) für Verheiratete. Die Leistung unterliegt einer Bedürftigkeitsprüfung.</t>
  </si>
  <si>
    <t>Pflichtsystem, das aus zwei Teilen besteht:
   * versicherungsgebunden zur Erbringung von einkommensbezogenen Anpassungsrenten für Erwachsene und Kinder auf der Grundlage der Rentenansprüche der verstorbenen Person;
   * steuer- und wohnsitzgebunden zur Erbringung einer Garantierente (Garantipension).</t>
  </si>
  <si>
    <t>Das System für Hinterbliebene beruht auf:
   * Arbeitsgebundene Leistungen, zu denen die  Anpassungsrente (omställningspension),  die   Kinderrente (barnpension) und die Witwenrente (änkepension) gehören. Sie richten sich nach dem Rentenanspruch des Verstorbenen und werden über Sozialversicherungsbeiträge finanziert.
   * wohnsitzgebundene Leistungen, zu denen die garantierte Anpassungsrente (garantipension till omställningspension), die garantierte Witwenrente (garantipension till änkepension) und  die Waisenbeihilfe (garantipension till efterlevandestöd) gehören. Sie finanzieren sich über Steuern.
In bestimmten Fällen kann eine Person sowohl arbeitsgebundene als auch wohnsitzgebundene Leistungen beziehen. Letztere werden bezogen, wenn das Arbeitsgeld gering ist oder wenn nur die Person nicht für die arbeitsgebundenen Leistungen versichert ist.</t>
  </si>
  <si>
    <t>Einen Anspruch auf Hinterbliebenenleistungen haben:
   * Hinterbliebene Ehegatten;
   * eingetragene Partner (des gleichen oder anderen Geschlechts);
Kinder (einschließlich Adoptivkinder).</t>
  </si>
  <si>
    <t>Anpassungsrente (omställningspension):
Anpassungesrente wird für 12 Monate gezahlt, kann aber um 12 zusätzliche Monate verlängert werden oder bis das jüngste Kind 12 Jahre alt wird.
Der hinterbliebene Ehegatte muss:
   * unter 66 Jahre alt sein und:
   * zum Zeitpunkt als der/die Ehepartner/in starb mit einem Kind unter 18 zusammenleben, oder
   * mit dem/der Verstorbenen mindestens 5 Jahre ununterbrochen zusammengelebt haben.
Witwenrente (änkepension):
Witwenrente kann an eine Hinterbliebene ausgezahlt werden (die am 31. Dezember 1989 und zum Todeszeitpunkt mit dem Verstorbenen verheiratet war).</t>
  </si>
  <si>
    <t>Hinterbliebene Ehepartner und Lebenspartner haben Anspruch auf folgende Leistungen:
   * Entgeltbezogene Anpassungsrente (omställningspension): 55% der Rentenbasis der verstorbenen Person;
   * Garantierte Anpassungsrente (garantipension till omställningspension): der 2.13-fache  Grundbetrag (prisbasbelopp) pro Jahr, der proportional zur Erhöhung der einkommensabhängigen Rentenanpassung gekürzt wird.
Die Anpassungsrente wird für einen Zeitraum von 12 Monaten gewährt, jedoch so lange aufrecht erhalten, wie der hinterbliebene Ehegatte mit einem unterhaltsberechtigten Kind unter 12 Jahren zusammenlebt. Wenn das Kind über 12 und unter 18 Jahren alt ist, kann die Anpassungsrente um 12 zusätzliche Monate verlängert werden, d.h. verlängerte Anpassungsrente (förlängd omställningspension).
Witwenrente (änkepension): Die Witwe hat Anspruch auf 40% der vom verstorbenen Ehemann erworbenen jährlichen Zusatzrente. Für die Leistung gibt es keine zeitliche Begrenzung (sie wird zu Lebzeiten der Witwe ausgezahlt). Je nach Alter der Witwe wird die Witwenrente jedoch mit der Anpassungsrente oder mit der eigenen Altersrente der Witwe bis zu einer gewissen Höhe angepasst. Überschreitet die Witwenrente einen bestimmten Schwellenwert nicht, wird sie nicht ausbezahlt.
Eine Witwe, die das 66. Lebensjahr noch nicht vollendet hat, kann auch Anspruch auf eine Grundrentenzulage (folkpensionstillägg)  haben, die dem Teil der Witwenrente entspricht, der vor dem 1. Januar 2003 als Grundrente gezahlt wurde.</t>
  </si>
  <si>
    <t>Wohnzulage (bostadstillägg):
Wohnsitzgebundene Leistung für Personen mit geringer oder ohne Rente. Kann auch an Hinterbliebene mit Witwenrente (änkepension) gezahlt werden. Die Leistung unterliegt einer Bedürftigkeitsprüfung.
Für das Jahr 2025 liegt die Obergrenze für die Wohnzulage bei SEK 7.290 (€663) pro Monat für Alleinstehende und SEK 3.645 (€331) monatlich für Verheiratete oder zusammenlebende Personen.
Bei der Berechnung des Leistungsbetrags werden folgende monatliche Wohnkosten für Alleinstehende berücksichtigt:
   * 100% bis zu SEK 3.000 (€273),
   * 90% zwischen SEK 3.001 (€273) und SEK 5.000 (€455),
   * 70% zwischen SEK 5.001 (€455) und SEK 7.000 (€636);
   * 50% zwischen SEK 7.001 (€636) und SEK 7.500 (€682).
   * Zusätzlich SEK 840 (€76) pro Monat für alleinstehende Leistungsempfänger.
Für verheiratete Leistungsempfänger gilt die Hälfte des Betrags.
Einkommenshilfe für ältere Menschen (äldreförsörjningsstöd): Hilfe Wohnsitzgebundene Leistung für Personen, die eine geringe oder gar keine Rente haben. Sie kann auch an Hinterbliebene mit Witwenrente (änkepension) gezahlt werden. Der Leistung unterliegt einer Bedürftigkeitsprüfung.
Für alleinstehende Personen  gelten SEK 7.525 (€684) pro Monat als angemessener Lebensstandard. Angemessene Wohnkosten von bis zu SEK 7.500 (€681) pro Monat können eingerechnet werden.
Für Verheiratete, zusammen lebende Personen oder Menschen in eingetragenen Partnerschaften gelten SEK 6.053 (€550) pro Monat (im Jahr 2025) als angemessener Lebensstandard. Angemessene Wohnkosten von bis zu SEK 3.750 (€341) pro Monat können eingerechnet werden.
Für Verheiratete wird das Einkommen mit dem des Partners kombiniert. Ihr Gesamteinkommen wird dann durch zwei geteilt.</t>
  </si>
  <si>
    <t>Es gibt folgende Mindestleistungen:
   * Waisenbeihilfe (efterlevandestöd till barn): SEK 1.960 (€178) pro Monat im Jahr 2025.
   * Garantierte Anpassungsrente (garantipension till omställningspension): 2,13 Grundbeträge (Grundstufe), d. h. SEK 10.437 (€949) pro Monat im Jahr 2025.  Um Anspruch auf eine volle garantierte Anpassungsrente zu haben, müssen dem Verstorbenen 40 Versicherungsjahre angerechnet werden. Wenn es weniger als 40 Jahre sind, wird der Basiswert für jedes fehlende Jahr um ein Vierzigstel reduziert.
   * Garantierte Witwenrente (garantipension till änkepension): Wenn dem Verstorbenen 30 Jahre Rentenpunkte bis 1989 gutgeschrieben werden, wird die garantierte Witwenrente auf der Grundlage eines Grundbetrags von 2,15 Euro berechnet, was SEK 10.535 (€958) pro Monat im Jahr 2025 entspricht. Der Grundbetrag wird um einen Betrag gekürzt, der 100% der Witwenrente oder Anpassungsrente entspricht, soweit er 1,49 Grundbeträge nicht übersteigt. Übersteigt die Witwenrente oder Anpassungsrente 1,49 Grundbeträge, so wird die Garantierente zusätzlich um 40% des Teils der Witwenrente oder Anpassungsrente gekürzt, der 1,49 Grundbeträge übersteigt.</t>
  </si>
  <si>
    <t>Pflichtsystem, das aus zwei Teilen besteht:
   * versicherungsgebunden zur Erbringung von einkommensbezogenen Anpassungsrenten für Erwachsene und Kinder auf der Grundlage der Rentenansprüche der verstorbenen Person;
   * steuer- und wohnsitzgebunden zur Erbringung einer Garantierente.</t>
  </si>
  <si>
    <t>1. Säule (Grundsystem):
   * Jede Person, die in der Schweiz Wohnsitz hat oder hier eine Erwerbstätigkeit ausübt.
   * Unter bestimmten Bedingungen, freiwillige Versicherung für Schweizer Bürger und Staatsangehörige der Mitgliedstaaten der EU oder der EFTA, die ausserhalb der Schweiz, der EU oder der EFTA leben.
2. Säule (obligatorische Mindestvorsorge):
   * Arbeitnehmer über 24 Jahren, die in der 1. Säule versichert sind und vom gleichen Arbeitgeber einen Lohn von mehr als CHF22.680 (€24.233) erhalten.
   * Freiwillige Versicherung für gewisse nicht obligatorisch unterstellte Arbeitnehmer sowie Selbstständigerwerbende.</t>
  </si>
  <si>
    <t>1. Säule (Grundsystem):
Insbesondere:
   * Bei Doppelbelastung (gleichzeitige ausländische Versicherung).
   * Selbstständigerwerbende und Arbeitnehmer nicht beitragspflichtiger Arbeitgeber, welche die Voraussetzungen der obligatorischen Versicherung nur für eine verhältnismäßig kurze Zeit erfüllen.
2. Säule (obligatorische Mindestvorsorge):
Insbesondere:
   * Arbeitnehmer, deren Arbeitgeber der Beitragspflicht in der 1. Säule nicht unterliegt.
   * Arbeitnehmer mit einem befristeten Arbeitsvertrag von höchstens 3 Monaten.
   * Personen, die zu mindestens 70% invalid sind.
   * Gewisse Familienmitglieder des Leiters eines Landwirtschaftsbetriebes, die in diesem Betrieb arbeiten.
   * Bei Doppelbelastung (gleichzeitige ausländische Versicherung).</t>
  </si>
  <si>
    <t>1. Säule (Grundsystem):
Das durchschnittliche Jahreseinkommen setzt sich zusammen aus:
   * den aufgewerteten Erwerbseinkommen (die Beiträge der nichterwerbstätigen Personen werden als Erwerbseinkommen gewertet);
   * den Erziehungsgutschriften und den Betreuungsgutschriften (vgl. Tabelle VI „Alter“, „Leistungen, 4. Anrechenbare oder als Beitragszeiten gewertete Zeiträume).
Die Einkommen der Ehegatten während der Ehedauer werden zwischen den Ehegatten geteilt (Splitting),
   * wenn die beiden Gatten das Referenzalter (Rentenalter) erreicht haben und/oder Anspruch auf eine Invalidenrente haben;
   * wenn die Witwe oder der Witwer das Referenzalter (Rentenalter) erreicht haben oder Anspruch auf eine Invalidenrente haben;
   * oder im Falle einer Scheidung.
Die eingetragene Partnerschaft ist einer Ehe und die gerichtliche Auflösung der Partnerschaft einer Scheidung gleichgestellt.
2. Säule (obligatorische Mindestvorsorge):
Als versicherter Lohn (= koordinierter Lohn) gilt der Teil des Jahreslohnes zwischen CHF26.460 (€28.272) und CHF90.720 (€96.933). Minimaler koordinierter Lohn: CHF3.780 (€4.039).</t>
  </si>
  <si>
    <t>1. Säule (Grundsystem):
Insbesondere:
   * Bei Doppelbelastung (gleichzeitige ausländische Versicherung).
   * Selbstständigerwerbende und Arbeitnehmer nicht beitragspflichtiger Arbeitgeber, welche die Voraussetzungen der obligatorischen Versicherung nur für eine verhältnismäßig kurze Zeit erfüllen.
2. Säule (obligatorische Mindestvorsorge):
Insbesondere:
   * Arbeitnehmer, deren Arbeitgeber der Beitragspflicht in der 1. Säule nicht unterliegt.
   * Arbeitnehmer mit einem befristeten Arbeitsvertrag von höchstens 3 Monaten.
   * Personen, die zu mindestens 70% invalid sind.
   * Gewisse Familienmitglieder des Leiters eines Landwirtschaftsbetriebes, die in diesem Betrieb arbeiten.
Bei Doppelbelastung (gleichzeitige ausländische Versicherung).</t>
  </si>
  <si>
    <t>1. Säule (Grundsystem):
   * Hinterbliebener Ehegatte: Witwen und Witwer mit Kindern; Witwen ohne Kinder, unter gewissen Voraussetzungen.
   * Geschiedener Ehegatte, unter gewissen Voraussetzungen.
   * Überlebender eingetragener Partner: dem Witwer gleichgestellt.
   * Kinder, einschließlich Pflegekinder, unter gewissen Voraussetzungen.
2. Säule (obligatorische Mindestvorsorge):
   * Hinterbliebener Ehegatte: Witwen und Witwer.
   * Geschiedener Ehegatte, unter gewissen Voraussetzungen.
   * Überlebender eingetragener Partner: dem Witwer gleichgestellt.
   * Kinder, einschließlich Pflegekinder, wenn der Verstorbene unterhaltspflichtig war.</t>
  </si>
  <si>
    <t>1. Säule (Grundsystem):
Ein Beitragsjahr.
2. Säule (obligatorische Mindestvorsorge):
   * Versicherungszugehörigkeit im Zeitpunkt des Todes oder bei Eintritt der Arbeitsunfähigkeit, deren Ursache zum Tod führte, oder
   * der Verstorbene erhielt im Zeitpunkt seines Todes eine Alters- oder Invalidenrente der Vorsorgeeinrichtung.</t>
  </si>
  <si>
    <t>1. Säule (Grundsystem):
Witwe:
   * ein oder mehrere Kinder oder
   * 45 Jahre und 5 Ehejahre.
Witwer: ein oder mehrere Kinder.
2. Säule (obligatorische Mindestvorsorge):
Hinterbliebener Ehegatte:
   * ein oder mehrere unterhaltsberechtigte Kinder oder
   * 45 Jahre und 5 Ehejahre.</t>
  </si>
  <si>
    <t>1. Säule (Grundsystem):
Eine geschiedene Person ist einer verwitweten gleichgestellt, wenn:
   * sie eines oder mehrere Kinder hat und die geschiedene Ehe mindestens 10 Jahre gedauert hat;
   * die geschiedene Ehe mindestens 10 Jahre gedauert hat und die Scheidung nach dem vollendeten 45. Altersjahr der geschiedenen Person erfolgte;
   * das jüngste Kind sein 18. Altersjahr vollendet hat, nachdem die geschiedene Person ihr  45. Altersjahr zurückgelegt hat.
Ist nicht mindestens eine dieser Voraussetzungen erfüllt, so besteht ein Rentenanspruch nur, wenn und solange die geschiedene Person Kinder unter 18 Jahren hat.
2. Säule (obligatorische Mindestvorsorge):
Die Ehe hat mindestens 10 Jahre gedauert und der geschiedene Ehegatte bezieht einen Unterhaltsbeitrag.</t>
  </si>
  <si>
    <t>1. Säule (Grundsystem):
   * Halbwaisen: 40% der dem maßgebenden durchschnittlichen Jahreseinkommen entsprechenden Altersrente.
   * Vollwaisen: zwei Waisenrenten. Sie werden gekürzt, wenn sie zusammen 60% der Höchstaltersrente übersteigen, nämlich CHF1.512 (€1.615) pro Monat.
2. Säule (obligatorische Mindestvorsorge):
   * Halbwaisen: 20% der ganzen Invalidenrente, auf die der Verstorbene Anspruch gehabt hätte oder, während dem Aufschub des Bezugs der Altersleistung, der Altersrente, auf welche die versicherte Person Anspruch gehabt hätte.
   * Vollwaisen: zwei Waisenrenten.
Keine Bedürftigkeitsprüfung.
Grundsätzlich monatliche Zahlung. Keine zusätzliche Zahlung.</t>
  </si>
  <si>
    <t>1. Säule (Grundsystem):
   * Außerordentliche Rente.
   * Ergänzungsleistungen zur 1. Säule (vgl. Tabelle XI „Mindestsicherung“).
2. Säule (obligatorische Mindestvorsorge):
   * Abfindung in Höhe von 3 Jahresrenten für den hinterbliebenen Ehegatten/Partner, welcher die Voraussetzungen für eine Rente nicht erfüllt.
   * Die Vorsorgeeinrichtung kann eine Kapitalleistung ausrichten, wenn die Rente des hinterbliebenen Ehegatten/Partners weniger als 6%, die Waisenrente weniger als 2% der Mindestrente der Alters- und Hinterlassenenversicherung AHV (1. Säule, Grundsystem) beträgt.</t>
  </si>
  <si>
    <t>1. Säule:
Pflichtmitgliedschaft für
   * Personen in einem Beschäftigungsverhältnis oder einem ähnlichen Verhältnis (zum Beispiel ein Arbeitsvertrag);
   * Selbstständige, deren Einkommen €8.580 im Jahr 2024 übersteigt (50% des nationalen Durchschnittslohns im Jahr 2023).
Die folgenden Personengruppen sind ebenfalls versichert:
   * Personen, die ein Kind unter 6 Jahren betreuen (oder 18 Jahren, wenn eine Behinderung vorliegt);
   * Bezieher eines Barzuschusses für Pflegeaufgaben;
   * Personen, die mindestens 140 Stunden persönliche Unterstützung pro Monat erhalten;
   * Soldaten in freiwilligem Militärdienst;
   * Bezieher einer Unfallrente zum Zweck der Alterssicherung;
   * gefährdete oder geschützte Zeugen;
   * ehemalige Bergarbeiter, die Ausgleichszahlung für Bergleute erhalten.
Freiwillige Versicherung für Personen über 16 Jahre mit ständigem oder zeitweiligem Wohnsitz.
2. Säule:
Automatische Teilnahme am Altersvorsorgesparen für Personen unter 40 Jahren (die ab 1. Mai 2023 Versicherungsbeiträge zahlen werden). Sparer haben die Möglichkeit, innerhalb von zwei Jahren ab dem ersten Eintritt aus der zweiten Säule auszutreten und das Recht, erneut beizutreten (allerdings nur einmal).</t>
  </si>
  <si>
    <t>Altersrente (Starobný dôchodok):
Das Rentenalter beruht auf Geburtsjahr, Geschlecht und Anzahl der aufgezogenen Kinder mit einem Höchstrentenalter von 64 für kinderlose Männer und Frauen.
Seit dem 1. Januar 2023 ist das Rentenalter für Personen, die im Jahr 1967 oder später geboren wurden, mit der durchschnittlichen Lebenserwartung verknüpft.
Für Frauen, die Kinder großgezogen haben (oder für Männer, die allein Kinder großgezogen haben), reduziert sich das Rentenalter um:
   * ein halbes Jahr für 1 Kind;
   * ein Jahr für 2 Kinder und;
   * anderthalb Jahre für 3 oder mehr Kinder.
Beispielsweise liegt das Rentenalter für Männer und Frauen ohne Kinder, die im März 1962 geboren wurden, am 1. Juli 2025 bei 63 Jahren und 4 Monaten.</t>
  </si>
  <si>
    <t>1. Säule:
Die folgenden Bedingungen müssen erfüllt sein, um Anspruch auf eine Vorgezogene Altersrente (Predčasný starobný dôchodok) zu haben:
   * eine Leistung beziehen, welche mehr als das 1,6-fache des Existenzminimums beträgt;
   * sich im Zeitraum der 2 Jahre vor Erreichen des Rentenalters befinden oder dieses erreicht haben oder die erforderliche Dauer der Erwerbsbiografie erreicht haben;
   * über die die erforderliche Erwerbszeit verfügen, die durch Abzug von 23 Jahren von dem für das Geburtsjahr der Person geltenden allgemeinen Rentenalter bestimmt wird;
   * nicht in einer regelmäßigen Beschäftigung arbeitstätig sein (mit beitragspflichtigem Einkommen von maximal €2.400 pro Jahr).
2. Säule:
Der Bezug einer vorgezogenen Rente ist möglich, wenn eine vorgezogene Rente der 1. Säule bezogen wird oder eine Mindesthöhe der Leistung aus beiden Säulen (das 1,6-fache des Existenzminimums) erreicht wurde.</t>
  </si>
  <si>
    <t>Folgende Zeiten werden vom Staat für den Rentenanspruch und die Berechnung des zahlbaren Betrags angerechnet:
   * Zeiten des Bezugs von Mutterschaftsgeld (Materské);
   * Zeiten von krankheitsbedingter Arbeitsunterbrechung sowie Zeiten des Bezugs von Pflegegeld für die Pflege eines kranken Angehörigen (Ošetrovné);
   * Zeiten der Betreuung von Kindern bis zum Alter von 6 Jahren;
   * Zeiten der Betreuung eines langfristig schwer behinderten Kindes bis zum Alter von 18 Jahren oder einer erwachsenen Person oder Zeiten der persönlichen Unterstützung (Osobná asistencia) für mindestens 140 Stunden monatlich);
   * Zeiten des Bezugs der Invailiditätsrente bis zum Erreichen des Ruhestandsalters oder bis zum Bezug der vorgezogenen Altersrente;
   * Zeiten des Bezugs der Unfallrente (Úrazovú rentu) oder
   * Zeiten des Bezugs früherer Bergleute von Ausgleichsbeitrag für Bergleute (Kompenzačný príspevok baníkom) oder
   * Zeiten der gefährdeten oder geschützten Zeugenschaft oder der freiwilligen militärischen Ausbildung.
Für Zeiten des Bezugs der Unfallrente (Úrazová renta) vor dem Ruhestandsalter oder vor dem Bezug von Frührente werden Beiträge von der Sozialversicherungsanstalt, (Sociálna poisťovňa) gezahlt.
Für Personen, die vor 2004 versichert waren, werden auch andere beitragsfreie Zeiten (wie z.B. Zeiten des Besuchs von Bildungseinrichtungen, Grundwehrdienst und Zeiten des Bezugs von Arbeitslosengeld) angerechnet.</t>
  </si>
  <si>
    <t>Die Mindestbeschäftigungszeit hängt vom Alter der Person bei Auftreten der Invalidität ab:
   * 30 Jahre und älter: Erwerbstätigkeit für mindestens 1/3 der Zeit zwischen dem 20. Geburtstag und dem Auftreten der Invalidität (nur volle Beschäftigungsjahre werden berücksichtigt);
   * zwischen 21 und 29 Jahren: Erwerbstätigkeit für mindestens 1/4 der Zeit zwischen dem 21. Geburtstag und dem Auftreten der Invalidität (volle Beschäftigungsjahre).
Personen mit Invalidität der Kategorie I (volle Erwerbsunfähigkeit - siehe Tabelle V, „Beurteilungskriterien und Kategorien von Erwerbsfähigkeit/-unfähigkeit“) im Alter von unter 21 Jahren erhalten Anspruch auf Invalidenrente, wenn sie bei Auftreten der Invalidität pflichtversichert waren oder mindestens drei Versicherungsmonate vorweisen.</t>
  </si>
  <si>
    <t>Die Hauptkriterien, die zur Beurteilung der Anspruchsberechtigung für Leistungen bei Invalididtät genutzt werden, sind abhängig vom Grad der Erwerbsfähigkeit.
Die Beurteilungskriterien beruhen auf der verminderten Fähigkeit, berufliche Aufgaben durchzuführen, die in Verbindung zur bisherigen Beschäftigung oder jeder anderen Art von Beschäftigung stehen. Davon ausgehend gibt es drei Kategorien von Invalidität:
   * Kategorie I: Fähigkeit, jegliche Art von Erwerbstätigkeit auszuüben, ist vollständig verloren;
   * Kategorie II: Erwerbsfähigkeit ist um 50% oder mehr vermindert;
   * Kategorie III: Fähigkeit zu Vollzeitbeschäftigung ist eingeschränkt, die betroffene Person ist aber fähig, in einer bestimmten Art von Beschäftigung zumindest in Teilzeit zu arbeiten; oder die Fähigkeit, in dem Beruf zu arbeiten, für den die Person ausgebildet wurde, ist um weniger als 50% vermindert; oder die Person kann weiterhin auf Vollzeitbasis arbeiten, allerdings nicht mehr in derselben Beschäftigung wie vorher.
Beurteilungsergebnisse werden als Prozentsatz der Erwerbsfähigkeit ausgedrückt.
Kein Mindestlevel von Erwerbsfähigkeit/-unfähigkeit festgelegt.</t>
  </si>
  <si>
    <t>Invaliditätsgeld (nadomestilo za invalidnost): Wird an Versicherte gezahlt, denen das Recht auf eine Wiederzuweisung nach dem Abschluss der beruflichen Rehabilitation anerkannt wurde und mit einer Invalidität der Kategorie II und einem Alter über 55 Jahren, oder einer Invalidität der Kategorie III, wenn die Arbeitsfähigkeit in dem eigenen Beruf um weniger als 50% gemindert wurde, oder in besonderen Fällen, wenn die Personen ihrem Beruf weiterhin in Vollzeit nachgehen können, jedoch nicht in der Lage sind, weiterhin in der Position zu arbeiten, die sie bis dahin inne hatten. Der Leistungsbetrag variiert zwischen 20% - 80% der Invaliditätsrente (invalidska pokojnina), auf die die Person bei Eintritt der Invalidität Anspruch gehabt hätte).
Teilbeihilfe (delno nadomestilo): versicherte Personen mit einer Invalidität der Kategorie III, die nicht länger oder nicht ohne berufliche Rehabilitation in Vollzeit arbeiten können, haben Anspruch auf Teilzeitarbeit und Teilbeihilfe. Diese wird in Bezug auf die Invaliditätsrente, auf welche der Betroffene am Tag des Eintretens der Invalidität Anspruch hätte, berechnet, und wird bemessen entsprechend der Reduzierung der vollen Arbeitszeit, wie folgt:
   * 50% der Invaliditätsrente, wenn die versicherte Person 4 Stunden pro Tag auf Teilzeitbasis arbeitet;
   * 37,5% für 5 Stunden pro Tag;
   * 25% für 6 Stunden pro Tag;
   * 12,5% für 7 Stunden pro Tag.
Überbrückungsleistung (začasno nadomestilo):
Versicherte Personen, die nach Vollendung der beruflichen Rehabilitation Anspruch auf Rückkehr an den Arbeitsplatz in Vollzeit oder Teilzeit für mindestens vier Stunden täglich oder 20 Stunden wöchentlich haben, sind anspruchsberechtigt für Überbrückungsleistung, bis sie ihre Beschäftigung wiederaufnehmen (höchstens 2 Jahre lang). Der Betrag der Leistung entspricht für eine Person, die auf der Basis eines Arbeitsverhältnisses versichert ist, der Invaliditätsrente, auf die die Person bei Auftreten der Invalidität Anspruch hätte, und 50% dieses Betrags für alle anderen Personen (Selbstständige, Landwirte, Versicherte auf anderer gesetzlicher Grundlage).
Behindertenbeihilfe (invalidnina):
Wird nach wie vor nur an diejenigen gezahlt, die sie bereits vor dem 31. Dezember 2012 bezogen. Versicherte haben auch bei einer körperlichen Einschränkung Anspruch auf Behindertenbeihilfe, wenn die Ursache für die Einschränkung außerhalb der Arbeit oder einer Krankheit besteht. Der Betrag wurde im Dezember 2012 festgelegt und ist sowohl abhängig von 8 unterschiedlichen Graden der Invalidität als auch davon, ob die Invalidität die Folge eines Arbeitsunfalls ist oder nicht, und reicht von €36,61 bis €125,53 monatlich (seit 1. März 2025).</t>
  </si>
  <si>
    <t xml:space="preserve">Es gibt keine eindeutige Definition für „beschwerliche oder gefährliche Berufe“. Eine Liste beschwerlicher oder gefährlicher Berufe wurde im Gesetz über die Ausweitung der Erweiterten Rentenbezüge aufgestellt.
Die Berufe werden je nach Höhe des Versicherungsbonus, der wiederum vom Grad der Beschwerlichkeit oder Gefährlichkeit der Berufe abhängt, in fünf Gruppen unterteilt.
Diese Berufe werden von der slowenischen Gesetzgebung im Rahmen gesonderter Rentenregelungen und –systeme anerkannt.
Versicherte Personen, die besonders schwierige Berufe oder Berufe ausüben, die der Gesundheit schaden können, sowie Berufe, die ab einem bestimmten Alter nicht mehr ordnungsgemäß ausgeübt werden können, sind zusätzlich über die betriebliche Altersversorgung (II. Säule) versichert. Wenn die Voraussetzungen erfüllt sind, erhält die versicherte Person die betriebliche Altersversorgung, die in monatlichen Raten gezahlt wird, bis die Voraussetzungen für eine (reguläre) Altersrente erfüllt sind.
Die betriebliche Altersversorgung wird unter den folgenden Voraussetzungen gewährt:
   * Mindestens 42 Jahre und sechs Monate rentenfähige Dienstzeit, einschließlich zusätzlichen Zeitraums und hinreichender Mittel auf dem persönlichen Konto zur Zahlung der betrieblichen Altersversorgung. Der Zeitraum, in dem die betriebliche Altersversorgung erhalten wird, entspricht der Differenz zwischen der tatsächlichen rentenfähigen Dienstzeit ohne den zusätzlichen Wert und 40 Jahren rentenfähiger Dienstzeit. Darüber hinaus wird Versicherten, die mindestens 17 Jahre lang in die Berufsversicherung eingezahlt haben, eine Altersrente gewährt, unabhängig davon, ob sie die Voraussetzung für die reguläre Altersrente nach Ablauf der betrieblichen Altersversorgung erfüllen oder
   * Wenn die Summe der Jahre des rentenfähigen Zeitraums niedriger ist, sollte sie mindestens 40 Jahre, einschließlich Zusatzzeitraum betragen, sofern auf dem persönlichen Konto ausreichende Mittel für die Zahlung der betrieblichen Altersversorgung vorhanden sind und die Altersvoraussetzung je nach Berufsgruppe erfüllt ist.
Wenn es Zeiträume gibt, in denen die versicherten Personen keinen Anspruch auf eine Berufsversicherung haben, sollten sie mindestens 60 Jahre alt sein oder die Altersvoraussetzungen entsprechend der Kategorie erfüllen, der ihr Beruf zugeordnet wird, d. h.:
   * Arbeitsplatz, Klasse 1: 56 Jahre alt;
   * Arbeitsplatz, Klasse 2: 55 Jahre alt;
   * Arbeitsplatz, Klasse 3: 54 Jahre alt;
   * Arbeitsplatz, Klasse 4: 53 Jahre alt;
   * Arbeitsplatz, Klasse 5: 52 Jahre alt.
</t>
  </si>
  <si>
    <t>Folgende inaktive Zeiten der Abwesenheit vom Arbeitsplatz werden für den Anspruch auf Altersrente und die Berechnung des Rentenbetrags berücksichtigt:
   * Zeiten des Bezugs von Krankengeld;
   * Zeiten des Bezugs von Leistungen während Mutterschaft (Mutterschaftsgeld (materinsko nadomestilo)), Vaterschaft (Vaterschaftsgeld (očetovsko nadomestilo)) und Elternurlaub (Elterngeld (starševsko nadomestilo));
   * Zeiten des Bezugs von Arbeitslosengeld;
   * Zeiten der subventionierten Beiträge für die Renten- und Invaliditätsversicherung für Langzeitarbeitslose gegen Ende ihrer Laufbahn (ein Jahr vor dem Ruhestand);
   * Zeiten der Kindererziehung, d.h.:
   * Zeiten der Teilzeitarbeit aufgrund längerer Kindererziehungszeiten (der Staat garantiert die Zahlung eines proportionalen Anteils der Beiträge bis zum Pflichtbeitrag bei Vollzeitbeschäftigung (für ein Kind bis zum Alter von 3 Jahren und für mindestens zwei Kinder bis zum Abschluss des ersten Schuljahres des jüngsten Kindes);
   * Zeiten der Erziehung von vier oder mehr Kindern (das Elternteil hat Anspruch auf vom Staat gezahlte Sozialversicherungsbeiträge bis das jüngste Kind die erste Klasse vollendet hat).</t>
  </si>
  <si>
    <t>Die betriebliche Altersversorgung wird in Höhe der auf dem persönlichen Konto der versicherten Person akkumulierten Mittel gewährt und liegt zwischen:
   * der Höhe der Altersrente, die versicherte Personen erhalten hätten, sofern sie einen Versicherungszeitraum von 40 Jahren erlangt hätten, erhöht durch den Beitrag zur Krankenversicherung und die Kosten des Fondsmanagers;
   * der Höhe der maximalen Altersrente, erhöht durch den Beitrag zur Krankenversicherung und die Kosten des Fondsmanagers, sofern auf dem persönlichen Konto hinreichende Mittel vorhanden sind.</t>
  </si>
  <si>
    <t>Witwen- bzw. Witwerrente (vdovska pokojnina):
   * Hinterbliebene Ehepartner;
   * Lebenspartner;
   * Partner in registrierten gleichgeschlechtlichen Partnerschaften;
   * geschiedene Ehegatten (mit Unterhaltsanspruch vor dem Tod).
Hinterbliebenenrente (družinska pokojnina):
   * Kinder;
   * Enkel, Stiefkinder und andere elternlose Kinder, die von der verstorbenen Person zum Todeszeitpunkt unterhalten wurden);
   * Eltern der verstorbenen Person.</t>
  </si>
  <si>
    <t>Erfüllung von Bedingungen durch den Verstorbenen, um die Leistung geltend machen zu können:
   * Muss die Bedingungen für den Anspruch auf eine vorgezogene Rente (predčasna pokojnina), eine Altersrente (starostna pokojnina) oder eine Invaliditätsrente (invalidska pokojnina) erfüllen (siehe Tabelle V „Invalidität“ und Tabelle VI „Alter“); oder
   * Empfänger einer vorgezogene, Alters- oder Invaliditätsrente der Pflichtversicherung oder eine Person mit Anspruch auf Invaliditätsgeld (nadomestilo za invalidnost) oder Teilbeihilfe (delno nadomestilo) der Pflichtversicherung.
Bei Tod als Folge eines Arbeitsunfalls oder einer Berufskrankheit ist keine Mindestversicherungszeit erforderlich.</t>
  </si>
  <si>
    <t>Witwen und Witwer sind anspruchsberechtigt, wenn sie zum Zeitpunkt des Todes des Ehepartners:
   * mindestens 58 Jahre alt sind, oder
   * vollständig erwerbsunfähig sind oder nach einem Jahr nach dem Tod des Ehepartners erwerbunfähig wird, oder
   * gegenüber einem Kind mit Anspruch auf Hinterbliebenenrente (družinska pokojnina) unterhaltsverpflichtet sind, oder
   * bei einem Alter zwischen 53 und 58 Jahren wird die Zahlung bis zur Vollendung des 58. Lebensjahrs aufgeschoben;
   * das Kind des Verstorbenen nicht später als 300 Tage nach dessen Tod gebärt.</t>
  </si>
  <si>
    <t>Bedingungen, die zusätzlich zu denen für hinterbliebene Ehepartner erfüllt werden müssen:
   * mindestens drei Jahre lang mit der versicherten Person in einer nichtehelichen Gemeinschaft gelebt haben, oder
   * das letzte Jahr vor dem Tod des Partners mit ihm zusammengelebt und ein Kind mit der verstorbenen Person haben.</t>
  </si>
  <si>
    <t>Altersgrenzen von Kindern für die Anspruchsberechtigung auf Leistung sind:
   * 15 Jahre;
   * 18 Jahre, wenn das Kind als arbeitsuchend gemeldet ist;
   * 26 Jahre während eines ordentlichen Studiums;
   * keine Altersgrenze, wenn das Kind vollständig erwerbsunfähig ist.
Im Falle einer Anstellung verlieren sie ihren Anspruch auf Hinterbliebenenrente.</t>
  </si>
  <si>
    <t>Witwen- bzw. Witwerrente (vdovska pokojnina):
   * 70% der Rente des Verstorbenen (Alters- oder Invalidenrente) oder der Rente, auf die der Verstorbenen zum Todeszeitpunkt Anspruch gehabt hätte;
   * Witwen/Witwer oder hinterbliebene Partner, die eine eigene Rente beziehen, erhalten 15% der Witwen- bzw. Witwerrente, sofern der Betrag der beiden Renten die Altersrente (starostna pokojnina) für einen Mann, die anhand der maximalen Rentenberechnungsbasis (pokojninska osnova) für 40 ruhegehaltsfähige Dienstjahre festgelegt wird, nicht überschreitet.
   * Witwen und Witwern, die die gesetzlichen Bedingungen erfüllen, wird somit eine Rente in Höhe der Summe ihrer Altersrente, vorgezogenen Rente oder Invaliditätsrente und der Höhe der Bewertungsgrundlage für die Witwenrente garantiert, jedoch nicht mehr als der Betrag der Garantierente, welche sich ab 1. Januar 2025 auf €781,94 beläuft.
Falls der hinterbliebene Ehepartner Anspruch auf verschiedenen Renten hat, kann er auswählen, welche er beziehen möchte.
Im Fall einer Wiedereinstellung wird das Recht auf die Leistung ausgesetzt.
Ein geschiedener Ehepartner, der zum Todeszeitpunkt Unterhaltsanspruch hatte, erhält die gleichen Rentenleistungen wie ein/e Witwe/r. Falls die verstorbene Person wieder geheiratet hatte, jedoch weiterhin Unterhalt zahlen musste, erhalten sowohl neue als auch alte Ehepartner Rentenleistungen.
Leistungen werden monatlich gezahlt.
Keine zusätzlichen Zahlungen.</t>
  </si>
  <si>
    <t>Witwen- bzw. Witwerrente (vdovska pokojnina) entfällt, wenn die hinterbliebenen Ehepartner:
   * vor dem Alter von 58 Jahren wieder heiratet, es sei denn, der Rentenanspruch beruht auf vollständiger Erwerbsunfähigkeit;
   * vor dem Alter von 58 Jahren eine eheähnliche Partnerschaft eingehen.</t>
  </si>
  <si>
    <t>Halbwaisen:
Die Höhe der Hinterbliebenenrente (družinska pokojnina) in Prozent der Rente der verstorbenen Person zum Todeszeitpunkt hängt von der Anzahl der berechtigten Personen ab:
   * ein Anspruchsberechtigter: 70% der Rente des Verstorbenen zum Todeszeitpunkt;
   * zwei Anspruchsberechtigte: 80% dieser Bemessungsgrundlage;
   * drei Anspruchsberechtigte: 90% dieser Bemessungsgrundlage;
   * vier oder mehr Anspruchsberechtigte: 100% dieser Bemessungsgrundlage.
Vollwaisen:
Ein Anspruchsberechtigter auf Hinterbliebenenrente bezieht 100% der vorgeschriebenen Grundlage der höheren Rente der verstorbenen Eltern zum Zeitpunkt des Todes. Bei zwei oder mehr Anspruchsberechtigten basiert die Hinterbliebenenrente auf 100% beider Renten der verstorbenen Eltern. Diese Renten werden zu gleichen Teilen entsprechend der Anzahl der Kinder geteilt. Wenn die Teilung in gleiche Teile nicht möglich ist, geht der restliche Teil an das älteste Kind.
Die Höchstdauer des Leistungsbezugs beruht auf folgenden Bedingungen:
   * 26 Jahre alt sein;
   * eine Anstellung haben;
   * sich nicht in der Ausbildung befinden.
Leistungen werden monatlich gezahlt.
Keine zusätzlichen Zahlungen.
Die Leistung unterliegt keiner Bedürftigkeitsprüfung.</t>
  </si>
  <si>
    <t>Das Anrecht auf Hinterbliebenenrente kann auch erworben werden von:
   * Enkeln, Stiefkindern und anderen elternlosen Kindern, die von der verstorbenen Person zum Todeszeitpunkt unterhalten wurden (sofern sie die für Kinder festgelegten Bedingungen erfüllen);
   * Eltern, die von der verstorbenen Person unterhalten wurden, wenn sie ein Alter von 60 Jahren erreicht haben oder wenn sie zum Todeszeitpunkt der versicherten Person vollständig arbeitsunfähig waren (erreichen sie in diesem Fall das 60. Lebensalter während des Bezugs der Hinterbliebenenrente, erhalten sie darauf einen dauerhaften Anspruch).
Für den Leistungsbetrag siehe Tabelle VII, „Leistungen, Kinder“.</t>
  </si>
  <si>
    <t>Finanzielle Sozialhilfe in Sonder- und Notfällen nach dem Tod eines Familienmitglieds (posebna oblika izredne denarne socialne pomoči po smrti družinskega člana - posmrtnina) und finanzielle Sozialhilfe in Sonder- und Notfällen zur Deckung der Begräbniskosten (posebna oblika izredne denarne socialne pomoči kot pomoč pri kritju stroškov pogreba – pogrebnina) sind einmalige Zahlungen an Personen, die eine Anrecht auf finanzielle Sozialhilfe haben (siehe Tabelle XI, „Mindestsicherung“) im Falle des Tods des Ehepartners, Lebenspartners, Kinds, Stiefkinds, von Geschwistern, Nichten, Neffen und Enkeln oder Eltern, die die gesetzlich festgelegten Bedingungen erfüllen. Sie betragen:
   * €421,89 für finanzielle Sozialhilfe in Sonder- und Notfällen nach dem Tod eines Familienmitglieds;
   * €843,78 für finanzielle Sozialhilfe in Sonder- und Notfällen zur Deckung der Begräbniskosten.</t>
  </si>
  <si>
    <t>Eine Mindestbeitragsdauer ist erforderlich, wenn die Behinderung auf einer weit verbreiteten Krankheit beruht:
   * regelmäßig Versicherter im Alter unter 31 Jahren: die Mindestversicherungszeit beträgt ein Drittel des zwischen der Vollendung des 16. Lebensjahres und dem Eintritt des Versicherungsfalls liegenden Zeitraums;
   * regelmäßig Versicherter ab 31 Jahren: die Mindestversicherungszeit beträgt ein Viertel der Zeit zwischen dem Alter von 20 Jahren und dem Ereignis, welches zur Berufsunfähigkeit geführt hat; mindestens jedoch 5 Jahre. Ein Fünftel des Beitragszeitraums muss in den zehn Jahren vor Eintritt des Versicherungsfalls liegen;
   * Sonderregelungen bei nicht regelmäßig Versicherten.
Bei Personen über 21 Jahren sind im Falle einer dauerhaften Teilinvalidität 1.800 Tage in den letzten 10 Jahren erforderlich, wenn sie auf eine Nichtberufskrankheit zurückzuführen ist. Bei Minderjährigen unter diesem Alter ist die Hälfte der Zeit, die zwischen dem Datum, an dem sie das 16. Lebensjahr vollendet haben, und dem ursächlichen Ereignis plus 545 Tage erforderlich. In anderen Fällen ist keine Mindestbeitragszeit erforderlich.
Keine Mindestversicherungszeit erforderlich, wenn die Invalidität durch Arbeitsunfall, sonstigen Unfall oder Berufskrankheit verursacht wurde.</t>
  </si>
  <si>
    <t>Dauernde Invalidität, gleich welcher entscheidenden Ursache, wird eingestuft nach prozentualer Verminderung der Arbeitsfähigkeit:
   * dauernde teilweise Minderung der Berufsfähigkeit (incapacidad permanente parcial para la profesión habitual): Behinderung, die die Fähigkeit des Arbeitnehmers, seine übliche Tätigkeit zu erfüllen, um mindestens 33% vermindert, jedoch keine Hinderung darstellt, die Grundaufgaben des Berufs zu erfüllen;
   * dauernde vollständige Berufsunfähigkeit (incapacidad permanente total para la profesión habitual): Behinderung, die den Arbeitnehmer hindert, jegliche Hauptaufgaben seines Berufes zu erfüllen, mit der er jedoch einen anderen Beruf ausüben kann;
   * dauernde vollständige Erwerbsunfähigkeit (incapacidad permanente absoluta): Behinderung, die den Arbeitnehmer hindert, jegliche Art von Arbeit oder Beruf auszuüben;
   * Schwerstbehinderung (gran incapacidad): wenn der dauernd behinderte Arbeitnehmer der Unterstützung einer anderen Person bedarf, um die grundlegendsten Tätigkeiten auszuführen.
Die normale Fähigkeit des Arbeitnehmers, seine übliche Tätigkeit auszuführen, muss um mindestens 33% vermindert sein, um Anspruch auf Invaliditätsleistungen (pensiones de incapacidad) zu haben.</t>
  </si>
  <si>
    <t>Zahlung von Invaliditätsleistungen (pensiones de incapacidad) kann beginnen:
   * bei Erschöpfung des Anpruchs auf Krankengeld (d.h. 12 oder 18 Monate nach dem Beginn der Erkrankung);
   * ab dem Datum, an dem die Verminderung der Arbeitsfähigkeit des Antragstellers um mindestens 33% anerkannt wurde.
Anspruch auf Invaliditätsleistungen kann entfallen aufgrund:
   * einer Neubewertung der Arbeitsunfähigkeit;
   * der Zuerkennung der Altersrente (wenn die Person sie beantragte);
   * dem Tod des Leistungsempfängers.
Arbeitnehmer mit einer anerkannten Behinderung von mindestens 65% oder einer Behinderung von mindestens 45%, die in eine der zu diesem Zweck gesetzlich festgelegten Kategorien gehören, haben Anspruch auf vorgezogenen Ruhestand.
Dauernde Invaliditätsleistungen werden zu Altersrente, wenn der Leistungsempfänger 65 Jahre alt wird.</t>
  </si>
  <si>
    <t>Bis zum Erreichen des Mindestalters für den Ruhestand ist jederzeit eine Revision des Bewertungsteams für Behinderungen möglich.
Der Invaliditätsstatus kann überprüft werden, wenn:
   * sich der Zustand verschlechtert oder verbessert;
   * eine Fehldiagnose vorliegt;
   * eine Anstellung gefunden wurde.</t>
  </si>
  <si>
    <t>Monatliche Mindestbeträge:
   * Dauernde vollständige Berufsunfähigkeit (incapacidad permanente total para la profesión habitual): Mindestbetrag für Personen über 65 Jahren: €874,40 für Einpersonenhaushalte. Für verheiratete Leistungsempfänger: €1.127,60 oder €830, abhängig vom unterhaltsberechtigten Ehepartner;
Mindestbetrag für Personen zwischen 60-64: €818 für Einzelpersonenhaushalte und €1.127,60 oder €773,20 für verheiratete Leistungsempfänger, abhängig davon, ob der Ehepartner unterhaltsberechtigt ist oder nicht.
Mindestbetrag für Personen unter 60 Jahren (bei einer häufigen Krankheit): €644,60 für Einzelpersonenhaushalte; €644,60 für verheiratete Leistungsempfänger, wenn der Ehepartner unterhaltsberechtigt ist; für verheiratete Leistungsempfänger, wenn der Ehepartner nicht unterhaltsberechtigt ist: €639,10.
   * dauernde vollständige Erwerbsunfähigkeit (incapacidad permanente absoluta): Mindestbetrag für alleinstehende Leistungsempfänger: €874,40. Für verheiratete Leistungsempfänger: €1.127,60 oder €830, abhängig vom unterhaltsberechtigten Ehepartner;
   * Schwerstbehinderung (gran incapacidad): Mindestbetrag für alleinstehende Leistungsempfänger: €1.311,60. Für verheiratete Leistungsempfänger: €1.691,30 oder €1.245, abhängig vom unterhaltsberechtigten Ehepartner.
Monatlicher Höchstbetrag: €3.267,60 pro Monat.
Im Falle von Schwerstbehinderung hat diese Grenze keine Auswirkungen auf die Zulage.</t>
  </si>
  <si>
    <t xml:space="preserve">Bestimmungen oder Anreize für bevorzugte Beschäftigung sehen vor:
   * Lohnkostenzuschüsse oder Verminderungen der Sozialbeiträge von Arbeitgebern;
   * Einstellungsquoten für Menschen mit Behinderung, (verpflichtende Bereithaltung von 2% der Arbeitsstellen für Menschen mit Behinderung für Arbeitgeber mit einer Stamm-belegschaft von über 50 Personen);
   * Formen geschützter Beschäftigung.
</t>
  </si>
  <si>
    <t xml:space="preserve">Leistungen bei dauernder Erwerbsunfähigkeit (pensiones por incapacidad permanente):
   * Dauernde Teilerwerbsunfähigkeit für die übliche Beschäftigung (incapacidad permanente parcial para la profesión habitual): mit Arbeitseinkommen kumulierbar, wenn die Tätigkeit mit der physischen Konstitution des Leistungsempfängers in Einklang steht und keine Änderung des Invaliditätsgrades impliziert. Die Höhe der Leistung wird nicht gekürzt;
   * Dauernde vollständige Arbeitsunfähigkeit (incapacidad permanente total para la profesión habitual): Vereinbar mit dem Arbeitseinkommen, sofern die Tätigkeit mit dem körperlichen Zustand des Empfängers vereinbar ist und keine Änderung seiner Arbeitsfähigkeit zum Zwecke der Revision impliziert und es sich um einen anderen Beruf handelt als den, der die Arbeitsunfähigkeit verursacht.  Die Höhe der Leistung wird nicht gekürzt.
Ist die Arbeitsunfähigkeit qualifiziert (Leistung in Höhe von 75%), wird der Bonus (20% der Berechnungsgrundlage) gekürzt.
   * Absolute dauernde Arbeitsunfähigkeit (incapacidad permanente absoluta): Wenn der Empfänger eine Arbeit aufnimmt, ruht die Leistung;
   * Schwere Erwerbsunfähigkeit (gran incapacidad): Die Leistung wird ausgesetzt, aber der Zuschlag wird beibehalten.
</t>
  </si>
  <si>
    <t xml:space="preserve">60 Jahre für bestimmte Personen, die bereits unter dem zum 1. Januar 1967 abgeschafften System versichert waren.
Maximal zwei Jahre vor Erreichen der Regelaltersgrenze im Fall von:
   * freiwilligem Vorruhestand,
   * 35 Beitragsjahren, und
   * eine höhere Rente als die Mindestrente.
Maximal vier Jahre vor Erreichen der Regelaltersgrenze im Fall von:
   * unfreiwilligem Ruhestand aufgrund verschiedener Umstände,
   * 33 Beitragsjahren und
   * seit 6 Monaten arbeitslos gemeldet sein.
Die Regelaltersgrenze kann für bestimmte Arbeitnehmer, die schwere körperliche, gefährliche oder gesundheitsschädliche Arbeiten verrichten, vorauskalkuliert werden.
   * 56 Jahre für Arbeiter mit einer Erwerbsminderung von 45%;
   * 52 Jahre für Arbeiter mit einer Erwerbsminderung von 65%.
</t>
  </si>
  <si>
    <t>Keine Definition beschwerlicher oder gefährlicher Arbeitsplätze, es gibt jedoch Berufsgruppen oder Tätigkeiten, deren Arbeitsplätze als besonders beschwerlich, gefährlich, toxisch oder ungesund betrachtet werden und die besonders hohe Sterblichkeits- oder Morbiditätsraten mit sich bringen:
   * Bergbauarbeiter;
   * Flugpersonal;
   * Eisenbahner;
   * Künstler;
   * Stierkämpfer;
   * Feuerwehrleute im öffentlichen Dienst und öffentlichen Einrichtungen;
   * örtliche Polizeibeamte und Mitglieder der baskischen Polizei, der katalanischen Polizei oder der Polizei von Navarra. 
Es gelten besondere Bedingungen für diese Gruppen im Bezug auf Absenkung des normalen Renteneintrittsalters.</t>
  </si>
  <si>
    <t xml:space="preserve">Gesetzliche Mindestrente mit Bedürftigkeitsprüfung.
Mindestrente (Pensión mínima): abhängig vom Wohnsitz.
Monatsbeträge (14 Zahlungen im Jahr):
   * +65 Jahre: €874,40 für Ein-Personen-Haushalte; €1.127,60 oder €830 für verheiratete Leistungsempfänger, abhängig davon, ob der Ehepartner unterhaltsberechtigt ist oder nicht.;
   * -65 Jahre: €818 für Ein-Personen-Haushalte; €1.127,60 oder €773,20 für verheiratete Leistungsempfänger, abhängig davon, ob der Ehepartner unterhaltsberechtigt ist oder nicht.
Folgendes Vermögen wird berücksichtigt: Arbeitseinkommen, Kapital, oder wirtschaftliche Aktivitäten, und Kapitaleinkünfte laut dem für solche Einkommen im Einkommensteuergesetz geregelten Konzept. Folgendes ist vom Bruttoeinkommen des Rentners laut Steuergesetz ausgenommen:
   * abzugsfähige Aufwendungen für Brutto-Arbeitseinkommen;
   * abzugsfähige Aufwendungen für Brutto-Einkommen aus wirtschaftlichen Aktivitäten;
   * abzugsfähige Aufwendungen für Brutto-Einkommen aus Immobilienvermögen.
</t>
  </si>
  <si>
    <t xml:space="preserve">Aufschub möglich. Für Arbeitnehmer über dem gesetzlichen Ruhestandsalter mit mehr als 15 Beitragsjahren, die weiterhin arbeiten, haben einen Anspruch auf:
   * eine Erhöhung des Rentenbetrags für jedes zusätzliche Beitragsjahr zwischen der Regelaltersgrenze und dem tatsächlichen Renteneintritt um 4 Prozentpunkte;
   * oder eine Pauschalleistung, bestimmt durch die Anzahl der vollständig angerechneten Beitragsjahre zwischen der Regelaltersgrenze und dem tatsächlichen Renteneintritt;
   * oder eine gemischte Option abhängig von der Anzahl der Beitragsjahre.
</t>
  </si>
  <si>
    <t>Der Verstorbene muss am Todestag:
   * aktiver Beitragszahler oder einem solchem gleichgestellt gewesen sein und für mindestens 500 Kalendertage in den fünf Jahren vor dem Tod Beiträge entrichtet haben (nicht zutreffend für das Waisengeld, pensión de orfandad). Diese Beitragsvoraussetzung entfällt bei Tod durch Berufskrankheit, Arbeitsunfall oder sonstigen Unfall, oder
   * falls er kein aktiver Beitragszahler oder einem solchen gleichgestellt war, mindestens für 15 Jahre Beiträge entrichtet haben, oder
   * eine Invaliditäts- oder Ruhestandsrente bezogen haben,
   * Mütter, die durch Gewalt gegen Frauen verstorben sind.</t>
  </si>
  <si>
    <t>Altersgrenze der Kinder:
   * 21 Jahre;
   * 25 Jahre, wenn das Bruttoerwerbseinkommen den Mindestlohn (Salario mínimo interprofesional) nicht übersteigt. Das berücksichtigte Vermögen umfasst Einkommen aus Arbeit oder Kapital und Sozialleistungen.
Keine Altersbegrenzung bei dauernder vollständiger Erwerbsunfähigkeit (incapacidad permanente absoluta) und Schwerstbehinderung (gran incapacidad).</t>
  </si>
  <si>
    <t>Alle folgenden Bedingungen müssen erfüllt sein:
   * Gemeinsamer Haushalt mit dem Verstorbenen in den letzten zwei Jahren vor dem Tod;
   * Nachweis der finanziellen Abhängigkeit von dem Verstorbenen;
   * kein eigener Anspruch auf eine öffentliche Leistung;
   * Bedürftigkeit und keine lebenden Verwandten, die nach bürgerlichem Recht zu Unterhalt verpflichtet und dazu in der Lage wären. Das berücksichtigte Vermögen umfasst Einkommen aus Arbeit oder Kapital und Sozialleistungen.</t>
  </si>
  <si>
    <t>In der Regel entfällt das Witwen- bzw. Witwergeld (Pensión de viudedad) bei Wiederheirat. Sie erlischt jedoch nicht, wenn:
   * der Bezieher mindestens 61 Jahre alt ist oder eine Erwerbsminderung um mindestens 65% aufweist;
   * das Witwen- bzw. Witwergeld mindestens 75% des Jahreseinkommens ausmacht;
   * das Jahresgesamteinkommen des neuen Haushalts unter dem Zweifachen des Mindestlohns (Salario Mínimo Interprofesional) liegt.</t>
  </si>
  <si>
    <t xml:space="preserve">Gesetzlich festgelegte Mindestleistung mit Bedürftigkeitsprüfung.
Monatsbeträge (14 Zahlungen im Jahr):
Hinterbliebener Ehegatte:
   * mit Unterhaltsberechtigten: €1.127,60;
   * über 65 Jahren oder mit einer Erwerbsminderung um mindestens 65%: €874,40;
   * von 60 bis 64 Jahren: €818;
   * unter 60 Jahren: €662,50.
Halbwaisen: €267,50.
Waisen unter 18 Jahren mit einem Invaliditätsgrad von mindestens 65%: €525,80.
Vollwaisen: €930 pro Kind. Die Mindestleistung wird um €662,50/monatlich erhöht, verteilt auf die Leistungsempfänger.
Waisen durch Gewalt gegen Frauen: €793,80 für Einzelempfänger oder €1.338,12, verteilt auf die Leistungsempfänger.
Andere Berechtigte: €267,50.
Einziger Empfänger:
   * über 65: €646;
   * unter 65 Jahren: €608,80.
Folgendes Vermögen wird berücksichtigt: Arbeitseinkommen, Kapital, oder wirtschaftliche Aktivitäten, und Kapitaleinkünfte laut dem für solche Einkommen im Einkommensteuergesetz geregelten Konzept.
Folgendes ist vom Bruttoeinkommen des Rentners, welches laut den im Steuergesetz festgelegten Bedingungen berechnet wurde, ausgenommen:
   * abzugsfähige Aufwendungen für Brutto-Arbeitseinkommen;
   * abzugsfähige Aufwendungen für Brutto-Einkommen aus wirtschaftlichen Aktivitäten;
   * abzugsfähige Aufwendungen für Brutto-Einkommen aus Immobilienvermögen.
</t>
  </si>
  <si>
    <t>Persönliche Bemessungsgrundlage (Osobní vyměřovací základ):
   * basierend auf dem durchschnittlichen Bruttoverdienst in dem Referenzzeitraum, der die gesamte Beitragsgeschichte enthält, anfangend mit dem ersten Kalenderjahr nach Vollendung des 17. Lebensjahres und endend mit dem Kalenderjahr vor dem Jahr des Rentenbezugs. Verdienst (und Jahre) vor 1986 werden nicht berücksichtigt;
   * alle Einkommen werden entsprechend der Entwicklung des Durchschnittsverdiensts angepasst;
   * nicht alle Einkommen gehen in die Berechnung ein; die Persönliche Bemessungsgrundlage wird reduziert, da monatliche Bruttoverdienste wie folgt berücksichtigt werden: 
   * bis zu CZK 20.486 (€828): 100% Einbeziehung,
   * von CZK 20.486 (€828) bis CZK 186.228 (€7.525): 26% Einbeziehung,
   * Einkommen von über CZK 186.228 (€7.525) monatlich werden nicht berücksichtigt.</t>
  </si>
  <si>
    <t>Keine gesetzliche Mindestrente, aber:
   * Grundbetrag (Základní složka): Pauschale (10% des nationalen monatlichen Bruttodurchschnittslohns) von CZK 4.660 (€188) monatlich.
   * Prozentualer Betrag (Procentní část): Mindestens CZK 770 (€31) monatlich.
Keine gesetzliche Höchstrente.</t>
  </si>
  <si>
    <t>Ersatzzeiten werden berücksichtigt für die Anspruchsberechtigung und Berechnung des zahlbaren Betrags, überwiegend für:
   * Vollzeitschüler an weiterführenden Schulen oder Universitätsstudenten (höchstens 6 Jahre ab dem Alter von 18 Jahren) (nur Zeiträume bis zum Jahr 2010 für die Berechnung des Rentenbetrags);
   * Beim Arbeitsamt gemeldete Arbeitssuchende für den Zeitraum des Leistungsbezugs sowie zusätzlich maximal 3 Jahre für Personen älter als 55 Jahre und für maximal 1 Jahr für Personen unter 55 Jahren;
   * Personen mit verringerter Arbeitsfähigkeit, die an Ausbildungsmaßnahmen teilnehmen;
   * Wehrdienstleistende (bis 30.06.2016) oder Zivildienstleistende (bis 31.12.2004);
   * Personen, die ein Kind bis zum Alter von 4 Jahren versorgen (10 Jahre, wenn das Kind in Pflegebedürftigkeits-Kategorie I gehört (leichte Pflegebedürftigkeit));
   * Personen, die eine unvermittelte Pflegeunterbringung stellen (nach gesetzlich vorgeschriebenen Bedingungen);
   * Personen, die für eine unterhaltsberechtigte Person sorgen (Kategorie II – mittlere Pflegebedürftigkeit, Kategorie III – schwere Pflegebedürftigkeit und Kategorie IV – vollständige Pflegebedürftigkeit);
   * Empfänger von Invaliditätsrente dritten Grades (Invalidní důchod třetího stupně) bis zum Erreichen des Ruhestandes;
   * Personen im Zeugenschutz;
   * Zeiten des Bezugs von Leistungen bei Krankheit werden grundsätzlich als Versicherungszeiten berücksichtigt.
Für die Rentenberechnung wird der Zeitraum zwischen Beginn der Invalidität und dem Ruhestandsalter einer kinderlosen Frau desselben Geburtsjahres der Versicherungszeit ganz oder teilweise hinzugerechnet (abhängig von den „realen“ Versicherungsjahren und anderen Bedingungen).</t>
  </si>
  <si>
    <t>Wenn ein Arbeitgeber in Abstimmung mit der Arbeitsagentur eine behinderte Person einstellt, erhält er von der Arbeitsagentur einen Lohnkostenzuschuss (Beihilfe zur Schaffung von Arbeitsplätzen für Menschen mit Behinderung (příspěvek na zřízení pracovního místa pro osobu se zdravotním postižením)), der das 8-fache oder 12-fache im Falle einer schwerwiegenden Behinderung des nationalen Durchschnittslohnes in den ersten drei Quartalen des vorangegangenen Kalenderjahres nicht überschreiten darf. Wenn ein Arbeitgeber im Rahmen einer einzigen Vereinbarung mit der Arbeitsagentur Arbeitsplätze für mindestens 10 Menschen mit Behinderungen schafft, kann der Lohnkostenzuschuss pro Arbeitsplatz bis um das 10-fache erhöht werden und um das 14-fache des nationalen Durchschnittslohns in den ersten drei Quartalen des vorherigen Kalenderjahres pro Arbeitsplatz für Personen mit einer schwerwiegenden Behinderung.
Die Arbeitsagentur kann zusätzliche Beihilfe gewähren, um die Betriebskosten für die Anpassung des Arbeitsplatzes auf die Bedürfnisse des behinderten Arbeitnehmers zu decken. Der Gesamtjahresbetrag der Beihilfe darf CZK 48.000 (€1.940) jährlich nicht überschreiten.
Arbeitgeber mit mehr als 25 Arbeitnehmern sind verpflichtet, eine bestimmte Anzahl behinderter Personen zu beschäftigen, d.h. mindestens 4% der Belegschaft des Unternehmens.
Arbeitgeber halten diese Regelung ein indem sie:
   * Menschen mit Behinderungen einstellen und/oder,
   * Produkte kaufen oder Dienste in Anspruch nehmen von Unternehmen, die von der Arbeitsagentur als Arbeitgeber des geschützten Arbeitsmarktes anerkannt sind, und/oder
   * Zahlungen an den Staatshaushalt machen.
Ein Unternehmen wird als „Arbeitgeber des geschützten Arbeitsmarktes“ anerkannt, wenn mehr als 50% der Belegschaft aus behinderten Arbeitnehmern besteht und sie als solche von der Arbeitsagentur anerkannt sind.
Sie erhalten Lohnkostenzuschüsse (Příspěvek na podporu zaměstnávání osob se zdravotním postižením na chráněném trhu práce) zur Förderung der Beschäftigung von Menschen mit Behinderung von bis zu 75% des tatsächlichen Lohns des betreffenden Arbeitnehmers, einschließlich der Sozial- und Krankenversicherungsbeiträge des Arbeitgebers. Die monatliche Höchstgrenze für Lohnkostenzuschüsse liegt bei CZK 15.700 (€699) (CZK 17.300 ab 1. April 2025) für Behinderte und CZK 5.000 (€202) für Menschen mit physischen Einschränkungen. Zur Bestimmung der Höhe des Lohnkostenzuschusses werden die Lohnkosten um den Lohn in Form vom Sachleistungen und Lohnkürzungen entsprechenden Betrag vermindert (d.h. den nicht-finanziellen Teil des Lohns).</t>
  </si>
  <si>
    <t>Eine auf Teilzeitbasis (siehe Tabelle 0, „Grundprinzipien“ für Selbstständige‘) erwerbstätige selbstständige Person ist für die Rentenversicherung abgedeckt:
   * wenn Bruttoeinkommen aus Teilzeit-Selbstständigkeit nach Abzug der Ausgaben mindestens dem „maßgebendem Betrag“ (CZK 111.736 (€4.429)) im vorangegangenen Kalenderjahr entspricht, oder;
   * wenn sie freiwillig Mitglied des Rentenversicherungssystems geworden ist.
Es gilt eine geringere Mindestbeitragsgrundlage für Vollzeit-Selbstständige (CZK 5.122 (€207) monatlich).
Beiträge werden getrennt für jede versicherte Wirtschaftstätigkeit gezahlt. Eine einzelne Leistung wird auf die Summe des Entgelts aus allen versicherten Wirtschaftstätigkeiten gezahlt.</t>
  </si>
  <si>
    <t>Personen mit Anspruch auf Leistungen für Personen mit veränderter Erwerbsfähigkeit (megváltozott munkaképességű személyek ellátásai): Versicherungszeiten von mindestens 1.095 Kalendertagen innerhalb von 5 Jahren oder 2.555 Kalendertagen innerhalb von 10 Jahren oder 3.650 Tagen innerhalb von 15 Jahren vor der Antragstellung.
Personen mit Anspruch auf außerordentliche Invaliditätsleistung (kivételes rokkantsági ellátás): wenn die Person mindestens die Hälfte der für die Rehabilitierungs- oder Invaliditätsleistung erforderliche Mindestversicherungszeit aufweist (mindestens 548 Kalendertage innerhalb von 5 Jahren oder 1.278 Kalendertage innerhalb 10 Jahren oder 1.825 Tage innerhalb 15 Jahre vor der Antragsstellung).
Personen können Anspruch auf Leistungen für Personen mit veränderter Erwerbsfähigkeit haben, ungeachtet der Versicherungsdauer, wenn:
   * ihre Arbeitsfähigkeit sich vor dem Alter von 35 Jahren geändert hat, sie vor dem Alter von 35 Jahren ihr Studium begonnen haben und sich während ihres Studiums versichert haben oder sich innerhalb von 180 Tagen nach der Beendigung des Studiums versichert haben und als solches ohne Unterbrechung von mehr als 30 Tagen vor der Antragstellung versichert werden, oder
   * sie am 31. Dezember 2011 eine Invaliditätsrente, eine Erwerbsunfähigkeitsrente bei Arbeitsunfall oder Berufskrankheit, eine Rehabilitationsrente oder eine rentenähnliche Leistung für Personen mit Gesundheitsschäden bezogen haben oder die Anspruchsberechtigung für die vorgenannten Leistungen festgesetzt, die Zahlung aber am 31. Dezember 2011 ausgesetzt war.</t>
  </si>
  <si>
    <t>Rehabilitationsleistung (rehabilitációs ellátás):
Jeder Person, die eine Rehabilitationsleistung bezieht, muss mit der Behörde für Rehabilitation zusammenarbeiten und die im Rehabilitationsplan festgelegten Bedingungen erfüllen.
Innerhalb von 10 Kalendertagen nach Eintritt des Ereignisses/Umstands muss die Person, die solche Leistung bezieht, Folgendes melden:
   * Jede dauerhafte Verbesserung oder dauerhafte Verschlechterung ihres Gesundheitszustandes,
   * die Aufnahme einer Erwerbstätigkeit und die Beendigung dieser Erwerbstätigkeit.
Invaliditätsleistung (rokkantsági ellátás):
Innerhalb von 10 Kalendertagen nach Eintritt des Ereignisses/ Umstands muss die Person, die solche Leistung bezieht, Folgendes melden:
   * Veränderungen in den Umständen, die für die Anspruchsbedingungen wichtig sind,
   * alle dauerhaften Verbesserungen oder Verschlechterungen ihres Gesundheitszustands.
Wenn der Gesundheitszustand als dauerhaft angesehen werden kann, erfolgt keine Revision. Wenn es jedoch wahrscheinlich ist, dass sich der Gesundheitszustand ändern wird, wird das Datum der nächsten Nachuntersuchung in den Unterlagen festgehalten. Wenn der Zeitraum bis zum Erreichen des Rentenalters 10 Jahre oder weniger beträgt oder wenn der Leistungsempfänger hilfsbedürftig ist und dauerhafte Unterstützung bei den Alltagstätigkeiten benötigt, erfolgt keine Revision. Der Anspruchsberechtigte kann jedoch jederzeit während des Anspruchszeitraums auf Rehabilitierungsleistungen bzw. Invaliditätsleistung einen Antrag auf Nachuntersuchung stellen. Die Neubewertung wird durch die Behörde der Hauptstadt oder das Bezirksverwaltungsbüro des Wohnortes durchgeführt.</t>
  </si>
  <si>
    <t>Der Leistungsbetrag ist abhängig vom monatlichen Durchschnittslohn, wird aber nicht durch den Bezug anderer Sozialleistungen beeinflusst. Anspruchsberechtigung auf die Leistung unterliegt keiner Bedürftigkeitsprüfung.
Rehabilitationsleistung (rehabilitációs ellátás):
   * Personen, deren Rehabilitation noch möglich ist: 35% des monatlichen Durchschnittsbruttoeinkommens;
   * Personen, die dauerhafter Rehabilitation bedürfen: 45% des monatlichen Durchschnittsbruttoeinkommens.
Invaliditätsleistung (rokkantsági ellátás):
   * Personen, deren Rehabilitation noch möglich ist (d.h. Personen, deren Gesundheitszustand zwischen 51% und 60% liegt): 40% des monatlichen Durchschnittsbruttoeinkommens;
   * Personen, die dauerhafte Rehabilitation benötigen (d.h. Personen, deren Gesundheitszustand zwischen 31% und 50% liegt): 60% des monatlichen Durchschnittsbruttoeinkommens;
   * Personen, die mit dauerhafter Unterstützung beschäftigt werden können: 65% des monatlichen Durchschnittsbruttoeinkommens;
   * Personen, die nicht in der Lage sind, sich selbst zu versorgen oder dazu dauerhafte Unterstützung benötigen: 70% des monatlichen Durchschnittsbruttoeinkommens.
Leistungen werden monatlich gezahlt, zwölf Mal im Jahr.</t>
  </si>
  <si>
    <t>Das Bezugseinkommen für Rehabilitationsleistung (rehabilitációs ellátás) und Invaliditätsleistung (rokkantsági ellátás) ist das monatliche Durchschnittsbruttoeinkommen der Einzelperson, d.h.:
   * das 30-fache der täglichen Durchschnittssumme des Einkommens, das als Grundeinkommen für die Geldbeiträge der Gesundheitsvorsorge dient, wenn die anspruchsberechtigte Person im Kalenderjahr direkt vor Antragsstellung ein Einkommen erwirtschaftet hat;
   * das 30-fache der täglichen Durchschnittssumme des täglichen Einkommens von 180 Kalendertagen, das als Grundeinkommen für die Geldbeiträge der Gesundheitsvorsorge dient und der Antragsstellung vorausgegangen ist, wenn die anspruchsberechtigte Person kein Einkommen in dem Kalenderjahr direkt vor Antragsstellung erwirtschaftet hatte;
   * das Einkommen von mindestens 180 Kalendertagen, das direkt vor Startdatum der Anspruchsberechtigung auf Krankengeld (Táppénz) oder Arbeitsunfallkrankengeld (Baleseti táppénz) erwirtschaftet wurde, wenn die anspruchsberechtigte Person eine dieser Leistungen während des gesamten Referenzzeitraumes oder auf jeden Fall für einen Teil dieses Zeitraumes bezogen hat und wenn dies vorteilhafter ist.
Wenn die Bedingung der 180 Tage nicht erfüllt wird, erhält der Empfänger den Mindestbetrag (siehe Tabelle V, „Leistungen, Mindest- und Höchstleistungen“).</t>
  </si>
  <si>
    <t xml:space="preserve">Rehabilitationsleistung (rehabilitációs ellátás):
   * Personen, deren Rehabilitation noch möglich ist:
   * Mindestbetrag: 30% des Grundbetrags (d.h. HUF42.620 monatlich);
   * Höchstbetrag: 40% des Grundbetrags (d.h. HUF56.825 monatlich).
   * Personen, die dauerhafte Rehabilitation benötigen:
   * Mindestbetrag: 40% des Grundbetrags (d.h. HUF56.825 monatlich);
   * Höchstbetrag: 50% des Grundbetrags (d.h. HUF71.030 monatlich).
Invaliditätsleistung (rokkantsági ellátás):
   * Personen, deren Rehabilitation noch möglich ist (d.h. Personen mit einem Gesundheitszustand zwischen 51% und 60%):
   * Mindestbetrag: 30% des Grundbetrags (d.h. HUF42.620 monatlich)
   * Höchstbetrag: 45% des Grundbetrags (d.h. HUF63.930 monatlich)
   * Personen, die dauerhafte Rehabilitation benötigen (d.h. Personen mit einem Gesundheitszustand zwischen 31% und 50%):
   * Mindestbetrag: 45% des Grundbetrags (d.h. HUF63.930 monatlich)
   * Höchstbetrag: 150% des Grundbetrags (d.h. HUF213.090 monatlich)
   * Personen, die mit dauerhafter Unterstützung beschäftigt werden können:
   * Mindestbetrag: 50% des Grundbetrags (d.h. HUF71.030 monatlich)
   * Höchstbetrag: 150% des Grundbetrags (d.h. HUF213.090 monatlich)
   * Personen, die nicht in der Lage sind, sich selbst zu versorgen oder dazu dauerhafte Unterstützung benötigen:
   * Mindestbetrag: 55% des Grundbetrags (d.h. HUF78.135 monatlich)
   * Höchstbetrag: 150% des Grundbetrags (d.h. HUF213.090 monatlich)
</t>
  </si>
  <si>
    <t>Staatliches Gesundheitskartensystem (közgyógyellátás) für Personen:
   * mit Anspruch auf Invaliditätsleistung (rokkantsági ellátás) mit einem Gesundheitszustand, der auf 30% des normalen Zustands oder weniger eingeschätzt wird, oder
   * mit Anspruch auf Invaliditätsleistung (rokkantsági ellátás) und mit Anspruch am 31. Dezember 2011 auf Invaliditätsrente der Stufen I und II oder Erwerbsunfähigkeitsrente bei Arbeitsunfall oder Berufskrankheit (Baleseti rokkantsági nyugdíj),
   * die eine Altersrente (öregségi nyugdíj) beziehen und die einen Anspruch auf Invaliditätsleistung (rokkantsági ellátás) vor dem Anspruch auf Altersrente hatten.
Beihilfe für Pflegepersonen (Ápolási díj) und Beihilfe für häusliche Kinderpflege (Gyermekek otthongondozási díja): siehe Tabelle XII zu „Langzeitpflege“ für nähere Informationen.
Invaliditätsleibrente (Rokkantsági járadék): für Personen mit einer Gesundheitsbeeinträchtigung von mindestens 70%, die vor dem Erreichen des 25. Lebensjahrs eintritt, die keine Rente oder Leistungen für Personen mit veränderter Erwerbsfähigkeit (megváltozott munkaképességű személyek ellátásai) erhalten, kann diese Leistung erst nach dem Erreichen des 18. Lebensjahrs gewährt werden. Die Höhe der Rente beträgt HUF60.715 (€152) monatlich.</t>
  </si>
  <si>
    <t>Erste Säule:
Altersrente für Frauen mit einem Anwartschaftszeitraum von 40 Jahren (Öregségi nyugdíj nők számára 40 év jogosultsági idővel) ungeachtet ihres Alters.
Der Anwartschaftszeitraum bezieht sich auf jede Versicherungszeit der Erwerbstätigkeit oder den Bezug von Leistung bei Schwangerschaft und Geburt (Terhességi- gyermekágyi segély) (bis 31. Dezember 2014), Mutterschaftsgeld (Csecsemőgondozási díj), Kinderbetreuungsgeld (Gyermekgondozási díj), Geld für die Kinderbetreuung zuhause (Gyermekgondozási segély) (bis zum 31. Dezember 2015), Erziehungsgeld (Gyermekgondozást segítő ellátás) (ab dem 1. Januar 2016) und Erziehungsgeld für kinderreiche Familien (Gyermeknevelési támogatás), oder Beihilfe für Pflegepersonen bei Pflege eines Kindes mit Behinderung (Ápolási díj), Beihilfe für häusliche Kinderpflege (Gyermekek otthongondozási díja), Adoptionsbeihilfe (Örökbefogadói díj) (ab 1. Januar 2020). Zusätzlich zu den Bezugszeiträumen der oben genannten Mutterschafts- /Familienleistungen wird ein Mindestbeschäftigungszeitraum von 32 Jahren benötigt oder bei Bezug von Beihilfe für Pflegepersonen (Ápolási díj), festgelegt auf der Grundlage des Rechts des Kindes oder Beihilfe für häusliche Kinderpflege (Gyermekek otthongondozási díja) ein Beschäftigungszeitraum von mindestens 30 Jahren. Der Anspruchszeitraum wird um ein Jahr pro Kind im Haushalt gekürzt, für Mutter mit fünf oder mehr Kindern und einer maximalen Verringerung von 7 Jahren.
Zusätzlich können einige Leistungen vor Erreichen des Rentenalters gewährt werden, bei denen es sich nicht um Altersrenten handelt:
   * Leistung vor dem Rentenalter (Korhatár előtti ellátás) für Personen, die das Rentenalter noch nicht erreicht haben und eine vorgezogene Altersrente bezogen haben (Korkedvezményes öregségi nyugdíj), Rente für Bergleute (Bányásznyugdíj) oder Rente für Künstler (Művésznyugdíj) am 31. Dezember 2011;
   * Übergangsrente für Bergleute (Átmeneti bányászjáradék) für Personen, die mindestens 25 Versicherungsjahre und 5.000 Schichten in Bergwerken geleistet haben;
   * Leibrente für Tanzkünstler (Táncművészeti életjáradék) für Personen, die mindestens 25 Versicherungsjahre als Tänzer in einer im Gesetz aufgeführten Kompagnie geleistet haben;
   * Leistungen für das Militär (Szolgálati járandóság) für Personen, die aufgrund von Invalidität Anspruch auf Dienstrenten für Angehörige der Streitkräfte hatten (Szolgálati nyugdíj) und bis 31. Dezember 2011 25 Versicherungsjahre geleistet hatten.</t>
  </si>
  <si>
    <t>Erste Säule:
   * nationaler Militärdienst (öffentlicher Dienst);
   * Zeiten des Anspruchs auf Leistung bei Schwangerschaft und Geburt (Terhességi-gyermekágyi segély) (bis 31. Dezember 2014), Mutterschaftsgeld (Csecsemőgondozási díj), Krankengeld (Táppénz), Arbeitsunfallkrankengeld (Baleseti táppénz), Kinderbetreuungsgeld (Gyermekgondozási díj), Adoptionsbeihilfe (Örökbefogadói díj) (ab 1. Januar 2020), Geld für die Kinderbetreuung zuhause (Gyermekgondozási segély) (bis 31. Dezember 2015), Erziehungsgeld (Gyermekgondozást segítő ellátás) (ab 1. Januar 2016) und Erziehungsgeld für kinderreiche Familien (Gyermeknevelési támogatás), Beihilfe für Pflegepersonen (Ápolási díj);
   * Zahlungszeiträume von Arbeitslosengeld (Álláskeresési járadék), Arbeitslosenhilfe vor der Rente (Nyugdíj előtti álláskeresési segély) und frühere Leistungen bei Arbeitslosigkeit, wenn der Beitrag geleistet wurde;
   * Zeiten der höheren Bildung vor 1, Januar 1998 (und danach, sofern es sich um eine Vollzeitausbildung handelt und Beiträge als Teil der Vereinbarung gezahlt wurden);
   * Rehabilitationsrente (Rehabilitációs járadék), die aufgrund verminderter Erwerbsfähigkeit von 2008 bis 31. Dezember 2011 für die Gesamtdauer der Rehabilitationsleistung (Rehabilitációs ellátás) gezahlt wurde (nach 31. Dezember 2011).</t>
  </si>
  <si>
    <t>Erste Säule:
Jede volljährige Person kann eine Vereinbarung schließen zum Zweck des Erwerbs von Einkommen als Rentenbasis und zum Erhalt von Versicherungszeit, die einer Verpflichtung zur Zahlung der (individuellen) Rentenbeiträge von Arbeitgebern und Arbeitnehmern unterliegt, welche basierend auf dem Mindestlohn berechnet werden, der am Tag des Abschlusses der Vereinbarung maßgeblich ist.
Der Rückkauf von Versicherungszeit hilft bei der Gewinnung von Versicherungsjahren, wodurch die Berechnung des Rentenbetrags beeinflusst wird. Dies ist anwendbar auf:
   * Zeiten eines Vollzeitstudiums an einer Hochschuleinrichtung (einschließlich Promotionsstudium);
   * die Versicherungszeit, die nötig ist, um die 20 Versicherungsjahre zu erreichen, welche für die vollen Altersleistungen des Sozialversicherungssystems erforderlich sind (oder die 15 Jahre, die für die Teilruhestandsrente nötig sind), kann höchstens 5 Kalenderjahre betragen;
   * Erziehungszeiträume, im Jahr 1998, in denen Geld für die Kinderbetreuung zuhause (Gyermekgondozási segély) erbracht wurde.</t>
  </si>
  <si>
    <t>Bezug einer Altersrente oder Erfüllung der Mindestversicherungszeit für eine Altersrente zum Todeszeitpunkt (altersabhängig).
Anspruchsberechtigung auf Witwen-/Witwerrente (Özvegyi nyugdíj) ist davon abhängig, ob die verstorbene Person eine der folgenden Bedingungen erfüllt hat:
   * verstorben vor Erreichen des 22. Lebensjahres und
   * in den 180 Kalendertagen seit Beendigung des Studiums Versicherungszeiten angesammelt haben oder
   * insgesamt mindestens 2 Jahre Versicherungszeit angesammelt haben,
   * verstorben zwischen 22-25 Jahren und mindestens 4 Jahre Versicherungszeit angesammelt haben,
   * verstorben zwischen 25-30 Jahren und mindestens 6 Jahre Versicherungszeit angesammelt haben,
   * verstorben zwischen 30-35 Jahren und mindestens 8 Jahre Versicherungszeit angesammelt haben,
   * verstorben zwischen 35-45 Jahren und mindestens 10 Jahre Versicherungszeit angesammelt haben,
   * verstorben mit über 45 Jahren und mindestens 15 Jahre Versicherungszeit angesammelt haben.
Hat die verstorbene Person nicht die oben genannten Versicherungszeiten angesammelt, jedoch die erforderlichen Versicherungszeiten für eine jüngere Alterskohorte angespart (wie oben aufgeführt), kann Hinterbliebenenleistung gewährt werden, vorausgesetzt, die Versicherungszeit wurde bis zum Todesdatum nicht durch einen Zeitraum von mehr als 30 Kalendertagen unterbrochen.</t>
  </si>
  <si>
    <t>Witwen- bzw. Witwerrente (Özvegyi nyugdíj)
Die Anspruchsberechtigung wird bestimmt durch Heirat oder eingetragene Lebenspartnerschaft und das Zusammenleben mit dem Verstorbenen.
Die Rente:
   * wird befristet auf 1 Jahr (verlängert auf 18 Monate, wenn der hinterbliebene Ehepartner die Fürsorge für das Kind (unter 18 Monaten) des Verstorbenen übernimmt);
   * oder wird für höchstens 3 Jahre gewährt, wenn der hinterbliebene Ehegatte ein Kind versorgt, das als behindert oder dauerhaft krank gilt;
   * oder wird in eine dauerhafte Rente umgewandelt, wenn der Ehepartner:
   * das Rentenalter überschritten hat oder
   * als eine Person mit veränderter Erwerbsfähigkeit angesehen wird oder
   * mindestens zwei minderjährige Kinder (mit Anspruch auf Waisenrente) hat oder einen mit dem Verstorbenen verwandten Waisen (mit Anspruch auf Waisenrente) pflegt, der behindert oder dauerhaft krank ist.
Diese Bedingungen gelten auch innerhalb von 10 Jahren nach Einstellung der Zahlung von Witwen- bzw. Witwerrente (Özvegyi nyugdíj), wenn die Anspruchsbedingungen erfüllt sind.
Wenn der verstorbene Ehegatte zum Zeitpunkt der Heirat das Rentenalter überschritten hatte, so hat die hinterbliebene Person nur dann Anspruch auf die Leistung, wenn sie länger als 5 Jahre mit der verstorbenen Person zusammengelebt hat oder ein gemeinsames Kind vorhanden ist.
Der geschiedene Ehegatte hat nur dann Anspruch, wenn die Trennung weniger als ein Jahr zurückliegt.
War der Ehegatte länger als ein Jahr vom Verstorbenen getrennt, besteht nur dann ein Anspruch, wenn die Person Unterhaltszahlungen vom Verstorbenen erhalten hat.
Für Männer und Frauen gelten die gleichen Bedingungen.</t>
  </si>
  <si>
    <t>Elternrente (Szülői nyugdíj):
Für (Groß-)Eltern, deren (Enkel-)Kind die erforderliche Versicherungszeit für eine Witwen- bzw. Witwerrente (Özvegyi nyugdíj) erfüllten, wenn die Eltern oder Großeltern:
   * zum Zeitpunkt des Todes des (Enkel-)Kindes als eine Person mit veränderter Erwerbstätigkeit angesehen werden oder mindestens 65 Jahre alt sind, und
   * während des vergangenen Jahres von ihrem (Enkel-)Kind abhängig waren.
Pflegeeltern haben nur Anspruch auf die Leistung, wenn sie ihr Pflegekind mindestens 10 Jahre lang versorgt haben.</t>
  </si>
  <si>
    <t>Witwen bzw. Witwer:
   *              Grundrente (Βασική Σύνταξη) : 100 % des versicherungspflichtigen Grundentgelts (Βασικές Ασφαλιστέες Αποδοχές) (im Fall von 3 abhängigen Familienmitgliedern). 
   *              Zusatzrente (Συμπληρωματική Σύνταξη) : Keine gesetzliche Höchstrente. Basierend auf der Beitragsbemessungsgrenze beträgt der Höchstbetrag der Zusatzrente € 1.572,43 pro Monat (für Personen, die im Jahr 2025 berechtigt werden). 
Halbwaisen:
   *              Grundrente (Βασική Σύνταξη) : 20 % des versicherungspflichtigen Grundentgelts (Βασικές Ασφαλιστέες Αποδοχές) = € 42,71 pro Woche pro Waise für bis zu drei Waisen. 
Vollwaisen:
   *              Grundrente (Βασική Σύνταξη) : 40 % des versicherungspflichtigen Grundentgelts = € 85,42 pro Woche für jedes Kind. 
   *              Zusatzrente (Συμπληρωματική Σύνταξη) : Bei mehr als zwei Waisen kann der Betrag der Zusatzrente für Witwen bzw. Witwer nicht überschritten werden. 
Für die Definition von versicherungspflichtigem Entgelt siehe Tabelle I zu Finanzierung – Allgemeine Sozialbeitragssätze.</t>
  </si>
  <si>
    <t>Sterbegeld (Βοήθημα Κηδείας) :
   *              Beim Tod einer versicherten Person oder eines Rentenempfängers: Pauschale von € 621,82 (ab dem 1. Januar 2025). 
   *              Beim Tod eines abhängigen Familienmitglieds einer versicherten Person oder eines Rentenempfängers: Pauschale von € 310,91 (ab dem 1. Januar 2025). 
Die Bedingungen für diese Leistung entsprechen den Bedingungen für die Witwenrente im Fall eines Unfalltodes (kein Arbeitsunfall).
Bei Tod durch Arbeitsunfall oder Berufskrankheit wird die Leistung auch dann gewährt, wenn die Versicherungsbedingungen nicht erfüllt sind.
Beim Tod eines Rentenempfängers wird das Sterbegeld ohne zusätzliche Bedingungen gezahlt.</t>
  </si>
  <si>
    <t xml:space="preserve">   *              Versicherungspflichtiges Grundentgelt (Βασικές Ασφαλιστέες Αποδοχές) : jährliche Anpassung entsprechend den Löhnen und Gehältern. 
   *              Grundrenten (Βασική Σύνταξη) werden jeweils zum Jahresanfang entsprechend der Steigerung des versicherungspflichtigen Grundentgelts angepasst.  
   *              Die Zusatzrente (Συμπληρωματική Σύνταξη) wird am gleichen Tag an die Grundrente entsprechend der Steigerung des Lebenshaltungsindex angepasst (Vergleich zwischen den zweiten Halbjahren der letzten beiden Jahre). Die Steigerung der Zusatzrente kann die Steigerung der Grundrente nicht überschreiten. 
   *              Die Renten (Grund- und Zusatzrente) werden zusätzlich jeden Juli an die Steigerung des Lebenshaltungsindex (Vergleich des ersten Halbjahrs eines Jahres mit dem zweiten Halbjahr des vorangegangenen Jahres) angepasst, wenn diese mindestens 1 % beträgt. Diese Steigerung wird bei der Rentenanpassung zu Beginn des Folgejahres berücksichtigt. 
Für die Definition von versicherungspflichtigem Entgelt siehe Finanzierung – Allgemeine Sozialbeitragssätze.</t>
  </si>
  <si>
    <t>Altersgrenzen:
   *              Normal: 15 Jahre, 
   *              ledige Söhne in Vollzeitausbildung oder Militärdienst: 25 Jahre, 
   *              ledige Töchter in Vollzeitausbildung: 23 Jahre, 
   *              keine Altersgrenze für ledige Kinder, die nicht in der Lage sind, für sich selbst zu sorgen. </t>
  </si>
  <si>
    <t>Die Beiträge der verstorbenen Person werden unter folgenden Versicherungsbedingungen berücksichtigt, wenn die verstorbene Person das Rentenalter noch nicht erreicht hat:
   *              Die verstorbene Person muss mindestens 156 Wochen versichert gewesen sein; 
   *              Gezahlte Grundversicherung bis zum Todestag muss mindestens dem 156-fachen des wöchentlichen versicherungspflichtigen Grundentgelts (Βασικές Ασφαλιστέες Αποδοχές), also € 213,54 pro Woche (3 Versicherungspunkte zur Grundversicherung) entsprechen; 
   *              die Anzahl der Versicherungspunkte der gezahlten und gleichgestellten Grundversicherung für den Zeitraum zwischen dem dem 1. Tag des Jahres, in dem das 16. Lebensjahr vollendet wurde und der Woche vor derjenigen, in der die Anspruchsberechtigung beginnt, beträgt mindestens 25 % der in diesem Zeitraum umfassten Jahre. 
Wenn die verstorbene Person eine gesetzliche Rente bezog oder eine gesetzliche Rente bezogen hätte, wenn sie diese angefordert hätte, sind die Versicherungsbedingungen die gleichen wie für die Altersrente (siehe Tabelle VI zu Alter, Mindestversicherungszeit und sonstige Bedingungen für den Bezug einer Altersrente).
Wenn der Verstorbene nach Erreichen des Rentenalters eine Ehe eingegangen ist, hat die Witwe/ der Witwer Anspruch auf die Rente des Ehepartners, wenn die Ehe mindestens 5 Jahre bestand.
Falls der Tod durch einen Unfall verursacht wurde (kein Arbeitsunfall) :
   *              Die verstorbene Person muss bis zum Todeszeitpunkt mindestens 26 Wochen versichert gewesen sein, 
   *              die gezahlte Grundversicherung entspricht zum Todeszeitpunkt mindestens dem 26-fachen des wöchentlichen versicherungspflichtigen Grundentgelts (0,5 Versicherungspunkt) und 
   *              Gezahlte oder gleichgestellte Versicherung im relevanten Beitragsjahr entspricht mindestens dem 20-fachen des wöchentlichen versicherungspflichtigen Grundentgelts (0,39 Versicherungspunkt). 
Diese Versicherungsbedingungen gelten für hinterbliebene Ehegatten und Halbwaisen. Bei Vollwaisen ist allein erforderlich, dass ein Elternteil sozialversichert war.
Falls die Versicherungsbedingungen nicht erfüllt sind, erfolgt eine Pauschalzahlung. Wenn die verstorbene Person das Rentenalter nicht erreicht hat und die Grundversicherung, der mindestens dem 156-fachen des wöchentlichen versicherungspflichtigen Grundentgelts (Βασικές Ασφαλιστέες Αποδοχές) entspricht (mindestens 3 Versicherungspunkte) , gezahlt hat, wird der Pauschalbetrag gewährt. Wenn die verstorbene Person eine gesetzliche Rente bezog oder eine Altersrente bezogen hätte, wenn sie diese angefordert hätte, sind die Versicherungsbedingungen für den Pauschalbetrag die gleichen wie für den Pauschalbetrag der gesetzlichen Rente.
Definitionen:
Grundversicherung: versicherungspflichtiges Entgelt unterhalb des versicherungspflichtigen Grundentgelts (bis zu einem Versicherungspunkt).
Zusatzversicherung: versicherungspflichtiges Entgelt über dem Einkommensgrundbetrag (mehr als ein Versicherungspunkt).
Ein Versicherungspunkt: entspricht dem 52-fachen des wöchentlichen Grundbetrags = € 11.104.
Relevantes Beitragsjahr: das letzte Beitragsjahr vor dem Leistungsjahr, welches das Datum der Erfüllung der entsprechenden Bedingungen umfasst.
Leistungsjahr: der Zeitraum beginnt am ersten Montag im Juli jeden Jahres und endet am letzten Sonntag vor dem ersten Montag im Juli des Folgejahres.
Für die Definition von versicherungspflichtigem Entgelt siehe Finanzierung – Allgemeine Sozialbeitragssätze.</t>
  </si>
  <si>
    <t xml:space="preserve">   *               Witwen und Witwer (für Witwer nur, falls die Verstorbene seit dem 1.Janur 2018 verstorben ist), 
   *               abhängige Kinder. </t>
  </si>
  <si>
    <t xml:space="preserve">   *              Arbeitnehmer im elterlichen Betrieb in der Landwirtschaft. 
   *              beim Ehepartner angestellter Arbeitnehmer. 
   *              Selbstständige in der Landwirtschaft im Alter unter 16 Jahren. 
</t>
  </si>
  <si>
    <t xml:space="preserve">   *              Versicherungspflichtiges Grundentgelt (Βασικές Ασφαλιστέες Αποδοχές) : jährliche Anpassung entsprechend den Löhnen und Gehältern. 
   *              Grundrenten (Βασική Σύνταξη) werden jeweils zum Jahresanfang entsprechend der Steigerung des versicherungspflichtigen Grundentgelts angepasst. Die Zusatzrente (Συμπληρωματική Σύνταξη) wird am gleichen Tag an die Steigerung des Lebenshaltungsindex angepasst (Vergleich zwischen den zweiten Halbjahren der letzten beiden Jahre). Die Steigerung der Zusatzrente kann die Steigerung der Grundrente nicht überschreiten. 
   *              Die Renten (Grund- und Zusatzrente) werden zusätzlich jeden Juli an die Steigerung des Lebenshaltungsindex (Vergleich des ersten Halbjahrs eines Jahres mit dem zweiten Halbjahr des vorangegangenen Jahres) angepasst, wenn diese mindestens 1 % beträgt. Diese Steigerung wird bei der Rentenanpassung zu Beginn des Folgejahres berücksichtigt. 
Für die Definition von versicherungspflichtigem Entgelt siehe Tabelle I zu Finanzierung – Allgemeine Sozialbeitragssätze.</t>
  </si>
  <si>
    <t>85 % der vollen Grundrente (Βασική Σύνταξη) basierend auf dem versicherungspflichtigen Grundentgelt (Βασικές Ασφαλιστέες Αποδοχές).
   *              Für eine alleinstehende Person beläuft sich die Mindestrente auf € 108,91 pro Woche (85 % x 60 % x € 213,54),  
   *              für eine Person mit einer unterhaltsberechtigten Person auf € 145,21 pro Woche (85 % x 80 % x € 213,54) ,  
   *              für eine Person mit zwei unterhaltsberechtigten Personen auf € 163,36 pro Woche (85 % x 90 % x € 213,54) und  
   *              für eine Person mit drei unterhaltsberechtigten Personen auf € 181,51 pro Woche (85 % x 100 % x € 213,54). </t>
  </si>
  <si>
    <t>Gleichgestelltes versichertes Einkommen für Zeiten von:
   *              Arbeitslosigkeit, 
   *              Arbeitsunfähigkeit, 
   *              Mutterschaft, 
   *              Vaterschaft, 
   *              Invalidität, 
   *              Militärdienst, 
   *              Ausbildung, 
   *              Erziehungsurlaub (bis zu 6 Jahren) , 
   *              Anrechnung der Erziehung eines Kindes von bis zu 156 Wochen pro Kind für Frauen, die nach dem 31.12.1992 Anspruch auf Rente erlangt haben und aufgrund der Erziehung eines Kindes unter 12 Jahren keine Beiträge entrichten konnten. 
Für die Definition von versicherungspflichtigem Entgelt siehe Tabelle I zu Finanzierung – Allgemeine Sozialbeitragssätze.</t>
  </si>
  <si>
    <t>63 Jahre für Männer und Frauen, wenn die versicherte Person:
   *              alle Versicherungsbedingungen erfüllt und die Anzahl der Versicherungspunkte der gezahlten und gleichgestellten Grundversicherung muss mindestens 70 % anstatt 30 % der in diesem Zeitraum umfassten Jahre entsprechen (siehe Tabelle VI zu Alter - Mindestversicherungszeit und sonstige Kriterien für den Bezug einer Altersrente); 
   *              oder unmittelbar vor Vollendung des 63. Lebensjahres Anspruch auf Invaliditätsrente (Σύνταξη Ανικανότητας) erlangt hat. 
Zwischen 63 und 65 Jahren alt ist, wenn sie Anspruch auf Invaliditätsrente hätte, aber nicht das Höchstalter (63 Jahre) überschritten hatte.
50 Jahre für Männer und Frauen mit Thalassämie.
Ein Empfänger von Altersrente, der zwischen dem vorzeitigen Rentenbeginn und der Vollendung des 65. Lebensjahres Beiträge vom versicherungspflichtigen Entgelt entrichtet hat, hat Anspruch auf eine wöchentliche Erhöhung der Rente um 1/52 von 1,5 % dieses versicherungspflichtigen Entgelts.</t>
  </si>
  <si>
    <t>Grund- (Βασική Σύνταξη) und Zusatzrente (Συμπληρωματική Σύνταξη):
Der Anspruch hängt von der Versicherungszeit und den Beitragszahlungen ab:
   *              Die Person muss mindestens 780 Wochen bis zum Erreichen des Rentenalters versichert gewesen sein (diese Zahl steigt jedes Kalenderjahr schrittweise an, um 780 Wochen von dem ersten Montag in 2017 an zu erreichen), 
   *              die gezahlte Grundversicherung bis zum Rentenalter muss mindestens das 780-fache des wöchentlichen versicherungspflichtigen Grundentgelts (Βασικές Ασφαλιστέες Αποδοχές), also € 213,54 pro Woche betragen (mindestens 15 Versicherungspunkte zur Grundversicherung), 
   *              die Anzahl der Versicherungspunkte der gezahlten und gleichgestellten Grundversicherung für den Zeitraum dem 1. Tag des Jahres, in dem das Alter von 16 Jahren erreicht wurde und der Woche vor derjenigen, in der die Anspruchsberechtigung beginnt, beträgt mindestens 30 % der in diesem Zeitraum umfassten Jahre. 
Die Beitragspflicht endet mit Erreichen des Rentenalters (65 Jahre). Falls bis dahin die Versicherungsbedingungen für die gesetzliche Rente (Θεσμοθετημένη Σύνταξη) noch nicht erfüllt sind, sind auch weiterhin Beiträge zu entrichten, bis die Versicherungsbedingungen für die gesetzliche Rente erfüllt sind, jedoch maximal bis zur Vollendung des 68. Lebensjahres.
Personen, die im Alter von 68 Jahren die Versicherungsbedingungen nicht erfüllen und die die Grundversicherung, die mindestens dem 312-fachen des wöchentlichen versicherungspflichtigen Grundentgelts (Βασικές Ασφαλιστέες Αποδοχές) (mindestens sechs Versicherungspunkte zur Grundversicherung) entspricht, gezahlt haben, haben Anspruch auf eine Pauschalzahlung in Höhe von 15 % des Wertes der Versicherungspunkte der gezahlten und gleichgestellten Versicherung.
Eine besondere Leistung für Personen mit Thalassämie im Alter von 50 Jahren ab dem 28.12.2020: Der Anspruch hängt von den Mtgliedszeiten und den wie oben beschriebenen Beiträgen ab:
   *      Die versicherte Person muss mindestens 520 Wochen bis zum rentenfähigen Alter versichert sein, 
   *      Die bezahlte Grundversicherung bis zum rentenfähigen Alter muss mindestens dem 520-fachen des wöchentlichen Grundversicherungsvermögens  von € 213,54 pro Woche entsprechen (mindestens 10 Versicherungspunkte bei der Grundversicherung), 
   *      Die Anzahl der ausgezahlten Versicherungspunkte und der angepassten Grundversicherung für den Zeitraum zwischen dem ersten Tag des Jahres, an dem das 16. Lebensjahr erreicht wurde, und der Woche vor der Woche, die den Tag des Anspruchs einschließt, entspricht mindestens 30 % der in diesem Zeitraum einbezogenen Jahren.  
Definitionen:
Grundversicherung: versicherungspflichtiges Entgelt unterhalb des versicherungspflichtigen Grundentgelts (bis zu einem Versicherungspunkt).
Zusatzversicherung: versicherungspflichtiges Entgelt über dem Einkommensgrundbetrag (mehr als ein Versicherungspunkt).
Ein Versicherungspunkt: entspricht dem 52-fachen des wöchentlichen Grundbetrags = € 11.104.
Grundrente (Βασική Σύνταξη) :
Durchschnittliches jährlich gezahltes oder gleichgestelltes versicherungspflichtiges Entgelt ab dem 1. Tag des Jahres, in dem das 16. Lebensjahr vollendet wurde bis zum Rentenalter in Höhe des 52 fachen des versicherungspflichtigen Grundentgelts (Βασικές Ασφαλιστέες Αποδοχές) von € 213,54 pro Woche (ein Versicherungspunkt).
Es gibt das Konzept einer „vollen Rente“ bei der Grundrente. Eine versicherte Person muss über vollständige Grundversicherungszeiten ab dem Alter von 16 Jahren bis zum Alter von 63 Jahren (47 gezahlte oder gleichgestellte Jahre) oder bis zum Alter von 65 Jahren (49 gezahlte oder gleichgestellte Jahre) verfügen, um die „volle Grundrente“ zu beziehen.
Zusatzrente (Συμπληρωματική Σύνταξη):
Kein Konzept einer „vollen Rente“.
Für die Definition von versicherungspflichtigem Entgelt siehe Tabelle I zu Finanzierung – Allgemeine Sozialbeitragssätze.</t>
  </si>
  <si>
    <t xml:space="preserve">   *              Arbeitnehmer im elterlichen Betrieb in der Landwirtschaft. 
   *              beim Ehepartner angestellter Arbeitnehmer. 
   *              Selbstständige im Landwirtschaftssektor im Alter unter 16 Jahren. </t>
  </si>
  <si>
    <t>Kumulierung möglich mit:
   *              Arbeitsunfallrente (Σύνταξη Αναπηρίας) nur, falls die Person den Unfall vor dem 6. Oktober 1980 erlitten hat, 
   *              Witwenrente. 
Hat ein Leistungsempfänger Anspruch auf Krankengeld (Επίδομα Ασθενείας) , Arbeitslosengeld (Επίδομα Ανεργίας) , Arbeitsunfallgeld (Επίδομα Σωματικής Βλάβης) und Arbeitsunfallrente wegen eines Unfalls nach dem 6. Oktober 1980, so wird allein die höchste Leistung ausgezahlt.</t>
  </si>
  <si>
    <t xml:space="preserve">   *              Versicherungspflichtiges Grundentgelt (Βασικές Ασφαλιστέες Αποδοχές) : jährliche Anpassung entsprechend den Löhnen und Gehältern. 
   *              Grundrenten (Βασική Σύνταξη) werden jeweils zum Jahresanfang entsprechend der Steigerung des versicherungspflichtigen Grundentgelts angepasst. Zusatzrenten (Συμπληρωματική Σύνταξη) werden am gleichen Tag an die Steigerung des Lebenshaltungsindex angepasst (Vergleich zwischen den zweiten Halbjahren der letzten beiden Jahre). Die Steigerung von Zusatzrenten kann die Steigerung der Grundrenten nicht überschreiten. 
   *              Die Renten (Grund- und Zusatzrente) werden zusätzlich jeden Juli an die Steigerung des Lebenshaltungsindex (Vergleich des ersten Halbjahrs eines Jahres mit dem zweiten Halbjahr des vorangegangenen Jahres) angepasst, wenn diese mindestens 1 % beträgt. Diese Steigerung wird bei der Rentenanpassung zu Beginn des Folgejahres berücksichtigt. 
Für die Definition von versicherungspflichtigem Entgelt siehe Tabelle I zu Finanzierung – Allgemeine Sozialbeitragssätze.</t>
  </si>
  <si>
    <t>Die Grundrente wird in Relation zur Anzahl der abhängigen Familienmitglieder erhöht (siehe oben „Berechnungsmethode bzw. Rentenformel oder Beträge“).
   *              ein Ehepartner gilt als abhängiges Familienmitglied, wenn er/sie mit dem anderen Ehepartner zusammenlebt oder von diesem unterhalten wird und weder selbst eine Rente des Sozialversicherungsfonds (Ταμείο Κοινωνικών Ασφαλίσεων) erhält noch erwerbstätig ist. 
   *              Abhängige Kinder müssen unter 15 Jahre alt sein (unter 25 bei unverheirateten Söhnen in Vollzeitausbildung oder Wehrdienst und unter 23 bei unverheirateten Töchtern in Vollzeitausbildung) ; ohne Altersbeschränkung für Kinder, die permanent unfähig sind, sich selbst zu versorgen. 
   *              Falls beide Ehepartner eine Rente beziehen, wird die Erhöhung wegen abhängiger Kinder bei demjenigen vorgenommen, der Anspruch auf eine größere Erhöhung hat. 
   *              Sonstige abhängige Personen: Eltern oder jüngere Geschwister, falls sie überwiegend von der versicherten Person unterhalten werden. </t>
  </si>
  <si>
    <t>Gleichgestelltes versicherungspflichtiges Entgelt für Zeiten von:
   *              Arbeitslosigkeit, 
   *              Arbeitsunfähigkeit, 
   *              Mutterschaft, 
   *              Vaterschaft, 
   *              Invalidität, 
   *              Militärdienst, 
   *              Ausbildung, 
   *              Erziehungsurlaub, 
   *              Anrechnung der Erziehung eines Kindes von bis zu 156 Wochen pro Kind für Frauen, die nach dem 31.12.1992 Anspruch auf Rente erlangt haben und aufgrund der Erziehung eines Kindes unter 12 Jahren keine Beiträge entrichten konnten, 
   *              bei der Berechnung der Zusatzrente Zurechnung der Zeit zwischen dem Beginn der Invalidität bzw. dem Zeitpunkt des Todes und der Vollendung des 63. Lebensjahres. 
Für die Definition von versicherungspflichtigem Entgelt siehe Tabelle I zu Finanzierung – Allgemeine Sozialbeitragssätze.</t>
  </si>
  <si>
    <t>85 % der vollen Grundrente (Βασική Σύνταξη) basierend auf dem versicherungspflichtigen Grundentgelt (Βασικές Ασφαλιστέες Αποδοχές).
   *              Für eine alleinstehende Person beläuft sich die Mindestrente auf € 108,91 pro Woche (85 % x 60 % x € 213,54),  
   *              für eine Person mit einer unterhaltsberechtigten Person auf € 145,21 pro Woche (85 % x 80 % x € 213,54) ,  
   *              für eine Person mit zwei unterhaltsberechtigten Personen auf € 163,36 pro Woche (85 % x 90 % x € 213,54) und  
   *              für eine Person mit drei unterhaltsberechtigten Personen auf € 181,51 pro Woche (85 % x 100 % x € 213,54).  
Bei teilweiser Invalidität entsprechender Prozentsatz dieser Beträge.
Grundrente (Βασική Σύνταξη) :
100 % des versicherungspflichtigen Grundentgelts (Βασικές Ασφαλιστέες Αποδοχές) (einschließlich der Zulagen für maximal 3 abhängige Familienmitglieder).
Zusatzrente (Συμπληρωματική Σύνταξη) :
Keine gesetzliche Höchstrente.
Basierend auf der Beitragsbemessungsgrenze beträgt der Höchstbetrag der Zusatzrente für 100 % Invalidität € 2.561,91 pro Monat (für Personen, die im Jahr 2025 berechtigt werden).</t>
  </si>
  <si>
    <t>Vollinvalidität (Πλήρης ανικανότητα) :
   *              Grundrente (Βασική Σύνταξη) : 60 % des wöchentlichen Wertes des jährlichen Durchschnitts der Versicherungspunkte der gezahlten und gleichgestellten Grundversicherung (siehe oben unter Punkt 3 „Leistungen, 2. Mindestversicherungszeit“) , entsprechend erhöht auf 80 %, 90 % und 100 % für das erste, zweite und dritte abhängige Familienmitglied. Bei Leistungsempfängern ohne unterhaltsberechtigten Ehegatten wird die Grundrente für jedes abhängige Kind um 10 % (Höchstzahl abhängiger Kinder: 2). Für die Definition von abhängig siehe unten:„Zulagen für Unterhaltsberechtigte“). 
   *              Zusatzrente (Συμπληρωματική Σύνταξη) : 1,5 % des Gesamtwertes der Versicherungspunkte der gezahlten und gleichgestellten Zusatzversicherung des Anspruchsberechtigten während seiner gesamten Berufslaufbahn und zusätzlich des gleichgestellten versicherungspflichtigen Entgelts der Zusatzversicherung (siehe unten – voraussichtliches Guthaben) zwischen dem Zeitpunkt des Beginns der Invalidität und der Vollendung des 63. Lebensjahres des Versicherten, umgerechnet in wöchentliche Beträge durch Division durch 52. 
Ein Versicherter kann gleichzeitig Anspruch auf eine Hinterbliebenenrente und eine Invaliditätsrente haben. In diesem Fall ist die Zusatzrente beider Ansprüche auf eine bestimmte Summe von Versicherungspunkten beschränkt.
Gleichgestelltes versicherungspflichtiges Entgelt (voraussichtliches Guthaben) : Wird eine versicherte Person vor Vollendung des 63. Lebensjahres erwerbsunfähig oder stirbt, gilt die Zeit zwischen Eintritt der Erwerbsunfähigkeit oder des Todes und dem 63. Geburtstag als Versicherungszeit. Das gleichgestellte Einkommen für diesen Zeitraum basiert auf dem durchschnittlichen versicherungspflichtigen Entgelt der Zusatzversicherung der Person (zu berücksichtigen ist dabei die höchste der folgenden drei Optionen) :
   *              während der letzten fünf Jahre vor dem Zeitpunkt des Todes oder Erwerbsunfähigkeit (vorausgesetzt, dass 5 Versicherungsjahre bestehen) oder 
   *              seit dem 6. Oktober 1980 (oder das Jahr in dem die Person das Alter von 16 Jahren erreicht hat, wenn dies nach dem 6. Oktober 1980 ist, bis zur Woche, in der die Erwerbsunfähigkeit oder  
   *              der Tod eintrat oderdas Jahr, in dem die Person das Alter von 25 Jahren erreicht hat, wenn dies nach dem 6. Oktober 1980 ist, bis zur Woche, in der die Erwerbsunfähigkeit oder der Tod eintrat. Unter keinen Umständen wird ein Zeitraum von weniger als 5 Jahren berücksichtigt. 
Teilinvalidität (Μερική Ανικανότητα) :
   *              bei Minderung der Erwerbsfähigkeit um 50 % bis 66,66 %: 60 % der vollen Invaliditätsrente (Σύνταξη Ανικανότητας). 
   *              bei Minderung der Erwerbsfähigkeit um 66,67 % bis 75 %: 75 % der vollen Invaliditätsrente. 
+F8   *              bei Minderung der Erwerbsfähigkeit um 76 % bis 99 %: 85 % der vollen Invaliditätsrente. 
Renten für Voll- und Teilinvalidität werden 13-mal jährlich gezahlt.
Für die Definition von versicherungspflichtigem Entgelt siehe Tabelle I zu Finanzierung – Allgemeine Sozialbeitragssätze.</t>
  </si>
  <si>
    <t>Der Leistungsanspruch hängt von der Versicherungszeit und den Beitragszahlungen ab:
   *              Mindestens 156 Versicherungswochen vor Beginn der Invalidität; 
   *              Gezahlte Grundversicherung bis zum Beginn der Invalidität muss mindestens dem 156-fachen des wöchentlichen versicherungspflichtigen Grundentgelts (Βασικές Ασφαλιστέες Αποδοχές) von € 213,54 entsprechen (3 Versicherungspunkte zur Grundversicherung) ; 
   *              Die Anzahl der Versicherungspunkte der gezahlten und gleichgestellten Grundversicherung für den Zeitraum zwischen dem 5. Oktober 1964 (bzw. falls die Person erst danach das 16. Lebensjahr vollendet hat, ab dem Beginn des Jahres, in dem das 16. Lebensjahr vollendet wurde) und der Woche vor der Woche des Beginns der Erwerbsunfähigkeit entspricht mindestens 25 % der in diesem Zeitraum umfassten Jahre und 
   *              Die gezahlte und gleichgestellte Versicherung des Jahres vor Beginn der Arbeitsunfähigkeit oder der Durchschnitt der Einkommen der letzten zwei Jahre entspricht mindestens dem 20-fachen des versicherungspflichtigen Grundentgelts (0,39 Versicherungspunkt). 
Falls die Invalidität durch einen Unfall eingetreten ist, gelten die gleichen Versicherungsbedingungen wie für Krankengeld (Επίδομα Ασθενείας) :
   *              Versicherungszeit von mindestens 26 Wochen bis zum Tag der Arbeitsunfähigkeit, 
   *              Die gezahlte Grundversicherung entspricht mindestens dem 26-fachen des versicherungspflichtigen Grundentgelts von € 213,54 pro Woche (0,50 Versicherungspunkt) und 
   *              Die gezahlte oder gleichgestellte Versicherung im relevanten Beitragsjahr entspricht mindestens dem 20-fachen des wöchentlichen versicherungspflichtigen Grundentgelts (0,39 Versicherungspunkt). 
Definitionen:
Grundversicherung: versicherungspflichtiges Entgelt unterhalb des versicherungspflichtigen Grundentgelts (bis zu einem Versicherungspunkt).
Zusatzversicherung: versicherungspflichtiges Entgelt über dem Einkommensgrundbetrag (mehr als ein Versicherungspunkt).
Ein Versicherungspunkt: entspricht dem 52-fachen des wöchentlichen Grundbetrags = € 11.104.
Relevantes Beitragsjahr: das letzte Beitragsjahr vor dem Leistungsjahr, welches das Datum der Erfüllung der entsprechenden Bedingungen umfasst.
Leistungsjahr: der Zeitraum beginnt am ersten Montag im Juli jeden Jahres und endet am letzten Sonntag vor dem ersten Montag im Juli des Folgejahres.
Für die Definition von versicherungspflichtigem Entgelt siehe Finanzierung – Allgemeine Sozialbeitragssätze.</t>
  </si>
  <si>
    <t xml:space="preserve">   *               Arbeitnehmer im elterlichen Betrieb in der Landwirtschaft. 
   *               beim Ehepartner angestellter Arbeitnehmer. 
   *               Selbstständige in der Landwirtschaft im Alter unter 16 Jahren. </t>
  </si>
  <si>
    <t xml:space="preserve">   *                   Arbeitnehmer, 
   *                   Selbstständige 
Der Anspruch auf Invaliditätsrente hängt nicht vom Wohnsitz oder von der Staatsangehörigkeit ab.
Freiwillige Versicherung möglich für Personen, die für zypriotische Arbeitgeber im Ausland tätig sind.
Die Beiträge der im Inland freiwillig Versicherten werden zwar bei der Leistungsberechnung, jedoch nicht bei der Prüfung der Anspruchsvoraussetzungen berücksichtigt.</t>
  </si>
  <si>
    <t>Als Folge einer besonderen Krankheit oder körperlicher oder geistiger Behinderung wird eine versicherte Person als erwerbsunfähig angesehen.
Vollinvalidität (Πλήρης ανικανότητα) :
100 % Minderung der Erwerbsfähigkeit: 100 % der Invaliditätsrente ((Σύνταξη Ανικανότητας).
Teilinvalidität (Μερική Ανικανότητα) :
Drei unterschiedliche Stufen:
   *               Bei Minderung der Erwerbsfähigkeit um 50 % bis 66,66 % (Alter zwischen 60 und 63 Jahren): 60 % der Invaliditätsrente;  
   *               bei Minderung der Erwerbsfähigkeit um 66,67 % bis 75 %: 75 % der Invaliditätsrente;  
   *               bei Minderung der Erwerbsfähigkeit um 76 % bis 99 %: 85 % der Invaliditätsrente. </t>
  </si>
  <si>
    <t>Zuschläge (deutschen Werte)</t>
  </si>
  <si>
    <t>Abfindungsberechnung</t>
  </si>
  <si>
    <r>
      <t xml:space="preserve">Datum des frühesten </t>
    </r>
    <r>
      <rPr>
        <b/>
        <sz val="11"/>
        <color rgb="FF000000"/>
        <rFont val="Calibri"/>
        <family val="2"/>
      </rPr>
      <t>Versorgungsbeginns der ausgleichsberechtigten Person</t>
    </r>
  </si>
  <si>
    <t>Index Land, Deutschland=100 = Preisniveauindex Land / 108,8 × 100.</t>
  </si>
  <si>
    <r>
      <t xml:space="preserve">Nachfolgend eine </t>
    </r>
    <r>
      <rPr>
        <b/>
        <sz val="11"/>
        <color theme="1"/>
        <rFont val="Calibri"/>
        <family val="2"/>
        <scheme val="minor"/>
      </rPr>
      <t>Indexrechnung</t>
    </r>
    <r>
      <rPr>
        <sz val="11"/>
        <color theme="1"/>
        <rFont val="Calibri"/>
        <family val="2"/>
        <scheme val="minor"/>
      </rPr>
      <t xml:space="preserve">: Der deutsche 4-Personen-Haushalt wird mit </t>
    </r>
    <r>
      <rPr>
        <b/>
        <sz val="11"/>
        <color theme="1"/>
        <rFont val="Calibri"/>
        <family val="2"/>
        <scheme val="minor"/>
      </rPr>
      <t>100</t>
    </r>
    <r>
      <rPr>
        <sz val="11"/>
        <color theme="1"/>
        <rFont val="Calibri"/>
        <family val="2"/>
        <scheme val="minor"/>
      </rPr>
      <t xml:space="preserve"> angesetzt. Für jedes Land wird berechnet, wie teuer derselbe Verbrauchskorb rechnerisch wäre. Grundlage ist der </t>
    </r>
    <r>
      <rPr>
        <b/>
        <sz val="11"/>
        <color theme="1"/>
        <rFont val="Calibri"/>
        <family val="2"/>
        <scheme val="minor"/>
      </rPr>
      <t>Eurostat-Preisniveauindex für household final consumption expenditure / HFCE 2024</t>
    </r>
    <r>
      <rPr>
        <sz val="11"/>
        <color theme="1"/>
        <rFont val="Calibri"/>
        <family val="2"/>
        <scheme val="minor"/>
      </rPr>
      <t xml:space="preserve">. Eurostat/SSB weist Deutschland in der Originalreihe mit </t>
    </r>
    <r>
      <rPr>
        <b/>
        <sz val="11"/>
        <color theme="1"/>
        <rFont val="Calibri"/>
        <family val="2"/>
        <scheme val="minor"/>
      </rPr>
      <t>108,8</t>
    </r>
    <r>
      <rPr>
        <sz val="11"/>
        <color theme="1"/>
        <rFont val="Calibri"/>
        <family val="2"/>
        <scheme val="minor"/>
      </rPr>
      <t xml:space="preserve"> bei EU27=100 aus; daher lautet die Umrechnung:</t>
    </r>
  </si>
  <si>
    <t>Eurostat weist darauf hin, dass diese Preisniveauindizes auf Kaufkraftparitäten beruhen, Preisniveaus relativ zum EU-Durchschnitt ausdrücken und nicht als scheingenaues Ranking verstanden werden sollten. Die zugrunde liegenden Preiserhebungen umfassen mehr als 2.000 Konsumgüter und Dienstleistungen; der Eurostat/OECD-Vergleich enthält die 27 EU-Staaten sowie als EFTA-Staaten Island, Norwegen und die Schweiz, nicht aber Liechtenstein. (European Commission)</t>
  </si>
  <si>
    <r>
      <t>Lesebeispiel:</t>
    </r>
    <r>
      <rPr>
        <sz val="11"/>
        <color rgb="FF000000"/>
        <rFont val="Calibri"/>
        <family val="2"/>
      </rPr>
      <t xml:space="preserve"> Ein Verbrauchsniveau, das für einen 4-Personen-Haushalt in Deutschland rechnerisch 100 Kosteneinheiten erfordert, kostet bei gleicher Verbrauchsstruktur in der Schweiz etwa </t>
    </r>
    <r>
      <rPr>
        <b/>
        <sz val="11"/>
        <color theme="1"/>
        <rFont val="Calibri"/>
        <family val="2"/>
        <scheme val="minor"/>
      </rPr>
      <t>159 Kosteneinheiten</t>
    </r>
    <r>
      <rPr>
        <sz val="11"/>
        <color rgb="FF000000"/>
        <rFont val="Calibri"/>
        <family val="2"/>
      </rPr>
      <t xml:space="preserve">, in Dänemark etwa </t>
    </r>
    <r>
      <rPr>
        <b/>
        <sz val="11"/>
        <color theme="1"/>
        <rFont val="Calibri"/>
        <family val="2"/>
        <scheme val="minor"/>
      </rPr>
      <t>129 Kosteneinheiten</t>
    </r>
    <r>
      <rPr>
        <sz val="11"/>
        <color rgb="FF000000"/>
        <rFont val="Calibri"/>
        <family val="2"/>
      </rPr>
      <t xml:space="preserve">, in Polen etwa </t>
    </r>
    <r>
      <rPr>
        <b/>
        <sz val="11"/>
        <color theme="1"/>
        <rFont val="Calibri"/>
        <family val="2"/>
        <scheme val="minor"/>
      </rPr>
      <t>67 Kosteneinheiten</t>
    </r>
    <r>
      <rPr>
        <sz val="11"/>
        <color rgb="FF000000"/>
        <rFont val="Calibri"/>
        <family val="2"/>
      </rPr>
      <t xml:space="preserve"> und in Bulgarien etwa </t>
    </r>
    <r>
      <rPr>
        <b/>
        <sz val="11"/>
        <color theme="1"/>
        <rFont val="Calibri"/>
        <family val="2"/>
        <scheme val="minor"/>
      </rPr>
      <t>56 Kosteneinheiten</t>
    </r>
    <r>
      <rPr>
        <sz val="11"/>
        <color rgb="FF000000"/>
        <rFont val="Calibri"/>
        <family val="2"/>
      </rPr>
      <t>.</t>
    </r>
  </si>
  <si>
    <r>
      <t>Datenquellen und methodische Einordnung:</t>
    </r>
    <r>
      <rPr>
        <sz val="9"/>
        <color theme="1"/>
        <rFont val="Calibri"/>
        <family val="2"/>
        <scheme val="minor"/>
      </rPr>
      <t xml:space="preserve"> Die konkreten Ausgangswerte stammen aus der von Statistics Norway veröffentlichten Eurostat-Tabelle „Price level indices for household final consumption. EU27=100“, Tabelle 14682; dort sind für 2024 u. a. Deutschland 108,8, Schweiz 173,0, Island 162,1, Norwegen 127,2 und alle EU-Staaten ausgewiesen. (SSB) Eurostat beschreibt HFCE als Gesamtpreisniveau der von privaten Haushalten bezahlten und konsumierten Güter und Dienstleistungen; die Aggregation verwendet nationale Ausgabenanteile als Gewichte. (European Commission)</t>
    </r>
  </si>
  <si>
    <t>Gruppe</t>
  </si>
  <si>
    <t>EU</t>
  </si>
  <si>
    <t>EFTA</t>
  </si>
  <si>
    <t>Eurostat/SSB-Preisniveau HFCE 2024, EU27=100</t>
  </si>
  <si>
    <t>n. v.</t>
  </si>
  <si>
    <t>Lebenshaltungs-kosten-Index, Deutschland=100</t>
  </si>
  <si>
    <t>Abweichung zu Deutschland</t>
  </si>
  <si>
    <t>Lebenskostenvergleich Europa</t>
  </si>
  <si>
    <t>Kaufkraftunterschied:</t>
  </si>
  <si>
    <r>
      <t>Versorgung enthält</t>
    </r>
    <r>
      <rPr>
        <b/>
        <sz val="11"/>
        <color rgb="FF000000"/>
        <rFont val="Calibri"/>
        <family val="2"/>
      </rPr>
      <t xml:space="preserve"> Geschiedenen-Hinterbliebenenabsicherung</t>
    </r>
    <r>
      <rPr>
        <sz val="11"/>
        <color rgb="FF000000"/>
        <rFont val="Calibri"/>
        <family val="2"/>
      </rPr>
      <t xml:space="preserve"> (Nr.79)</t>
    </r>
  </si>
  <si>
    <t>Abgrenzung: Die Tabelle bezieht sich auf die gesetzliche Hauptversorgung bzw. den gesetzlichen Hinterbliebenenschutz im Renten-/Sozialversicherungssystem. Nicht einbezogen sind rein private oder freiwillige Zusatzsysteme. Bei der Schweiz weise ich zusätzlich auf das obligatorische BVG/LPP hin, weil es dort praktisch versorgungsrechtlich relevant ist. Die länderübergreifende Vergleichbarkeit ist eingeschränkt, weil die Anspruchsberechtigten bei Hinterbliebenenleistungen national sehr unterschiedlich definiert werden; als Quellengerüst habe ich insbesondere MISSOC, die EU-Länderleitfäden und nationale Trägerseiten ausgewertet. MISSOC umfasst die 27 EU-Staaten sowie Island, Liechtenstein, Norwegen und die Schweiz. (MISSOC)</t>
  </si>
  <si>
    <t>Teilweise: im allgemeinen Arbeitnehmer-/Selbständigenrecht eher keine echte Hinterbliebenenrente für Ex-Ehegatten, sondern eine eigene „divorced spouse pension“; im öffentlichen Dienst kann eine Hinterbliebenenpension an geschiedene Ehegatten vorkommen. (sfpd.fgov.be)</t>
  </si>
  <si>
    <t>Im allgemeinen System nicht einschlägig; für Sonderregime gesondert zu prüfen.</t>
  </si>
  <si>
    <t>Ja, jedenfalls für die Hinterbliebenenpension bestehen Wiederverheiratungs-/Aussetzungstatbestände; beim Sonderfall öffentlicher Dienst gesondert zu prüfen.</t>
  </si>
  <si>
    <t>Nein, Anspruchskreis im gesetzlichen System im Wesentlichen Ehegatte, Kinder, Eltern; geschiedener Ehegatte nicht als eigener Anspruchsberechtigter ausgewiesen.</t>
  </si>
  <si>
    <t>Nicht einschlägig.</t>
  </si>
  <si>
    <t>Nein, gesetzlicher Hinterbliebenenschutz knüpft an überlebenden Ehegatten/Partner bzw. Zusammenleben an, nicht an geschiedene Ehegatten.</t>
  </si>
  <si>
    <t>Ja, aber nur stark eingeschränkt: echte Witwen-/Witwerrente an geschiedene Ehegatten nur für vor dem 1.7.1977 geschiedene Ehen nach § 243 SGB VI; daneben Erziehungsrente nach Scheidung, diese beruht aber auf der eigenen Versicherung des Überlebenden. (Deutsche Rentenversicherung)</t>
  </si>
  <si>
    <t>Ja, bei § 243 SGB VI: Unterhalt im letzten Jahr vor Tod oder Unterhaltsanspruch im letzten wirtschaftlichen Dauerzustand. (Sozialgesetzbuch SGB)</t>
  </si>
  <si>
    <t>Ja, keine Wiederheirat/keine neue Lebenspartnerschaft; bei Wiederheirat grundsätzlich Wegfall bzw. Abfindungs-/Wiederauflebensregeln.</t>
  </si>
  <si>
    <t>Ja, geschiedene Ehegatten können unter engen Voraussetzungen erfasst sein, insbesondere Alter/Erwerbsunfähigkeit und lange Ehe; das estnische Recht nennt u. a. den geschiedenen Ehegatten des „providers“. (riigiteataja.ee)</t>
  </si>
  <si>
    <t>Keine klassische titulierte Unterhaltsvoraussetzung; eher Abhängigkeits-/Versorgerbezug plus persönliche Voraussetzungen.</t>
  </si>
  <si>
    <t>Ja, nach SSA-Übersicht endet die Witwen-/Witwerrente 12 Monate nach Wiederheirat. (Social Security)</t>
  </si>
  <si>
    <t>Ja. Ein früherer Ehegatte kann eine Hinterbliebenenrente erhalten, wenn der Verstorbene aufgrund rechtsgültiger Entscheidung oder bestätigter Vereinbarung Unterhalt an den Ex-Ehegatten zahlen musste. (Eläketurvakeskus)</t>
  </si>
  <si>
    <t>Ja.</t>
  </si>
  <si>
    <t>Ja, die Hinterbliebenenrente endet bei Wiederheirat vor Vollendung des 50. Lebensjahrs. (Eläketurvakeskus)</t>
  </si>
  <si>
    <t>Ja, im régime général wird der geschiedene Ehegatte dem überlebenden Ehegatten gleichgestellt; die Rente wird bei mehreren Ehegatten/Ex-Ehegatten anteilig nach Ehedauer verteilt. (Service Public)</t>
  </si>
  <si>
    <t>Nein, aber Alters- und Einkommensgrenzen.</t>
  </si>
  <si>
    <r>
      <t xml:space="preserve">Im régime général </t>
    </r>
    <r>
      <rPr>
        <b/>
        <sz val="11"/>
        <color rgb="FF000000"/>
        <rFont val="Calibri"/>
        <family val="2"/>
      </rPr>
      <t>nein</t>
    </r>
    <r>
      <rPr>
        <sz val="11"/>
        <color rgb="FF000000"/>
        <rFont val="Calibri"/>
        <family val="2"/>
      </rPr>
      <t xml:space="preserve"> als automatische Ausschlussklausel; neue Partnerschaft/Ehe kann aber über die Ressourcenprüfung relevant werden. Zusatz- und Sonderregime können strenger sein.</t>
    </r>
  </si>
  <si>
    <t>Ja, geschiedene Ehegatten können eine Hinterbliebenenleistung erhalten, wenn gegenüber dem Verstorbenen ein Unterhaltsanspruch bzw. eine Unterhaltspflicht bestand. (European Commission)</t>
  </si>
  <si>
    <t>Ja, regelmäßig Fortfall bei Wiederheirat/vergleichbarer neuer Verbindung; Details nach griechischem Recht zu prüfen.</t>
  </si>
  <si>
    <t>Nein. Die Bereaved Partner’s/Widow’s/Widower’s Pension knüpft an Witwe/Witwer, überlebenden Civil Partner bzw. inzwischen qualifizierte Cohabitants an, nicht an geschiedene Ex-Ehegatten. (Bürgerinformationen)</t>
  </si>
  <si>
    <t>Nein im ersten Pfeiler: Nach der SSA-Übersicht gibt es im residence-based first pillar keine Leistungen an überlebende Ehegatten; Hinterbliebenenschutz betrifft dort insbesondere Kinder. (secure.ssa.gov)</t>
  </si>
  <si>
    <t>Ja. Geschiedene Ehegatten können anspruchsberechtigt sein, wenn eine Scheidungs-/Unterhaltsregelung besteht; bei getrennten Ehegatten ist richterlich zugesprochener Unterhalt relevant. (Employment, Social Affairs and Inclusion)</t>
  </si>
  <si>
    <t>Ja, regelmäßig Scheidungsunterhalt/assegno divorzile bzw. gerichtliche Unterhaltsberechtigung.</t>
  </si>
  <si>
    <t>Ja, bei Wiederheirat nur Einmalzahlung/Abfindung. (Employment, Social Affairs and Inclusion)</t>
  </si>
  <si>
    <t>Ja. Der geschiedene Ehegatte ist anspruchsberechtigt, wenn ein Gericht einen Unterhaltsanspruch gegen den früheren Ehegatten festgestellt hat. (Employment, Social Affairs and Inclusion)</t>
  </si>
  <si>
    <t>Ja, der Anspruch ist grundsätzlich dauerhaft, entfällt aber bei Heirat. (Employment, Social Affairs and Inclusion)</t>
  </si>
  <si>
    <t>Nein, keine echte Geschiedenen-Hinterbliebenenversorgung aus der gesetzlichen Altersversorgung ersichtlich; Hinterbliebenenleistungen betreffen im Kern Kinder/Angehörige nach nationalen Voraussetzungen.</t>
  </si>
  <si>
    <t>Ja. Geschiedene Personen haben unter denselben Voraussetzungen wie verheiratete Personen Anspruch, wenn der geschiedene Ehegatte im Todeszeitpunkt laufende wiederkehrende Unterhaltsbeiträge zu leisten hatte. (ahv.li)</t>
  </si>
  <si>
    <t>Ja, Wiederverheiratung lässt die Witwen-/Witwerrente erlöschen. (AHV IV)</t>
  </si>
  <si>
    <t>Nein, kein eigenständiger Anspruch geschiedener Ehegatten aus dem gesetzlichen Hinterbliebenensystem ersichtlich.</t>
  </si>
  <si>
    <t>Ja. Geschiedene Ehegatten und frühere Partner können eine Hinterbliebenenpension erhalten; die Aufteilung erfolgt anteilig nach Ehedauer/Partnerschaftsdauer. (European Commission)</t>
  </si>
  <si>
    <t>Nein, keine Unterhaltsvoraussetzung in der ausgewerteten Grundregel; entscheidend sind u. a. Nichtwiederverheiratung und Versicherungszeiten.</t>
  </si>
  <si>
    <t>Ja, der geschiedene Ehegatte/frühere Partner darf nicht wieder verheiratet sein bzw. keine neue Partnerschaft eingegangen sein. (European Commission)</t>
  </si>
  <si>
    <t>Ja, die maltesische Widow/er’s Pension erfasst auch „former spouse/partner“. (Social Security)</t>
  </si>
  <si>
    <t>Nach älteren/ergänzenden Übersichten regelmäßig Unterhalts-/Maintenance-Bezug; aktuelle Trägerseite formuliert stärker beitragsbezogen.</t>
  </si>
  <si>
    <t>Ja, bei Wiederheirat gilt nur noch eine pauschale/flat-rate-Leistung bzw. besondere Remarriage-Regel. (Social Security)</t>
  </si>
  <si>
    <t>Ja, Anw-Hinterbliebenenleistung auch bei Tod des Ex-Partners. (svb.nl)</t>
  </si>
  <si>
    <t>Ja, der Ex-Partner musste unterhaltspflichtig sein; tatsächliche Zahlung ist nicht erforderlich. (svb.nl)</t>
  </si>
  <si>
    <t>Ja, Anw endet bei Heirat, registrierter Partnerschaft oder Zusammenleben mit Partner. (svb.nl)</t>
  </si>
  <si>
    <t>Ja. Geschiedene Ex-Ehegatten können anspruchsberechtigt sein, wenn sie nicht wieder geheiratet haben und die gesetzlichen Fristen/Ehedauern erfüllt sind; regelmäßig Tod binnen 5 Jahren nach Scheidung und Ehe mindestens 25 Jahre, bzw. 15 Jahre bei gemeinsamen Kindern. (nav.no)</t>
  </si>
  <si>
    <t>Grundsätzlich nein; bei weiter zurückliegendem Tod kann Unterhalt/Versorgung durch den Verstorbenen relevant werden. (nav.no)</t>
  </si>
  <si>
    <t>Ja, Anspruch setzt voraus, dass der geschiedene Ehegatte nicht wieder geheiratet hat. (nav.no)</t>
  </si>
  <si>
    <t>Ja. Geschiedene Ehegatten können Hinterbliebenenpension erhalten, insbesondere bei Unterhaltspflicht des Verstorbenen. (BMAS)</t>
  </si>
  <si>
    <t>Ja, regelmäßig Unterhaltstitel/-vergleich/-vertrag bzw. laufende Unterhaltsleistung; die Pension ist typischerweise auf den Unterhalt begrenzt. (European Commission)</t>
  </si>
  <si>
    <t>Ja, Wiederverheiratung führt zum Verlust der unbefristeten Pension, regelmäßig mit Abfindung. (European Commission)</t>
  </si>
  <si>
    <t>Ja. Geschiedene Ehegatten können eine Hinterbliebenenrente erhalten, wenn ein Unterhaltsanspruch gegen den Verstorbenen bestand und die weiteren Witwen-/Witwerbedingungen erfüllt sind. (European Commission)</t>
  </si>
  <si>
    <t>Ja, bei Wiederheirat entfällt die Witwen-/Witwerrente.</t>
  </si>
  <si>
    <t>Ja. Ex-Ehegatten und gerichtlich getrennte Ehegatten können Pensão de Sobrevivência erhalten.</t>
  </si>
  <si>
    <t>Ja, es muss eine gerichtlich/standesamtlich festgelegte Unterhaltspflicht des Verstorbenen bestehen; die Leistung ist auf den Unterhalt begrenzt.</t>
  </si>
  <si>
    <t>Ja, der Anspruch endet bei Heirat oder Beginn einer união de facto.</t>
  </si>
  <si>
    <t>Nein, gesetzliche Hinterbliebenenrente knüpft an überlebenden Ehegatten an; geschiedene Ehegatten sind nicht als eigener Anspruchskreis ersichtlich.</t>
  </si>
  <si>
    <t>Nein, der gesetzliche Anspruch betrifft überlebende Ehegatten, eingetragene Partner oder bestimmte zusammenlebende Partner; ein geschiedener, getrennt lebender Ex-Ehegatte ist nicht als eigener Anspruchskreis ausgewiesen. (pensionsmyndigheten.se)</t>
  </si>
  <si>
    <t>Ja in der AHV: geschiedene Frauen und — nach EGMR-/Bundesgerichtsfolgefragen — geschiedene Männer mit Kindern unter bestimmten Voraussetzungen; im obligatorischen BVG/LPP zusätzlich Anspruch geschiedener Personen bei langer Ehe und Unterhalt/Abfindung. (zas.admin.ch)</t>
  </si>
  <si>
    <t>AHV: keine klassische Unterhaltsvoraussetzung, sondern Kinder-/Ehedauer-/Alterskriterien. BVG/LPP: ja, Unterhalt bzw. Kapitalabfindung relevant. (zas.admin.ch)</t>
  </si>
  <si>
    <t>Ja, Wiederverheiratung lässt die AHV-Witwen-/Witwerrente entfallen. (zas.admin.ch)</t>
  </si>
  <si>
    <t>Regel-Witwen-/Witwerrente: nein; die slowakische Sozialversicherung weist ausdrücklich darauf hin, dass ein geschiedener Ehegatte keine Witwen-/Witwerrente erhält. Ältere/vertragliche Übersichten nennen daneben eine unterhaltsakzessorische geschiedene Hinterbliebenenleistung. (socpoist.sk)</t>
  </si>
  <si>
    <t>Soweit die Sonderleistung greift: ja, Unterhalt aufgrund gerichtlicher Entscheidung.</t>
  </si>
  <si>
    <t>Bei der Regel-Witwen-/Witwerrente nicht einschlägig; bei Sonderleistung kein allgemeiner Wiederheiratstatbestand sicher belegt, da Leistung ohnehin zeitlich/unterhaltsbezogen begrenzt ist.</t>
  </si>
  <si>
    <t>Ja. Ein unterhaltener geschiedener Ehegatte gehört zum Anspruchskreis der Witwen-/Witwerrente. (syllogos.gr)</t>
  </si>
  <si>
    <t>Ja, „maintained divorced spouse“.</t>
  </si>
  <si>
    <t>Ja, Wiederheirat kann den Anspruch entfallen lassen; Einzelheiten alters-/invaliditätsabhängig.</t>
  </si>
  <si>
    <t>Ja. Geschiedene oder gerichtlich getrennte Personen können Witwen-/Witwerrente erhalten, wenn sie nicht wieder geheiratet bzw. keine neue eingetragene Partnerschaft begründet haben und grundsätzlich eine pensión compensatoria bestand; Ausnahmen u. a. bei Gewaltopfern und Übergangsfällen. (seg-social.es)</t>
  </si>
  <si>
    <t>Ja, grundsätzlich compensatory pension/pensión compensatoria; Ausnahmen.</t>
  </si>
  <si>
    <t>Ja, keine Wiederheirat/keine neue Partnerschaft als Anspruchsvoraussetzung. (seg-social.es)</t>
  </si>
  <si>
    <t>Nein. Die amtliche Darstellung verlangt, dass die Ehe im Zeitpunkt des Todes bestand; die Rente wird nicht an den geschiedenen Ehegatten gezahlt. (Regierungsportal)</t>
  </si>
  <si>
    <t>Ja. Geschiedene Ehegatten gehören zum Kreis der anspruchsberechtigten Hinterbliebenen; die Ehegattenrente kann zwischen überlebendem Ehegatten und geschiedenem Ehegatten geteilt werden.</t>
  </si>
  <si>
    <t>In der ausgewerteten ISSA-Übersicht nicht als Unterhaltstitelvoraussetzung ausgewiesen; weitere nationale Detailprüfung sinnvoll.</t>
  </si>
  <si>
    <t>Ja, die Witwen-/Witwer- bzw. Geschiedenenrente endet bei Wiederheirat.</t>
  </si>
  <si>
    <t>Geschiedenen_HR_Rente</t>
  </si>
  <si>
    <t>Text5</t>
  </si>
  <si>
    <t xml:space="preserve">Geschiedenen-Hinterbliebenenversorgung Ja/nein:   </t>
  </si>
  <si>
    <t xml:space="preserve">Besteht Unterhaltsvoraussetzung?:   </t>
  </si>
  <si>
    <t xml:space="preserve">Existiert eine Wiederverheiratungsklausel?:   </t>
  </si>
  <si>
    <t>Geschiedenen-Hinterbliebenen-Versrg.?</t>
  </si>
  <si>
    <r>
      <rPr>
        <b/>
        <sz val="18"/>
        <color rgb="FF000000"/>
        <rFont val="Calibri"/>
        <family val="2"/>
      </rPr>
      <t>Kurzfazit:</t>
    </r>
    <r>
      <rPr>
        <sz val="11"/>
        <color rgb="FF000000"/>
        <rFont val="Calibri"/>
        <family val="2"/>
      </rPr>
      <t xml:space="preserve"> Eine echte Geschiedenen-Hinterbliebenenversorgung kennen insbesondere Österreich, Deutschland nur Altfall, Estland, Finnland, Frankreich, Griechenland, Italien, Kroatien, Liechtenstein, Luxemburg, Malta, Niederlande, Norwegen, Polen, Portugal, Slowenien, Spanien, Ungarn und die Schweiz. In vielen dieser Staaten ist sie unterhaltsakzessorisch ausgestaltet, besonders deutlich in Österreich, Finnland, Italien, Kroatien, Liechtenstein, den Niederlanden, Polen, Portugal, Slowenien und Spanien. Eine Wiederverheiratungsklausel ist ebenfalls häufig; Frankreich ist im Grundsystem die auffälligste Ausnahme, weil Wiederheirat dort nicht automatisch ausschließt, sondern vor allem über die Einkommens-/Ressourcenprüfung wirken kann.</t>
    </r>
  </si>
  <si>
    <r>
      <rPr>
        <b/>
        <sz val="22"/>
        <color theme="0"/>
        <rFont val="Calibri"/>
        <family val="2"/>
      </rPr>
      <t>Geschiedenen-Hinterbliebenen-Versorgung</t>
    </r>
    <r>
      <rPr>
        <b/>
        <sz val="18"/>
        <color theme="0"/>
        <rFont val="Calibri"/>
        <family val="2"/>
      </rPr>
      <t xml:space="preserve">
</t>
    </r>
    <r>
      <rPr>
        <b/>
        <sz val="14"/>
        <color theme="0"/>
        <rFont val="Calibri"/>
        <family val="2"/>
      </rPr>
      <t>aus den gesetzlichen Versorgungssystemen Europas</t>
    </r>
  </si>
  <si>
    <t>Rentenrechner</t>
  </si>
  <si>
    <t>Stand: 10.06.2026. Ich habe vorrangig amtliche Rechner oder amtliche Schätz-/Selbstbedienungsportale aufgenommen. Die DBA-Spalte bezieht sich auf das Bestehen eines allgemeinen Doppelbesteuerungsabkommens mit Deutschland; nach der aktuellen BMF-Übersicht zum Stand 01.01.2026 besteht für sämtliche unten aufgeführten EU- und EFTA-Staaten ein DBA mit Deutschland. Das sagt noch nichts darüber, welchem Staat im konkreten Einzelfall das Besteuerungsrecht für eine bestimmte gesetzliche Rente zusteht. (Bundesministerium der Finanzen)</t>
  </si>
  <si>
    <t>Amtlicher Renten-/Pensionsrechner bzw. amtliche Schätzseite</t>
  </si>
  <si>
    <t>DBA mit Deutschland</t>
  </si>
  <si>
    <t>mypension.be / Federal Pensions Service (sfpd.fgov.be)</t>
  </si>
  <si>
    <t>Persönliches Rentenportal; Berechnung/Anzeige der voraussichtlichen Pension.</t>
  </si>
  <si>
    <t xml:space="preserve">NSSI – Prognose gesetzliche Rente (reps.nssi.bg)
</t>
  </si>
  <si>
    <t>Amtlicher Prognosedienst zur staatlichen Sozialversicherung.</t>
  </si>
  <si>
    <t xml:space="preserve">State Pension Calculator / minpensionsag.dk (minpensionssag.dk)
</t>
  </si>
  <si>
    <t>Indikative Berechnung der staatlichen Folkepension.</t>
  </si>
  <si>
    <t>Deutsche Rentenversicherung – Online-Rechner (Deutsche Rentenversicherung)</t>
  </si>
  <si>
    <t>Rentenbeginn-, Rentenhöhen- und weitere DRV-Rechner.</t>
  </si>
  <si>
    <t>Social Insurance Board / Pension calculator (Sotsiaalkindlustusamet)</t>
  </si>
  <si>
    <t>Amtlicher Selbstbedienungsrechner zur Altersrente.</t>
  </si>
  <si>
    <t>Työeläke.fi – Pension calculator (laskurit.tyoelake.fi)</t>
  </si>
  <si>
    <t>Schätzung der Erwerbsrente und ggf. Kela-Anteile.</t>
  </si>
  <si>
    <t>Info Retraite – Mon estimation retraite (services.info-retraite.fr)</t>
  </si>
  <si>
    <t>Zentrales amtliches Rentenportal für die französischen Systeme.</t>
  </si>
  <si>
    <t>Online Pension Calculator / sintaxi.isotita.gr (sintaxi.isotita.gr)</t>
  </si>
  <si>
    <t>Öffentliches Schätztool; nicht verbindliche Näherungsberechnung.</t>
  </si>
  <si>
    <t>MyWelfare / Contribution Statement und gov.ie-Berechnungshinweise (gov.ie)</t>
  </si>
  <si>
    <t>Kein allgemeiner amtlicher State-Pension-Betragsrechner auffindbar; die amtliche Schätzung erfolgt über Versicherungsverlauf/Berechnungshinweise.</t>
  </si>
  <si>
    <t>island.is / Social Insurance Administration – pension calculator (island.is)</t>
  </si>
  <si>
    <t>Amtlicher Rechner zur Altersrente.</t>
  </si>
  <si>
    <t>INPS – La mia pensione futura (INPS公式サイト)</t>
  </si>
  <si>
    <t>Amtliche Simulation der voraussichtlichen gesetzlichen Rente.</t>
  </si>
  <si>
    <t>HZMO/e-Građani und REGOS – Moja mirovina (Gov.hr)</t>
  </si>
  <si>
    <t>Persönliche Projektion über e-Citizens/REGOS.</t>
  </si>
  <si>
    <t>VSAA / Latvija.lv – erwartete Altersrente (vsaa.gov.lv)</t>
  </si>
  <si>
    <t>Amtlicher Online-Dienst zur Information über die prognostizierte Altersrente.</t>
  </si>
  <si>
    <t>AHV-IV-FAK – Rentenberechnung / Vorausberechnung (ahv.li)</t>
  </si>
  <si>
    <t>Amtliche Berechnungsgrundlagen; kein frei nutzbarer allgemeiner Online-Betragsrechner auffindbar.</t>
  </si>
  <si>
    <t>Sodra – projected retirement pension calculator („Sodra“)</t>
  </si>
  <si>
    <t>Amtlicher Rechner der litauischen Sozialversicherung.</t>
  </si>
  <si>
    <t>CNAP / Guichet – Rentenschätzung auf Antrag (Guichet.lu)</t>
  </si>
  <si>
    <t>Kein frei bedienbarer allgemeiner CNAP-Onlinerechner auffindbar; amtliche Schätzung auf Antrag.</t>
  </si>
  <si>
    <t>DSS – Retirement Pension Calculator (servizz.gov.mt)</t>
  </si>
  <si>
    <t>Amtlicher Rechner für eine Schätzung der gesetzlichen Altersrente.</t>
  </si>
  <si>
    <t>SVB / My SVB – AOW-Auskunft und Berechnung (Regierung der Niederlande)</t>
  </si>
  <si>
    <t>Individuelle AOW-Berechnung über My SVB; allgemeine AOW-Alters-/Betragsinformationen öffentlich.</t>
  </si>
  <si>
    <t>NAV – Pensjonskalkulator / Din pensjon (nav.no)</t>
  </si>
  <si>
    <t>Amtliche Schätzung der Altersrente aus National Insurance und ggf. AFP.</t>
  </si>
  <si>
    <t>Pensionsversicherungsanstalt – Pensionsrechner (Pensionsversicherung Österreich)</t>
  </si>
  <si>
    <t>Rechner zum Pensionsantritt und zur voraussichtlichen Pensionshöhe.</t>
  </si>
  <si>
    <t>ZUS – Pension calculator (zus.pl)</t>
  </si>
  <si>
    <t>Amtlicher Rechner zur Prognose der gesetzlichen Altersrente.</t>
  </si>
  <si>
    <t>Segurança Social – Simulador de Pensões (seg-social.pt)</t>
  </si>
  <si>
    <t>Amtlicher Simulator zur Schätzung der Altersrente.</t>
  </si>
  <si>
    <t>CNPP – Renteneintrittsalter-Rechner / Berechnungshinweise (cnpp.ro)</t>
  </si>
  <si>
    <t>Amtlicher Rechner vor allem zum Renteneintrittsalter; kein allgemeiner amtlicher Betragsrechner auffindbar.</t>
  </si>
  <si>
    <t>Pensionsmyndigheten – pension forecast (pensionsmyndigheten.se)</t>
  </si>
  <si>
    <t>Persönliche Rentenprognose über „My Pages“.</t>
  </si>
  <si>
    <t>AHV/AVS – ESCAL Rentenschätzung (AHV IV)</t>
  </si>
  <si>
    <t>Amtlicher Online-Rechner zur unverbindlichen Schätzung der AHV-Altersrente.</t>
  </si>
  <si>
    <t>Sociálna poisťovňa – elektronisches Versichertenkonto / Renteninformation (socpoist.sk)</t>
  </si>
  <si>
    <t>Informative Altersrentenhöhe im elektronischen Versichertenkonto; zusätzlich Altersgrenzenrechner.</t>
  </si>
  <si>
    <t>ZPIZ – Informative pension calculator (zpiz.si)</t>
  </si>
  <si>
    <t>Allgemeiner und persönlicher amtlicher Rentenrechner.</t>
  </si>
  <si>
    <t>Seguridad Social – Simulador de jubilación (sede.seg-social.gob.es)</t>
  </si>
  <si>
    <t>Amtliche Simulation von Rentenalter und voraussichtlicher Rentenhöhe.</t>
  </si>
  <si>
    <t>ČSSZ – IDA pension estimate (ePortál ČSSZ)</t>
  </si>
  <si>
    <t>Amtliche Schätzung von Rentenalter und Altersrente.</t>
  </si>
  <si>
    <t>Magyar Államkincstár – Selbstbedienungs-Rentenrechner (allamkincstar.gov.hu)</t>
  </si>
  <si>
    <t>Amtlicher Rechner der ungarischen Rentenverwaltung.</t>
  </si>
  <si>
    <t>gov.cy – temporary calculation of statutory pension (Regierung Zypern)</t>
  </si>
  <si>
    <t>Amtliche vorläufige Berechnung; Login über Cy Login.</t>
  </si>
  <si>
    <t>Rentenechnner für EU- &amp; EFTA-Länder</t>
  </si>
  <si>
    <t>Internet-Adresse</t>
  </si>
  <si>
    <t>https://www.mypension.be/</t>
  </si>
  <si>
    <t>https://reps.nssi.bg/PensionsCalc/</t>
  </si>
  <si>
    <t>https://www.minpensionssag.dk/pe-selvbetjening/simulering/foerdubegynder/simuleringFolkepension?lang=en</t>
  </si>
  <si>
    <t>https://www.deutsche-rentenversicherung.de/DRV/DE/Online-Services/Online-Rechner/RentenbeginnUndHoehenRechner/rentenbeginnrechner.html</t>
  </si>
  <si>
    <t>https://sotsiaalkindlustusamet.ee/en/pension-and-benefits/preparing-retirement/pension-calculator</t>
  </si>
  <si>
    <t>https://laskurit.tyoelake.fi/en/elakelaskuri</t>
  </si>
  <si>
    <t>https://services.info-retraite.fr/service/calcul-retraite/</t>
  </si>
  <si>
    <t>https://sintaxi.isotita.gr/?lang=en&amp;page_id=245</t>
  </si>
  <si>
    <t>https://www.gov.ie/en/department-of-social-protection/publications/how-to-calculate-your-state-pension-contributory-rate/</t>
  </si>
  <si>
    <t>https://www.inps.it/it/en/dettaglio-scheda.en.schede-servizio-strumento.schede-servizi.la-mia-pensione-futura-simulazione-della-propria-pensione-50033.la-mia-pensione-futura-simulazione-della-propria-pensione.html</t>
  </si>
  <si>
    <t>https://regos.hr/en/my-pension-digital-platform/</t>
  </si>
  <si>
    <t>https://www.vsaa.gov.lv/lv/kalkulatori</t>
  </si>
  <si>
    <t>https://www.sodra.lt/lt/skaiciuokles/prognozuojamos_pensijos_skaiciuokle?lang=lt</t>
  </si>
  <si>
    <t>https://guichet.public.lu/en/citoyens/travail/pension/assurance-pension/estimation-pension-vieillesse.html</t>
  </si>
  <si>
    <t>https://socialsecurity.gov.mt/en/benefit-calculators/</t>
  </si>
  <si>
    <t>https://www.government.nl/faq/how-much-state-pension-will-i-receive</t>
  </si>
  <si>
    <t>https://www.pv.at/web/pension/pensionsrechner</t>
  </si>
  <si>
    <t>https://www.zus.pl/swiadczenia/emerytury/kalkulatory-emerytalne/emerytura-na-nowych-zasadach/kalkulator-emerytalny-prognozowana-emerytura</t>
  </si>
  <si>
    <t>https://extwww.seg-social.pt/ptss/pssd/menu/simuladores/simulador-pensoes</t>
  </si>
  <si>
    <t>https://www.cnpp.ro/varsta-pensionare</t>
  </si>
  <si>
    <t>https://www.pensionsmyndigheten.se/other-languages/english-engelska/english-engelska/pension-forecast-see-how-much-pension-you-will-get</t>
  </si>
  <si>
    <t>https://www.socpoist.sk/en/top-topics/insurees-electronic-account</t>
  </si>
  <si>
    <t>https://www.zpiz.si/content2020en/informative-calculation-of-retirement-date</t>
  </si>
  <si>
    <t>https://sede.seg-social.gob.es/wps/portal/sede/sede/Ciudadanos/Pensiones/202045_2</t>
  </si>
  <si>
    <t>https://eportal.cssz.cz/web/portal/-/sluzby/informativni-duchodova-aplikace</t>
  </si>
  <si>
    <t>https://www.allamkincstar.gov.hu/nyugdij/sajat-jogu-ellatasok/oregsegi-nyugdij/onkiszolgalo-nyugdijkalkulator</t>
  </si>
  <si>
    <t>https://www.gov.cy/en/service/temporary-calculation-of-the-amount-of-statutory-pension/</t>
  </si>
  <si>
    <t>https://island.is/en/o/social-insurance-administration/calculator</t>
  </si>
  <si>
    <t>https://www.ahv.li/leistungen/ahv/rentenberechnung</t>
  </si>
  <si>
    <t>https://www.nav.no/pensjon/pensjonskalkulator</t>
  </si>
  <si>
    <t>https://www.ahv-iv.ch/en/Forms/Online-pension-estimate-ESCAL</t>
  </si>
  <si>
    <r>
      <t>Die hier als "</t>
    </r>
    <r>
      <rPr>
        <b/>
        <sz val="11"/>
        <color rgb="FF000000"/>
        <rFont val="Calibri"/>
        <family val="2"/>
      </rPr>
      <t>Methode 1</t>
    </r>
    <r>
      <rPr>
        <sz val="11"/>
        <color rgb="FF000000"/>
        <rFont val="Calibri"/>
        <family val="2"/>
      </rPr>
      <t>" bezeichnete Form der Abfindungsberechnung knüpft an den Wortlaut von § 24 Abs. 1 VersAusglG an, wonach für die Höhe der Abfindung der "Zeitwert des Ausgleichswerts" maßgeblich ist. Nach § 5 Abs. 4 S. 1 VersAusglG ist auch für die Berechnung der Abfindungshöhe der Rentenbetrag maßgeblich. Nach § 39 VersAusglG entspricht der Wert eines Anrechts nach dem Umfang der auf die Ehezeit anfallenden Bezugsgröße. Maßgeblich ist für die Berechnung der Abfindungshöhe also auch im sVA der Anspruch der ausgleichspflichtigen Person gegen den VT und nicht etwa der Anspruch der ausglber. Person auf die sVA-Rente gegen die ausglpfl. Person.</t>
    </r>
  </si>
  <si>
    <r>
      <t>Erläuterung:</t>
    </r>
    <r>
      <rPr>
        <sz val="11"/>
        <color theme="1"/>
        <rFont val="Calibri"/>
        <family val="2"/>
      </rPr>
      <t xml:space="preserve"> (AusglW = Ausgleichswert; VT = Versorgungsträger; BW = Barwert; sVA = schuldrechtlichen Versorgungsausgleich; ReZins = Rechnungszins</t>
    </r>
  </si>
  <si>
    <r>
      <t xml:space="preserve">4. Der zur Berechnung des Abfindungswerts anzuwendende </t>
    </r>
    <r>
      <rPr>
        <b/>
        <sz val="11"/>
        <color rgb="FF000000"/>
        <rFont val="Calibri"/>
        <family val="2"/>
      </rPr>
      <t>Rechnungszins kann nicht der Bilanzierungsrechnungszins eines Versorgungsträgers sein.</t>
    </r>
    <r>
      <rPr>
        <sz val="11"/>
        <color rgb="FF000000"/>
        <rFont val="Calibri"/>
        <family val="2"/>
      </rPr>
      <t xml:space="preserve"> Die ausglpfl. Person hat die sVA-Rente zu erbringen. Sie bilanziert nicht. Der BGH hat die Wahl des ReZinses ausdrücklich dem VT überlassen (BGH v. .... XII ZB ...........). Der VT spielt beim sVA aber keine Rolle. 
Da eine Versorgungsleistung eine zukünftig fällig werdende wiederkehrende Leistung der ausglpflichtigen an die ausglberechtigte Person ist, sind die zukünftigen Leistungen in Höhe der erwartbaren Inflation abzuzinsen. Nur dadurch wird dem inflationsbedingten Wertverlust der künftig fällig werdenden Rentenbezüge der ausglpfl. Person hinreichend Rechnung getragen.
Eine weitere Erhöhung des Rechnungszinses ist m.E. nicht gerechtfertigt. Die im Bewertungsgesetz ausgewiesene Höhe des Abzinsungszinses von 5,5% (§ 12 Abs. 3 BewG)  kann nicht herangezogen werden. Sie gilt für "öffentlich-rechtliche Abgaben" (§ 1 Abs. 1 BewG). Soweit ein höherer Rechnungszins bei der Abzinsung zukünftig fällig werdender Geldzahlungen befürwortet wird, ist dies damit begründet, dass dem Gläubiger in der Zeit bis zur Fälligkeit der Forderung die Möglichkeit ratierlicher Anlage der Forderung fehlt. Diese Situation ist im sVA aber nicht gegeben, da die im sVA ausgleichspflichtige Person Anspruch auf die Rente gegen den Versorgungsträger hat, nicht aber auf eine Kapitalleistung. Der Ausfall von Einkünften aus rentierlicher Anlage des Abfindungsbetrages bei dessen Zahlung an die ausgleichsber. Person bzw. einen von ihr benannten VT ist ein nicht dem sVA zuzuordnender Vermögensnachteil. Ob dieser Renditeverlust über § 27 VersAusglG eine Anhebung des ReZinses rechtfertigt (und damit eine Verminderung des Abfindungskapitals) rechtfertigt, muss bezweifelt werden.</t>
    </r>
    <r>
      <rPr>
        <b/>
        <sz val="11"/>
        <color rgb="FF000000"/>
        <rFont val="Calibri"/>
        <family val="2"/>
      </rPr>
      <t xml:space="preserve">
</t>
    </r>
  </si>
  <si>
    <t>Table 1: Life expectancy at birth, 1980-2024</t>
  </si>
  <si>
    <t>(years)</t>
  </si>
  <si>
    <t>erwartbares Alter ab Geburt</t>
  </si>
  <si>
    <t>erwartbares Alter ab 65</t>
  </si>
  <si>
    <t>Total</t>
  </si>
  <si>
    <t>Males</t>
  </si>
  <si>
    <t>Females</t>
  </si>
  <si>
    <r>
      <t>Länderwahl</t>
    </r>
    <r>
      <rPr>
        <b/>
        <sz val="11"/>
        <color theme="0"/>
        <rFont val="Arial"/>
        <family val="2"/>
      </rPr>
      <t>▼</t>
    </r>
  </si>
  <si>
    <t>Lebenserwartung EU &amp; EFTA</t>
  </si>
  <si>
    <r>
      <rPr>
        <b/>
        <sz val="11"/>
        <color rgb="FF000000"/>
        <rFont val="Calibri"/>
        <family val="2"/>
      </rPr>
      <t>Ausgleichspflichtige Person</t>
    </r>
    <r>
      <rPr>
        <sz val="11"/>
        <color rgb="FF000000"/>
        <rFont val="Calibri"/>
        <family val="2"/>
      </rPr>
      <t xml:space="preserve">, Geburtstag: </t>
    </r>
  </si>
  <si>
    <t>Die versorgungsausgleichsrechtliche Datenbank
 zu euröpäischen Versorgungen
und ihre Behandlung im Versorgungsausgleich und ihre Abfindung</t>
  </si>
  <si>
    <t>Anwartschaft:</t>
  </si>
  <si>
    <t>&amp; Leistung:</t>
  </si>
  <si>
    <t>Alter BerDat</t>
  </si>
  <si>
    <t>Ehezeitende (EzE)</t>
  </si>
  <si>
    <t>Alter EzE/Sex</t>
  </si>
  <si>
    <t>Fälligkeit der sVA-Rente ▼</t>
  </si>
  <si>
    <t>Rentenbezugs-alter (Nr. 39ff) ▼</t>
  </si>
  <si>
    <t>Datum d.  Rentenbezugs ▼</t>
  </si>
  <si>
    <r>
      <t>ehezeitl. erdiente monatliche Rente</t>
    </r>
    <r>
      <rPr>
        <b/>
        <sz val="12"/>
        <color rgb="FF000000"/>
        <rFont val="Calibri"/>
        <family val="2"/>
      </rPr>
      <t xml:space="preserve"> im Ehezeitende zu 1/2:</t>
    </r>
  </si>
  <si>
    <r>
      <t xml:space="preserve">Qualifikationsmerkmale der Versorgung </t>
    </r>
    <r>
      <rPr>
        <sz val="10"/>
        <color theme="0"/>
        <rFont val="Calibri"/>
        <family val="2"/>
      </rPr>
      <t>(die Nummern entsprechen den Nummern in der EU-Länderdatenbank Spalte A)</t>
    </r>
  </si>
  <si>
    <t>Alter_sVA_Ber</t>
  </si>
  <si>
    <t>L_sVABeginn_Pfl</t>
  </si>
  <si>
    <t>L_sVABeginn_Ber</t>
  </si>
  <si>
    <t>Alter_sVA_Pfl</t>
  </si>
  <si>
    <r>
      <t>abweichend:</t>
    </r>
    <r>
      <rPr>
        <b/>
        <sz val="12"/>
        <color theme="0"/>
        <rFont val="Arial"/>
        <family val="2"/>
      </rPr>
      <t>↓</t>
    </r>
  </si>
  <si>
    <t>Zur Recherche &amp; Datensammlung ist KI eingesetzt worden</t>
  </si>
  <si>
    <t>Alter bei Fälligkeit</t>
  </si>
  <si>
    <t>Grundinformationen zu der auszugleichenden Altersversorgung &amp; zum Fall</t>
  </si>
  <si>
    <t>Alter EzE</t>
  </si>
  <si>
    <t>Geschlecht</t>
  </si>
  <si>
    <r>
      <rPr>
        <b/>
        <sz val="11"/>
        <color rgb="FF000000"/>
        <rFont val="Calibri"/>
        <family val="2"/>
      </rPr>
      <t>Ausgleichswert</t>
    </r>
    <r>
      <rPr>
        <sz val="11"/>
        <color rgb="FF000000"/>
        <rFont val="Calibri"/>
        <family val="2"/>
      </rPr>
      <t xml:space="preserve"> (ehezeitl. erdiente monatliche Rente</t>
    </r>
    <r>
      <rPr>
        <b/>
        <sz val="12"/>
        <color rgb="FF000000"/>
        <rFont val="Calibri"/>
        <family val="2"/>
      </rPr>
      <t xml:space="preserve"> im EzE zu 1/2):</t>
    </r>
  </si>
  <si>
    <t>AnwPhase:</t>
  </si>
  <si>
    <t>LeistPhase:</t>
  </si>
  <si>
    <t>Versorgungserwerb in DRV</t>
  </si>
  <si>
    <t>Rente</t>
  </si>
  <si>
    <t>Ab</t>
  </si>
  <si>
    <t>Änderung hier eingeben:</t>
  </si>
  <si>
    <t>Aufzinsungszinssatz:</t>
  </si>
  <si>
    <t>Aufzinsungsmethode des auf das Ehezeitende berechneten Barwerts zum Berechnungsstichtag</t>
  </si>
  <si>
    <t>13' = 100%</t>
  </si>
  <si>
    <t>27' = 130%</t>
  </si>
  <si>
    <t>13'=85%</t>
  </si>
  <si>
    <t>27' = 150%
13' = 100%</t>
  </si>
  <si>
    <t>13'= 100%</t>
  </si>
  <si>
    <t>27' = 145%</t>
  </si>
  <si>
    <t>Dies ist kein Programm für "kleine Bildschirme" es funktioniert, ist aber weniger komfortabel. Ab 13' macht es Spaß. Die optimale Zoom-Einstellung finden Sie am rechten Bildschirmrand</t>
  </si>
  <si>
    <t xml:space="preserve"> Die mit diesem Programm gefundenen Ergebnisse ersetzen kein SV-Gutachten, geben aber die Möglichkeit, die Dimensionierung einer Abfindungszahlung auch für wenig versicherungsmathematisch affine Menschen vorzunehmen</t>
  </si>
  <si>
    <t>Autor: Jörn Hauß, FA-FamR - Duisburg  Für die mit diesem Programm erzielten Ergebnisse haftet der Anwender. Für Korrektur- und Verbesserungsvorschläge bin ich immer dankbar Hauss@anwaelte-DU.de</t>
  </si>
  <si>
    <r>
      <t xml:space="preserve">Ja, unter Voraussetzungen. Geschiedene Personen können in AHV/BVG-Konstellationen Hinterbliebenenleistungen erhalten, insbesondere bei langer Ehe bzw. Unterhalts-/Scheidungsregelungen. (ahv-iv.ch). </t>
    </r>
    <r>
      <rPr>
        <b/>
        <sz val="11"/>
        <rFont val="Calibri"/>
        <family val="2"/>
      </rPr>
      <t>Voraussetzung: Kinder &amp; Ehedauer &gt;=10 Jahre oder Scheidungsalter &gt;=45  &amp; Ehedauer &gt;= 10 Jahre oder das jüngste Kind wird 18 nach Erreichen d. 45. Lebensjahres</t>
    </r>
  </si>
  <si>
    <t>Ja, unter Bedingungen. Getrennte oder geschiedene Personen können Witwen-/Witwerrente erhalten, wenn die gesetzlichen Voraussetzungen erfüllt sind. (Sécurité Sociale)
Midestehedauer 10 Jahre, zwischen Tod und Scheidung &lt;=10 Jahre; Begünstigte &gt; 50 Jahre alt</t>
  </si>
  <si>
    <t>Ja, unter Bedingungen. Anw kann auch bei Tod eines Ex-Partners beansprucht werden; SVB prüft die Situation am Todestag, u. a. Ex-Partnerstatus und weitere Anspruchsvoraussetzungen: *Unterhaltsverpflichtung (unabhängig ob Zahlungen erfolgten); Sorge für ein im Haushalt lebendes Kind &lt; 18 Jahre;  Erwerbsminderung &gt;= 45%(SVB)</t>
  </si>
  <si>
    <t>Ja, unter Voraussetzungen. Geschiedene Personen werden Witwen/Witwern gleichgestellt, wenn der verstorbene Ex-Ehegatte zu laufendem Unterhalt verpflichtet war und weitere Bedingungen erfüllt sind; Wiederverheiratungsklausel. (AHV Liechtenstein)</t>
  </si>
  <si>
    <t>Ja. Auch frühere Ehegatten können Anspruch auf réversion haben; bei mehreren Ehegatten bzw. Ex-Ehegatten wird die Leistung grundsätzlich nach Ehedauer aufgeteilt. Gilt auch für PACS.(L'Assurance retraite)</t>
  </si>
  <si>
    <t>Großbritanien</t>
  </si>
  <si>
    <t>Für eine 1976 geborene männliche Person beträgt das derzeit gesetzlich vorgesehene State Pension Age 67 Jahre. Gesetzliche Grundlage ist Schedule 4 zum Pensions Act 1995; danach erreicht eine Person, die nach dem 5. März 1961, aber vor dem 6. April 1977 geboren ist, das pensionable age mit Vollendung des 67. Lebensjahres. (Gesetzgebung Vereinigtes Königreich)</t>
  </si>
  <si>
    <t>Der Erwerb erfolgt nicht durch Wohnsitz allein, sondern durch National Insurance qualifying years. Ein qualifying year kann entstehen durch Erwerbstätigkeit mit National-Insurance-Beiträgen, durch National-Insurance-Credits, etwa bei Arbeitslosigkeit, Krankheit, Elternschaft oder Pflege, oder durch freiwillige Beiträge. Bei Arbeitnehmern werden Class-1-Beiträge vom Arbeitgeber vom Lohn einbehalten; Arbeitgeber zahlen daneben eigene National-Insurance-Beiträge, diese begründen aber nicht in gleicher Weise ein individuelles „Punktekonto“ wie im deutschen Recht. (GOV.UK)</t>
  </si>
  <si>
    <t>Nein. Legal residence allein genügt nicht. Maßgeblich sind qualifying years im National Insurance record. Aufenthalts- oder Auslandszeiten können nur mittelbar relevant werden, wenn sie aufgrund internationaler Koordinierung oder Sozialversicherungsabkommen für Anspruchsvoraussetzungen berücksichtigt werden; die originäre britische State Pension bleibt aber beitrags-/creditsbezogen. (GOV.UK)</t>
  </si>
  <si>
    <t>Eine deutsche „Anwartschaftsdynamik“ im Sinne jährlicher Aufwertung eines Entgeltpunktkontos gibt es so nicht. Der Anspruch wächst durch zusätzliche qualifying years. Hat der Versicherungsverlauf erst nach April 2016 begonnen, sind für die volle new State Pension 35 qualifying years erforderlich; jedes weitere berücksichtigungsfähige Jahr erhöht die Anwartschaft bis zum vollen Satz. Bei vor 2016 begonnenen Versicherungsverläufen sind Übergangsregeln, contracted-out-Zeiten und protected payments zu prüfen. (GOV.UK)</t>
  </si>
  <si>
    <t>Die new State Pension wird jährlich nach der sogenannten triple lock erhöht: maßgeblich ist der höchste Wert aus Lohnentwicklung in Großbritannien, CPI-Preisentwicklung im Vereinigten Königreich oder 2,5 %. Ein protected payment wird dagegen jährlich nach CPI erhöht. (GOV.UK)</t>
  </si>
  <si>
    <t>Das gesetzliche State-Pension-System gewährt keine Invaliditätsrente nach Art einer prozentualen Quote der Altersrente. Bei Erwerbs-/Arbeitsunfähigkeit kommt außerhalb der State Pension insbesondere New Style Employment and Support Allowance (ESA) in Betracht; diese setzt u.a. voraus, dass die Person unter State Pension Age ist, eine gesundheitliche Einschränkung der Arbeitsfähigkeit hat und regelmäßig ausreichende National-Insurance-Beiträge in den letzten zwei bis drei Jahren gezahlt bzw. gutgeschrieben wurden. Eine feste Quote zur Altersrente gibt es nicht. (GOV.UK)</t>
  </si>
  <si>
    <t>Die new State Pension ist grundsätzlich individualisiert und beruht auf dem eigenen National-Insurance-Verlauf. Hinterbliebene Ehegatten oder civil partners können aber unter engen Voraussetzungen zusätzliche Beträge erben, insbesondere Teile der Additional State Pension oder die Hälfte eines protected payment. Die Additional State Pension kann je nach Altfall teilweise vererblich sein; bei State Second Pension nennt GOV.UK bis zu 50 %, bei SERPS je nach Geburtsdatum und Todeszeitpunkt zwischen 50 % und 100 %. (GOV.UK)</t>
  </si>
  <si>
    <t>Eine klassische Geschiedenen-Hinterbliebenenversorgung wie in manchen kontinentaleuropäischen Systemen besteht bei der new State Pension grundsätzlich nicht. Für geschiedene Ehegatten ist vielmehr relevant, dass britische Gerichte bei Scheidung eine pension sharing order erlassen können. Dann erhält der Ex-Ehegatte eine zusätzliche Zahlung zur eigenen State Pension, soweit Additional State Pension oder protected payment geteilt wurden. Ohne eine solche Anordnung besteht für geschiedene Ehegatten regelmäßig kein eigener Hinterbliebenenanspruch aus der State Pension des früheren Ehegatten. (GOV.UK)</t>
  </si>
  <si>
    <t>Die State Pension ist nach britischem Recht steuerpflichtiges Einkommen; Einkommensteuer fällt an, wenn das gesamte Jahreseinkommen die Personal Allowance übersteigt. Die State Pension wird in die steuerpflichtigen Einkünfte einbezogen. (GOV.UK) Für in Deutschland ansässige Bezieher ist zusätzlich Art. 17 DBA Deutschland–UK wichtig: Private Pensionen werden grundsätzlich im Ansässigkeitsstaat besteuert; Zahlungen nach Sozialversicherungsgesetzgebung eines Vertragsstaats, also insbesondere die UK State Pension, sind nach Art. 17 Abs. 2 grundsätzlich nur im Quellenstaat steuerbar. (GOV.UK)</t>
  </si>
  <si>
    <t>Auf Rentenleistungen selbst werden keine National-Insurance-Beiträge erhoben. Nach Erreichen des State Pension Age zahlen die meisten Personen keine National-Insurance-Beiträge mehr; bei Selbständigen endet Class 4 National Insurance mit Beginn des Steuerjahres nach Erreichen des State Pension Age. (GOV.UK)</t>
  </si>
  <si>
    <t>Großbritannien</t>
  </si>
  <si>
    <t>GB</t>
  </si>
  <si>
    <t>Kanada</t>
  </si>
  <si>
    <t>Neuseeland</t>
  </si>
  <si>
    <t>66 Jahre M/F seit 2025; 67 Jahre ab 2030</t>
  </si>
  <si>
    <t>Praktisch stichtags-/kohortenabhängig durch Anhebung 2025 und 2030.</t>
  </si>
  <si>
    <t>2026 bei voller Versicherungszeit: ca. M 64 J. 9 M., F 62 J. 6 M.; bei nur Mindestversicherungszeit 67 M/F</t>
  </si>
  <si>
    <t>Derzeit kein klarer aktiver Automatismus; ältere Projektionen sahen nach Angleichung mögliche Lebenserwartungsbindung vor.</t>
  </si>
  <si>
    <t>Ja. Männer steigen um 1 Monat/Jahr bis 65; Frauen um 2 bzw. später 3 Monate/Jahr bis 65, Ziel 2037. (innovires.com)</t>
  </si>
  <si>
    <t>Derzeit 67 M/F; beschlossen: 68, 69 und künftig 70 nach Kohorten</t>
  </si>
  <si>
    <t>Ja. Ab 2030 folgt die Folkepensionsaltersgrenze der Lebenserwartung; Festlegung mit Vorlauf.</t>
  </si>
  <si>
    <t>Ja. Z.B. 68 für Jahrgänge 1963–1966, 69 für Jahrgang 1967; 70 ab 2040 nach neuerer Festlegung. (Eläketurvakeskus)</t>
  </si>
  <si>
    <t>Regelaltersgrenze steigt auf 67; Jahrgang 1964 ff. 67 M/F</t>
  </si>
  <si>
    <t>Ja. Jahrgänge 1947–1958: +1 Monat je Jahrgang; 1959–1963: +2 Monate je Jahrgang; ab 1964: 67. (Eläketurvakeskus)</t>
  </si>
  <si>
    <t>65 M/F ab 2026</t>
  </si>
  <si>
    <t>Ja. Ab 2027 Anbindung an Veränderungen der Lebenserwartung.</t>
  </si>
  <si>
    <t>Ja. Jahrgänge 1954–1960 wurden stufenweise um 3 Monate je Kohorte angehoben; ab Jahrgang 1961 zunächst 65, danach Lebenserwartungsmechanismus. (Eläketurvakeskus)</t>
  </si>
  <si>
    <t>Flexible Altersrente: derzeit etwa 64–69; nationale Rente 65</t>
  </si>
  <si>
    <t>Ja. Ab 2030 Kopplung an die Lebenserwartung.</t>
  </si>
  <si>
    <t>Ja. Stufenweise Anhebung um 3 Monate/Jahrgang bis 65; spätere Kohorten über Lebenserwartungsmechanismus. (Eläketurvakeskus)</t>
  </si>
  <si>
    <t>Gesetzliches Mindestalter je nach Geburtsjahr 62–64; abschlagsfreie Vollrente unabhängig von Versicherungsdauer mit 67</t>
  </si>
  <si>
    <t>Ja. Altersgrenze variiert nach Geburtsdatum; die 2023er Reform sah eine stufenweise Anhebung auf 64 vor, ist für betroffene Kohorten 1964–1968 teilweise ausgesetzt/abgemildert. (cleiss.fr)</t>
  </si>
  <si>
    <t>67 M/F; 62 bei 40 Versicherungsjahren</t>
  </si>
  <si>
    <t>Ja. Altersgrenze seit 2021 an Lebenserwartung gekoppelt.</t>
  </si>
  <si>
    <t>Keine klassische Geburtsjahrgangstabelle; künftige Anpassung über Lebenserwartung. (Eläketurvakeskus)</t>
  </si>
  <si>
    <t>Flexible State Pension 66–70 M/F</t>
  </si>
  <si>
    <t>Nein, seit 2024 flexible Wahl zwischen 66 und 70. (Eläketurvakeskus)</t>
  </si>
  <si>
    <t>67 M/F</t>
  </si>
  <si>
    <t>Ja. Anpassung grundsätzlich alle zwei Jahre an die Lebenserwartung.</t>
  </si>
  <si>
    <t>Keine feste Geburtsjahrgangstabelle; betroffen ist der jeweilige Zeitpunkt des Rentenzugangs. (Eläketurvakeskus)</t>
  </si>
  <si>
    <t>M 65; F stufenweise, 2026 etwa 64, Ziel 65</t>
  </si>
  <si>
    <t>Ja. Frauenaltersgrenze steigt um 3 Monate/Jahr bis 65 im Jahr 2030. (Eläketurvakeskus)</t>
  </si>
  <si>
    <t>65 M/F seit 2025</t>
  </si>
  <si>
    <t>Übergang abgeschlossen; zuvor stufenweise +3 Monate/Jahr. (Eläketurvakeskus)</t>
  </si>
  <si>
    <t>Übergang abgeschlossen: Männer und Frauen wurden stufenweise auf 65 angehoben. (Eläketurvakeskus)</t>
  </si>
  <si>
    <t>65 M/F</t>
  </si>
  <si>
    <t>Nein; Sonderzugänge mit 57/60 bei langer Versicherungszeit. (Eläketurvakeskus)</t>
  </si>
  <si>
    <t>65 M/F für ab 1962 Geborene; frühere Kohorten niedriger</t>
  </si>
  <si>
    <t>Ja. 62 für Jahrgänge 1952–1955, 63 für 1956–1958, 64 für 1959–1961, 65 ab 1962. (Social Security)</t>
  </si>
  <si>
    <t>AOW: 67 M/F bis 2027; 67 J. 3 M. ab 2028</t>
  </si>
  <si>
    <t>Ja. AOW-Alter ist an die Lebenserwartung gekoppelt und wird mehrere Jahre im Voraus festgelegt.</t>
  </si>
  <si>
    <t>Ja, weil das AOW-Alter nach Geburtsdatum/Stichtag bestimmt wird. (Eläketurvakeskus)</t>
  </si>
  <si>
    <t>M 65; F stufenweise von 60 auf 65</t>
  </si>
  <si>
    <t>Ja. Frauenaltersgrenze steigt seit 2024 um 6 Monate pro Jahrgang/Periode bis 65 im Jahr 2033. (Eläketurvakeskus)</t>
  </si>
  <si>
    <t>M 65; F 60</t>
  </si>
  <si>
    <t>Nein; frühere Anhebung wurde 2017 aufgehoben. (Eläketurvakeskus)</t>
  </si>
  <si>
    <t>2026: 66 J. 9 M.; 2027: 66 J. 11 M.</t>
  </si>
  <si>
    <t>Ja. Die Normalaltersgrenze hängt von der Lebenserwartung im Alter 65 ab; etwa zwei Drittel der Lebenserwartungsgewinne fließen ein.</t>
  </si>
  <si>
    <t>Nicht primär nach Geburtsjahr, sondern jährlich nach festgelegter Normalaltersgrenze; faktisch kohortenwirksam. (cga.pt)</t>
  </si>
  <si>
    <t>M 65; F stufenweise auf 65 bis 2035</t>
  </si>
  <si>
    <t>Ja, nach 2035 Anhebung in Relation zur Lebenserwartung vorgesehen.</t>
  </si>
  <si>
    <t>Ja. Frauenaltersgrenze steigt stufenweise; 65 für M/F ab 2035. (Economy and Finance)</t>
  </si>
  <si>
    <t>Einkommensrente flexibel; Garantierente derzeit 66, künftig 67</t>
  </si>
  <si>
    <t>Ja. Referenzalter/„target age“ wird an Lebenserwartung gekoppelt.</t>
  </si>
  <si>
    <t>Ja, da Mindest- und Referenzalter nach Kohorten bzw. Zugangsjahren angehoben werden. (Eläketurvakeskus)</t>
  </si>
  <si>
    <t>Übergang zu 64; Kinder können Altersgrenze mindern</t>
  </si>
  <si>
    <t>Ja. Für ab 1967 Geborene automatische Anpassung an unisex-Lebenserwartung nach Formel.</t>
  </si>
  <si>
    <t>Ja. Bis Jahrgang 1966 Tabellen-/Übergangsrecht; ab Jahrgang 1967 Lebenserwartungsmechanismus, mit Kinderabschlägen. (Economy and Finance)</t>
  </si>
  <si>
    <t>Derzeit 65 M/F; Reform: 67 bis 2035</t>
  </si>
  <si>
    <t>Ja. Reform 2025: Anhebung von 65 auf 67 zwischen 2028 und 2035; Altersgrenze mit 40 Beitragsjahren von 60 auf 62. (OECD)</t>
  </si>
  <si>
    <t>2026: 65 bei ≥38 J. 3 M. Beiträgen; sonst 66 J. 10 M.; ab 2027 65 bei ≥38 J. 6 M., sonst 67</t>
  </si>
  <si>
    <t>Ja. Übergang 2013–2027; hängt zugleich von Kalenderjahr und Beitragsdauer ab. (seg-social.es)</t>
  </si>
  <si>
    <t>Stufenweise Anhebung; perspektivisch 67 bis 2056</t>
  </si>
  <si>
    <t>Kein automatischer Lebenserwartungsmechanismus; Reform setzt Altersgrenze gesetzlich stufenweise hoch.</t>
  </si>
  <si>
    <t>Ja. Altersgrenze steigt nach Geburtsjahr; frühere Frauen-/Kinderregelungen werden auslaufend angeglichen. (Tschechisches Außenministerium)</t>
  </si>
  <si>
    <t>Nein, Regelaltersgrenze einheitlich; Frauen können bei 40 Versicherungsjahren unabhängig vom Alter früher gehen. (Eläketurvakeskus)</t>
  </si>
  <si>
    <t>65 M/F; unter Bedingungen Zugang ab 63</t>
  </si>
  <si>
    <t>Ja. Altersgrenze wird nach ETK anhand von Lebenserwartungsänderungen bestimmt.</t>
  </si>
  <si>
    <t>Keine feste Geburtsjahrgangstabelle; künftige Anpassungen über Lebenserwartung. (Eläketurvakeskus)</t>
  </si>
  <si>
    <t>AHV-Regelalter 65 M/F</t>
  </si>
  <si>
    <t>Im Wesentlichen nein für aktuelle Kohorten; ältere Übergangskohorten hatten 64. (European Commission)</t>
  </si>
  <si>
    <t>Standardalter 67; flexible Altersrente 62–75 bei ausreichenden Ansprüchen</t>
  </si>
  <si>
    <t>Altersgrenze nicht klassisch automatisch wie in DK/NL; Rentenhöhe wird aber stark über Lebenserwartungs-/Teilungsfaktoren beeinflusst.</t>
  </si>
  <si>
    <t>Grundsätzlich flexibles System, nicht primär feste Geburtsjahrgangsgrenze; vorzeitiger Bezug vor 67 nur bei ausreichender Anwartschaft. (nav.no)</t>
  </si>
  <si>
    <t>AHV-Referenzalter 65 M; Frauen im Übergang 2026: 64 J. 6 M.; ab 2028 65</t>
  </si>
  <si>
    <t>Ja. Frauen-Jahrgänge 1961–1964 werden stufenweise von 64 auf 65 angehoben. (AHV IV)</t>
  </si>
  <si>
    <t>State Pension Age derzeit 66; Anhebung auf 67 zwischen 2026–2028; 68 zwischen 2044–2046</t>
  </si>
  <si>
    <t>Keine automatische Kopplung, aber gesetzliche Überprüfung mindestens alle 5 Jahre unter Berücksichtigung der Lebenserwartung.</t>
  </si>
  <si>
    <t>Ja. State Pension Age richtet sich nach Geburtsdatum; Übergänge 66→67 und 67→68 sind kohortenwirksam. (GOV.UK)</t>
  </si>
  <si>
    <t>OAS: 65, aufschiebbar bis 70; CPP: flexibel 60–70, unreduziert typischerweise 65</t>
  </si>
  <si>
    <t>Nein; Wahlkorridor, keine aktuelle Geburtsjahrgangsanhebung. (Canada)</t>
  </si>
  <si>
    <t>Age Pension: 67 M/F</t>
  </si>
  <si>
    <t>Nein; amtlich keine weiteren Anhebungspläne</t>
  </si>
  <si>
    <t>Nur historisch: stufenweise Anhebung ist abgeschlossen; für aktuelle künftige Rentner praktisch 67. (Services Australia)</t>
  </si>
  <si>
    <t>NZ Super: 65 M/F</t>
  </si>
  <si>
    <t>Rentenalter nein; allerdings steigen die Wohnsitzvoraussetzungen nach Geburtsdatum für Personen, die ab 1.7.2024 65 werden. (workandincome.govt.nz)</t>
  </si>
  <si>
    <t>AUS</t>
  </si>
  <si>
    <t>CND</t>
  </si>
  <si>
    <t>NZ</t>
  </si>
  <si>
    <t>Europa</t>
  </si>
  <si>
    <t>K_Text12</t>
  </si>
  <si>
    <t>K_Text13</t>
  </si>
  <si>
    <t>K_text14</t>
  </si>
  <si>
    <t>1.a. Festes Renteneintrittsalter – Männer/Frauen</t>
  </si>
  <si>
    <t>1.b. Abhängig von Lebenserwartung?</t>
  </si>
  <si>
    <t>1.c. Abhängigkeit vom Geburtsjahrgang / Übergangsregelung</t>
  </si>
  <si>
    <r>
      <t xml:space="preserve">Sprung zum Land Ihrer Wahl
</t>
    </r>
    <r>
      <rPr>
        <sz val="11"/>
        <color theme="1"/>
        <rFont val="Calibri"/>
        <family val="2"/>
      </rPr>
      <t>ausführliche EU- Doku</t>
    </r>
  </si>
  <si>
    <r>
      <t>*= Rentenhöhe EzE x (1 + Anwartschaftsdynamik)</t>
    </r>
    <r>
      <rPr>
        <b/>
        <vertAlign val="superscript"/>
        <sz val="12"/>
        <color theme="0"/>
        <rFont val="Calibri"/>
        <family val="2"/>
      </rPr>
      <t xml:space="preserve">Anwartschaftzeit EzE bis Renteneintritt </t>
    </r>
    <r>
      <rPr>
        <b/>
        <sz val="12"/>
        <color theme="0"/>
        <rFont val="Calibri"/>
        <family val="2"/>
      </rPr>
      <t>x (1 + Leistungsdynamik)</t>
    </r>
    <r>
      <rPr>
        <b/>
        <vertAlign val="superscript"/>
        <sz val="12"/>
        <color theme="0"/>
        <rFont val="Calibri"/>
        <family val="2"/>
      </rPr>
      <t>Leistungszeit EzE bis Berechnungszeitpunkt</t>
    </r>
  </si>
  <si>
    <r>
      <t>CAGR</t>
    </r>
    <r>
      <rPr>
        <b/>
        <sz val="12"/>
        <color rgb="FF000000"/>
        <rFont val="Arial"/>
        <family val="2"/>
      </rPr>
      <t>Ø</t>
    </r>
    <r>
      <rPr>
        <b/>
        <sz val="12"/>
        <color rgb="FF000000"/>
        <rFont val="Calibri"/>
        <family val="2"/>
      </rPr>
      <t xml:space="preserve"> 5 Jahre</t>
    </r>
  </si>
  <si>
    <t>CAGR Ø 10 Jahre</t>
  </si>
  <si>
    <t>AusglPfl</t>
  </si>
  <si>
    <t>AusglBer</t>
  </si>
  <si>
    <t>Geburtstag</t>
  </si>
  <si>
    <t>Berechnunsdatum</t>
  </si>
  <si>
    <t>Leistungezeit ab ReAlter</t>
  </si>
  <si>
    <t>Leistungszeit ab sVA-Fälligkeit</t>
  </si>
  <si>
    <t>Alter bei beidseitiger Rente</t>
  </si>
  <si>
    <t>Einsatz sVA-Rente</t>
  </si>
  <si>
    <t>anzunehmende Leistungezeit</t>
  </si>
  <si>
    <t>sVA-Anspruch</t>
  </si>
  <si>
    <t>AnwDyn</t>
  </si>
  <si>
    <t>Leistungsdynamik</t>
  </si>
  <si>
    <t>sVA bei Renteneintritt</t>
  </si>
  <si>
    <t>Aanwartschaftszeit</t>
  </si>
  <si>
    <t>sVA bei Fälligkeit</t>
  </si>
  <si>
    <t>Barwert bei Fälligkeit</t>
  </si>
  <si>
    <t>Rechnungszins</t>
  </si>
  <si>
    <t>Zahl der Überlebenden Fälligkeit</t>
  </si>
  <si>
    <t>Zahl der Überlebenden BerDat</t>
  </si>
  <si>
    <t>VVR Ausglpfl.</t>
  </si>
  <si>
    <t>Summe sVA Rentenzahlungen</t>
  </si>
  <si>
    <t>Umrechnungsfaktor DRV</t>
  </si>
  <si>
    <t>Rentenerwerb DRV</t>
  </si>
  <si>
    <t>Rentenerwerb im Berechnungszeitpukt</t>
  </si>
  <si>
    <t>Rente bei  Renteneintritt</t>
  </si>
  <si>
    <t>Summe der DRV-Rentenzahlungen</t>
  </si>
  <si>
    <t>Auf Berdat abgezinster BW</t>
  </si>
  <si>
    <t>Günstigkeitsprüfung</t>
  </si>
  <si>
    <t>Günstigkeitsprüfung sVA</t>
  </si>
  <si>
    <r>
      <t>Alter bei Fälligkeit</t>
    </r>
    <r>
      <rPr>
        <sz val="11"/>
        <color rgb="FF000000"/>
        <rFont val="Segoe UI Symbol"/>
        <family val="2"/>
      </rPr>
      <t>⏵</t>
    </r>
  </si>
  <si>
    <t>Frankreich (Mutterland)</t>
  </si>
  <si>
    <t>United Kingdom</t>
  </si>
  <si>
    <t>:</t>
  </si>
  <si>
    <t>Deutschland einschließlich ehemalige DDR</t>
  </si>
  <si>
    <t>Europäische Freihandelsassoziation</t>
  </si>
  <si>
    <t>Europäische Union - 27 Länder (2007-2013)</t>
  </si>
  <si>
    <t>Europäische Union - 27 Länder (ab 2020)</t>
  </si>
  <si>
    <t>Europäische Union - 28 Länder (2013-2020)</t>
  </si>
  <si>
    <t>Europäischer Wirtschaftsraum (EWR) (EU27 - 2007-2013 und IS, LI, NO)</t>
  </si>
  <si>
    <t>Europäischer Wirtschaftsraum (EWR) (EU28 - 2013-2020 und IS, LI, NO)</t>
  </si>
  <si>
    <t>Euroraum - 19 Länder (2015-2022)</t>
  </si>
  <si>
    <t>Euroraum - 20 Länder (2023-2025)</t>
  </si>
  <si>
    <t>Kosovo*</t>
  </si>
  <si>
    <t>San Marino</t>
  </si>
  <si>
    <t>https://ec.europa.eu/eurostat/databrowser/view/demo_mlexpec__custom_21934585/default/table</t>
  </si>
  <si>
    <t>Landestypische Sterbetafel</t>
  </si>
  <si>
    <t>BillMoG-7</t>
  </si>
  <si>
    <t>BilMog-10</t>
  </si>
  <si>
    <t>Tabelle der jährlichen Verbraucherpreis-Inflationsraten der 27 EU-Staaten für 2015–2024. Werte in %, auf eine Nachkommastelle gerundet. Datengrundlage ist World Bank / World Development Indicators via FRED: jährliche Inflationsrate der Verbraucherpreise, Einheit „Percent“, vollständige Länderreihen bis 2024. Die FRED-Definition beschreibt die Kennzahl als jährliche prozentuale Veränderung der Kosten eines Waren- und Dienstleistungskorbs für Verbraucher. (FRED)</t>
  </si>
  <si>
    <t>RechnungszinsÄnderung</t>
  </si>
  <si>
    <t xml:space="preserve">        Berücksichtigung</t>
  </si>
  <si>
    <t xml:space="preserve">      pauschaler Sozialabgabenabschlag in %</t>
  </si>
  <si>
    <t xml:space="preserve">      pauschaler Steuerabschlag in %</t>
  </si>
  <si>
    <r>
      <t xml:space="preserve">Lebenserwartungsabweichung zu Deutschland </t>
    </r>
    <r>
      <rPr>
        <b/>
        <sz val="11"/>
        <color rgb="FF000000"/>
        <rFont val="Calibri"/>
        <family val="2"/>
      </rPr>
      <t>ausglpfl .Person</t>
    </r>
  </si>
  <si>
    <t>Die OAS hängt nicht von Beitragszahlungen ab, sondern von Alter, Status als kanadischer Staatsangehöriger oder legal resident und der Wohnsitzdauer nach Vollendung des 18. Lebensjahres. Für eine Teilrente sind regelmäßig mindestens 10 Jahre residence nach 18 erforderlich; die volle OAS setzt grundsätzlich 40 Jahre residence nach 18 voraus.
Der CPP ist dagegen beitragsbezogen: Wer außerhalb Québecs in Kanada arbeitet, über 18 ist und mehr als den Grundfreibetrag von 3.500 CAD verdient, muss grundsätzlich Beiträge leisten; Arbeitgeber und Arbeitnehmer tragen die Beiträge paritätisch. Für 2026 wird eine CPP-Beitragsrate von insgesamt 11,9 %, hälftig auf Arbeitgeber und Arbeitnehmer verteilt, bis zur Beitragsbemessungsgrenze genannt.</t>
  </si>
  <si>
    <t>Die OAS hängt nicht von Beitragszahlungen ab, sondern von Alter, Status als kanadischer Staatsangehöriger oder legal resident und der Wohnsitzdauer nach Vollendung des 18. Lebensjahres. Für eine Teilrente sind regelmäßig mindestens 10 Jahre residence nach 18 erforderlich; die volle OAS setzt grundsätzlich 40 Jahre residence nach 18 voraus.</t>
  </si>
  <si>
    <t>Der CPP ist dagegen beitragsbezogen: Wer außerhalb Québecs in Kanada arbeitet, über 18 ist und mehr als den Grundfreibetrag von 3.500 CAD verdient, muss grundsätzlich Beiträge leisten; Arbeitgeber und Arbeitnehmer tragen die Beiträge paritätisch. Für 2026 wird eine CPP-Beitragsrate von insgesamt 11,9 %, hälftig auf Arbeitgeber und Arbeitnehmer verteilt, bis zur Beitragsbemessungsgrenze genannt.</t>
  </si>
  <si>
    <t>OAS-Leistungen werden vierteljährlich angepasst. CPP-Leistungen werden jährlich zum Januar anhand des Verbraucherpreisindex angepasst. In der Anwartschaftsphase ist beim CPP die spätere Leistung an die beitragspflichtigen Verdienste und Beitragsjahre gebunden; die Beitragsbemessungsgrößen werden jährlich fortgeschrieben.</t>
  </si>
  <si>
    <t xml:space="preserve">Der CPP kennt eine Disability Pension. Sie besteht aus einem festen Monatsbetrag und einem einkommensbezogenen Anteil von 75 % der errechneten CPP-Retirement-Pension; sie endet grundsätzlich mit 65 bzw. wird dann durch die CPP-Altersrente ersetzt.
Der CPP kennt außerdem eine Survivor’s Pension für überlebende Ehegatten bzw. common-law partners. Bei Überlebenden ab 65 beträgt sie grundsätzlich 60 % der CPP-Rente des verstorbenen Beitragszahlers; unter 65 besteht sie aus einem Festbetrag plus 37,5 % der Rente des Verstorbenen.
</t>
  </si>
  <si>
    <t>Eine geschiedene frühere Ehegattenperson erhält nach CPP-Systematik nicht schon wegen der früheren Ehe eine Survivor’s Pension; relevant ist bei Scheidung vielmehr das CPP credit splitting. Eine getrennt lebende, aber noch rechtlich verheiratete Person kann dagegen unter bestimmten Voraussetzungen anspruchsberechtigt sein, insbesondere wenn keine common-law partner-Person des Verstorbenen vorrangig ist.</t>
  </si>
  <si>
    <t>Der CPP kennt eine Disability Pension. Sie besteht aus einem festen Monatsbetrag und einem einkommensbezogenen Anteil von 75 % der errechneten CPP-Retirement-Pension; sie endet grundsätzlich mit 65 bzw. wird dann durch die CPP-Altersrente ersetzt.
Der CPP kennt außerdem eine Survivor’s Pension für überlebende Ehegatten bzw. common-law partners. Bei Überlebenden ab 65 beträgt sie grundsätzlich 60 % der CPP-Rente des verstorbenen Beitragszahlers; unter 65 besteht sie aus einem Festbetrag plus 37,5 % der Rente des Verstorbenen.</t>
  </si>
  <si>
    <t>OAS und CPP sind steuerpflichtiges Einkommen. Die OAS unterliegt zusätzlich einer einkommensabhängigen Rückforderung, dem OAS recovery tax, bei höheren Einkommen. Auf Rentenzahlungen selbst fallen grundsätzlich keine CPP-Beiträge an; wer während des Bezugs einer CPP-Rente weiter arbeitet, kann je nach Alter weiter beitragspflichtig sein bzw. ab 65 bis 70 die Beitragszahlung abwählen.</t>
  </si>
  <si>
    <t>s.o.</t>
  </si>
  <si>
    <t>Canadian Retirement Income Calculator - Canada.ca</t>
  </si>
  <si>
    <t>https://www.canada.ca/en/services/benefits/publicpensions/cpp/retirement-income-calculator.html?utm_source=chatgpt.com</t>
  </si>
  <si>
    <t>Daneben besteht die Superannuation Guarantee: Arbeitgeber müssen seit 1. Juli 2025 grundsätzlich 12 % der ordinary time earnings in ein Superannuation-Konto einzahlen. Dieses System ist kapitalgedeckt und für die wirtschaftliche Altersversorgung wichtig, aber nicht identisch mit der staatlichen Age Pension.</t>
  </si>
  <si>
    <t>In der Leistungsphase werden die Rentensätze regelmäßig angepasst; die australische Grundpension wird u.a. an Preisindizes und an den Lohnmaßstab MTAWE angebunden, wobei der Einzelsatz über den gesetzlichen Benchmark an den männlichen Durchschnittswochenverdienst gekoppelt ist.</t>
  </si>
  <si>
    <t xml:space="preserve">In der Anwartschaftsphase gibt es bei der Age Pension keine beitragsbezogene Anwartschaftsdynamik. </t>
  </si>
  <si>
    <t xml:space="preserve">Australien kennt eine Disability Support Pension, DSP als eigenständige, bedürftigkeitsgeprüfte Leistung bei Erwerbsunfähigkeit/Behinderung; sie ist keine prozentuale Quote der Age Pension. Die Höhe hängt von Alter, Lebenssituation, Einkommen und Vermögen ab; ab Erreichen des Age-Pension-Alters kann ein Wechsel in die Age Pension erfolgen.
</t>
  </si>
  <si>
    <t>Eine allgemeine, lebenslange Hinterbliebenenrente als Quote der Altersrente besteht in der Age Pension nicht. Beim Tod eines Partners wird die Leistung des Überlebenden neu nach den Single-Regeln bemessen; besondere Bereavement-/Pension-Bonus-Regelungen sind eng begrenzt, und frühere Widow-/Bereavement-Leistungen sind für Neuzugänge entfallen. Eine Geschiedenenhinterbliebenenversorgung aus der staatlichen Age Pension besteht nicht.</t>
  </si>
  <si>
    <t>Eine Geschiedenenhinterbliebenenversorgung aus der staatlichen Age Pension besteht nicht.</t>
  </si>
  <si>
    <t>Die Age Pension ist in Australien grundsätzlich steuerpflichtiges Einkommen; durch Pensioner-/Senioren-Steuervergünstigungen kann die faktische Steuerlast jedoch niedrig oder null sein.</t>
  </si>
  <si>
    <t>Zusätzlich gibt es den Medicare Levy von grundsätzlich 2 % des taxable income, mit Einkommensgrenzen, Reduktionen und Ausnahmen. Klassische Sozialversicherungsbeiträge auf Rentenleistungen wie in Deutschland gibt es nicht; Australien finanziert die Age Pension steuerfinanziert.</t>
  </si>
  <si>
    <t>Daneben besteht KiwiSaver als gesetzlich reguliertes Altersvorsorgesystem: Arbeitnehmer können z.B. 3,5 %, 4 %, 6 %, 8 % oder 10 % des Entgelts beitragen; Arbeitgeber leisten für Mitglieder grundsätzlich einen Mindestbeitrag, der ab 1. April 2026 mit 3,5 % angegeben wird. KiwiSaver begründet aber nicht den Anspruch auf NZ Super.</t>
  </si>
  <si>
    <t>NZ Super ist keine beitragsbezogene Rente, sondern eine steuerfinanzierte, wohnsitzbezogene Grundversorgung. Für Personen, die 2026 im Jahrgang 1976 geboren sind, verlangt die Übergangsregel grundsätzlich 19 Jahre residence nach Vollendung des 20. Lebensjahres, darunter weiterhin mindestens 5 Jahre nach Vollendung des 50. Lebensjahres; außerdem müssen Alter 65, Staatsangehörigkeit/permanent residence bzw. residence class visa und gewöhnlicher Aufenthalt in Neuseeland, Cook Islands, Niue oder Tokelau bei Antragstellung erfüllt sein.</t>
  </si>
  <si>
    <t xml:space="preserve">In der Anwartschaftsphase gibt es bei NZ Super keine beitragsbezogene Anwartschaftsdynamik; entscheidend ist die Wohnsitzqualifikation. </t>
  </si>
  <si>
    <t>In der Leistungsphase werden die Netto-Sätze jährlich angepasst: Die gesetzliche Anpassung berücksichtigt den Verbraucherpreisindex und stellt sicher, dass der Netto-Satz für ein verheiratetes Paar innerhalb der gesetzlichen Relation zum Netto-Durchschnittslohn bleibt, insbesondere nicht unter 66 % fällt.</t>
  </si>
  <si>
    <t xml:space="preserve">NZ Super enthält keine Invaliditätsrente als Quote der Altersrente. Bei Erwerbsunfähigkeit oder erheblicher gesundheitlicher Einschränkung kommt stattdessen die Supported Living Payment als eigenständige Sozialleistung in Betracht; eine feste prozentuale Relation zu NZ Super besteht nicht.
</t>
  </si>
  <si>
    <t>Eine allgemeine Hinterbliebenenrente aus NZ Super als Quote der Altersrente besteht ebenfalls nicht. Stirbt der Partner, wird die eigene NZ-Super-Zahlung gegebenenfalls auf den Single-Satz umgestellt; daneben kommen zeitlich begrenzte Zahlungen nach dem Tod oder ein Funeral Grant in Betracht. E</t>
  </si>
  <si>
    <t>ine Geschiedenenhinterbliebenenversorgung aus NZ Super besteht nicht.</t>
  </si>
  <si>
    <t>NZ Super ist steuerpflichtig; die Steuer wird über den zuständigen tax code durch Ministry of Social Development/Work and Income einbehalten. Neuseeland kennt keine klassischen Sozialversicherungsbeiträge in staatliche Rentenversicherungssysteme; ACC-Levies betreffen Erwerbseinkommen, nicht typischerweise die NZ-Super-Leistung selbst.</t>
  </si>
  <si>
    <t xml:space="preserve"> Neuseeland kennt keine klassischen Sozialversicherungsbeiträge in staatliche Rentenversicherungssysteme; ACC-Levies betreffen Erwerbseinkommen, nicht typischerweise die NZ-Super-Leistung selbst.</t>
  </si>
  <si>
    <t>Weitere Informationen</t>
  </si>
  <si>
    <r>
      <t>New State Pension</t>
    </r>
    <r>
      <rPr>
        <sz val="11"/>
        <color rgb="FF000000"/>
        <rFont val="Calibri"/>
        <family val="2"/>
      </rPr>
      <t xml:space="preserve">: beitragsbezogene staatliche Rente auf Basis des </t>
    </r>
    <r>
      <rPr>
        <b/>
        <sz val="11"/>
        <color rgb="FF000000"/>
        <rFont val="Calibri"/>
        <family val="2"/>
      </rPr>
      <t>National-Insurance-Records</t>
    </r>
    <r>
      <rPr>
        <sz val="11"/>
        <color rgb="FF000000"/>
        <rFont val="Calibri"/>
        <family val="2"/>
      </rPr>
      <t>; für die neue State Pension sind regelmäßig mindestens 10 Qualifying Years erforderlich. Finanzierung im Kern umlage-/steuerähnlich über National Insurance bzw. National Insurance Fund; Homepage: GOV.UK „New State Pension“.</t>
    </r>
  </si>
  <si>
    <r>
      <t>Workplace pensions</t>
    </r>
    <r>
      <rPr>
        <sz val="11"/>
        <color rgb="FF000000"/>
        <rFont val="Calibri"/>
        <family val="2"/>
      </rPr>
      <t xml:space="preserve">: Arbeitgeber müssen eine betriebliche Altersversorgung anbieten; für berechtigte Arbeitnehmer gilt </t>
    </r>
    <r>
      <rPr>
        <b/>
        <sz val="11"/>
        <color rgb="FF000000"/>
        <rFont val="Calibri"/>
        <family val="2"/>
      </rPr>
      <t>automatic enrolment</t>
    </r>
    <r>
      <rPr>
        <sz val="11"/>
        <color rgb="FF000000"/>
        <rFont val="Calibri"/>
        <family val="2"/>
      </rPr>
      <t>. In Auto-enrolment-DC-Systemen beträgt der Mindestbeitrag typischerweise 8 %: 3 % Arbeitgeber, 5 % Arbeitnehmer.</t>
    </r>
  </si>
  <si>
    <r>
      <t>Personal pensions</t>
    </r>
    <r>
      <rPr>
        <sz val="11"/>
        <color rgb="FF000000"/>
        <rFont val="Calibri"/>
        <family val="2"/>
      </rPr>
      <t>, Stakeholder Pensions, SIPPs; kapitalgedeckt, regelmäßig DC-orientiert, abhängig von Beiträgen und Kapitalanlageerfolg</t>
    </r>
  </si>
  <si>
    <t>The new State Pension: Eligibility - GOV.UK</t>
  </si>
  <si>
    <t>https://www.canada.ca/en/employment-social-development/corporate/reports/esdc-transition-binders/binder2-seniors-retirement-2021.html</t>
  </si>
  <si>
    <t xml:space="preserve">Employer pension plans / RPPs: freiwillige arbeitgeber- oder gewerkschaftsbasierte Pläne, als DB- oder DC-Pläne; Beiträge regelmäßig durch Arbeitgeber und/oder Arbeitnehmer. </t>
  </si>
  <si>
    <t>RRSPs, TFSAs, persönliche Anlagen; RRSPs sind steuerlich registrierte private Altersvorsorgepläne mit Steuerstundung.</t>
  </si>
  <si>
    <t>https://www.servicesaustralia.gov.au/age-pension</t>
  </si>
  <si>
    <t>Superannuation Guarantee: obligatorische Arbeitgeberbeiträge in kapitalgedeckte Superannuation-Fonds; die drei Säulen des Systems werden offiziell als means-tested Age Pension, compulsory superannuation und voluntary savings beschrieben. Der SG-Satz beträgt seit 1. Juli 2025 12 %.</t>
  </si>
  <si>
    <t>Voluntary savings, insbesondere freiwillige zusätzliche Super-Beiträge, sonstige Ersparnisse, Investments und häufig Wohneigentum</t>
  </si>
  <si>
    <r>
      <t>New Zealand Superannuation / NZ Super</t>
    </r>
    <r>
      <rPr>
        <sz val="11"/>
        <color rgb="FF000000"/>
        <rFont val="Calibri"/>
        <family val="2"/>
      </rPr>
      <t>: staatliche, wohnsitzbezogene Altersleistung ab 65; keine klassische Beitragsrente. Erforderlich sind u.a. Staatsangehörigkeit/permanenter Aufenthaltsstatus/residence class visa und gestaffelte Wohnsitzzeiten; Homepage: Work and Income „NZ Super“.</t>
    </r>
  </si>
  <si>
    <t>https://www.workandincome.govt.nz/eligibility/seniors/superannuation/who-can-get-it/index.html</t>
  </si>
  <si>
    <t>KiwiSaver: freiwilliges, aber mit Auto-Enrolment für viele neue Arbeitnehmer ausgestaltetes kapitalgedecktes System; Arbeitnehmer können u.a. 3,5 %, 4 %, 6 %, 8 % oder 10 % beitragen; Arbeitgeberbeitrag mindestens 3,5 %, soweit die Voraussetzungen erfüllt sind.</t>
  </si>
  <si>
    <t>Zusätzliche KiwiSaver-Eigenbeiträge, sonstige private Ersparnisse und Investments; staatlicher Zuschuss zur KiwiSaver-Eigenvorsorge ist möglich.</t>
  </si>
  <si>
    <r>
      <t xml:space="preserve">Mischsystem: relativ starke öffentliche Grund- und Beitragsrente, daneben freiwillige betriebliche und steuerlich geförderte private Vorsorge. Staatliche Ebene umfasst praktisch zwei öffentliche Elemente: </t>
    </r>
    <r>
      <rPr>
        <b/>
        <sz val="11"/>
        <color rgb="FF000000"/>
        <rFont val="Calibri"/>
        <family val="2"/>
      </rPr>
      <t>OAS/GIS</t>
    </r>
    <r>
      <rPr>
        <sz val="11"/>
        <color rgb="FF000000"/>
        <rFont val="Calibri"/>
        <family val="2"/>
      </rPr>
      <t xml:space="preserve"> als wohnsitzbezogene, nicht beitragsfinanzierte Basisleistung aus allgemeinen Steuermitteln sowie </t>
    </r>
    <r>
      <rPr>
        <b/>
        <sz val="11"/>
        <color rgb="FF000000"/>
        <rFont val="Calibri"/>
        <family val="2"/>
      </rPr>
      <t>CPP/QPP</t>
    </r>
    <r>
      <rPr>
        <sz val="11"/>
        <color rgb="FF000000"/>
        <rFont val="Calibri"/>
        <family val="2"/>
      </rPr>
      <t xml:space="preserve"> als beitragsfinanzierte, einkommensbezogene öffentliche Rente für Erwerbstätige; Homepages: Canada.ca „Old Age Security“ und „Canada Pension Plan“.</t>
    </r>
  </si>
  <si>
    <r>
      <t>Sehr kapitalgedecktes System. Age Pension</t>
    </r>
    <r>
      <rPr>
        <sz val="11"/>
        <color rgb="FF000000"/>
        <rFont val="Calibri"/>
        <family val="2"/>
      </rPr>
      <t>: bedürftigkeitsgeprüfte staatliche Altersleistung, nicht beitragsbezogen; Anspruch u.a. ab 67, Wohnsitzvoraussetzungen sowie Einkommen-/Vermögenstest. Homepage: Services Australia „Age Pension“.</t>
    </r>
  </si>
  <si>
    <t>„Triple Lock“: Erhöhung nach dem höchsten Wert aus Durchschnittsverdienst, Preisindex oder 2,5 %-Mindestwert.</t>
  </si>
  <si>
    <t>Kanada OAS*</t>
  </si>
  <si>
    <t>* Kanada OAS: Die Old Age Security wird quartalsweise geprüft und bei gestiegenem CPI erhöht; die Tabelle verwendet zur Vergleichbarkeit den Jan.–März-Höchstbetrag gegenüber dem Jan.–März-Höchstbetrag des Vorjahres. Die OAS wird nicht abgesenkt, wenn der CPI fällt.</t>
  </si>
  <si>
    <t>Berechnet aus der amtlichen Maximum Basic Rate, single, per annum jeweils zum 20. März gegenüber 20. März des Vorjahres; tatsächlich wird die Age Pension zusätzlich regelmäßig auch zum 20. September angepasst. Die amtliche Methodik sieht CPI/PBLCI-Indexierung und Benchmarking an Lohnentwicklungen vor.</t>
  </si>
  <si>
    <t>Berechnet aus dem amtlichen Bruttowochenbetrag NZ Super, single living alone, jeweils zum 1. April gegenüber 1. April des Vorjahres. NZ Super wird jährlich zum 1. April angepasst, um die Entwicklung des Durchschnittslohns abzubilden.</t>
  </si>
  <si>
    <t>Für Großbritannien beruhen die Werte 2015–2025 auf der DWP-Statistik zur State Pension; dort wird der Triple-Lock-Mechanismus als Erhöhung nach dem höchsten Wert aus Verdienstentwicklung, Inflation oder 2,5 % beschrieben. Für 2015–2020 weist die Tabelle u.a. 2,5 %, 2,9 %, 2,5 %, 3,0 %, 2,6 % und 3,9 % aus; für 2023–2025 werden 10,1 %, 8,5 % und 4,1 % genannt. Für 2026/27 ist die Erhöhung der State Pension um 4,8 % veröffentlicht</t>
  </si>
  <si>
    <t>Für Kanada CPP verwendet Canada.ca eine jährliche CPI-Anpassung; für 2026 wird z.B. ausdrücklich eine Erhöhung um 2,0 % genannt. Die historischen CPP-Indexierungsraten sind in den amtlichen Canada.ca-Quartalsberichten enthalten, etwa 2015 mit 1,8 %, 2023 mit 6,5 %, 2024 mit 4,4 %, 2025 mit 2,6 % und 2026 mit 2,0 %.</t>
  </si>
  <si>
    <t>Für Australien habe ich die jährliche Veränderung aus den amtlichen historischen DSS-Raten berechnet. Die zugrunde gelegten Beträge für die Maximum Basic Rate, single, per annum steigen etwa von A$ 19.916,00 zum 20.3.2014 auf A$ 20.337,20 zum 20.3.2015 und bis A$ 28.607,80 zum 20.3.2026.</t>
  </si>
  <si>
    <t>Für Neuseeland habe ich die jährliche Veränderung aus den amtlichen Benefit-Rate-Summaries bzw. den aktuellen Work-and-Income-Ratentabellen berechnet. Grundlage ist der Bruttobetrag für NZ Super, single, living alone, weil Nettobeträge vom Steuer-Code abhängen. Beispiele: 2015 NZ$ 431,10 brutto wöchentlich, 2022 NZ$ 538,24, 2025 NZ$ 627,14 und 2026 NZ$ 647,37.</t>
  </si>
  <si>
    <t>Ø 10 Jahre:</t>
  </si>
  <si>
    <t>Kanada CCP: Bei Kanada ist die staatliche Rente sinnvollerweise in CPP und OAS getrennt, weil beide staatlich sind, aber unterschiedlich indexiert werden.</t>
  </si>
  <si>
    <t>Ø 5 Jahre:</t>
  </si>
  <si>
    <t>*) Die Dynamisierungswerte sind im Einzelfall konkret zu prüfen. Die hier angegebenen Werte erfassen bei Festbetrags- oder Sozialstaffelungserhöhungen in den einzelnen Ländern nur Schätzwerte. KI (ChatGPT) liefert präzise, gut verifizierbare Ergebnisse.</t>
  </si>
  <si>
    <t>benutzte KI-Prompts</t>
  </si>
  <si>
    <t>Bei der Recherche der zu diesem Programm bzw. Datenbank benutzten Daten habe ich mich der KI bedient, anders wäre es auch gar nicht möglich gewesen, die Datenmengen und Informationen zu beschaffen. Die KI-Systeme der juristischen Fachberlage konnten natürlich nicht helfen, da diese nur die dort gespeicherten Daten zur Verfügung stellen können. Im wesentlichen habe ich MS-Pilot und ChatGPT (pro) genutzt. Die dabei eingesetzten Prompts teile ich wie folgt mit:</t>
  </si>
  <si>
    <t>Programmteil</t>
  </si>
  <si>
    <t>Kurzübersicht:</t>
  </si>
  <si>
    <t>Rentendynamik</t>
  </si>
  <si>
    <t>Inflationsdaten</t>
  </si>
  <si>
    <t>Erstelle eine Tabelle übr die Inflationsraten der 27 EU-Staaten auf der Basis der Verbrauerpreisentwicklung aus den letzten 10 Jahren</t>
  </si>
  <si>
    <t>Doppelbesteuerungs-Abkommen (DBA)</t>
  </si>
  <si>
    <t>Erstelle bitte eine Liste der europäischen Länder, mit denen Deutschland Doppelbesteuerungsabkommen hat und ggfls. verlinke die Fundstelle.</t>
  </si>
  <si>
    <t>Erstelle eine tabellarische Aufstellung über die Zuständigkeiten der einzelnen Regionalträger der DRV für Kontakte zu ausländischen Versorgungen</t>
  </si>
  <si>
    <t>DRV-Verbindungsstellen</t>
  </si>
  <si>
    <t>Regionalanstalt</t>
  </si>
  <si>
    <t>Adresse</t>
  </si>
  <si>
    <t>E-Mail</t>
  </si>
  <si>
    <t>Telefonnr.</t>
  </si>
  <si>
    <t>DRV Rheinland-Pfalz</t>
  </si>
  <si>
    <t>Eichendorffstraße 4–6, 67346 Speyer</t>
  </si>
  <si>
    <t>service@drv-rlp.de</t>
  </si>
  <si>
    <t>06232 17-0</t>
  </si>
  <si>
    <t>DRV Oldenburg-Bremen</t>
  </si>
  <si>
    <t>Huntestraße 11, 26135 Oldenburg; Post: 26112 Oldenburg</t>
  </si>
  <si>
    <t>australien@drv-oldenburg-bremen.de</t>
  </si>
  <si>
    <t>+49 421 3407-0; allgemein: 0441 927-0</t>
  </si>
  <si>
    <t>DRV Rheinland</t>
  </si>
  <si>
    <t>Königsallee 71, 40215 Düsseldorf</t>
  </si>
  <si>
    <t>post@drv-rheinland.de</t>
  </si>
  <si>
    <t>0211 937-0</t>
  </si>
  <si>
    <t>DRV Bayern Süd</t>
  </si>
  <si>
    <t>Am Alten Viehmarkt 2, 84028 Landshut</t>
  </si>
  <si>
    <t>service@drv-bayernsued.de</t>
  </si>
  <si>
    <t>0871 81-0</t>
  </si>
  <si>
    <t>DRV Nordbayern</t>
  </si>
  <si>
    <t>Wittelsbacherring 11, 95444 Bayreuth</t>
  </si>
  <si>
    <t>info@drv-nordbayern.de</t>
  </si>
  <si>
    <t>0921 607-0; Beratung: 0921 607-2020</t>
  </si>
  <si>
    <t>DRV Mitteldeutschland</t>
  </si>
  <si>
    <t>Georg-Schumann-Straße 146, 04159 Leipzig</t>
  </si>
  <si>
    <t>service@drv-md.de</t>
  </si>
  <si>
    <t>0341 550-55</t>
  </si>
  <si>
    <t>DRV Nord</t>
  </si>
  <si>
    <t>Ziegelstraße 150, 23556 Lübeck</t>
  </si>
  <si>
    <t>info@drv-nord.de</t>
  </si>
  <si>
    <t>0451 485-0</t>
  </si>
  <si>
    <t>DRV Baden-Württemberg</t>
  </si>
  <si>
    <t>Gartenstraße 105, 76135 Karlsruhe</t>
  </si>
  <si>
    <t>post@drv-bw.de</t>
  </si>
  <si>
    <t>0721 825-0</t>
  </si>
  <si>
    <t>DRV Westfalen</t>
  </si>
  <si>
    <t>Gartenstraße 194, 48147 Münster; Post: 48125 Münster</t>
  </si>
  <si>
    <t>kontakt@drv-westfalen.de</t>
  </si>
  <si>
    <t>0251 238-0</t>
  </si>
  <si>
    <t>DRV Schwaben</t>
  </si>
  <si>
    <t>Dieselstraße 9, 86154 Augsburg</t>
  </si>
  <si>
    <t>info@drv-schwaben.de</t>
  </si>
  <si>
    <t>0821 500-0</t>
  </si>
  <si>
    <t>DRV Braunschweig-Hannover</t>
  </si>
  <si>
    <t>Lange Weihe 6, 30880 Laatzen</t>
  </si>
  <si>
    <t>info@drv-bsh.de</t>
  </si>
  <si>
    <t>0511 829-0</t>
  </si>
  <si>
    <t>0451 485-0; Service: 0800 1000 48022</t>
  </si>
  <si>
    <t>Republik Korea</t>
  </si>
  <si>
    <t>Republik Moldau</t>
  </si>
  <si>
    <t>DRV Berlin-Brandenburg</t>
  </si>
  <si>
    <t>Bertha-von-Suttner-Str. 1, 15236 Frankfurt (Oder); Post: 15228 Frankfurt (Oder)</t>
  </si>
  <si>
    <t>kundenservice@drv-berlin-brandenburg.de</t>
  </si>
  <si>
    <t>0335 551-0; 030 3002-0</t>
  </si>
  <si>
    <t>Zypern, griechischer Teil</t>
  </si>
  <si>
    <t>DRV-Verbindungsstelle</t>
  </si>
  <si>
    <r>
      <t xml:space="preserve">Versorgungsausgleich in Europa
Der Abfindungsrechner für </t>
    </r>
    <r>
      <rPr>
        <b/>
        <sz val="16"/>
        <color theme="0"/>
        <rFont val="Wingdings 3"/>
        <family val="1"/>
        <charset val="2"/>
      </rPr>
      <t>Ú</t>
    </r>
  </si>
  <si>
    <t>Data extracted on 24/06/2026 13:14:53 from [ESTAT]</t>
  </si>
  <si>
    <t xml:space="preserve">Dataset: </t>
  </si>
  <si>
    <t>Lebenserwartung nach Alter und Geschlecht [demo_mlexpec__custom_21934585]</t>
  </si>
  <si>
    <t xml:space="preserve">Last updated: </t>
  </si>
  <si>
    <t>04/06/2026 23:00</t>
  </si>
  <si>
    <t>Zeitliche Frequenz</t>
  </si>
  <si>
    <t>Jährlich</t>
  </si>
  <si>
    <t>Maßeinheit</t>
  </si>
  <si>
    <t>Insgesamt</t>
  </si>
  <si>
    <t>Altersklasse</t>
  </si>
  <si>
    <t>Weniger als 1 Jahr</t>
  </si>
  <si>
    <t>TIME</t>
  </si>
  <si>
    <t>2013</t>
  </si>
  <si>
    <t>2014</t>
  </si>
  <si>
    <t>2015</t>
  </si>
  <si>
    <t>2016</t>
  </si>
  <si>
    <t>2017</t>
  </si>
  <si>
    <t>2018</t>
  </si>
  <si>
    <t>2019</t>
  </si>
  <si>
    <t>2020</t>
  </si>
  <si>
    <t>2021</t>
  </si>
  <si>
    <t>2022</t>
  </si>
  <si>
    <t>GEO (Labels)</t>
  </si>
  <si>
    <t/>
  </si>
  <si>
    <t>Special value</t>
  </si>
  <si>
    <t>not available</t>
  </si>
  <si>
    <t>1 Jahr</t>
  </si>
  <si>
    <t>2 Jahre</t>
  </si>
  <si>
    <t>3 Jahre</t>
  </si>
  <si>
    <t>4 Jahre</t>
  </si>
  <si>
    <t>5 Jahre</t>
  </si>
  <si>
    <t>6 Jahre</t>
  </si>
  <si>
    <t>7 Jahre</t>
  </si>
  <si>
    <t>8 Jahre</t>
  </si>
  <si>
    <t>9 Jahre</t>
  </si>
  <si>
    <t>10 Jahre</t>
  </si>
  <si>
    <t>11 Jahre</t>
  </si>
  <si>
    <t>12 Jahre</t>
  </si>
  <si>
    <t>13 Jahre</t>
  </si>
  <si>
    <t>Data extracted on 24/06/2026 13:14:54 from [ESTAT]</t>
  </si>
  <si>
    <t>14 Jahre</t>
  </si>
  <si>
    <t>15 Jahre</t>
  </si>
  <si>
    <t>16 Jahre</t>
  </si>
  <si>
    <t>17 Jahre</t>
  </si>
  <si>
    <t>18 Jahre</t>
  </si>
  <si>
    <t>19 Jahre</t>
  </si>
  <si>
    <t>20 Jahre</t>
  </si>
  <si>
    <t>21 Jahre</t>
  </si>
  <si>
    <t>22 Jahre</t>
  </si>
  <si>
    <t>23 Jahre</t>
  </si>
  <si>
    <t>24 Jahre</t>
  </si>
  <si>
    <t>25 Jahre</t>
  </si>
  <si>
    <t>26 Jahre</t>
  </si>
  <si>
    <t>27 Jahre</t>
  </si>
  <si>
    <t>28 Jahre</t>
  </si>
  <si>
    <t>29 Jahre</t>
  </si>
  <si>
    <t>30 Jahre</t>
  </si>
  <si>
    <t>31 Jahre</t>
  </si>
  <si>
    <t>32 Jahre</t>
  </si>
  <si>
    <t>33 Jahre</t>
  </si>
  <si>
    <t>34 Jahre</t>
  </si>
  <si>
    <t>35 Jahre</t>
  </si>
  <si>
    <t>36 Jahre</t>
  </si>
  <si>
    <t>37 Jahre</t>
  </si>
  <si>
    <t>38 Jahre</t>
  </si>
  <si>
    <t>39 Jahre</t>
  </si>
  <si>
    <t>40 Jahre</t>
  </si>
  <si>
    <t>41 Jahre</t>
  </si>
  <si>
    <t>42 Jahre</t>
  </si>
  <si>
    <t>43 Jahre</t>
  </si>
  <si>
    <t>44 Jahre</t>
  </si>
  <si>
    <t>45 Jahre</t>
  </si>
  <si>
    <t>46 Jahre</t>
  </si>
  <si>
    <t>47 Jahre</t>
  </si>
  <si>
    <t>48 Jahre</t>
  </si>
  <si>
    <t>49 Jahre</t>
  </si>
  <si>
    <t>50 Jahre</t>
  </si>
  <si>
    <t>51 Jahre</t>
  </si>
  <si>
    <t>52 Jahre</t>
  </si>
  <si>
    <t>53 Jahre</t>
  </si>
  <si>
    <t>54 Jahre</t>
  </si>
  <si>
    <t>55 Jahre</t>
  </si>
  <si>
    <t>56 Jahre</t>
  </si>
  <si>
    <t>57 Jahre</t>
  </si>
  <si>
    <t>58 Jahre</t>
  </si>
  <si>
    <t>59 Jahre</t>
  </si>
  <si>
    <t>60 Jahre</t>
  </si>
  <si>
    <t>61 Jahre</t>
  </si>
  <si>
    <t>62 Jahre</t>
  </si>
  <si>
    <t>63 Jahre</t>
  </si>
  <si>
    <t>64 Jahre</t>
  </si>
  <si>
    <t>66 Jahre</t>
  </si>
  <si>
    <t>67 Jahre</t>
  </si>
  <si>
    <t>68 Jahre</t>
  </si>
  <si>
    <t>69 Jahre</t>
  </si>
  <si>
    <t>70 Jahre</t>
  </si>
  <si>
    <t>71 Jahre</t>
  </si>
  <si>
    <t>72 Jahre</t>
  </si>
  <si>
    <t>73 Jahre</t>
  </si>
  <si>
    <t>74 Jahre</t>
  </si>
  <si>
    <t>75 Jahre</t>
  </si>
  <si>
    <t>76 Jahre</t>
  </si>
  <si>
    <t>77 Jahre</t>
  </si>
  <si>
    <t>78 Jahre</t>
  </si>
  <si>
    <t>79 Jahre</t>
  </si>
  <si>
    <t>80 Jahre</t>
  </si>
  <si>
    <t>81 Jahre</t>
  </si>
  <si>
    <t>82 Jahre</t>
  </si>
  <si>
    <t>83 Jahre</t>
  </si>
  <si>
    <t>84 Jahre</t>
  </si>
  <si>
    <t>85 Jahre</t>
  </si>
  <si>
    <t>85 Jahre und mehr</t>
  </si>
  <si>
    <t>86 Jahre</t>
  </si>
  <si>
    <t>87 Jahre</t>
  </si>
  <si>
    <t>88 Jahre</t>
  </si>
  <si>
    <t>89 Jahre</t>
  </si>
  <si>
    <t>90 Jahre</t>
  </si>
  <si>
    <t>91 Jahre</t>
  </si>
  <si>
    <t>92 Jahre</t>
  </si>
  <si>
    <t>93 Jahre</t>
  </si>
  <si>
    <t>94 Jahre</t>
  </si>
  <si>
    <t>95 Jahre und mehr</t>
  </si>
  <si>
    <t>Data extracted on 24/06/2026 13:14:55 from [ESTAT]</t>
  </si>
  <si>
    <t>Data extracted on 24/06/2026 13:14:56 from [ESTAT]</t>
  </si>
  <si>
    <t>Data extracted on 24/06/2026 13:14:57 from [ESTAT]</t>
  </si>
  <si>
    <t>Lebenserwartung weltweit</t>
  </si>
  <si>
    <t xml:space="preserve">Auch dieser umfangreiche Datensatz (von ESTAT 6/2026) wurde von der KI gefunden, den Prompt habe ich nicht wiedergefunden. </t>
  </si>
  <si>
    <t>Lebenshaltungs-kosten</t>
  </si>
  <si>
    <t>Die Daten stammen von EUSTAT</t>
  </si>
  <si>
    <t>Einzel-Länderdaten</t>
  </si>
  <si>
    <t xml:space="preserve">Die Daten zu den Alterssicherungssystemen der einzelnen EU- und EFTA-Länder entstammen der Datenbank "Sozialkompass Europa" der EU-Kommission </t>
  </si>
  <si>
    <t>Kurs in Euro</t>
  </si>
  <si>
    <t>Rendite:</t>
  </si>
  <si>
    <t>Inflation im Vergleich zu Deutschland</t>
  </si>
  <si>
    <t>Benutzte KI-Prompts</t>
  </si>
  <si>
    <t>VA-Parameter seit 1977 DRV</t>
  </si>
  <si>
    <t>Dieses Datenblatt enthält für 47 Länder und einige Staatengemeinschaften die Entwicklung der Lebenserwartung im Zeitraum 2013 - 2022, altersabhängig nach unisex- und geschlechtsspezifischen Parametern. Wenn Sie nicht schlafen können, lesen Sie und blättern bis zur Zeile 20.657. Sie haben dann 156.750 Zahlen angeschaut. Wenn Sie dann immer noch nicht schlafen können, machen Sie einfach einen Waldlauf! MfG JH</t>
  </si>
  <si>
    <t>Sub AlleArbeitsblaetterSchuetzen()
    Dim ws As Worksheet
    Dim pw As String
    ' Passwort festlegen
    pw = "FamRB"   ' ? hier dein Passwort eintragen
    For Each ws In ThisWorkbook.Worksheets
        ws.Protect Password:=pw, _
                   UserInterfaceOnly:=False, _
                   AllowFiltering:=True, _
                   AllowSorting:=False, _
                   AllowFormattingCells:=False, _
                   AllowFormattingColumns:=True, _
                   AllowFormattingRows:=False, _
                   AllowInsertingColumns:=False, _
                   AllowInsertingRows:=False, _
                   AllowInsertingHyperlinks:=False, _
                   AllowDeletingColumns:=False, _
                   AllowDeletingRows:=False, _
                   AllowUsingPivotTables:=False
        ' Auswahl gesperrter und entsperrter Zellen zulassen
        ws.EnableSelection = xlNoRestrictions
    Next ws
    MsgBox "Alle Arbeitsblätter wurden erfolgreich geschützt.", vbInformation
End Sub</t>
  </si>
  <si>
    <t>Abfindungsberechnung Dateneingabe</t>
  </si>
  <si>
    <t>Abfindung Methode1</t>
  </si>
  <si>
    <t>Abfindung Methode2</t>
  </si>
  <si>
    <t>Abfindung Methode3</t>
  </si>
  <si>
    <t>Abfindung einer ausländ. sVA-Rente</t>
  </si>
  <si>
    <t>Daten- und Informationssammlungen</t>
  </si>
  <si>
    <t>Länderauswahl im Blatt "Abfindungsberechnung" ändern</t>
  </si>
  <si>
    <t>Deutschland inkl. ehemalige DDR</t>
  </si>
  <si>
    <t>EU - 27 Länder (2007-2013)</t>
  </si>
  <si>
    <t>EU - 27 Länder (ab 2020)</t>
  </si>
  <si>
    <t>EU - 28 Länder (2013-2020)</t>
  </si>
  <si>
    <t>Kapitalisierbarkeit von Altersversorgungen in EU- und EFTA-Staaten</t>
  </si>
  <si>
    <t>I. Säule = gesetzliche/öffentliche Regelalterssicherung; II. Säule = obligatorische oder betriebliche Zusatzversorgung. Kapitalisierung bedeutet hier Auszahlung als Einmalbetrag statt laufender Rente.</t>
  </si>
  <si>
    <t>I. Säule – typisches System</t>
  </si>
  <si>
    <t>Kapitalisierung I. Säule?</t>
  </si>
  <si>
    <t>Erläuterung / Ausnahmen I. Säule</t>
  </si>
  <si>
    <t>Quelle I. Säule</t>
  </si>
  <si>
    <t>II. Säule – typisches System</t>
  </si>
  <si>
    <t>Kapitalisierung II. Säule?</t>
  </si>
  <si>
    <t>Erläuterung / Bedingungen II. Säule</t>
  </si>
  <si>
    <t>Quelle II. Säule</t>
  </si>
  <si>
    <t>Stand</t>
  </si>
  <si>
    <t>Prüfhinweis</t>
  </si>
  <si>
    <t>Gesetzliche Arbeitnehmer-, Selbständigen- und Beamtenpension</t>
  </si>
  <si>
    <t>Nein (Regel)</t>
  </si>
  <si>
    <t>Die gesetzliche Alterspension wird als laufende Leistung gewährt; keine allgemeine Kapitaloption.</t>
  </si>
  <si>
    <t>https://www.sfpd.fgov.be/en/pension-amount/calculation/</t>
  </si>
  <si>
    <t>Ergänzende betriebliche Altersversorgung / Gruppenversicherung / Pensionsfonds</t>
  </si>
  <si>
    <t>Ja / planabhängig</t>
  </si>
  <si>
    <t>Die ergänzende Pension kann nach dem Pensionsreglement als Kapital, periodische Leistung oder Mischform ausgezahlt werden.</t>
  </si>
  <si>
    <t>https://www.fsma.be/en/supplementary-pension</t>
  </si>
  <si>
    <t>03.07.2026</t>
  </si>
  <si>
    <t>Konkretes Pensionsreglement maßgeblich.</t>
  </si>
  <si>
    <t>Staatliche Sozialversicherungsrente (1. Säule)</t>
  </si>
  <si>
    <t>Laufende beitragsbezogene Altersrente; keine allgemeine Kapitalabfindung.</t>
  </si>
  <si>
    <t>https://www.mlsp.government.bg/uploads/37/politiki/trud/zakonodatelstvo/eng/social-insurance-code-title-amended-sg-no-672003.pdf</t>
  </si>
  <si>
    <t>Obligatorischer Universal-/Berufspensionsfonds</t>
  </si>
  <si>
    <t>Je nach Kontostand lebenslange Zusatzrente, zeitlich gestreckte Auszahlung oder bei sehr geringem Guthaben einmalige Auszahlung.</t>
  </si>
  <si>
    <t>https://ubb-pensions.bg/en/products/universalen-fond
https://www.mlsp.government.bg/uploads/37/politiki/trud/zakonodatelstvo/eng/social-insurance-code-title-amended-sg-no-672003.pdf</t>
  </si>
  <si>
    <t>Schwellenwerte und Leistungsart anhand des konkreten Kontostands prüfen.</t>
  </si>
  <si>
    <t>Folkepension (staatliche Grundversorgung)</t>
  </si>
  <si>
    <t>Wohnsitzbezogene, laufende Grundversorgung; keine allgemeine Kapitaloption.</t>
  </si>
  <si>
    <t>https://lifeindenmark.borger.dk/pension/state-pension</t>
  </si>
  <si>
    <t>ATP und arbeitsmarktbezogene Pensionsordnungen</t>
  </si>
  <si>
    <t>ATP selbst ist grundsätzlich eine lebenslange Rente. Arbeitsmarkt-/Privatverträge können daneben Ratenpensionen und kapitalförmige Altersvorsorgeprodukte enthalten.</t>
  </si>
  <si>
    <t>https://www.norden.org/en/info-norden/danish-pension-system
https://danica.dk/en/personal/your-pension/your-payout-options/retirement-savings-scheme</t>
  </si>
  <si>
    <t>ATP und sonstige arbeitsmarktbezogene Versorgung getrennt bewerten.</t>
  </si>
  <si>
    <t>Gesetzliche Rentenversicherung</t>
  </si>
  <si>
    <t>Keine Kapitalwahl bei der Altersrente. Beitragserstattung nach § 210 SGB VI ist ein eng begrenzter Sonderfall und keine Kapitalisierung eines bestehenden Rentenanspruchs.</t>
  </si>
  <si>
    <t>https://www.gesetze-im-internet.de/sgb_6/__210.html</t>
  </si>
  <si>
    <t>Betriebliche Altersversorgung</t>
  </si>
  <si>
    <t>Kapital, Rente oder Ratenzahlung sind je nach Durchführungsweg und Zusage möglich; Abfindungsverbote und Kleinbetragsregeln des BetrAVG beachten.</t>
  </si>
  <si>
    <t>https://www.gesetze-im-internet.de/betravg/</t>
  </si>
  <si>
    <t>Versorgungszusage und Teilungsordnung sind maßgeblich.</t>
  </si>
  <si>
    <t>Staatliche Altersrente (1. Säule)</t>
  </si>
  <si>
    <t>Laufende staatliche Altersrente; keine allgemeine Kapitaloption.</t>
  </si>
  <si>
    <t>https://sotsiaalkindlustusamet.ee/en/pension-and-benefits/types-pensions/old-age-pension</t>
  </si>
  <si>
    <t>Kapitalgedeckte 2. Säule</t>
  </si>
  <si>
    <t>Beim Renteneintritt stehen je nach Wahl und Voraussetzungen lebenslange/befristete Leistungen oder eine einmalige Auszahlung zur Verfügung.</t>
  </si>
  <si>
    <t>https://www.pensionikeskus.ee/en/ii-pillar/payments/one-time-disbursement/
https://www.fin.ee/en/restructuring-second-pillar-funded-pension</t>
  </si>
  <si>
    <t>Steuerfolgen und gewählte Auszahlungsform beachten.</t>
  </si>
  <si>
    <t>Gesetzliche einkommensbezogene Rente und Volks-/Garantierente</t>
  </si>
  <si>
    <t>Die gesetzlichen Renten werden als laufende Leistungen gezahlt; keine allgemeine Kapitaloption.</t>
  </si>
  <si>
    <t>https://www.tyoelake.fi/en/what-are-pensions/</t>
  </si>
  <si>
    <t>Keine flächendeckende eigenständige 2. Säule; freiwillige betriebliche Zusatzpensionen</t>
  </si>
  <si>
    <t>Planabhängig</t>
  </si>
  <si>
    <t>Betriebliche Zusatzpensionen sind nicht einheitlich ausgestaltet. Die Auszahlungsform folgt Versicherungsvertrag bzw. Versorgungsplan; häufig periodische Rente.</t>
  </si>
  <si>
    <t>https://www.etk.fi/en/finnish-pension-system/pensions/supplementary-pensions/
https://www.tyoelake.fi/en/what-are-pensions/you-or-your-employer-can-take-out-voluntary-pension-insurance/</t>
  </si>
  <si>
    <t>Keine landesweit einheitliche Kapitaloption; Vertragsprüfung erforderlich.</t>
  </si>
  <si>
    <t>Régime général und sonstige gesetzliche Grundsysteme</t>
  </si>
  <si>
    <t>Die gesetzliche Grundrente ist eine laufende Rente; keine allgemeine Kapitaloption.</t>
  </si>
  <si>
    <t>https://www.cleiss.fr/docs/regimes/regime_france/an_3.html</t>
  </si>
  <si>
    <t>Obligatorische Zusatzversorgung Agirc-Arrco</t>
  </si>
  <si>
    <t>Kapitalzahlung nur bei sehr kleinen Anwartschaften; regelmäßig laufende oder bei kleinen Punktzahlen jährliche Leistung.</t>
  </si>
  <si>
    <t>https://www.agirc-arrco.fr/particuliers/ma-retraite/vivre-ma-retraite/pension-de-retraite-conditions-de-versements/</t>
  </si>
  <si>
    <t>Insbesondere Punktzahl und Kleinbetragsregeln prüfen.</t>
  </si>
  <si>
    <t>Staatliche Haupt- und Zusatzrente</t>
  </si>
  <si>
    <t>Die gesetzliche Altersversorgung wird grundsätzlich laufend gezahlt.</t>
  </si>
  <si>
    <t>https://ypergasias.gov.gr/en/social-security/pensions/</t>
  </si>
  <si>
    <t>Berufs-/Zusatzversorgung und besondere Einmal-Leistungszweige</t>
  </si>
  <si>
    <t>Ja / plan- bzw. berufsabhängig</t>
  </si>
  <si>
    <t>Bestimmte Berufs- und Zusatzsysteme gewähren eine gesonderte einmalige Leistung; sonst können Occupational Funds planabhängige Kapital-/Rentenformen vorsehen.</t>
  </si>
  <si>
    <t>https://ypergasias.gov.gr/en/social-security/pensions/lump-sum-benefit/</t>
  </si>
  <si>
    <t>Nicht jede Zusatzrente ist kapitalisierbar; konkreten Fonds prüfen.</t>
  </si>
  <si>
    <t>State Pension (Contributory/Non-Contributory)</t>
  </si>
  <si>
    <t>Staatliche Pension als laufende Wochenleistung; keine allgemeine Kapitaloption.</t>
  </si>
  <si>
    <t>https://www.gov.ie/en/department-of-social-protection/services/state-pension-contributory/</t>
  </si>
  <si>
    <t>Occupational und private pensions</t>
  </si>
  <si>
    <t>Beim Renteneintritt ist eine Retirement Lump Sum möglich; Höhe und Verwendung des Restkapitals hängen von Scheme, Dienstzeit und Steuerrecht ab.</t>
  </si>
  <si>
    <t>https://www.revenue.ie/en/jobs-and-pensions/pension/private/retirement-lump-sums.aspx</t>
  </si>
  <si>
    <t>Steuerfreibeträge und Scheme-Regeln prüfen.</t>
  </si>
  <si>
    <t>Gesetzliche INPS-Altersrente</t>
  </si>
  <si>
    <t>Laufende gesetzliche Altersrente; keine allgemeine Kapitaloption.</t>
  </si>
  <si>
    <t>https://www.inps.it/it/en/inps-communication/dossiers/the-italian-pension-system.html</t>
  </si>
  <si>
    <t>Previdenza complementare</t>
  </si>
  <si>
    <t>Ja, teilweise</t>
  </si>
  <si>
    <t>Nach der aktuell geltenden Regelung können grundsätzlich bis zu 50 % des angesammelten Kapitals als Einmalbetrag bezogen werden; vollständiger Kapitalbezug ist insbesondere bei gesetzlich kleinen Rentenansprüchen möglich.</t>
  </si>
  <si>
    <t>https://www.covip.it/per-il-cittadino/educazione-previdenziale/glossario/p
https://www.covip.it/sites/default/files/notizie/A016Decreto-252.pdf</t>
  </si>
  <si>
    <t>Kurzfristige Reformänderungen 2026 berücksichtigt; Planreglement zusätzlich prüfen.</t>
  </si>
  <si>
    <t>Umlagefinanzierte gesetzliche Rente (1. Säule)</t>
  </si>
  <si>
    <t>Die staatliche Altersrente wird laufend gezahlt; keine allgemeine Kapitaloption.</t>
  </si>
  <si>
    <t>https://mrosp.gov.hr/access-to-information-16/social-security-in-the-republic-of-croatia/pension-insurance/11791</t>
  </si>
  <si>
    <t>Obligatorische kapitalgedeckte 2. Säule</t>
  </si>
  <si>
    <t>Unter gesetzlichen Voraussetzungen kann bei kombinierter Pension bis zu 20 % des Guthabens einmalig ausgezahlt werden; der Rest finanziert die Rente.</t>
  </si>
  <si>
    <t>https://regos.hr/en/frequently-asked-questions/</t>
  </si>
  <si>
    <t>20-%-Option setzt insbesondere die gesetzlichen Mindestbedingungen voraus.</t>
  </si>
  <si>
    <t>Staatliche NDC-Altersrente</t>
  </si>
  <si>
    <t>https://www.lm.gov.lv/en/pension-policy</t>
  </si>
  <si>
    <t>Staatlich kapitalgedeckte 2. Säule</t>
  </si>
  <si>
    <t>Das Guthaben wird bei Rentenbeginn in die staatliche Rentenberechnung übertragen oder für eine lebenslange Rentenversicherung verwendet; keine reguläre Einmalzahlung.</t>
  </si>
  <si>
    <t>https://www.bank.lv/en/operational-areas/licensing/pension-funds/state-funded-pension-scheme</t>
  </si>
  <si>
    <t>Erb-/Todesfalloptionen sind von Altersleistung zu trennen.</t>
  </si>
  <si>
    <t>Staatliche Sozialversicherungsrente</t>
  </si>
  <si>
    <t>https://socmin.lrv.lt/en/activities/social-insurance-1/pensions/</t>
  </si>
  <si>
    <t>Die Auszahlungsform hängt seit der Reform insbesondere vom angesammelten Kapital und gesetzlichen Schwellen ab: Kapital-/Ratenoption bei kleinen oder sehr hohen Guthaben, Annuitätspflicht im mittleren Bereich.</t>
  </si>
  <si>
    <t>https://socmin.lrv.lt/en/activities/social-insurance-1/funded-pension-scheme/</t>
  </si>
  <si>
    <t>Aktuelle Schwellenwerte zum konkreten Rentenbeginn prüfen.</t>
  </si>
  <si>
    <t>Gesetzliche Altersrente</t>
  </si>
  <si>
    <t>https://guichet.public.lu/en/citoyens/travail/pension/retraite-vieillesse/calcul-pension-vieillesse.html</t>
  </si>
  <si>
    <t>Betriebliche Zusatzversorgung / Pensionsfonds</t>
  </si>
  <si>
    <t>Je nach Rechtsform und Pensionsplan Kapitalleistung, Rente oder Kombination möglich; bei SEPCAV ist eine kapitalförmige Leistung typisch.</t>
  </si>
  <si>
    <t>https://www.oecd.org/content/dam/iops/en/country-profiles/Luxembourg-IOPSWebsite-Country-Profile-2018.pdf</t>
  </si>
  <si>
    <t>Rechtsform des Plans und Reglement prüfen.</t>
  </si>
  <si>
    <t>Contributory Retirement Pension</t>
  </si>
  <si>
    <t>https://socialsecurity.gov.mt/en/information-and-applications-for-benefits-and-services/contributory-pensions/retirement-pension/</t>
  </si>
  <si>
    <t>Keine verpflichtende flächendeckende 2. Säule; freiwillige Occupational Retirement Schemes</t>
  </si>
  <si>
    <t>Nach den maltesischen Pensionsregeln kann typischerweise ein begrenzter Teil – regelmäßig bis 30 % – als anfängliche Kapitalleistung entnommen werden; Rest als Einkommen/Rente.</t>
  </si>
  <si>
    <t>https://www.mfsa.mt/wp-content/uploads/2020/12/Part-A-and-Part-B-Pension-Rules-for-Occupational-Retirement-Schemes-issued-in-terms-of-the-Retirement-Pensions-Act-2011.pdf</t>
  </si>
  <si>
    <t>Freiwilliges System; Produkt- und Planbedingungen maßgeblich.</t>
  </si>
  <si>
    <t>AOW-Grundrente</t>
  </si>
  <si>
    <t>Laufende gesetzliche AOW-Leistung; keine allgemeine Kapitaloption.</t>
  </si>
  <si>
    <t>https://www.svb.nl/en/aow-pension</t>
  </si>
  <si>
    <t>Derzeit grundsätzlich nur Abfindung kleiner Renten. Die allgemeine Option, bis zu 10 % als Kapital zu beziehen, ist nach aktuellem Stand auf 1. Januar 2029 verschoben.</t>
  </si>
  <si>
    <t>https://www.nn.nl/EN-Particulier/Small-Pensions-Value-Transfer-Act.htm
https://www.koopvaardij.nl/en/about-us/news/messages/the-lump-sum-pension-option-will-be-available-from-1-january-2029/</t>
  </si>
  <si>
    <t>Rechtsentwicklung bis 2029 beobachten.</t>
  </si>
  <si>
    <t>Gesetzliche Pensionsversicherung</t>
  </si>
  <si>
    <t>Laufende Pension; keine allgemeine Wahl einer Kapitalabfindung. Beitragserstattungen oder Sonderfälle sind keine Kapitalisierung der Altersrente.</t>
  </si>
  <si>
    <t>https://www.pv.at/web/pension/pensionsarten/alterspension</t>
  </si>
  <si>
    <t>Betriebliche Pensionskassen / betriebliche Kollektivversicherung</t>
  </si>
  <si>
    <t>Pensionskassen leisten grundsätzlich Renten. Kapitalabfindung insbesondere bei Kleinbeträgen bzw. abhängig von Zusage und Durchführungsweg.</t>
  </si>
  <si>
    <t>https://www.fma.gv.at/en/pensionskassen/occupational-retirement-provision/</t>
  </si>
  <si>
    <t>Plan- und zusageabhängig; Kleinbetragsgrenze gesondert prüfen.</t>
  </si>
  <si>
    <t>ZUS-Altersrente</t>
  </si>
  <si>
    <t>https://lang.zus.pl/benefits/old-age-pensions/old-age-pensions-operating-under-the-new-rules</t>
  </si>
  <si>
    <t>Gemischte Zusatzlandschaft: OFE und PPK</t>
  </si>
  <si>
    <t>Eingeschränkt / gemischt</t>
  </si>
  <si>
    <t>OFE-Guthaben mündet grundsätzlich in die ZUS-Rente. Beim PPK sind ab Alter 60 typischerweise 25 % einmalig und 75 % in mindestens 120 Raten abrufbar.</t>
  </si>
  <si>
    <t>https://www.mojeppk.pl/en/2.html</t>
  </si>
  <si>
    <t>OFE und PPK strikt unterscheiden.</t>
  </si>
  <si>
    <t>Gesetzliche Altersrente der Segurança Social</t>
  </si>
  <si>
    <t>https://en.seg-social.pt/old-age-pension</t>
  </si>
  <si>
    <t>Betriebliche Pensionsfonds / Occupational Schemes</t>
  </si>
  <si>
    <t>Insbesondere der aus eigenen Beiträgen stammende Teil kann nach Plan und Wahl als Rente, Kapital oder Kombination geleistet werden.</t>
  </si>
  <si>
    <t>https://www.asf.com.pt/documents/42559/1463142/Cross-border%2Bactivities%2Bin%2Bthe%2Bmanagement%2Bof%2Bnational%2Boccupational%2Bpension%2Bschemes.pdf/e673947c-1137-7825-9e9f-9e13da421f30?t=1730916121101&amp;version=1.0</t>
  </si>
  <si>
    <t>Arbeitgeber- und Eigenbeitragsanteile sowie Plantext prüfen.</t>
  </si>
  <si>
    <t>Staatliches öffentliches Rentensystem</t>
  </si>
  <si>
    <t>https://www.mpisoc.mpg.de/en/social-law/research/research-projects/pension-maps/project-website/romania/statutory-old-age-pension-scheme/</t>
  </si>
  <si>
    <t>Obligatorische private 2. Säule</t>
  </si>
  <si>
    <t>Ja – Übergangsrecht</t>
  </si>
  <si>
    <t>Bis 4. Januar 2027 sind nach bisherigem Recht vollständige Einmalzahlung oder Raten bis fünf Jahre möglich. Gesetz 2/2026 führt ab 5. Januar 2027 ein neues Auszahlungsregime ein.</t>
  </si>
  <si>
    <t>https://cms.law/en/rou/legal-updates/romania-adopts-new-law-on-payments-of-private-pensions
https://asfromania.ro/en/a/3369/romania%2C-aleasa-in-comitetul-executiv-al-organizatiei-internationale-a-supraveghetorilor-sistemelor-de-pensii-private-%28iops%29</t>
  </si>
  <si>
    <t>Zeitpunkt des Leistungsfalls ist wegen Systemwechsel 2027 entscheidend.</t>
  </si>
  <si>
    <t>Allgemeine staatliche Altersrente</t>
  </si>
  <si>
    <t>Die staatliche Pension wird als laufende, grundsätzlich lebenslange Rente gezahlt.</t>
  </si>
  <si>
    <t>https://www.pensionsmyndigheten.se/other-languages/english-engelska/english-engelska/applying-for-a-pension</t>
  </si>
  <si>
    <t>Tarifliche/betriebliche Altersversorgung</t>
  </si>
  <si>
    <t>In der Regel lebenslange oder befristete periodische Auszahlung; eine echte Einmal-Kapitalabfindung ist grundsätzlich nicht die reguläre Leistungsform.</t>
  </si>
  <si>
    <t>https://www.oecd.org/content/dam/oecd/en/publications/support-materials/2023/12/pensions-at-a-glance-2023_4757bf20/country-profiles/Sweden.pdf/_jcr_content/renditions/original./Sweden.pdf</t>
  </si>
  <si>
    <t>Befristete Rentenzahlung nicht mit Kapitalabfindung verwechseln.</t>
  </si>
  <si>
    <t>https://www.socpoist.sk/en/pension-insurance/old-age-pension</t>
  </si>
  <si>
    <t>Einmalige/programmgesteuerte Auszahlung ist nur zulässig, wenn andere lebenslange Renten mindestens den jährlich festgelegten Referenzbetrag erreichen; sonst Annuitätenlösung.</t>
  </si>
  <si>
    <t>https://nbs.sk/en/financial-market-supervision1/supervision/pension-system/old-age-pension-scheme-second-pillar/main-features/</t>
  </si>
  <si>
    <t>Referenzbetrag und vorhandene übrige Renten prüfen.</t>
  </si>
  <si>
    <t>Gesetzliche Renten- und Invaliditätsversicherung</t>
  </si>
  <si>
    <t>https://www.gov.si/en/policies/employmentlabour-and-pensions/retirement/</t>
  </si>
  <si>
    <t>Freiwillige/kollektive Zusatzpension</t>
  </si>
  <si>
    <t>Regelmäßig Zusatzrente; einmalige Auszahlung vor allem bei kleinen Guthaben oder gesetzlich/vertraglich geregelten Ausnahmefällen.</t>
  </si>
  <si>
    <t>https://www.oecd.org/content/dam/oecd/en/publications/reports/2022/01/oecd-reviews-of-pension-systems-slovenia_2a52f693/7e5da686-en.pdf</t>
  </si>
  <si>
    <t>Aktuelle Kleinbetragsgrenze und Reformrecht beim Leistungsfall prüfen.</t>
  </si>
  <si>
    <t>Gesetzliche Seguridad-Social-Altersrente</t>
  </si>
  <si>
    <t>https://www.mpisoc.mpg.de/en/social-law/research/research-projects/pension-maps/project-website/spain/statutory-old-age-pension-scheme/</t>
  </si>
  <si>
    <t>Betriebliche Pensionspläne</t>
  </si>
  <si>
    <t>Leistung kann nach dem Plan als Kapital, Rente oder Mischform bezogen werden.</t>
  </si>
  <si>
    <t>https://www.mpisoc.mpg.de/en/social-law/research/research-projects/pension-maps/project-website/spain/occupational-pension-plans/</t>
  </si>
  <si>
    <t>Planbedingungen und steuerliche Behandlung prüfen.</t>
  </si>
  <si>
    <t>Laufende gesetzliche Altersrente; keine allgemeine Kapitalabfindung.</t>
  </si>
  <si>
    <t>https://www.mpsv.cz/en/pensions</t>
  </si>
  <si>
    <t>Zusatzrentensparen / supplementary pension savings</t>
  </si>
  <si>
    <t>Je nach Vertrag Einmalabfindung, befristete Auszahlung oder Rentenleistung möglich.</t>
  </si>
  <si>
    <t>https://www.mfcr.cz/assets/attachments/2020-05-Explanatory-Memorandum-EN.docx</t>
  </si>
  <si>
    <t>Vertragsart und Mindestlaufzeit prüfen.</t>
  </si>
  <si>
    <t>https://www.allamkincstar.gov.hu/pfile/file?inline=true&amp;path=%2Ffooter-tartalmak%2Fjogi-informaciok%2FKozerdeku_adatok%2FKiadvanyok%2FONYF-tajekoztatok%2FONYF_fuzet_EN.pdf</t>
  </si>
  <si>
    <t>Keine allgemeine verpflichtende 2. Säule; freiwillige/berufliche Pensionspläne</t>
  </si>
  <si>
    <t>Bei beruflichen Versorgungseinrichtungen sind Einmalzahlung, befristete Leistung, Rente oder Kombination gesetzlich als mögliche Leistungsformen vorgesehen.</t>
  </si>
  <si>
    <t>https://www.mnb.hu/letoltes/informative-guide-to-laws-and-other-legal-provisions-regulating-the-provision-of-services-in-hungary.pdf</t>
  </si>
  <si>
    <t>Seit 2012 im Wesentlichen Ein-Säulen-Pflichtsystem; Zusatzsysteme gesondert prüfen.</t>
  </si>
  <si>
    <t>Gesetzliche Sozialversicherungs-Altersrente</t>
  </si>
  <si>
    <t>Die Altersrente ist eine laufende Leistung. Eine einmalige Altersbeihilfe bei nicht ausreichender Versicherungsbiografie ist eine Ersatzleistung, keine frei wählbare Kapitalisierung.</t>
  </si>
  <si>
    <t>https://www.mpisoc.mpg.de/en/social-law/research/research-projects/pension-maps/project-website/cyprus/statutory-pension-scheme/</t>
  </si>
  <si>
    <t>Provident Funds und betriebliche Altersversorgung</t>
  </si>
  <si>
    <t>Provident Funds sind typischerweise kapitalorientiert und leisten beim Versorgungsfall grundsätzlich einen Einmalbetrag; andere betriebliche Systeme können abweichen.</t>
  </si>
  <si>
    <t>https://ec.europa.eu/eurostat/documents/7158500/12335606/CY_T2900_factsheet.pdf/4bb356db-b138-407f-c253-1e8b3b3dbd71?t=1612348303443</t>
  </si>
  <si>
    <t>Zwischen Provident Fund und Pension Scheme unterscheiden.</t>
  </si>
  <si>
    <t>Staatliche Sozialversicherungs-Altersrente</t>
  </si>
  <si>
    <t>https://island.is/en/retirement-pension</t>
  </si>
  <si>
    <t>Obligatorische betriebliche Pensionsfonds</t>
  </si>
  <si>
    <t>Die obligatorische Altersleistung wird grundsätzlich monatlich und lebenslang gezahlt; freiwillige persönliche Zusatzersparnisse gehören nicht zur hier abgegrenzten 2. Säule.</t>
  </si>
  <si>
    <t>https://www.norden.org/en/info-norden/icelandic-pension-system
https://island.is/en/life-events/Retirement</t>
  </si>
  <si>
    <t>Freiwillige Zusatzersparnisse der 3. Säule nicht einbezogen.</t>
  </si>
  <si>
    <t>AHV-Altersrente</t>
  </si>
  <si>
    <t>Laufende staatliche Altersrente; keine allgemeine Kapitalwahl.</t>
  </si>
  <si>
    <t>https://www.ahv.li/leistungen/ahv/altersrente</t>
  </si>
  <si>
    <t>Betriebliche Personalvorsorge nach BPVG</t>
  </si>
  <si>
    <t>Art. 9 BPVG verlangt eine anteilige Kapitaloption. Das Reglement kann auch die vollständige Kapitalabfindung vorsehen; bei Verheirateten ist die schriftliche Zustimmung des Ehegatten erforderlich.</t>
  </si>
  <si>
    <t>https://www.gesetze.li/konso/1988012000
https://www.ahv.li/fileadmin/user_upload/Dokumente/Online-Schalter/MB/AHV-IV-FAK-MB-FMA-01-2022--Pensionierung_Personalvorsorge.pdf</t>
  </si>
  <si>
    <t>Art. 9 BPVG und Reglement der Vorsorgeeinrichtung prüfen.</t>
  </si>
  <si>
    <t>Folketrygden / staatliche Altersrente</t>
  </si>
  <si>
    <t>Laufende lebenslange Altersrente; keine allgemeine Kapitaloption.</t>
  </si>
  <si>
    <t>https://www.nav.no/alderspensjon/en</t>
  </si>
  <si>
    <t>Obligatorische betriebliche Altersversorgung</t>
  </si>
  <si>
    <t>Grundsätzlich periodische Auszahlung, regelmäßig mindestens über zehn Jahre bzw. bis zu einer gesetzlichen Altersgrenze. Bei kleinen Guthaben kann sich die Laufzeit verkürzen, ohne dass eine reguläre Einmalzahlung entsteht.</t>
  </si>
  <si>
    <t>https://www.regjeringen.no/en/topics/pensions-and-welfare/pensjonsreform/the-norwegian-pension-system-what-you-need-to-know/id3080293/</t>
  </si>
  <si>
    <t>Produktart (defined contribution/benefit) und Mindestlaufzeit prüfen.</t>
  </si>
  <si>
    <t>Laufende AHV-Rente; Beitragsrückvergütung für bestimmte ausländische Staatsangehörige ist kein allgemeines Kapitalwahlrecht.</t>
  </si>
  <si>
    <t>https://www.ahv-iv.ch/en/Social-insurances/Old-age-and-survivors-insurance-OASI/Old-age-pensions</t>
  </si>
  <si>
    <t>Berufliche Vorsorge (BVG, 2. Säule)</t>
  </si>
  <si>
    <t>Mindestens 25 % des Altersguthabens müssen auf Verlangen als Kapital auszahlbar sein; das Reglement kann einen höheren oder vollständigen Kapitalbezug zulassen.</t>
  </si>
  <si>
    <t>https://www.bsv.admin.ch/en/old-age-provision-occupational-benefits-plan
https://www.helvetia.com/ch/web/en/private-customers/guide/pension/pension-or-capital.html</t>
  </si>
  <si>
    <t>Reglement, Anmeldefrist und Zustimmung des Ehegatten prüfen.</t>
  </si>
  <si>
    <t>Kapitalisierung II. Säule</t>
  </si>
  <si>
    <t>Weitere Staaten</t>
  </si>
  <si>
    <t>Age Pension (wohn- und bedürftigkeitsbezogene staatliche Grundversorgung)</t>
  </si>
  <si>
    <t>Die Age Pension ist eine laufende, grundsätzlich vierzehntäglich gezahlte Sozialleistung. Ein allgemeines Wahlrecht, den künftigen Altersrentenanspruch als Kapitalbetrag abzufinden, besteht nicht. Vorschuss- oder Nachzahlungen sind keine Kapitalisierung des Rentenanrechts.</t>
  </si>
  <si>
    <t>https://www.servicesaustralia.gov.au/age-pension
https://www.servicesaustralia.gov.au/how-much-age-pension-you-can-get?context=22526</t>
  </si>
  <si>
    <t>Obligatorische Superannuation / Superannuation-Guarantee-System</t>
  </si>
  <si>
    <t>https://www.ato.gov.au/individuals-and-families/super-for-individuals-and-families/super/withdrawing-and-using-your-super/retirement-withdrawal-lump-sum-or-income-stream
https://www.ato.gov.au/individuals-and-families/super-for-individuals-and-families/super/withdrawing-and-using-your-super</t>
  </si>
  <si>
    <t>04.07.2026</t>
  </si>
  <si>
    <t>Auszahlungsbedingung, Fondsreglement, Steuerstatus und ggf. leistungsorientierte Garantien prüfen.</t>
  </si>
  <si>
    <t>CPP/QPP sowie Old Age Security (OAS)</t>
  </si>
  <si>
    <t>CPP und QPP werden als monatliche lebenslange Altersrenten gezahlt; auch OAS ist eine monatliche staatliche Altersleistung. Ein reguläres Wahlrecht, die erworbene Altersrente vollständig als Kapital zu beziehen, besteht nicht. Rückwirkende Sammelzahlungen oder der CPP death benefit sind keine Kapitalisierung der Altersrente.</t>
  </si>
  <si>
    <t>https://www.canada.ca/en/services/benefits/publicpensions/cpp.html
https://www.retraitequebec.gouv.qc.ca/en/citizens/retirement-planning/applying-your-retirement-pension/retirement-pension-quebec-pension-plan
https://www.canada.ca/en/services/benefits/publicpensions/old-age-security.html</t>
  </si>
  <si>
    <t>Arbeitgeberfinanzierte Registered Pension Plans, PRPP und locked-in Altersvorsorge</t>
  </si>
  <si>
    <t>Eingeschränkt / planabhängig</t>
  </si>
  <si>
    <t>https://www.canada.ca/en/financial-consumer-agency/services/retirement-planning/employer-sponsored-pension.html
https://www.osfi-bsif.gc.ca/en/supervision/pensions/administering-pension-plans/guidance-topic/unlocking-funds-pension-plan-or-locked-retirement-savings-plan
https://www.canada.ca/en/revenue-agency/services/tax/individuals/topics/rrsps-related-plans/transferring/registered-pension-plan-rpp-lump-payments.html</t>
  </si>
  <si>
    <t>Bundes- oder Provinzaufsicht, DB/DC-Struktur, Plantext, locked-in-Status und Kleinbetragsgrenzen prüfen.</t>
  </si>
  <si>
    <t>New Zealand Superannuation (NZ Super)</t>
  </si>
  <si>
    <t>NZ Super ist eine vierzehntäglich gezahlte staatliche Altersleistung. Ein allgemeines Wahlrecht, den Anspruch als Kapitalbetrag statt als laufende Leistung zu beziehen, besteht nicht.</t>
  </si>
  <si>
    <t>https://www.workandincome.govt.nz/eligibility/seniors/superannuation/index.html
https://www.workandincome.govt.nz/eligibility/seniors/superannuation/how-much-you-can-get.html</t>
  </si>
  <si>
    <t>KiwiSaver – arbeitsplatzbezogene, kapitalgedeckte Altersvorsorge</t>
  </si>
  <si>
    <t>Mit Erreichen des derzeitigen NZ-Super-Alters von 65 Jahren kann grundsätzlich das gesamte KiwiSaver-Guthaben abgerufen werden. Möglich sind vollständige oder teilweise Entnahmen; das Restguthaben kann im Scheme verbleiben. Frühere Entnahmen sind nur in gesetzlich geregelten Sonderfällen möglich.</t>
  </si>
  <si>
    <t>https://www.ird.govt.nz/kiwisaver/kiwisaver-individuals/getting-my-kiwisaver-when-i-retire
https://www.ird.govt.nz/kiwisaver/kiwisaver-individuals</t>
  </si>
  <si>
    <t>Scheme-Regeln, steuerliche Behandlung und eventuelle vorzeitige Ausnahmetatbestände prüfen.</t>
  </si>
  <si>
    <t>Nach Eintritt einer ges. Auszahlungsbedg – insbesondere Ruhestand nach Erreichen des preservation age oder Vollendung des 65. Lj. – kann Superannuation grundsätzlich als Einmalbetrag, als retirement income stream oder in einer Kombination bezogen werden. Für einzelne leistungsorientierte Fonds und Übergangsleistungen können Sonderregeln gelten.</t>
  </si>
  <si>
    <t>Regelm. werden lebensl. Renten, Annuitäten oder locked-in Übertragungen in LIRA/LIF/RRIF vorgesehen. Kapitalzahlungen können je nach Plan und Aufsichtsr. als transfer value, bei Beendigung der Mitgliedschaft oder bei Kleinbeträgen zulässig sein. Bei bundesr. regulierten Plänen kann ein Kleinbetrag unter den ges. Vorauss. ausgezahlt werden; weitergehende Entsperrungsmöglichk. sind eng begrenzt.</t>
  </si>
  <si>
    <t>UK State Pension (new State Pension / basic State Pension)</t>
  </si>
  <si>
    <t>Die State Pension wird als laufende Leistung, regelmäßig alle vier Wochen, gezahlt. Für die new State Pension besteht kein allgemeines Wahlrecht, den Rentenanspruch als Kapitalbetrag abzufinden. Historische Aufschub-Kapitaloptionen betrafen nur bestimmte Personen, die das State Pension Age vor dem 6. April 2016 erreicht hatten, und sind keine allgemeine aktuelle Kapitaloption.</t>
  </si>
  <si>
    <t>https://www.gov.uk/new-state-pension/when-youre-paid
https://www.gov.uk/new-state-pension/increase-retirement-income
https://www.gov.uk/government/publications/deferring-your-state-pension/state-pension-deferral-if-you-reached-state-pension-age-before-6-april-2016-extra-information</t>
  </si>
  <si>
    <t>Workplace pensions und private pensions (Defined Contribution / Defined Benefit)</t>
  </si>
  <si>
    <t>Bei Defined-Contribution-Pensionen kann das angesammelte Guthaben grundsätzlich vollständig oder in Teilbeträgen als Kapital entnommen, für Drawdown verwendet oder in eine Annuität umgewandelt werden. Üblicherweise können bis zu 25 % steuerfrei als Kapital bezogen werden; darüber hinausgehende Beträge unterliegen grundsätzlich der Einkommensteuer. Bei Defined-Benefit-Systemen ist regelmäßig nur eine planabhängige Teilkapitalisierung durch Umwandlung eines Rententeils sowie die Abfindung kleiner Anrechte möglich; eine vollständige Kapitalisierung besteht nicht allgemein.</t>
  </si>
  <si>
    <t>https://www.gov.uk/tax-on-pension/tax-free
https://www.gov.uk/personal-pensions-your-rights/how-you-can-take-pension
https://www.gov.uk/workplace-pensions/managing-your-pension
https://www.gov.uk/pension-types</t>
  </si>
  <si>
    <t>Zwischen Defined Contribution und Defined Benefit unterscheiden; Scheme-Reglement, Mindestalter, Lump Sum Allowance und Steuerfolgen prüfen.</t>
  </si>
  <si>
    <t>Bitte bachen Sie, dass immer eine genaue Prüfung der Quellen erforderlich ist. Ich übernehme als Autor keine Garantie für die Richtigkeit der gefundenen Ergebnisse. Diese habe ich - soweit wie möglich - überprüft und werde das auch im Jahresturnus wiederholen.</t>
  </si>
  <si>
    <t>Kapitalisierungs-möglichkeit</t>
  </si>
  <si>
    <t>Die Abfindung ausländischer Anrechte nach §§ 23, 24 VersAusglG …</t>
  </si>
  <si>
    <t>27'=95%</t>
  </si>
  <si>
    <t>1. Rentenalter und Lebenserwartung.
Kanada hat zwei zentrale gesetzliche Säulen: Old Age Security, OAS, als wohnsitzbezogene Grundrente ab 65, und den Canada Pension Plan, CPP, als beitragsbezogene Rente mit Regelalter 65; CPP kann ab 60 mit Abschlägen oder bis 70 mit Zuschlägen bezogen werden. Jahrgang 1976 erreicht 65 im Jahr 2041. Die aktuelle Restlebenserwartung eines Mannes mit 65 liegt in Kanada bei etwa 19,43 Jahren.
Voraussetzungen: OAS: kanad. Staatsangeh. od. legaler Aufenthalt &lt;= 10 Jahre, bei Auslandsaufenthalt kanad. Staatsangehörigkeit Höhe 2026: Aufenthaltsjahre in Kanada ab 18 / 40 x 751,97 CAD (2026).</t>
  </si>
  <si>
    <r>
      <t xml:space="preserve">70 Jahre. Die offizielle dänische Tabelle weist für Geburtsjahrgänge 1971 oder später ein Rentenalter von 70 Jahren aus. (Life in Denmark)
</t>
    </r>
    <r>
      <rPr>
        <b/>
        <u/>
        <sz val="11"/>
        <rFont val="Calibri"/>
        <family val="2"/>
      </rPr>
      <t xml:space="preserve">Folketpension: </t>
    </r>
    <r>
      <rPr>
        <u/>
        <sz val="11"/>
        <rFont val="Calibri"/>
        <family val="2"/>
      </rPr>
      <t xml:space="preserve"> Grundsätzlich sind dänische Staatsangehörigkeit, fester Wohnsitz und Mindestwohndauer erforderlich; für EU/EWR/Schweiz/UK und andere Gruppen gelten Ausnahmen. Volle Leistung verlangt je nach Rentenbeginn entweder 40 Jahre Wohnsitz oder – bei Rentenalter ab 1. Juli 2025 – Wohnsitz während mindestens 9/10 der Zeit vom 15. Lebensjahr bis zum Rentenalter; andernfalls Bruchteilspension.</t>
    </r>
  </si>
  <si>
    <t>Noch nicht endgültig bezifferbar. Für ab 1965 Geborene wird das Rentenalter an die Lebenserwartung gekoppelt; die Anpassung erfolgt nach finnischem Recht für künftige Jahrgänge. Für Jahrgang 1976 ist daher das exakte Regelalter noch nicht verbindlich festgelegt. (Eläketurvakeskus)
Kela-Altersrente: Erforderlich ist Wohnsitz in Finnland oder mindestens 3 Jahre Wohnsitz in Finnland nach Vollendung des 16. Lebensjahres; EU-/EWR-/Schweiz-/UK-Zeiten können bei mindestens einem Jahr Finnland berücksichtigt werden</t>
  </si>
  <si>
    <t>Mischsystem. Die earnings-related pension ist beitrags- und einkommensbezogen. Daneben bestehen national pension und guarantee pension als steuerfinanzierte Mindestsicherungselemente, die wesentlich an Wohnsitzzeiten anknüpfen. (Eläketurvakeskus)
National Pension 2026 maximal monatlich EUR 787,07 alleinstehend bzw. EUR 702,69 bei Ehe/Partnerschaft. Volle National Pension nur, wenn andere Renten höchstens EUR 66,54 monatlich betragen; darüber Kürzung um die Hälfte des übersteigenden Betrags. Guarantee Pension: volle Leistung EUR 990,90 monatlich, wenn die Gesamtrenten vor Steuer höchstens EUR 982,90 monatlich betragen; andere Renten werden grundsätzlich angerechnet.</t>
  </si>
  <si>
    <t>Überwiegend beitragsbezogen für die State Pension Contributory; daneben State Pension Non-Contributory als bedürftigkeitsabhängige, wohnsitzbezogene Leistung. (gov.ie)
Seit 2. Januar 2026 maximal EUR 288 wöchentlich für 66- bis 79-Jährige und EUR 298 wöchentlich ab 80 Jahren. Die Rate sinkt nach dem Ergebnis der Bedürftigkeitsprüfung; nach den irischen Hinweisen kommt ein Anspruch nur bei wöchentlichen Mitteln bis höchstens EUR 315 in Betracht.</t>
  </si>
  <si>
    <t>Derzeit grundsätzlich 67 Jahre, mit flexiblem Bezug ab 62 bei ausreichender Anwartschaft; für jüngere Jahrgänge wird das Rentenalter schrittweise an die Lebenserwartung angepasst. Für Jg. 1976 ist daher eine künftige Anhebung gegenüber 67 einzukalkulieren. (nav.no)
Mitgliedschaft in der norwegischen Sozialversicherung kann durch Wohnsitz oder Arbeit entstehen; Wohnsitz setzt grundsätzlich einen legalen Aufenthalt von mindestens 12 Monaten voraus. Für die Altersrente ist bei niedriger oder fehlender Erwerbsrente die trygdetid maßgeblich. Seit 2021 sind grundsätzlich mindestens 5 Jahre trygdetid erforderlich; volle Grund-/Garantieleistung setzt 40 Jahre trygdetid voraus. Trygdetid wird im Regelfall zwischen Alter 16 und 66 durch Wohnsitz oder Arbeit in Norwegen erworben.</t>
  </si>
  <si>
    <t>Mischsystem. Die National Insurance old-age pension beruht auf Wohn-/Arbeitszeiten und einkommensbezogenen Anwartschaften; volle Grundabsicherung setzt typischerweise 40 Jahre National-Insurance-Zeit voraus. (nav.no)
Ab 1. Mai 2026: Mindestpensionsniveau bei voller Versicherungszeit für Alleinstehende NOK 293.062 jährlich; weitere Mindestniveaus je nach Ehe-/Partner- und Einkommenskonstellation. Für die neuere Garantipension: NOK 253.787 jährlich hoher Satz bzw. NOK 234.765 jährlich ordentlicher Satz. Bei weniger als 40 Jahren erfolgt Kürzung.</t>
  </si>
  <si>
    <t>Voraussichtlich 68 Jahre und 3 Monate. Für Geborene von Januar 1976 bis September 1978 weist die SVB ein erwartetes AOW-Alter von 68 Jahren und 3 Monaten aus; endgültige Festlegung erfolgt wegen Lebenserwartungskopplung später. (SVB)
AOW ist formal eine Sozialversicherung, der Erwerb erfolgt aber typischerweise wohnsitz-/versicherungszeitbezogen: In den 50 Jahren vor dem AOW-Alter werden jährlich 2 % der vollen AOW erworben. Volle AOW bei 50 Versicherungsjahren; bei Lücken entsprechende Kürzung. Für nach dem 1. Januar 1950 Geborene ist mindestens ein Versicherungsjahr erforderlich. Das AOW-Alter beträgt u. a. 67 Jahre für Geburtsdaten 1. März 1957 bis 31. Dezember 1960 und 67 Jahre + 3 Monate für 1. Januar 1961 bis 30. September 1964.</t>
  </si>
  <si>
    <t>Wohnsitz-/Arbeitsortbezogene Grundrente. AOW-Anwartschaften entstehen grundsätzlich durch Wohnen oder Arbeiten in den Niederlanden; pro fehlendem Versicherungsjahr Kürzung um 2 %. (business.gov.nl)
Seit 1. Juli 2026 volle AOW monatlich: Alleinstehend EUR 1.662,16 brutto zzgl. EUR 104,78 Urlaubsgeldanspruch pro Monat; verheiratet/zusammenlebend je Person EUR 1.139,39 brutto zzgl. EUR 74,85 Urlaubsgeldanspruch pro Monat. Der Betrag hängt vom Familienstand und von der Zahl der Versicherungsjahre ab.</t>
  </si>
  <si>
    <t>Die Age Pension ist keine beitragsbezogene Anwartschaft wie die deutsche GRV. Anspruchsvoraussetzungen sind insbesondere Alter, australischer Wohnsitzstatus, Einkommens- und Vermögenstest sowie grundsätzlich mindestens 10 Jahre australischer Aufenthalt, davon entweder 10 Jahre ununterbrochen oder mehrere Zeiträume mit insgesamt mehr als 10 Jahren und mindestens einem zusammenhängenden Zeitraum von 5 Jahren; Ausnahmen bestehen z.B. für bestimmte humanitäre oder Witwen-/Übergangsfälle.
Daneben besteht die Superannuation Guarantee: Arbeitgeber müssen seit 1. Juli 2025 grundsätzlich 12 % der ordinary time earnings in ein Superannuation-Konto einzahlen. Dieses System ist kapitalgedeckt und für die wirtschaftliche Altersversorgung wichtig, aber nicht identisch mit der staatlichen Age Pension.
Maximal vierzehntägig: Alleinstehend insgesamt AUD 1.200,90; Paar je Person AUD 905,20, zusammen AUD 1.810,40. Darin enthalten sind Grundbetrag, Pension Supplement und Energy Supplement. Die tatsächliche Rente wird durch Income Test und Assets Test gekürzt; die Sätze werden regelmäßig zum 20. März und 20. September angepasst.</t>
  </si>
  <si>
    <t>Die australische Age Pension kann nach aktuellem Recht ab 67 Jahren bezogen werden; Jahrgang 1976 erreicht dieses Alter im Jahr 2043. Die amtliche australische Lebenstafel 2022–2024 weist für Männer mit 65 Jahren eine weitere Lebenserwartung von 20,1 Jahren aus, also ein erwartetes Alter von 85,1 Jahren; für 67-Jährige ist der Wert naturgemäß etwas niedriger, überschlägig etwa 18–19 weitere Jahre.
Ab 67 Jahren. Erforderlich sind australischer Wohnsitzstatus und grundsätzlich Aufenthalt in Australien am Antragstag. Regelmäßig müssen mindestens 10 Jahre australische Wohnsitzzeit, davon mindestens 5 Jahre durchgehend, vorliegen. Zusätzlich bestehen Einkommens- und Vermögenstests.</t>
  </si>
  <si>
    <t>Die staatliche New Zealand Superannuation, NZ Super, beginnt nach aktuellem Recht mit 65 Jahren. Jahrgang 1976 erreicht dieses Alter im Jahr 2041. Stats NZ weist für Männer mit 65 aktuell eine Lebenserwartung bis 84,7 Jahre, also weitere 19,7 Jahre, aus.
Ab 65 Jahren. Erforderlich sind Staatsangehörigkeit, Permanent Residence oder Residence Class Visa und gewöhnlicher Aufenthalt in Neuseeland, Cook Islands, Niue oder Tokelau im Zeitpunkt des Antrags. Zusätzlich ist eine Mindestwohndauer in Neuseeland ab Alter 20 erforderlich, einschließlich 5 Jahren nach Vollendung des 50. Lebensjahres; je nach Geburtsdatum steigt die erforderliche Gesamtwohndauer von 10 auf 20 Jahre.</t>
  </si>
  <si>
    <t>NZ Super ist keine beitragsbezogene Rente, sondern eine steuerfinanzierte, wohnsitzbezogene Grundversorgung. Für Personen, die 2026 im Jahrgang 1976 geboren sind, verlangt die Übergangsregel grundsätzlich 19 Jahre residence nach Vollendung des 20. Lebensjahres, darunter weiterhin mindestens 5 Jahre nach Vollendung des 50. Lebensjahres; außerdem müssen Alter 65, Staatsangehörigkeit/permanent residence bzw. residence class visa und gewöhnlicher Aufenthalt in Neuseeland, Cook Islands, Niue oder Tokelau bei Antragstellung erfüllt sein.
Daneben besteht KiwiSaver als gesetzlich reguliertes Altersvorsorgesystem: Arbeitnehmer können z.B. 3,5 %, 4 %, 6 %, 8 % oder 10 % des Entgelts beitragen; Arbeitgeber leisten für Mitglieder grundsätzlich einen Mindestbeitrag, der ab 1. April 2026 mit 3,5 % angegeben wird. KiwiSaver begründet aber nicht den Anspruch auf NZ Super.
Seit 1. April 2026 vierzehntägig: Alleinstehend alleinwohnend NZD 1.294,74 brutto bzw. NZD 1.110,30 netto nach M-Steuersatz; alleinstehend geteilt wohnend NZD 1.191,14 brutto; Ehepaar/Partner, beide anspruchsberechtigt, zusammen NZD 1.968,56 brutto bzw. NZD 1.708,16 netto nach M-Steuersatz. NZ Super ist grundsätzlich nicht einkommens- oder vermögensgeprüft; ausländische Renten können aber angerechnet werden.</t>
  </si>
  <si>
    <t>Prognostisch 68 Jahre als empfohlenes Rentenalter. Für Jahrgänge 1970–1981 weist die schwedische Pensionsbehörde derzeit ein empfohlenes Rentenalter von 68 aus; einkommensbezogene öffentliche Rente ist früher abrufbar, Grundsicherungskomponenten erst ab dem maßgeblichen Referenzalter. (pensionsmyndigheten.se)
Anspruch grundsätzlich ab dem schwedischen Zielrentenalter; für Geburtsjahrgänge 1960–1964 liegt dieses bei 67 Jahren. Erforderlich sind mindestens 3 Jahre Wohnsitz in Schweden; die volle Garantipension setzt 40 Wohnsitzjahre in Schweden vom 16. Lebensjahr bis zum Jahr vor Rentenbeginn voraus. Bei weniger als 40 Jahren Kürzung um 1/40 je fehlendem Jahr.</t>
  </si>
  <si>
    <t>Mischsystem. Die einkommensbezogene öffentliche Rente wird aus steuer-/beitragspflichtigem Einkommen erworben; die Garantierente ist eine Grundsicherungskomponente, die wesentlich an Wohnsitzzeiten in Schweden anknüpft. (pensionsmyndigheten.se)
2026 maximal monatlich SEK 11.988 für Alleinstehende und SEK 10.853 für Verheiratete. Eigene einkommensbezogene Renten und ausländische Renten mindern die Garantipension. Kein Anspruch besteht bei einkommensbezogener Rente ab ca. SEK 18.241 monatlich alleinstehend bzw. SEK 16.518 verheiratet.</t>
  </si>
  <si>
    <t>Sprung zur
 EU-Datenbank</t>
  </si>
  <si>
    <r>
      <t xml:space="preserve">Für Folkepension: nein, nicht beitragsbezogen. Für ATP: ja, gesetzliche Beiträge; die Leistung richtet sich nach Dauer der Versicherung und gezahlten Beiträgen. (Life in Denmark)
Folkepension: 2026 monatlich vor Steuer: Grundbetrag DKK  7.544 </t>
    </r>
    <r>
      <rPr>
        <sz val="11"/>
        <color rgb="FF000000"/>
        <rFont val="Cambria Math"/>
        <family val="1"/>
      </rPr>
      <t>≙</t>
    </r>
    <r>
      <rPr>
        <sz val="11"/>
        <color rgb="FF000000"/>
        <rFont val="Calibri"/>
        <family val="2"/>
      </rPr>
      <t xml:space="preserve"> 981 €. Pensionstillæg: DKK 8.729 für alleinstehende bzw. DKK 4.467 für Verheiratete/Zusammenlebende. Daraus ergeben sich maximal DKK 16.273 monatlich alleinstehend bzw. DKK 12.011 monatlich verheiratet/zusammenlebend. Der Zuschlag wird durch sonstige Einkünfte, insbesondere Kapital- und private/arbeitsmarktbezogene Renteneinkünfte, gekürzt; Erwerbseinkommen aus Arbeit mindert Grundbetrag und Zuschlag nicht</t>
    </r>
  </si>
  <si>
    <r>
      <t xml:space="preserve">Die new State Pension beruht grundsätzlich auf dem individuellen National Insurance record. Für irgendeinen Anspruch sind regelmäßig mindestens 10 qualifying years erforderlich; die Höhe richtet sich nach der Zahl der qualifying years. (GOV.UK)
Die Untergrenze der Leistungen ist 241,30 £ pro Woche </t>
    </r>
    <r>
      <rPr>
        <u/>
        <sz val="11"/>
        <color theme="1"/>
        <rFont val="Cambria Math"/>
        <family val="1"/>
      </rPr>
      <t>≙</t>
    </r>
    <r>
      <rPr>
        <u/>
        <sz val="11"/>
        <color theme="1"/>
        <rFont val="Calibri"/>
        <family val="2"/>
      </rPr>
      <t xml:space="preserve"> 282 €</t>
    </r>
  </si>
  <si>
    <t>Erstelle eine Tabelle der EU- und EFTA-Länder mit der Information, ob die Versorgungen in diesen Ländern gegebenenfalls kapitalisiert werden können und zwar separiert nach I. und II. Säule der Versorgungen. Wenn möglich verlinke jeweils in einer weiteren Spalte zu der entsprechenden Informationsquelle.</t>
  </si>
  <si>
    <t>Säule	US-amerikanisches System	Charakter
I. Säule	Social Security – OASDI: Old-Age, Survivors and Disability Insurance	Bundesgesetzliche, beitragsfinanzierte Alters-, Invaliditäts- und Hinterbliebenenversicherung
II. Säule	Arbeitgeberfinanzierte oder arbeitgeberbezogene Versorgungspläne, insbesondere Defined Benefit Plans, 401(k)-Pläne, 403(b)- und 457-Pläne	Kein einheitliches Pflichtsystem; Ausgestaltung grundsätzlich durch den jeweiligen Plan
III. Säule	Individual Retirement Accounts – IRA, Roth IRA und sonstige private Vorsorge	Individuelle, überwiegend steuerlich geförderte Vorsorge
Die Social Security wird bundesweit einheitlich geregelt. Die private betriebliche Altersversorgung unterliegt insbesondere dem Bundesgesetz ERISA, ist aber grundsätzlich freiwillig und planabhängig. Für Beschäftigte des Bundes, der Bundesstaaten und der Kommunen bestehen häufig eigene Versorgungssysteme, die teilweise nicht ERISA unterliegen. Das US-Arbeitsministerium unterscheidet bei den privaten Arbeitgeberplänen vor allem zwischen leistungsbezogenen Plänen – Defined Benefit – und beitragsbezogenen Plänen – Defined Contribution.</t>
  </si>
  <si>
    <t xml:space="preserve">Das gesetzliche Regelalter heißt Full Retirement Age – FRA, teilweise auch Normal Retirement Age – NRA.
Für die Geburtsjahrgänge ab 1960 beträgt es derzeit:
67 Jahre
Die Altersrente kann grundsätzlich bereits ab 62 Jahren bezogen werden. Der Abschlag ist versicherungsmathematisch ausgestaltet und wirkt lebenslang. Für eine Person mit FRA 67 ergeben sich ungefähr folgende Quoten:
Rentenbeginn	Quote der ungekürzten Rente
62	                                      70 %
63	                                      75 %
64	                                      80 %
65	                                     86,67 %
66	                                     93,33 %
67	                                   100 %
68	                                   108 %
69	                                   116 %
70	                                   124 %
Die tatsächliche Berechnung erfolgt monatsgenau. Das Ende einer Beschäftigung und der Beginn des Rentenbezugs müssen nicht zusammenfallen: Man kann weiterarbeiten und die Social-Security-Rente bereits beziehen oder ihren Beginn bis 70 aufschieben. (Social Security)
</t>
  </si>
  <si>
    <t>Social Security wird im Wesentlichen durch die Federal Insurance Contributions Act Taxes – FICA finanziert.
Für die eigentliche Renten-, Invaliditäts- und Hinterbliebenenversicherung – OASDI – gelten 2026:
Beitragspflichtiger	Beitragssatz
Arbeitnehmer	6,2 %
Arbeitgeber	6,2 %
zusammen	12,4 %
Selbstständige	grundsätzlich 12,4 %
Die OASDI-Beitragspflicht ist 2026 auf Arbeitsentgelt bis 184.500 US-Dollar begrenzt. Zusätzlich fallen regelmäßig Medicare-Beiträge von 1,45 % für Arbeitnehmer und Arbeitgeber an; diese finanzieren jedoch die Krankenversicherung und keinen eigenständigen Altersrentenanspruch. (Social Security)
Für einen eigenen Altersrentenanspruch werden regelmäßig 40 Credits benötigt. Dies entspricht bei durchgehender versicherter Beschäftigung ungefähr zehn Jahren, weil höchstens vier Credits pro Kalenderjahr erworben werden können.
Im Jahr 2026 wird ein Credit für jeweils 1.890 US-Dollar versichertes Arbeitsentgelt erworben. Mit 7.560 US-Dollar werden die höchstmöglichen vier Credits des Jahres erreicht. Die Credits bestimmen in erster Linie, ob ein Anspruch besteht; die Höhe der Rente richtet sich dagegen nach den versicherten Einkünften. (Social Security)</t>
  </si>
  <si>
    <t>Der Versorgungserwerb ist nicht vom legalen Aufenthalt als solchem, sondern von einer versicherten Erwerbstätigkeit abhängig. Grundsätzlich kann auch ein Nicht-US-Staatsbürger durch Social-Security-pflichtige Arbeit Credits erwerben.
Für die tatsächliche Auszahlung an Nicht-US-Staatsbürger bestehen zusätzliche aufenthalts- und ausländerrechtliche Vorschriften. Bei neueren Leistungsanträgen muss sich ein Nicht-US-Staatsbürger grundsätzlich rechtmäßig in den USA aufhalten, soweit nicht eine gesetzliche oder abkommensrechtliche Ausnahme eingreift. Bei dauerhaftem Aufenthalt außerhalb der USA gelten besondere Auslandszahlungsregeln. (Social Security)</t>
  </si>
  <si>
    <t>Die Dynamisierung in der Anwartschaftsphase erfolgt nicht durch eine jährliche Verzinsung eines individuellen Kontos. Stattdessen werden frühere beitragspflichtige Einkünfte bis zum maßgeblichen Indexierungsjahr anhand der Entwicklung des nationalen Durchschnittslohns aufgewertet.
Auch die Schwellenwerte der progressiven Rentenformel – die sogenannten Bend Points – werden grundsätzlich entsprechend der allgemeinen Lohnentwicklung angepasst. Dadurch folgt der Wert neu festgestellter Renten langfristig eher der Lohnentwicklung als der Verbraucherpreisentwicklung. (Social Security)</t>
  </si>
  <si>
    <t>Laufende Social-Security-Renten werden jährlich durch einen Cost-of-Living Adjustment – COLA angepasst. Maßgeblich ist die Entwicklung des Consumer Price Index for Urban Wage Earners and Clerical Workers – CPI-W im dritten Quartal gegenüber dem maßgeblichen Vergleichsquartal.
Für 2026 beträgt die COLA-Anpassung 2,8 %. Die Anpassung schützt grundsätzlich vor Preissteigerungen, folgt aber nicht zwingend der individuellen Kostenentwicklung eines Rentners. (Social Security)</t>
  </si>
  <si>
    <t>Social Security umfasst eine eigenständige Invaliditätsversicherung. Erforderlich sind insbesondere:
•	eine nach US-Recht qualifizierende, voraussichtlich mindestens zwölf Monate dauernde oder zum Tod führende Erwerbsunfähigkeit;
•	genügend aktuelle und insgesamt zurückgelegte Credits;
•	eine medizinische und berufliche Prüfung durch die Social Security Administration.
Die SSDI-Leistung entspricht grundsätzlich der vollen Primary Insurance Amount. Sie ist damit wirtschaftlich etwa mit 100 % der ungekürzten Altersrente beim Full Retirement Age gleichzusetzen. Beim Erreichen des FRA wird die Invaliditätsrente automatisch in eine Altersrente umgewandelt; der Betrag verändert sich allein deshalb grundsätzlich nicht. (Social Security)</t>
  </si>
  <si>
    <t>Für Witwen und Witwer bestehen abhängig von Alter und Umständen insbesondere folgende Quoten:
Hinterbliebener	Mögliche Leistung
Ehegatte ab Survivor Full Retirement Age	bis zu 100 % der maßgeblichen Versichertenrente
Ehegatte ab 60 vor Survivor FRA	ungefähr 71,5 % bis 99 %
behinderter Ehegatte ab 50	regelmäßig etwa 71,5 %
anspruchsberechtigtes Kind	grundsätzlich 75 %
betreuender Ehegatte mit Kind unter 16 oder behindertem Kind	grundsätzlich 75 %
Die Leistungen können durch den Family Maximum begrenzt werden. Hinterbliebenen- und eigene Altersrenten werden nicht ohne Weiteres vollständig addiert; regelmäßig wird im Ergebnis die höhere Gesamtleistung gezahlt. (Social Security)</t>
  </si>
  <si>
    <t>Ein geschiedener Ehegatte kann eine Hinterbliebenenleistung erhalten, wenn insbesondere:
1.	die Ehe mindestens zehn Jahre bestanden hat;
2.	der geschiedene Ehegatte grundsätzlich mindestens 60 Jahre alt ist;
3.	bei eigener Invalidität ein Bezug bereits ab 50 möglich ist;
4.	grundsätzlich keine Wiederheirat vor Vollendung des 60. Lebensjahres vorliegt;
5.	der verstorbene frühere Ehegatte ausreichend versichert war.
Eine Wiederheirat nach Vollendung des 60. Lebensjahres – bei Behinderung nach 50 – schließt den Anspruch regelmäßig nicht aus. Die Leistung des geschiedenen Ehegatten vermindert grundsätzlich nicht die Leistung eines gegenwärtigen Ehegatten oder anderer Familienangehöriger. (Social Security)
Diese Leistung ist von der Altersleistung für geschiedene Ehegatten zu Lebzeiten des Versicherten zu unterscheiden.</t>
  </si>
  <si>
    <t>Social-Security-Leistungen sind auf Bundesebene abhängig vom Gesamteinkommen teilweise steuerpflichtig. Maßgeblich ist ein modifiziertes Einkommen, das insbesondere umfasst:
•	sonstiges steuerpflichtiges Einkommen,
•	steuerfreie Zinsen,
•	50 % der Social-Security-Leistungen.
Nach derzeitiger Rechtslage können bei höheren Einkommen bis zu 85 % der Social-Security-Leistung in die steuerliche Bemessungsgrundlage einbezogen werden. Das bedeutet nicht, dass ein Steuersatz von 85 % gilt. Der einbezogene Anteil unterliegt dem persönlichen Einkommensteuersatz.</t>
  </si>
  <si>
    <t>Auf reguläre Social-Security-Renten und auf Auszahlungen aus qualifizierten betrieblichen Altersvorsorgeplänen fallen grundsätzlich keine erneuten FICA- oder Medicare-Lohnabgaben an. Es handelt sich um Versorgungsleistungen und nicht um Arbeitsentgelt.
Bei 401(k)-Beiträgen ist zu beachten:
•	Arbeitnehmerbeiträge werden zwar regelmäßig von der laufenden US-Einkommensteuer zurückgestellt;
•	sie unterliegen in der Erwerbsphase grundsätzlich dennoch der Social-Security- und Medicare-Beitragspflicht;
•	die spätere Auszahlung wird nicht erneut mit diesen Lohnabgaben belastet. (Internal Revenue Service)
Medicare-Prämien können gegebenenfalls direkt von der Social-Security-Rente einbehalten werden. Sie sind jedoch Krankenversicherungsprämien und keine einkommensabhängige Sozialabgabe auf die Rentenleistung.</t>
  </si>
  <si>
    <t>Social-Security</t>
  </si>
  <si>
    <r>
      <t xml:space="preserve">Eine reguläre Kapitalisierung oder Abfindung des Social-Security-Altersrentenanspruchs ist </t>
    </r>
    <r>
      <rPr>
        <b/>
        <sz val="11"/>
        <color rgb="FF000000"/>
        <rFont val="Calibri"/>
        <family val="2"/>
      </rPr>
      <t>nicht vorgesehen</t>
    </r>
    <r>
      <rPr>
        <sz val="11"/>
        <color rgb="FF000000"/>
        <rFont val="Calibri"/>
        <family val="2"/>
      </rPr>
      <t xml:space="preserve">. Die Altersrente wird als lebenslange monatliche Leistung erbracht. Der Versicherte kann lediglich den Beginn zwischen 62 und 70 wählen und damit die Höhe der Monatsrente beeinflussen. </t>
    </r>
  </si>
  <si>
    <t>https://www.ssa.gov/retirement/plan-for-retirement</t>
  </si>
  <si>
    <t>Die Kapitalisierung hängt vom Plantyp ab:
Plantyp	Kapitalisierung
401(k)/Defined Contribution	häufig vollständige oder teilweise Einmalzahlung möglich
Defined Benefit	grundsätzlich lebenslange Rente; Kapitalabfindung nur, wenn der Plan sie vorsieht
Cash Balance Plan	häufig Kapitalzahlung oder Übertragung auf IRA beziehungsweise anderen Plan möglich
geringe Anwartschaften	unter bestimmten Voraussetzungen einseitige Abfindung durch den Plan möglich
Bei verheirateten Teilnehmern kann für die Wahl einer Kapitalzahlung anstelle einer QJSA die Zustimmung des Ehegatten erforderlich sein. Eine steuerneutrale Übertragung – Direct Rollover – auf einen anderen qualifizierten Plan oder IRA ist häufig möglich. (DOL)</t>
  </si>
  <si>
    <t>Für Versorgunen der II. und III. Säule existiert eine gesetzliche Teilungsmöglichkeit called "QDRO" (Quaified Domestic Relations Order), die eine gerichtliche Aufteilung von Versorgungsansprüchen zum unterhaltsrechtlichen oder vermögensrechtlichen Ausgleich ermöglicht. (https://www.dol.gov/node/25154)</t>
  </si>
  <si>
    <t>Die jährlichen Prozentsätze entsprechen der historischen COLA-Aufstellung der Social Security Administration. Für 2026 beträgt die Anpassung 2,8 % und gilt für die ab Januar 2026 ausgezahlten Leistungen.</t>
  </si>
  <si>
    <t>Eine Anfang 2017 monatlich gezahlte Social-Security-Rente von beispielsweise 1.000 US-$ ist durch die allgemeinen COLA-Anpassungen bis 2026 rechnerisch auf rund 1.354,94 US-$ monatlich gestiegen. Individuelle Abzüge, insbesondere Medicare-Prämien, können dazu führen, dass die Erhöhung des tatsächlich ausgezahlten Nettobetrags geringer ausfällt.</t>
  </si>
  <si>
    <t>Inflation in den erfassten Staaten</t>
  </si>
  <si>
    <t>Daten und Informationen zur Abfindungsberecnung</t>
  </si>
  <si>
    <t>Lebenshaltungskostenvergleich 
Deutschland / erfasste Länder</t>
  </si>
  <si>
    <r>
      <t xml:space="preserve">In dieser Excel-Datei finden Sie eine Fülle von Informationen zur Vielfalt und Kreativität von mehr als 30 europäische und einigen außereuropäischen Altersversorgungssystemen . Das ist jedoch kein Selbstzweck - auch wenn das schon Grund genug gewesen wäre, diese Daten zusammenzutragen. Die hier gesammelten Daten zu den </t>
    </r>
    <r>
      <rPr>
        <b/>
        <sz val="11"/>
        <color rgb="FF000000"/>
        <rFont val="Calibri"/>
        <family val="2"/>
      </rPr>
      <t>Versorgungssystemen der 36 Staaten erfassen rd. 913 Millonen Einwohner</t>
    </r>
    <r>
      <rPr>
        <sz val="11"/>
        <color rgb="FF000000"/>
        <rFont val="Calibri"/>
        <family val="2"/>
      </rPr>
      <t xml:space="preserve"> und damit die Versorgungssysteme der I. und II Säule von rd.</t>
    </r>
    <r>
      <rPr>
        <b/>
        <sz val="11"/>
        <color rgb="FF000000"/>
        <rFont val="Calibri"/>
        <family val="2"/>
      </rPr>
      <t xml:space="preserve"> 11% der Erdbevölkerung, die rd. 50% des weltweiten Bruttosozialprodukts repräsentieren</t>
    </r>
    <r>
      <rPr>
        <sz val="11"/>
        <color rgb="FF000000"/>
        <rFont val="Calibri"/>
        <family val="2"/>
      </rPr>
      <t xml:space="preserve">. Es bleibt also noch viel zu tun, aber es ist auch schon einiges getan.
Immer öfter haben wir es im Versorgungsausgleich mit Versorgungen anderer Staaten zu tun, die ehezeitlich von den Beteiligten erworben und bei Scheidung zum Ausgleich anstehen. 
Wie soll man sie bewerten? Wie kommt man an die Informationen über die Versorgungen und wie soll man sie im Scheidungsfall in den Ausgleich zwischen den Ehegatten integrieren. 
Gehen wir z.B- von den deutschen oder den </t>
    </r>
    <r>
      <rPr>
        <b/>
        <sz val="11"/>
        <color rgb="FF000000"/>
        <rFont val="Calibri"/>
        <family val="2"/>
      </rPr>
      <t>Sterblichkeitsannahmahmen</t>
    </r>
    <r>
      <rPr>
        <sz val="11"/>
        <color rgb="FF000000"/>
        <rFont val="Calibri"/>
        <family val="2"/>
      </rPr>
      <t xml:space="preserve"> des Landes aus, aus dem die Versorgung stammt? Zwischen der Lebenserwartung eines Bulgaren im Alter von 65 Jahren mit 13,3 Jahren eines Deutschen im gleichen Alter von 17,4 und eines Schweizers mit 19,6 und eines  Australiers mit 20,3 Jahren klaffen "Welten" oder auch schnell mal ein 20% höherer oder geringerer Abfindungswert.
Sind in die Berechnung - ggfls. auch über § 27 VersAusglG - auch </t>
    </r>
    <r>
      <rPr>
        <b/>
        <sz val="11"/>
        <color rgb="FF000000"/>
        <rFont val="Calibri"/>
        <family val="2"/>
      </rPr>
      <t>unterschiedliche Lebenshaltungskosten</t>
    </r>
    <r>
      <rPr>
        <sz val="11"/>
        <color rgb="FF000000"/>
        <rFont val="Calibri"/>
        <family val="2"/>
      </rPr>
      <t xml:space="preserve"> und Inflationsannahmen beim Ausgleich zu berücksichtigen? Es macht doch schließlich einen Unterschied, wenn man 500 € in der Schweiz oder in Deutschland erhält, wenn die Lebenshaltungskosten in der Schweiz 59% über denen in Deutschland liegen.
Spielt die </t>
    </r>
    <r>
      <rPr>
        <b/>
        <sz val="11"/>
        <color rgb="FF000000"/>
        <rFont val="Calibri"/>
        <family val="2"/>
      </rPr>
      <t>Geldentwertung durch Inflation</t>
    </r>
    <r>
      <rPr>
        <sz val="11"/>
        <color rgb="FF000000"/>
        <rFont val="Calibri"/>
        <family val="2"/>
      </rPr>
      <t xml:space="preserve"> wirklich für den Versorgungsausgleich keine Rolle? Im 10-Jahres-Durchschnitt liegt Deutschland mit 2,43% fast um die Hälfte niedriger als Ungarn. kann oder muss das im Versorgungsausgleich wirklich unberücksichtigt bleiben? Ist der </t>
    </r>
    <r>
      <rPr>
        <b/>
        <sz val="11"/>
        <color rgb="FF000000"/>
        <rFont val="Calibri"/>
        <family val="2"/>
      </rPr>
      <t xml:space="preserve">BilMoG-10 Zins </t>
    </r>
    <r>
      <rPr>
        <sz val="11"/>
        <color rgb="FF000000"/>
        <rFont val="Calibri"/>
        <family val="2"/>
      </rPr>
      <t xml:space="preserve">des deutschen Handelsrechts (§ 253 HGB) tatsächlich geeignet, den Wert einer abzufindenden Versorgung im Ausland richtig zu bemessen? Oder orientiert man sich besser am anzunehmenden Inflationssatz der Herkunftslandes der Versorgung?
Und schließlich die </t>
    </r>
    <r>
      <rPr>
        <b/>
        <sz val="11"/>
        <color rgb="FF000000"/>
        <rFont val="Calibri"/>
        <family val="2"/>
      </rPr>
      <t>Geschiedenen-Hinterbliebenenversorgung:</t>
    </r>
    <r>
      <rPr>
        <sz val="11"/>
        <color rgb="FF000000"/>
        <rFont val="Calibri"/>
        <family val="2"/>
      </rPr>
      <t xml:space="preserve"> kann man die Abfindung des Anrechts der ausglpfl. Person Verlangen, wenn der Versorgungsträger bei Versterben der ausglpfl. Person an die geschiedene Ehefrau eine Hinterbliebenenversorgung zahlt und in welchen Fällen ist dies der Fall?
Schlussendlich ist auch die </t>
    </r>
    <r>
      <rPr>
        <b/>
        <sz val="11"/>
        <color rgb="FF000000"/>
        <rFont val="Calibri"/>
        <family val="2"/>
      </rPr>
      <t>Kapitalisierungsgefahr</t>
    </r>
    <r>
      <rPr>
        <sz val="11"/>
        <color rgb="FF000000"/>
        <rFont val="Calibri"/>
        <family val="2"/>
      </rPr>
      <t xml:space="preserve"> zu bedenken. In vielen Ländern können Versorgungen leicht kapitalisiert und damit dem VA entzogen werden. § 22 VersAusglG hilft nicht immer und wird oft vergessen. Mit der Kapitalisierung von Versorgungen können aber auch </t>
    </r>
    <r>
      <rPr>
        <b/>
        <sz val="11"/>
        <color rgb="FF000000"/>
        <rFont val="Calibri"/>
        <family val="2"/>
      </rPr>
      <t>Chancen für die Beteiligten</t>
    </r>
    <r>
      <rPr>
        <sz val="11"/>
        <color rgb="FF000000"/>
        <rFont val="Calibri"/>
        <family val="2"/>
      </rPr>
      <t xml:space="preserve"> erzeugt werden, wenn nämlich der Kapitalbetrag z.G. der ausglber. Person in die DRV gezahlt wird und dadurch eine höhere Rendite und Rente als in der Quellversorgung erzielt werden kann.
Diese Datenbank hilft Ihnen, Sand ins Getriebe der Routine und der Gedankenlosigkeit zu streuen. Sie liefert belastbare statistische und juristische Argumente, es einmal anders zu machen, ohne, dass Ihnen die Entscheidung über die "Stellschrauben" der Bewertung einer Versorgung abgenommen wird. Sie allein entscheiden, ob Sie dem einen oder anderen Gedanken folgen und können das in die Berechnung eines Ausgleichswerts nahtlos einfließen lassen. Versuchen Sie es.
Wenn Sie Ideen zur Verbesserung der Datenbank haben, lassen Sie es mich bitte wissen: Jörn Hauß, FA-FamR, Duisburg / Augsburg, Hauss@Anwaelte-DU.de.</t>
    </r>
  </si>
  <si>
    <t xml:space="preserve">USA </t>
  </si>
  <si>
    <t>UK</t>
  </si>
  <si>
    <t xml:space="preserve">Polen </t>
  </si>
  <si>
    <t>IR-Zuschlag (D):</t>
  </si>
  <si>
    <t>HR_Zuschlag (D):</t>
  </si>
  <si>
    <t>Lebenserwartung in 47 Ländern Europas, geschlechts- und Altersabhängig
Entwicklung 2013 - 2022</t>
  </si>
  <si>
    <t>Lebenserwartung europaweit</t>
  </si>
  <si>
    <t>Länderübersicht</t>
  </si>
  <si>
    <r>
      <t xml:space="preserve">"Ich benötige gründliche Informationen über das gesetzliche Rentensystem in &lt;Ländername einfügen&gt;._x000B_Dabei geht es insbesondere um folgende Fragen:
A.Wie sind die Regelungen des Regel-Renteneintrittsalters für die Versorgungen der I. und II. Säule?
I.  Wie wäre das  Renteneintrittsalter für eine </t>
    </r>
    <r>
      <rPr>
        <b/>
        <sz val="11"/>
        <color rgb="FF000000"/>
        <rFont val="Calibri"/>
        <family val="2"/>
      </rPr>
      <t>&lt;…&gt; Jahre alte &lt;Geschlecht angeben&gt; Person des Geburtsjahrgangs &lt;....&gt;</t>
    </r>
    <r>
      <rPr>
        <sz val="11"/>
        <color rgb="FF000000"/>
        <rFont val="Calibri"/>
        <family val="2"/>
      </rPr>
      <t>, 
II. Von welcher Lebenserwartung geht man in dem Land bei diesem Renteneintrittsalter aus?
B. Die Grundsätze des Versorgungserwerbs in diesem Versorgungssystem.
I. Findet der Erwerb aufgrund von Beiträger der Arbeitnehmer und/oder Arbeitgeber statt?
II. Erfolgt der Versorgungserwerb aufgrund eines legalen Aufenthalts in dem Land, gibt es dafür zusätzlich Bedingungen, wie z.B. bestimmte Aufenthaltsdauer?
C. Dynamisierung
I. Wie ist die Dynamisierung (Erhöhung) der Versorgung in der Anwartschaftsphase geregelt?
II. Wie ist die Dynamisierung (Erhöhung) der Versorgung in der Leistungsphase geregelt? 
D. Leistungsspektrum
I. Gewährt das Versorgungssystem eine Invaliditätsrente und falls ja, wie ist deren Quote zur Altersrente?
II. Gewährt das Versorgungssystem eine Hinterbliebenenversorgung und falls ja, wie ist deren Quote zur Altersrente?
III. Gewährt das Versorgungssystem eine Hinterbliebenenversorgung für geschiedene Ehegatten (Geschiedenenhinterbliebenenversorgung) und falls ja, was sind die Bedingungen für deren Bezug?
E. Unterliegen die Leistungen der Versorgung der Besteuerung und wenn ja, in welchem Umfang?
F. Sind aus diesen Versorgungen erfolgende Leistungen mit Sozialabgaben belastet und wenn ja, in welchem Umfang?
G. besteht die Möglichkeit der Kapitalisierung der Versorgung?
H. Existiert mit dem Land ein Doppelbesteuerungsabkommen?
I. Wie hoch ist die Inflation in dem Land über die letzten 5 bzw. 10 Jahre gewesen? 
J. Existiert für das ausgewählte Land ein Rentenrechner, der die Dimensionierung des Versorgungserwerbs ermöglicht?
Bitte benutze möglichst die gleichen Gliederungebenen. Sollten weitere Unterebenen vorhanden sein, wären die 1. und a.
Verlinke die Ausführungen zu den angefragten Ländern mit den benutzten Quellen.
Gib bitte - wenn möglich - auch den Aktualisierungsstan der benutzten Quellen an."</t>
    </r>
  </si>
  <si>
    <t>Ich benötige eine tabellarische Aufstellung der  prozentualen Rentenerhöhungen der gesetzlichen Rentensysteme der Länder... für die Jahre 2015 bis 2026 (soweit für 2026 schon verfügbar). Bitte mit Verlinkung zu den jeweiligen Quellen.</t>
  </si>
  <si>
    <r>
      <t xml:space="preserve">Diese Excel-Tabelle ist eigentlich eine Datenbank. In ihr finden Sie Informationen aus 32 Ländern Europas und einigen demokratisch und rechtsstaatlichen Ländern außerhalb Europas zu wichtigen Fragen der in diesen Ländern geltenden gesetzlichen Alters-, Invaliditäts- und Hinterbliebenenversorgungen.  Zu jedem EU- und EFTA-Land sind die Versorgungssysteme unter 103 einheitlichen Stichworten zusammengetragen (MISSOC der EU-Kommission). Die Datenbank enthält allein für die Auszüge aus dieser Datenbank rd. 3.300 Datensätze. Daneben habe ich für die EU-Länder, Kanada, Australien und Neuseeland uns USA die für den VA wichtigen Daten in einer "Kurzübersicht" gesondert KI-gestützt zusammengetragen und zu den Quellen verlinkt.
</t>
    </r>
    <r>
      <rPr>
        <b/>
        <sz val="10"/>
        <color rgb="FF000000"/>
        <rFont val="Calibri"/>
        <family val="2"/>
      </rPr>
      <t xml:space="preserve">Warum nun diese Aufarbeitung? </t>
    </r>
    <r>
      <rPr>
        <sz val="10"/>
        <color rgb="FF000000"/>
        <rFont val="Calibri"/>
        <family val="2"/>
      </rPr>
      <t xml:space="preserve">Ganz einfach: wir haben es im Familienrecht immer häufiger mit meist europäischen Versorgungen zu tun. Oft haben die anwaltlichen Vertretungen und Gerichte kaum Kenntnisse der Einzelheiten dieser Versorgungssysteme und wissen auch nicht, woher die diese Kenntnisse gewinnen sollen. Mit dieser Datenbank soll daher schnell und einfach zu bedienende Abhilfe geschaffen werden. Das ersetzt bei werthaltigen Versorgungen das Gutachten nicht, macht aber die Prüfung eines Gutachtens einfacher. </t>
    </r>
    <r>
      <rPr>
        <b/>
        <sz val="10"/>
        <color rgb="FF000000"/>
        <rFont val="Calibri"/>
        <family val="2"/>
      </rPr>
      <t>Ganz besonders hilfreich sind die Daten zur Abschätzung, ob ein Streit lohnt</t>
    </r>
    <r>
      <rPr>
        <sz val="10"/>
        <color rgb="FF000000"/>
        <rFont val="Calibri"/>
        <family val="2"/>
      </rPr>
      <t xml:space="preserve">. Alle EU-Länder haben nämlich </t>
    </r>
    <r>
      <rPr>
        <b/>
        <sz val="10"/>
        <color rgb="FF000000"/>
        <rFont val="Calibri"/>
        <family val="2"/>
      </rPr>
      <t>Rentenrechner</t>
    </r>
    <r>
      <rPr>
        <sz val="10"/>
        <color rgb="FF000000"/>
        <rFont val="Calibri"/>
        <family val="2"/>
      </rPr>
      <t xml:space="preserve">, die einfach zu bedienen sind und eine Dimensionierung des ehezeitl. Versorgungserwerbs ermöglichen. Diese sind verlinkt.
Durch Anklicken der Ländernamen in der nebenstehenden Liste gelangen Sie schnell zum Land Ihrer Wahl. Zurück geht es, indem Sie auf die klassische Schaltfläche </t>
    </r>
    <r>
      <rPr>
        <sz val="10"/>
        <color rgb="FF000000"/>
        <rFont val="Webdings"/>
        <family val="1"/>
        <charset val="2"/>
      </rPr>
      <t>9</t>
    </r>
    <r>
      <rPr>
        <sz val="10"/>
        <color rgb="FF000000"/>
        <rFont val="Calibri"/>
        <family val="2"/>
      </rPr>
      <t xml:space="preserve"> klicken. Wenn Sie zu dieser Seite zurückspringen wollen, reicht der Klick auf</t>
    </r>
    <r>
      <rPr>
        <b/>
        <sz val="11"/>
        <color rgb="FF000000"/>
        <rFont val="Calibri"/>
        <family val="2"/>
      </rPr>
      <t xml:space="preserve"> V</t>
    </r>
    <r>
      <rPr>
        <b/>
        <sz val="10"/>
        <color rgb="FF00B050"/>
        <rFont val="Calibri"/>
        <family val="2"/>
      </rPr>
      <t>E</t>
    </r>
    <r>
      <rPr>
        <b/>
        <sz val="10"/>
        <color rgb="FF0070C0"/>
        <rFont val="Calibri"/>
        <family val="2"/>
      </rPr>
      <t>u</t>
    </r>
    <r>
      <rPr>
        <b/>
        <sz val="10"/>
        <color rgb="FFFFC000"/>
        <rFont val="Calibri"/>
        <family val="2"/>
      </rPr>
      <t>r</t>
    </r>
    <r>
      <rPr>
        <b/>
        <sz val="10"/>
        <color rgb="FFC00000"/>
        <rFont val="Calibri"/>
        <family val="2"/>
      </rPr>
      <t>o</t>
    </r>
    <r>
      <rPr>
        <b/>
        <sz val="10"/>
        <color theme="0"/>
        <rFont val="Calibri"/>
        <family val="2"/>
      </rPr>
      <t>p</t>
    </r>
    <r>
      <rPr>
        <b/>
        <sz val="11"/>
        <color rgb="FF0070C0"/>
        <rFont val="Calibri"/>
        <family val="2"/>
      </rPr>
      <t>A</t>
    </r>
    <r>
      <rPr>
        <sz val="10"/>
        <color rgb="FF000000"/>
        <rFont val="Calibri"/>
        <family val="2"/>
      </rPr>
      <t xml:space="preserve">. Da 103 Datensätze nicht ganz einfach zu durchstöbern sind, habe ich Ihnen diese Arbeit etwas erleichtert: Sie finden in der ersten Zeile mit den Überschriften für jede Spalte einen kleinen Auswahlpfeil. wenn Sie darauf klicken, können Sie Ihre Suche strukturieren:	
Suchen Sie z.B. Länderinformationen zur Altersrente, klicken Sie in der Spalte "B" auf den Auswahlpfeil, deaktivieren die Checkbox "Alles auswählen" und aktivieren die Checkbox "Alter". Damit grenzen Sie die Auswahl auf halbwegs überschaubare 28 Datensätze ein. In der Spalte "C" können Sie nun auf gleiche Weise eine weitere Konkretisierung Ihrer Anfrage aus insgesamt 7 Unterbegriffen vornehmen und beispielsweise die Belastung der Renten mit Sozial- und Steuerabgaben erfahren. In Spalte "D" schließlich können Sie nach allen Suchbegriffen der Datenbank suchen wenn Sie in den vorherigen Spalten eine Eingrenzungen vorgenommen haben.
Eigentlich ist das aber gar nicht nötig. Schauen Sie einfach zunächst in das </t>
    </r>
    <r>
      <rPr>
        <b/>
        <sz val="10"/>
        <color rgb="FF000000"/>
        <rFont val="Calibri"/>
        <family val="2"/>
      </rPr>
      <t>Blatt Abfindungsberechnung</t>
    </r>
    <r>
      <rPr>
        <sz val="10"/>
        <color rgb="FF000000"/>
        <rFont val="Calibri"/>
        <family val="2"/>
      </rPr>
      <t xml:space="preserve">. Das besteht aus 2 Teilen. Links haben Sie die "Fallinformationen" zur Berechnung der Abfindung eines sVA-Anspruchs und rechts die Infos zu Ihrem ausgewählten Land. Sie werden damit nicht automatisch zum Sachverständigen, bekommen aber ein 'Gefühl' für die auszugleichende Versorgung. Gelb leuchtende Felder sollten Sie ausfüllen. Versuchen Sie es einfach, mehr als scheitern können Sie nicht. 
Wenn Sie sich jetzt ein bisschen Zeit nehmen finden Sie die </t>
    </r>
    <r>
      <rPr>
        <b/>
        <sz val="10"/>
        <color rgb="FF000000"/>
        <rFont val="Calibri"/>
        <family val="2"/>
      </rPr>
      <t>Rspr. zu den Versorgungen</t>
    </r>
    <r>
      <rPr>
        <sz val="10"/>
        <color rgb="FF000000"/>
        <rFont val="Calibri"/>
        <family val="2"/>
      </rPr>
      <t xml:space="preserve">, den </t>
    </r>
    <r>
      <rPr>
        <b/>
        <sz val="10"/>
        <color rgb="FF000000"/>
        <rFont val="Calibri"/>
        <family val="2"/>
      </rPr>
      <t>offiziellen Rentenrechner</t>
    </r>
    <r>
      <rPr>
        <sz val="10"/>
        <color rgb="FF000000"/>
        <rFont val="Calibri"/>
        <family val="2"/>
      </rPr>
      <t>,</t>
    </r>
    <r>
      <rPr>
        <b/>
        <sz val="10"/>
        <color rgb="FF000000"/>
        <rFont val="Calibri"/>
        <family val="2"/>
      </rPr>
      <t xml:space="preserve"> Dynamisierungswerte </t>
    </r>
    <r>
      <rPr>
        <sz val="10"/>
        <color rgb="FF000000"/>
        <rFont val="Calibri"/>
        <family val="2"/>
      </rPr>
      <t xml:space="preserve">der Versorgung und </t>
    </r>
    <r>
      <rPr>
        <b/>
        <sz val="10"/>
        <color rgb="FF000000"/>
        <rFont val="Calibri"/>
        <family val="2"/>
      </rPr>
      <t>Inflationswerte</t>
    </r>
    <r>
      <rPr>
        <sz val="10"/>
        <color rgb="FF000000"/>
        <rFont val="Calibri"/>
        <family val="2"/>
      </rPr>
      <t xml:space="preserve"> des Landes und Vieles mehr. Und wenn Sie ganz viel Zeit haben, können Sie auch auf die von der EU-Kommission zusammengestellten </t>
    </r>
    <r>
      <rPr>
        <b/>
        <sz val="10"/>
        <color rgb="FF000000"/>
        <rFont val="Calibri"/>
        <family val="2"/>
      </rPr>
      <t>Länderbroschüren zu den 32 Versorgungen</t>
    </r>
    <r>
      <rPr>
        <sz val="10"/>
        <color rgb="FF000000"/>
        <rFont val="Calibri"/>
        <family val="2"/>
      </rPr>
      <t xml:space="preserve"> zugreifen. Da bekommen Sie alle Infos, die Sie im VA brauchen und noch mehr: Einen Eindruck davon, dass andere Länder auch pfiffige Ideen für ihre Versorgungssysteme haben. Viel Spaß.
Mit diesem Programm können Sie die </t>
    </r>
    <r>
      <rPr>
        <b/>
        <sz val="10"/>
        <color rgb="FF000000"/>
        <rFont val="Calibri"/>
        <family val="2"/>
      </rPr>
      <t>Abfindung einer sVA-Rente</t>
    </r>
    <r>
      <rPr>
        <sz val="10"/>
        <color rgb="FF000000"/>
        <rFont val="Calibri"/>
        <family val="2"/>
      </rPr>
      <t xml:space="preserve"> dimensionieren (auch inländischer). Sie sind nicht mehr ganz  hilflos dem Sachverständigen-Gutachten ausgeliefert und kommen vielleicht auch ohne SV-Gutachten aus, weil die Parteien sich einigen.
Und bevor Sie verzweifeln: rufen Sie mich an: 0821-40873475 oder schreiben Sie eine Email (Hauss@Anwaelte-DU.de).  Der Versorgungsausgleich ist mein Hobby."
"Und noch einen kleinen Bedienungshinweis: </t>
    </r>
    <r>
      <rPr>
        <b/>
        <sz val="10"/>
        <color rgb="FF000000"/>
        <rFont val="Calibri"/>
        <family val="2"/>
      </rPr>
      <t>Das Programm enthält keine Makros</t>
    </r>
    <r>
      <rPr>
        <sz val="10"/>
        <color rgb="FF000000"/>
        <rFont val="Calibri"/>
        <family val="2"/>
      </rPr>
      <t>, weil sonst Büro-, Behörden- und Gerichts-Firewalls oft eine Nutzung verhindern.
Wenn Ihnen nicht gefällt, dass die Position des Cursors in den einzelnen Blättern durch ein lindgrünes Balkenkreuz angezeigt wird, schalten Sie das aus: &lt;Ansicht&gt;, &lt;Fokuszeile&gt;...
Wenn Ihnen der Bildschirmausschnitt nicht passt: &lt;Ansicht&gt;,&lt;Zoom&gt;  oder &lt;strg&gt;+Mausrad drehen.
In den Blättern ""Methode 1 - 3"" können Sie keine Eingaben machen. Sie müssten zum ""Abfindungsrechner"" zurück, oder Sie klicken mit der rechten Maustaste auf die entsprechenden Zellunterstreichungen und landen automatisch im richtigen Eingabefeld zur Änderung der Eingabe. Klicken Sie sich einfach mal ""durch"". Wo etwas unterstrichen ist, springen Sie weiter."</t>
    </r>
  </si>
  <si>
    <r>
      <t>setzt Kenntnisse von deren Strukturen voraus. Diese gewinnen Sie konzentriert aus dem Blatt &lt;</t>
    </r>
    <r>
      <rPr>
        <b/>
        <sz val="10"/>
        <color rgb="FF000000"/>
        <rFont val="Calibri"/>
        <family val="2"/>
      </rPr>
      <t>Abfindungsberechnung</t>
    </r>
    <r>
      <rPr>
        <sz val="10"/>
        <color rgb="FF000000"/>
        <rFont val="Calibri"/>
        <family val="2"/>
      </rPr>
      <t>&gt;, der &lt;</t>
    </r>
    <r>
      <rPr>
        <b/>
        <sz val="10"/>
        <color rgb="FF000000"/>
        <rFont val="Calibri"/>
        <family val="2"/>
      </rPr>
      <t>Kurzübersicht</t>
    </r>
    <r>
      <rPr>
        <sz val="10"/>
        <color rgb="FF000000"/>
        <rFont val="Calibri"/>
        <family val="2"/>
      </rPr>
      <t>&gt; und den einzelnen &lt;</t>
    </r>
    <r>
      <rPr>
        <b/>
        <sz val="10"/>
        <color rgb="FF000000"/>
        <rFont val="Calibri"/>
        <family val="2"/>
      </rPr>
      <t>Länderblättern</t>
    </r>
    <r>
      <rPr>
        <sz val="10"/>
        <color rgb="FF000000"/>
        <rFont val="Calibri"/>
        <family val="2"/>
      </rPr>
      <t xml:space="preserve">&gt;. Für die anwaltl. Beratung sind daneben die Informationen wichtig: Renteneintrittalter, Dynamisierung, Leistungsumfang der Versorgung, gibt es eine Geschiedenen-Hinterbliebenenversorgung und, </t>
    </r>
    <r>
      <rPr>
        <b/>
        <sz val="10"/>
        <color rgb="FF000000"/>
        <rFont val="Calibri"/>
        <family val="2"/>
      </rPr>
      <t>besonders wichtig,</t>
    </r>
    <r>
      <rPr>
        <sz val="10"/>
        <color rgb="FF000000"/>
        <rFont val="Calibri"/>
        <family val="2"/>
      </rPr>
      <t xml:space="preserve"> kann die ausglpfl. Person die Versorgung kapitalisieren sich auszahlen lassen und so dem Ausgleich entziehen. Diese Infos finden Sie im Blatt &lt;Abfindungsberechnung&gt;. </t>
    </r>
    <r>
      <rPr>
        <b/>
        <sz val="10"/>
        <color rgb="FF000000"/>
        <rFont val="Calibri"/>
        <family val="2"/>
      </rPr>
      <t xml:space="preserve">
Der Clou dieser Datenbank</t>
    </r>
    <r>
      <rPr>
        <sz val="10"/>
        <color rgb="FF000000"/>
        <rFont val="Calibri"/>
        <family val="2"/>
      </rPr>
      <t xml:space="preserve"> ist nämlich das </t>
    </r>
    <r>
      <rPr>
        <b/>
        <sz val="10"/>
        <color rgb="FF000000"/>
        <rFont val="Calibri"/>
        <family val="2"/>
      </rPr>
      <t>Blatt "Abfindungsberechnung</t>
    </r>
    <r>
      <rPr>
        <sz val="10"/>
        <color rgb="FF000000"/>
        <rFont val="Calibri"/>
        <family val="2"/>
      </rPr>
      <t xml:space="preserve">". Bei Auswahl des entsprechenden Landes erscheinen in der </t>
    </r>
    <r>
      <rPr>
        <b/>
        <sz val="10"/>
        <color rgb="FF000000"/>
        <rFont val="Calibri"/>
        <family val="2"/>
      </rPr>
      <t>Infobox</t>
    </r>
    <r>
      <rPr>
        <sz val="10"/>
        <color rgb="FF000000"/>
        <rFont val="Calibri"/>
        <family val="2"/>
      </rPr>
      <t xml:space="preserve"> einige wichtige Informationen zu den für die Berechnung einer Abfindung maßgeblichen Parametern. Sie müssen dazu die Info-Options-Boxen aktivieren.</t>
    </r>
    <r>
      <rPr>
        <b/>
        <sz val="10"/>
        <color rgb="FF000000"/>
        <rFont val="Calibri"/>
        <family val="2"/>
      </rPr>
      <t xml:space="preserve"> </t>
    </r>
    <r>
      <rPr>
        <sz val="10"/>
        <color rgb="FF000000"/>
        <rFont val="Calibri"/>
        <family val="2"/>
      </rPr>
      <t xml:space="preserve">Falls Ihnen diese Infos nicht ausreichen, klicken die Unterstreichungen, diese sind entsprechend verlinkt, oder stöbern Sie in der jeweiligen Länderdatenbank. </t>
    </r>
    <r>
      <rPr>
        <b/>
        <sz val="10"/>
        <color rgb="FF000000"/>
        <rFont val="Calibri"/>
        <family val="2"/>
      </rPr>
      <t xml:space="preserve">Die Abfindung ausländischer Versorgungen und die Einbringung des Abfindungsbetrages in ein inländisches Versorgungssystem ist sicher meist der Königsweg für den Ausgleich ausländischer Versorgungen.
</t>
    </r>
    <r>
      <rPr>
        <sz val="10"/>
        <color rgb="FF000000"/>
        <rFont val="Calibri"/>
        <family val="2"/>
      </rPr>
      <t xml:space="preserve">Da die Abfindungsberechnung nach § 24 VersAusglG streitig ist, biete ich </t>
    </r>
    <r>
      <rPr>
        <b/>
        <sz val="10"/>
        <color rgb="FF000000"/>
        <rFont val="Calibri"/>
        <family val="2"/>
      </rPr>
      <t xml:space="preserve">drei Lösungen </t>
    </r>
    <r>
      <rPr>
        <sz val="10"/>
        <color rgb="FF000000"/>
        <rFont val="Calibri"/>
        <family val="2"/>
      </rPr>
      <t xml:space="preserve">an. Die Bewertung nach der Höhe </t>
    </r>
    <r>
      <rPr>
        <b/>
        <sz val="10"/>
        <color rgb="FF000000"/>
        <rFont val="Calibri"/>
        <family val="2"/>
      </rPr>
      <t xml:space="preserve">1.  des "Anrechts" der ausglpfl. Person </t>
    </r>
    <r>
      <rPr>
        <sz val="10"/>
        <color rgb="FF000000"/>
        <rFont val="Calibri"/>
        <family val="2"/>
      </rPr>
      <t xml:space="preserve">und  </t>
    </r>
    <r>
      <rPr>
        <b/>
        <sz val="10"/>
        <color rgb="FF000000"/>
        <rFont val="Calibri"/>
        <family val="2"/>
      </rPr>
      <t xml:space="preserve">2. nach der Höhe des Anspruchs der ausglber. Person </t>
    </r>
    <r>
      <rPr>
        <sz val="10"/>
        <color rgb="FF000000"/>
        <rFont val="Calibri"/>
        <family val="2"/>
      </rPr>
      <t xml:space="preserve">auf sVA-Rente und </t>
    </r>
    <r>
      <rPr>
        <b/>
        <sz val="10"/>
        <color rgb="FF000000"/>
        <rFont val="Calibri"/>
        <family val="2"/>
      </rPr>
      <t xml:space="preserve">3. die auf den Berechnungsstichtag erfolgte Aufzinsung des </t>
    </r>
    <r>
      <rPr>
        <sz val="10"/>
        <color rgb="FF000000"/>
        <rFont val="Calibri"/>
        <family val="2"/>
      </rPr>
      <t xml:space="preserve">auf das EzE berechneten </t>
    </r>
    <r>
      <rPr>
        <b/>
        <sz val="10"/>
        <color rgb="FF000000"/>
        <rFont val="Calibri"/>
        <family val="2"/>
      </rPr>
      <t>Ausgleichswerts</t>
    </r>
    <r>
      <rPr>
        <sz val="10"/>
        <color rgb="FF000000"/>
        <rFont val="Calibri"/>
        <family val="2"/>
      </rPr>
      <t xml:space="preserve">. 
Ich halte nur die </t>
    </r>
    <r>
      <rPr>
        <b/>
        <sz val="10"/>
        <color rgb="FF000000"/>
        <rFont val="Calibri"/>
        <family val="2"/>
      </rPr>
      <t>Version 1 für gesetzeskonform</t>
    </r>
    <r>
      <rPr>
        <sz val="10"/>
        <color rgb="FF000000"/>
        <rFont val="Calibri"/>
        <family val="2"/>
      </rPr>
      <t xml:space="preserve">, die Version 2 wird meist von Gutachtern angewendet, ohne dass sich die Gerichte damit bislang erkennbar auseinandergesetzt haben. Die Ergebnisse der Methoden weichen insbesondere bei altersunterschiedlichen Parteien stark voneinander ab. </t>
    </r>
    <r>
      <rPr>
        <b/>
        <sz val="10"/>
        <color rgb="FF000000"/>
        <rFont val="Calibri"/>
        <family val="2"/>
      </rPr>
      <t>Anwaltstypisch</t>
    </r>
    <r>
      <rPr>
        <sz val="10"/>
        <color rgb="FF000000"/>
        <rFont val="Calibri"/>
        <family val="2"/>
      </rPr>
      <t xml:space="preserve"> wird man sich für die Methode entscheiden, die der eigenen Mandantschaft frommt. Dogmatik bleibt da oft auf der Strecke und meist versteht die Berechnung ohnehin keiner.
</t>
    </r>
  </si>
  <si>
    <t>Wenn Sie Fehler finden oder Verbesserungsvorschläge haben: Hauss@Anwaelte-DU.de Tel: 0821-40873475</t>
  </si>
  <si>
    <t>Lebenserwar-tung ab Ren-tenbezug ▼</t>
  </si>
  <si>
    <t>Ägypten</t>
  </si>
  <si>
    <t>Argentinien</t>
  </si>
  <si>
    <t>Äthiopien</t>
  </si>
  <si>
    <t>China</t>
  </si>
  <si>
    <t>Indonesien</t>
  </si>
  <si>
    <t>Iran</t>
  </si>
  <si>
    <t>Nigeria</t>
  </si>
  <si>
    <t>Pakistan</t>
  </si>
  <si>
    <t>Südafrika</t>
  </si>
  <si>
    <t>Südkorea</t>
  </si>
  <si>
    <t>Venezuela</t>
  </si>
  <si>
    <t>Vietnam</t>
  </si>
  <si>
    <t>Eine Datenbank zu europäischen und internationalen Versorgungen und 
Rechenhilfe zu deren Bewertung für
Anwalt-, Richter und Rentenberaterschaft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</si>
</sst>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0\ &quot;€&quot;;[Red]\-#,##0\ &quot;€&quot;"/>
    <numFmt numFmtId="8" formatCode="#,##0.00\ &quot;€&quot;;[Red]\-#,##0.00\ &quot;€&quot;"/>
    <numFmt numFmtId="164" formatCode="_-* #,##0.00\ [$€-407]_-;\-* #,##0.00\ [$€-407]_-;_-* &quot;-&quot;??\ [$€-407]_-;_-@_-"/>
    <numFmt numFmtId="165" formatCode="#,##0_ ;\-#,##0\ "/>
    <numFmt numFmtId="166" formatCode="0_ ;\-0\ "/>
    <numFmt numFmtId="167" formatCode="#,##0.0000"/>
    <numFmt numFmtId="168" formatCode="0.0000"/>
    <numFmt numFmtId="169" formatCode="0.0%"/>
    <numFmt numFmtId="170" formatCode="0.000"/>
    <numFmt numFmtId="171" formatCode="0.0000000000"/>
    <numFmt numFmtId="172" formatCode="d/m/yy;@"/>
    <numFmt numFmtId="173" formatCode="#,##0.00_ ;[Red]\-#,##0.00\ "/>
    <numFmt numFmtId="174" formatCode="#,##0.0000_ ;[Red]\-#,##0.0000\ "/>
    <numFmt numFmtId="175" formatCode="#,##0.0000\ &quot;€&quot;;[Red]\-#,##0.0000\ &quot;€&quot;"/>
    <numFmt numFmtId="176" formatCode="0.0"/>
    <numFmt numFmtId="177" formatCode="0.00000%"/>
    <numFmt numFmtId="178" formatCode="0.0000%"/>
    <numFmt numFmtId="179" formatCode="#,##0.0_ ;[Red]\-#,##0.0\ "/>
    <numFmt numFmtId="180" formatCode="0.00000000000"/>
    <numFmt numFmtId="181" formatCode="\+0.0%;[Red]\-0.0%"/>
    <numFmt numFmtId="182" formatCode="#,##0.0_i"/>
    <numFmt numFmtId="183" formatCode="#,##0.0"/>
    <numFmt numFmtId="184" formatCode="#,##0.##########"/>
    <numFmt numFmtId="185" formatCode="d/m/yyyy"/>
    <numFmt numFmtId="186" formatCode="0.000000"/>
    <numFmt numFmtId="187" formatCode="#,##0.##############"/>
    <numFmt numFmtId="188" formatCode="#,##0.##################"/>
    <numFmt numFmtId="189" formatCode="#,##0.###################"/>
  </numFmts>
  <fonts count="168">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000000"/>
      <name val="Calibri"/>
      <family val="2"/>
    </font>
    <font>
      <sz val="11"/>
      <color rgb="FF000000"/>
      <name val="Calibri"/>
      <family val="2"/>
    </font>
    <font>
      <sz val="11"/>
      <name val="Calibri"/>
      <family val="2"/>
    </font>
    <font>
      <b/>
      <sz val="14"/>
      <name val="Calibri"/>
      <family val="2"/>
    </font>
    <font>
      <b/>
      <sz val="11"/>
      <name val="Calibri"/>
      <family val="2"/>
    </font>
    <font>
      <u/>
      <sz val="11"/>
      <color theme="10"/>
      <name val="Calibri"/>
      <family val="2"/>
    </font>
    <font>
      <sz val="11"/>
      <color rgb="FF000000"/>
      <name val="Calibri"/>
      <family val="2"/>
    </font>
    <font>
      <b/>
      <sz val="12"/>
      <color rgb="FF000000"/>
      <name val="Calibri"/>
      <family val="2"/>
    </font>
    <font>
      <b/>
      <sz val="28"/>
      <color rgb="FF60256C"/>
      <name val="Calibri"/>
      <family val="2"/>
    </font>
    <font>
      <sz val="16"/>
      <color rgb="FF000000"/>
      <name val="Calibri"/>
      <family val="2"/>
    </font>
    <font>
      <sz val="8"/>
      <color rgb="FF000000"/>
      <name val="Segoe UI"/>
      <family val="2"/>
    </font>
    <font>
      <b/>
      <sz val="14"/>
      <color theme="0"/>
      <name val="Calibri"/>
      <family val="2"/>
    </font>
    <font>
      <sz val="11"/>
      <color theme="0"/>
      <name val="Calibri"/>
      <family val="2"/>
    </font>
    <font>
      <sz val="11"/>
      <color rgb="FF000000"/>
      <name val="Arial"/>
      <family val="2"/>
    </font>
    <font>
      <sz val="12"/>
      <color rgb="FF000000"/>
      <name val="Calibri"/>
      <family val="2"/>
    </font>
    <font>
      <b/>
      <sz val="11"/>
      <color rgb="FF000000"/>
      <name val="Calibri"/>
      <family val="2"/>
    </font>
    <font>
      <sz val="14"/>
      <color theme="2" tint="-0.89999084444715716"/>
      <name val="Calibri"/>
      <family val="2"/>
    </font>
    <font>
      <sz val="14"/>
      <color theme="1" tint="0.499984740745262"/>
      <name val="Calibri"/>
      <family val="2"/>
    </font>
    <font>
      <sz val="13"/>
      <color theme="1" tint="0.499984740745262"/>
      <name val="Calibri"/>
      <family val="2"/>
    </font>
    <font>
      <sz val="10"/>
      <name val="Arial"/>
      <family val="2"/>
    </font>
    <font>
      <b/>
      <sz val="8"/>
      <name val="Arial"/>
      <family val="2"/>
    </font>
    <font>
      <sz val="8"/>
      <name val="MetaNormalLF-Roman"/>
    </font>
    <font>
      <sz val="10"/>
      <name val="MetaNormalLF-Roman"/>
      <family val="2"/>
    </font>
    <font>
      <sz val="8"/>
      <name val="Arial"/>
      <family val="2"/>
    </font>
    <font>
      <sz val="10"/>
      <color theme="1"/>
      <name val="Arial"/>
      <family val="2"/>
    </font>
    <font>
      <sz val="8"/>
      <color indexed="8"/>
      <name val="Arial"/>
      <family val="2"/>
    </font>
    <font>
      <b/>
      <sz val="8"/>
      <color indexed="8"/>
      <name val="Arial"/>
      <family val="2"/>
    </font>
    <font>
      <sz val="8"/>
      <color theme="1"/>
      <name val="Arial"/>
      <family val="2"/>
    </font>
    <font>
      <sz val="9"/>
      <color indexed="8"/>
      <name val="Arial"/>
      <family val="2"/>
    </font>
    <font>
      <sz val="12"/>
      <color indexed="8"/>
      <name val="Calibri"/>
      <family val="2"/>
    </font>
    <font>
      <b/>
      <sz val="12"/>
      <color indexed="8"/>
      <name val="Calibri"/>
      <family val="2"/>
    </font>
    <font>
      <vertAlign val="subscript"/>
      <sz val="8"/>
      <color indexed="8"/>
      <name val="Calibri"/>
      <family val="2"/>
    </font>
    <font>
      <vertAlign val="subscript"/>
      <sz val="9"/>
      <color indexed="8"/>
      <name val="Calibri"/>
      <family val="2"/>
    </font>
    <font>
      <sz val="10"/>
      <color indexed="8"/>
      <name val="Calibri"/>
      <family val="2"/>
    </font>
    <font>
      <b/>
      <sz val="10"/>
      <color indexed="8"/>
      <name val="Calibri"/>
      <family val="2"/>
    </font>
    <font>
      <sz val="10"/>
      <color indexed="8"/>
      <name val="Arial"/>
      <family val="2"/>
    </font>
    <font>
      <vertAlign val="subscript"/>
      <sz val="9"/>
      <color indexed="8"/>
      <name val="Arial"/>
      <family val="2"/>
    </font>
    <font>
      <vertAlign val="subscript"/>
      <sz val="11"/>
      <color indexed="8"/>
      <name val="Arial"/>
      <family val="2"/>
    </font>
    <font>
      <sz val="11"/>
      <color theme="0"/>
      <name val="Carlito"/>
    </font>
    <font>
      <sz val="11"/>
      <name val="Carlito"/>
    </font>
    <font>
      <b/>
      <sz val="10"/>
      <color theme="0"/>
      <name val="Aptos"/>
      <family val="2"/>
    </font>
    <font>
      <sz val="10"/>
      <color theme="0"/>
      <name val="Aptos"/>
      <family val="2"/>
    </font>
    <font>
      <sz val="10"/>
      <name val="Aptos"/>
      <family val="2"/>
    </font>
    <font>
      <i/>
      <sz val="12"/>
      <color rgb="FF000000"/>
      <name val="Calibri"/>
      <family val="2"/>
    </font>
    <font>
      <b/>
      <sz val="11"/>
      <color theme="0"/>
      <name val="Calibri"/>
      <family val="2"/>
    </font>
    <font>
      <sz val="14"/>
      <color rgb="FF000000"/>
      <name val="Calibri"/>
      <family val="2"/>
    </font>
    <font>
      <b/>
      <sz val="18"/>
      <color theme="0"/>
      <name val="Calibri"/>
      <family val="2"/>
    </font>
    <font>
      <sz val="10"/>
      <color rgb="FF000000"/>
      <name val="Calibri"/>
      <family val="2"/>
    </font>
    <font>
      <b/>
      <sz val="10"/>
      <color theme="0"/>
      <name val="Calibri"/>
      <family val="2"/>
    </font>
    <font>
      <b/>
      <sz val="14"/>
      <color theme="1"/>
      <name val="Calibri"/>
      <family val="2"/>
      <scheme val="minor"/>
    </font>
    <font>
      <b/>
      <u/>
      <sz val="14"/>
      <color theme="0"/>
      <name val="Calibri"/>
      <family val="2"/>
    </font>
    <font>
      <b/>
      <sz val="16"/>
      <color theme="0"/>
      <name val="Calibri"/>
      <family val="2"/>
    </font>
    <font>
      <sz val="14"/>
      <color theme="0"/>
      <name val="Calibri"/>
      <family val="2"/>
    </font>
    <font>
      <vertAlign val="subscript"/>
      <sz val="11"/>
      <color rgb="FF000000"/>
      <name val="Calibri"/>
      <family val="2"/>
    </font>
    <font>
      <sz val="12"/>
      <color theme="0"/>
      <name val="Calibri"/>
      <family val="2"/>
    </font>
    <font>
      <sz val="11"/>
      <color rgb="FF000000"/>
      <name val="Consolas"/>
      <family val="3"/>
    </font>
    <font>
      <u/>
      <sz val="11"/>
      <name val="Calibri"/>
      <family val="2"/>
    </font>
    <font>
      <b/>
      <sz val="11"/>
      <color rgb="FFFFFFFF"/>
      <name val="Carlito"/>
    </font>
    <font>
      <b/>
      <sz val="10"/>
      <color rgb="FF60256C"/>
      <name val="Calibri"/>
      <family val="2"/>
    </font>
    <font>
      <b/>
      <sz val="8"/>
      <color rgb="FF60256C"/>
      <name val="Calibri"/>
      <family val="2"/>
    </font>
    <font>
      <b/>
      <u/>
      <sz val="12"/>
      <color theme="0"/>
      <name val="Calibri"/>
      <family val="2"/>
    </font>
    <font>
      <b/>
      <sz val="9"/>
      <color theme="1"/>
      <name val="Calibri"/>
      <family val="2"/>
      <scheme val="minor"/>
    </font>
    <font>
      <b/>
      <sz val="11"/>
      <color theme="1"/>
      <name val="Calibri"/>
      <family val="2"/>
    </font>
    <font>
      <u/>
      <sz val="10"/>
      <color theme="10"/>
      <name val="Calibri"/>
      <family val="2"/>
    </font>
    <font>
      <b/>
      <sz val="20"/>
      <color theme="0"/>
      <name val="Calibri"/>
      <family val="2"/>
    </font>
    <font>
      <b/>
      <sz val="12"/>
      <color theme="0"/>
      <name val="Calibri"/>
      <family val="2"/>
    </font>
    <font>
      <sz val="16"/>
      <color theme="0"/>
      <name val="Calibri"/>
      <family val="2"/>
    </font>
    <font>
      <b/>
      <sz val="11"/>
      <color theme="1"/>
      <name val="Calibri"/>
      <family val="2"/>
      <scheme val="minor"/>
    </font>
    <font>
      <b/>
      <sz val="16"/>
      <color theme="1"/>
      <name val="Calibri"/>
      <family val="2"/>
      <scheme val="minor"/>
    </font>
    <font>
      <sz val="9"/>
      <color rgb="FF000000"/>
      <name val="Arial"/>
      <family val="2"/>
    </font>
    <font>
      <sz val="11"/>
      <color rgb="FF000000"/>
      <name val="Calibri"/>
      <family val="2"/>
      <scheme val="minor"/>
    </font>
    <font>
      <i/>
      <sz val="11"/>
      <color theme="1"/>
      <name val="Calibri"/>
      <family val="2"/>
      <scheme val="minor"/>
    </font>
    <font>
      <sz val="9"/>
      <color rgb="FF000000"/>
      <name val="Calibri"/>
      <family val="2"/>
    </font>
    <font>
      <b/>
      <sz val="10"/>
      <name val="Calibri"/>
      <family val="2"/>
    </font>
    <font>
      <sz val="10"/>
      <name val="Calibri"/>
      <family val="2"/>
    </font>
    <font>
      <sz val="11"/>
      <color rgb="FF000000"/>
      <name val="Aptos Narrow"/>
      <family val="2"/>
    </font>
    <font>
      <b/>
      <sz val="12"/>
      <name val="Arial"/>
      <family val="2"/>
    </font>
    <font>
      <b/>
      <sz val="11"/>
      <color rgb="FF000000"/>
      <name val="Calibri"/>
      <family val="2"/>
    </font>
    <font>
      <b/>
      <sz val="14"/>
      <color rgb="FF000000"/>
      <name val="Calibri"/>
      <family val="2"/>
    </font>
    <font>
      <i/>
      <sz val="11"/>
      <color rgb="FF000000"/>
      <name val="Calibri"/>
      <family val="2"/>
    </font>
    <font>
      <b/>
      <sz val="11"/>
      <color rgb="FFFFFFFF"/>
      <name val="Calibri"/>
      <family val="2"/>
    </font>
    <font>
      <i/>
      <sz val="9"/>
      <color rgb="FF000000"/>
      <name val="Calibri"/>
      <family val="2"/>
    </font>
    <font>
      <sz val="12"/>
      <color rgb="FF000000"/>
      <name val="Aptos"/>
      <family val="2"/>
    </font>
    <font>
      <i/>
      <sz val="11"/>
      <color rgb="FF000000"/>
      <name val="Calibri"/>
      <family val="2"/>
    </font>
    <font>
      <b/>
      <sz val="24"/>
      <color rgb="FF000000"/>
      <name val="Calibri"/>
      <family val="2"/>
    </font>
    <font>
      <sz val="10"/>
      <color rgb="FF000000"/>
      <name val="Aptos"/>
      <family val="2"/>
    </font>
    <font>
      <b/>
      <sz val="10"/>
      <color rgb="FF000000"/>
      <name val="Aptos"/>
      <family val="2"/>
    </font>
    <font>
      <sz val="11"/>
      <color rgb="FF424242"/>
      <name val="Courier New"/>
      <family val="3"/>
    </font>
    <font>
      <sz val="11"/>
      <color theme="0"/>
      <name val="Aptos"/>
      <family val="2"/>
    </font>
    <font>
      <sz val="11"/>
      <name val="Aptos"/>
      <family val="2"/>
    </font>
    <font>
      <sz val="11"/>
      <color theme="1"/>
      <name val="Calibri"/>
      <family val="2"/>
    </font>
    <font>
      <sz val="8"/>
      <color rgb="FF000000"/>
      <name val="Calibri"/>
      <family val="2"/>
    </font>
    <font>
      <sz val="10"/>
      <color rgb="FF000000"/>
      <name val="Aptos Narrow"/>
      <family val="2"/>
    </font>
    <font>
      <b/>
      <sz val="14"/>
      <color theme="1"/>
      <name val="Calibri"/>
      <family val="2"/>
    </font>
    <font>
      <b/>
      <sz val="8"/>
      <color theme="1"/>
      <name val="Calibri"/>
      <family val="2"/>
    </font>
    <font>
      <sz val="8"/>
      <color theme="1"/>
      <name val="Calibri"/>
      <family val="2"/>
    </font>
    <font>
      <b/>
      <sz val="10"/>
      <color theme="1"/>
      <name val="Calibri"/>
      <family val="2"/>
    </font>
    <font>
      <sz val="8"/>
      <name val="Calibri"/>
      <family val="2"/>
    </font>
    <font>
      <b/>
      <sz val="22"/>
      <color theme="0"/>
      <name val="Calibri"/>
      <family val="2"/>
    </font>
    <font>
      <b/>
      <sz val="14"/>
      <color theme="0"/>
      <name val="Segoe UI Symbol"/>
      <family val="2"/>
    </font>
    <font>
      <b/>
      <sz val="11"/>
      <color theme="0"/>
      <name val="Arial"/>
      <family val="2"/>
    </font>
    <font>
      <sz val="12"/>
      <name val="Calibri"/>
      <family val="2"/>
    </font>
    <font>
      <sz val="10"/>
      <color rgb="FF000000"/>
      <name val="Wingdings 3"/>
      <family val="1"/>
      <charset val="2"/>
    </font>
    <font>
      <b/>
      <sz val="14"/>
      <color rgb="FFFF0000"/>
      <name val="Calibri"/>
      <family val="2"/>
    </font>
    <font>
      <sz val="10"/>
      <color rgb="FF000000"/>
      <name val="Arial Unicode MS"/>
    </font>
    <font>
      <b/>
      <sz val="10"/>
      <color rgb="FF000000"/>
      <name val="Calibri"/>
      <family val="2"/>
    </font>
    <font>
      <b/>
      <sz val="11"/>
      <color theme="0"/>
      <name val="Calibri"/>
      <family val="2"/>
      <scheme val="minor"/>
    </font>
    <font>
      <sz val="11"/>
      <color theme="0"/>
      <name val="Calibri"/>
      <family val="2"/>
      <scheme val="minor"/>
    </font>
    <font>
      <sz val="9"/>
      <color theme="1"/>
      <name val="Calibri"/>
      <family val="2"/>
      <scheme val="minor"/>
    </font>
    <font>
      <b/>
      <sz val="16"/>
      <color theme="1"/>
      <name val="Calibri"/>
      <family val="2"/>
    </font>
    <font>
      <b/>
      <sz val="18"/>
      <color rgb="FF000000"/>
      <name val="Calibri"/>
      <family val="2"/>
    </font>
    <font>
      <b/>
      <sz val="22"/>
      <color theme="0"/>
      <name val="Calibri"/>
      <family val="2"/>
      <scheme val="minor"/>
    </font>
    <font>
      <b/>
      <sz val="18"/>
      <color theme="0"/>
      <name val="Calibri"/>
      <family val="2"/>
      <scheme val="minor"/>
    </font>
    <font>
      <u/>
      <sz val="11"/>
      <color rgb="FF0070C0"/>
      <name val="Calibri"/>
      <family val="2"/>
      <scheme val="minor"/>
    </font>
    <font>
      <u/>
      <sz val="10"/>
      <color rgb="FF0070C0"/>
      <name val="Arial Unicode MS"/>
    </font>
    <font>
      <b/>
      <u/>
      <sz val="10"/>
      <color rgb="FF0070C0"/>
      <name val="Calibri"/>
      <family val="2"/>
    </font>
    <font>
      <u/>
      <sz val="14"/>
      <color theme="0"/>
      <name val="Calibri"/>
      <family val="2"/>
    </font>
    <font>
      <b/>
      <sz val="10"/>
      <name val="Arial"/>
      <family val="2"/>
    </font>
    <font>
      <b/>
      <i/>
      <sz val="10"/>
      <name val="Arial"/>
      <family val="2"/>
    </font>
    <font>
      <sz val="11"/>
      <name val="Arial"/>
      <family val="2"/>
    </font>
    <font>
      <i/>
      <sz val="10"/>
      <name val="Arial"/>
      <family val="2"/>
    </font>
    <font>
      <sz val="10"/>
      <color theme="0"/>
      <name val="Calibri"/>
      <family val="2"/>
    </font>
    <font>
      <sz val="8"/>
      <color theme="0"/>
      <name val="Calibri"/>
      <family val="2"/>
    </font>
    <font>
      <b/>
      <u/>
      <sz val="10"/>
      <color theme="0"/>
      <name val="Calibri"/>
      <family val="2"/>
    </font>
    <font>
      <b/>
      <sz val="12"/>
      <color theme="1"/>
      <name val="Calibri"/>
      <family val="2"/>
    </font>
    <font>
      <b/>
      <u/>
      <sz val="20"/>
      <color theme="0"/>
      <name val="Calibri"/>
      <family val="2"/>
    </font>
    <font>
      <b/>
      <sz val="12"/>
      <color theme="0"/>
      <name val="Arial"/>
      <family val="2"/>
    </font>
    <font>
      <u/>
      <sz val="11"/>
      <color theme="1"/>
      <name val="Calibri"/>
      <family val="2"/>
    </font>
    <font>
      <sz val="9"/>
      <color theme="0"/>
      <name val="Calibri"/>
      <family val="2"/>
    </font>
    <font>
      <sz val="8"/>
      <color theme="0" tint="-0.499984740745262"/>
      <name val="Calibri"/>
      <family val="2"/>
    </font>
    <font>
      <sz val="8"/>
      <color theme="1" tint="0.499984740745262"/>
      <name val="Calibri"/>
      <family val="2"/>
    </font>
    <font>
      <u/>
      <sz val="14"/>
      <color theme="10"/>
      <name val="Calibri"/>
      <family val="2"/>
    </font>
    <font>
      <b/>
      <vertAlign val="superscript"/>
      <sz val="12"/>
      <color theme="0"/>
      <name val="Calibri"/>
      <family val="2"/>
    </font>
    <font>
      <b/>
      <sz val="12"/>
      <color rgb="FF000000"/>
      <name val="Arial"/>
      <family val="2"/>
    </font>
    <font>
      <b/>
      <sz val="16"/>
      <color rgb="FF000000"/>
      <name val="Calibri"/>
      <family val="2"/>
    </font>
    <font>
      <sz val="11"/>
      <color rgb="FF0070C0"/>
      <name val="Calibri"/>
      <family val="2"/>
    </font>
    <font>
      <sz val="11"/>
      <color rgb="FF000000"/>
      <name val="Segoe UI Symbol"/>
      <family val="2"/>
    </font>
    <font>
      <b/>
      <sz val="9"/>
      <name val="Arial"/>
      <family val="2"/>
    </font>
    <font>
      <sz val="9"/>
      <name val="Arial"/>
      <family val="2"/>
    </font>
    <font>
      <b/>
      <i/>
      <sz val="9"/>
      <name val="Arial"/>
      <family val="2"/>
    </font>
    <font>
      <i/>
      <sz val="9"/>
      <name val="Arial"/>
      <family val="2"/>
    </font>
    <font>
      <u/>
      <sz val="8"/>
      <color theme="10"/>
      <name val="Calibri"/>
      <family val="2"/>
    </font>
    <font>
      <sz val="10"/>
      <color rgb="FF000000"/>
      <name val="Arial"/>
      <family val="2"/>
    </font>
    <font>
      <b/>
      <sz val="18"/>
      <color theme="1"/>
      <name val="Calibri"/>
      <family val="2"/>
    </font>
    <font>
      <b/>
      <sz val="16"/>
      <color theme="0"/>
      <name val="Wingdings 3"/>
      <family val="1"/>
      <charset val="2"/>
    </font>
    <font>
      <b/>
      <sz val="9"/>
      <color indexed="9"/>
      <name val="Arial"/>
      <family val="2"/>
    </font>
    <font>
      <b/>
      <sz val="10"/>
      <color rgb="FF00B050"/>
      <name val="Calibri"/>
      <family val="2"/>
    </font>
    <font>
      <b/>
      <sz val="10"/>
      <color rgb="FFFFC000"/>
      <name val="Calibri"/>
      <family val="2"/>
    </font>
    <font>
      <b/>
      <sz val="10"/>
      <color rgb="FFC00000"/>
      <name val="Calibri"/>
      <family val="2"/>
    </font>
    <font>
      <b/>
      <sz val="14"/>
      <color theme="3"/>
      <name val="Aptos"/>
      <family val="2"/>
    </font>
    <font>
      <i/>
      <sz val="10"/>
      <color rgb="FF1F2937"/>
      <name val="Aptos"/>
      <family val="2"/>
    </font>
    <font>
      <sz val="10"/>
      <color theme="1"/>
      <name val="Aptos"/>
      <family val="2"/>
    </font>
    <font>
      <b/>
      <sz val="10"/>
      <color theme="1"/>
      <name val="Aptos"/>
      <family val="2"/>
    </font>
    <font>
      <b/>
      <sz val="24"/>
      <color rgb="FFFFFFFF"/>
      <name val="Aptos"/>
      <family val="2"/>
    </font>
    <font>
      <b/>
      <u/>
      <sz val="11"/>
      <name val="Calibri"/>
      <family val="2"/>
    </font>
    <font>
      <sz val="11"/>
      <color rgb="FF000000"/>
      <name val="Cambria Math"/>
      <family val="1"/>
    </font>
    <font>
      <u/>
      <sz val="11"/>
      <color theme="1"/>
      <name val="Cambria Math"/>
      <family val="1"/>
    </font>
    <font>
      <b/>
      <u/>
      <sz val="11"/>
      <color theme="0"/>
      <name val="Calibri"/>
      <family val="2"/>
    </font>
    <font>
      <b/>
      <sz val="10"/>
      <name val="Aptos"/>
      <family val="2"/>
    </font>
    <font>
      <b/>
      <sz val="13.5"/>
      <color rgb="FF000000"/>
      <name val="Calibri"/>
      <family val="2"/>
    </font>
    <font>
      <sz val="10"/>
      <color rgb="FF000000"/>
      <name val="Webdings"/>
      <family val="1"/>
      <charset val="2"/>
    </font>
    <font>
      <b/>
      <sz val="10"/>
      <color rgb="FF0070C0"/>
      <name val="Calibri"/>
      <family val="2"/>
    </font>
    <font>
      <b/>
      <sz val="11"/>
      <color rgb="FF0070C0"/>
      <name val="Calibri"/>
      <family val="2"/>
    </font>
  </fonts>
  <fills count="38">
    <fill>
      <patternFill patternType="none"/>
    </fill>
    <fill>
      <patternFill patternType="gray125"/>
    </fill>
    <fill>
      <patternFill patternType="solid">
        <fgColor rgb="FFD8E592"/>
        <bgColor rgb="FF000000"/>
      </patternFill>
    </fill>
    <fill>
      <patternFill patternType="solid">
        <fgColor rgb="FFD8E592"/>
        <bgColor indexed="64"/>
      </patternFill>
    </fill>
    <fill>
      <patternFill patternType="solid">
        <fgColor rgb="FFFFFFFF"/>
        <bgColor indexed="64"/>
      </patternFill>
    </fill>
    <fill>
      <patternFill patternType="solid">
        <fgColor rgb="FF0070C0"/>
        <bgColor indexed="64"/>
      </patternFill>
    </fill>
    <fill>
      <patternFill patternType="solid">
        <fgColor rgb="FFFFFF00"/>
        <bgColor indexed="64"/>
      </patternFill>
    </fill>
    <fill>
      <patternFill patternType="solid">
        <fgColor rgb="FFD6E592"/>
        <bgColor rgb="FF000000"/>
      </patternFill>
    </fill>
    <fill>
      <patternFill patternType="solid">
        <fgColor theme="0" tint="-0.14999847407452621"/>
        <bgColor indexed="64"/>
      </patternFill>
    </fill>
    <fill>
      <patternFill patternType="solid">
        <fgColor rgb="FFFFFFFF"/>
        <bgColor rgb="FF000000"/>
      </patternFill>
    </fill>
    <fill>
      <patternFill patternType="solid">
        <fgColor rgb="FFFFFF00"/>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0"/>
        <bgColor indexed="64"/>
      </patternFill>
    </fill>
    <fill>
      <patternFill patternType="solid">
        <fgColor rgb="FF1F4E79"/>
      </patternFill>
    </fill>
    <fill>
      <patternFill patternType="solid">
        <fgColor rgb="FF002060"/>
        <bgColor indexed="64"/>
      </patternFill>
    </fill>
    <fill>
      <patternFill patternType="solid">
        <fgColor rgb="FFEEF1F6"/>
        <bgColor indexed="64"/>
      </patternFill>
    </fill>
    <fill>
      <patternFill patternType="solid">
        <fgColor rgb="FFFFC000"/>
        <bgColor indexed="64"/>
      </patternFill>
    </fill>
    <fill>
      <patternFill patternType="solid">
        <fgColor rgb="FFD2DD43"/>
        <bgColor indexed="64"/>
      </patternFill>
    </fill>
    <fill>
      <patternFill patternType="solid">
        <fgColor rgb="FF4472C4"/>
        <bgColor indexed="64"/>
      </patternFill>
    </fill>
    <fill>
      <patternFill patternType="solid">
        <fgColor rgb="FF92D050"/>
        <bgColor indexed="64"/>
      </patternFill>
    </fill>
    <fill>
      <patternFill patternType="solid">
        <fgColor theme="6" tint="0.39997558519241921"/>
        <bgColor indexed="64"/>
      </patternFill>
    </fill>
    <fill>
      <patternFill patternType="solid">
        <fgColor rgb="FFC4D79B"/>
        <bgColor indexed="64"/>
      </patternFill>
    </fill>
    <fill>
      <patternFill patternType="solid">
        <fgColor theme="2"/>
        <bgColor indexed="64"/>
      </patternFill>
    </fill>
    <fill>
      <patternFill patternType="solid">
        <fgColor rgb="FF00B05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DCE6F1"/>
      </patternFill>
    </fill>
    <fill>
      <patternFill patternType="solid">
        <fgColor theme="8" tint="0.79998168889431442"/>
        <bgColor indexed="64"/>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F6F6F6"/>
      </patternFill>
    </fill>
    <fill>
      <patternFill patternType="solid">
        <fgColor rgb="FF17365D"/>
      </patternFill>
    </fill>
    <fill>
      <patternFill patternType="solid">
        <fgColor rgb="FFD9EAF7"/>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auto="1"/>
      </right>
      <top style="thin">
        <color auto="1"/>
      </top>
      <bottom style="thin">
        <color auto="1"/>
      </bottom>
      <diagonal/>
    </border>
    <border>
      <left style="thin">
        <color indexed="64"/>
      </left>
      <right/>
      <top/>
      <bottom/>
      <diagonal/>
    </border>
    <border>
      <left/>
      <right/>
      <top style="thin">
        <color indexed="64"/>
      </top>
      <bottom/>
      <diagonal/>
    </border>
    <border>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auto="1"/>
      </right>
      <top/>
      <bottom style="thin">
        <color auto="1"/>
      </bottom>
      <diagonal/>
    </border>
    <border>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rgb="FFD1D1D1"/>
      </left>
      <right style="medium">
        <color rgb="FFD1D1D1"/>
      </right>
      <top style="medium">
        <color rgb="FFD1D1D1"/>
      </top>
      <bottom style="medium">
        <color rgb="FFD1D1D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left>
      <right style="thin">
        <color theme="0"/>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rgb="FF00B050"/>
      </top>
      <bottom/>
      <diagonal/>
    </border>
    <border>
      <left style="thin">
        <color rgb="FFB0B0B0"/>
      </left>
      <right/>
      <top style="thin">
        <color rgb="FFB0B0B0"/>
      </top>
      <bottom style="thin">
        <color rgb="FFB0B0B0"/>
      </bottom>
      <diagonal/>
    </border>
    <border>
      <left style="thin">
        <color rgb="FFB0B0B0"/>
      </left>
      <right style="thin">
        <color rgb="FFB0B0B0"/>
      </right>
      <top style="thin">
        <color rgb="FFB0B0B0"/>
      </top>
      <bottom style="thin">
        <color rgb="FFB0B0B0"/>
      </bottom>
      <diagonal/>
    </border>
    <border>
      <left style="thin">
        <color rgb="FFB0B0B0"/>
      </left>
      <right style="thin">
        <color rgb="FFB0B0B0"/>
      </right>
      <top/>
      <bottom style="thin">
        <color rgb="FFB0B0B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16">
    <xf numFmtId="0" fontId="0" fillId="0" borderId="0"/>
    <xf numFmtId="0" fontId="10" fillId="0" borderId="0" applyNumberFormat="0" applyFill="0" applyBorder="0" applyAlignment="0" applyProtection="0"/>
    <xf numFmtId="9" fontId="11" fillId="0" borderId="0" applyFont="0" applyFill="0" applyBorder="0" applyAlignment="0" applyProtection="0"/>
    <xf numFmtId="164" fontId="24" fillId="0" borderId="0"/>
    <xf numFmtId="0" fontId="24" fillId="0" borderId="0"/>
    <xf numFmtId="164" fontId="24" fillId="0" borderId="0"/>
    <xf numFmtId="0" fontId="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4" fillId="0" borderId="0"/>
  </cellStyleXfs>
  <cellXfs count="1140">
    <xf numFmtId="0" fontId="0" fillId="0" borderId="0" xfId="0"/>
    <xf numFmtId="0" fontId="0" fillId="0" borderId="1" xfId="0" applyBorder="1"/>
    <xf numFmtId="0" fontId="0" fillId="0" borderId="1" xfId="0" applyBorder="1" applyAlignment="1">
      <alignment vertical="top" wrapText="1"/>
    </xf>
    <xf numFmtId="0" fontId="6" fillId="0" borderId="1" xfId="0" applyFont="1" applyBorder="1" applyAlignment="1">
      <alignment vertical="top" wrapText="1"/>
    </xf>
    <xf numFmtId="0" fontId="6" fillId="0" borderId="0" xfId="0" applyFont="1" applyAlignment="1">
      <alignment horizontal="center"/>
    </xf>
    <xf numFmtId="0" fontId="0" fillId="0" borderId="0" xfId="0" applyAlignment="1">
      <alignment horizontal="center"/>
    </xf>
    <xf numFmtId="0" fontId="13" fillId="2" borderId="0" xfId="0" applyFont="1" applyFill="1" applyAlignment="1">
      <alignment horizontal="center" vertical="center"/>
    </xf>
    <xf numFmtId="0" fontId="0" fillId="0" borderId="1" xfId="0" applyBorder="1" applyAlignment="1">
      <alignment horizontal="center" vertical="center"/>
    </xf>
    <xf numFmtId="0" fontId="14" fillId="4" borderId="1" xfId="0" applyFont="1" applyFill="1" applyBorder="1" applyAlignment="1">
      <alignment horizontal="center" vertical="center" textRotation="90"/>
    </xf>
    <xf numFmtId="0" fontId="14" fillId="4" borderId="1" xfId="0" applyFont="1" applyFill="1" applyBorder="1" applyAlignment="1">
      <alignment horizontal="center" vertical="center" textRotation="90" wrapText="1"/>
    </xf>
    <xf numFmtId="0" fontId="6" fillId="0" borderId="0" xfId="0" applyFont="1" applyAlignment="1">
      <alignment horizontal="left" vertical="top" wrapText="1"/>
    </xf>
    <xf numFmtId="0" fontId="6" fillId="0" borderId="0" xfId="0" applyFont="1"/>
    <xf numFmtId="0" fontId="10" fillId="0" borderId="0" xfId="1" applyFill="1"/>
    <xf numFmtId="0" fontId="0" fillId="0" borderId="0" xfId="0" applyAlignment="1">
      <alignment vertical="center"/>
    </xf>
    <xf numFmtId="0" fontId="6" fillId="0" borderId="0" xfId="0" applyFont="1" applyAlignment="1">
      <alignment horizontal="center" vertical="center"/>
    </xf>
    <xf numFmtId="0" fontId="0" fillId="0" borderId="1" xfId="0" applyBorder="1" applyAlignment="1">
      <alignment vertical="center"/>
    </xf>
    <xf numFmtId="0" fontId="0" fillId="0" borderId="0" xfId="0" applyAlignment="1">
      <alignment horizontal="center" vertical="center"/>
    </xf>
    <xf numFmtId="0" fontId="16" fillId="5" borderId="0" xfId="0" applyFont="1" applyFill="1" applyAlignment="1">
      <alignment horizontal="center" vertical="center"/>
    </xf>
    <xf numFmtId="0" fontId="17" fillId="5" borderId="0" xfId="0" applyFont="1" applyFill="1" applyAlignment="1">
      <alignment horizontal="center" vertical="center"/>
    </xf>
    <xf numFmtId="10" fontId="0" fillId="0" borderId="1" xfId="2" applyNumberFormat="1" applyFont="1" applyBorder="1" applyAlignment="1">
      <alignment horizontal="center"/>
    </xf>
    <xf numFmtId="0" fontId="10" fillId="0" borderId="0" xfId="1" applyAlignment="1">
      <alignment horizontal="left" vertical="center"/>
    </xf>
    <xf numFmtId="0" fontId="21" fillId="7" borderId="1" xfId="0" applyFont="1" applyFill="1" applyBorder="1" applyAlignment="1">
      <alignment vertical="top" wrapText="1"/>
    </xf>
    <xf numFmtId="0" fontId="22" fillId="7" borderId="1" xfId="0" applyFont="1" applyFill="1" applyBorder="1" applyAlignment="1">
      <alignment vertical="top" wrapText="1"/>
    </xf>
    <xf numFmtId="0" fontId="23" fillId="7" borderId="1" xfId="0" applyFont="1" applyFill="1" applyBorder="1" applyAlignment="1">
      <alignment vertical="top" wrapText="1"/>
    </xf>
    <xf numFmtId="0" fontId="10" fillId="8" borderId="0" xfId="1" applyNumberFormat="1" applyFill="1" applyAlignment="1" applyProtection="1">
      <alignment horizontal="center"/>
    </xf>
    <xf numFmtId="0" fontId="25" fillId="8" borderId="0" xfId="3" applyNumberFormat="1" applyFont="1" applyFill="1" applyAlignment="1">
      <alignment horizontal="center"/>
    </xf>
    <xf numFmtId="0" fontId="0" fillId="8" borderId="0" xfId="0" applyFill="1"/>
    <xf numFmtId="0" fontId="26" fillId="8" borderId="0" xfId="3" applyNumberFormat="1" applyFont="1" applyFill="1" applyAlignment="1">
      <alignment horizontal="center"/>
    </xf>
    <xf numFmtId="4" fontId="27" fillId="0" borderId="0" xfId="4" applyNumberFormat="1" applyFont="1"/>
    <xf numFmtId="0" fontId="27" fillId="9" borderId="0" xfId="0" applyFont="1" applyFill="1"/>
    <xf numFmtId="0" fontId="27" fillId="10" borderId="0" xfId="0" applyFont="1" applyFill="1"/>
    <xf numFmtId="2" fontId="27" fillId="9" borderId="0" xfId="0" applyNumberFormat="1" applyFont="1" applyFill="1"/>
    <xf numFmtId="0" fontId="10" fillId="0" borderId="0" xfId="1" applyNumberFormat="1" applyAlignment="1" applyProtection="1"/>
    <xf numFmtId="0" fontId="0" fillId="6" borderId="0" xfId="0" applyFill="1"/>
    <xf numFmtId="0" fontId="26" fillId="8" borderId="0" xfId="5" applyNumberFormat="1" applyFont="1" applyFill="1" applyAlignment="1">
      <alignment horizontal="center"/>
    </xf>
    <xf numFmtId="0" fontId="28" fillId="0" borderId="0" xfId="3" applyNumberFormat="1" applyFont="1"/>
    <xf numFmtId="0" fontId="25" fillId="8" borderId="0" xfId="5" applyNumberFormat="1" applyFont="1" applyFill="1" applyAlignment="1">
      <alignment horizontal="center"/>
    </xf>
    <xf numFmtId="2" fontId="0" fillId="0" borderId="0" xfId="0" applyNumberFormat="1"/>
    <xf numFmtId="1" fontId="30" fillId="0" borderId="0" xfId="0" applyNumberFormat="1" applyFont="1" applyAlignment="1">
      <alignment horizontal="center"/>
    </xf>
    <xf numFmtId="1" fontId="31" fillId="0" borderId="0" xfId="0" applyNumberFormat="1" applyFont="1" applyAlignment="1">
      <alignment horizontal="center"/>
    </xf>
    <xf numFmtId="165" fontId="30" fillId="0" borderId="0" xfId="0" applyNumberFormat="1" applyFont="1"/>
    <xf numFmtId="0" fontId="30" fillId="0" borderId="0" xfId="0" applyFont="1"/>
    <xf numFmtId="165" fontId="26" fillId="0" borderId="0" xfId="0" applyNumberFormat="1" applyFont="1"/>
    <xf numFmtId="165" fontId="28" fillId="0" borderId="0" xfId="0" applyNumberFormat="1" applyFont="1"/>
    <xf numFmtId="166" fontId="25" fillId="0" borderId="0" xfId="0" applyNumberFormat="1" applyFont="1"/>
    <xf numFmtId="1" fontId="32" fillId="0" borderId="0" xfId="0" applyNumberFormat="1" applyFont="1" applyAlignment="1">
      <alignment horizontal="center" vertical="center"/>
    </xf>
    <xf numFmtId="0" fontId="29" fillId="0" borderId="0" xfId="0" applyFont="1"/>
    <xf numFmtId="0" fontId="33" fillId="11" borderId="5" xfId="0" applyFont="1" applyFill="1" applyBorder="1" applyAlignment="1">
      <alignment horizontal="center"/>
    </xf>
    <xf numFmtId="0" fontId="32" fillId="11" borderId="6" xfId="0" applyFont="1" applyFill="1" applyBorder="1" applyAlignment="1">
      <alignment horizontal="center" vertical="center" wrapText="1"/>
    </xf>
    <xf numFmtId="0" fontId="0" fillId="12" borderId="5" xfId="0" applyFill="1" applyBorder="1" applyAlignment="1">
      <alignment horizontal="center" vertical="center"/>
    </xf>
    <xf numFmtId="0" fontId="32" fillId="12" borderId="6" xfId="0" applyFont="1" applyFill="1" applyBorder="1" applyAlignment="1">
      <alignment horizontal="center" vertical="center" wrapText="1"/>
    </xf>
    <xf numFmtId="0" fontId="0" fillId="13" borderId="5" xfId="0" applyFill="1" applyBorder="1" applyAlignment="1">
      <alignment horizontal="center" vertical="center"/>
    </xf>
    <xf numFmtId="0" fontId="32" fillId="13" borderId="6" xfId="0" applyFont="1" applyFill="1" applyBorder="1" applyAlignment="1">
      <alignment horizontal="center" vertical="center" wrapText="1"/>
    </xf>
    <xf numFmtId="14" fontId="33" fillId="0" borderId="0" xfId="0" applyNumberFormat="1" applyFont="1"/>
    <xf numFmtId="0" fontId="33" fillId="11" borderId="8" xfId="0" applyFont="1" applyFill="1" applyBorder="1" applyAlignment="1">
      <alignment horizontal="center"/>
    </xf>
    <xf numFmtId="0" fontId="30" fillId="11" borderId="1" xfId="0" applyFont="1" applyFill="1" applyBorder="1" applyAlignment="1">
      <alignment horizontal="center"/>
    </xf>
    <xf numFmtId="0" fontId="30" fillId="11" borderId="1" xfId="0" applyFont="1" applyFill="1" applyBorder="1" applyAlignment="1">
      <alignment horizontal="center" vertical="center"/>
    </xf>
    <xf numFmtId="0" fontId="30" fillId="11" borderId="9" xfId="0" applyFont="1" applyFill="1" applyBorder="1" applyAlignment="1">
      <alignment horizontal="center" vertical="center"/>
    </xf>
    <xf numFmtId="0" fontId="30" fillId="12" borderId="8" xfId="0" applyFont="1" applyFill="1" applyBorder="1" applyAlignment="1">
      <alignment horizontal="center" vertical="center"/>
    </xf>
    <xf numFmtId="0" fontId="30" fillId="12" borderId="1" xfId="0" applyFont="1" applyFill="1" applyBorder="1" applyAlignment="1">
      <alignment horizontal="center" vertical="center"/>
    </xf>
    <xf numFmtId="0" fontId="30" fillId="12" borderId="9" xfId="0" applyFont="1" applyFill="1" applyBorder="1" applyAlignment="1">
      <alignment horizontal="center" vertical="center"/>
    </xf>
    <xf numFmtId="0" fontId="30" fillId="13" borderId="8" xfId="0" applyFont="1" applyFill="1" applyBorder="1" applyAlignment="1">
      <alignment horizontal="center" vertical="center"/>
    </xf>
    <xf numFmtId="0" fontId="30" fillId="13" borderId="1" xfId="0" applyFont="1" applyFill="1" applyBorder="1" applyAlignment="1">
      <alignment horizontal="center" vertical="center"/>
    </xf>
    <xf numFmtId="0" fontId="30" fillId="13" borderId="9" xfId="0" applyFont="1" applyFill="1" applyBorder="1" applyAlignment="1">
      <alignment horizontal="center" vertical="center"/>
    </xf>
    <xf numFmtId="0" fontId="33" fillId="0" borderId="0" xfId="0" applyFont="1"/>
    <xf numFmtId="0" fontId="0" fillId="14" borderId="8" xfId="0" applyFill="1" applyBorder="1" applyAlignment="1">
      <alignment horizontal="center"/>
    </xf>
    <xf numFmtId="167" fontId="0" fillId="14" borderId="1" xfId="0" applyNumberFormat="1" applyFill="1" applyBorder="1" applyAlignment="1">
      <alignment horizontal="center"/>
    </xf>
    <xf numFmtId="10" fontId="11" fillId="14" borderId="1" xfId="2" applyNumberFormat="1" applyFill="1" applyBorder="1" applyAlignment="1">
      <alignment horizontal="center"/>
    </xf>
    <xf numFmtId="10" fontId="11" fillId="14" borderId="9" xfId="2" applyNumberFormat="1" applyFill="1" applyBorder="1" applyAlignment="1">
      <alignment horizontal="center"/>
    </xf>
    <xf numFmtId="168" fontId="0" fillId="14" borderId="1" xfId="0" applyNumberFormat="1" applyFill="1" applyBorder="1" applyAlignment="1">
      <alignment horizontal="center" vertical="center" wrapText="1"/>
    </xf>
    <xf numFmtId="168" fontId="0" fillId="14" borderId="1" xfId="0" applyNumberFormat="1" applyFill="1" applyBorder="1" applyAlignment="1">
      <alignment horizontal="center"/>
    </xf>
    <xf numFmtId="10" fontId="0" fillId="14" borderId="1" xfId="2" applyNumberFormat="1" applyFont="1" applyFill="1" applyBorder="1" applyAlignment="1">
      <alignment horizontal="center"/>
    </xf>
    <xf numFmtId="10" fontId="0" fillId="14" borderId="9" xfId="2" applyNumberFormat="1" applyFont="1" applyFill="1" applyBorder="1" applyAlignment="1">
      <alignment horizontal="center"/>
    </xf>
    <xf numFmtId="0" fontId="0" fillId="0" borderId="8" xfId="0" applyBorder="1" applyAlignment="1">
      <alignment horizontal="center"/>
    </xf>
    <xf numFmtId="167" fontId="0" fillId="0" borderId="1" xfId="0" applyNumberFormat="1" applyBorder="1" applyAlignment="1">
      <alignment horizontal="center"/>
    </xf>
    <xf numFmtId="10" fontId="11" fillId="0" borderId="1" xfId="2" applyNumberFormat="1" applyFill="1" applyBorder="1" applyAlignment="1">
      <alignment horizontal="center"/>
    </xf>
    <xf numFmtId="168" fontId="0" fillId="0" borderId="1" xfId="0" applyNumberFormat="1" applyBorder="1" applyAlignment="1">
      <alignment horizontal="center" vertical="center" wrapText="1"/>
    </xf>
    <xf numFmtId="10" fontId="11" fillId="0" borderId="9" xfId="2" applyNumberFormat="1" applyFill="1" applyBorder="1" applyAlignment="1">
      <alignment horizontal="center"/>
    </xf>
    <xf numFmtId="168" fontId="0" fillId="0" borderId="1" xfId="0" applyNumberFormat="1" applyBorder="1" applyAlignment="1">
      <alignment horizontal="center"/>
    </xf>
    <xf numFmtId="10" fontId="0" fillId="0" borderId="9" xfId="2" applyNumberFormat="1" applyFont="1" applyBorder="1" applyAlignment="1">
      <alignment horizontal="center"/>
    </xf>
    <xf numFmtId="0" fontId="0" fillId="6" borderId="8" xfId="0" applyFill="1" applyBorder="1" applyAlignment="1">
      <alignment horizontal="center"/>
    </xf>
    <xf numFmtId="167" fontId="0" fillId="6" borderId="1" xfId="0" applyNumberFormat="1" applyFill="1" applyBorder="1" applyAlignment="1">
      <alignment horizontal="center"/>
    </xf>
    <xf numFmtId="10" fontId="11" fillId="6" borderId="1" xfId="2" applyNumberFormat="1" applyFill="1" applyBorder="1" applyAlignment="1">
      <alignment horizontal="center"/>
    </xf>
    <xf numFmtId="10" fontId="11" fillId="6" borderId="9" xfId="2" applyNumberFormat="1" applyFill="1" applyBorder="1" applyAlignment="1">
      <alignment horizontal="center"/>
    </xf>
    <xf numFmtId="168" fontId="0" fillId="6" borderId="1" xfId="0" applyNumberFormat="1" applyFill="1" applyBorder="1" applyAlignment="1">
      <alignment horizontal="center" vertical="center" wrapText="1"/>
    </xf>
    <xf numFmtId="168" fontId="0" fillId="6" borderId="1" xfId="0" applyNumberFormat="1" applyFill="1" applyBorder="1" applyAlignment="1">
      <alignment horizontal="center"/>
    </xf>
    <xf numFmtId="10" fontId="0" fillId="6" borderId="1" xfId="2" applyNumberFormat="1" applyFont="1" applyFill="1" applyBorder="1" applyAlignment="1">
      <alignment horizontal="center"/>
    </xf>
    <xf numFmtId="10" fontId="0" fillId="6" borderId="9" xfId="2" applyNumberFormat="1" applyFont="1" applyFill="1" applyBorder="1" applyAlignment="1">
      <alignment horizontal="center"/>
    </xf>
    <xf numFmtId="10" fontId="0" fillId="0" borderId="1" xfId="2" applyNumberFormat="1" applyFont="1" applyFill="1" applyBorder="1" applyAlignment="1">
      <alignment horizontal="center"/>
    </xf>
    <xf numFmtId="10" fontId="0" fillId="0" borderId="9" xfId="2" applyNumberFormat="1" applyFont="1" applyFill="1" applyBorder="1" applyAlignment="1">
      <alignment horizontal="center"/>
    </xf>
    <xf numFmtId="0" fontId="0" fillId="14" borderId="10" xfId="0" applyFill="1" applyBorder="1" applyAlignment="1">
      <alignment horizontal="center"/>
    </xf>
    <xf numFmtId="167" fontId="0" fillId="14" borderId="11" xfId="0" applyNumberFormat="1" applyFill="1" applyBorder="1" applyAlignment="1">
      <alignment horizontal="center"/>
    </xf>
    <xf numFmtId="10" fontId="11" fillId="14" borderId="11" xfId="2" applyNumberFormat="1" applyFill="1" applyBorder="1" applyAlignment="1">
      <alignment horizontal="center"/>
    </xf>
    <xf numFmtId="168" fontId="0" fillId="14" borderId="11" xfId="0" applyNumberFormat="1" applyFill="1" applyBorder="1" applyAlignment="1">
      <alignment horizontal="center" vertical="center" wrapText="1"/>
    </xf>
    <xf numFmtId="10" fontId="11" fillId="14" borderId="12" xfId="2" applyNumberFormat="1" applyFill="1" applyBorder="1" applyAlignment="1">
      <alignment horizontal="center"/>
    </xf>
    <xf numFmtId="168" fontId="0" fillId="14" borderId="11" xfId="0" applyNumberFormat="1" applyFill="1" applyBorder="1" applyAlignment="1">
      <alignment horizontal="center"/>
    </xf>
    <xf numFmtId="10" fontId="0" fillId="14" borderId="11" xfId="2" applyNumberFormat="1" applyFont="1" applyFill="1" applyBorder="1" applyAlignment="1">
      <alignment horizontal="center"/>
    </xf>
    <xf numFmtId="10" fontId="0" fillId="14" borderId="12" xfId="2" applyNumberFormat="1" applyFont="1" applyFill="1" applyBorder="1" applyAlignment="1">
      <alignment horizontal="center"/>
    </xf>
    <xf numFmtId="0" fontId="33" fillId="13" borderId="8" xfId="0" applyFont="1" applyFill="1" applyBorder="1" applyAlignment="1">
      <alignment horizontal="center" vertical="center"/>
    </xf>
    <xf numFmtId="0" fontId="33" fillId="13" borderId="1" xfId="0" applyFont="1" applyFill="1" applyBorder="1" applyAlignment="1">
      <alignment horizontal="center" vertical="center"/>
    </xf>
    <xf numFmtId="0" fontId="33" fillId="13" borderId="9" xfId="0" applyFont="1" applyFill="1" applyBorder="1" applyAlignment="1">
      <alignment horizontal="center" vertical="center"/>
    </xf>
    <xf numFmtId="0" fontId="32" fillId="11" borderId="0" xfId="0" applyFont="1" applyFill="1" applyAlignment="1">
      <alignment horizontal="center" vertical="center" wrapText="1"/>
    </xf>
    <xf numFmtId="0" fontId="0" fillId="12" borderId="0" xfId="0" applyFill="1" applyAlignment="1">
      <alignment horizontal="center" vertical="center"/>
    </xf>
    <xf numFmtId="0" fontId="32" fillId="12" borderId="0" xfId="0" applyFont="1" applyFill="1" applyAlignment="1">
      <alignment horizontal="center" vertical="center" wrapText="1"/>
    </xf>
    <xf numFmtId="0" fontId="0" fillId="13" borderId="0" xfId="0" applyFill="1" applyAlignment="1">
      <alignment horizontal="center" vertical="center"/>
    </xf>
    <xf numFmtId="0" fontId="0" fillId="13" borderId="0" xfId="0" applyFill="1" applyAlignment="1">
      <alignment horizontal="center" vertical="center" wrapText="1"/>
    </xf>
    <xf numFmtId="0" fontId="30" fillId="11" borderId="0" xfId="0" applyFont="1" applyFill="1" applyAlignment="1">
      <alignment horizontal="center"/>
    </xf>
    <xf numFmtId="0" fontId="30" fillId="12" borderId="0" xfId="0" applyFont="1" applyFill="1" applyAlignment="1">
      <alignment horizontal="center"/>
    </xf>
    <xf numFmtId="0" fontId="33" fillId="13" borderId="0" xfId="0" applyFont="1" applyFill="1" applyAlignment="1">
      <alignment horizontal="center"/>
    </xf>
    <xf numFmtId="167" fontId="0" fillId="0" borderId="0" xfId="0" applyNumberFormat="1" applyAlignment="1">
      <alignment horizontal="center"/>
    </xf>
    <xf numFmtId="10" fontId="11" fillId="0" borderId="0" xfId="2" applyNumberFormat="1" applyFill="1" applyBorder="1" applyAlignment="1">
      <alignment horizontal="center"/>
    </xf>
    <xf numFmtId="0" fontId="0" fillId="0" borderId="0" xfId="0" applyAlignment="1">
      <alignment horizontal="center" vertical="center" wrapText="1"/>
    </xf>
    <xf numFmtId="168" fontId="0" fillId="0" borderId="0" xfId="0" applyNumberFormat="1" applyAlignment="1">
      <alignment horizontal="center"/>
    </xf>
    <xf numFmtId="10" fontId="0" fillId="0" borderId="0" xfId="2" applyNumberFormat="1" applyFont="1" applyAlignment="1">
      <alignment horizontal="center"/>
    </xf>
    <xf numFmtId="0" fontId="0" fillId="6" borderId="0" xfId="0" applyFill="1" applyAlignment="1">
      <alignment horizontal="center"/>
    </xf>
    <xf numFmtId="167" fontId="0" fillId="6" borderId="0" xfId="0" applyNumberFormat="1" applyFill="1" applyAlignment="1">
      <alignment horizontal="center"/>
    </xf>
    <xf numFmtId="0" fontId="0" fillId="6" borderId="0" xfId="0" applyFill="1" applyAlignment="1">
      <alignment horizontal="center" vertical="center" wrapText="1"/>
    </xf>
    <xf numFmtId="0" fontId="43" fillId="15" borderId="0" xfId="0" applyFont="1" applyFill="1" applyAlignment="1">
      <alignment horizontal="center" vertical="center"/>
    </xf>
    <xf numFmtId="0" fontId="48" fillId="3" borderId="0" xfId="0" applyFont="1" applyFill="1" applyAlignment="1">
      <alignment horizontal="center" vertical="top" wrapText="1"/>
    </xf>
    <xf numFmtId="0" fontId="0" fillId="0" borderId="1" xfId="0" applyBorder="1" applyAlignment="1">
      <alignment wrapText="1"/>
    </xf>
    <xf numFmtId="0" fontId="0" fillId="0" borderId="0" xfId="0" applyAlignment="1">
      <alignment wrapText="1"/>
    </xf>
    <xf numFmtId="0" fontId="0" fillId="5" borderId="0" xfId="0" applyFill="1" applyAlignment="1">
      <alignment vertical="center"/>
    </xf>
    <xf numFmtId="0" fontId="0" fillId="5" borderId="0" xfId="0" applyFill="1"/>
    <xf numFmtId="0" fontId="10" fillId="0" borderId="0" xfId="1" quotePrefix="1" applyFill="1"/>
    <xf numFmtId="0" fontId="48" fillId="3" borderId="16" xfId="0" applyFont="1" applyFill="1" applyBorder="1" applyAlignment="1">
      <alignment vertical="top" wrapText="1"/>
    </xf>
    <xf numFmtId="0" fontId="12" fillId="0" borderId="0" xfId="0" applyFont="1" applyAlignment="1">
      <alignment vertical="top" textRotation="90" wrapText="1"/>
    </xf>
    <xf numFmtId="0" fontId="12" fillId="0" borderId="16" xfId="0" applyFont="1" applyBorder="1" applyAlignment="1">
      <alignment vertical="top" textRotation="90" wrapText="1"/>
    </xf>
    <xf numFmtId="0" fontId="12" fillId="0" borderId="0" xfId="0" applyFont="1" applyAlignment="1">
      <alignment vertical="top" textRotation="90"/>
    </xf>
    <xf numFmtId="0" fontId="0" fillId="0" borderId="16" xfId="0" applyBorder="1"/>
    <xf numFmtId="0" fontId="12" fillId="0" borderId="16" xfId="0" applyFont="1" applyBorder="1" applyAlignment="1">
      <alignment vertical="top" textRotation="90"/>
    </xf>
    <xf numFmtId="0" fontId="53" fillId="5" borderId="1" xfId="0" applyFont="1" applyFill="1" applyBorder="1" applyAlignment="1">
      <alignment horizontal="center" vertical="center" wrapText="1"/>
    </xf>
    <xf numFmtId="0" fontId="52" fillId="0" borderId="1" xfId="0" applyFont="1" applyBorder="1" applyAlignment="1">
      <alignment vertical="center" wrapText="1"/>
    </xf>
    <xf numFmtId="0" fontId="52" fillId="0" borderId="1" xfId="0" applyFont="1" applyBorder="1" applyAlignment="1">
      <alignment horizontal="center" vertical="center" wrapText="1"/>
    </xf>
    <xf numFmtId="0" fontId="0" fillId="0" borderId="1" xfId="0" applyBorder="1" applyAlignment="1">
      <alignment vertical="center" wrapText="1"/>
    </xf>
    <xf numFmtId="0" fontId="10" fillId="0" borderId="0" xfId="1" applyFill="1" applyAlignment="1">
      <alignment horizontal="center" vertical="center"/>
    </xf>
    <xf numFmtId="0" fontId="10" fillId="0" borderId="1" xfId="1" applyBorder="1" applyAlignment="1" applyProtection="1">
      <alignment horizontal="center" vertical="center" wrapText="1"/>
    </xf>
    <xf numFmtId="0" fontId="54" fillId="0" borderId="1" xfId="0" applyFont="1" applyBorder="1" applyAlignment="1">
      <alignment horizontal="center" vertical="center" wrapText="1"/>
    </xf>
    <xf numFmtId="0" fontId="50" fillId="0" borderId="0" xfId="0" applyFont="1"/>
    <xf numFmtId="0" fontId="0" fillId="11" borderId="0" xfId="0" applyFill="1" applyAlignment="1">
      <alignment vertical="center"/>
    </xf>
    <xf numFmtId="0" fontId="0" fillId="14" borderId="0" xfId="0" applyFill="1" applyAlignment="1">
      <alignment vertical="center"/>
    </xf>
    <xf numFmtId="0" fontId="10" fillId="14" borderId="0" xfId="1" applyFill="1" applyAlignment="1">
      <alignment horizontal="left" vertical="center"/>
    </xf>
    <xf numFmtId="0" fontId="0" fillId="14" borderId="0" xfId="0" applyFill="1"/>
    <xf numFmtId="0" fontId="55" fillId="5" borderId="0" xfId="1" applyFont="1" applyFill="1" applyAlignment="1">
      <alignment vertical="center"/>
    </xf>
    <xf numFmtId="0" fontId="0" fillId="0" borderId="1" xfId="0" applyBorder="1" applyAlignment="1">
      <alignment horizontal="left" vertical="center"/>
    </xf>
    <xf numFmtId="0" fontId="0" fillId="14" borderId="1" xfId="0" applyFill="1" applyBorder="1" applyAlignment="1">
      <alignment horizontal="center" vertical="center"/>
    </xf>
    <xf numFmtId="0" fontId="10" fillId="0" borderId="0" xfId="1"/>
    <xf numFmtId="0" fontId="20" fillId="0" borderId="0" xfId="0" applyFont="1" applyAlignment="1">
      <alignment horizontal="center" vertical="center" wrapText="1"/>
    </xf>
    <xf numFmtId="0" fontId="6" fillId="0" borderId="0" xfId="0" applyFont="1" applyAlignment="1">
      <alignment vertical="center" wrapText="1"/>
    </xf>
    <xf numFmtId="0" fontId="6" fillId="0" borderId="1" xfId="0" applyFont="1" applyBorder="1" applyAlignment="1">
      <alignment horizontal="left" vertical="center"/>
    </xf>
    <xf numFmtId="10" fontId="0" fillId="0" borderId="1" xfId="0" applyNumberFormat="1" applyBorder="1" applyAlignment="1">
      <alignment horizontal="left" vertical="center"/>
    </xf>
    <xf numFmtId="0" fontId="0" fillId="0" borderId="0" xfId="0" applyAlignment="1">
      <alignment horizontal="left" vertical="center"/>
    </xf>
    <xf numFmtId="0" fontId="10" fillId="14" borderId="0" xfId="1" applyFill="1" applyAlignment="1">
      <alignment vertical="center"/>
    </xf>
    <xf numFmtId="0" fontId="10" fillId="14" borderId="0" xfId="1" quotePrefix="1" applyFill="1" applyAlignment="1">
      <alignment vertical="center"/>
    </xf>
    <xf numFmtId="0" fontId="19" fillId="4" borderId="1" xfId="0" applyFont="1" applyFill="1" applyBorder="1" applyAlignment="1">
      <alignment horizontal="center" vertical="center" textRotation="90" wrapText="1"/>
    </xf>
    <xf numFmtId="0" fontId="19" fillId="0" borderId="1" xfId="0" applyFont="1" applyBorder="1" applyAlignment="1">
      <alignment wrapText="1"/>
    </xf>
    <xf numFmtId="0" fontId="19" fillId="0" borderId="0" xfId="0" applyFont="1" applyAlignment="1">
      <alignment wrapText="1"/>
    </xf>
    <xf numFmtId="0" fontId="6" fillId="0" borderId="0" xfId="0" applyFont="1" applyAlignment="1">
      <alignment vertical="center"/>
    </xf>
    <xf numFmtId="0" fontId="6" fillId="0" borderId="1" xfId="0" applyFont="1" applyBorder="1" applyAlignment="1">
      <alignment horizontal="center" vertical="center"/>
    </xf>
    <xf numFmtId="9" fontId="0" fillId="14" borderId="1" xfId="0" applyNumberFormat="1" applyFill="1" applyBorder="1" applyAlignment="1">
      <alignment horizontal="center" vertical="center"/>
    </xf>
    <xf numFmtId="0" fontId="10" fillId="0" borderId="0" xfId="1" applyAlignment="1">
      <alignment vertical="center" wrapText="1"/>
    </xf>
    <xf numFmtId="0" fontId="62" fillId="17" borderId="0" xfId="6" applyFont="1" applyFill="1" applyAlignment="1">
      <alignment horizontal="center" vertical="center" wrapText="1"/>
    </xf>
    <xf numFmtId="0" fontId="0" fillId="0" borderId="0" xfId="6" applyFont="1" applyAlignment="1">
      <alignment vertical="top" wrapText="1"/>
    </xf>
    <xf numFmtId="0" fontId="63" fillId="2" borderId="16" xfId="0" applyFont="1" applyFill="1" applyBorder="1" applyAlignment="1">
      <alignment vertical="center" wrapText="1"/>
    </xf>
    <xf numFmtId="0" fontId="64" fillId="2" borderId="16" xfId="0" applyFont="1" applyFill="1" applyBorder="1" applyAlignment="1">
      <alignment vertical="center" wrapText="1"/>
    </xf>
    <xf numFmtId="0" fontId="7" fillId="0" borderId="1" xfId="1" applyFont="1" applyBorder="1" applyAlignment="1">
      <alignment vertical="center" wrapText="1"/>
    </xf>
    <xf numFmtId="0" fontId="61" fillId="0" borderId="1" xfId="1" applyFont="1" applyBorder="1" applyAlignment="1">
      <alignment vertical="center" wrapText="1"/>
    </xf>
    <xf numFmtId="0" fontId="7" fillId="11" borderId="1" xfId="1" applyFont="1" applyFill="1" applyBorder="1" applyAlignment="1">
      <alignment vertical="center" wrapText="1"/>
    </xf>
    <xf numFmtId="0" fontId="61" fillId="11" borderId="1" xfId="1" applyFont="1" applyFill="1" applyBorder="1" applyAlignment="1">
      <alignment vertical="center" wrapText="1"/>
    </xf>
    <xf numFmtId="0" fontId="20" fillId="0" borderId="0" xfId="0" applyFont="1" applyAlignment="1">
      <alignment vertical="center" wrapText="1"/>
    </xf>
    <xf numFmtId="0" fontId="20" fillId="0" borderId="0" xfId="0" applyFont="1"/>
    <xf numFmtId="0" fontId="6" fillId="0" borderId="0" xfId="0" applyFont="1" applyAlignment="1">
      <alignment vertical="top" wrapText="1"/>
    </xf>
    <xf numFmtId="0" fontId="4" fillId="0" borderId="0" xfId="0" applyFont="1"/>
    <xf numFmtId="170" fontId="4" fillId="0" borderId="0" xfId="0" applyNumberFormat="1" applyFont="1" applyAlignment="1">
      <alignment horizontal="center"/>
    </xf>
    <xf numFmtId="0" fontId="4" fillId="0" borderId="0" xfId="0" applyFont="1" applyProtection="1">
      <protection hidden="1"/>
    </xf>
    <xf numFmtId="0" fontId="73" fillId="0" borderId="0" xfId="0" applyFont="1" applyAlignment="1">
      <alignment horizontal="center" vertical="center"/>
    </xf>
    <xf numFmtId="0" fontId="72" fillId="0" borderId="6" xfId="0" applyFont="1" applyBorder="1" applyAlignment="1">
      <alignment horizontal="center" wrapText="1"/>
    </xf>
    <xf numFmtId="0" fontId="4" fillId="0" borderId="0" xfId="0" applyFont="1" applyAlignment="1">
      <alignment horizontal="center" vertical="center" wrapText="1"/>
    </xf>
    <xf numFmtId="0" fontId="4" fillId="0" borderId="31" xfId="0" applyFont="1" applyBorder="1" applyAlignment="1">
      <alignment horizontal="center" vertical="center" wrapText="1"/>
    </xf>
    <xf numFmtId="9" fontId="4" fillId="0" borderId="0" xfId="0" applyNumberFormat="1" applyFont="1" applyAlignment="1">
      <alignment horizontal="center" vertical="center" wrapText="1"/>
    </xf>
    <xf numFmtId="9" fontId="4" fillId="0" borderId="32" xfId="0" applyNumberFormat="1" applyFont="1" applyBorder="1" applyAlignment="1">
      <alignment horizontal="center" vertical="center" wrapText="1"/>
    </xf>
    <xf numFmtId="0" fontId="4" fillId="0" borderId="33"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4" xfId="0" applyFont="1" applyBorder="1" applyAlignment="1">
      <alignment horizontal="center" vertical="center" wrapText="1"/>
    </xf>
    <xf numFmtId="170" fontId="4" fillId="0" borderId="26" xfId="0" applyNumberFormat="1" applyFont="1" applyBorder="1" applyAlignment="1">
      <alignment horizontal="center" vertical="center" wrapText="1"/>
    </xf>
    <xf numFmtId="170" fontId="4" fillId="0" borderId="35" xfId="0" applyNumberFormat="1" applyFont="1" applyBorder="1" applyAlignment="1">
      <alignment horizontal="center" vertical="center" wrapText="1"/>
    </xf>
    <xf numFmtId="170" fontId="4" fillId="0" borderId="10" xfId="0" applyNumberFormat="1" applyFont="1" applyBorder="1" applyAlignment="1">
      <alignment horizontal="center" vertical="center" wrapText="1"/>
    </xf>
    <xf numFmtId="170" fontId="4" fillId="0" borderId="12" xfId="0" applyNumberFormat="1" applyFont="1" applyBorder="1" applyAlignment="1">
      <alignment horizontal="center" vertical="center" wrapText="1"/>
    </xf>
    <xf numFmtId="0" fontId="4" fillId="0" borderId="0" xfId="0" applyFont="1" applyAlignment="1" applyProtection="1">
      <alignment horizontal="center" vertical="center" wrapText="1"/>
      <protection hidden="1"/>
    </xf>
    <xf numFmtId="0" fontId="4" fillId="0" borderId="28" xfId="0" applyFont="1" applyBorder="1" applyAlignment="1">
      <alignment horizontal="center"/>
    </xf>
    <xf numFmtId="4" fontId="4" fillId="0" borderId="29" xfId="0" applyNumberFormat="1" applyFont="1" applyBorder="1"/>
    <xf numFmtId="172" fontId="4" fillId="0" borderId="28" xfId="0" applyNumberFormat="1" applyFont="1" applyBorder="1" applyAlignment="1">
      <alignment horizontal="center"/>
    </xf>
    <xf numFmtId="173" fontId="4" fillId="0" borderId="29" xfId="0" applyNumberFormat="1" applyFont="1" applyBorder="1" applyAlignment="1">
      <alignment horizontal="center"/>
    </xf>
    <xf numFmtId="173" fontId="4" fillId="0" borderId="30" xfId="0" applyNumberFormat="1" applyFont="1" applyBorder="1" applyAlignment="1">
      <alignment horizontal="center"/>
    </xf>
    <xf numFmtId="0" fontId="4" fillId="0" borderId="0" xfId="0" applyFont="1" applyAlignment="1">
      <alignment horizontal="center"/>
    </xf>
    <xf numFmtId="4" fontId="4" fillId="0" borderId="0" xfId="0" applyNumberFormat="1" applyFont="1"/>
    <xf numFmtId="10" fontId="4" fillId="0" borderId="30" xfId="2" applyNumberFormat="1" applyFont="1" applyBorder="1" applyAlignment="1">
      <alignment horizontal="center"/>
    </xf>
    <xf numFmtId="168" fontId="4" fillId="0" borderId="29" xfId="0" applyNumberFormat="1" applyFont="1" applyBorder="1" applyAlignment="1">
      <alignment horizontal="center"/>
    </xf>
    <xf numFmtId="171" fontId="4" fillId="0" borderId="29" xfId="0" applyNumberFormat="1" applyFont="1" applyBorder="1" applyAlignment="1">
      <alignment horizontal="center"/>
    </xf>
    <xf numFmtId="8" fontId="4" fillId="0" borderId="29" xfId="0" applyNumberFormat="1" applyFont="1" applyBorder="1" applyAlignment="1">
      <alignment horizontal="center"/>
    </xf>
    <xf numFmtId="8" fontId="4" fillId="0" borderId="30" xfId="0" applyNumberFormat="1" applyFont="1" applyBorder="1" applyAlignment="1">
      <alignment horizontal="center"/>
    </xf>
    <xf numFmtId="8" fontId="4" fillId="0" borderId="31" xfId="0" applyNumberFormat="1" applyFont="1" applyBorder="1" applyAlignment="1">
      <alignment horizontal="center"/>
    </xf>
    <xf numFmtId="8" fontId="4" fillId="0" borderId="32" xfId="0" applyNumberFormat="1" applyFont="1" applyBorder="1" applyAlignment="1">
      <alignment horizontal="center"/>
    </xf>
    <xf numFmtId="0" fontId="0" fillId="0" borderId="1" xfId="0" applyBorder="1" applyProtection="1">
      <protection locked="0"/>
    </xf>
    <xf numFmtId="10" fontId="0" fillId="0" borderId="1" xfId="2" applyNumberFormat="1" applyFont="1" applyBorder="1" applyProtection="1">
      <protection locked="0"/>
    </xf>
    <xf numFmtId="0" fontId="4" fillId="0" borderId="0" xfId="0" applyFont="1" applyProtection="1">
      <protection locked="0"/>
    </xf>
    <xf numFmtId="0" fontId="4" fillId="14" borderId="31" xfId="0" applyFont="1" applyFill="1" applyBorder="1" applyAlignment="1">
      <alignment horizontal="center"/>
    </xf>
    <xf numFmtId="4" fontId="4" fillId="14" borderId="0" xfId="0" applyNumberFormat="1" applyFont="1" applyFill="1"/>
    <xf numFmtId="172" fontId="4" fillId="14" borderId="31" xfId="0" applyNumberFormat="1" applyFont="1" applyFill="1" applyBorder="1" applyAlignment="1">
      <alignment horizontal="center"/>
    </xf>
    <xf numFmtId="173" fontId="4" fillId="14" borderId="0" xfId="0" applyNumberFormat="1" applyFont="1" applyFill="1" applyAlignment="1">
      <alignment horizontal="center"/>
    </xf>
    <xf numFmtId="173" fontId="4" fillId="14" borderId="32" xfId="0" applyNumberFormat="1" applyFont="1" applyFill="1" applyBorder="1" applyAlignment="1">
      <alignment horizontal="center"/>
    </xf>
    <xf numFmtId="0" fontId="4" fillId="14" borderId="0" xfId="0" applyFont="1" applyFill="1" applyAlignment="1">
      <alignment horizontal="center"/>
    </xf>
    <xf numFmtId="10" fontId="4" fillId="14" borderId="32" xfId="2" applyNumberFormat="1" applyFont="1" applyFill="1" applyBorder="1" applyAlignment="1">
      <alignment horizontal="center"/>
    </xf>
    <xf numFmtId="168" fontId="4" fillId="14" borderId="0" xfId="0" applyNumberFormat="1" applyFont="1" applyFill="1" applyAlignment="1">
      <alignment horizontal="center"/>
    </xf>
    <xf numFmtId="171" fontId="4" fillId="14" borderId="0" xfId="0" applyNumberFormat="1" applyFont="1" applyFill="1" applyAlignment="1">
      <alignment horizontal="center"/>
    </xf>
    <xf numFmtId="8" fontId="4" fillId="14" borderId="0" xfId="0" applyNumberFormat="1" applyFont="1" applyFill="1" applyAlignment="1">
      <alignment horizontal="center"/>
    </xf>
    <xf numFmtId="8" fontId="4" fillId="14" borderId="32" xfId="0" applyNumberFormat="1" applyFont="1" applyFill="1" applyBorder="1" applyAlignment="1">
      <alignment horizontal="center"/>
    </xf>
    <xf numFmtId="8" fontId="4" fillId="14" borderId="31" xfId="0" applyNumberFormat="1" applyFont="1" applyFill="1" applyBorder="1" applyAlignment="1">
      <alignment horizontal="center"/>
    </xf>
    <xf numFmtId="0" fontId="4" fillId="0" borderId="31" xfId="0" applyFont="1" applyBorder="1" applyAlignment="1">
      <alignment horizontal="center"/>
    </xf>
    <xf numFmtId="172" fontId="4" fillId="0" borderId="31" xfId="0" applyNumberFormat="1" applyFont="1" applyBorder="1" applyAlignment="1">
      <alignment horizontal="center"/>
    </xf>
    <xf numFmtId="173" fontId="4" fillId="0" borderId="0" xfId="0" applyNumberFormat="1" applyFont="1" applyAlignment="1">
      <alignment horizontal="center"/>
    </xf>
    <xf numFmtId="173" fontId="4" fillId="0" borderId="32" xfId="0" applyNumberFormat="1" applyFont="1" applyBorder="1" applyAlignment="1">
      <alignment horizontal="center"/>
    </xf>
    <xf numFmtId="10" fontId="4" fillId="0" borderId="32" xfId="2" applyNumberFormat="1" applyFont="1" applyBorder="1" applyAlignment="1">
      <alignment horizontal="center"/>
    </xf>
    <xf numFmtId="168" fontId="4" fillId="0" borderId="0" xfId="0" applyNumberFormat="1" applyFont="1" applyAlignment="1">
      <alignment horizontal="center"/>
    </xf>
    <xf numFmtId="171" fontId="4" fillId="0" borderId="0" xfId="0" applyNumberFormat="1" applyFont="1" applyAlignment="1">
      <alignment horizontal="center"/>
    </xf>
    <xf numFmtId="8" fontId="4" fillId="0" borderId="0" xfId="0" applyNumberFormat="1" applyFont="1" applyAlignment="1">
      <alignment horizontal="center"/>
    </xf>
    <xf numFmtId="14" fontId="0" fillId="0" borderId="1" xfId="0" applyNumberFormat="1" applyBorder="1" applyProtection="1">
      <protection locked="0"/>
    </xf>
    <xf numFmtId="0" fontId="74" fillId="19" borderId="36" xfId="0" applyFont="1" applyFill="1" applyBorder="1" applyAlignment="1">
      <alignment horizontal="center" vertical="top" wrapText="1"/>
    </xf>
    <xf numFmtId="0" fontId="74" fillId="19" borderId="37" xfId="0" applyFont="1" applyFill="1" applyBorder="1" applyAlignment="1">
      <alignment horizontal="center" vertical="top" wrapText="1"/>
    </xf>
    <xf numFmtId="0" fontId="74" fillId="19" borderId="38" xfId="0" applyFont="1" applyFill="1" applyBorder="1" applyAlignment="1">
      <alignment horizontal="center" vertical="top" wrapText="1"/>
    </xf>
    <xf numFmtId="0" fontId="74" fillId="19" borderId="0" xfId="0" applyFont="1" applyFill="1" applyAlignment="1">
      <alignment horizontal="center" vertical="top" wrapText="1"/>
    </xf>
    <xf numFmtId="168" fontId="75" fillId="0" borderId="0" xfId="0" applyNumberFormat="1" applyFont="1" applyAlignment="1">
      <alignment horizontal="center"/>
    </xf>
    <xf numFmtId="10" fontId="0" fillId="6" borderId="1" xfId="2" applyNumberFormat="1" applyFont="1" applyFill="1" applyBorder="1" applyProtection="1">
      <protection locked="0"/>
    </xf>
    <xf numFmtId="168" fontId="76" fillId="0" borderId="0" xfId="0" applyNumberFormat="1" applyFont="1" applyAlignment="1">
      <alignment horizontal="center"/>
    </xf>
    <xf numFmtId="168" fontId="76" fillId="14" borderId="0" xfId="0" applyNumberFormat="1" applyFont="1" applyFill="1" applyAlignment="1">
      <alignment horizontal="center"/>
    </xf>
    <xf numFmtId="4" fontId="76" fillId="14" borderId="0" xfId="0" applyNumberFormat="1" applyFont="1" applyFill="1"/>
    <xf numFmtId="4" fontId="76" fillId="0" borderId="0" xfId="0" applyNumberFormat="1" applyFont="1"/>
    <xf numFmtId="174" fontId="4" fillId="14" borderId="0" xfId="0" applyNumberFormat="1" applyFont="1" applyFill="1" applyAlignment="1">
      <alignment horizontal="center"/>
    </xf>
    <xf numFmtId="10" fontId="0" fillId="0" borderId="1" xfId="2" applyNumberFormat="1" applyFont="1" applyBorder="1"/>
    <xf numFmtId="6" fontId="77" fillId="0" borderId="0" xfId="0" applyNumberFormat="1" applyFont="1"/>
    <xf numFmtId="0" fontId="7" fillId="0" borderId="0" xfId="1" applyFont="1" applyFill="1" applyBorder="1" applyAlignment="1">
      <alignment vertical="center" wrapText="1"/>
    </xf>
    <xf numFmtId="0" fontId="6" fillId="20" borderId="1" xfId="0" applyFont="1" applyFill="1" applyBorder="1" applyAlignment="1">
      <alignment horizontal="center" vertical="center" wrapText="1"/>
    </xf>
    <xf numFmtId="0" fontId="71" fillId="5" borderId="0" xfId="0" applyFont="1" applyFill="1"/>
    <xf numFmtId="8" fontId="0" fillId="0" borderId="0" xfId="0" applyNumberFormat="1"/>
    <xf numFmtId="8" fontId="0" fillId="0" borderId="1" xfId="0" applyNumberFormat="1" applyBorder="1" applyAlignment="1">
      <alignment horizontal="left" vertical="center"/>
    </xf>
    <xf numFmtId="8" fontId="0" fillId="0" borderId="0" xfId="0" applyNumberFormat="1" applyAlignment="1">
      <alignment vertical="center"/>
    </xf>
    <xf numFmtId="8" fontId="6" fillId="0" borderId="0" xfId="0" applyNumberFormat="1" applyFont="1"/>
    <xf numFmtId="164" fontId="28" fillId="0" borderId="8" xfId="0" applyNumberFormat="1" applyFont="1" applyBorder="1" applyAlignment="1">
      <alignment horizontal="center" vertical="center" wrapText="1"/>
    </xf>
    <xf numFmtId="164" fontId="28" fillId="0" borderId="1" xfId="0" applyNumberFormat="1" applyFont="1" applyBorder="1" applyAlignment="1">
      <alignment horizontal="center" vertical="center" wrapText="1"/>
    </xf>
    <xf numFmtId="1" fontId="0" fillId="0" borderId="1" xfId="0" applyNumberFormat="1" applyBorder="1" applyAlignment="1">
      <alignment horizontal="center"/>
    </xf>
    <xf numFmtId="2" fontId="0" fillId="0" borderId="1" xfId="0" applyNumberFormat="1" applyBorder="1" applyAlignment="1">
      <alignment horizontal="center"/>
    </xf>
    <xf numFmtId="0" fontId="0" fillId="0" borderId="10" xfId="0" applyBorder="1" applyAlignment="1">
      <alignment horizontal="center"/>
    </xf>
    <xf numFmtId="1" fontId="0" fillId="0" borderId="11" xfId="0" applyNumberFormat="1" applyBorder="1" applyAlignment="1">
      <alignment horizontal="center"/>
    </xf>
    <xf numFmtId="2" fontId="0" fillId="0" borderId="11" xfId="0" applyNumberFormat="1" applyBorder="1" applyAlignment="1">
      <alignment horizontal="center"/>
    </xf>
    <xf numFmtId="0" fontId="0" fillId="0" borderId="42" xfId="0" applyBorder="1" applyAlignment="1">
      <alignment horizontal="center"/>
    </xf>
    <xf numFmtId="1" fontId="0" fillId="0" borderId="43" xfId="0" applyNumberFormat="1" applyBorder="1" applyAlignment="1">
      <alignment horizontal="center"/>
    </xf>
    <xf numFmtId="2" fontId="0" fillId="0" borderId="43" xfId="0" applyNumberFormat="1" applyBorder="1" applyAlignment="1">
      <alignment horizontal="center"/>
    </xf>
    <xf numFmtId="2" fontId="0" fillId="0" borderId="0" xfId="0" applyNumberFormat="1" applyAlignment="1">
      <alignment horizontal="center"/>
    </xf>
    <xf numFmtId="0" fontId="82" fillId="0" borderId="0" xfId="0" applyFont="1"/>
    <xf numFmtId="0" fontId="0" fillId="0" borderId="0" xfId="0" applyAlignment="1">
      <alignment horizontal="left" vertical="center" indent="1"/>
    </xf>
    <xf numFmtId="0" fontId="10" fillId="0" borderId="0" xfId="1" applyAlignment="1">
      <alignment vertical="center"/>
    </xf>
    <xf numFmtId="0" fontId="83" fillId="0" borderId="0" xfId="0" applyFont="1"/>
    <xf numFmtId="0" fontId="84" fillId="0" borderId="0" xfId="0" applyFont="1"/>
    <xf numFmtId="0" fontId="85" fillId="22" borderId="0" xfId="0" applyFont="1" applyFill="1"/>
    <xf numFmtId="17" fontId="0" fillId="0" borderId="0" xfId="0" applyNumberFormat="1"/>
    <xf numFmtId="0" fontId="86" fillId="0" borderId="0" xfId="0" applyFont="1"/>
    <xf numFmtId="169" fontId="0" fillId="0" borderId="0" xfId="2" applyNumberFormat="1" applyFont="1"/>
    <xf numFmtId="10" fontId="0" fillId="0" borderId="0" xfId="2" applyNumberFormat="1" applyFont="1"/>
    <xf numFmtId="8" fontId="0" fillId="0" borderId="0" xfId="0" applyNumberFormat="1" applyAlignment="1">
      <alignment horizontal="center"/>
    </xf>
    <xf numFmtId="0" fontId="87" fillId="0" borderId="0" xfId="0" applyFont="1" applyAlignment="1">
      <alignment vertical="center"/>
    </xf>
    <xf numFmtId="10" fontId="87" fillId="0" borderId="0" xfId="0" applyNumberFormat="1" applyFont="1" applyAlignment="1">
      <alignment vertical="center"/>
    </xf>
    <xf numFmtId="0" fontId="87" fillId="0" borderId="0" xfId="0" applyFont="1" applyAlignment="1">
      <alignment vertical="center" wrapText="1"/>
    </xf>
    <xf numFmtId="0" fontId="87" fillId="0" borderId="0" xfId="0" applyFont="1" applyAlignment="1">
      <alignment horizontal="center" vertical="center" wrapText="1"/>
    </xf>
    <xf numFmtId="3" fontId="87" fillId="0" borderId="0" xfId="0" applyNumberFormat="1" applyFont="1" applyAlignment="1">
      <alignment horizontal="center" vertical="center" wrapText="1"/>
    </xf>
    <xf numFmtId="10" fontId="87" fillId="0" borderId="0" xfId="0" applyNumberFormat="1" applyFont="1" applyAlignment="1">
      <alignment horizontal="center" vertical="center" wrapText="1"/>
    </xf>
    <xf numFmtId="0" fontId="0" fillId="0" borderId="0" xfId="0" applyAlignment="1">
      <alignment horizontal="center" wrapText="1"/>
    </xf>
    <xf numFmtId="0" fontId="89" fillId="0" borderId="0" xfId="0" applyFont="1" applyAlignment="1">
      <alignment vertical="center"/>
    </xf>
    <xf numFmtId="0" fontId="88" fillId="0" borderId="0" xfId="0" applyFont="1"/>
    <xf numFmtId="0" fontId="20" fillId="0" borderId="0" xfId="0" applyFont="1" applyAlignment="1">
      <alignment horizontal="left" vertical="center" indent="1"/>
    </xf>
    <xf numFmtId="0" fontId="6" fillId="0" borderId="0" xfId="0" applyFont="1" applyAlignment="1">
      <alignment horizontal="left" vertical="center" indent="1"/>
    </xf>
    <xf numFmtId="8" fontId="87" fillId="0" borderId="0" xfId="0" applyNumberFormat="1" applyFont="1" applyAlignment="1">
      <alignment vertical="center"/>
    </xf>
    <xf numFmtId="10" fontId="92" fillId="0" borderId="46" xfId="2" applyNumberFormat="1" applyFont="1" applyBorder="1" applyAlignment="1">
      <alignment horizontal="left" vertical="center" indent="1"/>
    </xf>
    <xf numFmtId="0" fontId="43" fillId="15" borderId="1" xfId="0" applyFont="1" applyFill="1" applyBorder="1" applyAlignment="1">
      <alignment horizontal="center" vertical="center"/>
    </xf>
    <xf numFmtId="0" fontId="45" fillId="15" borderId="1" xfId="6" applyFont="1" applyFill="1" applyBorder="1" applyAlignment="1">
      <alignment horizontal="center" vertical="center" wrapText="1"/>
    </xf>
    <xf numFmtId="0" fontId="93" fillId="15" borderId="1" xfId="6" applyFont="1" applyFill="1" applyBorder="1" applyAlignment="1">
      <alignment horizontal="center" vertical="center" wrapText="1"/>
    </xf>
    <xf numFmtId="0" fontId="46" fillId="15" borderId="1" xfId="6" applyFont="1" applyFill="1" applyBorder="1" applyAlignment="1">
      <alignment horizontal="center" vertical="center" wrapText="1"/>
    </xf>
    <xf numFmtId="0" fontId="0" fillId="11" borderId="1" xfId="0" applyFill="1" applyBorder="1" applyAlignment="1">
      <alignment horizontal="center" vertical="center"/>
    </xf>
    <xf numFmtId="0" fontId="47" fillId="11" borderId="1" xfId="6" applyFont="1" applyFill="1" applyBorder="1" applyAlignment="1">
      <alignment horizontal="center" vertical="center" wrapText="1"/>
    </xf>
    <xf numFmtId="0" fontId="94" fillId="11" borderId="1" xfId="6" applyFont="1" applyFill="1" applyBorder="1" applyAlignment="1">
      <alignment horizontal="center" vertical="center" wrapText="1"/>
    </xf>
    <xf numFmtId="169" fontId="47" fillId="11" borderId="1" xfId="6" applyNumberFormat="1" applyFont="1" applyFill="1" applyBorder="1" applyAlignment="1">
      <alignment horizontal="center" vertical="center" wrapText="1"/>
    </xf>
    <xf numFmtId="0" fontId="47" fillId="11" borderId="1" xfId="6" applyFont="1" applyFill="1" applyBorder="1" applyAlignment="1">
      <alignment vertical="center" wrapText="1"/>
    </xf>
    <xf numFmtId="0" fontId="10" fillId="11" borderId="1" xfId="1" applyFill="1" applyBorder="1" applyAlignment="1">
      <alignment vertical="center" wrapText="1"/>
    </xf>
    <xf numFmtId="0" fontId="47" fillId="0" borderId="1" xfId="6" applyFont="1" applyBorder="1" applyAlignment="1">
      <alignment horizontal="center" vertical="center" wrapText="1"/>
    </xf>
    <xf numFmtId="0" fontId="94" fillId="0" borderId="1" xfId="6" applyFont="1" applyBorder="1" applyAlignment="1">
      <alignment horizontal="center" vertical="center" wrapText="1"/>
    </xf>
    <xf numFmtId="169" fontId="47" fillId="0" borderId="1" xfId="6" applyNumberFormat="1" applyFont="1" applyBorder="1" applyAlignment="1">
      <alignment horizontal="center" vertical="center" wrapText="1"/>
    </xf>
    <xf numFmtId="0" fontId="47" fillId="0" borderId="1" xfId="6" applyFont="1" applyBorder="1" applyAlignment="1">
      <alignment vertical="center" wrapText="1"/>
    </xf>
    <xf numFmtId="0" fontId="10" fillId="0" borderId="1" xfId="1" applyFill="1" applyBorder="1" applyAlignment="1">
      <alignment vertical="center" wrapText="1"/>
    </xf>
    <xf numFmtId="0" fontId="6" fillId="0" borderId="1" xfId="0" applyFont="1" applyBorder="1" applyAlignment="1">
      <alignment vertical="center" wrapText="1"/>
    </xf>
    <xf numFmtId="177" fontId="0" fillId="11" borderId="0" xfId="0" applyNumberFormat="1" applyFill="1" applyAlignment="1">
      <alignment vertical="center"/>
    </xf>
    <xf numFmtId="0" fontId="6" fillId="0" borderId="0" xfId="0" quotePrefix="1" applyFont="1"/>
    <xf numFmtId="10" fontId="0" fillId="14" borderId="1" xfId="0" applyNumberFormat="1" applyFill="1" applyBorder="1" applyAlignment="1">
      <alignment horizontal="center" vertical="center"/>
    </xf>
    <xf numFmtId="0" fontId="99" fillId="20" borderId="0" xfId="0" applyFont="1" applyFill="1" applyAlignment="1">
      <alignment horizontal="center" vertical="center"/>
    </xf>
    <xf numFmtId="6" fontId="0" fillId="0" borderId="0" xfId="0" applyNumberFormat="1"/>
    <xf numFmtId="0" fontId="6" fillId="0" borderId="0" xfId="0" applyFont="1" applyAlignment="1">
      <alignment horizontal="right"/>
    </xf>
    <xf numFmtId="178" fontId="0" fillId="0" borderId="0" xfId="2" applyNumberFormat="1" applyFont="1"/>
    <xf numFmtId="14" fontId="0" fillId="0" borderId="0" xfId="0" applyNumberFormat="1"/>
    <xf numFmtId="0" fontId="0" fillId="23" borderId="0" xfId="0" applyFill="1"/>
    <xf numFmtId="10" fontId="0" fillId="0" borderId="0" xfId="2" applyNumberFormat="1" applyFont="1" applyAlignment="1">
      <alignment vertical="center"/>
    </xf>
    <xf numFmtId="0" fontId="67" fillId="24" borderId="0" xfId="0" applyFont="1" applyFill="1" applyAlignment="1">
      <alignment horizontal="center" wrapText="1"/>
    </xf>
    <xf numFmtId="0" fontId="0" fillId="25" borderId="0" xfId="0" applyFill="1"/>
    <xf numFmtId="0" fontId="0" fillId="25" borderId="0" xfId="0" applyFill="1" applyAlignment="1">
      <alignment vertical="center"/>
    </xf>
    <xf numFmtId="0" fontId="10" fillId="26" borderId="1" xfId="1" applyFill="1" applyBorder="1" applyAlignment="1">
      <alignment horizontal="center"/>
    </xf>
    <xf numFmtId="0" fontId="10" fillId="26" borderId="1" xfId="1" quotePrefix="1" applyFill="1" applyBorder="1" applyAlignment="1">
      <alignment horizontal="center"/>
    </xf>
    <xf numFmtId="0" fontId="10" fillId="26" borderId="1" xfId="1" applyFill="1" applyBorder="1" applyAlignment="1">
      <alignment horizontal="center" vertical="center"/>
    </xf>
    <xf numFmtId="0" fontId="10" fillId="26" borderId="1" xfId="1" applyFill="1" applyBorder="1" applyAlignment="1">
      <alignment horizontal="center" vertical="center" wrapText="1"/>
    </xf>
    <xf numFmtId="0" fontId="0" fillId="26" borderId="1" xfId="0" applyFill="1" applyBorder="1"/>
    <xf numFmtId="0" fontId="0" fillId="26" borderId="1" xfId="0" applyFill="1" applyBorder="1" applyAlignment="1">
      <alignment horizontal="center"/>
    </xf>
    <xf numFmtId="0" fontId="96" fillId="25" borderId="0" xfId="0" applyFont="1" applyFill="1" applyAlignment="1">
      <alignment horizontal="center" vertical="center"/>
    </xf>
    <xf numFmtId="0" fontId="6" fillId="0" borderId="1" xfId="0" applyFont="1" applyBorder="1" applyAlignment="1">
      <alignment vertical="center"/>
    </xf>
    <xf numFmtId="2" fontId="0" fillId="0" borderId="1" xfId="0" applyNumberFormat="1" applyBorder="1" applyAlignment="1">
      <alignment vertical="center"/>
    </xf>
    <xf numFmtId="176" fontId="0" fillId="0" borderId="1" xfId="0" applyNumberFormat="1" applyBorder="1" applyAlignment="1">
      <alignment vertical="center"/>
    </xf>
    <xf numFmtId="0" fontId="6" fillId="0" borderId="1" xfId="0" quotePrefix="1" applyFont="1" applyBorder="1" applyAlignment="1">
      <alignment vertical="center"/>
    </xf>
    <xf numFmtId="0" fontId="50" fillId="0" borderId="0" xfId="0" applyFont="1" applyAlignment="1">
      <alignment vertical="center"/>
    </xf>
    <xf numFmtId="0" fontId="55" fillId="5" borderId="0" xfId="1" applyFont="1" applyFill="1" applyBorder="1" applyAlignment="1">
      <alignment vertical="center"/>
    </xf>
    <xf numFmtId="0" fontId="0" fillId="0" borderId="0" xfId="0" applyProtection="1">
      <protection locked="0"/>
    </xf>
    <xf numFmtId="0" fontId="0" fillId="0" borderId="0" xfId="0" applyAlignment="1" applyProtection="1">
      <alignment vertical="center"/>
      <protection locked="0"/>
    </xf>
    <xf numFmtId="0" fontId="50" fillId="0" borderId="0" xfId="0" applyFont="1" applyAlignment="1" applyProtection="1">
      <alignment vertical="center"/>
      <protection locked="0"/>
    </xf>
    <xf numFmtId="0" fontId="0" fillId="0" borderId="0" xfId="0" applyAlignment="1">
      <alignment horizontal="left"/>
    </xf>
    <xf numFmtId="168" fontId="0" fillId="0" borderId="0" xfId="0" applyNumberFormat="1" applyAlignment="1">
      <alignment vertical="center"/>
    </xf>
    <xf numFmtId="10" fontId="20" fillId="0" borderId="1" xfId="2" applyNumberFormat="1" applyFont="1" applyFill="1" applyBorder="1" applyAlignment="1" applyProtection="1">
      <alignment horizontal="center" vertical="center"/>
      <protection locked="0"/>
    </xf>
    <xf numFmtId="10" fontId="20" fillId="0" borderId="1" xfId="2" applyNumberFormat="1" applyFont="1" applyBorder="1" applyAlignment="1" applyProtection="1">
      <alignment horizontal="center" vertical="center"/>
      <protection locked="0"/>
    </xf>
    <xf numFmtId="8" fontId="0" fillId="0" borderId="1" xfId="0" applyNumberFormat="1" applyBorder="1" applyAlignment="1" applyProtection="1">
      <alignment horizontal="center" vertical="center"/>
      <protection locked="0"/>
    </xf>
    <xf numFmtId="9" fontId="0" fillId="0" borderId="3" xfId="0" applyNumberFormat="1" applyBorder="1" applyAlignment="1" applyProtection="1">
      <alignment horizontal="center" vertical="center"/>
      <protection locked="0"/>
    </xf>
    <xf numFmtId="9" fontId="0" fillId="0" borderId="40" xfId="0" applyNumberFormat="1" applyBorder="1" applyAlignment="1" applyProtection="1">
      <alignment horizontal="center" vertical="center"/>
      <protection locked="0"/>
    </xf>
    <xf numFmtId="0" fontId="0" fillId="0" borderId="3" xfId="0" applyBorder="1" applyProtection="1">
      <protection locked="0"/>
    </xf>
    <xf numFmtId="0" fontId="6" fillId="14" borderId="1" xfId="0" applyFont="1" applyFill="1" applyBorder="1" applyAlignment="1" applyProtection="1">
      <alignment horizontal="right" vertical="center"/>
      <protection hidden="1"/>
    </xf>
    <xf numFmtId="10" fontId="0" fillId="14" borderId="1" xfId="2" applyNumberFormat="1" applyFont="1" applyFill="1" applyBorder="1" applyAlignment="1" applyProtection="1">
      <alignment horizontal="center" vertical="center"/>
      <protection hidden="1"/>
    </xf>
    <xf numFmtId="0" fontId="6" fillId="14" borderId="3" xfId="0" applyFont="1" applyFill="1" applyBorder="1" applyAlignment="1" applyProtection="1">
      <alignment vertical="center"/>
      <protection hidden="1"/>
    </xf>
    <xf numFmtId="0" fontId="6" fillId="14" borderId="17" xfId="0" applyFont="1" applyFill="1" applyBorder="1" applyAlignment="1" applyProtection="1">
      <alignment vertical="center"/>
      <protection hidden="1"/>
    </xf>
    <xf numFmtId="0" fontId="6" fillId="14" borderId="1" xfId="0" applyFont="1" applyFill="1" applyBorder="1" applyAlignment="1" applyProtection="1">
      <alignment vertical="center"/>
      <protection hidden="1"/>
    </xf>
    <xf numFmtId="8" fontId="20" fillId="14" borderId="1" xfId="2" applyNumberFormat="1" applyFont="1" applyFill="1" applyBorder="1" applyAlignment="1" applyProtection="1">
      <alignment horizontal="center" vertical="center"/>
      <protection hidden="1"/>
    </xf>
    <xf numFmtId="10" fontId="6" fillId="14" borderId="1" xfId="2" quotePrefix="1" applyNumberFormat="1" applyFont="1" applyFill="1" applyBorder="1" applyAlignment="1" applyProtection="1">
      <alignment horizontal="center" vertical="center"/>
      <protection hidden="1"/>
    </xf>
    <xf numFmtId="14" fontId="20" fillId="0" borderId="2"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95" fillId="0" borderId="0" xfId="0" applyFont="1" applyAlignment="1">
      <alignment horizontal="center" vertical="center" wrapText="1"/>
    </xf>
    <xf numFmtId="0" fontId="96" fillId="0" borderId="0" xfId="0" applyFont="1" applyAlignment="1">
      <alignment vertical="center"/>
    </xf>
    <xf numFmtId="0" fontId="71" fillId="0" borderId="0" xfId="0" applyFont="1"/>
    <xf numFmtId="0" fontId="56" fillId="5" borderId="1" xfId="0" applyFont="1" applyFill="1" applyBorder="1" applyAlignment="1">
      <alignment horizontal="center" vertical="center" wrapText="1"/>
    </xf>
    <xf numFmtId="6" fontId="0" fillId="0" borderId="0" xfId="0" applyNumberFormat="1" applyAlignment="1">
      <alignment horizontal="center"/>
    </xf>
    <xf numFmtId="14" fontId="0" fillId="0" borderId="0" xfId="0" applyNumberFormat="1" applyAlignment="1">
      <alignment horizontal="center"/>
    </xf>
    <xf numFmtId="0" fontId="6" fillId="0" borderId="23" xfId="0" applyFont="1" applyBorder="1" applyAlignment="1">
      <alignment vertical="center"/>
    </xf>
    <xf numFmtId="0" fontId="6" fillId="14" borderId="21" xfId="0" quotePrefix="1" applyFont="1" applyFill="1" applyBorder="1" applyAlignment="1">
      <alignment horizontal="right" vertical="center"/>
    </xf>
    <xf numFmtId="0" fontId="6" fillId="0" borderId="1" xfId="0" applyFont="1" applyBorder="1"/>
    <xf numFmtId="14" fontId="0" fillId="0" borderId="1" xfId="0" applyNumberFormat="1" applyBorder="1"/>
    <xf numFmtId="0" fontId="6" fillId="0" borderId="1" xfId="0" applyFont="1" applyBorder="1" applyAlignment="1">
      <alignment horizontal="center"/>
    </xf>
    <xf numFmtId="179" fontId="0" fillId="14" borderId="20" xfId="0" applyNumberFormat="1" applyFill="1" applyBorder="1" applyAlignment="1">
      <alignment horizontal="center" vertical="center"/>
    </xf>
    <xf numFmtId="2" fontId="6" fillId="0" borderId="1" xfId="0" applyNumberFormat="1" applyFont="1" applyBorder="1" applyAlignment="1">
      <alignment horizontal="center" vertical="center"/>
    </xf>
    <xf numFmtId="2" fontId="0" fillId="0" borderId="1" xfId="0" applyNumberFormat="1" applyBorder="1" applyAlignment="1">
      <alignment horizontal="center" vertical="center"/>
    </xf>
    <xf numFmtId="170" fontId="0" fillId="0" borderId="0" xfId="0" applyNumberFormat="1" applyAlignment="1">
      <alignment horizontal="center" vertical="center"/>
    </xf>
    <xf numFmtId="0" fontId="6" fillId="0" borderId="0" xfId="0" applyFont="1" applyAlignment="1">
      <alignment horizontal="left" vertical="center"/>
    </xf>
    <xf numFmtId="0" fontId="6" fillId="0" borderId="23" xfId="0" applyFont="1" applyBorder="1" applyAlignment="1">
      <alignment horizontal="left" vertical="center"/>
    </xf>
    <xf numFmtId="0" fontId="0" fillId="20" borderId="0" xfId="0" applyFill="1"/>
    <xf numFmtId="0" fontId="16" fillId="0" borderId="0" xfId="0" applyFont="1" applyAlignment="1">
      <alignment vertical="center"/>
    </xf>
    <xf numFmtId="0" fontId="16" fillId="0" borderId="25" xfId="0" applyFont="1" applyBorder="1" applyAlignment="1">
      <alignment vertical="center"/>
    </xf>
    <xf numFmtId="10" fontId="6" fillId="16" borderId="1" xfId="2" applyNumberFormat="1" applyFont="1" applyFill="1" applyBorder="1" applyAlignment="1" applyProtection="1">
      <alignment horizontal="center" vertical="center"/>
      <protection locked="0"/>
    </xf>
    <xf numFmtId="0" fontId="0" fillId="28" borderId="0" xfId="0" applyFill="1"/>
    <xf numFmtId="0" fontId="0" fillId="28" borderId="0" xfId="0" applyFill="1" applyAlignment="1">
      <alignment vertical="center"/>
    </xf>
    <xf numFmtId="168" fontId="0" fillId="14" borderId="1" xfId="2" applyNumberFormat="1" applyFont="1" applyFill="1" applyBorder="1" applyAlignment="1" applyProtection="1">
      <alignment horizontal="center" vertical="center"/>
      <protection hidden="1"/>
    </xf>
    <xf numFmtId="8" fontId="0" fillId="14" borderId="1" xfId="0" applyNumberFormat="1" applyFill="1" applyBorder="1" applyAlignment="1" applyProtection="1">
      <alignment horizontal="center" vertical="center"/>
      <protection hidden="1"/>
    </xf>
    <xf numFmtId="6" fontId="0" fillId="14" borderId="1" xfId="0" applyNumberFormat="1" applyFill="1" applyBorder="1" applyAlignment="1" applyProtection="1">
      <alignment horizontal="center" vertical="center"/>
      <protection hidden="1"/>
    </xf>
    <xf numFmtId="6" fontId="12" fillId="14" borderId="1" xfId="0" applyNumberFormat="1" applyFont="1" applyFill="1" applyBorder="1" applyAlignment="1" applyProtection="1">
      <alignment horizontal="center" vertical="center"/>
      <protection hidden="1"/>
    </xf>
    <xf numFmtId="6" fontId="98" fillId="14" borderId="1" xfId="0" applyNumberFormat="1" applyFont="1" applyFill="1" applyBorder="1" applyAlignment="1" applyProtection="1">
      <alignment horizontal="center" vertical="center"/>
      <protection hidden="1"/>
    </xf>
    <xf numFmtId="0" fontId="0" fillId="0" borderId="0" xfId="0" applyAlignment="1" applyProtection="1">
      <alignment horizontal="center" vertical="center"/>
      <protection locked="0"/>
    </xf>
    <xf numFmtId="0" fontId="109" fillId="0" borderId="0" xfId="0" applyFont="1" applyAlignment="1">
      <alignment vertical="center"/>
    </xf>
    <xf numFmtId="0" fontId="49" fillId="5" borderId="1" xfId="0" applyFont="1" applyFill="1" applyBorder="1" applyAlignment="1">
      <alignment vertical="center"/>
    </xf>
    <xf numFmtId="0" fontId="52" fillId="21" borderId="0" xfId="0" applyFont="1" applyFill="1" applyAlignment="1" applyProtection="1">
      <alignment horizontal="center"/>
      <protection hidden="1"/>
    </xf>
    <xf numFmtId="0" fontId="52" fillId="0" borderId="0" xfId="0" applyFont="1" applyProtection="1">
      <protection hidden="1"/>
    </xf>
    <xf numFmtId="0" fontId="95" fillId="26" borderId="0" xfId="0" applyFont="1" applyFill="1"/>
    <xf numFmtId="0" fontId="0" fillId="26" borderId="0" xfId="0" applyFill="1"/>
    <xf numFmtId="0" fontId="6" fillId="26" borderId="0" xfId="0" applyFont="1" applyFill="1" applyAlignment="1">
      <alignment vertical="top" wrapText="1"/>
    </xf>
    <xf numFmtId="0" fontId="0" fillId="0" borderId="0" xfId="0" applyProtection="1">
      <protection hidden="1"/>
    </xf>
    <xf numFmtId="0" fontId="10" fillId="0" borderId="0" xfId="1" applyAlignment="1">
      <alignment vertical="top" wrapText="1"/>
    </xf>
    <xf numFmtId="0" fontId="0" fillId="0" borderId="0" xfId="0" applyAlignment="1">
      <alignment textRotation="135"/>
    </xf>
    <xf numFmtId="9" fontId="6" fillId="0" borderId="3" xfId="0" applyNumberFormat="1" applyFont="1" applyBorder="1" applyAlignment="1" applyProtection="1">
      <alignment horizontal="center" vertical="center"/>
      <protection locked="0"/>
    </xf>
    <xf numFmtId="0" fontId="20" fillId="0" borderId="16" xfId="0" applyFont="1" applyBorder="1" applyAlignment="1">
      <alignment vertical="top" textRotation="90" wrapText="1"/>
    </xf>
    <xf numFmtId="0" fontId="6" fillId="4" borderId="1" xfId="0" applyFont="1" applyFill="1" applyBorder="1" applyAlignment="1">
      <alignment horizontal="center" vertical="center" textRotation="90"/>
    </xf>
    <xf numFmtId="0" fontId="110" fillId="0" borderId="16" xfId="0" applyFont="1" applyBorder="1" applyAlignment="1">
      <alignment vertical="top" textRotation="90" wrapText="1"/>
    </xf>
    <xf numFmtId="0" fontId="52" fillId="0" borderId="0" xfId="0" applyFont="1" applyAlignment="1">
      <alignment wrapText="1"/>
    </xf>
    <xf numFmtId="0" fontId="6" fillId="4" borderId="1" xfId="0" applyFont="1" applyFill="1" applyBorder="1" applyAlignment="1">
      <alignment horizontal="center" vertical="center" textRotation="90" wrapText="1"/>
    </xf>
    <xf numFmtId="0" fontId="6" fillId="0" borderId="1" xfId="0" applyFont="1" applyBorder="1" applyAlignment="1">
      <alignment wrapText="1"/>
    </xf>
    <xf numFmtId="14" fontId="6" fillId="0" borderId="2" xfId="0" applyNumberFormat="1" applyFont="1" applyBorder="1" applyAlignment="1" applyProtection="1">
      <alignment horizontal="center" vertical="center"/>
      <protection locked="0"/>
    </xf>
    <xf numFmtId="10" fontId="0" fillId="0" borderId="9" xfId="2" applyNumberFormat="1" applyFont="1" applyBorder="1" applyAlignment="1" applyProtection="1">
      <alignment horizontal="center" vertical="center"/>
      <protection locked="0"/>
    </xf>
    <xf numFmtId="9" fontId="0" fillId="14" borderId="1" xfId="0" applyNumberFormat="1" applyFill="1" applyBorder="1" applyAlignment="1" applyProtection="1">
      <alignment horizontal="center" vertical="center"/>
      <protection hidden="1"/>
    </xf>
    <xf numFmtId="0" fontId="72" fillId="0" borderId="8" xfId="0" applyFont="1" applyBorder="1" applyAlignment="1">
      <alignment horizontal="center" vertical="center" wrapText="1"/>
    </xf>
    <xf numFmtId="0" fontId="72" fillId="0" borderId="1" xfId="0" applyFont="1" applyBorder="1" applyAlignment="1">
      <alignment horizontal="center" vertical="center" wrapText="1"/>
    </xf>
    <xf numFmtId="0" fontId="72" fillId="0" borderId="9" xfId="0" applyFont="1"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176" fontId="6" fillId="0" borderId="1" xfId="0" applyNumberFormat="1" applyFont="1" applyBorder="1" applyAlignment="1">
      <alignment horizontal="center" vertical="center" wrapText="1"/>
    </xf>
    <xf numFmtId="181" fontId="6" fillId="0" borderId="9" xfId="2" applyNumberFormat="1" applyFont="1" applyBorder="1" applyAlignment="1">
      <alignment horizontal="center"/>
    </xf>
    <xf numFmtId="0" fontId="20" fillId="0" borderId="1" xfId="0" applyFont="1" applyBorder="1" applyAlignment="1">
      <alignment horizontal="center" vertical="center" wrapText="1"/>
    </xf>
    <xf numFmtId="0" fontId="10" fillId="0" borderId="1" xfId="1" applyBorder="1" applyAlignment="1">
      <alignment horizontal="left" vertical="center" wrapText="1"/>
    </xf>
    <xf numFmtId="0" fontId="6" fillId="0" borderId="1" xfId="0" applyFont="1" applyBorder="1" applyAlignment="1">
      <alignment horizontal="left" vertical="center" wrapText="1"/>
    </xf>
    <xf numFmtId="0" fontId="0" fillId="18" borderId="0" xfId="0" applyFill="1"/>
    <xf numFmtId="0" fontId="0" fillId="18" borderId="0" xfId="0" applyFill="1" applyAlignment="1">
      <alignment horizontal="center"/>
    </xf>
    <xf numFmtId="0" fontId="0" fillId="18" borderId="0" xfId="0" applyFill="1" applyAlignment="1">
      <alignment horizontal="left"/>
    </xf>
    <xf numFmtId="0" fontId="16" fillId="18" borderId="2"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10" fillId="14" borderId="1" xfId="1" applyFill="1" applyBorder="1" applyAlignment="1">
      <alignment horizontal="left" vertical="center" wrapText="1"/>
    </xf>
    <xf numFmtId="0" fontId="6" fillId="14" borderId="1" xfId="0" applyFont="1" applyFill="1" applyBorder="1" applyAlignment="1">
      <alignment horizontal="left" vertical="center" wrapText="1"/>
    </xf>
    <xf numFmtId="0" fontId="0" fillId="5" borderId="0" xfId="0" applyFill="1" applyAlignment="1">
      <alignment horizontal="left"/>
    </xf>
    <xf numFmtId="0" fontId="0" fillId="5" borderId="0" xfId="0" applyFill="1" applyAlignment="1">
      <alignment horizontal="center" wrapText="1"/>
    </xf>
    <xf numFmtId="0" fontId="117" fillId="5" borderId="1" xfId="0" applyFont="1" applyFill="1" applyBorder="1" applyAlignment="1">
      <alignment horizontal="center" vertical="center" wrapText="1"/>
    </xf>
    <xf numFmtId="0" fontId="111" fillId="5" borderId="1" xfId="0" applyFont="1" applyFill="1" applyBorder="1" applyAlignment="1">
      <alignment horizontal="center" vertical="center" wrapText="1"/>
    </xf>
    <xf numFmtId="0" fontId="118" fillId="0" borderId="1" xfId="1" applyFont="1" applyBorder="1" applyAlignment="1">
      <alignment vertical="center" wrapText="1"/>
    </xf>
    <xf numFmtId="0" fontId="0" fillId="0" borderId="1" xfId="0" applyBorder="1" applyAlignment="1">
      <alignment horizontal="left" vertical="center" wrapText="1"/>
    </xf>
    <xf numFmtId="0" fontId="119" fillId="0" borderId="1" xfId="0" applyFont="1" applyBorder="1" applyAlignment="1">
      <alignment vertical="center" wrapText="1"/>
    </xf>
    <xf numFmtId="0" fontId="0" fillId="5" borderId="0" xfId="0" applyFill="1" applyAlignment="1">
      <alignment horizontal="left" vertical="center"/>
    </xf>
    <xf numFmtId="0" fontId="10" fillId="0" borderId="1" xfId="1" applyBorder="1" applyAlignment="1">
      <alignment vertical="center" wrapText="1"/>
    </xf>
    <xf numFmtId="0" fontId="0" fillId="5" borderId="0" xfId="0" applyFill="1" applyAlignment="1">
      <alignment wrapText="1"/>
    </xf>
    <xf numFmtId="0" fontId="109" fillId="0" borderId="0" xfId="0" applyFont="1" applyAlignment="1">
      <alignment vertical="center" wrapText="1"/>
    </xf>
    <xf numFmtId="0" fontId="57" fillId="5" borderId="0" xfId="0" applyFont="1" applyFill="1" applyAlignment="1" applyProtection="1">
      <alignment wrapText="1"/>
      <protection hidden="1"/>
    </xf>
    <xf numFmtId="0" fontId="120" fillId="14" borderId="17" xfId="0" applyFont="1" applyFill="1" applyBorder="1" applyAlignment="1" applyProtection="1">
      <alignment horizontal="center" vertical="center" wrapText="1"/>
      <protection hidden="1"/>
    </xf>
    <xf numFmtId="14" fontId="6" fillId="14" borderId="1" xfId="0" quotePrefix="1" applyNumberFormat="1" applyFont="1" applyFill="1" applyBorder="1" applyAlignment="1" applyProtection="1">
      <alignment horizontal="center" vertical="center"/>
      <protection hidden="1"/>
    </xf>
    <xf numFmtId="0" fontId="20" fillId="14" borderId="1" xfId="0" applyFont="1" applyFill="1" applyBorder="1" applyAlignment="1" applyProtection="1">
      <alignment horizontal="right" vertical="center" wrapText="1"/>
      <protection hidden="1"/>
    </xf>
    <xf numFmtId="0" fontId="52" fillId="14" borderId="1" xfId="0" applyFont="1" applyFill="1" applyBorder="1" applyAlignment="1" applyProtection="1">
      <alignment horizontal="right" vertical="center"/>
      <protection hidden="1"/>
    </xf>
    <xf numFmtId="0" fontId="0" fillId="0" borderId="1" xfId="0" applyBorder="1" applyAlignment="1" applyProtection="1">
      <alignment horizontal="left" vertical="center"/>
      <protection locked="0"/>
    </xf>
    <xf numFmtId="0" fontId="0" fillId="14" borderId="1" xfId="0" applyFill="1" applyBorder="1" applyAlignment="1" applyProtection="1">
      <alignment horizontal="center" vertical="center"/>
      <protection hidden="1"/>
    </xf>
    <xf numFmtId="14" fontId="0" fillId="14" borderId="1" xfId="0" applyNumberFormat="1" applyFill="1" applyBorder="1" applyAlignment="1" applyProtection="1">
      <alignment horizontal="center" vertical="center"/>
      <protection hidden="1"/>
    </xf>
    <xf numFmtId="176" fontId="0" fillId="14" borderId="1" xfId="0" applyNumberFormat="1" applyFill="1" applyBorder="1" applyAlignment="1" applyProtection="1">
      <alignment horizontal="center" vertical="center"/>
      <protection hidden="1"/>
    </xf>
    <xf numFmtId="14" fontId="20" fillId="14" borderId="1" xfId="0" applyNumberFormat="1" applyFont="1" applyFill="1" applyBorder="1" applyAlignment="1" applyProtection="1">
      <alignment horizontal="center" vertical="center"/>
      <protection hidden="1"/>
    </xf>
    <xf numFmtId="2" fontId="0" fillId="14" borderId="1" xfId="0" applyNumberFormat="1" applyFill="1" applyBorder="1" applyAlignment="1" applyProtection="1">
      <alignment horizontal="center" vertical="center"/>
      <protection hidden="1"/>
    </xf>
    <xf numFmtId="10" fontId="0" fillId="14" borderId="1" xfId="2" applyNumberFormat="1" applyFont="1" applyFill="1" applyBorder="1" applyAlignment="1" applyProtection="1">
      <alignment horizontal="center"/>
      <protection hidden="1"/>
    </xf>
    <xf numFmtId="10" fontId="6" fillId="14" borderId="1" xfId="2" applyNumberFormat="1" applyFont="1" applyFill="1" applyBorder="1" applyAlignment="1" applyProtection="1">
      <alignment horizontal="center" vertical="center"/>
      <protection hidden="1"/>
    </xf>
    <xf numFmtId="9" fontId="19" fillId="14" borderId="1" xfId="2" applyFont="1" applyFill="1" applyBorder="1" applyAlignment="1" applyProtection="1">
      <alignment horizontal="center" vertical="center"/>
      <protection hidden="1"/>
    </xf>
    <xf numFmtId="8" fontId="19" fillId="14" borderId="1" xfId="0" applyNumberFormat="1" applyFont="1" applyFill="1" applyBorder="1" applyAlignment="1" applyProtection="1">
      <alignment horizontal="center" vertical="center"/>
      <protection hidden="1"/>
    </xf>
    <xf numFmtId="6" fontId="20" fillId="14" borderId="1" xfId="0" applyNumberFormat="1" applyFont="1" applyFill="1" applyBorder="1" applyAlignment="1" applyProtection="1">
      <alignment horizontal="center" vertical="center"/>
      <protection hidden="1"/>
    </xf>
    <xf numFmtId="8" fontId="6" fillId="14" borderId="1" xfId="0" applyNumberFormat="1" applyFont="1" applyFill="1" applyBorder="1" applyAlignment="1" applyProtection="1">
      <alignment horizontal="center" vertical="center"/>
      <protection hidden="1"/>
    </xf>
    <xf numFmtId="6" fontId="98" fillId="20" borderId="1" xfId="0" applyNumberFormat="1" applyFont="1" applyFill="1" applyBorder="1" applyAlignment="1" applyProtection="1">
      <alignment horizontal="center" vertical="center"/>
      <protection hidden="1"/>
    </xf>
    <xf numFmtId="0" fontId="0" fillId="20" borderId="1" xfId="0" applyFill="1" applyBorder="1" applyProtection="1">
      <protection hidden="1"/>
    </xf>
    <xf numFmtId="0" fontId="0" fillId="25" borderId="1" xfId="0" applyFill="1" applyBorder="1" applyProtection="1">
      <protection hidden="1"/>
    </xf>
    <xf numFmtId="0" fontId="6" fillId="14" borderId="1" xfId="0" quotePrefix="1" applyFont="1" applyFill="1" applyBorder="1" applyAlignment="1" applyProtection="1">
      <alignment horizontal="center" vertical="center"/>
      <protection hidden="1"/>
    </xf>
    <xf numFmtId="6" fontId="98" fillId="28" borderId="1" xfId="0" applyNumberFormat="1" applyFont="1" applyFill="1" applyBorder="1" applyAlignment="1" applyProtection="1">
      <alignment horizontal="center" vertical="center"/>
      <protection hidden="1"/>
    </xf>
    <xf numFmtId="6" fontId="59" fillId="27" borderId="1" xfId="0" applyNumberFormat="1" applyFont="1" applyFill="1" applyBorder="1" applyAlignment="1" applyProtection="1">
      <alignment horizontal="center" vertical="center"/>
      <protection hidden="1"/>
    </xf>
    <xf numFmtId="6" fontId="106" fillId="20" borderId="1" xfId="0" applyNumberFormat="1" applyFont="1" applyFill="1" applyBorder="1" applyAlignment="1" applyProtection="1">
      <alignment horizontal="center" vertical="center"/>
      <protection hidden="1"/>
    </xf>
    <xf numFmtId="6" fontId="20" fillId="14" borderId="1" xfId="2" applyNumberFormat="1" applyFont="1" applyFill="1" applyBorder="1" applyAlignment="1" applyProtection="1">
      <alignment horizontal="center" vertical="center"/>
      <protection hidden="1"/>
    </xf>
    <xf numFmtId="6" fontId="52" fillId="11" borderId="2" xfId="0" applyNumberFormat="1" applyFont="1" applyFill="1" applyBorder="1" applyAlignment="1" applyProtection="1">
      <alignment horizontal="center" vertical="center"/>
      <protection hidden="1"/>
    </xf>
    <xf numFmtId="6" fontId="101" fillId="25" borderId="59" xfId="0" applyNumberFormat="1" applyFont="1" applyFill="1" applyBorder="1" applyAlignment="1" applyProtection="1">
      <alignment horizontal="center" vertical="center"/>
      <protection hidden="1"/>
    </xf>
    <xf numFmtId="10" fontId="79" fillId="16" borderId="59" xfId="2" applyNumberFormat="1" applyFont="1" applyFill="1" applyBorder="1" applyAlignment="1" applyProtection="1">
      <alignment horizontal="center" vertical="center"/>
      <protection locked="0"/>
    </xf>
    <xf numFmtId="6" fontId="79" fillId="21" borderId="59" xfId="0" applyNumberFormat="1" applyFont="1" applyFill="1" applyBorder="1" applyAlignment="1" applyProtection="1">
      <alignment horizontal="center" vertical="center"/>
      <protection hidden="1"/>
    </xf>
    <xf numFmtId="6" fontId="52" fillId="20" borderId="59" xfId="0" applyNumberFormat="1" applyFont="1" applyFill="1" applyBorder="1" applyAlignment="1" applyProtection="1">
      <alignment horizontal="center" vertical="center"/>
      <protection hidden="1"/>
    </xf>
    <xf numFmtId="0" fontId="52" fillId="21" borderId="59" xfId="0" applyFont="1" applyFill="1" applyBorder="1" applyAlignment="1" applyProtection="1">
      <alignment horizontal="center"/>
      <protection hidden="1"/>
    </xf>
    <xf numFmtId="0" fontId="121" fillId="5" borderId="0" xfId="0" applyFont="1" applyFill="1" applyAlignment="1" applyProtection="1">
      <alignment horizontal="center" wrapText="1"/>
      <protection hidden="1"/>
    </xf>
    <xf numFmtId="0" fontId="122" fillId="11" borderId="1" xfId="0" applyFont="1" applyFill="1" applyBorder="1" applyAlignment="1">
      <alignment horizontal="center" vertical="center"/>
    </xf>
    <xf numFmtId="182" fontId="24" fillId="0" borderId="1" xfId="0" applyNumberFormat="1" applyFont="1" applyBorder="1" applyAlignment="1">
      <alignment horizontal="center" vertical="center"/>
    </xf>
    <xf numFmtId="0" fontId="6" fillId="3" borderId="1" xfId="0" applyFont="1" applyFill="1" applyBorder="1"/>
    <xf numFmtId="176" fontId="6" fillId="3" borderId="1" xfId="0" quotePrefix="1" applyNumberFormat="1" applyFont="1" applyFill="1" applyBorder="1" applyAlignment="1">
      <alignment horizontal="center" vertical="center"/>
    </xf>
    <xf numFmtId="176" fontId="0" fillId="3" borderId="1" xfId="0" applyNumberFormat="1" applyFill="1" applyBorder="1" applyAlignment="1">
      <alignment horizontal="center"/>
    </xf>
    <xf numFmtId="0" fontId="20" fillId="5" borderId="0" xfId="0" applyFont="1" applyFill="1" applyAlignment="1">
      <alignment vertical="center"/>
    </xf>
    <xf numFmtId="0" fontId="49" fillId="5" borderId="18" xfId="0" applyFont="1" applyFill="1" applyBorder="1" applyAlignment="1">
      <alignment vertical="center"/>
    </xf>
    <xf numFmtId="0" fontId="6" fillId="5" borderId="0" xfId="0" applyFont="1" applyFill="1" applyAlignment="1" applyProtection="1">
      <alignment horizontal="center" vertical="center" wrapText="1"/>
      <protection hidden="1"/>
    </xf>
    <xf numFmtId="0" fontId="6" fillId="5" borderId="18"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14" fontId="6" fillId="5" borderId="18" xfId="0" quotePrefix="1" applyNumberFormat="1" applyFont="1" applyFill="1" applyBorder="1" applyAlignment="1" applyProtection="1">
      <alignment horizontal="center" vertical="center"/>
      <protection hidden="1"/>
    </xf>
    <xf numFmtId="0" fontId="6" fillId="5" borderId="18" xfId="0" applyFont="1" applyFill="1" applyBorder="1" applyAlignment="1" applyProtection="1">
      <alignment horizontal="left" vertical="center"/>
      <protection hidden="1"/>
    </xf>
    <xf numFmtId="10" fontId="0" fillId="5" borderId="0" xfId="2" applyNumberFormat="1" applyFont="1" applyFill="1" applyBorder="1" applyAlignment="1" applyProtection="1">
      <alignment horizontal="center" vertical="center"/>
      <protection hidden="1"/>
    </xf>
    <xf numFmtId="10" fontId="20" fillId="5" borderId="0" xfId="2" applyNumberFormat="1" applyFont="1" applyFill="1" applyBorder="1" applyAlignment="1" applyProtection="1">
      <alignment horizontal="center" vertical="center"/>
      <protection locked="0"/>
    </xf>
    <xf numFmtId="8" fontId="0" fillId="5" borderId="0" xfId="0" applyNumberFormat="1" applyFill="1" applyAlignment="1" applyProtection="1">
      <alignment horizontal="center" vertical="center"/>
      <protection locked="0"/>
    </xf>
    <xf numFmtId="0" fontId="20" fillId="5" borderId="0" xfId="0" applyFont="1" applyFill="1" applyAlignment="1" applyProtection="1">
      <alignment horizontal="center" vertical="center"/>
      <protection hidden="1"/>
    </xf>
    <xf numFmtId="10" fontId="0" fillId="5" borderId="0" xfId="2" applyNumberFormat="1" applyFont="1" applyFill="1" applyBorder="1" applyAlignment="1" applyProtection="1">
      <alignment horizontal="center" vertical="center"/>
      <protection locked="0"/>
    </xf>
    <xf numFmtId="0" fontId="96" fillId="5" borderId="0" xfId="0" applyFont="1" applyFill="1" applyAlignment="1" applyProtection="1">
      <alignment horizontal="center" vertical="center" wrapText="1"/>
      <protection hidden="1"/>
    </xf>
    <xf numFmtId="0" fontId="68" fillId="5" borderId="0" xfId="1" applyFont="1" applyFill="1" applyBorder="1" applyAlignment="1" applyProtection="1">
      <alignment horizontal="center" vertical="center" wrapText="1"/>
      <protection hidden="1"/>
    </xf>
    <xf numFmtId="0" fontId="0" fillId="5" borderId="0" xfId="0" applyFill="1" applyAlignment="1">
      <alignment horizontal="left" vertical="top" wrapText="1"/>
    </xf>
    <xf numFmtId="0" fontId="57" fillId="5" borderId="0" xfId="0" applyFont="1" applyFill="1" applyAlignment="1">
      <alignment vertical="center"/>
    </xf>
    <xf numFmtId="0" fontId="127" fillId="5" borderId="0" xfId="0" applyFont="1" applyFill="1" applyAlignment="1">
      <alignment vertical="center"/>
    </xf>
    <xf numFmtId="0" fontId="127" fillId="5" borderId="0" xfId="0" applyFont="1" applyFill="1"/>
    <xf numFmtId="0" fontId="128" fillId="5" borderId="0" xfId="1" applyFont="1" applyFill="1" applyAlignment="1">
      <alignment vertical="center"/>
    </xf>
    <xf numFmtId="0" fontId="128" fillId="5" borderId="0" xfId="1" quotePrefix="1" applyFont="1" applyFill="1" applyAlignment="1">
      <alignment vertical="center"/>
    </xf>
    <xf numFmtId="0" fontId="128" fillId="5" borderId="0" xfId="1" applyFont="1" applyFill="1" applyAlignment="1">
      <alignment horizontal="left" vertical="center"/>
    </xf>
    <xf numFmtId="0" fontId="53" fillId="5" borderId="0" xfId="0" applyFont="1" applyFill="1" applyAlignment="1">
      <alignment vertical="center"/>
    </xf>
    <xf numFmtId="0" fontId="6" fillId="6" borderId="1" xfId="0" applyFont="1" applyFill="1" applyBorder="1"/>
    <xf numFmtId="176" fontId="6" fillId="6" borderId="1" xfId="0" quotePrefix="1" applyNumberFormat="1" applyFont="1" applyFill="1" applyBorder="1" applyAlignment="1">
      <alignment horizontal="center" vertical="center"/>
    </xf>
    <xf numFmtId="176" fontId="0" fillId="6" borderId="1" xfId="0" applyNumberFormat="1" applyFill="1" applyBorder="1" applyAlignment="1">
      <alignment horizontal="center"/>
    </xf>
    <xf numFmtId="0" fontId="0" fillId="29" borderId="8" xfId="0" applyFill="1" applyBorder="1" applyAlignment="1">
      <alignment horizontal="center" vertical="center" wrapText="1"/>
    </xf>
    <xf numFmtId="0" fontId="0" fillId="29" borderId="1" xfId="0" applyFill="1" applyBorder="1" applyAlignment="1">
      <alignment vertical="center" wrapText="1"/>
    </xf>
    <xf numFmtId="0" fontId="0" fillId="29" borderId="1" xfId="0" applyFill="1" applyBorder="1" applyAlignment="1">
      <alignment horizontal="center" vertical="center" wrapText="1"/>
    </xf>
    <xf numFmtId="176" fontId="6" fillId="29" borderId="1" xfId="0" applyNumberFormat="1" applyFont="1" applyFill="1" applyBorder="1" applyAlignment="1">
      <alignment horizontal="center" vertical="center" wrapText="1"/>
    </xf>
    <xf numFmtId="181" fontId="20" fillId="29" borderId="9" xfId="2" applyNumberFormat="1" applyFont="1" applyFill="1" applyBorder="1" applyAlignment="1">
      <alignment horizontal="center"/>
    </xf>
    <xf numFmtId="176" fontId="20" fillId="29" borderId="1" xfId="0" applyNumberFormat="1" applyFont="1" applyFill="1" applyBorder="1" applyAlignment="1">
      <alignment horizontal="center" vertical="center" wrapText="1"/>
    </xf>
    <xf numFmtId="0" fontId="103" fillId="5" borderId="0" xfId="0" applyFont="1" applyFill="1" applyAlignment="1" applyProtection="1">
      <alignment vertical="center"/>
      <protection hidden="1"/>
    </xf>
    <xf numFmtId="0" fontId="52" fillId="25" borderId="0" xfId="0" applyFont="1" applyFill="1"/>
    <xf numFmtId="0" fontId="6" fillId="14" borderId="17" xfId="0" applyFont="1" applyFill="1" applyBorder="1" applyAlignment="1" applyProtection="1">
      <alignment horizontal="center" vertical="center"/>
      <protection hidden="1"/>
    </xf>
    <xf numFmtId="0" fontId="57" fillId="5" borderId="0" xfId="0" applyFont="1" applyFill="1" applyAlignment="1" applyProtection="1">
      <alignment horizontal="center" wrapText="1"/>
      <protection hidden="1"/>
    </xf>
    <xf numFmtId="0" fontId="6" fillId="14" borderId="4" xfId="0" applyFont="1" applyFill="1" applyBorder="1" applyAlignment="1" applyProtection="1">
      <alignment vertical="center"/>
      <protection hidden="1"/>
    </xf>
    <xf numFmtId="0" fontId="6" fillId="14" borderId="0" xfId="0" applyFont="1" applyFill="1" applyAlignment="1">
      <alignment horizontal="center" vertical="center"/>
    </xf>
    <xf numFmtId="0" fontId="6" fillId="14" borderId="1" xfId="0" applyFont="1" applyFill="1" applyBorder="1" applyAlignment="1" applyProtection="1">
      <alignment horizontal="center" wrapText="1"/>
      <protection hidden="1"/>
    </xf>
    <xf numFmtId="14" fontId="20" fillId="14" borderId="1" xfId="0" applyNumberFormat="1" applyFont="1" applyFill="1" applyBorder="1" applyAlignment="1" applyProtection="1">
      <alignment horizontal="center" vertical="center" wrapText="1"/>
      <protection hidden="1"/>
    </xf>
    <xf numFmtId="176" fontId="6" fillId="0" borderId="0" xfId="0" applyNumberFormat="1" applyFont="1" applyAlignment="1">
      <alignment vertical="center"/>
    </xf>
    <xf numFmtId="176" fontId="6" fillId="14" borderId="1" xfId="0" applyNumberFormat="1" applyFont="1" applyFill="1" applyBorder="1" applyAlignment="1" applyProtection="1">
      <alignment horizontal="center" vertical="center" wrapText="1"/>
      <protection hidden="1"/>
    </xf>
    <xf numFmtId="0" fontId="0" fillId="0" borderId="1" xfId="0" applyBorder="1" applyAlignment="1">
      <alignment horizontal="center"/>
    </xf>
    <xf numFmtId="0" fontId="70" fillId="5" borderId="5" xfId="0" applyFont="1" applyFill="1" applyBorder="1" applyAlignment="1" applyProtection="1">
      <alignment vertical="center"/>
      <protection hidden="1"/>
    </xf>
    <xf numFmtId="0" fontId="70" fillId="5" borderId="29" xfId="0" applyFont="1" applyFill="1" applyBorder="1" applyAlignment="1" applyProtection="1">
      <alignment vertical="center"/>
      <protection hidden="1"/>
    </xf>
    <xf numFmtId="0" fontId="70" fillId="5" borderId="7" xfId="0" applyFont="1" applyFill="1" applyBorder="1" applyAlignment="1" applyProtection="1">
      <alignment horizontal="center" vertical="center"/>
      <protection hidden="1"/>
    </xf>
    <xf numFmtId="176" fontId="20" fillId="14" borderId="1" xfId="0" applyNumberFormat="1" applyFont="1" applyFill="1" applyBorder="1" applyAlignment="1" applyProtection="1">
      <alignment horizontal="center" vertical="center"/>
      <protection hidden="1"/>
    </xf>
    <xf numFmtId="0" fontId="6" fillId="8" borderId="1" xfId="0" applyFont="1" applyFill="1" applyBorder="1" applyAlignment="1" applyProtection="1">
      <alignment horizontal="center" wrapText="1"/>
      <protection hidden="1"/>
    </xf>
    <xf numFmtId="14" fontId="20" fillId="8" borderId="1" xfId="0" applyNumberFormat="1" applyFont="1" applyFill="1" applyBorder="1" applyAlignment="1" applyProtection="1">
      <alignment horizontal="center" vertical="center" wrapText="1"/>
      <protection hidden="1"/>
    </xf>
    <xf numFmtId="176" fontId="0" fillId="8" borderId="1" xfId="0" applyNumberFormat="1" applyFill="1" applyBorder="1" applyAlignment="1" applyProtection="1">
      <alignment horizontal="center" vertical="center"/>
      <protection hidden="1"/>
    </xf>
    <xf numFmtId="14" fontId="6" fillId="8" borderId="1" xfId="0" quotePrefix="1" applyNumberFormat="1" applyFont="1" applyFill="1" applyBorder="1" applyAlignment="1" applyProtection="1">
      <alignment horizontal="center" vertical="center"/>
      <protection hidden="1"/>
    </xf>
    <xf numFmtId="176" fontId="6" fillId="8" borderId="1" xfId="0" applyNumberFormat="1" applyFont="1" applyFill="1" applyBorder="1" applyAlignment="1" applyProtection="1">
      <alignment horizontal="center" vertical="center" wrapText="1"/>
      <protection hidden="1"/>
    </xf>
    <xf numFmtId="0" fontId="67" fillId="8" borderId="1" xfId="0" applyFont="1" applyFill="1" applyBorder="1" applyAlignment="1" applyProtection="1">
      <alignment horizontal="right" vertical="center"/>
      <protection hidden="1"/>
    </xf>
    <xf numFmtId="0" fontId="6" fillId="8" borderId="1" xfId="0" applyFont="1" applyFill="1" applyBorder="1" applyAlignment="1" applyProtection="1">
      <alignment vertical="center"/>
      <protection hidden="1"/>
    </xf>
    <xf numFmtId="0" fontId="6" fillId="8" borderId="1" xfId="0" applyFont="1" applyFill="1" applyBorder="1" applyAlignment="1" applyProtection="1">
      <alignment horizontal="center" vertical="center"/>
      <protection hidden="1"/>
    </xf>
    <xf numFmtId="0" fontId="0" fillId="8" borderId="1" xfId="0" applyFill="1" applyBorder="1" applyAlignment="1" applyProtection="1">
      <alignment horizontal="center" vertical="center"/>
      <protection hidden="1"/>
    </xf>
    <xf numFmtId="0" fontId="0" fillId="25" borderId="0" xfId="0" applyFill="1" applyAlignment="1">
      <alignment wrapText="1"/>
    </xf>
    <xf numFmtId="14" fontId="5" fillId="8" borderId="1" xfId="0" applyNumberFormat="1" applyFont="1" applyFill="1" applyBorder="1" applyAlignment="1" applyProtection="1">
      <alignment horizontal="center" vertical="center"/>
      <protection hidden="1"/>
    </xf>
    <xf numFmtId="0" fontId="0" fillId="8" borderId="1" xfId="0" applyFill="1" applyBorder="1" applyAlignment="1" applyProtection="1">
      <alignment wrapText="1"/>
      <protection hidden="1"/>
    </xf>
    <xf numFmtId="14" fontId="20" fillId="8" borderId="1" xfId="0" applyNumberFormat="1" applyFont="1" applyFill="1" applyBorder="1" applyAlignment="1" applyProtection="1">
      <alignment horizontal="center" vertical="center"/>
      <protection hidden="1"/>
    </xf>
    <xf numFmtId="14" fontId="6" fillId="8" borderId="1" xfId="0" applyNumberFormat="1" applyFont="1" applyFill="1" applyBorder="1" applyAlignment="1" applyProtection="1">
      <alignment horizontal="center" vertical="center"/>
      <protection hidden="1"/>
    </xf>
    <xf numFmtId="0" fontId="0" fillId="8" borderId="26" xfId="0" applyFill="1" applyBorder="1" applyAlignment="1" applyProtection="1">
      <alignment wrapText="1"/>
      <protection hidden="1"/>
    </xf>
    <xf numFmtId="0" fontId="20" fillId="8" borderId="61" xfId="0" applyFont="1" applyFill="1" applyBorder="1" applyAlignment="1" applyProtection="1">
      <alignment horizontal="right" vertical="center"/>
      <protection hidden="1"/>
    </xf>
    <xf numFmtId="0" fontId="20" fillId="8" borderId="61" xfId="0" applyFont="1" applyFill="1" applyBorder="1" applyAlignment="1" applyProtection="1">
      <alignment horizontal="center" vertical="center"/>
      <protection hidden="1"/>
    </xf>
    <xf numFmtId="176" fontId="20" fillId="8" borderId="62" xfId="0" applyNumberFormat="1" applyFont="1" applyFill="1" applyBorder="1" applyAlignment="1" applyProtection="1">
      <alignment horizontal="center" vertical="center"/>
      <protection hidden="1"/>
    </xf>
    <xf numFmtId="8" fontId="0" fillId="14" borderId="1" xfId="0" applyNumberFormat="1" applyFill="1" applyBorder="1" applyAlignment="1">
      <alignment vertical="center"/>
    </xf>
    <xf numFmtId="2" fontId="0" fillId="14" borderId="1" xfId="0" applyNumberFormat="1" applyFill="1" applyBorder="1" applyAlignment="1">
      <alignment vertical="center"/>
    </xf>
    <xf numFmtId="8" fontId="0" fillId="0" borderId="1" xfId="0" applyNumberFormat="1" applyBorder="1"/>
    <xf numFmtId="0" fontId="52" fillId="0" borderId="1" xfId="0" applyFont="1" applyBorder="1" applyAlignment="1">
      <alignment horizontal="center" vertical="center"/>
    </xf>
    <xf numFmtId="0" fontId="97" fillId="0" borderId="1" xfId="0" applyFont="1" applyBorder="1" applyAlignment="1">
      <alignment horizontal="center" vertical="center"/>
    </xf>
    <xf numFmtId="0" fontId="80" fillId="0" borderId="1" xfId="0" applyFont="1" applyBorder="1"/>
    <xf numFmtId="169" fontId="0" fillId="0" borderId="1" xfId="2" applyNumberFormat="1" applyFont="1" applyBorder="1" applyAlignment="1">
      <alignment horizontal="center"/>
    </xf>
    <xf numFmtId="175" fontId="0" fillId="0" borderId="0" xfId="0" applyNumberFormat="1" applyAlignment="1">
      <alignment vertical="center"/>
    </xf>
    <xf numFmtId="14" fontId="6" fillId="0" borderId="1" xfId="0" applyNumberFormat="1" applyFont="1" applyBorder="1" applyAlignment="1">
      <alignment horizontal="center"/>
    </xf>
    <xf numFmtId="10" fontId="6" fillId="0" borderId="1" xfId="2" applyNumberFormat="1" applyFont="1" applyBorder="1" applyAlignment="1">
      <alignment horizontal="center" vertical="center"/>
    </xf>
    <xf numFmtId="8" fontId="0" fillId="0" borderId="1" xfId="0" applyNumberFormat="1" applyBorder="1" applyAlignment="1">
      <alignment horizontal="center"/>
    </xf>
    <xf numFmtId="180" fontId="0" fillId="0" borderId="1" xfId="0" applyNumberFormat="1" applyBorder="1"/>
    <xf numFmtId="2" fontId="0" fillId="0" borderId="1" xfId="0" applyNumberFormat="1" applyBorder="1"/>
    <xf numFmtId="14" fontId="12" fillId="20" borderId="0" xfId="0" applyNumberFormat="1" applyFont="1" applyFill="1" applyAlignment="1" applyProtection="1">
      <alignment horizontal="center" vertical="center"/>
      <protection hidden="1"/>
    </xf>
    <xf numFmtId="0" fontId="0" fillId="20" borderId="0" xfId="0" applyFill="1" applyAlignment="1">
      <alignment wrapText="1"/>
    </xf>
    <xf numFmtId="9" fontId="19" fillId="14" borderId="2" xfId="2" applyFont="1" applyFill="1" applyBorder="1" applyAlignment="1" applyProtection="1">
      <alignment horizontal="center" vertical="center"/>
      <protection hidden="1"/>
    </xf>
    <xf numFmtId="0" fontId="0" fillId="0" borderId="1" xfId="0" applyBorder="1" applyProtection="1">
      <protection hidden="1"/>
    </xf>
    <xf numFmtId="6" fontId="0" fillId="20" borderId="1" xfId="0" applyNumberFormat="1" applyFill="1" applyBorder="1" applyAlignment="1" applyProtection="1">
      <alignment horizontal="center" vertical="center"/>
      <protection hidden="1"/>
    </xf>
    <xf numFmtId="6" fontId="0" fillId="25" borderId="1" xfId="0" applyNumberFormat="1" applyFill="1" applyBorder="1" applyAlignment="1" applyProtection="1">
      <alignment horizontal="center" vertical="center"/>
      <protection hidden="1"/>
    </xf>
    <xf numFmtId="0" fontId="132" fillId="8" borderId="1" xfId="1" applyFont="1" applyFill="1" applyBorder="1" applyAlignment="1" applyProtection="1">
      <alignment horizontal="center" vertical="center"/>
      <protection hidden="1"/>
    </xf>
    <xf numFmtId="8" fontId="132" fillId="8" borderId="26" xfId="1" applyNumberFormat="1" applyFont="1" applyFill="1" applyBorder="1" applyAlignment="1" applyProtection="1">
      <alignment horizontal="center" vertical="center"/>
      <protection hidden="1"/>
    </xf>
    <xf numFmtId="8" fontId="132" fillId="14" borderId="1" xfId="1" applyNumberFormat="1" applyFont="1" applyFill="1" applyBorder="1" applyAlignment="1" applyProtection="1">
      <alignment horizontal="center" vertical="center"/>
      <protection hidden="1"/>
    </xf>
    <xf numFmtId="0" fontId="132" fillId="8" borderId="26" xfId="1" applyFont="1" applyFill="1" applyBorder="1" applyAlignment="1" applyProtection="1">
      <alignment horizontal="center" vertical="center"/>
      <protection hidden="1"/>
    </xf>
    <xf numFmtId="8" fontId="132" fillId="8" borderId="61" xfId="1" applyNumberFormat="1" applyFont="1" applyFill="1" applyBorder="1" applyAlignment="1" applyProtection="1">
      <alignment horizontal="center" vertical="center"/>
      <protection hidden="1"/>
    </xf>
    <xf numFmtId="8" fontId="0" fillId="14" borderId="1" xfId="0" applyNumberFormat="1" applyFill="1" applyBorder="1"/>
    <xf numFmtId="176" fontId="132" fillId="8" borderId="1" xfId="1" applyNumberFormat="1" applyFont="1" applyFill="1" applyBorder="1" applyAlignment="1" applyProtection="1">
      <alignment horizontal="center" vertical="center"/>
      <protection hidden="1"/>
    </xf>
    <xf numFmtId="10" fontId="132" fillId="14" borderId="2" xfId="1" applyNumberFormat="1" applyFont="1" applyFill="1" applyBorder="1" applyAlignment="1" applyProtection="1">
      <alignment horizontal="center" vertical="center"/>
      <protection hidden="1"/>
    </xf>
    <xf numFmtId="10" fontId="132" fillId="14" borderId="1" xfId="1" applyNumberFormat="1" applyFont="1" applyFill="1" applyBorder="1" applyAlignment="1" applyProtection="1">
      <alignment horizontal="center" vertical="center"/>
      <protection hidden="1"/>
    </xf>
    <xf numFmtId="169" fontId="132" fillId="14" borderId="1" xfId="1" applyNumberFormat="1" applyFont="1" applyFill="1" applyBorder="1" applyAlignment="1" applyProtection="1">
      <alignment horizontal="center" vertical="center"/>
      <protection hidden="1"/>
    </xf>
    <xf numFmtId="0" fontId="0" fillId="25" borderId="1" xfId="0" applyFill="1" applyBorder="1"/>
    <xf numFmtId="0" fontId="0" fillId="8" borderId="1" xfId="0" applyFill="1" applyBorder="1"/>
    <xf numFmtId="0" fontId="134" fillId="20" borderId="0" xfId="0" applyFont="1" applyFill="1" applyAlignment="1">
      <alignment horizontal="center" vertical="center"/>
    </xf>
    <xf numFmtId="0" fontId="100" fillId="20" borderId="25" xfId="0" applyFont="1" applyFill="1" applyBorder="1" applyAlignment="1">
      <alignment vertical="center"/>
    </xf>
    <xf numFmtId="0" fontId="133" fillId="5" borderId="0" xfId="0" applyFont="1" applyFill="1" applyAlignment="1">
      <alignment horizontal="center" vertical="center"/>
    </xf>
    <xf numFmtId="0" fontId="135" fillId="25" borderId="0" xfId="0" applyFont="1" applyFill="1" applyAlignment="1">
      <alignment vertical="top" wrapText="1"/>
    </xf>
    <xf numFmtId="0" fontId="122" fillId="11" borderId="0" xfId="0" applyFont="1" applyFill="1" applyAlignment="1">
      <alignment horizontal="center" vertical="center"/>
    </xf>
    <xf numFmtId="10" fontId="0" fillId="0" borderId="0" xfId="0" applyNumberFormat="1"/>
    <xf numFmtId="176" fontId="0" fillId="14" borderId="1" xfId="0" applyNumberFormat="1" applyFill="1" applyBorder="1" applyAlignment="1">
      <alignment horizontal="left" vertical="center"/>
    </xf>
    <xf numFmtId="0" fontId="95" fillId="0" borderId="0" xfId="0" applyFont="1" applyAlignment="1">
      <alignment vertical="center" wrapText="1"/>
    </xf>
    <xf numFmtId="0" fontId="100" fillId="0" borderId="0" xfId="0" applyFont="1" applyAlignment="1">
      <alignment vertical="center" wrapText="1"/>
    </xf>
    <xf numFmtId="0" fontId="95" fillId="20" borderId="1" xfId="0" applyFont="1" applyFill="1" applyBorder="1" applyAlignment="1">
      <alignment horizontal="center" vertical="center" wrapText="1"/>
    </xf>
    <xf numFmtId="0" fontId="95" fillId="0" borderId="0" xfId="1" applyFont="1" applyFill="1" applyBorder="1" applyAlignment="1">
      <alignment vertical="center" wrapText="1"/>
    </xf>
    <xf numFmtId="14" fontId="0" fillId="0" borderId="1" xfId="0" applyNumberFormat="1" applyBorder="1" applyAlignment="1">
      <alignment horizontal="center" vertical="center"/>
    </xf>
    <xf numFmtId="14" fontId="0" fillId="0" borderId="1" xfId="0" applyNumberFormat="1" applyBorder="1" applyAlignment="1">
      <alignment vertical="center"/>
    </xf>
    <xf numFmtId="176" fontId="0" fillId="0" borderId="1" xfId="0" applyNumberFormat="1" applyBorder="1" applyAlignment="1">
      <alignment horizontal="center" vertical="center"/>
    </xf>
    <xf numFmtId="8" fontId="0" fillId="0" borderId="1" xfId="0" applyNumberFormat="1" applyBorder="1" applyAlignment="1">
      <alignment horizontal="center" vertical="center"/>
    </xf>
    <xf numFmtId="176" fontId="6" fillId="0" borderId="1" xfId="0" applyNumberFormat="1" applyFont="1" applyBorder="1" applyAlignment="1">
      <alignment horizontal="center" vertical="center"/>
    </xf>
    <xf numFmtId="0" fontId="10" fillId="0" borderId="0" xfId="1" applyFill="1" applyAlignment="1">
      <alignment vertical="center"/>
    </xf>
    <xf numFmtId="0" fontId="6" fillId="0" borderId="1" xfId="0" applyFont="1" applyBorder="1" applyAlignment="1">
      <alignment horizontal="center" vertical="center" wrapText="1"/>
    </xf>
    <xf numFmtId="14" fontId="0" fillId="0" borderId="26" xfId="0" applyNumberFormat="1" applyBorder="1" applyAlignment="1">
      <alignment horizontal="center" vertical="center"/>
    </xf>
    <xf numFmtId="14" fontId="0" fillId="0" borderId="26" xfId="0" applyNumberFormat="1" applyBorder="1" applyAlignment="1">
      <alignment vertical="center"/>
    </xf>
    <xf numFmtId="0" fontId="0" fillId="0" borderId="26" xfId="0" applyBorder="1" applyAlignment="1">
      <alignment horizontal="center" vertical="center"/>
    </xf>
    <xf numFmtId="176" fontId="0" fillId="0" borderId="26" xfId="0" applyNumberFormat="1" applyBorder="1" applyAlignment="1">
      <alignment horizontal="center" vertical="center"/>
    </xf>
    <xf numFmtId="0" fontId="0" fillId="0" borderId="26" xfId="0" applyBorder="1" applyAlignment="1">
      <alignment vertical="center"/>
    </xf>
    <xf numFmtId="8" fontId="0" fillId="0" borderId="1" xfId="0" applyNumberFormat="1" applyBorder="1" applyAlignment="1">
      <alignment vertical="center"/>
    </xf>
    <xf numFmtId="0" fontId="0" fillId="0" borderId="1" xfId="0" applyBorder="1" applyAlignment="1" applyProtection="1">
      <alignment vertical="center"/>
      <protection locked="0"/>
    </xf>
    <xf numFmtId="0" fontId="95" fillId="0" borderId="1" xfId="0" applyFont="1" applyBorder="1" applyAlignment="1">
      <alignment horizontal="center" wrapText="1"/>
    </xf>
    <xf numFmtId="0" fontId="50" fillId="0" borderId="0" xfId="0" applyFont="1" applyAlignment="1">
      <alignment horizontal="center"/>
    </xf>
    <xf numFmtId="0" fontId="6" fillId="5" borderId="0" xfId="0" applyFont="1" applyFill="1" applyAlignment="1">
      <alignment vertical="center"/>
    </xf>
    <xf numFmtId="0" fontId="55" fillId="5" borderId="0" xfId="1" applyFont="1" applyFill="1" applyAlignment="1">
      <alignment horizontal="center" vertical="center"/>
    </xf>
    <xf numFmtId="0" fontId="12" fillId="11" borderId="1" xfId="0" applyFont="1" applyFill="1" applyBorder="1" applyAlignment="1">
      <alignment horizontal="center"/>
    </xf>
    <xf numFmtId="182" fontId="24" fillId="11" borderId="0" xfId="0" applyNumberFormat="1" applyFont="1" applyFill="1" applyAlignment="1">
      <alignment horizontal="center" vertical="center"/>
    </xf>
    <xf numFmtId="0" fontId="24" fillId="11" borderId="0" xfId="0" applyFont="1" applyFill="1" applyAlignment="1">
      <alignment vertical="center"/>
    </xf>
    <xf numFmtId="0" fontId="0" fillId="11" borderId="0" xfId="0" applyFill="1"/>
    <xf numFmtId="0" fontId="0" fillId="11" borderId="0" xfId="0" applyFill="1" applyAlignment="1">
      <alignment horizontal="center" vertical="center"/>
    </xf>
    <xf numFmtId="0" fontId="81" fillId="11" borderId="0" xfId="0" applyFont="1" applyFill="1" applyAlignment="1">
      <alignment horizontal="left" vertical="center"/>
    </xf>
    <xf numFmtId="0" fontId="123" fillId="11" borderId="0" xfId="0" applyFont="1" applyFill="1" applyAlignment="1">
      <alignment horizontal="center" vertical="center"/>
    </xf>
    <xf numFmtId="0" fontId="122" fillId="11" borderId="0" xfId="0" applyFont="1" applyFill="1" applyAlignment="1">
      <alignment horizontal="left" vertical="center"/>
    </xf>
    <xf numFmtId="0" fontId="124" fillId="11" borderId="0" xfId="0" applyFont="1" applyFill="1" applyAlignment="1">
      <alignment horizontal="left" vertical="center"/>
    </xf>
    <xf numFmtId="182" fontId="81" fillId="11" borderId="1" xfId="0" applyNumberFormat="1" applyFont="1" applyFill="1" applyBorder="1" applyAlignment="1">
      <alignment horizontal="center" vertical="center"/>
    </xf>
    <xf numFmtId="0" fontId="109" fillId="0" borderId="1" xfId="0" applyFont="1" applyBorder="1" applyAlignment="1">
      <alignment horizontal="left" vertical="center" wrapText="1"/>
    </xf>
    <xf numFmtId="0" fontId="127" fillId="0" borderId="0" xfId="0" applyFont="1"/>
    <xf numFmtId="0" fontId="126" fillId="0" borderId="0" xfId="0" applyFont="1" applyAlignment="1">
      <alignment vertical="center"/>
    </xf>
    <xf numFmtId="0" fontId="19" fillId="0" borderId="0" xfId="0" applyFont="1" applyAlignment="1">
      <alignment vertical="center" wrapText="1"/>
    </xf>
    <xf numFmtId="10" fontId="19" fillId="0" borderId="0" xfId="2" applyNumberFormat="1" applyFont="1" applyAlignment="1">
      <alignment horizontal="center"/>
    </xf>
    <xf numFmtId="0" fontId="12" fillId="0" borderId="52" xfId="0" applyFont="1" applyBorder="1" applyAlignment="1">
      <alignment vertical="center" wrapText="1"/>
    </xf>
    <xf numFmtId="10" fontId="12" fillId="0" borderId="52" xfId="2" applyNumberFormat="1" applyFont="1" applyBorder="1" applyAlignment="1">
      <alignment horizontal="center"/>
    </xf>
    <xf numFmtId="10" fontId="12" fillId="0" borderId="53" xfId="2" applyNumberFormat="1" applyFont="1" applyBorder="1" applyAlignment="1">
      <alignment horizontal="center"/>
    </xf>
    <xf numFmtId="0" fontId="50" fillId="0" borderId="0" xfId="2" applyNumberFormat="1" applyFont="1" applyAlignment="1">
      <alignment horizontal="center" vertical="center" wrapText="1"/>
    </xf>
    <xf numFmtId="0" fontId="5" fillId="0" borderId="52" xfId="2" applyNumberFormat="1" applyFont="1" applyBorder="1" applyAlignment="1">
      <alignment horizontal="center" vertical="center" wrapText="1"/>
    </xf>
    <xf numFmtId="10" fontId="6" fillId="6" borderId="1" xfId="2" quotePrefix="1" applyNumberFormat="1" applyFont="1" applyFill="1" applyBorder="1" applyAlignment="1">
      <alignment horizontal="center" vertical="center"/>
    </xf>
    <xf numFmtId="0" fontId="20" fillId="0" borderId="1" xfId="0" applyFont="1" applyBorder="1" applyAlignment="1">
      <alignment horizontal="center"/>
    </xf>
    <xf numFmtId="176" fontId="0" fillId="0" borderId="1" xfId="0" applyNumberFormat="1" applyBorder="1" applyAlignment="1">
      <alignment horizontal="center"/>
    </xf>
    <xf numFmtId="10" fontId="0" fillId="0" borderId="1" xfId="0" applyNumberFormat="1" applyBorder="1" applyAlignment="1">
      <alignment horizontal="center"/>
    </xf>
    <xf numFmtId="0" fontId="20" fillId="0" borderId="1" xfId="0" applyFont="1" applyBorder="1"/>
    <xf numFmtId="8" fontId="20" fillId="0" borderId="1" xfId="0" applyNumberFormat="1" applyFont="1" applyBorder="1"/>
    <xf numFmtId="8" fontId="6" fillId="0" borderId="1" xfId="0" applyNumberFormat="1" applyFont="1" applyBorder="1"/>
    <xf numFmtId="0" fontId="140" fillId="5" borderId="0" xfId="0" applyFont="1" applyFill="1" applyAlignment="1">
      <alignment horizontal="center" vertical="center"/>
    </xf>
    <xf numFmtId="0" fontId="0" fillId="14" borderId="0" xfId="0" quotePrefix="1" applyFill="1" applyAlignment="1">
      <alignment horizontal="center" vertical="center"/>
    </xf>
    <xf numFmtId="0" fontId="132" fillId="0" borderId="1" xfId="1" applyFont="1" applyBorder="1" applyAlignment="1">
      <alignment vertical="center" wrapText="1"/>
    </xf>
    <xf numFmtId="176" fontId="0" fillId="14" borderId="1" xfId="0" applyNumberFormat="1" applyFill="1" applyBorder="1" applyAlignment="1" applyProtection="1">
      <alignment horizontal="left" vertical="center"/>
      <protection hidden="1"/>
    </xf>
    <xf numFmtId="176" fontId="20" fillId="8" borderId="61" xfId="0" applyNumberFormat="1" applyFont="1" applyFill="1" applyBorder="1" applyAlignment="1" applyProtection="1">
      <alignment horizontal="center" vertical="center"/>
      <protection hidden="1"/>
    </xf>
    <xf numFmtId="10" fontId="5" fillId="0" borderId="26" xfId="2" applyNumberFormat="1" applyFont="1" applyBorder="1" applyAlignment="1" applyProtection="1">
      <alignment horizontal="center" vertical="center"/>
      <protection locked="0"/>
    </xf>
    <xf numFmtId="183" fontId="143" fillId="0" borderId="0" xfId="0" applyNumberFormat="1" applyFont="1" applyAlignment="1">
      <alignment horizontal="right" vertical="center" shrinkToFit="1"/>
    </xf>
    <xf numFmtId="0" fontId="142" fillId="30" borderId="67" xfId="0" applyFont="1" applyFill="1" applyBorder="1" applyAlignment="1">
      <alignment horizontal="left" vertical="center"/>
    </xf>
    <xf numFmtId="0" fontId="142" fillId="21" borderId="67" xfId="0" applyFont="1" applyFill="1" applyBorder="1" applyAlignment="1">
      <alignment horizontal="left" vertical="center"/>
    </xf>
    <xf numFmtId="0" fontId="144" fillId="30" borderId="67" xfId="0" applyFont="1" applyFill="1" applyBorder="1" applyAlignment="1">
      <alignment horizontal="left" vertical="center"/>
    </xf>
    <xf numFmtId="0" fontId="108" fillId="20" borderId="0" xfId="0" applyFont="1" applyFill="1" applyAlignment="1">
      <alignment vertical="center"/>
    </xf>
    <xf numFmtId="14" fontId="147" fillId="0" borderId="1" xfId="0" applyNumberFormat="1" applyFont="1" applyBorder="1"/>
    <xf numFmtId="185" fontId="29" fillId="0" borderId="1" xfId="7" applyNumberFormat="1" applyFont="1" applyBorder="1"/>
    <xf numFmtId="14" fontId="29" fillId="0" borderId="1" xfId="8" applyNumberFormat="1" applyFont="1" applyBorder="1"/>
    <xf numFmtId="14" fontId="29" fillId="0" borderId="1" xfId="9" applyNumberFormat="1" applyFont="1" applyBorder="1"/>
    <xf numFmtId="14" fontId="29" fillId="0" borderId="1" xfId="0" applyNumberFormat="1" applyFont="1" applyBorder="1"/>
    <xf numFmtId="185" fontId="29" fillId="0" borderId="1" xfId="10" applyNumberFormat="1" applyFont="1" applyBorder="1"/>
    <xf numFmtId="14" fontId="29" fillId="0" borderId="1" xfId="11" applyNumberFormat="1" applyFont="1" applyBorder="1"/>
    <xf numFmtId="10" fontId="10" fillId="14" borderId="2" xfId="1" applyNumberFormat="1" applyFill="1" applyBorder="1" applyAlignment="1" applyProtection="1">
      <alignment horizontal="center" vertical="center"/>
      <protection hidden="1"/>
    </xf>
    <xf numFmtId="10" fontId="10" fillId="14" borderId="1" xfId="1" applyNumberFormat="1" applyFill="1" applyBorder="1" applyAlignment="1" applyProtection="1">
      <alignment horizontal="center" vertical="center"/>
      <protection hidden="1"/>
    </xf>
    <xf numFmtId="2" fontId="147" fillId="0" borderId="1" xfId="0" applyNumberFormat="1" applyFont="1" applyBorder="1" applyAlignment="1">
      <alignment horizontal="center"/>
    </xf>
    <xf numFmtId="2" fontId="147" fillId="0" borderId="1" xfId="0" applyNumberFormat="1" applyFont="1" applyBorder="1" applyAlignment="1">
      <alignment horizontal="center" vertical="center"/>
    </xf>
    <xf numFmtId="2" fontId="29" fillId="0" borderId="1" xfId="7" applyNumberFormat="1" applyFont="1" applyBorder="1" applyAlignment="1">
      <alignment horizontal="center" vertical="center"/>
    </xf>
    <xf numFmtId="2" fontId="29" fillId="0" borderId="1" xfId="8" applyNumberFormat="1" applyFont="1" applyBorder="1" applyAlignment="1">
      <alignment horizontal="center"/>
    </xf>
    <xf numFmtId="2" fontId="29" fillId="0" borderId="1" xfId="0" applyNumberFormat="1" applyFont="1" applyBorder="1" applyAlignment="1">
      <alignment horizontal="center"/>
    </xf>
    <xf numFmtId="2" fontId="29" fillId="0" borderId="1" xfId="9" applyNumberFormat="1" applyFont="1" applyBorder="1" applyAlignment="1">
      <alignment horizontal="center"/>
    </xf>
    <xf numFmtId="2" fontId="29" fillId="0" borderId="1" xfId="12" applyNumberFormat="1" applyFont="1" applyBorder="1" applyAlignment="1">
      <alignment horizontal="center"/>
    </xf>
    <xf numFmtId="2" fontId="29" fillId="0" borderId="1" xfId="10" applyNumberFormat="1" applyFont="1" applyBorder="1" applyAlignment="1">
      <alignment horizontal="center"/>
    </xf>
    <xf numFmtId="2" fontId="29" fillId="0" borderId="1" xfId="11" applyNumberFormat="1" applyFont="1" applyBorder="1" applyAlignment="1">
      <alignment horizontal="center"/>
    </xf>
    <xf numFmtId="2" fontId="29" fillId="0" borderId="1" xfId="13" applyNumberFormat="1" applyFont="1" applyBorder="1" applyAlignment="1">
      <alignment horizontal="center"/>
    </xf>
    <xf numFmtId="2" fontId="29" fillId="0" borderId="1" xfId="14" applyNumberFormat="1" applyFont="1" applyBorder="1" applyAlignment="1">
      <alignment horizontal="center"/>
    </xf>
    <xf numFmtId="186" fontId="0" fillId="0" borderId="0" xfId="0" applyNumberFormat="1"/>
    <xf numFmtId="0" fontId="6" fillId="5" borderId="0" xfId="0" applyFont="1" applyFill="1" applyAlignment="1">
      <alignment horizontal="center"/>
    </xf>
    <xf numFmtId="0" fontId="0" fillId="5" borderId="0" xfId="0" applyFill="1" applyAlignment="1">
      <alignment horizontal="center"/>
    </xf>
    <xf numFmtId="0" fontId="70" fillId="5" borderId="66" xfId="0" applyFont="1" applyFill="1" applyBorder="1" applyAlignment="1">
      <alignment horizontal="center"/>
    </xf>
    <xf numFmtId="0" fontId="10" fillId="0" borderId="0" xfId="1" applyAlignment="1">
      <alignment horizontal="left" wrapText="1"/>
    </xf>
    <xf numFmtId="0" fontId="96" fillId="25" borderId="0" xfId="0" applyFont="1" applyFill="1" applyAlignment="1">
      <alignment horizontal="right" vertical="center"/>
    </xf>
    <xf numFmtId="0" fontId="100" fillId="28" borderId="0" xfId="0" applyFont="1" applyFill="1" applyAlignment="1">
      <alignment horizontal="left" vertical="center"/>
    </xf>
    <xf numFmtId="0" fontId="6" fillId="14" borderId="1" xfId="0" applyFont="1" applyFill="1" applyBorder="1" applyAlignment="1" applyProtection="1">
      <alignment vertical="top"/>
      <protection hidden="1"/>
    </xf>
    <xf numFmtId="0" fontId="134" fillId="20" borderId="0" xfId="0" applyFont="1" applyFill="1" applyAlignment="1">
      <alignment horizontal="left" vertical="center"/>
    </xf>
    <xf numFmtId="0" fontId="134" fillId="20" borderId="0" xfId="0" applyFont="1" applyFill="1" applyAlignment="1">
      <alignment horizontal="right" vertical="center"/>
    </xf>
    <xf numFmtId="0" fontId="132" fillId="0" borderId="1" xfId="1" applyFont="1" applyBorder="1" applyAlignment="1">
      <alignment vertical="top" wrapText="1"/>
    </xf>
    <xf numFmtId="0" fontId="95" fillId="11" borderId="1" xfId="1" applyFont="1" applyFill="1" applyBorder="1" applyAlignment="1">
      <alignment vertical="center" wrapText="1"/>
    </xf>
    <xf numFmtId="0" fontId="95" fillId="0" borderId="1" xfId="0" applyFont="1" applyBorder="1" applyAlignment="1">
      <alignment horizontal="left" vertical="center" wrapText="1"/>
    </xf>
    <xf numFmtId="0" fontId="132" fillId="0" borderId="1" xfId="1" applyFont="1" applyBorder="1" applyAlignment="1">
      <alignment horizontal="left" vertical="center" wrapText="1"/>
    </xf>
    <xf numFmtId="0" fontId="132" fillId="11" borderId="1" xfId="1" applyFont="1" applyFill="1" applyBorder="1" applyAlignment="1">
      <alignment vertical="center" wrapText="1"/>
    </xf>
    <xf numFmtId="0" fontId="10" fillId="0" borderId="1" xfId="1" applyFill="1" applyBorder="1" applyAlignment="1">
      <alignment horizontal="center" vertical="center"/>
    </xf>
    <xf numFmtId="0" fontId="10" fillId="0" borderId="1" xfId="1" applyBorder="1" applyAlignment="1">
      <alignment horizontal="center" vertical="center"/>
    </xf>
    <xf numFmtId="0" fontId="20" fillId="0" borderId="1" xfId="0" applyFont="1" applyBorder="1" applyAlignment="1">
      <alignment wrapText="1"/>
    </xf>
    <xf numFmtId="0" fontId="20" fillId="0" borderId="1" xfId="0" applyFont="1" applyBorder="1" applyAlignment="1">
      <alignment vertical="center" wrapText="1"/>
    </xf>
    <xf numFmtId="0" fontId="10" fillId="0" borderId="0" xfId="1" applyAlignment="1">
      <alignment wrapText="1"/>
    </xf>
    <xf numFmtId="0" fontId="10" fillId="0" borderId="0" xfId="1" applyAlignment="1">
      <alignment horizontal="left" vertical="center" wrapText="1"/>
    </xf>
    <xf numFmtId="0" fontId="10" fillId="0" borderId="0" xfId="1" applyFill="1" applyAlignment="1">
      <alignment wrapText="1"/>
    </xf>
    <xf numFmtId="0" fontId="10" fillId="0" borderId="0" xfId="1" applyFill="1" applyAlignment="1">
      <alignment vertical="center" wrapText="1"/>
    </xf>
    <xf numFmtId="10" fontId="6" fillId="0" borderId="1" xfId="0" applyNumberFormat="1" applyFont="1" applyBorder="1" applyAlignment="1">
      <alignment vertical="center" wrapText="1"/>
    </xf>
    <xf numFmtId="0" fontId="20" fillId="11" borderId="1" xfId="0" applyFont="1" applyFill="1" applyBorder="1" applyAlignment="1">
      <alignment horizontal="center" vertical="center" wrapText="1"/>
    </xf>
    <xf numFmtId="10" fontId="6" fillId="11" borderId="1" xfId="0" applyNumberFormat="1" applyFont="1" applyFill="1" applyBorder="1" applyAlignment="1">
      <alignment vertical="center" wrapText="1"/>
    </xf>
    <xf numFmtId="0" fontId="10" fillId="11" borderId="0" xfId="1" applyFill="1" applyAlignment="1">
      <alignment wrapText="1"/>
    </xf>
    <xf numFmtId="0" fontId="0" fillId="16" borderId="1" xfId="0" applyFill="1" applyBorder="1" applyAlignment="1">
      <alignment horizontal="center" vertical="center"/>
    </xf>
    <xf numFmtId="0" fontId="47" fillId="16" borderId="1" xfId="6" applyFont="1" applyFill="1" applyBorder="1" applyAlignment="1">
      <alignment horizontal="center" vertical="center" wrapText="1"/>
    </xf>
    <xf numFmtId="0" fontId="20" fillId="16" borderId="1" xfId="0" applyFont="1" applyFill="1" applyBorder="1" applyAlignment="1">
      <alignment horizontal="center" vertical="center" wrapText="1"/>
    </xf>
    <xf numFmtId="10" fontId="6" fillId="16" borderId="1" xfId="0" applyNumberFormat="1" applyFont="1" applyFill="1" applyBorder="1" applyAlignment="1">
      <alignment vertical="center" wrapText="1"/>
    </xf>
    <xf numFmtId="169" fontId="47" fillId="16" borderId="1" xfId="6" applyNumberFormat="1" applyFont="1" applyFill="1" applyBorder="1" applyAlignment="1">
      <alignment horizontal="center" vertical="center" wrapText="1"/>
    </xf>
    <xf numFmtId="0" fontId="10" fillId="16" borderId="1" xfId="1" applyFill="1" applyBorder="1" applyAlignment="1">
      <alignment wrapText="1"/>
    </xf>
    <xf numFmtId="0" fontId="47" fillId="16" borderId="1" xfId="6" applyFont="1" applyFill="1" applyBorder="1" applyAlignment="1">
      <alignment vertical="center" wrapText="1"/>
    </xf>
    <xf numFmtId="0" fontId="10" fillId="16" borderId="1" xfId="1" applyFill="1" applyBorder="1" applyAlignment="1">
      <alignment vertical="center" wrapText="1"/>
    </xf>
    <xf numFmtId="0" fontId="0" fillId="16" borderId="0" xfId="0" applyFill="1" applyAlignment="1">
      <alignment vertical="center"/>
    </xf>
    <xf numFmtId="10" fontId="0" fillId="11" borderId="0" xfId="2" applyNumberFormat="1" applyFont="1" applyFill="1" applyAlignment="1">
      <alignment vertical="center"/>
    </xf>
    <xf numFmtId="0" fontId="10" fillId="14" borderId="1" xfId="1" applyFill="1" applyBorder="1" applyAlignment="1" applyProtection="1">
      <alignment horizontal="right" vertical="center"/>
      <protection hidden="1"/>
    </xf>
    <xf numFmtId="10" fontId="0" fillId="14" borderId="0" xfId="2" applyNumberFormat="1" applyFont="1" applyFill="1" applyAlignment="1" applyProtection="1">
      <alignment horizontal="center" vertical="center"/>
      <protection hidden="1"/>
    </xf>
    <xf numFmtId="0" fontId="49" fillId="5" borderId="1" xfId="0" applyFont="1" applyFill="1" applyBorder="1" applyAlignment="1">
      <alignment horizontal="center" vertical="center" wrapText="1"/>
    </xf>
    <xf numFmtId="0" fontId="17" fillId="5" borderId="1" xfId="0" applyFont="1" applyFill="1" applyBorder="1" applyAlignment="1">
      <alignment vertical="center" wrapText="1"/>
    </xf>
    <xf numFmtId="0" fontId="127" fillId="5" borderId="0" xfId="0" applyFont="1" applyFill="1" applyAlignment="1" applyProtection="1">
      <alignment horizontal="center" vertical="center" wrapText="1"/>
      <protection hidden="1"/>
    </xf>
    <xf numFmtId="0" fontId="143" fillId="0" borderId="0" xfId="0" applyFont="1" applyAlignment="1">
      <alignment horizontal="left" vertical="center"/>
    </xf>
    <xf numFmtId="0" fontId="142" fillId="0" borderId="0" xfId="0" applyFont="1" applyAlignment="1">
      <alignment horizontal="left" vertical="center"/>
    </xf>
    <xf numFmtId="0" fontId="150" fillId="32" borderId="68" xfId="0" applyFont="1" applyFill="1" applyBorder="1" applyAlignment="1">
      <alignment horizontal="right" vertical="center"/>
    </xf>
    <xf numFmtId="0" fontId="150" fillId="32" borderId="68" xfId="0" applyFont="1" applyFill="1" applyBorder="1" applyAlignment="1">
      <alignment horizontal="left" vertical="center"/>
    </xf>
    <xf numFmtId="0" fontId="142" fillId="33" borderId="68" xfId="0" applyFont="1" applyFill="1" applyBorder="1" applyAlignment="1">
      <alignment horizontal="left" vertical="center"/>
    </xf>
    <xf numFmtId="0" fontId="0" fillId="34" borderId="0" xfId="0" applyFill="1"/>
    <xf numFmtId="0" fontId="142" fillId="30" borderId="68" xfId="0" applyFont="1" applyFill="1" applyBorder="1" applyAlignment="1">
      <alignment horizontal="left" vertical="center"/>
    </xf>
    <xf numFmtId="184" fontId="143" fillId="35" borderId="0" xfId="0" applyNumberFormat="1" applyFont="1" applyFill="1" applyAlignment="1">
      <alignment horizontal="right" vertical="center" shrinkToFit="1"/>
    </xf>
    <xf numFmtId="3" fontId="143" fillId="35" borderId="0" xfId="0" applyNumberFormat="1" applyFont="1" applyFill="1" applyAlignment="1">
      <alignment horizontal="right" vertical="center" shrinkToFit="1"/>
    </xf>
    <xf numFmtId="184" fontId="143" fillId="0" borderId="0" xfId="0" applyNumberFormat="1" applyFont="1" applyAlignment="1">
      <alignment horizontal="right" vertical="center" shrinkToFit="1"/>
    </xf>
    <xf numFmtId="3" fontId="143" fillId="0" borderId="0" xfId="0" applyNumberFormat="1" applyFont="1" applyAlignment="1">
      <alignment horizontal="right" vertical="center" shrinkToFit="1"/>
    </xf>
    <xf numFmtId="183" fontId="143" fillId="35" borderId="0" xfId="0" applyNumberFormat="1" applyFont="1" applyFill="1" applyAlignment="1">
      <alignment horizontal="right" vertical="center" shrinkToFit="1"/>
    </xf>
    <xf numFmtId="0" fontId="20" fillId="0" borderId="51" xfId="0" applyFont="1" applyBorder="1" applyAlignment="1">
      <alignment horizontal="center"/>
    </xf>
    <xf numFmtId="10" fontId="0" fillId="0" borderId="0" xfId="2" applyNumberFormat="1" applyFont="1" applyAlignment="1">
      <alignment horizontal="center" wrapText="1"/>
    </xf>
    <xf numFmtId="10" fontId="6" fillId="0" borderId="0" xfId="2" applyNumberFormat="1" applyFont="1"/>
    <xf numFmtId="0" fontId="19" fillId="0" borderId="20" xfId="0" applyFont="1" applyBorder="1" applyAlignment="1">
      <alignment vertical="center" wrapText="1"/>
    </xf>
    <xf numFmtId="0" fontId="19" fillId="0" borderId="25" xfId="0" applyFont="1" applyBorder="1" applyAlignment="1">
      <alignment vertical="center" wrapText="1"/>
    </xf>
    <xf numFmtId="0" fontId="19" fillId="0" borderId="24" xfId="0" applyFont="1" applyBorder="1" applyAlignment="1">
      <alignment vertical="center" wrapText="1"/>
    </xf>
    <xf numFmtId="0" fontId="103" fillId="8" borderId="0" xfId="0" applyFont="1" applyFill="1" applyAlignment="1" applyProtection="1">
      <alignment vertical="center"/>
      <protection hidden="1"/>
    </xf>
    <xf numFmtId="0" fontId="0" fillId="8" borderId="0" xfId="0" applyFill="1" applyAlignment="1">
      <alignment vertical="center"/>
    </xf>
    <xf numFmtId="0" fontId="96" fillId="8" borderId="0" xfId="0" applyFont="1" applyFill="1" applyAlignment="1">
      <alignment vertical="center"/>
    </xf>
    <xf numFmtId="0" fontId="154" fillId="8" borderId="1" xfId="6" applyFont="1" applyFill="1" applyBorder="1" applyAlignment="1">
      <alignment horizontal="center" vertical="center" wrapText="1"/>
    </xf>
    <xf numFmtId="0" fontId="150" fillId="32" borderId="69" xfId="0" applyFont="1" applyFill="1" applyBorder="1" applyAlignment="1">
      <alignment horizontal="left" vertical="center"/>
    </xf>
    <xf numFmtId="0" fontId="103" fillId="5" borderId="0" xfId="0" applyFont="1" applyFill="1" applyAlignment="1" applyProtection="1">
      <alignment vertical="top"/>
      <protection hidden="1"/>
    </xf>
    <xf numFmtId="0" fontId="10" fillId="26" borderId="0" xfId="1" applyFill="1" applyAlignment="1">
      <alignment horizontal="center"/>
    </xf>
    <xf numFmtId="0" fontId="0" fillId="0" borderId="0" xfId="0" applyAlignment="1" applyProtection="1">
      <alignment vertical="center"/>
      <protection hidden="1"/>
    </xf>
    <xf numFmtId="0" fontId="20" fillId="25" borderId="1" xfId="0" applyFont="1" applyFill="1" applyBorder="1" applyAlignment="1">
      <alignment horizontal="center" vertical="center"/>
    </xf>
    <xf numFmtId="0" fontId="114" fillId="14" borderId="1" xfId="0" applyFont="1" applyFill="1" applyBorder="1" applyAlignment="1">
      <alignment horizontal="center" vertical="center" wrapText="1"/>
    </xf>
    <xf numFmtId="0" fontId="70" fillId="5" borderId="0" xfId="0" applyFont="1" applyFill="1" applyAlignment="1">
      <alignment horizontal="left" vertical="center"/>
    </xf>
    <xf numFmtId="182" fontId="81" fillId="11" borderId="0" xfId="0" applyNumberFormat="1" applyFont="1" applyFill="1" applyAlignment="1">
      <alignment horizontal="center" vertical="center"/>
    </xf>
    <xf numFmtId="0" fontId="12" fillId="11" borderId="0" xfId="0" applyFont="1" applyFill="1" applyAlignment="1">
      <alignment horizontal="center"/>
    </xf>
    <xf numFmtId="0" fontId="6" fillId="11" borderId="0" xfId="0" applyFont="1" applyFill="1"/>
    <xf numFmtId="0" fontId="12" fillId="11" borderId="0" xfId="0" applyFont="1" applyFill="1"/>
    <xf numFmtId="176" fontId="6" fillId="11" borderId="0" xfId="0" quotePrefix="1" applyNumberFormat="1" applyFont="1" applyFill="1" applyAlignment="1">
      <alignment horizontal="center" vertical="center"/>
    </xf>
    <xf numFmtId="10" fontId="0" fillId="11" borderId="0" xfId="2" applyNumberFormat="1" applyFont="1" applyFill="1" applyBorder="1" applyAlignment="1">
      <alignment vertical="center"/>
    </xf>
    <xf numFmtId="176" fontId="0" fillId="11" borderId="0" xfId="0" applyNumberFormat="1" applyFill="1" applyAlignment="1">
      <alignment horizontal="center"/>
    </xf>
    <xf numFmtId="182" fontId="29" fillId="11" borderId="0" xfId="0" applyNumberFormat="1" applyFont="1" applyFill="1" applyAlignment="1">
      <alignment horizontal="center" vertical="center"/>
    </xf>
    <xf numFmtId="9" fontId="0" fillId="11" borderId="0" xfId="0" applyNumberFormat="1" applyFill="1"/>
    <xf numFmtId="8" fontId="0" fillId="11" borderId="0" xfId="0" applyNumberFormat="1" applyFill="1"/>
    <xf numFmtId="10" fontId="0" fillId="11" borderId="0" xfId="2" applyNumberFormat="1" applyFont="1" applyFill="1"/>
    <xf numFmtId="183" fontId="24" fillId="11" borderId="0" xfId="0" applyNumberFormat="1" applyFont="1" applyFill="1" applyAlignment="1">
      <alignment vertical="center"/>
    </xf>
    <xf numFmtId="0" fontId="125" fillId="11" borderId="0" xfId="0" applyFont="1" applyFill="1" applyAlignment="1">
      <alignment horizontal="center" vertical="center"/>
    </xf>
    <xf numFmtId="0" fontId="47" fillId="0" borderId="0" xfId="6" applyFont="1"/>
    <xf numFmtId="0" fontId="20" fillId="14" borderId="17" xfId="0" applyFont="1" applyFill="1" applyBorder="1" applyAlignment="1" applyProtection="1">
      <alignment horizontal="right" vertical="center" wrapText="1"/>
      <protection hidden="1"/>
    </xf>
    <xf numFmtId="0" fontId="47" fillId="0" borderId="0" xfId="6" applyFont="1" applyAlignment="1">
      <alignment vertical="top" wrapText="1"/>
    </xf>
    <xf numFmtId="0" fontId="47" fillId="0" borderId="0" xfId="6" applyFont="1" applyAlignment="1">
      <alignment wrapText="1"/>
    </xf>
    <xf numFmtId="0" fontId="47" fillId="0" borderId="0" xfId="6" applyFont="1" applyAlignment="1">
      <alignment vertical="center" wrapText="1"/>
    </xf>
    <xf numFmtId="0" fontId="47" fillId="0" borderId="0" xfId="6" applyFont="1" applyAlignment="1">
      <alignment horizontal="center"/>
    </xf>
    <xf numFmtId="0" fontId="47" fillId="0" borderId="74" xfId="6" applyFont="1" applyBorder="1" applyAlignment="1">
      <alignment vertical="top" wrapText="1"/>
    </xf>
    <xf numFmtId="0" fontId="47" fillId="0" borderId="75" xfId="6" applyFont="1" applyBorder="1" applyAlignment="1">
      <alignment vertical="top" wrapText="1"/>
    </xf>
    <xf numFmtId="0" fontId="157" fillId="21" borderId="73" xfId="0" applyFont="1" applyFill="1" applyBorder="1" applyAlignment="1">
      <alignment horizontal="center" vertical="center" wrapText="1"/>
    </xf>
    <xf numFmtId="0" fontId="157" fillId="21" borderId="74" xfId="0" applyFont="1" applyFill="1" applyBorder="1" applyAlignment="1">
      <alignment horizontal="center" vertical="center" wrapText="1"/>
    </xf>
    <xf numFmtId="0" fontId="157" fillId="21" borderId="74" xfId="0" applyFont="1" applyFill="1" applyBorder="1" applyAlignment="1">
      <alignment horizontal="center" vertical="center"/>
    </xf>
    <xf numFmtId="0" fontId="157" fillId="21" borderId="75" xfId="0" applyFont="1" applyFill="1" applyBorder="1" applyAlignment="1">
      <alignment horizontal="center" vertical="center" wrapText="1"/>
    </xf>
    <xf numFmtId="0" fontId="156" fillId="21" borderId="0" xfId="6" applyFont="1" applyFill="1"/>
    <xf numFmtId="0" fontId="95" fillId="21" borderId="0" xfId="0" applyFont="1" applyFill="1"/>
    <xf numFmtId="0" fontId="47" fillId="21" borderId="74" xfId="6" applyFont="1" applyFill="1" applyBorder="1" applyAlignment="1">
      <alignment vertical="top" wrapText="1"/>
    </xf>
    <xf numFmtId="0" fontId="157" fillId="21" borderId="73" xfId="6" applyFont="1" applyFill="1" applyBorder="1" applyAlignment="1">
      <alignment vertical="top" wrapText="1"/>
    </xf>
    <xf numFmtId="0" fontId="47" fillId="0" borderId="74" xfId="6" applyFont="1" applyBorder="1" applyAlignment="1">
      <alignment horizontal="center" vertical="top" wrapText="1"/>
    </xf>
    <xf numFmtId="0" fontId="47" fillId="0" borderId="0" xfId="6" applyFont="1" applyAlignment="1">
      <alignment horizontal="center" vertical="top" wrapText="1"/>
    </xf>
    <xf numFmtId="0" fontId="10" fillId="0" borderId="74" xfId="1" applyNumberFormat="1" applyBorder="1" applyAlignment="1">
      <alignment vertical="top" wrapText="1"/>
    </xf>
    <xf numFmtId="187" fontId="143" fillId="0" borderId="1" xfId="0" applyNumberFormat="1" applyFont="1" applyBorder="1" applyAlignment="1">
      <alignment horizontal="center" vertical="center" shrinkToFit="1"/>
    </xf>
    <xf numFmtId="187" fontId="143" fillId="31" borderId="1" xfId="0" applyNumberFormat="1" applyFont="1" applyFill="1" applyBorder="1" applyAlignment="1">
      <alignment horizontal="center" vertical="center" shrinkToFit="1"/>
    </xf>
    <xf numFmtId="187" fontId="145" fillId="0" borderId="1" xfId="0" applyNumberFormat="1" applyFont="1" applyBorder="1" applyAlignment="1">
      <alignment horizontal="center" vertical="center" shrinkToFit="1"/>
    </xf>
    <xf numFmtId="187" fontId="145" fillId="31" borderId="1" xfId="0" applyNumberFormat="1" applyFont="1" applyFill="1" applyBorder="1" applyAlignment="1">
      <alignment horizontal="center" vertical="center" shrinkToFit="1"/>
    </xf>
    <xf numFmtId="188" fontId="143" fillId="0" borderId="1" xfId="0" applyNumberFormat="1" applyFont="1" applyBorder="1" applyAlignment="1">
      <alignment horizontal="center" vertical="center" shrinkToFit="1"/>
    </xf>
    <xf numFmtId="188" fontId="143" fillId="31" borderId="1" xfId="0" applyNumberFormat="1" applyFont="1" applyFill="1" applyBorder="1" applyAlignment="1">
      <alignment horizontal="center" vertical="center" shrinkToFit="1"/>
    </xf>
    <xf numFmtId="188" fontId="143" fillId="21" borderId="1" xfId="0" applyNumberFormat="1" applyFont="1" applyFill="1" applyBorder="1" applyAlignment="1">
      <alignment horizontal="center" vertical="center" shrinkToFit="1"/>
    </xf>
    <xf numFmtId="189" fontId="143" fillId="0" borderId="1" xfId="0" applyNumberFormat="1" applyFont="1" applyBorder="1" applyAlignment="1">
      <alignment horizontal="center" vertical="center" shrinkToFit="1"/>
    </xf>
    <xf numFmtId="0" fontId="127" fillId="5" borderId="0" xfId="0" applyFont="1" applyFill="1" applyAlignment="1">
      <alignment horizontal="center" vertical="center"/>
    </xf>
    <xf numFmtId="6" fontId="7" fillId="25" borderId="1" xfId="0" applyNumberFormat="1" applyFont="1" applyFill="1" applyBorder="1" applyAlignment="1" applyProtection="1">
      <alignment horizontal="center" vertical="center"/>
      <protection hidden="1"/>
    </xf>
    <xf numFmtId="6" fontId="100" fillId="20" borderId="1" xfId="0" applyNumberFormat="1" applyFont="1" applyFill="1" applyBorder="1" applyAlignment="1">
      <alignment horizontal="center" vertical="center"/>
    </xf>
    <xf numFmtId="6" fontId="95" fillId="8" borderId="1" xfId="0" applyNumberFormat="1" applyFont="1" applyFill="1" applyBorder="1" applyAlignment="1" applyProtection="1">
      <alignment horizontal="center"/>
      <protection hidden="1"/>
    </xf>
    <xf numFmtId="0" fontId="10" fillId="14" borderId="17" xfId="1" applyFill="1" applyBorder="1" applyAlignment="1" applyProtection="1">
      <alignment horizontal="center" vertical="center"/>
      <protection hidden="1"/>
    </xf>
    <xf numFmtId="0" fontId="5" fillId="14" borderId="0" xfId="0" applyFont="1" applyFill="1" applyAlignment="1">
      <alignment wrapText="1"/>
    </xf>
    <xf numFmtId="0" fontId="6" fillId="14" borderId="0" xfId="0" applyFont="1" applyFill="1" applyAlignment="1">
      <alignment vertical="top" wrapText="1"/>
    </xf>
    <xf numFmtId="0" fontId="20" fillId="0" borderId="1" xfId="0" applyFont="1" applyBorder="1" applyAlignment="1">
      <alignment horizontal="center" vertical="center"/>
    </xf>
    <xf numFmtId="14" fontId="6" fillId="8" borderId="26" xfId="0" quotePrefix="1" applyNumberFormat="1" applyFont="1" applyFill="1" applyBorder="1" applyAlignment="1" applyProtection="1">
      <alignment horizontal="center" vertical="center"/>
      <protection hidden="1"/>
    </xf>
    <xf numFmtId="0" fontId="6" fillId="8" borderId="23" xfId="0" applyFont="1" applyFill="1" applyBorder="1" applyAlignment="1" applyProtection="1">
      <alignment horizontal="center" wrapText="1"/>
      <protection hidden="1"/>
    </xf>
    <xf numFmtId="176" fontId="6" fillId="8" borderId="26" xfId="0" applyNumberFormat="1" applyFont="1" applyFill="1" applyBorder="1" applyAlignment="1" applyProtection="1">
      <alignment horizontal="center" vertical="center" wrapText="1"/>
      <protection hidden="1"/>
    </xf>
    <xf numFmtId="0" fontId="6" fillId="8" borderId="18" xfId="0" applyFont="1" applyFill="1" applyBorder="1" applyAlignment="1" applyProtection="1">
      <alignment horizontal="center" vertical="center" wrapText="1"/>
      <protection hidden="1"/>
    </xf>
    <xf numFmtId="0" fontId="6" fillId="8" borderId="25" xfId="0" applyFont="1" applyFill="1" applyBorder="1" applyAlignment="1" applyProtection="1">
      <alignment horizontal="center" vertical="center" wrapText="1"/>
      <protection hidden="1"/>
    </xf>
    <xf numFmtId="0" fontId="6" fillId="8" borderId="21" xfId="0" applyFont="1" applyFill="1" applyBorder="1" applyAlignment="1" applyProtection="1">
      <alignment horizontal="right" vertical="center"/>
      <protection hidden="1"/>
    </xf>
    <xf numFmtId="0" fontId="6" fillId="8" borderId="20" xfId="0" applyFont="1" applyFill="1" applyBorder="1" applyAlignment="1" applyProtection="1">
      <alignment horizontal="center" wrapText="1"/>
      <protection hidden="1"/>
    </xf>
    <xf numFmtId="0" fontId="20" fillId="11" borderId="0" xfId="0" applyFont="1" applyFill="1"/>
    <xf numFmtId="0" fontId="157" fillId="21" borderId="0" xfId="6" applyFont="1" applyFill="1" applyAlignment="1">
      <alignment vertical="top" wrapText="1"/>
    </xf>
    <xf numFmtId="0" fontId="47" fillId="21" borderId="0" xfId="6" applyFont="1" applyFill="1" applyAlignment="1">
      <alignment vertical="top" wrapText="1"/>
    </xf>
    <xf numFmtId="0" fontId="10" fillId="0" borderId="0" xfId="1" applyNumberFormat="1" applyBorder="1" applyAlignment="1">
      <alignment vertical="top" wrapText="1"/>
    </xf>
    <xf numFmtId="0" fontId="157" fillId="21" borderId="70" xfId="6" applyFont="1" applyFill="1" applyBorder="1" applyAlignment="1">
      <alignment vertical="center" wrapText="1"/>
    </xf>
    <xf numFmtId="0" fontId="47" fillId="21" borderId="71" xfId="6" applyFont="1" applyFill="1" applyBorder="1" applyAlignment="1">
      <alignment vertical="center" wrapText="1"/>
    </xf>
    <xf numFmtId="0" fontId="47" fillId="0" borderId="71" xfId="6" applyFont="1" applyBorder="1" applyAlignment="1">
      <alignment vertical="center" wrapText="1"/>
    </xf>
    <xf numFmtId="0" fontId="6" fillId="0" borderId="71" xfId="0" applyFont="1" applyBorder="1" applyAlignment="1">
      <alignment vertical="center" wrapText="1"/>
    </xf>
    <xf numFmtId="0" fontId="10" fillId="0" borderId="71" xfId="1" applyBorder="1" applyAlignment="1">
      <alignment vertical="center" wrapText="1"/>
    </xf>
    <xf numFmtId="0" fontId="47" fillId="0" borderId="71" xfId="6" applyFont="1" applyBorder="1" applyAlignment="1">
      <alignment horizontal="center" vertical="center" wrapText="1"/>
    </xf>
    <xf numFmtId="0" fontId="132" fillId="0" borderId="71" xfId="1" applyFont="1" applyBorder="1" applyAlignment="1">
      <alignment vertical="center" wrapText="1"/>
    </xf>
    <xf numFmtId="14" fontId="47" fillId="0" borderId="71" xfId="6" applyNumberFormat="1" applyFont="1" applyBorder="1" applyAlignment="1">
      <alignment vertical="center" wrapText="1"/>
    </xf>
    <xf numFmtId="0" fontId="47" fillId="0" borderId="72" xfId="6" applyFont="1" applyBorder="1" applyAlignment="1">
      <alignment vertical="center" wrapText="1"/>
    </xf>
    <xf numFmtId="0" fontId="47" fillId="0" borderId="0" xfId="6" applyFont="1" applyAlignment="1">
      <alignment vertical="center"/>
    </xf>
    <xf numFmtId="10" fontId="6" fillId="0" borderId="0" xfId="0" applyNumberFormat="1" applyFont="1" applyAlignment="1">
      <alignment vertical="center" wrapText="1"/>
    </xf>
    <xf numFmtId="10" fontId="20" fillId="0" borderId="0" xfId="0" applyNumberFormat="1" applyFont="1" applyAlignment="1">
      <alignment vertical="center" wrapText="1"/>
    </xf>
    <xf numFmtId="0" fontId="164" fillId="0" borderId="0" xfId="0" applyFont="1" applyAlignment="1">
      <alignment vertical="center"/>
    </xf>
    <xf numFmtId="0" fontId="60" fillId="0" borderId="1" xfId="0" applyFont="1" applyBorder="1" applyAlignment="1">
      <alignment horizontal="left" vertical="center"/>
    </xf>
    <xf numFmtId="0" fontId="10" fillId="5" borderId="0" xfId="1" applyFill="1" applyAlignment="1" applyProtection="1">
      <alignment vertical="center" wrapText="1"/>
      <protection hidden="1"/>
    </xf>
    <xf numFmtId="0" fontId="162" fillId="5" borderId="0" xfId="1" applyFont="1" applyFill="1" applyProtection="1">
      <protection hidden="1"/>
    </xf>
    <xf numFmtId="0" fontId="162" fillId="5" borderId="0" xfId="1" applyFont="1" applyFill="1" applyAlignment="1" applyProtection="1">
      <alignment horizontal="left"/>
      <protection hidden="1"/>
    </xf>
    <xf numFmtId="0" fontId="162" fillId="5" borderId="0" xfId="1" applyFont="1" applyFill="1" applyAlignment="1" applyProtection="1">
      <alignment vertical="center" wrapText="1"/>
      <protection hidden="1"/>
    </xf>
    <xf numFmtId="0" fontId="5" fillId="0" borderId="0" xfId="0" applyFont="1" applyAlignment="1">
      <alignment horizontal="center"/>
    </xf>
    <xf numFmtId="0" fontId="5" fillId="0" borderId="0" xfId="0" applyFont="1" applyAlignment="1">
      <alignment horizontal="center" vertical="center"/>
    </xf>
    <xf numFmtId="0" fontId="52" fillId="0" borderId="21" xfId="0" applyFont="1" applyBorder="1" applyAlignment="1">
      <alignment vertical="center" wrapText="1"/>
    </xf>
    <xf numFmtId="0" fontId="52" fillId="0" borderId="19" xfId="0" applyFont="1" applyBorder="1" applyAlignment="1">
      <alignment vertical="center" wrapText="1"/>
    </xf>
    <xf numFmtId="0" fontId="52" fillId="0" borderId="18" xfId="0" applyFont="1" applyBorder="1" applyAlignment="1">
      <alignment vertical="center" wrapText="1"/>
    </xf>
    <xf numFmtId="0" fontId="52" fillId="0" borderId="0" xfId="0" applyFont="1" applyAlignment="1">
      <alignment vertical="center" wrapText="1"/>
    </xf>
    <xf numFmtId="0" fontId="52" fillId="0" borderId="22" xfId="0" applyFont="1" applyBorder="1" applyAlignment="1">
      <alignment vertical="center" wrapText="1"/>
    </xf>
    <xf numFmtId="0" fontId="52" fillId="0" borderId="16" xfId="0" applyFont="1" applyBorder="1" applyAlignment="1">
      <alignment vertical="center" wrapText="1"/>
    </xf>
    <xf numFmtId="0" fontId="96" fillId="25" borderId="0" xfId="0" applyFont="1" applyFill="1" applyAlignment="1">
      <alignment horizontal="left"/>
    </xf>
    <xf numFmtId="176" fontId="0" fillId="0" borderId="1" xfId="0" applyNumberFormat="1" applyBorder="1" applyAlignment="1" applyProtection="1">
      <alignment horizontal="center" vertical="center"/>
      <protection locked="0"/>
    </xf>
    <xf numFmtId="176" fontId="6" fillId="0" borderId="1" xfId="0" applyNumberFormat="1" applyFont="1" applyBorder="1" applyAlignment="1" applyProtection="1">
      <alignment horizontal="center" vertical="center"/>
      <protection locked="0"/>
    </xf>
    <xf numFmtId="0" fontId="0" fillId="8" borderId="1" xfId="0" applyFill="1" applyBorder="1" applyAlignment="1">
      <alignment horizontal="center"/>
    </xf>
    <xf numFmtId="0" fontId="6" fillId="14" borderId="0" xfId="0" applyFont="1" applyFill="1" applyAlignment="1">
      <alignment horizontal="left" vertical="top" wrapText="1"/>
    </xf>
    <xf numFmtId="0" fontId="5" fillId="14" borderId="0" xfId="0" applyFont="1" applyFill="1" applyAlignment="1">
      <alignment horizontal="center" wrapText="1"/>
    </xf>
    <xf numFmtId="0" fontId="20" fillId="25" borderId="1" xfId="0" applyFont="1" applyFill="1" applyBorder="1" applyAlignment="1">
      <alignment horizontal="center" vertical="center" wrapText="1"/>
    </xf>
    <xf numFmtId="0" fontId="10" fillId="26" borderId="26" xfId="1" applyFill="1" applyBorder="1" applyAlignment="1">
      <alignment horizontal="center" vertical="center" wrapText="1"/>
    </xf>
    <xf numFmtId="0" fontId="10" fillId="26" borderId="2" xfId="1" applyFill="1" applyBorder="1" applyAlignment="1">
      <alignment horizontal="center" vertical="center" wrapText="1"/>
    </xf>
    <xf numFmtId="0" fontId="52" fillId="25" borderId="0" xfId="0" applyFont="1" applyFill="1" applyAlignment="1">
      <alignment horizontal="center"/>
    </xf>
    <xf numFmtId="0" fontId="52" fillId="25" borderId="0" xfId="0" applyFont="1" applyFill="1" applyAlignment="1">
      <alignment horizontal="center" vertical="center"/>
    </xf>
    <xf numFmtId="0" fontId="10" fillId="26" borderId="51" xfId="1" applyFill="1" applyBorder="1" applyAlignment="1" applyProtection="1">
      <alignment horizontal="center" vertical="top" wrapText="1"/>
      <protection hidden="1"/>
    </xf>
    <xf numFmtId="0" fontId="10" fillId="26" borderId="52" xfId="1" applyFill="1" applyBorder="1" applyAlignment="1" applyProtection="1">
      <alignment horizontal="center" vertical="top" wrapText="1"/>
      <protection hidden="1"/>
    </xf>
    <xf numFmtId="0" fontId="10" fillId="26" borderId="53" xfId="1" applyFill="1" applyBorder="1" applyAlignment="1" applyProtection="1">
      <alignment horizontal="center" vertical="top" wrapText="1"/>
      <protection hidden="1"/>
    </xf>
    <xf numFmtId="0" fontId="129" fillId="25" borderId="0" xfId="0" applyFont="1" applyFill="1" applyAlignment="1">
      <alignment horizontal="center" vertical="center" wrapText="1"/>
    </xf>
    <xf numFmtId="0" fontId="129" fillId="25" borderId="0" xfId="0" applyFont="1" applyFill="1" applyAlignment="1">
      <alignment horizontal="center" vertical="center"/>
    </xf>
    <xf numFmtId="0" fontId="114" fillId="25" borderId="0" xfId="0" applyFont="1" applyFill="1" applyAlignment="1" applyProtection="1">
      <alignment horizontal="center" vertical="center" wrapText="1"/>
      <protection hidden="1"/>
    </xf>
    <xf numFmtId="0" fontId="52" fillId="26" borderId="0" xfId="0" applyFont="1" applyFill="1" applyAlignment="1" applyProtection="1">
      <alignment horizontal="left" vertical="top" wrapText="1"/>
      <protection hidden="1"/>
    </xf>
    <xf numFmtId="0" fontId="52" fillId="26" borderId="27" xfId="0" applyFont="1" applyFill="1" applyBorder="1" applyAlignment="1" applyProtection="1">
      <alignment horizontal="left" vertical="top" wrapText="1"/>
      <protection hidden="1"/>
    </xf>
    <xf numFmtId="0" fontId="6" fillId="0" borderId="0" xfId="0" applyFont="1" applyAlignment="1">
      <alignment horizontal="left" vertical="top" wrapText="1"/>
    </xf>
    <xf numFmtId="0" fontId="162" fillId="5" borderId="0" xfId="1" applyFont="1" applyFill="1" applyAlignment="1">
      <alignment horizontal="left" vertical="center" wrapText="1"/>
    </xf>
    <xf numFmtId="0" fontId="10" fillId="5" borderId="0" xfId="1" applyFill="1" applyAlignment="1">
      <alignment horizontal="center" vertical="center" wrapText="1"/>
    </xf>
    <xf numFmtId="0" fontId="0" fillId="0" borderId="1" xfId="0" applyBorder="1" applyAlignment="1">
      <alignment horizontal="center" vertical="center"/>
    </xf>
    <xf numFmtId="0" fontId="6" fillId="14" borderId="23" xfId="0" applyFont="1" applyFill="1" applyBorder="1" applyAlignment="1" applyProtection="1">
      <alignment horizontal="center" wrapText="1"/>
      <protection hidden="1"/>
    </xf>
    <xf numFmtId="0" fontId="6" fillId="14" borderId="2" xfId="0" applyFont="1" applyFill="1" applyBorder="1" applyAlignment="1" applyProtection="1">
      <alignment horizontal="center" wrapText="1"/>
      <protection hidden="1"/>
    </xf>
    <xf numFmtId="0" fontId="6" fillId="14" borderId="3" xfId="0" applyFont="1" applyFill="1" applyBorder="1" applyAlignment="1" applyProtection="1">
      <alignment horizontal="left" vertical="center"/>
      <protection hidden="1"/>
    </xf>
    <xf numFmtId="0" fontId="6" fillId="14" borderId="4" xfId="0" applyFont="1" applyFill="1" applyBorder="1" applyAlignment="1" applyProtection="1">
      <alignment horizontal="left" vertical="center"/>
      <protection hidden="1"/>
    </xf>
    <xf numFmtId="0" fontId="6" fillId="14" borderId="17" xfId="0" applyFont="1" applyFill="1" applyBorder="1" applyAlignment="1" applyProtection="1">
      <alignment horizontal="left" vertical="center"/>
      <protection hidden="1"/>
    </xf>
    <xf numFmtId="0" fontId="6" fillId="14" borderId="48" xfId="0" applyFont="1" applyFill="1" applyBorder="1" applyAlignment="1" applyProtection="1">
      <alignment horizontal="left" vertical="center" wrapText="1"/>
      <protection hidden="1"/>
    </xf>
    <xf numFmtId="0" fontId="6" fillId="14" borderId="50" xfId="0" applyFont="1" applyFill="1" applyBorder="1" applyAlignment="1" applyProtection="1">
      <alignment horizontal="left" vertical="center" wrapText="1"/>
      <protection hidden="1"/>
    </xf>
    <xf numFmtId="0" fontId="6" fillId="14" borderId="49" xfId="0" applyFont="1" applyFill="1" applyBorder="1" applyAlignment="1" applyProtection="1">
      <alignment horizontal="left" vertical="center" wrapText="1"/>
      <protection hidden="1"/>
    </xf>
    <xf numFmtId="0" fontId="20" fillId="14" borderId="0" xfId="0" applyFont="1" applyFill="1" applyAlignment="1" applyProtection="1">
      <alignment vertical="center"/>
      <protection hidden="1"/>
    </xf>
    <xf numFmtId="0" fontId="68" fillId="14" borderId="40" xfId="1" applyFont="1" applyFill="1" applyBorder="1" applyAlignment="1" applyProtection="1">
      <alignment horizontal="center" vertical="center" wrapText="1"/>
      <protection hidden="1"/>
    </xf>
    <xf numFmtId="0" fontId="68" fillId="14" borderId="50" xfId="1" applyFont="1" applyFill="1" applyBorder="1" applyAlignment="1" applyProtection="1">
      <alignment horizontal="center" vertical="center" wrapText="1"/>
      <protection hidden="1"/>
    </xf>
    <xf numFmtId="0" fontId="68" fillId="14" borderId="41" xfId="1" applyFont="1" applyFill="1" applyBorder="1" applyAlignment="1" applyProtection="1">
      <alignment horizontal="center" vertical="center" wrapText="1"/>
      <protection hidden="1"/>
    </xf>
    <xf numFmtId="0" fontId="6" fillId="14" borderId="47" xfId="0" applyFont="1" applyFill="1" applyBorder="1" applyAlignment="1" applyProtection="1">
      <alignment horizontal="left" vertical="center"/>
      <protection hidden="1"/>
    </xf>
    <xf numFmtId="0" fontId="70" fillId="5" borderId="13" xfId="0" applyFont="1" applyFill="1" applyBorder="1" applyAlignment="1" applyProtection="1">
      <alignment horizontal="center" vertical="center"/>
      <protection hidden="1"/>
    </xf>
    <xf numFmtId="0" fontId="70" fillId="5" borderId="54" xfId="0" applyFont="1" applyFill="1" applyBorder="1" applyAlignment="1" applyProtection="1">
      <alignment horizontal="center" vertical="center"/>
      <protection hidden="1"/>
    </xf>
    <xf numFmtId="0" fontId="96" fillId="14" borderId="3" xfId="0" applyFont="1" applyFill="1" applyBorder="1" applyAlignment="1" applyProtection="1">
      <alignment horizontal="center" vertical="center" wrapText="1"/>
      <protection hidden="1"/>
    </xf>
    <xf numFmtId="0" fontId="96" fillId="14" borderId="4" xfId="0" applyFont="1" applyFill="1" applyBorder="1" applyAlignment="1" applyProtection="1">
      <alignment horizontal="center" vertical="center" wrapText="1"/>
      <protection hidden="1"/>
    </xf>
    <xf numFmtId="0" fontId="96" fillId="14" borderId="39" xfId="0" applyFont="1" applyFill="1" applyBorder="1" applyAlignment="1" applyProtection="1">
      <alignment horizontal="center" vertical="center" wrapText="1"/>
      <protection hidden="1"/>
    </xf>
    <xf numFmtId="0" fontId="20" fillId="14" borderId="3" xfId="0" applyFont="1" applyFill="1" applyBorder="1" applyAlignment="1" applyProtection="1">
      <alignment horizontal="left" vertical="center" wrapText="1"/>
      <protection hidden="1"/>
    </xf>
    <xf numFmtId="0" fontId="20" fillId="14" borderId="4" xfId="0" applyFont="1" applyFill="1" applyBorder="1" applyAlignment="1" applyProtection="1">
      <alignment horizontal="left" vertical="center" wrapText="1"/>
      <protection hidden="1"/>
    </xf>
    <xf numFmtId="0" fontId="67" fillId="14" borderId="22" xfId="0" applyFont="1" applyFill="1" applyBorder="1" applyAlignment="1" applyProtection="1">
      <alignment horizontal="right" vertical="center"/>
      <protection hidden="1"/>
    </xf>
    <xf numFmtId="0" fontId="67" fillId="14" borderId="16" xfId="0" applyFont="1" applyFill="1" applyBorder="1" applyAlignment="1" applyProtection="1">
      <alignment horizontal="right" vertical="center"/>
      <protection hidden="1"/>
    </xf>
    <xf numFmtId="0" fontId="67" fillId="14" borderId="24" xfId="0" applyFont="1" applyFill="1" applyBorder="1" applyAlignment="1" applyProtection="1">
      <alignment horizontal="right" vertical="center"/>
      <protection hidden="1"/>
    </xf>
    <xf numFmtId="0" fontId="16" fillId="5" borderId="1" xfId="0" applyFont="1" applyFill="1" applyBorder="1" applyAlignment="1">
      <alignment horizontal="center" vertical="center"/>
    </xf>
    <xf numFmtId="0" fontId="6" fillId="14" borderId="26" xfId="0" applyFont="1" applyFill="1" applyBorder="1" applyAlignment="1" applyProtection="1">
      <alignment horizontal="left" vertical="top" wrapText="1"/>
      <protection hidden="1"/>
    </xf>
    <xf numFmtId="0" fontId="6" fillId="14" borderId="2" xfId="0" applyFont="1" applyFill="1" applyBorder="1" applyAlignment="1" applyProtection="1">
      <alignment horizontal="left" vertical="top" wrapText="1"/>
      <protection hidden="1"/>
    </xf>
    <xf numFmtId="0" fontId="6" fillId="0" borderId="1" xfId="0" applyFont="1" applyBorder="1" applyAlignment="1">
      <alignment horizontal="center" vertical="center" wrapText="1"/>
    </xf>
    <xf numFmtId="0" fontId="6" fillId="14" borderId="1" xfId="0" applyFont="1" applyFill="1" applyBorder="1" applyAlignment="1" applyProtection="1">
      <alignment horizontal="left" vertical="center"/>
      <protection hidden="1"/>
    </xf>
    <xf numFmtId="0" fontId="16" fillId="5" borderId="3" xfId="0" applyFont="1" applyFill="1" applyBorder="1" applyAlignment="1" applyProtection="1">
      <alignment horizontal="center" vertical="center"/>
      <protection hidden="1"/>
    </xf>
    <xf numFmtId="0" fontId="16" fillId="5" borderId="4" xfId="0" applyFont="1" applyFill="1" applyBorder="1" applyAlignment="1" applyProtection="1">
      <alignment horizontal="center" vertical="center"/>
      <protection hidden="1"/>
    </xf>
    <xf numFmtId="0" fontId="16" fillId="5" borderId="17" xfId="0" applyFont="1" applyFill="1" applyBorder="1" applyAlignment="1" applyProtection="1">
      <alignment horizontal="center" vertical="center"/>
      <protection hidden="1"/>
    </xf>
    <xf numFmtId="0" fontId="65" fillId="5" borderId="0" xfId="1" applyFont="1" applyFill="1" applyAlignment="1" applyProtection="1">
      <alignment horizontal="left" vertical="center" wrapText="1"/>
      <protection hidden="1"/>
    </xf>
    <xf numFmtId="0" fontId="103" fillId="5" borderId="0" xfId="0" applyFont="1" applyFill="1" applyAlignment="1" applyProtection="1">
      <alignment horizontal="center" vertical="center"/>
      <protection hidden="1"/>
    </xf>
    <xf numFmtId="0" fontId="6" fillId="14" borderId="1" xfId="0" applyFont="1" applyFill="1" applyBorder="1" applyAlignment="1" applyProtection="1">
      <alignment horizontal="center" vertical="center"/>
      <protection hidden="1"/>
    </xf>
    <xf numFmtId="0" fontId="49" fillId="5" borderId="0" xfId="0" applyFont="1" applyFill="1" applyAlignment="1" applyProtection="1">
      <alignment horizontal="center" vertical="top" wrapText="1"/>
      <protection hidden="1"/>
    </xf>
    <xf numFmtId="0" fontId="49" fillId="5" borderId="0" xfId="0" applyFont="1" applyFill="1" applyAlignment="1" applyProtection="1">
      <alignment horizontal="center" wrapText="1"/>
      <protection hidden="1"/>
    </xf>
    <xf numFmtId="0" fontId="16" fillId="5" borderId="0" xfId="0" applyFont="1" applyFill="1" applyAlignment="1" applyProtection="1">
      <alignment horizontal="right" vertical="center"/>
      <protection hidden="1"/>
    </xf>
    <xf numFmtId="0" fontId="65" fillId="5" borderId="0" xfId="1" applyFont="1" applyFill="1" applyAlignment="1" applyProtection="1">
      <alignment horizontal="right" vertical="center"/>
      <protection hidden="1"/>
    </xf>
    <xf numFmtId="0" fontId="65" fillId="5" borderId="0" xfId="1" applyFont="1" applyFill="1" applyAlignment="1" applyProtection="1">
      <alignment horizontal="left" vertical="center"/>
      <protection hidden="1"/>
    </xf>
    <xf numFmtId="0" fontId="56" fillId="5" borderId="0" xfId="0" applyFont="1" applyFill="1" applyAlignment="1" applyProtection="1">
      <alignment horizontal="center" wrapText="1"/>
      <protection hidden="1"/>
    </xf>
    <xf numFmtId="0" fontId="16" fillId="5" borderId="0" xfId="0" applyFont="1" applyFill="1" applyAlignment="1" applyProtection="1">
      <alignment horizontal="center" vertical="center"/>
      <protection hidden="1"/>
    </xf>
    <xf numFmtId="0" fontId="70" fillId="5" borderId="0" xfId="0" applyFont="1" applyFill="1" applyAlignment="1">
      <alignment horizontal="center" wrapText="1"/>
    </xf>
    <xf numFmtId="0" fontId="70" fillId="5" borderId="25" xfId="0" applyFont="1" applyFill="1" applyBorder="1" applyAlignment="1">
      <alignment horizontal="center" wrapText="1"/>
    </xf>
    <xf numFmtId="0" fontId="55" fillId="5" borderId="0" xfId="0" applyFont="1" applyFill="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03" fillId="5" borderId="0" xfId="0" applyFont="1" applyFill="1" applyAlignment="1" applyProtection="1">
      <alignment horizontal="right" vertical="center" indent="3"/>
      <protection hidden="1"/>
    </xf>
    <xf numFmtId="0" fontId="103" fillId="5" borderId="0" xfId="0" applyFont="1" applyFill="1" applyAlignment="1" applyProtection="1">
      <alignment horizontal="center" vertical="top"/>
      <protection hidden="1"/>
    </xf>
    <xf numFmtId="8" fontId="0" fillId="0" borderId="1" xfId="0" applyNumberFormat="1" applyBorder="1" applyAlignment="1">
      <alignment horizontal="center" vertical="center"/>
    </xf>
    <xf numFmtId="0" fontId="109" fillId="0" borderId="3" xfId="0" applyFont="1" applyBorder="1" applyAlignment="1">
      <alignment horizontal="left" vertical="center" wrapText="1"/>
    </xf>
    <xf numFmtId="0" fontId="109" fillId="0" borderId="4" xfId="0" applyFont="1" applyBorder="1" applyAlignment="1">
      <alignment horizontal="left" vertical="center" wrapText="1"/>
    </xf>
    <xf numFmtId="0" fontId="109" fillId="0" borderId="17" xfId="0" applyFont="1" applyBorder="1" applyAlignment="1">
      <alignment horizontal="left" vertical="center" wrapText="1"/>
    </xf>
    <xf numFmtId="0" fontId="0" fillId="0" borderId="1" xfId="0" applyBorder="1" applyAlignment="1">
      <alignment horizontal="center" wrapText="1"/>
    </xf>
    <xf numFmtId="0" fontId="0" fillId="5" borderId="0" xfId="0" applyFill="1" applyAlignment="1">
      <alignment horizontal="center"/>
    </xf>
    <xf numFmtId="0" fontId="0" fillId="14" borderId="0" xfId="0" applyFill="1" applyAlignment="1">
      <alignment horizontal="left" vertical="top" wrapText="1"/>
    </xf>
    <xf numFmtId="0" fontId="6" fillId="14" borderId="66" xfId="0" applyFont="1" applyFill="1" applyBorder="1" applyAlignment="1">
      <alignment horizontal="left" vertical="top" wrapText="1"/>
    </xf>
    <xf numFmtId="0" fontId="0" fillId="5" borderId="0" xfId="0" applyFill="1" applyAlignment="1">
      <alignment horizontal="center" vertical="top" wrapText="1"/>
    </xf>
    <xf numFmtId="0" fontId="16" fillId="5" borderId="0" xfId="0" applyFont="1" applyFill="1" applyAlignment="1">
      <alignment horizontal="center" vertical="center"/>
    </xf>
    <xf numFmtId="0" fontId="20" fillId="0" borderId="3" xfId="0" applyFont="1" applyBorder="1" applyAlignment="1">
      <alignment horizontal="left"/>
    </xf>
    <xf numFmtId="0" fontId="20" fillId="0" borderId="17" xfId="0" applyFont="1" applyBorder="1" applyAlignment="1">
      <alignment horizontal="left"/>
    </xf>
    <xf numFmtId="0" fontId="139" fillId="0" borderId="0" xfId="0" applyFont="1" applyAlignment="1">
      <alignment horizontal="center"/>
    </xf>
    <xf numFmtId="14" fontId="0" fillId="0" borderId="1" xfId="0" applyNumberFormat="1" applyBorder="1" applyAlignment="1">
      <alignment horizontal="center"/>
    </xf>
    <xf numFmtId="0" fontId="0" fillId="0" borderId="1" xfId="0" applyBorder="1" applyAlignment="1">
      <alignment horizontal="center"/>
    </xf>
    <xf numFmtId="10" fontId="0" fillId="0" borderId="1" xfId="0" applyNumberFormat="1" applyBorder="1" applyAlignment="1">
      <alignment horizontal="center"/>
    </xf>
    <xf numFmtId="0" fontId="6" fillId="14" borderId="1" xfId="0" applyFont="1" applyFill="1" applyBorder="1" applyAlignment="1" applyProtection="1">
      <alignment horizontal="right" vertical="center"/>
      <protection hidden="1"/>
    </xf>
    <xf numFmtId="10" fontId="10" fillId="14" borderId="1" xfId="1" applyNumberFormat="1" applyFill="1" applyBorder="1" applyAlignment="1" applyProtection="1">
      <alignment horizontal="center" vertical="center"/>
      <protection hidden="1"/>
    </xf>
    <xf numFmtId="0" fontId="6" fillId="14" borderId="1" xfId="0" applyFont="1" applyFill="1" applyBorder="1" applyAlignment="1">
      <alignment horizontal="center" vertical="center" wrapText="1"/>
    </xf>
    <xf numFmtId="0" fontId="20" fillId="14" borderId="1" xfId="0" applyFont="1" applyFill="1" applyBorder="1" applyAlignment="1" applyProtection="1">
      <alignment horizontal="right" vertical="center"/>
      <protection hidden="1"/>
    </xf>
    <xf numFmtId="0" fontId="6" fillId="14" borderId="1" xfId="0" applyFont="1" applyFill="1" applyBorder="1" applyAlignment="1" applyProtection="1">
      <alignment horizontal="center" vertical="center" wrapText="1"/>
      <protection hidden="1"/>
    </xf>
    <xf numFmtId="8" fontId="52" fillId="14" borderId="1" xfId="0" applyNumberFormat="1" applyFont="1" applyFill="1" applyBorder="1" applyAlignment="1" applyProtection="1">
      <alignment horizontal="center" wrapText="1"/>
      <protection hidden="1"/>
    </xf>
    <xf numFmtId="0" fontId="6" fillId="14" borderId="3" xfId="0" quotePrefix="1" applyFont="1" applyFill="1" applyBorder="1" applyAlignment="1" applyProtection="1">
      <alignment horizontal="right" vertical="center"/>
      <protection hidden="1"/>
    </xf>
    <xf numFmtId="0" fontId="6" fillId="14" borderId="4" xfId="0" quotePrefix="1" applyFont="1" applyFill="1" applyBorder="1" applyAlignment="1" applyProtection="1">
      <alignment horizontal="right" vertical="center"/>
      <protection hidden="1"/>
    </xf>
    <xf numFmtId="0" fontId="6" fillId="14" borderId="17" xfId="0" quotePrefix="1" applyFont="1" applyFill="1" applyBorder="1" applyAlignment="1" applyProtection="1">
      <alignment horizontal="right" vertical="center"/>
      <protection hidden="1"/>
    </xf>
    <xf numFmtId="0" fontId="98" fillId="14" borderId="1" xfId="0" applyFont="1" applyFill="1" applyBorder="1" applyAlignment="1" applyProtection="1">
      <alignment horizontal="right" vertical="center"/>
      <protection hidden="1"/>
    </xf>
    <xf numFmtId="0" fontId="101" fillId="25" borderId="59" xfId="0" applyFont="1" applyFill="1" applyBorder="1" applyAlignment="1" applyProtection="1">
      <alignment horizontal="right" vertical="center"/>
      <protection hidden="1"/>
    </xf>
    <xf numFmtId="0" fontId="12" fillId="14" borderId="1" xfId="0" applyFont="1" applyFill="1" applyBorder="1" applyAlignment="1" applyProtection="1">
      <alignment horizontal="right" vertical="center"/>
      <protection hidden="1"/>
    </xf>
    <xf numFmtId="9" fontId="132" fillId="14" borderId="1" xfId="1" applyNumberFormat="1" applyFont="1" applyFill="1" applyBorder="1" applyAlignment="1" applyProtection="1">
      <alignment horizontal="center" vertical="center"/>
      <protection hidden="1"/>
    </xf>
    <xf numFmtId="0" fontId="95" fillId="14" borderId="1" xfId="0" applyFont="1" applyFill="1" applyBorder="1" applyAlignment="1" applyProtection="1">
      <alignment horizontal="center" vertical="center"/>
      <protection hidden="1"/>
    </xf>
    <xf numFmtId="0" fontId="0" fillId="14" borderId="1" xfId="0" applyFill="1" applyBorder="1" applyAlignment="1" applyProtection="1">
      <alignment horizontal="center" vertical="center"/>
      <protection hidden="1"/>
    </xf>
    <xf numFmtId="0" fontId="6" fillId="26" borderId="0" xfId="0" applyFont="1" applyFill="1" applyAlignment="1">
      <alignment horizontal="left" vertical="top" wrapText="1"/>
    </xf>
    <xf numFmtId="0" fontId="79" fillId="20" borderId="59" xfId="0" applyFont="1" applyFill="1" applyBorder="1" applyAlignment="1" applyProtection="1">
      <alignment horizontal="right"/>
      <protection hidden="1"/>
    </xf>
    <xf numFmtId="0" fontId="78" fillId="11" borderId="2" xfId="0" applyFont="1" applyFill="1" applyBorder="1" applyAlignment="1" applyProtection="1">
      <alignment horizontal="right" vertical="center"/>
      <protection hidden="1"/>
    </xf>
    <xf numFmtId="0" fontId="98" fillId="26" borderId="0" xfId="0" applyFont="1" applyFill="1" applyAlignment="1">
      <alignment horizontal="left"/>
    </xf>
    <xf numFmtId="0" fontId="52" fillId="21" borderId="59" xfId="0" applyFont="1" applyFill="1" applyBorder="1" applyAlignment="1" applyProtection="1">
      <alignment horizontal="left"/>
      <protection hidden="1"/>
    </xf>
    <xf numFmtId="0" fontId="79" fillId="25" borderId="0" xfId="0" applyFont="1" applyFill="1" applyAlignment="1" applyProtection="1">
      <alignment horizontal="center" vertical="center"/>
      <protection hidden="1"/>
    </xf>
    <xf numFmtId="0" fontId="79" fillId="21" borderId="63" xfId="0" applyFont="1" applyFill="1" applyBorder="1" applyAlignment="1" applyProtection="1">
      <alignment horizontal="right" vertical="center"/>
      <protection hidden="1"/>
    </xf>
    <xf numFmtId="0" fontId="79" fillId="21" borderId="64" xfId="0" applyFont="1" applyFill="1" applyBorder="1" applyAlignment="1" applyProtection="1">
      <alignment horizontal="right" vertical="center"/>
      <protection hidden="1"/>
    </xf>
    <xf numFmtId="0" fontId="79" fillId="21" borderId="65" xfId="0" applyFont="1" applyFill="1" applyBorder="1" applyAlignment="1" applyProtection="1">
      <alignment horizontal="right" vertical="center"/>
      <protection hidden="1"/>
    </xf>
    <xf numFmtId="0" fontId="0" fillId="25" borderId="0" xfId="0" applyFill="1" applyAlignment="1">
      <alignment horizontal="center"/>
    </xf>
    <xf numFmtId="0" fontId="148" fillId="25" borderId="0" xfId="0" quotePrefix="1" applyFont="1" applyFill="1" applyAlignment="1">
      <alignment horizontal="center" vertical="center"/>
    </xf>
    <xf numFmtId="0" fontId="148" fillId="25" borderId="0" xfId="0" applyFont="1" applyFill="1" applyAlignment="1">
      <alignment horizontal="center" vertical="center"/>
    </xf>
    <xf numFmtId="0" fontId="148" fillId="25" borderId="16" xfId="0" applyFont="1" applyFill="1" applyBorder="1" applyAlignment="1">
      <alignment horizontal="center" vertical="center"/>
    </xf>
    <xf numFmtId="0" fontId="6" fillId="0" borderId="1" xfId="0" applyFont="1" applyBorder="1" applyAlignment="1">
      <alignment horizontal="center"/>
    </xf>
    <xf numFmtId="0" fontId="98" fillId="25" borderId="28" xfId="0" applyFont="1" applyFill="1" applyBorder="1" applyAlignment="1" applyProtection="1">
      <alignment horizontal="center" vertical="center"/>
      <protection hidden="1"/>
    </xf>
    <xf numFmtId="0" fontId="98" fillId="25" borderId="29" xfId="0" applyFont="1" applyFill="1" applyBorder="1" applyAlignment="1" applyProtection="1">
      <alignment horizontal="center" vertical="center"/>
      <protection hidden="1"/>
    </xf>
    <xf numFmtId="0" fontId="98" fillId="25" borderId="30" xfId="0" applyFont="1" applyFill="1" applyBorder="1" applyAlignment="1" applyProtection="1">
      <alignment horizontal="center" vertical="center"/>
      <protection hidden="1"/>
    </xf>
    <xf numFmtId="14" fontId="0" fillId="0" borderId="3" xfId="0" applyNumberFormat="1" applyBorder="1" applyAlignment="1">
      <alignment horizontal="center"/>
    </xf>
    <xf numFmtId="14" fontId="0" fillId="0" borderId="17" xfId="0" applyNumberFormat="1" applyBorder="1" applyAlignment="1">
      <alignment horizontal="center"/>
    </xf>
    <xf numFmtId="0" fontId="0" fillId="25" borderId="0" xfId="0" applyFill="1" applyAlignment="1">
      <alignment horizontal="left"/>
    </xf>
    <xf numFmtId="0" fontId="67" fillId="8" borderId="1" xfId="0" applyFont="1" applyFill="1" applyBorder="1" applyAlignment="1" applyProtection="1">
      <alignment horizontal="right" vertical="center"/>
      <protection hidden="1"/>
    </xf>
    <xf numFmtId="0" fontId="20" fillId="8" borderId="60" xfId="0" applyFont="1" applyFill="1" applyBorder="1" applyAlignment="1" applyProtection="1">
      <alignment horizontal="left" vertical="center"/>
      <protection hidden="1"/>
    </xf>
    <xf numFmtId="0" fontId="20" fillId="8" borderId="61" xfId="0" applyFont="1" applyFill="1" applyBorder="1" applyAlignment="1" applyProtection="1">
      <alignment horizontal="left" vertical="center"/>
      <protection hidden="1"/>
    </xf>
    <xf numFmtId="0" fontId="6" fillId="8" borderId="1" xfId="0" applyFont="1" applyFill="1" applyBorder="1" applyAlignment="1" applyProtection="1">
      <alignment horizontal="center" wrapText="1"/>
      <protection hidden="1"/>
    </xf>
    <xf numFmtId="0" fontId="6" fillId="8" borderId="26" xfId="0" applyFont="1" applyFill="1" applyBorder="1" applyAlignment="1" applyProtection="1">
      <alignment horizontal="left" vertical="center"/>
      <protection hidden="1"/>
    </xf>
    <xf numFmtId="0" fontId="120" fillId="8" borderId="21" xfId="0" applyFont="1" applyFill="1" applyBorder="1" applyAlignment="1" applyProtection="1">
      <alignment horizontal="center" vertical="center" wrapText="1"/>
      <protection hidden="1"/>
    </xf>
    <xf numFmtId="0" fontId="120" fillId="8" borderId="20" xfId="0" applyFont="1" applyFill="1" applyBorder="1" applyAlignment="1" applyProtection="1">
      <alignment horizontal="center" vertical="center" wrapText="1"/>
      <protection hidden="1"/>
    </xf>
    <xf numFmtId="0" fontId="6" fillId="8" borderId="26" xfId="0" applyFont="1" applyFill="1" applyBorder="1" applyAlignment="1" applyProtection="1">
      <alignment horizontal="center" vertical="center"/>
      <protection hidden="1"/>
    </xf>
    <xf numFmtId="0" fontId="6" fillId="8" borderId="1" xfId="0" applyFont="1" applyFill="1" applyBorder="1" applyAlignment="1">
      <alignment horizontal="center" vertical="center" wrapText="1"/>
    </xf>
    <xf numFmtId="0" fontId="20" fillId="8" borderId="60" xfId="0" applyFont="1" applyFill="1" applyBorder="1" applyAlignment="1" applyProtection="1">
      <alignment horizontal="right" vertical="center"/>
      <protection hidden="1"/>
    </xf>
    <xf numFmtId="0" fontId="20" fillId="8" borderId="61" xfId="0" applyFont="1" applyFill="1" applyBorder="1" applyAlignment="1" applyProtection="1">
      <alignment horizontal="right" vertical="center"/>
      <protection hidden="1"/>
    </xf>
    <xf numFmtId="0" fontId="5" fillId="20" borderId="16" xfId="0" applyFont="1" applyFill="1" applyBorder="1" applyAlignment="1" applyProtection="1">
      <alignment horizontal="center" vertical="center"/>
      <protection hidden="1"/>
    </xf>
    <xf numFmtId="0" fontId="6" fillId="14" borderId="21" xfId="0" applyFont="1" applyFill="1" applyBorder="1" applyAlignment="1" applyProtection="1">
      <alignment horizontal="left" vertical="center"/>
      <protection hidden="1"/>
    </xf>
    <xf numFmtId="0" fontId="6" fillId="14" borderId="19" xfId="0" applyFont="1" applyFill="1" applyBorder="1" applyAlignment="1" applyProtection="1">
      <alignment horizontal="left" vertical="center"/>
      <protection hidden="1"/>
    </xf>
    <xf numFmtId="0" fontId="6" fillId="14" borderId="20" xfId="0" applyFont="1" applyFill="1" applyBorder="1" applyAlignment="1" applyProtection="1">
      <alignment horizontal="left" vertical="center"/>
      <protection hidden="1"/>
    </xf>
    <xf numFmtId="0" fontId="6" fillId="8" borderId="26" xfId="0" applyFont="1" applyFill="1" applyBorder="1" applyAlignment="1" applyProtection="1">
      <alignment horizontal="center" wrapText="1"/>
      <protection hidden="1"/>
    </xf>
    <xf numFmtId="0" fontId="6" fillId="8" borderId="2" xfId="0" applyFont="1" applyFill="1" applyBorder="1" applyAlignment="1" applyProtection="1">
      <alignment horizontal="center" wrapText="1"/>
      <protection hidden="1"/>
    </xf>
    <xf numFmtId="0" fontId="0" fillId="20" borderId="0" xfId="0" applyFill="1" applyAlignment="1">
      <alignment horizontal="center"/>
    </xf>
    <xf numFmtId="0" fontId="6" fillId="14" borderId="21" xfId="0" applyFont="1" applyFill="1" applyBorder="1" applyAlignment="1" applyProtection="1">
      <alignment horizontal="left" vertical="center" wrapText="1"/>
      <protection hidden="1"/>
    </xf>
    <xf numFmtId="0" fontId="6" fillId="14" borderId="19" xfId="0" applyFont="1" applyFill="1" applyBorder="1" applyAlignment="1" applyProtection="1">
      <alignment horizontal="left" vertical="center" wrapText="1"/>
      <protection hidden="1"/>
    </xf>
    <xf numFmtId="0" fontId="6" fillId="14" borderId="20" xfId="0" applyFont="1" applyFill="1" applyBorder="1" applyAlignment="1" applyProtection="1">
      <alignment horizontal="left" vertical="center" wrapText="1"/>
      <protection hidden="1"/>
    </xf>
    <xf numFmtId="0" fontId="6" fillId="14" borderId="22" xfId="0" applyFont="1" applyFill="1" applyBorder="1" applyAlignment="1" applyProtection="1">
      <alignment horizontal="left" vertical="center" wrapText="1"/>
      <protection hidden="1"/>
    </xf>
    <xf numFmtId="0" fontId="6" fillId="14" borderId="16" xfId="0" applyFont="1" applyFill="1" applyBorder="1" applyAlignment="1" applyProtection="1">
      <alignment horizontal="left" vertical="center" wrapText="1"/>
      <protection hidden="1"/>
    </xf>
    <xf numFmtId="0" fontId="6" fillId="14" borderId="24" xfId="0" applyFont="1" applyFill="1" applyBorder="1" applyAlignment="1" applyProtection="1">
      <alignment horizontal="left" vertical="center" wrapText="1"/>
      <protection hidden="1"/>
    </xf>
    <xf numFmtId="0" fontId="0" fillId="20" borderId="0" xfId="0" applyFill="1" applyAlignment="1">
      <alignment horizontal="left"/>
    </xf>
    <xf numFmtId="0" fontId="77" fillId="20" borderId="0" xfId="0" applyFont="1" applyFill="1" applyAlignment="1">
      <alignment horizontal="center" vertical="center"/>
    </xf>
    <xf numFmtId="0" fontId="95" fillId="8" borderId="1" xfId="0" applyFont="1" applyFill="1" applyBorder="1" applyAlignment="1" applyProtection="1">
      <alignment horizontal="left"/>
      <protection hidden="1"/>
    </xf>
    <xf numFmtId="0" fontId="148" fillId="20" borderId="0" xfId="0" applyFont="1" applyFill="1" applyAlignment="1">
      <alignment horizontal="center" vertical="center"/>
    </xf>
    <xf numFmtId="0" fontId="148" fillId="20" borderId="16" xfId="0" applyFont="1" applyFill="1" applyBorder="1" applyAlignment="1">
      <alignment horizontal="center" vertical="center"/>
    </xf>
    <xf numFmtId="0" fontId="100" fillId="20" borderId="0" xfId="0" applyFont="1" applyFill="1" applyAlignment="1">
      <alignment horizontal="center" vertical="center"/>
    </xf>
    <xf numFmtId="0" fontId="8" fillId="20" borderId="1" xfId="0" applyFont="1" applyFill="1" applyBorder="1" applyAlignment="1" applyProtection="1">
      <alignment horizontal="right" vertical="center"/>
      <protection hidden="1"/>
    </xf>
    <xf numFmtId="0" fontId="6" fillId="20" borderId="1" xfId="0" applyFont="1" applyFill="1" applyBorder="1" applyAlignment="1" applyProtection="1">
      <alignment horizontal="left" vertical="center"/>
      <protection hidden="1"/>
    </xf>
    <xf numFmtId="0" fontId="6" fillId="25" borderId="1" xfId="0" applyFont="1" applyFill="1" applyBorder="1" applyAlignment="1" applyProtection="1">
      <alignment horizontal="left" vertical="center"/>
      <protection hidden="1"/>
    </xf>
    <xf numFmtId="0" fontId="7" fillId="25" borderId="1" xfId="0" applyFont="1" applyFill="1" applyBorder="1" applyAlignment="1" applyProtection="1">
      <alignment horizontal="left" vertical="center"/>
      <protection hidden="1"/>
    </xf>
    <xf numFmtId="0" fontId="20" fillId="14" borderId="1" xfId="0" applyFont="1" applyFill="1" applyBorder="1" applyAlignment="1" applyProtection="1">
      <alignment horizontal="left" vertical="center"/>
      <protection hidden="1"/>
    </xf>
    <xf numFmtId="0" fontId="33" fillId="11" borderId="5" xfId="0" applyFont="1" applyFill="1" applyBorder="1" applyAlignment="1">
      <alignment horizontal="center"/>
    </xf>
    <xf numFmtId="0" fontId="33" fillId="11" borderId="8" xfId="0" applyFont="1" applyFill="1" applyBorder="1" applyAlignment="1">
      <alignment horizontal="center"/>
    </xf>
    <xf numFmtId="0" fontId="0" fillId="11" borderId="6" xfId="0" applyFill="1" applyBorder="1" applyAlignment="1">
      <alignment horizontal="center" vertical="center" wrapText="1"/>
    </xf>
    <xf numFmtId="0" fontId="0" fillId="11" borderId="7" xfId="0" applyFill="1" applyBorder="1" applyAlignment="1">
      <alignment horizontal="center" vertical="center" wrapText="1"/>
    </xf>
    <xf numFmtId="0" fontId="0" fillId="12" borderId="6" xfId="0" applyFill="1" applyBorder="1" applyAlignment="1">
      <alignment horizontal="center" vertical="center" wrapText="1"/>
    </xf>
    <xf numFmtId="0" fontId="0" fillId="12" borderId="7" xfId="0" applyFill="1" applyBorder="1" applyAlignment="1">
      <alignment horizontal="center" vertical="center" wrapText="1"/>
    </xf>
    <xf numFmtId="0" fontId="0" fillId="13" borderId="6" xfId="0" applyFill="1" applyBorder="1" applyAlignment="1">
      <alignment horizontal="center" vertical="center" wrapText="1"/>
    </xf>
    <xf numFmtId="0" fontId="0" fillId="13" borderId="7" xfId="0" applyFill="1" applyBorder="1" applyAlignment="1">
      <alignment horizontal="center" vertical="center" wrapText="1"/>
    </xf>
    <xf numFmtId="0" fontId="0" fillId="11" borderId="13" xfId="0" applyFill="1" applyBorder="1" applyAlignment="1">
      <alignment horizontal="center" vertical="center" wrapText="1"/>
    </xf>
    <xf numFmtId="0" fontId="0" fillId="11" borderId="14" xfId="0" applyFill="1" applyBorder="1" applyAlignment="1">
      <alignment horizontal="center" vertical="center" wrapText="1"/>
    </xf>
    <xf numFmtId="0" fontId="0" fillId="11" borderId="15" xfId="0" applyFill="1" applyBorder="1" applyAlignment="1">
      <alignment horizontal="center" vertical="center" wrapText="1"/>
    </xf>
    <xf numFmtId="0" fontId="0" fillId="12" borderId="13" xfId="0" applyFill="1" applyBorder="1" applyAlignment="1">
      <alignment horizontal="center" vertical="center" wrapText="1"/>
    </xf>
    <xf numFmtId="0" fontId="0" fillId="12" borderId="14" xfId="0" applyFill="1" applyBorder="1" applyAlignment="1">
      <alignment horizontal="center" vertical="center" wrapText="1"/>
    </xf>
    <xf numFmtId="0" fontId="0" fillId="12" borderId="1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14" xfId="0" applyFill="1" applyBorder="1" applyAlignment="1">
      <alignment horizontal="center" vertical="center" wrapText="1"/>
    </xf>
    <xf numFmtId="0" fontId="0" fillId="13" borderId="15" xfId="0" applyFill="1" applyBorder="1" applyAlignment="1">
      <alignment horizontal="center" vertical="center" wrapText="1"/>
    </xf>
    <xf numFmtId="0" fontId="0" fillId="11" borderId="0" xfId="0" applyFill="1" applyAlignment="1">
      <alignment horizontal="center"/>
    </xf>
    <xf numFmtId="0" fontId="0" fillId="12" borderId="0" xfId="0" applyFill="1" applyAlignment="1">
      <alignment horizontal="center"/>
    </xf>
    <xf numFmtId="0" fontId="0" fillId="13" borderId="0" xfId="0" applyFill="1" applyAlignment="1">
      <alignment horizontal="center"/>
    </xf>
    <xf numFmtId="0" fontId="33" fillId="11" borderId="0" xfId="0" applyFont="1" applyFill="1" applyAlignment="1">
      <alignment horizontal="center"/>
    </xf>
    <xf numFmtId="0" fontId="0" fillId="11" borderId="0" xfId="0" applyFill="1" applyAlignment="1">
      <alignment horizontal="center" vertical="center" wrapText="1"/>
    </xf>
    <xf numFmtId="0" fontId="0" fillId="12" borderId="0" xfId="0" applyFill="1" applyAlignment="1">
      <alignment horizontal="center" vertical="center" wrapText="1"/>
    </xf>
    <xf numFmtId="0" fontId="0" fillId="13" borderId="0" xfId="0" applyFill="1" applyAlignment="1">
      <alignment horizontal="center" vertical="center" wrapText="1"/>
    </xf>
    <xf numFmtId="0" fontId="98" fillId="28" borderId="3" xfId="0" applyFont="1" applyFill="1" applyBorder="1" applyAlignment="1" applyProtection="1">
      <alignment horizontal="left" vertical="center"/>
      <protection hidden="1"/>
    </xf>
    <xf numFmtId="0" fontId="98" fillId="28" borderId="4" xfId="0" applyFont="1" applyFill="1" applyBorder="1" applyAlignment="1" applyProtection="1">
      <alignment horizontal="left" vertical="center"/>
      <protection hidden="1"/>
    </xf>
    <xf numFmtId="0" fontId="98" fillId="28" borderId="17" xfId="0" applyFont="1" applyFill="1" applyBorder="1" applyAlignment="1" applyProtection="1">
      <alignment horizontal="left" vertical="center"/>
      <protection hidden="1"/>
    </xf>
    <xf numFmtId="0" fontId="59" fillId="27" borderId="3" xfId="0" applyFont="1" applyFill="1" applyBorder="1" applyAlignment="1" applyProtection="1">
      <alignment horizontal="left" vertical="center"/>
      <protection hidden="1"/>
    </xf>
    <xf numFmtId="0" fontId="59" fillId="27" borderId="4" xfId="0" applyFont="1" applyFill="1" applyBorder="1" applyAlignment="1" applyProtection="1">
      <alignment horizontal="left" vertical="center"/>
      <protection hidden="1"/>
    </xf>
    <xf numFmtId="0" fontId="59" fillId="27" borderId="17" xfId="0" applyFont="1" applyFill="1" applyBorder="1" applyAlignment="1" applyProtection="1">
      <alignment horizontal="left" vertical="center"/>
      <protection hidden="1"/>
    </xf>
    <xf numFmtId="0" fontId="106" fillId="20" borderId="3" xfId="0" applyFont="1" applyFill="1" applyBorder="1" applyAlignment="1" applyProtection="1">
      <alignment horizontal="left" vertical="center"/>
      <protection hidden="1"/>
    </xf>
    <xf numFmtId="0" fontId="106" fillId="20" borderId="4" xfId="0" applyFont="1" applyFill="1" applyBorder="1" applyAlignment="1" applyProtection="1">
      <alignment horizontal="left" vertical="center"/>
      <protection hidden="1"/>
    </xf>
    <xf numFmtId="0" fontId="106" fillId="20" borderId="17" xfId="0" applyFont="1" applyFill="1" applyBorder="1" applyAlignment="1" applyProtection="1">
      <alignment horizontal="left" vertical="center"/>
      <protection hidden="1"/>
    </xf>
    <xf numFmtId="0" fontId="6" fillId="14" borderId="3" xfId="0" applyFont="1" applyFill="1" applyBorder="1" applyAlignment="1">
      <alignment horizontal="left" vertical="center"/>
    </xf>
    <xf numFmtId="0" fontId="6" fillId="14" borderId="4" xfId="0" applyFont="1" applyFill="1" applyBorder="1" applyAlignment="1">
      <alignment horizontal="left" vertical="center"/>
    </xf>
    <xf numFmtId="0" fontId="6" fillId="14" borderId="17" xfId="0" applyFont="1" applyFill="1" applyBorder="1" applyAlignment="1">
      <alignment horizontal="left" vertical="center"/>
    </xf>
    <xf numFmtId="0" fontId="20" fillId="14" borderId="3" xfId="0" applyFont="1" applyFill="1" applyBorder="1" applyAlignment="1" applyProtection="1">
      <alignment horizontal="left" vertical="center"/>
      <protection hidden="1"/>
    </xf>
    <xf numFmtId="0" fontId="20" fillId="14" borderId="4" xfId="0" applyFont="1" applyFill="1" applyBorder="1" applyAlignment="1" applyProtection="1">
      <alignment horizontal="left" vertical="center"/>
      <protection hidden="1"/>
    </xf>
    <xf numFmtId="0" fontId="20" fillId="14" borderId="17" xfId="0" applyFont="1" applyFill="1" applyBorder="1" applyAlignment="1" applyProtection="1">
      <alignment horizontal="left" vertical="center"/>
      <protection hidden="1"/>
    </xf>
    <xf numFmtId="0" fontId="0" fillId="0" borderId="0" xfId="0" applyAlignment="1">
      <alignment horizontal="center" vertical="center"/>
    </xf>
    <xf numFmtId="0" fontId="5" fillId="28" borderId="16" xfId="0" applyFont="1" applyFill="1" applyBorder="1" applyAlignment="1">
      <alignment horizontal="center"/>
    </xf>
    <xf numFmtId="0" fontId="6" fillId="14" borderId="3" xfId="0" applyFont="1" applyFill="1" applyBorder="1" applyAlignment="1" applyProtection="1">
      <alignment horizontal="left"/>
      <protection hidden="1"/>
    </xf>
    <xf numFmtId="0" fontId="6" fillId="14" borderId="4" xfId="0" applyFont="1" applyFill="1" applyBorder="1" applyAlignment="1" applyProtection="1">
      <alignment horizontal="left"/>
      <protection hidden="1"/>
    </xf>
    <xf numFmtId="0" fontId="6" fillId="14" borderId="17" xfId="0" applyFont="1" applyFill="1" applyBorder="1" applyAlignment="1" applyProtection="1">
      <alignment horizontal="left"/>
      <protection hidden="1"/>
    </xf>
    <xf numFmtId="0" fontId="20" fillId="14" borderId="3" xfId="0" applyFont="1" applyFill="1" applyBorder="1" applyAlignment="1" applyProtection="1">
      <alignment horizontal="left"/>
      <protection hidden="1"/>
    </xf>
    <xf numFmtId="0" fontId="20" fillId="14" borderId="4" xfId="0" applyFont="1" applyFill="1" applyBorder="1" applyAlignment="1" applyProtection="1">
      <alignment horizontal="left"/>
      <protection hidden="1"/>
    </xf>
    <xf numFmtId="0" fontId="20" fillId="14" borderId="17" xfId="0" applyFont="1" applyFill="1" applyBorder="1" applyAlignment="1" applyProtection="1">
      <alignment horizontal="left"/>
      <protection hidden="1"/>
    </xf>
    <xf numFmtId="0" fontId="0" fillId="14" borderId="1" xfId="0" applyFill="1" applyBorder="1" applyProtection="1">
      <protection hidden="1"/>
    </xf>
    <xf numFmtId="0" fontId="20" fillId="14" borderId="3" xfId="0" applyFont="1" applyFill="1" applyBorder="1" applyAlignment="1" applyProtection="1">
      <alignment horizontal="right" vertical="center"/>
      <protection hidden="1"/>
    </xf>
    <xf numFmtId="0" fontId="20" fillId="14" borderId="4" xfId="0" applyFont="1" applyFill="1" applyBorder="1" applyAlignment="1" applyProtection="1">
      <alignment horizontal="right" vertical="center"/>
      <protection hidden="1"/>
    </xf>
    <xf numFmtId="0" fontId="20" fillId="14" borderId="17" xfId="0" applyFont="1" applyFill="1" applyBorder="1" applyAlignment="1" applyProtection="1">
      <alignment horizontal="right" vertical="center"/>
      <protection hidden="1"/>
    </xf>
    <xf numFmtId="0" fontId="0" fillId="28" borderId="0" xfId="0" applyFill="1" applyAlignment="1">
      <alignment horizontal="center"/>
    </xf>
    <xf numFmtId="0" fontId="0" fillId="28" borderId="0" xfId="0" applyFill="1" applyAlignment="1">
      <alignment horizontal="left"/>
    </xf>
    <xf numFmtId="0" fontId="6" fillId="14" borderId="3" xfId="0" applyFont="1" applyFill="1" applyBorder="1" applyAlignment="1" applyProtection="1">
      <alignment horizontal="right" vertical="center"/>
      <protection hidden="1"/>
    </xf>
    <xf numFmtId="0" fontId="6" fillId="14" borderId="4" xfId="0" applyFont="1" applyFill="1" applyBorder="1" applyAlignment="1" applyProtection="1">
      <alignment horizontal="right" vertical="center"/>
      <protection hidden="1"/>
    </xf>
    <xf numFmtId="0" fontId="6" fillId="14" borderId="17" xfId="0" applyFont="1" applyFill="1" applyBorder="1" applyAlignment="1" applyProtection="1">
      <alignment horizontal="right" vertical="center"/>
      <protection hidden="1"/>
    </xf>
    <xf numFmtId="0" fontId="6" fillId="14" borderId="4" xfId="0" applyFont="1" applyFill="1" applyBorder="1" applyAlignment="1">
      <alignment horizontal="right" vertical="center"/>
    </xf>
    <xf numFmtId="0" fontId="6" fillId="14" borderId="17" xfId="0" applyFont="1" applyFill="1" applyBorder="1" applyAlignment="1">
      <alignment horizontal="right" vertical="center"/>
    </xf>
    <xf numFmtId="0" fontId="148" fillId="28" borderId="0" xfId="0" applyFont="1" applyFill="1" applyAlignment="1">
      <alignment horizontal="center" vertical="center"/>
    </xf>
    <xf numFmtId="0" fontId="148" fillId="28" borderId="16" xfId="0" applyFont="1" applyFill="1" applyBorder="1" applyAlignment="1">
      <alignment horizontal="center" vertical="center"/>
    </xf>
    <xf numFmtId="0" fontId="70" fillId="5" borderId="3" xfId="0" applyFont="1" applyFill="1" applyBorder="1" applyAlignment="1">
      <alignment vertical="center" wrapText="1"/>
    </xf>
    <xf numFmtId="0" fontId="70" fillId="5" borderId="17" xfId="0" applyFont="1" applyFill="1" applyBorder="1" applyAlignment="1">
      <alignment vertical="center" wrapText="1"/>
    </xf>
    <xf numFmtId="0" fontId="70" fillId="5" borderId="1" xfId="0" applyFont="1" applyFill="1" applyBorder="1" applyAlignment="1">
      <alignment vertical="center" wrapText="1"/>
    </xf>
    <xf numFmtId="0" fontId="130" fillId="5" borderId="1" xfId="1" applyFont="1" applyFill="1" applyBorder="1" applyAlignment="1">
      <alignment horizontal="center" vertical="center" wrapText="1"/>
    </xf>
    <xf numFmtId="0" fontId="69" fillId="5" borderId="0" xfId="0" applyFont="1" applyFill="1" applyAlignment="1">
      <alignment horizontal="center" vertical="center"/>
    </xf>
    <xf numFmtId="0" fontId="7" fillId="20" borderId="1" xfId="1" applyFont="1" applyFill="1" applyBorder="1" applyAlignment="1">
      <alignment horizontal="center"/>
    </xf>
    <xf numFmtId="0" fontId="51" fillId="5" borderId="0" xfId="0" applyFont="1" applyFill="1" applyAlignment="1">
      <alignment horizontal="center" vertical="center" wrapText="1"/>
    </xf>
    <xf numFmtId="0" fontId="51" fillId="5" borderId="0" xfId="0" applyFont="1" applyFill="1" applyAlignment="1">
      <alignment horizontal="center" vertical="center"/>
    </xf>
    <xf numFmtId="0" fontId="136" fillId="0" borderId="19" xfId="1" applyFont="1" applyBorder="1" applyAlignment="1">
      <alignment horizontal="center" vertical="center" wrapText="1"/>
    </xf>
    <xf numFmtId="0" fontId="136" fillId="0" borderId="20" xfId="1" applyFont="1" applyBorder="1" applyAlignment="1">
      <alignment horizontal="center" vertical="center" wrapText="1"/>
    </xf>
    <xf numFmtId="0" fontId="136" fillId="0" borderId="0" xfId="1" applyFont="1" applyBorder="1" applyAlignment="1">
      <alignment horizontal="center" vertical="center" wrapText="1"/>
    </xf>
    <xf numFmtId="0" fontId="136" fillId="0" borderId="25" xfId="1" applyFont="1" applyBorder="1" applyAlignment="1">
      <alignment horizontal="center" vertical="center" wrapText="1"/>
    </xf>
    <xf numFmtId="0" fontId="136" fillId="0" borderId="16" xfId="1" applyFont="1" applyBorder="1" applyAlignment="1">
      <alignment horizontal="center" vertical="center" wrapText="1"/>
    </xf>
    <xf numFmtId="0" fontId="136" fillId="0" borderId="24" xfId="1" applyFont="1" applyBorder="1" applyAlignment="1">
      <alignment horizontal="center" vertical="center" wrapText="1"/>
    </xf>
    <xf numFmtId="0" fontId="12" fillId="0" borderId="0" xfId="0" applyFont="1" applyAlignment="1">
      <alignment horizontal="center" vertical="top" textRotation="90"/>
    </xf>
    <xf numFmtId="0" fontId="12" fillId="0" borderId="16" xfId="0" applyFont="1" applyBorder="1" applyAlignment="1">
      <alignment horizontal="center" vertical="top" textRotation="90"/>
    </xf>
    <xf numFmtId="0" fontId="12" fillId="0" borderId="0" xfId="0" applyFont="1" applyAlignment="1">
      <alignment horizontal="center" vertical="top" textRotation="90" wrapText="1"/>
    </xf>
    <xf numFmtId="0" fontId="12" fillId="0" borderId="16" xfId="0" applyFont="1" applyBorder="1" applyAlignment="1">
      <alignment horizontal="center" vertical="top" textRotation="90" wrapText="1"/>
    </xf>
    <xf numFmtId="0" fontId="49" fillId="16" borderId="0" xfId="0" applyFont="1" applyFill="1" applyAlignment="1">
      <alignment horizontal="center" wrapText="1"/>
    </xf>
    <xf numFmtId="0" fontId="50" fillId="0" borderId="0" xfId="0" applyFont="1" applyAlignment="1">
      <alignment horizontal="center"/>
    </xf>
    <xf numFmtId="0" fontId="6" fillId="0" borderId="0" xfId="0" applyFont="1" applyAlignment="1">
      <alignment horizontal="left"/>
    </xf>
    <xf numFmtId="0" fontId="12" fillId="11" borderId="1" xfId="0" applyFont="1" applyFill="1" applyBorder="1" applyAlignment="1">
      <alignment horizontal="center"/>
    </xf>
    <xf numFmtId="10" fontId="0" fillId="0" borderId="1" xfId="2" applyNumberFormat="1" applyFont="1" applyBorder="1" applyAlignment="1">
      <alignment horizontal="center" vertical="center"/>
    </xf>
    <xf numFmtId="0" fontId="10" fillId="0" borderId="0" xfId="1" applyAlignment="1">
      <alignment horizontal="left" wrapText="1"/>
    </xf>
    <xf numFmtId="0" fontId="139" fillId="0" borderId="16" xfId="0" applyFont="1" applyBorder="1" applyAlignment="1">
      <alignment horizontal="center" vertical="center"/>
    </xf>
    <xf numFmtId="0" fontId="10" fillId="0" borderId="1" xfId="1" applyBorder="1" applyAlignment="1">
      <alignment horizontal="left" vertical="center" wrapText="1"/>
    </xf>
    <xf numFmtId="0" fontId="6" fillId="14" borderId="0" xfId="0" applyFont="1" applyFill="1" applyAlignment="1">
      <alignment horizontal="left" vertical="center" wrapText="1"/>
    </xf>
    <xf numFmtId="0" fontId="0" fillId="14" borderId="0" xfId="0" applyFill="1" applyAlignment="1">
      <alignment horizontal="left" vertical="center" wrapText="1"/>
    </xf>
    <xf numFmtId="0" fontId="51" fillId="18" borderId="3" xfId="0" applyFont="1" applyFill="1" applyBorder="1" applyAlignment="1">
      <alignment horizontal="center" vertical="center" wrapText="1"/>
    </xf>
    <xf numFmtId="0" fontId="51" fillId="18" borderId="4" xfId="0" applyFont="1" applyFill="1" applyBorder="1" applyAlignment="1">
      <alignment horizontal="center" vertical="center" wrapText="1"/>
    </xf>
    <xf numFmtId="0" fontId="51" fillId="18" borderId="17" xfId="0" applyFont="1" applyFill="1" applyBorder="1" applyAlignment="1">
      <alignment horizontal="center" vertical="center" wrapText="1"/>
    </xf>
    <xf numFmtId="0" fontId="116" fillId="5" borderId="16" xfId="0" applyFont="1" applyFill="1" applyBorder="1" applyAlignment="1">
      <alignment horizontal="center" wrapText="1"/>
    </xf>
    <xf numFmtId="0" fontId="112" fillId="5" borderId="1" xfId="0" applyFont="1" applyFill="1" applyBorder="1" applyAlignment="1">
      <alignment horizontal="left" vertical="center" wrapText="1"/>
    </xf>
    <xf numFmtId="0" fontId="73" fillId="0" borderId="5" xfId="0" applyFont="1" applyBorder="1" applyAlignment="1">
      <alignment horizontal="center"/>
    </xf>
    <xf numFmtId="0" fontId="73" fillId="0" borderId="6" xfId="0" applyFont="1" applyBorder="1" applyAlignment="1">
      <alignment horizontal="center"/>
    </xf>
    <xf numFmtId="0" fontId="73" fillId="0" borderId="7" xfId="0" applyFont="1" applyBorder="1" applyAlignment="1">
      <alignment horizontal="center"/>
    </xf>
    <xf numFmtId="0" fontId="0" fillId="0" borderId="55" xfId="0" applyBorder="1" applyAlignment="1">
      <alignment horizontal="center" wrapText="1"/>
    </xf>
    <xf numFmtId="0" fontId="0" fillId="0" borderId="19" xfId="0" applyBorder="1" applyAlignment="1">
      <alignment horizontal="center" wrapText="1"/>
    </xf>
    <xf numFmtId="0" fontId="0" fillId="0" borderId="56" xfId="0" applyBorder="1" applyAlignment="1">
      <alignment horizontal="center" wrapText="1"/>
    </xf>
    <xf numFmtId="0" fontId="0" fillId="0" borderId="31" xfId="0" applyBorder="1" applyAlignment="1">
      <alignment horizontal="center" wrapText="1"/>
    </xf>
    <xf numFmtId="0" fontId="0" fillId="0" borderId="0" xfId="0" applyAlignment="1">
      <alignment horizontal="center" wrapText="1"/>
    </xf>
    <xf numFmtId="0" fontId="0" fillId="0" borderId="32" xfId="0" applyBorder="1" applyAlignment="1">
      <alignment horizontal="center" wrapText="1"/>
    </xf>
    <xf numFmtId="0" fontId="0" fillId="0" borderId="57" xfId="0" applyBorder="1" applyAlignment="1">
      <alignment horizontal="center" wrapText="1"/>
    </xf>
    <xf numFmtId="0" fontId="0" fillId="0" borderId="16" xfId="0" applyBorder="1" applyAlignment="1">
      <alignment horizontal="center" wrapText="1"/>
    </xf>
    <xf numFmtId="0" fontId="0" fillId="0" borderId="58" xfId="0" applyBorder="1" applyAlignment="1">
      <alignment horizontal="center" wrapText="1"/>
    </xf>
    <xf numFmtId="0" fontId="10" fillId="0" borderId="8" xfId="1" applyBorder="1" applyAlignment="1">
      <alignment horizontal="left" wrapText="1"/>
    </xf>
    <xf numFmtId="0" fontId="10" fillId="0" borderId="1" xfId="1" applyBorder="1" applyAlignment="1">
      <alignment horizontal="left" wrapText="1"/>
    </xf>
    <xf numFmtId="0" fontId="10" fillId="0" borderId="9" xfId="1" applyBorder="1" applyAlignment="1">
      <alignment horizontal="left" wrapText="1"/>
    </xf>
    <xf numFmtId="0" fontId="72" fillId="0" borderId="8" xfId="0" applyFont="1" applyBorder="1" applyAlignment="1">
      <alignment horizontal="left" vertical="top" wrapText="1"/>
    </xf>
    <xf numFmtId="0" fontId="72" fillId="0" borderId="1" xfId="0" applyFont="1" applyBorder="1" applyAlignment="1">
      <alignment horizontal="left" vertical="top" wrapText="1"/>
    </xf>
    <xf numFmtId="0" fontId="72" fillId="0" borderId="9" xfId="0" applyFont="1" applyBorder="1" applyAlignment="1">
      <alignment horizontal="left" vertical="top" wrapText="1"/>
    </xf>
    <xf numFmtId="0" fontId="66" fillId="0" borderId="8" xfId="0" applyFont="1" applyBorder="1" applyAlignment="1">
      <alignment horizontal="left" wrapText="1"/>
    </xf>
    <xf numFmtId="0" fontId="66" fillId="0" borderId="1" xfId="0" applyFont="1" applyBorder="1" applyAlignment="1">
      <alignment horizontal="left" wrapText="1"/>
    </xf>
    <xf numFmtId="0" fontId="66" fillId="0" borderId="9" xfId="0" applyFont="1" applyBorder="1" applyAlignment="1">
      <alignment horizontal="left" wrapText="1"/>
    </xf>
    <xf numFmtId="0" fontId="66" fillId="0" borderId="10" xfId="0" applyFont="1" applyBorder="1" applyAlignment="1">
      <alignment horizontal="left" wrapText="1"/>
    </xf>
    <xf numFmtId="0" fontId="66" fillId="0" borderId="11" xfId="0" applyFont="1" applyBorder="1" applyAlignment="1">
      <alignment horizontal="left" wrapText="1"/>
    </xf>
    <xf numFmtId="0" fontId="66" fillId="0" borderId="12" xfId="0" applyFont="1" applyBorder="1" applyAlignment="1">
      <alignment horizontal="left" wrapText="1"/>
    </xf>
    <xf numFmtId="182" fontId="24" fillId="11" borderId="21" xfId="0" applyNumberFormat="1" applyFont="1" applyFill="1" applyBorder="1" applyAlignment="1">
      <alignment horizontal="center" vertical="center"/>
    </xf>
    <xf numFmtId="182" fontId="24" fillId="11" borderId="19" xfId="0" applyNumberFormat="1" applyFont="1" applyFill="1" applyBorder="1" applyAlignment="1">
      <alignment horizontal="center" vertical="center"/>
    </xf>
    <xf numFmtId="0" fontId="24" fillId="11" borderId="26" xfId="0" applyFont="1" applyFill="1" applyBorder="1" applyAlignment="1">
      <alignment horizontal="center" vertical="center"/>
    </xf>
    <xf numFmtId="0" fontId="24" fillId="11" borderId="23" xfId="0" applyFont="1" applyFill="1" applyBorder="1" applyAlignment="1">
      <alignment horizontal="center" vertical="center"/>
    </xf>
    <xf numFmtId="0" fontId="24" fillId="11" borderId="2" xfId="0" applyFont="1" applyFill="1" applyBorder="1" applyAlignment="1">
      <alignment horizontal="center" vertic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3" borderId="17" xfId="0" applyFont="1" applyFill="1" applyBorder="1" applyAlignment="1">
      <alignment horizontal="center"/>
    </xf>
    <xf numFmtId="0" fontId="24" fillId="11" borderId="1" xfId="0" applyFont="1" applyFill="1" applyBorder="1" applyAlignment="1">
      <alignment horizontal="center" vertical="center"/>
    </xf>
    <xf numFmtId="0" fontId="146" fillId="11" borderId="16" xfId="1" applyFont="1" applyFill="1" applyBorder="1" applyAlignment="1">
      <alignment horizontal="center" vertical="center"/>
    </xf>
    <xf numFmtId="0" fontId="28" fillId="11" borderId="16" xfId="0" applyFont="1" applyFill="1" applyBorder="1" applyAlignment="1">
      <alignment horizontal="center" vertical="center"/>
    </xf>
    <xf numFmtId="0" fontId="28" fillId="11" borderId="24" xfId="0" applyFont="1" applyFill="1" applyBorder="1" applyAlignment="1">
      <alignment horizontal="center" vertical="center"/>
    </xf>
    <xf numFmtId="0" fontId="0" fillId="8" borderId="0" xfId="0" applyFill="1" applyAlignment="1">
      <alignment horizontal="center"/>
    </xf>
    <xf numFmtId="0" fontId="6" fillId="6" borderId="28" xfId="0" applyFont="1" applyFill="1" applyBorder="1" applyAlignment="1">
      <alignment horizontal="left" wrapText="1"/>
    </xf>
    <xf numFmtId="0" fontId="6" fillId="6" borderId="29" xfId="0" applyFont="1" applyFill="1" applyBorder="1" applyAlignment="1">
      <alignment horizontal="left" wrapText="1"/>
    </xf>
    <xf numFmtId="0" fontId="6" fillId="6" borderId="30" xfId="0" applyFont="1" applyFill="1" applyBorder="1" applyAlignment="1">
      <alignment horizontal="left" wrapText="1"/>
    </xf>
    <xf numFmtId="0" fontId="6" fillId="6" borderId="31" xfId="0" applyFont="1" applyFill="1" applyBorder="1" applyAlignment="1">
      <alignment horizontal="left" wrapText="1"/>
    </xf>
    <xf numFmtId="0" fontId="6" fillId="6" borderId="0" xfId="0" applyFont="1" applyFill="1" applyAlignment="1">
      <alignment horizontal="left" wrapText="1"/>
    </xf>
    <xf numFmtId="0" fontId="6" fillId="6" borderId="32" xfId="0" applyFont="1" applyFill="1" applyBorder="1" applyAlignment="1">
      <alignment horizontal="left" wrapText="1"/>
    </xf>
    <xf numFmtId="0" fontId="6" fillId="6" borderId="33" xfId="0" applyFont="1" applyFill="1" applyBorder="1" applyAlignment="1">
      <alignment horizontal="left" wrapText="1"/>
    </xf>
    <xf numFmtId="0" fontId="6" fillId="6" borderId="27" xfId="0" applyFont="1" applyFill="1" applyBorder="1" applyAlignment="1">
      <alignment horizontal="left" wrapText="1"/>
    </xf>
    <xf numFmtId="0" fontId="6" fillId="6" borderId="45" xfId="0" applyFont="1" applyFill="1" applyBorder="1" applyAlignment="1">
      <alignment horizontal="left" wrapText="1"/>
    </xf>
    <xf numFmtId="0" fontId="56" fillId="5" borderId="0" xfId="0" applyFont="1" applyFill="1" applyAlignment="1">
      <alignment horizontal="center" wrapText="1"/>
    </xf>
    <xf numFmtId="0" fontId="158" fillId="36" borderId="0" xfId="6" applyFont="1" applyFill="1" applyAlignment="1">
      <alignment horizontal="center" vertical="center"/>
    </xf>
    <xf numFmtId="0" fontId="155" fillId="37" borderId="0" xfId="6" applyFont="1" applyFill="1" applyAlignment="1">
      <alignment horizontal="left" vertical="center" wrapText="1"/>
    </xf>
    <xf numFmtId="0" fontId="47" fillId="0" borderId="0" xfId="6" applyFont="1" applyAlignment="1">
      <alignment horizontal="center" vertical="center" wrapText="1"/>
    </xf>
    <xf numFmtId="0" fontId="47" fillId="0" borderId="0" xfId="6" applyFont="1" applyAlignment="1">
      <alignment horizontal="left" vertical="center" wrapText="1"/>
    </xf>
    <xf numFmtId="0" fontId="163" fillId="0" borderId="0" xfId="6" applyFont="1" applyAlignment="1">
      <alignment horizontal="center" vertical="center"/>
    </xf>
    <xf numFmtId="171" fontId="72" fillId="0" borderId="5" xfId="0" applyNumberFormat="1" applyFont="1" applyBorder="1" applyAlignment="1">
      <alignment horizontal="center" vertical="center" wrapText="1"/>
    </xf>
    <xf numFmtId="171" fontId="72" fillId="0" borderId="7" xfId="0" applyNumberFormat="1" applyFont="1" applyBorder="1" applyAlignment="1">
      <alignment horizontal="center" vertical="center" wrapText="1"/>
    </xf>
    <xf numFmtId="0" fontId="0" fillId="0" borderId="3" xfId="0" applyBorder="1" applyAlignment="1">
      <alignment horizontal="center"/>
    </xf>
    <xf numFmtId="0" fontId="0" fillId="0" borderId="17" xfId="0" applyBorder="1" applyAlignment="1">
      <alignment horizontal="center"/>
    </xf>
    <xf numFmtId="170" fontId="4" fillId="0" borderId="0" xfId="0" applyNumberFormat="1" applyFont="1" applyAlignment="1">
      <alignment horizontal="center"/>
    </xf>
    <xf numFmtId="0" fontId="73" fillId="0" borderId="27" xfId="0" applyFont="1" applyBorder="1" applyAlignment="1">
      <alignment horizontal="center" vertical="center"/>
    </xf>
    <xf numFmtId="0" fontId="72" fillId="0" borderId="28" xfId="0" applyFont="1" applyBorder="1" applyAlignment="1">
      <alignment horizontal="center" wrapText="1"/>
    </xf>
    <xf numFmtId="0" fontId="72" fillId="0" borderId="29" xfId="0" applyFont="1" applyBorder="1" applyAlignment="1">
      <alignment horizontal="center" wrapText="1"/>
    </xf>
    <xf numFmtId="0" fontId="72" fillId="0" borderId="30" xfId="0" applyFont="1" applyBorder="1" applyAlignment="1">
      <alignment horizontal="center" wrapText="1"/>
    </xf>
    <xf numFmtId="0" fontId="72" fillId="0" borderId="28" xfId="0" applyFont="1" applyBorder="1" applyAlignment="1">
      <alignment horizontal="center" vertical="center"/>
    </xf>
    <xf numFmtId="0" fontId="72" fillId="0" borderId="29" xfId="0" applyFont="1" applyBorder="1" applyAlignment="1">
      <alignment horizontal="center" vertical="center"/>
    </xf>
    <xf numFmtId="0" fontId="10" fillId="0" borderId="0" xfId="1" applyNumberFormat="1" applyFill="1" applyAlignment="1" applyProtection="1">
      <alignment horizontal="center" wrapText="1"/>
    </xf>
    <xf numFmtId="0" fontId="10" fillId="0" borderId="29" xfId="1" applyNumberFormat="1" applyBorder="1" applyAlignment="1" applyProtection="1">
      <alignment horizontal="center" vertical="center" wrapText="1"/>
    </xf>
    <xf numFmtId="0" fontId="72" fillId="0" borderId="5" xfId="0" applyFont="1" applyBorder="1" applyAlignment="1">
      <alignment horizontal="center" wrapText="1"/>
    </xf>
    <xf numFmtId="0" fontId="72" fillId="0" borderId="6" xfId="0" applyFont="1" applyBorder="1" applyAlignment="1">
      <alignment horizontal="center" wrapText="1"/>
    </xf>
    <xf numFmtId="171" fontId="72" fillId="0" borderId="6" xfId="0" applyNumberFormat="1" applyFont="1" applyBorder="1" applyAlignment="1">
      <alignment horizontal="center" vertical="center" wrapText="1"/>
    </xf>
    <xf numFmtId="0" fontId="4" fillId="0" borderId="0" xfId="0" applyFont="1" applyAlignment="1">
      <alignment horizontal="center"/>
    </xf>
    <xf numFmtId="0" fontId="20" fillId="0" borderId="1" xfId="0" applyFont="1" applyBorder="1" applyAlignment="1">
      <alignment horizontal="center" vertical="top"/>
    </xf>
    <xf numFmtId="0" fontId="6" fillId="0" borderId="1" xfId="0" applyFont="1" applyBorder="1" applyAlignment="1">
      <alignment horizontal="left" wrapText="1"/>
    </xf>
    <xf numFmtId="0" fontId="0" fillId="0" borderId="1" xfId="0" applyBorder="1" applyAlignment="1">
      <alignment horizontal="left" wrapText="1"/>
    </xf>
    <xf numFmtId="0" fontId="20" fillId="0" borderId="1" xfId="0" applyFont="1" applyBorder="1" applyAlignment="1">
      <alignment horizontal="center" wrapText="1"/>
    </xf>
    <xf numFmtId="0" fontId="20" fillId="0" borderId="1" xfId="0" applyFont="1" applyBorder="1" applyAlignment="1">
      <alignment horizontal="center" vertical="center" wrapText="1"/>
    </xf>
    <xf numFmtId="0" fontId="6" fillId="0" borderId="1" xfId="0" applyFont="1" applyBorder="1" applyAlignment="1">
      <alignment horizontal="left" vertical="center"/>
    </xf>
    <xf numFmtId="0" fontId="0" fillId="0" borderId="1" xfId="0" applyBorder="1" applyAlignment="1">
      <alignment horizontal="left" vertical="center"/>
    </xf>
    <xf numFmtId="0" fontId="6" fillId="0" borderId="1" xfId="0" applyFont="1" applyBorder="1" applyAlignment="1">
      <alignment horizontal="center" vertical="top" wrapText="1"/>
    </xf>
    <xf numFmtId="0" fontId="115" fillId="0" borderId="0" xfId="0" applyFont="1" applyAlignment="1">
      <alignment horizontal="center"/>
    </xf>
    <xf numFmtId="0" fontId="6"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left" vertical="center"/>
    </xf>
    <xf numFmtId="0" fontId="6" fillId="0" borderId="1" xfId="0" applyFont="1" applyBorder="1" applyAlignment="1">
      <alignment horizontal="left" vertical="top" wrapText="1"/>
    </xf>
    <xf numFmtId="0" fontId="6" fillId="0" borderId="0" xfId="0" applyFont="1" applyAlignment="1">
      <alignment horizontal="left" vertical="center" wrapText="1"/>
    </xf>
    <xf numFmtId="164" fontId="24" fillId="0" borderId="3" xfId="0" applyNumberFormat="1" applyFont="1" applyBorder="1"/>
    <xf numFmtId="164" fontId="24" fillId="0" borderId="39" xfId="0" applyNumberFormat="1" applyFont="1" applyBorder="1"/>
    <xf numFmtId="164" fontId="81" fillId="0" borderId="5" xfId="0" applyNumberFormat="1" applyFont="1" applyBorder="1" applyAlignment="1">
      <alignment horizontal="center"/>
    </xf>
    <xf numFmtId="164" fontId="81" fillId="0" borderId="6" xfId="0" applyNumberFormat="1" applyFont="1" applyBorder="1" applyAlignment="1">
      <alignment horizontal="center"/>
    </xf>
    <xf numFmtId="164" fontId="81" fillId="0" borderId="7" xfId="0" applyNumberFormat="1" applyFont="1" applyBorder="1" applyAlignment="1">
      <alignment horizontal="center"/>
    </xf>
    <xf numFmtId="164" fontId="28" fillId="0" borderId="3" xfId="0" applyNumberFormat="1" applyFont="1" applyBorder="1" applyAlignment="1">
      <alignment vertical="center"/>
    </xf>
    <xf numFmtId="164" fontId="28" fillId="0" borderId="39" xfId="0" applyNumberFormat="1" applyFont="1" applyBorder="1" applyAlignment="1">
      <alignment vertical="center"/>
    </xf>
    <xf numFmtId="164" fontId="24" fillId="0" borderId="40" xfId="0" applyNumberFormat="1" applyFont="1" applyBorder="1"/>
    <xf numFmtId="164" fontId="24" fillId="0" borderId="41" xfId="0" applyNumberFormat="1" applyFont="1" applyBorder="1"/>
    <xf numFmtId="164" fontId="24" fillId="0" borderId="44" xfId="0" applyNumberFormat="1" applyFont="1" applyBorder="1"/>
    <xf numFmtId="164" fontId="24" fillId="0" borderId="45" xfId="0" applyNumberFormat="1" applyFont="1" applyBorder="1"/>
    <xf numFmtId="0" fontId="136" fillId="0" borderId="0" xfId="1" applyFont="1"/>
  </cellXfs>
  <cellStyles count="16">
    <cellStyle name="Link" xfId="1" builtinId="8"/>
    <cellStyle name="Normal" xfId="6" xr:uid="{832A8976-ED72-4CD8-9395-E9EE80FA76DA}"/>
    <cellStyle name="Prozent" xfId="2" builtinId="5"/>
    <cellStyle name="Standard" xfId="0" builtinId="0"/>
    <cellStyle name="Standard 13" xfId="8" xr:uid="{0C010A05-02B1-4C0D-B489-6EC43AAAA215}"/>
    <cellStyle name="Standard 14" xfId="9" xr:uid="{DDAF1DA9-67FF-40FC-B5DA-B37A93CC82CB}"/>
    <cellStyle name="Standard 15" xfId="12" xr:uid="{11AD507A-7F36-400F-8DD5-842ACC738EF3}"/>
    <cellStyle name="Standard 16" xfId="10" xr:uid="{B71FDD63-9315-456F-8CA0-5079CF05D9B0}"/>
    <cellStyle name="Standard 17" xfId="11" xr:uid="{A8AACC8B-6344-411F-8013-7BCA2E3D849D}"/>
    <cellStyle name="Standard 18" xfId="13" xr:uid="{DECDB6E3-0FFF-4F63-A4B8-48A6D5A1146D}"/>
    <cellStyle name="Standard 19" xfId="14" xr:uid="{C5E6FCA3-E0E6-41C7-A179-CACC2A769276}"/>
    <cellStyle name="Standard 2" xfId="7" xr:uid="{E6F282E1-B6BF-4408-8211-35F88F0EC343}"/>
    <cellStyle name="Standard 3" xfId="15" xr:uid="{AE9BA4EF-471F-4032-A003-DC2F7674F0D7}"/>
    <cellStyle name="Standard_G_Sterbetafel_FV2" xfId="5" xr:uid="{2FFD93BA-856B-4B15-A61A-493654008D48}"/>
    <cellStyle name="Standard_Sterbetafel_2009_11_D" xfId="4" xr:uid="{5B4C529F-5EB2-4B6A-B50F-A53D2CA4ACFF}"/>
    <cellStyle name="Standard_Tabelle3" xfId="3" xr:uid="{26D96B04-8A7D-45DB-B256-48B1126D06C5}"/>
  </cellStyles>
  <dxfs count="54">
    <dxf>
      <font>
        <b/>
        <color rgb="FF1F4E78"/>
      </font>
      <fill>
        <patternFill patternType="solid">
          <bgColor rgb="FFD9EAF7"/>
        </patternFill>
      </fill>
    </dxf>
    <dxf>
      <font>
        <b/>
        <color rgb="FF990000"/>
      </font>
      <fill>
        <patternFill patternType="solid">
          <bgColor rgb="FFF4CCCC"/>
        </patternFill>
      </fill>
    </dxf>
    <dxf>
      <font>
        <b/>
        <color rgb="FF7F6000"/>
      </font>
      <fill>
        <patternFill patternType="solid">
          <bgColor rgb="FFFFF2CC"/>
        </patternFill>
      </fill>
    </dxf>
    <dxf>
      <font>
        <b/>
        <color rgb="FF274E13"/>
      </font>
      <fill>
        <patternFill patternType="solid">
          <bgColor rgb="FFD9EAD3"/>
        </patternFill>
      </fill>
    </dxf>
    <dxf>
      <font>
        <b/>
        <color rgb="FF1F4E78"/>
      </font>
      <fill>
        <patternFill patternType="solid">
          <bgColor rgb="FFD9EAF7"/>
        </patternFill>
      </fill>
    </dxf>
    <dxf>
      <font>
        <b/>
        <color rgb="FF990000"/>
      </font>
      <fill>
        <patternFill patternType="solid">
          <bgColor rgb="FFF4CCCC"/>
        </patternFill>
      </fill>
    </dxf>
    <dxf>
      <font>
        <b/>
        <color rgb="FF7F6000"/>
      </font>
      <fill>
        <patternFill patternType="solid">
          <bgColor rgb="FFFFF2CC"/>
        </patternFill>
      </fill>
    </dxf>
    <dxf>
      <font>
        <b/>
        <color rgb="FF274E13"/>
      </font>
      <fill>
        <patternFill patternType="solid">
          <bgColor rgb="FFD9EAD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4.9989318521683403E-2"/>
      </font>
    </dxf>
    <dxf>
      <fill>
        <patternFill>
          <bgColor rgb="FFFFFF00"/>
        </patternFill>
      </fill>
    </dxf>
    <dxf>
      <font>
        <b/>
        <i val="0"/>
        <color theme="1"/>
      </font>
      <fill>
        <patternFill>
          <bgColor rgb="FF92D050"/>
        </patternFill>
      </fill>
    </dxf>
    <dxf>
      <font>
        <b/>
        <i val="0"/>
        <color theme="0"/>
      </font>
      <fill>
        <patternFill>
          <bgColor rgb="FFC00000"/>
        </patternFill>
      </fill>
    </dxf>
    <dxf>
      <font>
        <color theme="1"/>
      </font>
      <fill>
        <patternFill>
          <bgColor rgb="FFFFC000"/>
        </patternFill>
      </fill>
    </dxf>
    <dxf>
      <font>
        <color theme="1"/>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border outline="0">
        <top style="thin">
          <color indexed="64"/>
        </top>
      </border>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none"/>
      </font>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colors>
    <mruColors>
      <color rgb="FFC4D79B"/>
      <color rgb="FFD2DD43"/>
      <color rgb="FFD8E592"/>
      <color rgb="FF98D4BA"/>
      <color rgb="FFFF7C80"/>
      <color rgb="FFFF99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microsoft.com/office/2017/06/relationships/rdRichValueTypes" Target="richData/rdRichValueTyp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microsoft.com/office/2017/06/relationships/rdRichValue" Target="richData/rdrichvalue.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eetMetadata" Target="metadata.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81" Type="http://schemas.microsoft.com/office/2022/10/relationships/richValueRel" Target="richData/richValueRel.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Radio" firstButton="1" fmlaLink="Info_Thema"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firstButton="1" fmlaLink="InfoBereich" lockText="1" noThreeD="1"/>
</file>

<file path=xl/ctrlProps/ctrlProp2.xml><?xml version="1.0" encoding="utf-8"?>
<formControlPr xmlns="http://schemas.microsoft.com/office/spreadsheetml/2009/9/main" objectType="Drop" dropLines="16" dropStyle="combo" dx="31" fmlaLink="Ländernr" fmlaRange="Ländererfassung" noThreeD="1" sel="30" val="15"/>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Kurzinfo" lockText="1" noThreeD="1"/>
</file>

<file path=xl/ctrlProps/ctrlProp23.xml><?xml version="1.0" encoding="utf-8"?>
<formControlPr xmlns="http://schemas.microsoft.com/office/spreadsheetml/2009/9/main" objectType="CheckBox" checked="Checked" fmlaLink="info_IRZuschlag" lockText="1" noThreeD="1"/>
</file>

<file path=xl/ctrlProps/ctrlProp24.xml><?xml version="1.0" encoding="utf-8"?>
<formControlPr xmlns="http://schemas.microsoft.com/office/spreadsheetml/2009/9/main" objectType="CheckBox" fmlaLink="info_HRZuschlag" lockText="1" noThreeD="1"/>
</file>

<file path=xl/ctrlProps/ctrlProp25.xml><?xml version="1.0" encoding="utf-8"?>
<formControlPr xmlns="http://schemas.microsoft.com/office/spreadsheetml/2009/9/main" objectType="CheckBox" fmlaLink="info_SozAbgaben" lockText="1" noThreeD="1"/>
</file>

<file path=xl/ctrlProps/ctrlProp26.xml><?xml version="1.0" encoding="utf-8"?>
<formControlPr xmlns="http://schemas.microsoft.com/office/spreadsheetml/2009/9/main" objectType="CheckBox" fmlaLink="Info_Steuern" lockText="1" noThreeD="1"/>
</file>

<file path=xl/ctrlProps/ctrlProp27.xml><?xml version="1.0" encoding="utf-8"?>
<formControlPr xmlns="http://schemas.microsoft.com/office/spreadsheetml/2009/9/main" objectType="CheckBox" fmlaLink="SterbeAnomalie" lockText="1" noThreeD="1"/>
</file>

<file path=xl/ctrlProps/ctrlProp28.xml><?xml version="1.0" encoding="utf-8"?>
<formControlPr xmlns="http://schemas.microsoft.com/office/spreadsheetml/2009/9/main" objectType="CheckBox" checked="Checked" fmlaLink="info_IRZuschlag" lockText="1" noThreeD="1"/>
</file>

<file path=xl/ctrlProps/ctrlProp29.xml><?xml version="1.0" encoding="utf-8"?>
<formControlPr xmlns="http://schemas.microsoft.com/office/spreadsheetml/2009/9/main" objectType="CheckBox" fmlaLink="info_HRZuschlag" lockText="1" noThreeD="1"/>
</file>

<file path=xl/ctrlProps/ctrlProp3.xml><?xml version="1.0" encoding="utf-8"?>
<formControlPr xmlns="http://schemas.microsoft.com/office/spreadsheetml/2009/9/main" objectType="Drop" dropLines="3" dropStyle="combo" dx="31" fmlaLink="$AA$6" fmlaRange="$Y$4:$Y$6" noThreeD="1" sel="1" val="0"/>
</file>

<file path=xl/ctrlProps/ctrlProp30.xml><?xml version="1.0" encoding="utf-8"?>
<formControlPr xmlns="http://schemas.microsoft.com/office/spreadsheetml/2009/9/main" objectType="CheckBox" checked="Checked" fmlaLink="N26" lockText="1" noThreeD="1"/>
</file>

<file path=xl/ctrlProps/ctrlProp31.xml><?xml version="1.0" encoding="utf-8"?>
<formControlPr xmlns="http://schemas.microsoft.com/office/spreadsheetml/2009/9/main" objectType="CheckBox" checked="Checked" fmlaLink="N27" lockText="1" noThreeD="1"/>
</file>

<file path=xl/ctrlProps/ctrlProp32.xml><?xml version="1.0" encoding="utf-8"?>
<formControlPr xmlns="http://schemas.microsoft.com/office/spreadsheetml/2009/9/main" objectType="CheckBox" fmlaLink="info_SozAbgaben" lockText="1" noThreeD="1"/>
</file>

<file path=xl/ctrlProps/ctrlProp33.xml><?xml version="1.0" encoding="utf-8"?>
<formControlPr xmlns="http://schemas.microsoft.com/office/spreadsheetml/2009/9/main" objectType="CheckBox" fmlaLink="Info_Steuern" lockText="1" noThreeD="1"/>
</file>

<file path=xl/ctrlProps/ctrlProp34.xml><?xml version="1.0" encoding="utf-8"?>
<formControlPr xmlns="http://schemas.microsoft.com/office/spreadsheetml/2009/9/main" objectType="CheckBox" fmlaLink="SterbeAnomalie" lockText="1" noThreeD="1"/>
</file>

<file path=xl/ctrlProps/ctrlProp35.xml><?xml version="1.0" encoding="utf-8"?>
<formControlPr xmlns="http://schemas.microsoft.com/office/spreadsheetml/2009/9/main" objectType="CheckBox" fmlaLink="L27" lockText="1" noThreeD="1"/>
</file>

<file path=xl/ctrlProps/ctrlProp36.xml><?xml version="1.0" encoding="utf-8"?>
<formControlPr xmlns="http://schemas.microsoft.com/office/spreadsheetml/2009/9/main" objectType="CheckBox" fmlaLink="L28" lockText="1" noThreeD="1"/>
</file>

<file path=xl/ctrlProps/ctrlProp37.xml><?xml version="1.0" encoding="utf-8"?>
<formControlPr xmlns="http://schemas.microsoft.com/office/spreadsheetml/2009/9/main" objectType="CheckBox" checked="Checked" fmlaLink="info_IRZuschlag" lockText="1" noThreeD="1"/>
</file>

<file path=xl/ctrlProps/ctrlProp38.xml><?xml version="1.0" encoding="utf-8"?>
<formControlPr xmlns="http://schemas.microsoft.com/office/spreadsheetml/2009/9/main" objectType="CheckBox" fmlaLink="info_HRZuschlag" lockText="1" noThreeD="1"/>
</file>

<file path=xl/ctrlProps/ctrlProp39.xml><?xml version="1.0" encoding="utf-8"?>
<formControlPr xmlns="http://schemas.microsoft.com/office/spreadsheetml/2009/9/main" objectType="CheckBox" fmlaLink="SterbeAnomalie" lockText="1" noThreeD="1"/>
</file>

<file path=xl/ctrlProps/ctrlProp4.xml><?xml version="1.0" encoding="utf-8"?>
<formControlPr xmlns="http://schemas.microsoft.com/office/spreadsheetml/2009/9/main" objectType="Drop" dropLines="3" dropStyle="combo" dx="31" fmlaLink="$AA$7" fmlaRange="$Y$4:$Y$6" noThreeD="1" sel="2" val="0"/>
</file>

<file path=xl/ctrlProps/ctrlProp40.xml><?xml version="1.0" encoding="utf-8"?>
<formControlPr xmlns="http://schemas.microsoft.com/office/spreadsheetml/2009/9/main" objectType="Drop" dropLines="35" dropStyle="combo" dx="22" fmlaLink="$I$6" fmlaRange="Ländererfassung" noThreeD="1" sel="36" val="6"/>
</file>

<file path=xl/ctrlProps/ctrlProp5.xml><?xml version="1.0" encoding="utf-8"?>
<formControlPr xmlns="http://schemas.microsoft.com/office/spreadsheetml/2009/9/main" objectType="CheckBox" checked="Checked" fmlaLink="info_IRZuschlag" lockText="1" noThreeD="1"/>
</file>

<file path=xl/ctrlProps/ctrlProp6.xml><?xml version="1.0" encoding="utf-8"?>
<formControlPr xmlns="http://schemas.microsoft.com/office/spreadsheetml/2009/9/main" objectType="CheckBox" fmlaLink="info_HRZuschlag" lockText="1" noThreeD="1"/>
</file>

<file path=xl/ctrlProps/ctrlProp7.xml><?xml version="1.0" encoding="utf-8"?>
<formControlPr xmlns="http://schemas.microsoft.com/office/spreadsheetml/2009/9/main" objectType="Radio" checked="Checked" firstButton="1" fmlaLink="AK28"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2.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3.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4.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5.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6.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7.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9.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xml.rels><?xml version="1.0" encoding="UTF-8" standalone="yes"?>
<Relationships xmlns="http://schemas.openxmlformats.org/package/2006/relationships"><Relationship Id="rId3" Type="http://schemas.openxmlformats.org/officeDocument/2006/relationships/hyperlink" Target="#Start!M1"/><Relationship Id="rId2" Type="http://schemas.openxmlformats.org/officeDocument/2006/relationships/image" Target="../media/image42.png"/><Relationship Id="rId1" Type="http://schemas.openxmlformats.org/officeDocument/2006/relationships/image" Target="../media/image41.png"/><Relationship Id="rId4" Type="http://schemas.openxmlformats.org/officeDocument/2006/relationships/hyperlink" Target="#Start!B3"/></Relationships>
</file>

<file path=xl/drawings/_rels/drawing20.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2.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3.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4.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5.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6.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7.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9.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xml.rels><?xml version="1.0" encoding="UTF-8" standalone="yes"?>
<Relationships xmlns="http://schemas.openxmlformats.org/package/2006/relationships"><Relationship Id="rId3" Type="http://schemas.openxmlformats.org/officeDocument/2006/relationships/hyperlink" Target="#Links"/><Relationship Id="rId2" Type="http://schemas.openxmlformats.org/officeDocument/2006/relationships/hyperlink" Target="#Rechts"/><Relationship Id="rId1" Type="http://schemas.openxmlformats.org/officeDocument/2006/relationships/hyperlink" Target="#'Dynamik EU-Renten'!A1"/><Relationship Id="rId5" Type="http://schemas.openxmlformats.org/officeDocument/2006/relationships/image" Target="../media/image43.png"/><Relationship Id="rId4" Type="http://schemas.openxmlformats.org/officeDocument/2006/relationships/hyperlink" Target="#Start"/></Relationships>
</file>

<file path=xl/drawings/_rels/drawing30.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2.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3.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4.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5.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6.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7.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9.xml.rels><?xml version="1.0" encoding="UTF-8" standalone="yes"?>
<Relationships xmlns="http://schemas.openxmlformats.org/package/2006/relationships"><Relationship Id="rId8" Type="http://schemas.openxmlformats.org/officeDocument/2006/relationships/image" Target="../media/image300.png"/><Relationship Id="rId13" Type="http://schemas.openxmlformats.org/officeDocument/2006/relationships/customXml" Target="../ink/ink5.xml"/><Relationship Id="rId3" Type="http://schemas.openxmlformats.org/officeDocument/2006/relationships/image" Target="../media/image51.svg"/><Relationship Id="rId7" Type="http://schemas.openxmlformats.org/officeDocument/2006/relationships/customXml" Target="../ink/ink2.xml"/><Relationship Id="rId12" Type="http://schemas.openxmlformats.org/officeDocument/2006/relationships/image" Target="../media/image320.png"/><Relationship Id="rId2" Type="http://schemas.openxmlformats.org/officeDocument/2006/relationships/image" Target="../media/image50.png"/><Relationship Id="rId16" Type="http://schemas.openxmlformats.org/officeDocument/2006/relationships/image" Target="../media/image52.png"/><Relationship Id="rId1" Type="http://schemas.openxmlformats.org/officeDocument/2006/relationships/hyperlink" Target="#Info"/><Relationship Id="rId6" Type="http://schemas.openxmlformats.org/officeDocument/2006/relationships/image" Target="../media/image290.png"/><Relationship Id="rId11" Type="http://schemas.openxmlformats.org/officeDocument/2006/relationships/customXml" Target="../ink/ink4.xml"/><Relationship Id="rId15" Type="http://schemas.openxmlformats.org/officeDocument/2006/relationships/hyperlink" Target="#Start"/><Relationship Id="rId10" Type="http://schemas.openxmlformats.org/officeDocument/2006/relationships/image" Target="../media/image310.png"/><Relationship Id="rId4" Type="http://schemas.openxmlformats.org/officeDocument/2006/relationships/customXml" Target="../ink/ink1.xml"/><Relationship Id="rId9" Type="http://schemas.openxmlformats.org/officeDocument/2006/relationships/customXml" Target="../ink/ink3.xml"/><Relationship Id="rId14" Type="http://schemas.openxmlformats.org/officeDocument/2006/relationships/image" Target="../media/image330.png"/></Relationships>
</file>

<file path=xl/drawings/_rels/drawing4.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4.png"/><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53.png"/><Relationship Id="rId4" Type="http://schemas.openxmlformats.org/officeDocument/2006/relationships/hyperlink" Target="#Start"/></Relationships>
</file>

<file path=xl/drawings/_rels/drawing4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54.png"/><Relationship Id="rId4" Type="http://schemas.openxmlformats.org/officeDocument/2006/relationships/hyperlink" Target="#Start"/></Relationships>
</file>

<file path=xl/drawings/_rels/drawing42.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hyperlink" Target="#Start"/></Relationships>
</file>

<file path=xl/drawings/_rels/drawing43.xml.rels><?xml version="1.0" encoding="UTF-8" standalone="yes"?>
<Relationships xmlns="http://schemas.openxmlformats.org/package/2006/relationships"><Relationship Id="rId8" Type="http://schemas.openxmlformats.org/officeDocument/2006/relationships/image" Target="../media/image55.svg"/><Relationship Id="rId7" Type="http://schemas.openxmlformats.org/officeDocument/2006/relationships/image" Target="../media/image50.png"/><Relationship Id="rId1" Type="http://schemas.openxmlformats.org/officeDocument/2006/relationships/customXml" Target="../ink/ink6.xml"/><Relationship Id="rId6" Type="http://schemas.openxmlformats.org/officeDocument/2006/relationships/hyperlink" Target="#Info"/><Relationship Id="rId5" Type="http://schemas.openxmlformats.org/officeDocument/2006/relationships/image" Target="../media/image140.png"/><Relationship Id="rId10" Type="http://schemas.openxmlformats.org/officeDocument/2006/relationships/image" Target="../media/image56.png"/><Relationship Id="rId9" Type="http://schemas.openxmlformats.org/officeDocument/2006/relationships/hyperlink" Target="#Start"/></Relationships>
</file>

<file path=xl/drawings/_rels/drawing44.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45.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57.png"/><Relationship Id="rId4" Type="http://schemas.openxmlformats.org/officeDocument/2006/relationships/hyperlink" Target="#Start"/></Relationships>
</file>

<file path=xl/drawings/_rels/drawing46.xml.rels><?xml version="1.0" encoding="UTF-8" standalone="yes"?>
<Relationships xmlns="http://schemas.openxmlformats.org/package/2006/relationships"><Relationship Id="rId3" Type="http://schemas.openxmlformats.org/officeDocument/2006/relationships/image" Target="../media/image48.svg"/><Relationship Id="rId2" Type="http://schemas.openxmlformats.org/officeDocument/2006/relationships/image" Target="../media/image47.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47.xml.rels><?xml version="1.0" encoding="UTF-8" standalone="yes"?>
<Relationships xmlns="http://schemas.openxmlformats.org/package/2006/relationships"><Relationship Id="rId3" Type="http://schemas.openxmlformats.org/officeDocument/2006/relationships/image" Target="../media/image48.svg"/><Relationship Id="rId2" Type="http://schemas.openxmlformats.org/officeDocument/2006/relationships/image" Target="../media/image47.png"/><Relationship Id="rId1" Type="http://schemas.openxmlformats.org/officeDocument/2006/relationships/hyperlink" Target="#Info"/><Relationship Id="rId5" Type="http://schemas.openxmlformats.org/officeDocument/2006/relationships/image" Target="../media/image58.png"/><Relationship Id="rId4" Type="http://schemas.openxmlformats.org/officeDocument/2006/relationships/hyperlink" Target="#Start"/></Relationships>
</file>

<file path=xl/drawings/_rels/drawing4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49.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5.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hyperlink" Target="#Start!A1"/><Relationship Id="rId1" Type="http://schemas.openxmlformats.org/officeDocument/2006/relationships/hyperlink" Target="#Abfindungsberechnung!A1"/></Relationships>
</file>

<file path=xl/drawings/_rels/drawing50.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hyperlink" Target="#Start"/></Relationships>
</file>

<file path=xl/drawings/_rels/drawing5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2.png"/><Relationship Id="rId4" Type="http://schemas.openxmlformats.org/officeDocument/2006/relationships/hyperlink" Target="#Start!A1"/></Relationships>
</file>

<file path=xl/drawings/_rels/drawing52.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hyperlink" Target="#Start"/></Relationships>
</file>

<file path=xl/drawings/_rels/drawing53.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hyperlink" Target="#Start"/></Relationships>
</file>

<file path=xl/drawings/_rels/drawing6.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hyperlink" Target="#Start!A1"/><Relationship Id="rId1" Type="http://schemas.openxmlformats.org/officeDocument/2006/relationships/hyperlink" Target="#Abfindungsberechnung!A1"/></Relationships>
</file>

<file path=xl/drawings/_rels/drawing7.xml.rels><?xml version="1.0" encoding="UTF-8" standalone="yes"?>
<Relationships xmlns="http://schemas.openxmlformats.org/package/2006/relationships"><Relationship Id="rId3" Type="http://schemas.openxmlformats.org/officeDocument/2006/relationships/image" Target="../media/image48.svg"/><Relationship Id="rId2" Type="http://schemas.openxmlformats.org/officeDocument/2006/relationships/image" Target="../media/image47.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9.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0</xdr:row>
      <xdr:rowOff>158750</xdr:rowOff>
    </xdr:from>
    <xdr:to>
      <xdr:col>9</xdr:col>
      <xdr:colOff>704850</xdr:colOff>
      <xdr:row>7</xdr:row>
      <xdr:rowOff>73959</xdr:rowOff>
    </xdr:to>
    <xdr:pic>
      <xdr:nvPicPr>
        <xdr:cNvPr id="3" name="Grafik 2">
          <a:extLst>
            <a:ext uri="{FF2B5EF4-FFF2-40B4-BE49-F238E27FC236}">
              <a16:creationId xmlns:a16="http://schemas.microsoft.com/office/drawing/2014/main" id="{7C845C80-0AAF-86C0-6DBD-208E03E3C4D3}"/>
            </a:ext>
          </a:extLst>
        </xdr:cNvPr>
        <xdr:cNvPicPr>
          <a:picLocks noChangeAspect="1"/>
        </xdr:cNvPicPr>
      </xdr:nvPicPr>
      <xdr:blipFill>
        <a:blip xmlns:r="http://schemas.openxmlformats.org/officeDocument/2006/relationships" r:embed="rId1"/>
        <a:stretch>
          <a:fillRect/>
        </a:stretch>
      </xdr:blipFill>
      <xdr:spPr>
        <a:xfrm>
          <a:off x="4610100" y="158750"/>
          <a:ext cx="2952750" cy="1248709"/>
        </a:xfrm>
        <a:prstGeom prst="rect">
          <a:avLst/>
        </a:prstGeom>
      </xdr:spPr>
    </xdr:pic>
    <xdr:clientData/>
  </xdr:twoCellAnchor>
  <xdr:twoCellAnchor editAs="oneCell">
    <xdr:from>
      <xdr:col>0</xdr:col>
      <xdr:colOff>716238</xdr:colOff>
      <xdr:row>0</xdr:row>
      <xdr:rowOff>133350</xdr:rowOff>
    </xdr:from>
    <xdr:to>
      <xdr:col>2</xdr:col>
      <xdr:colOff>469478</xdr:colOff>
      <xdr:row>7</xdr:row>
      <xdr:rowOff>118918</xdr:rowOff>
    </xdr:to>
    <xdr:pic>
      <xdr:nvPicPr>
        <xdr:cNvPr id="4" name="Grafik 3">
          <a:extLst>
            <a:ext uri="{FF2B5EF4-FFF2-40B4-BE49-F238E27FC236}">
              <a16:creationId xmlns:a16="http://schemas.microsoft.com/office/drawing/2014/main" id="{5F27969E-7AF2-E798-0C0D-22660B0875C6}"/>
            </a:ext>
          </a:extLst>
        </xdr:cNvPr>
        <xdr:cNvPicPr>
          <a:picLocks noChangeAspect="1"/>
        </xdr:cNvPicPr>
      </xdr:nvPicPr>
      <xdr:blipFill>
        <a:blip xmlns:r="http://schemas.openxmlformats.org/officeDocument/2006/relationships" r:embed="rId2"/>
        <a:stretch>
          <a:fillRect/>
        </a:stretch>
      </xdr:blipFill>
      <xdr:spPr>
        <a:xfrm>
          <a:off x="716238" y="133350"/>
          <a:ext cx="1277240" cy="1319068"/>
        </a:xfrm>
        <a:prstGeom prst="rect">
          <a:avLst/>
        </a:prstGeom>
      </xdr:spPr>
    </xdr:pic>
    <xdr:clientData/>
  </xdr:twoCellAnchor>
  <xdr:twoCellAnchor editAs="oneCell">
    <xdr:from>
      <xdr:col>13</xdr:col>
      <xdr:colOff>194441</xdr:colOff>
      <xdr:row>0</xdr:row>
      <xdr:rowOff>127000</xdr:rowOff>
    </xdr:from>
    <xdr:to>
      <xdr:col>14</xdr:col>
      <xdr:colOff>709681</xdr:colOff>
      <xdr:row>7</xdr:row>
      <xdr:rowOff>112568</xdr:rowOff>
    </xdr:to>
    <xdr:pic>
      <xdr:nvPicPr>
        <xdr:cNvPr id="5" name="Grafik 4">
          <a:extLst>
            <a:ext uri="{FF2B5EF4-FFF2-40B4-BE49-F238E27FC236}">
              <a16:creationId xmlns:a16="http://schemas.microsoft.com/office/drawing/2014/main" id="{5F27969E-7AF2-E798-0C0D-22660B0875C6}"/>
            </a:ext>
          </a:extLst>
        </xdr:cNvPr>
        <xdr:cNvPicPr>
          <a:picLocks noChangeAspect="1"/>
        </xdr:cNvPicPr>
      </xdr:nvPicPr>
      <xdr:blipFill>
        <a:blip xmlns:r="http://schemas.openxmlformats.org/officeDocument/2006/relationships" r:embed="rId2"/>
        <a:stretch>
          <a:fillRect/>
        </a:stretch>
      </xdr:blipFill>
      <xdr:spPr>
        <a:xfrm>
          <a:off x="10100441" y="127000"/>
          <a:ext cx="1277240" cy="13190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396876</xdr:colOff>
      <xdr:row>1</xdr:row>
      <xdr:rowOff>177799</xdr:rowOff>
    </xdr:from>
    <xdr:to>
      <xdr:col>4</xdr:col>
      <xdr:colOff>936626</xdr:colOff>
      <xdr:row>70</xdr:row>
      <xdr:rowOff>66674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423DCEED-91C0-439A-9D9B-5EF7483B14E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27226" y="9969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9F18D767-8244-4694-8CF7-D2CD9B3F79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428626</xdr:colOff>
      <xdr:row>1</xdr:row>
      <xdr:rowOff>133349</xdr:rowOff>
    </xdr:from>
    <xdr:to>
      <xdr:col>4</xdr:col>
      <xdr:colOff>968376</xdr:colOff>
      <xdr:row>25</xdr:row>
      <xdr:rowOff>19050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ADD0B817-DAD5-40F1-9454-3C5DDA8E938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6" y="952499"/>
          <a:ext cx="539750" cy="387351"/>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7DF55F94-2252-4C39-8973-9B6A467B2B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371476</xdr:colOff>
      <xdr:row>1</xdr:row>
      <xdr:rowOff>152399</xdr:rowOff>
    </xdr:from>
    <xdr:to>
      <xdr:col>4</xdr:col>
      <xdr:colOff>911226</xdr:colOff>
      <xdr:row>2</xdr:row>
      <xdr:rowOff>38100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08F5D923-E087-4B88-AF55-E281E7D97C0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01826" y="971549"/>
          <a:ext cx="539750" cy="387351"/>
        </a:xfrm>
        <a:prstGeom prst="rect">
          <a:avLst/>
        </a:prstGeom>
      </xdr:spPr>
    </xdr:pic>
    <xdr:clientData/>
  </xdr:twoCellAnchor>
  <xdr:twoCellAnchor editAs="oneCell">
    <xdr:from>
      <xdr:col>5</xdr:col>
      <xdr:colOff>19050</xdr:colOff>
      <xdr:row>0</xdr:row>
      <xdr:rowOff>0</xdr:rowOff>
    </xdr:from>
    <xdr:to>
      <xdr:col>5</xdr:col>
      <xdr:colOff>1001283</xdr:colOff>
      <xdr:row>0</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CFEFDDF6-3F18-4821-AE14-C3D76515869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67025" y="0"/>
          <a:ext cx="982233" cy="47942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422276</xdr:colOff>
      <xdr:row>1</xdr:row>
      <xdr:rowOff>101599</xdr:rowOff>
    </xdr:from>
    <xdr:to>
      <xdr:col>4</xdr:col>
      <xdr:colOff>962026</xdr:colOff>
      <xdr:row>1</xdr:row>
      <xdr:rowOff>488950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3558E746-F87C-4A6C-8122-D7A49453A2E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2626" y="920749"/>
          <a:ext cx="539750" cy="387351"/>
        </a:xfrm>
        <a:prstGeom prst="rect">
          <a:avLst/>
        </a:prstGeom>
      </xdr:spPr>
    </xdr:pic>
    <xdr:clientData/>
  </xdr:twoCellAnchor>
  <xdr:twoCellAnchor editAs="oneCell">
    <xdr:from>
      <xdr:col>5</xdr:col>
      <xdr:colOff>0</xdr:colOff>
      <xdr:row>0</xdr:row>
      <xdr:rowOff>19050</xdr:rowOff>
    </xdr:from>
    <xdr:to>
      <xdr:col>5</xdr:col>
      <xdr:colOff>982233</xdr:colOff>
      <xdr:row>0</xdr:row>
      <xdr:rowOff>498474</xdr:rowOff>
    </xdr:to>
    <xdr:pic>
      <xdr:nvPicPr>
        <xdr:cNvPr id="2" name="Grafik 1">
          <a:hlinkClick xmlns:r="http://schemas.openxmlformats.org/officeDocument/2006/relationships" r:id="rId4"/>
          <a:extLst>
            <a:ext uri="{FF2B5EF4-FFF2-40B4-BE49-F238E27FC236}">
              <a16:creationId xmlns:a16="http://schemas.microsoft.com/office/drawing/2014/main" id="{AEBCAFBF-5EBB-4496-8833-E714E31183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19050"/>
          <a:ext cx="982233" cy="47942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428626</xdr:colOff>
      <xdr:row>1</xdr:row>
      <xdr:rowOff>133349</xdr:rowOff>
    </xdr:from>
    <xdr:to>
      <xdr:col>4</xdr:col>
      <xdr:colOff>968376</xdr:colOff>
      <xdr:row>34</xdr:row>
      <xdr:rowOff>22224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CE659719-B836-4D3B-AE3D-ADE2E2D1CCB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6" y="952499"/>
          <a:ext cx="539750" cy="390525"/>
        </a:xfrm>
        <a:prstGeom prst="rect">
          <a:avLst/>
        </a:prstGeom>
      </xdr:spPr>
    </xdr:pic>
    <xdr:clientData/>
  </xdr:twoCellAnchor>
  <xdr:twoCellAnchor editAs="oneCell">
    <xdr:from>
      <xdr:col>5</xdr:col>
      <xdr:colOff>0</xdr:colOff>
      <xdr:row>0</xdr:row>
      <xdr:rowOff>19050</xdr:rowOff>
    </xdr:from>
    <xdr:to>
      <xdr:col>5</xdr:col>
      <xdr:colOff>982233</xdr:colOff>
      <xdr:row>0</xdr:row>
      <xdr:rowOff>498474</xdr:rowOff>
    </xdr:to>
    <xdr:pic>
      <xdr:nvPicPr>
        <xdr:cNvPr id="2" name="Grafik 1">
          <a:hlinkClick xmlns:r="http://schemas.openxmlformats.org/officeDocument/2006/relationships" r:id="rId4"/>
          <a:extLst>
            <a:ext uri="{FF2B5EF4-FFF2-40B4-BE49-F238E27FC236}">
              <a16:creationId xmlns:a16="http://schemas.microsoft.com/office/drawing/2014/main" id="{7AE39693-93F4-44D4-9118-D2E5004E3E7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19050"/>
          <a:ext cx="982233" cy="47942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447676</xdr:colOff>
      <xdr:row>1</xdr:row>
      <xdr:rowOff>95249</xdr:rowOff>
    </xdr:from>
    <xdr:to>
      <xdr:col>4</xdr:col>
      <xdr:colOff>987426</xdr:colOff>
      <xdr:row>1</xdr:row>
      <xdr:rowOff>485774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0361D1A6-48B8-4FFC-963C-7549D5036BD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14399"/>
          <a:ext cx="539750" cy="390525"/>
        </a:xfrm>
        <a:prstGeom prst="rect">
          <a:avLst/>
        </a:prstGeom>
      </xdr:spPr>
    </xdr:pic>
    <xdr:clientData/>
  </xdr:twoCellAnchor>
  <xdr:twoCellAnchor editAs="oneCell">
    <xdr:from>
      <xdr:col>5</xdr:col>
      <xdr:colOff>19050</xdr:colOff>
      <xdr:row>0</xdr:row>
      <xdr:rowOff>19050</xdr:rowOff>
    </xdr:from>
    <xdr:to>
      <xdr:col>5</xdr:col>
      <xdr:colOff>1001283</xdr:colOff>
      <xdr:row>0</xdr:row>
      <xdr:rowOff>498474</xdr:rowOff>
    </xdr:to>
    <xdr:pic>
      <xdr:nvPicPr>
        <xdr:cNvPr id="2" name="Grafik 1">
          <a:hlinkClick xmlns:r="http://schemas.openxmlformats.org/officeDocument/2006/relationships" r:id="rId4"/>
          <a:extLst>
            <a:ext uri="{FF2B5EF4-FFF2-40B4-BE49-F238E27FC236}">
              <a16:creationId xmlns:a16="http://schemas.microsoft.com/office/drawing/2014/main" id="{8F5978A1-8327-481A-A3ED-483B18FC6EC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276600" y="19050"/>
          <a:ext cx="982233" cy="47942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428626</xdr:colOff>
      <xdr:row>1</xdr:row>
      <xdr:rowOff>114299</xdr:rowOff>
    </xdr:from>
    <xdr:to>
      <xdr:col>4</xdr:col>
      <xdr:colOff>968376</xdr:colOff>
      <xdr:row>2</xdr:row>
      <xdr:rowOff>3174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63264759-CD02-48A3-AA1E-80C3A792EE0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6" y="933449"/>
          <a:ext cx="539750" cy="390525"/>
        </a:xfrm>
        <a:prstGeom prst="rect">
          <a:avLst/>
        </a:prstGeom>
      </xdr:spPr>
    </xdr:pic>
    <xdr:clientData/>
  </xdr:twoCellAnchor>
  <xdr:twoCellAnchor editAs="oneCell">
    <xdr:from>
      <xdr:col>5</xdr:col>
      <xdr:colOff>0</xdr:colOff>
      <xdr:row>0</xdr:row>
      <xdr:rowOff>19050</xdr:rowOff>
    </xdr:from>
    <xdr:to>
      <xdr:col>5</xdr:col>
      <xdr:colOff>982233</xdr:colOff>
      <xdr:row>0</xdr:row>
      <xdr:rowOff>498474</xdr:rowOff>
    </xdr:to>
    <xdr:pic>
      <xdr:nvPicPr>
        <xdr:cNvPr id="2" name="Grafik 1">
          <a:hlinkClick xmlns:r="http://schemas.openxmlformats.org/officeDocument/2006/relationships" r:id="rId4"/>
          <a:extLst>
            <a:ext uri="{FF2B5EF4-FFF2-40B4-BE49-F238E27FC236}">
              <a16:creationId xmlns:a16="http://schemas.microsoft.com/office/drawing/2014/main" id="{E0FE2DA8-5290-4F22-8380-5A9778561F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19050"/>
          <a:ext cx="982233" cy="47942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422275</xdr:colOff>
      <xdr:row>1</xdr:row>
      <xdr:rowOff>111125</xdr:rowOff>
    </xdr:from>
    <xdr:to>
      <xdr:col>4</xdr:col>
      <xdr:colOff>962025</xdr:colOff>
      <xdr:row>1</xdr:row>
      <xdr:rowOff>488950</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AD0F2A2E-79BF-46C6-91D1-0909AFC7C0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70075" y="930275"/>
          <a:ext cx="539750" cy="377825"/>
        </a:xfrm>
        <a:prstGeom prst="rect">
          <a:avLst/>
        </a:prstGeom>
      </xdr:spPr>
    </xdr:pic>
    <xdr:clientData/>
  </xdr:twoCellAnchor>
  <xdr:twoCellAnchor editAs="oneCell">
    <xdr:from>
      <xdr:col>5</xdr:col>
      <xdr:colOff>9525</xdr:colOff>
      <xdr:row>0</xdr:row>
      <xdr:rowOff>0</xdr:rowOff>
    </xdr:from>
    <xdr:to>
      <xdr:col>5</xdr:col>
      <xdr:colOff>991758</xdr:colOff>
      <xdr:row>0</xdr:row>
      <xdr:rowOff>479424</xdr:rowOff>
    </xdr:to>
    <xdr:pic>
      <xdr:nvPicPr>
        <xdr:cNvPr id="3" name="Grafik 2">
          <a:hlinkClick xmlns:r="http://schemas.openxmlformats.org/officeDocument/2006/relationships" r:id="rId4"/>
          <a:extLst>
            <a:ext uri="{FF2B5EF4-FFF2-40B4-BE49-F238E27FC236}">
              <a16:creationId xmlns:a16="http://schemas.microsoft.com/office/drawing/2014/main" id="{49309A03-8A2D-49A2-9D2D-C3D8996C141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781300" y="0"/>
          <a:ext cx="982233" cy="47942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422276</xdr:colOff>
      <xdr:row>1</xdr:row>
      <xdr:rowOff>88899</xdr:rowOff>
    </xdr:from>
    <xdr:to>
      <xdr:col>4</xdr:col>
      <xdr:colOff>962026</xdr:colOff>
      <xdr:row>1</xdr:row>
      <xdr:rowOff>479424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A7936FDC-E764-4090-A937-0FEE7FA01B0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2626" y="9080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8D3D4834-3420-4B37-AB70-61D85EF1D91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454026</xdr:colOff>
      <xdr:row>1</xdr:row>
      <xdr:rowOff>120649</xdr:rowOff>
    </xdr:from>
    <xdr:to>
      <xdr:col>4</xdr:col>
      <xdr:colOff>993776</xdr:colOff>
      <xdr:row>2</xdr:row>
      <xdr:rowOff>9524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7E060DE5-B65A-4402-9831-7C3823029EB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39799"/>
          <a:ext cx="539750" cy="390525"/>
        </a:xfrm>
        <a:prstGeom prst="rect">
          <a:avLst/>
        </a:prstGeom>
      </xdr:spPr>
    </xdr:pic>
    <xdr:clientData/>
  </xdr:twoCellAnchor>
  <xdr:twoCellAnchor editAs="oneCell">
    <xdr:from>
      <xdr:col>5</xdr:col>
      <xdr:colOff>0</xdr:colOff>
      <xdr:row>0</xdr:row>
      <xdr:rowOff>28575</xdr:rowOff>
    </xdr:from>
    <xdr:to>
      <xdr:col>5</xdr:col>
      <xdr:colOff>982233</xdr:colOff>
      <xdr:row>0</xdr:row>
      <xdr:rowOff>507999</xdr:rowOff>
    </xdr:to>
    <xdr:pic>
      <xdr:nvPicPr>
        <xdr:cNvPr id="2" name="Grafik 1">
          <a:hlinkClick xmlns:r="http://schemas.openxmlformats.org/officeDocument/2006/relationships" r:id="rId4"/>
          <a:extLst>
            <a:ext uri="{FF2B5EF4-FFF2-40B4-BE49-F238E27FC236}">
              <a16:creationId xmlns:a16="http://schemas.microsoft.com/office/drawing/2014/main" id="{9638EA50-0513-480E-A2FF-B2A5F3D523B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28575"/>
          <a:ext cx="982233" cy="4794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123825</xdr:colOff>
      <xdr:row>13</xdr:row>
      <xdr:rowOff>3175</xdr:rowOff>
    </xdr:from>
    <xdr:to>
      <xdr:col>9</xdr:col>
      <xdr:colOff>314352</xdr:colOff>
      <xdr:row>13</xdr:row>
      <xdr:rowOff>187352</xdr:rowOff>
    </xdr:to>
    <xdr:pic>
      <xdr:nvPicPr>
        <xdr:cNvPr id="4" name="Grafik 3">
          <a:extLst>
            <a:ext uri="{FF2B5EF4-FFF2-40B4-BE49-F238E27FC236}">
              <a16:creationId xmlns:a16="http://schemas.microsoft.com/office/drawing/2014/main" id="{4EC1ADBB-CDD5-B62B-F14D-2A40A8055BE7}"/>
            </a:ext>
          </a:extLst>
        </xdr:cNvPr>
        <xdr:cNvPicPr>
          <a:picLocks noChangeAspect="1"/>
        </xdr:cNvPicPr>
      </xdr:nvPicPr>
      <xdr:blipFill>
        <a:blip xmlns:r="http://schemas.openxmlformats.org/officeDocument/2006/relationships" r:embed="rId1"/>
        <a:stretch>
          <a:fillRect/>
        </a:stretch>
      </xdr:blipFill>
      <xdr:spPr>
        <a:xfrm>
          <a:off x="10201275" y="3127375"/>
          <a:ext cx="190527" cy="18417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0</xdr:colOff>
          <xdr:row>16</xdr:row>
          <xdr:rowOff>114300</xdr:rowOff>
        </xdr:from>
        <xdr:to>
          <xdr:col>9</xdr:col>
          <xdr:colOff>390525</xdr:colOff>
          <xdr:row>17</xdr:row>
          <xdr:rowOff>95250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7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xdr:twoCellAnchor editAs="oneCell">
    <xdr:from>
      <xdr:col>1</xdr:col>
      <xdr:colOff>269345</xdr:colOff>
      <xdr:row>0</xdr:row>
      <xdr:rowOff>125223</xdr:rowOff>
    </xdr:from>
    <xdr:to>
      <xdr:col>2</xdr:col>
      <xdr:colOff>498420</xdr:colOff>
      <xdr:row>2</xdr:row>
      <xdr:rowOff>23462</xdr:rowOff>
    </xdr:to>
    <xdr:pic>
      <xdr:nvPicPr>
        <xdr:cNvPr id="17" name="Grafik 16">
          <a:extLst>
            <a:ext uri="{FF2B5EF4-FFF2-40B4-BE49-F238E27FC236}">
              <a16:creationId xmlns:a16="http://schemas.microsoft.com/office/drawing/2014/main" id="{0BBA36A4-28B6-99BA-8EA0-9131A05893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280" y="125223"/>
          <a:ext cx="1471466" cy="718217"/>
        </a:xfrm>
        <a:prstGeom prst="rect">
          <a:avLst/>
        </a:prstGeom>
      </xdr:spPr>
    </xdr:pic>
    <xdr:clientData/>
  </xdr:twoCellAnchor>
  <xdr:twoCellAnchor editAs="oneCell">
    <xdr:from>
      <xdr:col>7</xdr:col>
      <xdr:colOff>761110</xdr:colOff>
      <xdr:row>0</xdr:row>
      <xdr:rowOff>177458</xdr:rowOff>
    </xdr:from>
    <xdr:to>
      <xdr:col>8</xdr:col>
      <xdr:colOff>972102</xdr:colOff>
      <xdr:row>1</xdr:row>
      <xdr:rowOff>624853</xdr:rowOff>
    </xdr:to>
    <xdr:pic>
      <xdr:nvPicPr>
        <xdr:cNvPr id="35037" name="Grafik 17">
          <a:extLst>
            <a:ext uri="{FF2B5EF4-FFF2-40B4-BE49-F238E27FC236}">
              <a16:creationId xmlns:a16="http://schemas.microsoft.com/office/drawing/2014/main" id="{2B29E730-FBEE-4703-9C53-0448532BED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9393" y="177458"/>
          <a:ext cx="1453383" cy="637895"/>
        </a:xfrm>
        <a:prstGeom prst="rect">
          <a:avLst/>
        </a:prstGeom>
      </xdr:spPr>
    </xdr:pic>
    <xdr:clientData/>
  </xdr:twoCellAnchor>
  <xdr:twoCellAnchor>
    <xdr:from>
      <xdr:col>8</xdr:col>
      <xdr:colOff>1184413</xdr:colOff>
      <xdr:row>1</xdr:row>
      <xdr:rowOff>271949</xdr:rowOff>
    </xdr:from>
    <xdr:to>
      <xdr:col>10</xdr:col>
      <xdr:colOff>13252</xdr:colOff>
      <xdr:row>2</xdr:row>
      <xdr:rowOff>46954</xdr:rowOff>
    </xdr:to>
    <xdr:sp macro="" textlink="">
      <xdr:nvSpPr>
        <xdr:cNvPr id="35125" name="Pfeil: nach rechts 7">
          <a:hlinkClick xmlns:r="http://schemas.openxmlformats.org/officeDocument/2006/relationships" r:id="rId3"/>
          <a:extLst>
            <a:ext uri="{FF2B5EF4-FFF2-40B4-BE49-F238E27FC236}">
              <a16:creationId xmlns:a16="http://schemas.microsoft.com/office/drawing/2014/main" id="{C46E0BBC-E25C-4231-A29C-A976EDF928B9}"/>
            </a:ext>
          </a:extLst>
        </xdr:cNvPr>
        <xdr:cNvSpPr/>
      </xdr:nvSpPr>
      <xdr:spPr>
        <a:xfrm>
          <a:off x="10055087" y="462449"/>
          <a:ext cx="659295" cy="404483"/>
        </a:xfrm>
        <a:prstGeom prst="rightArrow">
          <a:avLst/>
        </a:prstGeom>
        <a:solidFill>
          <a:srgbClr val="FFFF00">
            <a:alpha val="50000"/>
          </a:srgbClr>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r"/>
          <a:r>
            <a:rPr lang="de-DE" sz="1100" u="sng">
              <a:solidFill>
                <a:sysClr val="windowText" lastClr="000000"/>
              </a:solidFill>
            </a:rPr>
            <a:t>rechts</a:t>
          </a:r>
        </a:p>
      </xdr:txBody>
    </xdr:sp>
    <xdr:clientData/>
  </xdr:twoCellAnchor>
  <xdr:twoCellAnchor>
    <xdr:from>
      <xdr:col>8</xdr:col>
      <xdr:colOff>1159566</xdr:colOff>
      <xdr:row>0</xdr:row>
      <xdr:rowOff>146051</xdr:rowOff>
    </xdr:from>
    <xdr:to>
      <xdr:col>9</xdr:col>
      <xdr:colOff>557421</xdr:colOff>
      <xdr:row>1</xdr:row>
      <xdr:rowOff>376377</xdr:rowOff>
    </xdr:to>
    <xdr:sp macro="" textlink="">
      <xdr:nvSpPr>
        <xdr:cNvPr id="35128" name="Pfeil: nach links 8">
          <a:hlinkClick xmlns:r="http://schemas.openxmlformats.org/officeDocument/2006/relationships" r:id="rId4"/>
          <a:extLst>
            <a:ext uri="{FF2B5EF4-FFF2-40B4-BE49-F238E27FC236}">
              <a16:creationId xmlns:a16="http://schemas.microsoft.com/office/drawing/2014/main" id="{D3D128F9-1D29-48A1-80E0-D25775E966CE}"/>
            </a:ext>
          </a:extLst>
        </xdr:cNvPr>
        <xdr:cNvSpPr/>
      </xdr:nvSpPr>
      <xdr:spPr>
        <a:xfrm>
          <a:off x="10030240" y="146051"/>
          <a:ext cx="640246" cy="420826"/>
        </a:xfrm>
        <a:prstGeom prst="leftArrow">
          <a:avLst/>
        </a:prstGeom>
        <a:solidFill>
          <a:srgbClr val="FFFF00">
            <a:alpha val="50000"/>
          </a:srgbClr>
        </a:solidFill>
        <a:ln w="6350"/>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l"/>
          <a:r>
            <a:rPr lang="de-DE" sz="1100" u="sng">
              <a:solidFill>
                <a:sysClr val="windowText" lastClr="000000"/>
              </a:solidFill>
              <a:latin typeface="+mn-lt"/>
              <a:ea typeface="+mn-ea"/>
              <a:cs typeface="+mn-cs"/>
            </a:rPr>
            <a:t>links</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441326</xdr:colOff>
      <xdr:row>1</xdr:row>
      <xdr:rowOff>120649</xdr:rowOff>
    </xdr:from>
    <xdr:to>
      <xdr:col>4</xdr:col>
      <xdr:colOff>981076</xdr:colOff>
      <xdr:row>2</xdr:row>
      <xdr:rowOff>9524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D7E25282-BF0A-47CC-A371-DBF53B2EAB9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1676" y="9397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06C69401-1C19-44B7-9E34-76FEB0180E8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447676</xdr:colOff>
      <xdr:row>1</xdr:row>
      <xdr:rowOff>82549</xdr:rowOff>
    </xdr:from>
    <xdr:to>
      <xdr:col>4</xdr:col>
      <xdr:colOff>987426</xdr:colOff>
      <xdr:row>1</xdr:row>
      <xdr:rowOff>473074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2DCFB993-9F04-490E-88D1-3BE73134A8A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016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D21941B6-0666-4129-A1A2-328DC242175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428626</xdr:colOff>
      <xdr:row>1</xdr:row>
      <xdr:rowOff>114299</xdr:rowOff>
    </xdr:from>
    <xdr:to>
      <xdr:col>4</xdr:col>
      <xdr:colOff>968376</xdr:colOff>
      <xdr:row>2</xdr:row>
      <xdr:rowOff>3174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192B6F8A-9C0B-49B5-BCF1-A4802E74778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6" y="933449"/>
          <a:ext cx="539750" cy="39052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4" name="Grafik 3">
          <a:hlinkClick xmlns:r="http://schemas.openxmlformats.org/officeDocument/2006/relationships" r:id="rId4"/>
          <a:extLst>
            <a:ext uri="{FF2B5EF4-FFF2-40B4-BE49-F238E27FC236}">
              <a16:creationId xmlns:a16="http://schemas.microsoft.com/office/drawing/2014/main" id="{C2B88811-4617-4D0B-BDD8-38D12136369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384175</xdr:colOff>
      <xdr:row>1</xdr:row>
      <xdr:rowOff>123825</xdr:rowOff>
    </xdr:from>
    <xdr:to>
      <xdr:col>4</xdr:col>
      <xdr:colOff>923925</xdr:colOff>
      <xdr:row>2</xdr:row>
      <xdr:rowOff>0</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05A614DB-8D80-49A9-BBFB-2637815AB9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14525" y="942975"/>
          <a:ext cx="539750" cy="37782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3" name="Grafik 2">
          <a:hlinkClick xmlns:r="http://schemas.openxmlformats.org/officeDocument/2006/relationships" r:id="rId4"/>
          <a:extLst>
            <a:ext uri="{FF2B5EF4-FFF2-40B4-BE49-F238E27FC236}">
              <a16:creationId xmlns:a16="http://schemas.microsoft.com/office/drawing/2014/main" id="{717A077C-B492-4BC8-BAF6-C8E200B45C8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415926</xdr:colOff>
      <xdr:row>1</xdr:row>
      <xdr:rowOff>120649</xdr:rowOff>
    </xdr:from>
    <xdr:to>
      <xdr:col>4</xdr:col>
      <xdr:colOff>955676</xdr:colOff>
      <xdr:row>2</xdr:row>
      <xdr:rowOff>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DA9A184F-642F-4FAF-825D-FB154BD2815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46276" y="9397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46BB5D54-89CE-4F06-98CE-DD406FDEA76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434976</xdr:colOff>
      <xdr:row>1</xdr:row>
      <xdr:rowOff>114299</xdr:rowOff>
    </xdr:from>
    <xdr:to>
      <xdr:col>4</xdr:col>
      <xdr:colOff>974726</xdr:colOff>
      <xdr:row>2</xdr:row>
      <xdr:rowOff>3174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19F70ABC-871D-4939-9765-D7CABE4814B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65326" y="9334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EA472DE6-A238-4B45-811A-224D365B00D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403226</xdr:colOff>
      <xdr:row>1</xdr:row>
      <xdr:rowOff>133349</xdr:rowOff>
    </xdr:from>
    <xdr:to>
      <xdr:col>4</xdr:col>
      <xdr:colOff>942976</xdr:colOff>
      <xdr:row>2</xdr:row>
      <xdr:rowOff>22224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9AE23F59-120B-4BE8-BC9D-CCE6B8DEDB7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33576" y="9524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3487E856-B71A-4906-BE48-8E81D037B1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365126</xdr:colOff>
      <xdr:row>1</xdr:row>
      <xdr:rowOff>69849</xdr:rowOff>
    </xdr:from>
    <xdr:to>
      <xdr:col>4</xdr:col>
      <xdr:colOff>904876</xdr:colOff>
      <xdr:row>1</xdr:row>
      <xdr:rowOff>460374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B849ACC8-D16B-48D6-B04E-568E48822C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95476" y="888999"/>
          <a:ext cx="539750" cy="390525"/>
        </a:xfrm>
        <a:prstGeom prst="rect">
          <a:avLst/>
        </a:prstGeom>
      </xdr:spPr>
    </xdr:pic>
    <xdr:clientData/>
  </xdr:twoCellAnchor>
  <xdr:twoCellAnchor editAs="oneCell">
    <xdr:from>
      <xdr:col>5</xdr:col>
      <xdr:colOff>0</xdr:colOff>
      <xdr:row>0</xdr:row>
      <xdr:rowOff>28575</xdr:rowOff>
    </xdr:from>
    <xdr:to>
      <xdr:col>5</xdr:col>
      <xdr:colOff>982233</xdr:colOff>
      <xdr:row>0</xdr:row>
      <xdr:rowOff>507999</xdr:rowOff>
    </xdr:to>
    <xdr:pic>
      <xdr:nvPicPr>
        <xdr:cNvPr id="2" name="Grafik 1">
          <a:hlinkClick xmlns:r="http://schemas.openxmlformats.org/officeDocument/2006/relationships" r:id="rId4"/>
          <a:extLst>
            <a:ext uri="{FF2B5EF4-FFF2-40B4-BE49-F238E27FC236}">
              <a16:creationId xmlns:a16="http://schemas.microsoft.com/office/drawing/2014/main" id="{AE993D3C-4C70-4388-B940-077ADE71E82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28575"/>
          <a:ext cx="982233" cy="4794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460376</xdr:colOff>
      <xdr:row>1</xdr:row>
      <xdr:rowOff>101599</xdr:rowOff>
    </xdr:from>
    <xdr:to>
      <xdr:col>4</xdr:col>
      <xdr:colOff>1000126</xdr:colOff>
      <xdr:row>1</xdr:row>
      <xdr:rowOff>492124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90DBD741-EC04-4AE8-BC65-6B6AB87CEA0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90726" y="9207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505A820D-591A-49EA-B2B8-E5885ED9224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447676</xdr:colOff>
      <xdr:row>1</xdr:row>
      <xdr:rowOff>107949</xdr:rowOff>
    </xdr:from>
    <xdr:to>
      <xdr:col>4</xdr:col>
      <xdr:colOff>987426</xdr:colOff>
      <xdr:row>1</xdr:row>
      <xdr:rowOff>498474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2F2F45A6-768C-4A6D-A434-3A087BAF3E7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270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8281CF40-1E85-4E4E-9A03-102611ED097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4210050</xdr:colOff>
          <xdr:row>2</xdr:row>
          <xdr:rowOff>19050</xdr:rowOff>
        </xdr:from>
        <xdr:to>
          <xdr:col>4</xdr:col>
          <xdr:colOff>66675</xdr:colOff>
          <xdr:row>2</xdr:row>
          <xdr:rowOff>238125</xdr:rowOff>
        </xdr:to>
        <xdr:sp macro="" textlink="">
          <xdr:nvSpPr>
            <xdr:cNvPr id="33793" name="Drop Down 1" hidden="1">
              <a:extLst>
                <a:ext uri="{63B3BB69-23CF-44E3-9099-C40C66FF867C}">
                  <a14:compatExt spid="_x0000_s33793"/>
                </a:ext>
                <a:ext uri="{FF2B5EF4-FFF2-40B4-BE49-F238E27FC236}">
                  <a16:creationId xmlns:a16="http://schemas.microsoft.com/office/drawing/2014/main" id="{00000000-0008-0000-0A00-000001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xdr:row>
          <xdr:rowOff>38100</xdr:rowOff>
        </xdr:from>
        <xdr:to>
          <xdr:col>4</xdr:col>
          <xdr:colOff>914400</xdr:colOff>
          <xdr:row>5</xdr:row>
          <xdr:rowOff>257175</xdr:rowOff>
        </xdr:to>
        <xdr:sp macro="" textlink="">
          <xdr:nvSpPr>
            <xdr:cNvPr id="33802" name="Drop Down 10" hidden="1">
              <a:extLst>
                <a:ext uri="{63B3BB69-23CF-44E3-9099-C40C66FF867C}">
                  <a14:compatExt spid="_x0000_s33802"/>
                </a:ext>
                <a:ext uri="{FF2B5EF4-FFF2-40B4-BE49-F238E27FC236}">
                  <a16:creationId xmlns:a16="http://schemas.microsoft.com/office/drawing/2014/main" id="{00000000-0008-0000-0A00-00000A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6</xdr:row>
          <xdr:rowOff>38100</xdr:rowOff>
        </xdr:from>
        <xdr:to>
          <xdr:col>4</xdr:col>
          <xdr:colOff>914400</xdr:colOff>
          <xdr:row>6</xdr:row>
          <xdr:rowOff>257175</xdr:rowOff>
        </xdr:to>
        <xdr:sp macro="" textlink="">
          <xdr:nvSpPr>
            <xdr:cNvPr id="33803" name="Drop Down 11" hidden="1">
              <a:extLst>
                <a:ext uri="{63B3BB69-23CF-44E3-9099-C40C66FF867C}">
                  <a14:compatExt spid="_x0000_s33803"/>
                </a:ext>
                <a:ext uri="{FF2B5EF4-FFF2-40B4-BE49-F238E27FC236}">
                  <a16:creationId xmlns:a16="http://schemas.microsoft.com/office/drawing/2014/main" id="{00000000-0008-0000-0A00-00000B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3773425</xdr:colOff>
      <xdr:row>12</xdr:row>
      <xdr:rowOff>257175</xdr:rowOff>
    </xdr:from>
    <xdr:to>
      <xdr:col>2</xdr:col>
      <xdr:colOff>4667251</xdr:colOff>
      <xdr:row>14</xdr:row>
      <xdr:rowOff>38101</xdr:rowOff>
    </xdr:to>
    <xdr:sp macro="" textlink="">
      <xdr:nvSpPr>
        <xdr:cNvPr id="3" name="Pfeil: gestreift nach rechts 2">
          <a:hlinkClick xmlns:r="http://schemas.openxmlformats.org/officeDocument/2006/relationships" r:id="rId1"/>
          <a:extLst>
            <a:ext uri="{FF2B5EF4-FFF2-40B4-BE49-F238E27FC236}">
              <a16:creationId xmlns:a16="http://schemas.microsoft.com/office/drawing/2014/main" id="{3E5F764C-E1BC-95B5-1762-533D787677F0}"/>
            </a:ext>
          </a:extLst>
        </xdr:cNvPr>
        <xdr:cNvSpPr/>
      </xdr:nvSpPr>
      <xdr:spPr>
        <a:xfrm>
          <a:off x="4868800" y="4000500"/>
          <a:ext cx="893826" cy="352426"/>
        </a:xfrm>
        <a:prstGeom prst="stripedRightArrow">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18</xdr:row>
          <xdr:rowOff>28575</xdr:rowOff>
        </xdr:from>
        <xdr:to>
          <xdr:col>5</xdr:col>
          <xdr:colOff>19050</xdr:colOff>
          <xdr:row>18</xdr:row>
          <xdr:rowOff>238125</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A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38100</xdr:rowOff>
        </xdr:from>
        <xdr:to>
          <xdr:col>5</xdr:col>
          <xdr:colOff>19050</xdr:colOff>
          <xdr:row>19</xdr:row>
          <xdr:rowOff>238125</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A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xdr:row>
          <xdr:rowOff>38100</xdr:rowOff>
        </xdr:from>
        <xdr:to>
          <xdr:col>15</xdr:col>
          <xdr:colOff>19050</xdr:colOff>
          <xdr:row>3</xdr:row>
          <xdr:rowOff>361950</xdr:rowOff>
        </xdr:to>
        <xdr:sp macro="" textlink="">
          <xdr:nvSpPr>
            <xdr:cNvPr id="33828" name="Option Button 36" hidden="1">
              <a:extLst>
                <a:ext uri="{63B3BB69-23CF-44E3-9099-C40C66FF867C}">
                  <a14:compatExt spid="_x0000_s33828"/>
                </a:ext>
                <a:ext uri="{FF2B5EF4-FFF2-40B4-BE49-F238E27FC236}">
                  <a16:creationId xmlns:a16="http://schemas.microsoft.com/office/drawing/2014/main" id="{00000000-0008-0000-0A00-00002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3</xdr:row>
          <xdr:rowOff>38100</xdr:rowOff>
        </xdr:from>
        <xdr:to>
          <xdr:col>17</xdr:col>
          <xdr:colOff>295275</xdr:colOff>
          <xdr:row>3</xdr:row>
          <xdr:rowOff>314325</xdr:rowOff>
        </xdr:to>
        <xdr:sp macro="" textlink="">
          <xdr:nvSpPr>
            <xdr:cNvPr id="33832" name="Option Button 40" hidden="1">
              <a:extLst>
                <a:ext uri="{63B3BB69-23CF-44E3-9099-C40C66FF867C}">
                  <a14:compatExt spid="_x0000_s33832"/>
                </a:ext>
                <a:ext uri="{FF2B5EF4-FFF2-40B4-BE49-F238E27FC236}">
                  <a16:creationId xmlns:a16="http://schemas.microsoft.com/office/drawing/2014/main" id="{00000000-0008-0000-0A00-00002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819150</xdr:colOff>
          <xdr:row>3</xdr:row>
          <xdr:rowOff>0</xdr:rowOff>
        </xdr:from>
        <xdr:to>
          <xdr:col>9</xdr:col>
          <xdr:colOff>19050</xdr:colOff>
          <xdr:row>21</xdr:row>
          <xdr:rowOff>257175</xdr:rowOff>
        </xdr:to>
        <xdr:sp macro="" textlink="">
          <xdr:nvSpPr>
            <xdr:cNvPr id="33835" name="Group Box 43" hidden="1">
              <a:extLst>
                <a:ext uri="{63B3BB69-23CF-44E3-9099-C40C66FF867C}">
                  <a14:compatExt spid="_x0000_s33835"/>
                </a:ext>
                <a:ext uri="{FF2B5EF4-FFF2-40B4-BE49-F238E27FC236}">
                  <a16:creationId xmlns:a16="http://schemas.microsoft.com/office/drawing/2014/main" id="{00000000-0008-0000-0A00-00002B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7</xdr:row>
          <xdr:rowOff>0</xdr:rowOff>
        </xdr:from>
        <xdr:to>
          <xdr:col>8</xdr:col>
          <xdr:colOff>866775</xdr:colOff>
          <xdr:row>8</xdr:row>
          <xdr:rowOff>0</xdr:rowOff>
        </xdr:to>
        <xdr:sp macro="" textlink="">
          <xdr:nvSpPr>
            <xdr:cNvPr id="33837" name="Option Button 45" hidden="1">
              <a:extLst>
                <a:ext uri="{63B3BB69-23CF-44E3-9099-C40C66FF867C}">
                  <a14:compatExt spid="_x0000_s33837"/>
                </a:ext>
                <a:ext uri="{FF2B5EF4-FFF2-40B4-BE49-F238E27FC236}">
                  <a16:creationId xmlns:a16="http://schemas.microsoft.com/office/drawing/2014/main" id="{00000000-0008-0000-0A00-00002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4</xdr:row>
          <xdr:rowOff>38100</xdr:rowOff>
        </xdr:from>
        <xdr:to>
          <xdr:col>6</xdr:col>
          <xdr:colOff>866775</xdr:colOff>
          <xdr:row>5</xdr:row>
          <xdr:rowOff>0</xdr:rowOff>
        </xdr:to>
        <xdr:sp macro="" textlink="">
          <xdr:nvSpPr>
            <xdr:cNvPr id="33845" name="Option Button 53" hidden="1">
              <a:extLst>
                <a:ext uri="{63B3BB69-23CF-44E3-9099-C40C66FF867C}">
                  <a14:compatExt spid="_x0000_s33845"/>
                </a:ext>
                <a:ext uri="{FF2B5EF4-FFF2-40B4-BE49-F238E27FC236}">
                  <a16:creationId xmlns:a16="http://schemas.microsoft.com/office/drawing/2014/main" id="{00000000-0008-0000-0A00-00003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10</xdr:row>
          <xdr:rowOff>28575</xdr:rowOff>
        </xdr:from>
        <xdr:to>
          <xdr:col>4</xdr:col>
          <xdr:colOff>914400</xdr:colOff>
          <xdr:row>10</xdr:row>
          <xdr:rowOff>257175</xdr:rowOff>
        </xdr:to>
        <xdr:sp macro="" textlink="">
          <xdr:nvSpPr>
            <xdr:cNvPr id="33846" name="Option Button 54" hidden="1">
              <a:extLst>
                <a:ext uri="{63B3BB69-23CF-44E3-9099-C40C66FF867C}">
                  <a14:compatExt spid="_x0000_s33846"/>
                </a:ext>
                <a:ext uri="{FF2B5EF4-FFF2-40B4-BE49-F238E27FC236}">
                  <a16:creationId xmlns:a16="http://schemas.microsoft.com/office/drawing/2014/main" id="{00000000-0008-0000-0A00-00003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9</xdr:row>
          <xdr:rowOff>276225</xdr:rowOff>
        </xdr:from>
        <xdr:to>
          <xdr:col>8</xdr:col>
          <xdr:colOff>914400</xdr:colOff>
          <xdr:row>11</xdr:row>
          <xdr:rowOff>19050</xdr:rowOff>
        </xdr:to>
        <xdr:sp macro="" textlink="">
          <xdr:nvSpPr>
            <xdr:cNvPr id="33847" name="Option Button 55" hidden="1">
              <a:extLst>
                <a:ext uri="{63B3BB69-23CF-44E3-9099-C40C66FF867C}">
                  <a14:compatExt spid="_x0000_s33847"/>
                </a:ext>
                <a:ext uri="{FF2B5EF4-FFF2-40B4-BE49-F238E27FC236}">
                  <a16:creationId xmlns:a16="http://schemas.microsoft.com/office/drawing/2014/main" id="{00000000-0008-0000-0A00-00003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11</xdr:row>
          <xdr:rowOff>28575</xdr:rowOff>
        </xdr:from>
        <xdr:to>
          <xdr:col>4</xdr:col>
          <xdr:colOff>914400</xdr:colOff>
          <xdr:row>11</xdr:row>
          <xdr:rowOff>257175</xdr:rowOff>
        </xdr:to>
        <xdr:sp macro="" textlink="">
          <xdr:nvSpPr>
            <xdr:cNvPr id="33848" name="Option Button 56" hidden="1">
              <a:extLst>
                <a:ext uri="{63B3BB69-23CF-44E3-9099-C40C66FF867C}">
                  <a14:compatExt spid="_x0000_s33848"/>
                </a:ext>
                <a:ext uri="{FF2B5EF4-FFF2-40B4-BE49-F238E27FC236}">
                  <a16:creationId xmlns:a16="http://schemas.microsoft.com/office/drawing/2014/main" id="{00000000-0008-0000-0A00-00003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10</xdr:row>
          <xdr:rowOff>266700</xdr:rowOff>
        </xdr:from>
        <xdr:to>
          <xdr:col>8</xdr:col>
          <xdr:colOff>914400</xdr:colOff>
          <xdr:row>12</xdr:row>
          <xdr:rowOff>0</xdr:rowOff>
        </xdr:to>
        <xdr:sp macro="" textlink="">
          <xdr:nvSpPr>
            <xdr:cNvPr id="33849" name="Option Button 57" hidden="1">
              <a:extLst>
                <a:ext uri="{63B3BB69-23CF-44E3-9099-C40C66FF867C}">
                  <a14:compatExt spid="_x0000_s33849"/>
                </a:ext>
                <a:ext uri="{FF2B5EF4-FFF2-40B4-BE49-F238E27FC236}">
                  <a16:creationId xmlns:a16="http://schemas.microsoft.com/office/drawing/2014/main" id="{00000000-0008-0000-0A00-00003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12</xdr:row>
          <xdr:rowOff>28575</xdr:rowOff>
        </xdr:from>
        <xdr:to>
          <xdr:col>4</xdr:col>
          <xdr:colOff>914400</xdr:colOff>
          <xdr:row>12</xdr:row>
          <xdr:rowOff>257175</xdr:rowOff>
        </xdr:to>
        <xdr:sp macro="" textlink="">
          <xdr:nvSpPr>
            <xdr:cNvPr id="33850" name="Option Button 58" hidden="1">
              <a:extLst>
                <a:ext uri="{63B3BB69-23CF-44E3-9099-C40C66FF867C}">
                  <a14:compatExt spid="_x0000_s33850"/>
                </a:ext>
                <a:ext uri="{FF2B5EF4-FFF2-40B4-BE49-F238E27FC236}">
                  <a16:creationId xmlns:a16="http://schemas.microsoft.com/office/drawing/2014/main" id="{00000000-0008-0000-0A00-00003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11</xdr:row>
          <xdr:rowOff>266700</xdr:rowOff>
        </xdr:from>
        <xdr:to>
          <xdr:col>8</xdr:col>
          <xdr:colOff>914400</xdr:colOff>
          <xdr:row>13</xdr:row>
          <xdr:rowOff>0</xdr:rowOff>
        </xdr:to>
        <xdr:sp macro="" textlink="">
          <xdr:nvSpPr>
            <xdr:cNvPr id="33851" name="Option Button 59" hidden="1">
              <a:extLst>
                <a:ext uri="{63B3BB69-23CF-44E3-9099-C40C66FF867C}">
                  <a14:compatExt spid="_x0000_s33851"/>
                </a:ext>
                <a:ext uri="{FF2B5EF4-FFF2-40B4-BE49-F238E27FC236}">
                  <a16:creationId xmlns:a16="http://schemas.microsoft.com/office/drawing/2014/main" id="{00000000-0008-0000-0A00-00003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19050</xdr:rowOff>
        </xdr:from>
        <xdr:to>
          <xdr:col>19</xdr:col>
          <xdr:colOff>285750</xdr:colOff>
          <xdr:row>1</xdr:row>
          <xdr:rowOff>19050</xdr:rowOff>
        </xdr:to>
        <xdr:sp macro="" textlink="">
          <xdr:nvSpPr>
            <xdr:cNvPr id="33852" name="Group Box 60" hidden="1">
              <a:extLst>
                <a:ext uri="{63B3BB69-23CF-44E3-9099-C40C66FF867C}">
                  <a14:compatExt spid="_x0000_s33852"/>
                </a:ext>
                <a:ext uri="{FF2B5EF4-FFF2-40B4-BE49-F238E27FC236}">
                  <a16:creationId xmlns:a16="http://schemas.microsoft.com/office/drawing/2014/main" id="{00000000-0008-0000-0A00-00003C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2257425</xdr:colOff>
          <xdr:row>0</xdr:row>
          <xdr:rowOff>66675</xdr:rowOff>
        </xdr:from>
        <xdr:to>
          <xdr:col>7</xdr:col>
          <xdr:colOff>66675</xdr:colOff>
          <xdr:row>0</xdr:row>
          <xdr:rowOff>400050</xdr:rowOff>
        </xdr:to>
        <xdr:sp macro="" textlink="">
          <xdr:nvSpPr>
            <xdr:cNvPr id="33853" name="Option Button 61" hidden="1">
              <a:extLst>
                <a:ext uri="{63B3BB69-23CF-44E3-9099-C40C66FF867C}">
                  <a14:compatExt spid="_x0000_s33853"/>
                </a:ext>
                <a:ext uri="{FF2B5EF4-FFF2-40B4-BE49-F238E27FC236}">
                  <a16:creationId xmlns:a16="http://schemas.microsoft.com/office/drawing/2014/main" id="{00000000-0008-0000-0A00-00003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0</xdr:row>
          <xdr:rowOff>76200</xdr:rowOff>
        </xdr:from>
        <xdr:to>
          <xdr:col>17</xdr:col>
          <xdr:colOff>171450</xdr:colOff>
          <xdr:row>0</xdr:row>
          <xdr:rowOff>381000</xdr:rowOff>
        </xdr:to>
        <xdr:sp macro="" textlink="">
          <xdr:nvSpPr>
            <xdr:cNvPr id="33854" name="Option Button 62" hidden="1">
              <a:extLst>
                <a:ext uri="{63B3BB69-23CF-44E3-9099-C40C66FF867C}">
                  <a14:compatExt spid="_x0000_s33854"/>
                </a:ext>
                <a:ext uri="{FF2B5EF4-FFF2-40B4-BE49-F238E27FC236}">
                  <a16:creationId xmlns:a16="http://schemas.microsoft.com/office/drawing/2014/main" id="{00000000-0008-0000-0A00-00003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714375</xdr:colOff>
          <xdr:row>3</xdr:row>
          <xdr:rowOff>57150</xdr:rowOff>
        </xdr:from>
        <xdr:to>
          <xdr:col>22</xdr:col>
          <xdr:colOff>228600</xdr:colOff>
          <xdr:row>3</xdr:row>
          <xdr:rowOff>342900</xdr:rowOff>
        </xdr:to>
        <xdr:sp macro="" textlink="">
          <xdr:nvSpPr>
            <xdr:cNvPr id="33860" name="Option Button 68" hidden="1">
              <a:extLst>
                <a:ext uri="{63B3BB69-23CF-44E3-9099-C40C66FF867C}">
                  <a14:compatExt spid="_x0000_s33860"/>
                </a:ext>
                <a:ext uri="{FF2B5EF4-FFF2-40B4-BE49-F238E27FC236}">
                  <a16:creationId xmlns:a16="http://schemas.microsoft.com/office/drawing/2014/main" id="{00000000-0008-0000-0A00-00004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2324100</xdr:colOff>
          <xdr:row>22</xdr:row>
          <xdr:rowOff>28575</xdr:rowOff>
        </xdr:from>
        <xdr:to>
          <xdr:col>6</xdr:col>
          <xdr:colOff>714375</xdr:colOff>
          <xdr:row>23</xdr:row>
          <xdr:rowOff>0</xdr:rowOff>
        </xdr:to>
        <xdr:sp macro="" textlink="">
          <xdr:nvSpPr>
            <xdr:cNvPr id="33864" name="Check Box 72" hidden="1">
              <a:extLst>
                <a:ext uri="{63B3BB69-23CF-44E3-9099-C40C66FF867C}">
                  <a14:compatExt spid="_x0000_s33864"/>
                </a:ext>
                <a:ext uri="{FF2B5EF4-FFF2-40B4-BE49-F238E27FC236}">
                  <a16:creationId xmlns:a16="http://schemas.microsoft.com/office/drawing/2014/main" id="{00000000-0008-0000-0A00-00004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142802</xdr:colOff>
      <xdr:row>0</xdr:row>
      <xdr:rowOff>67233</xdr:rowOff>
    </xdr:from>
    <xdr:to>
      <xdr:col>11</xdr:col>
      <xdr:colOff>290541</xdr:colOff>
      <xdr:row>1</xdr:row>
      <xdr:rowOff>14938</xdr:rowOff>
    </xdr:to>
    <xdr:sp macro="" textlink="">
      <xdr:nvSpPr>
        <xdr:cNvPr id="33796" name="Pfeil: nach rechts 7">
          <a:hlinkClick xmlns:r="http://schemas.openxmlformats.org/officeDocument/2006/relationships" r:id="rId2"/>
          <a:extLst>
            <a:ext uri="{FF2B5EF4-FFF2-40B4-BE49-F238E27FC236}">
              <a16:creationId xmlns:a16="http://schemas.microsoft.com/office/drawing/2014/main" id="{F6005A4E-4D1C-EF9F-379A-E5073B748BCD}"/>
            </a:ext>
          </a:extLst>
        </xdr:cNvPr>
        <xdr:cNvSpPr/>
      </xdr:nvSpPr>
      <xdr:spPr>
        <a:xfrm>
          <a:off x="10437129" y="67233"/>
          <a:ext cx="763200" cy="387320"/>
        </a:xfrm>
        <a:prstGeom prst="rightArrow">
          <a:avLst/>
        </a:prstGeom>
        <a:solidFill>
          <a:srgbClr val="FFFF00">
            <a:alpha val="90000"/>
          </a:srgbClr>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u="sng">
              <a:solidFill>
                <a:sysClr val="windowText" lastClr="000000"/>
              </a:solidFill>
            </a:rPr>
            <a:t>rechts</a:t>
          </a:r>
        </a:p>
      </xdr:txBody>
    </xdr:sp>
    <xdr:clientData/>
  </xdr:twoCellAnchor>
  <xdr:twoCellAnchor>
    <xdr:from>
      <xdr:col>8</xdr:col>
      <xdr:colOff>183235</xdr:colOff>
      <xdr:row>0</xdr:row>
      <xdr:rowOff>67229</xdr:rowOff>
    </xdr:from>
    <xdr:to>
      <xdr:col>9</xdr:col>
      <xdr:colOff>825</xdr:colOff>
      <xdr:row>1</xdr:row>
      <xdr:rowOff>15264</xdr:rowOff>
    </xdr:to>
    <xdr:sp macro="" textlink="">
      <xdr:nvSpPr>
        <xdr:cNvPr id="33795" name="Pfeil: nach links 8">
          <a:hlinkClick xmlns:r="http://schemas.openxmlformats.org/officeDocument/2006/relationships" r:id="rId3"/>
          <a:extLst>
            <a:ext uri="{FF2B5EF4-FFF2-40B4-BE49-F238E27FC236}">
              <a16:creationId xmlns:a16="http://schemas.microsoft.com/office/drawing/2014/main" id="{823F68DC-0956-F6D7-083A-A1604CA9353A}"/>
            </a:ext>
          </a:extLst>
        </xdr:cNvPr>
        <xdr:cNvSpPr/>
      </xdr:nvSpPr>
      <xdr:spPr>
        <a:xfrm>
          <a:off x="9532389" y="67229"/>
          <a:ext cx="762763" cy="387650"/>
        </a:xfrm>
        <a:prstGeom prst="leftArrow">
          <a:avLst/>
        </a:prstGeom>
        <a:solidFill>
          <a:srgbClr val="FFFF00">
            <a:alpha val="90000"/>
          </a:srgbClr>
        </a:solidFill>
        <a:ln w="6350"/>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100" u="sng">
              <a:solidFill>
                <a:sysClr val="windowText" lastClr="000000"/>
              </a:solidFill>
              <a:latin typeface="+mn-lt"/>
              <a:ea typeface="+mn-ea"/>
              <a:cs typeface="+mn-cs"/>
            </a:rPr>
            <a:t>links</a:t>
          </a:r>
        </a:p>
      </xdr:txBody>
    </xdr:sp>
    <xdr:clientData/>
  </xdr:twoCellAnchor>
  <xdr:twoCellAnchor editAs="oneCell">
    <xdr:from>
      <xdr:col>7</xdr:col>
      <xdr:colOff>66675</xdr:colOff>
      <xdr:row>0</xdr:row>
      <xdr:rowOff>28576</xdr:rowOff>
    </xdr:from>
    <xdr:to>
      <xdr:col>7</xdr:col>
      <xdr:colOff>1048908</xdr:colOff>
      <xdr:row>1</xdr:row>
      <xdr:rowOff>69850</xdr:rowOff>
    </xdr:to>
    <xdr:pic>
      <xdr:nvPicPr>
        <xdr:cNvPr id="2" name="Grafik 1">
          <a:hlinkClick xmlns:r="http://schemas.openxmlformats.org/officeDocument/2006/relationships" r:id="rId4"/>
          <a:extLst>
            <a:ext uri="{FF2B5EF4-FFF2-40B4-BE49-F238E27FC236}">
              <a16:creationId xmlns:a16="http://schemas.microsoft.com/office/drawing/2014/main" id="{D4F1C737-F04A-4CEC-9C67-B1AD057AAF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181975" y="28576"/>
          <a:ext cx="982233" cy="47942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434976</xdr:colOff>
      <xdr:row>1</xdr:row>
      <xdr:rowOff>120649</xdr:rowOff>
    </xdr:from>
    <xdr:to>
      <xdr:col>4</xdr:col>
      <xdr:colOff>974726</xdr:colOff>
      <xdr:row>2</xdr:row>
      <xdr:rowOff>9524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E401B242-025C-4F43-9891-479DAAF5326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65326" y="9397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F1A47575-EBD0-4B29-B9E7-EF8BC288A0E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454026</xdr:colOff>
      <xdr:row>1</xdr:row>
      <xdr:rowOff>139699</xdr:rowOff>
    </xdr:from>
    <xdr:to>
      <xdr:col>4</xdr:col>
      <xdr:colOff>993776</xdr:colOff>
      <xdr:row>2</xdr:row>
      <xdr:rowOff>28574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712C5779-14BB-4BE4-854D-CEDDDDDBC5F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588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76EA28EC-4BB6-4EF7-9549-DB410127D0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473075</xdr:colOff>
      <xdr:row>1</xdr:row>
      <xdr:rowOff>174625</xdr:rowOff>
    </xdr:from>
    <xdr:to>
      <xdr:col>4</xdr:col>
      <xdr:colOff>1012825</xdr:colOff>
      <xdr:row>2</xdr:row>
      <xdr:rowOff>50800</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E10E0A0A-EA16-444E-A93D-9609D941C92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3425" y="993775"/>
          <a:ext cx="539750" cy="377825"/>
        </a:xfrm>
        <a:prstGeom prst="rect">
          <a:avLst/>
        </a:prstGeom>
      </xdr:spPr>
    </xdr:pic>
    <xdr:clientData/>
  </xdr:twoCellAnchor>
  <xdr:twoCellAnchor editAs="oneCell">
    <xdr:from>
      <xdr:col>5</xdr:col>
      <xdr:colOff>19050</xdr:colOff>
      <xdr:row>0</xdr:row>
      <xdr:rowOff>49695</xdr:rowOff>
    </xdr:from>
    <xdr:to>
      <xdr:col>5</xdr:col>
      <xdr:colOff>1001283</xdr:colOff>
      <xdr:row>0</xdr:row>
      <xdr:rowOff>529119</xdr:rowOff>
    </xdr:to>
    <xdr:pic>
      <xdr:nvPicPr>
        <xdr:cNvPr id="3" name="Grafik 2">
          <a:hlinkClick xmlns:r="http://schemas.openxmlformats.org/officeDocument/2006/relationships" r:id="rId4"/>
          <a:extLst>
            <a:ext uri="{FF2B5EF4-FFF2-40B4-BE49-F238E27FC236}">
              <a16:creationId xmlns:a16="http://schemas.microsoft.com/office/drawing/2014/main" id="{D78E06FE-F32C-4967-872D-4ADCE9ABE59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67025" y="49695"/>
          <a:ext cx="982233" cy="4794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428625</xdr:colOff>
      <xdr:row>1</xdr:row>
      <xdr:rowOff>130175</xdr:rowOff>
    </xdr:from>
    <xdr:to>
      <xdr:col>4</xdr:col>
      <xdr:colOff>968375</xdr:colOff>
      <xdr:row>34</xdr:row>
      <xdr:rowOff>6350</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FA000BA4-8504-4106-AC80-A1745CAEE17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5" y="949325"/>
          <a:ext cx="539750" cy="37782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3" name="Grafik 2">
          <a:hlinkClick xmlns:r="http://schemas.openxmlformats.org/officeDocument/2006/relationships" r:id="rId4"/>
          <a:extLst>
            <a:ext uri="{FF2B5EF4-FFF2-40B4-BE49-F238E27FC236}">
              <a16:creationId xmlns:a16="http://schemas.microsoft.com/office/drawing/2014/main" id="{E2B8A93A-688A-46F0-924D-6C904031176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454026</xdr:colOff>
      <xdr:row>1</xdr:row>
      <xdr:rowOff>107949</xdr:rowOff>
    </xdr:from>
    <xdr:to>
      <xdr:col>4</xdr:col>
      <xdr:colOff>993776</xdr:colOff>
      <xdr:row>1</xdr:row>
      <xdr:rowOff>498474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943F702D-39C4-4577-986C-5A0DA698B97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270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55780F85-7D27-47C9-9DA6-C1C2208DAF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454026</xdr:colOff>
      <xdr:row>1</xdr:row>
      <xdr:rowOff>107949</xdr:rowOff>
    </xdr:from>
    <xdr:to>
      <xdr:col>4</xdr:col>
      <xdr:colOff>993776</xdr:colOff>
      <xdr:row>1</xdr:row>
      <xdr:rowOff>498474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40E81B3A-EBD1-48B3-AAD9-068F68F7D99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27099"/>
          <a:ext cx="539750" cy="390525"/>
        </a:xfrm>
        <a:prstGeom prst="rect">
          <a:avLst/>
        </a:prstGeom>
      </xdr:spPr>
    </xdr:pic>
    <xdr:clientData/>
  </xdr:twoCellAnchor>
  <xdr:twoCellAnchor editAs="oneCell">
    <xdr:from>
      <xdr:col>5</xdr:col>
      <xdr:colOff>0</xdr:colOff>
      <xdr:row>0</xdr:row>
      <xdr:rowOff>28575</xdr:rowOff>
    </xdr:from>
    <xdr:to>
      <xdr:col>5</xdr:col>
      <xdr:colOff>982233</xdr:colOff>
      <xdr:row>0</xdr:row>
      <xdr:rowOff>507999</xdr:rowOff>
    </xdr:to>
    <xdr:pic>
      <xdr:nvPicPr>
        <xdr:cNvPr id="2" name="Grafik 1">
          <a:hlinkClick xmlns:r="http://schemas.openxmlformats.org/officeDocument/2006/relationships" r:id="rId4"/>
          <a:extLst>
            <a:ext uri="{FF2B5EF4-FFF2-40B4-BE49-F238E27FC236}">
              <a16:creationId xmlns:a16="http://schemas.microsoft.com/office/drawing/2014/main" id="{3206451B-24AC-4ED3-9CEE-4EC773F48E2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28575"/>
          <a:ext cx="982233" cy="47942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447676</xdr:colOff>
      <xdr:row>1</xdr:row>
      <xdr:rowOff>107949</xdr:rowOff>
    </xdr:from>
    <xdr:to>
      <xdr:col>4</xdr:col>
      <xdr:colOff>987426</xdr:colOff>
      <xdr:row>1</xdr:row>
      <xdr:rowOff>495300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494FFA98-34A7-4D07-83AD-05D007783E7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27099"/>
          <a:ext cx="539750" cy="387351"/>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5AEB7551-479C-47E4-B39F-D529ECB92DB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447676</xdr:colOff>
      <xdr:row>1</xdr:row>
      <xdr:rowOff>107949</xdr:rowOff>
    </xdr:from>
    <xdr:to>
      <xdr:col>4</xdr:col>
      <xdr:colOff>987426</xdr:colOff>
      <xdr:row>1</xdr:row>
      <xdr:rowOff>498474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A9883708-8D3E-4351-8F4B-616D4C115C7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27099"/>
          <a:ext cx="539750" cy="39052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21B6D5C8-0D3D-446D-8606-67FC11EBD78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454026</xdr:colOff>
      <xdr:row>1</xdr:row>
      <xdr:rowOff>114299</xdr:rowOff>
    </xdr:from>
    <xdr:to>
      <xdr:col>4</xdr:col>
      <xdr:colOff>993776</xdr:colOff>
      <xdr:row>2</xdr:row>
      <xdr:rowOff>3174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57A87885-1E36-4A80-8C1E-2558E0CDCF7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334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367BF5F4-DFC5-4013-B151-479D9904DFC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476250</xdr:colOff>
      <xdr:row>0</xdr:row>
      <xdr:rowOff>390525</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5A2902AA-0195-4729-A56A-CB1CB0828A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906000" y="0"/>
          <a:ext cx="476250" cy="390525"/>
        </a:xfrm>
        <a:prstGeom prst="rect">
          <a:avLst/>
        </a:prstGeom>
      </xdr:spPr>
    </xdr:pic>
    <xdr:clientData/>
  </xdr:twoCellAnchor>
  <xdr:twoCellAnchor editAs="oneCell">
    <xdr:from>
      <xdr:col>5</xdr:col>
      <xdr:colOff>328196</xdr:colOff>
      <xdr:row>0</xdr:row>
      <xdr:rowOff>275760</xdr:rowOff>
    </xdr:from>
    <xdr:to>
      <xdr:col>5</xdr:col>
      <xdr:colOff>340436</xdr:colOff>
      <xdr:row>0</xdr:row>
      <xdr:rowOff>282240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Freihand 3">
              <a:extLst>
                <a:ext uri="{FF2B5EF4-FFF2-40B4-BE49-F238E27FC236}">
                  <a16:creationId xmlns:a16="http://schemas.microsoft.com/office/drawing/2014/main" id="{12721F17-825C-02E5-115D-4D269F4B5964}"/>
                </a:ext>
              </a:extLst>
            </xdr14:cNvPr>
            <xdr14:cNvContentPartPr/>
          </xdr14:nvContentPartPr>
          <xdr14:nvPr macro=""/>
          <xdr14:xfrm>
            <a:off x="9905748" y="275760"/>
            <a:ext cx="12240" cy="6480"/>
          </xdr14:xfrm>
        </xdr:contentPart>
      </mc:Choice>
      <mc:Fallback xmlns="">
        <xdr:pic>
          <xdr:nvPicPr>
            <xdr:cNvPr id="4" name="Freihand 3">
              <a:extLst>
                <a:ext uri="{FF2B5EF4-FFF2-40B4-BE49-F238E27FC236}">
                  <a16:creationId xmlns:a16="http://schemas.microsoft.com/office/drawing/2014/main" id="{12721F17-825C-02E5-115D-4D269F4B5964}"/>
                </a:ext>
              </a:extLst>
            </xdr:cNvPr>
            <xdr:cNvPicPr/>
          </xdr:nvPicPr>
          <xdr:blipFill>
            <a:blip xmlns:r="http://schemas.openxmlformats.org/officeDocument/2006/relationships" r:embed="rId6"/>
            <a:stretch>
              <a:fillRect/>
            </a:stretch>
          </xdr:blipFill>
          <xdr:spPr>
            <a:xfrm>
              <a:off x="9899628" y="269640"/>
              <a:ext cx="24480" cy="18720"/>
            </a:xfrm>
            <a:prstGeom prst="rect">
              <a:avLst/>
            </a:prstGeom>
          </xdr:spPr>
        </xdr:pic>
      </mc:Fallback>
    </mc:AlternateContent>
    <xdr:clientData/>
  </xdr:twoCellAnchor>
  <xdr:twoCellAnchor editAs="oneCell">
    <xdr:from>
      <xdr:col>5</xdr:col>
      <xdr:colOff>372116</xdr:colOff>
      <xdr:row>0</xdr:row>
      <xdr:rowOff>128160</xdr:rowOff>
    </xdr:from>
    <xdr:to>
      <xdr:col>5</xdr:col>
      <xdr:colOff>392636</xdr:colOff>
      <xdr:row>0</xdr:row>
      <xdr:rowOff>147600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Freihand 4">
              <a:extLst>
                <a:ext uri="{FF2B5EF4-FFF2-40B4-BE49-F238E27FC236}">
                  <a16:creationId xmlns:a16="http://schemas.microsoft.com/office/drawing/2014/main" id="{206559AB-104C-FB2F-6192-EDB662DCA1AB}"/>
                </a:ext>
              </a:extLst>
            </xdr14:cNvPr>
            <xdr14:cNvContentPartPr/>
          </xdr14:nvContentPartPr>
          <xdr14:nvPr macro=""/>
          <xdr14:xfrm>
            <a:off x="9949668" y="128160"/>
            <a:ext cx="20520" cy="19440"/>
          </xdr14:xfrm>
        </xdr:contentPart>
      </mc:Choice>
      <mc:Fallback xmlns="">
        <xdr:pic>
          <xdr:nvPicPr>
            <xdr:cNvPr id="5" name="Freihand 4">
              <a:extLst>
                <a:ext uri="{FF2B5EF4-FFF2-40B4-BE49-F238E27FC236}">
                  <a16:creationId xmlns:a16="http://schemas.microsoft.com/office/drawing/2014/main" id="{206559AB-104C-FB2F-6192-EDB662DCA1AB}"/>
                </a:ext>
              </a:extLst>
            </xdr:cNvPr>
            <xdr:cNvPicPr/>
          </xdr:nvPicPr>
          <xdr:blipFill>
            <a:blip xmlns:r="http://schemas.openxmlformats.org/officeDocument/2006/relationships" r:embed="rId8"/>
            <a:stretch>
              <a:fillRect/>
            </a:stretch>
          </xdr:blipFill>
          <xdr:spPr>
            <a:xfrm>
              <a:off x="9943548" y="122040"/>
              <a:ext cx="32760" cy="31680"/>
            </a:xfrm>
            <a:prstGeom prst="rect">
              <a:avLst/>
            </a:prstGeom>
          </xdr:spPr>
        </xdr:pic>
      </mc:Fallback>
    </mc:AlternateContent>
    <xdr:clientData/>
  </xdr:twoCellAnchor>
  <xdr:twoCellAnchor editAs="oneCell">
    <xdr:from>
      <xdr:col>5</xdr:col>
      <xdr:colOff>246836</xdr:colOff>
      <xdr:row>0</xdr:row>
      <xdr:rowOff>236880</xdr:rowOff>
    </xdr:from>
    <xdr:to>
      <xdr:col>5</xdr:col>
      <xdr:colOff>267716</xdr:colOff>
      <xdr:row>0</xdr:row>
      <xdr:rowOff>252000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Freihand 5">
              <a:extLst>
                <a:ext uri="{FF2B5EF4-FFF2-40B4-BE49-F238E27FC236}">
                  <a16:creationId xmlns:a16="http://schemas.microsoft.com/office/drawing/2014/main" id="{CAF3A3F8-9E94-0C5B-E362-D261C4C2B345}"/>
                </a:ext>
              </a:extLst>
            </xdr14:cNvPr>
            <xdr14:cNvContentPartPr/>
          </xdr14:nvContentPartPr>
          <xdr14:nvPr macro=""/>
          <xdr14:xfrm>
            <a:off x="9824388" y="236880"/>
            <a:ext cx="20880" cy="15120"/>
          </xdr14:xfrm>
        </xdr:contentPart>
      </mc:Choice>
      <mc:Fallback xmlns="">
        <xdr:pic>
          <xdr:nvPicPr>
            <xdr:cNvPr id="6" name="Freihand 5">
              <a:extLst>
                <a:ext uri="{FF2B5EF4-FFF2-40B4-BE49-F238E27FC236}">
                  <a16:creationId xmlns:a16="http://schemas.microsoft.com/office/drawing/2014/main" id="{CAF3A3F8-9E94-0C5B-E362-D261C4C2B345}"/>
                </a:ext>
              </a:extLst>
            </xdr:cNvPr>
            <xdr:cNvPicPr/>
          </xdr:nvPicPr>
          <xdr:blipFill>
            <a:blip xmlns:r="http://schemas.openxmlformats.org/officeDocument/2006/relationships" r:embed="rId10"/>
            <a:stretch>
              <a:fillRect/>
            </a:stretch>
          </xdr:blipFill>
          <xdr:spPr>
            <a:xfrm>
              <a:off x="9818268" y="230760"/>
              <a:ext cx="33120" cy="27360"/>
            </a:xfrm>
            <a:prstGeom prst="rect">
              <a:avLst/>
            </a:prstGeom>
          </xdr:spPr>
        </xdr:pic>
      </mc:Fallback>
    </mc:AlternateContent>
    <xdr:clientData/>
  </xdr:twoCellAnchor>
  <xdr:twoCellAnchor editAs="oneCell">
    <xdr:from>
      <xdr:col>5</xdr:col>
      <xdr:colOff>160436</xdr:colOff>
      <xdr:row>0</xdr:row>
      <xdr:rowOff>192240</xdr:rowOff>
    </xdr:from>
    <xdr:to>
      <xdr:col>5</xdr:col>
      <xdr:colOff>185276</xdr:colOff>
      <xdr:row>0</xdr:row>
      <xdr:rowOff>201240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Freihand 6">
              <a:extLst>
                <a:ext uri="{FF2B5EF4-FFF2-40B4-BE49-F238E27FC236}">
                  <a16:creationId xmlns:a16="http://schemas.microsoft.com/office/drawing/2014/main" id="{F33B1A6F-9C23-FFE0-15F1-8C74B023D438}"/>
                </a:ext>
              </a:extLst>
            </xdr14:cNvPr>
            <xdr14:cNvContentPartPr/>
          </xdr14:nvContentPartPr>
          <xdr14:nvPr macro=""/>
          <xdr14:xfrm>
            <a:off x="9737988" y="192240"/>
            <a:ext cx="24840" cy="9000"/>
          </xdr14:xfrm>
        </xdr:contentPart>
      </mc:Choice>
      <mc:Fallback xmlns="">
        <xdr:pic>
          <xdr:nvPicPr>
            <xdr:cNvPr id="7" name="Freihand 6">
              <a:extLst>
                <a:ext uri="{FF2B5EF4-FFF2-40B4-BE49-F238E27FC236}">
                  <a16:creationId xmlns:a16="http://schemas.microsoft.com/office/drawing/2014/main" id="{F33B1A6F-9C23-FFE0-15F1-8C74B023D438}"/>
                </a:ext>
              </a:extLst>
            </xdr:cNvPr>
            <xdr:cNvPicPr/>
          </xdr:nvPicPr>
          <xdr:blipFill>
            <a:blip xmlns:r="http://schemas.openxmlformats.org/officeDocument/2006/relationships" r:embed="rId12"/>
            <a:stretch>
              <a:fillRect/>
            </a:stretch>
          </xdr:blipFill>
          <xdr:spPr>
            <a:xfrm>
              <a:off x="9731868" y="186120"/>
              <a:ext cx="37080" cy="21240"/>
            </a:xfrm>
            <a:prstGeom prst="rect">
              <a:avLst/>
            </a:prstGeom>
          </xdr:spPr>
        </xdr:pic>
      </mc:Fallback>
    </mc:AlternateContent>
    <xdr:clientData/>
  </xdr:twoCellAnchor>
  <xdr:twoCellAnchor editAs="oneCell">
    <xdr:from>
      <xdr:col>5</xdr:col>
      <xdr:colOff>247196</xdr:colOff>
      <xdr:row>0</xdr:row>
      <xdr:rowOff>154800</xdr:rowOff>
    </xdr:from>
    <xdr:to>
      <xdr:col>5</xdr:col>
      <xdr:colOff>256916</xdr:colOff>
      <xdr:row>0</xdr:row>
      <xdr:rowOff>162360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Freihand 7">
              <a:extLst>
                <a:ext uri="{FF2B5EF4-FFF2-40B4-BE49-F238E27FC236}">
                  <a16:creationId xmlns:a16="http://schemas.microsoft.com/office/drawing/2014/main" id="{8056BF04-45FD-763C-1F1F-2EF2799F8221}"/>
                </a:ext>
              </a:extLst>
            </xdr14:cNvPr>
            <xdr14:cNvContentPartPr/>
          </xdr14:nvContentPartPr>
          <xdr14:nvPr macro=""/>
          <xdr14:xfrm>
            <a:off x="9824748" y="154800"/>
            <a:ext cx="9720" cy="7560"/>
          </xdr14:xfrm>
        </xdr:contentPart>
      </mc:Choice>
      <mc:Fallback xmlns="">
        <xdr:pic>
          <xdr:nvPicPr>
            <xdr:cNvPr id="8" name="Freihand 7">
              <a:extLst>
                <a:ext uri="{FF2B5EF4-FFF2-40B4-BE49-F238E27FC236}">
                  <a16:creationId xmlns:a16="http://schemas.microsoft.com/office/drawing/2014/main" id="{8056BF04-45FD-763C-1F1F-2EF2799F8221}"/>
                </a:ext>
              </a:extLst>
            </xdr:cNvPr>
            <xdr:cNvPicPr/>
          </xdr:nvPicPr>
          <xdr:blipFill>
            <a:blip xmlns:r="http://schemas.openxmlformats.org/officeDocument/2006/relationships" r:embed="rId14"/>
            <a:stretch>
              <a:fillRect/>
            </a:stretch>
          </xdr:blipFill>
          <xdr:spPr>
            <a:xfrm>
              <a:off x="9818628" y="148680"/>
              <a:ext cx="21960" cy="19800"/>
            </a:xfrm>
            <a:prstGeom prst="rect">
              <a:avLst/>
            </a:prstGeom>
          </xdr:spPr>
        </xdr:pic>
      </mc:Fallback>
    </mc:AlternateContent>
    <xdr:clientData/>
  </xdr:twoCellAnchor>
  <xdr:twoCellAnchor editAs="oneCell">
    <xdr:from>
      <xdr:col>5</xdr:col>
      <xdr:colOff>24842</xdr:colOff>
      <xdr:row>1</xdr:row>
      <xdr:rowOff>281609</xdr:rowOff>
    </xdr:from>
    <xdr:to>
      <xdr:col>6</xdr:col>
      <xdr:colOff>26000</xdr:colOff>
      <xdr:row>3</xdr:row>
      <xdr:rowOff>66262</xdr:rowOff>
    </xdr:to>
    <xdr:pic>
      <xdr:nvPicPr>
        <xdr:cNvPr id="2" name="Grafik 1">
          <a:hlinkClick xmlns:r="http://schemas.openxmlformats.org/officeDocument/2006/relationships" r:id="rId15"/>
          <a:extLst>
            <a:ext uri="{FF2B5EF4-FFF2-40B4-BE49-F238E27FC236}">
              <a16:creationId xmlns:a16="http://schemas.microsoft.com/office/drawing/2014/main" id="{A7769B51-F39D-4C51-9998-431204764CC5}"/>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918168" y="770283"/>
          <a:ext cx="763158" cy="4306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16</xdr:row>
          <xdr:rowOff>9525</xdr:rowOff>
        </xdr:from>
        <xdr:to>
          <xdr:col>2</xdr:col>
          <xdr:colOff>504825</xdr:colOff>
          <xdr:row>16</xdr:row>
          <xdr:rowOff>228600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D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9525</xdr:rowOff>
        </xdr:from>
        <xdr:to>
          <xdr:col>2</xdr:col>
          <xdr:colOff>523875</xdr:colOff>
          <xdr:row>17</xdr:row>
          <xdr:rowOff>228600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D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790575</xdr:colOff>
          <xdr:row>19</xdr:row>
          <xdr:rowOff>19050</xdr:rowOff>
        </xdr:from>
        <xdr:to>
          <xdr:col>6</xdr:col>
          <xdr:colOff>866775</xdr:colOff>
          <xdr:row>19</xdr:row>
          <xdr:rowOff>209550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D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790575</xdr:colOff>
          <xdr:row>20</xdr:row>
          <xdr:rowOff>19050</xdr:rowOff>
        </xdr:from>
        <xdr:to>
          <xdr:col>6</xdr:col>
          <xdr:colOff>866775</xdr:colOff>
          <xdr:row>20</xdr:row>
          <xdr:rowOff>219075</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D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xdr:colOff>
      <xdr:row>0</xdr:row>
      <xdr:rowOff>25401</xdr:rowOff>
    </xdr:from>
    <xdr:to>
      <xdr:col>1</xdr:col>
      <xdr:colOff>952500</xdr:colOff>
      <xdr:row>2</xdr:row>
      <xdr:rowOff>11490</xdr:rowOff>
    </xdr:to>
    <xdr:pic>
      <xdr:nvPicPr>
        <xdr:cNvPr id="3" name="Grafik 17">
          <a:hlinkClick xmlns:r="http://schemas.openxmlformats.org/officeDocument/2006/relationships" r:id="rId1"/>
          <a:extLst>
            <a:ext uri="{FF2B5EF4-FFF2-40B4-BE49-F238E27FC236}">
              <a16:creationId xmlns:a16="http://schemas.microsoft.com/office/drawing/2014/main" id="{3B6760F8-AD42-4C52-8295-F9DACF1453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1" y="25401"/>
          <a:ext cx="952499" cy="417889"/>
        </a:xfrm>
        <a:prstGeom prst="rect">
          <a:avLst/>
        </a:prstGeom>
      </xdr:spPr>
    </xdr:pic>
    <xdr:clientData/>
  </xdr:twoCellAnchor>
  <xdr:twoCellAnchor editAs="oneCell">
    <xdr:from>
      <xdr:col>9</xdr:col>
      <xdr:colOff>82551</xdr:colOff>
      <xdr:row>0</xdr:row>
      <xdr:rowOff>0</xdr:rowOff>
    </xdr:from>
    <xdr:to>
      <xdr:col>10</xdr:col>
      <xdr:colOff>12700</xdr:colOff>
      <xdr:row>1</xdr:row>
      <xdr:rowOff>227389</xdr:rowOff>
    </xdr:to>
    <xdr:pic>
      <xdr:nvPicPr>
        <xdr:cNvPr id="4" name="Grafik 17">
          <a:hlinkClick xmlns:r="http://schemas.openxmlformats.org/officeDocument/2006/relationships" r:id="rId1"/>
          <a:extLst>
            <a:ext uri="{FF2B5EF4-FFF2-40B4-BE49-F238E27FC236}">
              <a16:creationId xmlns:a16="http://schemas.microsoft.com/office/drawing/2014/main" id="{976978ED-5C46-48F5-803C-BEF88C25F0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836151" y="0"/>
          <a:ext cx="952499" cy="41788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19050</xdr:colOff>
          <xdr:row>11</xdr:row>
          <xdr:rowOff>228600</xdr:rowOff>
        </xdr:from>
        <xdr:to>
          <xdr:col>9</xdr:col>
          <xdr:colOff>990600</xdr:colOff>
          <xdr:row>13</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D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xdr:twoCellAnchor editAs="oneCell">
    <xdr:from>
      <xdr:col>2</xdr:col>
      <xdr:colOff>3689349</xdr:colOff>
      <xdr:row>0</xdr:row>
      <xdr:rowOff>0</xdr:rowOff>
    </xdr:from>
    <xdr:to>
      <xdr:col>3</xdr:col>
      <xdr:colOff>605572</xdr:colOff>
      <xdr:row>1</xdr:row>
      <xdr:rowOff>12700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122FF90E-704B-47DC-A201-1DDC16541AF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308849" y="0"/>
          <a:ext cx="605573" cy="438150"/>
        </a:xfrm>
        <a:prstGeom prst="rect">
          <a:avLst/>
        </a:prstGeom>
      </xdr:spPr>
    </xdr:pic>
    <xdr:clientData/>
  </xdr:twoCellAnchor>
  <xdr:twoCellAnchor editAs="oneCell">
    <xdr:from>
      <xdr:col>3</xdr:col>
      <xdr:colOff>895350</xdr:colOff>
      <xdr:row>0</xdr:row>
      <xdr:rowOff>0</xdr:rowOff>
    </xdr:from>
    <xdr:to>
      <xdr:col>3</xdr:col>
      <xdr:colOff>1904999</xdr:colOff>
      <xdr:row>1</xdr:row>
      <xdr:rowOff>73706</xdr:rowOff>
    </xdr:to>
    <xdr:pic>
      <xdr:nvPicPr>
        <xdr:cNvPr id="2" name="Grafik 1">
          <a:hlinkClick xmlns:r="http://schemas.openxmlformats.org/officeDocument/2006/relationships" r:id="rId4"/>
          <a:extLst>
            <a:ext uri="{FF2B5EF4-FFF2-40B4-BE49-F238E27FC236}">
              <a16:creationId xmlns:a16="http://schemas.microsoft.com/office/drawing/2014/main" id="{5F6D8B68-F573-4B08-835E-EC17E06E336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382000" y="0"/>
          <a:ext cx="1009649" cy="492806"/>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476250</xdr:colOff>
      <xdr:row>0</xdr:row>
      <xdr:rowOff>390525</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567A8156-5F93-4A3D-B6A3-4FFBDEE68FB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601200" y="0"/>
          <a:ext cx="476250" cy="390525"/>
        </a:xfrm>
        <a:prstGeom prst="rect">
          <a:avLst/>
        </a:prstGeom>
      </xdr:spPr>
    </xdr:pic>
    <xdr:clientData/>
  </xdr:twoCellAnchor>
  <xdr:twoCellAnchor editAs="oneCell">
    <xdr:from>
      <xdr:col>1</xdr:col>
      <xdr:colOff>104775</xdr:colOff>
      <xdr:row>0</xdr:row>
      <xdr:rowOff>0</xdr:rowOff>
    </xdr:from>
    <xdr:to>
      <xdr:col>1</xdr:col>
      <xdr:colOff>1266825</xdr:colOff>
      <xdr:row>1</xdr:row>
      <xdr:rowOff>90942</xdr:rowOff>
    </xdr:to>
    <xdr:pic>
      <xdr:nvPicPr>
        <xdr:cNvPr id="3" name="Grafik 2">
          <a:hlinkClick xmlns:r="http://schemas.openxmlformats.org/officeDocument/2006/relationships" r:id="rId4"/>
          <a:extLst>
            <a:ext uri="{FF2B5EF4-FFF2-40B4-BE49-F238E27FC236}">
              <a16:creationId xmlns:a16="http://schemas.microsoft.com/office/drawing/2014/main" id="{3DE0720F-DB0B-48B2-A0BC-A0D9AB0217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47775" y="0"/>
          <a:ext cx="1162050" cy="567192"/>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2</xdr:col>
      <xdr:colOff>124984</xdr:colOff>
      <xdr:row>3</xdr:row>
      <xdr:rowOff>38100</xdr:rowOff>
    </xdr:to>
    <xdr:pic>
      <xdr:nvPicPr>
        <xdr:cNvPr id="2" name="Grafik 1">
          <a:hlinkClick xmlns:r="http://schemas.openxmlformats.org/officeDocument/2006/relationships" r:id="rId1"/>
          <a:extLst>
            <a:ext uri="{FF2B5EF4-FFF2-40B4-BE49-F238E27FC236}">
              <a16:creationId xmlns:a16="http://schemas.microsoft.com/office/drawing/2014/main" id="{B15938C1-DA32-4403-B746-9A14ED694C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 y="0"/>
          <a:ext cx="1248934" cy="6096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26</xdr:col>
      <xdr:colOff>0</xdr:colOff>
      <xdr:row>0</xdr:row>
      <xdr:rowOff>264240</xdr:rowOff>
    </xdr:from>
    <xdr:to>
      <xdr:col>26</xdr:col>
      <xdr:colOff>72720</xdr:colOff>
      <xdr:row>0</xdr:row>
      <xdr:rowOff>292680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Freihand 2">
              <a:extLst>
                <a:ext uri="{FF2B5EF4-FFF2-40B4-BE49-F238E27FC236}">
                  <a16:creationId xmlns:a16="http://schemas.microsoft.com/office/drawing/2014/main" id="{2F555115-097F-07E6-304E-5C06B2D18540}"/>
                </a:ext>
              </a:extLst>
            </xdr14:cNvPr>
            <xdr14:cNvContentPartPr/>
          </xdr14:nvContentPartPr>
          <xdr14:nvPr macro=""/>
          <xdr14:xfrm>
            <a:off x="15868900" y="264240"/>
            <a:ext cx="72720" cy="28440"/>
          </xdr14:xfrm>
        </xdr:contentPart>
      </mc:Choice>
      <mc:Fallback xmlns="">
        <xdr:pic>
          <xdr:nvPicPr>
            <xdr:cNvPr id="3" name="Freihand 2">
              <a:extLst>
                <a:ext uri="{FF2B5EF4-FFF2-40B4-BE49-F238E27FC236}">
                  <a16:creationId xmlns:a16="http://schemas.microsoft.com/office/drawing/2014/main" id="{2F555115-097F-07E6-304E-5C06B2D18540}"/>
                </a:ext>
              </a:extLst>
            </xdr:cNvPr>
            <xdr:cNvPicPr/>
          </xdr:nvPicPr>
          <xdr:blipFill>
            <a:blip xmlns:r="http://schemas.openxmlformats.org/officeDocument/2006/relationships" r:embed="rId5"/>
            <a:stretch>
              <a:fillRect/>
            </a:stretch>
          </xdr:blipFill>
          <xdr:spPr>
            <a:xfrm>
              <a:off x="15862780" y="258120"/>
              <a:ext cx="84960" cy="40680"/>
            </a:xfrm>
            <a:prstGeom prst="rect">
              <a:avLst/>
            </a:prstGeom>
          </xdr:spPr>
        </xdr:pic>
      </mc:Fallback>
    </mc:AlternateContent>
    <xdr:clientData/>
  </xdr:twoCellAnchor>
  <xdr:twoCellAnchor editAs="oneCell">
    <xdr:from>
      <xdr:col>15</xdr:col>
      <xdr:colOff>88900</xdr:colOff>
      <xdr:row>0</xdr:row>
      <xdr:rowOff>98425</xdr:rowOff>
    </xdr:from>
    <xdr:to>
      <xdr:col>15</xdr:col>
      <xdr:colOff>628650</xdr:colOff>
      <xdr:row>0</xdr:row>
      <xdr:rowOff>492125</xdr:rowOff>
    </xdr:to>
    <xdr:pic>
      <xdr:nvPicPr>
        <xdr:cNvPr id="5" name="Grafik 4" descr="Anfangen mit einfarbiger Füllung">
          <a:hlinkClick xmlns:r="http://schemas.openxmlformats.org/officeDocument/2006/relationships" r:id="rId6"/>
          <a:extLst>
            <a:ext uri="{FF2B5EF4-FFF2-40B4-BE49-F238E27FC236}">
              <a16:creationId xmlns:a16="http://schemas.microsoft.com/office/drawing/2014/main" id="{27A6E56C-5EAD-4F2C-87CA-5447FE7F341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546850" y="98425"/>
          <a:ext cx="539750" cy="393700"/>
        </a:xfrm>
        <a:prstGeom prst="rect">
          <a:avLst/>
        </a:prstGeom>
      </xdr:spPr>
    </xdr:pic>
    <xdr:clientData/>
  </xdr:twoCellAnchor>
  <xdr:twoCellAnchor editAs="oneCell">
    <xdr:from>
      <xdr:col>15</xdr:col>
      <xdr:colOff>1920112</xdr:colOff>
      <xdr:row>0</xdr:row>
      <xdr:rowOff>28575</xdr:rowOff>
    </xdr:from>
    <xdr:to>
      <xdr:col>16</xdr:col>
      <xdr:colOff>17993</xdr:colOff>
      <xdr:row>0</xdr:row>
      <xdr:rowOff>542924</xdr:rowOff>
    </xdr:to>
    <xdr:pic>
      <xdr:nvPicPr>
        <xdr:cNvPr id="2" name="Grafik 1">
          <a:hlinkClick xmlns:r="http://schemas.openxmlformats.org/officeDocument/2006/relationships" r:id="rId9"/>
          <a:extLst>
            <a:ext uri="{FF2B5EF4-FFF2-40B4-BE49-F238E27FC236}">
              <a16:creationId xmlns:a16="http://schemas.microsoft.com/office/drawing/2014/main" id="{F12FC608-0359-4C9E-91EE-7515F0DEFE4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759062" y="28575"/>
          <a:ext cx="907756" cy="51434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114300</xdr:colOff>
      <xdr:row>1</xdr:row>
      <xdr:rowOff>104775</xdr:rowOff>
    </xdr:from>
    <xdr:to>
      <xdr:col>18</xdr:col>
      <xdr:colOff>590550</xdr:colOff>
      <xdr:row>2</xdr:row>
      <xdr:rowOff>95250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8A990251-729B-4AE9-8277-6ED2CC9028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791825" y="295275"/>
          <a:ext cx="476250" cy="390525"/>
        </a:xfrm>
        <a:prstGeom prst="rect">
          <a:avLst/>
        </a:prstGeom>
      </xdr:spPr>
    </xdr:pic>
    <xdr:clientData/>
  </xdr:twoCellAnchor>
  <xdr:twoCellAnchor editAs="oneCell">
    <xdr:from>
      <xdr:col>20</xdr:col>
      <xdr:colOff>0</xdr:colOff>
      <xdr:row>10</xdr:row>
      <xdr:rowOff>0</xdr:rowOff>
    </xdr:from>
    <xdr:to>
      <xdr:col>16384</xdr:col>
      <xdr:colOff>304800</xdr:colOff>
      <xdr:row>11</xdr:row>
      <xdr:rowOff>66675</xdr:rowOff>
    </xdr:to>
    <xdr:sp macro="" textlink="">
      <xdr:nvSpPr>
        <xdr:cNvPr id="196609" name="AutoShape 1" descr="Europa Flagge Fahne ca. 90 x 150 cm mit 2 Ösen Hissflagge EU Europäische Union - Bild 1 von 6">
          <a:extLst>
            <a:ext uri="{FF2B5EF4-FFF2-40B4-BE49-F238E27FC236}">
              <a16:creationId xmlns:a16="http://schemas.microsoft.com/office/drawing/2014/main" id="{DBBB8275-7E40-70D8-CAF4-ABC7FE93EC1A}"/>
            </a:ext>
          </a:extLst>
        </xdr:cNvPr>
        <xdr:cNvSpPr>
          <a:spLocks noChangeAspect="1" noChangeArrowheads="1"/>
        </xdr:cNvSpPr>
      </xdr:nvSpPr>
      <xdr:spPr bwMode="auto">
        <a:xfrm>
          <a:off x="12439650" y="268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10</xdr:row>
      <xdr:rowOff>0</xdr:rowOff>
    </xdr:from>
    <xdr:to>
      <xdr:col>16384</xdr:col>
      <xdr:colOff>304800</xdr:colOff>
      <xdr:row>11</xdr:row>
      <xdr:rowOff>66675</xdr:rowOff>
    </xdr:to>
    <xdr:sp macro="" textlink="">
      <xdr:nvSpPr>
        <xdr:cNvPr id="196610" name="AutoShape 2" descr="Europa Flagge Fahne ca. 90 x 150 cm mit 2 Ösen Hissflagge EU Europäische Union - Bild 1 von 6">
          <a:extLst>
            <a:ext uri="{FF2B5EF4-FFF2-40B4-BE49-F238E27FC236}">
              <a16:creationId xmlns:a16="http://schemas.microsoft.com/office/drawing/2014/main" id="{80579DC7-9489-5651-5B68-66CD321A1073}"/>
            </a:ext>
          </a:extLst>
        </xdr:cNvPr>
        <xdr:cNvSpPr>
          <a:spLocks noChangeAspect="1" noChangeArrowheads="1"/>
        </xdr:cNvSpPr>
      </xdr:nvSpPr>
      <xdr:spPr bwMode="auto">
        <a:xfrm>
          <a:off x="12439650" y="268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361950</xdr:colOff>
      <xdr:row>0</xdr:row>
      <xdr:rowOff>0</xdr:rowOff>
    </xdr:from>
    <xdr:to>
      <xdr:col>16</xdr:col>
      <xdr:colOff>220234</xdr:colOff>
      <xdr:row>1</xdr:row>
      <xdr:rowOff>209550</xdr:rowOff>
    </xdr:to>
    <xdr:pic>
      <xdr:nvPicPr>
        <xdr:cNvPr id="2" name="Grafik 1">
          <a:hlinkClick xmlns:r="http://schemas.openxmlformats.org/officeDocument/2006/relationships" r:id="rId4"/>
          <a:extLst>
            <a:ext uri="{FF2B5EF4-FFF2-40B4-BE49-F238E27FC236}">
              <a16:creationId xmlns:a16="http://schemas.microsoft.com/office/drawing/2014/main" id="{1EA92208-D31E-40E4-84D6-1921C98B4C2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72725" y="0"/>
          <a:ext cx="1248934" cy="6096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85725</xdr:colOff>
      <xdr:row>2</xdr:row>
      <xdr:rowOff>219075</xdr:rowOff>
    </xdr:from>
    <xdr:to>
      <xdr:col>2</xdr:col>
      <xdr:colOff>625475</xdr:colOff>
      <xdr:row>5</xdr:row>
      <xdr:rowOff>47625</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11D10108-B259-4244-8D45-25A501DD6A5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91200" y="600075"/>
          <a:ext cx="539750" cy="476250"/>
        </a:xfrm>
        <a:prstGeom prst="rect">
          <a:avLst/>
        </a:prstGeom>
      </xdr:spPr>
    </xdr:pic>
    <xdr:clientData/>
  </xdr:twoCellAnchor>
  <xdr:twoCellAnchor editAs="oneCell">
    <xdr:from>
      <xdr:col>1</xdr:col>
      <xdr:colOff>47625</xdr:colOff>
      <xdr:row>0</xdr:row>
      <xdr:rowOff>0</xdr:rowOff>
    </xdr:from>
    <xdr:to>
      <xdr:col>1</xdr:col>
      <xdr:colOff>1447800</xdr:colOff>
      <xdr:row>3</xdr:row>
      <xdr:rowOff>35720</xdr:rowOff>
    </xdr:to>
    <xdr:pic>
      <xdr:nvPicPr>
        <xdr:cNvPr id="3" name="Grafik 2">
          <a:hlinkClick xmlns:r="http://schemas.openxmlformats.org/officeDocument/2006/relationships" r:id="rId4"/>
          <a:extLst>
            <a:ext uri="{FF2B5EF4-FFF2-40B4-BE49-F238E27FC236}">
              <a16:creationId xmlns:a16="http://schemas.microsoft.com/office/drawing/2014/main" id="{41B257EB-FF57-4295-91CD-444DE6EBF7B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81150" y="0"/>
          <a:ext cx="1400175" cy="68342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602398</xdr:colOff>
      <xdr:row>0</xdr:row>
      <xdr:rowOff>431800</xdr:rowOff>
    </xdr:to>
    <xdr:pic>
      <xdr:nvPicPr>
        <xdr:cNvPr id="5" name="Grafik 4" descr="Anfangen mit einfarbiger Füllung">
          <a:hlinkClick xmlns:r="http://schemas.openxmlformats.org/officeDocument/2006/relationships" r:id="rId1"/>
          <a:extLst>
            <a:ext uri="{FF2B5EF4-FFF2-40B4-BE49-F238E27FC236}">
              <a16:creationId xmlns:a16="http://schemas.microsoft.com/office/drawing/2014/main" id="{EA715E2E-CAA4-45B6-AB36-5B14E149FC0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372850" y="0"/>
          <a:ext cx="602398" cy="431800"/>
        </a:xfrm>
        <a:prstGeom prst="rect">
          <a:avLst/>
        </a:prstGeom>
      </xdr:spPr>
    </xdr:pic>
    <xdr:clientData/>
  </xdr:twoCellAnchor>
  <xdr:twoCellAnchor editAs="oneCell">
    <xdr:from>
      <xdr:col>1</xdr:col>
      <xdr:colOff>1</xdr:colOff>
      <xdr:row>0</xdr:row>
      <xdr:rowOff>38101</xdr:rowOff>
    </xdr:from>
    <xdr:to>
      <xdr:col>2</xdr:col>
      <xdr:colOff>1160</xdr:colOff>
      <xdr:row>0</xdr:row>
      <xdr:rowOff>647701</xdr:rowOff>
    </xdr:to>
    <xdr:pic>
      <xdr:nvPicPr>
        <xdr:cNvPr id="2" name="Grafik 1">
          <a:hlinkClick xmlns:r="http://schemas.openxmlformats.org/officeDocument/2006/relationships" r:id="rId4"/>
          <a:extLst>
            <a:ext uri="{FF2B5EF4-FFF2-40B4-BE49-F238E27FC236}">
              <a16:creationId xmlns:a16="http://schemas.microsoft.com/office/drawing/2014/main" id="{DD6FD5FB-5D62-4035-B993-6569793E48A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5776" y="38101"/>
          <a:ext cx="1248934" cy="6096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6</xdr:col>
      <xdr:colOff>9524</xdr:colOff>
      <xdr:row>2</xdr:row>
      <xdr:rowOff>6828</xdr:rowOff>
    </xdr:from>
    <xdr:to>
      <xdr:col>6</xdr:col>
      <xdr:colOff>542925</xdr:colOff>
      <xdr:row>2</xdr:row>
      <xdr:rowOff>438150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52B9BB18-CC7F-4BF1-9557-B279B5BBC30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162924" y="559278"/>
          <a:ext cx="533401" cy="431322"/>
        </a:xfrm>
        <a:prstGeom prst="rect">
          <a:avLst/>
        </a:prstGeom>
      </xdr:spPr>
    </xdr:pic>
    <xdr:clientData/>
  </xdr:twoCellAnchor>
  <xdr:twoCellAnchor editAs="oneCell">
    <xdr:from>
      <xdr:col>6</xdr:col>
      <xdr:colOff>104775</xdr:colOff>
      <xdr:row>0</xdr:row>
      <xdr:rowOff>171450</xdr:rowOff>
    </xdr:from>
    <xdr:to>
      <xdr:col>6</xdr:col>
      <xdr:colOff>981075</xdr:colOff>
      <xdr:row>2</xdr:row>
      <xdr:rowOff>89126</xdr:rowOff>
    </xdr:to>
    <xdr:pic>
      <xdr:nvPicPr>
        <xdr:cNvPr id="2" name="Grafik 1">
          <a:hlinkClick xmlns:r="http://schemas.openxmlformats.org/officeDocument/2006/relationships" r:id="rId4"/>
          <a:extLst>
            <a:ext uri="{FF2B5EF4-FFF2-40B4-BE49-F238E27FC236}">
              <a16:creationId xmlns:a16="http://schemas.microsoft.com/office/drawing/2014/main" id="{84CB4709-93F2-422E-85CE-EC5AFDF5D1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544300" y="171450"/>
          <a:ext cx="876300" cy="470126"/>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16384</xdr:col>
      <xdr:colOff>49948</xdr:colOff>
      <xdr:row>8</xdr:row>
      <xdr:rowOff>431800</xdr:rowOff>
    </xdr:to>
    <xdr:pic>
      <xdr:nvPicPr>
        <xdr:cNvPr id="8" name="Grafik 7" descr="Anfangen mit einfarbiger Füllung">
          <a:hlinkClick xmlns:r="http://schemas.openxmlformats.org/officeDocument/2006/relationships" r:id="rId1"/>
          <a:extLst>
            <a:ext uri="{FF2B5EF4-FFF2-40B4-BE49-F238E27FC236}">
              <a16:creationId xmlns:a16="http://schemas.microsoft.com/office/drawing/2014/main" id="{098D5A01-8208-4150-80FD-4D213805F19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077200" y="2000250"/>
          <a:ext cx="602398" cy="431800"/>
        </a:xfrm>
        <a:prstGeom prst="rect">
          <a:avLst/>
        </a:prstGeom>
      </xdr:spPr>
    </xdr:pic>
    <xdr:clientData/>
  </xdr:twoCellAnchor>
  <xdr:twoCellAnchor editAs="oneCell">
    <xdr:from>
      <xdr:col>0</xdr:col>
      <xdr:colOff>138692</xdr:colOff>
      <xdr:row>0</xdr:row>
      <xdr:rowOff>89908</xdr:rowOff>
    </xdr:from>
    <xdr:to>
      <xdr:col>0</xdr:col>
      <xdr:colOff>748292</xdr:colOff>
      <xdr:row>6</xdr:row>
      <xdr:rowOff>119642</xdr:rowOff>
    </xdr:to>
    <xdr:pic>
      <xdr:nvPicPr>
        <xdr:cNvPr id="2" name="Grafik 1">
          <a:hlinkClick xmlns:r="http://schemas.openxmlformats.org/officeDocument/2006/relationships" r:id="rId4"/>
          <a:extLst>
            <a:ext uri="{FF2B5EF4-FFF2-40B4-BE49-F238E27FC236}">
              <a16:creationId xmlns:a16="http://schemas.microsoft.com/office/drawing/2014/main" id="{41D6104F-6394-4472-BAE2-54636A27934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6200000">
          <a:off x="-180975" y="409575"/>
          <a:ext cx="1248934" cy="6096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63500</xdr:colOff>
      <xdr:row>2</xdr:row>
      <xdr:rowOff>184151</xdr:rowOff>
    </xdr:from>
    <xdr:to>
      <xdr:col>1</xdr:col>
      <xdr:colOff>665898</xdr:colOff>
      <xdr:row>5</xdr:row>
      <xdr:rowOff>9526</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CC1DA486-35F0-4747-A6D2-E576C16506C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54050" y="574676"/>
          <a:ext cx="602398" cy="406400"/>
        </a:xfrm>
        <a:prstGeom prst="rect">
          <a:avLst/>
        </a:prstGeom>
      </xdr:spPr>
    </xdr:pic>
    <xdr:clientData/>
  </xdr:twoCellAnchor>
  <xdr:twoCellAnchor editAs="oneCell">
    <xdr:from>
      <xdr:col>0</xdr:col>
      <xdr:colOff>0</xdr:colOff>
      <xdr:row>0</xdr:row>
      <xdr:rowOff>0</xdr:rowOff>
    </xdr:from>
    <xdr:to>
      <xdr:col>1</xdr:col>
      <xdr:colOff>19050</xdr:colOff>
      <xdr:row>6</xdr:row>
      <xdr:rowOff>86884</xdr:rowOff>
    </xdr:to>
    <xdr:pic>
      <xdr:nvPicPr>
        <xdr:cNvPr id="3" name="Grafik 2">
          <a:hlinkClick xmlns:r="http://schemas.openxmlformats.org/officeDocument/2006/relationships" r:id="rId4"/>
          <a:extLst>
            <a:ext uri="{FF2B5EF4-FFF2-40B4-BE49-F238E27FC236}">
              <a16:creationId xmlns:a16="http://schemas.microsoft.com/office/drawing/2014/main" id="{49076B4F-2388-405A-9AB4-D1FE5BF079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6200000">
          <a:off x="-319667" y="319667"/>
          <a:ext cx="1248934" cy="609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26</xdr:row>
          <xdr:rowOff>19050</xdr:rowOff>
        </xdr:from>
        <xdr:to>
          <xdr:col>1</xdr:col>
          <xdr:colOff>2095500</xdr:colOff>
          <xdr:row>27</xdr:row>
          <xdr:rowOff>9525</xdr:rowOff>
        </xdr:to>
        <xdr:sp macro="" textlink="">
          <xdr:nvSpPr>
            <xdr:cNvPr id="72709" name="Check Box 5" hidden="1">
              <a:extLst>
                <a:ext uri="{63B3BB69-23CF-44E3-9099-C40C66FF867C}">
                  <a14:compatExt spid="_x0000_s72709"/>
                </a:ext>
                <a:ext uri="{FF2B5EF4-FFF2-40B4-BE49-F238E27FC236}">
                  <a16:creationId xmlns:a16="http://schemas.microsoft.com/office/drawing/2014/main" id="{00000000-0008-0000-0E00-00000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Zuschlag f. Invaliditätsabsicherung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28575</xdr:rowOff>
        </xdr:from>
        <xdr:to>
          <xdr:col>1</xdr:col>
          <xdr:colOff>2867025</xdr:colOff>
          <xdr:row>27</xdr:row>
          <xdr:rowOff>180975</xdr:rowOff>
        </xdr:to>
        <xdr:sp macro="" textlink="">
          <xdr:nvSpPr>
            <xdr:cNvPr id="72710" name="Check Box 6" hidden="1">
              <a:extLst>
                <a:ext uri="{63B3BB69-23CF-44E3-9099-C40C66FF867C}">
                  <a14:compatExt spid="_x0000_s72710"/>
                </a:ext>
                <a:ext uri="{FF2B5EF4-FFF2-40B4-BE49-F238E27FC236}">
                  <a16:creationId xmlns:a16="http://schemas.microsoft.com/office/drawing/2014/main" id="{00000000-0008-0000-0E00-00000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Zuschlag f. Hinterbliebenenversorgung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19050</xdr:rowOff>
        </xdr:from>
        <xdr:to>
          <xdr:col>5</xdr:col>
          <xdr:colOff>819150</xdr:colOff>
          <xdr:row>24</xdr:row>
          <xdr:rowOff>9525</xdr:rowOff>
        </xdr:to>
        <xdr:sp macro="" textlink="">
          <xdr:nvSpPr>
            <xdr:cNvPr id="72715" name="Check Box 11" hidden="1">
              <a:extLst>
                <a:ext uri="{63B3BB69-23CF-44E3-9099-C40C66FF867C}">
                  <a14:compatExt spid="_x0000_s72715"/>
                </a:ext>
                <a:ext uri="{FF2B5EF4-FFF2-40B4-BE49-F238E27FC236}">
                  <a16:creationId xmlns:a16="http://schemas.microsoft.com/office/drawing/2014/main" id="{00000000-0008-0000-0E00-00000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24</xdr:row>
          <xdr:rowOff>9525</xdr:rowOff>
        </xdr:from>
        <xdr:to>
          <xdr:col>6</xdr:col>
          <xdr:colOff>161925</xdr:colOff>
          <xdr:row>24</xdr:row>
          <xdr:rowOff>180975</xdr:rowOff>
        </xdr:to>
        <xdr:sp macro="" textlink="">
          <xdr:nvSpPr>
            <xdr:cNvPr id="72716" name="Check Box 12" hidden="1">
              <a:extLst>
                <a:ext uri="{63B3BB69-23CF-44E3-9099-C40C66FF867C}">
                  <a14:compatExt spid="_x0000_s72716"/>
                </a:ext>
                <a:ext uri="{FF2B5EF4-FFF2-40B4-BE49-F238E27FC236}">
                  <a16:creationId xmlns:a16="http://schemas.microsoft.com/office/drawing/2014/main" id="{00000000-0008-0000-0E00-00000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29</xdr:row>
          <xdr:rowOff>28575</xdr:rowOff>
        </xdr:from>
        <xdr:to>
          <xdr:col>1</xdr:col>
          <xdr:colOff>2857500</xdr:colOff>
          <xdr:row>29</xdr:row>
          <xdr:rowOff>180975</xdr:rowOff>
        </xdr:to>
        <xdr:sp macro="" textlink="">
          <xdr:nvSpPr>
            <xdr:cNvPr id="72717" name="Check Box 13" hidden="1">
              <a:extLst>
                <a:ext uri="{63B3BB69-23CF-44E3-9099-C40C66FF867C}">
                  <a14:compatExt spid="_x0000_s72717"/>
                </a:ext>
                <a:ext uri="{FF2B5EF4-FFF2-40B4-BE49-F238E27FC236}">
                  <a16:creationId xmlns:a16="http://schemas.microsoft.com/office/drawing/2014/main" id="{00000000-0008-0000-0E00-00000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30</xdr:row>
          <xdr:rowOff>19050</xdr:rowOff>
        </xdr:from>
        <xdr:to>
          <xdr:col>1</xdr:col>
          <xdr:colOff>2857500</xdr:colOff>
          <xdr:row>30</xdr:row>
          <xdr:rowOff>171450</xdr:rowOff>
        </xdr:to>
        <xdr:sp macro="" textlink="">
          <xdr:nvSpPr>
            <xdr:cNvPr id="72718" name="Check Box 14" hidden="1">
              <a:extLst>
                <a:ext uri="{63B3BB69-23CF-44E3-9099-C40C66FF867C}">
                  <a14:compatExt spid="_x0000_s72718"/>
                </a:ext>
                <a:ext uri="{FF2B5EF4-FFF2-40B4-BE49-F238E27FC236}">
                  <a16:creationId xmlns:a16="http://schemas.microsoft.com/office/drawing/2014/main" id="{00000000-0008-0000-0E00-00000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5954</xdr:colOff>
      <xdr:row>2</xdr:row>
      <xdr:rowOff>2</xdr:rowOff>
    </xdr:from>
    <xdr:to>
      <xdr:col>9</xdr:col>
      <xdr:colOff>1012031</xdr:colOff>
      <xdr:row>2</xdr:row>
      <xdr:rowOff>542194</xdr:rowOff>
    </xdr:to>
    <xdr:sp macro="" textlink="">
      <xdr:nvSpPr>
        <xdr:cNvPr id="6" name="Pfeil: nach links 5">
          <a:hlinkClick xmlns:r="http://schemas.openxmlformats.org/officeDocument/2006/relationships" r:id="rId1"/>
          <a:extLst>
            <a:ext uri="{FF2B5EF4-FFF2-40B4-BE49-F238E27FC236}">
              <a16:creationId xmlns:a16="http://schemas.microsoft.com/office/drawing/2014/main" id="{9F9670F9-7631-462D-AB06-A95F888B0BA5}"/>
            </a:ext>
          </a:extLst>
        </xdr:cNvPr>
        <xdr:cNvSpPr/>
      </xdr:nvSpPr>
      <xdr:spPr>
        <a:xfrm>
          <a:off x="9889973" y="432290"/>
          <a:ext cx="1006077" cy="542192"/>
        </a:xfrm>
        <a:prstGeom prst="leftArrow">
          <a:avLst>
            <a:gd name="adj1" fmla="val 50000"/>
            <a:gd name="adj2" fmla="val 37880"/>
          </a:avLst>
        </a:prstGeom>
        <a:solidFill>
          <a:srgbClr val="FFFF00"/>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600" b="1" u="sng">
              <a:solidFill>
                <a:schemeClr val="tx1"/>
              </a:solidFill>
            </a:rPr>
            <a:t>Zur Dateneingabe</a:t>
          </a:r>
        </a:p>
      </xdr:txBody>
    </xdr:sp>
    <xdr:clientData/>
  </xdr:twoCellAnchor>
  <xdr:twoCellAnchor editAs="oneCell">
    <xdr:from>
      <xdr:col>1</xdr:col>
      <xdr:colOff>113567</xdr:colOff>
      <xdr:row>0</xdr:row>
      <xdr:rowOff>0</xdr:rowOff>
    </xdr:from>
    <xdr:to>
      <xdr:col>1</xdr:col>
      <xdr:colOff>1068997</xdr:colOff>
      <xdr:row>1</xdr:row>
      <xdr:rowOff>227389</xdr:rowOff>
    </xdr:to>
    <xdr:pic>
      <xdr:nvPicPr>
        <xdr:cNvPr id="9" name="Grafik 17">
          <a:hlinkClick xmlns:r="http://schemas.openxmlformats.org/officeDocument/2006/relationships" r:id="rId2"/>
          <a:extLst>
            <a:ext uri="{FF2B5EF4-FFF2-40B4-BE49-F238E27FC236}">
              <a16:creationId xmlns:a16="http://schemas.microsoft.com/office/drawing/2014/main" id="{376B3DEF-67AF-4064-8840-F93095C4B2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2667" y="0"/>
          <a:ext cx="955430" cy="417889"/>
        </a:xfrm>
        <a:prstGeom prst="rect">
          <a:avLst/>
        </a:prstGeom>
      </xdr:spPr>
    </xdr:pic>
    <xdr:clientData/>
  </xdr:twoCellAnchor>
  <xdr:twoCellAnchor editAs="oneCell">
    <xdr:from>
      <xdr:col>9</xdr:col>
      <xdr:colOff>104531</xdr:colOff>
      <xdr:row>0</xdr:row>
      <xdr:rowOff>5953</xdr:rowOff>
    </xdr:from>
    <xdr:to>
      <xdr:col>10</xdr:col>
      <xdr:colOff>38587</xdr:colOff>
      <xdr:row>1</xdr:row>
      <xdr:rowOff>233342</xdr:rowOff>
    </xdr:to>
    <xdr:pic>
      <xdr:nvPicPr>
        <xdr:cNvPr id="10" name="Grafik 17">
          <a:hlinkClick xmlns:r="http://schemas.openxmlformats.org/officeDocument/2006/relationships" r:id="rId2"/>
          <a:extLst>
            <a:ext uri="{FF2B5EF4-FFF2-40B4-BE49-F238E27FC236}">
              <a16:creationId xmlns:a16="http://schemas.microsoft.com/office/drawing/2014/main" id="{3CC318C3-C68E-4609-886D-CB56712519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86719" y="5953"/>
          <a:ext cx="952040" cy="41788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0</xdr:colOff>
          <xdr:row>14</xdr:row>
          <xdr:rowOff>180975</xdr:rowOff>
        </xdr:from>
        <xdr:to>
          <xdr:col>9</xdr:col>
          <xdr:colOff>0</xdr:colOff>
          <xdr:row>16</xdr:row>
          <xdr:rowOff>180975</xdr:rowOff>
        </xdr:to>
        <xdr:sp macro="" textlink="">
          <xdr:nvSpPr>
            <xdr:cNvPr id="72719" name="Check Box 15" hidden="1">
              <a:extLst>
                <a:ext uri="{63B3BB69-23CF-44E3-9099-C40C66FF867C}">
                  <a14:compatExt spid="_x0000_s72719"/>
                </a:ext>
                <a:ext uri="{FF2B5EF4-FFF2-40B4-BE49-F238E27FC236}">
                  <a16:creationId xmlns:a16="http://schemas.microsoft.com/office/drawing/2014/main" id="{00000000-0008-0000-0E00-00000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0.xml><?xml version="1.0" encoding="utf-8"?>
<xdr:wsDr xmlns:xdr="http://schemas.openxmlformats.org/drawingml/2006/spreadsheetDrawing" xmlns:a="http://schemas.openxmlformats.org/drawingml/2006/main">
  <xdr:twoCellAnchor editAs="oneCell">
    <xdr:from>
      <xdr:col>9</xdr:col>
      <xdr:colOff>76200</xdr:colOff>
      <xdr:row>3</xdr:row>
      <xdr:rowOff>0</xdr:rowOff>
    </xdr:from>
    <xdr:to>
      <xdr:col>10</xdr:col>
      <xdr:colOff>658384</xdr:colOff>
      <xdr:row>6</xdr:row>
      <xdr:rowOff>28575</xdr:rowOff>
    </xdr:to>
    <xdr:pic>
      <xdr:nvPicPr>
        <xdr:cNvPr id="2" name="Grafik 1">
          <a:hlinkClick xmlns:r="http://schemas.openxmlformats.org/officeDocument/2006/relationships" r:id="rId1"/>
          <a:extLst>
            <a:ext uri="{FF2B5EF4-FFF2-40B4-BE49-F238E27FC236}">
              <a16:creationId xmlns:a16="http://schemas.microsoft.com/office/drawing/2014/main" id="{010FD3BD-A167-4109-BC3B-62F34E9CCF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0925" y="0"/>
          <a:ext cx="1248934" cy="6096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8</xdr:col>
      <xdr:colOff>1123950</xdr:colOff>
      <xdr:row>1</xdr:row>
      <xdr:rowOff>28575</xdr:rowOff>
    </xdr:from>
    <xdr:to>
      <xdr:col>8</xdr:col>
      <xdr:colOff>1726348</xdr:colOff>
      <xdr:row>1</xdr:row>
      <xdr:rowOff>433732</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272B1EEB-6BD1-4B80-9FE2-C7797083F86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820400" y="409575"/>
          <a:ext cx="602398" cy="405157"/>
        </a:xfrm>
        <a:prstGeom prst="rect">
          <a:avLst/>
        </a:prstGeom>
      </xdr:spPr>
    </xdr:pic>
    <xdr:clientData/>
  </xdr:twoCellAnchor>
  <xdr:twoCellAnchor editAs="oneCell">
    <xdr:from>
      <xdr:col>8</xdr:col>
      <xdr:colOff>1964849</xdr:colOff>
      <xdr:row>0</xdr:row>
      <xdr:rowOff>295275</xdr:rowOff>
    </xdr:from>
    <xdr:to>
      <xdr:col>9</xdr:col>
      <xdr:colOff>666750</xdr:colOff>
      <xdr:row>2</xdr:row>
      <xdr:rowOff>114300</xdr:rowOff>
    </xdr:to>
    <xdr:pic>
      <xdr:nvPicPr>
        <xdr:cNvPr id="3" name="Grafik 17">
          <a:hlinkClick xmlns:r="http://schemas.openxmlformats.org/officeDocument/2006/relationships" r:id="rId4"/>
          <a:extLst>
            <a:ext uri="{FF2B5EF4-FFF2-40B4-BE49-F238E27FC236}">
              <a16:creationId xmlns:a16="http://schemas.microsoft.com/office/drawing/2014/main" id="{D2969C9D-0928-493A-9A0B-D318254FFB8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661299" y="295275"/>
          <a:ext cx="1445101" cy="676275"/>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8</xdr:col>
      <xdr:colOff>77359</xdr:colOff>
      <xdr:row>1</xdr:row>
      <xdr:rowOff>85725</xdr:rowOff>
    </xdr:to>
    <xdr:pic>
      <xdr:nvPicPr>
        <xdr:cNvPr id="3" name="Grafik 2">
          <a:hlinkClick xmlns:r="http://schemas.openxmlformats.org/officeDocument/2006/relationships" r:id="rId1"/>
          <a:extLst>
            <a:ext uri="{FF2B5EF4-FFF2-40B4-BE49-F238E27FC236}">
              <a16:creationId xmlns:a16="http://schemas.microsoft.com/office/drawing/2014/main" id="{41C8B2F9-3282-4DB7-B08D-B881570B70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6600" y="0"/>
          <a:ext cx="1248934" cy="6096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96409</xdr:colOff>
      <xdr:row>2</xdr:row>
      <xdr:rowOff>123825</xdr:rowOff>
    </xdr:to>
    <xdr:pic>
      <xdr:nvPicPr>
        <xdr:cNvPr id="2" name="Grafik 1">
          <a:hlinkClick xmlns:r="http://schemas.openxmlformats.org/officeDocument/2006/relationships" r:id="rId1"/>
          <a:extLst>
            <a:ext uri="{FF2B5EF4-FFF2-40B4-BE49-F238E27FC236}">
              <a16:creationId xmlns:a16="http://schemas.microsoft.com/office/drawing/2014/main" id="{16FEA51F-2151-4C11-8787-3E9380588C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248934" cy="609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26</xdr:row>
          <xdr:rowOff>9525</xdr:rowOff>
        </xdr:from>
        <xdr:to>
          <xdr:col>1</xdr:col>
          <xdr:colOff>1590675</xdr:colOff>
          <xdr:row>26</xdr:row>
          <xdr:rowOff>200025</xdr:rowOff>
        </xdr:to>
        <xdr:sp macro="" textlink="">
          <xdr:nvSpPr>
            <xdr:cNvPr id="109569" name="Check Box 1" hidden="1">
              <a:extLst>
                <a:ext uri="{63B3BB69-23CF-44E3-9099-C40C66FF867C}">
                  <a14:compatExt spid="_x0000_s109569"/>
                </a:ext>
                <a:ext uri="{FF2B5EF4-FFF2-40B4-BE49-F238E27FC236}">
                  <a16:creationId xmlns:a16="http://schemas.microsoft.com/office/drawing/2014/main" id="{00000000-0008-0000-1700-00000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238125</xdr:rowOff>
        </xdr:from>
        <xdr:to>
          <xdr:col>1</xdr:col>
          <xdr:colOff>1600200</xdr:colOff>
          <xdr:row>28</xdr:row>
          <xdr:rowOff>9525</xdr:rowOff>
        </xdr:to>
        <xdr:sp macro="" textlink="">
          <xdr:nvSpPr>
            <xdr:cNvPr id="109570" name="Check Box 2" hidden="1">
              <a:extLst>
                <a:ext uri="{63B3BB69-23CF-44E3-9099-C40C66FF867C}">
                  <a14:compatExt spid="_x0000_s109570"/>
                </a:ext>
                <a:ext uri="{FF2B5EF4-FFF2-40B4-BE49-F238E27FC236}">
                  <a16:creationId xmlns:a16="http://schemas.microsoft.com/office/drawing/2014/main" id="{00000000-0008-0000-1700-00000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0</xdr:rowOff>
        </xdr:from>
        <xdr:to>
          <xdr:col>1</xdr:col>
          <xdr:colOff>2105025</xdr:colOff>
          <xdr:row>20</xdr:row>
          <xdr:rowOff>180975</xdr:rowOff>
        </xdr:to>
        <xdr:sp macro="" textlink="">
          <xdr:nvSpPr>
            <xdr:cNvPr id="109574" name="Check Box 6" hidden="1">
              <a:extLst>
                <a:ext uri="{63B3BB69-23CF-44E3-9099-C40C66FF867C}">
                  <a14:compatExt spid="_x0000_s109574"/>
                </a:ext>
                <a:ext uri="{FF2B5EF4-FFF2-40B4-BE49-F238E27FC236}">
                  <a16:creationId xmlns:a16="http://schemas.microsoft.com/office/drawing/2014/main" id="{00000000-0008-0000-1700-00000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Zuschlag f. Invaliditätsabsicherung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0</xdr:rowOff>
        </xdr:from>
        <xdr:to>
          <xdr:col>1</xdr:col>
          <xdr:colOff>2876550</xdr:colOff>
          <xdr:row>22</xdr:row>
          <xdr:rowOff>0</xdr:rowOff>
        </xdr:to>
        <xdr:sp macro="" textlink="">
          <xdr:nvSpPr>
            <xdr:cNvPr id="109575" name="Check Box 7" hidden="1">
              <a:extLst>
                <a:ext uri="{63B3BB69-23CF-44E3-9099-C40C66FF867C}">
                  <a14:compatExt spid="_x0000_s109575"/>
                </a:ext>
                <a:ext uri="{FF2B5EF4-FFF2-40B4-BE49-F238E27FC236}">
                  <a16:creationId xmlns:a16="http://schemas.microsoft.com/office/drawing/2014/main" id="{00000000-0008-0000-1700-00000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Zuschlag f. Hinterbliebenenversorgung</a:t>
              </a:r>
            </a:p>
          </xdr:txBody>
        </xdr:sp>
        <xdr:clientData/>
      </xdr:twoCellAnchor>
    </mc:Choice>
    <mc:Fallback/>
  </mc:AlternateContent>
  <xdr:twoCellAnchor>
    <xdr:from>
      <xdr:col>9</xdr:col>
      <xdr:colOff>5954</xdr:colOff>
      <xdr:row>2</xdr:row>
      <xdr:rowOff>2</xdr:rowOff>
    </xdr:from>
    <xdr:to>
      <xdr:col>9</xdr:col>
      <xdr:colOff>1012031</xdr:colOff>
      <xdr:row>4</xdr:row>
      <xdr:rowOff>5953</xdr:rowOff>
    </xdr:to>
    <xdr:sp macro="" textlink="">
      <xdr:nvSpPr>
        <xdr:cNvPr id="4" name="Pfeil: nach links 3">
          <a:hlinkClick xmlns:r="http://schemas.openxmlformats.org/officeDocument/2006/relationships" r:id="rId1"/>
          <a:extLst>
            <a:ext uri="{FF2B5EF4-FFF2-40B4-BE49-F238E27FC236}">
              <a16:creationId xmlns:a16="http://schemas.microsoft.com/office/drawing/2014/main" id="{EE7BD3D2-FDCD-48B2-A749-DB973D7D4DE0}"/>
            </a:ext>
          </a:extLst>
        </xdr:cNvPr>
        <xdr:cNvSpPr/>
      </xdr:nvSpPr>
      <xdr:spPr>
        <a:xfrm>
          <a:off x="9786938" y="428627"/>
          <a:ext cx="1006077" cy="386951"/>
        </a:xfrm>
        <a:prstGeom prst="leftArrow">
          <a:avLst>
            <a:gd name="adj1" fmla="val 50000"/>
            <a:gd name="adj2" fmla="val 37880"/>
          </a:avLst>
        </a:prstGeom>
        <a:solidFill>
          <a:srgbClr val="FFFF00"/>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600" b="1" u="sng">
              <a:solidFill>
                <a:schemeClr val="tx1"/>
              </a:solidFill>
            </a:rPr>
            <a:t>Zur Dateneingabe</a:t>
          </a:r>
        </a:p>
      </xdr:txBody>
    </xdr:sp>
    <xdr:clientData/>
  </xdr:twoCellAnchor>
  <xdr:twoCellAnchor editAs="oneCell">
    <xdr:from>
      <xdr:col>1</xdr:col>
      <xdr:colOff>0</xdr:colOff>
      <xdr:row>0</xdr:row>
      <xdr:rowOff>0</xdr:rowOff>
    </xdr:from>
    <xdr:to>
      <xdr:col>1</xdr:col>
      <xdr:colOff>951058</xdr:colOff>
      <xdr:row>1</xdr:row>
      <xdr:rowOff>230160</xdr:rowOff>
    </xdr:to>
    <xdr:pic>
      <xdr:nvPicPr>
        <xdr:cNvPr id="7" name="Grafik 6">
          <a:hlinkClick xmlns:r="http://schemas.openxmlformats.org/officeDocument/2006/relationships" r:id="rId2"/>
          <a:extLst>
            <a:ext uri="{FF2B5EF4-FFF2-40B4-BE49-F238E27FC236}">
              <a16:creationId xmlns:a16="http://schemas.microsoft.com/office/drawing/2014/main" id="{07E3884C-0B24-973E-9A10-3165E53A77AA}"/>
            </a:ext>
          </a:extLst>
        </xdr:cNvPr>
        <xdr:cNvPicPr>
          <a:picLocks noChangeAspect="1"/>
        </xdr:cNvPicPr>
      </xdr:nvPicPr>
      <xdr:blipFill>
        <a:blip xmlns:r="http://schemas.openxmlformats.org/officeDocument/2006/relationships" r:embed="rId3"/>
        <a:stretch>
          <a:fillRect/>
        </a:stretch>
      </xdr:blipFill>
      <xdr:spPr>
        <a:xfrm>
          <a:off x="256190" y="0"/>
          <a:ext cx="951058" cy="420660"/>
        </a:xfrm>
        <a:prstGeom prst="rect">
          <a:avLst/>
        </a:prstGeom>
      </xdr:spPr>
    </xdr:pic>
    <xdr:clientData/>
  </xdr:twoCellAnchor>
  <xdr:twoCellAnchor editAs="oneCell">
    <xdr:from>
      <xdr:col>9</xdr:col>
      <xdr:colOff>93280</xdr:colOff>
      <xdr:row>0</xdr:row>
      <xdr:rowOff>7883</xdr:rowOff>
    </xdr:from>
    <xdr:to>
      <xdr:col>10</xdr:col>
      <xdr:colOff>26149</xdr:colOff>
      <xdr:row>2</xdr:row>
      <xdr:rowOff>1560</xdr:rowOff>
    </xdr:to>
    <xdr:pic>
      <xdr:nvPicPr>
        <xdr:cNvPr id="8" name="Grafik 7">
          <a:hlinkClick xmlns:r="http://schemas.openxmlformats.org/officeDocument/2006/relationships" r:id="rId2"/>
          <a:extLst>
            <a:ext uri="{FF2B5EF4-FFF2-40B4-BE49-F238E27FC236}">
              <a16:creationId xmlns:a16="http://schemas.microsoft.com/office/drawing/2014/main" id="{FF7072A8-070C-44B3-A9EF-6B94D132369F}"/>
            </a:ext>
          </a:extLst>
        </xdr:cNvPr>
        <xdr:cNvPicPr>
          <a:picLocks noChangeAspect="1"/>
        </xdr:cNvPicPr>
      </xdr:nvPicPr>
      <xdr:blipFill>
        <a:blip xmlns:r="http://schemas.openxmlformats.org/officeDocument/2006/relationships" r:embed="rId3"/>
        <a:stretch>
          <a:fillRect/>
        </a:stretch>
      </xdr:blipFill>
      <xdr:spPr>
        <a:xfrm>
          <a:off x="9874470" y="7883"/>
          <a:ext cx="951058" cy="4206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657225</xdr:colOff>
          <xdr:row>15</xdr:row>
          <xdr:rowOff>0</xdr:rowOff>
        </xdr:from>
        <xdr:to>
          <xdr:col>8</xdr:col>
          <xdr:colOff>838200</xdr:colOff>
          <xdr:row>15</xdr:row>
          <xdr:rowOff>180975</xdr:rowOff>
        </xdr:to>
        <xdr:sp macro="" textlink="">
          <xdr:nvSpPr>
            <xdr:cNvPr id="109576" name="Check Box 8" hidden="1">
              <a:extLst>
                <a:ext uri="{63B3BB69-23CF-44E3-9099-C40C66FF867C}">
                  <a14:compatExt spid="_x0000_s109576"/>
                </a:ext>
                <a:ext uri="{FF2B5EF4-FFF2-40B4-BE49-F238E27FC236}">
                  <a16:creationId xmlns:a16="http://schemas.microsoft.com/office/drawing/2014/main" id="{00000000-0008-0000-1700-00000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Landestypische Sterbewahrscheinlichkeit berücksichtigen?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238815</xdr:colOff>
      <xdr:row>6</xdr:row>
      <xdr:rowOff>149088</xdr:rowOff>
    </xdr:from>
    <xdr:to>
      <xdr:col>1</xdr:col>
      <xdr:colOff>15046</xdr:colOff>
      <xdr:row>8</xdr:row>
      <xdr:rowOff>49696</xdr:rowOff>
    </xdr:to>
    <xdr:pic>
      <xdr:nvPicPr>
        <xdr:cNvPr id="4" name="Grafik 3" descr="Anfangen mit einfarbiger Füllung">
          <a:hlinkClick xmlns:r="http://schemas.openxmlformats.org/officeDocument/2006/relationships" r:id="rId1"/>
          <a:extLst>
            <a:ext uri="{FF2B5EF4-FFF2-40B4-BE49-F238E27FC236}">
              <a16:creationId xmlns:a16="http://schemas.microsoft.com/office/drawing/2014/main" id="{CE13B820-78AA-4754-BC6D-74BA0D70937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8815" y="3420718"/>
          <a:ext cx="516282" cy="45554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2</xdr:row>
          <xdr:rowOff>0</xdr:rowOff>
        </xdr:from>
        <xdr:to>
          <xdr:col>3</xdr:col>
          <xdr:colOff>38100</xdr:colOff>
          <xdr:row>3</xdr:row>
          <xdr:rowOff>38100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18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167267</xdr:colOff>
      <xdr:row>0</xdr:row>
      <xdr:rowOff>0</xdr:rowOff>
    </xdr:from>
    <xdr:to>
      <xdr:col>1</xdr:col>
      <xdr:colOff>33917</xdr:colOff>
      <xdr:row>5</xdr:row>
      <xdr:rowOff>134509</xdr:rowOff>
    </xdr:to>
    <xdr:pic>
      <xdr:nvPicPr>
        <xdr:cNvPr id="2" name="Grafik 1">
          <a:hlinkClick xmlns:r="http://schemas.openxmlformats.org/officeDocument/2006/relationships" r:id="rId4"/>
          <a:extLst>
            <a:ext uri="{FF2B5EF4-FFF2-40B4-BE49-F238E27FC236}">
              <a16:creationId xmlns:a16="http://schemas.microsoft.com/office/drawing/2014/main" id="{43026EFA-4FDE-4835-8AC6-F82745A7FBD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6200000">
          <a:off x="-152400" y="319667"/>
          <a:ext cx="1248934" cy="609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441326</xdr:colOff>
      <xdr:row>1</xdr:row>
      <xdr:rowOff>88899</xdr:rowOff>
    </xdr:from>
    <xdr:to>
      <xdr:col>4</xdr:col>
      <xdr:colOff>981076</xdr:colOff>
      <xdr:row>2</xdr:row>
      <xdr:rowOff>60324</xdr:rowOff>
    </xdr:to>
    <xdr:pic>
      <xdr:nvPicPr>
        <xdr:cNvPr id="4" name="Grafik 3" descr="Anfangen mit einfarbiger Füllung">
          <a:hlinkClick xmlns:r="http://schemas.openxmlformats.org/officeDocument/2006/relationships" r:id="rId1"/>
          <a:extLst>
            <a:ext uri="{FF2B5EF4-FFF2-40B4-BE49-F238E27FC236}">
              <a16:creationId xmlns:a16="http://schemas.microsoft.com/office/drawing/2014/main" id="{A651BDF4-FDD9-2B2B-80AC-56535C32FF6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1676" y="908049"/>
          <a:ext cx="539750" cy="47307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B1BF4CE9-99F5-4652-8D1F-0CC507E350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409576</xdr:colOff>
      <xdr:row>1</xdr:row>
      <xdr:rowOff>126999</xdr:rowOff>
    </xdr:from>
    <xdr:to>
      <xdr:col>4</xdr:col>
      <xdr:colOff>949326</xdr:colOff>
      <xdr:row>34</xdr:row>
      <xdr:rowOff>98424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1CB6635E-9E63-47F2-92AB-818DE4616BE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39926" y="946149"/>
          <a:ext cx="539750" cy="473075"/>
        </a:xfrm>
        <a:prstGeom prst="rect">
          <a:avLst/>
        </a:prstGeom>
      </xdr:spPr>
    </xdr:pic>
    <xdr:clientData/>
  </xdr:twoCellAnchor>
  <xdr:twoCellAnchor editAs="oneCell">
    <xdr:from>
      <xdr:col>5</xdr:col>
      <xdr:colOff>0</xdr:colOff>
      <xdr:row>13</xdr:row>
      <xdr:rowOff>0</xdr:rowOff>
    </xdr:from>
    <xdr:to>
      <xdr:col>5</xdr:col>
      <xdr:colOff>982233</xdr:colOff>
      <xdr:row>34</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90ECEFAD-630C-4E94-8D11-8595540AEAB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37328475"/>
          <a:ext cx="982233" cy="479424"/>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4" name="Grafik 3">
          <a:hlinkClick xmlns:r="http://schemas.openxmlformats.org/officeDocument/2006/relationships" r:id="rId4"/>
          <a:extLst>
            <a:ext uri="{FF2B5EF4-FFF2-40B4-BE49-F238E27FC236}">
              <a16:creationId xmlns:a16="http://schemas.microsoft.com/office/drawing/2014/main" id="{B7FBCB02-FC5C-4F19-8F43-BB74FFCE7F6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5.597"/>
    </inkml:context>
    <inkml:brush xml:id="br0">
      <inkml:brushProperty name="width" value="0.035" units="cm"/>
      <inkml:brushProperty name="height" value="0.035" units="cm"/>
    </inkml:brush>
  </inkml:definitions>
  <inkml:trace contextRef="#ctx0" brushRef="#br0">33 17 2120 0 0,'-6'-2'1009'0'0,"2"0"-929"0"0,-3-2-104 0 0,2 1-88 0 0,1 2-32 0 0,1-1 8 0 0,0 0 56 0 0,2 2 24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7.138"/>
    </inkml:context>
    <inkml:brush xml:id="br0">
      <inkml:brushProperty name="width" value="0.035" units="cm"/>
      <inkml:brushProperty name="height" value="0.035" units="cm"/>
    </inkml:brush>
  </inkml:definitions>
  <inkml:trace contextRef="#ctx0" brushRef="#br0">56 54 3713 0 0,'-17'-7'879'0'0,"13"5"-916"0"0,-1 0 1 0 0,1 1 0 0 0,-1-1-1 0 0,0 1 1 0 0,1 0-1 0 0,-7-1 1 0 0,23-30-1924 0 0,-9 28 295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8.010"/>
    </inkml:context>
    <inkml:brush xml:id="br0">
      <inkml:brushProperty name="width" value="0.035" units="cm"/>
      <inkml:brushProperty name="height" value="0.035" units="cm"/>
    </inkml:brush>
  </inkml:definitions>
  <inkml:trace contextRef="#ctx0" brushRef="#br0">58 42 5553 0 0,'-10'-6'1063'0'0,"7"3"-1168"0"0,-1 1 1 0 0,0-1-1 0 0,0 1 1 0 0,0 0 0 0 0,0 0-1 0 0,0 0 1 0 0,0 1-1 0 0,-9-2 1 0 0,13 3 77 0 0,0-1 1 0 0,0 1-1 0 0,0 0 0 0 0,0 0 1 0 0,0 0-1 0 0,0 0 1 0 0,1 0-1 0 0,-1 0 0 0 0,0 0 1 0 0,0 0-1 0 0,0 0 1 0 0,0-1-1 0 0,0 1 0 0 0,0 0 1 0 0,0 0-1 0 0,0 0 1 0 0,0 0-1 0 0,0 0 0 0 0,0 0 1 0 0,0-1-1 0 0,0 1 1 0 0,0 0-1 0 0,0 0 0 0 0,0 0 1 0 0,0 0-1 0 0,0 0 0 0 0,0 0 1 0 0,0-1-1 0 0,0 1 1 0 0,0 0-1 0 0,0 0 0 0 0,0 0 1 0 0,0 0-1 0 0,0 0 1 0 0,0 0-1 0 0,0-1 0 0 0,0 1 1 0 0,0 0-1 0 0,0 0 1 0 0,0 0-1 0 0,-1 0 0 0 0,1 0 1 0 0,0 0-1 0 0,0 0 1 0 0,0 0-1 0 0,0-1 0 0 0,0 1 1 0 0,0 0-1 0 0,0 0 1 0 0,0 0-1 0 0,-1 0 0 0 0,1 0 1 0 0,0 0-1 0 0,0 0 0 0 0,0 0 1 0 0,0 0-1 0 0,0 0 1 0 0,-1 0-1 0 0,1 0 0 0 0,0 0 1 0 0,0 0-1 0 0,0 0 1 0 0,0 0-1 0 0,0 0 0 0 0,0 0 1 0 0,-1 0-1 0 0,1 0 1 0 0,0 0-1 0 0,8-7-1318 0 0,-7 6 1385 0 0,1 0-1775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8.821"/>
    </inkml:context>
    <inkml:brush xml:id="br0">
      <inkml:brushProperty name="width" value="0.035" units="cm"/>
      <inkml:brushProperty name="height" value="0.035" units="cm"/>
    </inkml:brush>
  </inkml:definitions>
  <inkml:trace contextRef="#ctx0" brushRef="#br0">25 24 5849 0 0,'-22'-8'1260'0'0,"20"5"-2192"0"0,14 4-471 0 0,-8-1 1229 0 0,0 0 0 0 0,0 0 0 0 0,0 0 0 0 0,-1 0 0 0 0,1-1 0 0 0,0 1 0 0 0,0-1 0 0 0,-1 0 0 0 0,1 0 0 0 0,0-1 1 0 0,-1 1-1 0 0,5-3 0 0 0,-5 2-1539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9.041"/>
    </inkml:context>
    <inkml:brush xml:id="br0">
      <inkml:brushProperty name="width" value="0.035" units="cm"/>
      <inkml:brushProperty name="height" value="0.035" units="cm"/>
    </inkml:brush>
  </inkml:definitions>
  <inkml:trace contextRef="#ctx0" brushRef="#br0">24 10 4257 0 0,'-16'-2'1524'0'0,"16"1"-1552"0"0,-1 1 1 0 0,1 0-1 0 0,0 0 1 0 0,0 0-1 0 0,-1 0 0 0 0,1 0 1 0 0,0 0-1 0 0,0 0 1 0 0,-1 0-1 0 0,1 1 1 0 0,0-1-1 0 0,0 0 0 0 0,-1 0 1 0 0,1 0-1 0 0,0 0 1 0 0,0 0-1 0 0,0 0 1 0 0,-1 0-1 0 0,1 0 0 0 0,0 1 1 0 0,0-1-1 0 0,0 0 1 0 0,-1 0-1 0 0,1 0 0 0 0,0 0 1 0 0,0 1-1 0 0,0-1 1 0 0,0 0-1 0 0,0 0 1 0 0,-1 1-1 0 0,1-1 0 0 0,0 0 1 0 0,0 0-1 0 0,0 0 1 0 0,0 1-1 0 0,0-1 1 0 0,0 0-1 0 0,0 0 0 0 0,0 1 1 0 0,0-1-1 0 0,0 0 1 0 0,0 0-1 0 0,0 1 0 0 0,0-1 1 0 0,0 0-1 0 0,0 0 1 0 0,0 1-1 0 0,0-1 1 0 0,0 0-1 0 0,0 0 0 0 0,0 0 1 0 0,1 1-1 0 0,-1-1 1 0 0,0 0-1 0 0,0 0 1 0 0,0 1-1 0 0,0-1 0 0 0,0 0 1 0 0,1 0-1 0 0,-1 0 1 0 0,0 0-1 0 0,1 1 1 0 0,-1-1 8 0 0,0 0 1 0 0,0 0 0 0 0,0 1 0 0 0,0-1 0 0 0,1 0 0 0 0,-1 0-1 0 0,0 0 1 0 0,0 0 0 0 0,0 1 0 0 0,1-1 0 0 0,-1 0 0 0 0,0 0-1 0 0,0 0 1 0 0,1 0 0 0 0,-1 0 0 0 0,0 0 0 0 0,1 0 0 0 0,-1 0-1 0 0,0 0 1 0 0,0 0 0 0 0,1 0 0 0 0,-1 0 0 0 0,0 0 0 0 0,0 0-1 0 0,1 0 1 0 0,-1 0 0 0 0,0 0 0 0 0,0 0 0 0 0,1 0-1 0 0,-1 0 1 0 0,0 0 0 0 0,0 0 0 0 0,1 0 0 0 0,-1-1 0 0 0,0 1-1 0 0,0 0 1 0 0,1 0 0 0 0,-1 0 0 0 0,0 0 0 0 0,0-1 0 0 0,0 1-1 0 0,1 0 1 0 0,8-12-584 0 0,-7 10 427 0 0,0-2-1542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07:45:50.334"/>
    </inkml:context>
    <inkml:brush xml:id="br0">
      <inkml:brushProperty name="width" value="0.035" units="cm"/>
      <inkml:brushProperty name="height" value="0.035" units="cm"/>
    </inkml:brush>
  </inkml:definitions>
  <inkml:trace contextRef="#ctx0" brushRef="#br0">77 79 3689 0 0,'-19'-5'300'0'0,"14"5"-296"0"0,0-1 0 0 0,0 0-1 0 0,0-1 1 0 0,0 1 0 0 0,0-1-1 0 0,0 0 1 0 0,0-1 0 0 0,1 1 0 0 0,-9-6-1 0 0,13 7-67 0 0,8 1 49 0 0,0-1 1 0 0,1-1-1 0 0,-1 0 0 0 0,0 0 0 0 0,0 0 0 0 0,0-1 0 0 0,-1-1 1 0 0,10-4-1 0 0,-8 4 2 0 0,0-1 0 0 0,0 2 0 0 0,1-1 0 0 0,0 1 0 0 0,13-2 0 0 0,9 3-457 0 0,-15 2-1603 0 0</inkml:trace>
</inkm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sicht1" id="{B5CBBFB4-1355-4208-9EF8-33DE32AFA4D7}"/>
</namedSheetView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1">
  <rv s="0">
    <v>0</v>
    <v>4</v>
  </rv>
  <rv s="0">
    <v>1</v>
    <v>5</v>
  </rv>
  <rv s="0">
    <v>1</v>
    <v>4</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0</v>
    <v>5</v>
  </rv>
  <rv s="0">
    <v>31</v>
    <v>5</v>
  </rv>
  <rv s="0">
    <v>32</v>
    <v>5</v>
  </rv>
  <rv s="0">
    <v>33</v>
    <v>5</v>
  </rv>
  <rv s="0">
    <v>34</v>
    <v>5</v>
  </rv>
  <rv s="0">
    <v>35</v>
    <v>5</v>
  </rv>
  <rv s="0">
    <v>36</v>
    <v>5</v>
  </rv>
  <rv s="0">
    <v>37</v>
    <v>5</v>
  </rv>
  <rv s="0">
    <v>5</v>
    <v>4</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C92742-AFC7-4BE0-8E48-187051AE4BF8}" name="Tabelle1" displayName="Tabelle1" ref="B6:E37" totalsRowShown="0" headerRowDxfId="53" dataDxfId="51" headerRowBorderDxfId="52" tableBorderDxfId="50">
  <autoFilter ref="B6:E37" xr:uid="{66C92742-AFC7-4BE0-8E48-187051AE4BF8}"/>
  <tableColumns count="4">
    <tableColumn id="1" xr3:uid="{7C84B58D-7ED5-428C-98C4-3C3B5FCDE18E}" name="Land" dataDxfId="49"/>
    <tableColumn id="2" xr3:uid="{36DCEB29-B9BE-4206-9540-46B6EFA756A1}" name="Geschiedenen-Hinterbliebenenversorgung Ja/nein:   " dataDxfId="48"/>
    <tableColumn id="3" xr3:uid="{88156453-0DF3-4B1F-82AB-579B2387A1EF}" name="Besteht Unterhaltsvoraussetzung?:   " dataDxfId="47"/>
    <tableColumn id="4" xr3:uid="{663469DC-C548-41D6-8E87-F67D5A6B8D59}" name="Existiert eine Wiederverheiratungsklausel?:   " dataDxfId="46"/>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 dockstate="right" visibility="0" width="438" row="4">
    <wetp:webextensionref xmlns:r="http://schemas.openxmlformats.org/officeDocument/2006/relationships" r:id="rId2"/>
  </wetp:taskpane>
</wetp:taskpanes>
</file>

<file path=xl/webextensions/webextension1.xml><?xml version="1.0" encoding="utf-8"?>
<we:webextension xmlns:we="http://schemas.microsoft.com/office/webextensions/webextension/2010/11" id="{E8902938-05BD-4796-96EE-E25576EB228D}">
  <we:reference id="wa104380955" version="3.4.3.0" store="de-DE" storeType="OMEX"/>
  <we:alternateReferences>
    <we:reference id="WA104380955" version="3.4.3.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4DB3AA29-DAD4-4B33-8421-153B232E8A49}">
  <we:reference id="wa200006009" version="2.0.1.10" store="de-DE" storeType="OMEX"/>
  <we:alternateReferences>
    <we:reference id="wa200006009" version="2.0.1.10" store="wa200006009"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_xldudf_SAI_ASK</we:customFunctionIds>
        <we:customFunctionIds>_xldudf_SAI_PROMPTARRAY</we:customFunctionIds>
        <we:customFunctionIds>_xldudf_SAI_GENERATETABLE</we:customFunctionIds>
        <we:customFunctionIds>_xldudf_SAI_FILL</we:customFunctionIds>
        <we:customFunctionIds>_xldudf_SAI_SPLIT</we:customFunctionIds>
        <we:customFunctionIds>_xldudf_SAI_EXTRACT</we:customFunctionIds>
        <we:customFunctionIds>_xldudf_SAI_EXTRACTARRAY</we:customFunctionIds>
        <we:customFunctionIds>_xldudf_SAI_EDIT</we:customFunctionIds>
        <we:customFunctionIds>_xldudf_SAI_EDITARRAY</we:customFunctionIds>
        <we:customFunctionIds>_xldudf_SAI_FORMAT</we:customFunctionIds>
        <we:customFunctionIds>_xldudf_SAI_FORMATARRAY</we:customFunctionIds>
        <we:customFunctionIds>_xldudf_SAI_CLASSIFY</we:customFunctionIds>
        <we:customFunctionIds>_xldudf_SAI_CLASSIFYARRAY</we:customFunctionIds>
        <we:customFunctionIds>_xldudf_SAI_TAG</we:customFunctionIds>
        <we:customFunctionIds>_xldudf_SAI_TAGARRAY</we:customFunctionIds>
        <we:customFunctionIds>_xldudf_SAI_SUMMARIZE</we:customFunctionIds>
        <we:customFunctionIds>_xldudf_SAI_SUMMARIZEARRAY</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bundesfinanzministerium.de/Content/DE/Downloads/BMF_Schreiben/Internationales_Steuerrecht/Allgemeine_Informationen/2026-01-07-stand-DBA-1-januar-2026.html" TargetMode="External"/><Relationship Id="rId2" Type="http://schemas.openxmlformats.org/officeDocument/2006/relationships/hyperlink" Target="https://www.bundesfinanzministerium.de/Content/DE/Downloads/BMF_Schreiben/Internationales_Steuerrecht/Allgemeine_Informationen/2026-01-07-stand-DBA-1-januar-2026.pdf?__blob=publicationFile&amp;v=6" TargetMode="External"/><Relationship Id="rId1" Type="http://schemas.openxmlformats.org/officeDocument/2006/relationships/hyperlink" Target="https://www.bundesfinanzministerium.de/Content/DE/Downloads/BMF_Schreiben/Internationales_Steuerrecht/Allgemeine_Informationen/2026-01-07-stand-DBA-1-januar-2026.html" TargetMode="Externa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drawing" Target="../drawings/drawing3.x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printerSettings" Target="../printerSettings/printerSettings2.bin"/><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hyperlink" Target="https://www.bundesfinanzministerium.de/Content/DE/Downloads/BMF_Schreiben/Internationales_Steuerrecht/Allgemeine_Informationen/2026-01-07-stand-DBA-1-januar-2026.pdf?__blob=publicationFile&amp;v=6" TargetMode="External"/><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vmlDrawing" Target="../drawings/vmlDrawing2.v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3.vml"/><Relationship Id="rId7" Type="http://schemas.openxmlformats.org/officeDocument/2006/relationships/ctrlProp" Target="../ctrlProps/ctrlProp26.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2.xml"/><Relationship Id="rId3" Type="http://schemas.openxmlformats.org/officeDocument/2006/relationships/vmlDrawing" Target="../drawings/vmlDrawing4.vml"/><Relationship Id="rId7" Type="http://schemas.openxmlformats.org/officeDocument/2006/relationships/ctrlProp" Target="../ctrlProps/ctrlProp31.x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30.xml"/><Relationship Id="rId5" Type="http://schemas.openxmlformats.org/officeDocument/2006/relationships/ctrlProp" Target="../ctrlProps/ctrlProp29.xml"/><Relationship Id="rId10" Type="http://schemas.openxmlformats.org/officeDocument/2006/relationships/ctrlProp" Target="../ctrlProps/ctrlProp34.xml"/><Relationship Id="rId4" Type="http://schemas.openxmlformats.org/officeDocument/2006/relationships/ctrlProp" Target="../ctrlProps/ctrlProp28.xml"/><Relationship Id="rId9"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1"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s>
</file>

<file path=xl/worksheets/_rels/sheet24.xml.rels><?xml version="1.0" encoding="UTF-8" standalone="yes"?>
<Relationships xmlns="http://schemas.openxmlformats.org/package/2006/relationships"><Relationship Id="rId3" Type="http://schemas.openxmlformats.org/officeDocument/2006/relationships/ctrlProp" Target="../ctrlProps/ctrlProp35.xml"/><Relationship Id="rId7" Type="http://schemas.openxmlformats.org/officeDocument/2006/relationships/ctrlProp" Target="../ctrlProps/ctrlProp39.xml"/><Relationship Id="rId2" Type="http://schemas.openxmlformats.org/officeDocument/2006/relationships/vmlDrawing" Target="../drawings/vmlDrawing5.vml"/><Relationship Id="rId1" Type="http://schemas.openxmlformats.org/officeDocument/2006/relationships/drawing" Target="../drawings/drawing6.xml"/><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25.xml.rels><?xml version="1.0" encoding="UTF-8" standalone="yes"?>
<Relationships xmlns="http://schemas.openxmlformats.org/package/2006/relationships"><Relationship Id="rId1" Type="http://schemas.openxmlformats.org/officeDocument/2006/relationships/hyperlink" Target="file:///C:\Users\Hau&#223;\OneDrive\L&#228;nderberichte\&#196;gypten%20L&#228;nderbericht.pdf" TargetMode="External"/></Relationships>
</file>

<file path=xl/worksheets/_rels/sheet26.xml.rels><?xml version="1.0" encoding="UTF-8" standalone="yes"?>
<Relationships xmlns="http://schemas.openxmlformats.org/package/2006/relationships"><Relationship Id="rId117" Type="http://schemas.openxmlformats.org/officeDocument/2006/relationships/hyperlink" Target="https://www.mfsa.mt/service-detail/your-social-security-pension/?utm_source=chatgpt.com" TargetMode="External"/><Relationship Id="rId299" Type="http://schemas.openxmlformats.org/officeDocument/2006/relationships/hyperlink" Target="https://taxsummaries.pwc.com/czech-republic/individual/other-taxes?utm_source=chatgpt.com" TargetMode="External"/><Relationship Id="rId21" Type="http://schemas.openxmlformats.org/officeDocument/2006/relationships/hyperlink" Target="https://www.service-public.gouv.fr/particuliers/actualites/A17919?utm_source=chatgpt.com" TargetMode="External"/><Relationship Id="rId63" Type="http://schemas.openxmlformats.org/officeDocument/2006/relationships/hyperlink" Target="https://www.ssa.gov/policy/docs/progdesc/ssptw/2018-2019/europe/italy.html" TargetMode="External"/><Relationship Id="rId159" Type="http://schemas.openxmlformats.org/officeDocument/2006/relationships/hyperlink" Target="https://socialsecurity.gov.mt/en/information-and-applications-for-benefits-and-services/bilateral-agreements/widow-ers-pension-can/?utm_source=chatgpt.com" TargetMode="External"/><Relationship Id="rId324" Type="http://schemas.openxmlformats.org/officeDocument/2006/relationships/hyperlink" Target="https://lifeindenmark.borger.dk/healthcare/death-and-funerals/survivor-benefits" TargetMode="External"/><Relationship Id="rId366" Type="http://schemas.openxmlformats.org/officeDocument/2006/relationships/hyperlink" Target="https://www.nav.no/alderspensjon/en?utm_source=chatgpt.com" TargetMode="External"/><Relationship Id="rId170" Type="http://schemas.openxmlformats.org/officeDocument/2006/relationships/hyperlink" Target="https://cnap.public.lu/en/pensions/generalites.html?utm_source=chatgpt.com" TargetMode="External"/><Relationship Id="rId226" Type="http://schemas.openxmlformats.org/officeDocument/2006/relationships/hyperlink" Target="https://www.mpisoc.mpg.de/en/social-law/research/research-projects/pension-maps/project-website/romania/statutory-old-age-pension-scheme/" TargetMode="External"/><Relationship Id="rId268" Type="http://schemas.openxmlformats.org/officeDocument/2006/relationships/hyperlink" Target="https://www.issa.int/sites/default/files/documents/2024-12/Cyprus.pdf?utm_source=chatgpt.com" TargetMode="External"/><Relationship Id="rId32" Type="http://schemas.openxmlformats.org/officeDocument/2006/relationships/hyperlink" Target="https://www.etk.fi/en/finnish-pension-system/financing-and-investments/pension-contributions/?utm_source=chatgpt.com" TargetMode="External"/><Relationship Id="rId74" Type="http://schemas.openxmlformats.org/officeDocument/2006/relationships/hyperlink" Target="https://www.norden.org/en/info-norden/icelandic-pension-system" TargetMode="External"/><Relationship Id="rId128" Type="http://schemas.openxmlformats.org/officeDocument/2006/relationships/hyperlink" Target="https://www.bgl.lu/en/individuals/blog/life-plans/retirement-in-luxembourg.html?utm_source=chatgpt.com" TargetMode="External"/><Relationship Id="rId335" Type="http://schemas.openxmlformats.org/officeDocument/2006/relationships/hyperlink" Target="https://www.gov.uk/employment-support-allowance/eligibility?utm_source=chatgpt.com" TargetMode="External"/><Relationship Id="rId377" Type="http://schemas.openxmlformats.org/officeDocument/2006/relationships/hyperlink" Target="https://www.canada.ca/en/services/benefits/publicpensions/cpp/cpp-survivor-pension.html?utm_source=chatgpt.com" TargetMode="External"/><Relationship Id="rId5" Type="http://schemas.openxmlformats.org/officeDocument/2006/relationships/hyperlink" Target="https://www.impots.gouv.fr/international-particulier/questions/assessment-and-declaration-wages-salaries-and-pensions?utm_source=chatgpt.com" TargetMode="External"/><Relationship Id="rId95" Type="http://schemas.openxmlformats.org/officeDocument/2006/relationships/hyperlink" Target="https://www.vsaa.gov.lv/en/services/granting-and-payment-survivors-pension" TargetMode="External"/><Relationship Id="rId160" Type="http://schemas.openxmlformats.org/officeDocument/2006/relationships/hyperlink" Target="https://www.svb.nl/en/anw/what-are-the-conditions/read-more-about-the-the-qualifying-conditions-that-apply-if-your-partner-or-ex-partner-has-died?utm_source=chatgpt.com" TargetMode="External"/><Relationship Id="rId181" Type="http://schemas.openxmlformats.org/officeDocument/2006/relationships/hyperlink" Target="https://www2.gov.pt/en/servicos/requerer-a-pensao-de-velhice" TargetMode="External"/><Relationship Id="rId216" Type="http://schemas.openxmlformats.org/officeDocument/2006/relationships/hyperlink" Target="https://www2.gov.pt/en/servicos/requerer-a-pensao-de-sobrevivencia" TargetMode="External"/><Relationship Id="rId237" Type="http://schemas.openxmlformats.org/officeDocument/2006/relationships/hyperlink" Target="https://www.ssa.gov/international/Agreement_Pamphlets/spain.html?utm_source=chatgpt.com" TargetMode="External"/><Relationship Id="rId402" Type="http://schemas.openxmlformats.org/officeDocument/2006/relationships/hyperlink" Target="https://www.ssa.gov/pubs/EN-05-10526.pdf" TargetMode="External"/><Relationship Id="rId258" Type="http://schemas.openxmlformats.org/officeDocument/2006/relationships/hyperlink" Target="https://www.ssa.gov/international/Agreement_Pamphlets/spain.html?utm_source=chatgpt.com" TargetMode="External"/><Relationship Id="rId279" Type="http://schemas.openxmlformats.org/officeDocument/2006/relationships/hyperlink" Target="https://portal.gov.cz/en/sluzby-vs/widows-and-widowers-pension--the-application-is-processed-by-the-czech-social-security-administration-S84?utm_source=chatgpt.com" TargetMode="External"/><Relationship Id="rId22" Type="http://schemas.openxmlformats.org/officeDocument/2006/relationships/hyperlink" Target="https://www.tyoelake.fi/en/how-much-pension/pension-indexes/?utm_source=chatgpt.com" TargetMode="External"/><Relationship Id="rId43" Type="http://schemas.openxmlformats.org/officeDocument/2006/relationships/hyperlink" Target="https://ypergasias.gov.gr/en/social-security/pensions/primary-pension/" TargetMode="External"/><Relationship Id="rId64" Type="http://schemas.openxmlformats.org/officeDocument/2006/relationships/hyperlink" Target="https://www.mirovinsko.hr/en/national-benefit-for-the-elderly-national-pension-1911/1910?utm_source=chatgpt.com" TargetMode="External"/><Relationship Id="rId118" Type="http://schemas.openxmlformats.org/officeDocument/2006/relationships/hyperlink" Target="https://business.gov.nl/regulations/pension/?utm_source=chatgpt.com" TargetMode="External"/><Relationship Id="rId139" Type="http://schemas.openxmlformats.org/officeDocument/2006/relationships/hyperlink" Target="https://www.oecd.org/content/dam/iops/en/country-profiles/Lithuania-country-profile-IOPS.pdf?utm_source=chatgpt.com" TargetMode="External"/><Relationship Id="rId290" Type="http://schemas.openxmlformats.org/officeDocument/2006/relationships/hyperlink" Target="https://www.fu.gov.si/en/life_events_individuals/i_reside_in_slovenia_and_receive_my_pension_from_abroad?utm_source=chatgpt.com" TargetMode="External"/><Relationship Id="rId304" Type="http://schemas.openxmlformats.org/officeDocument/2006/relationships/hyperlink" Target="https://settlinginbelgium.be/en/work-and-retirement/retirement" TargetMode="External"/><Relationship Id="rId325" Type="http://schemas.openxmlformats.org/officeDocument/2006/relationships/hyperlink" Target="https://lifeindenmark.borger.dk/healthcare/death-and-funerals/survivor-benefits" TargetMode="External"/><Relationship Id="rId346" Type="http://schemas.openxmlformats.org/officeDocument/2006/relationships/hyperlink" Target="https://www.etk.fi/en/international-affairs/international-comparisons/retirement-ages/" TargetMode="External"/><Relationship Id="rId367" Type="http://schemas.openxmlformats.org/officeDocument/2006/relationships/hyperlink" Target="https://www.ahv-iv.ch/p/3.04.e?utm_source=chatgpt.com" TargetMode="External"/><Relationship Id="rId388" Type="http://schemas.openxmlformats.org/officeDocument/2006/relationships/hyperlink" Target="https://www.servicesaustralia.gov.au/age-pension-payments-concessions-and-support?context=22526&amp;utm_source=chatgpt.com" TargetMode="External"/><Relationship Id="rId85" Type="http://schemas.openxmlformats.org/officeDocument/2006/relationships/hyperlink" Target="https://www.gov.ie/en/department-of-social-protection/publications/operational-guidelines-bereaved-partners-contributory-pension/" TargetMode="External"/><Relationship Id="rId150" Type="http://schemas.openxmlformats.org/officeDocument/2006/relationships/hyperlink" Target="https://www.ahv.li/leistungen/ahv/verwitwetenrente?utm_source=chatgpt.com" TargetMode="External"/><Relationship Id="rId171" Type="http://schemas.openxmlformats.org/officeDocument/2006/relationships/hyperlink" Target="https://mtca.gov.mt/personal-tax/fss/social-security-contribution-rates/social-security-contribution-rates?utm_source=chatgpt.com" TargetMode="External"/><Relationship Id="rId192" Type="http://schemas.openxmlformats.org/officeDocument/2006/relationships/hyperlink" Target="https://ec.europa.eu/social/BlobServlet?docId=13772&amp;langId=en&amp;utm_source=chatgpt.com" TargetMode="External"/><Relationship Id="rId206" Type="http://schemas.openxmlformats.org/officeDocument/2006/relationships/hyperlink" Target="https://www.seg-social.pt/ptss/pssd/documento/cmc1zu99c00lykl2y7f0avytg?utm_source=chatgpt.com" TargetMode="External"/><Relationship Id="rId227" Type="http://schemas.openxmlformats.org/officeDocument/2006/relationships/hyperlink" Target="https://www.ahv-iv.ch/p/3.04.e?utm_source=chatgpt.com" TargetMode="External"/><Relationship Id="rId248" Type="http://schemas.openxmlformats.org/officeDocument/2006/relationships/hyperlink" Target="https://www.ch.ch/en/retirement/old-age-pension/the-first-pillar/oasi-contributions?utm_source=chatgpt.com" TargetMode="External"/><Relationship Id="rId269" Type="http://schemas.openxmlformats.org/officeDocument/2006/relationships/hyperlink" Target="https://socpoist.sk/en/life-situations/pension/how-apply-invalidity-pension?utm_source=chatgpt.com" TargetMode="External"/><Relationship Id="rId12" Type="http://schemas.openxmlformats.org/officeDocument/2006/relationships/hyperlink" Target="https://www.deutsche-rentenversicherung.de/SharedDocs/Glossareintraege/DE/G/geschiedenenrente.html?utm_source=chatgpt.com" TargetMode="External"/><Relationship Id="rId33" Type="http://schemas.openxmlformats.org/officeDocument/2006/relationships/hyperlink" Target="https://www.pensionikeskus.ee/en/i-pillar/state-pension/old-age-pension/" TargetMode="External"/><Relationship Id="rId108" Type="http://schemas.openxmlformats.org/officeDocument/2006/relationships/hyperlink" Target="https://www.ahv.li/leistungen/ahv/rentenalter?utm_source=chatgpt.com" TargetMode="External"/><Relationship Id="rId129" Type="http://schemas.openxmlformats.org/officeDocument/2006/relationships/hyperlink" Target="https://www.mfsa.mt/service-detail/your-social-security-pension/?utm_source=chatgpt.com" TargetMode="External"/><Relationship Id="rId280" Type="http://schemas.openxmlformats.org/officeDocument/2006/relationships/hyperlink" Target="https://www.allamkincstar.gov.hu/en/Pension/survivors-benefits/the-widowers-pension?utm_source=chatgpt.com" TargetMode="External"/><Relationship Id="rId315" Type="http://schemas.openxmlformats.org/officeDocument/2006/relationships/hyperlink" Target="https://ec.europa.eu/social/BlobServlet?docId=13741&amp;langId=en" TargetMode="External"/><Relationship Id="rId336" Type="http://schemas.openxmlformats.org/officeDocument/2006/relationships/hyperlink" Target="https://www.gov.uk/new-state-pension/inheriting-or-increasing-state-pension-from-a-spouse-or-civil-partner" TargetMode="External"/><Relationship Id="rId357" Type="http://schemas.openxmlformats.org/officeDocument/2006/relationships/hyperlink" Target="https://economy-finance.ec.europa.eu/document/download/a9702deb-0d2c-4540-a03c-65e2b4736c23_en?filename=2024-ageing-report-country-fiche-Romania.pdf&amp;utm_source=chatgpt.com" TargetMode="External"/><Relationship Id="rId54" Type="http://schemas.openxmlformats.org/officeDocument/2006/relationships/hyperlink" Target="https://ypergasias.gov.gr/en/social-security/insured-persons/insurance-contributions/?utm_source=chatgpt.com" TargetMode="External"/><Relationship Id="rId75" Type="http://schemas.openxmlformats.org/officeDocument/2006/relationships/hyperlink" Target="https://www.ssa.gov/policy/docs/progdesc/ssptw/2018-2019/europe/italy.html" TargetMode="External"/><Relationship Id="rId96" Type="http://schemas.openxmlformats.org/officeDocument/2006/relationships/hyperlink" Target="https://www.gov.gr/en/sdg/work-and-retirement/taxation/pensioners-that-live-in-one-eu-country-but-receive-their-pension-from-another/pensioners-that-live-in-one-eu-country-but-receive-their-pension-from-another?utm_source=chatgpt.com" TargetMode="External"/><Relationship Id="rId140" Type="http://schemas.openxmlformats.org/officeDocument/2006/relationships/hyperlink" Target="https://guichet.public.lu/en/citoyens/aides/sante/prestations-survivants/pension-survie.html?utm_source=chatgpt.com" TargetMode="External"/><Relationship Id="rId161" Type="http://schemas.openxmlformats.org/officeDocument/2006/relationships/hyperlink" Target="https://www.nav.no/har-pensjon/en?utm_source=chatgpt.com" TargetMode="External"/><Relationship Id="rId182" Type="http://schemas.openxmlformats.org/officeDocument/2006/relationships/hyperlink" Target="https://ec.europa.eu/social/BlobServlet?docId=13772&amp;langId=en" TargetMode="External"/><Relationship Id="rId217" Type="http://schemas.openxmlformats.org/officeDocument/2006/relationships/hyperlink" Target="https://ec.europa.eu/social/BlobServlet?docId=13772&amp;langId=en&amp;utm_source=chatgpt.com" TargetMode="External"/><Relationship Id="rId378" Type="http://schemas.openxmlformats.org/officeDocument/2006/relationships/hyperlink" Target="https://www.canada.ca/en/services/benefits/publicpensions/cpp/cpp-survivor-pension.html?utm_source=chatgpt.com" TargetMode="External"/><Relationship Id="rId399" Type="http://schemas.openxmlformats.org/officeDocument/2006/relationships/hyperlink" Target="https://www.ssa.gov/oact/ProgData/ar_drc.html" TargetMode="External"/><Relationship Id="rId403" Type="http://schemas.openxmlformats.org/officeDocument/2006/relationships/hyperlink" Target="https://www.ssa.gov/pubs/EN-05-10035.pdf" TargetMode="External"/><Relationship Id="rId6" Type="http://schemas.openxmlformats.org/officeDocument/2006/relationships/hyperlink" Target="https://www.etk.fi/en/finnish-pension-system/pensions/overview-of-pensions/current-information-on-pensions-and-taxation/?utm_source=chatgpt.com" TargetMode="External"/><Relationship Id="rId238" Type="http://schemas.openxmlformats.org/officeDocument/2006/relationships/hyperlink" Target="https://www.cssz.cz/web/lang/duchodove-pojisteni1?lang=en&amp;utm_source=chatgpt.com" TargetMode="External"/><Relationship Id="rId259" Type="http://schemas.openxmlformats.org/officeDocument/2006/relationships/hyperlink" Target="https://www.cssz.cz/web/lang/duchodovy-vek?lang=en&amp;utm_source=chatgpt.com" TargetMode="External"/><Relationship Id="rId23" Type="http://schemas.openxmlformats.org/officeDocument/2006/relationships/hyperlink" Target="https://sotsiaalkindlustusamet.ee/en/pension-and-benefits/pension-amount/pension-indexation" TargetMode="External"/><Relationship Id="rId119" Type="http://schemas.openxmlformats.org/officeDocument/2006/relationships/hyperlink" Target="https://www.nav.no/alderspensjon/en?utm_source=chatgpt.com" TargetMode="External"/><Relationship Id="rId270" Type="http://schemas.openxmlformats.org/officeDocument/2006/relationships/hyperlink" Target="https://www.findyourpension.eu/provider-list/pension-abc/default-f4f85c47e1?utm_source=chatgpt.com" TargetMode="External"/><Relationship Id="rId291" Type="http://schemas.openxmlformats.org/officeDocument/2006/relationships/hyperlink" Target="https://sede.agenciatributaria.gob.es/Sede/en_gb/no-residentes/irnr-sin-establecimiento-permanente/cuestiones-especificas-sobre-tributacion-otras-convenio/pensiones-satisfechas-seguridad-social-espanola.html?utm_source=chatgpt.com" TargetMode="External"/><Relationship Id="rId305" Type="http://schemas.openxmlformats.org/officeDocument/2006/relationships/hyperlink" Target="https://www.ssa.gov/policy/docs/progdesc/ssptw/2018-2019/europe/belgium.html?utm_source=chatgpt.com" TargetMode="External"/><Relationship Id="rId326" Type="http://schemas.openxmlformats.org/officeDocument/2006/relationships/hyperlink" Target="https://lifeindenmark.borger.dk/pension/tax-on-danish-and-non-danish-pensions" TargetMode="External"/><Relationship Id="rId347" Type="http://schemas.openxmlformats.org/officeDocument/2006/relationships/hyperlink" Target="https://www.etk.fi/en/international-affairs/international-comparisons/retirement-ages/" TargetMode="External"/><Relationship Id="rId44" Type="http://schemas.openxmlformats.org/officeDocument/2006/relationships/hyperlink" Target="https://www.gov.ie/en/department-of-social-protection/services/state-pension-contributory/" TargetMode="External"/><Relationship Id="rId65" Type="http://schemas.openxmlformats.org/officeDocument/2006/relationships/hyperlink" Target="https://www.lm.gov.lv/en/state-pensions-0" TargetMode="External"/><Relationship Id="rId86" Type="http://schemas.openxmlformats.org/officeDocument/2006/relationships/hyperlink" Target="https://secure.ssa.gov/apps10/poms.nsf/lnx/0201763020" TargetMode="External"/><Relationship Id="rId130" Type="http://schemas.openxmlformats.org/officeDocument/2006/relationships/hyperlink" Target="https://business.gov.nl/regulations/pension/?utm_source=chatgpt.com" TargetMode="External"/><Relationship Id="rId151" Type="http://schemas.openxmlformats.org/officeDocument/2006/relationships/hyperlink" Target="https://socmin.lrv.lt/en/activities/social-insurance-1/social-insurance-benefits/social-insurance-pensions-for-widows-widowers-and-orphans/?utm_source=chatgpt.com" TargetMode="External"/><Relationship Id="rId368" Type="http://schemas.openxmlformats.org/officeDocument/2006/relationships/hyperlink" Target="https://www.gov.uk/government/news/gad-and-the-state-pension-age-review?utm_source=chatgpt.com" TargetMode="External"/><Relationship Id="rId389" Type="http://schemas.openxmlformats.org/officeDocument/2006/relationships/hyperlink" Target="https://www.servicesaustralia.gov.au/age-pension-payments-concessions-and-support?context=22526&amp;utm_source=chatgpt.com" TargetMode="External"/><Relationship Id="rId172" Type="http://schemas.openxmlformats.org/officeDocument/2006/relationships/hyperlink" Target="https://www.svb.nl/en/aow-pension/aow-pension-rates/what-is-deducted-from-your-aow-pension?utm_source=chatgpt.com" TargetMode="External"/><Relationship Id="rId193" Type="http://schemas.openxmlformats.org/officeDocument/2006/relationships/hyperlink" Target="https://www.pensionsmyndigheten.se/other-languages/english-engelska/english-engelska/pension-system-in-sweden" TargetMode="External"/><Relationship Id="rId207" Type="http://schemas.openxmlformats.org/officeDocument/2006/relationships/hyperlink" Target="https://ec.europa.eu/social/BlobServlet?docId=13772&amp;langId=en" TargetMode="External"/><Relationship Id="rId228" Type="http://schemas.openxmlformats.org/officeDocument/2006/relationships/hyperlink" Target="https://socpoist.sk/en/life-situations/pension/how-apply-early-old-age-pension?utm_source=chatgpt.com" TargetMode="External"/><Relationship Id="rId249" Type="http://schemas.openxmlformats.org/officeDocument/2006/relationships/hyperlink" Target="https://www.researchinslovakia.saia.sk/en/main/work-and-daily-life/social-insurace-and-security/?utm_source=chatgpt.com" TargetMode="External"/><Relationship Id="rId13" Type="http://schemas.openxmlformats.org/officeDocument/2006/relationships/hyperlink" Target="https://www.lassuranceretraite.fr/portail-info/hors-menu/traductions/english/my-rights.html" TargetMode="External"/><Relationship Id="rId109" Type="http://schemas.openxmlformats.org/officeDocument/2006/relationships/hyperlink" Target="https://www.oecd.org/content/dam/oecd/en/publications/reports/2024/10/pensions-at-a-glance-2023-country-notes_2e11a061/lithuania_1b66ebef/563e5d3f-en.pdf?utm_source=chatgpt.com" TargetMode="External"/><Relationship Id="rId260" Type="http://schemas.openxmlformats.org/officeDocument/2006/relationships/hyperlink" Target="https://www.mpisoc.mpg.de/en/social-law/research/research-projects/pension-maps/project-website/hungary/social-insurance-pension-scheme/?utm_source=chatgpt.com" TargetMode="External"/><Relationship Id="rId281" Type="http://schemas.openxmlformats.org/officeDocument/2006/relationships/hyperlink" Target="https://www.issa.int/sites/default/files/documents/2024-12/Cyprus.pdf?utm_source=chatgpt.com" TargetMode="External"/><Relationship Id="rId316" Type="http://schemas.openxmlformats.org/officeDocument/2006/relationships/hyperlink" Target="https://pfg.bg/en/4/50/53/56?utm_source=chatgpt.com" TargetMode="External"/><Relationship Id="rId337" Type="http://schemas.openxmlformats.org/officeDocument/2006/relationships/hyperlink" Target="https://www.gov.uk/new-state-pension/inheriting-or-increasing-state-pension-from-a-spouse-or-civil-partner" TargetMode="External"/><Relationship Id="rId34" Type="http://schemas.openxmlformats.org/officeDocument/2006/relationships/hyperlink" Target="https://www.deutsche-rentenversicherung.de/KnappschaftBahnSee/DE/Aktuelles/Meldungen/2026/2026_01_02_Sozialversicherungsrechengroessen2026.html?utm_source=chatgpt.com" TargetMode="External"/><Relationship Id="rId55" Type="http://schemas.openxmlformats.org/officeDocument/2006/relationships/hyperlink" Target="https://www.citizensinformation.ie/en/social-welfare/older-and-retired-people/state-pension-contributory/" TargetMode="External"/><Relationship Id="rId76" Type="http://schemas.openxmlformats.org/officeDocument/2006/relationships/hyperlink" Target="https://www.portal.hr/en/novosti/hr/104050-iz-hzmo-a-doznajemo-isplata-uvecanih-mirovina-planirana-i-prije-zakonskog-roka?utm_source=chatgpt.com" TargetMode="External"/><Relationship Id="rId97" Type="http://schemas.openxmlformats.org/officeDocument/2006/relationships/hyperlink" Target="https://www.gov.ie/en/department-of-social-protection/services/state-pension-contributory/" TargetMode="External"/><Relationship Id="rId120" Type="http://schemas.openxmlformats.org/officeDocument/2006/relationships/hyperlink" Target="https://www.ssa.gov/policy/docs/progdesc/ssptw/2018-2019/europe/liechtenstein.html?utm_source=chatgpt.com" TargetMode="External"/><Relationship Id="rId141" Type="http://schemas.openxmlformats.org/officeDocument/2006/relationships/hyperlink" Target="https://www.servizz.gov.mt/en/Pages/Inclusion_-Equality-and-Social-Welfare/Social-Solidarity/Benefits-and-Services/Contributory-Pensions/default.aspx?utm_source=chatgpt.com" TargetMode="External"/><Relationship Id="rId358" Type="http://schemas.openxmlformats.org/officeDocument/2006/relationships/hyperlink" Target="https://www.etk.fi/en/international-affairs/international-comparisons/retirement-ages/" TargetMode="External"/><Relationship Id="rId379" Type="http://schemas.openxmlformats.org/officeDocument/2006/relationships/hyperlink" Target="https://www.canada.ca/content/dam/esdc-edsc/documents/programs/pensions/reports/annual-2024/2023-2024-CPP-Annual-Report-en.pdf?utm_source=chatgpt.com" TargetMode="External"/><Relationship Id="rId7" Type="http://schemas.openxmlformats.org/officeDocument/2006/relationships/hyperlink" Target="https://www.emta.ee/en/private-client/taxes-and-payment/tax-incentives/basic-exemption-pensionable-age" TargetMode="External"/><Relationship Id="rId162" Type="http://schemas.openxmlformats.org/officeDocument/2006/relationships/hyperlink" Target="https://www.regierung.li/files/medienarchiv/640-0-22-09-2022-en.pdf?utm_source=chatgpt.com" TargetMode="External"/><Relationship Id="rId183" Type="http://schemas.openxmlformats.org/officeDocument/2006/relationships/hyperlink" Target="https://www.pensionsmyndigheten.se/other-languages/english-engelska/english-engelska/pension-system-in-sweden?utm_source=chatgpt.com" TargetMode="External"/><Relationship Id="rId218" Type="http://schemas.openxmlformats.org/officeDocument/2006/relationships/hyperlink" Target="https://www.pensionsmyndigheten.se/other-languages/english-engelska/english-engelska/survivors-pension-financial-support-in-the-event-of-death" TargetMode="External"/><Relationship Id="rId239" Type="http://schemas.openxmlformats.org/officeDocument/2006/relationships/hyperlink" Target="https://www.mpisoc.mpg.de/en/social-law/research/research-projects/pension-maps/project-website/hungary/social-insurance-pension-scheme/?utm_source=chatgpt.com" TargetMode="External"/><Relationship Id="rId390" Type="http://schemas.openxmlformats.org/officeDocument/2006/relationships/hyperlink" Target="https://www.workandincome.govt.nz/eligibility/seniors/superannuation/index.html?utm_source=chatgpt.com" TargetMode="External"/><Relationship Id="rId404" Type="http://schemas.openxmlformats.org/officeDocument/2006/relationships/hyperlink" Target="https://www.ssa.gov/survivor/amount" TargetMode="External"/><Relationship Id="rId250" Type="http://schemas.openxmlformats.org/officeDocument/2006/relationships/hyperlink" Target="https://www.zpiz.si/content2020en/when-can-i-retire?utm_source=chatgpt.com" TargetMode="External"/><Relationship Id="rId271" Type="http://schemas.openxmlformats.org/officeDocument/2006/relationships/hyperlink" Target="https://administracion.gob.es/pag_Home/en/Tu-espacio-europeo/derechos-obligaciones/ciudadanos/trabajo-jubilacion/seguridad-social-pensiones/info-general.html?utm_source=chatgpt.com" TargetMode="External"/><Relationship Id="rId292" Type="http://schemas.openxmlformats.org/officeDocument/2006/relationships/hyperlink" Target="https://cms.law/en/int/expert-guides/cms-expert-guide-to-pensions/czech-republic?utm_source=chatgpt.com" TargetMode="External"/><Relationship Id="rId306" Type="http://schemas.openxmlformats.org/officeDocument/2006/relationships/hyperlink" Target="https://www.plan.be/sites/default/files/documents/REP_T29_12928_EN.pdf?utm_source=chatgpt.com" TargetMode="External"/><Relationship Id="rId24" Type="http://schemas.openxmlformats.org/officeDocument/2006/relationships/hyperlink" Target="https://www.deutsche-rentenversicherung.de/SharedDocs/Glossareintraege/DE/R/rentenanpassung.html?utm_source=chatgpt.com" TargetMode="External"/><Relationship Id="rId45" Type="http://schemas.openxmlformats.org/officeDocument/2006/relationships/hyperlink" Target="https://www.norden.org/en/info-norden/icelandic-pension-system" TargetMode="External"/><Relationship Id="rId66" Type="http://schemas.openxmlformats.org/officeDocument/2006/relationships/hyperlink" Target="https://ypergasias.gov.gr/en/social-security/pensions/primary-pension/" TargetMode="External"/><Relationship Id="rId87" Type="http://schemas.openxmlformats.org/officeDocument/2006/relationships/hyperlink" Target="https://www.ssa.gov/policy/docs/progdesc/ssptw/2018-2019/europe/italy.html" TargetMode="External"/><Relationship Id="rId110" Type="http://schemas.openxmlformats.org/officeDocument/2006/relationships/hyperlink" Target="https://www.bgl.lu/en/individuals/blog/life-plans/retirement-in-luxembourg.html?utm_source=chatgpt.com" TargetMode="External"/><Relationship Id="rId131" Type="http://schemas.openxmlformats.org/officeDocument/2006/relationships/hyperlink" Target="https://www.nav.no/alderspensjon/en?utm_source=chatgpt.com" TargetMode="External"/><Relationship Id="rId327" Type="http://schemas.openxmlformats.org/officeDocument/2006/relationships/hyperlink" Target="https://lifeindenmark.borger.dk/pension/tax-on-danish-and-non-danish-pensions" TargetMode="External"/><Relationship Id="rId348" Type="http://schemas.openxmlformats.org/officeDocument/2006/relationships/hyperlink" Target="https://www.etk.fi/en/international-affairs/international-comparisons/retirement-ages/" TargetMode="External"/><Relationship Id="rId369" Type="http://schemas.openxmlformats.org/officeDocument/2006/relationships/hyperlink" Target="https://www.canada.ca/en/services/benefits/publicpensions/cpp.html?utm_source=chatgpt.com" TargetMode="External"/><Relationship Id="rId152" Type="http://schemas.openxmlformats.org/officeDocument/2006/relationships/hyperlink" Target="https://guichet.public.lu/en/citoyens/aides/sante/prestations-survivants/pension-survie.html?utm_source=chatgpt.com" TargetMode="External"/><Relationship Id="rId173" Type="http://schemas.openxmlformats.org/officeDocument/2006/relationships/hyperlink" Target="https://www.skatteetaten.no/en/rates/national-insurance-contributions/?utm_source=chatgpt.com" TargetMode="External"/><Relationship Id="rId194" Type="http://schemas.openxmlformats.org/officeDocument/2006/relationships/hyperlink" Target="https://www.oesterreich.gv.at/de/themen/arbeit_beruf_und_pension/pension/2/1/Seite.270132?utm_source=chatgpt.com" TargetMode="External"/><Relationship Id="rId208" Type="http://schemas.openxmlformats.org/officeDocument/2006/relationships/hyperlink" Target="https://www.forsakringskassan.se/english/sick/sick-for-one-year-or-longer/sickness-compensation" TargetMode="External"/><Relationship Id="rId229" Type="http://schemas.openxmlformats.org/officeDocument/2006/relationships/hyperlink" Target="https://www.oecd.org/en/publications/pensions-at-a-glance-2025_e40274c1-en/full-report/recent-pension-reforms_146d2687.html?utm_source=chatgpt.com" TargetMode="External"/><Relationship Id="rId380" Type="http://schemas.openxmlformats.org/officeDocument/2006/relationships/hyperlink" Target="file://C:\A7FA01D38A6BDD72\Kaffeerunde\Versorgungsausgleich%20in%20Europa\OAS%20und%20CPP%20sind%20steuerpflichtiges%20Einkommen.%20Die%20OAS%20unterliegt%20zus&#228;tzlich%20einer%20einkommensabh&#228;ngigen%20R&#252;ckforderung,%20dem%20OAS%20recovery%20tax,%20bei%20h&#246;heren%20Einkommen.%20Auf%20Rentenzahlungen%20selbst%20fallen%20grunds&#228;tzlich%20keine%20CPP-Beitr&#228;ge%20an;%20wer%20w&#228;hrend%20des%20Bezugs%20einer%20CPP-Rente%20weiter%20arbeitet,%20kann%20je%20nach%20Alter%20weiter%20beitragspflichtig%20sein%20bzw.%20ab%2065%20bis%2070%20die%20Beitragszahlung%20abw&#228;hlen." TargetMode="External"/><Relationship Id="rId240" Type="http://schemas.openxmlformats.org/officeDocument/2006/relationships/hyperlink" Target="https://www.issa.int/sites/default/files/documents/2024-12/Cyprus.pdf?utm_source=chatgpt.com" TargetMode="External"/><Relationship Id="rId261" Type="http://schemas.openxmlformats.org/officeDocument/2006/relationships/hyperlink" Target="https://www.euraxess.org.cy/cyprus/information-assistance/pension-rights?utm_source=chatgpt.com" TargetMode="External"/><Relationship Id="rId14" Type="http://schemas.openxmlformats.org/officeDocument/2006/relationships/hyperlink" Target="https://www.tyoelake.fi/en/different-pensions/survivors-pensions-when-you-lose-a-family-wage-earner/" TargetMode="External"/><Relationship Id="rId35" Type="http://schemas.openxmlformats.org/officeDocument/2006/relationships/hyperlink" Target="https://www.cleiss.fr/docs/regimes/regime_france/an_3.html" TargetMode="External"/><Relationship Id="rId56" Type="http://schemas.openxmlformats.org/officeDocument/2006/relationships/hyperlink" Target="https://taxsummaries.pwc.com/iceland/individual/other-taxes" TargetMode="External"/><Relationship Id="rId77" Type="http://schemas.openxmlformats.org/officeDocument/2006/relationships/hyperlink" Target="https://www.lm.gov.lv/en/old-age-pension" TargetMode="External"/><Relationship Id="rId100" Type="http://schemas.openxmlformats.org/officeDocument/2006/relationships/hyperlink" Target="https://porezna-uprava.gov.hr/en/pensioner/7391?utm_source=chatgpt.com" TargetMode="External"/><Relationship Id="rId282" Type="http://schemas.openxmlformats.org/officeDocument/2006/relationships/hyperlink" Target="https://www.ahv-iv.ch/p/3.03.e?utm_source=chatgpt.com" TargetMode="External"/><Relationship Id="rId317" Type="http://schemas.openxmlformats.org/officeDocument/2006/relationships/hyperlink" Target="https://www.oecd.org/content/dam/oecd/en/publications/reports/2026/02/oecd-economic-surveys-bulgaria-2026_4dccf790/08af497f-en.pdf" TargetMode="External"/><Relationship Id="rId338" Type="http://schemas.openxmlformats.org/officeDocument/2006/relationships/hyperlink" Target="https://www.gov.uk/tax-national-insurance-after-state-pension-age" TargetMode="External"/><Relationship Id="rId359" Type="http://schemas.openxmlformats.org/officeDocument/2006/relationships/hyperlink" Target="https://economy-finance.ec.europa.eu/document/download/9d858e5d-9263-4055-a008-162bf459da4e_en?filename=2024-ageing-report-country-fiche-Slovakia.pdf&amp;utm_source=chatgpt.com" TargetMode="External"/><Relationship Id="rId8" Type="http://schemas.openxmlformats.org/officeDocument/2006/relationships/hyperlink" Target="https://www.deutsche-rentenversicherung.de/DRV/DE/Ueber-uns-und-Presse/Presse/Meldungen/2026/20260216-steueranteil-neurentner.html?utm_source=chatgpt.com" TargetMode="External"/><Relationship Id="rId98" Type="http://schemas.openxmlformats.org/officeDocument/2006/relationships/hyperlink" Target="https://www.lsr.is/en/pensions/division-a/taxation/" TargetMode="External"/><Relationship Id="rId121" Type="http://schemas.openxmlformats.org/officeDocument/2006/relationships/hyperlink" Target="https://socmin.lrv.lt/en/activities/social-insurance-1/social-insurance-contributions/?utm_source=chatgpt.com" TargetMode="External"/><Relationship Id="rId142" Type="http://schemas.openxmlformats.org/officeDocument/2006/relationships/hyperlink" Target="https://www.svb.nl/en/aow-pension/aow-pension-rates/aow-pension-rates?utm_source=chatgpt.com" TargetMode="External"/><Relationship Id="rId163" Type="http://schemas.openxmlformats.org/officeDocument/2006/relationships/hyperlink" Target="https://economy-finance.ec.europa.eu/system/files/2021-05/lt_-_ar_2021_final_pension_fiche.pdf?utm_source=chatgpt.com" TargetMode="External"/><Relationship Id="rId184" Type="http://schemas.openxmlformats.org/officeDocument/2006/relationships/hyperlink" Target="https://www.oesterreich.gv.at/de/themen/arbeit_beruf_und_pension/pension/2/1/Seite.270132?utm_source=chatgpt.com" TargetMode="External"/><Relationship Id="rId219" Type="http://schemas.openxmlformats.org/officeDocument/2006/relationships/hyperlink" Target="https://www.oesterreich.gv.at/de/lebenslagen/Ich-gehe-oder-bin-in-Pension?utm_source=chatgpt.com" TargetMode="External"/><Relationship Id="rId370" Type="http://schemas.openxmlformats.org/officeDocument/2006/relationships/hyperlink" Target="https://www.servicesaustralia.gov.au/who-can-get-age-pension?context=22526&amp;utm_source=chatgpt.com" TargetMode="External"/><Relationship Id="rId391" Type="http://schemas.openxmlformats.org/officeDocument/2006/relationships/hyperlink" Target="https://www.workandincome.govt.nz/eligibility/seniors/nz-super-and-veterans-pension-residency-changes-2024.html" TargetMode="External"/><Relationship Id="rId405" Type="http://schemas.openxmlformats.org/officeDocument/2006/relationships/hyperlink" Target="https://www.ssa.gov/blog/en/posts/2026-03-12.html" TargetMode="External"/><Relationship Id="rId230" Type="http://schemas.openxmlformats.org/officeDocument/2006/relationships/hyperlink" Target="https://www.ssa.gov/international/Agreement_Pamphlets/spain.html?utm_source=chatgpt.com" TargetMode="External"/><Relationship Id="rId251" Type="http://schemas.openxmlformats.org/officeDocument/2006/relationships/hyperlink" Target="https://www.euraxess.es/spain/information-assistance/spanish-social-security-and-pensions/pensions?utm_source=chatgpt.com" TargetMode="External"/><Relationship Id="rId25" Type="http://schemas.openxmlformats.org/officeDocument/2006/relationships/hyperlink" Target="https://www.cleiss.fr/docs/regimes/regime_france/an_3.html" TargetMode="External"/><Relationship Id="rId46" Type="http://schemas.openxmlformats.org/officeDocument/2006/relationships/hyperlink" Target="https://www.inps.it/it/en/dettaglio-scheda.en.schede-servizio-strumento.schede-servizi.pensione-di-vecchiaia.html" TargetMode="External"/><Relationship Id="rId67" Type="http://schemas.openxmlformats.org/officeDocument/2006/relationships/hyperlink" Target="https://www.citizensinformation.ie/en/social-welfare/older-and-retired-people/state-pension-contributory/" TargetMode="External"/><Relationship Id="rId272" Type="http://schemas.openxmlformats.org/officeDocument/2006/relationships/hyperlink" Target="https://portal.gov.cz/en/sluzby-vs/disability-pension-S83?utm_source=chatgpt.com" TargetMode="External"/><Relationship Id="rId293" Type="http://schemas.openxmlformats.org/officeDocument/2006/relationships/hyperlink" Target="https://www.mpisoc.mpg.de/en/social-law/research/research-projects/pension-maps/project-website/hungary/social-insurance-pension-scheme/?utm_source=chatgpt.com" TargetMode="External"/><Relationship Id="rId307" Type="http://schemas.openxmlformats.org/officeDocument/2006/relationships/hyperlink" Target="https://settlinginbelgium.be/en/work-and-retirement/retirement" TargetMode="External"/><Relationship Id="rId328" Type="http://schemas.openxmlformats.org/officeDocument/2006/relationships/hyperlink" Target="https://www.seg-social.es/wps/portal/wss/internet/Trabajadores/PrestacionesPensionesTrabajadores/10964/10966/28489/28490?utm_source=chatgpt.com" TargetMode="External"/><Relationship Id="rId349" Type="http://schemas.openxmlformats.org/officeDocument/2006/relationships/hyperlink" Target="https://www.etk.fi/en/international-affairs/international-comparisons/retirement-ages/" TargetMode="External"/><Relationship Id="rId88" Type="http://schemas.openxmlformats.org/officeDocument/2006/relationships/hyperlink" Target="https://employment-social-affairs.ec.europa.eu/document/download/3f43aab0-d0c5-4c70-a7d2-f56fa6ee565c_en?prefLang=lt&amp;utm_source=chatgpt.com" TargetMode="External"/><Relationship Id="rId111" Type="http://schemas.openxmlformats.org/officeDocument/2006/relationships/hyperlink" Target="https://www.servizz.gov.mt/en/Pages/Inclusion_-Equality-and-Social-Welfare/Social-Solidarity/Benefits-and-Services/Contributory-Pensions/WEB-00641/default.aspx?utm_source=chatgpt.com" TargetMode="External"/><Relationship Id="rId132" Type="http://schemas.openxmlformats.org/officeDocument/2006/relationships/hyperlink" Target="https://www.ahv.li/leistungen/ahv/rentenberechnung?utm_source=chatgpt.com" TargetMode="External"/><Relationship Id="rId153" Type="http://schemas.openxmlformats.org/officeDocument/2006/relationships/hyperlink" Target="https://socialsecurity.gov.mt/en/information-and-applications-for-benefits-and-services/contributory-pensions/contributory-widow-ers-pension/?utm_source=chatgpt.com" TargetMode="External"/><Relationship Id="rId174" Type="http://schemas.openxmlformats.org/officeDocument/2006/relationships/hyperlink" Target="https://www.oesterreich.gv.at/de/lebenslagen/Ich-gehe-oder-bin-in-Pension?utm_source=chatgpt.com" TargetMode="External"/><Relationship Id="rId195" Type="http://schemas.openxmlformats.org/officeDocument/2006/relationships/hyperlink" Target="https://www.zus.pl/baza-wiedzy/skladki-wskazniki-odsetki/wskazniki/waloryzacja-skladki-i-kapitalu-poczatkowego/wskazniki-waloryzacji-rocznej?utm_source=chatgpt.com" TargetMode="External"/><Relationship Id="rId209" Type="http://schemas.openxmlformats.org/officeDocument/2006/relationships/hyperlink" Target="https://www.oesterreich.gv.at/de/themen/arbeit_beruf_und_pension/pension/2/6/Seite.270412?utm_source=chatgpt.com" TargetMode="External"/><Relationship Id="rId360" Type="http://schemas.openxmlformats.org/officeDocument/2006/relationships/hyperlink" Target="https://www.oecd.org/en/publications/2025/11/pensions-at-a-glance-2025_76510fe4/full-report/recent-pension-reforms_146d2687.html?utm_source=chatgpt.com" TargetMode="External"/><Relationship Id="rId381" Type="http://schemas.openxmlformats.org/officeDocument/2006/relationships/hyperlink" Target="https://www.servicesaustralia.gov.au/age-pension?utm_source=chatgpt.com" TargetMode="External"/><Relationship Id="rId220" Type="http://schemas.openxmlformats.org/officeDocument/2006/relationships/hyperlink" Target="https://podatki-arch.mf.gov.pl/en/pensioners/income-tax-rates-for-pensioners/?utm_source=chatgpt.com" TargetMode="External"/><Relationship Id="rId241" Type="http://schemas.openxmlformats.org/officeDocument/2006/relationships/hyperlink" Target="https://relocation-genevoise.ch/en/blog/schweizer-ahv?utm_source=chatgpt.com" TargetMode="External"/><Relationship Id="rId15" Type="http://schemas.openxmlformats.org/officeDocument/2006/relationships/hyperlink" Target="https://www.riigiteataja.ee/en/eli/504022019001/consolide" TargetMode="External"/><Relationship Id="rId36" Type="http://schemas.openxmlformats.org/officeDocument/2006/relationships/hyperlink" Target="https://www.etk.fi/en/finnish-pension-system/financing-and-investments/pension-contributions/?utm_source=chatgpt.com" TargetMode="External"/><Relationship Id="rId57" Type="http://schemas.openxmlformats.org/officeDocument/2006/relationships/hyperlink" Target="https://www.inps.it/it/en/dettaglio-scheda.en.schede-servizio-strumento.schede-servizi.pensione-di-vecchiaia.html" TargetMode="External"/><Relationship Id="rId262" Type="http://schemas.openxmlformats.org/officeDocument/2006/relationships/hyperlink" Target="https://www.loyco.ch/en/actualites/changes-for-employers-on-january-1-2025/?utm_source=chatgpt.com" TargetMode="External"/><Relationship Id="rId283" Type="http://schemas.openxmlformats.org/officeDocument/2006/relationships/hyperlink" Target="https://socpoist.sk/en/life-situations/pension/how-apply-widows-pension?utm_source=chatgpt.com" TargetMode="External"/><Relationship Id="rId318" Type="http://schemas.openxmlformats.org/officeDocument/2006/relationships/hyperlink" Target="https://lifeindenmark.borger.dk/pension/state-pension" TargetMode="External"/><Relationship Id="rId339" Type="http://schemas.openxmlformats.org/officeDocument/2006/relationships/hyperlink" Target="https://innovires.com/tax-residency/blog/eood-owner-social-security-bulgaria.html?utm_source=chatgpt.com" TargetMode="External"/><Relationship Id="rId78" Type="http://schemas.openxmlformats.org/officeDocument/2006/relationships/hyperlink" Target="https://ypergasias.gov.gr/en/social-security/pensions/primary-pension/" TargetMode="External"/><Relationship Id="rId99" Type="http://schemas.openxmlformats.org/officeDocument/2006/relationships/hyperlink" Target="https://www.agenziaentrate.gov.it/portale/web/english/taxation-of-pensions-received-from-other-eu-countries?utm_source=chatgpt.com" TargetMode="External"/><Relationship Id="rId101" Type="http://schemas.openxmlformats.org/officeDocument/2006/relationships/hyperlink" Target="https://www.vsaa.gov.lv/en/services/granting-and-payment-old-age-pension" TargetMode="External"/><Relationship Id="rId122" Type="http://schemas.openxmlformats.org/officeDocument/2006/relationships/hyperlink" Target="https://www.csl.lu/en/your-rights/social-security/pensions/old-age-pensions/?utm_source=chatgpt.com" TargetMode="External"/><Relationship Id="rId143" Type="http://schemas.openxmlformats.org/officeDocument/2006/relationships/hyperlink" Target="https://www.mpisoc.mpg.de/en/social-law/research/research-projects/pension-maps/project-website/norwegen/statutory-old-age-pension-scheme-as-part-of-the-national-insurance-system/?utm_source=chatgpt.com" TargetMode="External"/><Relationship Id="rId164" Type="http://schemas.openxmlformats.org/officeDocument/2006/relationships/hyperlink" Target="https://cnap.public.lu/en/pensions/generalites.html?utm_source=chatgpt.com" TargetMode="External"/><Relationship Id="rId185" Type="http://schemas.openxmlformats.org/officeDocument/2006/relationships/hyperlink" Target="https://www.zus.pl/baza-wiedzy/skladki-wskazniki-odsetki/wskazniki/waloryzacja-skladki-i-kapitalu-poczatkowego/wskazniki-waloryzacji-rocznej?utm_source=chatgpt.com" TargetMode="External"/><Relationship Id="rId350" Type="http://schemas.openxmlformats.org/officeDocument/2006/relationships/hyperlink" Target="https://www.etk.fi/en/international-affairs/international-comparisons/retirement-ages/" TargetMode="External"/><Relationship Id="rId371" Type="http://schemas.openxmlformats.org/officeDocument/2006/relationships/hyperlink" Target="https://www.workandincome.govt.nz/eligibility/seniors/superannuation/index.html?utm_source=chatgpt.com" TargetMode="External"/><Relationship Id="rId406" Type="http://schemas.openxmlformats.org/officeDocument/2006/relationships/hyperlink" Target="https://www.irs.gov/newsroom/irs-reminds-taxpayers-their-social-security-benefits-may-be-taxable" TargetMode="External"/><Relationship Id="rId9" Type="http://schemas.openxmlformats.org/officeDocument/2006/relationships/hyperlink" Target="https://www.lassuranceretraite.fr/portail-info/hors-menu/traductions/english/my-rights.html" TargetMode="External"/><Relationship Id="rId210" Type="http://schemas.openxmlformats.org/officeDocument/2006/relationships/hyperlink" Target="https://lang.zus.pl/benefits/survivor-s-pensions?utm_source=chatgpt.com" TargetMode="External"/><Relationship Id="rId392" Type="http://schemas.openxmlformats.org/officeDocument/2006/relationships/hyperlink" Target="https://www.msd.govt.nz/documents/about-msd-and-our-work/publications-resources/information-releases/cabinet-papers/2025/annual-general-adjustment-2025/paper-annual-general-adjustment-2025.pdf?utm_source=chatgpt.com" TargetMode="External"/><Relationship Id="rId26" Type="http://schemas.openxmlformats.org/officeDocument/2006/relationships/hyperlink" Target="https://www.etk.fi/en/finnish-pension-system/pensions/pension-indexation/earnings-related-pension-indexes/?utm_source=chatgpt.com" TargetMode="External"/><Relationship Id="rId231" Type="http://schemas.openxmlformats.org/officeDocument/2006/relationships/hyperlink" Target="https://www.oecd.org/en/publications/pensions-at-a-glance-2025-country-notes_8a53ef12-en/czechia_dd7aae9d-en.html?utm_source=chatgpt.com" TargetMode="External"/><Relationship Id="rId252" Type="http://schemas.openxmlformats.org/officeDocument/2006/relationships/hyperlink" Target="https://www.cssz.cz/web/lang/duchodove-pojisteni1?lang=en&amp;utm_source=chatgpt.com" TargetMode="External"/><Relationship Id="rId273" Type="http://schemas.openxmlformats.org/officeDocument/2006/relationships/hyperlink" Target="https://ec.europa.eu/social/BlobServlet?docId=13766&amp;langId=en&amp;utm_source=chatgpt.com" TargetMode="External"/><Relationship Id="rId294" Type="http://schemas.openxmlformats.org/officeDocument/2006/relationships/hyperlink" Target="https://www.mof.gov.cy/mof/tax/taxdep.nsf/All/63BFCDA304B95940C2258B2C002BE389/%24file/Guide%20for%20tax%20return%202023.pdf?OpenElement=&amp;utm_source=chatgpt.com" TargetMode="External"/><Relationship Id="rId308" Type="http://schemas.openxmlformats.org/officeDocument/2006/relationships/hyperlink" Target="https://www.oecd.org/content/dam/oecd/en/publications/reports/2026/02/oecd-economic-surveys-bulgaria-2026_4dccf790/08af497f-en.pdf" TargetMode="External"/><Relationship Id="rId329" Type="http://schemas.openxmlformats.org/officeDocument/2006/relationships/hyperlink" Target="https://www.legislation.gov.uk/ukpga/1995/26/schedule/4?utm_source=chatgpt.com" TargetMode="External"/><Relationship Id="rId47" Type="http://schemas.openxmlformats.org/officeDocument/2006/relationships/hyperlink" Target="https://migracije.hr/old-age-pension/?lang=en" TargetMode="External"/><Relationship Id="rId68" Type="http://schemas.openxmlformats.org/officeDocument/2006/relationships/hyperlink" Target="https://www.norden.org/en/info-norden/icelandic-pension-system" TargetMode="External"/><Relationship Id="rId89" Type="http://schemas.openxmlformats.org/officeDocument/2006/relationships/hyperlink" Target="https://www.lm.gov.lv/en/state-pensions-0" TargetMode="External"/><Relationship Id="rId112" Type="http://schemas.openxmlformats.org/officeDocument/2006/relationships/hyperlink" Target="https://www.svb.nl/en/aow-pension/aow-pension-age/your-aow-pension-age?utm_source=chatgpt.com" TargetMode="External"/><Relationship Id="rId133" Type="http://schemas.openxmlformats.org/officeDocument/2006/relationships/hyperlink" Target="https://socmin.lrv.lt/en/activities/social-insurance-1/social-insurance-benefits/social-insurance-old-age-pensions/?utm_source=chatgpt.com" TargetMode="External"/><Relationship Id="rId154" Type="http://schemas.openxmlformats.org/officeDocument/2006/relationships/hyperlink" Target="https://www.government.nl/themes/taxes-benefits-and-allowances/surviving-dependants-act/applying-for-surviving-dependants-benefit-anw-uitkering?utm_source=chatgpt.com" TargetMode="External"/><Relationship Id="rId175" Type="http://schemas.openxmlformats.org/officeDocument/2006/relationships/hyperlink" Target="https://lang.zus.pl/benefits/old-age-pensions/old-age-pensions-operating-under-the-new-rules?utm_source=chatgpt.com" TargetMode="External"/><Relationship Id="rId340" Type="http://schemas.openxmlformats.org/officeDocument/2006/relationships/hyperlink" Target="https://www.etk.fi/en/international-affairs/international-comparisons/retirement-ages/" TargetMode="External"/><Relationship Id="rId361" Type="http://schemas.openxmlformats.org/officeDocument/2006/relationships/hyperlink" Target="https://www.seg-social.es/wps/portal/wss/internet/Trabajadores/PrestacionesPensionesTrabajadores/10963/28393/28396/28472?utm_source=chatgpt.com" TargetMode="External"/><Relationship Id="rId196" Type="http://schemas.openxmlformats.org/officeDocument/2006/relationships/hyperlink" Target="https://www.dgaep.gov.pt/stap/EN/infoPage.cfm?KeepThis=true&amp;TB_iframe=true&amp;height=580&amp;objid=013242ea-f602-4aa6-aca4-003084601596&amp;width=520&amp;utm_source=chatgpt.com" TargetMode="External"/><Relationship Id="rId200" Type="http://schemas.openxmlformats.org/officeDocument/2006/relationships/hyperlink" Target="https://www.zus.pl/-/od-marca-emerytury-i-renty-w-g%C3%B3r%C4%99?utm_source=chatgpt.com" TargetMode="External"/><Relationship Id="rId382" Type="http://schemas.openxmlformats.org/officeDocument/2006/relationships/hyperlink" Target="https://www.servicesaustralia.gov.au/age-pension?utm_source=chatgpt.com" TargetMode="External"/><Relationship Id="rId16" Type="http://schemas.openxmlformats.org/officeDocument/2006/relationships/hyperlink" Target="https://www.deutsche-rentenversicherung.de/DRV/DE/Rente/Allgemeine-Informationen/Rentenarten-und-Leistungen/Renten-an-Hinterbliebene/renten-an-hinterbliebene_node.html?utm_source=chatgpt.com" TargetMode="External"/><Relationship Id="rId221" Type="http://schemas.openxmlformats.org/officeDocument/2006/relationships/hyperlink" Target="https://www.mpisoc.mpg.de/en/social-law/research/research-projects/pension-maps/project-website/portugal/general-social-security-scheme/?utm_source=chatgpt.com" TargetMode="External"/><Relationship Id="rId242" Type="http://schemas.openxmlformats.org/officeDocument/2006/relationships/hyperlink" Target="https://cms.law/en/int/expert-guides/cms-expert-guide-to-pensions/slovakia?utm_source=chatgpt.com" TargetMode="External"/><Relationship Id="rId263" Type="http://schemas.openxmlformats.org/officeDocument/2006/relationships/hyperlink" Target="https://www.ssa.gov/policy/docs/progdesc/ssptw/2018-2019/europe/slovakia.html?utm_source=chatgpt.com" TargetMode="External"/><Relationship Id="rId284" Type="http://schemas.openxmlformats.org/officeDocument/2006/relationships/hyperlink" Target="https://www.zpiz.si/content2020en/assessment-of-a-widow-ers-pension?utm_source=chatgpt.com" TargetMode="External"/><Relationship Id="rId319" Type="http://schemas.openxmlformats.org/officeDocument/2006/relationships/hyperlink" Target="https://lifeindenmark.borger.dk/pension/state-pension" TargetMode="External"/><Relationship Id="rId37" Type="http://schemas.openxmlformats.org/officeDocument/2006/relationships/hyperlink" Target="https://sotsiaalkindlustusamet.ee/en/pension-and-benefits/applying-pension/retirement-age" TargetMode="External"/><Relationship Id="rId58" Type="http://schemas.openxmlformats.org/officeDocument/2006/relationships/hyperlink" Target="https://migracije.hr/contributions/?lang=en&amp;utm_source=chatgpt.com" TargetMode="External"/><Relationship Id="rId79" Type="http://schemas.openxmlformats.org/officeDocument/2006/relationships/hyperlink" Target="https://www.gov.ie/en/department-of-social-protection/services/invalidity-pension/" TargetMode="External"/><Relationship Id="rId102" Type="http://schemas.openxmlformats.org/officeDocument/2006/relationships/hyperlink" Target="https://www.mpisoc.mpg.de/en/social-law/research/research-projects/pension-maps/project-website/griechenland/statutory-old-age-pension-scheme/?utm_source=chatgpt.com" TargetMode="External"/><Relationship Id="rId123" Type="http://schemas.openxmlformats.org/officeDocument/2006/relationships/hyperlink" Target="https://mtca.gov.mt/personal-tax/pensioners/pension-income-in-malta?utm_source=chatgpt.com" TargetMode="External"/><Relationship Id="rId144" Type="http://schemas.openxmlformats.org/officeDocument/2006/relationships/hyperlink" Target="https://www.ahv.li/leistungen/iv/rentenhoehe?utm_source=chatgpt.com" TargetMode="External"/><Relationship Id="rId330" Type="http://schemas.openxmlformats.org/officeDocument/2006/relationships/hyperlink" Target="https://www.gov.uk/new-state-pension" TargetMode="External"/><Relationship Id="rId90" Type="http://schemas.openxmlformats.org/officeDocument/2006/relationships/hyperlink" Target="https://ypergasias.gov.gr/en/social-security/pensions/primary-pension/" TargetMode="External"/><Relationship Id="rId165" Type="http://schemas.openxmlformats.org/officeDocument/2006/relationships/hyperlink" Target="https://mtca.gov.mt/personal-tax/pensioners/tax-exemption-on-pension-income-received-after-61-years-of-age?utm_source=chatgpt.com" TargetMode="External"/><Relationship Id="rId186" Type="http://schemas.openxmlformats.org/officeDocument/2006/relationships/hyperlink" Target="https://www2.gov.pt/en/servicos/requerer-a-pensao-de-velhice" TargetMode="External"/><Relationship Id="rId351" Type="http://schemas.openxmlformats.org/officeDocument/2006/relationships/hyperlink" Target="https://www.etk.fi/en/international-affairs/international-comparisons/retirement-ages/" TargetMode="External"/><Relationship Id="rId372" Type="http://schemas.openxmlformats.org/officeDocument/2006/relationships/hyperlink" Target="https://www.canada.ca/en/services/benefits/publicpensions/old-age-security.html?utm_source=chatgpt.com" TargetMode="External"/><Relationship Id="rId393" Type="http://schemas.openxmlformats.org/officeDocument/2006/relationships/hyperlink" Target="https://www.workandincome.govt.nz/on-a-benefit/payments/payments-when-a-client-dies.html?utm_source=chatgpt.com" TargetMode="External"/><Relationship Id="rId407" Type="http://schemas.openxmlformats.org/officeDocument/2006/relationships/hyperlink" Target="https://www.irs.gov/retirement-plans/plan-participant-employee/401k-resource-guide-plan-participants-401k-plan-overview" TargetMode="External"/><Relationship Id="rId211" Type="http://schemas.openxmlformats.org/officeDocument/2006/relationships/hyperlink" Target="https://www2.gov.pt/en/servicos/requerer-a-pensao-de-sobrevivencia" TargetMode="External"/><Relationship Id="rId232" Type="http://schemas.openxmlformats.org/officeDocument/2006/relationships/hyperlink" Target="https://www.oecd.org/content/dam/oecd/en/publications/reports/2024/10/pensions-at-a-glance-2023-country-notes_2e11a061/hungary_606f6906/91bb0bca-en.pdf?utm_source=chatgpt.com" TargetMode="External"/><Relationship Id="rId253" Type="http://schemas.openxmlformats.org/officeDocument/2006/relationships/hyperlink" Target="https://www.findyourpension.eu/provider-list/pension-abc/default-b0809394c9?utm_source=chatgpt.com" TargetMode="External"/><Relationship Id="rId274" Type="http://schemas.openxmlformats.org/officeDocument/2006/relationships/hyperlink" Target="https://www.issa.int/sites/default/files/documents/2024-12/Cyprus.pdf?utm_source=chatgpt.com" TargetMode="External"/><Relationship Id="rId295" Type="http://schemas.openxmlformats.org/officeDocument/2006/relationships/hyperlink" Target="https://www.ahv-iv.ch/p/2.03.e?utm_source=chatgpt.com" TargetMode="External"/><Relationship Id="rId309" Type="http://schemas.openxmlformats.org/officeDocument/2006/relationships/hyperlink" Target="https://www.oecd.org/content/dam/oecd/en/publications/reports/2026/02/oecd-economic-surveys-bulgaria-2026_4dccf790/08af497f-en.pdf" TargetMode="External"/><Relationship Id="rId27" Type="http://schemas.openxmlformats.org/officeDocument/2006/relationships/hyperlink" Target="https://www.pensionikeskus.ee/en/i-pillar/state-pension/old-age-pension/" TargetMode="External"/><Relationship Id="rId48" Type="http://schemas.openxmlformats.org/officeDocument/2006/relationships/hyperlink" Target="https://www.vsaa.gov.lv/en/services/granting-and-payment-old-age-pension" TargetMode="External"/><Relationship Id="rId69" Type="http://schemas.openxmlformats.org/officeDocument/2006/relationships/hyperlink" Target="https://www.ssa.gov/policy/docs/progdesc/ssptw/2018-2019/europe/italy.html" TargetMode="External"/><Relationship Id="rId113" Type="http://schemas.openxmlformats.org/officeDocument/2006/relationships/hyperlink" Target="https://www.nav.no/alderspensjon/en?utm_source=chatgpt.com" TargetMode="External"/><Relationship Id="rId134" Type="http://schemas.openxmlformats.org/officeDocument/2006/relationships/hyperlink" Target="https://www.csl.lu/app/uploads/2023/05/csl_pensions_en_2023.pdf?utm_source=chatgpt.com" TargetMode="External"/><Relationship Id="rId320" Type="http://schemas.openxmlformats.org/officeDocument/2006/relationships/hyperlink" Target="https://lifeindenmark.borger.dk/pension/state-pension" TargetMode="External"/><Relationship Id="rId80" Type="http://schemas.openxmlformats.org/officeDocument/2006/relationships/hyperlink" Target="https://www.norden.org/en/info-norden/disability-pension-iceland" TargetMode="External"/><Relationship Id="rId155" Type="http://schemas.openxmlformats.org/officeDocument/2006/relationships/hyperlink" Target="https://www.nav.no/gjenlevendepensjon/en?utm_source=chatgpt.com" TargetMode="External"/><Relationship Id="rId176" Type="http://schemas.openxmlformats.org/officeDocument/2006/relationships/hyperlink" Target="https://www2.gov.pt/en/servicos/requerer-a-pensao-de-velhice" TargetMode="External"/><Relationship Id="rId197" Type="http://schemas.openxmlformats.org/officeDocument/2006/relationships/hyperlink" Target="https://www.mpisoc.mpg.de/en/social-law/research/research-projects/pension-maps/project-website/romania/statutory-old-age-pension-scheme/" TargetMode="External"/><Relationship Id="rId341" Type="http://schemas.openxmlformats.org/officeDocument/2006/relationships/hyperlink" Target="https://www.etk.fi/en/international-affairs/international-comparisons/retirement-ages/" TargetMode="External"/><Relationship Id="rId362" Type="http://schemas.openxmlformats.org/officeDocument/2006/relationships/hyperlink" Target="https://mzv.gov.cz/file/6065478/OECD_PAG_2025_country_profile_Czechia.pdf?utm_source=chatgpt.com" TargetMode="External"/><Relationship Id="rId383" Type="http://schemas.openxmlformats.org/officeDocument/2006/relationships/hyperlink" Target="https://www.ato.gov.au/tax-rates-and-codes/key-superannuation-rates-and-thresholds/super-guarantee?utm_source=chatgpt.com" TargetMode="External"/><Relationship Id="rId201" Type="http://schemas.openxmlformats.org/officeDocument/2006/relationships/hyperlink" Target="https://www.mpisoc.mpg.de/en/social-law/research/research-projects/pension-maps/project-website/portugal/general-social-security-scheme/?utm_source=chatgpt.com" TargetMode="External"/><Relationship Id="rId222" Type="http://schemas.openxmlformats.org/officeDocument/2006/relationships/hyperlink" Target="https://ec.europa.eu/social/BlobServlet?docId=13772&amp;langId=en&amp;utm_source=chatgpt.com" TargetMode="External"/><Relationship Id="rId243" Type="http://schemas.openxmlformats.org/officeDocument/2006/relationships/hyperlink" Target="https://spot.gov.si/en/info/employees/social-security-and-insurance?utm_source=chatgpt.com" TargetMode="External"/><Relationship Id="rId264" Type="http://schemas.openxmlformats.org/officeDocument/2006/relationships/hyperlink" Target="https://www.oecd.org/content/dam/oecd/en/publications/reports/2025/11/pensions-at-a-glance-2025-country-notes_e320013d/slovenia_0588d6f3/7e509dba-en.pdf?utm_source=chatgpt.com" TargetMode="External"/><Relationship Id="rId285" Type="http://schemas.openxmlformats.org/officeDocument/2006/relationships/hyperlink" Target="https://www.cssz.cz/web/lang/vdovsky/vdovecky?lang=en&amp;utm_source=chatgpt.com" TargetMode="External"/><Relationship Id="rId17" Type="http://schemas.openxmlformats.org/officeDocument/2006/relationships/hyperlink" Target="https://www.service-public.gouv.fr/particuliers/vosdroits/F672?lang=en&amp;utm_source=chatgpt.com" TargetMode="External"/><Relationship Id="rId38" Type="http://schemas.openxmlformats.org/officeDocument/2006/relationships/hyperlink" Target="https://www.deutsche-rentenversicherung.de/DRV/DE/Rente/Allgemeine-Informationen/Rentenarten-und-Leistungen/Die-regulaere-Altersrente/die-regulaere-altersrente_node.html?utm_source=chatgpt.com" TargetMode="External"/><Relationship Id="rId59" Type="http://schemas.openxmlformats.org/officeDocument/2006/relationships/hyperlink" Target="https://www.lm.gov.lv/en/pension-policy" TargetMode="External"/><Relationship Id="rId103" Type="http://schemas.openxmlformats.org/officeDocument/2006/relationships/hyperlink" Target="https://www.citizensinformation.ie/en/money-and-tax/personal-finance/pensions/taxation-of-pensions/?utm_source=chatgpt.com" TargetMode="External"/><Relationship Id="rId124" Type="http://schemas.openxmlformats.org/officeDocument/2006/relationships/hyperlink" Target="https://business.gov.nl/regulations/employee-insurance-schemes-national-insurance/?utm_source=chatgpt.com" TargetMode="External"/><Relationship Id="rId310" Type="http://schemas.openxmlformats.org/officeDocument/2006/relationships/hyperlink" Target="https://ec.europa.eu/social/BlobServlet?docId=13741&amp;langId=en" TargetMode="External"/><Relationship Id="rId70" Type="http://schemas.openxmlformats.org/officeDocument/2006/relationships/hyperlink" Target="https://www.mirovinsko.hr/en/how-is-your-pension-determined/188" TargetMode="External"/><Relationship Id="rId91" Type="http://schemas.openxmlformats.org/officeDocument/2006/relationships/hyperlink" Target="https://www.gov.ie/en/department-of-social-protection/publications/operational-guidelines-bereaved-partners-contributory-pension/" TargetMode="External"/><Relationship Id="rId145" Type="http://schemas.openxmlformats.org/officeDocument/2006/relationships/hyperlink" Target="https://socmin.lrv.lt/en/activities/social-insurance-1/social-insurance-benefits/social-insurance-disability-pension/?utm_source=chatgpt.com" TargetMode="External"/><Relationship Id="rId166" Type="http://schemas.openxmlformats.org/officeDocument/2006/relationships/hyperlink" Target="https://www.svb.nl/en/aow-pension/aow-pension-rates/what-is-deducted-from-your-aow-pension?utm_source=chatgpt.com" TargetMode="External"/><Relationship Id="rId187" Type="http://schemas.openxmlformats.org/officeDocument/2006/relationships/hyperlink" Target="https://www.mpisoc.mpg.de/en/social-law/research/research-projects/pension-maps/project-website/romania/statutory-old-age-pension-scheme/" TargetMode="External"/><Relationship Id="rId331" Type="http://schemas.openxmlformats.org/officeDocument/2006/relationships/hyperlink" Target="https://www.gov.uk/new-state-pension" TargetMode="External"/><Relationship Id="rId352" Type="http://schemas.openxmlformats.org/officeDocument/2006/relationships/hyperlink" Target="https://socialsecurity.gov.mt/en/information-and-applications-for-benefits-and-services/contributory-pensions/retirement-pension/?utm_source=chatgpt.com" TargetMode="External"/><Relationship Id="rId373" Type="http://schemas.openxmlformats.org/officeDocument/2006/relationships/hyperlink" Target="https://search.open.canada.ca/qpnotes/record/esdc-edsc%2CEF_005_20260105?utm_source=chatgpt.com" TargetMode="External"/><Relationship Id="rId394" Type="http://schemas.openxmlformats.org/officeDocument/2006/relationships/hyperlink" Target="https://www.workandincome.govt.nz/on-a-benefit/payments/payments-when-a-client-dies.html?utm_source=chatgpt.com" TargetMode="External"/><Relationship Id="rId408" Type="http://schemas.openxmlformats.org/officeDocument/2006/relationships/drawing" Target="../drawings/drawing7.xml"/><Relationship Id="rId1" Type="http://schemas.openxmlformats.org/officeDocument/2006/relationships/hyperlink" Target="https://www.cleiss.fr/docs/regimes/regime_france/an_0.html?utm_source=chatgpt.com" TargetMode="External"/><Relationship Id="rId212" Type="http://schemas.openxmlformats.org/officeDocument/2006/relationships/hyperlink" Target="https://ec.europa.eu/social/BlobServlet?docId=13772&amp;langId=en&amp;utm_source=chatgpt.com" TargetMode="External"/><Relationship Id="rId233" Type="http://schemas.openxmlformats.org/officeDocument/2006/relationships/hyperlink" Target="https://www.mlsi.gov.cy/mlsi/sid/sidv2.nsf/2732b55311a819d1c2257a30001fbe29/f702d60872e9353cc2257a30001fd75d?OpenDocument=&amp;utm_source=chatgpt.com" TargetMode="External"/><Relationship Id="rId254" Type="http://schemas.openxmlformats.org/officeDocument/2006/relationships/hyperlink" Target="https://www.mlsi.gov.cy/mlsi/sid/sidv2.nsf/2732b55311a819d1c2257a30001fbe29/f702d60872e9353cc2257a30001fd75d?OpenDocument=&amp;utm_source=chatgpt.com" TargetMode="External"/><Relationship Id="rId28" Type="http://schemas.openxmlformats.org/officeDocument/2006/relationships/hyperlink" Target="https://www.deutsche-rentenversicherung.de/DRV/DE/Rente/Allgemeine-Informationen/Wie-wird-meine-Rente-berechnet/wie-wird-meine-rente-berechnet_node.html?utm_source=chatgpt.com" TargetMode="External"/><Relationship Id="rId49" Type="http://schemas.openxmlformats.org/officeDocument/2006/relationships/hyperlink" Target="https://ypergasias.gov.gr/en/social-security/pensions/primary-pension/" TargetMode="External"/><Relationship Id="rId114" Type="http://schemas.openxmlformats.org/officeDocument/2006/relationships/hyperlink" Target="https://www.ahv.li/leistungen/ahv/rentenberechnung?utm_source=chatgpt.com" TargetMode="External"/><Relationship Id="rId275" Type="http://schemas.openxmlformats.org/officeDocument/2006/relationships/hyperlink" Target="https://www.ahv-iv.ch/en/Social-insurances/Glossary?utm_source=chatgpt.com" TargetMode="External"/><Relationship Id="rId296" Type="http://schemas.openxmlformats.org/officeDocument/2006/relationships/hyperlink" Target="https://www.mpisoc.mpg.de/en/social-law/research/research-projects/pension-maps/project-website/slovakia/statutory-old-age-pension-scheme/?utm_source=chatgpt.com" TargetMode="External"/><Relationship Id="rId300" Type="http://schemas.openxmlformats.org/officeDocument/2006/relationships/hyperlink" Target="https://www.mpisoc.mpg.de/en/social-law/research/research-projects/pension-maps/project-website/hungary/social-insurance-pension-scheme/?utm_source=chatgpt.com" TargetMode="External"/><Relationship Id="rId60" Type="http://schemas.openxmlformats.org/officeDocument/2006/relationships/hyperlink" Target="https://ypergasias.gov.gr/en/social-security/pensions/primary-pension/" TargetMode="External"/><Relationship Id="rId81" Type="http://schemas.openxmlformats.org/officeDocument/2006/relationships/hyperlink" Target="https://ambpanama.esteri.it/en/servizi-consolari-e-visti/servizi-per-il-cittadino-italiano/pensioni-e-sicurezza-sociale/" TargetMode="External"/><Relationship Id="rId135" Type="http://schemas.openxmlformats.org/officeDocument/2006/relationships/hyperlink" Target="https://gemma.gov.mt/retirement-income-and-inflation/?utm_source=chatgpt.com" TargetMode="External"/><Relationship Id="rId156" Type="http://schemas.openxmlformats.org/officeDocument/2006/relationships/hyperlink" Target="https://www.ahv.li/leistungen/ahv/verwitwetenrente?utm_source=chatgpt.com" TargetMode="External"/><Relationship Id="rId177" Type="http://schemas.openxmlformats.org/officeDocument/2006/relationships/hyperlink" Target="https://ec.europa.eu/social/BlobServlet?docId=13772&amp;langId=en&amp;utm_source=chatgpt.com" TargetMode="External"/><Relationship Id="rId198" Type="http://schemas.openxmlformats.org/officeDocument/2006/relationships/hyperlink" Target="https://www.pensionsmyndigheten.se/statistik/publikationer/orange-report-2020/6-changes-in-the-value-of-the-pension-system.html?utm_source=chatgpt.com" TargetMode="External"/><Relationship Id="rId321" Type="http://schemas.openxmlformats.org/officeDocument/2006/relationships/hyperlink" Target="https://lifeindenmark.borger.dk/pension/state-pension" TargetMode="External"/><Relationship Id="rId342" Type="http://schemas.openxmlformats.org/officeDocument/2006/relationships/hyperlink" Target="https://www.etk.fi/en/international-affairs/international-comparisons/retirement-ages/" TargetMode="External"/><Relationship Id="rId363" Type="http://schemas.openxmlformats.org/officeDocument/2006/relationships/hyperlink" Target="https://www.etk.fi/en/international-affairs/international-comparisons/retirement-ages/" TargetMode="External"/><Relationship Id="rId384" Type="http://schemas.openxmlformats.org/officeDocument/2006/relationships/hyperlink" Target="https://guides.dss.gov.au/social-security-guide/5/1/8/50?utm_source=chatgpt.com" TargetMode="External"/><Relationship Id="rId202" Type="http://schemas.openxmlformats.org/officeDocument/2006/relationships/hyperlink" Target="https://www.mpisoc.mpg.de/en/social-law/research/research-projects/pension-maps/project-website/romania/statutory-old-age-pension-scheme/" TargetMode="External"/><Relationship Id="rId223" Type="http://schemas.openxmlformats.org/officeDocument/2006/relationships/hyperlink" Target="https://www.bvaeb.at/cdscontent/?contentid=10007.860032&amp;portal=bvaebbportal&amp;utm_source=chatgpt.com" TargetMode="External"/><Relationship Id="rId244" Type="http://schemas.openxmlformats.org/officeDocument/2006/relationships/hyperlink" Target="https://taxsummaries.pwc.com/spain/individual/other-taxes?utm_source=chatgpt.com" TargetMode="External"/><Relationship Id="rId18" Type="http://schemas.openxmlformats.org/officeDocument/2006/relationships/hyperlink" Target="https://www.tyoelake.fi/en/different-pensions/disability-pension-if-your-working-ability-has-been-reduced/" TargetMode="External"/><Relationship Id="rId39" Type="http://schemas.openxmlformats.org/officeDocument/2006/relationships/hyperlink" Target="https://www.service-public.gouv.fr/particuliers/vosdroits/F35063?lang=en" TargetMode="External"/><Relationship Id="rId265" Type="http://schemas.openxmlformats.org/officeDocument/2006/relationships/hyperlink" Target="https://www.lamoncloa.gob.es/lang/en/gobierno/news/paginas/2025/pension-increase-and-revaluation.aspx?utm_source=chatgpt.com" TargetMode="External"/><Relationship Id="rId286" Type="http://schemas.openxmlformats.org/officeDocument/2006/relationships/hyperlink" Target="https://www.issa.int/sites/default/files/documents/2024-12/Hungary.pdf?utm_source=chatgpt.com" TargetMode="External"/><Relationship Id="rId50" Type="http://schemas.openxmlformats.org/officeDocument/2006/relationships/hyperlink" Target="https://www.norden.org/en/info-norden/icelandic-pension-system" TargetMode="External"/><Relationship Id="rId104" Type="http://schemas.openxmlformats.org/officeDocument/2006/relationships/hyperlink" Target="https://www.lsr.is/en/pensions/division-a/taxation/" TargetMode="External"/><Relationship Id="rId125" Type="http://schemas.openxmlformats.org/officeDocument/2006/relationships/hyperlink" Target="https://www.mpisoc.mpg.de/en/social-law/research/research-projects/pension-maps/project-website/norwegen/statutory-old-age-pension-scheme-as-part-of-the-national-insurance-system/?utm_source=chatgpt.com" TargetMode="External"/><Relationship Id="rId146" Type="http://schemas.openxmlformats.org/officeDocument/2006/relationships/hyperlink" Target="https://cnap.public.lu/en/pensions/generalites.html?utm_source=chatgpt.com" TargetMode="External"/><Relationship Id="rId167" Type="http://schemas.openxmlformats.org/officeDocument/2006/relationships/hyperlink" Target="https://www.mpisoc.mpg.de/en/social-law/research/research-projects/pension-maps/project-website/norwegen/statutory-old-age-pension-scheme-as-part-of-the-national-insurance-system/?utm_source=chatgpt.com" TargetMode="External"/><Relationship Id="rId188" Type="http://schemas.openxmlformats.org/officeDocument/2006/relationships/hyperlink" Target="https://www.pensionsmyndigheten.se/other-languages/english-engelska/english-engelska/pension-system-in-sweden?utm_source=chatgpt.com" TargetMode="External"/><Relationship Id="rId311" Type="http://schemas.openxmlformats.org/officeDocument/2006/relationships/hyperlink" Target="https://www.oecd.org/content/dam/oecd/en/publications/reports/2026/02/oecd-economic-surveys-bulgaria-2026_4dccf790/08af497f-en.pdf" TargetMode="External"/><Relationship Id="rId332" Type="http://schemas.openxmlformats.org/officeDocument/2006/relationships/hyperlink" Target="https://www.gov.uk/new-state-pension" TargetMode="External"/><Relationship Id="rId353" Type="http://schemas.openxmlformats.org/officeDocument/2006/relationships/hyperlink" Target="https://www.etk.fi/en/international-affairs/international-comparisons/retirement-ages/" TargetMode="External"/><Relationship Id="rId374" Type="http://schemas.openxmlformats.org/officeDocument/2006/relationships/hyperlink" Target="https://www.canada.ca/en/revenue-agency/news/2023/05/the-canada-pension-plan-enhancement--businesses-individuals-and-self-employed-what-it-means-for-you.html?utm_source=chatgpt.com" TargetMode="External"/><Relationship Id="rId395" Type="http://schemas.openxmlformats.org/officeDocument/2006/relationships/hyperlink" Target="https://www.ird.govt.nz/income-tax/income-tax-for-individuals/types-of-individual-income/benefits-nz-superannuation-student-allowance?utm_source=chatgpt.com" TargetMode="External"/><Relationship Id="rId409" Type="http://schemas.openxmlformats.org/officeDocument/2006/relationships/vmlDrawing" Target="../drawings/vmlDrawing6.vml"/><Relationship Id="rId71" Type="http://schemas.openxmlformats.org/officeDocument/2006/relationships/hyperlink" Target="https://www.lm.gov.lv/en/pension-policy" TargetMode="External"/><Relationship Id="rId92" Type="http://schemas.openxmlformats.org/officeDocument/2006/relationships/hyperlink" Target="https://secure.ssa.gov/apps10/poms.nsf/lnx/0201763020" TargetMode="External"/><Relationship Id="rId213" Type="http://schemas.openxmlformats.org/officeDocument/2006/relationships/hyperlink" Target="https://www.pensionsmyndigheten.se/other-languages/english-engelska/english-engelska/survivors-pension-financial-support-in-the-event-of-death" TargetMode="External"/><Relationship Id="rId234" Type="http://schemas.openxmlformats.org/officeDocument/2006/relationships/hyperlink" Target="https://www.ch.ch/en/retirement/old-age-pension/the-first-pillar/oasi-contributions?utm_source=chatgpt.com" TargetMode="External"/><Relationship Id="rId2" Type="http://schemas.openxmlformats.org/officeDocument/2006/relationships/hyperlink" Target="https://www.vero.fi/en/businesses-and-corporations/taxes-and-charges/being-an-employer/social-insurance-contributions/?utm_source=chatgpt.com" TargetMode="External"/><Relationship Id="rId29" Type="http://schemas.openxmlformats.org/officeDocument/2006/relationships/hyperlink" Target="https://www.kela.fi/old-age-pension?utm_source=chatgpt.com" TargetMode="External"/><Relationship Id="rId255" Type="http://schemas.openxmlformats.org/officeDocument/2006/relationships/hyperlink" Target="https://www.ahv-iv.ch/en/Social-insurances/Glossary?utm_source=chatgpt.com" TargetMode="External"/><Relationship Id="rId276" Type="http://schemas.openxmlformats.org/officeDocument/2006/relationships/hyperlink" Target="https://socpoist.sk/en/life-situations/pension/how-apply-widows-pension?utm_source=chatgpt.com" TargetMode="External"/><Relationship Id="rId297" Type="http://schemas.openxmlformats.org/officeDocument/2006/relationships/hyperlink" Target="https://www.fu.gov.si/en/life_events_individuals/i_reside_in_slovenia_and_receive_my_pension_from_abroad?utm_source=chatgpt.com" TargetMode="External"/><Relationship Id="rId40" Type="http://schemas.openxmlformats.org/officeDocument/2006/relationships/hyperlink" Target="https://www.etk.fi/en/finnish-pension-system/pensions/determining-the-life-expectancy-coefficient-and-retirement-age/determining-the-retirement-age-for-the-old-age-pension/?utm_source=chatgpt.com" TargetMode="External"/><Relationship Id="rId115" Type="http://schemas.openxmlformats.org/officeDocument/2006/relationships/hyperlink" Target="https://socmin.lrv.lt/en/activities/social-insurance-1/social-insurance-benefits/social-insurance-old-age-pensions/?utm_source=chatgpt.com" TargetMode="External"/><Relationship Id="rId136" Type="http://schemas.openxmlformats.org/officeDocument/2006/relationships/hyperlink" Target="https://www.government.nl/themes/work/state-pension-aow/voluntarily-filling-any-gaps-in-state-pension-aow-qualifying-years?utm_source=chatgpt.com" TargetMode="External"/><Relationship Id="rId157" Type="http://schemas.openxmlformats.org/officeDocument/2006/relationships/hyperlink" Target="https://socmin.lrv.lt/en/activities/social-insurance-1/social-insurance-benefits/social-insurance-pensions-for-widows-widowers-and-orphans/?utm_source=chatgpt.com" TargetMode="External"/><Relationship Id="rId178" Type="http://schemas.openxmlformats.org/officeDocument/2006/relationships/hyperlink" Target="https://www.pensionsmyndigheten.se/other-languages/english-engelska/english-engelska/recommended-retirement-age" TargetMode="External"/><Relationship Id="rId301" Type="http://schemas.openxmlformats.org/officeDocument/2006/relationships/hyperlink" Target="https://taxsummaries.pwc.com/cyprus/individual/other-taxes?utm_source=chatgpt.com" TargetMode="External"/><Relationship Id="rId322" Type="http://schemas.openxmlformats.org/officeDocument/2006/relationships/hyperlink" Target="https://www.oecd.org/content/dam/oecd/en/publications/reports/2024/10/pensions-at-a-glance-2023-country-notes_2e11a061/denmark_3a2242da/c6cac6ed-en.pdf?utm_source=chatgpt.com" TargetMode="External"/><Relationship Id="rId343" Type="http://schemas.openxmlformats.org/officeDocument/2006/relationships/hyperlink" Target="https://www.etk.fi/en/international-affairs/international-comparisons/retirement-ages/" TargetMode="External"/><Relationship Id="rId364" Type="http://schemas.openxmlformats.org/officeDocument/2006/relationships/hyperlink" Target="https://www.etk.fi/en/international-affairs/international-comparisons/retirement-ages/?utm_source=chatgpt.com" TargetMode="External"/><Relationship Id="rId61" Type="http://schemas.openxmlformats.org/officeDocument/2006/relationships/hyperlink" Target="https://services.mywelfare.ie/en/topics/pensions-and-older-people/state-pension/" TargetMode="External"/><Relationship Id="rId82" Type="http://schemas.openxmlformats.org/officeDocument/2006/relationships/hyperlink" Target="https://mss.gov.hr/pension/pensions/124" TargetMode="External"/><Relationship Id="rId199" Type="http://schemas.openxmlformats.org/officeDocument/2006/relationships/hyperlink" Target="https://www.sozialministerium.gv.at/Themen/Soziales/Sozialversicherung/Pensionsversicherung/Pensionserh%C3%B6hung.html?utm_source=chatgpt.com" TargetMode="External"/><Relationship Id="rId203" Type="http://schemas.openxmlformats.org/officeDocument/2006/relationships/hyperlink" Target="https://www.pensionsmyndigheten.se/statistik/publikationer/orange-report-2020/6-changes-in-the-value-of-the-pension-system.html?utm_source=chatgpt.com" TargetMode="External"/><Relationship Id="rId385" Type="http://schemas.openxmlformats.org/officeDocument/2006/relationships/hyperlink" Target="https://www.servicesaustralia.gov.au/your-age-pension-after-your-partner-dies?context=22526&amp;utm_source=chatgpt.com" TargetMode="External"/><Relationship Id="rId19" Type="http://schemas.openxmlformats.org/officeDocument/2006/relationships/hyperlink" Target="https://www.riigiteataja.ee/en/eli/502012026001/consolide" TargetMode="External"/><Relationship Id="rId224" Type="http://schemas.openxmlformats.org/officeDocument/2006/relationships/hyperlink" Target="https://www.zus.pl/documents/10182/167615/Social%2BSecurity%2Bin%2BPoland.pdf/71ffe1b1-c142-48fa-a67b-0c7e1cec6eb6?t=1690378989364" TargetMode="External"/><Relationship Id="rId245" Type="http://schemas.openxmlformats.org/officeDocument/2006/relationships/hyperlink" Target="https://ec.europa.eu/eurostat/documents/7158500/12335606/CZ_T2900_factsheet.pdf/bb5f356b-0894-1e24-42cd-db408cf310f2?t=1612348297319&amp;utm_source=chatgpt.com" TargetMode="External"/><Relationship Id="rId266" Type="http://schemas.openxmlformats.org/officeDocument/2006/relationships/hyperlink" Target="https://www.cssz.cz/web/lang/duchodovy-vek?lang=en&amp;utm_source=chatgpt.com" TargetMode="External"/><Relationship Id="rId287" Type="http://schemas.openxmlformats.org/officeDocument/2006/relationships/hyperlink" Target="https://www.issa.int/sites/default/files/documents/2024-12/Cyprus.pdf?utm_source=chatgpt.com" TargetMode="External"/><Relationship Id="rId410" Type="http://schemas.openxmlformats.org/officeDocument/2006/relationships/ctrlProp" Target="../ctrlProps/ctrlProp40.xml"/><Relationship Id="rId30" Type="http://schemas.openxmlformats.org/officeDocument/2006/relationships/hyperlink" Target="https://www.riigiteataja.ee/en/eli/504022019001/consolide" TargetMode="External"/><Relationship Id="rId105" Type="http://schemas.openxmlformats.org/officeDocument/2006/relationships/hyperlink" Target="https://taxsummaries.pwc.com/italy/individual/other-taxes?utm_source=chatgpt.com" TargetMode="External"/><Relationship Id="rId126" Type="http://schemas.openxmlformats.org/officeDocument/2006/relationships/hyperlink" Target="https://www.ahv.li/leistungen/ahv/rentenberechnung?utm_source=chatgpt.com" TargetMode="External"/><Relationship Id="rId147" Type="http://schemas.openxmlformats.org/officeDocument/2006/relationships/hyperlink" Target="https://socialsecurity.gov.mt/en/information-and-applications-for-benefits-and-services/contributory-pensions/invalidity-pension/?utm_source=chatgpt.com" TargetMode="External"/><Relationship Id="rId168" Type="http://schemas.openxmlformats.org/officeDocument/2006/relationships/hyperlink" Target="https://www.ahv.li/beitraege/beitragspflicht/ende?utm_source=chatgpt.com" TargetMode="External"/><Relationship Id="rId312" Type="http://schemas.openxmlformats.org/officeDocument/2006/relationships/hyperlink" Target="https://www.oecd.org/content/dam/oecd/en/publications/reports/2026/02/oecd-economic-surveys-bulgaria-2026_4dccf790/08af497f-en.pdf" TargetMode="External"/><Relationship Id="rId333" Type="http://schemas.openxmlformats.org/officeDocument/2006/relationships/hyperlink" Target="https://www.gov.uk/new-state-pension/what-youll-get" TargetMode="External"/><Relationship Id="rId354" Type="http://schemas.openxmlformats.org/officeDocument/2006/relationships/hyperlink" Target="https://www.etk.fi/en/international-affairs/international-comparisons/retirement-ages/" TargetMode="External"/><Relationship Id="rId51" Type="http://schemas.openxmlformats.org/officeDocument/2006/relationships/hyperlink" Target="https://www.inps.it/it/en/dettaglio-scheda.en.schede-servizio-strumento.schede-servizi.pensione-di-vecchiaia.html" TargetMode="External"/><Relationship Id="rId72" Type="http://schemas.openxmlformats.org/officeDocument/2006/relationships/hyperlink" Target="https://www.issa.int/sites/default/files/documents/2024-12/Greece.pdf?utm_source=chatgpt.com" TargetMode="External"/><Relationship Id="rId93" Type="http://schemas.openxmlformats.org/officeDocument/2006/relationships/hyperlink" Target="https://consedimburgo.esteri.it/en/servizi-consolari-e-visti/servizi-per-il-cittadino-italiano/pensioni-e-sicurezza-sociale/" TargetMode="External"/><Relationship Id="rId189" Type="http://schemas.openxmlformats.org/officeDocument/2006/relationships/hyperlink" Target="https://www.oesterreich.gv.at/de/themen/arbeit_beruf_und_pension/pension/2/1/Seite.270132?utm_source=chatgpt.com" TargetMode="External"/><Relationship Id="rId375" Type="http://schemas.openxmlformats.org/officeDocument/2006/relationships/hyperlink" Target="https://search.open.canada.ca/qpnotes/record/esdc-edsc%2CEF_005_20260105?utm_source=chatgpt.com" TargetMode="External"/><Relationship Id="rId396" Type="http://schemas.openxmlformats.org/officeDocument/2006/relationships/hyperlink" Target="https://www.ird.govt.nz/income-tax/income-tax-for-individuals/types-of-individual-income/benefits-nz-superannuation-student-allowance?utm_source=chatgpt.com" TargetMode="External"/><Relationship Id="rId3" Type="http://schemas.openxmlformats.org/officeDocument/2006/relationships/hyperlink" Target="https://www.pensionikeskus.ee/en/i-pillar/state-pension/old-age-pension/" TargetMode="External"/><Relationship Id="rId214" Type="http://schemas.openxmlformats.org/officeDocument/2006/relationships/hyperlink" Target="https://www.sozialministerium.gv.at/en/Topics/Social-Affairs/Social-Insurance/Pension-Insurance/Types-of-Pension/Survivors%E2%80%99-Pensions.html?utm_source=chatgpt.com" TargetMode="External"/><Relationship Id="rId235" Type="http://schemas.openxmlformats.org/officeDocument/2006/relationships/hyperlink" Target="https://socpoist.sk/en/life-situations/pension/how-apply-old-age-pension?utm_source=chatgpt.com" TargetMode="External"/><Relationship Id="rId256" Type="http://schemas.openxmlformats.org/officeDocument/2006/relationships/hyperlink" Target="https://www.socpoist.sk/en/top-topics/insurees-electronic-account?utm_source=chatgpt.com" TargetMode="External"/><Relationship Id="rId277" Type="http://schemas.openxmlformats.org/officeDocument/2006/relationships/hyperlink" Target="https://www.ssa.gov/policy/docs/progdesc/ssptw/2018-2019/europe/slovenia.html?utm_source=chatgpt.com" TargetMode="External"/><Relationship Id="rId298" Type="http://schemas.openxmlformats.org/officeDocument/2006/relationships/hyperlink" Target="https://taxsummaries.pwc.com/spain/individual/other-taxes?utm_source=chatgpt.com" TargetMode="External"/><Relationship Id="rId400" Type="http://schemas.openxmlformats.org/officeDocument/2006/relationships/hyperlink" Target="https://www.ssa.gov/international/agreements_overview.html" TargetMode="External"/><Relationship Id="rId116" Type="http://schemas.openxmlformats.org/officeDocument/2006/relationships/hyperlink" Target="https://guichet.public.lu/en/citoyens/travail/pension/assurance-pension/retraite-pension-anticipee.html?utm_source=chatgpt.com" TargetMode="External"/><Relationship Id="rId137" Type="http://schemas.openxmlformats.org/officeDocument/2006/relationships/hyperlink" Target="https://www.mpisoc.mpg.de/en/social-law/research/research-projects/pension-maps/project-website/norwegen/statutory-old-age-pension-scheme-as-part-of-the-national-insurance-system/?utm_source=chatgpt.com" TargetMode="External"/><Relationship Id="rId158" Type="http://schemas.openxmlformats.org/officeDocument/2006/relationships/hyperlink" Target="https://cnap.public.lu/en/pensions/pension-survie/pension-survie1.html?utm_source=chatgpt.com" TargetMode="External"/><Relationship Id="rId302" Type="http://schemas.openxmlformats.org/officeDocument/2006/relationships/hyperlink" Target="https://settlinginbelgium.be/en/work-and-retirement/retirement" TargetMode="External"/><Relationship Id="rId323" Type="http://schemas.openxmlformats.org/officeDocument/2006/relationships/hyperlink" Target="https://lifeindenmark.borger.dk/pension/disability-pension" TargetMode="External"/><Relationship Id="rId344" Type="http://schemas.openxmlformats.org/officeDocument/2006/relationships/hyperlink" Target="https://www.cleiss.fr/docs/regimes/regime_france/an_3.html?utm_source=chatgpt.com" TargetMode="External"/><Relationship Id="rId20" Type="http://schemas.openxmlformats.org/officeDocument/2006/relationships/hyperlink" Target="https://www.deutsche-rentenversicherung.de/SharedDocs/Glossareintraege/DE/E/erwerbsminderung.html?utm_source=chatgpt.com" TargetMode="External"/><Relationship Id="rId41" Type="http://schemas.openxmlformats.org/officeDocument/2006/relationships/hyperlink" Target="https://sotsiaalkindlustusamet.ee/en/pension-and-benefits/applying-pension/retirement-age" TargetMode="External"/><Relationship Id="rId62" Type="http://schemas.openxmlformats.org/officeDocument/2006/relationships/hyperlink" Target="https://www.norden.org/en/info-norden/icelandic-pension-system" TargetMode="External"/><Relationship Id="rId83" Type="http://schemas.openxmlformats.org/officeDocument/2006/relationships/hyperlink" Target="https://www.lm.gov.lv/en/disability-pension" TargetMode="External"/><Relationship Id="rId179" Type="http://schemas.openxmlformats.org/officeDocument/2006/relationships/hyperlink" Target="https://www.oesterreich.gv.at/de/themen/arbeit_beruf_und_pension/pension/2/1/Seite.270132?utm_source=chatgpt.com" TargetMode="External"/><Relationship Id="rId365" Type="http://schemas.openxmlformats.org/officeDocument/2006/relationships/hyperlink" Target="https://ec.europa.eu/social/BlobServlet?docId=13743&amp;langId=en&amp;utm_source=chatgpt.com" TargetMode="External"/><Relationship Id="rId386" Type="http://schemas.openxmlformats.org/officeDocument/2006/relationships/hyperlink" Target="https://www.servicesaustralia.gov.au/who-can-get-disability-support-pension?context=22276&amp;utm_source=chatgpt.com" TargetMode="External"/><Relationship Id="rId190" Type="http://schemas.openxmlformats.org/officeDocument/2006/relationships/hyperlink" Target="https://lang.zus.pl/benefits/old-age-pensions/old-age-pensions-operating-under-the-new-rules?utm_source=chatgpt.com" TargetMode="External"/><Relationship Id="rId204" Type="http://schemas.openxmlformats.org/officeDocument/2006/relationships/hyperlink" Target="https://www.oesterreich.gv.at/de/themen/menschen_mit_behinderungen/pension_und_behinderung/Seite.1280200?utm_source=chatgpt.com" TargetMode="External"/><Relationship Id="rId225" Type="http://schemas.openxmlformats.org/officeDocument/2006/relationships/hyperlink" Target="https://www.mpisoc.mpg.de/en/social-law/research/research-projects/pension-maps/project-website/portugal/general-social-security-scheme/?utm_source=chatgpt.com" TargetMode="External"/><Relationship Id="rId246" Type="http://schemas.openxmlformats.org/officeDocument/2006/relationships/hyperlink" Target="https://www.mpisoc.mpg.de/en/social-law/research/research-projects/pension-maps/project-website/hungary/social-insurance-pension-scheme/?utm_source=chatgpt.com" TargetMode="External"/><Relationship Id="rId267" Type="http://schemas.openxmlformats.org/officeDocument/2006/relationships/hyperlink" Target="https://www.issa.int/sites/default/files/documents/2024-12/Hungary.pdf?utm_source=chatgpt.com" TargetMode="External"/><Relationship Id="rId288" Type="http://schemas.openxmlformats.org/officeDocument/2006/relationships/hyperlink" Target="https://fiduciaire-genevoise.ch/en/blog/pension-tax-in-switzerland-what-expats-retirees-need-to-know?utm_source=chatgpt.com" TargetMode="External"/><Relationship Id="rId106" Type="http://schemas.openxmlformats.org/officeDocument/2006/relationships/hyperlink" Target="https://migracije.hr/contributions/?lang=en&amp;utm_source=chatgpt.com" TargetMode="External"/><Relationship Id="rId127" Type="http://schemas.openxmlformats.org/officeDocument/2006/relationships/hyperlink" Target="https://socmin.lrv.lt/en/activities/social-insurance-1/social-insurance-benefits/social-insurance-old-age-pensions/?utm_source=chatgpt.com" TargetMode="External"/><Relationship Id="rId313" Type="http://schemas.openxmlformats.org/officeDocument/2006/relationships/hyperlink" Target="https://ec.europa.eu/social/BlobServlet?docId=13741&amp;langId=en" TargetMode="External"/><Relationship Id="rId10" Type="http://schemas.openxmlformats.org/officeDocument/2006/relationships/hyperlink" Target="https://www.etk.fi/en/finnish-pension-system/pensions/earnings-related-pension-benefits/survivors-pension/?utm_source=chatgpt.com" TargetMode="External"/><Relationship Id="rId31" Type="http://schemas.openxmlformats.org/officeDocument/2006/relationships/hyperlink" Target="https://www.cleiss.fr/docs/regimes/regime_france/an_a2.html" TargetMode="External"/><Relationship Id="rId52" Type="http://schemas.openxmlformats.org/officeDocument/2006/relationships/hyperlink" Target="https://www.mirovinsko.hr/en/how-is-your-pension-determined/188" TargetMode="External"/><Relationship Id="rId73" Type="http://schemas.openxmlformats.org/officeDocument/2006/relationships/hyperlink" Target="https://www.gov.ie/en/department-of-social-protection/publications/budget-2026/?utm_source=chatgpt.com" TargetMode="External"/><Relationship Id="rId94" Type="http://schemas.openxmlformats.org/officeDocument/2006/relationships/hyperlink" Target="https://mss.gov.hr/pension/pensions/124" TargetMode="External"/><Relationship Id="rId148" Type="http://schemas.openxmlformats.org/officeDocument/2006/relationships/hyperlink" Target="https://business.gov.nl/staff/health-and-safety/the-wia-benefit-for-your-employee/?utm_source=chatgpt.com" TargetMode="External"/><Relationship Id="rId169" Type="http://schemas.openxmlformats.org/officeDocument/2006/relationships/hyperlink" Target="https://socmin.lrv.lt/en/activities/social-insurance-1/social-insurance-contributions/?utm_source=chatgpt.com" TargetMode="External"/><Relationship Id="rId334" Type="http://schemas.openxmlformats.org/officeDocument/2006/relationships/hyperlink" Target="https://www.gov.uk/new-state-pension/what-youll-get" TargetMode="External"/><Relationship Id="rId355" Type="http://schemas.openxmlformats.org/officeDocument/2006/relationships/hyperlink" Target="https://www.etk.fi/en/international-affairs/international-comparisons/retirement-ages/" TargetMode="External"/><Relationship Id="rId376" Type="http://schemas.openxmlformats.org/officeDocument/2006/relationships/hyperlink" Target="https://www.canada.ca/en/employment-social-development/services/pension/reports/take-up-rate-gis.html?utm_source=chatgpt.com" TargetMode="External"/><Relationship Id="rId397" Type="http://schemas.openxmlformats.org/officeDocument/2006/relationships/hyperlink" Target="https://www.gov.ie/en/department-of-social-protection/services/state-pension-contributory/" TargetMode="External"/><Relationship Id="rId4" Type="http://schemas.openxmlformats.org/officeDocument/2006/relationships/hyperlink" Target="https://www.deutsche-rentenversicherung.de/DRV/DE/Rente/In-der-Rente/Kranken-und-Pflegeversicherung-der-Rentner/kranken-und-pflegeversicherung-der-rentner_node.html?utm_source=chatgpt.com" TargetMode="External"/><Relationship Id="rId180" Type="http://schemas.openxmlformats.org/officeDocument/2006/relationships/hyperlink" Target="https://lang.zus.pl/benefits/old-age-pensions/old-age-pensions-operating-under-the-new-rules?utm_source=chatgpt.com" TargetMode="External"/><Relationship Id="rId215" Type="http://schemas.openxmlformats.org/officeDocument/2006/relationships/hyperlink" Target="https://www.zus.pl/uprawnieni-czlonkowie-rodziny-spelniajacy-okreslone-warunki-do-renty-rodzinnej?utm_source=chatgpt.com" TargetMode="External"/><Relationship Id="rId236" Type="http://schemas.openxmlformats.org/officeDocument/2006/relationships/hyperlink" Target="https://www.zpiz.si/content2020en/when-can-i-retire?utm_source=chatgpt.com" TargetMode="External"/><Relationship Id="rId257" Type="http://schemas.openxmlformats.org/officeDocument/2006/relationships/hyperlink" Target="https://www.zpiz.si/content2020en/when-can-i-retire?utm_source=chatgpt.com" TargetMode="External"/><Relationship Id="rId278" Type="http://schemas.openxmlformats.org/officeDocument/2006/relationships/hyperlink" Target="https://www.seg-social.es/wps/portal/wss/internet/Trabajadores/PrestacionesPensionesTrabajadores/42924/42925/42926?utm_source=chatgpt.com" TargetMode="External"/><Relationship Id="rId401" Type="http://schemas.openxmlformats.org/officeDocument/2006/relationships/hyperlink" Target="https://www.ssa.gov/oact/cola/awifactors.html" TargetMode="External"/><Relationship Id="rId303" Type="http://schemas.openxmlformats.org/officeDocument/2006/relationships/hyperlink" Target="https://www.sfpd.fgov.be/en/retirement-age/when/?utm_source=chatgpt.com" TargetMode="External"/><Relationship Id="rId42" Type="http://schemas.openxmlformats.org/officeDocument/2006/relationships/hyperlink" Target="https://www.deutsche-rentenversicherung.de/DRV/DE/Rente/Allgemeine-Informationen/Rentenarten-und-Leistungen/Altersrente-fuer-langjaehrig-Versicherte/Altersrente_fuer_langjaehrig_Versicherte.html?utm_source=chatgpt.com" TargetMode="External"/><Relationship Id="rId84" Type="http://schemas.openxmlformats.org/officeDocument/2006/relationships/hyperlink" Target="https://ypergasias.gov.gr/en/social-security/pensions/primary-pension/" TargetMode="External"/><Relationship Id="rId138" Type="http://schemas.openxmlformats.org/officeDocument/2006/relationships/hyperlink" Target="https://ec.europa.eu/social/BlobServlet?docId=13743&amp;langId=en&amp;utm_source=chatgpt.com" TargetMode="External"/><Relationship Id="rId345" Type="http://schemas.openxmlformats.org/officeDocument/2006/relationships/hyperlink" Target="https://www.etk.fi/en/international-affairs/international-comparisons/retirement-ages/" TargetMode="External"/><Relationship Id="rId387" Type="http://schemas.openxmlformats.org/officeDocument/2006/relationships/hyperlink" Target="https://www.servicesaustralia.gov.au/your-age-pension-after-your-partner-dies?context=22526&amp;utm_source=chatgpt.com" TargetMode="External"/><Relationship Id="rId191" Type="http://schemas.openxmlformats.org/officeDocument/2006/relationships/hyperlink" Target="https://www2.gov.pt/en/servicos/requerer-a-pensao-de-velhice" TargetMode="External"/><Relationship Id="rId205" Type="http://schemas.openxmlformats.org/officeDocument/2006/relationships/hyperlink" Target="https://lang.zus.pl/benefits/disability-pensions?utm_source=chatgpt.com" TargetMode="External"/><Relationship Id="rId247" Type="http://schemas.openxmlformats.org/officeDocument/2006/relationships/hyperlink" Target="https://taxsummaries.pwc.com/cyprus/individual/other-taxes?utm_source=chatgpt.com" TargetMode="External"/><Relationship Id="rId107" Type="http://schemas.openxmlformats.org/officeDocument/2006/relationships/hyperlink" Target="https://www.vsaa.gov.lv/en/services/granting-and-payment-old-age-pension" TargetMode="External"/><Relationship Id="rId289" Type="http://schemas.openxmlformats.org/officeDocument/2006/relationships/hyperlink" Target="https://www.mpisoc.mpg.de/en/social-law/research/research-projects/pension-maps/project-website/slovakia/statutory-old-age-pension-scheme/?utm_source=chatgpt.com" TargetMode="External"/><Relationship Id="rId11" Type="http://schemas.openxmlformats.org/officeDocument/2006/relationships/hyperlink" Target="https://www.riigiteataja.ee/en/eli/504022019001/consolide" TargetMode="External"/><Relationship Id="rId53" Type="http://schemas.openxmlformats.org/officeDocument/2006/relationships/hyperlink" Target="https://www.lm.gov.lv/en/pension-policy" TargetMode="External"/><Relationship Id="rId149" Type="http://schemas.openxmlformats.org/officeDocument/2006/relationships/hyperlink" Target="https://www.regjeringen.no/en/topics/pensions-and-welfare/innsikt/the-social-security-system/disability-benefits/id2008615/?utm_source=chatgpt.com" TargetMode="External"/><Relationship Id="rId314" Type="http://schemas.openxmlformats.org/officeDocument/2006/relationships/hyperlink" Target="https://ec.europa.eu/social/BlobServlet?docId=13741&amp;langId=en" TargetMode="External"/><Relationship Id="rId356" Type="http://schemas.openxmlformats.org/officeDocument/2006/relationships/hyperlink" Target="https://www.cga.pt/en/pensao-de-aposentacao?utm_source=chatgpt.com" TargetMode="External"/><Relationship Id="rId398" Type="http://schemas.openxmlformats.org/officeDocument/2006/relationships/hyperlink" Target="https://www.ssa.gov/oact/ProgData/ar_drc.html"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2"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 Id="rId1" Type="http://schemas.openxmlformats.org/officeDocument/2006/relationships/hyperlink" Target="https://www.destatis.de/SiteGlobals/Forms/Suche/Expertensuche_Formular.html?resourceId=2402&amp;input_=2408&amp;pageLocale=de&amp;templateQueryString=generationensterbetafeln&amp;submit.x=0&amp;submit.y=0"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6.bin"/></Relationships>
</file>

<file path=xl/worksheets/_rels/sheet59.xml.rels><?xml version="1.0" encoding="UTF-8" standalone="yes"?>
<Relationships xmlns="http://schemas.openxmlformats.org/package/2006/relationships"><Relationship Id="rId13" Type="http://schemas.openxmlformats.org/officeDocument/2006/relationships/hyperlink" Target="https://gesetze.berlin.de/bsbe/document/NJRE001251972" TargetMode="External"/><Relationship Id="rId18" Type="http://schemas.openxmlformats.org/officeDocument/2006/relationships/hyperlink" Target="https://www.landesrecht.rlp.de/bsrp/document/NJRE001125445" TargetMode="External"/><Relationship Id="rId26" Type="http://schemas.openxmlformats.org/officeDocument/2006/relationships/hyperlink" Target="https://gerichtsentscheidungen.brandenburg.de/gerichtsentscheidung/1717" TargetMode="External"/><Relationship Id="rId39" Type="http://schemas.openxmlformats.org/officeDocument/2006/relationships/hyperlink" Target="https://www.bundesgerichtshof.de/SharedDocs/Entscheidungen/DE/Zivilsenate/XII_ZS/2018/XII_ZB_190-18.pdf?__blob=publicationFile&amp;v=1" TargetMode="External"/><Relationship Id="rId21" Type="http://schemas.openxmlformats.org/officeDocument/2006/relationships/hyperlink" Target="https://openjur.de/u/609102.html" TargetMode="External"/><Relationship Id="rId34" Type="http://schemas.openxmlformats.org/officeDocument/2006/relationships/hyperlink" Target="https://www.landesrecht-bw.de/bsbw/document/NJRE001556807" TargetMode="External"/><Relationship Id="rId42" Type="http://schemas.openxmlformats.org/officeDocument/2006/relationships/hyperlink" Target="https://www.landesrecht.rlp.de/bsrp/document/NJRE001270351" TargetMode="External"/><Relationship Id="rId47" Type="http://schemas.openxmlformats.org/officeDocument/2006/relationships/hyperlink" Target="https://www.juris.de/r3/document/NJRE001272588" TargetMode="External"/><Relationship Id="rId50" Type="http://schemas.openxmlformats.org/officeDocument/2006/relationships/hyperlink" Target="https://www.juris.de/r3/document/jzs-FAMRZ-2015-23-2063-1-R-16" TargetMode="External"/><Relationship Id="rId55" Type="http://schemas.openxmlformats.org/officeDocument/2006/relationships/hyperlink" Target="https://openjur.de/u/326845.html" TargetMode="External"/><Relationship Id="rId7" Type="http://schemas.openxmlformats.org/officeDocument/2006/relationships/hyperlink" Target="https://nrwe.justiz.nrw.de/olgs/duesseldorf/j2018/8_UF_36_17_Beschluss_20180907.html" TargetMode="External"/><Relationship Id="rId12" Type="http://schemas.openxmlformats.org/officeDocument/2006/relationships/hyperlink" Target="https://nrwe.justiz.nrw.de/olgs/duesseldorf/j2015/8_UF_72_14_Beschluss_20150209.html" TargetMode="External"/><Relationship Id="rId17" Type="http://schemas.openxmlformats.org/officeDocument/2006/relationships/hyperlink" Target="https://www.lareda.hessenrecht.hessen.de/bshe/document/LARE190019201" TargetMode="External"/><Relationship Id="rId25" Type="http://schemas.openxmlformats.org/officeDocument/2006/relationships/hyperlink" Target="https://www.rechtsprechung-im-internet.de/jportal/portal/t/jtz/page/bsjrsprod.psml?doc.hl=1&amp;doc.id=jb-KORE305442018&amp;&amp;doctyp=juris-r&amp;showdoccase=1&amp;doc.part=L&amp;paramfromHL=true" TargetMode="External"/><Relationship Id="rId33" Type="http://schemas.openxmlformats.org/officeDocument/2006/relationships/hyperlink" Target="https://www.landesrecht-bw.de/bsbw/document/NJRE001556807" TargetMode="External"/><Relationship Id="rId38" Type="http://schemas.openxmlformats.org/officeDocument/2006/relationships/hyperlink" Target="https://openjur.de/u/447454.html" TargetMode="External"/><Relationship Id="rId46" Type="http://schemas.openxmlformats.org/officeDocument/2006/relationships/hyperlink" Target="https://www.rv.hessenrecht.hessen.de/bshe/document/LARE210001398" TargetMode="External"/><Relationship Id="rId59" Type="http://schemas.openxmlformats.org/officeDocument/2006/relationships/drawing" Target="../drawings/drawing40.xml"/><Relationship Id="rId2" Type="http://schemas.openxmlformats.org/officeDocument/2006/relationships/hyperlink" Target="https://www.gesetze-rechtsprechung.sh.juris.de/bssh/document/NJRE001597610" TargetMode="External"/><Relationship Id="rId16" Type="http://schemas.openxmlformats.org/officeDocument/2006/relationships/hyperlink" Target="https://www.landesrecht.rlp.de/bsrp/document/NJRE001286901" TargetMode="External"/><Relationship Id="rId20" Type="http://schemas.openxmlformats.org/officeDocument/2006/relationships/hyperlink" Target="https://www.landesrecht.rlp.de/bsrp/document/NJRE001051304" TargetMode="External"/><Relationship Id="rId29" Type="http://schemas.openxmlformats.org/officeDocument/2006/relationships/hyperlink" Target="https://www.landesrecht-bw.de/bsbw/document/NJRE001528033" TargetMode="External"/><Relationship Id="rId41" Type="http://schemas.openxmlformats.org/officeDocument/2006/relationships/hyperlink" Target="https://gerichtsentscheidungen.brandenburg.de/gerichtsentscheidung/17509" TargetMode="External"/><Relationship Id="rId54" Type="http://schemas.openxmlformats.org/officeDocument/2006/relationships/hyperlink" Target="https://www.rechtsprechung-im-internet.de/jportal/portal/t/jtz/page/bsjrsprod.psml?doc.hl=1&amp;doc.id=jb-KORE301812021&amp;&amp;doctyp=juris-r&amp;showdoccase=1&amp;doc.part=L&amp;paramfromHL=true" TargetMode="External"/><Relationship Id="rId1" Type="http://schemas.openxmlformats.org/officeDocument/2006/relationships/hyperlink" Target="https://dejure.org/dienste/vernetzung/rechtsprechung?Text=19%20UF%2047%2F21%20D&amp;Suche=19%20UF%2047%2F21%20D%20KG%2020%2E10%2E2021" TargetMode="External"/><Relationship Id="rId6" Type="http://schemas.openxmlformats.org/officeDocument/2006/relationships/hyperlink" Target="https://www.lareda.hessenrecht.hessen.de/bshe/document/LARE190017576" TargetMode="External"/><Relationship Id="rId11" Type="http://schemas.openxmlformats.org/officeDocument/2006/relationships/hyperlink" Target="https://nrwe.justiz.nrw.de/olgs/koeln/j2011/27_UF_54_11_Beschluss_20110517.html" TargetMode="External"/><Relationship Id="rId24" Type="http://schemas.openxmlformats.org/officeDocument/2006/relationships/hyperlink" Target="https://www.landesrecht.sachsen-anhalt.de/bsst/document/NJRE001293430" TargetMode="External"/><Relationship Id="rId32" Type="http://schemas.openxmlformats.org/officeDocument/2006/relationships/hyperlink" Target="https://www.landesrecht-bw.de/bsbw/document/NJRE001543966" TargetMode="External"/><Relationship Id="rId37" Type="http://schemas.openxmlformats.org/officeDocument/2006/relationships/hyperlink" Target="https://iprspr.mpipriv.de/2020-176" TargetMode="External"/><Relationship Id="rId40" Type="http://schemas.openxmlformats.org/officeDocument/2006/relationships/hyperlink" Target="https://recht.saarland.de/bssl/document/NJRE001128601" TargetMode="External"/><Relationship Id="rId45" Type="http://schemas.openxmlformats.org/officeDocument/2006/relationships/hyperlink" Target="https://www.rv.hessenrecht.hessen.de/bshe/document/LARE190019516" TargetMode="External"/><Relationship Id="rId53" Type="http://schemas.openxmlformats.org/officeDocument/2006/relationships/hyperlink" Target="https://www.juris.de/r3/document/jzs-FAMRZ-2013-01-0041-3-R-16" TargetMode="External"/><Relationship Id="rId58" Type="http://schemas.openxmlformats.org/officeDocument/2006/relationships/printerSettings" Target="../printerSettings/printerSettings7.bin"/><Relationship Id="rId5" Type="http://schemas.openxmlformats.org/officeDocument/2006/relationships/hyperlink" Target="https://gerichtsentscheidungen.brandenburg.de/gerichtsentscheidung/19206" TargetMode="External"/><Relationship Id="rId15" Type="http://schemas.openxmlformats.org/officeDocument/2006/relationships/hyperlink" Target="https://www.landesrecht-bw.de/bsbw/document/NJRE001614854" TargetMode="External"/><Relationship Id="rId23" Type="http://schemas.openxmlformats.org/officeDocument/2006/relationships/hyperlink" Target="https://www.landesrecht-bw.de/bsbw/document/NJRE001207674" TargetMode="External"/><Relationship Id="rId28" Type="http://schemas.openxmlformats.org/officeDocument/2006/relationships/hyperlink" Target="https://www.landesrecht.rlp.de/bsrp/document/NJRE001442329" TargetMode="External"/><Relationship Id="rId36" Type="http://schemas.openxmlformats.org/officeDocument/2006/relationships/hyperlink" Target="https://iprspr.mpipriv.de/2020-176" TargetMode="External"/><Relationship Id="rId49" Type="http://schemas.openxmlformats.org/officeDocument/2006/relationships/hyperlink" Target="https://www.juris.de/r3/document/jzs-FAMRZ-2015-23-2063-1-R-16" TargetMode="External"/><Relationship Id="rId57" Type="http://schemas.openxmlformats.org/officeDocument/2006/relationships/hyperlink" Target="https://www.juris.de/r3/document/jzs-FAMRZ-2015-04-0349-2-R-27" TargetMode="External"/><Relationship Id="rId10" Type="http://schemas.openxmlformats.org/officeDocument/2006/relationships/hyperlink" Target="https://recht.saarland.de/bssl/document/NJRE001097140" TargetMode="External"/><Relationship Id="rId19" Type="http://schemas.openxmlformats.org/officeDocument/2006/relationships/hyperlink" Target="https://nrwe.justiz.nrw.de/olgs/duesseldorf/j2021/7_UF_77_21_Beschluss_20210817.html" TargetMode="External"/><Relationship Id="rId31" Type="http://schemas.openxmlformats.org/officeDocument/2006/relationships/hyperlink" Target="https://www.landesrecht-bw.de/bsbw/document/NJRE001543966" TargetMode="External"/><Relationship Id="rId44" Type="http://schemas.openxmlformats.org/officeDocument/2006/relationships/hyperlink" Target="https://www.rv.hessenrecht.hessen.de/bshe/document/LARE190019516" TargetMode="External"/><Relationship Id="rId52" Type="http://schemas.openxmlformats.org/officeDocument/2006/relationships/hyperlink" Target="https://www.juris.de/r3/document/jzs-FAMRZ-2013-01-0041-3-R-16" TargetMode="External"/><Relationship Id="rId4" Type="http://schemas.openxmlformats.org/officeDocument/2006/relationships/hyperlink" Target="https://www.gesetze-rechtsprechung.sh.juris.de/bssh/document/NJRE001597610" TargetMode="External"/><Relationship Id="rId9" Type="http://schemas.openxmlformats.org/officeDocument/2006/relationships/hyperlink" Target="https://gerichtsentscheidungen.brandenburg.de/gerichtsentscheidung/13948" TargetMode="External"/><Relationship Id="rId14" Type="http://schemas.openxmlformats.org/officeDocument/2006/relationships/hyperlink" Target="https://gesetze.berlin.de/bsbe/document/NJRE001251972" TargetMode="External"/><Relationship Id="rId22" Type="http://schemas.openxmlformats.org/officeDocument/2006/relationships/hyperlink" Target="https://www.landesrecht-bw.de/bsbw/document/NJRE001207674" TargetMode="External"/><Relationship Id="rId27" Type="http://schemas.openxmlformats.org/officeDocument/2006/relationships/hyperlink" Target="https://gerichtsentscheidungen.brandenburg.de/gerichtsentscheidung/1717" TargetMode="External"/><Relationship Id="rId30" Type="http://schemas.openxmlformats.org/officeDocument/2006/relationships/hyperlink" Target="https://www.landesrecht-bw.de/bsbw/document/NJRE001528033" TargetMode="External"/><Relationship Id="rId35" Type="http://schemas.openxmlformats.org/officeDocument/2006/relationships/hyperlink" Target="https://iprspr.mpipriv.de/2020-176" TargetMode="External"/><Relationship Id="rId43" Type="http://schemas.openxmlformats.org/officeDocument/2006/relationships/hyperlink" Target="https://www.rv.hessenrecht.hessen.de/bshe/document/LARE190019516" TargetMode="External"/><Relationship Id="rId48" Type="http://schemas.openxmlformats.org/officeDocument/2006/relationships/hyperlink" Target="https://www.juris.de/r3/document/NJRE001272588" TargetMode="External"/><Relationship Id="rId56" Type="http://schemas.openxmlformats.org/officeDocument/2006/relationships/hyperlink" Target="https://openjur.de/u/494354.html" TargetMode="External"/><Relationship Id="rId8" Type="http://schemas.openxmlformats.org/officeDocument/2006/relationships/hyperlink" Target="https://recht.saarland.de/bssl/document/NJRE001046888" TargetMode="External"/><Relationship Id="rId51" Type="http://schemas.openxmlformats.org/officeDocument/2006/relationships/hyperlink" Target="https://www.juris.de/r3/document/jzs-FAMRZ-2016-06-0468-1-R-16" TargetMode="External"/><Relationship Id="rId3" Type="http://schemas.openxmlformats.org/officeDocument/2006/relationships/hyperlink" Target="https://www.gesetze-rechtsprechung.sh.juris.de/bssh/document/NJRE001597610"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s://employment-social-affairs.ec.europa.eu/document/download/e0b8e868-4fae-4a4a-883b-75b02cf0bd1f_de" TargetMode="External"/><Relationship Id="rId13" Type="http://schemas.openxmlformats.org/officeDocument/2006/relationships/hyperlink" Target="https://employment-social-affairs.ec.europa.eu/document/download/07fba796-b245-416b-ac58-5b6dc4d06d4e_de" TargetMode="External"/><Relationship Id="rId18" Type="http://schemas.openxmlformats.org/officeDocument/2006/relationships/hyperlink" Target="https://employment-social-affairs.ec.europa.eu/document/download/281c2e4d-bbb3-4a73-93b6-ff3368cb15c6_de" TargetMode="External"/><Relationship Id="rId26" Type="http://schemas.openxmlformats.org/officeDocument/2006/relationships/hyperlink" Target="https://employment-social-affairs.ec.europa.eu/document/download/cda27b4f-ad1c-419d-b4c4-28222a5d2c34_de" TargetMode="External"/><Relationship Id="rId39" Type="http://schemas.openxmlformats.org/officeDocument/2006/relationships/hyperlink" Target="https://www.ird.govt.nz/kiwisaver/kiwisaver-individuals/growing-my-kiwisaver-account/getting-the-kiwisaver-government-contribution" TargetMode="External"/><Relationship Id="rId3" Type="http://schemas.openxmlformats.org/officeDocument/2006/relationships/hyperlink" Target="https://employment-social-affairs.ec.europa.eu/document/download/3ee120a1-88e4-40cd-a3d7-1a5e33008cfc_de?filename=missoc-ssg-DK-2024-de.pdf" TargetMode="External"/><Relationship Id="rId21" Type="http://schemas.openxmlformats.org/officeDocument/2006/relationships/hyperlink" Target="https://employment-social-affairs.ec.europa.eu/document/download/1801fedc-6583-47f2-be14-8650bc6b71c8_de" TargetMode="External"/><Relationship Id="rId34" Type="http://schemas.openxmlformats.org/officeDocument/2006/relationships/hyperlink" Target="https://www.servicesaustralia.gov.au/age-pension" TargetMode="External"/><Relationship Id="rId7" Type="http://schemas.openxmlformats.org/officeDocument/2006/relationships/hyperlink" Target="https://employment-social-affairs.ec.europa.eu/document/download/48c6ea1f-8284-42db-804d-47fabf896a6d_de" TargetMode="External"/><Relationship Id="rId12" Type="http://schemas.openxmlformats.org/officeDocument/2006/relationships/hyperlink" Target="https://employment-social-affairs.ec.europa.eu/document/download/3f43aab0-d0c5-4c70-a7d2-f56fa6ee565c_de" TargetMode="External"/><Relationship Id="rId17" Type="http://schemas.openxmlformats.org/officeDocument/2006/relationships/hyperlink" Target="https://employment-social-affairs.ec.europa.eu/document/download/ad6d37a8-9b44-45c9-b366-f19633602983_de" TargetMode="External"/><Relationship Id="rId25" Type="http://schemas.openxmlformats.org/officeDocument/2006/relationships/hyperlink" Target="https://employment-social-affairs.ec.europa.eu/document/download/0b4342bd-0bd0-4b42-b09e-e43733ae8b8e_de" TargetMode="External"/><Relationship Id="rId33" Type="http://schemas.openxmlformats.org/officeDocument/2006/relationships/hyperlink" Target="https://www.canada.ca/en/revenue-agency/services/tax/individuals/topics/rrsps-related-plans/registered-retirement-savings-plan-rrsp.html" TargetMode="External"/><Relationship Id="rId38" Type="http://schemas.openxmlformats.org/officeDocument/2006/relationships/hyperlink" Target="https://www.ird.govt.nz/-/media/project/ir/home/documents/forms-and-guides/ir1---ir99/ks3/ks3.pdf?modified=20260331214117" TargetMode="External"/><Relationship Id="rId2" Type="http://schemas.openxmlformats.org/officeDocument/2006/relationships/hyperlink" Target="https://employment-social-affairs.ec.europa.eu/document/download/f3436d8c-426b-472b-8012-9e830de438c3_de" TargetMode="External"/><Relationship Id="rId16" Type="http://schemas.openxmlformats.org/officeDocument/2006/relationships/hyperlink" Target="https://employment-social-affairs.ec.europa.eu/document/download/d18b3308-2094-4a67-9964-a59e1497a9af_de" TargetMode="External"/><Relationship Id="rId20" Type="http://schemas.openxmlformats.org/officeDocument/2006/relationships/hyperlink" Target="https://employment-social-affairs.ec.europa.eu/document/download/9b140205-9066-4a16-876f-eb7643365cc9_de" TargetMode="External"/><Relationship Id="rId29" Type="http://schemas.openxmlformats.org/officeDocument/2006/relationships/hyperlink" Target="https://employment-social-affairs.ec.europa.eu/document/download/cd0ec727-04e8-4dcb-8d6e-bdaa0b04ff12_de" TargetMode="External"/><Relationship Id="rId1" Type="http://schemas.openxmlformats.org/officeDocument/2006/relationships/hyperlink" Target="https://employment-social-affairs.ec.europa.eu/document/download/56aa99cf-f963-4065-8215-f262c195ea00_de" TargetMode="External"/><Relationship Id="rId6" Type="http://schemas.openxmlformats.org/officeDocument/2006/relationships/hyperlink" Target="https://employment-social-affairs.ec.europa.eu/document/download/8ceb35da-6b70-41e8-acf9-381e8d7c6cf3_de" TargetMode="External"/><Relationship Id="rId11" Type="http://schemas.openxmlformats.org/officeDocument/2006/relationships/hyperlink" Target="https://employment-social-affairs.ec.europa.eu/document/download/1526299a-d95c-441b-8a5e-71acb2c981eb_de" TargetMode="External"/><Relationship Id="rId24" Type="http://schemas.openxmlformats.org/officeDocument/2006/relationships/hyperlink" Target="https://employment-social-affairs.ec.europa.eu/document/download/c4767d73-7286-41ad-bc5a-557aedfff7e1_de" TargetMode="External"/><Relationship Id="rId32" Type="http://schemas.openxmlformats.org/officeDocument/2006/relationships/hyperlink" Target="https://www.canada.ca/en/financial-consumer-agency/services/retirement-planning/employer-sponsored-pension.html" TargetMode="External"/><Relationship Id="rId37" Type="http://schemas.openxmlformats.org/officeDocument/2006/relationships/hyperlink" Target="https://www.workandincome.govt.nz/eligibility/seniors/superannuation/who-can-get-it/index.html" TargetMode="External"/><Relationship Id="rId40" Type="http://schemas.openxmlformats.org/officeDocument/2006/relationships/drawing" Target="../drawings/drawing41.xml"/><Relationship Id="rId5" Type="http://schemas.openxmlformats.org/officeDocument/2006/relationships/hyperlink" Target="https://employment-social-affairs.ec.europa.eu/document/download/4617b81d-4bc3-4fdc-9994-d9a8ae3e53ff_de" TargetMode="External"/><Relationship Id="rId15" Type="http://schemas.openxmlformats.org/officeDocument/2006/relationships/hyperlink" Target="https://employment-social-affairs.ec.europa.eu/document/download/b920adf8-38c1-4a1c-9579-7f8a62bc6ef6_de" TargetMode="External"/><Relationship Id="rId23" Type="http://schemas.openxmlformats.org/officeDocument/2006/relationships/hyperlink" Target="https://employment-social-affairs.ec.europa.eu/document/download/a8097a78-9595-456c-890f-0a6e44674343_de" TargetMode="External"/><Relationship Id="rId28" Type="http://schemas.openxmlformats.org/officeDocument/2006/relationships/hyperlink" Target="https://employment-social-affairs.ec.europa.eu/document/download/3ee120a1-88e4-40cd-a3d7-1a5e33008cfc_de?filename=missoc-ssg-DK-2024-de.pdf" TargetMode="External"/><Relationship Id="rId36" Type="http://schemas.openxmlformats.org/officeDocument/2006/relationships/hyperlink" Target="https://moneysmart.gov.au/retirement-income-sources" TargetMode="External"/><Relationship Id="rId10" Type="http://schemas.openxmlformats.org/officeDocument/2006/relationships/hyperlink" Target="https://employment-social-affairs.ec.europa.eu/document/download/d19d3105-4ff4-4e45-b8ef-c3a3fbe1abac_de" TargetMode="External"/><Relationship Id="rId19" Type="http://schemas.openxmlformats.org/officeDocument/2006/relationships/hyperlink" Target="https://employment-social-affairs.ec.europa.eu/document/download/7bb82c27-9a98-4ab5-948c-e875d1d18f02_de" TargetMode="External"/><Relationship Id="rId31" Type="http://schemas.openxmlformats.org/officeDocument/2006/relationships/hyperlink" Target="https://www.canada.ca/en/employment-social-development/corporate/reports/esdc-transition-binders/binder2-seniors-retirement-2021.html" TargetMode="External"/><Relationship Id="rId4" Type="http://schemas.openxmlformats.org/officeDocument/2006/relationships/hyperlink" Target="https://employment-social-affairs.ec.europa.eu/document/download/cd0ec727-04e8-4dcb-8d6e-bdaa0b04ff12_de" TargetMode="External"/><Relationship Id="rId9" Type="http://schemas.openxmlformats.org/officeDocument/2006/relationships/hyperlink" Target="https://employment-social-affairs.ec.europa.eu/document/download/f476ffdd-db90-48e3-8e1b-cd861a3f82e1_de" TargetMode="External"/><Relationship Id="rId14" Type="http://schemas.openxmlformats.org/officeDocument/2006/relationships/hyperlink" Target="https://employment-social-affairs.ec.europa.eu/document/download/4f16edeb-895f-4b75-ad39-dcd6f7bd4cb1_de" TargetMode="External"/><Relationship Id="rId22" Type="http://schemas.openxmlformats.org/officeDocument/2006/relationships/hyperlink" Target="https://employment-social-affairs.ec.europa.eu/document/download/fa90d105-d7fc-417e-a79c-603796821761_en" TargetMode="External"/><Relationship Id="rId27" Type="http://schemas.openxmlformats.org/officeDocument/2006/relationships/hyperlink" Target="https://employment-social-affairs.ec.europa.eu/document/download/788be1e1-a21f-42a7-a201-a90e5e913bea_de" TargetMode="External"/><Relationship Id="rId30" Type="http://schemas.openxmlformats.org/officeDocument/2006/relationships/hyperlink" Target="https://www.gov.uk/new-state-pension" TargetMode="External"/><Relationship Id="rId35" Type="http://schemas.openxmlformats.org/officeDocument/2006/relationships/hyperlink" Target="https://treasury.gov.au/review/retirement-income-review/TOR" TargetMode="External"/></Relationships>
</file>

<file path=xl/worksheets/_rels/sheet62.xml.rels><?xml version="1.0" encoding="UTF-8" standalone="yes"?>
<Relationships xmlns="http://schemas.openxmlformats.org/package/2006/relationships"><Relationship Id="rId13" Type="http://schemas.openxmlformats.org/officeDocument/2006/relationships/hyperlink" Target="mailto:info@drv-nord.de" TargetMode="External"/><Relationship Id="rId18" Type="http://schemas.openxmlformats.org/officeDocument/2006/relationships/hyperlink" Target="mailto:info@drv-schwaben.de" TargetMode="External"/><Relationship Id="rId26" Type="http://schemas.openxmlformats.org/officeDocument/2006/relationships/hyperlink" Target="mailto:info@drv-nord.de" TargetMode="External"/><Relationship Id="rId39" Type="http://schemas.openxmlformats.org/officeDocument/2006/relationships/hyperlink" Target="mailto:info@drv-nordbayern.de" TargetMode="External"/><Relationship Id="rId3" Type="http://schemas.openxmlformats.org/officeDocument/2006/relationships/hyperlink" Target="mailto:post@drv-rheinland.de" TargetMode="External"/><Relationship Id="rId21" Type="http://schemas.openxmlformats.org/officeDocument/2006/relationships/hyperlink" Target="mailto:info@drv-bsh.de" TargetMode="External"/><Relationship Id="rId34" Type="http://schemas.openxmlformats.org/officeDocument/2006/relationships/hyperlink" Target="mailto:info@drv-nord.de" TargetMode="External"/><Relationship Id="rId42" Type="http://schemas.openxmlformats.org/officeDocument/2006/relationships/hyperlink" Target="mailto:service@drv-bayernsued.de" TargetMode="External"/><Relationship Id="rId47" Type="http://schemas.openxmlformats.org/officeDocument/2006/relationships/hyperlink" Target="mailto:info@drv-schwaben.de" TargetMode="External"/><Relationship Id="rId50" Type="http://schemas.openxmlformats.org/officeDocument/2006/relationships/hyperlink" Target="mailto:service@drv-md.de" TargetMode="External"/><Relationship Id="rId7" Type="http://schemas.openxmlformats.org/officeDocument/2006/relationships/hyperlink" Target="mailto:post@drv-rheinland.de" TargetMode="External"/><Relationship Id="rId12" Type="http://schemas.openxmlformats.org/officeDocument/2006/relationships/hyperlink" Target="mailto:post@drv-bw.de" TargetMode="External"/><Relationship Id="rId17" Type="http://schemas.openxmlformats.org/officeDocument/2006/relationships/hyperlink" Target="mailto:post@drv-rheinland.de" TargetMode="External"/><Relationship Id="rId25" Type="http://schemas.openxmlformats.org/officeDocument/2006/relationships/hyperlink" Target="mailto:post@drv-bw.de" TargetMode="External"/><Relationship Id="rId33" Type="http://schemas.openxmlformats.org/officeDocument/2006/relationships/hyperlink" Target="mailto:service@drv-bayernsued.de" TargetMode="External"/><Relationship Id="rId38" Type="http://schemas.openxmlformats.org/officeDocument/2006/relationships/hyperlink" Target="mailto:info@drv-nordbayern.de" TargetMode="External"/><Relationship Id="rId46" Type="http://schemas.openxmlformats.org/officeDocument/2006/relationships/hyperlink" Target="mailto:service@drv-bayernsued.de" TargetMode="External"/><Relationship Id="rId2" Type="http://schemas.openxmlformats.org/officeDocument/2006/relationships/hyperlink" Target="mailto:australien@drv-oldenburg-bremen.de" TargetMode="External"/><Relationship Id="rId16" Type="http://schemas.openxmlformats.org/officeDocument/2006/relationships/hyperlink" Target="mailto:kontakt@drv-westfalen.de" TargetMode="External"/><Relationship Id="rId20" Type="http://schemas.openxmlformats.org/officeDocument/2006/relationships/hyperlink" Target="mailto:info@drv-nord.de" TargetMode="External"/><Relationship Id="rId29" Type="http://schemas.openxmlformats.org/officeDocument/2006/relationships/hyperlink" Target="mailto:info@drv-schwaben.de" TargetMode="External"/><Relationship Id="rId41" Type="http://schemas.openxmlformats.org/officeDocument/2006/relationships/hyperlink" Target="mailto:post@drv-bw.de" TargetMode="External"/><Relationship Id="rId54" Type="http://schemas.openxmlformats.org/officeDocument/2006/relationships/drawing" Target="../drawings/drawing42.xml"/><Relationship Id="rId1" Type="http://schemas.openxmlformats.org/officeDocument/2006/relationships/hyperlink" Target="mailto:service@drv-rlp.de" TargetMode="External"/><Relationship Id="rId6" Type="http://schemas.openxmlformats.org/officeDocument/2006/relationships/hyperlink" Target="mailto:service@drv-md.de" TargetMode="External"/><Relationship Id="rId11" Type="http://schemas.openxmlformats.org/officeDocument/2006/relationships/hyperlink" Target="mailto:service@drv-rlp.de" TargetMode="External"/><Relationship Id="rId24" Type="http://schemas.openxmlformats.org/officeDocument/2006/relationships/hyperlink" Target="mailto:info@drv-nord.de" TargetMode="External"/><Relationship Id="rId32" Type="http://schemas.openxmlformats.org/officeDocument/2006/relationships/hyperlink" Target="mailto:service@drv-bayernsued.de" TargetMode="External"/><Relationship Id="rId37" Type="http://schemas.openxmlformats.org/officeDocument/2006/relationships/hyperlink" Target="mailto:kundenservice@drv-berlin-brandenburg.de" TargetMode="External"/><Relationship Id="rId40" Type="http://schemas.openxmlformats.org/officeDocument/2006/relationships/hyperlink" Target="mailto:info@drv-nord.de" TargetMode="External"/><Relationship Id="rId45" Type="http://schemas.openxmlformats.org/officeDocument/2006/relationships/hyperlink" Target="mailto:post@drv-rheinland.de" TargetMode="External"/><Relationship Id="rId53" Type="http://schemas.openxmlformats.org/officeDocument/2006/relationships/hyperlink" Target="mailto:post@drv-bw.de" TargetMode="External"/><Relationship Id="rId5" Type="http://schemas.openxmlformats.org/officeDocument/2006/relationships/hyperlink" Target="mailto:info@drv-nordbayern.de" TargetMode="External"/><Relationship Id="rId15" Type="http://schemas.openxmlformats.org/officeDocument/2006/relationships/hyperlink" Target="mailto:info@drv-nord.de" TargetMode="External"/><Relationship Id="rId23" Type="http://schemas.openxmlformats.org/officeDocument/2006/relationships/hyperlink" Target="mailto:service@drv-bayernsued.de" TargetMode="External"/><Relationship Id="rId28" Type="http://schemas.openxmlformats.org/officeDocument/2006/relationships/hyperlink" Target="mailto:info@drv-schwaben.de" TargetMode="External"/><Relationship Id="rId36" Type="http://schemas.openxmlformats.org/officeDocument/2006/relationships/hyperlink" Target="mailto:info@drv-bsh.de" TargetMode="External"/><Relationship Id="rId49" Type="http://schemas.openxmlformats.org/officeDocument/2006/relationships/hyperlink" Target="mailto:service@drv-md.de" TargetMode="External"/><Relationship Id="rId10" Type="http://schemas.openxmlformats.org/officeDocument/2006/relationships/hyperlink" Target="mailto:info@drv-nord.de" TargetMode="External"/><Relationship Id="rId19" Type="http://schemas.openxmlformats.org/officeDocument/2006/relationships/hyperlink" Target="mailto:info@drv-bsh.de" TargetMode="External"/><Relationship Id="rId31" Type="http://schemas.openxmlformats.org/officeDocument/2006/relationships/hyperlink" Target="mailto:info@drv-nordbayern.de" TargetMode="External"/><Relationship Id="rId44" Type="http://schemas.openxmlformats.org/officeDocument/2006/relationships/hyperlink" Target="mailto:service@drv-bayernsued.de" TargetMode="External"/><Relationship Id="rId52" Type="http://schemas.openxmlformats.org/officeDocument/2006/relationships/hyperlink" Target="mailto:info@drv-nord.de" TargetMode="External"/><Relationship Id="rId4" Type="http://schemas.openxmlformats.org/officeDocument/2006/relationships/hyperlink" Target="mailto:service@drv-bayernsued.de" TargetMode="External"/><Relationship Id="rId9" Type="http://schemas.openxmlformats.org/officeDocument/2006/relationships/hyperlink" Target="mailto:info@drv-nord.de" TargetMode="External"/><Relationship Id="rId14" Type="http://schemas.openxmlformats.org/officeDocument/2006/relationships/hyperlink" Target="mailto:info@drv-nord.de" TargetMode="External"/><Relationship Id="rId22" Type="http://schemas.openxmlformats.org/officeDocument/2006/relationships/hyperlink" Target="mailto:service@drv-bayernsued.de" TargetMode="External"/><Relationship Id="rId27" Type="http://schemas.openxmlformats.org/officeDocument/2006/relationships/hyperlink" Target="mailto:service@drv-rlp.de" TargetMode="External"/><Relationship Id="rId30" Type="http://schemas.openxmlformats.org/officeDocument/2006/relationships/hyperlink" Target="mailto:kontakt@drv-westfalen.de" TargetMode="External"/><Relationship Id="rId35" Type="http://schemas.openxmlformats.org/officeDocument/2006/relationships/hyperlink" Target="mailto:service@drv-bayernsued.de" TargetMode="External"/><Relationship Id="rId43" Type="http://schemas.openxmlformats.org/officeDocument/2006/relationships/hyperlink" Target="mailto:service@drv-bayernsued.de" TargetMode="External"/><Relationship Id="rId48" Type="http://schemas.openxmlformats.org/officeDocument/2006/relationships/hyperlink" Target="mailto:info@drv-nordbayern.de" TargetMode="External"/><Relationship Id="rId8" Type="http://schemas.openxmlformats.org/officeDocument/2006/relationships/hyperlink" Target="mailto:info@drv-nord.de" TargetMode="External"/><Relationship Id="rId51" Type="http://schemas.openxmlformats.org/officeDocument/2006/relationships/hyperlink" Target="mailto:post@drv-rheinland.de"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s://journals.sagepub.com/action/downloadSupplement?doi=10.1177%2F09589287261430475&amp;file=sj-pdf-1-esp-10.1177_09589287261430475.pdf" TargetMode="External"/><Relationship Id="rId13" Type="http://schemas.openxmlformats.org/officeDocument/2006/relationships/hyperlink" Target="https://journals.sagepub.com/action/downloadSupplement?doi=10.1177%2F09589287261430475&amp;file=sj-pdf-1-esp-10.1177_09589287261430475.pdf" TargetMode="External"/><Relationship Id="rId18" Type="http://schemas.openxmlformats.org/officeDocument/2006/relationships/hyperlink" Target="https://journals.sagepub.com/action/downloadSupplement?doi=10.1177%2F09589287261430475&amp;file=sj-pdf-1-esp-10.1177_09589287261430475.pdf" TargetMode="External"/><Relationship Id="rId26" Type="http://schemas.openxmlformats.org/officeDocument/2006/relationships/hyperlink" Target="https://guides.dss.gov.au/social-security-guide/5/2/2/10" TargetMode="External"/><Relationship Id="rId3" Type="http://schemas.openxmlformats.org/officeDocument/2006/relationships/hyperlink" Target="https://journals.sagepub.com/action/downloadSupplement?doi=10.1177%2F09589287261430475&amp;file=sj-pdf-1-esp-10.1177_09589287261430475.pdf" TargetMode="External"/><Relationship Id="rId21" Type="http://schemas.openxmlformats.org/officeDocument/2006/relationships/hyperlink" Target="https://journals.sagepub.com/action/downloadSupplement?doi=10.1177%2F09589287261430475&amp;file=sj-pdf-1-esp-10.1177_09589287261430475.pdf" TargetMode="External"/><Relationship Id="rId7" Type="http://schemas.openxmlformats.org/officeDocument/2006/relationships/hyperlink" Target="https://journals.sagepub.com/action/downloadSupplement?doi=10.1177%2F09589287261430475&amp;file=sj-pdf-1-esp-10.1177_09589287261430475.pdf" TargetMode="External"/><Relationship Id="rId12" Type="http://schemas.openxmlformats.org/officeDocument/2006/relationships/hyperlink" Target="https://journals.sagepub.com/action/downloadSupplement?doi=10.1177%2F09589287261430475&amp;file=sj-pdf-1-esp-10.1177_09589287261430475.pdf" TargetMode="External"/><Relationship Id="rId17" Type="http://schemas.openxmlformats.org/officeDocument/2006/relationships/hyperlink" Target="https://journals.sagepub.com/action/downloadSupplement?doi=10.1177%2F09589287261430475&amp;file=sj-pdf-1-esp-10.1177_09589287261430475.pdf" TargetMode="External"/><Relationship Id="rId25" Type="http://schemas.openxmlformats.org/officeDocument/2006/relationships/hyperlink" Target="https://www.gov.uk/government/statistics/abstract-of-dwp-benefit-rate-statistics-2025/abstract-of-dwp-benefit-rate-statistics-2025" TargetMode="External"/><Relationship Id="rId2" Type="http://schemas.openxmlformats.org/officeDocument/2006/relationships/hyperlink" Target="https://journals.sagepub.com/action/downloadSupplement?doi=10.1177%2F09589287261430475&amp;file=sj-pdf-1-esp-10.1177_09589287261430475.pdf" TargetMode="External"/><Relationship Id="rId16" Type="http://schemas.openxmlformats.org/officeDocument/2006/relationships/hyperlink" Target="https://journals.sagepub.com/action/downloadSupplement?doi=10.1177%2F09589287261430475&amp;file=sj-pdf-1-esp-10.1177_09589287261430475.pdf" TargetMode="External"/><Relationship Id="rId20" Type="http://schemas.openxmlformats.org/officeDocument/2006/relationships/hyperlink" Target="https://journals.sagepub.com/action/downloadSupplement?doi=10.1177%2F09589287261430475&amp;file=sj-pdf-1-esp-10.1177_09589287261430475.pdf" TargetMode="External"/><Relationship Id="rId29" Type="http://schemas.openxmlformats.org/officeDocument/2006/relationships/printerSettings" Target="../printerSettings/printerSettings8.bin"/><Relationship Id="rId1" Type="http://schemas.openxmlformats.org/officeDocument/2006/relationships/hyperlink" Target="https://journals.sagepub.com/action/downloadSupplement?doi=10.1177%2F09589287261430475&amp;file=sj-pdf-1-esp-10.1177_09589287261430475.pdf" TargetMode="External"/><Relationship Id="rId6" Type="http://schemas.openxmlformats.org/officeDocument/2006/relationships/hyperlink" Target="https://journals.sagepub.com/action/downloadSupplement?doi=10.1177%2F09589287261430475&amp;file=sj-pdf-1-esp-10.1177_09589287261430475.pdf" TargetMode="External"/><Relationship Id="rId11" Type="http://schemas.openxmlformats.org/officeDocument/2006/relationships/hyperlink" Target="https://journals.sagepub.com/action/downloadSupplement?doi=10.1177%2F09589287261430475&amp;file=sj-pdf-1-esp-10.1177_09589287261430475.pdf" TargetMode="External"/><Relationship Id="rId24" Type="http://schemas.openxmlformats.org/officeDocument/2006/relationships/hyperlink" Target="https://www.canada.ca/en/services/benefits/publicpensions/cpp/receive-benefits/consumer-price-index.html" TargetMode="External"/><Relationship Id="rId5" Type="http://schemas.openxmlformats.org/officeDocument/2006/relationships/hyperlink" Target="https://www.oecd.org/content/dam/oecd/en/topics/policy-sub-issues/incomes-support-redistribution-and-work-incentives/TaxBEN-Switzerland-latest.pdf" TargetMode="External"/><Relationship Id="rId15" Type="http://schemas.openxmlformats.org/officeDocument/2006/relationships/hyperlink" Target="https://journals.sagepub.com/action/downloadSupplement?doi=10.1177%2F09589287261430475&amp;file=sj-pdf-1-esp-10.1177_09589287261430475.pdf" TargetMode="External"/><Relationship Id="rId23" Type="http://schemas.openxmlformats.org/officeDocument/2006/relationships/hyperlink" Target="https://www.canada.ca/en/services/benefits/publicpensions/old-age-security/payments.html" TargetMode="External"/><Relationship Id="rId28" Type="http://schemas.openxmlformats.org/officeDocument/2006/relationships/hyperlink" Target="https://www.ssa.gov/cola/" TargetMode="External"/><Relationship Id="rId10" Type="http://schemas.openxmlformats.org/officeDocument/2006/relationships/hyperlink" Target="https://journals.sagepub.com/action/downloadSupplement?doi=10.1177%2F09589287261430475&amp;file=sj-pdf-1-esp-10.1177_09589287261430475.pdf" TargetMode="External"/><Relationship Id="rId19" Type="http://schemas.openxmlformats.org/officeDocument/2006/relationships/hyperlink" Target="https://journals.sagepub.com/action/downloadSupplement?doi=10.1177%2F09589287261430475&amp;file=sj-pdf-1-esp-10.1177_09589287261430475.pdf" TargetMode="External"/><Relationship Id="rId4" Type="http://schemas.openxmlformats.org/officeDocument/2006/relationships/hyperlink" Target="https://journals.sagepub.com/action/downloadSupplement?doi=10.1177%2F09589287261430475&amp;file=sj-pdf-1-esp-10.1177_09589287261430475.pdf" TargetMode="External"/><Relationship Id="rId9" Type="http://schemas.openxmlformats.org/officeDocument/2006/relationships/hyperlink" Target="https://journals.sagepub.com/action/downloadSupplement?doi=10.1177%2F09589287261430475&amp;file=sj-pdf-1-esp-10.1177_09589287261430475.pdf" TargetMode="External"/><Relationship Id="rId14" Type="http://schemas.openxmlformats.org/officeDocument/2006/relationships/hyperlink" Target="https://journals.sagepub.com/action/downloadSupplement?doi=10.1177%2F09589287261430475&amp;file=sj-pdf-1-esp-10.1177_09589287261430475.pdf" TargetMode="External"/><Relationship Id="rId22" Type="http://schemas.openxmlformats.org/officeDocument/2006/relationships/hyperlink" Target="https://www.parlament.gv.at/dokument/XXVII/EU/187913/imfname_11382449.pdf" TargetMode="External"/><Relationship Id="rId27" Type="http://schemas.openxmlformats.org/officeDocument/2006/relationships/hyperlink" Target="https://www.workandincome.govt.nz/map/documents/deskfile/benefit-rate-summaries/benefitratesummary-2015-04-01.pdf" TargetMode="External"/><Relationship Id="rId30" Type="http://schemas.openxmlformats.org/officeDocument/2006/relationships/drawing" Target="../drawings/drawing43.xm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hyperlink" Target="https://fred.stlouisfed.org/data/FPCPITOTLZGAUT.txt" TargetMode="External"/><Relationship Id="rId1" Type="http://schemas.openxmlformats.org/officeDocument/2006/relationships/hyperlink" Target="https://fred.stlouisfed.org/series/FPCPITOTLZGSWE"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s://consedimburgo.esteri.it/en/servizi-consolari-e-visti/servizi-per-il-cittadino-italiano/pensioni-e-sicurezza-sociale/" TargetMode="External"/><Relationship Id="rId13" Type="http://schemas.openxmlformats.org/officeDocument/2006/relationships/hyperlink" Target="https://cnap.public.lu/en/pensions/pension-survie/pension-survie1.html?utm_source=chatgpt.com" TargetMode="External"/><Relationship Id="rId18" Type="http://schemas.openxmlformats.org/officeDocument/2006/relationships/hyperlink" Target="https://www.zus.pl/uprawnieni-czlonkowie-rodziny-spelniajacy-okreslone-warunki-do-renty-rodzinnej?utm_source=chatgpt.com" TargetMode="External"/><Relationship Id="rId26" Type="http://schemas.openxmlformats.org/officeDocument/2006/relationships/hyperlink" Target="https://www.cssz.cz/web/lang/vdovsky/vdovecky?lang=en&amp;utm_source=chatgpt.com" TargetMode="External"/><Relationship Id="rId3" Type="http://schemas.openxmlformats.org/officeDocument/2006/relationships/hyperlink" Target="https://www.riigiteataja.ee/en/eli/504022019001/consolide" TargetMode="External"/><Relationship Id="rId21" Type="http://schemas.openxmlformats.org/officeDocument/2006/relationships/hyperlink" Target="https://www.pensionsmyndigheten.se/other-languages/english-engelska/english-engelska/survivors-pension-financial-support-in-the-event-of-death" TargetMode="External"/><Relationship Id="rId7" Type="http://schemas.openxmlformats.org/officeDocument/2006/relationships/hyperlink" Target="https://secure.ssa.gov/apps10/poms.nsf/lnx/0201763020" TargetMode="External"/><Relationship Id="rId12" Type="http://schemas.openxmlformats.org/officeDocument/2006/relationships/hyperlink" Target="https://socmin.lrv.lt/en/activities/social-insurance-1/social-insurance-benefits/social-insurance-pensions-for-widows-widowers-and-orphans/?utm_source=chatgpt.com" TargetMode="External"/><Relationship Id="rId17" Type="http://schemas.openxmlformats.org/officeDocument/2006/relationships/hyperlink" Target="https://www.sozialministerium.gv.at/en/Topics/Social-Affairs/Social-Insurance/Pension-Insurance/Types-of-Pension/Survivors%E2%80%99-Pensions.html?utm_source=chatgpt.com" TargetMode="External"/><Relationship Id="rId25" Type="http://schemas.openxmlformats.org/officeDocument/2006/relationships/hyperlink" Target="https://www.seg-social.es/wps/portal/wss/internet/Trabajadores/PrestacionesPensionesTrabajadores/10964/10966/28489/28490?utm_source=chatgpt.com" TargetMode="External"/><Relationship Id="rId2" Type="http://schemas.openxmlformats.org/officeDocument/2006/relationships/hyperlink" Target="https://www.etk.fi/en/finnish-pension-system/pensions/earnings-related-pension-benefits/survivors-pension/?utm_source=chatgpt.com" TargetMode="External"/><Relationship Id="rId16" Type="http://schemas.openxmlformats.org/officeDocument/2006/relationships/hyperlink" Target="https://www.nav.no/har-pensjon/en?utm_source=chatgpt.com" TargetMode="External"/><Relationship Id="rId20" Type="http://schemas.openxmlformats.org/officeDocument/2006/relationships/hyperlink" Target="https://ec.europa.eu/social/BlobServlet?docId=13772&amp;langId=en&amp;utm_source=chatgpt.com" TargetMode="External"/><Relationship Id="rId29" Type="http://schemas.openxmlformats.org/officeDocument/2006/relationships/hyperlink" Target="https://settlinginbelgium.be/en/work-and-retirement/retirement" TargetMode="External"/><Relationship Id="rId1" Type="http://schemas.openxmlformats.org/officeDocument/2006/relationships/hyperlink" Target="https://www.lassuranceretraite.fr/portail-info/hors-menu/traductions/english/my-rights.html" TargetMode="External"/><Relationship Id="rId6" Type="http://schemas.openxmlformats.org/officeDocument/2006/relationships/hyperlink" Target="https://www.gov.ie/en/department-of-social-protection/publications/operational-guidelines-bereaved-partners-contributory-pension/" TargetMode="External"/><Relationship Id="rId11" Type="http://schemas.openxmlformats.org/officeDocument/2006/relationships/hyperlink" Target="https://www.ahv.li/leistungen/ahv/verwitwetenrente?utm_source=chatgpt.com" TargetMode="External"/><Relationship Id="rId24" Type="http://schemas.openxmlformats.org/officeDocument/2006/relationships/hyperlink" Target="https://www.zpiz.si/content2020en/assessment-of-a-widow-ers-pension?utm_source=chatgpt.com" TargetMode="External"/><Relationship Id="rId32" Type="http://schemas.openxmlformats.org/officeDocument/2006/relationships/drawing" Target="../drawings/drawing45.xml"/><Relationship Id="rId5" Type="http://schemas.openxmlformats.org/officeDocument/2006/relationships/hyperlink" Target="https://ypergasias.gov.gr/en/social-security/pensions/primary-pension/" TargetMode="External"/><Relationship Id="rId15" Type="http://schemas.openxmlformats.org/officeDocument/2006/relationships/hyperlink" Target="https://www.svb.nl/en/anw/what-are-the-conditions/read-more-about-the-the-qualifying-conditions-that-apply-if-your-partner-or-ex-partner-has-died?utm_source=chatgpt.com" TargetMode="External"/><Relationship Id="rId23" Type="http://schemas.openxmlformats.org/officeDocument/2006/relationships/hyperlink" Target="https://socpoist.sk/en/life-situations/pension/how-apply-widows-pension?utm_source=chatgpt.com" TargetMode="External"/><Relationship Id="rId28" Type="http://schemas.openxmlformats.org/officeDocument/2006/relationships/hyperlink" Target="https://www.issa.int/sites/default/files/documents/2024-12/Cyprus.pdf?utm_source=chatgpt.com" TargetMode="External"/><Relationship Id="rId10" Type="http://schemas.openxmlformats.org/officeDocument/2006/relationships/hyperlink" Target="https://www.vsaa.gov.lv/en/services/granting-and-payment-survivors-pension" TargetMode="External"/><Relationship Id="rId19" Type="http://schemas.openxmlformats.org/officeDocument/2006/relationships/hyperlink" Target="https://www2.gov.pt/en/servicos/requerer-a-pensao-de-sobrevivencia" TargetMode="External"/><Relationship Id="rId31" Type="http://schemas.openxmlformats.org/officeDocument/2006/relationships/hyperlink" Target="https://lifeindenmark.borger.dk/pension/tax-on-danish-and-non-danish-pensions" TargetMode="External"/><Relationship Id="rId4" Type="http://schemas.openxmlformats.org/officeDocument/2006/relationships/hyperlink" Target="https://www.deutsche-rentenversicherung.de/SharedDocs/Glossareintraege/DE/G/geschiedenenrente.html?utm_source=chatgpt.com" TargetMode="External"/><Relationship Id="rId9" Type="http://schemas.openxmlformats.org/officeDocument/2006/relationships/hyperlink" Target="https://mss.gov.hr/pension/pensions/124" TargetMode="External"/><Relationship Id="rId14" Type="http://schemas.openxmlformats.org/officeDocument/2006/relationships/hyperlink" Target="https://socialsecurity.gov.mt/en/information-and-applications-for-benefits-and-services/bilateral-agreements/widow-ers-pension-can/?utm_source=chatgpt.com" TargetMode="External"/><Relationship Id="rId22" Type="http://schemas.openxmlformats.org/officeDocument/2006/relationships/hyperlink" Target="https://www.ahv-iv.ch/p/3.03.e?utm_source=chatgpt.com" TargetMode="External"/><Relationship Id="rId27" Type="http://schemas.openxmlformats.org/officeDocument/2006/relationships/hyperlink" Target="https://www.issa.int/sites/default/files/documents/2024-12/Hungary.pdf?utm_source=chatgpt.com" TargetMode="External"/><Relationship Id="rId30" Type="http://schemas.openxmlformats.org/officeDocument/2006/relationships/hyperlink" Target="https://pfg.bg/en/4/50/53/56?utm_source=chatgpt.com"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s://www.etk.fi/en/finnish-pension-system/pensions/earnings-related-pension-benefits/survivors-pension/" TargetMode="External"/><Relationship Id="rId13" Type="http://schemas.openxmlformats.org/officeDocument/2006/relationships/hyperlink" Target="https://employment-social-affairs.ec.europa.eu/document/download/1526299a-d95c-441b-8a5e-71acb2c981eb_en" TargetMode="External"/><Relationship Id="rId18" Type="http://schemas.openxmlformats.org/officeDocument/2006/relationships/hyperlink" Target="https://www.ahv-iv.ch/p/3.03.d?utm_source=chatgpt.com" TargetMode="External"/><Relationship Id="rId26" Type="http://schemas.openxmlformats.org/officeDocument/2006/relationships/hyperlink" Target="https://www.nav.no/gjenlevendepensjon/en?utm_source=chatgpt.com" TargetMode="External"/><Relationship Id="rId39" Type="http://schemas.openxmlformats.org/officeDocument/2006/relationships/hyperlink" Target="https://www.seg-social.es/wps/portal/wss/internet/Trabajadores/PrestacionesPensionesTrabajadores/10964/10966/28489/28490/5151" TargetMode="External"/><Relationship Id="rId3" Type="http://schemas.openxmlformats.org/officeDocument/2006/relationships/hyperlink" Target="https://www.deutsche-rentenversicherung.de/DRV/DE/Rente/In-der-Rente/Hinterbliebenenrente?utm_source=chatgpt.com" TargetMode="External"/><Relationship Id="rId21" Type="http://schemas.openxmlformats.org/officeDocument/2006/relationships/hyperlink" Target="https://socialsecurity.gov.mt/en/information-and-applications-for-benefits-and-services/contributory-pensions/contributory-widow-ers-pension/?utm_source=chatgpt.com" TargetMode="External"/><Relationship Id="rId34" Type="http://schemas.openxmlformats.org/officeDocument/2006/relationships/hyperlink" Target="https://www.zas.admin.ch/en/survivors-pension" TargetMode="External"/><Relationship Id="rId42" Type="http://schemas.openxmlformats.org/officeDocument/2006/relationships/drawing" Target="../drawings/drawing46.xml"/><Relationship Id="rId7" Type="http://schemas.openxmlformats.org/officeDocument/2006/relationships/hyperlink" Target="https://www.etk.fi/en/finnish-pension-system/pensions/earnings-related-pension-benefits/survivors-pension/" TargetMode="External"/><Relationship Id="rId12" Type="http://schemas.openxmlformats.org/officeDocument/2006/relationships/hyperlink" Target="https://secure.ssa.gov/apps10/poms.nsf/lnx/0201763020?utm_source=chatgpt.com" TargetMode="External"/><Relationship Id="rId17" Type="http://schemas.openxmlformats.org/officeDocument/2006/relationships/hyperlink" Target="https://www.ahv.li/leistungen/ahv/verwitwetenrente?utm_source=chatgpt.com" TargetMode="External"/><Relationship Id="rId25" Type="http://schemas.openxmlformats.org/officeDocument/2006/relationships/hyperlink" Target="https://www.svb.nl/en/anw/anw-survivor-benefit-stops/when-can-anw-survivor-benefit-be-stopped?utm_source=chatgpt.com" TargetMode="External"/><Relationship Id="rId33" Type="http://schemas.openxmlformats.org/officeDocument/2006/relationships/hyperlink" Target="https://www.pensionsmyndigheten.se/other-languages/english-engelska/english-engelska/survivors-pension-financial-support-in-the-event-of-death?utm_source=chatgpt.com" TargetMode="External"/><Relationship Id="rId38" Type="http://schemas.openxmlformats.org/officeDocument/2006/relationships/hyperlink" Target="https://www.syllogos.gr/images/PDF_Anakoinoseon/social_security_rights_in_Slovenia.pdf" TargetMode="External"/><Relationship Id="rId2" Type="http://schemas.openxmlformats.org/officeDocument/2006/relationships/hyperlink" Target="https://www.sfpd.fgov.be/en/pension-amount/calculation/types-of-pensions/divorced/?utm_source=chatgpt.com" TargetMode="External"/><Relationship Id="rId16" Type="http://schemas.openxmlformats.org/officeDocument/2006/relationships/hyperlink" Target="https://employment-social-affairs.ec.europa.eu/document/download/3f43aab0-d0c5-4c70-a7d2-f56fa6ee565c_en?prefLang=lt" TargetMode="External"/><Relationship Id="rId20" Type="http://schemas.openxmlformats.org/officeDocument/2006/relationships/hyperlink" Target="https://ec.europa.eu/social/BlobServlet?docId=13752&amp;langId=en" TargetMode="External"/><Relationship Id="rId29" Type="http://schemas.openxmlformats.org/officeDocument/2006/relationships/hyperlink" Target="https://www.sozialministerium.gv.at/en/Topics/Social-Affairs/Social-Insurance/Pension-Insurance/Types-of-Pension/Survivors%E2%80%99-Pensions.html?utm_source=chatgpt.com" TargetMode="External"/><Relationship Id="rId41" Type="http://schemas.openxmlformats.org/officeDocument/2006/relationships/hyperlink" Target="https://portal.gov.cz/en/sluzby-vs/widows-and-widowers-pension--the-application-is-processed-by-the-czech-social-security-administration-S84?utm_source=chatgpt.com" TargetMode="External"/><Relationship Id="rId1" Type="http://schemas.openxmlformats.org/officeDocument/2006/relationships/hyperlink" Target="https://www.missoc.org/missoc-database/comparative-tables/?utm_source=chatgpt.com" TargetMode="External"/><Relationship Id="rId6" Type="http://schemas.openxmlformats.org/officeDocument/2006/relationships/hyperlink" Target="https://www.ssa.gov/policy/docs/progdesc/ssptw/2018-2019/europe/estonia.html?utm_source=chatgpt.com" TargetMode="External"/><Relationship Id="rId11" Type="http://schemas.openxmlformats.org/officeDocument/2006/relationships/hyperlink" Target="https://www.citizensinformation.ie/en/social-welfare/death-related-benefits/bereaved-partners-contributory-pension/?utm_source=chatgpt.com" TargetMode="External"/><Relationship Id="rId24" Type="http://schemas.openxmlformats.org/officeDocument/2006/relationships/hyperlink" Target="https://www.svb.nl/en/anw/what-are-the-conditions/read-more-about-the-the-qualifying-conditions-that-apply-if-your-partner-or-ex-partner-has-died?utm_source=chatgpt.com" TargetMode="External"/><Relationship Id="rId32" Type="http://schemas.openxmlformats.org/officeDocument/2006/relationships/hyperlink" Target="https://ec.europa.eu/social/BlobServlet?docId=13769&amp;langId=en&amp;utm_source=chatgpt.com" TargetMode="External"/><Relationship Id="rId37" Type="http://schemas.openxmlformats.org/officeDocument/2006/relationships/hyperlink" Target="https://www.socpoist.sk/en/life-situations/pension/how-apply-widowers-pension?utm_source=chatgpt.com" TargetMode="External"/><Relationship Id="rId40" Type="http://schemas.openxmlformats.org/officeDocument/2006/relationships/hyperlink" Target="https://www.seg-social.es/wps/portal/wss/internet/Trabajadores/PrestacionesPensionesTrabajadores/10964/10966/28489/28490/5151" TargetMode="External"/><Relationship Id="rId5" Type="http://schemas.openxmlformats.org/officeDocument/2006/relationships/hyperlink" Target="https://www.riigiteataja.ee/en/eli/501022016016/consolide?utm_source=chatgpt.com" TargetMode="External"/><Relationship Id="rId15" Type="http://schemas.openxmlformats.org/officeDocument/2006/relationships/hyperlink" Target="https://employment-social-affairs.ec.europa.eu/document/download/3f43aab0-d0c5-4c70-a7d2-f56fa6ee565c_en?prefLang=lt" TargetMode="External"/><Relationship Id="rId23" Type="http://schemas.openxmlformats.org/officeDocument/2006/relationships/hyperlink" Target="https://www.svb.nl/en/anw/what-is-an-anw-survivor-benefit?utm_source=chatgpt.com" TargetMode="External"/><Relationship Id="rId28" Type="http://schemas.openxmlformats.org/officeDocument/2006/relationships/hyperlink" Target="https://www.nav.no/gjenlevendepensjon/en?utm_source=chatgpt.com" TargetMode="External"/><Relationship Id="rId36" Type="http://schemas.openxmlformats.org/officeDocument/2006/relationships/hyperlink" Target="https://www.zas.admin.ch/en/survivors-pension" TargetMode="External"/><Relationship Id="rId10" Type="http://schemas.openxmlformats.org/officeDocument/2006/relationships/hyperlink" Target="https://ec.europa.eu/social/BlobServlet?docId=13767&amp;langId=en&amp;utm_source=chatgpt.com" TargetMode="External"/><Relationship Id="rId19" Type="http://schemas.openxmlformats.org/officeDocument/2006/relationships/hyperlink" Target="https://ec.europa.eu/social/BlobServlet?docId=13752&amp;langId=en" TargetMode="External"/><Relationship Id="rId31" Type="http://schemas.openxmlformats.org/officeDocument/2006/relationships/hyperlink" Target="https://ec.europa.eu/employment_social/soc-prot/missoc98/english/08/at.htm?utm_source=chatgpt.com" TargetMode="External"/><Relationship Id="rId4" Type="http://schemas.openxmlformats.org/officeDocument/2006/relationships/hyperlink" Target="https://www.sozialgesetzbuch-sgb.de/sgbvi/243.html?utm_source=chatgpt.com" TargetMode="External"/><Relationship Id="rId9" Type="http://schemas.openxmlformats.org/officeDocument/2006/relationships/hyperlink" Target="https://www.service-public.gouv.fr/particuliers/vosdroits/F13104?lang=en" TargetMode="External"/><Relationship Id="rId14" Type="http://schemas.openxmlformats.org/officeDocument/2006/relationships/hyperlink" Target="https://employment-social-affairs.ec.europa.eu/document/download/1526299a-d95c-441b-8a5e-71acb2c981eb_en" TargetMode="External"/><Relationship Id="rId22" Type="http://schemas.openxmlformats.org/officeDocument/2006/relationships/hyperlink" Target="https://socialsecurity.gov.mt/en/information-and-applications-for-benefits-and-services/contributory-pensions/contributory-widow-ers-pension/?utm_source=chatgpt.com" TargetMode="External"/><Relationship Id="rId27" Type="http://schemas.openxmlformats.org/officeDocument/2006/relationships/hyperlink" Target="https://www.nav.no/alderspensjon/en?utm_source=chatgpt.com" TargetMode="External"/><Relationship Id="rId30" Type="http://schemas.openxmlformats.org/officeDocument/2006/relationships/hyperlink" Target="https://ec.europa.eu/employment_social/soc-prot/missoc98/english/08/at.htm?utm_source=chatgpt.com" TargetMode="External"/><Relationship Id="rId35" Type="http://schemas.openxmlformats.org/officeDocument/2006/relationships/hyperlink" Target="https://www.zas.admin.ch/en/survivors-pension" TargetMode="External"/><Relationship Id="rId43" Type="http://schemas.openxmlformats.org/officeDocument/2006/relationships/table" Target="../tables/table1.xml"/></Relationships>
</file>

<file path=xl/worksheets/_rels/sheet67.xml.rels><?xml version="1.0" encoding="UTF-8" standalone="yes"?>
<Relationships xmlns="http://schemas.openxmlformats.org/package/2006/relationships"><Relationship Id="rId8" Type="http://schemas.openxmlformats.org/officeDocument/2006/relationships/hyperlink" Target="https://services.info-retraite.fr/service/calcul-retraite/?utm_source=chatgpt.com" TargetMode="External"/><Relationship Id="rId13" Type="http://schemas.openxmlformats.org/officeDocument/2006/relationships/hyperlink" Target="https://www.vsaa.gov.lv/lv/pakalpojumi/informacija-par-prognozejamo-vecuma-pensijas-apmeru?utm_source=chatgpt.com" TargetMode="External"/><Relationship Id="rId18" Type="http://schemas.openxmlformats.org/officeDocument/2006/relationships/hyperlink" Target="https://www.pv.at/web/pension/pensionsrechner?utm_source=chatgpt.com" TargetMode="External"/><Relationship Id="rId26" Type="http://schemas.openxmlformats.org/officeDocument/2006/relationships/hyperlink" Target="https://eportal.cssz.cz/web/portal/-/sluzby/informativni-duchodova-aplikace?utm_source=chatgpt.com" TargetMode="External"/><Relationship Id="rId39" Type="http://schemas.openxmlformats.org/officeDocument/2006/relationships/hyperlink" Target="https://www.canada.ca/en/services/benefits/publicpensions/cpp/retirement-income-calculator.html?utm_source=chatgpt.com" TargetMode="External"/><Relationship Id="rId3" Type="http://schemas.openxmlformats.org/officeDocument/2006/relationships/hyperlink" Target="https://reps.nssi.bg/PensionsCalc/?utm_source=chatgpt.com" TargetMode="External"/><Relationship Id="rId21" Type="http://schemas.openxmlformats.org/officeDocument/2006/relationships/hyperlink" Target="https://www.cnpp.ro/varsta-pensionare?utm_source=chatgpt.com" TargetMode="External"/><Relationship Id="rId34" Type="http://schemas.openxmlformats.org/officeDocument/2006/relationships/hyperlink" Target="https://reps.nssi.bg/PensionsCalc/?utm_source=chatgpt.com" TargetMode="External"/><Relationship Id="rId7" Type="http://schemas.openxmlformats.org/officeDocument/2006/relationships/hyperlink" Target="https://laskurit.tyoelake.fi/en/elakelaskuri?utm_source=chatgpt.com" TargetMode="External"/><Relationship Id="rId12" Type="http://schemas.openxmlformats.org/officeDocument/2006/relationships/hyperlink" Target="https://gov.hr/en/calculation-of-pension/844?utm_source=chatgpt.com" TargetMode="External"/><Relationship Id="rId17" Type="http://schemas.openxmlformats.org/officeDocument/2006/relationships/hyperlink" Target="https://www.government.nl/faq/how-much-state-pension-will-i-receive?utm_source=chatgpt.com" TargetMode="External"/><Relationship Id="rId25" Type="http://schemas.openxmlformats.org/officeDocument/2006/relationships/hyperlink" Target="https://sede.seg-social.gob.es/wps/portal/sede/sede/Ciudadanos/Pensiones/202045_2?utm_source=chatgpt.com" TargetMode="External"/><Relationship Id="rId33" Type="http://schemas.openxmlformats.org/officeDocument/2006/relationships/hyperlink" Target="https://www.sfpd.fgov.be/en/pension-amount/calculation?utm_source=chatgpt.com" TargetMode="External"/><Relationship Id="rId38" Type="http://schemas.openxmlformats.org/officeDocument/2006/relationships/hyperlink" Target="https://services.info-retraite.fr/service/calcul-retraite/?utm_source=chatgpt.com" TargetMode="External"/><Relationship Id="rId2" Type="http://schemas.openxmlformats.org/officeDocument/2006/relationships/hyperlink" Target="https://www.sfpd.fgov.be/en/pension-amount/calculation?utm_source=chatgpt.com" TargetMode="External"/><Relationship Id="rId16" Type="http://schemas.openxmlformats.org/officeDocument/2006/relationships/hyperlink" Target="https://www.servizz.gov.mt/en/Pages/Inclusion_-Equality-and-Social-Welfare/Social-Solidarity/Benefits-and-Services/mySocialSecurity/WEB1952/default.aspx?utm_source=chatgpt.com" TargetMode="External"/><Relationship Id="rId20" Type="http://schemas.openxmlformats.org/officeDocument/2006/relationships/hyperlink" Target="https://www.seg-social.pt/ptss/pssd/vida/momento-reforma?utm_source=chatgpt.com" TargetMode="External"/><Relationship Id="rId29" Type="http://schemas.openxmlformats.org/officeDocument/2006/relationships/hyperlink" Target="https://island.is/en/o/social-insurance-administration/calculator?utm_source=chatgpt.com" TargetMode="External"/><Relationship Id="rId1" Type="http://schemas.openxmlformats.org/officeDocument/2006/relationships/hyperlink" Target="https://www.bundesfinanzministerium.de/Content/DE/Downloads/BMF_Schreiben/Internationales_Steuerrecht/Allgemeine_Informationen/2026-01-07-stand-DBA-1-januar-2026.html" TargetMode="External"/><Relationship Id="rId6" Type="http://schemas.openxmlformats.org/officeDocument/2006/relationships/hyperlink" Target="https://sotsiaalkindlustusamet.ee/en/pension-and-benefits/preparing-retirement/pension-calculator?utm_source=chatgpt.com" TargetMode="External"/><Relationship Id="rId11" Type="http://schemas.openxmlformats.org/officeDocument/2006/relationships/hyperlink" Target="https://www.inps.it/it/it/dettaglio-scheda.it.schede-servizio-strumento.schede-servizi.la-mia-pensione-futura-simulazione-della-propria-pensione-50033.la-mia-pensione-futura-simulazione-della-propria-pensione.html?utm_source=chatgpt.com" TargetMode="External"/><Relationship Id="rId24" Type="http://schemas.openxmlformats.org/officeDocument/2006/relationships/hyperlink" Target="https://www.zpiz.si/content2020en/informative-calculation-of-retirement-date?utm_source=chatgpt.com" TargetMode="External"/><Relationship Id="rId32" Type="http://schemas.openxmlformats.org/officeDocument/2006/relationships/hyperlink" Target="https://www.ahv-iv.ch/en/Forms/Online-pension-estimate-ESCAL?utm_source=chatgpt.com" TargetMode="External"/><Relationship Id="rId37" Type="http://schemas.openxmlformats.org/officeDocument/2006/relationships/hyperlink" Target="https://laskurit.tyoelake.fi/en/elakelaskuri?utm_source=chatgpt.com" TargetMode="External"/><Relationship Id="rId40" Type="http://schemas.openxmlformats.org/officeDocument/2006/relationships/drawing" Target="../drawings/drawing47.xml"/><Relationship Id="rId5" Type="http://schemas.openxmlformats.org/officeDocument/2006/relationships/hyperlink" Target="https://www.deutsche-rentenversicherung.de/DRV/DE/Online-Services/Online-Rechner/online_rechner.html?utm_source=chatgpt.com" TargetMode="External"/><Relationship Id="rId15" Type="http://schemas.openxmlformats.org/officeDocument/2006/relationships/hyperlink" Target="https://guichet.public.lu/en/citoyens/travail/pension/assurance-pension/estimation-pension-vieillesse.html?utm_source=chatgpt.com" TargetMode="External"/><Relationship Id="rId23" Type="http://schemas.openxmlformats.org/officeDocument/2006/relationships/hyperlink" Target="https://www.socpoist.sk/en/top-topics/insurees-electronic-account?utm_source=chatgpt.com" TargetMode="External"/><Relationship Id="rId28" Type="http://schemas.openxmlformats.org/officeDocument/2006/relationships/hyperlink" Target="https://www.gov.cy/en/service/temporary-calculation-of-the-amount-of-statutory-pension/?utm_source=chatgpt.com" TargetMode="External"/><Relationship Id="rId36" Type="http://schemas.openxmlformats.org/officeDocument/2006/relationships/hyperlink" Target="https://sotsiaalkindlustusamet.ee/en/pension-and-benefits/preparing-retirement/pension-calculator?utm_source=chatgpt.com" TargetMode="External"/><Relationship Id="rId10" Type="http://schemas.openxmlformats.org/officeDocument/2006/relationships/hyperlink" Target="https://www.gov.ie/en/department-of-social-protection/publications/how-to-calculate-your-state-pension-contributory-rate/?utm_source=chatgpt.com" TargetMode="External"/><Relationship Id="rId19" Type="http://schemas.openxmlformats.org/officeDocument/2006/relationships/hyperlink" Target="https://www.zus.pl/swiadczenia/emerytury/kalkulatory-emerytalne/emerytura-na-nowych-zasadach/kalkulator-emerytalny-prognozowana-emerytura?utm_source=chatgpt.com" TargetMode="External"/><Relationship Id="rId31" Type="http://schemas.openxmlformats.org/officeDocument/2006/relationships/hyperlink" Target="https://www.nav.no/pensjon/pensjonskalkulator?utm_source=chatgpt.com" TargetMode="External"/><Relationship Id="rId4" Type="http://schemas.openxmlformats.org/officeDocument/2006/relationships/hyperlink" Target="https://www.minpensionssag.dk/pe-selvbetjening/simulering/?lang=en&amp;utm_source=chatgpt.com" TargetMode="External"/><Relationship Id="rId9" Type="http://schemas.openxmlformats.org/officeDocument/2006/relationships/hyperlink" Target="https://sintaxi.isotita.gr/?lang=en&amp;page_id=245&amp;utm_source=chatgpt.com" TargetMode="External"/><Relationship Id="rId14" Type="http://schemas.openxmlformats.org/officeDocument/2006/relationships/hyperlink" Target="https://sodra.lt/pranesimas-apie-itraukima-i-pensiju-kaupima" TargetMode="External"/><Relationship Id="rId22" Type="http://schemas.openxmlformats.org/officeDocument/2006/relationships/hyperlink" Target="https://www.pensionsmyndigheten.se/other-languages/english-engelska/english-engelska/pension-forecast-see-how-much-pension-you-will-get?utm_source=chatgpt.com" TargetMode="External"/><Relationship Id="rId27" Type="http://schemas.openxmlformats.org/officeDocument/2006/relationships/hyperlink" Target="https://www.allamkincstar.gov.hu/nyugdij/sajat-jogu-ellatasok/oregsegi-nyugdij/onkiszolgalo-nyugdijkalkulator?utm_source=chatgpt.com" TargetMode="External"/><Relationship Id="rId30" Type="http://schemas.openxmlformats.org/officeDocument/2006/relationships/hyperlink" Target="https://www.ahv.li/leistungen/ahv/rentenberechnung?utm_source=chatgpt.com" TargetMode="External"/><Relationship Id="rId35" Type="http://schemas.openxmlformats.org/officeDocument/2006/relationships/hyperlink" Target="https://www.deutsche-rentenversicherung.de/DRV/DE/Online-Services/Online-Rechner/online_rechner.html?utm_source=chatgpt.com"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hyperlink" Target="https://data.worldbank.org/indicator/PA.NUS.PRVT.PLI?locations=SC&amp;utm_source=chatgpt.com" TargetMode="External"/><Relationship Id="rId1" Type="http://schemas.openxmlformats.org/officeDocument/2006/relationships/hyperlink" Target="https://ec.europa.eu/eurostat/statistics-explained/index.php?title=Comparative_price_levels_of_consumer_goods_and_services" TargetMode="Externa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hyperlink" Target="https://ec.europa.eu/eurostat/databrowser/view/demo_mlexpec__custom_21934585/default/table"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71.xml.rels><?xml version="1.0" encoding="UTF-8" standalone="yes"?>
<Relationships xmlns="http://schemas.openxmlformats.org/package/2006/relationships"><Relationship Id="rId13" Type="http://schemas.openxmlformats.org/officeDocument/2006/relationships/hyperlink" Target="https://www.asf.com.pt/documents/42559/1463142/Cross-border%2Bactivities%2Bin%2Bthe%2Bmanagement%2Bof%2Bnational%2Boccupational%2Bpension%2Bschemes.pdf/e673947c-1137-7825-9e9f-9e13da421f30?t=1730916121101&amp;version=1.0" TargetMode="External"/><Relationship Id="rId18" Type="http://schemas.openxmlformats.org/officeDocument/2006/relationships/hyperlink" Target="https://www.mfcr.cz/assets/attachments/2020-05-Explanatory-Memorandum-EN.docx" TargetMode="External"/><Relationship Id="rId26" Type="http://schemas.openxmlformats.org/officeDocument/2006/relationships/hyperlink" Target="https://www.tyoelake.fi/en/what-are-pensions/" TargetMode="External"/><Relationship Id="rId39" Type="http://schemas.openxmlformats.org/officeDocument/2006/relationships/hyperlink" Target="https://www.nav.no/alderspensjon/en" TargetMode="External"/><Relationship Id="rId21" Type="http://schemas.openxmlformats.org/officeDocument/2006/relationships/hyperlink" Target="https://www.sfpd.fgov.be/en/pension-amount/calculation/" TargetMode="External"/><Relationship Id="rId34" Type="http://schemas.openxmlformats.org/officeDocument/2006/relationships/hyperlink" Target="https://www.ahv.li/leistungen/ahv/altersrente" TargetMode="External"/><Relationship Id="rId42" Type="http://schemas.openxmlformats.org/officeDocument/2006/relationships/hyperlink" Target="https://en.seg-social.pt/old-age-pension" TargetMode="External"/><Relationship Id="rId47" Type="http://schemas.openxmlformats.org/officeDocument/2006/relationships/hyperlink" Target="https://www.gov.si/en/policies/employmentlabour-and-pensions/retirement/" TargetMode="External"/><Relationship Id="rId50" Type="http://schemas.openxmlformats.org/officeDocument/2006/relationships/hyperlink" Target="https://www.allamkincstar.gov.hu/pfile/file?inline=true&amp;path=%2Ffooter-tartalmak%2Fjogi-informaciok%2FKozerdeku_adatok%2FKiadvanyok%2FONYF-tajekoztatok%2FONYF_fuzet_EN.pdf" TargetMode="External"/><Relationship Id="rId55" Type="http://schemas.openxmlformats.org/officeDocument/2006/relationships/drawing" Target="../drawings/drawing51.xml"/><Relationship Id="rId7" Type="http://schemas.openxmlformats.org/officeDocument/2006/relationships/hyperlink" Target="https://socmin.lrv.lt/en/activities/social-insurance-1/funded-pension-scheme/" TargetMode="External"/><Relationship Id="rId12" Type="http://schemas.openxmlformats.org/officeDocument/2006/relationships/hyperlink" Target="https://www.mojeppk.pl/en/2.html" TargetMode="External"/><Relationship Id="rId17" Type="http://schemas.openxmlformats.org/officeDocument/2006/relationships/hyperlink" Target="https://www.mpisoc.mpg.de/en/social-law/research/research-projects/pension-maps/project-website/spain/occupational-pension-plans/" TargetMode="External"/><Relationship Id="rId25" Type="http://schemas.openxmlformats.org/officeDocument/2006/relationships/hyperlink" Target="https://sotsiaalkindlustusamet.ee/en/pension-and-benefits/types-pensions/old-age-pension" TargetMode="External"/><Relationship Id="rId33" Type="http://schemas.openxmlformats.org/officeDocument/2006/relationships/hyperlink" Target="https://www.lm.gov.lv/en/pension-policy" TargetMode="External"/><Relationship Id="rId38" Type="http://schemas.openxmlformats.org/officeDocument/2006/relationships/hyperlink" Target="https://www.svb.nl/en/aow-pension" TargetMode="External"/><Relationship Id="rId46" Type="http://schemas.openxmlformats.org/officeDocument/2006/relationships/hyperlink" Target="https://www.socpoist.sk/en/pension-insurance/old-age-pension" TargetMode="External"/><Relationship Id="rId2" Type="http://schemas.openxmlformats.org/officeDocument/2006/relationships/hyperlink" Target="https://www.gesetze-im-internet.de/betravg/" TargetMode="External"/><Relationship Id="rId16" Type="http://schemas.openxmlformats.org/officeDocument/2006/relationships/hyperlink" Target="https://www.oecd.org/content/dam/oecd/en/publications/reports/2022/01/oecd-reviews-of-pension-systems-slovenia_2a52f693/7e5da686-en.pdf" TargetMode="External"/><Relationship Id="rId20" Type="http://schemas.openxmlformats.org/officeDocument/2006/relationships/hyperlink" Target="https://ec.europa.eu/eurostat/documents/7158500/12335606/CY_T2900_factsheet.pdf/4bb356db-b138-407f-c253-1e8b3b3dbd71?t=1612348303443" TargetMode="External"/><Relationship Id="rId29" Type="http://schemas.openxmlformats.org/officeDocument/2006/relationships/hyperlink" Target="https://www.gov.ie/en/department-of-social-protection/services/state-pension-contributory/" TargetMode="External"/><Relationship Id="rId41" Type="http://schemas.openxmlformats.org/officeDocument/2006/relationships/hyperlink" Target="https://lang.zus.pl/benefits/old-age-pensions/old-age-pensions-operating-under-the-new-rules" TargetMode="External"/><Relationship Id="rId54" Type="http://schemas.openxmlformats.org/officeDocument/2006/relationships/hyperlink" Target="https://www.dol.gov/node/25154" TargetMode="External"/><Relationship Id="rId1" Type="http://schemas.openxmlformats.org/officeDocument/2006/relationships/hyperlink" Target="https://www.fsma.be/en/supplementary-pension" TargetMode="External"/><Relationship Id="rId6" Type="http://schemas.openxmlformats.org/officeDocument/2006/relationships/hyperlink" Target="https://www.bank.lv/en/operational-areas/licensing/pension-funds/state-funded-pension-scheme" TargetMode="External"/><Relationship Id="rId11" Type="http://schemas.openxmlformats.org/officeDocument/2006/relationships/hyperlink" Target="https://www.fma.gv.at/en/pensionskassen/occupational-retirement-provision/" TargetMode="External"/><Relationship Id="rId24" Type="http://schemas.openxmlformats.org/officeDocument/2006/relationships/hyperlink" Target="https://www.gesetze-im-internet.de/sgb_6/__210.html" TargetMode="External"/><Relationship Id="rId32" Type="http://schemas.openxmlformats.org/officeDocument/2006/relationships/hyperlink" Target="https://mrosp.gov.hr/access-to-information-16/social-security-in-the-republic-of-croatia/pension-insurance/11791" TargetMode="External"/><Relationship Id="rId37" Type="http://schemas.openxmlformats.org/officeDocument/2006/relationships/hyperlink" Target="https://socialsecurity.gov.mt/en/information-and-applications-for-benefits-and-services/contributory-pensions/retirement-pension/" TargetMode="External"/><Relationship Id="rId40" Type="http://schemas.openxmlformats.org/officeDocument/2006/relationships/hyperlink" Target="https://www.pv.at/web/pension/pensionsarten/alterspension" TargetMode="External"/><Relationship Id="rId45" Type="http://schemas.openxmlformats.org/officeDocument/2006/relationships/hyperlink" Target="https://www.ahv-iv.ch/en/Social-insurances/Old-age-and-survivors-insurance-OASI/Old-age-pensions" TargetMode="External"/><Relationship Id="rId53" Type="http://schemas.openxmlformats.org/officeDocument/2006/relationships/hyperlink" Target="https://www.dol.gov/node/25154" TargetMode="External"/><Relationship Id="rId5" Type="http://schemas.openxmlformats.org/officeDocument/2006/relationships/hyperlink" Target="https://regos.hr/en/frequently-asked-questions/" TargetMode="External"/><Relationship Id="rId15" Type="http://schemas.openxmlformats.org/officeDocument/2006/relationships/hyperlink" Target="https://nbs.sk/en/financial-market-supervision1/supervision/pension-system/old-age-pension-scheme-second-pillar/main-features/" TargetMode="External"/><Relationship Id="rId23" Type="http://schemas.openxmlformats.org/officeDocument/2006/relationships/hyperlink" Target="https://lifeindenmark.borger.dk/pension/state-pension" TargetMode="External"/><Relationship Id="rId28" Type="http://schemas.openxmlformats.org/officeDocument/2006/relationships/hyperlink" Target="https://ypergasias.gov.gr/en/social-security/pensions/" TargetMode="External"/><Relationship Id="rId36" Type="http://schemas.openxmlformats.org/officeDocument/2006/relationships/hyperlink" Target="https://guichet.public.lu/en/citoyens/travail/pension/retraite-vieillesse/calcul-pension-vieillesse.html" TargetMode="External"/><Relationship Id="rId49" Type="http://schemas.openxmlformats.org/officeDocument/2006/relationships/hyperlink" Target="https://www.mpsv.cz/en/pensions" TargetMode="External"/><Relationship Id="rId10" Type="http://schemas.openxmlformats.org/officeDocument/2006/relationships/hyperlink" Target="https://www.regjeringen.no/en/topics/pensions-and-welfare/pensjonsreform/the-norwegian-pension-system-what-you-need-to-know/id3080293/" TargetMode="External"/><Relationship Id="rId19" Type="http://schemas.openxmlformats.org/officeDocument/2006/relationships/hyperlink" Target="https://www.mnb.hu/letoltes/informative-guide-to-laws-and-other-legal-provisions-regulating-the-provision-of-services-in-hungary.pdf" TargetMode="External"/><Relationship Id="rId31" Type="http://schemas.openxmlformats.org/officeDocument/2006/relationships/hyperlink" Target="https://www.inps.it/it/en/inps-communication/dossiers/the-italian-pension-system.html" TargetMode="External"/><Relationship Id="rId44" Type="http://schemas.openxmlformats.org/officeDocument/2006/relationships/hyperlink" Target="https://www.pensionsmyndigheten.se/other-languages/english-engelska/english-engelska/applying-for-a-pension" TargetMode="External"/><Relationship Id="rId52" Type="http://schemas.openxmlformats.org/officeDocument/2006/relationships/hyperlink" Target="https://www.ssa.gov/retirement/plan-for-retirement" TargetMode="External"/><Relationship Id="rId4" Type="http://schemas.openxmlformats.org/officeDocument/2006/relationships/hyperlink" Target="https://www.revenue.ie/en/jobs-and-pensions/pension/private/retirement-lump-sums.aspx" TargetMode="External"/><Relationship Id="rId9" Type="http://schemas.openxmlformats.org/officeDocument/2006/relationships/hyperlink" Target="https://www.mfsa.mt/wp-content/uploads/2020/12/Part-A-and-Part-B-Pension-Rules-for-Occupational-Retirement-Schemes-issued-in-terms-of-the-Retirement-Pensions-Act-2011.pdf" TargetMode="External"/><Relationship Id="rId14" Type="http://schemas.openxmlformats.org/officeDocument/2006/relationships/hyperlink" Target="https://www.oecd.org/content/dam/oecd/en/publications/support-materials/2023/12/pensions-at-a-glance-2023_4757bf20/country-profiles/Sweden.pdf/_jcr_content/renditions/original./Sweden.pdf" TargetMode="External"/><Relationship Id="rId22" Type="http://schemas.openxmlformats.org/officeDocument/2006/relationships/hyperlink" Target="https://www.mlsp.government.bg/uploads/37/politiki/trud/zakonodatelstvo/eng/social-insurance-code-title-amended-sg-no-672003.pdf" TargetMode="External"/><Relationship Id="rId27" Type="http://schemas.openxmlformats.org/officeDocument/2006/relationships/hyperlink" Target="https://www.cleiss.fr/docs/regimes/regime_france/an_3.html" TargetMode="External"/><Relationship Id="rId30" Type="http://schemas.openxmlformats.org/officeDocument/2006/relationships/hyperlink" Target="https://island.is/en/retirement-pension" TargetMode="External"/><Relationship Id="rId35" Type="http://schemas.openxmlformats.org/officeDocument/2006/relationships/hyperlink" Target="https://socmin.lrv.lt/en/activities/social-insurance-1/pensions/" TargetMode="External"/><Relationship Id="rId43" Type="http://schemas.openxmlformats.org/officeDocument/2006/relationships/hyperlink" Target="https://www.mpisoc.mpg.de/en/social-law/research/research-projects/pension-maps/project-website/romania/statutory-old-age-pension-scheme/" TargetMode="External"/><Relationship Id="rId48" Type="http://schemas.openxmlformats.org/officeDocument/2006/relationships/hyperlink" Target="https://www.mpisoc.mpg.de/en/social-law/research/research-projects/pension-maps/project-website/spain/statutory-old-age-pension-scheme/" TargetMode="External"/><Relationship Id="rId56" Type="http://schemas.microsoft.com/office/2019/04/relationships/namedSheetView" Target="../namedSheetViews/namedSheetView1.xml"/><Relationship Id="rId8" Type="http://schemas.openxmlformats.org/officeDocument/2006/relationships/hyperlink" Target="https://www.oecd.org/content/dam/iops/en/country-profiles/Luxembourg-IOPSWebsite-Country-Profile-2018.pdf" TargetMode="External"/><Relationship Id="rId51" Type="http://schemas.openxmlformats.org/officeDocument/2006/relationships/hyperlink" Target="https://www.mpisoc.mpg.de/en/social-law/research/research-projects/pension-maps/project-website/cyprus/statutory-pension-scheme/" TargetMode="External"/><Relationship Id="rId3" Type="http://schemas.openxmlformats.org/officeDocument/2006/relationships/hyperlink" Target="https://ypergasias.gov.gr/en/social-security/pensions/lump-sum-benefit/"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s://www.gesetze-im-internet.de/sgb_6/anlage_1.html" TargetMode="External"/><Relationship Id="rId2" Type="http://schemas.openxmlformats.org/officeDocument/2006/relationships/hyperlink" Target="https://www.gesetze-im-internet.de/sgb_6/__159.html" TargetMode="External"/><Relationship Id="rId1" Type="http://schemas.openxmlformats.org/officeDocument/2006/relationships/hyperlink" Target="https://rvrecht.deutsche-rentenversicherung.de/SiteGlobals/Forms/Suche/DokumentSuche/dokumentSuche_Formular.html?nn=1506092&amp;pathNonRecursive=%2FLitInternet%2FSharedDocs%2FrvRecht+%2FLitInternet%2FSharedDocs%2FrvRecht_Ergaenzungen" TargetMode="External"/><Relationship Id="rId4" Type="http://schemas.openxmlformats.org/officeDocument/2006/relationships/drawing" Target="../drawings/drawing5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Hauss@anwaelte-du.de?subject=Europa%20im%20Versorgungsausgleich"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75293-AC73-4E6C-B7DF-C4B6F0A76F5A}">
  <sheetPr codeName="Tabelle29"/>
  <dimension ref="A1:DU102"/>
  <sheetViews>
    <sheetView workbookViewId="0">
      <selection activeCell="B1" sqref="B1:X1048576"/>
    </sheetView>
  </sheetViews>
  <sheetFormatPr baseColWidth="10" defaultColWidth="12.7109375" defaultRowHeight="15"/>
  <cols>
    <col min="1" max="1" width="6.28515625" style="26" customWidth="1"/>
    <col min="2" max="24" width="6.28515625" hidden="1" customWidth="1"/>
    <col min="25" max="122" width="6.28515625" customWidth="1"/>
  </cols>
  <sheetData>
    <row r="1" spans="1:125" s="26" customFormat="1">
      <c r="A1" s="24"/>
      <c r="B1" s="36">
        <v>1900</v>
      </c>
      <c r="C1" s="36">
        <v>1901</v>
      </c>
      <c r="D1" s="36">
        <v>1902</v>
      </c>
      <c r="E1" s="36">
        <v>1903</v>
      </c>
      <c r="F1" s="36">
        <v>1904</v>
      </c>
      <c r="G1" s="36">
        <v>1905</v>
      </c>
      <c r="H1" s="36">
        <v>1906</v>
      </c>
      <c r="I1" s="36">
        <v>1907</v>
      </c>
      <c r="J1" s="36">
        <v>1908</v>
      </c>
      <c r="K1" s="36">
        <v>1909</v>
      </c>
      <c r="L1" s="36">
        <v>1910</v>
      </c>
      <c r="M1" s="36">
        <v>1911</v>
      </c>
      <c r="N1" s="36">
        <v>1912</v>
      </c>
      <c r="O1" s="36">
        <v>1913</v>
      </c>
      <c r="P1" s="36">
        <v>1914</v>
      </c>
      <c r="Q1" s="36">
        <v>1915</v>
      </c>
      <c r="R1" s="36">
        <v>1916</v>
      </c>
      <c r="S1" s="36">
        <v>1917</v>
      </c>
      <c r="T1" s="36">
        <v>1918</v>
      </c>
      <c r="U1" s="36">
        <v>1919</v>
      </c>
      <c r="V1" s="36">
        <v>1920</v>
      </c>
      <c r="W1" s="36">
        <v>1921</v>
      </c>
      <c r="X1" s="36">
        <v>1922</v>
      </c>
      <c r="Y1" s="36">
        <v>1923</v>
      </c>
      <c r="Z1" s="36">
        <v>1924</v>
      </c>
      <c r="AA1" s="36">
        <v>1925</v>
      </c>
      <c r="AB1" s="36">
        <v>1926</v>
      </c>
      <c r="AC1" s="36">
        <v>1927</v>
      </c>
      <c r="AD1" s="36">
        <v>1928</v>
      </c>
      <c r="AE1" s="36">
        <v>1929</v>
      </c>
      <c r="AF1" s="36">
        <v>1930</v>
      </c>
      <c r="AG1" s="36">
        <v>1931</v>
      </c>
      <c r="AH1" s="36">
        <v>1932</v>
      </c>
      <c r="AI1" s="36">
        <v>1933</v>
      </c>
      <c r="AJ1" s="36">
        <v>1934</v>
      </c>
      <c r="AK1" s="36">
        <v>1935</v>
      </c>
      <c r="AL1" s="36">
        <v>1936</v>
      </c>
      <c r="AM1" s="36">
        <v>1937</v>
      </c>
      <c r="AN1" s="36">
        <v>1938</v>
      </c>
      <c r="AO1" s="36">
        <v>1939</v>
      </c>
      <c r="AP1" s="36">
        <v>1940</v>
      </c>
      <c r="AQ1" s="36">
        <v>1941</v>
      </c>
      <c r="AR1" s="36">
        <v>1942</v>
      </c>
      <c r="AS1" s="36">
        <v>1943</v>
      </c>
      <c r="AT1" s="36">
        <v>1944</v>
      </c>
      <c r="AU1" s="36">
        <v>1945</v>
      </c>
      <c r="AV1" s="36">
        <v>1946</v>
      </c>
      <c r="AW1" s="36">
        <v>1947</v>
      </c>
      <c r="AX1" s="36">
        <v>1948</v>
      </c>
      <c r="AY1" s="36">
        <v>1949</v>
      </c>
      <c r="AZ1" s="36">
        <v>1950</v>
      </c>
      <c r="BA1" s="36">
        <v>1951</v>
      </c>
      <c r="BB1" s="36">
        <v>1952</v>
      </c>
      <c r="BC1" s="36">
        <v>1953</v>
      </c>
      <c r="BD1" s="36">
        <v>1954</v>
      </c>
      <c r="BE1" s="36">
        <v>1955</v>
      </c>
      <c r="BF1" s="36">
        <v>1956</v>
      </c>
      <c r="BG1" s="36">
        <v>1957</v>
      </c>
      <c r="BH1" s="36">
        <v>1958</v>
      </c>
      <c r="BI1" s="36">
        <v>1959</v>
      </c>
      <c r="BJ1" s="36">
        <v>1960</v>
      </c>
      <c r="BK1" s="36">
        <v>1961</v>
      </c>
      <c r="BL1" s="36">
        <v>1962</v>
      </c>
      <c r="BM1" s="36">
        <v>1963</v>
      </c>
      <c r="BN1" s="36">
        <v>1964</v>
      </c>
      <c r="BO1" s="36">
        <v>1965</v>
      </c>
      <c r="BP1" s="36">
        <v>1966</v>
      </c>
      <c r="BQ1" s="36">
        <v>1967</v>
      </c>
      <c r="BR1" s="36">
        <v>1968</v>
      </c>
      <c r="BS1" s="36">
        <v>1969</v>
      </c>
      <c r="BT1" s="36">
        <v>1970</v>
      </c>
      <c r="BU1" s="36">
        <v>1971</v>
      </c>
      <c r="BV1" s="36">
        <v>1972</v>
      </c>
      <c r="BW1" s="36">
        <v>1973</v>
      </c>
      <c r="BX1" s="36">
        <v>1974</v>
      </c>
      <c r="BY1" s="36">
        <v>1975</v>
      </c>
      <c r="BZ1" s="36">
        <v>1976</v>
      </c>
      <c r="CA1" s="36">
        <v>1977</v>
      </c>
      <c r="CB1" s="36">
        <v>1978</v>
      </c>
      <c r="CC1" s="36">
        <v>1979</v>
      </c>
      <c r="CD1" s="36">
        <v>1980</v>
      </c>
      <c r="CE1" s="36">
        <v>1981</v>
      </c>
      <c r="CF1" s="36">
        <v>1982</v>
      </c>
      <c r="CG1" s="36">
        <v>1983</v>
      </c>
      <c r="CH1" s="36">
        <v>1984</v>
      </c>
      <c r="CI1" s="36">
        <v>1985</v>
      </c>
      <c r="CJ1" s="36">
        <v>1986</v>
      </c>
      <c r="CK1" s="36">
        <v>1987</v>
      </c>
      <c r="CL1" s="36">
        <v>1988</v>
      </c>
      <c r="CM1" s="36">
        <v>1989</v>
      </c>
      <c r="CN1" s="36">
        <v>1990</v>
      </c>
      <c r="CO1" s="36">
        <v>1991</v>
      </c>
      <c r="CP1" s="36">
        <v>1992</v>
      </c>
      <c r="CQ1" s="36">
        <v>1993</v>
      </c>
      <c r="CR1" s="36">
        <v>1994</v>
      </c>
      <c r="CS1" s="36">
        <v>1995</v>
      </c>
      <c r="CT1" s="36">
        <v>1996</v>
      </c>
      <c r="CU1" s="36">
        <v>1997</v>
      </c>
      <c r="CV1" s="36">
        <v>1998</v>
      </c>
      <c r="CW1" s="36">
        <v>1999</v>
      </c>
      <c r="CX1" s="36">
        <v>2000</v>
      </c>
      <c r="CY1" s="36">
        <v>2001</v>
      </c>
      <c r="CZ1" s="36">
        <v>2002</v>
      </c>
      <c r="DA1" s="36">
        <v>2003</v>
      </c>
      <c r="DB1" s="36">
        <v>2004</v>
      </c>
      <c r="DC1" s="36">
        <v>2005</v>
      </c>
      <c r="DD1" s="36">
        <v>2006</v>
      </c>
      <c r="DE1" s="36">
        <v>2007</v>
      </c>
      <c r="DF1" s="36">
        <v>2008</v>
      </c>
      <c r="DG1" s="36">
        <v>2009</v>
      </c>
      <c r="DH1" s="36">
        <v>2010</v>
      </c>
      <c r="DI1" s="36">
        <v>2011</v>
      </c>
      <c r="DJ1" s="36">
        <v>2012</v>
      </c>
      <c r="DK1" s="36">
        <v>2013</v>
      </c>
      <c r="DL1" s="36">
        <v>2014</v>
      </c>
      <c r="DM1" s="36">
        <v>2015</v>
      </c>
      <c r="DN1" s="36">
        <v>2016</v>
      </c>
      <c r="DO1" s="36">
        <v>2017</v>
      </c>
      <c r="DP1" s="36">
        <v>2018</v>
      </c>
      <c r="DQ1" s="36">
        <v>2019</v>
      </c>
      <c r="DR1" s="36">
        <v>2020</v>
      </c>
      <c r="DS1" s="26">
        <v>2021</v>
      </c>
      <c r="DT1" s="26">
        <v>2022</v>
      </c>
      <c r="DU1" s="26">
        <v>2023</v>
      </c>
    </row>
    <row r="2" spans="1:125">
      <c r="A2" s="34">
        <v>0</v>
      </c>
      <c r="B2" s="35"/>
      <c r="C2" s="35"/>
      <c r="D2" s="35"/>
      <c r="E2" s="35"/>
      <c r="F2" s="35"/>
      <c r="G2" s="35"/>
      <c r="H2" s="35"/>
      <c r="I2" s="35"/>
      <c r="J2" s="35"/>
      <c r="K2" s="35"/>
      <c r="L2" s="35"/>
      <c r="M2" s="35"/>
      <c r="N2" s="35"/>
      <c r="O2" s="35"/>
      <c r="P2" s="35"/>
      <c r="Q2" s="35"/>
      <c r="R2" s="35"/>
      <c r="S2" s="35"/>
      <c r="T2" s="35"/>
      <c r="U2" s="35"/>
      <c r="V2" s="29"/>
      <c r="W2" s="29"/>
      <c r="X2" s="29"/>
      <c r="Y2" s="29">
        <v>62.502925008576327</v>
      </c>
      <c r="Z2" s="29">
        <v>64.35389395423789</v>
      </c>
      <c r="AA2" s="29">
        <v>64.79300100014558</v>
      </c>
      <c r="AB2" s="29">
        <v>65.402016747250087</v>
      </c>
      <c r="AC2" s="29">
        <v>66.126101366234423</v>
      </c>
      <c r="AD2" s="29">
        <v>66.85897466599387</v>
      </c>
      <c r="AE2" s="29">
        <v>66.904880396472294</v>
      </c>
      <c r="AF2" s="29">
        <v>68.009918991527584</v>
      </c>
      <c r="AG2" s="29">
        <v>68.520915498489018</v>
      </c>
      <c r="AH2" s="29">
        <v>68.933874193591208</v>
      </c>
      <c r="AI2" s="29">
        <v>69.360631265300569</v>
      </c>
      <c r="AJ2" s="29">
        <v>70.558925290417065</v>
      </c>
      <c r="AK2" s="29">
        <v>70.737163343919221</v>
      </c>
      <c r="AL2" s="29">
        <v>71.255085297594604</v>
      </c>
      <c r="AM2" s="29">
        <v>71.718768078624237</v>
      </c>
      <c r="AN2" s="29">
        <v>72.259045410058008</v>
      </c>
      <c r="AO2" s="29">
        <v>72.360477072619162</v>
      </c>
      <c r="AP2" s="29">
        <v>72.567486569029711</v>
      </c>
      <c r="AQ2" s="29">
        <v>72.708348440169814</v>
      </c>
      <c r="AR2" s="29">
        <v>72.865336959416538</v>
      </c>
      <c r="AS2" s="29">
        <v>72.422328862546067</v>
      </c>
      <c r="AT2" s="29">
        <v>71.822198248414566</v>
      </c>
      <c r="AU2" s="29">
        <v>70.84810788751723</v>
      </c>
      <c r="AV2" s="29">
        <v>71.177264833078368</v>
      </c>
      <c r="AW2" s="29">
        <v>71.672702899332208</v>
      </c>
      <c r="AX2" s="29">
        <v>73.481021527460484</v>
      </c>
      <c r="AY2" s="29">
        <v>75.017033238147818</v>
      </c>
      <c r="AZ2" s="29">
        <v>75.11732618915363</v>
      </c>
      <c r="BA2" s="29">
        <v>75.226036227643149</v>
      </c>
      <c r="BB2" s="29">
        <v>75.86685892055641</v>
      </c>
      <c r="BC2" s="29">
        <v>76.153986717199302</v>
      </c>
      <c r="BD2" s="29">
        <v>76.575621893468508</v>
      </c>
      <c r="BE2" s="29">
        <v>76.772962954389129</v>
      </c>
      <c r="BF2" s="29">
        <v>77.210439702327619</v>
      </c>
      <c r="BG2" s="29">
        <v>77.428773747102355</v>
      </c>
      <c r="BH2" s="29">
        <v>77.852497379564895</v>
      </c>
      <c r="BI2" s="29">
        <v>78.139363662817857</v>
      </c>
      <c r="BJ2" s="29">
        <v>78.453303870737969</v>
      </c>
      <c r="BK2" s="29">
        <v>78.861128081838558</v>
      </c>
      <c r="BL2" s="29">
        <v>79.323388852327867</v>
      </c>
      <c r="BM2" s="29">
        <v>79.740568226436437</v>
      </c>
      <c r="BN2" s="29">
        <v>80.139855910858074</v>
      </c>
      <c r="BO2" s="29">
        <v>80.471336652057502</v>
      </c>
      <c r="BP2" s="29">
        <v>80.755216140804961</v>
      </c>
      <c r="BQ2" s="29">
        <v>81.008813050742418</v>
      </c>
      <c r="BR2" s="29">
        <v>81.25187919021775</v>
      </c>
      <c r="BS2" s="29">
        <v>81.393779941528408</v>
      </c>
      <c r="BT2" s="29">
        <v>81.619359376429415</v>
      </c>
      <c r="BU2" s="29">
        <v>81.81121546821656</v>
      </c>
      <c r="BV2" s="29">
        <v>82.059999168329313</v>
      </c>
      <c r="BW2" s="29">
        <v>82.274215627785338</v>
      </c>
      <c r="BX2" s="29">
        <v>82.529411169157214</v>
      </c>
      <c r="BY2" s="29">
        <v>82.795517774251124</v>
      </c>
      <c r="BZ2" s="29">
        <v>83.16614280242527</v>
      </c>
      <c r="CA2" s="29">
        <v>83.455833763945549</v>
      </c>
      <c r="CB2" s="29">
        <v>83.672900078400019</v>
      </c>
      <c r="CC2" s="29">
        <v>83.935640505815684</v>
      </c>
      <c r="CD2" s="29">
        <v>84.172908869117194</v>
      </c>
      <c r="CE2" s="29">
        <v>84.392586237411763</v>
      </c>
      <c r="CF2" s="29">
        <v>84.651358643749091</v>
      </c>
      <c r="CG2" s="29">
        <v>84.879640118403856</v>
      </c>
      <c r="CH2" s="29">
        <v>85.097134534092135</v>
      </c>
      <c r="CI2" s="29">
        <v>85.348920404235571</v>
      </c>
      <c r="CJ2" s="29">
        <v>85.524346113267711</v>
      </c>
      <c r="CK2" s="29">
        <v>85.725046323031933</v>
      </c>
      <c r="CL2" s="29">
        <v>85.971305700740615</v>
      </c>
      <c r="CM2" s="29">
        <v>86.150110541831452</v>
      </c>
      <c r="CN2" s="29">
        <v>86.358838245638736</v>
      </c>
      <c r="CO2" s="29">
        <v>86.563094316961497</v>
      </c>
      <c r="CP2" s="29">
        <v>86.762348343036024</v>
      </c>
      <c r="CQ2" s="29">
        <v>86.955542541688246</v>
      </c>
      <c r="CR2" s="29">
        <v>87.11530271990901</v>
      </c>
      <c r="CS2" s="29">
        <v>87.308714223663401</v>
      </c>
      <c r="CT2" s="29">
        <v>87.47161630839318</v>
      </c>
      <c r="CU2" s="29">
        <v>87.640741058503721</v>
      </c>
      <c r="CV2" s="29">
        <v>87.792291797096624</v>
      </c>
      <c r="CW2" s="29">
        <v>87.947526246146424</v>
      </c>
      <c r="CX2" s="29">
        <v>88.121183810279149</v>
      </c>
      <c r="CY2" s="29">
        <v>88.260036186776773</v>
      </c>
      <c r="CZ2" s="29">
        <v>88.402993646163594</v>
      </c>
      <c r="DA2" s="29">
        <v>88.537926933989155</v>
      </c>
      <c r="DB2" s="29">
        <v>88.704970566185125</v>
      </c>
      <c r="DC2" s="29">
        <v>88.854796704506299</v>
      </c>
      <c r="DD2" s="29">
        <v>88.994040832060733</v>
      </c>
      <c r="DE2" s="29">
        <v>89.136231995631704</v>
      </c>
      <c r="DF2" s="29">
        <v>89.306165301600771</v>
      </c>
      <c r="DG2" s="29">
        <v>89.43439487241335</v>
      </c>
      <c r="DH2" s="29">
        <v>89.575455897099914</v>
      </c>
      <c r="DI2" s="29">
        <v>89.696820915866766</v>
      </c>
      <c r="DJ2" s="29">
        <v>89.853089869076356</v>
      </c>
      <c r="DK2" s="29">
        <v>89.990863310759806</v>
      </c>
      <c r="DL2" s="29">
        <v>90.112910345482533</v>
      </c>
      <c r="DM2" s="29">
        <v>90.236191883919162</v>
      </c>
      <c r="DN2" s="29">
        <v>90.355340398759381</v>
      </c>
      <c r="DO2" s="29">
        <v>90.496498063005788</v>
      </c>
      <c r="DP2" s="29">
        <v>90.634105427934117</v>
      </c>
      <c r="DQ2" s="29">
        <v>90.755050106653172</v>
      </c>
      <c r="DR2" s="29">
        <v>90.888907775285617</v>
      </c>
      <c r="DS2">
        <v>91.010056956235189</v>
      </c>
      <c r="DT2">
        <v>91.142545609211538</v>
      </c>
      <c r="DU2">
        <v>91.273329723534445</v>
      </c>
    </row>
    <row r="3" spans="1:125">
      <c r="A3" s="34">
        <v>1</v>
      </c>
      <c r="B3" s="35"/>
      <c r="C3" s="35"/>
      <c r="D3" s="35"/>
      <c r="E3" s="35"/>
      <c r="F3" s="35"/>
      <c r="G3" s="35"/>
      <c r="H3" s="35"/>
      <c r="I3" s="35"/>
      <c r="J3" s="35"/>
      <c r="K3" s="35"/>
      <c r="L3" s="35"/>
      <c r="M3" s="35"/>
      <c r="N3" s="35"/>
      <c r="O3" s="35"/>
      <c r="P3" s="35"/>
      <c r="Q3" s="35"/>
      <c r="R3" s="35"/>
      <c r="S3" s="35"/>
      <c r="T3" s="35"/>
      <c r="U3" s="35"/>
      <c r="V3" s="29"/>
      <c r="W3" s="29"/>
      <c r="X3" s="29"/>
      <c r="Y3" s="29">
        <v>70.878417117573434</v>
      </c>
      <c r="Z3" s="29">
        <v>71.11448389201388</v>
      </c>
      <c r="AA3" s="29">
        <v>71.322687667074476</v>
      </c>
      <c r="AB3" s="29">
        <v>71.721800190683581</v>
      </c>
      <c r="AC3" s="29">
        <v>72.12126717825798</v>
      </c>
      <c r="AD3" s="29">
        <v>72.327650585718487</v>
      </c>
      <c r="AE3" s="29">
        <v>72.86007418013584</v>
      </c>
      <c r="AF3" s="29">
        <v>73.200502306342585</v>
      </c>
      <c r="AG3" s="29">
        <v>73.507435494994752</v>
      </c>
      <c r="AH3" s="29">
        <v>73.796613097745791</v>
      </c>
      <c r="AI3" s="29">
        <v>74.0554674088132</v>
      </c>
      <c r="AJ3" s="29">
        <v>74.499371617754321</v>
      </c>
      <c r="AK3" s="29">
        <v>74.860048529360526</v>
      </c>
      <c r="AL3" s="29">
        <v>75.245005760449558</v>
      </c>
      <c r="AM3" s="29">
        <v>75.600376601445703</v>
      </c>
      <c r="AN3" s="29">
        <v>75.855299560823113</v>
      </c>
      <c r="AO3" s="29">
        <v>76.065880535455463</v>
      </c>
      <c r="AP3" s="29">
        <v>76.286966787421761</v>
      </c>
      <c r="AQ3" s="29">
        <v>76.437769064616901</v>
      </c>
      <c r="AR3" s="29">
        <v>76.606319008745274</v>
      </c>
      <c r="AS3" s="29">
        <v>76.640105871974185</v>
      </c>
      <c r="AT3" s="29">
        <v>76.761935943949766</v>
      </c>
      <c r="AU3" s="29">
        <v>76.998434378448508</v>
      </c>
      <c r="AV3" s="29">
        <v>77.257735475245028</v>
      </c>
      <c r="AW3" s="29">
        <v>77.803777349145122</v>
      </c>
      <c r="AX3" s="29">
        <v>78.248921577839894</v>
      </c>
      <c r="AY3" s="29">
        <v>78.388266093904832</v>
      </c>
      <c r="AZ3" s="29">
        <v>78.494151284049579</v>
      </c>
      <c r="BA3" s="29">
        <v>78.608974946408694</v>
      </c>
      <c r="BB3" s="29">
        <v>78.755708657671292</v>
      </c>
      <c r="BC3" s="29">
        <v>78.896081661280419</v>
      </c>
      <c r="BD3" s="29">
        <v>79.026379235031584</v>
      </c>
      <c r="BE3" s="29">
        <v>79.190348380756717</v>
      </c>
      <c r="BF3" s="29">
        <v>79.383203938182163</v>
      </c>
      <c r="BG3" s="29">
        <v>79.555057798055657</v>
      </c>
      <c r="BH3" s="29">
        <v>79.813069603532057</v>
      </c>
      <c r="BI3" s="29">
        <v>80.005004377966429</v>
      </c>
      <c r="BJ3" s="29">
        <v>80.228179609353717</v>
      </c>
      <c r="BK3" s="29">
        <v>80.439569814028985</v>
      </c>
      <c r="BL3" s="29">
        <v>80.713326254413317</v>
      </c>
      <c r="BM3" s="29">
        <v>80.983417473235875</v>
      </c>
      <c r="BN3" s="29">
        <v>81.194874995139656</v>
      </c>
      <c r="BO3" s="29">
        <v>81.421090975782107</v>
      </c>
      <c r="BP3" s="29">
        <v>81.648142088307594</v>
      </c>
      <c r="BQ3" s="29">
        <v>81.865365399495005</v>
      </c>
      <c r="BR3" s="29">
        <v>82.054987245128672</v>
      </c>
      <c r="BS3" s="29">
        <v>82.25972630869191</v>
      </c>
      <c r="BT3" s="29">
        <v>82.466704010480328</v>
      </c>
      <c r="BU3" s="29">
        <v>82.620811258397168</v>
      </c>
      <c r="BV3" s="29">
        <v>82.82733594259966</v>
      </c>
      <c r="BW3" s="29">
        <v>83.012575806413679</v>
      </c>
      <c r="BX3" s="29">
        <v>83.195313187221785</v>
      </c>
      <c r="BY3" s="29">
        <v>83.369244712069502</v>
      </c>
      <c r="BZ3" s="29">
        <v>83.536276315460555</v>
      </c>
      <c r="CA3" s="29">
        <v>83.70119405496385</v>
      </c>
      <c r="CB3" s="29">
        <v>83.872075418728016</v>
      </c>
      <c r="CC3" s="29">
        <v>84.04488911966672</v>
      </c>
      <c r="CD3" s="29">
        <v>84.232657021463609</v>
      </c>
      <c r="CE3" s="29">
        <v>84.394063007920977</v>
      </c>
      <c r="CF3" s="29">
        <v>84.575670514425354</v>
      </c>
      <c r="CG3" s="29">
        <v>84.749581861811208</v>
      </c>
      <c r="CH3" s="29">
        <v>84.922700374681654</v>
      </c>
      <c r="CI3" s="29">
        <v>85.126738693804413</v>
      </c>
      <c r="CJ3" s="29">
        <v>85.266986433872916</v>
      </c>
      <c r="CK3" s="29">
        <v>85.442419027795765</v>
      </c>
      <c r="CL3" s="29">
        <v>85.62749609610843</v>
      </c>
      <c r="CM3" s="29">
        <v>85.793342034453062</v>
      </c>
      <c r="CN3" s="29">
        <v>85.96809890156058</v>
      </c>
      <c r="CO3" s="29">
        <v>86.129419303809513</v>
      </c>
      <c r="CP3" s="29">
        <v>86.28808126152633</v>
      </c>
      <c r="CQ3" s="29">
        <v>86.445020430613084</v>
      </c>
      <c r="CR3" s="29">
        <v>86.594462517089113</v>
      </c>
      <c r="CS3" s="29">
        <v>86.76360453525001</v>
      </c>
      <c r="CT3" s="29">
        <v>86.908093387288545</v>
      </c>
      <c r="CU3" s="29">
        <v>87.059424303911157</v>
      </c>
      <c r="CV3" s="29">
        <v>87.197769804633026</v>
      </c>
      <c r="CW3" s="29">
        <v>87.342197710450151</v>
      </c>
      <c r="CX3" s="29">
        <v>87.496946208122495</v>
      </c>
      <c r="CY3" s="29">
        <v>87.634602773956686</v>
      </c>
      <c r="CZ3" s="29">
        <v>87.774792948723388</v>
      </c>
      <c r="DA3" s="29">
        <v>87.915240730690982</v>
      </c>
      <c r="DB3" s="29">
        <v>88.06433348352607</v>
      </c>
      <c r="DC3" s="29">
        <v>88.194437605487423</v>
      </c>
      <c r="DD3" s="29">
        <v>88.336682200970444</v>
      </c>
      <c r="DE3" s="29">
        <v>88.477724781053226</v>
      </c>
      <c r="DF3" s="29">
        <v>88.617769996702179</v>
      </c>
      <c r="DG3" s="29">
        <v>88.748064926720701</v>
      </c>
      <c r="DH3" s="29">
        <v>88.884862674375228</v>
      </c>
      <c r="DI3" s="29">
        <v>89.01605698855785</v>
      </c>
      <c r="DJ3" s="29">
        <v>89.145581573980053</v>
      </c>
      <c r="DK3" s="29">
        <v>89.28100461097938</v>
      </c>
      <c r="DL3" s="29">
        <v>89.406560524323766</v>
      </c>
      <c r="DM3" s="29">
        <v>89.531644426413322</v>
      </c>
      <c r="DN3" s="29">
        <v>89.662568085950269</v>
      </c>
      <c r="DO3" s="29">
        <v>89.791207365897293</v>
      </c>
      <c r="DP3" s="29">
        <v>89.919517251412373</v>
      </c>
      <c r="DQ3" s="29">
        <v>90.042930025743004</v>
      </c>
      <c r="DR3" s="29">
        <v>90.161611384662308</v>
      </c>
      <c r="DS3">
        <v>90.285942124291921</v>
      </c>
      <c r="DT3">
        <v>90.407050018879531</v>
      </c>
      <c r="DU3">
        <v>90.526921626240892</v>
      </c>
    </row>
    <row r="4" spans="1:125">
      <c r="A4" s="34">
        <v>2</v>
      </c>
      <c r="B4" s="35"/>
      <c r="C4" s="35"/>
      <c r="D4" s="35"/>
      <c r="E4" s="35"/>
      <c r="F4" s="35"/>
      <c r="G4" s="35"/>
      <c r="H4" s="35"/>
      <c r="I4" s="35"/>
      <c r="J4" s="35"/>
      <c r="K4" s="35"/>
      <c r="L4" s="35"/>
      <c r="M4" s="35"/>
      <c r="N4" s="35"/>
      <c r="O4" s="35"/>
      <c r="P4" s="35"/>
      <c r="Q4" s="35"/>
      <c r="R4" s="35"/>
      <c r="S4" s="35"/>
      <c r="T4" s="35"/>
      <c r="U4" s="35"/>
      <c r="V4" s="29"/>
      <c r="W4" s="29"/>
      <c r="X4" s="29"/>
      <c r="Y4" s="29">
        <v>70.988689644478683</v>
      </c>
      <c r="Z4" s="29">
        <v>71.228466420227591</v>
      </c>
      <c r="AA4" s="29">
        <v>71.439968303965301</v>
      </c>
      <c r="AB4" s="29">
        <v>71.755873187055968</v>
      </c>
      <c r="AC4" s="29">
        <v>71.965015075191445</v>
      </c>
      <c r="AD4" s="29">
        <v>72.231628208449536</v>
      </c>
      <c r="AE4" s="29">
        <v>72.55749384382375</v>
      </c>
      <c r="AF4" s="29">
        <v>72.874698419561895</v>
      </c>
      <c r="AG4" s="29">
        <v>73.149674781725892</v>
      </c>
      <c r="AH4" s="29">
        <v>73.44142747529466</v>
      </c>
      <c r="AI4" s="29">
        <v>73.70257215951888</v>
      </c>
      <c r="AJ4" s="29">
        <v>74.07501065473825</v>
      </c>
      <c r="AK4" s="29">
        <v>74.420430602724352</v>
      </c>
      <c r="AL4" s="29">
        <v>74.793334861986807</v>
      </c>
      <c r="AM4" s="29">
        <v>75.116878747413182</v>
      </c>
      <c r="AN4" s="29">
        <v>75.384463221738386</v>
      </c>
      <c r="AO4" s="29">
        <v>75.596512152559797</v>
      </c>
      <c r="AP4" s="29">
        <v>75.81917487197552</v>
      </c>
      <c r="AQ4" s="29">
        <v>75.971071753280796</v>
      </c>
      <c r="AR4" s="29">
        <v>76.194750524913374</v>
      </c>
      <c r="AS4" s="29">
        <v>76.309801496336576</v>
      </c>
      <c r="AT4" s="29">
        <v>76.568358063409448</v>
      </c>
      <c r="AU4" s="29">
        <v>76.762627061905619</v>
      </c>
      <c r="AV4" s="29">
        <v>77.024528294209361</v>
      </c>
      <c r="AW4" s="29">
        <v>77.423642312385283</v>
      </c>
      <c r="AX4" s="29">
        <v>77.550902517903353</v>
      </c>
      <c r="AY4" s="29">
        <v>77.690777882174018</v>
      </c>
      <c r="AZ4" s="29">
        <v>77.797055065181667</v>
      </c>
      <c r="BA4" s="29">
        <v>77.889211702322427</v>
      </c>
      <c r="BB4" s="29">
        <v>78.020017440943661</v>
      </c>
      <c r="BC4" s="29">
        <v>78.132790990091337</v>
      </c>
      <c r="BD4" s="29">
        <v>78.272508162845355</v>
      </c>
      <c r="BE4" s="29">
        <v>78.419083962106043</v>
      </c>
      <c r="BF4" s="29">
        <v>78.614500604532225</v>
      </c>
      <c r="BG4" s="29">
        <v>78.762973902380651</v>
      </c>
      <c r="BH4" s="29">
        <v>79.024770520801724</v>
      </c>
      <c r="BI4" s="29">
        <v>79.195382376678111</v>
      </c>
      <c r="BJ4" s="29">
        <v>79.409990366520532</v>
      </c>
      <c r="BK4" s="29">
        <v>79.614805092265613</v>
      </c>
      <c r="BL4" s="29">
        <v>79.87544854952651</v>
      </c>
      <c r="BM4" s="29">
        <v>80.128074977257711</v>
      </c>
      <c r="BN4" s="29">
        <v>80.341206379077462</v>
      </c>
      <c r="BO4" s="29">
        <v>80.559837835100524</v>
      </c>
      <c r="BP4" s="29">
        <v>80.783430693361083</v>
      </c>
      <c r="BQ4" s="29">
        <v>80.992520373152161</v>
      </c>
      <c r="BR4" s="29">
        <v>81.193847980001124</v>
      </c>
      <c r="BS4" s="29">
        <v>81.381785814060621</v>
      </c>
      <c r="BT4" s="29">
        <v>81.578914015922436</v>
      </c>
      <c r="BU4" s="29">
        <v>81.727011862166847</v>
      </c>
      <c r="BV4" s="29">
        <v>81.92519619105731</v>
      </c>
      <c r="BW4" s="29">
        <v>82.110835987297179</v>
      </c>
      <c r="BX4" s="29">
        <v>82.292519726179066</v>
      </c>
      <c r="BY4" s="29">
        <v>82.457090182354889</v>
      </c>
      <c r="BZ4" s="29">
        <v>82.621304065414051</v>
      </c>
      <c r="CA4" s="29">
        <v>82.785354492671658</v>
      </c>
      <c r="CB4" s="29">
        <v>82.952579581902967</v>
      </c>
      <c r="CC4" s="29">
        <v>83.12254272763235</v>
      </c>
      <c r="CD4" s="29">
        <v>83.308611639518261</v>
      </c>
      <c r="CE4" s="29">
        <v>83.469943493292035</v>
      </c>
      <c r="CF4" s="29">
        <v>83.646496814433817</v>
      </c>
      <c r="CG4" s="29">
        <v>83.816969848991292</v>
      </c>
      <c r="CH4" s="29">
        <v>83.990732375475744</v>
      </c>
      <c r="CI4" s="29">
        <v>84.185516904170385</v>
      </c>
      <c r="CJ4" s="29">
        <v>84.329712848928693</v>
      </c>
      <c r="CK4" s="29">
        <v>84.49913683425072</v>
      </c>
      <c r="CL4" s="29">
        <v>84.681244633494401</v>
      </c>
      <c r="CM4" s="29">
        <v>84.847731954395556</v>
      </c>
      <c r="CN4" s="29">
        <v>85.017889935509075</v>
      </c>
      <c r="CO4" s="29">
        <v>85.174567581673443</v>
      </c>
      <c r="CP4" s="29">
        <v>85.333189925127044</v>
      </c>
      <c r="CQ4" s="29">
        <v>85.49047949208861</v>
      </c>
      <c r="CR4" s="29">
        <v>85.636881951240355</v>
      </c>
      <c r="CS4" s="29">
        <v>85.798376260851867</v>
      </c>
      <c r="CT4" s="29">
        <v>85.948711266898258</v>
      </c>
      <c r="CU4" s="29">
        <v>86.095380606407957</v>
      </c>
      <c r="CV4" s="29">
        <v>86.230896039743385</v>
      </c>
      <c r="CW4" s="29">
        <v>86.37863249491626</v>
      </c>
      <c r="CX4" s="29">
        <v>86.530543682372851</v>
      </c>
      <c r="CY4" s="29">
        <v>86.670976605021664</v>
      </c>
      <c r="CZ4" s="29">
        <v>86.808459420378455</v>
      </c>
      <c r="DA4" s="29">
        <v>86.945931129911145</v>
      </c>
      <c r="DB4" s="29">
        <v>87.090122713372438</v>
      </c>
      <c r="DC4" s="29">
        <v>87.224425363548306</v>
      </c>
      <c r="DD4" s="29">
        <v>87.36387916725144</v>
      </c>
      <c r="DE4" s="29">
        <v>87.503437961596603</v>
      </c>
      <c r="DF4" s="29">
        <v>87.643279890798595</v>
      </c>
      <c r="DG4" s="29">
        <v>87.776316249167309</v>
      </c>
      <c r="DH4" s="29">
        <v>87.906531600478417</v>
      </c>
      <c r="DI4" s="29">
        <v>88.040085592385765</v>
      </c>
      <c r="DJ4" s="29">
        <v>88.169164678553898</v>
      </c>
      <c r="DK4" s="29">
        <v>88.30258138375541</v>
      </c>
      <c r="DL4" s="29">
        <v>88.430447810659473</v>
      </c>
      <c r="DM4" s="29">
        <v>88.55503134975767</v>
      </c>
      <c r="DN4" s="29">
        <v>88.686202282158035</v>
      </c>
      <c r="DO4" s="29">
        <v>88.8128564069753</v>
      </c>
      <c r="DP4" s="29">
        <v>88.938742181407946</v>
      </c>
      <c r="DQ4" s="29">
        <v>89.060616058324584</v>
      </c>
      <c r="DR4" s="29">
        <v>89.181286265133082</v>
      </c>
      <c r="DS4">
        <v>89.302928394167139</v>
      </c>
      <c r="DT4">
        <v>89.42334945332351</v>
      </c>
      <c r="DU4">
        <v>89.542561859762884</v>
      </c>
    </row>
    <row r="5" spans="1:125">
      <c r="A5" s="34">
        <v>3</v>
      </c>
      <c r="B5" s="35"/>
      <c r="C5" s="35"/>
      <c r="D5" s="35"/>
      <c r="E5" s="35"/>
      <c r="F5" s="35"/>
      <c r="G5" s="35"/>
      <c r="H5" s="35"/>
      <c r="I5" s="35"/>
      <c r="J5" s="35"/>
      <c r="K5" s="35"/>
      <c r="L5" s="35"/>
      <c r="M5" s="35"/>
      <c r="N5" s="35"/>
      <c r="O5" s="35"/>
      <c r="P5" s="35"/>
      <c r="Q5" s="35"/>
      <c r="R5" s="35"/>
      <c r="S5" s="35"/>
      <c r="T5" s="35"/>
      <c r="U5" s="35"/>
      <c r="V5" s="29"/>
      <c r="W5" s="29"/>
      <c r="X5" s="29"/>
      <c r="Y5" s="29">
        <v>70.416707172333759</v>
      </c>
      <c r="Z5" s="29">
        <v>70.657933028575215</v>
      </c>
      <c r="AA5" s="29">
        <v>70.897838726291596</v>
      </c>
      <c r="AB5" s="29">
        <v>71.16251665356009</v>
      </c>
      <c r="AC5" s="29">
        <v>71.429654886716804</v>
      </c>
      <c r="AD5" s="29">
        <v>71.615181467617575</v>
      </c>
      <c r="AE5" s="29">
        <v>71.888648587257734</v>
      </c>
      <c r="AF5" s="29">
        <v>72.181941488601495</v>
      </c>
      <c r="AG5" s="29">
        <v>72.458095703595433</v>
      </c>
      <c r="AH5" s="29">
        <v>72.751102789949186</v>
      </c>
      <c r="AI5" s="29">
        <v>73.064601302685219</v>
      </c>
      <c r="AJ5" s="29">
        <v>73.45790087343498</v>
      </c>
      <c r="AK5" s="29">
        <v>73.763738759124976</v>
      </c>
      <c r="AL5" s="29">
        <v>74.115990723623554</v>
      </c>
      <c r="AM5" s="29">
        <v>74.463096019542917</v>
      </c>
      <c r="AN5" s="29">
        <v>74.731927459387336</v>
      </c>
      <c r="AO5" s="29">
        <v>74.944951732813792</v>
      </c>
      <c r="AP5" s="29">
        <v>75.168666797125184</v>
      </c>
      <c r="AQ5" s="29">
        <v>75.356500063937347</v>
      </c>
      <c r="AR5" s="29">
        <v>75.634420175998528</v>
      </c>
      <c r="AS5" s="29">
        <v>75.838847196573028</v>
      </c>
      <c r="AT5" s="29">
        <v>75.970421371835585</v>
      </c>
      <c r="AU5" s="29">
        <v>76.165723690628198</v>
      </c>
      <c r="AV5" s="29">
        <v>76.288205657608216</v>
      </c>
      <c r="AW5" s="29">
        <v>76.600880319144721</v>
      </c>
      <c r="AX5" s="29">
        <v>76.728440669777314</v>
      </c>
      <c r="AY5" s="29">
        <v>76.868632594731594</v>
      </c>
      <c r="AZ5" s="29">
        <v>76.934190782955795</v>
      </c>
      <c r="BA5" s="29">
        <v>77.021176563371228</v>
      </c>
      <c r="BB5" s="29">
        <v>77.149395650171343</v>
      </c>
      <c r="BC5" s="29">
        <v>77.260099011894226</v>
      </c>
      <c r="BD5" s="29">
        <v>77.387412934693955</v>
      </c>
      <c r="BE5" s="29">
        <v>77.535481262384593</v>
      </c>
      <c r="BF5" s="29">
        <v>77.719519543699903</v>
      </c>
      <c r="BG5" s="29">
        <v>77.873257227846267</v>
      </c>
      <c r="BH5" s="29">
        <v>78.126094746764849</v>
      </c>
      <c r="BI5" s="29">
        <v>78.292378492490599</v>
      </c>
      <c r="BJ5" s="29">
        <v>78.50912079951857</v>
      </c>
      <c r="BK5" s="29">
        <v>78.705826653593519</v>
      </c>
      <c r="BL5" s="29">
        <v>78.959129038791573</v>
      </c>
      <c r="BM5" s="29">
        <v>79.209554058785201</v>
      </c>
      <c r="BN5" s="29">
        <v>79.423805789667853</v>
      </c>
      <c r="BO5" s="29">
        <v>79.632606150461555</v>
      </c>
      <c r="BP5" s="29">
        <v>79.857600091378529</v>
      </c>
      <c r="BQ5" s="29">
        <v>80.070733285791135</v>
      </c>
      <c r="BR5" s="29">
        <v>80.26430908828884</v>
      </c>
      <c r="BS5" s="29">
        <v>80.452048787537223</v>
      </c>
      <c r="BT5" s="29">
        <v>80.642426703829443</v>
      </c>
      <c r="BU5" s="29">
        <v>80.790814915324432</v>
      </c>
      <c r="BV5" s="29">
        <v>80.991042405753433</v>
      </c>
      <c r="BW5" s="29">
        <v>81.170407941228902</v>
      </c>
      <c r="BX5" s="29">
        <v>81.348450007140883</v>
      </c>
      <c r="BY5" s="29">
        <v>81.510919524516837</v>
      </c>
      <c r="BZ5" s="29">
        <v>81.674851203110094</v>
      </c>
      <c r="CA5" s="29">
        <v>81.835256011842034</v>
      </c>
      <c r="CB5" s="29">
        <v>81.999325071901922</v>
      </c>
      <c r="CC5" s="29">
        <v>82.170303854258734</v>
      </c>
      <c r="CD5" s="29">
        <v>82.350810122094913</v>
      </c>
      <c r="CE5" s="29">
        <v>82.509385958199175</v>
      </c>
      <c r="CF5" s="29">
        <v>82.685303475547215</v>
      </c>
      <c r="CG5" s="29">
        <v>82.854913041370025</v>
      </c>
      <c r="CH5" s="29">
        <v>83.027458384397647</v>
      </c>
      <c r="CI5" s="29">
        <v>83.221158721729807</v>
      </c>
      <c r="CJ5" s="29">
        <v>83.368204006449758</v>
      </c>
      <c r="CK5" s="29">
        <v>83.532371265147916</v>
      </c>
      <c r="CL5" s="29">
        <v>83.713898888519537</v>
      </c>
      <c r="CM5" s="29">
        <v>83.880204795005412</v>
      </c>
      <c r="CN5" s="29">
        <v>84.043533055662863</v>
      </c>
      <c r="CO5" s="29">
        <v>84.202621371617198</v>
      </c>
      <c r="CP5" s="29">
        <v>84.362192071013453</v>
      </c>
      <c r="CQ5" s="29">
        <v>84.516421410191413</v>
      </c>
      <c r="CR5" s="29">
        <v>84.65884576893572</v>
      </c>
      <c r="CS5" s="29">
        <v>84.821526545953247</v>
      </c>
      <c r="CT5" s="29">
        <v>84.97184760035347</v>
      </c>
      <c r="CU5" s="29">
        <v>85.116828398517555</v>
      </c>
      <c r="CV5" s="29">
        <v>85.253000541508271</v>
      </c>
      <c r="CW5" s="29">
        <v>85.398443004935672</v>
      </c>
      <c r="CX5" s="29">
        <v>85.545772603761378</v>
      </c>
      <c r="CY5" s="29">
        <v>85.689083772726292</v>
      </c>
      <c r="CZ5" s="29">
        <v>85.825739022715467</v>
      </c>
      <c r="DA5" s="29">
        <v>85.962383917839276</v>
      </c>
      <c r="DB5" s="29">
        <v>86.104821481076144</v>
      </c>
      <c r="DC5" s="29">
        <v>86.241647653729629</v>
      </c>
      <c r="DD5" s="29">
        <v>86.380019803572694</v>
      </c>
      <c r="DE5" s="29">
        <v>86.51780649285169</v>
      </c>
      <c r="DF5" s="29">
        <v>86.657815896701791</v>
      </c>
      <c r="DG5" s="29">
        <v>86.790477017996551</v>
      </c>
      <c r="DH5" s="29">
        <v>86.919596866702477</v>
      </c>
      <c r="DI5" s="29">
        <v>87.048815310362158</v>
      </c>
      <c r="DJ5" s="29">
        <v>87.181328671964451</v>
      </c>
      <c r="DK5" s="29">
        <v>87.315666592114368</v>
      </c>
      <c r="DL5" s="29">
        <v>87.443012529604104</v>
      </c>
      <c r="DM5" s="29">
        <v>87.567382916153576</v>
      </c>
      <c r="DN5" s="29">
        <v>87.698704039029906</v>
      </c>
      <c r="DO5" s="29">
        <v>87.82386819124352</v>
      </c>
      <c r="DP5" s="29">
        <v>87.94772891385297</v>
      </c>
      <c r="DQ5" s="29">
        <v>88.071240608688043</v>
      </c>
      <c r="DR5" s="29">
        <v>88.193603799205874</v>
      </c>
      <c r="DS5">
        <v>88.314753550661834</v>
      </c>
      <c r="DT5">
        <v>88.434701807273825</v>
      </c>
      <c r="DU5">
        <v>88.553460214633787</v>
      </c>
    </row>
    <row r="6" spans="1:125">
      <c r="A6" s="34">
        <v>4</v>
      </c>
      <c r="B6" s="35"/>
      <c r="C6" s="35"/>
      <c r="D6" s="35"/>
      <c r="E6" s="35"/>
      <c r="F6" s="35"/>
      <c r="G6" s="35"/>
      <c r="H6" s="35"/>
      <c r="I6" s="35"/>
      <c r="J6" s="35"/>
      <c r="K6" s="35"/>
      <c r="L6" s="35"/>
      <c r="M6" s="35"/>
      <c r="N6" s="35"/>
      <c r="O6" s="35"/>
      <c r="P6" s="35"/>
      <c r="Q6" s="35"/>
      <c r="R6" s="35"/>
      <c r="S6" s="35"/>
      <c r="T6" s="35"/>
      <c r="U6" s="35"/>
      <c r="V6" s="29"/>
      <c r="W6" s="29"/>
      <c r="X6" s="29"/>
      <c r="Y6" s="29">
        <v>69.684818696097793</v>
      </c>
      <c r="Z6" s="29">
        <v>69.943860560723238</v>
      </c>
      <c r="AA6" s="29">
        <v>70.173887469649998</v>
      </c>
      <c r="AB6" s="29">
        <v>70.478275773783594</v>
      </c>
      <c r="AC6" s="29">
        <v>70.711588463191688</v>
      </c>
      <c r="AD6" s="29">
        <v>70.858168079856711</v>
      </c>
      <c r="AE6" s="29">
        <v>71.113951914997713</v>
      </c>
      <c r="AF6" s="29">
        <v>71.40817402930027</v>
      </c>
      <c r="AG6" s="29">
        <v>71.68521122163034</v>
      </c>
      <c r="AH6" s="29">
        <v>72.016777628026858</v>
      </c>
      <c r="AI6" s="29">
        <v>72.345117840436643</v>
      </c>
      <c r="AJ6" s="29">
        <v>72.709892154052497</v>
      </c>
      <c r="AK6" s="29">
        <v>73.000422788750512</v>
      </c>
      <c r="AL6" s="29">
        <v>73.370156346489239</v>
      </c>
      <c r="AM6" s="29">
        <v>73.718482823470623</v>
      </c>
      <c r="AN6" s="29">
        <v>73.988247745477082</v>
      </c>
      <c r="AO6" s="29">
        <v>74.201999438396456</v>
      </c>
      <c r="AP6" s="29">
        <v>74.452388776525069</v>
      </c>
      <c r="AQ6" s="29">
        <v>74.679928703376305</v>
      </c>
      <c r="AR6" s="29">
        <v>75.024408438505787</v>
      </c>
      <c r="AS6" s="29">
        <v>75.129619527939354</v>
      </c>
      <c r="AT6" s="29">
        <v>75.261733449153297</v>
      </c>
      <c r="AU6" s="29">
        <v>75.35626549445999</v>
      </c>
      <c r="AV6" s="29">
        <v>75.423638196632552</v>
      </c>
      <c r="AW6" s="29">
        <v>75.736881168784123</v>
      </c>
      <c r="AX6" s="29">
        <v>75.864676207168941</v>
      </c>
      <c r="AY6" s="29">
        <v>75.967882006608022</v>
      </c>
      <c r="AZ6" s="29">
        <v>76.029897664337426</v>
      </c>
      <c r="BA6" s="29">
        <v>76.108297417977667</v>
      </c>
      <c r="BB6" s="29">
        <v>76.235610632570669</v>
      </c>
      <c r="BC6" s="29">
        <v>76.344381394961573</v>
      </c>
      <c r="BD6" s="29">
        <v>76.469942522834842</v>
      </c>
      <c r="BE6" s="29">
        <v>76.607727834398844</v>
      </c>
      <c r="BF6" s="29">
        <v>76.798450649933557</v>
      </c>
      <c r="BG6" s="29">
        <v>76.948384974038945</v>
      </c>
      <c r="BH6" s="29">
        <v>77.200509492264501</v>
      </c>
      <c r="BI6" s="29">
        <v>77.360027517610106</v>
      </c>
      <c r="BJ6" s="29">
        <v>77.573719793543816</v>
      </c>
      <c r="BK6" s="29">
        <v>77.767128054342848</v>
      </c>
      <c r="BL6" s="29">
        <v>78.021015785776086</v>
      </c>
      <c r="BM6" s="29">
        <v>78.272815663853862</v>
      </c>
      <c r="BN6" s="29">
        <v>78.484257046294402</v>
      </c>
      <c r="BO6" s="29">
        <v>78.691523492295232</v>
      </c>
      <c r="BP6" s="29">
        <v>78.917665720651655</v>
      </c>
      <c r="BQ6" s="29">
        <v>79.129135482057919</v>
      </c>
      <c r="BR6" s="29">
        <v>79.322057870988004</v>
      </c>
      <c r="BS6" s="29">
        <v>79.508693147702928</v>
      </c>
      <c r="BT6" s="29">
        <v>79.69306151436767</v>
      </c>
      <c r="BU6" s="29">
        <v>79.841201616780239</v>
      </c>
      <c r="BV6" s="29">
        <v>80.037957385478052</v>
      </c>
      <c r="BW6" s="29">
        <v>80.217185970982172</v>
      </c>
      <c r="BX6" s="29">
        <v>80.392968776084928</v>
      </c>
      <c r="BY6" s="29">
        <v>80.554473130932706</v>
      </c>
      <c r="BZ6" s="29">
        <v>80.715624746558561</v>
      </c>
      <c r="CA6" s="29">
        <v>80.874598613133458</v>
      </c>
      <c r="CB6" s="29">
        <v>81.036789480416388</v>
      </c>
      <c r="CC6" s="29">
        <v>81.207076235697997</v>
      </c>
      <c r="CD6" s="29">
        <v>81.381876514761487</v>
      </c>
      <c r="CE6" s="29">
        <v>81.540322409739971</v>
      </c>
      <c r="CF6" s="29">
        <v>81.712897155203081</v>
      </c>
      <c r="CG6" s="29">
        <v>81.882298582044811</v>
      </c>
      <c r="CH6" s="29">
        <v>82.053219524486622</v>
      </c>
      <c r="CI6" s="29">
        <v>82.248444010847678</v>
      </c>
      <c r="CJ6" s="29">
        <v>82.394407581971876</v>
      </c>
      <c r="CK6" s="29">
        <v>82.56196021639721</v>
      </c>
      <c r="CL6" s="29">
        <v>82.738362264501518</v>
      </c>
      <c r="CM6" s="29">
        <v>82.90338622163182</v>
      </c>
      <c r="CN6" s="29">
        <v>83.064948081193521</v>
      </c>
      <c r="CO6" s="29">
        <v>83.221598789857595</v>
      </c>
      <c r="CP6" s="29">
        <v>83.381691509567929</v>
      </c>
      <c r="CQ6" s="29">
        <v>83.534593905639156</v>
      </c>
      <c r="CR6" s="29">
        <v>83.675245736472675</v>
      </c>
      <c r="CS6" s="29">
        <v>83.83770146805324</v>
      </c>
      <c r="CT6" s="29">
        <v>83.987191877763863</v>
      </c>
      <c r="CU6" s="29">
        <v>84.133133310109685</v>
      </c>
      <c r="CV6" s="29">
        <v>84.269611042027137</v>
      </c>
      <c r="CW6" s="29">
        <v>84.414973128813386</v>
      </c>
      <c r="CX6" s="29">
        <v>84.559986013124714</v>
      </c>
      <c r="CY6" s="29">
        <v>84.702785388800351</v>
      </c>
      <c r="CZ6" s="29">
        <v>84.837678063752321</v>
      </c>
      <c r="DA6" s="29">
        <v>84.974856621773199</v>
      </c>
      <c r="DB6" s="29">
        <v>85.117867506894953</v>
      </c>
      <c r="DC6" s="29">
        <v>85.254117349359433</v>
      </c>
      <c r="DD6" s="29">
        <v>85.390061055055327</v>
      </c>
      <c r="DE6" s="29">
        <v>85.52987074552351</v>
      </c>
      <c r="DF6" s="29">
        <v>85.666832615920853</v>
      </c>
      <c r="DG6" s="29">
        <v>85.802235742317748</v>
      </c>
      <c r="DH6" s="29">
        <v>85.929908905941943</v>
      </c>
      <c r="DI6" s="29">
        <v>86.059975868252351</v>
      </c>
      <c r="DJ6" s="29">
        <v>86.191643687579386</v>
      </c>
      <c r="DK6" s="29">
        <v>86.324886935408628</v>
      </c>
      <c r="DL6" s="29">
        <v>86.451133783809411</v>
      </c>
      <c r="DM6" s="29">
        <v>86.578086351546133</v>
      </c>
      <c r="DN6" s="29">
        <v>86.707529130147748</v>
      </c>
      <c r="DO6" s="29">
        <v>86.833100465307808</v>
      </c>
      <c r="DP6" s="29">
        <v>86.957427429582268</v>
      </c>
      <c r="DQ6" s="29">
        <v>87.080630871439979</v>
      </c>
      <c r="DR6" s="29">
        <v>87.202623662056965</v>
      </c>
      <c r="DS6">
        <v>87.323417536526534</v>
      </c>
      <c r="DT6">
        <v>87.443023874945794</v>
      </c>
      <c r="DU6">
        <v>87.561453780367287</v>
      </c>
    </row>
    <row r="7" spans="1:125">
      <c r="A7" s="34">
        <v>5</v>
      </c>
      <c r="B7" s="35"/>
      <c r="C7" s="35"/>
      <c r="D7" s="35"/>
      <c r="E7" s="35"/>
      <c r="F7" s="35"/>
      <c r="G7" s="35"/>
      <c r="H7" s="35"/>
      <c r="I7" s="35"/>
      <c r="J7" s="35"/>
      <c r="K7" s="35"/>
      <c r="L7" s="35"/>
      <c r="M7" s="35"/>
      <c r="N7" s="35"/>
      <c r="O7" s="35"/>
      <c r="P7" s="35"/>
      <c r="Q7" s="35"/>
      <c r="R7" s="35"/>
      <c r="S7" s="35"/>
      <c r="T7" s="35"/>
      <c r="U7" s="35"/>
      <c r="V7" s="29"/>
      <c r="W7" s="29"/>
      <c r="X7" s="29"/>
      <c r="Y7" s="29">
        <v>68.90626641154185</v>
      </c>
      <c r="Z7" s="29">
        <v>69.163310706918026</v>
      </c>
      <c r="AA7" s="29">
        <v>69.424628638773129</v>
      </c>
      <c r="AB7" s="29">
        <v>69.707805557773696</v>
      </c>
      <c r="AC7" s="29">
        <v>69.90956984369106</v>
      </c>
      <c r="AD7" s="29">
        <v>70.041453341614087</v>
      </c>
      <c r="AE7" s="29">
        <v>70.297899901856425</v>
      </c>
      <c r="AF7" s="29">
        <v>70.592890215634398</v>
      </c>
      <c r="AG7" s="29">
        <v>70.901145517055426</v>
      </c>
      <c r="AH7" s="29">
        <v>71.245123777297465</v>
      </c>
      <c r="AI7" s="29">
        <v>71.549800501231928</v>
      </c>
      <c r="AJ7" s="29">
        <v>71.902282386518209</v>
      </c>
      <c r="AK7" s="29">
        <v>72.206724297093331</v>
      </c>
      <c r="AL7" s="29">
        <v>72.577514466991701</v>
      </c>
      <c r="AM7" s="29">
        <v>72.926845426520657</v>
      </c>
      <c r="AN7" s="29">
        <v>73.197381121604366</v>
      </c>
      <c r="AO7" s="29">
        <v>73.432776283885943</v>
      </c>
      <c r="AP7" s="29">
        <v>73.715653887140391</v>
      </c>
      <c r="AQ7" s="29">
        <v>73.997073479816478</v>
      </c>
      <c r="AR7" s="29">
        <v>74.225426396541707</v>
      </c>
      <c r="AS7" s="29">
        <v>74.330925158842518</v>
      </c>
      <c r="AT7" s="29">
        <v>74.393395686677451</v>
      </c>
      <c r="AU7" s="29">
        <v>74.460802985930087</v>
      </c>
      <c r="AV7" s="29">
        <v>74.528270469471494</v>
      </c>
      <c r="AW7" s="29">
        <v>74.841959212014842</v>
      </c>
      <c r="AX7" s="29">
        <v>74.94334077514651</v>
      </c>
      <c r="AY7" s="29">
        <v>75.04444745499049</v>
      </c>
      <c r="AZ7" s="29">
        <v>75.102357773682783</v>
      </c>
      <c r="BA7" s="29">
        <v>75.172295364483176</v>
      </c>
      <c r="BB7" s="29">
        <v>75.300177438703258</v>
      </c>
      <c r="BC7" s="29">
        <v>75.409831058093602</v>
      </c>
      <c r="BD7" s="29">
        <v>75.531969790178991</v>
      </c>
      <c r="BE7" s="29">
        <v>75.668056165875811</v>
      </c>
      <c r="BF7" s="29">
        <v>75.856762483226007</v>
      </c>
      <c r="BG7" s="29">
        <v>76.006596066273516</v>
      </c>
      <c r="BH7" s="29">
        <v>76.250718952996067</v>
      </c>
      <c r="BI7" s="29">
        <v>76.413911671855246</v>
      </c>
      <c r="BJ7" s="29">
        <v>76.626835961621396</v>
      </c>
      <c r="BK7" s="29">
        <v>76.820424144969905</v>
      </c>
      <c r="BL7" s="29">
        <v>77.072629302607311</v>
      </c>
      <c r="BM7" s="29">
        <v>77.326610731033298</v>
      </c>
      <c r="BN7" s="29">
        <v>77.535797922810218</v>
      </c>
      <c r="BO7" s="29">
        <v>77.744890544715375</v>
      </c>
      <c r="BP7" s="29">
        <v>77.967729154332176</v>
      </c>
      <c r="BQ7" s="29">
        <v>78.176365092162541</v>
      </c>
      <c r="BR7" s="29">
        <v>78.370066584823462</v>
      </c>
      <c r="BS7" s="29">
        <v>78.55018272814425</v>
      </c>
      <c r="BT7" s="29">
        <v>78.734537781299082</v>
      </c>
      <c r="BU7" s="29">
        <v>78.883445714032788</v>
      </c>
      <c r="BV7" s="29">
        <v>79.076665861229898</v>
      </c>
      <c r="BW7" s="29">
        <v>79.255547021396296</v>
      </c>
      <c r="BX7" s="29">
        <v>79.429271738787804</v>
      </c>
      <c r="BY7" s="29">
        <v>79.591092105997632</v>
      </c>
      <c r="BZ7" s="29">
        <v>79.747677895224939</v>
      </c>
      <c r="CA7" s="29">
        <v>79.903955442922836</v>
      </c>
      <c r="CB7" s="29">
        <v>80.065519670322772</v>
      </c>
      <c r="CC7" s="29">
        <v>80.232477689506936</v>
      </c>
      <c r="CD7" s="29">
        <v>80.407679601328823</v>
      </c>
      <c r="CE7" s="29">
        <v>80.565031447480038</v>
      </c>
      <c r="CF7" s="29">
        <v>80.736788442026864</v>
      </c>
      <c r="CG7" s="29">
        <v>80.902962840256379</v>
      </c>
      <c r="CH7" s="29">
        <v>81.075630701132013</v>
      </c>
      <c r="CI7" s="29">
        <v>81.269131678760829</v>
      </c>
      <c r="CJ7" s="29">
        <v>81.415113196076476</v>
      </c>
      <c r="CK7" s="29">
        <v>81.581857848142505</v>
      </c>
      <c r="CL7" s="29">
        <v>81.757576507356845</v>
      </c>
      <c r="CM7" s="29">
        <v>81.921242122921996</v>
      </c>
      <c r="CN7" s="29">
        <v>82.082311500427735</v>
      </c>
      <c r="CO7" s="29">
        <v>82.23746587108154</v>
      </c>
      <c r="CP7" s="29">
        <v>82.395966267766482</v>
      </c>
      <c r="CQ7" s="29">
        <v>82.548735929928768</v>
      </c>
      <c r="CR7" s="29">
        <v>82.688548985677016</v>
      </c>
      <c r="CS7" s="29">
        <v>82.850591425349648</v>
      </c>
      <c r="CT7" s="29">
        <v>82.999667787512294</v>
      </c>
      <c r="CU7" s="29">
        <v>83.143806269054181</v>
      </c>
      <c r="CV7" s="29">
        <v>83.281322585149454</v>
      </c>
      <c r="CW7" s="29">
        <v>83.425995822620848</v>
      </c>
      <c r="CX7" s="29">
        <v>83.571574222154851</v>
      </c>
      <c r="CY7" s="29">
        <v>83.712667098771718</v>
      </c>
      <c r="CZ7" s="29">
        <v>83.847875210090237</v>
      </c>
      <c r="DA7" s="29">
        <v>83.986329121659537</v>
      </c>
      <c r="DB7" s="29">
        <v>84.128480590956599</v>
      </c>
      <c r="DC7" s="29">
        <v>84.26490082193672</v>
      </c>
      <c r="DD7" s="29">
        <v>84.400742505329589</v>
      </c>
      <c r="DE7" s="29">
        <v>84.539592645100896</v>
      </c>
      <c r="DF7" s="29">
        <v>84.675849328858845</v>
      </c>
      <c r="DG7" s="29">
        <v>84.809776395925923</v>
      </c>
      <c r="DH7" s="29">
        <v>84.939135760661401</v>
      </c>
      <c r="DI7" s="29">
        <v>85.069315219618844</v>
      </c>
      <c r="DJ7" s="29">
        <v>85.200320093629514</v>
      </c>
      <c r="DK7" s="29">
        <v>85.332593715244968</v>
      </c>
      <c r="DL7" s="29">
        <v>85.460747637366126</v>
      </c>
      <c r="DM7" s="29">
        <v>85.587368613648749</v>
      </c>
      <c r="DN7" s="29">
        <v>85.715998956570289</v>
      </c>
      <c r="DO7" s="29">
        <v>85.840811007086387</v>
      </c>
      <c r="DP7" s="29">
        <v>85.964933801207309</v>
      </c>
      <c r="DQ7" s="29">
        <v>86.087845495880529</v>
      </c>
      <c r="DR7" s="29">
        <v>86.209557803905312</v>
      </c>
      <c r="DS7">
        <v>86.330082029858957</v>
      </c>
      <c r="DT7">
        <v>86.449429139500069</v>
      </c>
      <c r="DU7">
        <v>86.567609837135535</v>
      </c>
    </row>
    <row r="8" spans="1:125">
      <c r="A8" s="34">
        <v>6</v>
      </c>
      <c r="B8" s="35"/>
      <c r="C8" s="35"/>
      <c r="D8" s="35"/>
      <c r="E8" s="35"/>
      <c r="F8" s="35"/>
      <c r="G8" s="35"/>
      <c r="H8" s="35"/>
      <c r="I8" s="35"/>
      <c r="J8" s="35"/>
      <c r="K8" s="35"/>
      <c r="L8" s="35"/>
      <c r="M8" s="35"/>
      <c r="N8" s="35"/>
      <c r="O8" s="35"/>
      <c r="P8" s="35"/>
      <c r="Q8" s="35"/>
      <c r="R8" s="35"/>
      <c r="S8" s="35"/>
      <c r="T8" s="35"/>
      <c r="U8" s="35"/>
      <c r="V8" s="29"/>
      <c r="W8" s="29"/>
      <c r="X8" s="29"/>
      <c r="Y8" s="29">
        <v>68.081754109005814</v>
      </c>
      <c r="Z8" s="29">
        <v>68.36384557791412</v>
      </c>
      <c r="AA8" s="29">
        <v>68.618616645984872</v>
      </c>
      <c r="AB8" s="29">
        <v>68.875282072578528</v>
      </c>
      <c r="AC8" s="29">
        <v>69.064752344492888</v>
      </c>
      <c r="AD8" s="29">
        <v>69.196926591755414</v>
      </c>
      <c r="AE8" s="29">
        <v>69.453944232296024</v>
      </c>
      <c r="AF8" s="29">
        <v>69.775324112985771</v>
      </c>
      <c r="AG8" s="29">
        <v>70.094102146782831</v>
      </c>
      <c r="AH8" s="29">
        <v>70.418049022582778</v>
      </c>
      <c r="AI8" s="29">
        <v>70.712207233871325</v>
      </c>
      <c r="AJ8" s="29">
        <v>71.076550688414471</v>
      </c>
      <c r="AK8" s="29">
        <v>71.381738587863651</v>
      </c>
      <c r="AL8" s="29">
        <v>71.753437065172434</v>
      </c>
      <c r="AM8" s="29">
        <v>72.103630312926015</v>
      </c>
      <c r="AN8" s="29">
        <v>72.392621281523873</v>
      </c>
      <c r="AO8" s="29">
        <v>72.655436678227289</v>
      </c>
      <c r="AP8" s="29">
        <v>72.984060877381495</v>
      </c>
      <c r="AQ8" s="29">
        <v>73.146511239110566</v>
      </c>
      <c r="AR8" s="29">
        <v>73.375361921558962</v>
      </c>
      <c r="AS8" s="29">
        <v>73.428878527910626</v>
      </c>
      <c r="AT8" s="29">
        <v>73.474423531014693</v>
      </c>
      <c r="AU8" s="29">
        <v>73.541904678154339</v>
      </c>
      <c r="AV8" s="29">
        <v>73.609446735682596</v>
      </c>
      <c r="AW8" s="29">
        <v>73.904325853796507</v>
      </c>
      <c r="AX8" s="29">
        <v>74.002362090872396</v>
      </c>
      <c r="AY8" s="29">
        <v>74.106119930466889</v>
      </c>
      <c r="AZ8" s="29">
        <v>74.160199655649265</v>
      </c>
      <c r="BA8" s="29">
        <v>74.228326992141945</v>
      </c>
      <c r="BB8" s="29">
        <v>74.35668730551707</v>
      </c>
      <c r="BC8" s="29">
        <v>74.457845984441121</v>
      </c>
      <c r="BD8" s="29">
        <v>74.58075503574122</v>
      </c>
      <c r="BE8" s="29">
        <v>74.719053036818849</v>
      </c>
      <c r="BF8" s="29">
        <v>74.905219929610624</v>
      </c>
      <c r="BG8" s="29">
        <v>75.054079846002523</v>
      </c>
      <c r="BH8" s="29">
        <v>75.296239353619882</v>
      </c>
      <c r="BI8" s="29">
        <v>75.457669658466102</v>
      </c>
      <c r="BJ8" s="29">
        <v>75.671340563712562</v>
      </c>
      <c r="BK8" s="29">
        <v>75.867104899416432</v>
      </c>
      <c r="BL8" s="29">
        <v>76.119536826557379</v>
      </c>
      <c r="BM8" s="29">
        <v>76.370018845449863</v>
      </c>
      <c r="BN8" s="29">
        <v>76.584875577891935</v>
      </c>
      <c r="BO8" s="29">
        <v>76.789728914542636</v>
      </c>
      <c r="BP8" s="29">
        <v>77.010901538417272</v>
      </c>
      <c r="BQ8" s="29">
        <v>77.217458906842552</v>
      </c>
      <c r="BR8" s="29">
        <v>77.409702115275877</v>
      </c>
      <c r="BS8" s="29">
        <v>77.591422112149502</v>
      </c>
      <c r="BT8" s="29">
        <v>77.771648824230596</v>
      </c>
      <c r="BU8" s="29">
        <v>77.919303148052251</v>
      </c>
      <c r="BV8" s="29">
        <v>78.10820766363743</v>
      </c>
      <c r="BW8" s="29">
        <v>78.289792709048783</v>
      </c>
      <c r="BX8" s="29">
        <v>78.459429483458564</v>
      </c>
      <c r="BY8" s="29">
        <v>78.621075991022508</v>
      </c>
      <c r="BZ8" s="29">
        <v>78.777301933795215</v>
      </c>
      <c r="CA8" s="29">
        <v>78.929287901019791</v>
      </c>
      <c r="CB8" s="29">
        <v>79.088467998756556</v>
      </c>
      <c r="CC8" s="29">
        <v>79.256927382601035</v>
      </c>
      <c r="CD8" s="29">
        <v>79.427115126237226</v>
      </c>
      <c r="CE8" s="29">
        <v>79.585261677654529</v>
      </c>
      <c r="CF8" s="29">
        <v>79.757400110336846</v>
      </c>
      <c r="CG8" s="29">
        <v>79.922570508433509</v>
      </c>
      <c r="CH8" s="29">
        <v>80.095638488062065</v>
      </c>
      <c r="CI8" s="29">
        <v>80.288833317197287</v>
      </c>
      <c r="CJ8" s="29">
        <v>80.434377126294606</v>
      </c>
      <c r="CK8" s="29">
        <v>80.59718194307635</v>
      </c>
      <c r="CL8" s="29">
        <v>80.770910259479109</v>
      </c>
      <c r="CM8" s="29">
        <v>80.937312693797139</v>
      </c>
      <c r="CN8" s="29">
        <v>81.096274180428097</v>
      </c>
      <c r="CO8" s="29">
        <v>81.247752734620406</v>
      </c>
      <c r="CP8" s="29">
        <v>81.406827104053747</v>
      </c>
      <c r="CQ8" s="29">
        <v>81.557844355494638</v>
      </c>
      <c r="CR8" s="29">
        <v>81.697806388165787</v>
      </c>
      <c r="CS8" s="29">
        <v>81.860185654539947</v>
      </c>
      <c r="CT8" s="29">
        <v>82.009971164675022</v>
      </c>
      <c r="CU8" s="29">
        <v>82.154955434233273</v>
      </c>
      <c r="CV8" s="29">
        <v>82.292585759566975</v>
      </c>
      <c r="CW8" s="29">
        <v>82.435798532739682</v>
      </c>
      <c r="CX8" s="29">
        <v>82.579952281330051</v>
      </c>
      <c r="CY8" s="29">
        <v>82.721807355392372</v>
      </c>
      <c r="CZ8" s="29">
        <v>82.857073692222045</v>
      </c>
      <c r="DA8" s="29">
        <v>82.994143781445203</v>
      </c>
      <c r="DB8" s="29">
        <v>83.136977097697411</v>
      </c>
      <c r="DC8" s="29">
        <v>83.274286893205215</v>
      </c>
      <c r="DD8" s="29">
        <v>83.411045775949958</v>
      </c>
      <c r="DE8" s="29">
        <v>83.54828642699664</v>
      </c>
      <c r="DF8" s="29">
        <v>83.682661434049749</v>
      </c>
      <c r="DG8" s="29">
        <v>83.816602931442716</v>
      </c>
      <c r="DH8" s="29">
        <v>83.946674358756525</v>
      </c>
      <c r="DI8" s="29">
        <v>84.077997902026794</v>
      </c>
      <c r="DJ8" s="29">
        <v>84.207705838312606</v>
      </c>
      <c r="DK8" s="29">
        <v>84.339255648242343</v>
      </c>
      <c r="DL8" s="29">
        <v>84.467524376278789</v>
      </c>
      <c r="DM8" s="29">
        <v>84.594857987574386</v>
      </c>
      <c r="DN8" s="29">
        <v>84.722001824656019</v>
      </c>
      <c r="DO8" s="29">
        <v>84.847097896424216</v>
      </c>
      <c r="DP8" s="29">
        <v>84.970980187844447</v>
      </c>
      <c r="DQ8" s="29">
        <v>85.093660513830656</v>
      </c>
      <c r="DR8" s="29">
        <v>85.215150244128779</v>
      </c>
      <c r="DS8">
        <v>85.335460352907802</v>
      </c>
      <c r="DT8">
        <v>85.454601487715692</v>
      </c>
      <c r="DU8">
        <v>85.572584046414406</v>
      </c>
    </row>
    <row r="9" spans="1:125">
      <c r="A9" s="34">
        <v>7</v>
      </c>
      <c r="B9" s="35"/>
      <c r="C9" s="35"/>
      <c r="D9" s="35"/>
      <c r="E9" s="35"/>
      <c r="F9" s="35"/>
      <c r="G9" s="35"/>
      <c r="H9" s="35"/>
      <c r="I9" s="35"/>
      <c r="J9" s="35"/>
      <c r="K9" s="35"/>
      <c r="L9" s="35"/>
      <c r="M9" s="35"/>
      <c r="N9" s="35"/>
      <c r="O9" s="35"/>
      <c r="P9" s="35"/>
      <c r="Q9" s="35"/>
      <c r="R9" s="35"/>
      <c r="S9" s="35"/>
      <c r="T9" s="35"/>
      <c r="U9" s="35"/>
      <c r="V9" s="29"/>
      <c r="W9" s="29"/>
      <c r="X9" s="29"/>
      <c r="Y9" s="29">
        <v>67.252875200811118</v>
      </c>
      <c r="Z9" s="29">
        <v>67.538084887861871</v>
      </c>
      <c r="AA9" s="29">
        <v>67.768999517788487</v>
      </c>
      <c r="AB9" s="29">
        <v>68.014749531713193</v>
      </c>
      <c r="AC9" s="29">
        <v>68.204597586116208</v>
      </c>
      <c r="AD9" s="29">
        <v>68.337037066680779</v>
      </c>
      <c r="AE9" s="29">
        <v>68.617669299447641</v>
      </c>
      <c r="AF9" s="29">
        <v>68.948505735400971</v>
      </c>
      <c r="AG9" s="29">
        <v>69.249291411278719</v>
      </c>
      <c r="AH9" s="29">
        <v>69.56385973554508</v>
      </c>
      <c r="AI9" s="29">
        <v>69.868562071532722</v>
      </c>
      <c r="AJ9" s="29">
        <v>70.233722704206656</v>
      </c>
      <c r="AK9" s="29">
        <v>70.539593208711466</v>
      </c>
      <c r="AL9" s="29">
        <v>70.912122798028633</v>
      </c>
      <c r="AM9" s="29">
        <v>71.279092410122502</v>
      </c>
      <c r="AN9" s="29">
        <v>71.592885244185325</v>
      </c>
      <c r="AO9" s="29">
        <v>71.896763296891066</v>
      </c>
      <c r="AP9" s="29">
        <v>72.102973734759303</v>
      </c>
      <c r="AQ9" s="29">
        <v>72.265710269835807</v>
      </c>
      <c r="AR9" s="29">
        <v>72.453306648926571</v>
      </c>
      <c r="AS9" s="29">
        <v>72.495714646479968</v>
      </c>
      <c r="AT9" s="29">
        <v>72.541309231740712</v>
      </c>
      <c r="AU9" s="29">
        <v>72.608852172037828</v>
      </c>
      <c r="AV9" s="29">
        <v>72.661994496244972</v>
      </c>
      <c r="AW9" s="29">
        <v>72.954237755221754</v>
      </c>
      <c r="AX9" s="29">
        <v>73.051267250608916</v>
      </c>
      <c r="AY9" s="29">
        <v>73.153542226103042</v>
      </c>
      <c r="AZ9" s="29">
        <v>73.208638640208022</v>
      </c>
      <c r="BA9" s="29">
        <v>73.273321470769588</v>
      </c>
      <c r="BB9" s="29">
        <v>73.397683111590581</v>
      </c>
      <c r="BC9" s="29">
        <v>73.498363481816611</v>
      </c>
      <c r="BD9" s="29">
        <v>73.625154865897002</v>
      </c>
      <c r="BE9" s="29">
        <v>73.761510409676731</v>
      </c>
      <c r="BF9" s="29">
        <v>73.944831279976427</v>
      </c>
      <c r="BG9" s="29">
        <v>74.095689103315351</v>
      </c>
      <c r="BH9" s="29">
        <v>74.336069704409311</v>
      </c>
      <c r="BI9" s="29">
        <v>74.497282733437913</v>
      </c>
      <c r="BJ9" s="29">
        <v>74.711524202287677</v>
      </c>
      <c r="BK9" s="29">
        <v>74.909261615443242</v>
      </c>
      <c r="BL9" s="29">
        <v>75.162599998016773</v>
      </c>
      <c r="BM9" s="29">
        <v>75.411772728985369</v>
      </c>
      <c r="BN9" s="29">
        <v>75.62588307129289</v>
      </c>
      <c r="BO9" s="29">
        <v>75.832816969277161</v>
      </c>
      <c r="BP9" s="29">
        <v>76.052482788426289</v>
      </c>
      <c r="BQ9" s="29">
        <v>76.252723629829148</v>
      </c>
      <c r="BR9" s="29">
        <v>76.444630330454928</v>
      </c>
      <c r="BS9" s="29">
        <v>76.625533249101267</v>
      </c>
      <c r="BT9" s="29">
        <v>76.80448766391136</v>
      </c>
      <c r="BU9" s="29">
        <v>76.951074459880815</v>
      </c>
      <c r="BV9" s="29">
        <v>77.137983956348847</v>
      </c>
      <c r="BW9" s="29">
        <v>77.317667865810904</v>
      </c>
      <c r="BX9" s="29">
        <v>77.484175851393786</v>
      </c>
      <c r="BY9" s="29">
        <v>77.646164266588954</v>
      </c>
      <c r="BZ9" s="29">
        <v>77.801029501794773</v>
      </c>
      <c r="CA9" s="29">
        <v>77.949842306225804</v>
      </c>
      <c r="CB9" s="29">
        <v>78.108238673170547</v>
      </c>
      <c r="CC9" s="29">
        <v>78.277014258838136</v>
      </c>
      <c r="CD9" s="29">
        <v>78.444815628298159</v>
      </c>
      <c r="CE9" s="29">
        <v>78.602317156861176</v>
      </c>
      <c r="CF9" s="29">
        <v>78.776778027854732</v>
      </c>
      <c r="CG9" s="29">
        <v>78.938218857765861</v>
      </c>
      <c r="CH9" s="29">
        <v>79.112421478094831</v>
      </c>
      <c r="CI9" s="29">
        <v>79.304060596287769</v>
      </c>
      <c r="CJ9" s="29">
        <v>79.449984718908397</v>
      </c>
      <c r="CK9" s="29">
        <v>79.610002893013771</v>
      </c>
      <c r="CL9" s="29">
        <v>79.783639553857995</v>
      </c>
      <c r="CM9" s="29">
        <v>79.950673459962417</v>
      </c>
      <c r="CN9" s="29">
        <v>80.108619281449947</v>
      </c>
      <c r="CO9" s="29">
        <v>80.258382993922481</v>
      </c>
      <c r="CP9" s="29">
        <v>80.416780831200185</v>
      </c>
      <c r="CQ9" s="29">
        <v>80.568056250217225</v>
      </c>
      <c r="CR9" s="29">
        <v>80.709701125737482</v>
      </c>
      <c r="CS9" s="29">
        <v>80.869087148348186</v>
      </c>
      <c r="CT9" s="29">
        <v>81.020158582350831</v>
      </c>
      <c r="CU9" s="29">
        <v>81.162147017344196</v>
      </c>
      <c r="CV9" s="29">
        <v>81.30164894091547</v>
      </c>
      <c r="CW9" s="29">
        <v>81.445086624299378</v>
      </c>
      <c r="CX9" s="29">
        <v>81.586174696837674</v>
      </c>
      <c r="CY9" s="29">
        <v>81.729235408971888</v>
      </c>
      <c r="CZ9" s="29">
        <v>81.865628692929903</v>
      </c>
      <c r="DA9" s="29">
        <v>82.00090919744396</v>
      </c>
      <c r="DB9" s="29">
        <v>82.145950194322069</v>
      </c>
      <c r="DC9" s="29">
        <v>82.281303007957277</v>
      </c>
      <c r="DD9" s="29">
        <v>82.416767076688984</v>
      </c>
      <c r="DE9" s="29">
        <v>82.555020336669003</v>
      </c>
      <c r="DF9" s="29">
        <v>82.6884702543598</v>
      </c>
      <c r="DG9" s="29">
        <v>82.823204409849893</v>
      </c>
      <c r="DH9" s="29">
        <v>82.954827290514956</v>
      </c>
      <c r="DI9" s="29">
        <v>83.085119237516835</v>
      </c>
      <c r="DJ9" s="29">
        <v>83.215756407356395</v>
      </c>
      <c r="DK9" s="29">
        <v>83.345393546300841</v>
      </c>
      <c r="DL9" s="29">
        <v>83.472817427201164</v>
      </c>
      <c r="DM9" s="29">
        <v>83.601412627613257</v>
      </c>
      <c r="DN9" s="29">
        <v>83.72751910319333</v>
      </c>
      <c r="DO9" s="29">
        <v>83.852407592492199</v>
      </c>
      <c r="DP9" s="29">
        <v>83.976090049980954</v>
      </c>
      <c r="DQ9" s="29">
        <v>84.098578004839368</v>
      </c>
      <c r="DR9" s="29">
        <v>84.219882551400644</v>
      </c>
      <c r="DS9">
        <v>84.340014398384824</v>
      </c>
      <c r="DT9">
        <v>84.458983937509743</v>
      </c>
      <c r="DU9">
        <v>84.576801320092855</v>
      </c>
    </row>
    <row r="10" spans="1:125">
      <c r="A10" s="34">
        <v>8</v>
      </c>
      <c r="B10" s="35"/>
      <c r="C10" s="35"/>
      <c r="D10" s="35"/>
      <c r="E10" s="35"/>
      <c r="F10" s="35"/>
      <c r="G10" s="35"/>
      <c r="H10" s="35"/>
      <c r="I10" s="35"/>
      <c r="J10" s="35"/>
      <c r="K10" s="35"/>
      <c r="L10" s="35"/>
      <c r="M10" s="35"/>
      <c r="N10" s="35"/>
      <c r="O10" s="35"/>
      <c r="P10" s="35"/>
      <c r="Q10" s="35"/>
      <c r="R10" s="35"/>
      <c r="S10" s="35"/>
      <c r="T10" s="35"/>
      <c r="U10" s="35"/>
      <c r="V10" s="29"/>
      <c r="W10" s="29"/>
      <c r="X10" s="29"/>
      <c r="Y10" s="29">
        <v>66.386182394289719</v>
      </c>
      <c r="Z10" s="29">
        <v>66.651811108829577</v>
      </c>
      <c r="AA10" s="29">
        <v>66.89224753788946</v>
      </c>
      <c r="AB10" s="29">
        <v>67.138446046979652</v>
      </c>
      <c r="AC10" s="29">
        <v>67.328629862465704</v>
      </c>
      <c r="AD10" s="29">
        <v>67.486090146698913</v>
      </c>
      <c r="AE10" s="29">
        <v>67.760510226133803</v>
      </c>
      <c r="AF10" s="29">
        <v>68.078324498269779</v>
      </c>
      <c r="AG10" s="29">
        <v>68.376064453413107</v>
      </c>
      <c r="AH10" s="29">
        <v>68.69814249931062</v>
      </c>
      <c r="AI10" s="29">
        <v>69.003442704248386</v>
      </c>
      <c r="AJ10" s="29">
        <v>69.369318326473902</v>
      </c>
      <c r="AK10" s="29">
        <v>69.675786126463322</v>
      </c>
      <c r="AL10" s="29">
        <v>70.06276444957453</v>
      </c>
      <c r="AM10" s="29">
        <v>70.451229251368801</v>
      </c>
      <c r="AN10" s="29">
        <v>70.800470486064953</v>
      </c>
      <c r="AO10" s="29">
        <v>70.995967994191489</v>
      </c>
      <c r="AP10" s="29">
        <v>71.2024787730398</v>
      </c>
      <c r="AQ10" s="29">
        <v>71.344031782624072</v>
      </c>
      <c r="AR10" s="29">
        <v>71.509338914081582</v>
      </c>
      <c r="AS10" s="29">
        <v>71.551780731863573</v>
      </c>
      <c r="AT10" s="29">
        <v>71.59742299115689</v>
      </c>
      <c r="AU10" s="29">
        <v>71.653284756789745</v>
      </c>
      <c r="AV10" s="29">
        <v>71.705173496692197</v>
      </c>
      <c r="AW10" s="29">
        <v>71.996916658255387</v>
      </c>
      <c r="AX10" s="29">
        <v>72.091941682017719</v>
      </c>
      <c r="AY10" s="29">
        <v>72.194790001240733</v>
      </c>
      <c r="AZ10" s="29">
        <v>72.250626377222375</v>
      </c>
      <c r="BA10" s="29">
        <v>72.311644836494011</v>
      </c>
      <c r="BB10" s="29">
        <v>72.439834567501691</v>
      </c>
      <c r="BC10" s="29">
        <v>72.533513256540232</v>
      </c>
      <c r="BD10" s="29">
        <v>72.662612149635294</v>
      </c>
      <c r="BE10" s="29">
        <v>72.798918843717217</v>
      </c>
      <c r="BF10" s="29">
        <v>72.981628317342341</v>
      </c>
      <c r="BG10" s="29">
        <v>73.128128684689841</v>
      </c>
      <c r="BH10" s="29">
        <v>73.373098787182698</v>
      </c>
      <c r="BI10" s="29">
        <v>73.534269659661192</v>
      </c>
      <c r="BJ10" s="29">
        <v>73.750066169670248</v>
      </c>
      <c r="BK10" s="29">
        <v>73.943439442517302</v>
      </c>
      <c r="BL10" s="29">
        <v>74.199230374000479</v>
      </c>
      <c r="BM10" s="29">
        <v>74.449582624632797</v>
      </c>
      <c r="BN10" s="29">
        <v>74.660806700627887</v>
      </c>
      <c r="BO10" s="29">
        <v>74.868945951939111</v>
      </c>
      <c r="BP10" s="29">
        <v>75.085832891976082</v>
      </c>
      <c r="BQ10" s="29">
        <v>75.284409463987913</v>
      </c>
      <c r="BR10" s="29">
        <v>75.476857509708793</v>
      </c>
      <c r="BS10" s="29">
        <v>75.654940620695712</v>
      </c>
      <c r="BT10" s="29">
        <v>75.833611089167249</v>
      </c>
      <c r="BU10" s="29">
        <v>75.978226049665338</v>
      </c>
      <c r="BV10" s="29">
        <v>76.165000686864005</v>
      </c>
      <c r="BW10" s="29">
        <v>76.343433016180484</v>
      </c>
      <c r="BX10" s="29">
        <v>76.508519723658765</v>
      </c>
      <c r="BY10" s="29">
        <v>76.669111826331033</v>
      </c>
      <c r="BZ10" s="29">
        <v>76.820004341121091</v>
      </c>
      <c r="CA10" s="29">
        <v>76.968705705874243</v>
      </c>
      <c r="CB10" s="29">
        <v>77.126979777260686</v>
      </c>
      <c r="CC10" s="29">
        <v>77.294439564830697</v>
      </c>
      <c r="CD10" s="29">
        <v>77.46040498671853</v>
      </c>
      <c r="CE10" s="29">
        <v>77.620969074854216</v>
      </c>
      <c r="CF10" s="29">
        <v>77.792984717088871</v>
      </c>
      <c r="CG10" s="29">
        <v>77.955780059792147</v>
      </c>
      <c r="CH10" s="29">
        <v>78.124981764447739</v>
      </c>
      <c r="CI10" s="29">
        <v>78.316209663633359</v>
      </c>
      <c r="CJ10" s="29">
        <v>78.462961090609468</v>
      </c>
      <c r="CK10" s="29">
        <v>78.622478338556135</v>
      </c>
      <c r="CL10" s="29">
        <v>78.795386701206013</v>
      </c>
      <c r="CM10" s="29">
        <v>78.959742733108385</v>
      </c>
      <c r="CN10" s="29">
        <v>79.118526287785926</v>
      </c>
      <c r="CO10" s="29">
        <v>79.268190412658157</v>
      </c>
      <c r="CP10" s="29">
        <v>79.427229145710442</v>
      </c>
      <c r="CQ10" s="29">
        <v>79.576177775873305</v>
      </c>
      <c r="CR10" s="29">
        <v>79.716651213086877</v>
      </c>
      <c r="CS10" s="29">
        <v>79.878347090019844</v>
      </c>
      <c r="CT10" s="29">
        <v>80.029295381004374</v>
      </c>
      <c r="CU10" s="29">
        <v>80.168909110967235</v>
      </c>
      <c r="CV10" s="29">
        <v>80.309745689480238</v>
      </c>
      <c r="CW10" s="29">
        <v>80.452124272738985</v>
      </c>
      <c r="CX10" s="29">
        <v>80.593762109512198</v>
      </c>
      <c r="CY10" s="29">
        <v>80.735635199926634</v>
      </c>
      <c r="CZ10" s="29">
        <v>80.87340747258429</v>
      </c>
      <c r="DA10" s="29">
        <v>81.006246433133384</v>
      </c>
      <c r="DB10" s="29">
        <v>81.152500607492584</v>
      </c>
      <c r="DC10" s="29">
        <v>81.290048396039069</v>
      </c>
      <c r="DD10" s="29">
        <v>81.421730717880223</v>
      </c>
      <c r="DE10" s="29">
        <v>81.560562715967336</v>
      </c>
      <c r="DF10" s="29">
        <v>81.693771979544863</v>
      </c>
      <c r="DG10" s="29">
        <v>81.828361420164214</v>
      </c>
      <c r="DH10" s="29">
        <v>81.960271134099202</v>
      </c>
      <c r="DI10" s="29">
        <v>82.09164364941779</v>
      </c>
      <c r="DJ10" s="29">
        <v>82.221380620566038</v>
      </c>
      <c r="DK10" s="29">
        <v>82.350678107217519</v>
      </c>
      <c r="DL10" s="29">
        <v>82.479345648396475</v>
      </c>
      <c r="DM10" s="29">
        <v>82.606487512120964</v>
      </c>
      <c r="DN10" s="29">
        <v>82.732406276867863</v>
      </c>
      <c r="DO10" s="29">
        <v>82.85711393866103</v>
      </c>
      <c r="DP10" s="29">
        <v>82.980622202891752</v>
      </c>
      <c r="DQ10" s="29">
        <v>83.10294235847438</v>
      </c>
      <c r="DR10" s="29">
        <v>83.224085267989153</v>
      </c>
      <c r="DS10">
        <v>83.34406141662717</v>
      </c>
      <c r="DT10">
        <v>83.462880980523181</v>
      </c>
      <c r="DU10">
        <v>83.580553903088202</v>
      </c>
    </row>
    <row r="11" spans="1:125">
      <c r="A11" s="34">
        <v>9</v>
      </c>
      <c r="B11" s="35"/>
      <c r="C11" s="35"/>
      <c r="D11" s="35"/>
      <c r="E11" s="35"/>
      <c r="F11" s="35"/>
      <c r="G11" s="35"/>
      <c r="H11" s="35"/>
      <c r="I11" s="35"/>
      <c r="J11" s="35"/>
      <c r="K11" s="35"/>
      <c r="L11" s="35"/>
      <c r="M11" s="35"/>
      <c r="N11" s="35"/>
      <c r="O11" s="35"/>
      <c r="P11" s="35"/>
      <c r="Q11" s="35"/>
      <c r="R11" s="35"/>
      <c r="S11" s="35"/>
      <c r="T11" s="35"/>
      <c r="U11" s="35"/>
      <c r="V11" s="29"/>
      <c r="W11" s="29"/>
      <c r="X11" s="29"/>
      <c r="Y11" s="29">
        <v>65.483540438618036</v>
      </c>
      <c r="Z11" s="29">
        <v>65.757387670351179</v>
      </c>
      <c r="AA11" s="29">
        <v>65.998211683317038</v>
      </c>
      <c r="AB11" s="29">
        <v>66.244801324278995</v>
      </c>
      <c r="AC11" s="29">
        <v>66.456500921348578</v>
      </c>
      <c r="AD11" s="29">
        <v>66.608416129555962</v>
      </c>
      <c r="AE11" s="29">
        <v>66.871606731059842</v>
      </c>
      <c r="AF11" s="29">
        <v>67.186885346100738</v>
      </c>
      <c r="AG11" s="29">
        <v>67.491028315824451</v>
      </c>
      <c r="AH11" s="29">
        <v>67.813662327374558</v>
      </c>
      <c r="AI11" s="29">
        <v>68.119485259289689</v>
      </c>
      <c r="AJ11" s="29">
        <v>68.485985783428362</v>
      </c>
      <c r="AK11" s="29">
        <v>68.804716325766748</v>
      </c>
      <c r="AL11" s="29">
        <v>69.210137320585034</v>
      </c>
      <c r="AM11" s="29">
        <v>69.629153565226716</v>
      </c>
      <c r="AN11" s="29">
        <v>69.888715271402702</v>
      </c>
      <c r="AO11" s="29">
        <v>70.084456101768211</v>
      </c>
      <c r="AP11" s="29">
        <v>70.272172923577358</v>
      </c>
      <c r="AQ11" s="29">
        <v>70.392245557902385</v>
      </c>
      <c r="AR11" s="29">
        <v>70.55767861077635</v>
      </c>
      <c r="AS11" s="29">
        <v>70.600149863082493</v>
      </c>
      <c r="AT11" s="29">
        <v>70.635159019048317</v>
      </c>
      <c r="AU11" s="29">
        <v>70.690047914249362</v>
      </c>
      <c r="AV11" s="29">
        <v>70.741196466866597</v>
      </c>
      <c r="AW11" s="29">
        <v>71.029383064060653</v>
      </c>
      <c r="AX11" s="29">
        <v>71.127012740143499</v>
      </c>
      <c r="AY11" s="29">
        <v>71.230212812308508</v>
      </c>
      <c r="AZ11" s="29">
        <v>71.282442163044081</v>
      </c>
      <c r="BA11" s="29">
        <v>71.345297114689316</v>
      </c>
      <c r="BB11" s="29">
        <v>71.472207244848477</v>
      </c>
      <c r="BC11" s="29">
        <v>71.568342392009527</v>
      </c>
      <c r="BD11" s="29">
        <v>71.695755604005086</v>
      </c>
      <c r="BE11" s="29">
        <v>71.831126715752248</v>
      </c>
      <c r="BF11" s="29">
        <v>72.012362578214635</v>
      </c>
      <c r="BG11" s="29">
        <v>72.159947317352334</v>
      </c>
      <c r="BH11" s="29">
        <v>72.406105622468615</v>
      </c>
      <c r="BI11" s="29">
        <v>72.567841980736219</v>
      </c>
      <c r="BJ11" s="29">
        <v>72.782794229889362</v>
      </c>
      <c r="BK11" s="29">
        <v>72.975454768371876</v>
      </c>
      <c r="BL11" s="29">
        <v>73.233735883962069</v>
      </c>
      <c r="BM11" s="29">
        <v>73.481652866092105</v>
      </c>
      <c r="BN11" s="29">
        <v>73.691590828090824</v>
      </c>
      <c r="BO11" s="29">
        <v>73.894932863735164</v>
      </c>
      <c r="BP11" s="29">
        <v>74.112825649853534</v>
      </c>
      <c r="BQ11" s="29">
        <v>74.311292824630073</v>
      </c>
      <c r="BR11" s="29">
        <v>74.500564153745245</v>
      </c>
      <c r="BS11" s="29">
        <v>74.679511030653416</v>
      </c>
      <c r="BT11" s="29">
        <v>74.859859110203814</v>
      </c>
      <c r="BU11" s="29">
        <v>75.001466705517856</v>
      </c>
      <c r="BV11" s="29">
        <v>75.187538748490852</v>
      </c>
      <c r="BW11" s="29">
        <v>75.363249725047396</v>
      </c>
      <c r="BX11" s="29">
        <v>75.527797976997419</v>
      </c>
      <c r="BY11" s="29">
        <v>75.687119857410849</v>
      </c>
      <c r="BZ11" s="29">
        <v>75.837335639654285</v>
      </c>
      <c r="CA11" s="29">
        <v>75.98673850719625</v>
      </c>
      <c r="CB11" s="29">
        <v>76.144039630726667</v>
      </c>
      <c r="CC11" s="29">
        <v>76.308713726850257</v>
      </c>
      <c r="CD11" s="29">
        <v>76.475670804696051</v>
      </c>
      <c r="CE11" s="29">
        <v>76.640476932258309</v>
      </c>
      <c r="CF11" s="29">
        <v>76.808198078283795</v>
      </c>
      <c r="CG11" s="29">
        <v>76.970218774455475</v>
      </c>
      <c r="CH11" s="29">
        <v>77.136480596810486</v>
      </c>
      <c r="CI11" s="29">
        <v>77.327644987974281</v>
      </c>
      <c r="CJ11" s="29">
        <v>77.473167155785859</v>
      </c>
      <c r="CK11" s="29">
        <v>77.633086120034108</v>
      </c>
      <c r="CL11" s="29">
        <v>77.803632197442369</v>
      </c>
      <c r="CM11" s="29">
        <v>77.969483203845783</v>
      </c>
      <c r="CN11" s="29">
        <v>78.127572694505815</v>
      </c>
      <c r="CO11" s="29">
        <v>78.27850565629916</v>
      </c>
      <c r="CP11" s="29">
        <v>78.434673008622497</v>
      </c>
      <c r="CQ11" s="29">
        <v>78.583636800857704</v>
      </c>
      <c r="CR11" s="29">
        <v>78.724695414713366</v>
      </c>
      <c r="CS11" s="29">
        <v>78.889132622868232</v>
      </c>
      <c r="CT11" s="29">
        <v>79.036553868551536</v>
      </c>
      <c r="CU11" s="29">
        <v>79.176175617322059</v>
      </c>
      <c r="CV11" s="29">
        <v>79.316223556745186</v>
      </c>
      <c r="CW11" s="29">
        <v>79.46002917134436</v>
      </c>
      <c r="CX11" s="29">
        <v>79.599133461974162</v>
      </c>
      <c r="CY11" s="29">
        <v>79.741280589190268</v>
      </c>
      <c r="CZ11" s="29">
        <v>79.88111067053606</v>
      </c>
      <c r="DA11" s="29">
        <v>80.013622173779837</v>
      </c>
      <c r="DB11" s="29">
        <v>80.159227347808709</v>
      </c>
      <c r="DC11" s="29">
        <v>80.2940631404432</v>
      </c>
      <c r="DD11" s="29">
        <v>80.427098790707575</v>
      </c>
      <c r="DE11" s="29">
        <v>80.567222911225315</v>
      </c>
      <c r="DF11" s="29">
        <v>80.699569196010046</v>
      </c>
      <c r="DG11" s="29">
        <v>80.835343562193742</v>
      </c>
      <c r="DH11" s="29">
        <v>80.966311672333717</v>
      </c>
      <c r="DI11" s="29">
        <v>81.096609190299773</v>
      </c>
      <c r="DJ11" s="29">
        <v>81.226604078834384</v>
      </c>
      <c r="DK11" s="29">
        <v>81.356045487445087</v>
      </c>
      <c r="DL11" s="29">
        <v>81.484237870243959</v>
      </c>
      <c r="DM11" s="29">
        <v>81.611201865754367</v>
      </c>
      <c r="DN11" s="29">
        <v>81.7369491683761</v>
      </c>
      <c r="DO11" s="29">
        <v>81.861491546724807</v>
      </c>
      <c r="DP11" s="29">
        <v>81.984840486670763</v>
      </c>
      <c r="DQ11" s="29">
        <v>82.107007065223186</v>
      </c>
      <c r="DR11" s="29">
        <v>82.228001940418039</v>
      </c>
      <c r="DS11">
        <v>82.347835400019392</v>
      </c>
      <c r="DT11">
        <v>82.466517429617141</v>
      </c>
      <c r="DU11">
        <v>82.584057788731755</v>
      </c>
    </row>
    <row r="12" spans="1:125">
      <c r="A12" s="34">
        <v>10</v>
      </c>
      <c r="B12" s="35"/>
      <c r="C12" s="35"/>
      <c r="D12" s="35"/>
      <c r="E12" s="35"/>
      <c r="F12" s="35"/>
      <c r="G12" s="35"/>
      <c r="H12" s="35"/>
      <c r="I12" s="35"/>
      <c r="J12" s="35"/>
      <c r="K12" s="35"/>
      <c r="L12" s="35"/>
      <c r="M12" s="35"/>
      <c r="N12" s="35"/>
      <c r="O12" s="35"/>
      <c r="P12" s="35"/>
      <c r="Q12" s="35"/>
      <c r="R12" s="35"/>
      <c r="S12" s="35"/>
      <c r="T12" s="35"/>
      <c r="U12" s="35"/>
      <c r="V12" s="29"/>
      <c r="W12" s="29"/>
      <c r="X12" s="29"/>
      <c r="Y12" s="29">
        <v>64.5739375126673</v>
      </c>
      <c r="Z12" s="29">
        <v>64.848163649615387</v>
      </c>
      <c r="AA12" s="29">
        <v>65.089326094268046</v>
      </c>
      <c r="AB12" s="29">
        <v>65.354449361510575</v>
      </c>
      <c r="AC12" s="29">
        <v>65.561481259201599</v>
      </c>
      <c r="AD12" s="29">
        <v>65.703589109521019</v>
      </c>
      <c r="AE12" s="29">
        <v>65.964536725037192</v>
      </c>
      <c r="AF12" s="29">
        <v>66.285324534633475</v>
      </c>
      <c r="AG12" s="29">
        <v>66.589923116980259</v>
      </c>
      <c r="AH12" s="29">
        <v>66.913042692014329</v>
      </c>
      <c r="AI12" s="29">
        <v>67.219322103853969</v>
      </c>
      <c r="AJ12" s="29">
        <v>67.596423010417993</v>
      </c>
      <c r="AK12" s="29">
        <v>67.930832823335393</v>
      </c>
      <c r="AL12" s="29">
        <v>68.36243664784979</v>
      </c>
      <c r="AM12" s="29">
        <v>68.712087601393819</v>
      </c>
      <c r="AN12" s="29">
        <v>68.971965474413196</v>
      </c>
      <c r="AO12" s="29">
        <v>69.150004412960797</v>
      </c>
      <c r="AP12" s="29">
        <v>69.316119384627683</v>
      </c>
      <c r="AQ12" s="29">
        <v>69.436275276552522</v>
      </c>
      <c r="AR12" s="29">
        <v>69.601827265652602</v>
      </c>
      <c r="AS12" s="29">
        <v>69.636740224824479</v>
      </c>
      <c r="AT12" s="29">
        <v>69.669383048321777</v>
      </c>
      <c r="AU12" s="29">
        <v>69.722136401330289</v>
      </c>
      <c r="AV12" s="29">
        <v>69.774424483865161</v>
      </c>
      <c r="AW12" s="29">
        <v>70.062913060946826</v>
      </c>
      <c r="AX12" s="29">
        <v>70.15881995684299</v>
      </c>
      <c r="AY12" s="29">
        <v>70.262269413265813</v>
      </c>
      <c r="AZ12" s="29">
        <v>70.313229830567039</v>
      </c>
      <c r="BA12" s="29">
        <v>70.374363442255643</v>
      </c>
      <c r="BB12" s="29">
        <v>70.502816535664323</v>
      </c>
      <c r="BC12" s="29">
        <v>70.596445207618018</v>
      </c>
      <c r="BD12" s="29">
        <v>70.725279980229942</v>
      </c>
      <c r="BE12" s="29">
        <v>70.859828783380834</v>
      </c>
      <c r="BF12" s="29">
        <v>71.040261519326492</v>
      </c>
      <c r="BG12" s="29">
        <v>71.188472832273447</v>
      </c>
      <c r="BH12" s="29">
        <v>71.435204313002288</v>
      </c>
      <c r="BI12" s="29">
        <v>71.596966382368734</v>
      </c>
      <c r="BJ12" s="29">
        <v>71.812668628867542</v>
      </c>
      <c r="BK12" s="29">
        <v>72.003839971705133</v>
      </c>
      <c r="BL12" s="29">
        <v>72.261329136160654</v>
      </c>
      <c r="BM12" s="29">
        <v>72.509255189639617</v>
      </c>
      <c r="BN12" s="29">
        <v>72.716436472985606</v>
      </c>
      <c r="BO12" s="29">
        <v>72.917230446978223</v>
      </c>
      <c r="BP12" s="29">
        <v>73.136153794096316</v>
      </c>
      <c r="BQ12" s="29">
        <v>73.33260747417124</v>
      </c>
      <c r="BR12" s="29">
        <v>73.524526221355913</v>
      </c>
      <c r="BS12" s="29">
        <v>73.701169557637414</v>
      </c>
      <c r="BT12" s="29">
        <v>73.880290194266649</v>
      </c>
      <c r="BU12" s="29">
        <v>74.019844028019179</v>
      </c>
      <c r="BV12" s="29">
        <v>74.205504241841354</v>
      </c>
      <c r="BW12" s="29">
        <v>74.379633784031228</v>
      </c>
      <c r="BX12" s="29">
        <v>74.546069853786946</v>
      </c>
      <c r="BY12" s="29">
        <v>74.704243849595429</v>
      </c>
      <c r="BZ12" s="29">
        <v>74.851441106745767</v>
      </c>
      <c r="CA12" s="29">
        <v>75.00122044650594</v>
      </c>
      <c r="CB12" s="29">
        <v>75.159323768306393</v>
      </c>
      <c r="CC12" s="29">
        <v>75.32338786327837</v>
      </c>
      <c r="CD12" s="29">
        <v>75.487092029754308</v>
      </c>
      <c r="CE12" s="29">
        <v>75.654427406488423</v>
      </c>
      <c r="CF12" s="29">
        <v>75.820013433995001</v>
      </c>
      <c r="CG12" s="29">
        <v>75.980905810900438</v>
      </c>
      <c r="CH12" s="29">
        <v>76.146521969332298</v>
      </c>
      <c r="CI12" s="29">
        <v>76.339240778788309</v>
      </c>
      <c r="CJ12" s="29">
        <v>76.482494574129134</v>
      </c>
      <c r="CK12" s="29">
        <v>76.642933006979774</v>
      </c>
      <c r="CL12" s="29">
        <v>76.81182451981249</v>
      </c>
      <c r="CM12" s="29">
        <v>76.977243863973598</v>
      </c>
      <c r="CN12" s="29">
        <v>77.136357995104561</v>
      </c>
      <c r="CO12" s="29">
        <v>77.287397917329955</v>
      </c>
      <c r="CP12" s="29">
        <v>77.442207338469842</v>
      </c>
      <c r="CQ12" s="29">
        <v>77.589946936911446</v>
      </c>
      <c r="CR12" s="29">
        <v>77.731967431621442</v>
      </c>
      <c r="CS12" s="29">
        <v>77.895286833676039</v>
      </c>
      <c r="CT12" s="29">
        <v>78.043207495659757</v>
      </c>
      <c r="CU12" s="29">
        <v>78.182566477501339</v>
      </c>
      <c r="CV12" s="29">
        <v>78.322437246631154</v>
      </c>
      <c r="CW12" s="29">
        <v>78.465520702444252</v>
      </c>
      <c r="CX12" s="29">
        <v>78.604826663773594</v>
      </c>
      <c r="CY12" s="29">
        <v>78.74775097374274</v>
      </c>
      <c r="CZ12" s="29">
        <v>78.886667924309634</v>
      </c>
      <c r="DA12" s="29">
        <v>79.019793165999886</v>
      </c>
      <c r="DB12" s="29">
        <v>79.166095257960279</v>
      </c>
      <c r="DC12" s="29">
        <v>79.299354458940456</v>
      </c>
      <c r="DD12" s="29">
        <v>79.432874112824123</v>
      </c>
      <c r="DE12" s="29">
        <v>79.572457794748971</v>
      </c>
      <c r="DF12" s="29">
        <v>79.704927954845104</v>
      </c>
      <c r="DG12" s="29">
        <v>79.84057893701231</v>
      </c>
      <c r="DH12" s="29">
        <v>79.971595606115088</v>
      </c>
      <c r="DI12" s="29">
        <v>80.101863422291586</v>
      </c>
      <c r="DJ12" s="29">
        <v>80.231725520057608</v>
      </c>
      <c r="DK12" s="29">
        <v>80.360975044355897</v>
      </c>
      <c r="DL12" s="29">
        <v>80.488991273506429</v>
      </c>
      <c r="DM12" s="29">
        <v>80.615785345658438</v>
      </c>
      <c r="DN12" s="29">
        <v>80.741368738278013</v>
      </c>
      <c r="DO12" s="29">
        <v>80.865753010433338</v>
      </c>
      <c r="DP12" s="29">
        <v>80.988949445570142</v>
      </c>
      <c r="DQ12" s="29">
        <v>81.110968925155973</v>
      </c>
      <c r="DR12" s="29">
        <v>81.231821918342689</v>
      </c>
      <c r="DS12">
        <v>81.351518530452779</v>
      </c>
      <c r="DT12">
        <v>81.470068570869358</v>
      </c>
      <c r="DU12">
        <v>81.587481628939543</v>
      </c>
    </row>
    <row r="13" spans="1:125">
      <c r="A13" s="34">
        <v>11</v>
      </c>
      <c r="B13" s="35"/>
      <c r="C13" s="35"/>
      <c r="D13" s="35"/>
      <c r="E13" s="35"/>
      <c r="F13" s="35"/>
      <c r="G13" s="35"/>
      <c r="H13" s="35"/>
      <c r="I13" s="35"/>
      <c r="J13" s="35"/>
      <c r="K13" s="35"/>
      <c r="L13" s="35"/>
      <c r="M13" s="35"/>
      <c r="N13" s="35"/>
      <c r="O13" s="35"/>
      <c r="P13" s="35"/>
      <c r="Q13" s="35"/>
      <c r="R13" s="35"/>
      <c r="S13" s="35"/>
      <c r="T13" s="35"/>
      <c r="U13" s="35"/>
      <c r="V13" s="29"/>
      <c r="W13" s="29"/>
      <c r="X13" s="29"/>
      <c r="Y13" s="29">
        <v>63.652851678983083</v>
      </c>
      <c r="Z13" s="29">
        <v>63.927413891866799</v>
      </c>
      <c r="AA13" s="29">
        <v>64.184710238782685</v>
      </c>
      <c r="AB13" s="29">
        <v>64.445860398574595</v>
      </c>
      <c r="AC13" s="29">
        <v>64.644422094525908</v>
      </c>
      <c r="AD13" s="29">
        <v>64.78441499234259</v>
      </c>
      <c r="AE13" s="29">
        <v>65.050087785786985</v>
      </c>
      <c r="AF13" s="29">
        <v>65.37129650903421</v>
      </c>
      <c r="AG13" s="29">
        <v>65.676298727642148</v>
      </c>
      <c r="AH13" s="29">
        <v>65.99984835623934</v>
      </c>
      <c r="AI13" s="29">
        <v>66.315265907505108</v>
      </c>
      <c r="AJ13" s="29">
        <v>66.706092877211731</v>
      </c>
      <c r="AK13" s="29">
        <v>67.063139554853166</v>
      </c>
      <c r="AL13" s="29">
        <v>67.441719149232625</v>
      </c>
      <c r="AM13" s="29">
        <v>67.791795196066815</v>
      </c>
      <c r="AN13" s="29">
        <v>68.034786566007398</v>
      </c>
      <c r="AO13" s="29">
        <v>68.189797641453168</v>
      </c>
      <c r="AP13" s="29">
        <v>68.35601406285366</v>
      </c>
      <c r="AQ13" s="29">
        <v>68.47624725546882</v>
      </c>
      <c r="AR13" s="29">
        <v>68.635330006179231</v>
      </c>
      <c r="AS13" s="29">
        <v>68.667050309425292</v>
      </c>
      <c r="AT13" s="29">
        <v>68.698869727291566</v>
      </c>
      <c r="AU13" s="29">
        <v>68.750728206137069</v>
      </c>
      <c r="AV13" s="29">
        <v>68.80319748309762</v>
      </c>
      <c r="AW13" s="29">
        <v>69.093529189429134</v>
      </c>
      <c r="AX13" s="29">
        <v>69.184986860575322</v>
      </c>
      <c r="AY13" s="29">
        <v>69.289385427598077</v>
      </c>
      <c r="AZ13" s="29">
        <v>69.337485570567409</v>
      </c>
      <c r="BA13" s="29">
        <v>69.401147251477667</v>
      </c>
      <c r="BB13" s="29">
        <v>69.52730690417215</v>
      </c>
      <c r="BC13" s="29">
        <v>69.619759447535699</v>
      </c>
      <c r="BD13" s="29">
        <v>69.752938473443564</v>
      </c>
      <c r="BE13" s="29">
        <v>69.886545992039572</v>
      </c>
      <c r="BF13" s="29">
        <v>70.067167327590226</v>
      </c>
      <c r="BG13" s="29">
        <v>70.215670164744779</v>
      </c>
      <c r="BH13" s="29">
        <v>70.463022437502076</v>
      </c>
      <c r="BI13" s="29">
        <v>70.626632191894558</v>
      </c>
      <c r="BJ13" s="29">
        <v>70.839609996763585</v>
      </c>
      <c r="BK13" s="29">
        <v>71.030765560464658</v>
      </c>
      <c r="BL13" s="29">
        <v>71.285771790303485</v>
      </c>
      <c r="BM13" s="29">
        <v>71.531047806409816</v>
      </c>
      <c r="BN13" s="29">
        <v>71.735779627019809</v>
      </c>
      <c r="BO13" s="29">
        <v>71.938585630739723</v>
      </c>
      <c r="BP13" s="29">
        <v>72.156017693178001</v>
      </c>
      <c r="BQ13" s="29">
        <v>72.351617736365142</v>
      </c>
      <c r="BR13" s="29">
        <v>72.542659246300374</v>
      </c>
      <c r="BS13" s="29">
        <v>72.719399474448224</v>
      </c>
      <c r="BT13" s="29">
        <v>72.900214120466956</v>
      </c>
      <c r="BU13" s="29">
        <v>73.035527989340977</v>
      </c>
      <c r="BV13" s="29">
        <v>73.220056521029818</v>
      </c>
      <c r="BW13" s="29">
        <v>73.394216786133327</v>
      </c>
      <c r="BX13" s="29">
        <v>73.559406566004299</v>
      </c>
      <c r="BY13" s="29">
        <v>73.717758158268822</v>
      </c>
      <c r="BZ13" s="29">
        <v>73.866326269134689</v>
      </c>
      <c r="CA13" s="29">
        <v>74.013588194350604</v>
      </c>
      <c r="CB13" s="29">
        <v>74.170928063195447</v>
      </c>
      <c r="CC13" s="29">
        <v>74.336469392039447</v>
      </c>
      <c r="CD13" s="29">
        <v>74.499110348563448</v>
      </c>
      <c r="CE13" s="29">
        <v>74.665328289999337</v>
      </c>
      <c r="CF13" s="29">
        <v>74.831826344481172</v>
      </c>
      <c r="CG13" s="29">
        <v>74.992546464383508</v>
      </c>
      <c r="CH13" s="29">
        <v>75.155503082211908</v>
      </c>
      <c r="CI13" s="29">
        <v>75.349150753509917</v>
      </c>
      <c r="CJ13" s="29">
        <v>75.491278270652586</v>
      </c>
      <c r="CK13" s="29">
        <v>75.65217049070867</v>
      </c>
      <c r="CL13" s="29">
        <v>75.81956257743596</v>
      </c>
      <c r="CM13" s="29">
        <v>75.98567281241759</v>
      </c>
      <c r="CN13" s="29">
        <v>76.143905160321964</v>
      </c>
      <c r="CO13" s="29">
        <v>76.294151425352908</v>
      </c>
      <c r="CP13" s="29">
        <v>76.450000165658267</v>
      </c>
      <c r="CQ13" s="29">
        <v>76.595731543169919</v>
      </c>
      <c r="CR13" s="29">
        <v>76.739142756531294</v>
      </c>
      <c r="CS13" s="29">
        <v>76.901024859075761</v>
      </c>
      <c r="CT13" s="29">
        <v>77.04871242843214</v>
      </c>
      <c r="CU13" s="29">
        <v>77.18981352372225</v>
      </c>
      <c r="CV13" s="29">
        <v>77.328564991191257</v>
      </c>
      <c r="CW13" s="29">
        <v>77.471803921301259</v>
      </c>
      <c r="CX13" s="29">
        <v>77.611623637704696</v>
      </c>
      <c r="CY13" s="29">
        <v>77.752738806892125</v>
      </c>
      <c r="CZ13" s="29">
        <v>77.891764801351854</v>
      </c>
      <c r="DA13" s="29">
        <v>78.024258987931518</v>
      </c>
      <c r="DB13" s="29">
        <v>78.171128164103777</v>
      </c>
      <c r="DC13" s="29">
        <v>78.305281692214152</v>
      </c>
      <c r="DD13" s="29">
        <v>78.438112904654446</v>
      </c>
      <c r="DE13" s="29">
        <v>78.577397642099484</v>
      </c>
      <c r="DF13" s="29">
        <v>78.710471616004384</v>
      </c>
      <c r="DG13" s="29">
        <v>78.845424597959635</v>
      </c>
      <c r="DH13" s="29">
        <v>78.975587901111936</v>
      </c>
      <c r="DI13" s="29">
        <v>79.10659302442113</v>
      </c>
      <c r="DJ13" s="29">
        <v>79.236898417759477</v>
      </c>
      <c r="DK13" s="29">
        <v>79.365966275902878</v>
      </c>
      <c r="DL13" s="29">
        <v>79.493807147770781</v>
      </c>
      <c r="DM13" s="29">
        <v>79.620431956082825</v>
      </c>
      <c r="DN13" s="29">
        <v>79.745851970072096</v>
      </c>
      <c r="DO13" s="29">
        <v>79.8700785475217</v>
      </c>
      <c r="DP13" s="29">
        <v>79.99312277729625</v>
      </c>
      <c r="DQ13" s="29">
        <v>80.11499535276451</v>
      </c>
      <c r="DR13" s="29">
        <v>80.235706561254617</v>
      </c>
      <c r="DS13">
        <v>80.355266332342723</v>
      </c>
      <c r="DT13">
        <v>80.473684305551984</v>
      </c>
      <c r="DU13">
        <v>80.590969906070455</v>
      </c>
    </row>
    <row r="14" spans="1:125">
      <c r="A14" s="34">
        <v>12</v>
      </c>
      <c r="B14" s="35"/>
      <c r="C14" s="35"/>
      <c r="D14" s="35"/>
      <c r="E14" s="35"/>
      <c r="F14" s="35"/>
      <c r="G14" s="35"/>
      <c r="H14" s="35"/>
      <c r="I14" s="35"/>
      <c r="J14" s="35"/>
      <c r="K14" s="35"/>
      <c r="L14" s="35"/>
      <c r="M14" s="35"/>
      <c r="N14" s="35"/>
      <c r="O14" s="35"/>
      <c r="P14" s="35"/>
      <c r="Q14" s="35"/>
      <c r="R14" s="35"/>
      <c r="S14" s="35"/>
      <c r="T14" s="35"/>
      <c r="U14" s="35"/>
      <c r="V14" s="29"/>
      <c r="W14" s="29"/>
      <c r="X14" s="29"/>
      <c r="Y14" s="29">
        <v>62.723996923702956</v>
      </c>
      <c r="Z14" s="29">
        <v>63.013084430645392</v>
      </c>
      <c r="AA14" s="29">
        <v>63.266812367610719</v>
      </c>
      <c r="AB14" s="29">
        <v>63.520429855240586</v>
      </c>
      <c r="AC14" s="29">
        <v>63.717159080444766</v>
      </c>
      <c r="AD14" s="29">
        <v>63.861260440120084</v>
      </c>
      <c r="AE14" s="29">
        <v>64.12724863735238</v>
      </c>
      <c r="AF14" s="29">
        <v>64.448842955674678</v>
      </c>
      <c r="AG14" s="29">
        <v>64.754215061406867</v>
      </c>
      <c r="AH14" s="29">
        <v>65.086000271505227</v>
      </c>
      <c r="AI14" s="29">
        <v>65.413660096329707</v>
      </c>
      <c r="AJ14" s="29">
        <v>65.824908676806203</v>
      </c>
      <c r="AK14" s="29">
        <v>66.139236488714786</v>
      </c>
      <c r="AL14" s="29">
        <v>66.518256954707255</v>
      </c>
      <c r="AM14" s="29">
        <v>66.852212673252069</v>
      </c>
      <c r="AN14" s="29">
        <v>67.073254535673698</v>
      </c>
      <c r="AO14" s="29">
        <v>67.228351812286732</v>
      </c>
      <c r="AP14" s="29">
        <v>67.394668083294874</v>
      </c>
      <c r="AQ14" s="29">
        <v>67.509379895033831</v>
      </c>
      <c r="AR14" s="29">
        <v>67.664279099136692</v>
      </c>
      <c r="AS14" s="29">
        <v>67.696768463856131</v>
      </c>
      <c r="AT14" s="29">
        <v>67.727953663427684</v>
      </c>
      <c r="AU14" s="29">
        <v>67.780732405343358</v>
      </c>
      <c r="AV14" s="29">
        <v>67.829163435673109</v>
      </c>
      <c r="AW14" s="29">
        <v>68.120287464926619</v>
      </c>
      <c r="AX14" s="29">
        <v>68.210817992981873</v>
      </c>
      <c r="AY14" s="29">
        <v>68.314249878247466</v>
      </c>
      <c r="AZ14" s="29">
        <v>68.364349172257477</v>
      </c>
      <c r="BA14" s="29">
        <v>68.424631074466006</v>
      </c>
      <c r="BB14" s="29">
        <v>68.550824897906537</v>
      </c>
      <c r="BC14" s="29">
        <v>68.644625626781078</v>
      </c>
      <c r="BD14" s="29">
        <v>68.779261156877197</v>
      </c>
      <c r="BE14" s="29">
        <v>68.911866959463225</v>
      </c>
      <c r="BF14" s="29">
        <v>69.094101691830019</v>
      </c>
      <c r="BG14" s="29">
        <v>69.238851629844063</v>
      </c>
      <c r="BH14" s="29">
        <v>69.486983994321207</v>
      </c>
      <c r="BI14" s="29">
        <v>69.650573820847626</v>
      </c>
      <c r="BJ14" s="29">
        <v>69.862389531382917</v>
      </c>
      <c r="BK14" s="29">
        <v>70.05370123664926</v>
      </c>
      <c r="BL14" s="29">
        <v>70.306361505367931</v>
      </c>
      <c r="BM14" s="29">
        <v>70.551176851422298</v>
      </c>
      <c r="BN14" s="29">
        <v>70.757251326495492</v>
      </c>
      <c r="BO14" s="29">
        <v>70.960012462562432</v>
      </c>
      <c r="BP14" s="29">
        <v>71.175286243139496</v>
      </c>
      <c r="BQ14" s="29">
        <v>71.370377811940898</v>
      </c>
      <c r="BR14" s="29">
        <v>71.55949810554668</v>
      </c>
      <c r="BS14" s="29">
        <v>71.737492342523865</v>
      </c>
      <c r="BT14" s="29">
        <v>71.918976239568934</v>
      </c>
      <c r="BU14" s="29">
        <v>72.051373467250002</v>
      </c>
      <c r="BV14" s="29">
        <v>72.234458507845716</v>
      </c>
      <c r="BW14" s="29">
        <v>72.406672002383516</v>
      </c>
      <c r="BX14" s="29">
        <v>72.573812945645997</v>
      </c>
      <c r="BY14" s="29">
        <v>72.728831100219452</v>
      </c>
      <c r="BZ14" s="29">
        <v>72.881388360341248</v>
      </c>
      <c r="CA14" s="29">
        <v>73.024491693358129</v>
      </c>
      <c r="CB14" s="29">
        <v>73.184887775720966</v>
      </c>
      <c r="CC14" s="29">
        <v>73.350727921264621</v>
      </c>
      <c r="CD14" s="29">
        <v>73.511107528457401</v>
      </c>
      <c r="CE14" s="29">
        <v>73.676403352698458</v>
      </c>
      <c r="CF14" s="29">
        <v>73.844593889949905</v>
      </c>
      <c r="CG14" s="29">
        <v>74.00358393247808</v>
      </c>
      <c r="CH14" s="29">
        <v>74.165007382586907</v>
      </c>
      <c r="CI14" s="29">
        <v>74.357275896122928</v>
      </c>
      <c r="CJ14" s="29">
        <v>74.50029075105526</v>
      </c>
      <c r="CK14" s="29">
        <v>74.661080395267874</v>
      </c>
      <c r="CL14" s="29">
        <v>74.828764919686833</v>
      </c>
      <c r="CM14" s="29">
        <v>74.993913629295577</v>
      </c>
      <c r="CN14" s="29">
        <v>75.153127737284407</v>
      </c>
      <c r="CO14" s="29">
        <v>75.302908445042021</v>
      </c>
      <c r="CP14" s="29">
        <v>75.459391637401467</v>
      </c>
      <c r="CQ14" s="29">
        <v>75.603963092148945</v>
      </c>
      <c r="CR14" s="29">
        <v>75.747036901980337</v>
      </c>
      <c r="CS14" s="29">
        <v>75.906886108301592</v>
      </c>
      <c r="CT14" s="29">
        <v>76.056117747980466</v>
      </c>
      <c r="CU14" s="29">
        <v>76.196020368727346</v>
      </c>
      <c r="CV14" s="29">
        <v>76.335574860485195</v>
      </c>
      <c r="CW14" s="29">
        <v>76.476934248959012</v>
      </c>
      <c r="CX14" s="29">
        <v>76.618310956433589</v>
      </c>
      <c r="CY14" s="29">
        <v>76.757401319882177</v>
      </c>
      <c r="CZ14" s="29">
        <v>76.896736514380578</v>
      </c>
      <c r="DA14" s="29">
        <v>77.030696751801514</v>
      </c>
      <c r="DB14" s="29">
        <v>77.17759034124478</v>
      </c>
      <c r="DC14" s="29">
        <v>77.311136959625543</v>
      </c>
      <c r="DD14" s="29">
        <v>77.44440127558552</v>
      </c>
      <c r="DE14" s="29">
        <v>77.583426435644654</v>
      </c>
      <c r="DF14" s="29">
        <v>77.716001161788228</v>
      </c>
      <c r="DG14" s="29">
        <v>77.849665287932751</v>
      </c>
      <c r="DH14" s="29">
        <v>77.980873552764578</v>
      </c>
      <c r="DI14" s="29">
        <v>78.112225467162688</v>
      </c>
      <c r="DJ14" s="29">
        <v>78.242336477889637</v>
      </c>
      <c r="DK14" s="29">
        <v>78.37121658068159</v>
      </c>
      <c r="DL14" s="29">
        <v>78.498876102574116</v>
      </c>
      <c r="DM14" s="29">
        <v>78.625325751660398</v>
      </c>
      <c r="DN14" s="29">
        <v>78.750576589572546</v>
      </c>
      <c r="DO14" s="29">
        <v>78.874639773279284</v>
      </c>
      <c r="DP14" s="29">
        <v>78.997526197382001</v>
      </c>
      <c r="DQ14" s="29">
        <v>79.119246367325076</v>
      </c>
      <c r="DR14" s="29">
        <v>79.239810388653325</v>
      </c>
      <c r="DS14">
        <v>79.359228015111938</v>
      </c>
      <c r="DT14">
        <v>79.4775087161633</v>
      </c>
      <c r="DU14">
        <v>79.594661752527543</v>
      </c>
    </row>
    <row r="15" spans="1:125">
      <c r="A15" s="34">
        <v>13</v>
      </c>
      <c r="B15" s="35"/>
      <c r="C15" s="35"/>
      <c r="D15" s="35"/>
      <c r="E15" s="35"/>
      <c r="F15" s="35"/>
      <c r="G15" s="35"/>
      <c r="H15" s="35"/>
      <c r="I15" s="35"/>
      <c r="J15" s="35"/>
      <c r="K15" s="35"/>
      <c r="L15" s="35"/>
      <c r="M15" s="35"/>
      <c r="N15" s="35"/>
      <c r="O15" s="35"/>
      <c r="P15" s="35"/>
      <c r="Q15" s="35"/>
      <c r="R15" s="35"/>
      <c r="S15" s="35"/>
      <c r="T15" s="35"/>
      <c r="U15" s="35"/>
      <c r="V15" s="29"/>
      <c r="W15" s="29"/>
      <c r="X15" s="29"/>
      <c r="Y15" s="29">
        <v>61.810840420887985</v>
      </c>
      <c r="Z15" s="29">
        <v>62.100329606084912</v>
      </c>
      <c r="AA15" s="29">
        <v>62.348129479898112</v>
      </c>
      <c r="AB15" s="29">
        <v>62.595764217688796</v>
      </c>
      <c r="AC15" s="29">
        <v>62.799048637525843</v>
      </c>
      <c r="AD15" s="29">
        <v>62.943331889871914</v>
      </c>
      <c r="AE15" s="29">
        <v>63.209662585472948</v>
      </c>
      <c r="AF15" s="29">
        <v>63.531675021734827</v>
      </c>
      <c r="AG15" s="29">
        <v>63.845782884157202</v>
      </c>
      <c r="AH15" s="29">
        <v>64.190621169672909</v>
      </c>
      <c r="AI15" s="29">
        <v>64.539889159715628</v>
      </c>
      <c r="AJ15" s="29">
        <v>64.897711866912687</v>
      </c>
      <c r="AK15" s="29">
        <v>65.212396530812669</v>
      </c>
      <c r="AL15" s="29">
        <v>65.57388588787633</v>
      </c>
      <c r="AM15" s="29">
        <v>65.891014157100386</v>
      </c>
      <c r="AN15" s="29">
        <v>66.112186473092635</v>
      </c>
      <c r="AO15" s="29">
        <v>66.267372459422148</v>
      </c>
      <c r="AP15" s="29">
        <v>66.425616731219165</v>
      </c>
      <c r="AQ15" s="29">
        <v>66.5393873563537</v>
      </c>
      <c r="AR15" s="29">
        <v>66.691569884315541</v>
      </c>
      <c r="AS15" s="29">
        <v>66.724931453606501</v>
      </c>
      <c r="AT15" s="29">
        <v>66.755536864828144</v>
      </c>
      <c r="AU15" s="29">
        <v>66.807426187025158</v>
      </c>
      <c r="AV15" s="29">
        <v>66.855783064531153</v>
      </c>
      <c r="AW15" s="29">
        <v>67.146235820796022</v>
      </c>
      <c r="AX15" s="29">
        <v>67.233303097814769</v>
      </c>
      <c r="AY15" s="29">
        <v>67.339874289066273</v>
      </c>
      <c r="AZ15" s="29">
        <v>67.388449664217845</v>
      </c>
      <c r="BA15" s="29">
        <v>67.45095659373618</v>
      </c>
      <c r="BB15" s="29">
        <v>67.576267336964392</v>
      </c>
      <c r="BC15" s="29">
        <v>67.670900190942589</v>
      </c>
      <c r="BD15" s="29">
        <v>67.8044527304925</v>
      </c>
      <c r="BE15" s="29">
        <v>67.936162751653342</v>
      </c>
      <c r="BF15" s="29">
        <v>68.115936268699585</v>
      </c>
      <c r="BG15" s="29">
        <v>68.263949941548105</v>
      </c>
      <c r="BH15" s="29">
        <v>68.513878028917858</v>
      </c>
      <c r="BI15" s="29">
        <v>68.674422045840828</v>
      </c>
      <c r="BJ15" s="29">
        <v>68.887769507181929</v>
      </c>
      <c r="BK15" s="29">
        <v>69.073804595966322</v>
      </c>
      <c r="BL15" s="29">
        <v>69.327769630697844</v>
      </c>
      <c r="BM15" s="29">
        <v>69.572656699144886</v>
      </c>
      <c r="BN15" s="29">
        <v>69.779033836068123</v>
      </c>
      <c r="BO15" s="29">
        <v>69.980182746775526</v>
      </c>
      <c r="BP15" s="29">
        <v>70.193983192122502</v>
      </c>
      <c r="BQ15" s="29">
        <v>70.387833027759584</v>
      </c>
      <c r="BR15" s="29">
        <v>70.577314930415099</v>
      </c>
      <c r="BS15" s="29">
        <v>70.753324490615768</v>
      </c>
      <c r="BT15" s="29">
        <v>70.934814936505603</v>
      </c>
      <c r="BU15" s="29">
        <v>71.066506535839409</v>
      </c>
      <c r="BV15" s="29">
        <v>71.247627470435901</v>
      </c>
      <c r="BW15" s="29">
        <v>71.420703955077727</v>
      </c>
      <c r="BX15" s="29">
        <v>71.586557085340104</v>
      </c>
      <c r="BY15" s="29">
        <v>71.742017007268316</v>
      </c>
      <c r="BZ15" s="29">
        <v>71.893502387474342</v>
      </c>
      <c r="CA15" s="29">
        <v>72.036028440070083</v>
      </c>
      <c r="CB15" s="29">
        <v>72.196464854002954</v>
      </c>
      <c r="CC15" s="29">
        <v>72.363467090477428</v>
      </c>
      <c r="CD15" s="29">
        <v>72.523544628393878</v>
      </c>
      <c r="CE15" s="29">
        <v>72.688540638765886</v>
      </c>
      <c r="CF15" s="29">
        <v>72.854070893551523</v>
      </c>
      <c r="CG15" s="29">
        <v>73.012992127458773</v>
      </c>
      <c r="CH15" s="29">
        <v>73.175643854518</v>
      </c>
      <c r="CI15" s="29">
        <v>73.366291336202281</v>
      </c>
      <c r="CJ15" s="29">
        <v>73.5101894387778</v>
      </c>
      <c r="CK15" s="29">
        <v>73.67022431020709</v>
      </c>
      <c r="CL15" s="29">
        <v>73.838552266076221</v>
      </c>
      <c r="CM15" s="29">
        <v>74.003821509980369</v>
      </c>
      <c r="CN15" s="29">
        <v>74.161114102761019</v>
      </c>
      <c r="CO15" s="29">
        <v>74.309747670704894</v>
      </c>
      <c r="CP15" s="29">
        <v>74.467672843949316</v>
      </c>
      <c r="CQ15" s="29">
        <v>74.612158021540139</v>
      </c>
      <c r="CR15" s="29">
        <v>74.754873408074531</v>
      </c>
      <c r="CS15" s="29">
        <v>74.914140223748376</v>
      </c>
      <c r="CT15" s="29">
        <v>75.061920339953645</v>
      </c>
      <c r="CU15" s="29">
        <v>75.202858908262243</v>
      </c>
      <c r="CV15" s="29">
        <v>75.34307435534916</v>
      </c>
      <c r="CW15" s="29">
        <v>75.484658428989235</v>
      </c>
      <c r="CX15" s="29">
        <v>75.624020648702682</v>
      </c>
      <c r="CY15" s="29">
        <v>75.763296390990448</v>
      </c>
      <c r="CZ15" s="29">
        <v>75.903525991304292</v>
      </c>
      <c r="DA15" s="29">
        <v>76.036986832597933</v>
      </c>
      <c r="DB15" s="29">
        <v>76.182380562341748</v>
      </c>
      <c r="DC15" s="29">
        <v>76.317056039722544</v>
      </c>
      <c r="DD15" s="29">
        <v>76.451220135497465</v>
      </c>
      <c r="DE15" s="29">
        <v>76.588500701031634</v>
      </c>
      <c r="DF15" s="29">
        <v>76.72170206065482</v>
      </c>
      <c r="DG15" s="29">
        <v>76.854834000739373</v>
      </c>
      <c r="DH15" s="29">
        <v>76.987214098448419</v>
      </c>
      <c r="DI15" s="29">
        <v>77.118350998007571</v>
      </c>
      <c r="DJ15" s="29">
        <v>77.248254189665971</v>
      </c>
      <c r="DK15" s="29">
        <v>77.376933433005519</v>
      </c>
      <c r="DL15" s="29">
        <v>77.504398826462136</v>
      </c>
      <c r="DM15" s="29">
        <v>77.630660856854178</v>
      </c>
      <c r="DN15" s="29">
        <v>77.755730371634741</v>
      </c>
      <c r="DO15" s="29">
        <v>77.879618320451442</v>
      </c>
      <c r="DP15" s="29">
        <v>78.002335397207418</v>
      </c>
      <c r="DQ15" s="29">
        <v>78.123891913061186</v>
      </c>
      <c r="DR15" s="29">
        <v>78.244297785488627</v>
      </c>
      <c r="DS15">
        <v>78.363562586196963</v>
      </c>
      <c r="DT15">
        <v>78.481695608461692</v>
      </c>
      <c r="DU15">
        <v>78.598706349206353</v>
      </c>
    </row>
    <row r="16" spans="1:125">
      <c r="A16" s="34">
        <v>14</v>
      </c>
      <c r="B16" s="35"/>
      <c r="C16" s="35"/>
      <c r="D16" s="35"/>
      <c r="E16" s="35"/>
      <c r="F16" s="35"/>
      <c r="G16" s="35"/>
      <c r="H16" s="35"/>
      <c r="I16" s="35"/>
      <c r="J16" s="35"/>
      <c r="K16" s="35"/>
      <c r="L16" s="35"/>
      <c r="M16" s="35"/>
      <c r="N16" s="35"/>
      <c r="O16" s="35"/>
      <c r="P16" s="35"/>
      <c r="Q16" s="35"/>
      <c r="R16" s="35"/>
      <c r="S16" s="35"/>
      <c r="T16" s="35"/>
      <c r="U16" s="35"/>
      <c r="V16" s="29"/>
      <c r="W16" s="29"/>
      <c r="X16" s="29"/>
      <c r="Y16" s="29">
        <v>60.902477333634984</v>
      </c>
      <c r="Z16" s="29">
        <v>61.183432955482729</v>
      </c>
      <c r="AA16" s="29">
        <v>61.425978114689329</v>
      </c>
      <c r="AB16" s="29">
        <v>61.679537087238863</v>
      </c>
      <c r="AC16" s="29">
        <v>61.883088863657917</v>
      </c>
      <c r="AD16" s="29">
        <v>62.02756331612575</v>
      </c>
      <c r="AE16" s="29">
        <v>62.294251820606306</v>
      </c>
      <c r="AF16" s="29">
        <v>62.625214902564018</v>
      </c>
      <c r="AG16" s="29">
        <v>62.952634205944598</v>
      </c>
      <c r="AH16" s="29">
        <v>63.319592164762597</v>
      </c>
      <c r="AI16" s="29">
        <v>63.612932112956649</v>
      </c>
      <c r="AJ16" s="29">
        <v>63.971171743893322</v>
      </c>
      <c r="AK16" s="29">
        <v>64.268240785719541</v>
      </c>
      <c r="AL16" s="29">
        <v>64.615770211182237</v>
      </c>
      <c r="AM16" s="29">
        <v>64.93311015701866</v>
      </c>
      <c r="AN16" s="29">
        <v>65.154426287186581</v>
      </c>
      <c r="AO16" s="29">
        <v>65.301006706926643</v>
      </c>
      <c r="AP16" s="29">
        <v>65.457885414628606</v>
      </c>
      <c r="AQ16" s="29">
        <v>65.568405045177627</v>
      </c>
      <c r="AR16" s="29">
        <v>65.721153242688302</v>
      </c>
      <c r="AS16" s="29">
        <v>65.753771891566345</v>
      </c>
      <c r="AT16" s="29">
        <v>65.783551949665622</v>
      </c>
      <c r="AU16" s="29">
        <v>65.835577059064917</v>
      </c>
      <c r="AV16" s="29">
        <v>65.883295322442876</v>
      </c>
      <c r="AW16" s="29">
        <v>66.17387114663957</v>
      </c>
      <c r="AX16" s="29">
        <v>66.262372212564003</v>
      </c>
      <c r="AY16" s="29">
        <v>66.364340137728263</v>
      </c>
      <c r="AZ16" s="29">
        <v>66.413528293243203</v>
      </c>
      <c r="BA16" s="29">
        <v>66.475448340720945</v>
      </c>
      <c r="BB16" s="29">
        <v>66.60276636274169</v>
      </c>
      <c r="BC16" s="29">
        <v>66.696740379405966</v>
      </c>
      <c r="BD16" s="29">
        <v>66.830366070680597</v>
      </c>
      <c r="BE16" s="29">
        <v>66.961752718880092</v>
      </c>
      <c r="BF16" s="29">
        <v>67.141772866966704</v>
      </c>
      <c r="BG16" s="29">
        <v>67.29010437975694</v>
      </c>
      <c r="BH16" s="29">
        <v>67.53957269696366</v>
      </c>
      <c r="BI16" s="29">
        <v>67.698619519356583</v>
      </c>
      <c r="BJ16" s="29">
        <v>67.910205160705615</v>
      </c>
      <c r="BK16" s="29">
        <v>68.096275013777628</v>
      </c>
      <c r="BL16" s="29">
        <v>68.349006307104503</v>
      </c>
      <c r="BM16" s="29">
        <v>68.593949434046863</v>
      </c>
      <c r="BN16" s="29">
        <v>68.800630129766702</v>
      </c>
      <c r="BO16" s="29">
        <v>68.999521533002252</v>
      </c>
      <c r="BP16" s="29">
        <v>69.214442405620218</v>
      </c>
      <c r="BQ16" s="29">
        <v>69.405653757370587</v>
      </c>
      <c r="BR16" s="29">
        <v>69.594277518383677</v>
      </c>
      <c r="BS16" s="29">
        <v>69.770641005954587</v>
      </c>
      <c r="BT16" s="29">
        <v>69.95189852868873</v>
      </c>
      <c r="BU16" s="29">
        <v>70.082924796978645</v>
      </c>
      <c r="BV16" s="29">
        <v>70.262905755999796</v>
      </c>
      <c r="BW16" s="29">
        <v>70.43554786437673</v>
      </c>
      <c r="BX16" s="29">
        <v>70.600193937781484</v>
      </c>
      <c r="BY16" s="29">
        <v>70.755453561407961</v>
      </c>
      <c r="BZ16" s="29">
        <v>70.908382271028941</v>
      </c>
      <c r="CA16" s="29">
        <v>71.048581715010727</v>
      </c>
      <c r="CB16" s="29">
        <v>71.209029873468239</v>
      </c>
      <c r="CC16" s="29">
        <v>71.375956730340633</v>
      </c>
      <c r="CD16" s="29">
        <v>71.536719489832109</v>
      </c>
      <c r="CE16" s="29">
        <v>71.700391753505556</v>
      </c>
      <c r="CF16" s="29">
        <v>71.86578240195729</v>
      </c>
      <c r="CG16" s="29">
        <v>72.022883012876065</v>
      </c>
      <c r="CH16" s="29">
        <v>72.189310533394021</v>
      </c>
      <c r="CI16" s="29">
        <v>72.375864723908961</v>
      </c>
      <c r="CJ16" s="29">
        <v>72.519919151667537</v>
      </c>
      <c r="CK16" s="29">
        <v>72.680905957483077</v>
      </c>
      <c r="CL16" s="29">
        <v>72.850389979610398</v>
      </c>
      <c r="CM16" s="29">
        <v>73.012580931526728</v>
      </c>
      <c r="CN16" s="29">
        <v>73.167957015454462</v>
      </c>
      <c r="CO16" s="29">
        <v>73.317756166434052</v>
      </c>
      <c r="CP16" s="29">
        <v>73.478094163709144</v>
      </c>
      <c r="CQ16" s="29">
        <v>73.620392537771721</v>
      </c>
      <c r="CR16" s="29">
        <v>73.761756019459028</v>
      </c>
      <c r="CS16" s="29">
        <v>73.921450760082536</v>
      </c>
      <c r="CT16" s="29">
        <v>74.069178377100513</v>
      </c>
      <c r="CU16" s="29">
        <v>74.208945967629944</v>
      </c>
      <c r="CV16" s="29">
        <v>74.353393111624797</v>
      </c>
      <c r="CW16" s="29">
        <v>74.490776850879783</v>
      </c>
      <c r="CX16" s="29">
        <v>74.630371106057339</v>
      </c>
      <c r="CY16" s="29">
        <v>74.769426449771245</v>
      </c>
      <c r="CZ16" s="29">
        <v>74.911488814143695</v>
      </c>
      <c r="DA16" s="29">
        <v>75.044262477459682</v>
      </c>
      <c r="DB16" s="29">
        <v>75.188771416457911</v>
      </c>
      <c r="DC16" s="29">
        <v>75.32396720940929</v>
      </c>
      <c r="DD16" s="29">
        <v>75.457646825265925</v>
      </c>
      <c r="DE16" s="29">
        <v>75.59532411671276</v>
      </c>
      <c r="DF16" s="29">
        <v>75.728807369891626</v>
      </c>
      <c r="DG16" s="29">
        <v>75.862186679690382</v>
      </c>
      <c r="DH16" s="29">
        <v>75.994321800350292</v>
      </c>
      <c r="DI16" s="29">
        <v>76.125221769137767</v>
      </c>
      <c r="DJ16" s="29">
        <v>76.25489581752845</v>
      </c>
      <c r="DK16" s="29">
        <v>76.383353454421382</v>
      </c>
      <c r="DL16" s="29">
        <v>76.510604535423099</v>
      </c>
      <c r="DM16" s="29">
        <v>76.636659312143109</v>
      </c>
      <c r="DN16" s="29">
        <v>76.761528404213237</v>
      </c>
      <c r="DO16" s="29">
        <v>76.885222540603067</v>
      </c>
      <c r="DP16" s="29">
        <v>77.007752201438649</v>
      </c>
      <c r="DQ16" s="29">
        <v>77.129127490787084</v>
      </c>
      <c r="DR16" s="29">
        <v>77.24935812551945</v>
      </c>
      <c r="DS16">
        <v>77.368453483035992</v>
      </c>
      <c r="DT16">
        <v>77.486423227742122</v>
      </c>
      <c r="DU16">
        <v>77.603276064936352</v>
      </c>
    </row>
    <row r="17" spans="1:125">
      <c r="A17" s="34">
        <v>15</v>
      </c>
      <c r="B17" s="35"/>
      <c r="C17" s="35"/>
      <c r="D17" s="35"/>
      <c r="E17" s="35"/>
      <c r="F17" s="35"/>
      <c r="G17" s="35"/>
      <c r="H17" s="35"/>
      <c r="I17" s="35"/>
      <c r="J17" s="35"/>
      <c r="K17" s="35"/>
      <c r="L17" s="35"/>
      <c r="M17" s="35"/>
      <c r="N17" s="35"/>
      <c r="O17" s="35"/>
      <c r="P17" s="35"/>
      <c r="Q17" s="35"/>
      <c r="R17" s="35"/>
      <c r="S17" s="35"/>
      <c r="T17" s="35"/>
      <c r="U17" s="35"/>
      <c r="V17" s="29"/>
      <c r="W17" s="29"/>
      <c r="X17" s="29"/>
      <c r="Y17" s="29">
        <v>59.991003550341119</v>
      </c>
      <c r="Z17" s="29">
        <v>60.267201683495081</v>
      </c>
      <c r="AA17" s="29">
        <v>60.515272564566438</v>
      </c>
      <c r="AB17" s="29">
        <v>60.769201698021334</v>
      </c>
      <c r="AC17" s="29">
        <v>60.973041228313107</v>
      </c>
      <c r="AD17" s="29">
        <v>61.117722133383481</v>
      </c>
      <c r="AE17" s="29">
        <v>61.3938686443298</v>
      </c>
      <c r="AF17" s="29">
        <v>61.739049618134807</v>
      </c>
      <c r="AG17" s="29">
        <v>62.090015107971062</v>
      </c>
      <c r="AH17" s="29">
        <v>62.400705955979092</v>
      </c>
      <c r="AI17" s="29">
        <v>62.694433738902568</v>
      </c>
      <c r="AJ17" s="29">
        <v>63.033221852446275</v>
      </c>
      <c r="AK17" s="29">
        <v>63.314652426865102</v>
      </c>
      <c r="AL17" s="29">
        <v>63.662438788395846</v>
      </c>
      <c r="AM17" s="29">
        <v>63.980018195589544</v>
      </c>
      <c r="AN17" s="29">
        <v>64.191962661315273</v>
      </c>
      <c r="AO17" s="29">
        <v>64.334392616858452</v>
      </c>
      <c r="AP17" s="29">
        <v>64.49036391557236</v>
      </c>
      <c r="AQ17" s="29">
        <v>64.601200690438773</v>
      </c>
      <c r="AR17" s="29">
        <v>64.753320200803287</v>
      </c>
      <c r="AS17" s="29">
        <v>64.788661840814939</v>
      </c>
      <c r="AT17" s="29">
        <v>64.818730409575508</v>
      </c>
      <c r="AU17" s="29">
        <v>64.865434983916344</v>
      </c>
      <c r="AV17" s="29">
        <v>64.910910476282808</v>
      </c>
      <c r="AW17" s="29">
        <v>65.203150456178818</v>
      </c>
      <c r="AX17" s="29">
        <v>65.292493301332513</v>
      </c>
      <c r="AY17" s="29">
        <v>65.391789934794346</v>
      </c>
      <c r="AZ17" s="29">
        <v>65.443667764332133</v>
      </c>
      <c r="BA17" s="29">
        <v>65.506086684134033</v>
      </c>
      <c r="BB17" s="29">
        <v>65.633216050151375</v>
      </c>
      <c r="BC17" s="29">
        <v>65.727424800703744</v>
      </c>
      <c r="BD17" s="29">
        <v>65.858572389818008</v>
      </c>
      <c r="BE17" s="29">
        <v>65.993410617671813</v>
      </c>
      <c r="BF17" s="29">
        <v>66.171194805377326</v>
      </c>
      <c r="BG17" s="29">
        <v>66.320166372955583</v>
      </c>
      <c r="BH17" s="29">
        <v>66.566562526254842</v>
      </c>
      <c r="BI17" s="29">
        <v>66.724413940633411</v>
      </c>
      <c r="BJ17" s="29">
        <v>66.936795070872392</v>
      </c>
      <c r="BK17" s="29">
        <v>67.124303154623249</v>
      </c>
      <c r="BL17" s="29">
        <v>67.373204340833013</v>
      </c>
      <c r="BM17" s="29">
        <v>67.619702672262946</v>
      </c>
      <c r="BN17" s="29">
        <v>67.824343875020986</v>
      </c>
      <c r="BO17" s="29">
        <v>68.023208691186937</v>
      </c>
      <c r="BP17" s="29">
        <v>68.237221327062144</v>
      </c>
      <c r="BQ17" s="29">
        <v>68.425534355358167</v>
      </c>
      <c r="BR17" s="29">
        <v>68.615206832787209</v>
      </c>
      <c r="BS17" s="29">
        <v>68.788430458134115</v>
      </c>
      <c r="BT17" s="29">
        <v>68.969860816746873</v>
      </c>
      <c r="BU17" s="29">
        <v>69.100800522655334</v>
      </c>
      <c r="BV17" s="29">
        <v>69.27892104474887</v>
      </c>
      <c r="BW17" s="29">
        <v>69.452619117951002</v>
      </c>
      <c r="BX17" s="29">
        <v>69.615259740329037</v>
      </c>
      <c r="BY17" s="29">
        <v>69.769729693106996</v>
      </c>
      <c r="BZ17" s="29">
        <v>69.92879331686764</v>
      </c>
      <c r="CA17" s="29">
        <v>70.061735108743761</v>
      </c>
      <c r="CB17" s="29">
        <v>70.223666446406526</v>
      </c>
      <c r="CC17" s="29">
        <v>70.39003707796445</v>
      </c>
      <c r="CD17" s="29">
        <v>70.550613620173777</v>
      </c>
      <c r="CE17" s="29">
        <v>70.714900691992668</v>
      </c>
      <c r="CF17" s="29">
        <v>70.879086618429127</v>
      </c>
      <c r="CG17" s="29">
        <v>71.035641718766811</v>
      </c>
      <c r="CH17" s="29">
        <v>71.20270889813915</v>
      </c>
      <c r="CI17" s="29">
        <v>71.388510819384379</v>
      </c>
      <c r="CJ17" s="29">
        <v>71.533007716761801</v>
      </c>
      <c r="CK17" s="29">
        <v>71.692354691847314</v>
      </c>
      <c r="CL17" s="29">
        <v>71.861840181584228</v>
      </c>
      <c r="CM17" s="29">
        <v>72.022895116936269</v>
      </c>
      <c r="CN17" s="29">
        <v>72.178377840566156</v>
      </c>
      <c r="CO17" s="29">
        <v>72.328106085238147</v>
      </c>
      <c r="CP17" s="29">
        <v>72.488257186161519</v>
      </c>
      <c r="CQ17" s="29">
        <v>72.629642769021928</v>
      </c>
      <c r="CR17" s="29">
        <v>72.773588426935902</v>
      </c>
      <c r="CS17" s="29">
        <v>72.930127543639486</v>
      </c>
      <c r="CT17" s="29">
        <v>73.078827082787924</v>
      </c>
      <c r="CU17" s="29">
        <v>73.216547321725471</v>
      </c>
      <c r="CV17" s="29">
        <v>73.360909055978738</v>
      </c>
      <c r="CW17" s="29">
        <v>73.498915892887226</v>
      </c>
      <c r="CX17" s="29">
        <v>73.639497570380584</v>
      </c>
      <c r="CY17" s="29">
        <v>73.777111078477134</v>
      </c>
      <c r="CZ17" s="29">
        <v>73.919488315069003</v>
      </c>
      <c r="DA17" s="29">
        <v>74.053138997478442</v>
      </c>
      <c r="DB17" s="29">
        <v>74.196838578159372</v>
      </c>
      <c r="DC17" s="29">
        <v>74.331640162221873</v>
      </c>
      <c r="DD17" s="29">
        <v>74.467074122803382</v>
      </c>
      <c r="DE17" s="29">
        <v>74.603201280356814</v>
      </c>
      <c r="DF17" s="29">
        <v>74.73753860019275</v>
      </c>
      <c r="DG17" s="29">
        <v>74.870632098377101</v>
      </c>
      <c r="DH17" s="29">
        <v>75.002490619673893</v>
      </c>
      <c r="DI17" s="29">
        <v>75.133122911082253</v>
      </c>
      <c r="DJ17" s="29">
        <v>75.262537922674341</v>
      </c>
      <c r="DK17" s="29">
        <v>75.39074489055912</v>
      </c>
      <c r="DL17" s="29">
        <v>75.517753405920871</v>
      </c>
      <c r="DM17" s="29">
        <v>75.643573464073043</v>
      </c>
      <c r="DN17" s="29">
        <v>75.768215436234669</v>
      </c>
      <c r="DO17" s="29">
        <v>75.891689810588588</v>
      </c>
      <c r="DP17" s="29">
        <v>76.014006833843155</v>
      </c>
      <c r="DQ17" s="29">
        <v>76.135176383791261</v>
      </c>
      <c r="DR17" s="29">
        <v>76.255207957965183</v>
      </c>
      <c r="DS17">
        <v>76.374111554507579</v>
      </c>
      <c r="DT17">
        <v>76.491895730045428</v>
      </c>
      <c r="DU17">
        <v>76.608568994082447</v>
      </c>
    </row>
    <row r="18" spans="1:125">
      <c r="A18" s="34">
        <v>16</v>
      </c>
      <c r="B18" s="35"/>
      <c r="C18" s="35"/>
      <c r="D18" s="35"/>
      <c r="E18" s="35"/>
      <c r="F18" s="35"/>
      <c r="G18" s="35"/>
      <c r="H18" s="35"/>
      <c r="I18" s="35"/>
      <c r="J18" s="35"/>
      <c r="K18" s="35"/>
      <c r="L18" s="35"/>
      <c r="M18" s="35"/>
      <c r="N18" s="35"/>
      <c r="O18" s="35"/>
      <c r="P18" s="35"/>
      <c r="Q18" s="35"/>
      <c r="R18" s="35"/>
      <c r="S18" s="35"/>
      <c r="T18" s="35"/>
      <c r="U18" s="35"/>
      <c r="V18" s="29"/>
      <c r="W18" s="29"/>
      <c r="X18" s="29"/>
      <c r="Y18" s="29">
        <v>59.084474860317187</v>
      </c>
      <c r="Z18" s="29">
        <v>59.366194646062837</v>
      </c>
      <c r="AA18" s="29">
        <v>59.614683533473475</v>
      </c>
      <c r="AB18" s="29">
        <v>59.869030323031609</v>
      </c>
      <c r="AC18" s="29">
        <v>60.073185734522021</v>
      </c>
      <c r="AD18" s="29">
        <v>60.228151369716954</v>
      </c>
      <c r="AE18" s="29">
        <v>60.519954578131909</v>
      </c>
      <c r="AF18" s="29">
        <v>60.895963117810794</v>
      </c>
      <c r="AG18" s="29">
        <v>61.18518129694651</v>
      </c>
      <c r="AH18" s="29">
        <v>61.496368430506877</v>
      </c>
      <c r="AI18" s="29">
        <v>61.767210070564879</v>
      </c>
      <c r="AJ18" s="29">
        <v>62.086434685082935</v>
      </c>
      <c r="AK18" s="29">
        <v>62.36810959595681</v>
      </c>
      <c r="AL18" s="29">
        <v>62.716196955353062</v>
      </c>
      <c r="AM18" s="29">
        <v>63.024028370074909</v>
      </c>
      <c r="AN18" s="29">
        <v>63.23186369915841</v>
      </c>
      <c r="AO18" s="29">
        <v>63.376132423203401</v>
      </c>
      <c r="AP18" s="29">
        <v>63.530820248175893</v>
      </c>
      <c r="AQ18" s="29">
        <v>63.643224658192707</v>
      </c>
      <c r="AR18" s="29">
        <v>63.793476394425397</v>
      </c>
      <c r="AS18" s="29">
        <v>63.82688211227407</v>
      </c>
      <c r="AT18" s="29">
        <v>63.855039649813094</v>
      </c>
      <c r="AU18" s="29">
        <v>63.899641926416777</v>
      </c>
      <c r="AV18" s="29">
        <v>63.946992379857932</v>
      </c>
      <c r="AW18" s="29">
        <v>64.237867896602637</v>
      </c>
      <c r="AX18" s="29">
        <v>64.326635783607628</v>
      </c>
      <c r="AY18" s="29">
        <v>64.424658616396371</v>
      </c>
      <c r="AZ18" s="29">
        <v>64.477087521591969</v>
      </c>
      <c r="BA18" s="29">
        <v>64.539175175839063</v>
      </c>
      <c r="BB18" s="29">
        <v>64.667082063374011</v>
      </c>
      <c r="BC18" s="29">
        <v>64.762385380410905</v>
      </c>
      <c r="BD18" s="29">
        <v>64.894817121249929</v>
      </c>
      <c r="BE18" s="29">
        <v>65.032451537215195</v>
      </c>
      <c r="BF18" s="29">
        <v>65.208138857679216</v>
      </c>
      <c r="BG18" s="29">
        <v>65.356380462684328</v>
      </c>
      <c r="BH18" s="29">
        <v>65.600092454237142</v>
      </c>
      <c r="BI18" s="29">
        <v>65.759118568164851</v>
      </c>
      <c r="BJ18" s="29">
        <v>65.972178974321622</v>
      </c>
      <c r="BK18" s="29">
        <v>66.160510812797597</v>
      </c>
      <c r="BL18" s="29">
        <v>66.40935732261218</v>
      </c>
      <c r="BM18" s="29">
        <v>66.652418258302248</v>
      </c>
      <c r="BN18" s="29">
        <v>66.856111091876244</v>
      </c>
      <c r="BO18" s="29">
        <v>67.054037250180556</v>
      </c>
      <c r="BP18" s="29">
        <v>67.267518492214293</v>
      </c>
      <c r="BQ18" s="29">
        <v>67.451685913733513</v>
      </c>
      <c r="BR18" s="29">
        <v>67.641794094050709</v>
      </c>
      <c r="BS18" s="29">
        <v>67.811669318923066</v>
      </c>
      <c r="BT18" s="29">
        <v>67.993099324714791</v>
      </c>
      <c r="BU18" s="29">
        <v>68.123297746667845</v>
      </c>
      <c r="BV18" s="29">
        <v>68.301274487125852</v>
      </c>
      <c r="BW18" s="29">
        <v>68.473055136189714</v>
      </c>
      <c r="BX18" s="29">
        <v>68.635382591927055</v>
      </c>
      <c r="BY18" s="29">
        <v>68.791702574468786</v>
      </c>
      <c r="BZ18" s="29">
        <v>68.947025696894201</v>
      </c>
      <c r="CA18" s="29">
        <v>69.081827623930792</v>
      </c>
      <c r="CB18" s="29">
        <v>69.243177256616605</v>
      </c>
      <c r="CC18" s="29">
        <v>69.410174180762681</v>
      </c>
      <c r="CD18" s="29">
        <v>69.571801888891969</v>
      </c>
      <c r="CE18" s="29">
        <v>69.730889936405191</v>
      </c>
      <c r="CF18" s="29">
        <v>69.895997388151542</v>
      </c>
      <c r="CG18" s="29">
        <v>70.053321956523163</v>
      </c>
      <c r="CH18" s="29">
        <v>70.218087833545695</v>
      </c>
      <c r="CI18" s="29">
        <v>70.402236226832656</v>
      </c>
      <c r="CJ18" s="29">
        <v>70.548220282780761</v>
      </c>
      <c r="CK18" s="29">
        <v>70.706934597088974</v>
      </c>
      <c r="CL18" s="29">
        <v>70.877014022366865</v>
      </c>
      <c r="CM18" s="29">
        <v>71.03622469252258</v>
      </c>
      <c r="CN18" s="29">
        <v>71.190131490633689</v>
      </c>
      <c r="CO18" s="29">
        <v>71.339132889412753</v>
      </c>
      <c r="CP18" s="29">
        <v>71.50052915399003</v>
      </c>
      <c r="CQ18" s="29">
        <v>71.642356556378843</v>
      </c>
      <c r="CR18" s="29">
        <v>71.786724760236268</v>
      </c>
      <c r="CS18" s="29">
        <v>71.940644268976186</v>
      </c>
      <c r="CT18" s="29">
        <v>72.086524850340027</v>
      </c>
      <c r="CU18" s="29">
        <v>72.227835017908461</v>
      </c>
      <c r="CV18" s="29">
        <v>72.371627426574321</v>
      </c>
      <c r="CW18" s="29">
        <v>72.508344534607474</v>
      </c>
      <c r="CX18" s="29">
        <v>72.64979995007036</v>
      </c>
      <c r="CY18" s="29">
        <v>72.787301344807915</v>
      </c>
      <c r="CZ18" s="29">
        <v>72.929431695423077</v>
      </c>
      <c r="DA18" s="29">
        <v>73.064496811308402</v>
      </c>
      <c r="DB18" s="29">
        <v>73.205977660702814</v>
      </c>
      <c r="DC18" s="29">
        <v>73.340393042262235</v>
      </c>
      <c r="DD18" s="29">
        <v>73.478456198736453</v>
      </c>
      <c r="DE18" s="29">
        <v>73.613697724632573</v>
      </c>
      <c r="DF18" s="29">
        <v>73.747697476323395</v>
      </c>
      <c r="DG18" s="29">
        <v>73.880464082618261</v>
      </c>
      <c r="DH18" s="29">
        <v>74.012006058817292</v>
      </c>
      <c r="DI18" s="29">
        <v>74.142331832237915</v>
      </c>
      <c r="DJ18" s="29">
        <v>74.271450042824284</v>
      </c>
      <c r="DK18" s="29">
        <v>74.399369625849374</v>
      </c>
      <c r="DL18" s="29">
        <v>74.526099880695796</v>
      </c>
      <c r="DM18" s="29">
        <v>74.651650519656201</v>
      </c>
      <c r="DN18" s="29">
        <v>74.77603163945318</v>
      </c>
      <c r="DO18" s="29">
        <v>74.899253462022301</v>
      </c>
      <c r="DP18" s="29">
        <v>75.021325975797794</v>
      </c>
      <c r="DQ18" s="29">
        <v>75.142258808030249</v>
      </c>
      <c r="DR18" s="29">
        <v>75.262062503641431</v>
      </c>
      <c r="DS18">
        <v>75.380745436608493</v>
      </c>
      <c r="DT18">
        <v>75.498315940180191</v>
      </c>
      <c r="DU18">
        <v>75.614782307177421</v>
      </c>
    </row>
    <row r="19" spans="1:125">
      <c r="A19" s="34">
        <v>17</v>
      </c>
      <c r="B19" s="35"/>
      <c r="C19" s="35"/>
      <c r="D19" s="35"/>
      <c r="E19" s="35"/>
      <c r="F19" s="35"/>
      <c r="G19" s="35"/>
      <c r="H19" s="35"/>
      <c r="I19" s="35"/>
      <c r="J19" s="35"/>
      <c r="K19" s="35"/>
      <c r="L19" s="35"/>
      <c r="M19" s="35"/>
      <c r="N19" s="35"/>
      <c r="O19" s="35"/>
      <c r="P19" s="35"/>
      <c r="Q19" s="35"/>
      <c r="R19" s="35"/>
      <c r="S19" s="35"/>
      <c r="T19" s="35"/>
      <c r="U19" s="35"/>
      <c r="V19" s="29"/>
      <c r="W19" s="29"/>
      <c r="X19" s="29"/>
      <c r="Y19" s="29">
        <v>58.194695803589923</v>
      </c>
      <c r="Z19" s="29">
        <v>58.476938491907788</v>
      </c>
      <c r="AA19" s="29">
        <v>58.725906893012535</v>
      </c>
      <c r="AB19" s="29">
        <v>58.980727360479932</v>
      </c>
      <c r="AC19" s="29">
        <v>59.196459073943288</v>
      </c>
      <c r="AD19" s="29">
        <v>59.368618393588022</v>
      </c>
      <c r="AE19" s="29">
        <v>59.699112438219302</v>
      </c>
      <c r="AF19" s="29">
        <v>60.005985020782589</v>
      </c>
      <c r="AG19" s="29">
        <v>60.295744754146973</v>
      </c>
      <c r="AH19" s="29">
        <v>60.580481396215056</v>
      </c>
      <c r="AI19" s="29">
        <v>60.826627408416414</v>
      </c>
      <c r="AJ19" s="29">
        <v>61.146170287951342</v>
      </c>
      <c r="AK19" s="29">
        <v>61.428123855819635</v>
      </c>
      <c r="AL19" s="29">
        <v>61.767872400181375</v>
      </c>
      <c r="AM19" s="29">
        <v>62.071855351284981</v>
      </c>
      <c r="AN19" s="29">
        <v>62.277576277688858</v>
      </c>
      <c r="AO19" s="29">
        <v>62.4203129440778</v>
      </c>
      <c r="AP19" s="29">
        <v>62.575185438648106</v>
      </c>
      <c r="AQ19" s="29">
        <v>62.691355026270699</v>
      </c>
      <c r="AR19" s="29">
        <v>62.838419011932473</v>
      </c>
      <c r="AS19" s="29">
        <v>62.873705203866606</v>
      </c>
      <c r="AT19" s="29">
        <v>62.900459089328308</v>
      </c>
      <c r="AU19" s="29">
        <v>62.943055498033594</v>
      </c>
      <c r="AV19" s="29">
        <v>62.992518170141061</v>
      </c>
      <c r="AW19" s="29">
        <v>63.282829956255775</v>
      </c>
      <c r="AX19" s="29">
        <v>63.372661883286852</v>
      </c>
      <c r="AY19" s="29">
        <v>63.470656713783484</v>
      </c>
      <c r="AZ19" s="29">
        <v>63.52607043622811</v>
      </c>
      <c r="BA19" s="29">
        <v>63.590232038644501</v>
      </c>
      <c r="BB19" s="29">
        <v>63.713692633727391</v>
      </c>
      <c r="BC19" s="29">
        <v>63.816103499767365</v>
      </c>
      <c r="BD19" s="29">
        <v>63.948303535823669</v>
      </c>
      <c r="BE19" s="29">
        <v>64.09008982175294</v>
      </c>
      <c r="BF19" s="29">
        <v>64.262816926063991</v>
      </c>
      <c r="BG19" s="29">
        <v>64.407395503473296</v>
      </c>
      <c r="BH19" s="29">
        <v>64.653324955859617</v>
      </c>
      <c r="BI19" s="29">
        <v>64.811098888233474</v>
      </c>
      <c r="BJ19" s="29">
        <v>65.025008443612506</v>
      </c>
      <c r="BK19" s="29">
        <v>65.21344422392518</v>
      </c>
      <c r="BL19" s="29">
        <v>65.456715686290948</v>
      </c>
      <c r="BM19" s="29">
        <v>65.700303727890741</v>
      </c>
      <c r="BN19" s="29">
        <v>65.900447091365578</v>
      </c>
      <c r="BO19" s="29">
        <v>66.094083561885839</v>
      </c>
      <c r="BP19" s="29">
        <v>66.308407827945388</v>
      </c>
      <c r="BQ19" s="29">
        <v>66.490493649237266</v>
      </c>
      <c r="BR19" s="29">
        <v>66.675714200772859</v>
      </c>
      <c r="BS19" s="29">
        <v>66.841864122947527</v>
      </c>
      <c r="BT19" s="29">
        <v>67.024688801382169</v>
      </c>
      <c r="BU19" s="29">
        <v>67.151930679087769</v>
      </c>
      <c r="BV19" s="29">
        <v>67.329891739398022</v>
      </c>
      <c r="BW19" s="29">
        <v>67.499173962228994</v>
      </c>
      <c r="BX19" s="29">
        <v>67.6629759807292</v>
      </c>
      <c r="BY19" s="29">
        <v>67.821134418470251</v>
      </c>
      <c r="BZ19" s="29">
        <v>67.97264195479039</v>
      </c>
      <c r="CA19" s="29">
        <v>68.111008772577236</v>
      </c>
      <c r="CB19" s="29">
        <v>68.270815144180972</v>
      </c>
      <c r="CC19" s="29">
        <v>68.437555429414232</v>
      </c>
      <c r="CD19" s="29">
        <v>68.599407825006125</v>
      </c>
      <c r="CE19" s="29">
        <v>68.756326491405929</v>
      </c>
      <c r="CF19" s="29">
        <v>68.91744331010068</v>
      </c>
      <c r="CG19" s="29">
        <v>69.075535058812505</v>
      </c>
      <c r="CH19" s="29">
        <v>69.240227845514326</v>
      </c>
      <c r="CI19" s="29">
        <v>69.424944856392088</v>
      </c>
      <c r="CJ19" s="29">
        <v>69.569143613054678</v>
      </c>
      <c r="CK19" s="29">
        <v>69.726422396933344</v>
      </c>
      <c r="CL19" s="29">
        <v>69.894379461312326</v>
      </c>
      <c r="CM19" s="29">
        <v>70.052035911096553</v>
      </c>
      <c r="CN19" s="29">
        <v>70.207420029007153</v>
      </c>
      <c r="CO19" s="29">
        <v>70.355193047329152</v>
      </c>
      <c r="CP19" s="29">
        <v>70.515757176871006</v>
      </c>
      <c r="CQ19" s="29">
        <v>70.656309307952398</v>
      </c>
      <c r="CR19" s="29">
        <v>70.802211036725254</v>
      </c>
      <c r="CS19" s="29">
        <v>70.953026141364631</v>
      </c>
      <c r="CT19" s="29">
        <v>71.099754472368247</v>
      </c>
      <c r="CU19" s="29">
        <v>71.242870755730195</v>
      </c>
      <c r="CV19" s="29">
        <v>71.385605091414959</v>
      </c>
      <c r="CW19" s="29">
        <v>71.523266680785298</v>
      </c>
      <c r="CX19" s="29">
        <v>71.663536655299069</v>
      </c>
      <c r="CY19" s="29">
        <v>71.802000012295963</v>
      </c>
      <c r="CZ19" s="29">
        <v>71.941777958685776</v>
      </c>
      <c r="DA19" s="29">
        <v>72.077109924145475</v>
      </c>
      <c r="DB19" s="29">
        <v>72.217994050422348</v>
      </c>
      <c r="DC19" s="29">
        <v>72.354982057165813</v>
      </c>
      <c r="DD19" s="29">
        <v>72.491063064452277</v>
      </c>
      <c r="DE19" s="29">
        <v>72.62590630005343</v>
      </c>
      <c r="DF19" s="29">
        <v>72.759520119539459</v>
      </c>
      <c r="DG19" s="29">
        <v>72.891912778331417</v>
      </c>
      <c r="DH19" s="29">
        <v>73.023092429156719</v>
      </c>
      <c r="DI19" s="29">
        <v>73.153067147285256</v>
      </c>
      <c r="DJ19" s="29">
        <v>73.281845230908317</v>
      </c>
      <c r="DK19" s="29">
        <v>73.409435283566665</v>
      </c>
      <c r="DL19" s="29">
        <v>73.535846282662106</v>
      </c>
      <c r="DM19" s="29">
        <v>73.661087627992089</v>
      </c>
      <c r="DN19" s="29">
        <v>73.785169112999398</v>
      </c>
      <c r="DO19" s="29">
        <v>73.90810066526042</v>
      </c>
      <c r="DP19" s="29">
        <v>74.029891987472624</v>
      </c>
      <c r="DQ19" s="29">
        <v>74.15055441072343</v>
      </c>
      <c r="DR19" s="29">
        <v>74.270096088198216</v>
      </c>
      <c r="DS19">
        <v>74.388525139690074</v>
      </c>
      <c r="DT19">
        <v>74.505849651698526</v>
      </c>
      <c r="DU19">
        <v>74.622077677524231</v>
      </c>
    </row>
    <row r="20" spans="1:125">
      <c r="A20" s="34">
        <v>18</v>
      </c>
      <c r="B20" s="35"/>
      <c r="C20" s="35"/>
      <c r="D20" s="35"/>
      <c r="E20" s="35"/>
      <c r="F20" s="35"/>
      <c r="G20" s="35"/>
      <c r="H20" s="35"/>
      <c r="I20" s="35"/>
      <c r="J20" s="35"/>
      <c r="K20" s="35"/>
      <c r="L20" s="35"/>
      <c r="M20" s="35"/>
      <c r="N20" s="35"/>
      <c r="O20" s="35"/>
      <c r="P20" s="35"/>
      <c r="Q20" s="35"/>
      <c r="R20" s="35"/>
      <c r="S20" s="35"/>
      <c r="T20" s="35"/>
      <c r="U20" s="35"/>
      <c r="V20" s="29"/>
      <c r="W20" s="29"/>
      <c r="X20" s="29"/>
      <c r="Y20" s="29">
        <v>57.306162762914127</v>
      </c>
      <c r="Z20" s="29">
        <v>57.588944285722633</v>
      </c>
      <c r="AA20" s="29">
        <v>57.838404832229671</v>
      </c>
      <c r="AB20" s="29">
        <v>58.105036632031108</v>
      </c>
      <c r="AC20" s="29">
        <v>58.338242324457539</v>
      </c>
      <c r="AD20" s="29">
        <v>58.57358321344627</v>
      </c>
      <c r="AE20" s="29">
        <v>58.824454381615467</v>
      </c>
      <c r="AF20" s="29">
        <v>59.131980422164204</v>
      </c>
      <c r="AG20" s="29">
        <v>59.390446367982832</v>
      </c>
      <c r="AH20" s="29">
        <v>59.646385629478978</v>
      </c>
      <c r="AI20" s="29">
        <v>59.892812814747046</v>
      </c>
      <c r="AJ20" s="29">
        <v>60.212717206518917</v>
      </c>
      <c r="AK20" s="29">
        <v>60.485740060897122</v>
      </c>
      <c r="AL20" s="29">
        <v>60.821637399462539</v>
      </c>
      <c r="AM20" s="29">
        <v>61.12134610081683</v>
      </c>
      <c r="AN20" s="29">
        <v>61.329763048920697</v>
      </c>
      <c r="AO20" s="29">
        <v>61.469448979538889</v>
      </c>
      <c r="AP20" s="29">
        <v>61.625447198132882</v>
      </c>
      <c r="AQ20" s="29">
        <v>61.741967217944662</v>
      </c>
      <c r="AR20" s="29">
        <v>61.888025209326081</v>
      </c>
      <c r="AS20" s="29">
        <v>61.924472664636852</v>
      </c>
      <c r="AT20" s="29">
        <v>61.953267857432451</v>
      </c>
      <c r="AU20" s="29">
        <v>61.990316511923155</v>
      </c>
      <c r="AV20" s="29">
        <v>62.048018770303152</v>
      </c>
      <c r="AW20" s="29">
        <v>62.331387696849347</v>
      </c>
      <c r="AX20" s="29">
        <v>62.425473482107364</v>
      </c>
      <c r="AY20" s="29">
        <v>62.525950968119588</v>
      </c>
      <c r="AZ20" s="29">
        <v>62.581002938017036</v>
      </c>
      <c r="BA20" s="29">
        <v>62.648696683756491</v>
      </c>
      <c r="BB20" s="29">
        <v>62.774781089856191</v>
      </c>
      <c r="BC20" s="29">
        <v>62.877020409211468</v>
      </c>
      <c r="BD20" s="29">
        <v>63.010518513996928</v>
      </c>
      <c r="BE20" s="29">
        <v>63.151290337440031</v>
      </c>
      <c r="BF20" s="29">
        <v>63.317810639029688</v>
      </c>
      <c r="BG20" s="29">
        <v>63.465265193797237</v>
      </c>
      <c r="BH20" s="29">
        <v>63.714261951623847</v>
      </c>
      <c r="BI20" s="29">
        <v>63.872209789105028</v>
      </c>
      <c r="BJ20" s="29">
        <v>64.08300660821935</v>
      </c>
      <c r="BK20" s="29">
        <v>64.266356379767132</v>
      </c>
      <c r="BL20" s="29">
        <v>64.510078393316334</v>
      </c>
      <c r="BM20" s="29">
        <v>64.751642316497566</v>
      </c>
      <c r="BN20" s="29">
        <v>64.951424862084934</v>
      </c>
      <c r="BO20" s="29">
        <v>65.141793050216592</v>
      </c>
      <c r="BP20" s="29">
        <v>65.351900986129351</v>
      </c>
      <c r="BQ20" s="29">
        <v>65.531023378292858</v>
      </c>
      <c r="BR20" s="29">
        <v>65.714345441269927</v>
      </c>
      <c r="BS20" s="29">
        <v>65.877914750024729</v>
      </c>
      <c r="BT20" s="29">
        <v>66.059134633983987</v>
      </c>
      <c r="BU20" s="29">
        <v>66.185720934214061</v>
      </c>
      <c r="BV20" s="29">
        <v>66.362626217867103</v>
      </c>
      <c r="BW20" s="29">
        <v>66.53340805295835</v>
      </c>
      <c r="BX20" s="29">
        <v>66.698558780992499</v>
      </c>
      <c r="BY20" s="29">
        <v>66.854718098741984</v>
      </c>
      <c r="BZ20" s="29">
        <v>67.003046556871226</v>
      </c>
      <c r="CA20" s="29">
        <v>67.143851729446368</v>
      </c>
      <c r="CB20" s="29">
        <v>67.303421704561032</v>
      </c>
      <c r="CC20" s="29">
        <v>67.466089824443856</v>
      </c>
      <c r="CD20" s="29">
        <v>67.628600466622444</v>
      </c>
      <c r="CE20" s="29">
        <v>67.787662852717858</v>
      </c>
      <c r="CF20" s="29">
        <v>67.947693220266004</v>
      </c>
      <c r="CG20" s="29">
        <v>68.100163098450906</v>
      </c>
      <c r="CH20" s="29">
        <v>68.265427215222346</v>
      </c>
      <c r="CI20" s="29">
        <v>68.450549579858773</v>
      </c>
      <c r="CJ20" s="29">
        <v>68.593433669414708</v>
      </c>
      <c r="CK20" s="29">
        <v>68.74738590848763</v>
      </c>
      <c r="CL20" s="29">
        <v>68.914347579431904</v>
      </c>
      <c r="CM20" s="29">
        <v>69.071267632168627</v>
      </c>
      <c r="CN20" s="29">
        <v>69.22369662154631</v>
      </c>
      <c r="CO20" s="29">
        <v>69.37374894376417</v>
      </c>
      <c r="CP20" s="29">
        <v>69.53369317406063</v>
      </c>
      <c r="CQ20" s="29">
        <v>69.674190217332708</v>
      </c>
      <c r="CR20" s="29">
        <v>69.819681241067542</v>
      </c>
      <c r="CS20" s="29">
        <v>69.969972535329944</v>
      </c>
      <c r="CT20" s="29">
        <v>70.114753608461669</v>
      </c>
      <c r="CU20" s="29">
        <v>70.256974141406744</v>
      </c>
      <c r="CV20" s="29">
        <v>70.401743385538353</v>
      </c>
      <c r="CW20" s="29">
        <v>70.538016878113694</v>
      </c>
      <c r="CX20" s="29">
        <v>70.67749477906716</v>
      </c>
      <c r="CY20" s="29">
        <v>70.816873704013275</v>
      </c>
      <c r="CZ20" s="29">
        <v>70.954478564005768</v>
      </c>
      <c r="DA20" s="29">
        <v>71.091779901162823</v>
      </c>
      <c r="DB20" s="29">
        <v>71.233063688979257</v>
      </c>
      <c r="DC20" s="29">
        <v>71.369913077030432</v>
      </c>
      <c r="DD20" s="29">
        <v>71.50553076642845</v>
      </c>
      <c r="DE20" s="29">
        <v>71.639924783880758</v>
      </c>
      <c r="DF20" s="29">
        <v>71.77310306801877</v>
      </c>
      <c r="DG20" s="29">
        <v>71.905073469103996</v>
      </c>
      <c r="DH20" s="29">
        <v>72.035843746173342</v>
      </c>
      <c r="DI20" s="29">
        <v>72.165421591975317</v>
      </c>
      <c r="DJ20" s="29">
        <v>72.293814933121268</v>
      </c>
      <c r="DK20" s="29">
        <v>72.421032012231791</v>
      </c>
      <c r="DL20" s="29">
        <v>72.547081456170773</v>
      </c>
      <c r="DM20" s="29">
        <v>72.671972324305926</v>
      </c>
      <c r="DN20" s="29">
        <v>72.795714079477619</v>
      </c>
      <c r="DO20" s="29">
        <v>72.91831632817545</v>
      </c>
      <c r="DP20" s="29">
        <v>73.039791396796062</v>
      </c>
      <c r="DQ20" s="29">
        <v>73.160147178959321</v>
      </c>
      <c r="DR20" s="29">
        <v>73.279391543133286</v>
      </c>
      <c r="DS20">
        <v>73.397532332512867</v>
      </c>
      <c r="DT20">
        <v>73.514577364900333</v>
      </c>
      <c r="DU20">
        <v>73.63053443258724</v>
      </c>
    </row>
    <row r="21" spans="1:125">
      <c r="A21" s="34">
        <v>19</v>
      </c>
      <c r="B21" s="35"/>
      <c r="C21" s="35"/>
      <c r="D21" s="35"/>
      <c r="E21" s="35"/>
      <c r="F21" s="35"/>
      <c r="G21" s="35"/>
      <c r="H21" s="35"/>
      <c r="I21" s="35"/>
      <c r="J21" s="35"/>
      <c r="K21" s="35"/>
      <c r="L21" s="35"/>
      <c r="M21" s="35"/>
      <c r="N21" s="35"/>
      <c r="O21" s="35"/>
      <c r="P21" s="35"/>
      <c r="Q21" s="35"/>
      <c r="R21" s="35"/>
      <c r="S21" s="35"/>
      <c r="T21" s="35"/>
      <c r="U21" s="35"/>
      <c r="V21" s="29"/>
      <c r="W21" s="29"/>
      <c r="X21" s="29"/>
      <c r="Y21" s="29">
        <v>56.428986218473199</v>
      </c>
      <c r="Z21" s="29">
        <v>56.712372029421104</v>
      </c>
      <c r="AA21" s="29">
        <v>56.974812946219245</v>
      </c>
      <c r="AB21" s="29">
        <v>57.260813829406352</v>
      </c>
      <c r="AC21" s="29">
        <v>57.563683009215765</v>
      </c>
      <c r="AD21" s="29">
        <v>57.717373259640226</v>
      </c>
      <c r="AE21" s="29">
        <v>57.968847819483607</v>
      </c>
      <c r="AF21" s="29">
        <v>58.240566752376211</v>
      </c>
      <c r="AG21" s="29">
        <v>58.46342124829286</v>
      </c>
      <c r="AH21" s="29">
        <v>58.719697496674684</v>
      </c>
      <c r="AI21" s="29">
        <v>58.966443394763012</v>
      </c>
      <c r="AJ21" s="29">
        <v>59.276007543194652</v>
      </c>
      <c r="AK21" s="29">
        <v>59.546138213901131</v>
      </c>
      <c r="AL21" s="29">
        <v>59.883873806991922</v>
      </c>
      <c r="AM21" s="29">
        <v>60.181971058918464</v>
      </c>
      <c r="AN21" s="29">
        <v>60.393112460495615</v>
      </c>
      <c r="AO21" s="29">
        <v>60.531437544250565</v>
      </c>
      <c r="AP21" s="29">
        <v>60.685384220170207</v>
      </c>
      <c r="AQ21" s="29">
        <v>60.804165298780404</v>
      </c>
      <c r="AR21" s="29">
        <v>60.949951891775825</v>
      </c>
      <c r="AS21" s="29">
        <v>60.98620958595157</v>
      </c>
      <c r="AT21" s="29">
        <v>61.016712236566491</v>
      </c>
      <c r="AU21" s="29">
        <v>61.050684899047113</v>
      </c>
      <c r="AV21" s="29">
        <v>61.112211274761677</v>
      </c>
      <c r="AW21" s="29">
        <v>61.393642708497936</v>
      </c>
      <c r="AX21" s="29">
        <v>61.491773401793964</v>
      </c>
      <c r="AY21" s="29">
        <v>61.591726089447192</v>
      </c>
      <c r="AZ21" s="29">
        <v>61.646965977625726</v>
      </c>
      <c r="BA21" s="29">
        <v>61.724434088596837</v>
      </c>
      <c r="BB21" s="29">
        <v>61.850448368814746</v>
      </c>
      <c r="BC21" s="29">
        <v>61.955153415030722</v>
      </c>
      <c r="BD21" s="29">
        <v>62.08508627504699</v>
      </c>
      <c r="BE21" s="29">
        <v>62.220064249023352</v>
      </c>
      <c r="BF21" s="29">
        <v>62.390017455159729</v>
      </c>
      <c r="BG21" s="29">
        <v>62.540343257851191</v>
      </c>
      <c r="BH21" s="29">
        <v>62.789953473499622</v>
      </c>
      <c r="BI21" s="29">
        <v>62.94667417965772</v>
      </c>
      <c r="BJ21" s="29">
        <v>63.154331555353096</v>
      </c>
      <c r="BK21" s="29">
        <v>63.334212951454646</v>
      </c>
      <c r="BL21" s="29">
        <v>63.57440327413974</v>
      </c>
      <c r="BM21" s="29">
        <v>63.813974977637919</v>
      </c>
      <c r="BN21" s="29">
        <v>64.013427991679123</v>
      </c>
      <c r="BO21" s="29">
        <v>64.199096584517605</v>
      </c>
      <c r="BP21" s="29">
        <v>64.400974800798807</v>
      </c>
      <c r="BQ21" s="29">
        <v>64.579504965411445</v>
      </c>
      <c r="BR21" s="29">
        <v>64.758642359448416</v>
      </c>
      <c r="BS21" s="29">
        <v>64.925145897225804</v>
      </c>
      <c r="BT21" s="29">
        <v>65.102273980276252</v>
      </c>
      <c r="BU21" s="29">
        <v>65.231941496633937</v>
      </c>
      <c r="BV21" s="29">
        <v>65.411271536784483</v>
      </c>
      <c r="BW21" s="29">
        <v>65.581085161160047</v>
      </c>
      <c r="BX21" s="29">
        <v>65.745157802912573</v>
      </c>
      <c r="BY21" s="29">
        <v>65.90225020124025</v>
      </c>
      <c r="BZ21" s="29">
        <v>66.053976990990407</v>
      </c>
      <c r="CA21" s="29">
        <v>66.193339573816502</v>
      </c>
      <c r="CB21" s="29">
        <v>66.354277692655259</v>
      </c>
      <c r="CC21" s="29">
        <v>66.515323103786855</v>
      </c>
      <c r="CD21" s="29">
        <v>66.672096827588177</v>
      </c>
      <c r="CE21" s="29">
        <v>66.830731397781562</v>
      </c>
      <c r="CF21" s="29">
        <v>66.990576185942942</v>
      </c>
      <c r="CG21" s="29">
        <v>67.140461509661392</v>
      </c>
      <c r="CH21" s="29">
        <v>67.302987987919636</v>
      </c>
      <c r="CI21" s="29">
        <v>67.482933809378409</v>
      </c>
      <c r="CJ21" s="29">
        <v>67.623584626198948</v>
      </c>
      <c r="CK21" s="29">
        <v>67.778149371048585</v>
      </c>
      <c r="CL21" s="29">
        <v>67.941768341548141</v>
      </c>
      <c r="CM21" s="29">
        <v>68.096846333027742</v>
      </c>
      <c r="CN21" s="29">
        <v>68.248226411176887</v>
      </c>
      <c r="CO21" s="29">
        <v>68.399633173229262</v>
      </c>
      <c r="CP21" s="29">
        <v>68.558413186875299</v>
      </c>
      <c r="CQ21" s="29">
        <v>68.698480085654339</v>
      </c>
      <c r="CR21" s="29">
        <v>68.842151338805451</v>
      </c>
      <c r="CS21" s="29">
        <v>68.989958260132923</v>
      </c>
      <c r="CT21" s="29">
        <v>69.133717899923795</v>
      </c>
      <c r="CU21" s="29">
        <v>69.277923354678592</v>
      </c>
      <c r="CV21" s="29">
        <v>69.422114929072478</v>
      </c>
      <c r="CW21" s="29">
        <v>69.558474689453732</v>
      </c>
      <c r="CX21" s="29">
        <v>69.697071476125473</v>
      </c>
      <c r="CY21" s="29">
        <v>69.834863465869091</v>
      </c>
      <c r="CZ21" s="29">
        <v>69.971878181820287</v>
      </c>
      <c r="DA21" s="29">
        <v>70.112728138033532</v>
      </c>
      <c r="DB21" s="29">
        <v>70.250276750278658</v>
      </c>
      <c r="DC21" s="29">
        <v>70.386601659407205</v>
      </c>
      <c r="DD21" s="29">
        <v>70.521710518780367</v>
      </c>
      <c r="DE21" s="29">
        <v>70.655610902434859</v>
      </c>
      <c r="DF21" s="29">
        <v>70.788310308796582</v>
      </c>
      <c r="DG21" s="29">
        <v>70.919816160068564</v>
      </c>
      <c r="DH21" s="29">
        <v>71.050135799064449</v>
      </c>
      <c r="DI21" s="29">
        <v>71.179276513843163</v>
      </c>
      <c r="DJ21" s="29">
        <v>71.307245837644899</v>
      </c>
      <c r="DK21" s="29">
        <v>71.434051630755903</v>
      </c>
      <c r="DL21" s="29">
        <v>71.559702148464964</v>
      </c>
      <c r="DM21" s="29">
        <v>71.684206089049411</v>
      </c>
      <c r="DN21" s="29">
        <v>71.807572564460628</v>
      </c>
      <c r="DO21" s="29">
        <v>71.929814967164361</v>
      </c>
      <c r="DP21" s="29">
        <v>72.050940897113691</v>
      </c>
      <c r="DQ21" s="29">
        <v>72.17095793806817</v>
      </c>
      <c r="DR21" s="29">
        <v>72.289873657240946</v>
      </c>
      <c r="DS21">
        <v>72.407695604953602</v>
      </c>
      <c r="DT21">
        <v>72.524431314298056</v>
      </c>
      <c r="DU21">
        <v>72.640088300804919</v>
      </c>
    </row>
    <row r="22" spans="1:125">
      <c r="A22" s="34">
        <v>20</v>
      </c>
      <c r="B22" s="35"/>
      <c r="C22" s="35"/>
      <c r="D22" s="35"/>
      <c r="E22" s="35"/>
      <c r="F22" s="35"/>
      <c r="G22" s="35"/>
      <c r="H22" s="35"/>
      <c r="I22" s="35"/>
      <c r="J22" s="35"/>
      <c r="K22" s="35"/>
      <c r="L22" s="35"/>
      <c r="M22" s="35"/>
      <c r="N22" s="35"/>
      <c r="O22" s="35"/>
      <c r="P22" s="35"/>
      <c r="Q22" s="35"/>
      <c r="R22" s="35"/>
      <c r="S22" s="35"/>
      <c r="T22" s="35"/>
      <c r="U22" s="35"/>
      <c r="V22" s="29"/>
      <c r="W22" s="29"/>
      <c r="X22" s="29"/>
      <c r="Y22" s="29">
        <v>55.559779495111172</v>
      </c>
      <c r="Z22" s="29">
        <v>55.857000034408287</v>
      </c>
      <c r="AA22" s="29">
        <v>56.140009088377241</v>
      </c>
      <c r="AB22" s="29">
        <v>56.500214523907033</v>
      </c>
      <c r="AC22" s="29">
        <v>56.729759131084336</v>
      </c>
      <c r="AD22" s="29">
        <v>56.883865431256311</v>
      </c>
      <c r="AE22" s="29">
        <v>57.093973875259906</v>
      </c>
      <c r="AF22" s="29">
        <v>57.320058145341157</v>
      </c>
      <c r="AG22" s="29">
        <v>57.543233367321037</v>
      </c>
      <c r="AH22" s="29">
        <v>57.79988514106924</v>
      </c>
      <c r="AI22" s="29">
        <v>58.03870662975217</v>
      </c>
      <c r="AJ22" s="29">
        <v>58.345396380725774</v>
      </c>
      <c r="AK22" s="29">
        <v>58.610361308328145</v>
      </c>
      <c r="AL22" s="29">
        <v>58.95135851968557</v>
      </c>
      <c r="AM22" s="29">
        <v>59.252889121314546</v>
      </c>
      <c r="AN22" s="29">
        <v>59.463684688276842</v>
      </c>
      <c r="AO22" s="29">
        <v>59.599602810923102</v>
      </c>
      <c r="AP22" s="29">
        <v>59.755715455526868</v>
      </c>
      <c r="AQ22" s="29">
        <v>59.87319218103616</v>
      </c>
      <c r="AR22" s="29">
        <v>60.019455837089048</v>
      </c>
      <c r="AS22" s="29">
        <v>60.054752018678869</v>
      </c>
      <c r="AT22" s="29">
        <v>60.081459309111011</v>
      </c>
      <c r="AU22" s="29">
        <v>60.119440319624758</v>
      </c>
      <c r="AV22" s="29">
        <v>60.182547952854577</v>
      </c>
      <c r="AW22" s="29">
        <v>60.460142845876994</v>
      </c>
      <c r="AX22" s="29">
        <v>60.557691100518284</v>
      </c>
      <c r="AY22" s="29">
        <v>60.656492717438681</v>
      </c>
      <c r="AZ22" s="29">
        <v>60.718631970150902</v>
      </c>
      <c r="BA22" s="29">
        <v>60.801586304191133</v>
      </c>
      <c r="BB22" s="29">
        <v>60.927566490527191</v>
      </c>
      <c r="BC22" s="29">
        <v>61.031167724409983</v>
      </c>
      <c r="BD22" s="29">
        <v>61.15249098925532</v>
      </c>
      <c r="BE22" s="29">
        <v>61.292850042990892</v>
      </c>
      <c r="BF22" s="29">
        <v>61.462699326585721</v>
      </c>
      <c r="BG22" s="29">
        <v>61.612862585763217</v>
      </c>
      <c r="BH22" s="29">
        <v>61.864437995722582</v>
      </c>
      <c r="BI22" s="29">
        <v>62.017187038911224</v>
      </c>
      <c r="BJ22" s="29">
        <v>62.220327346147045</v>
      </c>
      <c r="BK22" s="29">
        <v>62.401126341081806</v>
      </c>
      <c r="BL22" s="29">
        <v>62.640094494744901</v>
      </c>
      <c r="BM22" s="29">
        <v>62.874182173486645</v>
      </c>
      <c r="BN22" s="29">
        <v>63.073987953875367</v>
      </c>
      <c r="BO22" s="29">
        <v>63.249089177024281</v>
      </c>
      <c r="BP22" s="29">
        <v>63.448182792112398</v>
      </c>
      <c r="BQ22" s="29">
        <v>63.627884604694792</v>
      </c>
      <c r="BR22" s="29">
        <v>63.805877991256253</v>
      </c>
      <c r="BS22" s="29">
        <v>63.968146122166715</v>
      </c>
      <c r="BT22" s="29">
        <v>64.146227699990604</v>
      </c>
      <c r="BU22" s="29">
        <v>64.284562907267457</v>
      </c>
      <c r="BV22" s="29">
        <v>64.465278205234199</v>
      </c>
      <c r="BW22" s="29">
        <v>64.631329910983666</v>
      </c>
      <c r="BX22" s="29">
        <v>64.795054943791769</v>
      </c>
      <c r="BY22" s="29">
        <v>64.950592699022636</v>
      </c>
      <c r="BZ22" s="29">
        <v>65.100718689333917</v>
      </c>
      <c r="CA22" s="29">
        <v>65.243897212033687</v>
      </c>
      <c r="CB22" s="29">
        <v>65.399646672067846</v>
      </c>
      <c r="CC22" s="29">
        <v>65.556973554925676</v>
      </c>
      <c r="CD22" s="29">
        <v>65.71355219395555</v>
      </c>
      <c r="CE22" s="29">
        <v>65.873987414835511</v>
      </c>
      <c r="CF22" s="29">
        <v>66.028266488700069</v>
      </c>
      <c r="CG22" s="29">
        <v>66.177876530925246</v>
      </c>
      <c r="CH22" s="29">
        <v>66.338557136048962</v>
      </c>
      <c r="CI22" s="29">
        <v>66.512588254327568</v>
      </c>
      <c r="CJ22" s="29">
        <v>66.651253511818183</v>
      </c>
      <c r="CK22" s="29">
        <v>66.808683415130375</v>
      </c>
      <c r="CL22" s="29">
        <v>66.967259290101453</v>
      </c>
      <c r="CM22" s="29">
        <v>67.119351157130154</v>
      </c>
      <c r="CN22" s="29">
        <v>67.272019774186276</v>
      </c>
      <c r="CO22" s="29">
        <v>67.42480803769314</v>
      </c>
      <c r="CP22" s="29">
        <v>67.58066761271877</v>
      </c>
      <c r="CQ22" s="29">
        <v>67.720060754312669</v>
      </c>
      <c r="CR22" s="29">
        <v>67.86259507839749</v>
      </c>
      <c r="CS22" s="29">
        <v>68.011666517970383</v>
      </c>
      <c r="CT22" s="29">
        <v>68.154908766895886</v>
      </c>
      <c r="CU22" s="29">
        <v>68.297278036478332</v>
      </c>
      <c r="CV22" s="29">
        <v>68.441848506941213</v>
      </c>
      <c r="CW22" s="29">
        <v>68.577374456561913</v>
      </c>
      <c r="CX22" s="29">
        <v>68.716568745388386</v>
      </c>
      <c r="CY22" s="29">
        <v>68.855701785450776</v>
      </c>
      <c r="CZ22" s="29">
        <v>68.99361593697401</v>
      </c>
      <c r="DA22" s="29">
        <v>69.131808189732951</v>
      </c>
      <c r="DB22" s="29">
        <v>69.26878617588217</v>
      </c>
      <c r="DC22" s="29">
        <v>69.40455714324348</v>
      </c>
      <c r="DD22" s="29">
        <v>69.53912827337939</v>
      </c>
      <c r="DE22" s="29">
        <v>69.672506681179158</v>
      </c>
      <c r="DF22" s="29">
        <v>69.804699418261137</v>
      </c>
      <c r="DG22" s="29">
        <v>69.935713472054076</v>
      </c>
      <c r="DH22" s="29">
        <v>70.065555762329609</v>
      </c>
      <c r="DI22" s="29">
        <v>70.194233165545768</v>
      </c>
      <c r="DJ22" s="29">
        <v>70.32175281459125</v>
      </c>
      <c r="DK22" s="29">
        <v>70.448122180380466</v>
      </c>
      <c r="DL22" s="29">
        <v>70.573349139544092</v>
      </c>
      <c r="DM22" s="29">
        <v>70.697442022151861</v>
      </c>
      <c r="DN22" s="29">
        <v>70.820415003793187</v>
      </c>
      <c r="DO22" s="29">
        <v>70.942275367669239</v>
      </c>
      <c r="DP22" s="29">
        <v>71.06303039011641</v>
      </c>
      <c r="DQ22" s="29">
        <v>71.182687340020294</v>
      </c>
      <c r="DR22" s="29">
        <v>71.301253478243098</v>
      </c>
      <c r="DS22">
        <v>71.418736057063498</v>
      </c>
      <c r="DT22">
        <v>71.53514231962842</v>
      </c>
      <c r="DU22">
        <v>71.65047949941588</v>
      </c>
    </row>
    <row r="23" spans="1:125">
      <c r="A23" s="34">
        <v>21</v>
      </c>
      <c r="B23" s="35"/>
      <c r="C23" s="35"/>
      <c r="D23" s="35"/>
      <c r="E23" s="35"/>
      <c r="F23" s="35"/>
      <c r="G23" s="35"/>
      <c r="H23" s="35"/>
      <c r="I23" s="35"/>
      <c r="J23" s="35"/>
      <c r="K23" s="35"/>
      <c r="L23" s="35"/>
      <c r="M23" s="35"/>
      <c r="N23" s="35"/>
      <c r="O23" s="35"/>
      <c r="P23" s="35"/>
      <c r="Q23" s="35"/>
      <c r="R23" s="35"/>
      <c r="S23" s="35"/>
      <c r="T23" s="35"/>
      <c r="U23" s="35"/>
      <c r="V23" s="29"/>
      <c r="W23" s="29"/>
      <c r="X23" s="29"/>
      <c r="Y23" s="29">
        <v>54.710937489200091</v>
      </c>
      <c r="Z23" s="29">
        <v>55.029755867368124</v>
      </c>
      <c r="AA23" s="29">
        <v>55.390436550064116</v>
      </c>
      <c r="AB23" s="29">
        <v>55.68631516678672</v>
      </c>
      <c r="AC23" s="29">
        <v>55.916541172026683</v>
      </c>
      <c r="AD23" s="29">
        <v>56.024068175227939</v>
      </c>
      <c r="AE23" s="29">
        <v>56.178583913087749</v>
      </c>
      <c r="AF23" s="29">
        <v>56.405002738652719</v>
      </c>
      <c r="AG23" s="29">
        <v>56.628526883187746</v>
      </c>
      <c r="AH23" s="29">
        <v>56.875300050878081</v>
      </c>
      <c r="AI23" s="29">
        <v>57.110032120948127</v>
      </c>
      <c r="AJ23" s="29">
        <v>57.41789043469543</v>
      </c>
      <c r="AK23" s="29">
        <v>57.681967512416946</v>
      </c>
      <c r="AL23" s="29">
        <v>58.028896418018867</v>
      </c>
      <c r="AM23" s="29">
        <v>58.325814208004402</v>
      </c>
      <c r="AN23" s="29">
        <v>58.535190281898608</v>
      </c>
      <c r="AO23" s="29">
        <v>58.672918306363513</v>
      </c>
      <c r="AP23" s="29">
        <v>58.823811941557793</v>
      </c>
      <c r="AQ23" s="29">
        <v>58.944904316332284</v>
      </c>
      <c r="AR23" s="29">
        <v>59.084473463608703</v>
      </c>
      <c r="AS23" s="29">
        <v>59.122486288037358</v>
      </c>
      <c r="AT23" s="29">
        <v>59.144387937141431</v>
      </c>
      <c r="AU23" s="29">
        <v>59.187068603256321</v>
      </c>
      <c r="AV23" s="29">
        <v>59.252257275401661</v>
      </c>
      <c r="AW23" s="29">
        <v>59.525406945610612</v>
      </c>
      <c r="AX23" s="29">
        <v>59.618010078713048</v>
      </c>
      <c r="AY23" s="29">
        <v>59.724039156929024</v>
      </c>
      <c r="AZ23" s="29">
        <v>59.791271541717833</v>
      </c>
      <c r="BA23" s="29">
        <v>59.877686598285223</v>
      </c>
      <c r="BB23" s="29">
        <v>59.999311133269437</v>
      </c>
      <c r="BC23" s="29">
        <v>60.096816908998655</v>
      </c>
      <c r="BD23" s="29">
        <v>60.221888812918863</v>
      </c>
      <c r="BE23" s="29">
        <v>60.361855528495298</v>
      </c>
      <c r="BF23" s="29">
        <v>60.534398905554738</v>
      </c>
      <c r="BG23" s="29">
        <v>60.684842791241266</v>
      </c>
      <c r="BH23" s="29">
        <v>60.929658323066036</v>
      </c>
      <c r="BI23" s="29">
        <v>61.081959724302521</v>
      </c>
      <c r="BJ23" s="29">
        <v>61.283186237493666</v>
      </c>
      <c r="BK23" s="29">
        <v>61.458020320390197</v>
      </c>
      <c r="BL23" s="29">
        <v>61.698335986607695</v>
      </c>
      <c r="BM23" s="29">
        <v>61.928355437293988</v>
      </c>
      <c r="BN23" s="29">
        <v>62.124938603756291</v>
      </c>
      <c r="BO23" s="29">
        <v>62.294945085778906</v>
      </c>
      <c r="BP23" s="29">
        <v>62.494454563323671</v>
      </c>
      <c r="BQ23" s="29">
        <v>62.6752972356702</v>
      </c>
      <c r="BR23" s="29">
        <v>62.849668501968559</v>
      </c>
      <c r="BS23" s="29">
        <v>63.015098624340091</v>
      </c>
      <c r="BT23" s="29">
        <v>63.194612761100132</v>
      </c>
      <c r="BU23" s="29">
        <v>63.332021220114001</v>
      </c>
      <c r="BV23" s="29">
        <v>63.50955548512033</v>
      </c>
      <c r="BW23" s="29">
        <v>63.678093381817511</v>
      </c>
      <c r="BX23" s="29">
        <v>63.836730082555519</v>
      </c>
      <c r="BY23" s="29">
        <v>63.99680955096413</v>
      </c>
      <c r="BZ23" s="29">
        <v>64.146050154361404</v>
      </c>
      <c r="CA23" s="29">
        <v>64.287981519918944</v>
      </c>
      <c r="CB23" s="29">
        <v>64.441412771262662</v>
      </c>
      <c r="CC23" s="29">
        <v>64.597307532483981</v>
      </c>
      <c r="CD23" s="29">
        <v>64.756677560210946</v>
      </c>
      <c r="CE23" s="29">
        <v>64.913057886748021</v>
      </c>
      <c r="CF23" s="29">
        <v>65.064521238413988</v>
      </c>
      <c r="CG23" s="29">
        <v>65.211946369960316</v>
      </c>
      <c r="CH23" s="29">
        <v>65.369543517816012</v>
      </c>
      <c r="CI23" s="29">
        <v>65.537942788778849</v>
      </c>
      <c r="CJ23" s="29">
        <v>65.679376817509109</v>
      </c>
      <c r="CK23" s="29">
        <v>65.836646043613243</v>
      </c>
      <c r="CL23" s="29">
        <v>65.991798203593305</v>
      </c>
      <c r="CM23" s="29">
        <v>66.143576902061227</v>
      </c>
      <c r="CN23" s="29">
        <v>66.297586899729481</v>
      </c>
      <c r="CO23" s="29">
        <v>66.449163717496816</v>
      </c>
      <c r="CP23" s="29">
        <v>66.60129199635287</v>
      </c>
      <c r="CQ23" s="29">
        <v>66.739521497548111</v>
      </c>
      <c r="CR23" s="29">
        <v>66.885348459112194</v>
      </c>
      <c r="CS23" s="29">
        <v>67.033931788151648</v>
      </c>
      <c r="CT23" s="29">
        <v>67.175385334820831</v>
      </c>
      <c r="CU23" s="29">
        <v>67.317507032402901</v>
      </c>
      <c r="CV23" s="29">
        <v>67.461354336061049</v>
      </c>
      <c r="CW23" s="29">
        <v>67.596602791462473</v>
      </c>
      <c r="CX23" s="29">
        <v>67.73603828194112</v>
      </c>
      <c r="CY23" s="29">
        <v>67.875026746747452</v>
      </c>
      <c r="CZ23" s="29">
        <v>68.013830225761296</v>
      </c>
      <c r="DA23" s="29">
        <v>68.151429590542079</v>
      </c>
      <c r="DB23" s="29">
        <v>68.287831660606713</v>
      </c>
      <c r="DC23" s="29">
        <v>68.423043215116493</v>
      </c>
      <c r="DD23" s="29">
        <v>68.557070979193938</v>
      </c>
      <c r="DE23" s="29">
        <v>68.689921623219448</v>
      </c>
      <c r="DF23" s="29">
        <v>68.821601765948557</v>
      </c>
      <c r="DG23" s="29">
        <v>68.95211797331163</v>
      </c>
      <c r="DH23" s="29">
        <v>69.081476754669666</v>
      </c>
      <c r="DI23" s="29">
        <v>69.209684586889807</v>
      </c>
      <c r="DJ23" s="29">
        <v>69.336748213931216</v>
      </c>
      <c r="DK23" s="29">
        <v>69.462674728194386</v>
      </c>
      <c r="DL23" s="29">
        <v>69.5874716379696</v>
      </c>
      <c r="DM23" s="29">
        <v>69.711153390770477</v>
      </c>
      <c r="DN23" s="29">
        <v>69.833726944886735</v>
      </c>
      <c r="DO23" s="29">
        <v>69.955199261017938</v>
      </c>
      <c r="DP23" s="29">
        <v>70.075577301464961</v>
      </c>
      <c r="DQ23" s="29">
        <v>70.194868029338792</v>
      </c>
      <c r="DR23" s="29">
        <v>70.313078407786875</v>
      </c>
      <c r="DS23">
        <v>70.430215399236232</v>
      </c>
      <c r="DT23">
        <v>70.546285964652526</v>
      </c>
      <c r="DU23">
        <v>70.66129706281437</v>
      </c>
    </row>
    <row r="24" spans="1:125">
      <c r="A24" s="34">
        <v>22</v>
      </c>
      <c r="B24" s="35"/>
      <c r="C24" s="35"/>
      <c r="D24" s="35"/>
      <c r="E24" s="35"/>
      <c r="F24" s="35"/>
      <c r="G24" s="35"/>
      <c r="H24" s="35"/>
      <c r="I24" s="35"/>
      <c r="J24" s="35"/>
      <c r="K24" s="35"/>
      <c r="L24" s="35"/>
      <c r="M24" s="35"/>
      <c r="N24" s="35"/>
      <c r="O24" s="35"/>
      <c r="P24" s="35"/>
      <c r="Q24" s="35"/>
      <c r="R24" s="35"/>
      <c r="S24" s="35"/>
      <c r="T24" s="35"/>
      <c r="U24" s="35"/>
      <c r="V24" s="29"/>
      <c r="W24" s="29"/>
      <c r="X24" s="29"/>
      <c r="Y24" s="29">
        <v>53.888074101523763</v>
      </c>
      <c r="Z24" s="29">
        <v>54.286704158813151</v>
      </c>
      <c r="AA24" s="29">
        <v>54.587159803300764</v>
      </c>
      <c r="AB24" s="29">
        <v>54.884121211663995</v>
      </c>
      <c r="AC24" s="29">
        <v>55.065236415204772</v>
      </c>
      <c r="AD24" s="29">
        <v>55.112067594230354</v>
      </c>
      <c r="AE24" s="29">
        <v>55.266802925813067</v>
      </c>
      <c r="AF24" s="29">
        <v>55.493577040720737</v>
      </c>
      <c r="AG24" s="29">
        <v>55.706339588238293</v>
      </c>
      <c r="AH24" s="29">
        <v>55.950675614777523</v>
      </c>
      <c r="AI24" s="29">
        <v>56.182961127240432</v>
      </c>
      <c r="AJ24" s="29">
        <v>56.488698018787318</v>
      </c>
      <c r="AK24" s="29">
        <v>56.76052598529899</v>
      </c>
      <c r="AL24" s="29">
        <v>57.102977758739549</v>
      </c>
      <c r="AM24" s="29">
        <v>57.396534419776984</v>
      </c>
      <c r="AN24" s="29">
        <v>57.603590649332602</v>
      </c>
      <c r="AO24" s="29">
        <v>57.738698666418991</v>
      </c>
      <c r="AP24" s="29">
        <v>57.90058042595048</v>
      </c>
      <c r="AQ24" s="29">
        <v>58.010582921716171</v>
      </c>
      <c r="AR24" s="29">
        <v>58.154165225044849</v>
      </c>
      <c r="AS24" s="29">
        <v>58.185956870073802</v>
      </c>
      <c r="AT24" s="29">
        <v>58.20769010380571</v>
      </c>
      <c r="AU24" s="29">
        <v>58.252028248792413</v>
      </c>
      <c r="AV24" s="29">
        <v>58.316377493592157</v>
      </c>
      <c r="AW24" s="29">
        <v>58.587181474274587</v>
      </c>
      <c r="AX24" s="29">
        <v>58.686731088825312</v>
      </c>
      <c r="AY24" s="29">
        <v>58.792072495106019</v>
      </c>
      <c r="AZ24" s="29">
        <v>58.861869964730303</v>
      </c>
      <c r="BA24" s="29">
        <v>58.94798716017867</v>
      </c>
      <c r="BB24" s="29">
        <v>59.063581766693304</v>
      </c>
      <c r="BC24" s="29">
        <v>59.16186416865056</v>
      </c>
      <c r="BD24" s="29">
        <v>59.284460889461485</v>
      </c>
      <c r="BE24" s="29">
        <v>59.430930753614874</v>
      </c>
      <c r="BF24" s="29">
        <v>59.59850131958946</v>
      </c>
      <c r="BG24" s="29">
        <v>59.749043660694483</v>
      </c>
      <c r="BH24" s="29">
        <v>59.9905823532672</v>
      </c>
      <c r="BI24" s="29">
        <v>60.140486902033452</v>
      </c>
      <c r="BJ24" s="29">
        <v>60.340721749010854</v>
      </c>
      <c r="BK24" s="29">
        <v>60.513500615746963</v>
      </c>
      <c r="BL24" s="29">
        <v>60.751447438509913</v>
      </c>
      <c r="BM24" s="29">
        <v>60.975368462213041</v>
      </c>
      <c r="BN24" s="29">
        <v>61.170879816971336</v>
      </c>
      <c r="BO24" s="29">
        <v>61.338354035318204</v>
      </c>
      <c r="BP24" s="29">
        <v>61.537521203791428</v>
      </c>
      <c r="BQ24" s="29">
        <v>61.717895661812079</v>
      </c>
      <c r="BR24" s="29">
        <v>61.893558670523504</v>
      </c>
      <c r="BS24" s="29">
        <v>62.063004617504021</v>
      </c>
      <c r="BT24" s="29">
        <v>62.240755167281222</v>
      </c>
      <c r="BU24" s="29">
        <v>62.378449189464774</v>
      </c>
      <c r="BV24" s="29">
        <v>62.55130101417646</v>
      </c>
      <c r="BW24" s="29">
        <v>62.721720535225145</v>
      </c>
      <c r="BX24" s="29">
        <v>62.882601014497013</v>
      </c>
      <c r="BY24" s="29">
        <v>63.033204472174219</v>
      </c>
      <c r="BZ24" s="29">
        <v>63.186994573683819</v>
      </c>
      <c r="CA24" s="29">
        <v>63.327307585743455</v>
      </c>
      <c r="CB24" s="29">
        <v>63.483237745789964</v>
      </c>
      <c r="CC24" s="29">
        <v>63.635113603338979</v>
      </c>
      <c r="CD24" s="29">
        <v>63.791133938689811</v>
      </c>
      <c r="CE24" s="29">
        <v>63.947332530211249</v>
      </c>
      <c r="CF24" s="29">
        <v>64.095563713793481</v>
      </c>
      <c r="CG24" s="29">
        <v>64.241803220553521</v>
      </c>
      <c r="CH24" s="29">
        <v>64.395915711865342</v>
      </c>
      <c r="CI24" s="29">
        <v>64.564956298731374</v>
      </c>
      <c r="CJ24" s="29">
        <v>64.705452773511936</v>
      </c>
      <c r="CK24" s="29">
        <v>64.860066851645499</v>
      </c>
      <c r="CL24" s="29">
        <v>65.016199348319773</v>
      </c>
      <c r="CM24" s="29">
        <v>65.170536230722831</v>
      </c>
      <c r="CN24" s="29">
        <v>65.320570633753476</v>
      </c>
      <c r="CO24" s="29">
        <v>65.469597269350857</v>
      </c>
      <c r="CP24" s="29">
        <v>65.620975713503015</v>
      </c>
      <c r="CQ24" s="29">
        <v>65.762111201246867</v>
      </c>
      <c r="CR24" s="29">
        <v>65.904562978610642</v>
      </c>
      <c r="CS24" s="29">
        <v>66.053027186740138</v>
      </c>
      <c r="CT24" s="29">
        <v>66.193756205544204</v>
      </c>
      <c r="CU24" s="29">
        <v>66.337100982408884</v>
      </c>
      <c r="CV24" s="29">
        <v>66.479968740020496</v>
      </c>
      <c r="CW24" s="29">
        <v>66.615182806470614</v>
      </c>
      <c r="CX24" s="29">
        <v>66.756201974782357</v>
      </c>
      <c r="CY24" s="29">
        <v>66.895608052204793</v>
      </c>
      <c r="CZ24" s="29">
        <v>67.033820178711281</v>
      </c>
      <c r="DA24" s="29">
        <v>67.170844744049163</v>
      </c>
      <c r="DB24" s="29">
        <v>67.30668812199913</v>
      </c>
      <c r="DC24" s="29">
        <v>67.441356657268969</v>
      </c>
      <c r="DD24" s="29">
        <v>67.574856651552921</v>
      </c>
      <c r="DE24" s="29">
        <v>67.707194362575478</v>
      </c>
      <c r="DF24" s="29">
        <v>67.838376006959123</v>
      </c>
      <c r="DG24" s="29">
        <v>67.968407758777076</v>
      </c>
      <c r="DH24" s="29">
        <v>68.097295745565816</v>
      </c>
      <c r="DI24" s="29">
        <v>68.225046072164886</v>
      </c>
      <c r="DJ24" s="29">
        <v>68.351665120181963</v>
      </c>
      <c r="DK24" s="29">
        <v>68.477159629128408</v>
      </c>
      <c r="DL24" s="29">
        <v>68.601543822046509</v>
      </c>
      <c r="DM24" s="29">
        <v>68.724824337566588</v>
      </c>
      <c r="DN24" s="29">
        <v>68.847007825602248</v>
      </c>
      <c r="DO24" s="29">
        <v>68.968100946334488</v>
      </c>
      <c r="DP24" s="29">
        <v>69.088110369219777</v>
      </c>
      <c r="DQ24" s="29">
        <v>69.20704277201898</v>
      </c>
      <c r="DR24" s="29">
        <v>69.32490483984742</v>
      </c>
      <c r="DS24">
        <v>69.441703264245305</v>
      </c>
      <c r="DT24">
        <v>69.557444742267478</v>
      </c>
      <c r="DU24">
        <v>69.672135975591914</v>
      </c>
    </row>
    <row r="25" spans="1:125">
      <c r="A25" s="34">
        <v>23</v>
      </c>
      <c r="B25" s="35"/>
      <c r="C25" s="35"/>
      <c r="D25" s="35"/>
      <c r="E25" s="35"/>
      <c r="F25" s="35"/>
      <c r="G25" s="35"/>
      <c r="H25" s="35"/>
      <c r="I25" s="35"/>
      <c r="J25" s="35"/>
      <c r="K25" s="35"/>
      <c r="L25" s="35"/>
      <c r="M25" s="35"/>
      <c r="N25" s="35"/>
      <c r="O25" s="35"/>
      <c r="P25" s="35"/>
      <c r="Q25" s="35"/>
      <c r="R25" s="35"/>
      <c r="S25" s="35"/>
      <c r="T25" s="35"/>
      <c r="U25" s="35"/>
      <c r="V25" s="29"/>
      <c r="W25" s="29"/>
      <c r="X25" s="29"/>
      <c r="Y25" s="29">
        <v>53.136479740786072</v>
      </c>
      <c r="Z25" s="29">
        <v>53.483120579860206</v>
      </c>
      <c r="AA25" s="29">
        <v>53.784765777075684</v>
      </c>
      <c r="AB25" s="29">
        <v>54.023812794067567</v>
      </c>
      <c r="AC25" s="29">
        <v>54.155210838611012</v>
      </c>
      <c r="AD25" s="29">
        <v>54.202084785435225</v>
      </c>
      <c r="AE25" s="29">
        <v>54.357048205871877</v>
      </c>
      <c r="AF25" s="29">
        <v>54.573562708105939</v>
      </c>
      <c r="AG25" s="29">
        <v>54.784682340840263</v>
      </c>
      <c r="AH25" s="29">
        <v>55.025232931764016</v>
      </c>
      <c r="AI25" s="29">
        <v>55.257094079816618</v>
      </c>
      <c r="AJ25" s="29">
        <v>55.559427617205166</v>
      </c>
      <c r="AK25" s="29">
        <v>55.834317343626971</v>
      </c>
      <c r="AL25" s="29">
        <v>56.172507923531043</v>
      </c>
      <c r="AM25" s="29">
        <v>56.466915458815947</v>
      </c>
      <c r="AN25" s="29">
        <v>56.669861051615058</v>
      </c>
      <c r="AO25" s="29">
        <v>56.805954816496119</v>
      </c>
      <c r="AP25" s="29">
        <v>56.965237944367374</v>
      </c>
      <c r="AQ25" s="29">
        <v>57.074289780499996</v>
      </c>
      <c r="AR25" s="29">
        <v>57.218465132469632</v>
      </c>
      <c r="AS25" s="29">
        <v>57.246409786481948</v>
      </c>
      <c r="AT25" s="29">
        <v>57.271902989880772</v>
      </c>
      <c r="AU25" s="29">
        <v>57.317974453908882</v>
      </c>
      <c r="AV25" s="29">
        <v>57.379485413852677</v>
      </c>
      <c r="AW25" s="29">
        <v>57.64877906695861</v>
      </c>
      <c r="AX25" s="29">
        <v>57.752017739483804</v>
      </c>
      <c r="AY25" s="29">
        <v>57.858143461544152</v>
      </c>
      <c r="AZ25" s="29">
        <v>57.929581735991299</v>
      </c>
      <c r="BA25" s="29">
        <v>58.006269695462017</v>
      </c>
      <c r="BB25" s="29">
        <v>58.121030843424663</v>
      </c>
      <c r="BC25" s="29">
        <v>58.222688972637734</v>
      </c>
      <c r="BD25" s="29">
        <v>58.345762095604286</v>
      </c>
      <c r="BE25" s="29">
        <v>58.491548891063744</v>
      </c>
      <c r="BF25" s="29">
        <v>58.662320071199865</v>
      </c>
      <c r="BG25" s="29">
        <v>58.808977264894196</v>
      </c>
      <c r="BH25" s="29">
        <v>59.04440384764348</v>
      </c>
      <c r="BI25" s="29">
        <v>59.1903734793311</v>
      </c>
      <c r="BJ25" s="29">
        <v>59.392845970539241</v>
      </c>
      <c r="BK25" s="29">
        <v>59.565492264098992</v>
      </c>
      <c r="BL25" s="29">
        <v>59.800395206955102</v>
      </c>
      <c r="BM25" s="29">
        <v>60.019217632148141</v>
      </c>
      <c r="BN25" s="29">
        <v>60.213243810436353</v>
      </c>
      <c r="BO25" s="29">
        <v>60.379806825807705</v>
      </c>
      <c r="BP25" s="29">
        <v>60.579583464222303</v>
      </c>
      <c r="BQ25" s="29">
        <v>60.761141590790558</v>
      </c>
      <c r="BR25" s="29">
        <v>60.93891608371743</v>
      </c>
      <c r="BS25" s="29">
        <v>61.108019801721703</v>
      </c>
      <c r="BT25" s="29">
        <v>61.283873034669114</v>
      </c>
      <c r="BU25" s="29">
        <v>61.421027613504279</v>
      </c>
      <c r="BV25" s="29">
        <v>61.59259517664259</v>
      </c>
      <c r="BW25" s="29">
        <v>61.76167781095981</v>
      </c>
      <c r="BX25" s="29">
        <v>61.922227542923991</v>
      </c>
      <c r="BY25" s="29">
        <v>62.068880077307554</v>
      </c>
      <c r="BZ25" s="29">
        <v>62.225766375966778</v>
      </c>
      <c r="CA25" s="29">
        <v>62.364262802427405</v>
      </c>
      <c r="CB25" s="29">
        <v>62.515936915741257</v>
      </c>
      <c r="CC25" s="29">
        <v>62.670266259338121</v>
      </c>
      <c r="CD25" s="29">
        <v>62.822490337085412</v>
      </c>
      <c r="CE25" s="29">
        <v>62.980027773961993</v>
      </c>
      <c r="CF25" s="29">
        <v>63.123113651478022</v>
      </c>
      <c r="CG25" s="29">
        <v>63.267706373180445</v>
      </c>
      <c r="CH25" s="29">
        <v>63.424974484655365</v>
      </c>
      <c r="CI25" s="29">
        <v>63.589719943043647</v>
      </c>
      <c r="CJ25" s="29">
        <v>63.72940239902632</v>
      </c>
      <c r="CK25" s="29">
        <v>63.884323016634312</v>
      </c>
      <c r="CL25" s="29">
        <v>64.039593239815403</v>
      </c>
      <c r="CM25" s="29">
        <v>64.195810051066857</v>
      </c>
      <c r="CN25" s="29">
        <v>64.341340838908621</v>
      </c>
      <c r="CO25" s="29">
        <v>64.487764126075959</v>
      </c>
      <c r="CP25" s="29">
        <v>64.639610496051716</v>
      </c>
      <c r="CQ25" s="29">
        <v>64.783921644129393</v>
      </c>
      <c r="CR25" s="29">
        <v>64.924403946508562</v>
      </c>
      <c r="CS25" s="29">
        <v>65.072313914754957</v>
      </c>
      <c r="CT25" s="29">
        <v>65.211916306714514</v>
      </c>
      <c r="CU25" s="29">
        <v>65.356690727561272</v>
      </c>
      <c r="CV25" s="29">
        <v>65.497696346113045</v>
      </c>
      <c r="CW25" s="29">
        <v>65.636566563271302</v>
      </c>
      <c r="CX25" s="29">
        <v>65.77658391120913</v>
      </c>
      <c r="CY25" s="29">
        <v>65.91541699339129</v>
      </c>
      <c r="CZ25" s="29">
        <v>66.05307178760377</v>
      </c>
      <c r="DA25" s="29">
        <v>66.189554272968579</v>
      </c>
      <c r="DB25" s="29">
        <v>66.324870422707249</v>
      </c>
      <c r="DC25" s="29">
        <v>66.459026190815905</v>
      </c>
      <c r="DD25" s="29">
        <v>66.592027497907935</v>
      </c>
      <c r="DE25" s="29">
        <v>66.72388023004487</v>
      </c>
      <c r="DF25" s="29">
        <v>66.854590241393197</v>
      </c>
      <c r="DG25" s="29">
        <v>66.984163352567634</v>
      </c>
      <c r="DH25" s="29">
        <v>67.112605346437334</v>
      </c>
      <c r="DI25" s="29">
        <v>67.23992199176557</v>
      </c>
      <c r="DJ25" s="29">
        <v>67.366119342589968</v>
      </c>
      <c r="DK25" s="29">
        <v>67.491210987350627</v>
      </c>
      <c r="DL25" s="29">
        <v>67.615203258841248</v>
      </c>
      <c r="DM25" s="29">
        <v>67.738102509408122</v>
      </c>
      <c r="DN25" s="29">
        <v>67.85991510975191</v>
      </c>
      <c r="DO25" s="29">
        <v>67.980647447753185</v>
      </c>
      <c r="DP25" s="29">
        <v>68.100305927324911</v>
      </c>
      <c r="DQ25" s="29">
        <v>68.218896967288543</v>
      </c>
      <c r="DR25" s="29">
        <v>68.336427000274341</v>
      </c>
      <c r="DS25">
        <v>68.45290247164472</v>
      </c>
      <c r="DT25">
        <v>68.568329838439723</v>
      </c>
      <c r="DU25">
        <v>68.682715568344221</v>
      </c>
    </row>
    <row r="26" spans="1:125">
      <c r="A26" s="34">
        <v>24</v>
      </c>
      <c r="B26" s="35"/>
      <c r="C26" s="35"/>
      <c r="D26" s="35"/>
      <c r="E26" s="35"/>
      <c r="F26" s="35"/>
      <c r="G26" s="35"/>
      <c r="H26" s="35"/>
      <c r="I26" s="35"/>
      <c r="J26" s="35"/>
      <c r="K26" s="35"/>
      <c r="L26" s="35"/>
      <c r="M26" s="35"/>
      <c r="N26" s="35"/>
      <c r="O26" s="35"/>
      <c r="P26" s="35"/>
      <c r="Q26" s="35"/>
      <c r="R26" s="35"/>
      <c r="S26" s="35"/>
      <c r="T26" s="35"/>
      <c r="U26" s="35"/>
      <c r="V26" s="29"/>
      <c r="W26" s="29"/>
      <c r="X26" s="29"/>
      <c r="Y26" s="29">
        <v>52.328443190952299</v>
      </c>
      <c r="Z26" s="29">
        <v>52.676382499512897</v>
      </c>
      <c r="AA26" s="29">
        <v>52.921871792230959</v>
      </c>
      <c r="AB26" s="29">
        <v>53.114467328003954</v>
      </c>
      <c r="AC26" s="29">
        <v>53.24604373885667</v>
      </c>
      <c r="AD26" s="29">
        <v>53.292961250631862</v>
      </c>
      <c r="AE26" s="29">
        <v>53.435668277591724</v>
      </c>
      <c r="AF26" s="29">
        <v>53.652152168102418</v>
      </c>
      <c r="AG26" s="29">
        <v>53.858029303623937</v>
      </c>
      <c r="AH26" s="29">
        <v>54.099584738649128</v>
      </c>
      <c r="AI26" s="29">
        <v>54.329938847815811</v>
      </c>
      <c r="AJ26" s="29">
        <v>54.62826562969137</v>
      </c>
      <c r="AK26" s="29">
        <v>54.900332082118908</v>
      </c>
      <c r="AL26" s="29">
        <v>55.236986923918138</v>
      </c>
      <c r="AM26" s="29">
        <v>55.531880793798258</v>
      </c>
      <c r="AN26" s="29">
        <v>55.737644784800295</v>
      </c>
      <c r="AO26" s="29">
        <v>55.868829924265697</v>
      </c>
      <c r="AP26" s="29">
        <v>56.027783230372314</v>
      </c>
      <c r="AQ26" s="29">
        <v>56.136100949346627</v>
      </c>
      <c r="AR26" s="29">
        <v>56.280696529164672</v>
      </c>
      <c r="AS26" s="29">
        <v>56.304285554562625</v>
      </c>
      <c r="AT26" s="29">
        <v>56.328916595555697</v>
      </c>
      <c r="AU26" s="29">
        <v>56.376902834105479</v>
      </c>
      <c r="AV26" s="29">
        <v>56.441706569002477</v>
      </c>
      <c r="AW26" s="29">
        <v>56.712009140084248</v>
      </c>
      <c r="AX26" s="29">
        <v>56.815134906164559</v>
      </c>
      <c r="AY26" s="29">
        <v>56.919403087983468</v>
      </c>
      <c r="AZ26" s="29">
        <v>56.983451793703608</v>
      </c>
      <c r="BA26" s="29">
        <v>57.061743817729848</v>
      </c>
      <c r="BB26" s="29">
        <v>57.17823124838641</v>
      </c>
      <c r="BC26" s="29">
        <v>57.281319157183859</v>
      </c>
      <c r="BD26" s="29">
        <v>57.404879391632946</v>
      </c>
      <c r="BE26" s="29">
        <v>57.548777135745837</v>
      </c>
      <c r="BF26" s="29">
        <v>57.717738329610242</v>
      </c>
      <c r="BG26" s="29">
        <v>57.863057547129301</v>
      </c>
      <c r="BH26" s="29">
        <v>58.095855422678426</v>
      </c>
      <c r="BI26" s="29">
        <v>58.24049847215575</v>
      </c>
      <c r="BJ26" s="29">
        <v>58.441404206847821</v>
      </c>
      <c r="BK26" s="29">
        <v>58.608084517427798</v>
      </c>
      <c r="BL26" s="29">
        <v>58.841723334191713</v>
      </c>
      <c r="BM26" s="29">
        <v>59.058844031240071</v>
      </c>
      <c r="BN26" s="29">
        <v>59.254778002932042</v>
      </c>
      <c r="BO26" s="29">
        <v>59.421930449729871</v>
      </c>
      <c r="BP26" s="29">
        <v>59.621020874818321</v>
      </c>
      <c r="BQ26" s="29">
        <v>59.806322102161545</v>
      </c>
      <c r="BR26" s="29">
        <v>59.982335480068883</v>
      </c>
      <c r="BS26" s="29">
        <v>60.149153452720597</v>
      </c>
      <c r="BT26" s="29">
        <v>60.324631111324891</v>
      </c>
      <c r="BU26" s="29">
        <v>60.457187788158436</v>
      </c>
      <c r="BV26" s="29">
        <v>60.632603452379641</v>
      </c>
      <c r="BW26" s="29">
        <v>60.802032593371507</v>
      </c>
      <c r="BX26" s="29">
        <v>60.958751373136273</v>
      </c>
      <c r="BY26" s="29">
        <v>61.10236205994773</v>
      </c>
      <c r="BZ26" s="29">
        <v>61.261316494384019</v>
      </c>
      <c r="CA26" s="29">
        <v>61.398978767725183</v>
      </c>
      <c r="CB26" s="29">
        <v>61.546557789551485</v>
      </c>
      <c r="CC26" s="29">
        <v>61.704100844200966</v>
      </c>
      <c r="CD26" s="29">
        <v>61.852332463336253</v>
      </c>
      <c r="CE26" s="29">
        <v>62.007481149811213</v>
      </c>
      <c r="CF26" s="29">
        <v>62.149334086748709</v>
      </c>
      <c r="CG26" s="29">
        <v>62.294411677722323</v>
      </c>
      <c r="CH26" s="29">
        <v>62.451047447436565</v>
      </c>
      <c r="CI26" s="29">
        <v>62.612575156402642</v>
      </c>
      <c r="CJ26" s="29">
        <v>62.751756817059174</v>
      </c>
      <c r="CK26" s="29">
        <v>62.90980996744446</v>
      </c>
      <c r="CL26" s="29">
        <v>63.064427360287112</v>
      </c>
      <c r="CM26" s="29">
        <v>63.21695198390907</v>
      </c>
      <c r="CN26" s="29">
        <v>63.363857701234167</v>
      </c>
      <c r="CO26" s="29">
        <v>63.511241459926346</v>
      </c>
      <c r="CP26" s="29">
        <v>63.65901746130136</v>
      </c>
      <c r="CQ26" s="29">
        <v>63.801920189195101</v>
      </c>
      <c r="CR26" s="29">
        <v>63.944536178761027</v>
      </c>
      <c r="CS26" s="29">
        <v>64.089264328809449</v>
      </c>
      <c r="CT26" s="29">
        <v>64.231090934059836</v>
      </c>
      <c r="CU26" s="29">
        <v>64.375654308835919</v>
      </c>
      <c r="CV26" s="29">
        <v>64.515797042990727</v>
      </c>
      <c r="CW26" s="29">
        <v>64.656443668816095</v>
      </c>
      <c r="CX26" s="29">
        <v>64.795914987542929</v>
      </c>
      <c r="CY26" s="29">
        <v>64.93421659447263</v>
      </c>
      <c r="CZ26" s="29">
        <v>65.071354096605688</v>
      </c>
      <c r="DA26" s="29">
        <v>65.207333111053828</v>
      </c>
      <c r="DB26" s="29">
        <v>65.342159257626051</v>
      </c>
      <c r="DC26" s="29">
        <v>65.475838145324843</v>
      </c>
      <c r="DD26" s="29">
        <v>65.60837535801096</v>
      </c>
      <c r="DE26" s="29">
        <v>65.739776453059179</v>
      </c>
      <c r="DF26" s="29">
        <v>65.870046963841077</v>
      </c>
      <c r="DG26" s="29">
        <v>65.999192397895229</v>
      </c>
      <c r="DH26" s="29">
        <v>66.127218232562129</v>
      </c>
      <c r="DI26" s="29">
        <v>66.254129938458249</v>
      </c>
      <c r="DJ26" s="29">
        <v>66.379940155373703</v>
      </c>
      <c r="DK26" s="29">
        <v>66.504654927738159</v>
      </c>
      <c r="DL26" s="29">
        <v>66.628280327142022</v>
      </c>
      <c r="DM26" s="29">
        <v>66.750822450972635</v>
      </c>
      <c r="DN26" s="29">
        <v>66.872287421082063</v>
      </c>
      <c r="DO26" s="29">
        <v>66.992681382480725</v>
      </c>
      <c r="DP26" s="29">
        <v>67.112010502060556</v>
      </c>
      <c r="DQ26" s="29">
        <v>67.230280967343745</v>
      </c>
      <c r="DR26" s="29">
        <v>67.347498985258113</v>
      </c>
      <c r="DS26">
        <v>67.463670780937719</v>
      </c>
      <c r="DT26">
        <v>67.578802596547789</v>
      </c>
      <c r="DU26">
        <v>67.69290069013357</v>
      </c>
    </row>
    <row r="27" spans="1:125">
      <c r="A27" s="34">
        <v>25</v>
      </c>
      <c r="B27" s="35"/>
      <c r="C27" s="35"/>
      <c r="D27" s="35"/>
      <c r="E27" s="35"/>
      <c r="F27" s="35"/>
      <c r="G27" s="35"/>
      <c r="H27" s="35"/>
      <c r="I27" s="35"/>
      <c r="J27" s="35"/>
      <c r="K27" s="35"/>
      <c r="L27" s="35"/>
      <c r="M27" s="35"/>
      <c r="N27" s="35"/>
      <c r="O27" s="35"/>
      <c r="P27" s="35"/>
      <c r="Q27" s="35"/>
      <c r="R27" s="35"/>
      <c r="S27" s="35"/>
      <c r="T27" s="35"/>
      <c r="U27" s="35"/>
      <c r="V27" s="29"/>
      <c r="W27" s="29"/>
      <c r="X27" s="29"/>
      <c r="Y27" s="29">
        <v>51.515151997739494</v>
      </c>
      <c r="Z27" s="29">
        <v>51.809311818647465</v>
      </c>
      <c r="AA27" s="29">
        <v>52.012696386979528</v>
      </c>
      <c r="AB27" s="29">
        <v>52.20561663849594</v>
      </c>
      <c r="AC27" s="29">
        <v>52.337374656365995</v>
      </c>
      <c r="AD27" s="29">
        <v>52.366779094915259</v>
      </c>
      <c r="AE27" s="29">
        <v>52.509959763964744</v>
      </c>
      <c r="AF27" s="29">
        <v>52.722819997454145</v>
      </c>
      <c r="AG27" s="29">
        <v>52.932062574372893</v>
      </c>
      <c r="AH27" s="29">
        <v>53.17001221681015</v>
      </c>
      <c r="AI27" s="29">
        <v>53.39726337532629</v>
      </c>
      <c r="AJ27" s="29">
        <v>53.692900338406886</v>
      </c>
      <c r="AK27" s="29">
        <v>53.967396477032992</v>
      </c>
      <c r="AL27" s="29">
        <v>54.298937730387991</v>
      </c>
      <c r="AM27" s="29">
        <v>54.594558918048619</v>
      </c>
      <c r="AN27" s="29">
        <v>54.797360351735406</v>
      </c>
      <c r="AO27" s="29">
        <v>54.930863938121391</v>
      </c>
      <c r="AP27" s="29">
        <v>55.088765767477689</v>
      </c>
      <c r="AQ27" s="29">
        <v>55.194670484127741</v>
      </c>
      <c r="AR27" s="29">
        <v>55.341847908067557</v>
      </c>
      <c r="AS27" s="29">
        <v>55.362805006585731</v>
      </c>
      <c r="AT27" s="29">
        <v>55.384213949877832</v>
      </c>
      <c r="AU27" s="29">
        <v>55.434786475120077</v>
      </c>
      <c r="AV27" s="29">
        <v>55.505846875199452</v>
      </c>
      <c r="AW27" s="29">
        <v>55.773341339459719</v>
      </c>
      <c r="AX27" s="29">
        <v>55.871833422155746</v>
      </c>
      <c r="AY27" s="29">
        <v>55.972667408374228</v>
      </c>
      <c r="AZ27" s="29">
        <v>56.034158651800652</v>
      </c>
      <c r="BA27" s="29">
        <v>56.115742846269114</v>
      </c>
      <c r="BB27" s="29">
        <v>56.232316048042236</v>
      </c>
      <c r="BC27" s="29">
        <v>56.33838636456754</v>
      </c>
      <c r="BD27" s="29">
        <v>56.458980206254566</v>
      </c>
      <c r="BE27" s="29">
        <v>56.604032189636598</v>
      </c>
      <c r="BF27" s="29">
        <v>56.767606940171703</v>
      </c>
      <c r="BG27" s="29">
        <v>56.912801969831392</v>
      </c>
      <c r="BH27" s="29">
        <v>57.143045949245163</v>
      </c>
      <c r="BI27" s="29">
        <v>57.286832852771454</v>
      </c>
      <c r="BJ27" s="29">
        <v>57.485715113654948</v>
      </c>
      <c r="BK27" s="29">
        <v>57.65159806625114</v>
      </c>
      <c r="BL27" s="29">
        <v>57.884037363615931</v>
      </c>
      <c r="BM27" s="29">
        <v>58.101067428620063</v>
      </c>
      <c r="BN27" s="29">
        <v>58.2952417099903</v>
      </c>
      <c r="BO27" s="29">
        <v>58.461808941313087</v>
      </c>
      <c r="BP27" s="29">
        <v>58.662253148073148</v>
      </c>
      <c r="BQ27" s="29">
        <v>58.84612829771298</v>
      </c>
      <c r="BR27" s="29">
        <v>59.023794295544668</v>
      </c>
      <c r="BS27" s="29">
        <v>59.18996386090717</v>
      </c>
      <c r="BT27" s="29">
        <v>59.363095992124812</v>
      </c>
      <c r="BU27" s="29">
        <v>59.497971135598604</v>
      </c>
      <c r="BV27" s="29">
        <v>59.667169100862282</v>
      </c>
      <c r="BW27" s="29">
        <v>59.837334184226364</v>
      </c>
      <c r="BX27" s="29">
        <v>59.992418241472073</v>
      </c>
      <c r="BY27" s="29">
        <v>60.140118597977654</v>
      </c>
      <c r="BZ27" s="29">
        <v>60.29383727026044</v>
      </c>
      <c r="CA27" s="29">
        <v>60.43108379501659</v>
      </c>
      <c r="CB27" s="29">
        <v>60.575042364754722</v>
      </c>
      <c r="CC27" s="29">
        <v>60.733871670488284</v>
      </c>
      <c r="CD27" s="29">
        <v>60.880802432756752</v>
      </c>
      <c r="CE27" s="29">
        <v>61.031878793686928</v>
      </c>
      <c r="CF27" s="29">
        <v>61.174323423002974</v>
      </c>
      <c r="CG27" s="29">
        <v>61.317399958306368</v>
      </c>
      <c r="CH27" s="29">
        <v>61.475511599544781</v>
      </c>
      <c r="CI27" s="29">
        <v>61.636831552492886</v>
      </c>
      <c r="CJ27" s="29">
        <v>61.776330255136216</v>
      </c>
      <c r="CK27" s="29">
        <v>61.932303886339426</v>
      </c>
      <c r="CL27" s="29">
        <v>62.086866865837422</v>
      </c>
      <c r="CM27" s="29">
        <v>62.237271011642108</v>
      </c>
      <c r="CN27" s="29">
        <v>62.384106518614502</v>
      </c>
      <c r="CO27" s="29">
        <v>62.530719562595593</v>
      </c>
      <c r="CP27" s="29">
        <v>62.679200178743123</v>
      </c>
      <c r="CQ27" s="29">
        <v>62.823173973698822</v>
      </c>
      <c r="CR27" s="29">
        <v>62.964693932660317</v>
      </c>
      <c r="CS27" s="29">
        <v>63.107477370489264</v>
      </c>
      <c r="CT27" s="29">
        <v>63.250815232294862</v>
      </c>
      <c r="CU27" s="29">
        <v>63.393836402375186</v>
      </c>
      <c r="CV27" s="29">
        <v>63.535131850337805</v>
      </c>
      <c r="CW27" s="29">
        <v>63.675260193044764</v>
      </c>
      <c r="CX27" s="29">
        <v>63.814226677762733</v>
      </c>
      <c r="CY27" s="29">
        <v>63.952036567495227</v>
      </c>
      <c r="CZ27" s="29">
        <v>64.088695144510524</v>
      </c>
      <c r="DA27" s="29">
        <v>64.224207708612454</v>
      </c>
      <c r="DB27" s="29">
        <v>64.358579569584151</v>
      </c>
      <c r="DC27" s="29">
        <v>64.491816033539664</v>
      </c>
      <c r="DD27" s="29">
        <v>64.623922388444583</v>
      </c>
      <c r="DE27" s="29">
        <v>64.754903902629806</v>
      </c>
      <c r="DF27" s="29">
        <v>64.884765827132554</v>
      </c>
      <c r="DG27" s="29">
        <v>65.013513393725134</v>
      </c>
      <c r="DH27" s="29">
        <v>65.14115181040961</v>
      </c>
      <c r="DI27" s="29">
        <v>65.267692554258247</v>
      </c>
      <c r="DJ27" s="29">
        <v>65.393141398278814</v>
      </c>
      <c r="DK27" s="29">
        <v>65.517504149627712</v>
      </c>
      <c r="DL27" s="29">
        <v>65.64078664810377</v>
      </c>
      <c r="DM27" s="29">
        <v>65.762994764672072</v>
      </c>
      <c r="DN27" s="29">
        <v>65.884134400021253</v>
      </c>
      <c r="DO27" s="29">
        <v>66.004211483148225</v>
      </c>
      <c r="DP27" s="29">
        <v>66.12323196997437</v>
      </c>
      <c r="DQ27" s="29">
        <v>66.241201841989067</v>
      </c>
      <c r="DR27" s="29">
        <v>66.358127104921365</v>
      </c>
      <c r="DS27">
        <v>66.474013787438906</v>
      </c>
      <c r="DT27">
        <v>66.588867939872614</v>
      </c>
      <c r="DU27">
        <v>66.702695632967135</v>
      </c>
    </row>
    <row r="28" spans="1:125">
      <c r="A28" s="34">
        <v>26</v>
      </c>
      <c r="B28" s="35"/>
      <c r="C28" s="35"/>
      <c r="D28" s="35"/>
      <c r="E28" s="35"/>
      <c r="F28" s="35"/>
      <c r="G28" s="35"/>
      <c r="H28" s="35"/>
      <c r="I28" s="35"/>
      <c r="J28" s="35"/>
      <c r="K28" s="35"/>
      <c r="L28" s="35"/>
      <c r="M28" s="35"/>
      <c r="N28" s="35"/>
      <c r="O28" s="35"/>
      <c r="P28" s="35"/>
      <c r="Q28" s="35"/>
      <c r="R28" s="35"/>
      <c r="S28" s="35"/>
      <c r="T28" s="35"/>
      <c r="U28" s="35"/>
      <c r="V28" s="29"/>
      <c r="W28" s="29"/>
      <c r="X28" s="29"/>
      <c r="Y28" s="29">
        <v>50.642169920998342</v>
      </c>
      <c r="Z28" s="29">
        <v>50.899960964436019</v>
      </c>
      <c r="AA28" s="29">
        <v>51.10372410534022</v>
      </c>
      <c r="AB28" s="29">
        <v>51.296976271977059</v>
      </c>
      <c r="AC28" s="29">
        <v>51.4097299792695</v>
      </c>
      <c r="AD28" s="29">
        <v>51.438571003689319</v>
      </c>
      <c r="AE28" s="29">
        <v>51.579744236578385</v>
      </c>
      <c r="AF28" s="29">
        <v>51.79313787552146</v>
      </c>
      <c r="AG28" s="29">
        <v>52.001055443457872</v>
      </c>
      <c r="AH28" s="29">
        <v>52.237921509825263</v>
      </c>
      <c r="AI28" s="29">
        <v>52.461558308934812</v>
      </c>
      <c r="AJ28" s="29">
        <v>52.758222090710078</v>
      </c>
      <c r="AK28" s="29">
        <v>53.026493509135889</v>
      </c>
      <c r="AL28" s="29">
        <v>53.360631252439852</v>
      </c>
      <c r="AM28" s="29">
        <v>53.652983056628671</v>
      </c>
      <c r="AN28" s="29">
        <v>53.855490275460902</v>
      </c>
      <c r="AO28" s="29">
        <v>53.991849946568806</v>
      </c>
      <c r="AP28" s="29">
        <v>54.149162512127234</v>
      </c>
      <c r="AQ28" s="29">
        <v>54.25079288902463</v>
      </c>
      <c r="AR28" s="29">
        <v>54.403025423613734</v>
      </c>
      <c r="AS28" s="29">
        <v>54.416097360267344</v>
      </c>
      <c r="AT28" s="29">
        <v>54.439498387847003</v>
      </c>
      <c r="AU28" s="29">
        <v>54.496285998461055</v>
      </c>
      <c r="AV28" s="29">
        <v>54.56313070445843</v>
      </c>
      <c r="AW28" s="29">
        <v>54.832292586130961</v>
      </c>
      <c r="AX28" s="29">
        <v>54.924520132556211</v>
      </c>
      <c r="AY28" s="29">
        <v>55.022154591891763</v>
      </c>
      <c r="AZ28" s="29">
        <v>55.084601089164366</v>
      </c>
      <c r="BA28" s="29">
        <v>55.168976497082951</v>
      </c>
      <c r="BB28" s="29">
        <v>55.285512276430936</v>
      </c>
      <c r="BC28" s="29">
        <v>55.391217536258544</v>
      </c>
      <c r="BD28" s="29">
        <v>55.51184814629238</v>
      </c>
      <c r="BE28" s="29">
        <v>55.654492256818251</v>
      </c>
      <c r="BF28" s="29">
        <v>55.816426376620882</v>
      </c>
      <c r="BG28" s="29">
        <v>55.961105656375629</v>
      </c>
      <c r="BH28" s="29">
        <v>56.18641761300448</v>
      </c>
      <c r="BI28" s="29">
        <v>56.329060592853892</v>
      </c>
      <c r="BJ28" s="29">
        <v>56.525797871635241</v>
      </c>
      <c r="BK28" s="29">
        <v>56.691954226055699</v>
      </c>
      <c r="BL28" s="29">
        <v>56.924607535702421</v>
      </c>
      <c r="BM28" s="29">
        <v>57.139380691141092</v>
      </c>
      <c r="BN28" s="29">
        <v>57.335154646315772</v>
      </c>
      <c r="BO28" s="29">
        <v>57.505868060092162</v>
      </c>
      <c r="BP28" s="29">
        <v>57.704870178995634</v>
      </c>
      <c r="BQ28" s="29">
        <v>57.888804256999947</v>
      </c>
      <c r="BR28" s="29">
        <v>58.062623311481858</v>
      </c>
      <c r="BS28" s="29">
        <v>58.226460289074822</v>
      </c>
      <c r="BT28" s="29">
        <v>58.399496118610138</v>
      </c>
      <c r="BU28" s="29">
        <v>58.53245587498261</v>
      </c>
      <c r="BV28" s="29">
        <v>58.702074400878786</v>
      </c>
      <c r="BW28" s="29">
        <v>58.870537255559483</v>
      </c>
      <c r="BX28" s="29">
        <v>59.024606891803415</v>
      </c>
      <c r="BY28" s="29">
        <v>59.170736915197686</v>
      </c>
      <c r="BZ28" s="29">
        <v>59.323753201395832</v>
      </c>
      <c r="CA28" s="29">
        <v>59.461809157195191</v>
      </c>
      <c r="CB28" s="29">
        <v>59.604282583300261</v>
      </c>
      <c r="CC28" s="29">
        <v>59.758155675503744</v>
      </c>
      <c r="CD28" s="29">
        <v>59.907007327083903</v>
      </c>
      <c r="CE28" s="29">
        <v>60.057908955394147</v>
      </c>
      <c r="CF28" s="29">
        <v>60.198619159306318</v>
      </c>
      <c r="CG28" s="29">
        <v>60.3413911027301</v>
      </c>
      <c r="CH28" s="29">
        <v>60.498958724494415</v>
      </c>
      <c r="CI28" s="29">
        <v>60.659249615580613</v>
      </c>
      <c r="CJ28" s="29">
        <v>60.800271907559548</v>
      </c>
      <c r="CK28" s="29">
        <v>60.955069366911466</v>
      </c>
      <c r="CL28" s="29">
        <v>61.108494298456371</v>
      </c>
      <c r="CM28" s="29">
        <v>61.258579043492368</v>
      </c>
      <c r="CN28" s="29">
        <v>61.402983394573866</v>
      </c>
      <c r="CO28" s="29">
        <v>61.550010089675034</v>
      </c>
      <c r="CP28" s="29">
        <v>61.697844115693769</v>
      </c>
      <c r="CQ28" s="29">
        <v>61.842648735200115</v>
      </c>
      <c r="CR28" s="29">
        <v>61.983531370153415</v>
      </c>
      <c r="CS28" s="29">
        <v>62.125256664764343</v>
      </c>
      <c r="CT28" s="29">
        <v>62.270870510851864</v>
      </c>
      <c r="CU28" s="29">
        <v>62.412829202561603</v>
      </c>
      <c r="CV28" s="29">
        <v>62.553628376119875</v>
      </c>
      <c r="CW28" s="29">
        <v>62.693272965923939</v>
      </c>
      <c r="CX28" s="29">
        <v>62.831767919728463</v>
      </c>
      <c r="CY28" s="29">
        <v>62.969118207562055</v>
      </c>
      <c r="CZ28" s="29">
        <v>63.105328825144298</v>
      </c>
      <c r="DA28" s="29">
        <v>63.240404792043947</v>
      </c>
      <c r="DB28" s="29">
        <v>63.37435114400828</v>
      </c>
      <c r="DC28" s="29">
        <v>63.507172919197998</v>
      </c>
      <c r="DD28" s="29">
        <v>63.638875143590994</v>
      </c>
      <c r="DE28" s="29">
        <v>63.769462829380743</v>
      </c>
      <c r="DF28" s="29">
        <v>63.898940977202074</v>
      </c>
      <c r="DG28" s="29">
        <v>64.027314574044254</v>
      </c>
      <c r="DH28" s="29">
        <v>64.154594029663571</v>
      </c>
      <c r="DI28" s="29">
        <v>64.280784858950696</v>
      </c>
      <c r="DJ28" s="29">
        <v>64.405892617430254</v>
      </c>
      <c r="DK28" s="29">
        <v>64.52992289962549</v>
      </c>
      <c r="DL28" s="29">
        <v>64.652881337457458</v>
      </c>
      <c r="DM28" s="29">
        <v>64.774773598675694</v>
      </c>
      <c r="DN28" s="29">
        <v>64.895605385323705</v>
      </c>
      <c r="DO28" s="29">
        <v>65.015382432233196</v>
      </c>
      <c r="DP28" s="29">
        <v>65.134110505551064</v>
      </c>
      <c r="DQ28" s="29">
        <v>65.251795401295269</v>
      </c>
      <c r="DR28" s="29">
        <v>65.368442943939883</v>
      </c>
      <c r="DS28">
        <v>65.484058985028952</v>
      </c>
      <c r="DT28">
        <v>65.59864940181734</v>
      </c>
      <c r="DU28">
        <v>65.712220095938719</v>
      </c>
    </row>
    <row r="29" spans="1:125">
      <c r="A29" s="34">
        <v>27</v>
      </c>
      <c r="B29" s="35"/>
      <c r="C29" s="35"/>
      <c r="D29" s="35"/>
      <c r="E29" s="35"/>
      <c r="F29" s="35"/>
      <c r="G29" s="35"/>
      <c r="H29" s="35"/>
      <c r="I29" s="35"/>
      <c r="J29" s="35"/>
      <c r="K29" s="35"/>
      <c r="L29" s="35"/>
      <c r="M29" s="35"/>
      <c r="N29" s="35"/>
      <c r="O29" s="35"/>
      <c r="P29" s="35"/>
      <c r="Q29" s="35"/>
      <c r="R29" s="35"/>
      <c r="S29" s="35"/>
      <c r="T29" s="35"/>
      <c r="U29" s="35"/>
      <c r="V29" s="29"/>
      <c r="W29" s="29"/>
      <c r="X29" s="29"/>
      <c r="Y29" s="29">
        <v>49.732515315916743</v>
      </c>
      <c r="Z29" s="29">
        <v>49.990772376804969</v>
      </c>
      <c r="AA29" s="29">
        <v>50.194921833495236</v>
      </c>
      <c r="AB29" s="29">
        <v>50.368750209265855</v>
      </c>
      <c r="AC29" s="29">
        <v>50.48381698395049</v>
      </c>
      <c r="AD29" s="29">
        <v>50.513369275157132</v>
      </c>
      <c r="AE29" s="29">
        <v>50.649445933262534</v>
      </c>
      <c r="AF29" s="29">
        <v>50.863134881588479</v>
      </c>
      <c r="AG29" s="29">
        <v>51.069712899060917</v>
      </c>
      <c r="AH29" s="29">
        <v>51.302416154676806</v>
      </c>
      <c r="AI29" s="29">
        <v>51.526342771446707</v>
      </c>
      <c r="AJ29" s="29">
        <v>51.821987670955394</v>
      </c>
      <c r="AK29" s="29">
        <v>52.08934745388791</v>
      </c>
      <c r="AL29" s="29">
        <v>52.418413856138287</v>
      </c>
      <c r="AM29" s="29">
        <v>52.711377539235279</v>
      </c>
      <c r="AN29" s="29">
        <v>52.911633825888302</v>
      </c>
      <c r="AO29" s="29">
        <v>53.050413614565606</v>
      </c>
      <c r="AP29" s="29">
        <v>53.206128804913192</v>
      </c>
      <c r="AQ29" s="29">
        <v>53.306888048502771</v>
      </c>
      <c r="AR29" s="29">
        <v>53.457509502162679</v>
      </c>
      <c r="AS29" s="29">
        <v>53.472652830483653</v>
      </c>
      <c r="AT29" s="29">
        <v>53.497778363560826</v>
      </c>
      <c r="AU29" s="29">
        <v>53.556426285041653</v>
      </c>
      <c r="AV29" s="29">
        <v>53.621944390403371</v>
      </c>
      <c r="AW29" s="29">
        <v>53.880585854658435</v>
      </c>
      <c r="AX29" s="29">
        <v>53.974350962837683</v>
      </c>
      <c r="AY29" s="29">
        <v>54.072305366060931</v>
      </c>
      <c r="AZ29" s="29">
        <v>54.137140486565571</v>
      </c>
      <c r="BA29" s="29">
        <v>54.222112161512655</v>
      </c>
      <c r="BB29" s="29">
        <v>54.336966138147289</v>
      </c>
      <c r="BC29" s="29">
        <v>54.4403916025896</v>
      </c>
      <c r="BD29" s="29">
        <v>54.561782790228897</v>
      </c>
      <c r="BE29" s="29">
        <v>54.703225326717785</v>
      </c>
      <c r="BF29" s="29">
        <v>54.864422560635298</v>
      </c>
      <c r="BG29" s="29">
        <v>55.00523156654058</v>
      </c>
      <c r="BH29" s="29">
        <v>55.22947955590358</v>
      </c>
      <c r="BI29" s="29">
        <v>55.37009523111486</v>
      </c>
      <c r="BJ29" s="29">
        <v>55.566586321492863</v>
      </c>
      <c r="BK29" s="29">
        <v>55.731814644236081</v>
      </c>
      <c r="BL29" s="29">
        <v>55.964413842353309</v>
      </c>
      <c r="BM29" s="29">
        <v>56.178322864186882</v>
      </c>
      <c r="BN29" s="29">
        <v>56.377038659037979</v>
      </c>
      <c r="BO29" s="29">
        <v>56.550170938069222</v>
      </c>
      <c r="BP29" s="29">
        <v>56.7451004279499</v>
      </c>
      <c r="BQ29" s="29">
        <v>56.926094189340745</v>
      </c>
      <c r="BR29" s="29">
        <v>57.099143880292957</v>
      </c>
      <c r="BS29" s="29">
        <v>57.260716000000883</v>
      </c>
      <c r="BT29" s="29">
        <v>57.433474803946154</v>
      </c>
      <c r="BU29" s="29">
        <v>57.56412392496452</v>
      </c>
      <c r="BV29" s="29">
        <v>57.736305214730422</v>
      </c>
      <c r="BW29" s="29">
        <v>57.902724760256334</v>
      </c>
      <c r="BX29" s="29">
        <v>58.053963735727848</v>
      </c>
      <c r="BY29" s="29">
        <v>58.200661843862989</v>
      </c>
      <c r="BZ29" s="29">
        <v>58.352169757445196</v>
      </c>
      <c r="CA29" s="29">
        <v>58.49143831104341</v>
      </c>
      <c r="CB29" s="29">
        <v>58.631403698179788</v>
      </c>
      <c r="CC29" s="29">
        <v>58.783507081821554</v>
      </c>
      <c r="CD29" s="29">
        <v>58.9337519305518</v>
      </c>
      <c r="CE29" s="29">
        <v>59.083213421202821</v>
      </c>
      <c r="CF29" s="29">
        <v>59.22460679702624</v>
      </c>
      <c r="CG29" s="29">
        <v>59.367772678268359</v>
      </c>
      <c r="CH29" s="29">
        <v>59.522767892639557</v>
      </c>
      <c r="CI29" s="29">
        <v>59.682427223373772</v>
      </c>
      <c r="CJ29" s="29">
        <v>59.823302585098801</v>
      </c>
      <c r="CK29" s="29">
        <v>59.975922663744775</v>
      </c>
      <c r="CL29" s="29">
        <v>60.127212256337032</v>
      </c>
      <c r="CM29" s="29">
        <v>60.279161091878514</v>
      </c>
      <c r="CN29" s="29">
        <v>60.422642174407606</v>
      </c>
      <c r="CO29" s="29">
        <v>60.570029265286578</v>
      </c>
      <c r="CP29" s="29">
        <v>60.716055952410983</v>
      </c>
      <c r="CQ29" s="29">
        <v>60.859918874499037</v>
      </c>
      <c r="CR29" s="29">
        <v>61.002584990132945</v>
      </c>
      <c r="CS29" s="29">
        <v>61.14723749368612</v>
      </c>
      <c r="CT29" s="29">
        <v>61.289863216402679</v>
      </c>
      <c r="CU29" s="29">
        <v>61.43133671174742</v>
      </c>
      <c r="CV29" s="29">
        <v>61.571662628655943</v>
      </c>
      <c r="CW29" s="29">
        <v>61.710845624176741</v>
      </c>
      <c r="CX29" s="29">
        <v>61.848890374531891</v>
      </c>
      <c r="CY29" s="29">
        <v>61.98580158394558</v>
      </c>
      <c r="CZ29" s="29">
        <v>62.121583987970105</v>
      </c>
      <c r="DA29" s="29">
        <v>62.256242351550831</v>
      </c>
      <c r="DB29" s="29">
        <v>62.389781461260355</v>
      </c>
      <c r="DC29" s="29">
        <v>62.52220611143575</v>
      </c>
      <c r="DD29" s="29">
        <v>62.653521089483988</v>
      </c>
      <c r="DE29" s="29">
        <v>62.783731174183615</v>
      </c>
      <c r="DF29" s="29">
        <v>62.912841137813402</v>
      </c>
      <c r="DG29" s="29">
        <v>63.040860430486006</v>
      </c>
      <c r="DH29" s="29">
        <v>63.16779431560208</v>
      </c>
      <c r="DI29" s="29">
        <v>63.293648103371254</v>
      </c>
      <c r="DJ29" s="29">
        <v>63.418427149058338</v>
      </c>
      <c r="DK29" s="29">
        <v>63.542136851265738</v>
      </c>
      <c r="DL29" s="29">
        <v>63.664782650251496</v>
      </c>
      <c r="DM29" s="29">
        <v>63.786370026279869</v>
      </c>
      <c r="DN29" s="29">
        <v>63.906904498007783</v>
      </c>
      <c r="DO29" s="29">
        <v>64.026391620901109</v>
      </c>
      <c r="DP29" s="29">
        <v>64.144836985684748</v>
      </c>
      <c r="DQ29" s="29">
        <v>64.262246216822561</v>
      </c>
      <c r="DR29" s="29">
        <v>64.378624971027804</v>
      </c>
      <c r="DS29">
        <v>64.49397893580317</v>
      </c>
      <c r="DT29">
        <v>64.608313828009017</v>
      </c>
      <c r="DU29">
        <v>64.721635392459831</v>
      </c>
    </row>
    <row r="30" spans="1:125">
      <c r="A30" s="34">
        <v>28</v>
      </c>
      <c r="B30" s="35"/>
      <c r="C30" s="35"/>
      <c r="D30" s="35"/>
      <c r="E30" s="35"/>
      <c r="F30" s="35"/>
      <c r="G30" s="35"/>
      <c r="H30" s="35"/>
      <c r="I30" s="35"/>
      <c r="J30" s="35"/>
      <c r="K30" s="35"/>
      <c r="L30" s="35"/>
      <c r="M30" s="35"/>
      <c r="N30" s="35"/>
      <c r="O30" s="35"/>
      <c r="P30" s="35"/>
      <c r="Q30" s="35"/>
      <c r="R30" s="35"/>
      <c r="S30" s="35"/>
      <c r="T30" s="35"/>
      <c r="U30" s="35"/>
      <c r="V30" s="29"/>
      <c r="W30" s="29"/>
      <c r="X30" s="29"/>
      <c r="Y30" s="29">
        <v>48.822283452784198</v>
      </c>
      <c r="Z30" s="29">
        <v>49.081012966966703</v>
      </c>
      <c r="AA30" s="29">
        <v>49.268850393394757</v>
      </c>
      <c r="AB30" s="29">
        <v>49.44011937900892</v>
      </c>
      <c r="AC30" s="29">
        <v>49.552830338607173</v>
      </c>
      <c r="AD30" s="29">
        <v>49.582425265191063</v>
      </c>
      <c r="AE30" s="29">
        <v>49.720431795570747</v>
      </c>
      <c r="AF30" s="29">
        <v>49.927434957170775</v>
      </c>
      <c r="AG30" s="29">
        <v>50.136049231397678</v>
      </c>
      <c r="AH30" s="29">
        <v>50.369720339576816</v>
      </c>
      <c r="AI30" s="29">
        <v>50.589993757371815</v>
      </c>
      <c r="AJ30" s="29">
        <v>50.881873604115242</v>
      </c>
      <c r="AK30" s="29">
        <v>51.148455851930436</v>
      </c>
      <c r="AL30" s="29">
        <v>51.475043708746348</v>
      </c>
      <c r="AM30" s="29">
        <v>51.76800402633404</v>
      </c>
      <c r="AN30" s="29">
        <v>51.969450695822161</v>
      </c>
      <c r="AO30" s="29">
        <v>52.110931056098138</v>
      </c>
      <c r="AP30" s="29">
        <v>52.26069227238132</v>
      </c>
      <c r="AQ30" s="29">
        <v>52.362747332590715</v>
      </c>
      <c r="AR30" s="29">
        <v>52.517255921813614</v>
      </c>
      <c r="AS30" s="29">
        <v>52.532663645247226</v>
      </c>
      <c r="AT30" s="29">
        <v>52.553730826542157</v>
      </c>
      <c r="AU30" s="29">
        <v>52.61118366931084</v>
      </c>
      <c r="AV30" s="29">
        <v>52.673722913723338</v>
      </c>
      <c r="AW30" s="29">
        <v>52.931009836694841</v>
      </c>
      <c r="AX30" s="29">
        <v>53.022924910308944</v>
      </c>
      <c r="AY30" s="29">
        <v>53.121623795654955</v>
      </c>
      <c r="AZ30" s="29">
        <v>53.194541869729761</v>
      </c>
      <c r="BA30" s="29">
        <v>53.27342475965542</v>
      </c>
      <c r="BB30" s="29">
        <v>53.386831783416255</v>
      </c>
      <c r="BC30" s="29">
        <v>53.486465203735811</v>
      </c>
      <c r="BD30" s="29">
        <v>53.60840646401428</v>
      </c>
      <c r="BE30" s="29">
        <v>53.751270324921954</v>
      </c>
      <c r="BF30" s="29">
        <v>53.909570836836124</v>
      </c>
      <c r="BG30" s="29">
        <v>54.049236419836369</v>
      </c>
      <c r="BH30" s="29">
        <v>54.269772471169205</v>
      </c>
      <c r="BI30" s="29">
        <v>54.412720730908909</v>
      </c>
      <c r="BJ30" s="29">
        <v>54.606615366873214</v>
      </c>
      <c r="BK30" s="29">
        <v>54.770291227520985</v>
      </c>
      <c r="BL30" s="29">
        <v>55.002737726779209</v>
      </c>
      <c r="BM30" s="29">
        <v>55.220344502156891</v>
      </c>
      <c r="BN30" s="29">
        <v>55.419779835725947</v>
      </c>
      <c r="BO30" s="29">
        <v>55.588770548817735</v>
      </c>
      <c r="BP30" s="29">
        <v>55.78315985760112</v>
      </c>
      <c r="BQ30" s="29">
        <v>55.964056995112415</v>
      </c>
      <c r="BR30" s="29">
        <v>56.136691444340165</v>
      </c>
      <c r="BS30" s="29">
        <v>56.296730914446208</v>
      </c>
      <c r="BT30" s="29">
        <v>56.467301258468972</v>
      </c>
      <c r="BU30" s="29">
        <v>56.594097279443886</v>
      </c>
      <c r="BV30" s="29">
        <v>56.769250399151517</v>
      </c>
      <c r="BW30" s="29">
        <v>56.936398820481926</v>
      </c>
      <c r="BX30" s="29">
        <v>57.083140603349932</v>
      </c>
      <c r="BY30" s="29">
        <v>57.229332840198722</v>
      </c>
      <c r="BZ30" s="29">
        <v>57.380242128020441</v>
      </c>
      <c r="CA30" s="29">
        <v>57.51948784466974</v>
      </c>
      <c r="CB30" s="29">
        <v>57.6567541716257</v>
      </c>
      <c r="CC30" s="29">
        <v>57.808105289891614</v>
      </c>
      <c r="CD30" s="29">
        <v>57.958741386276117</v>
      </c>
      <c r="CE30" s="29">
        <v>58.108227862192329</v>
      </c>
      <c r="CF30" s="29">
        <v>58.25155788035373</v>
      </c>
      <c r="CG30" s="29">
        <v>58.395221463297929</v>
      </c>
      <c r="CH30" s="29">
        <v>58.546904241304958</v>
      </c>
      <c r="CI30" s="29">
        <v>58.703035142877397</v>
      </c>
      <c r="CJ30" s="29">
        <v>58.845056253314901</v>
      </c>
      <c r="CK30" s="29">
        <v>58.998651433252348</v>
      </c>
      <c r="CL30" s="29">
        <v>59.148798483131252</v>
      </c>
      <c r="CM30" s="29">
        <v>59.299596516582348</v>
      </c>
      <c r="CN30" s="29">
        <v>59.442156684506983</v>
      </c>
      <c r="CO30" s="29">
        <v>59.588916472485948</v>
      </c>
      <c r="CP30" s="29">
        <v>59.734866490237494</v>
      </c>
      <c r="CQ30" s="29">
        <v>59.878805275484922</v>
      </c>
      <c r="CR30" s="29">
        <v>60.023323497444778</v>
      </c>
      <c r="CS30" s="29">
        <v>60.166610228736516</v>
      </c>
      <c r="CT30" s="29">
        <v>60.308751963074826</v>
      </c>
      <c r="CU30" s="29">
        <v>60.449753087518168</v>
      </c>
      <c r="CV30" s="29">
        <v>60.589617988996366</v>
      </c>
      <c r="CW30" s="29">
        <v>60.728351067820483</v>
      </c>
      <c r="CX30" s="29">
        <v>60.865956748673625</v>
      </c>
      <c r="CY30" s="29">
        <v>61.002439489366829</v>
      </c>
      <c r="CZ30" s="29">
        <v>61.137803784088867</v>
      </c>
      <c r="DA30" s="29">
        <v>61.272054161392852</v>
      </c>
      <c r="DB30" s="29">
        <v>61.405195176349764</v>
      </c>
      <c r="DC30" s="29">
        <v>61.537231396602337</v>
      </c>
      <c r="DD30" s="29">
        <v>61.668167387586408</v>
      </c>
      <c r="DE30" s="29">
        <v>61.798007710749758</v>
      </c>
      <c r="DF30" s="29">
        <v>61.926760951304232</v>
      </c>
      <c r="DG30" s="29">
        <v>62.05443212334324</v>
      </c>
      <c r="DH30" s="29">
        <v>62.181026293741084</v>
      </c>
      <c r="DI30" s="29">
        <v>62.306548580290212</v>
      </c>
      <c r="DJ30" s="29">
        <v>62.431004149874504</v>
      </c>
      <c r="DK30" s="29">
        <v>62.554398216680013</v>
      </c>
      <c r="DL30" s="29">
        <v>62.676736040441881</v>
      </c>
      <c r="DM30" s="29">
        <v>62.798022924724748</v>
      </c>
      <c r="DN30" s="29">
        <v>62.918264215239873</v>
      </c>
      <c r="DO30" s="29">
        <v>63.037465298192842</v>
      </c>
      <c r="DP30" s="29">
        <v>63.155631598666105</v>
      </c>
      <c r="DQ30" s="29">
        <v>63.272768579032046</v>
      </c>
      <c r="DR30" s="29">
        <v>63.388881737397455</v>
      </c>
      <c r="DS30">
        <v>63.503976606078581</v>
      </c>
      <c r="DT30">
        <v>63.618058750105114</v>
      </c>
      <c r="DU30">
        <v>63.731133765753249</v>
      </c>
    </row>
    <row r="31" spans="1:125">
      <c r="A31" s="34">
        <v>29</v>
      </c>
      <c r="B31" s="35"/>
      <c r="C31" s="35"/>
      <c r="D31" s="35"/>
      <c r="E31" s="35"/>
      <c r="F31" s="35"/>
      <c r="G31" s="35"/>
      <c r="H31" s="35"/>
      <c r="I31" s="35"/>
      <c r="J31" s="35"/>
      <c r="K31" s="35"/>
      <c r="L31" s="35"/>
      <c r="M31" s="35"/>
      <c r="N31" s="35"/>
      <c r="O31" s="35"/>
      <c r="P31" s="35"/>
      <c r="Q31" s="35"/>
      <c r="R31" s="35"/>
      <c r="S31" s="35"/>
      <c r="T31" s="35"/>
      <c r="U31" s="35"/>
      <c r="V31" s="29"/>
      <c r="W31" s="29"/>
      <c r="X31" s="29"/>
      <c r="Y31" s="29">
        <v>47.912177815864297</v>
      </c>
      <c r="Z31" s="29">
        <v>48.152093278870048</v>
      </c>
      <c r="AA31" s="29">
        <v>48.335778377391335</v>
      </c>
      <c r="AB31" s="29">
        <v>48.510265407956872</v>
      </c>
      <c r="AC31" s="29">
        <v>48.62130633216826</v>
      </c>
      <c r="AD31" s="29">
        <v>48.648506567128621</v>
      </c>
      <c r="AE31" s="29">
        <v>48.790583031603049</v>
      </c>
      <c r="AF31" s="29">
        <v>48.99116039887631</v>
      </c>
      <c r="AG31" s="29">
        <v>49.204378075300895</v>
      </c>
      <c r="AH31" s="29">
        <v>49.436361277565283</v>
      </c>
      <c r="AI31" s="29">
        <v>49.651500425947852</v>
      </c>
      <c r="AJ31" s="29">
        <v>49.938482189273088</v>
      </c>
      <c r="AK31" s="29">
        <v>50.209258862314378</v>
      </c>
      <c r="AL31" s="29">
        <v>50.529530137557174</v>
      </c>
      <c r="AM31" s="29">
        <v>50.823887451302191</v>
      </c>
      <c r="AN31" s="29">
        <v>51.025119432993321</v>
      </c>
      <c r="AO31" s="29">
        <v>51.168188295999819</v>
      </c>
      <c r="AP31" s="29">
        <v>51.315822465748951</v>
      </c>
      <c r="AQ31" s="29">
        <v>51.419825405196889</v>
      </c>
      <c r="AR31" s="29">
        <v>51.574877214652666</v>
      </c>
      <c r="AS31" s="29">
        <v>51.586411829281623</v>
      </c>
      <c r="AT31" s="29">
        <v>51.609108293060316</v>
      </c>
      <c r="AU31" s="29">
        <v>51.666584082423583</v>
      </c>
      <c r="AV31" s="29">
        <v>51.724920964722806</v>
      </c>
      <c r="AW31" s="29">
        <v>51.984230926428445</v>
      </c>
      <c r="AX31" s="29">
        <v>52.07223865638754</v>
      </c>
      <c r="AY31" s="29">
        <v>52.175451777197381</v>
      </c>
      <c r="AZ31" s="29">
        <v>52.242439419938243</v>
      </c>
      <c r="BA31" s="29">
        <v>52.324740266698988</v>
      </c>
      <c r="BB31" s="29">
        <v>52.435421549405788</v>
      </c>
      <c r="BC31" s="29">
        <v>52.536201370453526</v>
      </c>
      <c r="BD31" s="29">
        <v>52.656184223458226</v>
      </c>
      <c r="BE31" s="29">
        <v>52.799316471065019</v>
      </c>
      <c r="BF31" s="29">
        <v>52.951791711584278</v>
      </c>
      <c r="BG31" s="29">
        <v>53.092959156812285</v>
      </c>
      <c r="BH31" s="29">
        <v>53.309717786161769</v>
      </c>
      <c r="BI31" s="29">
        <v>53.452681496741754</v>
      </c>
      <c r="BJ31" s="29">
        <v>53.647030109451251</v>
      </c>
      <c r="BK31" s="29">
        <v>53.811493473927172</v>
      </c>
      <c r="BL31" s="29">
        <v>54.043625785193569</v>
      </c>
      <c r="BM31" s="29">
        <v>54.265530921388375</v>
      </c>
      <c r="BN31" s="29">
        <v>54.460998163542584</v>
      </c>
      <c r="BO31" s="29">
        <v>54.628010369915991</v>
      </c>
      <c r="BP31" s="29">
        <v>54.82206566552486</v>
      </c>
      <c r="BQ31" s="29">
        <v>55.002817924460871</v>
      </c>
      <c r="BR31" s="29">
        <v>55.175402549978941</v>
      </c>
      <c r="BS31" s="29">
        <v>55.331544661575265</v>
      </c>
      <c r="BT31" s="29">
        <v>55.499088507414925</v>
      </c>
      <c r="BU31" s="29">
        <v>55.628712383981508</v>
      </c>
      <c r="BV31" s="29">
        <v>55.800194133680037</v>
      </c>
      <c r="BW31" s="29">
        <v>55.963966997062229</v>
      </c>
      <c r="BX31" s="29">
        <v>56.112612498800246</v>
      </c>
      <c r="BY31" s="29">
        <v>56.258998328085738</v>
      </c>
      <c r="BZ31" s="29">
        <v>56.405678139442053</v>
      </c>
      <c r="CA31" s="29">
        <v>56.543715391452295</v>
      </c>
      <c r="CB31" s="29">
        <v>56.681722079120277</v>
      </c>
      <c r="CC31" s="29">
        <v>56.832633668842213</v>
      </c>
      <c r="CD31" s="29">
        <v>56.983694538183585</v>
      </c>
      <c r="CE31" s="29">
        <v>57.131588061730284</v>
      </c>
      <c r="CF31" s="29">
        <v>57.276370103136308</v>
      </c>
      <c r="CG31" s="29">
        <v>57.418529720075711</v>
      </c>
      <c r="CH31" s="29">
        <v>57.570346421869466</v>
      </c>
      <c r="CI31" s="29">
        <v>57.726639524409777</v>
      </c>
      <c r="CJ31" s="29">
        <v>57.868303010879657</v>
      </c>
      <c r="CK31" s="29">
        <v>58.019991723932719</v>
      </c>
      <c r="CL31" s="29">
        <v>58.168746818081772</v>
      </c>
      <c r="CM31" s="29">
        <v>58.320557982020588</v>
      </c>
      <c r="CN31" s="29">
        <v>58.463237263767851</v>
      </c>
      <c r="CO31" s="29">
        <v>58.609774444848227</v>
      </c>
      <c r="CP31" s="29">
        <v>58.754822190575041</v>
      </c>
      <c r="CQ31" s="29">
        <v>58.899484596396725</v>
      </c>
      <c r="CR31" s="29">
        <v>59.043417856599348</v>
      </c>
      <c r="CS31" s="29">
        <v>59.18621347635775</v>
      </c>
      <c r="CT31" s="29">
        <v>59.327875600446617</v>
      </c>
      <c r="CU31" s="29">
        <v>59.468408364146079</v>
      </c>
      <c r="CV31" s="29">
        <v>59.607815907450004</v>
      </c>
      <c r="CW31" s="29">
        <v>59.746102388522445</v>
      </c>
      <c r="CX31" s="29">
        <v>59.88327199463069</v>
      </c>
      <c r="CY31" s="29">
        <v>60.019328950840432</v>
      </c>
      <c r="CZ31" s="29">
        <v>60.154277523201202</v>
      </c>
      <c r="DA31" s="29">
        <v>60.288122016666193</v>
      </c>
      <c r="DB31" s="29">
        <v>60.420866767176477</v>
      </c>
      <c r="DC31" s="29">
        <v>60.552516127642704</v>
      </c>
      <c r="DD31" s="29">
        <v>60.683074453093305</v>
      </c>
      <c r="DE31" s="29">
        <v>60.81254954987385</v>
      </c>
      <c r="DF31" s="29">
        <v>60.940946181563305</v>
      </c>
      <c r="DG31" s="29">
        <v>61.068269170370023</v>
      </c>
      <c r="DH31" s="29">
        <v>61.194523395163351</v>
      </c>
      <c r="DI31" s="29">
        <v>61.319713789545709</v>
      </c>
      <c r="DJ31" s="29">
        <v>61.443845339961598</v>
      </c>
      <c r="DK31" s="29">
        <v>61.566923083844472</v>
      </c>
      <c r="DL31" s="29">
        <v>61.688952107800617</v>
      </c>
      <c r="DM31" s="29">
        <v>61.809937545827069</v>
      </c>
      <c r="DN31" s="29">
        <v>61.929884577566852</v>
      </c>
      <c r="DO31" s="29">
        <v>62.048798426595781</v>
      </c>
      <c r="DP31" s="29">
        <v>62.166684358744256</v>
      </c>
      <c r="DQ31" s="29">
        <v>62.283547680450852</v>
      </c>
      <c r="DR31" s="29">
        <v>62.399393737147562</v>
      </c>
      <c r="DS31">
        <v>62.514227911676556</v>
      </c>
      <c r="DT31">
        <v>62.628055622736476</v>
      </c>
      <c r="DU31">
        <v>62.740882323358576</v>
      </c>
    </row>
    <row r="32" spans="1:125">
      <c r="A32" s="34">
        <v>30</v>
      </c>
      <c r="B32" s="35"/>
      <c r="C32" s="35"/>
      <c r="D32" s="35"/>
      <c r="E32" s="35"/>
      <c r="F32" s="35"/>
      <c r="G32" s="35"/>
      <c r="H32" s="35"/>
      <c r="I32" s="35"/>
      <c r="J32" s="35"/>
      <c r="K32" s="35"/>
      <c r="L32" s="35"/>
      <c r="M32" s="35"/>
      <c r="N32" s="35"/>
      <c r="O32" s="35"/>
      <c r="P32" s="35"/>
      <c r="Q32" s="35"/>
      <c r="R32" s="35"/>
      <c r="S32" s="35"/>
      <c r="T32" s="35"/>
      <c r="U32" s="35"/>
      <c r="V32" s="29"/>
      <c r="W32" s="29"/>
      <c r="X32" s="29"/>
      <c r="Y32" s="29">
        <v>46.984765655763745</v>
      </c>
      <c r="Z32" s="29">
        <v>47.226068378688218</v>
      </c>
      <c r="AA32" s="29">
        <v>47.405487107234308</v>
      </c>
      <c r="AB32" s="29">
        <v>47.581919808954297</v>
      </c>
      <c r="AC32" s="29">
        <v>47.691266136596767</v>
      </c>
      <c r="AD32" s="29">
        <v>47.714485550101543</v>
      </c>
      <c r="AE32" s="29">
        <v>47.855362288097744</v>
      </c>
      <c r="AF32" s="29">
        <v>48.059075838837892</v>
      </c>
      <c r="AG32" s="29">
        <v>48.270018387591136</v>
      </c>
      <c r="AH32" s="29">
        <v>48.500081405821334</v>
      </c>
      <c r="AI32" s="29">
        <v>48.711712848996854</v>
      </c>
      <c r="AJ32" s="29">
        <v>48.99963269927234</v>
      </c>
      <c r="AK32" s="29">
        <v>49.268060939106014</v>
      </c>
      <c r="AL32" s="29">
        <v>49.584950040833604</v>
      </c>
      <c r="AM32" s="29">
        <v>49.881993198627029</v>
      </c>
      <c r="AN32" s="29">
        <v>50.086669801625419</v>
      </c>
      <c r="AO32" s="29">
        <v>50.223554700401138</v>
      </c>
      <c r="AP32" s="29">
        <v>50.374736960609454</v>
      </c>
      <c r="AQ32" s="29">
        <v>50.47953318649121</v>
      </c>
      <c r="AR32" s="29">
        <v>50.634769100305355</v>
      </c>
      <c r="AS32" s="29">
        <v>50.643172161454842</v>
      </c>
      <c r="AT32" s="29">
        <v>50.661906855492219</v>
      </c>
      <c r="AU32" s="29">
        <v>50.721000752256515</v>
      </c>
      <c r="AV32" s="29">
        <v>50.780552686398551</v>
      </c>
      <c r="AW32" s="29">
        <v>51.033684028856285</v>
      </c>
      <c r="AX32" s="29">
        <v>51.122776888153517</v>
      </c>
      <c r="AY32" s="29">
        <v>51.228767918072975</v>
      </c>
      <c r="AZ32" s="29">
        <v>51.295106163813841</v>
      </c>
      <c r="BA32" s="29">
        <v>51.374980496547181</v>
      </c>
      <c r="BB32" s="29">
        <v>51.48628817774209</v>
      </c>
      <c r="BC32" s="29">
        <v>51.585952034547738</v>
      </c>
      <c r="BD32" s="29">
        <v>51.701917470294063</v>
      </c>
      <c r="BE32" s="29">
        <v>51.844910281582955</v>
      </c>
      <c r="BF32" s="29">
        <v>51.995459470028706</v>
      </c>
      <c r="BG32" s="29">
        <v>52.131318581820494</v>
      </c>
      <c r="BH32" s="29">
        <v>52.354986267748103</v>
      </c>
      <c r="BI32" s="29">
        <v>52.497459537217594</v>
      </c>
      <c r="BJ32" s="29">
        <v>52.691252601650433</v>
      </c>
      <c r="BK32" s="29">
        <v>52.858037373194044</v>
      </c>
      <c r="BL32" s="29">
        <v>53.091318422482601</v>
      </c>
      <c r="BM32" s="29">
        <v>53.308349045609987</v>
      </c>
      <c r="BN32" s="29">
        <v>53.501890295345177</v>
      </c>
      <c r="BO32" s="29">
        <v>53.667088122474503</v>
      </c>
      <c r="BP32" s="29">
        <v>53.862717554187938</v>
      </c>
      <c r="BQ32" s="29">
        <v>54.038828693608636</v>
      </c>
      <c r="BR32" s="29">
        <v>54.209371366128337</v>
      </c>
      <c r="BS32" s="29">
        <v>54.364818791908036</v>
      </c>
      <c r="BT32" s="29">
        <v>54.532280419138203</v>
      </c>
      <c r="BU32" s="29">
        <v>54.659656904447289</v>
      </c>
      <c r="BV32" s="29">
        <v>54.829421750743435</v>
      </c>
      <c r="BW32" s="29">
        <v>54.991617845424045</v>
      </c>
      <c r="BX32" s="29">
        <v>55.139008150474908</v>
      </c>
      <c r="BY32" s="29">
        <v>55.285582000439092</v>
      </c>
      <c r="BZ32" s="29">
        <v>55.430539173711558</v>
      </c>
      <c r="CA32" s="29">
        <v>55.569924742071841</v>
      </c>
      <c r="CB32" s="29">
        <v>55.708267961062077</v>
      </c>
      <c r="CC32" s="29">
        <v>55.857288084461523</v>
      </c>
      <c r="CD32" s="29">
        <v>56.010276419777767</v>
      </c>
      <c r="CE32" s="29">
        <v>56.159014891501265</v>
      </c>
      <c r="CF32" s="29">
        <v>56.300526272449233</v>
      </c>
      <c r="CG32" s="29">
        <v>56.443566224549301</v>
      </c>
      <c r="CH32" s="29">
        <v>56.594187857715887</v>
      </c>
      <c r="CI32" s="29">
        <v>56.748485033075603</v>
      </c>
      <c r="CJ32" s="29">
        <v>56.89362092452555</v>
      </c>
      <c r="CK32" s="29">
        <v>57.042972005469423</v>
      </c>
      <c r="CL32" s="29">
        <v>57.191001924961355</v>
      </c>
      <c r="CM32" s="29">
        <v>57.340415219192465</v>
      </c>
      <c r="CN32" s="29">
        <v>57.485197683257205</v>
      </c>
      <c r="CO32" s="29">
        <v>57.630243371532828</v>
      </c>
      <c r="CP32" s="29">
        <v>57.776047281754799</v>
      </c>
      <c r="CQ32" s="29">
        <v>57.920605394981486</v>
      </c>
      <c r="CR32" s="29">
        <v>58.064033498194974</v>
      </c>
      <c r="CS32" s="29">
        <v>58.206335505141745</v>
      </c>
      <c r="CT32" s="29">
        <v>58.347515315361704</v>
      </c>
      <c r="CU32" s="29">
        <v>58.48757682339955</v>
      </c>
      <c r="CV32" s="29">
        <v>58.626523932972759</v>
      </c>
      <c r="CW32" s="29">
        <v>58.764360570384667</v>
      </c>
      <c r="CX32" s="29">
        <v>58.901090695409835</v>
      </c>
      <c r="CY32" s="29">
        <v>59.036718309938294</v>
      </c>
      <c r="CZ32" s="29">
        <v>59.171247461106461</v>
      </c>
      <c r="DA32" s="29">
        <v>59.304682239159263</v>
      </c>
      <c r="DB32" s="29">
        <v>59.437026769474599</v>
      </c>
      <c r="DC32" s="29">
        <v>59.568285198481568</v>
      </c>
      <c r="DD32" s="29">
        <v>59.698464636658045</v>
      </c>
      <c r="DE32" s="29">
        <v>59.827569593397129</v>
      </c>
      <c r="DF32" s="29">
        <v>59.955604642493526</v>
      </c>
      <c r="DG32" s="29">
        <v>60.082574420078217</v>
      </c>
      <c r="DH32" s="29">
        <v>60.208483622591388</v>
      </c>
      <c r="DI32" s="29">
        <v>60.333337004796476</v>
      </c>
      <c r="DJ32" s="29">
        <v>60.457139377831467</v>
      </c>
      <c r="DK32" s="29">
        <v>60.579895607298653</v>
      </c>
      <c r="DL32" s="29">
        <v>60.701610611391743</v>
      </c>
      <c r="DM32" s="29">
        <v>60.822289359057734</v>
      </c>
      <c r="DN32" s="29">
        <v>60.941936868196393</v>
      </c>
      <c r="DO32" s="29">
        <v>61.060558203891929</v>
      </c>
      <c r="DP32" s="29">
        <v>61.178158476680295</v>
      </c>
      <c r="DQ32" s="29">
        <v>61.294742840848599</v>
      </c>
      <c r="DR32" s="29">
        <v>61.410316492766981</v>
      </c>
      <c r="DS32">
        <v>61.52488466925233</v>
      </c>
      <c r="DT32">
        <v>61.638452645962289</v>
      </c>
      <c r="DU32">
        <v>61.751025735819567</v>
      </c>
    </row>
    <row r="33" spans="1:125">
      <c r="A33" s="34">
        <v>31</v>
      </c>
      <c r="B33" s="35"/>
      <c r="C33" s="35"/>
      <c r="D33" s="35"/>
      <c r="E33" s="35"/>
      <c r="F33" s="35"/>
      <c r="G33" s="35"/>
      <c r="H33" s="35"/>
      <c r="I33" s="35"/>
      <c r="J33" s="35"/>
      <c r="K33" s="35"/>
      <c r="L33" s="35"/>
      <c r="M33" s="35"/>
      <c r="N33" s="35"/>
      <c r="O33" s="35"/>
      <c r="P33" s="35"/>
      <c r="Q33" s="35"/>
      <c r="R33" s="35"/>
      <c r="S33" s="35"/>
      <c r="T33" s="35"/>
      <c r="U33" s="35"/>
      <c r="V33" s="29"/>
      <c r="W33" s="29"/>
      <c r="X33" s="29"/>
      <c r="Y33" s="29">
        <v>46.055216162867183</v>
      </c>
      <c r="Z33" s="29">
        <v>46.297177741763946</v>
      </c>
      <c r="AA33" s="29">
        <v>46.47251522685869</v>
      </c>
      <c r="AB33" s="29">
        <v>46.650073696643048</v>
      </c>
      <c r="AC33" s="29">
        <v>46.76081255109149</v>
      </c>
      <c r="AD33" s="29">
        <v>46.780514651309545</v>
      </c>
      <c r="AE33" s="29">
        <v>46.922037484038114</v>
      </c>
      <c r="AF33" s="29">
        <v>47.120943640911193</v>
      </c>
      <c r="AG33" s="29">
        <v>47.33288582027722</v>
      </c>
      <c r="AH33" s="29">
        <v>47.560242138757033</v>
      </c>
      <c r="AI33" s="29">
        <v>47.774026105222646</v>
      </c>
      <c r="AJ33" s="29">
        <v>48.058417504609068</v>
      </c>
      <c r="AK33" s="29">
        <v>48.327766784394456</v>
      </c>
      <c r="AL33" s="29">
        <v>48.646364433764511</v>
      </c>
      <c r="AM33" s="29">
        <v>48.940573624151085</v>
      </c>
      <c r="AN33" s="29">
        <v>49.144457265777923</v>
      </c>
      <c r="AO33" s="29">
        <v>49.283363231808835</v>
      </c>
      <c r="AP33" s="29">
        <v>49.434035217677248</v>
      </c>
      <c r="AQ33" s="29">
        <v>49.540523479685049</v>
      </c>
      <c r="AR33" s="29">
        <v>49.691607359553402</v>
      </c>
      <c r="AS33" s="29">
        <v>49.697943127327008</v>
      </c>
      <c r="AT33" s="29">
        <v>49.717550133577056</v>
      </c>
      <c r="AU33" s="29">
        <v>49.777392775193867</v>
      </c>
      <c r="AV33" s="29">
        <v>49.836224704130913</v>
      </c>
      <c r="AW33" s="29">
        <v>50.088571361713235</v>
      </c>
      <c r="AX33" s="29">
        <v>50.174724441284454</v>
      </c>
      <c r="AY33" s="29">
        <v>50.276118527466465</v>
      </c>
      <c r="AZ33" s="29">
        <v>50.345759453757893</v>
      </c>
      <c r="BA33" s="29">
        <v>50.425437783980442</v>
      </c>
      <c r="BB33" s="29">
        <v>50.536982913716528</v>
      </c>
      <c r="BC33" s="29">
        <v>50.63045354616704</v>
      </c>
      <c r="BD33" s="29">
        <v>50.747088450410871</v>
      </c>
      <c r="BE33" s="29">
        <v>50.889575512323219</v>
      </c>
      <c r="BF33" s="29">
        <v>51.040356745775028</v>
      </c>
      <c r="BG33" s="29">
        <v>51.176539103196966</v>
      </c>
      <c r="BH33" s="29">
        <v>51.398449037155331</v>
      </c>
      <c r="BI33" s="29">
        <v>51.543201058892038</v>
      </c>
      <c r="BJ33" s="29">
        <v>51.738748681786838</v>
      </c>
      <c r="BK33" s="29">
        <v>51.908120439873208</v>
      </c>
      <c r="BL33" s="29">
        <v>52.135789309603297</v>
      </c>
      <c r="BM33" s="29">
        <v>52.352250251593205</v>
      </c>
      <c r="BN33" s="29">
        <v>52.545739450591242</v>
      </c>
      <c r="BO33" s="29">
        <v>52.707516342530866</v>
      </c>
      <c r="BP33" s="29">
        <v>52.899828815959907</v>
      </c>
      <c r="BQ33" s="29">
        <v>53.073789763236441</v>
      </c>
      <c r="BR33" s="29">
        <v>53.242170125542302</v>
      </c>
      <c r="BS33" s="29">
        <v>53.397867164397539</v>
      </c>
      <c r="BT33" s="29">
        <v>53.561476976601654</v>
      </c>
      <c r="BU33" s="29">
        <v>53.690231777352011</v>
      </c>
      <c r="BV33" s="29">
        <v>53.857320796976943</v>
      </c>
      <c r="BW33" s="29">
        <v>54.019800896902737</v>
      </c>
      <c r="BX33" s="29">
        <v>54.166633732896997</v>
      </c>
      <c r="BY33" s="29">
        <v>54.311494706611825</v>
      </c>
      <c r="BZ33" s="29">
        <v>54.455234912076534</v>
      </c>
      <c r="CA33" s="29">
        <v>54.594145481030282</v>
      </c>
      <c r="CB33" s="29">
        <v>54.735368646493797</v>
      </c>
      <c r="CC33" s="29">
        <v>54.882410452898426</v>
      </c>
      <c r="CD33" s="29">
        <v>55.03630011406608</v>
      </c>
      <c r="CE33" s="29">
        <v>55.183302443614494</v>
      </c>
      <c r="CF33" s="29">
        <v>55.326787644337657</v>
      </c>
      <c r="CG33" s="29">
        <v>55.467202743643043</v>
      </c>
      <c r="CH33" s="29">
        <v>55.619073385025828</v>
      </c>
      <c r="CI33" s="29">
        <v>55.772810657875084</v>
      </c>
      <c r="CJ33" s="29">
        <v>55.918811648868768</v>
      </c>
      <c r="CK33" s="29">
        <v>56.06665943607895</v>
      </c>
      <c r="CL33" s="29">
        <v>56.215160771032956</v>
      </c>
      <c r="CM33" s="29">
        <v>56.361369030134995</v>
      </c>
      <c r="CN33" s="29">
        <v>56.50756487223498</v>
      </c>
      <c r="CO33" s="29">
        <v>56.653303395456106</v>
      </c>
      <c r="CP33" s="29">
        <v>56.798458814281986</v>
      </c>
      <c r="CQ33" s="29">
        <v>56.942492237685904</v>
      </c>
      <c r="CR33" s="29">
        <v>57.08540735235529</v>
      </c>
      <c r="CS33" s="29">
        <v>57.227207830947954</v>
      </c>
      <c r="CT33" s="29">
        <v>57.367897336122681</v>
      </c>
      <c r="CU33" s="29">
        <v>57.507479529719575</v>
      </c>
      <c r="CV33" s="29">
        <v>57.645958086896769</v>
      </c>
      <c r="CW33" s="29">
        <v>57.783336709509214</v>
      </c>
      <c r="CX33" s="29">
        <v>57.919619136955163</v>
      </c>
      <c r="CY33" s="29">
        <v>58.054809154778141</v>
      </c>
      <c r="CZ33" s="29">
        <v>58.188910597751502</v>
      </c>
      <c r="DA33" s="29">
        <v>58.321927347691251</v>
      </c>
      <c r="DB33" s="29">
        <v>58.453863325428287</v>
      </c>
      <c r="DC33" s="29">
        <v>58.584725022771167</v>
      </c>
      <c r="DD33" s="29">
        <v>58.714516689663185</v>
      </c>
      <c r="DE33" s="29">
        <v>58.843242646176392</v>
      </c>
      <c r="DF33" s="29">
        <v>58.970907280350232</v>
      </c>
      <c r="DG33" s="29">
        <v>59.097515046073326</v>
      </c>
      <c r="DH33" s="29">
        <v>59.223070461004028</v>
      </c>
      <c r="DI33" s="29">
        <v>59.347578104532218</v>
      </c>
      <c r="DJ33" s="29">
        <v>59.471042615778913</v>
      </c>
      <c r="DK33" s="29">
        <v>59.593468691634342</v>
      </c>
      <c r="DL33" s="29">
        <v>59.714861084834126</v>
      </c>
      <c r="DM33" s="29">
        <v>59.835224602070305</v>
      </c>
      <c r="DN33" s="29">
        <v>59.954564102140438</v>
      </c>
      <c r="DO33" s="29">
        <v>60.072884494129354</v>
      </c>
      <c r="DP33" s="29">
        <v>60.190190735626857</v>
      </c>
      <c r="DQ33" s="29">
        <v>60.306487830978028</v>
      </c>
      <c r="DR33" s="29">
        <v>60.421780829566337</v>
      </c>
      <c r="DS33">
        <v>60.536074824129116</v>
      </c>
      <c r="DT33">
        <v>60.649374949103759</v>
      </c>
      <c r="DU33">
        <v>60.76168637900463</v>
      </c>
    </row>
    <row r="34" spans="1:125">
      <c r="A34" s="34">
        <v>32</v>
      </c>
      <c r="B34" s="35"/>
      <c r="C34" s="35"/>
      <c r="D34" s="35"/>
      <c r="E34" s="35"/>
      <c r="F34" s="35"/>
      <c r="G34" s="35"/>
      <c r="H34" s="35"/>
      <c r="I34" s="35"/>
      <c r="J34" s="35"/>
      <c r="K34" s="35"/>
      <c r="L34" s="35"/>
      <c r="M34" s="35"/>
      <c r="N34" s="35"/>
      <c r="O34" s="35"/>
      <c r="P34" s="35"/>
      <c r="Q34" s="35"/>
      <c r="R34" s="35"/>
      <c r="S34" s="35"/>
      <c r="T34" s="35"/>
      <c r="U34" s="35"/>
      <c r="V34" s="29"/>
      <c r="W34" s="29"/>
      <c r="X34" s="29"/>
      <c r="Y34" s="29">
        <v>45.12763586534787</v>
      </c>
      <c r="Z34" s="29">
        <v>45.367366178580809</v>
      </c>
      <c r="AA34" s="29">
        <v>45.54122043226252</v>
      </c>
      <c r="AB34" s="29">
        <v>45.718351286821147</v>
      </c>
      <c r="AC34" s="29">
        <v>45.827441077881247</v>
      </c>
      <c r="AD34" s="29">
        <v>45.848356628820582</v>
      </c>
      <c r="AE34" s="29">
        <v>45.987655325617979</v>
      </c>
      <c r="AF34" s="29">
        <v>46.183765390484204</v>
      </c>
      <c r="AG34" s="29">
        <v>46.396826747308914</v>
      </c>
      <c r="AH34" s="29">
        <v>46.622217429377415</v>
      </c>
      <c r="AI34" s="29">
        <v>46.836043016294838</v>
      </c>
      <c r="AJ34" s="29">
        <v>47.123143427349753</v>
      </c>
      <c r="AK34" s="29">
        <v>47.386395159793651</v>
      </c>
      <c r="AL34" s="29">
        <v>47.704955680816973</v>
      </c>
      <c r="AM34" s="29">
        <v>47.998506349229544</v>
      </c>
      <c r="AN34" s="29">
        <v>48.20548554922695</v>
      </c>
      <c r="AO34" s="29">
        <v>48.344337754476726</v>
      </c>
      <c r="AP34" s="29">
        <v>48.494729525665051</v>
      </c>
      <c r="AQ34" s="29">
        <v>48.600937415751744</v>
      </c>
      <c r="AR34" s="29">
        <v>48.74821671406994</v>
      </c>
      <c r="AS34" s="29">
        <v>48.757475052135135</v>
      </c>
      <c r="AT34" s="29">
        <v>48.775895505391752</v>
      </c>
      <c r="AU34" s="29">
        <v>48.836244296472728</v>
      </c>
      <c r="AV34" s="29">
        <v>48.893881316550839</v>
      </c>
      <c r="AW34" s="29">
        <v>49.141917702889344</v>
      </c>
      <c r="AX34" s="29">
        <v>49.226733916848062</v>
      </c>
      <c r="AY34" s="29">
        <v>49.326107057196651</v>
      </c>
      <c r="AZ34" s="29">
        <v>49.399023210137088</v>
      </c>
      <c r="BA34" s="29">
        <v>49.477084694542789</v>
      </c>
      <c r="BB34" s="29">
        <v>49.585545551211794</v>
      </c>
      <c r="BC34" s="29">
        <v>49.6767620378711</v>
      </c>
      <c r="BD34" s="29">
        <v>49.7941703968268</v>
      </c>
      <c r="BE34" s="29">
        <v>49.935386299577885</v>
      </c>
      <c r="BF34" s="29">
        <v>50.087065975311432</v>
      </c>
      <c r="BG34" s="29">
        <v>50.222418552645735</v>
      </c>
      <c r="BH34" s="29">
        <v>50.44469423196837</v>
      </c>
      <c r="BI34" s="29">
        <v>50.592494212551571</v>
      </c>
      <c r="BJ34" s="29">
        <v>50.78771779392855</v>
      </c>
      <c r="BK34" s="29">
        <v>50.954797036327108</v>
      </c>
      <c r="BL34" s="29">
        <v>51.17821850605435</v>
      </c>
      <c r="BM34" s="29">
        <v>51.395643822922281</v>
      </c>
      <c r="BN34" s="29">
        <v>51.588647328609177</v>
      </c>
      <c r="BO34" s="29">
        <v>51.74745127311941</v>
      </c>
      <c r="BP34" s="29">
        <v>51.936724578811763</v>
      </c>
      <c r="BQ34" s="29">
        <v>52.107623772202942</v>
      </c>
      <c r="BR34" s="29">
        <v>52.275034688032804</v>
      </c>
      <c r="BS34" s="29">
        <v>52.430941809485304</v>
      </c>
      <c r="BT34" s="29">
        <v>52.59102637135318</v>
      </c>
      <c r="BU34" s="29">
        <v>52.721328500978785</v>
      </c>
      <c r="BV34" s="29">
        <v>52.887374538254804</v>
      </c>
      <c r="BW34" s="29">
        <v>53.04846215693518</v>
      </c>
      <c r="BX34" s="29">
        <v>53.194669832800152</v>
      </c>
      <c r="BY34" s="29">
        <v>53.338451763069259</v>
      </c>
      <c r="BZ34" s="29">
        <v>53.483907553185091</v>
      </c>
      <c r="CA34" s="29">
        <v>53.622057847953265</v>
      </c>
      <c r="CB34" s="29">
        <v>53.762486041758201</v>
      </c>
      <c r="CC34" s="29">
        <v>53.910008290053355</v>
      </c>
      <c r="CD34" s="29">
        <v>54.061791278809494</v>
      </c>
      <c r="CE34" s="29">
        <v>54.208759443940735</v>
      </c>
      <c r="CF34" s="29">
        <v>54.351788183891379</v>
      </c>
      <c r="CG34" s="29">
        <v>54.496724805704744</v>
      </c>
      <c r="CH34" s="29">
        <v>54.646427931915866</v>
      </c>
      <c r="CI34" s="29">
        <v>54.799215312600666</v>
      </c>
      <c r="CJ34" s="29">
        <v>54.943518020811901</v>
      </c>
      <c r="CK34" s="29">
        <v>55.09124544396542</v>
      </c>
      <c r="CL34" s="29">
        <v>55.240958237397003</v>
      </c>
      <c r="CM34" s="29">
        <v>55.384345810637953</v>
      </c>
      <c r="CN34" s="29">
        <v>55.531514861278879</v>
      </c>
      <c r="CO34" s="29">
        <v>55.677235336201434</v>
      </c>
      <c r="CP34" s="29">
        <v>55.821842289133897</v>
      </c>
      <c r="CQ34" s="29">
        <v>55.965339180980813</v>
      </c>
      <c r="CR34" s="29">
        <v>56.107729460149123</v>
      </c>
      <c r="CS34" s="29">
        <v>56.249016564958069</v>
      </c>
      <c r="CT34" s="29">
        <v>56.389203927645362</v>
      </c>
      <c r="CU34" s="29">
        <v>56.528294983525065</v>
      </c>
      <c r="CV34" s="29">
        <v>56.666293185101914</v>
      </c>
      <c r="CW34" s="29">
        <v>56.803202015424127</v>
      </c>
      <c r="CX34" s="29">
        <v>56.939024998899257</v>
      </c>
      <c r="CY34" s="29">
        <v>57.073765709861895</v>
      </c>
      <c r="CZ34" s="29">
        <v>57.207427775619493</v>
      </c>
      <c r="DA34" s="29">
        <v>57.340014874223144</v>
      </c>
      <c r="DB34" s="29">
        <v>57.471532938288462</v>
      </c>
      <c r="DC34" s="29">
        <v>57.601985952195122</v>
      </c>
      <c r="DD34" s="29">
        <v>57.731377976138759</v>
      </c>
      <c r="DE34" s="29">
        <v>57.85971314388182</v>
      </c>
      <c r="DF34" s="29">
        <v>57.9869956605448</v>
      </c>
      <c r="DG34" s="29">
        <v>58.113229800441147</v>
      </c>
      <c r="DH34" s="29">
        <v>58.238419904950817</v>
      </c>
      <c r="DI34" s="29">
        <v>58.362570380435486</v>
      </c>
      <c r="DJ34" s="29">
        <v>58.485685696191531</v>
      </c>
      <c r="DK34" s="29">
        <v>58.607770382441927</v>
      </c>
      <c r="DL34" s="29">
        <v>58.72882902836632</v>
      </c>
      <c r="DM34" s="29">
        <v>58.848866280166284</v>
      </c>
      <c r="DN34" s="29">
        <v>58.96788683916887</v>
      </c>
      <c r="DO34" s="29">
        <v>59.085895459963098</v>
      </c>
      <c r="DP34" s="29">
        <v>59.202896948572672</v>
      </c>
      <c r="DQ34" s="29">
        <v>59.318896160661623</v>
      </c>
      <c r="DR34" s="29">
        <v>59.433897999773102</v>
      </c>
      <c r="DS34">
        <v>59.547907415600733</v>
      </c>
      <c r="DT34">
        <v>59.660929402291217</v>
      </c>
      <c r="DU34">
        <v>59.772968996777806</v>
      </c>
    </row>
    <row r="35" spans="1:125">
      <c r="A35" s="34">
        <v>33</v>
      </c>
      <c r="B35" s="35"/>
      <c r="C35" s="35"/>
      <c r="D35" s="35"/>
      <c r="E35" s="35"/>
      <c r="F35" s="35"/>
      <c r="G35" s="35"/>
      <c r="H35" s="35"/>
      <c r="I35" s="35"/>
      <c r="J35" s="35"/>
      <c r="K35" s="35"/>
      <c r="L35" s="35"/>
      <c r="M35" s="35"/>
      <c r="N35" s="35"/>
      <c r="O35" s="35"/>
      <c r="P35" s="35"/>
      <c r="Q35" s="35"/>
      <c r="R35" s="35"/>
      <c r="S35" s="35"/>
      <c r="T35" s="35"/>
      <c r="U35" s="35"/>
      <c r="V35" s="29"/>
      <c r="W35" s="29"/>
      <c r="X35" s="29"/>
      <c r="Y35" s="29">
        <v>44.201978505018253</v>
      </c>
      <c r="Z35" s="29">
        <v>44.438738109046042</v>
      </c>
      <c r="AA35" s="29">
        <v>44.615070118928259</v>
      </c>
      <c r="AB35" s="29">
        <v>44.787197414044726</v>
      </c>
      <c r="AC35" s="29">
        <v>44.894848703070025</v>
      </c>
      <c r="AD35" s="29">
        <v>44.912019061526067</v>
      </c>
      <c r="AE35" s="29">
        <v>45.055017742964196</v>
      </c>
      <c r="AF35" s="29">
        <v>45.24845803956682</v>
      </c>
      <c r="AG35" s="29">
        <v>45.461673736497829</v>
      </c>
      <c r="AH35" s="29">
        <v>45.688263736542197</v>
      </c>
      <c r="AI35" s="29">
        <v>45.898965764165624</v>
      </c>
      <c r="AJ35" s="29">
        <v>46.184413403212154</v>
      </c>
      <c r="AK35" s="29">
        <v>46.447083235041774</v>
      </c>
      <c r="AL35" s="29">
        <v>46.764210482496551</v>
      </c>
      <c r="AM35" s="29">
        <v>47.060065252039081</v>
      </c>
      <c r="AN35" s="29">
        <v>47.267676777077867</v>
      </c>
      <c r="AO35" s="29">
        <v>47.405723754464077</v>
      </c>
      <c r="AP35" s="29">
        <v>47.55615153266266</v>
      </c>
      <c r="AQ35" s="29">
        <v>47.659736592129434</v>
      </c>
      <c r="AR35" s="29">
        <v>47.808981856493219</v>
      </c>
      <c r="AS35" s="29">
        <v>47.817857680394113</v>
      </c>
      <c r="AT35" s="29">
        <v>47.834341759457303</v>
      </c>
      <c r="AU35" s="29">
        <v>47.89498596670856</v>
      </c>
      <c r="AV35" s="29">
        <v>47.951320164100892</v>
      </c>
      <c r="AW35" s="29">
        <v>48.19762016688297</v>
      </c>
      <c r="AX35" s="29">
        <v>48.280020566232317</v>
      </c>
      <c r="AY35" s="29">
        <v>48.378224187506973</v>
      </c>
      <c r="AZ35" s="29">
        <v>48.452161967783113</v>
      </c>
      <c r="BA35" s="29">
        <v>48.526153966134572</v>
      </c>
      <c r="BB35" s="29">
        <v>48.633867255112975</v>
      </c>
      <c r="BC35" s="29">
        <v>48.724950001355381</v>
      </c>
      <c r="BD35" s="29">
        <v>48.840516471531117</v>
      </c>
      <c r="BE35" s="29">
        <v>48.986832694393641</v>
      </c>
      <c r="BF35" s="29">
        <v>49.136551803800756</v>
      </c>
      <c r="BG35" s="29">
        <v>49.274090445429039</v>
      </c>
      <c r="BH35" s="29">
        <v>49.494826245441502</v>
      </c>
      <c r="BI35" s="29">
        <v>49.645348699387711</v>
      </c>
      <c r="BJ35" s="29">
        <v>49.834765167706465</v>
      </c>
      <c r="BK35" s="29">
        <v>50.002195668150662</v>
      </c>
      <c r="BL35" s="29">
        <v>50.224994751144493</v>
      </c>
      <c r="BM35" s="29">
        <v>50.438672369443054</v>
      </c>
      <c r="BN35" s="29">
        <v>50.630868681686657</v>
      </c>
      <c r="BO35" s="29">
        <v>50.784880245976694</v>
      </c>
      <c r="BP35" s="29">
        <v>50.971947586205928</v>
      </c>
      <c r="BQ35" s="29">
        <v>51.143637851251754</v>
      </c>
      <c r="BR35" s="29">
        <v>51.308830984109157</v>
      </c>
      <c r="BS35" s="29">
        <v>51.462473087216352</v>
      </c>
      <c r="BT35" s="29">
        <v>51.621016481149539</v>
      </c>
      <c r="BU35" s="29">
        <v>51.750182577844939</v>
      </c>
      <c r="BV35" s="29">
        <v>51.918250327024779</v>
      </c>
      <c r="BW35" s="29">
        <v>52.075727257653242</v>
      </c>
      <c r="BX35" s="29">
        <v>52.222390067327183</v>
      </c>
      <c r="BY35" s="29">
        <v>52.366780038333644</v>
      </c>
      <c r="BZ35" s="29">
        <v>52.512123168245992</v>
      </c>
      <c r="CA35" s="29">
        <v>52.650155298584963</v>
      </c>
      <c r="CB35" s="29">
        <v>52.792013516946461</v>
      </c>
      <c r="CC35" s="29">
        <v>52.939134016889611</v>
      </c>
      <c r="CD35" s="29">
        <v>53.087321063432327</v>
      </c>
      <c r="CE35" s="29">
        <v>53.236456353888393</v>
      </c>
      <c r="CF35" s="29">
        <v>53.38023262298784</v>
      </c>
      <c r="CG35" s="29">
        <v>53.525475411216306</v>
      </c>
      <c r="CH35" s="29">
        <v>53.672964225055196</v>
      </c>
      <c r="CI35" s="29">
        <v>53.823627559321238</v>
      </c>
      <c r="CJ35" s="29">
        <v>53.968773307148666</v>
      </c>
      <c r="CK35" s="29">
        <v>54.117758800310753</v>
      </c>
      <c r="CL35" s="29">
        <v>54.264807199033783</v>
      </c>
      <c r="CM35" s="29">
        <v>54.410946778095322</v>
      </c>
      <c r="CN35" s="29">
        <v>54.557195751377463</v>
      </c>
      <c r="CO35" s="29">
        <v>54.702340182419064</v>
      </c>
      <c r="CP35" s="29">
        <v>54.846383316057626</v>
      </c>
      <c r="CQ35" s="29">
        <v>54.989328376976587</v>
      </c>
      <c r="CR35" s="29">
        <v>55.131178581048118</v>
      </c>
      <c r="CS35" s="29">
        <v>55.271937137725246</v>
      </c>
      <c r="CT35" s="29">
        <v>55.41160725403202</v>
      </c>
      <c r="CU35" s="29">
        <v>55.550192143707562</v>
      </c>
      <c r="CV35" s="29">
        <v>55.687695041306441</v>
      </c>
      <c r="CW35" s="29">
        <v>55.824119215533912</v>
      </c>
      <c r="CX35" s="29">
        <v>55.959467980039037</v>
      </c>
      <c r="CY35" s="29">
        <v>56.093744701955728</v>
      </c>
      <c r="CZ35" s="29">
        <v>56.226952804917161</v>
      </c>
      <c r="DA35" s="29">
        <v>56.359097706233285</v>
      </c>
      <c r="DB35" s="29">
        <v>56.490183118133025</v>
      </c>
      <c r="DC35" s="29">
        <v>56.620212834309598</v>
      </c>
      <c r="DD35" s="29">
        <v>56.749190727585912</v>
      </c>
      <c r="DE35" s="29">
        <v>56.877120747623685</v>
      </c>
      <c r="DF35" s="29">
        <v>57.00400691867312</v>
      </c>
      <c r="DG35" s="29">
        <v>57.129853337366079</v>
      </c>
      <c r="DH35" s="29">
        <v>57.254664170548132</v>
      </c>
      <c r="DI35" s="29">
        <v>57.378443653152161</v>
      </c>
      <c r="DJ35" s="29">
        <v>57.50119608610995</v>
      </c>
      <c r="DK35" s="29">
        <v>57.622925834302698</v>
      </c>
      <c r="DL35" s="29">
        <v>57.743637324549844</v>
      </c>
      <c r="DM35" s="29">
        <v>57.863335043633185</v>
      </c>
      <c r="DN35" s="29">
        <v>57.982023536359506</v>
      </c>
      <c r="DO35" s="29">
        <v>58.099707403656275</v>
      </c>
      <c r="DP35" s="29">
        <v>58.21639130070367</v>
      </c>
      <c r="DQ35" s="29">
        <v>58.332079935099813</v>
      </c>
      <c r="DR35" s="29">
        <v>58.446778065059334</v>
      </c>
      <c r="DS35">
        <v>58.560490497644736</v>
      </c>
      <c r="DT35">
        <v>58.673222087029131</v>
      </c>
      <c r="DU35">
        <v>58.784977732790296</v>
      </c>
    </row>
    <row r="36" spans="1:125">
      <c r="A36" s="34">
        <v>34</v>
      </c>
      <c r="B36" s="35"/>
      <c r="C36" s="35"/>
      <c r="D36" s="35"/>
      <c r="E36" s="35"/>
      <c r="F36" s="35"/>
      <c r="G36" s="35"/>
      <c r="H36" s="35"/>
      <c r="I36" s="35"/>
      <c r="J36" s="35"/>
      <c r="K36" s="35"/>
      <c r="L36" s="35"/>
      <c r="M36" s="35"/>
      <c r="N36" s="35"/>
      <c r="O36" s="35"/>
      <c r="P36" s="35"/>
      <c r="Q36" s="35"/>
      <c r="R36" s="35"/>
      <c r="S36" s="35"/>
      <c r="T36" s="35"/>
      <c r="U36" s="35"/>
      <c r="V36" s="29"/>
      <c r="W36" s="29"/>
      <c r="X36" s="29"/>
      <c r="Y36" s="29">
        <v>43.271353887919595</v>
      </c>
      <c r="Z36" s="29">
        <v>43.508133474723834</v>
      </c>
      <c r="AA36" s="29">
        <v>43.683802166321115</v>
      </c>
      <c r="AB36" s="29">
        <v>43.856785999524064</v>
      </c>
      <c r="AC36" s="29">
        <v>43.962980144691286</v>
      </c>
      <c r="AD36" s="29">
        <v>43.979630219668024</v>
      </c>
      <c r="AE36" s="29">
        <v>44.121385937330963</v>
      </c>
      <c r="AF36" s="29">
        <v>44.314437172921714</v>
      </c>
      <c r="AG36" s="29">
        <v>44.526314759763864</v>
      </c>
      <c r="AH36" s="29">
        <v>44.752908090820036</v>
      </c>
      <c r="AI36" s="29">
        <v>44.96888677165591</v>
      </c>
      <c r="AJ36" s="29">
        <v>45.246330891863849</v>
      </c>
      <c r="AK36" s="29">
        <v>45.508150220899637</v>
      </c>
      <c r="AL36" s="29">
        <v>45.827090843198633</v>
      </c>
      <c r="AM36" s="29">
        <v>46.126435316599412</v>
      </c>
      <c r="AN36" s="29">
        <v>46.3296694365159</v>
      </c>
      <c r="AO36" s="29">
        <v>46.471280237312598</v>
      </c>
      <c r="AP36" s="29">
        <v>46.617379462292043</v>
      </c>
      <c r="AQ36" s="29">
        <v>46.721517546304057</v>
      </c>
      <c r="AR36" s="29">
        <v>46.870986873787146</v>
      </c>
      <c r="AS36" s="29">
        <v>46.880409209880249</v>
      </c>
      <c r="AT36" s="29">
        <v>46.896757326107803</v>
      </c>
      <c r="AU36" s="29">
        <v>46.957248308736027</v>
      </c>
      <c r="AV36" s="29">
        <v>47.01197980177443</v>
      </c>
      <c r="AW36" s="29">
        <v>47.252601313661614</v>
      </c>
      <c r="AX36" s="29">
        <v>47.331862759045507</v>
      </c>
      <c r="AY36" s="29">
        <v>47.431677609020156</v>
      </c>
      <c r="AZ36" s="29">
        <v>47.502644981959634</v>
      </c>
      <c r="BA36" s="29">
        <v>47.576141786960392</v>
      </c>
      <c r="BB36" s="29">
        <v>47.682187800116495</v>
      </c>
      <c r="BC36" s="29">
        <v>47.772916621272472</v>
      </c>
      <c r="BD36" s="29">
        <v>47.888481038994478</v>
      </c>
      <c r="BE36" s="29">
        <v>48.03736251256376</v>
      </c>
      <c r="BF36" s="29">
        <v>48.188043377895625</v>
      </c>
      <c r="BG36" s="29">
        <v>48.329722195423557</v>
      </c>
      <c r="BH36" s="29">
        <v>48.549156439506206</v>
      </c>
      <c r="BI36" s="29">
        <v>48.698129399247023</v>
      </c>
      <c r="BJ36" s="29">
        <v>48.890244713149514</v>
      </c>
      <c r="BK36" s="29">
        <v>49.050935509549944</v>
      </c>
      <c r="BL36" s="29">
        <v>49.272303371404455</v>
      </c>
      <c r="BM36" s="29">
        <v>49.482256346476234</v>
      </c>
      <c r="BN36" s="29">
        <v>49.671730193773861</v>
      </c>
      <c r="BO36" s="29">
        <v>49.820944087441731</v>
      </c>
      <c r="BP36" s="29">
        <v>50.009473510227053</v>
      </c>
      <c r="BQ36" s="29">
        <v>50.17818291658358</v>
      </c>
      <c r="BR36" s="29">
        <v>50.34127235864355</v>
      </c>
      <c r="BS36" s="29">
        <v>50.494971474060527</v>
      </c>
      <c r="BT36" s="29">
        <v>50.652367138426811</v>
      </c>
      <c r="BU36" s="29">
        <v>50.782055263939057</v>
      </c>
      <c r="BV36" s="29">
        <v>50.947921743293541</v>
      </c>
      <c r="BW36" s="29">
        <v>51.104449216396134</v>
      </c>
      <c r="BX36" s="29">
        <v>51.250716713021149</v>
      </c>
      <c r="BY36" s="29">
        <v>51.395436915053516</v>
      </c>
      <c r="BZ36" s="29">
        <v>51.539605825711348</v>
      </c>
      <c r="CA36" s="29">
        <v>51.68169697684398</v>
      </c>
      <c r="CB36" s="29">
        <v>51.820786763027321</v>
      </c>
      <c r="CC36" s="29">
        <v>51.967330635072166</v>
      </c>
      <c r="CD36" s="29">
        <v>52.116150709561985</v>
      </c>
      <c r="CE36" s="29">
        <v>52.264277883992953</v>
      </c>
      <c r="CF36" s="29">
        <v>52.408189153165466</v>
      </c>
      <c r="CG36" s="29">
        <v>52.55333260771792</v>
      </c>
      <c r="CH36" s="29">
        <v>52.703351576160543</v>
      </c>
      <c r="CI36" s="29">
        <v>52.85151392082085</v>
      </c>
      <c r="CJ36" s="29">
        <v>52.996260247065564</v>
      </c>
      <c r="CK36" s="29">
        <v>53.143896681534414</v>
      </c>
      <c r="CL36" s="29">
        <v>53.291867616624927</v>
      </c>
      <c r="CM36" s="29">
        <v>53.438604598087913</v>
      </c>
      <c r="CN36" s="29">
        <v>53.584246548577298</v>
      </c>
      <c r="CO36" s="29">
        <v>53.72879651252277</v>
      </c>
      <c r="CP36" s="29">
        <v>53.872257500340424</v>
      </c>
      <c r="CQ36" s="29">
        <v>54.014632505712981</v>
      </c>
      <c r="CR36" s="29">
        <v>54.155924516929787</v>
      </c>
      <c r="CS36" s="29">
        <v>54.296136519269666</v>
      </c>
      <c r="CT36" s="29">
        <v>54.435271498983468</v>
      </c>
      <c r="CU36" s="29">
        <v>54.573332452432957</v>
      </c>
      <c r="CV36" s="29">
        <v>54.710322400185873</v>
      </c>
      <c r="CW36" s="29">
        <v>54.846244400341895</v>
      </c>
      <c r="CX36" s="29">
        <v>54.981101559310872</v>
      </c>
      <c r="CY36" s="29">
        <v>55.114897040334888</v>
      </c>
      <c r="CZ36" s="29">
        <v>55.247635780978129</v>
      </c>
      <c r="DA36" s="29">
        <v>55.379321214583271</v>
      </c>
      <c r="DB36" s="29">
        <v>55.509956861556752</v>
      </c>
      <c r="DC36" s="29">
        <v>55.639546326954857</v>
      </c>
      <c r="DD36" s="29">
        <v>55.768093298113072</v>
      </c>
      <c r="DE36" s="29">
        <v>55.895601542319028</v>
      </c>
      <c r="DF36" s="29">
        <v>56.022074904525937</v>
      </c>
      <c r="DG36" s="29">
        <v>56.147517305109332</v>
      </c>
      <c r="DH36" s="29">
        <v>56.271932737662695</v>
      </c>
      <c r="DI36" s="29">
        <v>56.395325266834547</v>
      </c>
      <c r="DJ36" s="29">
        <v>56.517699026203431</v>
      </c>
      <c r="DK36" s="29">
        <v>56.63905821619192</v>
      </c>
      <c r="DL36" s="29">
        <v>56.759407102018812</v>
      </c>
      <c r="DM36" s="29">
        <v>56.878750011686748</v>
      </c>
      <c r="DN36" s="29">
        <v>56.997091334008232</v>
      </c>
      <c r="DO36" s="29">
        <v>57.114435516664969</v>
      </c>
      <c r="DP36" s="29">
        <v>57.230787064303406</v>
      </c>
      <c r="DQ36" s="29">
        <v>57.346150536663686</v>
      </c>
      <c r="DR36" s="29">
        <v>57.460530546741971</v>
      </c>
      <c r="DS36">
        <v>57.573931758985736</v>
      </c>
      <c r="DT36">
        <v>57.686358887520498</v>
      </c>
      <c r="DU36">
        <v>57.797816694408027</v>
      </c>
    </row>
    <row r="37" spans="1:125">
      <c r="A37" s="34">
        <v>35</v>
      </c>
      <c r="B37" s="35"/>
      <c r="C37" s="35"/>
      <c r="D37" s="35"/>
      <c r="E37" s="35"/>
      <c r="F37" s="35"/>
      <c r="G37" s="35"/>
      <c r="H37" s="35"/>
      <c r="I37" s="35"/>
      <c r="J37" s="35"/>
      <c r="K37" s="35"/>
      <c r="L37" s="35"/>
      <c r="M37" s="35"/>
      <c r="N37" s="35"/>
      <c r="O37" s="35"/>
      <c r="P37" s="35"/>
      <c r="Q37" s="35"/>
      <c r="R37" s="35"/>
      <c r="S37" s="35"/>
      <c r="T37" s="35"/>
      <c r="U37" s="35"/>
      <c r="V37" s="29"/>
      <c r="W37" s="29"/>
      <c r="X37" s="29"/>
      <c r="Y37" s="29">
        <v>42.345024427648582</v>
      </c>
      <c r="Z37" s="29">
        <v>42.579575675580948</v>
      </c>
      <c r="AA37" s="29">
        <v>42.754058361029138</v>
      </c>
      <c r="AB37" s="29">
        <v>42.928209011809486</v>
      </c>
      <c r="AC37" s="29">
        <v>43.030325686941886</v>
      </c>
      <c r="AD37" s="29">
        <v>43.04636022763502</v>
      </c>
      <c r="AE37" s="29">
        <v>43.190894678338296</v>
      </c>
      <c r="AF37" s="29">
        <v>43.38023070795915</v>
      </c>
      <c r="AG37" s="29">
        <v>43.592503282356873</v>
      </c>
      <c r="AH37" s="29">
        <v>43.822033426382383</v>
      </c>
      <c r="AI37" s="29">
        <v>44.03618385479114</v>
      </c>
      <c r="AJ37" s="29">
        <v>44.307719822509291</v>
      </c>
      <c r="AK37" s="29">
        <v>44.578363939399324</v>
      </c>
      <c r="AL37" s="29">
        <v>44.892421981687107</v>
      </c>
      <c r="AM37" s="29">
        <v>45.190940021829945</v>
      </c>
      <c r="AN37" s="29">
        <v>45.394105414772909</v>
      </c>
      <c r="AO37" s="29">
        <v>45.536422546278466</v>
      </c>
      <c r="AP37" s="29">
        <v>45.683406126796953</v>
      </c>
      <c r="AQ37" s="29">
        <v>45.786048900175388</v>
      </c>
      <c r="AR37" s="29">
        <v>45.931586453214948</v>
      </c>
      <c r="AS37" s="29">
        <v>45.946264062738294</v>
      </c>
      <c r="AT37" s="29">
        <v>45.960400453955984</v>
      </c>
      <c r="AU37" s="29">
        <v>46.014361920575254</v>
      </c>
      <c r="AV37" s="29">
        <v>46.071631970908967</v>
      </c>
      <c r="AW37" s="29">
        <v>46.307356919037247</v>
      </c>
      <c r="AX37" s="29">
        <v>46.385450254562151</v>
      </c>
      <c r="AY37" s="29">
        <v>46.48687117739675</v>
      </c>
      <c r="AZ37" s="29">
        <v>46.554104324465335</v>
      </c>
      <c r="BA37" s="29">
        <v>46.630437358206805</v>
      </c>
      <c r="BB37" s="29">
        <v>46.733606504674633</v>
      </c>
      <c r="BC37" s="29">
        <v>46.823398846104091</v>
      </c>
      <c r="BD37" s="29">
        <v>46.940418480538845</v>
      </c>
      <c r="BE37" s="29">
        <v>47.093501320658056</v>
      </c>
      <c r="BF37" s="29">
        <v>47.246011679422729</v>
      </c>
      <c r="BG37" s="29">
        <v>47.387813559603792</v>
      </c>
      <c r="BH37" s="29">
        <v>47.604536207823969</v>
      </c>
      <c r="BI37" s="29">
        <v>47.753261438951668</v>
      </c>
      <c r="BJ37" s="29">
        <v>47.944498259079907</v>
      </c>
      <c r="BK37" s="29">
        <v>48.100432222347735</v>
      </c>
      <c r="BL37" s="29">
        <v>48.31907846991092</v>
      </c>
      <c r="BM37" s="29">
        <v>48.525796725457539</v>
      </c>
      <c r="BN37" s="29">
        <v>48.71049664172584</v>
      </c>
      <c r="BO37" s="29">
        <v>48.862032285276797</v>
      </c>
      <c r="BP37" s="29">
        <v>49.045423356586682</v>
      </c>
      <c r="BQ37" s="29">
        <v>49.213413736405542</v>
      </c>
      <c r="BR37" s="29">
        <v>49.377204466311852</v>
      </c>
      <c r="BS37" s="29">
        <v>49.529885330308218</v>
      </c>
      <c r="BT37" s="29">
        <v>49.683353577930347</v>
      </c>
      <c r="BU37" s="29">
        <v>49.813831936448565</v>
      </c>
      <c r="BV37" s="29">
        <v>49.979056144779392</v>
      </c>
      <c r="BW37" s="29">
        <v>50.133590159103321</v>
      </c>
      <c r="BX37" s="29">
        <v>50.280103020475437</v>
      </c>
      <c r="BY37" s="29">
        <v>50.427798142457007</v>
      </c>
      <c r="BZ37" s="29">
        <v>50.570474101955611</v>
      </c>
      <c r="CA37" s="29">
        <v>50.711358587523875</v>
      </c>
      <c r="CB37" s="29">
        <v>50.850400297720952</v>
      </c>
      <c r="CC37" s="29">
        <v>50.997520365509388</v>
      </c>
      <c r="CD37" s="29">
        <v>51.146551933495658</v>
      </c>
      <c r="CE37" s="29">
        <v>51.295475252006071</v>
      </c>
      <c r="CF37" s="29">
        <v>51.438081733238732</v>
      </c>
      <c r="CG37" s="29">
        <v>51.58317168293506</v>
      </c>
      <c r="CH37" s="29">
        <v>51.731396373216825</v>
      </c>
      <c r="CI37" s="29">
        <v>51.879600316184131</v>
      </c>
      <c r="CJ37" s="29">
        <v>52.025470578232373</v>
      </c>
      <c r="CK37" s="29">
        <v>52.174537235462026</v>
      </c>
      <c r="CL37" s="29">
        <v>52.321718383688086</v>
      </c>
      <c r="CM37" s="29">
        <v>52.467814568774003</v>
      </c>
      <c r="CN37" s="29">
        <v>52.612828631816406</v>
      </c>
      <c r="CO37" s="29">
        <v>52.756763384835274</v>
      </c>
      <c r="CP37" s="29">
        <v>52.899621608972225</v>
      </c>
      <c r="CQ37" s="29">
        <v>53.041406071783271</v>
      </c>
      <c r="CR37" s="29">
        <v>53.182119538585127</v>
      </c>
      <c r="CS37" s="29">
        <v>53.321764774836922</v>
      </c>
      <c r="CT37" s="29">
        <v>53.460344550123928</v>
      </c>
      <c r="CU37" s="29">
        <v>53.597861647300022</v>
      </c>
      <c r="CV37" s="29">
        <v>53.734318876586073</v>
      </c>
      <c r="CW37" s="29">
        <v>53.869719088895209</v>
      </c>
      <c r="CX37" s="29">
        <v>54.004065186604123</v>
      </c>
      <c r="CY37" s="29">
        <v>54.137361661478842</v>
      </c>
      <c r="CZ37" s="29">
        <v>54.269611661438347</v>
      </c>
      <c r="DA37" s="29">
        <v>54.400818427000559</v>
      </c>
      <c r="DB37" s="29">
        <v>54.53098528879417</v>
      </c>
      <c r="DC37" s="29">
        <v>54.660115665114496</v>
      </c>
      <c r="DD37" s="29">
        <v>54.78821305952242</v>
      </c>
      <c r="DE37" s="29">
        <v>54.915281058486471</v>
      </c>
      <c r="DF37" s="29">
        <v>55.041323329065364</v>
      </c>
      <c r="DG37" s="29">
        <v>55.166343616633498</v>
      </c>
      <c r="DH37" s="29">
        <v>55.290345742645215</v>
      </c>
      <c r="DI37" s="29">
        <v>55.413333602440304</v>
      </c>
      <c r="DJ37" s="29">
        <v>55.5353111630873</v>
      </c>
      <c r="DK37" s="29">
        <v>55.656282461265633</v>
      </c>
      <c r="DL37" s="29">
        <v>55.776251601185912</v>
      </c>
      <c r="DM37" s="29">
        <v>55.895222752545436</v>
      </c>
      <c r="DN37" s="29">
        <v>56.013200148522174</v>
      </c>
      <c r="DO37" s="29">
        <v>56.130188083801897</v>
      </c>
      <c r="DP37" s="29">
        <v>56.246190912641524</v>
      </c>
      <c r="DQ37" s="29">
        <v>56.361213046965858</v>
      </c>
      <c r="DR37" s="29">
        <v>56.475258954497676</v>
      </c>
      <c r="DS37">
        <v>56.588333156920825</v>
      </c>
      <c r="DT37">
        <v>56.700440228074754</v>
      </c>
      <c r="DU37">
        <v>56.811584792180611</v>
      </c>
    </row>
    <row r="38" spans="1:125">
      <c r="A38" s="34">
        <v>36</v>
      </c>
      <c r="B38" s="35"/>
      <c r="C38" s="35"/>
      <c r="D38" s="35"/>
      <c r="E38" s="35"/>
      <c r="F38" s="35"/>
      <c r="G38" s="35"/>
      <c r="H38" s="35"/>
      <c r="I38" s="35"/>
      <c r="J38" s="35"/>
      <c r="K38" s="35"/>
      <c r="L38" s="35"/>
      <c r="M38" s="35"/>
      <c r="N38" s="35"/>
      <c r="O38" s="35"/>
      <c r="P38" s="35"/>
      <c r="Q38" s="35"/>
      <c r="R38" s="35"/>
      <c r="S38" s="35"/>
      <c r="T38" s="35"/>
      <c r="U38" s="35"/>
      <c r="V38" s="29"/>
      <c r="W38" s="29"/>
      <c r="X38" s="29"/>
      <c r="Y38" s="29">
        <v>41.419964308950966</v>
      </c>
      <c r="Z38" s="29">
        <v>41.656515369136017</v>
      </c>
      <c r="AA38" s="29">
        <v>41.828028974560311</v>
      </c>
      <c r="AB38" s="29">
        <v>42.000377271683973</v>
      </c>
      <c r="AC38" s="29">
        <v>42.100998823887387</v>
      </c>
      <c r="AD38" s="29">
        <v>42.119513170937282</v>
      </c>
      <c r="AE38" s="29">
        <v>42.261535211931559</v>
      </c>
      <c r="AF38" s="29">
        <v>42.450352254833675</v>
      </c>
      <c r="AG38" s="29">
        <v>42.659966772664049</v>
      </c>
      <c r="AH38" s="29">
        <v>42.890643644128907</v>
      </c>
      <c r="AI38" s="29">
        <v>43.105496558576959</v>
      </c>
      <c r="AJ38" s="29">
        <v>43.38003078864773</v>
      </c>
      <c r="AK38" s="29">
        <v>43.649386068946164</v>
      </c>
      <c r="AL38" s="29">
        <v>43.962589024652551</v>
      </c>
      <c r="AM38" s="29">
        <v>44.25759294705513</v>
      </c>
      <c r="AN38" s="29">
        <v>44.459163088563628</v>
      </c>
      <c r="AO38" s="29">
        <v>44.602191277754294</v>
      </c>
      <c r="AP38" s="29">
        <v>44.748173824514055</v>
      </c>
      <c r="AQ38" s="29">
        <v>44.851025128745292</v>
      </c>
      <c r="AR38" s="29">
        <v>44.99951097295623</v>
      </c>
      <c r="AS38" s="29">
        <v>45.011907464958945</v>
      </c>
      <c r="AT38" s="29">
        <v>45.022468532189407</v>
      </c>
      <c r="AU38" s="29">
        <v>45.075327271687648</v>
      </c>
      <c r="AV38" s="29">
        <v>45.133266942946172</v>
      </c>
      <c r="AW38" s="29">
        <v>45.365788707056765</v>
      </c>
      <c r="AX38" s="29">
        <v>45.442166785822309</v>
      </c>
      <c r="AY38" s="29">
        <v>45.542401569324603</v>
      </c>
      <c r="AZ38" s="29">
        <v>45.606131028920728</v>
      </c>
      <c r="BA38" s="29">
        <v>45.685265685552551</v>
      </c>
      <c r="BB38" s="29">
        <v>45.789050147422572</v>
      </c>
      <c r="BC38" s="29">
        <v>45.877579612077454</v>
      </c>
      <c r="BD38" s="29">
        <v>45.997559389059106</v>
      </c>
      <c r="BE38" s="29">
        <v>46.153452230866151</v>
      </c>
      <c r="BF38" s="29">
        <v>46.306633132234808</v>
      </c>
      <c r="BG38" s="29">
        <v>46.445877681179226</v>
      </c>
      <c r="BH38" s="29">
        <v>46.659572580590464</v>
      </c>
      <c r="BI38" s="29">
        <v>46.808707260512037</v>
      </c>
      <c r="BJ38" s="29">
        <v>46.99746201847082</v>
      </c>
      <c r="BK38" s="29">
        <v>47.151518046181224</v>
      </c>
      <c r="BL38" s="29">
        <v>47.367408425507534</v>
      </c>
      <c r="BM38" s="29">
        <v>47.567417386419351</v>
      </c>
      <c r="BN38" s="29">
        <v>47.750482459570037</v>
      </c>
      <c r="BO38" s="29">
        <v>47.9030545684397</v>
      </c>
      <c r="BP38" s="29">
        <v>48.084479400803623</v>
      </c>
      <c r="BQ38" s="29">
        <v>48.252982134622258</v>
      </c>
      <c r="BR38" s="29">
        <v>48.413985510521329</v>
      </c>
      <c r="BS38" s="29">
        <v>48.564748899425815</v>
      </c>
      <c r="BT38" s="29">
        <v>48.716283419560689</v>
      </c>
      <c r="BU38" s="29">
        <v>48.846880875216485</v>
      </c>
      <c r="BV38" s="29">
        <v>49.009949341289911</v>
      </c>
      <c r="BW38" s="29">
        <v>49.166405778835852</v>
      </c>
      <c r="BX38" s="29">
        <v>49.312594724473144</v>
      </c>
      <c r="BY38" s="29">
        <v>49.456175729973474</v>
      </c>
      <c r="BZ38" s="29">
        <v>49.600898627110325</v>
      </c>
      <c r="CA38" s="29">
        <v>49.743791634614659</v>
      </c>
      <c r="CB38" s="29">
        <v>49.880898961872646</v>
      </c>
      <c r="CC38" s="29">
        <v>50.029484528579232</v>
      </c>
      <c r="CD38" s="29">
        <v>50.179714729015387</v>
      </c>
      <c r="CE38" s="29">
        <v>50.326151060543815</v>
      </c>
      <c r="CF38" s="29">
        <v>50.468603393623773</v>
      </c>
      <c r="CG38" s="29">
        <v>50.611756969700309</v>
      </c>
      <c r="CH38" s="29">
        <v>50.764271382961347</v>
      </c>
      <c r="CI38" s="29">
        <v>50.909838208934147</v>
      </c>
      <c r="CJ38" s="29">
        <v>51.059197514036235</v>
      </c>
      <c r="CK38" s="29">
        <v>51.20677632619838</v>
      </c>
      <c r="CL38" s="29">
        <v>51.353280822329452</v>
      </c>
      <c r="CM38" s="29">
        <v>51.498713621226351</v>
      </c>
      <c r="CN38" s="29">
        <v>51.643077334175217</v>
      </c>
      <c r="CO38" s="29">
        <v>51.786374546227457</v>
      </c>
      <c r="CP38" s="29">
        <v>51.928607814407933</v>
      </c>
      <c r="CQ38" s="29">
        <v>52.06977968502968</v>
      </c>
      <c r="CR38" s="29">
        <v>52.20989270505536</v>
      </c>
      <c r="CS38" s="29">
        <v>52.348949424486584</v>
      </c>
      <c r="CT38" s="29">
        <v>52.486952400357197</v>
      </c>
      <c r="CU38" s="29">
        <v>52.623904205888337</v>
      </c>
      <c r="CV38" s="29">
        <v>52.759807444599161</v>
      </c>
      <c r="CW38" s="29">
        <v>52.894664763639838</v>
      </c>
      <c r="CX38" s="29">
        <v>53.028480247179701</v>
      </c>
      <c r="CY38" s="29">
        <v>53.161256751690743</v>
      </c>
      <c r="CZ38" s="29">
        <v>53.292997231693612</v>
      </c>
      <c r="DA38" s="29">
        <v>53.42370473720149</v>
      </c>
      <c r="DB38" s="29">
        <v>53.553382411207764</v>
      </c>
      <c r="DC38" s="29">
        <v>53.682033487217232</v>
      </c>
      <c r="DD38" s="29">
        <v>53.80966128682001</v>
      </c>
      <c r="DE38" s="29">
        <v>53.936269217308251</v>
      </c>
      <c r="DF38" s="29">
        <v>54.061860769332938</v>
      </c>
      <c r="DG38" s="29">
        <v>54.186439514603379</v>
      </c>
      <c r="DH38" s="29">
        <v>54.310009103625077</v>
      </c>
      <c r="DI38" s="29">
        <v>54.432573263478588</v>
      </c>
      <c r="DJ38" s="29">
        <v>54.554135795636086</v>
      </c>
      <c r="DK38" s="29">
        <v>54.674700573816196</v>
      </c>
      <c r="DL38" s="29">
        <v>54.794271541877109</v>
      </c>
      <c r="DM38" s="29">
        <v>54.91285271174452</v>
      </c>
      <c r="DN38" s="29">
        <v>55.03044816137789</v>
      </c>
      <c r="DO38" s="29">
        <v>55.147062032769753</v>
      </c>
      <c r="DP38" s="29">
        <v>55.262698529981094</v>
      </c>
      <c r="DQ38" s="29">
        <v>55.377361917209896</v>
      </c>
      <c r="DR38" s="29">
        <v>55.49105651689311</v>
      </c>
      <c r="DS38">
        <v>55.603786707841422</v>
      </c>
      <c r="DT38">
        <v>55.715556923405394</v>
      </c>
      <c r="DU38">
        <v>55.826371649673149</v>
      </c>
    </row>
    <row r="39" spans="1:125">
      <c r="A39" s="34">
        <v>37</v>
      </c>
      <c r="B39" s="35"/>
      <c r="C39" s="35"/>
      <c r="D39" s="35"/>
      <c r="E39" s="35"/>
      <c r="F39" s="35"/>
      <c r="G39" s="35"/>
      <c r="H39" s="35"/>
      <c r="I39" s="35"/>
      <c r="J39" s="35"/>
      <c r="K39" s="35"/>
      <c r="L39" s="35"/>
      <c r="M39" s="35"/>
      <c r="N39" s="35"/>
      <c r="O39" s="35"/>
      <c r="P39" s="35"/>
      <c r="Q39" s="35"/>
      <c r="R39" s="35"/>
      <c r="S39" s="35"/>
      <c r="T39" s="35"/>
      <c r="U39" s="35"/>
      <c r="V39" s="29"/>
      <c r="W39" s="29"/>
      <c r="X39" s="29"/>
      <c r="Y39" s="29">
        <v>40.50031942713332</v>
      </c>
      <c r="Z39" s="29">
        <v>40.732284737545768</v>
      </c>
      <c r="AA39" s="29">
        <v>40.903920931654568</v>
      </c>
      <c r="AB39" s="29">
        <v>41.070744707141046</v>
      </c>
      <c r="AC39" s="29">
        <v>41.173269082109037</v>
      </c>
      <c r="AD39" s="29">
        <v>41.191461312477948</v>
      </c>
      <c r="AE39" s="29">
        <v>41.330586283086525</v>
      </c>
      <c r="AF39" s="29">
        <v>41.524678779939336</v>
      </c>
      <c r="AG39" s="29">
        <v>41.733286175056662</v>
      </c>
      <c r="AH39" s="29">
        <v>41.961822574298139</v>
      </c>
      <c r="AI39" s="29">
        <v>42.17844311791994</v>
      </c>
      <c r="AJ39" s="29">
        <v>42.452459602141339</v>
      </c>
      <c r="AK39" s="29">
        <v>42.720455106196049</v>
      </c>
      <c r="AL39" s="29">
        <v>43.036660032626159</v>
      </c>
      <c r="AM39" s="29">
        <v>43.325811099677551</v>
      </c>
      <c r="AN39" s="29">
        <v>43.53062343403068</v>
      </c>
      <c r="AO39" s="29">
        <v>43.676101773612885</v>
      </c>
      <c r="AP39" s="29">
        <v>43.817207160526507</v>
      </c>
      <c r="AQ39" s="29">
        <v>43.919902644167742</v>
      </c>
      <c r="AR39" s="29">
        <v>44.066410928709061</v>
      </c>
      <c r="AS39" s="29">
        <v>44.077547451473428</v>
      </c>
      <c r="AT39" s="29">
        <v>44.086152757793471</v>
      </c>
      <c r="AU39" s="29">
        <v>44.139475899166776</v>
      </c>
      <c r="AV39" s="29">
        <v>44.196306024376227</v>
      </c>
      <c r="AW39" s="29">
        <v>44.426455654409857</v>
      </c>
      <c r="AX39" s="29">
        <v>44.498648614097092</v>
      </c>
      <c r="AY39" s="29">
        <v>44.59913937084022</v>
      </c>
      <c r="AZ39" s="29">
        <v>44.661924632487832</v>
      </c>
      <c r="BA39" s="29">
        <v>44.742051616082634</v>
      </c>
      <c r="BB39" s="29">
        <v>44.848832345167345</v>
      </c>
      <c r="BC39" s="29">
        <v>44.938744158575929</v>
      </c>
      <c r="BD39" s="29">
        <v>45.061667363257641</v>
      </c>
      <c r="BE39" s="29">
        <v>45.217506354155631</v>
      </c>
      <c r="BF39" s="29">
        <v>45.365658003401819</v>
      </c>
      <c r="BG39" s="29">
        <v>45.507791933814161</v>
      </c>
      <c r="BH39" s="29">
        <v>45.719642728807578</v>
      </c>
      <c r="BI39" s="29">
        <v>45.865354046215714</v>
      </c>
      <c r="BJ39" s="29">
        <v>46.049645716202789</v>
      </c>
      <c r="BK39" s="29">
        <v>46.203806208674941</v>
      </c>
      <c r="BL39" s="29">
        <v>46.415210906507035</v>
      </c>
      <c r="BM39" s="29">
        <v>46.61301216289371</v>
      </c>
      <c r="BN39" s="29">
        <v>46.793625649311842</v>
      </c>
      <c r="BO39" s="29">
        <v>46.945105892524666</v>
      </c>
      <c r="BP39" s="29">
        <v>47.126505888767866</v>
      </c>
      <c r="BQ39" s="29">
        <v>47.291229479118812</v>
      </c>
      <c r="BR39" s="29">
        <v>47.451567207035197</v>
      </c>
      <c r="BS39" s="29">
        <v>47.599927453362724</v>
      </c>
      <c r="BT39" s="29">
        <v>47.750338261940698</v>
      </c>
      <c r="BU39" s="29">
        <v>47.879780227530048</v>
      </c>
      <c r="BV39" s="29">
        <v>48.042642817697043</v>
      </c>
      <c r="BW39" s="29">
        <v>48.200372643457499</v>
      </c>
      <c r="BX39" s="29">
        <v>48.34493877278932</v>
      </c>
      <c r="BY39" s="29">
        <v>48.488556439924196</v>
      </c>
      <c r="BZ39" s="29">
        <v>48.633026837800116</v>
      </c>
      <c r="CA39" s="29">
        <v>48.776137419600488</v>
      </c>
      <c r="CB39" s="29">
        <v>48.914420048226781</v>
      </c>
      <c r="CC39" s="29">
        <v>49.061785319655925</v>
      </c>
      <c r="CD39" s="29">
        <v>49.213032300006446</v>
      </c>
      <c r="CE39" s="29">
        <v>49.357481795859378</v>
      </c>
      <c r="CF39" s="29">
        <v>49.502961405995983</v>
      </c>
      <c r="CG39" s="29">
        <v>49.646113083835033</v>
      </c>
      <c r="CH39" s="29">
        <v>49.796665033197172</v>
      </c>
      <c r="CI39" s="29">
        <v>49.94605976211831</v>
      </c>
      <c r="CJ39" s="29">
        <v>50.09398790056089</v>
      </c>
      <c r="CK39" s="29">
        <v>50.240852969850366</v>
      </c>
      <c r="CL39" s="29">
        <v>50.386657331701102</v>
      </c>
      <c r="CM39" s="29">
        <v>50.531403378573813</v>
      </c>
      <c r="CN39" s="29">
        <v>50.675093497960077</v>
      </c>
      <c r="CO39" s="29">
        <v>50.817730053663325</v>
      </c>
      <c r="CP39" s="29">
        <v>50.959315384025373</v>
      </c>
      <c r="CQ39" s="29">
        <v>51.099851819272502</v>
      </c>
      <c r="CR39" s="29">
        <v>51.239341692901135</v>
      </c>
      <c r="CS39" s="29">
        <v>51.377787344083018</v>
      </c>
      <c r="CT39" s="29">
        <v>51.515191121676843</v>
      </c>
      <c r="CU39" s="29">
        <v>51.651555393404834</v>
      </c>
      <c r="CV39" s="29">
        <v>51.78688255998479</v>
      </c>
      <c r="CW39" s="29">
        <v>51.921176346331407</v>
      </c>
      <c r="CX39" s="29">
        <v>52.054439312236539</v>
      </c>
      <c r="CY39" s="29">
        <v>52.186674120881634</v>
      </c>
      <c r="CZ39" s="29">
        <v>52.317883536219682</v>
      </c>
      <c r="DA39" s="29">
        <v>52.448070420400988</v>
      </c>
      <c r="DB39" s="29">
        <v>52.577237731242228</v>
      </c>
      <c r="DC39" s="29">
        <v>52.705388519738619</v>
      </c>
      <c r="DD39" s="29">
        <v>52.832525927618121</v>
      </c>
      <c r="DE39" s="29">
        <v>52.958653184938214</v>
      </c>
      <c r="DF39" s="29">
        <v>53.083773607722094</v>
      </c>
      <c r="DG39" s="29">
        <v>53.207890595637252</v>
      </c>
      <c r="DH39" s="29">
        <v>53.331007629712047</v>
      </c>
      <c r="DI39" s="29">
        <v>53.453128270092883</v>
      </c>
      <c r="DJ39" s="29">
        <v>53.574256153838618</v>
      </c>
      <c r="DK39" s="29">
        <v>53.694394992753104</v>
      </c>
      <c r="DL39" s="29">
        <v>53.813548571255545</v>
      </c>
      <c r="DM39" s="29">
        <v>53.931720744285457</v>
      </c>
      <c r="DN39" s="29">
        <v>54.04891543524564</v>
      </c>
      <c r="DO39" s="29">
        <v>54.16513663397798</v>
      </c>
      <c r="DP39" s="29">
        <v>54.280388394775002</v>
      </c>
      <c r="DQ39" s="29">
        <v>54.394674834424606</v>
      </c>
      <c r="DR39" s="29">
        <v>54.508000130287634</v>
      </c>
      <c r="DS39">
        <v>54.620368518408483</v>
      </c>
      <c r="DT39">
        <v>54.731784291656652</v>
      </c>
      <c r="DU39">
        <v>54.842251797899799</v>
      </c>
    </row>
    <row r="40" spans="1:125">
      <c r="A40" s="34">
        <v>38</v>
      </c>
      <c r="B40" s="35"/>
      <c r="C40" s="35"/>
      <c r="D40" s="35"/>
      <c r="E40" s="35"/>
      <c r="F40" s="35"/>
      <c r="G40" s="35"/>
      <c r="H40" s="35"/>
      <c r="I40" s="35"/>
      <c r="J40" s="35"/>
      <c r="K40" s="35"/>
      <c r="L40" s="35"/>
      <c r="M40" s="35"/>
      <c r="N40" s="35"/>
      <c r="O40" s="35"/>
      <c r="P40" s="35"/>
      <c r="Q40" s="35"/>
      <c r="R40" s="35"/>
      <c r="S40" s="35"/>
      <c r="T40" s="35"/>
      <c r="U40" s="35"/>
      <c r="V40" s="29"/>
      <c r="W40" s="29"/>
      <c r="X40" s="29"/>
      <c r="Y40" s="29">
        <v>39.580170812379059</v>
      </c>
      <c r="Z40" s="29">
        <v>39.809324015420358</v>
      </c>
      <c r="AA40" s="29">
        <v>39.98363049200772</v>
      </c>
      <c r="AB40" s="29">
        <v>40.147745783246577</v>
      </c>
      <c r="AC40" s="29">
        <v>40.250074430910075</v>
      </c>
      <c r="AD40" s="29">
        <v>40.272146024854877</v>
      </c>
      <c r="AE40" s="29">
        <v>40.409294467728621</v>
      </c>
      <c r="AF40" s="29">
        <v>40.59946155789622</v>
      </c>
      <c r="AG40" s="29">
        <v>40.809582932387777</v>
      </c>
      <c r="AH40" s="29">
        <v>41.042168259428102</v>
      </c>
      <c r="AI40" s="29">
        <v>41.258300246334628</v>
      </c>
      <c r="AJ40" s="29">
        <v>41.533387304838826</v>
      </c>
      <c r="AK40" s="29">
        <v>41.79865428437914</v>
      </c>
      <c r="AL40" s="29">
        <v>42.110517756029004</v>
      </c>
      <c r="AM40" s="29">
        <v>42.400141259673219</v>
      </c>
      <c r="AN40" s="29">
        <v>42.602637598621328</v>
      </c>
      <c r="AO40" s="29">
        <v>42.749898509323486</v>
      </c>
      <c r="AP40" s="29">
        <v>42.891477801266035</v>
      </c>
      <c r="AQ40" s="29">
        <v>42.993007186759016</v>
      </c>
      <c r="AR40" s="29">
        <v>43.136975631025479</v>
      </c>
      <c r="AS40" s="29">
        <v>43.14780113924261</v>
      </c>
      <c r="AT40" s="29">
        <v>43.157271861373985</v>
      </c>
      <c r="AU40" s="29">
        <v>43.206235971057943</v>
      </c>
      <c r="AV40" s="29">
        <v>43.261218957848754</v>
      </c>
      <c r="AW40" s="29">
        <v>43.490323602549758</v>
      </c>
      <c r="AX40" s="29">
        <v>43.558315369226975</v>
      </c>
      <c r="AY40" s="29">
        <v>43.659756309705173</v>
      </c>
      <c r="AZ40" s="29">
        <v>43.722857735575609</v>
      </c>
      <c r="BA40" s="29">
        <v>43.801542688376543</v>
      </c>
      <c r="BB40" s="29">
        <v>43.912268029169901</v>
      </c>
      <c r="BC40" s="29">
        <v>44.00901188016271</v>
      </c>
      <c r="BD40" s="29">
        <v>44.128417524887979</v>
      </c>
      <c r="BE40" s="29">
        <v>44.283674797300229</v>
      </c>
      <c r="BF40" s="29">
        <v>44.430398183908977</v>
      </c>
      <c r="BG40" s="29">
        <v>44.57190913596331</v>
      </c>
      <c r="BH40" s="29">
        <v>44.779228882027269</v>
      </c>
      <c r="BI40" s="29">
        <v>44.923905124239411</v>
      </c>
      <c r="BJ40" s="29">
        <v>45.102542619185144</v>
      </c>
      <c r="BK40" s="29">
        <v>45.256290434024535</v>
      </c>
      <c r="BL40" s="29">
        <v>45.463377959582765</v>
      </c>
      <c r="BM40" s="29">
        <v>45.66018615154573</v>
      </c>
      <c r="BN40" s="29">
        <v>45.839471741951613</v>
      </c>
      <c r="BO40" s="29">
        <v>45.9878281338612</v>
      </c>
      <c r="BP40" s="29">
        <v>46.167355132386191</v>
      </c>
      <c r="BQ40" s="29">
        <v>46.330564510121718</v>
      </c>
      <c r="BR40" s="29">
        <v>46.488122115530473</v>
      </c>
      <c r="BS40" s="29">
        <v>46.636841677875175</v>
      </c>
      <c r="BT40" s="29">
        <v>46.784793226429926</v>
      </c>
      <c r="BU40" s="29">
        <v>46.915997181204958</v>
      </c>
      <c r="BV40" s="29">
        <v>47.07659916163999</v>
      </c>
      <c r="BW40" s="29">
        <v>47.237173256625752</v>
      </c>
      <c r="BX40" s="29">
        <v>47.379202875920669</v>
      </c>
      <c r="BY40" s="29">
        <v>47.521403649406381</v>
      </c>
      <c r="BZ40" s="29">
        <v>47.664393390520743</v>
      </c>
      <c r="CA40" s="29">
        <v>47.80779405176493</v>
      </c>
      <c r="CB40" s="29">
        <v>47.949727660218883</v>
      </c>
      <c r="CC40" s="29">
        <v>48.097274918194053</v>
      </c>
      <c r="CD40" s="29">
        <v>48.248299228614812</v>
      </c>
      <c r="CE40" s="29">
        <v>48.392607896498319</v>
      </c>
      <c r="CF40" s="29">
        <v>48.539545411544218</v>
      </c>
      <c r="CG40" s="29">
        <v>48.686197475798352</v>
      </c>
      <c r="CH40" s="29">
        <v>48.835286168159712</v>
      </c>
      <c r="CI40" s="29">
        <v>48.983514528283564</v>
      </c>
      <c r="CJ40" s="29">
        <v>49.130691676792154</v>
      </c>
      <c r="CK40" s="29">
        <v>49.276819673688991</v>
      </c>
      <c r="CL40" s="29">
        <v>49.4219006589354</v>
      </c>
      <c r="CM40" s="29">
        <v>49.565936805479097</v>
      </c>
      <c r="CN40" s="29">
        <v>49.708930283534528</v>
      </c>
      <c r="CO40" s="29">
        <v>49.850883241875962</v>
      </c>
      <c r="CP40" s="29">
        <v>49.991797806090446</v>
      </c>
      <c r="CQ40" s="29">
        <v>50.131676095964551</v>
      </c>
      <c r="CR40" s="29">
        <v>50.270520236903153</v>
      </c>
      <c r="CS40" s="29">
        <v>50.408332362358593</v>
      </c>
      <c r="CT40" s="29">
        <v>50.545114617869288</v>
      </c>
      <c r="CU40" s="29">
        <v>50.680869170266533</v>
      </c>
      <c r="CV40" s="29">
        <v>50.815599446119776</v>
      </c>
      <c r="CW40" s="29">
        <v>50.949307704360066</v>
      </c>
      <c r="CX40" s="29">
        <v>51.081996312515798</v>
      </c>
      <c r="CY40" s="29">
        <v>51.213667744038489</v>
      </c>
      <c r="CZ40" s="29">
        <v>51.344324575672871</v>
      </c>
      <c r="DA40" s="29">
        <v>51.473969484870231</v>
      </c>
      <c r="DB40" s="29">
        <v>51.60260524724432</v>
      </c>
      <c r="DC40" s="29">
        <v>51.730234734069867</v>
      </c>
      <c r="DD40" s="29">
        <v>51.856860909822515</v>
      </c>
      <c r="DE40" s="29">
        <v>51.982486829760759</v>
      </c>
      <c r="DF40" s="29">
        <v>52.107115637546755</v>
      </c>
      <c r="DG40" s="29">
        <v>52.230750562909051</v>
      </c>
      <c r="DH40" s="29">
        <v>52.353394919342804</v>
      </c>
      <c r="DI40" s="29">
        <v>52.475052101850075</v>
      </c>
      <c r="DJ40" s="29">
        <v>52.595725584716973</v>
      </c>
      <c r="DK40" s="29">
        <v>52.715418919328513</v>
      </c>
      <c r="DL40" s="29">
        <v>52.834135732020854</v>
      </c>
      <c r="DM40" s="29">
        <v>52.951879721967671</v>
      </c>
      <c r="DN40" s="29">
        <v>53.068654659104396</v>
      </c>
      <c r="DO40" s="29">
        <v>53.184464382084734</v>
      </c>
      <c r="DP40" s="29">
        <v>53.299312796272702</v>
      </c>
      <c r="DQ40" s="29">
        <v>53.413203871767514</v>
      </c>
      <c r="DR40" s="29">
        <v>53.526141641461066</v>
      </c>
      <c r="DS40">
        <v>53.638130199128142</v>
      </c>
      <c r="DT40">
        <v>53.749173697547334</v>
      </c>
      <c r="DU40">
        <v>53.859276346653189</v>
      </c>
    </row>
    <row r="41" spans="1:125">
      <c r="A41" s="34">
        <v>39</v>
      </c>
      <c r="B41" s="35"/>
      <c r="C41" s="35"/>
      <c r="D41" s="35"/>
      <c r="E41" s="35"/>
      <c r="F41" s="35"/>
      <c r="G41" s="35"/>
      <c r="H41" s="35"/>
      <c r="I41" s="35"/>
      <c r="J41" s="35"/>
      <c r="K41" s="35"/>
      <c r="L41" s="35"/>
      <c r="M41" s="35"/>
      <c r="N41" s="35"/>
      <c r="O41" s="35"/>
      <c r="P41" s="35"/>
      <c r="Q41" s="35"/>
      <c r="R41" s="35"/>
      <c r="S41" s="35"/>
      <c r="T41" s="35"/>
      <c r="U41" s="35"/>
      <c r="V41" s="29"/>
      <c r="W41" s="29"/>
      <c r="X41" s="29"/>
      <c r="Y41" s="29">
        <v>38.659231028027399</v>
      </c>
      <c r="Z41" s="29">
        <v>38.890022768606684</v>
      </c>
      <c r="AA41" s="29">
        <v>39.063749073384997</v>
      </c>
      <c r="AB41" s="29">
        <v>39.225101164637636</v>
      </c>
      <c r="AC41" s="29">
        <v>39.327519185716319</v>
      </c>
      <c r="AD41" s="29">
        <v>39.354615098696186</v>
      </c>
      <c r="AE41" s="29">
        <v>39.490171755569179</v>
      </c>
      <c r="AF41" s="29">
        <v>39.681723114913311</v>
      </c>
      <c r="AG41" s="29">
        <v>39.895657694915229</v>
      </c>
      <c r="AH41" s="29">
        <v>40.126352101104416</v>
      </c>
      <c r="AI41" s="29">
        <v>40.341926876551227</v>
      </c>
      <c r="AJ41" s="29">
        <v>40.617064062220351</v>
      </c>
      <c r="AK41" s="29">
        <v>40.877790314892742</v>
      </c>
      <c r="AL41" s="29">
        <v>41.189877802186913</v>
      </c>
      <c r="AM41" s="29">
        <v>41.482333040909815</v>
      </c>
      <c r="AN41" s="29">
        <v>41.68008969548832</v>
      </c>
      <c r="AO41" s="29">
        <v>41.826355314666152</v>
      </c>
      <c r="AP41" s="29">
        <v>41.966518704890177</v>
      </c>
      <c r="AQ41" s="29">
        <v>42.067721573539245</v>
      </c>
      <c r="AR41" s="29">
        <v>42.209497384694785</v>
      </c>
      <c r="AS41" s="29">
        <v>42.221423575872933</v>
      </c>
      <c r="AT41" s="29">
        <v>42.226635500162594</v>
      </c>
      <c r="AU41" s="29">
        <v>42.279749719945272</v>
      </c>
      <c r="AV41" s="29">
        <v>42.33003526674316</v>
      </c>
      <c r="AW41" s="29">
        <v>42.559115247957564</v>
      </c>
      <c r="AX41" s="29">
        <v>42.620944974803578</v>
      </c>
      <c r="AY41" s="29">
        <v>42.722956070331165</v>
      </c>
      <c r="AZ41" s="29">
        <v>42.789215169233273</v>
      </c>
      <c r="BA41" s="29">
        <v>42.866996675820687</v>
      </c>
      <c r="BB41" s="29">
        <v>42.982480072714473</v>
      </c>
      <c r="BC41" s="29">
        <v>43.081504688973524</v>
      </c>
      <c r="BD41" s="29">
        <v>43.199110403168632</v>
      </c>
      <c r="BE41" s="29">
        <v>43.348320707972377</v>
      </c>
      <c r="BF41" s="29">
        <v>43.494422398692492</v>
      </c>
      <c r="BG41" s="29">
        <v>43.638636948040009</v>
      </c>
      <c r="BH41" s="29">
        <v>43.840162007012822</v>
      </c>
      <c r="BI41" s="29">
        <v>43.980950067249793</v>
      </c>
      <c r="BJ41" s="29">
        <v>44.154698981838891</v>
      </c>
      <c r="BK41" s="29">
        <v>44.311173739304735</v>
      </c>
      <c r="BL41" s="29">
        <v>44.515874679208132</v>
      </c>
      <c r="BM41" s="29">
        <v>44.708242797868955</v>
      </c>
      <c r="BN41" s="29">
        <v>44.887154443790372</v>
      </c>
      <c r="BO41" s="29">
        <v>45.032713558276171</v>
      </c>
      <c r="BP41" s="29">
        <v>45.210213004401893</v>
      </c>
      <c r="BQ41" s="29">
        <v>45.370514882058934</v>
      </c>
      <c r="BR41" s="29">
        <v>45.526576394509007</v>
      </c>
      <c r="BS41" s="29">
        <v>45.674685273699708</v>
      </c>
      <c r="BT41" s="29">
        <v>45.823593107453675</v>
      </c>
      <c r="BU41" s="29">
        <v>45.954620170692934</v>
      </c>
      <c r="BV41" s="29">
        <v>46.116613251562754</v>
      </c>
      <c r="BW41" s="29">
        <v>46.27196867914941</v>
      </c>
      <c r="BX41" s="29">
        <v>46.416028249010608</v>
      </c>
      <c r="BY41" s="29">
        <v>46.559926684308138</v>
      </c>
      <c r="BZ41" s="29">
        <v>46.701590072100572</v>
      </c>
      <c r="CA41" s="29">
        <v>46.845468543553075</v>
      </c>
      <c r="CB41" s="29">
        <v>46.989115073970552</v>
      </c>
      <c r="CC41" s="29">
        <v>47.136523255929731</v>
      </c>
      <c r="CD41" s="29">
        <v>47.284748970447183</v>
      </c>
      <c r="CE41" s="29">
        <v>47.430081231176423</v>
      </c>
      <c r="CF41" s="29">
        <v>47.57860027009805</v>
      </c>
      <c r="CG41" s="29">
        <v>47.726967554847533</v>
      </c>
      <c r="CH41" s="29">
        <v>47.875447615772316</v>
      </c>
      <c r="CI41" s="29">
        <v>48.022888940026583</v>
      </c>
      <c r="CJ41" s="29">
        <v>48.169293223822642</v>
      </c>
      <c r="CK41" s="29">
        <v>48.314662311302072</v>
      </c>
      <c r="CL41" s="29">
        <v>48.458998128506167</v>
      </c>
      <c r="CM41" s="29">
        <v>48.602302636389894</v>
      </c>
      <c r="CN41" s="29">
        <v>48.744577795103567</v>
      </c>
      <c r="CO41" s="29">
        <v>48.885825545304542</v>
      </c>
      <c r="CP41" s="29">
        <v>49.026047806444424</v>
      </c>
      <c r="CQ41" s="29">
        <v>49.165246494205505</v>
      </c>
      <c r="CR41" s="29">
        <v>49.303423531960917</v>
      </c>
      <c r="CS41" s="29">
        <v>49.440580853235943</v>
      </c>
      <c r="CT41" s="29">
        <v>49.576720405781508</v>
      </c>
      <c r="CU41" s="29">
        <v>49.711845394001671</v>
      </c>
      <c r="CV41" s="29">
        <v>49.845957773095762</v>
      </c>
      <c r="CW41" s="29">
        <v>49.979059611908653</v>
      </c>
      <c r="CX41" s="29">
        <v>50.111153090207978</v>
      </c>
      <c r="CY41" s="29">
        <v>50.242240496004364</v>
      </c>
      <c r="CZ41" s="29">
        <v>50.37232422291514</v>
      </c>
      <c r="DA41" s="29">
        <v>50.501406767570657</v>
      </c>
      <c r="DB41" s="29">
        <v>50.629490727062482</v>
      </c>
      <c r="DC41" s="29">
        <v>50.756578796433416</v>
      </c>
      <c r="DD41" s="29">
        <v>50.882673766208399</v>
      </c>
      <c r="DE41" s="29">
        <v>51.007778519966635</v>
      </c>
      <c r="DF41" s="29">
        <v>51.131896031952166</v>
      </c>
      <c r="DG41" s="29">
        <v>51.255029364725559</v>
      </c>
      <c r="DH41" s="29">
        <v>51.377181666852657</v>
      </c>
      <c r="DI41" s="29">
        <v>51.498356170632817</v>
      </c>
      <c r="DJ41" s="29">
        <v>51.61855618986344</v>
      </c>
      <c r="DK41" s="29">
        <v>51.737785117641749</v>
      </c>
      <c r="DL41" s="29">
        <v>51.85604642420337</v>
      </c>
      <c r="DM41" s="29">
        <v>51.973343654794746</v>
      </c>
      <c r="DN41" s="29">
        <v>52.089680427582792</v>
      </c>
      <c r="DO41" s="29">
        <v>52.205060431596479</v>
      </c>
      <c r="DP41" s="29">
        <v>52.319487424703595</v>
      </c>
      <c r="DQ41" s="29">
        <v>52.432965231619875</v>
      </c>
      <c r="DR41" s="29">
        <v>52.545497741950363</v>
      </c>
      <c r="DS41">
        <v>52.657088908263233</v>
      </c>
      <c r="DT41">
        <v>52.767742744193896</v>
      </c>
      <c r="DU41">
        <v>52.877463322580113</v>
      </c>
    </row>
    <row r="42" spans="1:125">
      <c r="A42" s="34">
        <v>40</v>
      </c>
      <c r="B42" s="35"/>
      <c r="C42" s="35"/>
      <c r="D42" s="35"/>
      <c r="E42" s="35"/>
      <c r="F42" s="35"/>
      <c r="G42" s="35"/>
      <c r="H42" s="35"/>
      <c r="I42" s="35"/>
      <c r="J42" s="35"/>
      <c r="K42" s="35"/>
      <c r="L42" s="35"/>
      <c r="M42" s="35"/>
      <c r="N42" s="35"/>
      <c r="O42" s="35"/>
      <c r="P42" s="35"/>
      <c r="Q42" s="35"/>
      <c r="R42" s="35"/>
      <c r="S42" s="35"/>
      <c r="T42" s="35"/>
      <c r="U42" s="35"/>
      <c r="V42" s="29"/>
      <c r="W42" s="29"/>
      <c r="X42" s="29"/>
      <c r="Y42" s="29">
        <v>37.742879846810439</v>
      </c>
      <c r="Z42" s="29">
        <v>37.972904439739075</v>
      </c>
      <c r="AA42" s="29">
        <v>38.149722867173566</v>
      </c>
      <c r="AB42" s="29">
        <v>38.309856147565654</v>
      </c>
      <c r="AC42" s="29">
        <v>38.415310146806505</v>
      </c>
      <c r="AD42" s="29">
        <v>38.438452939379971</v>
      </c>
      <c r="AE42" s="29">
        <v>38.576057020170566</v>
      </c>
      <c r="AF42" s="29">
        <v>38.771084624098137</v>
      </c>
      <c r="AG42" s="29">
        <v>38.982369453691462</v>
      </c>
      <c r="AH42" s="29">
        <v>39.214104550604119</v>
      </c>
      <c r="AI42" s="29">
        <v>39.426911951106831</v>
      </c>
      <c r="AJ42" s="29">
        <v>39.70176719553529</v>
      </c>
      <c r="AK42" s="29">
        <v>39.962588950368101</v>
      </c>
      <c r="AL42" s="29">
        <v>40.273986387393634</v>
      </c>
      <c r="AM42" s="29">
        <v>40.563428135880883</v>
      </c>
      <c r="AN42" s="29">
        <v>40.763619243277603</v>
      </c>
      <c r="AO42" s="29">
        <v>40.906356871696346</v>
      </c>
      <c r="AP42" s="29">
        <v>41.047880319668394</v>
      </c>
      <c r="AQ42" s="29">
        <v>41.14841250312881</v>
      </c>
      <c r="AR42" s="29">
        <v>41.287558196719694</v>
      </c>
      <c r="AS42" s="29">
        <v>41.299958245924316</v>
      </c>
      <c r="AT42" s="29">
        <v>41.299699327518425</v>
      </c>
      <c r="AU42" s="29">
        <v>41.348656676740504</v>
      </c>
      <c r="AV42" s="29">
        <v>41.400051984760339</v>
      </c>
      <c r="AW42" s="29">
        <v>41.626957226774728</v>
      </c>
      <c r="AX42" s="29">
        <v>41.690707804777219</v>
      </c>
      <c r="AY42" s="29">
        <v>41.788929896078372</v>
      </c>
      <c r="AZ42" s="29">
        <v>41.861132644621492</v>
      </c>
      <c r="BA42" s="29">
        <v>41.937399833462919</v>
      </c>
      <c r="BB42" s="29">
        <v>42.056466747220242</v>
      </c>
      <c r="BC42" s="29">
        <v>42.155764971053728</v>
      </c>
      <c r="BD42" s="29">
        <v>42.270770729173037</v>
      </c>
      <c r="BE42" s="29">
        <v>42.420758384575834</v>
      </c>
      <c r="BF42" s="29">
        <v>42.560986490149261</v>
      </c>
      <c r="BG42" s="29">
        <v>42.702697696480811</v>
      </c>
      <c r="BH42" s="29">
        <v>42.902359095154779</v>
      </c>
      <c r="BI42" s="29">
        <v>43.041365349413795</v>
      </c>
      <c r="BJ42" s="29">
        <v>43.214025733300957</v>
      </c>
      <c r="BK42" s="29">
        <v>43.366133978923514</v>
      </c>
      <c r="BL42" s="29">
        <v>43.569882368118016</v>
      </c>
      <c r="BM42" s="29">
        <v>43.760809422287437</v>
      </c>
      <c r="BN42" s="29">
        <v>43.937500890384797</v>
      </c>
      <c r="BO42" s="29">
        <v>44.079108256470732</v>
      </c>
      <c r="BP42" s="29">
        <v>44.257505340316456</v>
      </c>
      <c r="BQ42" s="29">
        <v>44.414441790064885</v>
      </c>
      <c r="BR42" s="29">
        <v>44.567810220573641</v>
      </c>
      <c r="BS42" s="29">
        <v>44.71630985854776</v>
      </c>
      <c r="BT42" s="29">
        <v>44.863919134284686</v>
      </c>
      <c r="BU42" s="29">
        <v>44.996804544018289</v>
      </c>
      <c r="BV42" s="29">
        <v>45.155508450410977</v>
      </c>
      <c r="BW42" s="29">
        <v>45.313863779487562</v>
      </c>
      <c r="BX42" s="29">
        <v>45.45444260439367</v>
      </c>
      <c r="BY42" s="29">
        <v>45.597868015450558</v>
      </c>
      <c r="BZ42" s="29">
        <v>45.74009010146365</v>
      </c>
      <c r="CA42" s="29">
        <v>45.884317681692323</v>
      </c>
      <c r="CB42" s="29">
        <v>46.029517756377487</v>
      </c>
      <c r="CC42" s="29">
        <v>46.176896472040937</v>
      </c>
      <c r="CD42" s="29">
        <v>46.326557968758777</v>
      </c>
      <c r="CE42" s="29">
        <v>46.471286743057092</v>
      </c>
      <c r="CF42" s="29">
        <v>46.621146070704626</v>
      </c>
      <c r="CG42" s="29">
        <v>46.769830671852503</v>
      </c>
      <c r="CH42" s="29">
        <v>46.917489635586122</v>
      </c>
      <c r="CI42" s="29">
        <v>47.064124222942901</v>
      </c>
      <c r="CJ42" s="29">
        <v>47.209735921427836</v>
      </c>
      <c r="CK42" s="29">
        <v>47.354326368145948</v>
      </c>
      <c r="CL42" s="29">
        <v>47.497897283729415</v>
      </c>
      <c r="CM42" s="29">
        <v>47.640450425340759</v>
      </c>
      <c r="CN42" s="29">
        <v>47.781987550960793</v>
      </c>
      <c r="CO42" s="29">
        <v>47.922510400725031</v>
      </c>
      <c r="CP42" s="29">
        <v>48.0620206952525</v>
      </c>
      <c r="CQ42" s="29">
        <v>48.200520153140261</v>
      </c>
      <c r="CR42" s="29">
        <v>48.338010502473097</v>
      </c>
      <c r="CS42" s="29">
        <v>48.474493483324125</v>
      </c>
      <c r="CT42" s="29">
        <v>48.609972170092377</v>
      </c>
      <c r="CU42" s="29">
        <v>48.744448212747798</v>
      </c>
      <c r="CV42" s="29">
        <v>48.877923379772952</v>
      </c>
      <c r="CW42" s="29">
        <v>49.010399555397058</v>
      </c>
      <c r="CX42" s="29">
        <v>49.14187873687375</v>
      </c>
      <c r="CY42" s="29">
        <v>49.272363031801149</v>
      </c>
      <c r="CZ42" s="29">
        <v>49.401854655484343</v>
      </c>
      <c r="DA42" s="29">
        <v>49.530355928339958</v>
      </c>
      <c r="DB42" s="29">
        <v>49.657869273341618</v>
      </c>
      <c r="DC42" s="29">
        <v>49.784397213506665</v>
      </c>
      <c r="DD42" s="29">
        <v>49.909942369422893</v>
      </c>
      <c r="DE42" s="29">
        <v>50.034507456815859</v>
      </c>
      <c r="DF42" s="29">
        <v>50.158095284153987</v>
      </c>
      <c r="DG42" s="29">
        <v>50.280708750294039</v>
      </c>
      <c r="DH42" s="29">
        <v>50.402350842163074</v>
      </c>
      <c r="DI42" s="29">
        <v>50.523024632479206</v>
      </c>
      <c r="DJ42" s="29">
        <v>50.642733277508157</v>
      </c>
      <c r="DK42" s="29">
        <v>50.761480014856353</v>
      </c>
      <c r="DL42" s="29">
        <v>50.879268161300317</v>
      </c>
      <c r="DM42" s="29">
        <v>50.996101110649377</v>
      </c>
      <c r="DN42" s="29">
        <v>51.111982331645066</v>
      </c>
      <c r="DO42" s="29">
        <v>51.226915365891955</v>
      </c>
      <c r="DP42" s="29">
        <v>51.340903825823169</v>
      </c>
      <c r="DQ42" s="29">
        <v>51.453951392697817</v>
      </c>
      <c r="DR42" s="29">
        <v>51.566061814630281</v>
      </c>
      <c r="DS42">
        <v>51.677238904651404</v>
      </c>
      <c r="DT42">
        <v>51.787486538799712</v>
      </c>
      <c r="DU42">
        <v>51.896808654243124</v>
      </c>
    </row>
    <row r="43" spans="1:125">
      <c r="A43" s="34">
        <v>41</v>
      </c>
      <c r="B43" s="35"/>
      <c r="C43" s="35"/>
      <c r="D43" s="35"/>
      <c r="E43" s="35"/>
      <c r="F43" s="35"/>
      <c r="G43" s="35"/>
      <c r="H43" s="35"/>
      <c r="I43" s="35"/>
      <c r="J43" s="35"/>
      <c r="K43" s="35"/>
      <c r="L43" s="35"/>
      <c r="M43" s="35"/>
      <c r="N43" s="35"/>
      <c r="O43" s="35"/>
      <c r="P43" s="35"/>
      <c r="Q43" s="35"/>
      <c r="R43" s="35"/>
      <c r="S43" s="35"/>
      <c r="T43" s="35"/>
      <c r="U43" s="35"/>
      <c r="V43" s="29"/>
      <c r="W43" s="29"/>
      <c r="X43" s="29"/>
      <c r="Y43" s="29">
        <v>36.833097531142684</v>
      </c>
      <c r="Z43" s="29">
        <v>37.061652652531151</v>
      </c>
      <c r="AA43" s="29">
        <v>37.236973901983177</v>
      </c>
      <c r="AB43" s="29">
        <v>37.400278479490787</v>
      </c>
      <c r="AC43" s="29">
        <v>37.502634294265022</v>
      </c>
      <c r="AD43" s="29">
        <v>37.525876341114838</v>
      </c>
      <c r="AE43" s="29">
        <v>37.672506287206005</v>
      </c>
      <c r="AF43" s="29">
        <v>37.863432463885374</v>
      </c>
      <c r="AG43" s="29">
        <v>38.073029850804971</v>
      </c>
      <c r="AH43" s="29">
        <v>38.302212636363826</v>
      </c>
      <c r="AI43" s="29">
        <v>38.516841803886912</v>
      </c>
      <c r="AJ43" s="29">
        <v>38.789002111082155</v>
      </c>
      <c r="AK43" s="29">
        <v>39.055299898718019</v>
      </c>
      <c r="AL43" s="29">
        <v>39.364497636281754</v>
      </c>
      <c r="AM43" s="29">
        <v>39.650854640420448</v>
      </c>
      <c r="AN43" s="29">
        <v>39.851941753510573</v>
      </c>
      <c r="AO43" s="29">
        <v>39.993917394915762</v>
      </c>
      <c r="AP43" s="29">
        <v>40.131751303754015</v>
      </c>
      <c r="AQ43" s="29">
        <v>40.232366454502106</v>
      </c>
      <c r="AR43" s="29">
        <v>40.370003420232905</v>
      </c>
      <c r="AS43" s="29">
        <v>40.379889397608025</v>
      </c>
      <c r="AT43" s="29">
        <v>40.376040101028863</v>
      </c>
      <c r="AU43" s="29">
        <v>40.423114179211694</v>
      </c>
      <c r="AV43" s="29">
        <v>40.472694008904213</v>
      </c>
      <c r="AW43" s="29">
        <v>40.697308237394353</v>
      </c>
      <c r="AX43" s="29">
        <v>40.763025337803882</v>
      </c>
      <c r="AY43" s="29">
        <v>40.864365695353086</v>
      </c>
      <c r="AZ43" s="29">
        <v>40.940859810763733</v>
      </c>
      <c r="BA43" s="29">
        <v>41.016396294244643</v>
      </c>
      <c r="BB43" s="29">
        <v>41.132694968337638</v>
      </c>
      <c r="BC43" s="29">
        <v>41.233268849786029</v>
      </c>
      <c r="BD43" s="29">
        <v>41.348052566148901</v>
      </c>
      <c r="BE43" s="29">
        <v>41.493552680833517</v>
      </c>
      <c r="BF43" s="29">
        <v>41.629437843265237</v>
      </c>
      <c r="BG43" s="29">
        <v>41.77067767127285</v>
      </c>
      <c r="BH43" s="29">
        <v>41.967436224943306</v>
      </c>
      <c r="BI43" s="29">
        <v>42.103662098999507</v>
      </c>
      <c r="BJ43" s="29">
        <v>42.274593178483769</v>
      </c>
      <c r="BK43" s="29">
        <v>42.427576096686771</v>
      </c>
      <c r="BL43" s="29">
        <v>42.624738835366792</v>
      </c>
      <c r="BM43" s="29">
        <v>42.813203512638957</v>
      </c>
      <c r="BN43" s="29">
        <v>42.989155438457345</v>
      </c>
      <c r="BO43" s="29">
        <v>43.130086145635133</v>
      </c>
      <c r="BP43" s="29">
        <v>43.304869555970384</v>
      </c>
      <c r="BQ43" s="29">
        <v>43.458741591073476</v>
      </c>
      <c r="BR43" s="29">
        <v>43.613183728104374</v>
      </c>
      <c r="BS43" s="29">
        <v>43.760958518477402</v>
      </c>
      <c r="BT43" s="29">
        <v>43.90652783632089</v>
      </c>
      <c r="BU43" s="29">
        <v>44.041637742562727</v>
      </c>
      <c r="BV43" s="29">
        <v>44.196713168291872</v>
      </c>
      <c r="BW43" s="29">
        <v>44.354740015411892</v>
      </c>
      <c r="BX43" s="29">
        <v>44.495943888296878</v>
      </c>
      <c r="BY43" s="29">
        <v>44.642309468455124</v>
      </c>
      <c r="BZ43" s="29">
        <v>44.784642147330281</v>
      </c>
      <c r="CA43" s="29">
        <v>44.926405847385368</v>
      </c>
      <c r="CB43" s="29">
        <v>45.070985255279965</v>
      </c>
      <c r="CC43" s="29">
        <v>45.217460365354235</v>
      </c>
      <c r="CD43" s="29">
        <v>45.368862225030334</v>
      </c>
      <c r="CE43" s="29">
        <v>45.517895922059026</v>
      </c>
      <c r="CF43" s="29">
        <v>45.666738542775953</v>
      </c>
      <c r="CG43" s="29">
        <v>45.81456923510035</v>
      </c>
      <c r="CH43" s="29">
        <v>45.961388791419303</v>
      </c>
      <c r="CI43" s="29">
        <v>46.107198272108249</v>
      </c>
      <c r="CJ43" s="29">
        <v>46.251998965443228</v>
      </c>
      <c r="CK43" s="29">
        <v>46.395792310660966</v>
      </c>
      <c r="CL43" s="29">
        <v>46.538579831844125</v>
      </c>
      <c r="CM43" s="29">
        <v>46.680363090917112</v>
      </c>
      <c r="CN43" s="29">
        <v>46.821143651944688</v>
      </c>
      <c r="CO43" s="29">
        <v>46.960923062499006</v>
      </c>
      <c r="CP43" s="29">
        <v>47.099702852036778</v>
      </c>
      <c r="CQ43" s="29">
        <v>47.237484549460063</v>
      </c>
      <c r="CR43" s="29">
        <v>47.37426969468298</v>
      </c>
      <c r="CS43" s="29">
        <v>47.510061334917452</v>
      </c>
      <c r="CT43" s="29">
        <v>47.644860814526851</v>
      </c>
      <c r="CU43" s="29">
        <v>47.778669601053934</v>
      </c>
      <c r="CV43" s="29">
        <v>47.911489282419709</v>
      </c>
      <c r="CW43" s="29">
        <v>48.043321564164003</v>
      </c>
      <c r="CX43" s="29">
        <v>48.174168266728913</v>
      </c>
      <c r="CY43" s="29">
        <v>48.304031322783551</v>
      </c>
      <c r="CZ43" s="29">
        <v>48.432912774590505</v>
      </c>
      <c r="DA43" s="29">
        <v>48.56081477141344</v>
      </c>
      <c r="DB43" s="29">
        <v>48.687739566964773</v>
      </c>
      <c r="DC43" s="29">
        <v>48.81368951689381</v>
      </c>
      <c r="DD43" s="29">
        <v>48.938667076314189</v>
      </c>
      <c r="DE43" s="29">
        <v>49.062674797370981</v>
      </c>
      <c r="DF43" s="29">
        <v>49.185715326844971</v>
      </c>
      <c r="DG43" s="29">
        <v>49.3077914037965</v>
      </c>
      <c r="DH43" s="29">
        <v>49.428905857245113</v>
      </c>
      <c r="DI43" s="29">
        <v>49.549061603887367</v>
      </c>
      <c r="DJ43" s="29">
        <v>49.668261645849618</v>
      </c>
      <c r="DK43" s="29">
        <v>49.786509068476896</v>
      </c>
      <c r="DL43" s="29">
        <v>49.903807038157325</v>
      </c>
      <c r="DM43" s="29">
        <v>50.020158800179274</v>
      </c>
      <c r="DN43" s="29">
        <v>50.135567676624618</v>
      </c>
      <c r="DO43" s="29">
        <v>50.250037064292925</v>
      </c>
      <c r="DP43" s="29">
        <v>50.363570432659628</v>
      </c>
      <c r="DQ43" s="29">
        <v>50.476171321865777</v>
      </c>
      <c r="DR43" s="29">
        <v>50.587843340738949</v>
      </c>
      <c r="DS43">
        <v>50.69859016484579</v>
      </c>
      <c r="DT43">
        <v>50.808415534573854</v>
      </c>
      <c r="DU43">
        <v>50.917323253243744</v>
      </c>
    </row>
    <row r="44" spans="1:125">
      <c r="A44" s="34">
        <v>42</v>
      </c>
      <c r="B44" s="35"/>
      <c r="C44" s="35"/>
      <c r="D44" s="35"/>
      <c r="E44" s="35"/>
      <c r="F44" s="35"/>
      <c r="G44" s="35"/>
      <c r="H44" s="35"/>
      <c r="I44" s="35"/>
      <c r="J44" s="35"/>
      <c r="K44" s="35"/>
      <c r="L44" s="35"/>
      <c r="M44" s="35"/>
      <c r="N44" s="35"/>
      <c r="O44" s="35"/>
      <c r="P44" s="35"/>
      <c r="Q44" s="35"/>
      <c r="R44" s="35"/>
      <c r="S44" s="35"/>
      <c r="T44" s="35"/>
      <c r="U44" s="35"/>
      <c r="V44" s="29"/>
      <c r="W44" s="29"/>
      <c r="X44" s="29"/>
      <c r="Y44" s="29">
        <v>35.922704596695581</v>
      </c>
      <c r="Z44" s="29">
        <v>36.155277329531927</v>
      </c>
      <c r="AA44" s="29">
        <v>36.331309125871556</v>
      </c>
      <c r="AB44" s="29">
        <v>36.493002477755759</v>
      </c>
      <c r="AC44" s="29">
        <v>36.595556678458351</v>
      </c>
      <c r="AD44" s="29">
        <v>36.624532702369471</v>
      </c>
      <c r="AE44" s="29">
        <v>36.769988809723017</v>
      </c>
      <c r="AF44" s="29">
        <v>36.963975757078984</v>
      </c>
      <c r="AG44" s="29">
        <v>37.171331556936551</v>
      </c>
      <c r="AH44" s="29">
        <v>37.395040134527207</v>
      </c>
      <c r="AI44" s="29">
        <v>37.612897853920835</v>
      </c>
      <c r="AJ44" s="29">
        <v>37.887510789504645</v>
      </c>
      <c r="AK44" s="29">
        <v>38.152098276688307</v>
      </c>
      <c r="AL44" s="29">
        <v>38.459871963644382</v>
      </c>
      <c r="AM44" s="29">
        <v>38.740797447198936</v>
      </c>
      <c r="AN44" s="29">
        <v>38.942855310198269</v>
      </c>
      <c r="AO44" s="29">
        <v>39.081436372472005</v>
      </c>
      <c r="AP44" s="29">
        <v>39.223421284392288</v>
      </c>
      <c r="AQ44" s="29">
        <v>39.319568313863925</v>
      </c>
      <c r="AR44" s="29">
        <v>39.453605184747715</v>
      </c>
      <c r="AS44" s="29">
        <v>39.462125914204421</v>
      </c>
      <c r="AT44" s="29">
        <v>39.45458335928631</v>
      </c>
      <c r="AU44" s="29">
        <v>39.503743400192889</v>
      </c>
      <c r="AV44" s="29">
        <v>39.548773079473037</v>
      </c>
      <c r="AW44" s="29">
        <v>39.772506056141424</v>
      </c>
      <c r="AX44" s="29">
        <v>39.841203978012459</v>
      </c>
      <c r="AY44" s="29">
        <v>39.942996071663906</v>
      </c>
      <c r="AZ44" s="29">
        <v>40.025641769593392</v>
      </c>
      <c r="BA44" s="29">
        <v>40.100119631537126</v>
      </c>
      <c r="BB44" s="29">
        <v>40.213530680491473</v>
      </c>
      <c r="BC44" s="29">
        <v>40.315952318181957</v>
      </c>
      <c r="BD44" s="29">
        <v>40.426952873365749</v>
      </c>
      <c r="BE44" s="29">
        <v>40.568852744776009</v>
      </c>
      <c r="BF44" s="29">
        <v>40.702644776999676</v>
      </c>
      <c r="BG44" s="29">
        <v>40.841677986881038</v>
      </c>
      <c r="BH44" s="29">
        <v>41.036503724374633</v>
      </c>
      <c r="BI44" s="29">
        <v>41.169191383936052</v>
      </c>
      <c r="BJ44" s="29">
        <v>41.336839027113029</v>
      </c>
      <c r="BK44" s="29">
        <v>41.489696826764757</v>
      </c>
      <c r="BL44" s="29">
        <v>41.684463215758839</v>
      </c>
      <c r="BM44" s="29">
        <v>41.86807555658693</v>
      </c>
      <c r="BN44" s="29">
        <v>42.040961637449527</v>
      </c>
      <c r="BO44" s="29">
        <v>42.183531110648957</v>
      </c>
      <c r="BP44" s="29">
        <v>42.353975178413535</v>
      </c>
      <c r="BQ44" s="29">
        <v>42.505943850746291</v>
      </c>
      <c r="BR44" s="29">
        <v>42.66153278786615</v>
      </c>
      <c r="BS44" s="29">
        <v>42.807429809913231</v>
      </c>
      <c r="BT44" s="29">
        <v>42.952698473578998</v>
      </c>
      <c r="BU44" s="29">
        <v>43.087203109674803</v>
      </c>
      <c r="BV44" s="29">
        <v>43.240984261411164</v>
      </c>
      <c r="BW44" s="29">
        <v>43.400431569369545</v>
      </c>
      <c r="BX44" s="29">
        <v>43.540361711540129</v>
      </c>
      <c r="BY44" s="29">
        <v>43.68686650479345</v>
      </c>
      <c r="BZ44" s="29">
        <v>43.831367033441182</v>
      </c>
      <c r="CA44" s="29">
        <v>43.971808744092279</v>
      </c>
      <c r="CB44" s="29">
        <v>44.119467816312991</v>
      </c>
      <c r="CC44" s="29">
        <v>44.266100359587647</v>
      </c>
      <c r="CD44" s="29">
        <v>44.417347497180117</v>
      </c>
      <c r="CE44" s="29">
        <v>44.566301218487524</v>
      </c>
      <c r="CF44" s="29">
        <v>44.714257311549105</v>
      </c>
      <c r="CG44" s="29">
        <v>44.861216089844362</v>
      </c>
      <c r="CH44" s="29">
        <v>45.00717815375193</v>
      </c>
      <c r="CI44" s="29">
        <v>45.152144372817119</v>
      </c>
      <c r="CJ44" s="29">
        <v>45.296115845616555</v>
      </c>
      <c r="CK44" s="29">
        <v>45.439093822745107</v>
      </c>
      <c r="CL44" s="29">
        <v>45.581079640660178</v>
      </c>
      <c r="CM44" s="29">
        <v>45.722074674673095</v>
      </c>
      <c r="CN44" s="29">
        <v>45.86208030326258</v>
      </c>
      <c r="CO44" s="29">
        <v>46.001097889477705</v>
      </c>
      <c r="CP44" s="29">
        <v>46.139128779370225</v>
      </c>
      <c r="CQ44" s="29">
        <v>46.276174319629447</v>
      </c>
      <c r="CR44" s="29">
        <v>46.412237638432828</v>
      </c>
      <c r="CS44" s="29">
        <v>46.5473197750255</v>
      </c>
      <c r="CT44" s="29">
        <v>46.681421896285322</v>
      </c>
      <c r="CU44" s="29">
        <v>46.814545293892039</v>
      </c>
      <c r="CV44" s="29">
        <v>46.946691381538429</v>
      </c>
      <c r="CW44" s="29">
        <v>47.077861692182452</v>
      </c>
      <c r="CX44" s="29">
        <v>47.208057875340963</v>
      </c>
      <c r="CY44" s="29">
        <v>47.337281694424121</v>
      </c>
      <c r="CZ44" s="29">
        <v>47.46553502411048</v>
      </c>
      <c r="DA44" s="29">
        <v>47.592819847762264</v>
      </c>
      <c r="DB44" s="29">
        <v>47.719138254880022</v>
      </c>
      <c r="DC44" s="29">
        <v>47.844492438596689</v>
      </c>
      <c r="DD44" s="29">
        <v>47.968884693210263</v>
      </c>
      <c r="DE44" s="29">
        <v>48.092317411755253</v>
      </c>
      <c r="DF44" s="29">
        <v>48.214793083610516</v>
      </c>
      <c r="DG44" s="29">
        <v>48.336314292145843</v>
      </c>
      <c r="DH44" s="29">
        <v>48.45688371240368</v>
      </c>
      <c r="DI44" s="29">
        <v>48.576504108818142</v>
      </c>
      <c r="DJ44" s="29">
        <v>48.695178332968418</v>
      </c>
      <c r="DK44" s="29">
        <v>48.812909321367378</v>
      </c>
      <c r="DL44" s="29">
        <v>48.929700093285248</v>
      </c>
      <c r="DM44" s="29">
        <v>49.045553748605158</v>
      </c>
      <c r="DN44" s="29">
        <v>49.160473465714318</v>
      </c>
      <c r="DO44" s="29">
        <v>49.27446249942534</v>
      </c>
      <c r="DP44" s="29">
        <v>49.387524178931081</v>
      </c>
      <c r="DQ44" s="29">
        <v>49.499661905790354</v>
      </c>
      <c r="DR44" s="29">
        <v>49.610879151944332</v>
      </c>
      <c r="DS44">
        <v>49.721179457763945</v>
      </c>
      <c r="DT44">
        <v>49.830566430126098</v>
      </c>
      <c r="DU44">
        <v>49.939043740519693</v>
      </c>
    </row>
    <row r="45" spans="1:125">
      <c r="A45" s="34">
        <v>43</v>
      </c>
      <c r="B45" s="35"/>
      <c r="C45" s="35"/>
      <c r="D45" s="35"/>
      <c r="E45" s="35"/>
      <c r="F45" s="35"/>
      <c r="G45" s="35"/>
      <c r="H45" s="35"/>
      <c r="I45" s="35"/>
      <c r="J45" s="35"/>
      <c r="K45" s="35"/>
      <c r="L45" s="35"/>
      <c r="M45" s="35"/>
      <c r="N45" s="35"/>
      <c r="O45" s="35"/>
      <c r="P45" s="35"/>
      <c r="Q45" s="35"/>
      <c r="R45" s="35"/>
      <c r="S45" s="35"/>
      <c r="T45" s="35"/>
      <c r="U45" s="35"/>
      <c r="V45" s="29"/>
      <c r="W45" s="29"/>
      <c r="X45" s="29"/>
      <c r="Y45" s="29">
        <v>35.023578338205553</v>
      </c>
      <c r="Z45" s="29">
        <v>35.258193821017855</v>
      </c>
      <c r="AA45" s="29">
        <v>35.430008193031092</v>
      </c>
      <c r="AB45" s="29">
        <v>35.589106185337997</v>
      </c>
      <c r="AC45" s="29">
        <v>35.702665609351605</v>
      </c>
      <c r="AD45" s="29">
        <v>35.728911995536521</v>
      </c>
      <c r="AE45" s="29">
        <v>35.877184052713694</v>
      </c>
      <c r="AF45" s="29">
        <v>36.067875761490157</v>
      </c>
      <c r="AG45" s="29">
        <v>36.272959251754457</v>
      </c>
      <c r="AH45" s="29">
        <v>36.498280283007077</v>
      </c>
      <c r="AI45" s="29">
        <v>36.715046762352529</v>
      </c>
      <c r="AJ45" s="29">
        <v>36.991920833549784</v>
      </c>
      <c r="AK45" s="29">
        <v>37.249045110035226</v>
      </c>
      <c r="AL45" s="29">
        <v>37.555651649195568</v>
      </c>
      <c r="AM45" s="29">
        <v>37.839017157111037</v>
      </c>
      <c r="AN45" s="29">
        <v>38.037868178757648</v>
      </c>
      <c r="AO45" s="29">
        <v>38.178620454252254</v>
      </c>
      <c r="AP45" s="29">
        <v>38.316797907656991</v>
      </c>
      <c r="AQ45" s="29">
        <v>38.409364024521011</v>
      </c>
      <c r="AR45" s="29">
        <v>38.537498573588003</v>
      </c>
      <c r="AS45" s="29">
        <v>38.5465209209938</v>
      </c>
      <c r="AT45" s="29">
        <v>38.541736760218242</v>
      </c>
      <c r="AU45" s="29">
        <v>38.585649124628411</v>
      </c>
      <c r="AV45" s="29">
        <v>38.634740416868141</v>
      </c>
      <c r="AW45" s="29">
        <v>38.857763284512515</v>
      </c>
      <c r="AX45" s="29">
        <v>38.925541503472658</v>
      </c>
      <c r="AY45" s="29">
        <v>39.027983781879101</v>
      </c>
      <c r="AZ45" s="29">
        <v>39.110155111382241</v>
      </c>
      <c r="BA45" s="29">
        <v>39.186796342447721</v>
      </c>
      <c r="BB45" s="29">
        <v>39.298397921963875</v>
      </c>
      <c r="BC45" s="29">
        <v>39.4052620717477</v>
      </c>
      <c r="BD45" s="29">
        <v>39.507948093326732</v>
      </c>
      <c r="BE45" s="29">
        <v>39.64698990434016</v>
      </c>
      <c r="BF45" s="29">
        <v>39.779354261718503</v>
      </c>
      <c r="BG45" s="29">
        <v>39.917821339092001</v>
      </c>
      <c r="BH45" s="29">
        <v>40.107785920175871</v>
      </c>
      <c r="BI45" s="29">
        <v>40.23815125979506</v>
      </c>
      <c r="BJ45" s="29">
        <v>40.406416607833023</v>
      </c>
      <c r="BK45" s="29">
        <v>40.55452663356634</v>
      </c>
      <c r="BL45" s="29">
        <v>40.746960431966841</v>
      </c>
      <c r="BM45" s="29">
        <v>40.927705198367363</v>
      </c>
      <c r="BN45" s="29">
        <v>41.098262181459766</v>
      </c>
      <c r="BO45" s="29">
        <v>41.239578897007675</v>
      </c>
      <c r="BP45" s="29">
        <v>41.40480082458074</v>
      </c>
      <c r="BQ45" s="29">
        <v>41.555649566633697</v>
      </c>
      <c r="BR45" s="29">
        <v>41.713712583264879</v>
      </c>
      <c r="BS45" s="29">
        <v>41.85688532489889</v>
      </c>
      <c r="BT45" s="29">
        <v>42.002581053326935</v>
      </c>
      <c r="BU45" s="29">
        <v>42.136034241453288</v>
      </c>
      <c r="BV45" s="29">
        <v>42.291490513054427</v>
      </c>
      <c r="BW45" s="29">
        <v>42.446888330728754</v>
      </c>
      <c r="BX45" s="29">
        <v>42.588925426028077</v>
      </c>
      <c r="BY45" s="29">
        <v>42.733438113563338</v>
      </c>
      <c r="BZ45" s="29">
        <v>42.879661536808385</v>
      </c>
      <c r="CA45" s="29">
        <v>43.017765954942298</v>
      </c>
      <c r="CB45" s="29">
        <v>43.168082938309226</v>
      </c>
      <c r="CC45" s="29">
        <v>43.319703874121856</v>
      </c>
      <c r="CD45" s="29">
        <v>43.468720152708968</v>
      </c>
      <c r="CE45" s="29">
        <v>43.61675368293497</v>
      </c>
      <c r="CF45" s="29">
        <v>43.763804301594305</v>
      </c>
      <c r="CG45" s="29">
        <v>43.909872139179981</v>
      </c>
      <c r="CH45" s="29">
        <v>44.054957614002205</v>
      </c>
      <c r="CI45" s="29">
        <v>44.199061414420164</v>
      </c>
      <c r="CJ45" s="29">
        <v>44.342184458659695</v>
      </c>
      <c r="CK45" s="29">
        <v>44.484327817725386</v>
      </c>
      <c r="CL45" s="29">
        <v>44.625492649204233</v>
      </c>
      <c r="CM45" s="29">
        <v>44.765680150255399</v>
      </c>
      <c r="CN45" s="29">
        <v>44.904891521942162</v>
      </c>
      <c r="CO45" s="29">
        <v>45.043127950676293</v>
      </c>
      <c r="CP45" s="29">
        <v>45.180390606712002</v>
      </c>
      <c r="CQ45" s="29">
        <v>45.316682811125133</v>
      </c>
      <c r="CR45" s="29">
        <v>45.452005299164249</v>
      </c>
      <c r="CS45" s="29">
        <v>45.586358937938414</v>
      </c>
      <c r="CT45" s="29">
        <v>45.719744723563238</v>
      </c>
      <c r="CU45" s="29">
        <v>45.852163778348213</v>
      </c>
      <c r="CV45" s="29">
        <v>45.983617348024836</v>
      </c>
      <c r="CW45" s="29">
        <v>46.114106799014777</v>
      </c>
      <c r="CX45" s="29">
        <v>46.243633615738737</v>
      </c>
      <c r="CY45" s="29">
        <v>46.372199397964962</v>
      </c>
      <c r="CZ45" s="29">
        <v>46.499805858197462</v>
      </c>
      <c r="DA45" s="29">
        <v>46.626454819103586</v>
      </c>
      <c r="DB45" s="29">
        <v>46.752148210979982</v>
      </c>
      <c r="DC45" s="29">
        <v>46.876888069257063</v>
      </c>
      <c r="DD45" s="29">
        <v>47.000676532041282</v>
      </c>
      <c r="DE45" s="29">
        <v>47.12351583769518</v>
      </c>
      <c r="DF45" s="29">
        <v>47.245408322453102</v>
      </c>
      <c r="DG45" s="29">
        <v>47.366356418074787</v>
      </c>
      <c r="DH45" s="29">
        <v>47.486362649533199</v>
      </c>
      <c r="DI45" s="29">
        <v>47.605429632738996</v>
      </c>
      <c r="DJ45" s="29">
        <v>47.723560072298461</v>
      </c>
      <c r="DK45" s="29">
        <v>47.840756759306046</v>
      </c>
      <c r="DL45" s="29">
        <v>47.957022569171066</v>
      </c>
      <c r="DM45" s="29">
        <v>48.072360459475703</v>
      </c>
      <c r="DN45" s="29">
        <v>48.186773467867788</v>
      </c>
      <c r="DO45" s="29">
        <v>48.300264709983182</v>
      </c>
      <c r="DP45" s="29">
        <v>48.412837377400919</v>
      </c>
      <c r="DQ45" s="29">
        <v>48.524494735628636</v>
      </c>
      <c r="DR45" s="29">
        <v>48.63524012211802</v>
      </c>
      <c r="DS45">
        <v>48.74507694431064</v>
      </c>
      <c r="DT45">
        <v>48.854008677712081</v>
      </c>
      <c r="DU45">
        <v>48.96203886399524</v>
      </c>
    </row>
    <row r="46" spans="1:125">
      <c r="A46" s="34">
        <v>44</v>
      </c>
      <c r="B46" s="35"/>
      <c r="C46" s="35"/>
      <c r="D46" s="35"/>
      <c r="E46" s="35"/>
      <c r="F46" s="35"/>
      <c r="G46" s="35"/>
      <c r="H46" s="35"/>
      <c r="I46" s="35"/>
      <c r="J46" s="35"/>
      <c r="K46" s="35"/>
      <c r="L46" s="35"/>
      <c r="M46" s="35"/>
      <c r="N46" s="35"/>
      <c r="O46" s="35"/>
      <c r="P46" s="35"/>
      <c r="Q46" s="35"/>
      <c r="R46" s="35"/>
      <c r="S46" s="35"/>
      <c r="T46" s="35"/>
      <c r="U46" s="35"/>
      <c r="V46" s="29"/>
      <c r="W46" s="29"/>
      <c r="X46" s="29"/>
      <c r="Y46" s="29">
        <v>34.131904871758607</v>
      </c>
      <c r="Z46" s="29">
        <v>34.366469244440971</v>
      </c>
      <c r="AA46" s="29">
        <v>34.537534093549567</v>
      </c>
      <c r="AB46" s="29">
        <v>34.701175781955499</v>
      </c>
      <c r="AC46" s="29">
        <v>34.811999503204476</v>
      </c>
      <c r="AD46" s="29">
        <v>34.837654324509721</v>
      </c>
      <c r="AE46" s="29">
        <v>34.98555306530217</v>
      </c>
      <c r="AF46" s="29">
        <v>35.176357059969497</v>
      </c>
      <c r="AG46" s="29">
        <v>35.389085314518638</v>
      </c>
      <c r="AH46" s="29">
        <v>35.610588258044331</v>
      </c>
      <c r="AI46" s="29">
        <v>35.823047329180604</v>
      </c>
      <c r="AJ46" s="29">
        <v>36.10010827340308</v>
      </c>
      <c r="AK46" s="29">
        <v>36.357121077016231</v>
      </c>
      <c r="AL46" s="29">
        <v>36.660797299817446</v>
      </c>
      <c r="AM46" s="29">
        <v>36.941656714251131</v>
      </c>
      <c r="AN46" s="29">
        <v>37.138159268997669</v>
      </c>
      <c r="AO46" s="29">
        <v>37.276451926540716</v>
      </c>
      <c r="AP46" s="29">
        <v>37.409965747072299</v>
      </c>
      <c r="AQ46" s="29">
        <v>37.502428410936886</v>
      </c>
      <c r="AR46" s="29">
        <v>37.630502258535067</v>
      </c>
      <c r="AS46" s="29">
        <v>37.635661855153714</v>
      </c>
      <c r="AT46" s="29">
        <v>37.631318386943732</v>
      </c>
      <c r="AU46" s="29">
        <v>37.67122650414084</v>
      </c>
      <c r="AV46" s="29">
        <v>37.724616670353427</v>
      </c>
      <c r="AW46" s="29">
        <v>37.948177352437568</v>
      </c>
      <c r="AX46" s="29">
        <v>38.016726017425704</v>
      </c>
      <c r="AY46" s="29">
        <v>38.119528188934112</v>
      </c>
      <c r="AZ46" s="29">
        <v>38.199070339667728</v>
      </c>
      <c r="BA46" s="29">
        <v>38.276814190272134</v>
      </c>
      <c r="BB46" s="29">
        <v>38.386528351633501</v>
      </c>
      <c r="BC46" s="29">
        <v>38.49330636822409</v>
      </c>
      <c r="BD46" s="29">
        <v>38.593319257051235</v>
      </c>
      <c r="BE46" s="29">
        <v>38.7315620006231</v>
      </c>
      <c r="BF46" s="29">
        <v>38.85967742319653</v>
      </c>
      <c r="BG46" s="29">
        <v>38.995612750682156</v>
      </c>
      <c r="BH46" s="29">
        <v>39.183684966475219</v>
      </c>
      <c r="BI46" s="29">
        <v>39.31544695499268</v>
      </c>
      <c r="BJ46" s="29">
        <v>39.47788647787992</v>
      </c>
      <c r="BK46" s="29">
        <v>39.62264753474868</v>
      </c>
      <c r="BL46" s="29">
        <v>39.814161069952021</v>
      </c>
      <c r="BM46" s="29">
        <v>39.990799887369704</v>
      </c>
      <c r="BN46" s="29">
        <v>40.158493510627849</v>
      </c>
      <c r="BO46" s="29">
        <v>40.297735405722534</v>
      </c>
      <c r="BP46" s="29">
        <v>40.462511038588936</v>
      </c>
      <c r="BQ46" s="29">
        <v>40.611941405543206</v>
      </c>
      <c r="BR46" s="29">
        <v>40.768900146976456</v>
      </c>
      <c r="BS46" s="29">
        <v>40.909478721456026</v>
      </c>
      <c r="BT46" s="29">
        <v>41.055473072573882</v>
      </c>
      <c r="BU46" s="29">
        <v>41.190015018859725</v>
      </c>
      <c r="BV46" s="29">
        <v>41.343866322621224</v>
      </c>
      <c r="BW46" s="29">
        <v>41.496959114663845</v>
      </c>
      <c r="BX46" s="29">
        <v>41.63898973678458</v>
      </c>
      <c r="BY46" s="29">
        <v>41.785573760346679</v>
      </c>
      <c r="BZ46" s="29">
        <v>41.930912089519154</v>
      </c>
      <c r="CA46" s="29">
        <v>42.073516520604876</v>
      </c>
      <c r="CB46" s="29">
        <v>42.225265295565571</v>
      </c>
      <c r="CC46" s="29">
        <v>42.374292396541044</v>
      </c>
      <c r="CD46" s="29">
        <v>42.522352214476726</v>
      </c>
      <c r="CE46" s="29">
        <v>42.669444117538234</v>
      </c>
      <c r="CF46" s="29">
        <v>42.815567768684474</v>
      </c>
      <c r="CG46" s="29">
        <v>42.960723125232846</v>
      </c>
      <c r="CH46" s="29">
        <v>43.104910432945474</v>
      </c>
      <c r="CI46" s="29">
        <v>43.248130208226016</v>
      </c>
      <c r="CJ46" s="29">
        <v>43.390383197889747</v>
      </c>
      <c r="CK46" s="29">
        <v>43.53167030199846</v>
      </c>
      <c r="CL46" s="29">
        <v>43.671992507623251</v>
      </c>
      <c r="CM46" s="29">
        <v>43.811350841834724</v>
      </c>
      <c r="CN46" s="29">
        <v>43.949746336057316</v>
      </c>
      <c r="CO46" s="29">
        <v>44.087180007560178</v>
      </c>
      <c r="CP46" s="29">
        <v>44.223655495201982</v>
      </c>
      <c r="CQ46" s="29">
        <v>44.359173231747945</v>
      </c>
      <c r="CR46" s="29">
        <v>44.493733785815166</v>
      </c>
      <c r="CS46" s="29">
        <v>44.627337859002409</v>
      </c>
      <c r="CT46" s="29">
        <v>44.759986283059831</v>
      </c>
      <c r="CU46" s="29">
        <v>44.891680017098864</v>
      </c>
      <c r="CV46" s="29">
        <v>45.022420144841931</v>
      </c>
      <c r="CW46" s="29">
        <v>45.152207871911159</v>
      </c>
      <c r="CX46" s="29">
        <v>45.281044523156822</v>
      </c>
      <c r="CY46" s="29">
        <v>45.408931540024383</v>
      </c>
      <c r="CZ46" s="29">
        <v>45.535870477960287</v>
      </c>
      <c r="DA46" s="29">
        <v>45.661863003856162</v>
      </c>
      <c r="DB46" s="29">
        <v>45.786910893530425</v>
      </c>
      <c r="DC46" s="29">
        <v>45.911016029247442</v>
      </c>
      <c r="DD46" s="29">
        <v>46.034180397273573</v>
      </c>
      <c r="DE46" s="29">
        <v>46.156406085470124</v>
      </c>
      <c r="DF46" s="29">
        <v>46.277695280921037</v>
      </c>
      <c r="DG46" s="29">
        <v>46.398050267597483</v>
      </c>
      <c r="DH46" s="29">
        <v>46.51747342405605</v>
      </c>
      <c r="DI46" s="29">
        <v>46.635967221172542</v>
      </c>
      <c r="DJ46" s="29">
        <v>46.753534219908431</v>
      </c>
      <c r="DK46" s="29">
        <v>46.870177069111179</v>
      </c>
      <c r="DL46" s="29">
        <v>46.98589850334794</v>
      </c>
      <c r="DM46" s="29">
        <v>47.10070134076966</v>
      </c>
      <c r="DN46" s="29">
        <v>47.214588481009301</v>
      </c>
      <c r="DO46" s="29">
        <v>47.327562903108998</v>
      </c>
      <c r="DP46" s="29">
        <v>47.439627663479087</v>
      </c>
      <c r="DQ46" s="29">
        <v>47.550785893886797</v>
      </c>
      <c r="DR46" s="29">
        <v>47.661040799474385</v>
      </c>
      <c r="DS46">
        <v>47.770395656806812</v>
      </c>
      <c r="DT46">
        <v>47.878853811947245</v>
      </c>
      <c r="DU46">
        <v>47.986418678560923</v>
      </c>
    </row>
    <row r="47" spans="1:125">
      <c r="A47" s="34">
        <v>45</v>
      </c>
      <c r="B47" s="35"/>
      <c r="C47" s="35"/>
      <c r="D47" s="35"/>
      <c r="E47" s="35"/>
      <c r="F47" s="35"/>
      <c r="G47" s="35"/>
      <c r="H47" s="35"/>
      <c r="I47" s="35"/>
      <c r="J47" s="35"/>
      <c r="K47" s="35"/>
      <c r="L47" s="35"/>
      <c r="M47" s="35"/>
      <c r="N47" s="35"/>
      <c r="O47" s="35"/>
      <c r="P47" s="35"/>
      <c r="Q47" s="35"/>
      <c r="R47" s="35"/>
      <c r="S47" s="35"/>
      <c r="T47" s="35"/>
      <c r="U47" s="35"/>
      <c r="V47" s="29"/>
      <c r="W47" s="29"/>
      <c r="X47" s="29"/>
      <c r="Y47" s="29">
        <v>33.244765814793709</v>
      </c>
      <c r="Z47" s="29">
        <v>33.479730502441527</v>
      </c>
      <c r="AA47" s="29">
        <v>33.655776065563892</v>
      </c>
      <c r="AB47" s="29">
        <v>33.815634452197045</v>
      </c>
      <c r="AC47" s="29">
        <v>33.926799169988406</v>
      </c>
      <c r="AD47" s="29">
        <v>33.954280948814983</v>
      </c>
      <c r="AE47" s="29">
        <v>34.103125029901058</v>
      </c>
      <c r="AF47" s="29">
        <v>34.290420585880071</v>
      </c>
      <c r="AG47" s="29">
        <v>34.507900159411292</v>
      </c>
      <c r="AH47" s="29">
        <v>34.726899035989028</v>
      </c>
      <c r="AI47" s="29">
        <v>34.936277348746742</v>
      </c>
      <c r="AJ47" s="29">
        <v>35.216801513981004</v>
      </c>
      <c r="AK47" s="29">
        <v>35.467734249904581</v>
      </c>
      <c r="AL47" s="29">
        <v>35.77177123975531</v>
      </c>
      <c r="AM47" s="29">
        <v>36.049426707128191</v>
      </c>
      <c r="AN47" s="29">
        <v>36.245478271627377</v>
      </c>
      <c r="AO47" s="29">
        <v>36.378595343555553</v>
      </c>
      <c r="AP47" s="29">
        <v>36.506385199442633</v>
      </c>
      <c r="AQ47" s="29">
        <v>36.599069547641179</v>
      </c>
      <c r="AR47" s="29">
        <v>36.725562939840856</v>
      </c>
      <c r="AS47" s="29">
        <v>36.731846851503704</v>
      </c>
      <c r="AT47" s="29">
        <v>36.726795557786858</v>
      </c>
      <c r="AU47" s="29">
        <v>36.76763447823096</v>
      </c>
      <c r="AV47" s="29">
        <v>36.819846925780801</v>
      </c>
      <c r="AW47" s="29">
        <v>37.044186986917587</v>
      </c>
      <c r="AX47" s="29">
        <v>37.111370204404899</v>
      </c>
      <c r="AY47" s="29">
        <v>37.216422001933068</v>
      </c>
      <c r="AZ47" s="29">
        <v>37.295129128535663</v>
      </c>
      <c r="BA47" s="29">
        <v>37.374616690360824</v>
      </c>
      <c r="BB47" s="29">
        <v>37.477827478368695</v>
      </c>
      <c r="BC47" s="29">
        <v>37.582908335556404</v>
      </c>
      <c r="BD47" s="29">
        <v>37.678423759580078</v>
      </c>
      <c r="BE47" s="29">
        <v>37.816801291468153</v>
      </c>
      <c r="BF47" s="29">
        <v>37.944203946827088</v>
      </c>
      <c r="BG47" s="29">
        <v>38.075317237197673</v>
      </c>
      <c r="BH47" s="29">
        <v>38.264564467787132</v>
      </c>
      <c r="BI47" s="29">
        <v>38.389870265459521</v>
      </c>
      <c r="BJ47" s="29">
        <v>38.553118299055271</v>
      </c>
      <c r="BK47" s="29">
        <v>38.693482473813745</v>
      </c>
      <c r="BL47" s="29">
        <v>38.882861973971771</v>
      </c>
      <c r="BM47" s="29">
        <v>39.053457491769024</v>
      </c>
      <c r="BN47" s="29">
        <v>39.221588459267437</v>
      </c>
      <c r="BO47" s="29">
        <v>39.360392605182511</v>
      </c>
      <c r="BP47" s="29">
        <v>39.523059598840092</v>
      </c>
      <c r="BQ47" s="29">
        <v>39.672825235867691</v>
      </c>
      <c r="BR47" s="29">
        <v>39.826839008074259</v>
      </c>
      <c r="BS47" s="29">
        <v>39.965802319034012</v>
      </c>
      <c r="BT47" s="29">
        <v>40.110781384558109</v>
      </c>
      <c r="BU47" s="29">
        <v>40.24777552229223</v>
      </c>
      <c r="BV47" s="29">
        <v>40.399925708259765</v>
      </c>
      <c r="BW47" s="29">
        <v>40.551903443010218</v>
      </c>
      <c r="BX47" s="29">
        <v>40.692989504492218</v>
      </c>
      <c r="BY47" s="29">
        <v>40.838700183412747</v>
      </c>
      <c r="BZ47" s="29">
        <v>40.98890325906244</v>
      </c>
      <c r="CA47" s="29">
        <v>41.134457314919317</v>
      </c>
      <c r="CB47" s="29">
        <v>41.283438396907627</v>
      </c>
      <c r="CC47" s="29">
        <v>41.431468268669235</v>
      </c>
      <c r="CD47" s="29">
        <v>41.578545846614034</v>
      </c>
      <c r="CE47" s="29">
        <v>41.724670334151114</v>
      </c>
      <c r="CF47" s="29">
        <v>41.869841229885878</v>
      </c>
      <c r="CG47" s="29">
        <v>42.014058327156157</v>
      </c>
      <c r="CH47" s="29">
        <v>42.157321708085753</v>
      </c>
      <c r="CI47" s="29">
        <v>42.299631725745819</v>
      </c>
      <c r="CJ47" s="29">
        <v>42.440988963875938</v>
      </c>
      <c r="CK47" s="29">
        <v>42.581394159638187</v>
      </c>
      <c r="CL47" s="29">
        <v>42.720848137337811</v>
      </c>
      <c r="CM47" s="29">
        <v>42.859351761415972</v>
      </c>
      <c r="CN47" s="29">
        <v>42.996905900829915</v>
      </c>
      <c r="CO47" s="29">
        <v>43.1335146560167</v>
      </c>
      <c r="CP47" s="29">
        <v>43.269178158945678</v>
      </c>
      <c r="CQ47" s="29">
        <v>43.403896681181877</v>
      </c>
      <c r="CR47" s="29">
        <v>43.537670631006328</v>
      </c>
      <c r="CS47" s="29">
        <v>43.670500550575056</v>
      </c>
      <c r="CT47" s="29">
        <v>43.802387113117014</v>
      </c>
      <c r="CU47" s="29">
        <v>43.933331120171019</v>
      </c>
      <c r="CV47" s="29">
        <v>44.063333498861539</v>
      </c>
      <c r="CW47" s="29">
        <v>44.192395299212471</v>
      </c>
      <c r="CX47" s="29">
        <v>44.320517691499461</v>
      </c>
      <c r="CY47" s="29">
        <v>44.447701963639972</v>
      </c>
      <c r="CZ47" s="29">
        <v>44.573949518620921</v>
      </c>
      <c r="DA47" s="29">
        <v>44.699261871963905</v>
      </c>
      <c r="DB47" s="29">
        <v>44.823640649226633</v>
      </c>
      <c r="DC47" s="29">
        <v>44.947087583541062</v>
      </c>
      <c r="DD47" s="29">
        <v>45.069604513187443</v>
      </c>
      <c r="DE47" s="29">
        <v>45.191193379204222</v>
      </c>
      <c r="DF47" s="29">
        <v>45.311856223031832</v>
      </c>
      <c r="DG47" s="29">
        <v>45.431595184192489</v>
      </c>
      <c r="DH47" s="29">
        <v>45.550412498002501</v>
      </c>
      <c r="DI47" s="29">
        <v>45.668310493319503</v>
      </c>
      <c r="DJ47" s="29">
        <v>45.785291590321336</v>
      </c>
      <c r="DK47" s="29">
        <v>45.901358298317987</v>
      </c>
      <c r="DL47" s="29">
        <v>46.016513213596049</v>
      </c>
      <c r="DM47" s="29">
        <v>46.130759017292746</v>
      </c>
      <c r="DN47" s="29">
        <v>46.244098473303318</v>
      </c>
      <c r="DO47" s="29">
        <v>46.35653442621647</v>
      </c>
      <c r="DP47" s="29">
        <v>46.468069799280997</v>
      </c>
      <c r="DQ47" s="29">
        <v>46.578707592401358</v>
      </c>
      <c r="DR47" s="29">
        <v>46.688450880161739</v>
      </c>
      <c r="DS47">
        <v>46.797302809879227</v>
      </c>
      <c r="DT47">
        <v>46.905266599683948</v>
      </c>
      <c r="DU47">
        <v>47.012345536626889</v>
      </c>
    </row>
    <row r="48" spans="1:125">
      <c r="A48" s="34">
        <v>46</v>
      </c>
      <c r="B48" s="35"/>
      <c r="C48" s="35"/>
      <c r="D48" s="35"/>
      <c r="E48" s="35"/>
      <c r="F48" s="35"/>
      <c r="G48" s="35"/>
      <c r="H48" s="35"/>
      <c r="I48" s="35"/>
      <c r="J48" s="35"/>
      <c r="K48" s="35"/>
      <c r="L48" s="35"/>
      <c r="M48" s="35"/>
      <c r="N48" s="35"/>
      <c r="O48" s="35"/>
      <c r="P48" s="35"/>
      <c r="Q48" s="35"/>
      <c r="R48" s="35"/>
      <c r="S48" s="35"/>
      <c r="T48" s="35"/>
      <c r="U48" s="35"/>
      <c r="V48" s="29"/>
      <c r="W48" s="29"/>
      <c r="X48" s="29"/>
      <c r="Y48" s="29">
        <v>32.36464166432782</v>
      </c>
      <c r="Z48" s="29">
        <v>32.604731819102497</v>
      </c>
      <c r="AA48" s="29">
        <v>32.774966817675164</v>
      </c>
      <c r="AB48" s="29">
        <v>32.93701991410137</v>
      </c>
      <c r="AC48" s="29">
        <v>33.048777713219692</v>
      </c>
      <c r="AD48" s="29">
        <v>33.076356866785325</v>
      </c>
      <c r="AE48" s="29">
        <v>33.228930410171891</v>
      </c>
      <c r="AF48" s="29">
        <v>33.415265508880815</v>
      </c>
      <c r="AG48" s="29">
        <v>33.630815087620768</v>
      </c>
      <c r="AH48" s="29">
        <v>33.850658399421711</v>
      </c>
      <c r="AI48" s="29">
        <v>34.062109568398263</v>
      </c>
      <c r="AJ48" s="29">
        <v>34.337101541418079</v>
      </c>
      <c r="AK48" s="29">
        <v>34.587927777655125</v>
      </c>
      <c r="AL48" s="29">
        <v>34.888083245402555</v>
      </c>
      <c r="AM48" s="29">
        <v>35.161167866002977</v>
      </c>
      <c r="AN48" s="29">
        <v>35.354279476430577</v>
      </c>
      <c r="AO48" s="29">
        <v>35.48786653837243</v>
      </c>
      <c r="AP48" s="29">
        <v>35.612395401187072</v>
      </c>
      <c r="AQ48" s="29">
        <v>35.702523795496646</v>
      </c>
      <c r="AR48" s="29">
        <v>35.827011870915484</v>
      </c>
      <c r="AS48" s="29">
        <v>35.834048834960512</v>
      </c>
      <c r="AT48" s="29">
        <v>35.82842868129017</v>
      </c>
      <c r="AU48" s="29">
        <v>35.875778809088871</v>
      </c>
      <c r="AV48" s="29">
        <v>35.925425904092016</v>
      </c>
      <c r="AW48" s="29">
        <v>36.144022578245071</v>
      </c>
      <c r="AX48" s="29">
        <v>36.213776623673752</v>
      </c>
      <c r="AY48" s="29">
        <v>36.315350993276709</v>
      </c>
      <c r="AZ48" s="29">
        <v>36.394588777157395</v>
      </c>
      <c r="BA48" s="29">
        <v>36.474657327261788</v>
      </c>
      <c r="BB48" s="29">
        <v>36.573460124368737</v>
      </c>
      <c r="BC48" s="29">
        <v>36.67597449950506</v>
      </c>
      <c r="BD48" s="29">
        <v>36.771613420044645</v>
      </c>
      <c r="BE48" s="29">
        <v>36.906223801674329</v>
      </c>
      <c r="BF48" s="29">
        <v>37.034436936511369</v>
      </c>
      <c r="BG48" s="29">
        <v>37.166007438669908</v>
      </c>
      <c r="BH48" s="29">
        <v>37.347093808004466</v>
      </c>
      <c r="BI48" s="29">
        <v>37.470544015132617</v>
      </c>
      <c r="BJ48" s="29">
        <v>37.630383109219785</v>
      </c>
      <c r="BK48" s="29">
        <v>37.769986890956531</v>
      </c>
      <c r="BL48" s="29">
        <v>37.955263115793372</v>
      </c>
      <c r="BM48" s="29">
        <v>38.12384947573215</v>
      </c>
      <c r="BN48" s="29">
        <v>38.289290162580869</v>
      </c>
      <c r="BO48" s="29">
        <v>38.426947260763008</v>
      </c>
      <c r="BP48" s="29">
        <v>38.586746597725082</v>
      </c>
      <c r="BQ48" s="29">
        <v>38.73727733551506</v>
      </c>
      <c r="BR48" s="29">
        <v>38.888185700959326</v>
      </c>
      <c r="BS48" s="29">
        <v>39.027385919091927</v>
      </c>
      <c r="BT48" s="29">
        <v>39.172175823197989</v>
      </c>
      <c r="BU48" s="29">
        <v>39.30960222033309</v>
      </c>
      <c r="BV48" s="29">
        <v>39.462249873299058</v>
      </c>
      <c r="BW48" s="29">
        <v>39.608359869993535</v>
      </c>
      <c r="BX48" s="29">
        <v>39.750464588257856</v>
      </c>
      <c r="BY48" s="29">
        <v>39.900103050897187</v>
      </c>
      <c r="BZ48" s="29">
        <v>40.047823675010775</v>
      </c>
      <c r="CA48" s="29">
        <v>40.196695120795518</v>
      </c>
      <c r="CB48" s="29">
        <v>40.344632085870956</v>
      </c>
      <c r="CC48" s="29">
        <v>40.491633043081592</v>
      </c>
      <c r="CD48" s="29">
        <v>40.637696753016684</v>
      </c>
      <c r="CE48" s="29">
        <v>40.782822263404029</v>
      </c>
      <c r="CF48" s="29">
        <v>40.927008917287921</v>
      </c>
      <c r="CG48" s="29">
        <v>41.070256352534599</v>
      </c>
      <c r="CH48" s="29">
        <v>41.212564495851858</v>
      </c>
      <c r="CI48" s="29">
        <v>41.353933544913161</v>
      </c>
      <c r="CJ48" s="29">
        <v>41.49436392802717</v>
      </c>
      <c r="CK48" s="29">
        <v>41.633856226805605</v>
      </c>
      <c r="CL48" s="29">
        <v>41.772411109840029</v>
      </c>
      <c r="CM48" s="29">
        <v>41.910029285698471</v>
      </c>
      <c r="CN48" s="29">
        <v>42.0467154597996</v>
      </c>
      <c r="CO48" s="29">
        <v>42.182469465076437</v>
      </c>
      <c r="CP48" s="29">
        <v>42.317291277541386</v>
      </c>
      <c r="CQ48" s="29">
        <v>42.451181013403286</v>
      </c>
      <c r="CR48" s="29">
        <v>42.58413892622255</v>
      </c>
      <c r="CS48" s="29">
        <v>42.716165404104132</v>
      </c>
      <c r="CT48" s="29">
        <v>42.847260966928047</v>
      </c>
      <c r="CU48" s="29">
        <v>42.977426263618099</v>
      </c>
      <c r="CV48" s="29">
        <v>43.106662069448163</v>
      </c>
      <c r="CW48" s="29">
        <v>43.234969283385496</v>
      </c>
      <c r="CX48" s="29">
        <v>43.36234892547148</v>
      </c>
      <c r="CY48" s="29">
        <v>43.488802134239094</v>
      </c>
      <c r="CZ48" s="29">
        <v>43.614330164166823</v>
      </c>
      <c r="DA48" s="29">
        <v>43.73893438316918</v>
      </c>
      <c r="DB48" s="29">
        <v>43.862616270122345</v>
      </c>
      <c r="DC48" s="29">
        <v>43.985377412425549</v>
      </c>
      <c r="DD48" s="29">
        <v>44.107219503597221</v>
      </c>
      <c r="DE48" s="29">
        <v>44.228144340906212</v>
      </c>
      <c r="DF48" s="29">
        <v>44.348153823035688</v>
      </c>
      <c r="DG48" s="29">
        <v>44.467249947782165</v>
      </c>
      <c r="DH48" s="29">
        <v>44.585434809786108</v>
      </c>
      <c r="DI48" s="29">
        <v>44.702710598296505</v>
      </c>
      <c r="DJ48" s="29">
        <v>44.819079594966126</v>
      </c>
      <c r="DK48" s="29">
        <v>44.934544171678951</v>
      </c>
      <c r="DL48" s="29">
        <v>45.049106788409162</v>
      </c>
      <c r="DM48" s="29">
        <v>45.162769991109002</v>
      </c>
      <c r="DN48" s="29">
        <v>45.275536409628899</v>
      </c>
      <c r="DO48" s="29">
        <v>45.38740875566495</v>
      </c>
      <c r="DP48" s="29">
        <v>45.498389820736747</v>
      </c>
      <c r="DQ48" s="29">
        <v>45.608482474193337</v>
      </c>
      <c r="DR48" s="29">
        <v>45.71768966124678</v>
      </c>
      <c r="DS48">
        <v>45.826014401034243</v>
      </c>
      <c r="DT48">
        <v>45.933459784706073</v>
      </c>
      <c r="DU48">
        <v>46.040028973541098</v>
      </c>
    </row>
    <row r="49" spans="1:125">
      <c r="A49" s="34">
        <v>47</v>
      </c>
      <c r="B49" s="35"/>
      <c r="C49" s="35"/>
      <c r="D49" s="35"/>
      <c r="E49" s="35"/>
      <c r="F49" s="35"/>
      <c r="G49" s="35"/>
      <c r="H49" s="35"/>
      <c r="I49" s="35"/>
      <c r="J49" s="35"/>
      <c r="K49" s="35"/>
      <c r="L49" s="35"/>
      <c r="M49" s="35"/>
      <c r="N49" s="35"/>
      <c r="O49" s="35"/>
      <c r="P49" s="35"/>
      <c r="Q49" s="35"/>
      <c r="R49" s="35"/>
      <c r="S49" s="35"/>
      <c r="T49" s="35"/>
      <c r="U49" s="35"/>
      <c r="V49" s="29"/>
      <c r="W49" s="29"/>
      <c r="X49" s="29"/>
      <c r="Y49" s="29">
        <v>31.500543976822197</v>
      </c>
      <c r="Z49" s="29">
        <v>31.73509020144024</v>
      </c>
      <c r="AA49" s="29">
        <v>31.908025906593597</v>
      </c>
      <c r="AB49" s="29">
        <v>32.065985697891861</v>
      </c>
      <c r="AC49" s="29">
        <v>32.178820203161095</v>
      </c>
      <c r="AD49" s="29">
        <v>32.207024272848656</v>
      </c>
      <c r="AE49" s="29">
        <v>32.359675663306867</v>
      </c>
      <c r="AF49" s="29">
        <v>32.545841751837727</v>
      </c>
      <c r="AG49" s="29">
        <v>32.762728882254422</v>
      </c>
      <c r="AH49" s="29">
        <v>32.978129881504074</v>
      </c>
      <c r="AI49" s="29">
        <v>33.189448727058007</v>
      </c>
      <c r="AJ49" s="29">
        <v>33.461511306905834</v>
      </c>
      <c r="AK49" s="29">
        <v>33.712095430262565</v>
      </c>
      <c r="AL49" s="29">
        <v>34.007281652509086</v>
      </c>
      <c r="AM49" s="29">
        <v>34.275508336856063</v>
      </c>
      <c r="AN49" s="29">
        <v>34.470297979841249</v>
      </c>
      <c r="AO49" s="29">
        <v>34.600493624013893</v>
      </c>
      <c r="AP49" s="29">
        <v>34.723637404061492</v>
      </c>
      <c r="AQ49" s="29">
        <v>34.813069986265191</v>
      </c>
      <c r="AR49" s="29">
        <v>34.938896087982435</v>
      </c>
      <c r="AS49" s="29">
        <v>34.942168189890815</v>
      </c>
      <c r="AT49" s="29">
        <v>34.942122027802625</v>
      </c>
      <c r="AU49" s="29">
        <v>34.988984445981899</v>
      </c>
      <c r="AV49" s="29">
        <v>35.035433943842349</v>
      </c>
      <c r="AW49" s="29">
        <v>35.249640709622568</v>
      </c>
      <c r="AX49" s="29">
        <v>35.318003358903496</v>
      </c>
      <c r="AY49" s="29">
        <v>35.417722257187769</v>
      </c>
      <c r="AZ49" s="29">
        <v>35.497851667304403</v>
      </c>
      <c r="BA49" s="29">
        <v>35.575616954281898</v>
      </c>
      <c r="BB49" s="29">
        <v>35.671712335972913</v>
      </c>
      <c r="BC49" s="29">
        <v>35.773821493315772</v>
      </c>
      <c r="BD49" s="29">
        <v>35.869307166697638</v>
      </c>
      <c r="BE49" s="29">
        <v>35.999303834460378</v>
      </c>
      <c r="BF49" s="29">
        <v>36.131278537485876</v>
      </c>
      <c r="BG49" s="29">
        <v>36.25868454689811</v>
      </c>
      <c r="BH49" s="29">
        <v>36.434583607437929</v>
      </c>
      <c r="BI49" s="29">
        <v>36.555883598810873</v>
      </c>
      <c r="BJ49" s="29">
        <v>36.711185827237202</v>
      </c>
      <c r="BK49" s="29">
        <v>36.850418417442455</v>
      </c>
      <c r="BL49" s="29">
        <v>37.034545007270118</v>
      </c>
      <c r="BM49" s="29">
        <v>37.197890756240568</v>
      </c>
      <c r="BN49" s="29">
        <v>37.3600205407527</v>
      </c>
      <c r="BO49" s="29">
        <v>37.497323242159133</v>
      </c>
      <c r="BP49" s="29">
        <v>37.657293034548928</v>
      </c>
      <c r="BQ49" s="29">
        <v>37.803217115705877</v>
      </c>
      <c r="BR49" s="29">
        <v>37.955544650238124</v>
      </c>
      <c r="BS49" s="29">
        <v>38.091730695164372</v>
      </c>
      <c r="BT49" s="29">
        <v>38.238464045315382</v>
      </c>
      <c r="BU49" s="29">
        <v>38.374182280298569</v>
      </c>
      <c r="BV49" s="29">
        <v>38.524413927741577</v>
      </c>
      <c r="BW49" s="29">
        <v>38.670558716884976</v>
      </c>
      <c r="BX49" s="29">
        <v>38.815603847063116</v>
      </c>
      <c r="BY49" s="29">
        <v>38.965940999205536</v>
      </c>
      <c r="BZ49" s="29">
        <v>39.114632163075171</v>
      </c>
      <c r="CA49" s="29">
        <v>39.262406355494988</v>
      </c>
      <c r="CB49" s="29">
        <v>39.409261536144768</v>
      </c>
      <c r="CC49" s="29">
        <v>39.55519603095658</v>
      </c>
      <c r="CD49" s="29">
        <v>39.700208453511962</v>
      </c>
      <c r="CE49" s="29">
        <v>39.844297704389199</v>
      </c>
      <c r="CF49" s="29">
        <v>39.98746297932027</v>
      </c>
      <c r="CG49" s="29">
        <v>40.129703768663333</v>
      </c>
      <c r="CH49" s="29">
        <v>40.271019851385297</v>
      </c>
      <c r="CI49" s="29">
        <v>40.411411277146115</v>
      </c>
      <c r="CJ49" s="29">
        <v>40.550878325912706</v>
      </c>
      <c r="CK49" s="29">
        <v>40.689421430534026</v>
      </c>
      <c r="CL49" s="29">
        <v>40.827041110370679</v>
      </c>
      <c r="CM49" s="29">
        <v>40.963742802556112</v>
      </c>
      <c r="CN49" s="29">
        <v>41.09952604295168</v>
      </c>
      <c r="CO49" s="29">
        <v>41.234390513704525</v>
      </c>
      <c r="CP49" s="29">
        <v>41.368336040369265</v>
      </c>
      <c r="CQ49" s="29">
        <v>41.501362589065828</v>
      </c>
      <c r="CR49" s="29">
        <v>41.633470263674226</v>
      </c>
      <c r="CS49" s="29">
        <v>41.764659303065983</v>
      </c>
      <c r="CT49" s="29">
        <v>41.894930078372127</v>
      </c>
      <c r="CU49" s="29">
        <v>42.024283090288179</v>
      </c>
      <c r="CV49" s="29">
        <v>42.152718966415691</v>
      </c>
      <c r="CW49" s="29">
        <v>42.280238458639559</v>
      </c>
      <c r="CX49" s="29">
        <v>42.406842440541809</v>
      </c>
      <c r="CY49" s="29">
        <v>42.532531904850927</v>
      </c>
      <c r="CZ49" s="29">
        <v>42.657307960926559</v>
      </c>
      <c r="DA49" s="29">
        <v>42.781171832279696</v>
      </c>
      <c r="DB49" s="29">
        <v>42.904124854126984</v>
      </c>
      <c r="DC49" s="29">
        <v>43.026168470979606</v>
      </c>
      <c r="DD49" s="29">
        <v>43.14730423426596</v>
      </c>
      <c r="DE49" s="29">
        <v>43.267533799988286</v>
      </c>
      <c r="DF49" s="29">
        <v>43.386858926410937</v>
      </c>
      <c r="DG49" s="29">
        <v>43.50528147178288</v>
      </c>
      <c r="DH49" s="29">
        <v>43.622803392090589</v>
      </c>
      <c r="DI49" s="29">
        <v>43.739426738843974</v>
      </c>
      <c r="DJ49" s="29">
        <v>43.855153656892099</v>
      </c>
      <c r="DK49" s="29">
        <v>43.969986382269965</v>
      </c>
      <c r="DL49" s="29">
        <v>44.083927240076036</v>
      </c>
      <c r="DM49" s="29">
        <v>44.196978642377559</v>
      </c>
      <c r="DN49" s="29">
        <v>44.309143086147401</v>
      </c>
      <c r="DO49" s="29">
        <v>44.420423151227169</v>
      </c>
      <c r="DP49" s="29">
        <v>44.530821498319952</v>
      </c>
      <c r="DQ49" s="29">
        <v>44.640340867010181</v>
      </c>
      <c r="DR49" s="29">
        <v>44.748984073810334</v>
      </c>
      <c r="DS49">
        <v>44.856754010235385</v>
      </c>
      <c r="DT49">
        <v>44.963653640902258</v>
      </c>
      <c r="DU49">
        <v>45.069686001655896</v>
      </c>
    </row>
    <row r="50" spans="1:125">
      <c r="A50" s="34">
        <v>48</v>
      </c>
      <c r="B50" s="35"/>
      <c r="C50" s="35"/>
      <c r="D50" s="35"/>
      <c r="E50" s="35"/>
      <c r="F50" s="35"/>
      <c r="G50" s="35"/>
      <c r="H50" s="35"/>
      <c r="I50" s="35"/>
      <c r="J50" s="35"/>
      <c r="K50" s="35"/>
      <c r="L50" s="35"/>
      <c r="M50" s="35"/>
      <c r="N50" s="35"/>
      <c r="O50" s="35"/>
      <c r="P50" s="35"/>
      <c r="Q50" s="35"/>
      <c r="R50" s="35"/>
      <c r="S50" s="35"/>
      <c r="T50" s="35"/>
      <c r="U50" s="35"/>
      <c r="V50" s="29"/>
      <c r="W50" s="29"/>
      <c r="X50" s="29"/>
      <c r="Y50" s="29">
        <v>30.63594711919793</v>
      </c>
      <c r="Z50" s="29">
        <v>30.86843146041339</v>
      </c>
      <c r="AA50" s="29">
        <v>31.043139019114321</v>
      </c>
      <c r="AB50" s="29">
        <v>31.205253162623055</v>
      </c>
      <c r="AC50" s="29">
        <v>31.316129392689952</v>
      </c>
      <c r="AD50" s="29">
        <v>31.347066810197781</v>
      </c>
      <c r="AE50" s="29">
        <v>31.498761548136308</v>
      </c>
      <c r="AF50" s="29">
        <v>31.685900531423048</v>
      </c>
      <c r="AG50" s="29">
        <v>31.902561811783293</v>
      </c>
      <c r="AH50" s="29">
        <v>32.116173359407824</v>
      </c>
      <c r="AI50" s="29">
        <v>32.323628044170547</v>
      </c>
      <c r="AJ50" s="29">
        <v>32.593645985105468</v>
      </c>
      <c r="AK50" s="29">
        <v>32.839702862165097</v>
      </c>
      <c r="AL50" s="29">
        <v>33.132990020427783</v>
      </c>
      <c r="AM50" s="29">
        <v>33.397505824728647</v>
      </c>
      <c r="AN50" s="29">
        <v>33.589654869459679</v>
      </c>
      <c r="AO50" s="29">
        <v>33.719055198482479</v>
      </c>
      <c r="AP50" s="29">
        <v>33.841576457917952</v>
      </c>
      <c r="AQ50" s="29">
        <v>33.930992729198955</v>
      </c>
      <c r="AR50" s="29">
        <v>34.053614863480604</v>
      </c>
      <c r="AS50" s="29">
        <v>34.059661891193876</v>
      </c>
      <c r="AT50" s="29">
        <v>34.05924532613534</v>
      </c>
      <c r="AU50" s="29">
        <v>34.105816116170558</v>
      </c>
      <c r="AV50" s="29">
        <v>34.149495999972132</v>
      </c>
      <c r="AW50" s="29">
        <v>34.365527668490067</v>
      </c>
      <c r="AX50" s="29">
        <v>34.429686483113883</v>
      </c>
      <c r="AY50" s="29">
        <v>34.525146820144158</v>
      </c>
      <c r="AZ50" s="29">
        <v>34.603381788670937</v>
      </c>
      <c r="BA50" s="29">
        <v>34.677253125597311</v>
      </c>
      <c r="BB50" s="29">
        <v>34.776224756338081</v>
      </c>
      <c r="BC50" s="29">
        <v>34.874395671386644</v>
      </c>
      <c r="BD50" s="29">
        <v>34.972181943445989</v>
      </c>
      <c r="BE50" s="29">
        <v>35.101950720631237</v>
      </c>
      <c r="BF50" s="29">
        <v>35.227573136593676</v>
      </c>
      <c r="BG50" s="29">
        <v>35.354400947611552</v>
      </c>
      <c r="BH50" s="29">
        <v>35.52673452764796</v>
      </c>
      <c r="BI50" s="29">
        <v>35.645840903430745</v>
      </c>
      <c r="BJ50" s="29">
        <v>35.799423052485167</v>
      </c>
      <c r="BK50" s="29">
        <v>35.935068186748609</v>
      </c>
      <c r="BL50" s="29">
        <v>36.116803215436875</v>
      </c>
      <c r="BM50" s="29">
        <v>36.279754982384745</v>
      </c>
      <c r="BN50" s="29">
        <v>36.437981093022756</v>
      </c>
      <c r="BO50" s="29">
        <v>36.574669748164624</v>
      </c>
      <c r="BP50" s="29">
        <v>36.728114077820479</v>
      </c>
      <c r="BQ50" s="29">
        <v>36.878426099000137</v>
      </c>
      <c r="BR50" s="29">
        <v>37.026066966223212</v>
      </c>
      <c r="BS50" s="29">
        <v>37.161835920873088</v>
      </c>
      <c r="BT50" s="29">
        <v>37.306742971655325</v>
      </c>
      <c r="BU50" s="29">
        <v>37.444203240637663</v>
      </c>
      <c r="BV50" s="29">
        <v>37.589583475433699</v>
      </c>
      <c r="BW50" s="29">
        <v>37.739624183118949</v>
      </c>
      <c r="BX50" s="29">
        <v>37.889397089208245</v>
      </c>
      <c r="BY50" s="29">
        <v>38.037830319290009</v>
      </c>
      <c r="BZ50" s="29">
        <v>38.185365019757718</v>
      </c>
      <c r="CA50" s="29">
        <v>38.331998530873236</v>
      </c>
      <c r="CB50" s="29">
        <v>38.477728674205466</v>
      </c>
      <c r="CC50" s="29">
        <v>38.622553637459347</v>
      </c>
      <c r="CD50" s="29">
        <v>38.766471895616988</v>
      </c>
      <c r="CE50" s="29">
        <v>38.909482210233101</v>
      </c>
      <c r="CF50" s="29">
        <v>39.051583637568399</v>
      </c>
      <c r="CG50" s="29">
        <v>39.192775528025308</v>
      </c>
      <c r="CH50" s="29">
        <v>39.333057520089831</v>
      </c>
      <c r="CI50" s="29">
        <v>39.472429522371954</v>
      </c>
      <c r="CJ50" s="29">
        <v>39.610891673159045</v>
      </c>
      <c r="CK50" s="29">
        <v>39.748444262889713</v>
      </c>
      <c r="CL50" s="29">
        <v>39.885093554573942</v>
      </c>
      <c r="CM50" s="29">
        <v>40.020838789309465</v>
      </c>
      <c r="CN50" s="29">
        <v>40.155679357392032</v>
      </c>
      <c r="CO50" s="29">
        <v>40.289614795447292</v>
      </c>
      <c r="CP50" s="29">
        <v>40.422644783599168</v>
      </c>
      <c r="CQ50" s="29">
        <v>40.554769142673237</v>
      </c>
      <c r="CR50" s="29">
        <v>40.685987831436051</v>
      </c>
      <c r="CS50" s="29">
        <v>40.81630094386982</v>
      </c>
      <c r="CT50" s="29">
        <v>40.945708706482677</v>
      </c>
      <c r="CU50" s="29">
        <v>41.074211475654693</v>
      </c>
      <c r="CV50" s="29">
        <v>41.201809735019346</v>
      </c>
      <c r="CW50" s="29">
        <v>41.328504092879619</v>
      </c>
      <c r="CX50" s="29">
        <v>41.454295279659405</v>
      </c>
      <c r="CY50" s="29">
        <v>41.579184145389334</v>
      </c>
      <c r="CZ50" s="29">
        <v>41.703171657226861</v>
      </c>
      <c r="DA50" s="29">
        <v>41.826258897010675</v>
      </c>
      <c r="DB50" s="29">
        <v>41.94844705884806</v>
      </c>
      <c r="DC50" s="29">
        <v>42.069737446735815</v>
      </c>
      <c r="DD50" s="29">
        <v>42.190131472213821</v>
      </c>
      <c r="DE50" s="29">
        <v>42.309630652051396</v>
      </c>
      <c r="DF50" s="29">
        <v>42.428236605964315</v>
      </c>
      <c r="DG50" s="29">
        <v>42.545951054364842</v>
      </c>
      <c r="DH50" s="29">
        <v>42.662775816141306</v>
      </c>
      <c r="DI50" s="29">
        <v>42.778712806469379</v>
      </c>
      <c r="DJ50" s="29">
        <v>42.893764034652378</v>
      </c>
      <c r="DK50" s="29">
        <v>43.007931601991451</v>
      </c>
      <c r="DL50" s="29">
        <v>43.121217699685474</v>
      </c>
      <c r="DM50" s="29">
        <v>43.233624606757942</v>
      </c>
      <c r="DN50" s="29">
        <v>43.345154688014134</v>
      </c>
      <c r="DO50" s="29">
        <v>43.455810392023864</v>
      </c>
      <c r="DP50" s="29">
        <v>43.565594249132673</v>
      </c>
      <c r="DQ50" s="29">
        <v>43.674508869499434</v>
      </c>
      <c r="DR50" s="29">
        <v>43.782556941159726</v>
      </c>
      <c r="DS50">
        <v>43.889741228116108</v>
      </c>
      <c r="DT50">
        <v>43.996064568452653</v>
      </c>
      <c r="DU50">
        <v>44.101529872474998</v>
      </c>
    </row>
    <row r="51" spans="1:125">
      <c r="A51" s="34">
        <v>49</v>
      </c>
      <c r="B51" s="35"/>
      <c r="C51" s="35"/>
      <c r="D51" s="35"/>
      <c r="E51" s="35"/>
      <c r="F51" s="35"/>
      <c r="G51" s="35"/>
      <c r="H51" s="35"/>
      <c r="I51" s="35"/>
      <c r="J51" s="35"/>
      <c r="K51" s="35"/>
      <c r="L51" s="35"/>
      <c r="M51" s="35"/>
      <c r="N51" s="35"/>
      <c r="O51" s="35"/>
      <c r="P51" s="35"/>
      <c r="Q51" s="35"/>
      <c r="R51" s="35"/>
      <c r="S51" s="35"/>
      <c r="T51" s="35"/>
      <c r="U51" s="35"/>
      <c r="V51" s="29"/>
      <c r="W51" s="29"/>
      <c r="X51" s="29"/>
      <c r="Y51" s="29">
        <v>29.783206196233866</v>
      </c>
      <c r="Z51" s="29">
        <v>30.01459259144444</v>
      </c>
      <c r="AA51" s="29">
        <v>30.187732590576616</v>
      </c>
      <c r="AB51" s="29">
        <v>30.353997043584265</v>
      </c>
      <c r="AC51" s="29">
        <v>30.460459766579852</v>
      </c>
      <c r="AD51" s="29">
        <v>30.490484362818211</v>
      </c>
      <c r="AE51" s="29">
        <v>30.645475392003313</v>
      </c>
      <c r="AF51" s="29">
        <v>30.835004256244879</v>
      </c>
      <c r="AG51" s="29">
        <v>31.045425801670824</v>
      </c>
      <c r="AH51" s="29">
        <v>31.262521677466097</v>
      </c>
      <c r="AI51" s="29">
        <v>31.463412480746086</v>
      </c>
      <c r="AJ51" s="29">
        <v>31.726864356271861</v>
      </c>
      <c r="AK51" s="29">
        <v>31.972178831518136</v>
      </c>
      <c r="AL51" s="29">
        <v>32.265188048842404</v>
      </c>
      <c r="AM51" s="29">
        <v>32.526273175426766</v>
      </c>
      <c r="AN51" s="29">
        <v>32.718009721200964</v>
      </c>
      <c r="AO51" s="29">
        <v>32.845169456388248</v>
      </c>
      <c r="AP51" s="29">
        <v>32.963127545229923</v>
      </c>
      <c r="AQ51" s="29">
        <v>33.056193303028479</v>
      </c>
      <c r="AR51" s="29">
        <v>33.177950024553084</v>
      </c>
      <c r="AS51" s="29">
        <v>33.184996895501953</v>
      </c>
      <c r="AT51" s="29">
        <v>33.186460632365694</v>
      </c>
      <c r="AU51" s="29">
        <v>33.229924750806163</v>
      </c>
      <c r="AV51" s="29">
        <v>33.269007388116044</v>
      </c>
      <c r="AW51" s="29">
        <v>33.483322272441427</v>
      </c>
      <c r="AX51" s="29">
        <v>33.542406782191712</v>
      </c>
      <c r="AY51" s="29">
        <v>33.636327332772666</v>
      </c>
      <c r="AZ51" s="29">
        <v>33.715554788012653</v>
      </c>
      <c r="BA51" s="29">
        <v>33.78569536381174</v>
      </c>
      <c r="BB51" s="29">
        <v>33.886354171849881</v>
      </c>
      <c r="BC51" s="29">
        <v>33.982070006602726</v>
      </c>
      <c r="BD51" s="29">
        <v>34.078837384932996</v>
      </c>
      <c r="BE51" s="29">
        <v>34.206984037055044</v>
      </c>
      <c r="BF51" s="29">
        <v>34.327294338950736</v>
      </c>
      <c r="BG51" s="29">
        <v>34.454607929727374</v>
      </c>
      <c r="BH51" s="29">
        <v>34.620878864747816</v>
      </c>
      <c r="BI51" s="29">
        <v>34.740435889825136</v>
      </c>
      <c r="BJ51" s="29">
        <v>34.88978857020669</v>
      </c>
      <c r="BK51" s="29">
        <v>35.025134561913461</v>
      </c>
      <c r="BL51" s="29">
        <v>35.204048522142543</v>
      </c>
      <c r="BM51" s="29">
        <v>35.362165547191864</v>
      </c>
      <c r="BN51" s="29">
        <v>35.518901794149336</v>
      </c>
      <c r="BO51" s="29">
        <v>35.65390119296697</v>
      </c>
      <c r="BP51" s="29">
        <v>35.80657565340676</v>
      </c>
      <c r="BQ51" s="29">
        <v>35.956917256561603</v>
      </c>
      <c r="BR51" s="29">
        <v>36.103005754857193</v>
      </c>
      <c r="BS51" s="29">
        <v>36.237263665010133</v>
      </c>
      <c r="BT51" s="29">
        <v>36.38024534184995</v>
      </c>
      <c r="BU51" s="29">
        <v>36.5188221373662</v>
      </c>
      <c r="BV51" s="29">
        <v>36.66788032718943</v>
      </c>
      <c r="BW51" s="29">
        <v>36.818776955529884</v>
      </c>
      <c r="BX51" s="29">
        <v>36.966867768521951</v>
      </c>
      <c r="BY51" s="29">
        <v>37.114079562035236</v>
      </c>
      <c r="BZ51" s="29">
        <v>37.260408960995882</v>
      </c>
      <c r="CA51" s="29">
        <v>37.405853176139132</v>
      </c>
      <c r="CB51" s="29">
        <v>37.550409899557309</v>
      </c>
      <c r="CC51" s="29">
        <v>37.694077189109251</v>
      </c>
      <c r="CD51" s="29">
        <v>37.836853389280051</v>
      </c>
      <c r="CE51" s="29">
        <v>37.978737130418359</v>
      </c>
      <c r="CF51" s="29">
        <v>38.119727336842786</v>
      </c>
      <c r="CG51" s="29">
        <v>38.25982322623635</v>
      </c>
      <c r="CH51" s="29">
        <v>38.399024303542838</v>
      </c>
      <c r="CI51" s="29">
        <v>38.537330342958612</v>
      </c>
      <c r="CJ51" s="29">
        <v>38.674741347419342</v>
      </c>
      <c r="CK51" s="29">
        <v>38.811264457578773</v>
      </c>
      <c r="CL51" s="29">
        <v>38.946898622539287</v>
      </c>
      <c r="CM51" s="29">
        <v>39.081642943197096</v>
      </c>
      <c r="CN51" s="29">
        <v>39.215496669393531</v>
      </c>
      <c r="CO51" s="29">
        <v>39.348459197099785</v>
      </c>
      <c r="CP51" s="29">
        <v>39.480530065637012</v>
      </c>
      <c r="CQ51" s="29">
        <v>39.611708954930307</v>
      </c>
      <c r="CR51" s="29">
        <v>39.741995682797452</v>
      </c>
      <c r="CS51" s="29">
        <v>39.871390202271897</v>
      </c>
      <c r="CT51" s="29">
        <v>39.999892598960201</v>
      </c>
      <c r="CU51" s="29">
        <v>40.127503088433969</v>
      </c>
      <c r="CV51" s="29">
        <v>40.254222013656047</v>
      </c>
      <c r="CW51" s="29">
        <v>40.380049842440364</v>
      </c>
      <c r="CX51" s="29">
        <v>40.504987164945618</v>
      </c>
      <c r="CY51" s="29">
        <v>40.629034691202406</v>
      </c>
      <c r="CZ51" s="29">
        <v>40.75219324867335</v>
      </c>
      <c r="DA51" s="29">
        <v>40.874463779846394</v>
      </c>
      <c r="DB51" s="29">
        <v>40.995847339859864</v>
      </c>
      <c r="DC51" s="29">
        <v>41.116345094159939</v>
      </c>
      <c r="DD51" s="29">
        <v>41.235958316189567</v>
      </c>
      <c r="DE51" s="29">
        <v>41.354688385109071</v>
      </c>
      <c r="DF51" s="29">
        <v>41.472536783546275</v>
      </c>
      <c r="DG51" s="29">
        <v>41.58950509537847</v>
      </c>
      <c r="DH51" s="29">
        <v>41.705595003542797</v>
      </c>
      <c r="DI51" s="29">
        <v>41.820808287877313</v>
      </c>
      <c r="DJ51" s="29">
        <v>41.93514682298985</v>
      </c>
      <c r="DK51" s="29">
        <v>42.048612576155826</v>
      </c>
      <c r="DL51" s="29">
        <v>42.161207605244599</v>
      </c>
      <c r="DM51" s="29">
        <v>42.272934056671744</v>
      </c>
      <c r="DN51" s="29">
        <v>42.383794163380699</v>
      </c>
      <c r="DO51" s="29">
        <v>42.493790242848789</v>
      </c>
      <c r="DP51" s="29">
        <v>42.602924695120905</v>
      </c>
      <c r="DQ51" s="29">
        <v>42.711200000868388</v>
      </c>
      <c r="DR51" s="29">
        <v>42.81861871947288</v>
      </c>
      <c r="DS51">
        <v>42.925183487136053</v>
      </c>
      <c r="DT51">
        <v>43.030897015012599</v>
      </c>
      <c r="DU51">
        <v>43.135762087368008</v>
      </c>
    </row>
    <row r="52" spans="1:125">
      <c r="A52" s="34">
        <v>50</v>
      </c>
      <c r="B52" s="35"/>
      <c r="C52" s="35"/>
      <c r="D52" s="35"/>
      <c r="E52" s="35"/>
      <c r="F52" s="35"/>
      <c r="G52" s="35"/>
      <c r="H52" s="35"/>
      <c r="I52" s="35"/>
      <c r="J52" s="35"/>
      <c r="K52" s="35"/>
      <c r="L52" s="35"/>
      <c r="M52" s="35"/>
      <c r="N52" s="35"/>
      <c r="O52" s="35"/>
      <c r="P52" s="35"/>
      <c r="Q52" s="35"/>
      <c r="R52" s="35"/>
      <c r="S52" s="35"/>
      <c r="T52" s="35"/>
      <c r="U52" s="35"/>
      <c r="V52" s="29"/>
      <c r="W52" s="29"/>
      <c r="X52" s="29"/>
      <c r="Y52" s="29">
        <v>28.937561094764412</v>
      </c>
      <c r="Z52" s="29">
        <v>29.166800025345335</v>
      </c>
      <c r="AA52" s="29">
        <v>29.342898813088368</v>
      </c>
      <c r="AB52" s="29">
        <v>29.507668509038574</v>
      </c>
      <c r="AC52" s="29">
        <v>29.6114049948572</v>
      </c>
      <c r="AD52" s="29">
        <v>29.643173682543846</v>
      </c>
      <c r="AE52" s="29">
        <v>29.803304659823532</v>
      </c>
      <c r="AF52" s="29">
        <v>29.988631490899973</v>
      </c>
      <c r="AG52" s="29">
        <v>30.199284449212222</v>
      </c>
      <c r="AH52" s="29">
        <v>30.413364440950414</v>
      </c>
      <c r="AI52" s="29">
        <v>30.609681604781848</v>
      </c>
      <c r="AJ52" s="29">
        <v>30.867891372372572</v>
      </c>
      <c r="AK52" s="29">
        <v>31.110351606428232</v>
      </c>
      <c r="AL52" s="29">
        <v>31.403072138014856</v>
      </c>
      <c r="AM52" s="29">
        <v>31.660029400303536</v>
      </c>
      <c r="AN52" s="29">
        <v>31.849076224846968</v>
      </c>
      <c r="AO52" s="29">
        <v>31.975486386813671</v>
      </c>
      <c r="AP52" s="29">
        <v>32.093843194742803</v>
      </c>
      <c r="AQ52" s="29">
        <v>32.191549820651801</v>
      </c>
      <c r="AR52" s="29">
        <v>32.306020400597042</v>
      </c>
      <c r="AS52" s="29">
        <v>32.316610456518191</v>
      </c>
      <c r="AT52" s="29">
        <v>32.314342625392676</v>
      </c>
      <c r="AU52" s="29">
        <v>32.360301316410592</v>
      </c>
      <c r="AV52" s="29">
        <v>32.398209730776948</v>
      </c>
      <c r="AW52" s="29">
        <v>32.604179097954841</v>
      </c>
      <c r="AX52" s="29">
        <v>32.658635617605569</v>
      </c>
      <c r="AY52" s="29">
        <v>32.749327111526497</v>
      </c>
      <c r="AZ52" s="29">
        <v>32.831502653438562</v>
      </c>
      <c r="BA52" s="29">
        <v>32.899751484086565</v>
      </c>
      <c r="BB52" s="29">
        <v>33.000440152113804</v>
      </c>
      <c r="BC52" s="29">
        <v>33.097926776741936</v>
      </c>
      <c r="BD52" s="29">
        <v>33.191950694713206</v>
      </c>
      <c r="BE52" s="29">
        <v>33.315644157008265</v>
      </c>
      <c r="BF52" s="29">
        <v>33.434835615108</v>
      </c>
      <c r="BG52" s="29">
        <v>33.558615030327587</v>
      </c>
      <c r="BH52" s="29">
        <v>33.72088845152593</v>
      </c>
      <c r="BI52" s="29">
        <v>33.840996283399207</v>
      </c>
      <c r="BJ52" s="29">
        <v>33.986797795272039</v>
      </c>
      <c r="BK52" s="29">
        <v>34.122078629166907</v>
      </c>
      <c r="BL52" s="29">
        <v>34.297148054934453</v>
      </c>
      <c r="BM52" s="29">
        <v>34.451505704356691</v>
      </c>
      <c r="BN52" s="29">
        <v>34.605650242834336</v>
      </c>
      <c r="BO52" s="29">
        <v>34.741179295203189</v>
      </c>
      <c r="BP52" s="29">
        <v>34.891878700518134</v>
      </c>
      <c r="BQ52" s="29">
        <v>35.039058900594867</v>
      </c>
      <c r="BR52" s="29">
        <v>35.185568007904628</v>
      </c>
      <c r="BS52" s="29">
        <v>35.317047537256798</v>
      </c>
      <c r="BT52" s="29">
        <v>35.459660573793293</v>
      </c>
      <c r="BU52" s="29">
        <v>35.605238743317869</v>
      </c>
      <c r="BV52" s="29">
        <v>35.754624377137034</v>
      </c>
      <c r="BW52" s="29">
        <v>35.902282161370849</v>
      </c>
      <c r="BX52" s="29">
        <v>36.049081606733523</v>
      </c>
      <c r="BY52" s="29">
        <v>36.19501854901236</v>
      </c>
      <c r="BZ52" s="29">
        <v>36.340089491928786</v>
      </c>
      <c r="CA52" s="29">
        <v>36.484291525342201</v>
      </c>
      <c r="CB52" s="29">
        <v>36.627622220306911</v>
      </c>
      <c r="CC52" s="29">
        <v>36.770079513021052</v>
      </c>
      <c r="CD52" s="29">
        <v>36.911661625376624</v>
      </c>
      <c r="CE52" s="29">
        <v>37.052367064131843</v>
      </c>
      <c r="CF52" s="29">
        <v>37.192194628986428</v>
      </c>
      <c r="CG52" s="29">
        <v>37.331143411929808</v>
      </c>
      <c r="CH52" s="29">
        <v>37.469212791086463</v>
      </c>
      <c r="CI52" s="29">
        <v>37.606402412653779</v>
      </c>
      <c r="CJ52" s="29">
        <v>37.742720286510128</v>
      </c>
      <c r="CK52" s="29">
        <v>37.878165073129317</v>
      </c>
      <c r="CL52" s="29">
        <v>38.012735587037234</v>
      </c>
      <c r="CM52" s="29">
        <v>38.146430793989801</v>
      </c>
      <c r="CN52" s="29">
        <v>38.279249808183437</v>
      </c>
      <c r="CO52" s="29">
        <v>38.411191889497857</v>
      </c>
      <c r="CP52" s="29">
        <v>38.542256440773016</v>
      </c>
      <c r="CQ52" s="29">
        <v>38.672443005118893</v>
      </c>
      <c r="CR52" s="29">
        <v>38.801751263258751</v>
      </c>
      <c r="CS52" s="29">
        <v>38.930181030905594</v>
      </c>
      <c r="CT52" s="29">
        <v>39.057732256171732</v>
      </c>
      <c r="CU52" s="29">
        <v>39.184405017011755</v>
      </c>
      <c r="CV52" s="29">
        <v>39.310199518698482</v>
      </c>
      <c r="CW52" s="29">
        <v>39.435116091331324</v>
      </c>
      <c r="CX52" s="29">
        <v>39.559155187377371</v>
      </c>
      <c r="CY52" s="29">
        <v>39.682317379244544</v>
      </c>
      <c r="CZ52" s="29">
        <v>39.804603356886659</v>
      </c>
      <c r="DA52" s="29">
        <v>39.926013925440301</v>
      </c>
      <c r="DB52" s="29">
        <v>40.046550002892388</v>
      </c>
      <c r="DC52" s="29">
        <v>40.166212617778754</v>
      </c>
      <c r="DD52" s="29">
        <v>40.285002906913142</v>
      </c>
      <c r="DE52" s="29">
        <v>40.402922113146516</v>
      </c>
      <c r="DF52" s="29">
        <v>40.519971583154813</v>
      </c>
      <c r="DG52" s="29">
        <v>40.636152765257307</v>
      </c>
      <c r="DH52" s="29">
        <v>40.751467207262166</v>
      </c>
      <c r="DI52" s="29">
        <v>40.865916554341595</v>
      </c>
      <c r="DJ52" s="29">
        <v>40.979502546933617</v>
      </c>
      <c r="DK52" s="29">
        <v>41.092227018671537</v>
      </c>
      <c r="DL52" s="29">
        <v>41.204091894340991</v>
      </c>
      <c r="DM52" s="29">
        <v>41.315099187861719</v>
      </c>
      <c r="DN52" s="29">
        <v>41.425251000297585</v>
      </c>
      <c r="DO52" s="29">
        <v>41.53454951788995</v>
      </c>
      <c r="DP52" s="29">
        <v>41.642997010117575</v>
      </c>
      <c r="DQ52" s="29">
        <v>41.7505958277807</v>
      </c>
      <c r="DR52" s="29">
        <v>41.857348401109107</v>
      </c>
      <c r="DS52">
        <v>41.963257237894958</v>
      </c>
      <c r="DT52">
        <v>42.068324921647928</v>
      </c>
      <c r="DU52">
        <v>42.172554109774168</v>
      </c>
    </row>
    <row r="53" spans="1:125">
      <c r="A53" s="34">
        <v>51</v>
      </c>
      <c r="B53" s="35"/>
      <c r="C53" s="35"/>
      <c r="D53" s="35"/>
      <c r="E53" s="35"/>
      <c r="F53" s="35"/>
      <c r="G53" s="35"/>
      <c r="H53" s="35"/>
      <c r="I53" s="35"/>
      <c r="J53" s="35"/>
      <c r="K53" s="35"/>
      <c r="L53" s="35"/>
      <c r="M53" s="35"/>
      <c r="N53" s="35"/>
      <c r="O53" s="35"/>
      <c r="P53" s="35"/>
      <c r="Q53" s="35"/>
      <c r="R53" s="35"/>
      <c r="S53" s="35"/>
      <c r="T53" s="35"/>
      <c r="U53" s="35"/>
      <c r="V53" s="29"/>
      <c r="W53" s="29"/>
      <c r="X53" s="29"/>
      <c r="Y53" s="29">
        <v>28.09575540240246</v>
      </c>
      <c r="Z53" s="29">
        <v>28.32735269835344</v>
      </c>
      <c r="AA53" s="29">
        <v>28.506219290214641</v>
      </c>
      <c r="AB53" s="29">
        <v>28.669606996413201</v>
      </c>
      <c r="AC53" s="29">
        <v>28.773970597123338</v>
      </c>
      <c r="AD53" s="29">
        <v>28.803653913214553</v>
      </c>
      <c r="AE53" s="29">
        <v>28.965439411891943</v>
      </c>
      <c r="AF53" s="29">
        <v>29.148482924277758</v>
      </c>
      <c r="AG53" s="29">
        <v>29.357800510431886</v>
      </c>
      <c r="AH53" s="29">
        <v>29.572899190394633</v>
      </c>
      <c r="AI53" s="29">
        <v>29.768907566120532</v>
      </c>
      <c r="AJ53" s="29">
        <v>30.018544007034439</v>
      </c>
      <c r="AK53" s="29">
        <v>30.257294886370985</v>
      </c>
      <c r="AL53" s="29">
        <v>30.551423004717751</v>
      </c>
      <c r="AM53" s="29">
        <v>30.801356677153731</v>
      </c>
      <c r="AN53" s="29">
        <v>30.990897210361467</v>
      </c>
      <c r="AO53" s="29">
        <v>31.115464892295908</v>
      </c>
      <c r="AP53" s="29">
        <v>31.23742950236641</v>
      </c>
      <c r="AQ53" s="29">
        <v>31.333066160147446</v>
      </c>
      <c r="AR53" s="29">
        <v>31.44278730261027</v>
      </c>
      <c r="AS53" s="29">
        <v>31.457218317767101</v>
      </c>
      <c r="AT53" s="29">
        <v>31.451141259058158</v>
      </c>
      <c r="AU53" s="29">
        <v>31.497508112578434</v>
      </c>
      <c r="AV53" s="29">
        <v>31.527639250688424</v>
      </c>
      <c r="AW53" s="29">
        <v>31.73084289260953</v>
      </c>
      <c r="AX53" s="29">
        <v>31.779726975344865</v>
      </c>
      <c r="AY53" s="29">
        <v>31.871749658642074</v>
      </c>
      <c r="AZ53" s="29">
        <v>31.949526349063859</v>
      </c>
      <c r="BA53" s="29">
        <v>32.020928835627139</v>
      </c>
      <c r="BB53" s="29">
        <v>32.119539404483916</v>
      </c>
      <c r="BC53" s="29">
        <v>32.217773044174045</v>
      </c>
      <c r="BD53" s="29">
        <v>32.306049699446802</v>
      </c>
      <c r="BE53" s="29">
        <v>32.42784845313237</v>
      </c>
      <c r="BF53" s="29">
        <v>32.546489415540414</v>
      </c>
      <c r="BG53" s="29">
        <v>32.666959537533344</v>
      </c>
      <c r="BH53" s="29">
        <v>32.827610239710168</v>
      </c>
      <c r="BI53" s="29">
        <v>32.944157395396381</v>
      </c>
      <c r="BJ53" s="29">
        <v>33.088863499572561</v>
      </c>
      <c r="BK53" s="29">
        <v>33.224060140062846</v>
      </c>
      <c r="BL53" s="29">
        <v>33.39453401867128</v>
      </c>
      <c r="BM53" s="29">
        <v>33.544050309215436</v>
      </c>
      <c r="BN53" s="29">
        <v>33.699169454755001</v>
      </c>
      <c r="BO53" s="29">
        <v>33.833312748848449</v>
      </c>
      <c r="BP53" s="29">
        <v>33.977328107493548</v>
      </c>
      <c r="BQ53" s="29">
        <v>34.126694156272912</v>
      </c>
      <c r="BR53" s="29">
        <v>34.272077781820371</v>
      </c>
      <c r="BS53" s="29">
        <v>34.403204532374488</v>
      </c>
      <c r="BT53" s="29">
        <v>34.548481267346176</v>
      </c>
      <c r="BU53" s="29">
        <v>34.697406185890188</v>
      </c>
      <c r="BV53" s="29">
        <v>34.84453533899962</v>
      </c>
      <c r="BW53" s="29">
        <v>34.990828069288959</v>
      </c>
      <c r="BX53" s="29">
        <v>35.136279372936286</v>
      </c>
      <c r="BY53" s="29">
        <v>35.280884972509838</v>
      </c>
      <c r="BZ53" s="29">
        <v>35.424641259225396</v>
      </c>
      <c r="CA53" s="29">
        <v>35.567545210602283</v>
      </c>
      <c r="CB53" s="29">
        <v>35.709594284982501</v>
      </c>
      <c r="CC53" s="29">
        <v>35.850786304974918</v>
      </c>
      <c r="CD53" s="29">
        <v>35.991119377665555</v>
      </c>
      <c r="CE53" s="29">
        <v>36.130591893717423</v>
      </c>
      <c r="CF53" s="29">
        <v>36.269202535410749</v>
      </c>
      <c r="CG53" s="29">
        <v>36.406950275939408</v>
      </c>
      <c r="CH53" s="29">
        <v>36.543834373199616</v>
      </c>
      <c r="CI53" s="29">
        <v>36.679863628226457</v>
      </c>
      <c r="CJ53" s="29">
        <v>36.815036416954499</v>
      </c>
      <c r="CK53" s="29">
        <v>36.949351271270203</v>
      </c>
      <c r="CL53" s="29">
        <v>37.08280687622343</v>
      </c>
      <c r="CM53" s="29">
        <v>37.215402067271114</v>
      </c>
      <c r="CN53" s="29">
        <v>37.347135827552151</v>
      </c>
      <c r="CO53" s="29">
        <v>37.478007285193584</v>
      </c>
      <c r="CP53" s="29">
        <v>37.608015710649831</v>
      </c>
      <c r="CQ53" s="29">
        <v>37.737160514073395</v>
      </c>
      <c r="CR53" s="29">
        <v>37.86544124271807</v>
      </c>
      <c r="CS53" s="29">
        <v>37.992857578373986</v>
      </c>
      <c r="CT53" s="29">
        <v>38.119409334834529</v>
      </c>
      <c r="CU53" s="29">
        <v>38.245096455395469</v>
      </c>
      <c r="CV53" s="29">
        <v>38.36991901038585</v>
      </c>
      <c r="CW53" s="29">
        <v>38.49387719472989</v>
      </c>
      <c r="CX53" s="29">
        <v>38.616971325540433</v>
      </c>
      <c r="CY53" s="29">
        <v>38.739201839743224</v>
      </c>
      <c r="CZ53" s="29">
        <v>38.860569291731693</v>
      </c>
      <c r="DA53" s="29">
        <v>38.981074351052378</v>
      </c>
      <c r="DB53" s="29">
        <v>39.10071780011971</v>
      </c>
      <c r="DC53" s="29">
        <v>39.219500531960577</v>
      </c>
      <c r="DD53" s="29">
        <v>39.33742354798796</v>
      </c>
      <c r="DE53" s="29">
        <v>39.4544879558037</v>
      </c>
      <c r="DF53" s="29">
        <v>39.570694967028388</v>
      </c>
      <c r="DG53" s="29">
        <v>39.686045895160667</v>
      </c>
      <c r="DH53" s="29">
        <v>39.800542153462459</v>
      </c>
      <c r="DI53" s="29">
        <v>39.914185252872514</v>
      </c>
      <c r="DJ53" s="29">
        <v>40.026976799945416</v>
      </c>
      <c r="DK53" s="29">
        <v>40.138918494817098</v>
      </c>
      <c r="DL53" s="29">
        <v>40.250012129196691</v>
      </c>
      <c r="DM53" s="29">
        <v>40.360259584381907</v>
      </c>
      <c r="DN53" s="29">
        <v>40.469662829301541</v>
      </c>
      <c r="DO53" s="29">
        <v>40.578223918580207</v>
      </c>
      <c r="DP53" s="29">
        <v>40.68594499062835</v>
      </c>
      <c r="DQ53" s="29">
        <v>40.792828265755496</v>
      </c>
      <c r="DR53" s="29">
        <v>40.898876044306178</v>
      </c>
      <c r="DS53">
        <v>41.004090704819731</v>
      </c>
      <c r="DT53">
        <v>41.108474702211211</v>
      </c>
      <c r="DU53">
        <v>41.212030565975148</v>
      </c>
    </row>
    <row r="54" spans="1:125">
      <c r="A54" s="34">
        <v>52</v>
      </c>
      <c r="B54" s="35"/>
      <c r="C54" s="35"/>
      <c r="D54" s="35"/>
      <c r="E54" s="35"/>
      <c r="F54" s="35"/>
      <c r="G54" s="35"/>
      <c r="H54" s="35"/>
      <c r="I54" s="35"/>
      <c r="J54" s="35"/>
      <c r="K54" s="35"/>
      <c r="L54" s="35"/>
      <c r="M54" s="35"/>
      <c r="N54" s="35"/>
      <c r="O54" s="35"/>
      <c r="P54" s="35"/>
      <c r="Q54" s="35"/>
      <c r="R54" s="35"/>
      <c r="S54" s="35"/>
      <c r="T54" s="35"/>
      <c r="U54" s="35"/>
      <c r="V54" s="29"/>
      <c r="W54" s="29"/>
      <c r="X54" s="29"/>
      <c r="Y54" s="29">
        <v>27.275980677471619</v>
      </c>
      <c r="Z54" s="29">
        <v>27.499317541349207</v>
      </c>
      <c r="AA54" s="29">
        <v>27.675376439000033</v>
      </c>
      <c r="AB54" s="29">
        <v>27.837835228828006</v>
      </c>
      <c r="AC54" s="29">
        <v>27.939449380281303</v>
      </c>
      <c r="AD54" s="29">
        <v>27.972440011565155</v>
      </c>
      <c r="AE54" s="29">
        <v>28.132026753891235</v>
      </c>
      <c r="AF54" s="29">
        <v>28.32034325171497</v>
      </c>
      <c r="AG54" s="29">
        <v>28.522305329945475</v>
      </c>
      <c r="AH54" s="29">
        <v>28.732095418234511</v>
      </c>
      <c r="AI54" s="29">
        <v>28.927551857140017</v>
      </c>
      <c r="AJ54" s="29">
        <v>29.177445562032133</v>
      </c>
      <c r="AK54" s="29">
        <v>29.412865363992012</v>
      </c>
      <c r="AL54" s="29">
        <v>29.698905248288767</v>
      </c>
      <c r="AM54" s="29">
        <v>29.947741848410949</v>
      </c>
      <c r="AN54" s="29">
        <v>30.137715151621173</v>
      </c>
      <c r="AO54" s="29">
        <v>30.267481075473931</v>
      </c>
      <c r="AP54" s="29">
        <v>30.385248157310883</v>
      </c>
      <c r="AQ54" s="29">
        <v>30.476710071125218</v>
      </c>
      <c r="AR54" s="29">
        <v>30.583705437699891</v>
      </c>
      <c r="AS54" s="29">
        <v>30.601739876501917</v>
      </c>
      <c r="AT54" s="29">
        <v>30.596370029875075</v>
      </c>
      <c r="AU54" s="29">
        <v>30.632109726301159</v>
      </c>
      <c r="AV54" s="29">
        <v>30.663504339295763</v>
      </c>
      <c r="AW54" s="29">
        <v>30.859520307488779</v>
      </c>
      <c r="AX54" s="29">
        <v>30.908626435678908</v>
      </c>
      <c r="AY54" s="29">
        <v>30.995446155188851</v>
      </c>
      <c r="AZ54" s="29">
        <v>31.077505502525558</v>
      </c>
      <c r="BA54" s="29">
        <v>31.145605443961372</v>
      </c>
      <c r="BB54" s="29">
        <v>31.241030894259566</v>
      </c>
      <c r="BC54" s="29">
        <v>31.336407411994934</v>
      </c>
      <c r="BD54" s="29">
        <v>31.427446511052722</v>
      </c>
      <c r="BE54" s="29">
        <v>31.547557508446062</v>
      </c>
      <c r="BF54" s="29">
        <v>31.661841617192749</v>
      </c>
      <c r="BG54" s="29">
        <v>31.781535060119822</v>
      </c>
      <c r="BH54" s="29">
        <v>31.940741659678494</v>
      </c>
      <c r="BI54" s="29">
        <v>32.060305525216769</v>
      </c>
      <c r="BJ54" s="29">
        <v>32.197529584324627</v>
      </c>
      <c r="BK54" s="29">
        <v>32.330464323228128</v>
      </c>
      <c r="BL54" s="29">
        <v>32.499121233595645</v>
      </c>
      <c r="BM54" s="29">
        <v>32.645286145828749</v>
      </c>
      <c r="BN54" s="29">
        <v>32.7951473729049</v>
      </c>
      <c r="BO54" s="29">
        <v>32.929392181557958</v>
      </c>
      <c r="BP54" s="29">
        <v>33.07378241831077</v>
      </c>
      <c r="BQ54" s="29">
        <v>33.22027838976463</v>
      </c>
      <c r="BR54" s="29">
        <v>33.363517867584122</v>
      </c>
      <c r="BS54" s="29">
        <v>33.499318622215668</v>
      </c>
      <c r="BT54" s="29">
        <v>33.647509212838415</v>
      </c>
      <c r="BU54" s="29">
        <v>33.79401020379099</v>
      </c>
      <c r="BV54" s="29">
        <v>33.939697936015918</v>
      </c>
      <c r="BW54" s="29">
        <v>34.084566558542427</v>
      </c>
      <c r="BX54" s="29">
        <v>34.228610961863794</v>
      </c>
      <c r="BY54" s="29">
        <v>34.371826764032875</v>
      </c>
      <c r="BZ54" s="29">
        <v>34.514210252353159</v>
      </c>
      <c r="CA54" s="29">
        <v>34.655758300436972</v>
      </c>
      <c r="CB54" s="29">
        <v>34.796468262137608</v>
      </c>
      <c r="CC54" s="29">
        <v>34.936337854442534</v>
      </c>
      <c r="CD54" s="29">
        <v>35.075365077312433</v>
      </c>
      <c r="CE54" s="29">
        <v>35.213548212701198</v>
      </c>
      <c r="CF54" s="29">
        <v>35.350885832557097</v>
      </c>
      <c r="CG54" s="29">
        <v>35.48737679806213</v>
      </c>
      <c r="CH54" s="29">
        <v>35.623030592455237</v>
      </c>
      <c r="CI54" s="29">
        <v>35.75784531200182</v>
      </c>
      <c r="CJ54" s="29">
        <v>35.891819210437923</v>
      </c>
      <c r="CK54" s="29">
        <v>36.024950696224579</v>
      </c>
      <c r="CL54" s="29">
        <v>36.157238329831614</v>
      </c>
      <c r="CM54" s="29">
        <v>36.288680821052331</v>
      </c>
      <c r="CN54" s="29">
        <v>36.419277026348567</v>
      </c>
      <c r="CO54" s="29">
        <v>36.549025946225662</v>
      </c>
      <c r="CP54" s="29">
        <v>36.677926722639356</v>
      </c>
      <c r="CQ54" s="29">
        <v>36.805978636433053</v>
      </c>
      <c r="CR54" s="29">
        <v>36.933181104806167</v>
      </c>
      <c r="CS54" s="29">
        <v>37.059533678813182</v>
      </c>
      <c r="CT54" s="29">
        <v>37.185036040893252</v>
      </c>
      <c r="CU54" s="29">
        <v>37.309688002430775</v>
      </c>
      <c r="CV54" s="29">
        <v>37.433489501346315</v>
      </c>
      <c r="CW54" s="29">
        <v>37.556440599717355</v>
      </c>
      <c r="CX54" s="29">
        <v>37.678541481429164</v>
      </c>
      <c r="CY54" s="29">
        <v>37.799792449855204</v>
      </c>
      <c r="CZ54" s="29">
        <v>37.920193925566764</v>
      </c>
      <c r="DA54" s="29">
        <v>38.039746444071781</v>
      </c>
      <c r="DB54" s="29">
        <v>38.158450653581788</v>
      </c>
      <c r="DC54" s="29">
        <v>38.276307312807248</v>
      </c>
      <c r="DD54" s="29">
        <v>38.393317288780644</v>
      </c>
      <c r="DE54" s="29">
        <v>38.509481554707392</v>
      </c>
      <c r="DF54" s="29">
        <v>38.62480118784255</v>
      </c>
      <c r="DG54" s="29">
        <v>38.739277367395538</v>
      </c>
      <c r="DH54" s="29">
        <v>38.852911372459644</v>
      </c>
      <c r="DI54" s="29">
        <v>38.965704579968381</v>
      </c>
      <c r="DJ54" s="29">
        <v>39.077658462676155</v>
      </c>
      <c r="DK54" s="29">
        <v>39.188774587164048</v>
      </c>
      <c r="DL54" s="29">
        <v>39.299054611870787</v>
      </c>
      <c r="DM54" s="29">
        <v>39.408500285145877</v>
      </c>
      <c r="DN54" s="29">
        <v>39.517113443328753</v>
      </c>
      <c r="DO54" s="29">
        <v>39.624896008848836</v>
      </c>
      <c r="DP54" s="29">
        <v>39.731849988349708</v>
      </c>
      <c r="DQ54" s="29">
        <v>39.837977470835341</v>
      </c>
      <c r="DR54" s="29">
        <v>39.943280625837808</v>
      </c>
      <c r="DS54">
        <v>40.047761701607755</v>
      </c>
      <c r="DT54">
        <v>40.15142302332481</v>
      </c>
      <c r="DU54">
        <v>40.254266991329729</v>
      </c>
    </row>
    <row r="55" spans="1:125">
      <c r="A55" s="34">
        <v>53</v>
      </c>
      <c r="B55" s="35"/>
      <c r="C55" s="35"/>
      <c r="D55" s="35"/>
      <c r="E55" s="35"/>
      <c r="F55" s="35"/>
      <c r="G55" s="35"/>
      <c r="H55" s="35"/>
      <c r="I55" s="35"/>
      <c r="J55" s="35"/>
      <c r="K55" s="35"/>
      <c r="L55" s="35"/>
      <c r="M55" s="35"/>
      <c r="N55" s="35"/>
      <c r="O55" s="35"/>
      <c r="P55" s="35"/>
      <c r="Q55" s="35"/>
      <c r="R55" s="35"/>
      <c r="S55" s="35"/>
      <c r="T55" s="35"/>
      <c r="U55" s="35"/>
      <c r="V55" s="29"/>
      <c r="W55" s="29"/>
      <c r="X55" s="29"/>
      <c r="Y55" s="29">
        <v>26.457908613025502</v>
      </c>
      <c r="Z55" s="29">
        <v>26.676663474831777</v>
      </c>
      <c r="AA55" s="29">
        <v>26.851782609612428</v>
      </c>
      <c r="AB55" s="29">
        <v>27.012233985648891</v>
      </c>
      <c r="AC55" s="29">
        <v>27.119635184314749</v>
      </c>
      <c r="AD55" s="29">
        <v>27.151020979145795</v>
      </c>
      <c r="AE55" s="29">
        <v>27.309693401917837</v>
      </c>
      <c r="AF55" s="29">
        <v>27.493390013631334</v>
      </c>
      <c r="AG55" s="29">
        <v>27.692584378519118</v>
      </c>
      <c r="AH55" s="29">
        <v>27.900939711647528</v>
      </c>
      <c r="AI55" s="29">
        <v>28.09564691857658</v>
      </c>
      <c r="AJ55" s="29">
        <v>28.339946100611169</v>
      </c>
      <c r="AK55" s="29">
        <v>28.575645777774177</v>
      </c>
      <c r="AL55" s="29">
        <v>28.854293129945805</v>
      </c>
      <c r="AM55" s="29">
        <v>29.100343545488897</v>
      </c>
      <c r="AN55" s="29">
        <v>29.296018245683825</v>
      </c>
      <c r="AO55" s="29">
        <v>29.421105173219658</v>
      </c>
      <c r="AP55" s="29">
        <v>29.538366824988053</v>
      </c>
      <c r="AQ55" s="29">
        <v>29.631049257038448</v>
      </c>
      <c r="AR55" s="29">
        <v>29.734740540870931</v>
      </c>
      <c r="AS55" s="29">
        <v>29.750014435873332</v>
      </c>
      <c r="AT55" s="29">
        <v>29.745187984181204</v>
      </c>
      <c r="AU55" s="29">
        <v>29.77430566797085</v>
      </c>
      <c r="AV55" s="29">
        <v>29.798959083542414</v>
      </c>
      <c r="AW55" s="29">
        <v>29.99689299994283</v>
      </c>
      <c r="AX55" s="29">
        <v>30.039933761026397</v>
      </c>
      <c r="AY55" s="29">
        <v>30.129893488970257</v>
      </c>
      <c r="AZ55" s="29">
        <v>30.211386604814471</v>
      </c>
      <c r="BA55" s="29">
        <v>30.277831604043492</v>
      </c>
      <c r="BB55" s="29">
        <v>30.371287986950836</v>
      </c>
      <c r="BC55" s="29">
        <v>30.465232947624479</v>
      </c>
      <c r="BD55" s="29">
        <v>30.55167249653184</v>
      </c>
      <c r="BE55" s="29">
        <v>30.672381226930526</v>
      </c>
      <c r="BF55" s="29">
        <v>30.783397626358678</v>
      </c>
      <c r="BG55" s="29">
        <v>30.902459476211067</v>
      </c>
      <c r="BH55" s="29">
        <v>31.060928910164343</v>
      </c>
      <c r="BI55" s="29">
        <v>31.178424112716282</v>
      </c>
      <c r="BJ55" s="29">
        <v>31.314646512258506</v>
      </c>
      <c r="BK55" s="29">
        <v>31.442194496761431</v>
      </c>
      <c r="BL55" s="29">
        <v>31.608949182197115</v>
      </c>
      <c r="BM55" s="29">
        <v>31.753648470200137</v>
      </c>
      <c r="BN55" s="29">
        <v>31.897488321028913</v>
      </c>
      <c r="BO55" s="29">
        <v>32.031587652398841</v>
      </c>
      <c r="BP55" s="29">
        <v>32.175288464983339</v>
      </c>
      <c r="BQ55" s="29">
        <v>32.318525090164201</v>
      </c>
      <c r="BR55" s="29">
        <v>32.462936297361438</v>
      </c>
      <c r="BS55" s="29">
        <v>32.605345697123212</v>
      </c>
      <c r="BT55" s="29">
        <v>32.751114526888813</v>
      </c>
      <c r="BU55" s="29">
        <v>32.896094453468066</v>
      </c>
      <c r="BV55" s="29">
        <v>33.040278852036238</v>
      </c>
      <c r="BW55" s="29">
        <v>33.183661772886985</v>
      </c>
      <c r="BX55" s="29">
        <v>33.326238009365539</v>
      </c>
      <c r="BY55" s="29">
        <v>33.468003083492036</v>
      </c>
      <c r="BZ55" s="29">
        <v>33.608953187036271</v>
      </c>
      <c r="CA55" s="29">
        <v>33.74908509792516</v>
      </c>
      <c r="CB55" s="29">
        <v>33.888396073535958</v>
      </c>
      <c r="CC55" s="29">
        <v>34.026883732989617</v>
      </c>
      <c r="CD55" s="29">
        <v>34.164545976585373</v>
      </c>
      <c r="CE55" s="29">
        <v>34.301380984733541</v>
      </c>
      <c r="CF55" s="29">
        <v>34.437387225913724</v>
      </c>
      <c r="CG55" s="29">
        <v>34.572574748578418</v>
      </c>
      <c r="CH55" s="29">
        <v>34.706941374897767</v>
      </c>
      <c r="CI55" s="29">
        <v>34.840485085627954</v>
      </c>
      <c r="CJ55" s="29">
        <v>34.97320401741581</v>
      </c>
      <c r="CK55" s="29">
        <v>35.105096460132302</v>
      </c>
      <c r="CL55" s="29">
        <v>35.236160854234342</v>
      </c>
      <c r="CM55" s="29">
        <v>35.366395788156495</v>
      </c>
      <c r="CN55" s="29">
        <v>35.495799995731744</v>
      </c>
      <c r="CO55" s="29">
        <v>35.6243723536411</v>
      </c>
      <c r="CP55" s="29">
        <v>35.752111878893857</v>
      </c>
      <c r="CQ55" s="29">
        <v>35.879017726336947</v>
      </c>
      <c r="CR55" s="29">
        <v>36.005089186194141</v>
      </c>
      <c r="CS55" s="29">
        <v>36.130325681634638</v>
      </c>
      <c r="CT55" s="29">
        <v>36.254726766370837</v>
      </c>
      <c r="CU55" s="29">
        <v>36.378292122285778</v>
      </c>
      <c r="CV55" s="29">
        <v>36.501021557089572</v>
      </c>
      <c r="CW55" s="29">
        <v>36.622915002004262</v>
      </c>
      <c r="CX55" s="29">
        <v>36.743972509477416</v>
      </c>
      <c r="CY55" s="29">
        <v>36.86419425092393</v>
      </c>
      <c r="CZ55" s="29">
        <v>36.983580514495543</v>
      </c>
      <c r="DA55" s="29">
        <v>37.102131702878282</v>
      </c>
      <c r="DB55" s="29">
        <v>37.219848331116509</v>
      </c>
      <c r="DC55" s="29">
        <v>37.336731024464001</v>
      </c>
      <c r="DD55" s="29">
        <v>37.45278051626147</v>
      </c>
      <c r="DE55" s="29">
        <v>37.567997645840308</v>
      </c>
      <c r="DF55" s="29">
        <v>37.682383356450913</v>
      </c>
      <c r="DG55" s="29">
        <v>37.795938693217614</v>
      </c>
      <c r="DH55" s="29">
        <v>37.908664801116906</v>
      </c>
      <c r="DI55" s="29">
        <v>38.020562922981298</v>
      </c>
      <c r="DJ55" s="29">
        <v>38.131634397525993</v>
      </c>
      <c r="DK55" s="29">
        <v>38.241880657399449</v>
      </c>
      <c r="DL55" s="29">
        <v>38.351303227257674</v>
      </c>
      <c r="DM55" s="29">
        <v>38.459903721859504</v>
      </c>
      <c r="DN55" s="29">
        <v>38.567683844186426</v>
      </c>
      <c r="DO55" s="29">
        <v>38.674645383582174</v>
      </c>
      <c r="DP55" s="29">
        <v>38.780790213915054</v>
      </c>
      <c r="DQ55" s="29">
        <v>38.886120291761117</v>
      </c>
      <c r="DR55" s="29">
        <v>38.990637654607568</v>
      </c>
      <c r="DS55">
        <v>39.094344419077672</v>
      </c>
      <c r="DT55">
        <v>39.197242779174459</v>
      </c>
      <c r="DU55">
        <v>39.299335004544893</v>
      </c>
    </row>
    <row r="56" spans="1:125">
      <c r="A56" s="34">
        <v>54</v>
      </c>
      <c r="B56" s="35"/>
      <c r="C56" s="35"/>
      <c r="D56" s="35"/>
      <c r="E56" s="35"/>
      <c r="F56" s="35"/>
      <c r="G56" s="35"/>
      <c r="H56" s="35"/>
      <c r="I56" s="35"/>
      <c r="J56" s="35"/>
      <c r="K56" s="35"/>
      <c r="L56" s="35"/>
      <c r="M56" s="35"/>
      <c r="N56" s="35"/>
      <c r="O56" s="35"/>
      <c r="P56" s="35"/>
      <c r="Q56" s="35"/>
      <c r="R56" s="35"/>
      <c r="S56" s="35"/>
      <c r="T56" s="35"/>
      <c r="U56" s="35"/>
      <c r="V56" s="29"/>
      <c r="W56" s="29"/>
      <c r="X56" s="29"/>
      <c r="Y56" s="29">
        <v>25.646033073335708</v>
      </c>
      <c r="Z56" s="29">
        <v>25.862587473413463</v>
      </c>
      <c r="AA56" s="29">
        <v>26.035538152825815</v>
      </c>
      <c r="AB56" s="29">
        <v>26.197324985983354</v>
      </c>
      <c r="AC56" s="29">
        <v>26.30136358831853</v>
      </c>
      <c r="AD56" s="29">
        <v>26.337689057463301</v>
      </c>
      <c r="AE56" s="29">
        <v>26.494244387967896</v>
      </c>
      <c r="AF56" s="29">
        <v>26.676814951764555</v>
      </c>
      <c r="AG56" s="29">
        <v>26.870398940611082</v>
      </c>
      <c r="AH56" s="29">
        <v>27.076841916557463</v>
      </c>
      <c r="AI56" s="29">
        <v>27.266575034504246</v>
      </c>
      <c r="AJ56" s="29">
        <v>27.51293360599162</v>
      </c>
      <c r="AK56" s="29">
        <v>27.745538918023691</v>
      </c>
      <c r="AL56" s="29">
        <v>28.021576196588281</v>
      </c>
      <c r="AM56" s="29">
        <v>28.270874658112206</v>
      </c>
      <c r="AN56" s="29">
        <v>28.458801025216918</v>
      </c>
      <c r="AO56" s="29">
        <v>28.583517287124657</v>
      </c>
      <c r="AP56" s="29">
        <v>28.691659534133727</v>
      </c>
      <c r="AQ56" s="29">
        <v>28.786692184442195</v>
      </c>
      <c r="AR56" s="29">
        <v>28.890426694635572</v>
      </c>
      <c r="AS56" s="29">
        <v>28.901456347978026</v>
      </c>
      <c r="AT56" s="29">
        <v>28.897144365642465</v>
      </c>
      <c r="AU56" s="29">
        <v>28.918120221844234</v>
      </c>
      <c r="AV56" s="29">
        <v>28.947163890548847</v>
      </c>
      <c r="AW56" s="29">
        <v>29.134800922257057</v>
      </c>
      <c r="AX56" s="29">
        <v>29.177127129308225</v>
      </c>
      <c r="AY56" s="29">
        <v>29.26918398601676</v>
      </c>
      <c r="AZ56" s="29">
        <v>29.347525979521464</v>
      </c>
      <c r="BA56" s="29">
        <v>29.413589022891287</v>
      </c>
      <c r="BB56" s="29">
        <v>29.502476328416193</v>
      </c>
      <c r="BC56" s="29">
        <v>29.595242916898172</v>
      </c>
      <c r="BD56" s="29">
        <v>29.683450400272232</v>
      </c>
      <c r="BE56" s="29">
        <v>29.800275443088893</v>
      </c>
      <c r="BF56" s="29">
        <v>29.911507502276237</v>
      </c>
      <c r="BG56" s="29">
        <v>30.032727562763917</v>
      </c>
      <c r="BH56" s="29">
        <v>30.184013473715254</v>
      </c>
      <c r="BI56" s="29">
        <v>30.302007644057063</v>
      </c>
      <c r="BJ56" s="29">
        <v>30.437080383649786</v>
      </c>
      <c r="BK56" s="29">
        <v>30.563645122497825</v>
      </c>
      <c r="BL56" s="29">
        <v>30.726973500956834</v>
      </c>
      <c r="BM56" s="29">
        <v>30.864657104860665</v>
      </c>
      <c r="BN56" s="29">
        <v>31.008775045261352</v>
      </c>
      <c r="BO56" s="29">
        <v>31.139456031701314</v>
      </c>
      <c r="BP56" s="29">
        <v>31.283947968355498</v>
      </c>
      <c r="BQ56" s="29">
        <v>31.426449387956623</v>
      </c>
      <c r="BR56" s="29">
        <v>31.571395397098335</v>
      </c>
      <c r="BS56" s="29">
        <v>31.716322476718396</v>
      </c>
      <c r="BT56" s="29">
        <v>31.860486127367366</v>
      </c>
      <c r="BU56" s="29">
        <v>32.00387905741249</v>
      </c>
      <c r="BV56" s="29">
        <v>32.146494549759979</v>
      </c>
      <c r="BW56" s="29">
        <v>32.288326564150552</v>
      </c>
      <c r="BX56" s="29">
        <v>32.429369804965198</v>
      </c>
      <c r="BY56" s="29">
        <v>32.569619706334578</v>
      </c>
      <c r="BZ56" s="29">
        <v>32.709072372543176</v>
      </c>
      <c r="CA56" s="29">
        <v>32.847724493729132</v>
      </c>
      <c r="CB56" s="29">
        <v>32.985573238482345</v>
      </c>
      <c r="CC56" s="29">
        <v>33.122616135485231</v>
      </c>
      <c r="CD56" s="29">
        <v>33.258850992507419</v>
      </c>
      <c r="CE56" s="29">
        <v>33.394275895243211</v>
      </c>
      <c r="CF56" s="29">
        <v>33.528901343868284</v>
      </c>
      <c r="CG56" s="29">
        <v>33.662724892659668</v>
      </c>
      <c r="CH56" s="29">
        <v>33.7957442551646</v>
      </c>
      <c r="CI56" s="29">
        <v>33.927957301565421</v>
      </c>
      <c r="CJ56" s="29">
        <v>34.059362056070547</v>
      </c>
      <c r="CK56" s="29">
        <v>34.189956694333361</v>
      </c>
      <c r="CL56" s="29">
        <v>34.319739540898304</v>
      </c>
      <c r="CM56" s="29">
        <v>34.448709066675676</v>
      </c>
      <c r="CN56" s="29">
        <v>34.576863886444372</v>
      </c>
      <c r="CO56" s="29">
        <v>34.704202756382074</v>
      </c>
      <c r="CP56" s="29">
        <v>34.83072457162497</v>
      </c>
      <c r="CQ56" s="29">
        <v>34.956428363855217</v>
      </c>
      <c r="CR56" s="29">
        <v>35.081313298916832</v>
      </c>
      <c r="CS56" s="29">
        <v>35.205378674459702</v>
      </c>
      <c r="CT56" s="29">
        <v>35.328623917611353</v>
      </c>
      <c r="CU56" s="29">
        <v>35.451048582676975</v>
      </c>
      <c r="CV56" s="29">
        <v>35.57265234886701</v>
      </c>
      <c r="CW56" s="29">
        <v>35.693435018051744</v>
      </c>
      <c r="CX56" s="29">
        <v>35.813396512543164</v>
      </c>
      <c r="CY56" s="29">
        <v>35.932536872903583</v>
      </c>
      <c r="CZ56" s="29">
        <v>36.050856255780488</v>
      </c>
      <c r="DA56" s="29">
        <v>36.168354931767858</v>
      </c>
      <c r="DB56" s="29">
        <v>36.285033283292577</v>
      </c>
      <c r="DC56" s="29">
        <v>36.400891802526488</v>
      </c>
      <c r="DD56" s="29">
        <v>36.515931089323246</v>
      </c>
      <c r="DE56" s="29">
        <v>36.630151849180152</v>
      </c>
      <c r="DF56" s="29">
        <v>36.743554891222871</v>
      </c>
      <c r="DG56" s="29">
        <v>36.856141126215455</v>
      </c>
      <c r="DH56" s="29">
        <v>36.967911564592093</v>
      </c>
      <c r="DI56" s="29">
        <v>37.078867314513111</v>
      </c>
      <c r="DJ56" s="29">
        <v>37.189009579942379</v>
      </c>
      <c r="DK56" s="29">
        <v>37.298339658747039</v>
      </c>
      <c r="DL56" s="29">
        <v>37.406858940819745</v>
      </c>
      <c r="DM56" s="29">
        <v>37.514568906220347</v>
      </c>
      <c r="DN56" s="29">
        <v>37.621471123340754</v>
      </c>
      <c r="DO56" s="29">
        <v>37.727567247088245</v>
      </c>
      <c r="DP56" s="29">
        <v>37.832859017090122</v>
      </c>
      <c r="DQ56" s="29">
        <v>37.937348255917897</v>
      </c>
      <c r="DR56" s="29">
        <v>38.041036867330284</v>
      </c>
      <c r="DS56">
        <v>38.143926834536643</v>
      </c>
      <c r="DT56">
        <v>38.246020218477582</v>
      </c>
      <c r="DU56">
        <v>38.347319156125074</v>
      </c>
    </row>
    <row r="57" spans="1:125">
      <c r="A57" s="34">
        <v>55</v>
      </c>
      <c r="B57" s="35"/>
      <c r="C57" s="35"/>
      <c r="D57" s="35"/>
      <c r="E57" s="35"/>
      <c r="F57" s="35"/>
      <c r="G57" s="35"/>
      <c r="H57" s="35"/>
      <c r="I57" s="35"/>
      <c r="J57" s="35"/>
      <c r="K57" s="35"/>
      <c r="L57" s="35"/>
      <c r="M57" s="35"/>
      <c r="N57" s="35"/>
      <c r="O57" s="35"/>
      <c r="P57" s="35"/>
      <c r="Q57" s="35"/>
      <c r="R57" s="35"/>
      <c r="S57" s="35"/>
      <c r="T57" s="35"/>
      <c r="U57" s="35"/>
      <c r="V57" s="29"/>
      <c r="W57" s="29"/>
      <c r="X57" s="29"/>
      <c r="Y57" s="29">
        <v>24.837262856470964</v>
      </c>
      <c r="Z57" s="29">
        <v>25.056173932264073</v>
      </c>
      <c r="AA57" s="29">
        <v>25.227740964309586</v>
      </c>
      <c r="AB57" s="29">
        <v>25.392617552519997</v>
      </c>
      <c r="AC57" s="29">
        <v>25.494004343348326</v>
      </c>
      <c r="AD57" s="29">
        <v>25.529704651641076</v>
      </c>
      <c r="AE57" s="29">
        <v>25.6826259016192</v>
      </c>
      <c r="AF57" s="29">
        <v>25.866215821126495</v>
      </c>
      <c r="AG57" s="29">
        <v>26.059791485568432</v>
      </c>
      <c r="AH57" s="29">
        <v>26.261031794401639</v>
      </c>
      <c r="AI57" s="29">
        <v>26.454246085481259</v>
      </c>
      <c r="AJ57" s="29">
        <v>26.692097542041061</v>
      </c>
      <c r="AK57" s="29">
        <v>26.926836923043236</v>
      </c>
      <c r="AL57" s="29">
        <v>27.197225699959215</v>
      </c>
      <c r="AM57" s="29">
        <v>27.447477245638975</v>
      </c>
      <c r="AN57" s="29">
        <v>27.628553221579537</v>
      </c>
      <c r="AO57" s="29">
        <v>27.750440904663019</v>
      </c>
      <c r="AP57" s="29">
        <v>27.859025770872993</v>
      </c>
      <c r="AQ57" s="29">
        <v>27.950423007145481</v>
      </c>
      <c r="AR57" s="29">
        <v>28.046884908536203</v>
      </c>
      <c r="AS57" s="29">
        <v>28.054324577352219</v>
      </c>
      <c r="AT57" s="29">
        <v>28.051562142884492</v>
      </c>
      <c r="AU57" s="29">
        <v>28.074098003636948</v>
      </c>
      <c r="AV57" s="29">
        <v>28.09690674393341</v>
      </c>
      <c r="AW57" s="29">
        <v>28.282278156802064</v>
      </c>
      <c r="AX57" s="29">
        <v>28.325710353073042</v>
      </c>
      <c r="AY57" s="29">
        <v>28.410182918076007</v>
      </c>
      <c r="AZ57" s="29">
        <v>28.491077014432896</v>
      </c>
      <c r="BA57" s="29">
        <v>28.555274175907101</v>
      </c>
      <c r="BB57" s="29">
        <v>28.638663054552339</v>
      </c>
      <c r="BC57" s="29">
        <v>28.731390348919174</v>
      </c>
      <c r="BD57" s="29">
        <v>28.820314452935236</v>
      </c>
      <c r="BE57" s="29">
        <v>28.938398281200136</v>
      </c>
      <c r="BF57" s="29">
        <v>29.050374342366318</v>
      </c>
      <c r="BG57" s="29">
        <v>29.164843962423248</v>
      </c>
      <c r="BH57" s="29">
        <v>29.318044768660755</v>
      </c>
      <c r="BI57" s="29">
        <v>29.429362763891845</v>
      </c>
      <c r="BJ57" s="29">
        <v>29.567144323416031</v>
      </c>
      <c r="BK57" s="29">
        <v>29.69051318739637</v>
      </c>
      <c r="BL57" s="29">
        <v>29.84879963295317</v>
      </c>
      <c r="BM57" s="29">
        <v>29.986450086757436</v>
      </c>
      <c r="BN57" s="29">
        <v>30.125204474318679</v>
      </c>
      <c r="BO57" s="29">
        <v>30.254705624592937</v>
      </c>
      <c r="BP57" s="29">
        <v>30.400136036218903</v>
      </c>
      <c r="BQ57" s="29">
        <v>30.546229388220958</v>
      </c>
      <c r="BR57" s="29">
        <v>30.690198089048209</v>
      </c>
      <c r="BS57" s="29">
        <v>30.833429915516714</v>
      </c>
      <c r="BT57" s="29">
        <v>30.975917001476262</v>
      </c>
      <c r="BU57" s="29">
        <v>31.117651969064021</v>
      </c>
      <c r="BV57" s="29">
        <v>31.258628016565748</v>
      </c>
      <c r="BW57" s="29">
        <v>31.398839020856691</v>
      </c>
      <c r="BX57" s="29">
        <v>31.538279605066812</v>
      </c>
      <c r="BY57" s="29">
        <v>31.676945123129627</v>
      </c>
      <c r="BZ57" s="29">
        <v>31.814831599455736</v>
      </c>
      <c r="CA57" s="29">
        <v>31.951935643861816</v>
      </c>
      <c r="CB57" s="29">
        <v>32.088254343411712</v>
      </c>
      <c r="CC57" s="29">
        <v>32.223785143346454</v>
      </c>
      <c r="CD57" s="29">
        <v>32.358525765599694</v>
      </c>
      <c r="CE57" s="29">
        <v>32.492487056905382</v>
      </c>
      <c r="CF57" s="29">
        <v>32.625666310422474</v>
      </c>
      <c r="CG57" s="29">
        <v>32.758060978803307</v>
      </c>
      <c r="CH57" s="29">
        <v>32.889668671626339</v>
      </c>
      <c r="CI57" s="29">
        <v>33.020487152855274</v>
      </c>
      <c r="CJ57" s="29">
        <v>33.150514338323376</v>
      </c>
      <c r="CK57" s="29">
        <v>33.279748293244538</v>
      </c>
      <c r="CL57" s="29">
        <v>33.408187229750411</v>
      </c>
      <c r="CM57" s="29">
        <v>33.535829504455002</v>
      </c>
      <c r="CN57" s="29">
        <v>33.662673616045936</v>
      </c>
      <c r="CO57" s="29">
        <v>33.788718202901968</v>
      </c>
      <c r="CP57" s="29">
        <v>33.913962040738532</v>
      </c>
      <c r="CQ57" s="29">
        <v>34.03840404027973</v>
      </c>
      <c r="CR57" s="29">
        <v>34.162043244957395</v>
      </c>
      <c r="CS57" s="29">
        <v>34.284878828636721</v>
      </c>
      <c r="CT57" s="29">
        <v>34.406910093368275</v>
      </c>
      <c r="CU57" s="29">
        <v>34.528136467166703</v>
      </c>
      <c r="CV57" s="29">
        <v>34.648557501815581</v>
      </c>
      <c r="CW57" s="29">
        <v>34.768172870697676</v>
      </c>
      <c r="CX57" s="29">
        <v>34.886982366650997</v>
      </c>
      <c r="CY57" s="29">
        <v>35.004985899849984</v>
      </c>
      <c r="CZ57" s="29">
        <v>35.122183495711454</v>
      </c>
      <c r="DA57" s="29">
        <v>35.238575292825431</v>
      </c>
      <c r="DB57" s="29">
        <v>35.354161540909459</v>
      </c>
      <c r="DC57" s="29">
        <v>35.468942598787095</v>
      </c>
      <c r="DD57" s="29">
        <v>35.582918932389475</v>
      </c>
      <c r="DE57" s="29">
        <v>35.696091112780508</v>
      </c>
      <c r="DF57" s="29">
        <v>35.808459814203204</v>
      </c>
      <c r="DG57" s="29">
        <v>35.920025812149831</v>
      </c>
      <c r="DH57" s="29">
        <v>36.030789981452301</v>
      </c>
      <c r="DI57" s="29">
        <v>36.140753294395239</v>
      </c>
      <c r="DJ57" s="29">
        <v>36.249916818848803</v>
      </c>
      <c r="DK57" s="29">
        <v>36.358281716422582</v>
      </c>
      <c r="DL57" s="29">
        <v>36.465849240640196</v>
      </c>
      <c r="DM57" s="29">
        <v>36.572620735132091</v>
      </c>
      <c r="DN57" s="29">
        <v>36.678597631849925</v>
      </c>
      <c r="DO57" s="29">
        <v>36.783781449297962</v>
      </c>
      <c r="DP57" s="29">
        <v>36.888173790784336</v>
      </c>
      <c r="DQ57" s="29">
        <v>36.991776342690471</v>
      </c>
      <c r="DR57" s="29">
        <v>37.094590872757955</v>
      </c>
      <c r="DS57">
        <v>37.196619228394241</v>
      </c>
      <c r="DT57">
        <v>37.297863334994439</v>
      </c>
      <c r="DU57">
        <v>37.398325194281071</v>
      </c>
    </row>
    <row r="58" spans="1:125">
      <c r="A58" s="34">
        <v>56</v>
      </c>
      <c r="B58" s="35"/>
      <c r="C58" s="35"/>
      <c r="D58" s="35"/>
      <c r="E58" s="35"/>
      <c r="F58" s="35"/>
      <c r="G58" s="35"/>
      <c r="H58" s="35"/>
      <c r="I58" s="35"/>
      <c r="J58" s="35"/>
      <c r="K58" s="35"/>
      <c r="L58" s="35"/>
      <c r="M58" s="35"/>
      <c r="N58" s="35"/>
      <c r="O58" s="35"/>
      <c r="P58" s="35"/>
      <c r="Q58" s="35"/>
      <c r="R58" s="35"/>
      <c r="S58" s="35"/>
      <c r="T58" s="35"/>
      <c r="U58" s="35"/>
      <c r="V58" s="29"/>
      <c r="W58" s="29"/>
      <c r="X58" s="29"/>
      <c r="Y58" s="29">
        <v>24.039666194140928</v>
      </c>
      <c r="Z58" s="29">
        <v>24.260535403853289</v>
      </c>
      <c r="AA58" s="29">
        <v>24.426653120825257</v>
      </c>
      <c r="AB58" s="29">
        <v>24.594709494137511</v>
      </c>
      <c r="AC58" s="29">
        <v>24.693299678001026</v>
      </c>
      <c r="AD58" s="29">
        <v>24.729050440255889</v>
      </c>
      <c r="AE58" s="29">
        <v>24.882801415340694</v>
      </c>
      <c r="AF58" s="29">
        <v>25.063093351512713</v>
      </c>
      <c r="AG58" s="29">
        <v>25.253676498180546</v>
      </c>
      <c r="AH58" s="29">
        <v>25.453748348003028</v>
      </c>
      <c r="AI58" s="29">
        <v>25.644711813693661</v>
      </c>
      <c r="AJ58" s="29">
        <v>25.882869745752121</v>
      </c>
      <c r="AK58" s="29">
        <v>26.116476228390741</v>
      </c>
      <c r="AL58" s="29">
        <v>26.381827165948849</v>
      </c>
      <c r="AM58" s="29">
        <v>26.62810568597606</v>
      </c>
      <c r="AN58" s="29">
        <v>26.80255528366779</v>
      </c>
      <c r="AO58" s="29">
        <v>26.922414412875654</v>
      </c>
      <c r="AP58" s="29">
        <v>27.030603851572188</v>
      </c>
      <c r="AQ58" s="29">
        <v>27.115391265480778</v>
      </c>
      <c r="AR58" s="29">
        <v>27.205725736842346</v>
      </c>
      <c r="AS58" s="29">
        <v>27.213849457858622</v>
      </c>
      <c r="AT58" s="29">
        <v>27.210207110511778</v>
      </c>
      <c r="AU58" s="29">
        <v>27.230921235571415</v>
      </c>
      <c r="AV58" s="29">
        <v>27.254791689470146</v>
      </c>
      <c r="AW58" s="29">
        <v>27.437432510281653</v>
      </c>
      <c r="AX58" s="29">
        <v>27.472732184068231</v>
      </c>
      <c r="AY58" s="29">
        <v>27.563488432804668</v>
      </c>
      <c r="AZ58" s="29">
        <v>27.636074954702373</v>
      </c>
      <c r="BA58" s="29">
        <v>27.702627689576794</v>
      </c>
      <c r="BB58" s="29">
        <v>27.783121971653884</v>
      </c>
      <c r="BC58" s="29">
        <v>27.874152188303846</v>
      </c>
      <c r="BD58" s="29">
        <v>27.964866455293851</v>
      </c>
      <c r="BE58" s="29">
        <v>28.083294561517736</v>
      </c>
      <c r="BF58" s="29">
        <v>28.193104892640235</v>
      </c>
      <c r="BG58" s="29">
        <v>28.306139471587052</v>
      </c>
      <c r="BH58" s="29">
        <v>28.450739126843793</v>
      </c>
      <c r="BI58" s="29">
        <v>28.565916855423268</v>
      </c>
      <c r="BJ58" s="29">
        <v>28.704632984900812</v>
      </c>
      <c r="BK58" s="29">
        <v>28.822865441028064</v>
      </c>
      <c r="BL58" s="29">
        <v>28.978733509783005</v>
      </c>
      <c r="BM58" s="29">
        <v>29.113384018785936</v>
      </c>
      <c r="BN58" s="29">
        <v>29.248060520050558</v>
      </c>
      <c r="BO58" s="29">
        <v>29.385367875576325</v>
      </c>
      <c r="BP58" s="29">
        <v>29.530553269069365</v>
      </c>
      <c r="BQ58" s="29">
        <v>29.673437907814101</v>
      </c>
      <c r="BR58" s="29">
        <v>29.815613283679586</v>
      </c>
      <c r="BS58" s="29">
        <v>29.957071058679425</v>
      </c>
      <c r="BT58" s="29">
        <v>30.097803285890336</v>
      </c>
      <c r="BU58" s="29">
        <v>30.237802508121852</v>
      </c>
      <c r="BV58" s="29">
        <v>30.377061846008232</v>
      </c>
      <c r="BW58" s="29">
        <v>30.515575100604238</v>
      </c>
      <c r="BX58" s="29">
        <v>30.653336820894054</v>
      </c>
      <c r="BY58" s="29">
        <v>30.790342287726158</v>
      </c>
      <c r="BZ58" s="29">
        <v>30.926587452687848</v>
      </c>
      <c r="CA58" s="29">
        <v>31.06206885219196</v>
      </c>
      <c r="CB58" s="29">
        <v>31.196783498490852</v>
      </c>
      <c r="CC58" s="29">
        <v>31.330728759830212</v>
      </c>
      <c r="CD58" s="29">
        <v>31.463915740676413</v>
      </c>
      <c r="CE58" s="29">
        <v>31.596341480366483</v>
      </c>
      <c r="CF58" s="29">
        <v>31.728003177453086</v>
      </c>
      <c r="CG58" s="29">
        <v>31.858898187217218</v>
      </c>
      <c r="CH58" s="29">
        <v>31.989024019203981</v>
      </c>
      <c r="CI58" s="29">
        <v>32.118378334783728</v>
      </c>
      <c r="CJ58" s="29">
        <v>32.246958944737216</v>
      </c>
      <c r="CK58" s="29">
        <v>32.374763806866483</v>
      </c>
      <c r="CL58" s="29">
        <v>32.501791023630318</v>
      </c>
      <c r="CM58" s="29">
        <v>32.628038839806152</v>
      </c>
      <c r="CN58" s="29">
        <v>32.753505640177124</v>
      </c>
      <c r="CO58" s="29">
        <v>32.878189947244039</v>
      </c>
      <c r="CP58" s="29">
        <v>33.002090418963967</v>
      </c>
      <c r="CQ58" s="29">
        <v>33.125205846513765</v>
      </c>
      <c r="CR58" s="29">
        <v>33.247535152079216</v>
      </c>
      <c r="CS58" s="29">
        <v>33.369077386669204</v>
      </c>
      <c r="CT58" s="29">
        <v>33.48983172795463</v>
      </c>
      <c r="CU58" s="29">
        <v>33.609797478132599</v>
      </c>
      <c r="CV58" s="29">
        <v>33.728974061814966</v>
      </c>
      <c r="CW58" s="29">
        <v>33.84736102394082</v>
      </c>
      <c r="CX58" s="29">
        <v>33.964958027713038</v>
      </c>
      <c r="CY58" s="29">
        <v>34.081764852558365</v>
      </c>
      <c r="CZ58" s="29">
        <v>34.197781392110606</v>
      </c>
      <c r="DA58" s="29">
        <v>34.313007652216982</v>
      </c>
      <c r="DB58" s="29">
        <v>34.427443748966404</v>
      </c>
      <c r="DC58" s="29">
        <v>34.54108990674014</v>
      </c>
      <c r="DD58" s="29">
        <v>34.653946456283997</v>
      </c>
      <c r="DE58" s="29">
        <v>34.766013832802379</v>
      </c>
      <c r="DF58" s="29">
        <v>34.877292574071909</v>
      </c>
      <c r="DG58" s="29">
        <v>34.987783318577087</v>
      </c>
      <c r="DH58" s="29">
        <v>35.097486803664708</v>
      </c>
      <c r="DI58" s="29">
        <v>35.206403863719139</v>
      </c>
      <c r="DJ58" s="29">
        <v>35.314535428355896</v>
      </c>
      <c r="DK58" s="29">
        <v>35.421882520634497</v>
      </c>
      <c r="DL58" s="29">
        <v>35.528446255290604</v>
      </c>
      <c r="DM58" s="29">
        <v>35.634227836984593</v>
      </c>
      <c r="DN58" s="29">
        <v>35.739228558570275</v>
      </c>
      <c r="DO58" s="29">
        <v>35.843449799378988</v>
      </c>
      <c r="DP58" s="29">
        <v>35.946893023522044</v>
      </c>
      <c r="DQ58" s="29">
        <v>36.049559778209833</v>
      </c>
      <c r="DR58" s="29">
        <v>36.151451692086795</v>
      </c>
      <c r="DS58">
        <v>36.252570473583816</v>
      </c>
      <c r="DT58">
        <v>36.352917909285267</v>
      </c>
      <c r="DU58">
        <v>36.452495862312439</v>
      </c>
    </row>
    <row r="59" spans="1:125">
      <c r="A59" s="34">
        <v>57</v>
      </c>
      <c r="B59" s="35"/>
      <c r="C59" s="35"/>
      <c r="D59" s="35"/>
      <c r="E59" s="35"/>
      <c r="F59" s="35"/>
      <c r="G59" s="35"/>
      <c r="H59" s="35"/>
      <c r="I59" s="35"/>
      <c r="J59" s="35"/>
      <c r="K59" s="35"/>
      <c r="L59" s="35"/>
      <c r="M59" s="35"/>
      <c r="N59" s="35"/>
      <c r="O59" s="35"/>
      <c r="P59" s="35"/>
      <c r="Q59" s="35"/>
      <c r="R59" s="35"/>
      <c r="S59" s="35"/>
      <c r="T59" s="35"/>
      <c r="U59" s="35"/>
      <c r="V59" s="29"/>
      <c r="W59" s="29"/>
      <c r="X59" s="29"/>
      <c r="Y59" s="29">
        <v>23.254927168126343</v>
      </c>
      <c r="Z59" s="29">
        <v>23.475806616385505</v>
      </c>
      <c r="AA59" s="29">
        <v>23.638163733932522</v>
      </c>
      <c r="AB59" s="29">
        <v>23.804410271091108</v>
      </c>
      <c r="AC59" s="29">
        <v>23.902566169788397</v>
      </c>
      <c r="AD59" s="29">
        <v>23.941987701919672</v>
      </c>
      <c r="AE59" s="29">
        <v>24.092714033353516</v>
      </c>
      <c r="AF59" s="29">
        <v>24.272125243377083</v>
      </c>
      <c r="AG59" s="29">
        <v>24.456863066356579</v>
      </c>
      <c r="AH59" s="29">
        <v>24.656882855826026</v>
      </c>
      <c r="AI59" s="29">
        <v>24.848352782136132</v>
      </c>
      <c r="AJ59" s="29">
        <v>25.084114475372282</v>
      </c>
      <c r="AK59" s="29">
        <v>25.310510331852257</v>
      </c>
      <c r="AL59" s="29">
        <v>25.572611265499454</v>
      </c>
      <c r="AM59" s="29">
        <v>25.812270225620189</v>
      </c>
      <c r="AN59" s="29">
        <v>25.982657288530323</v>
      </c>
      <c r="AO59" s="29">
        <v>26.10533051914171</v>
      </c>
      <c r="AP59" s="29">
        <v>26.204564297636075</v>
      </c>
      <c r="AQ59" s="29">
        <v>26.284852176028448</v>
      </c>
      <c r="AR59" s="29">
        <v>26.370009276025364</v>
      </c>
      <c r="AS59" s="29">
        <v>26.380788847606247</v>
      </c>
      <c r="AT59" s="29">
        <v>26.371418866527918</v>
      </c>
      <c r="AU59" s="29">
        <v>26.391398942990122</v>
      </c>
      <c r="AV59" s="29">
        <v>26.416235885112357</v>
      </c>
      <c r="AW59" s="29">
        <v>26.592390724985354</v>
      </c>
      <c r="AX59" s="29">
        <v>26.627637617900383</v>
      </c>
      <c r="AY59" s="29">
        <v>26.718412751806266</v>
      </c>
      <c r="AZ59" s="29">
        <v>26.789372782852098</v>
      </c>
      <c r="BA59" s="29">
        <v>26.85190322153948</v>
      </c>
      <c r="BB59" s="29">
        <v>26.935606055174134</v>
      </c>
      <c r="BC59" s="29">
        <v>27.023111361775563</v>
      </c>
      <c r="BD59" s="29">
        <v>27.115590363379582</v>
      </c>
      <c r="BE59" s="29">
        <v>27.22899709343859</v>
      </c>
      <c r="BF59" s="29">
        <v>27.342375655641121</v>
      </c>
      <c r="BG59" s="29">
        <v>27.451099488088225</v>
      </c>
      <c r="BH59" s="29">
        <v>27.594018845317144</v>
      </c>
      <c r="BI59" s="29">
        <v>27.711809501647405</v>
      </c>
      <c r="BJ59" s="29">
        <v>27.846721878232842</v>
      </c>
      <c r="BK59" s="29">
        <v>27.96518500189908</v>
      </c>
      <c r="BL59" s="29">
        <v>28.11319275764177</v>
      </c>
      <c r="BM59" s="29">
        <v>28.247882996547801</v>
      </c>
      <c r="BN59" s="29">
        <v>28.383717622855286</v>
      </c>
      <c r="BO59" s="29">
        <v>28.525243424980232</v>
      </c>
      <c r="BP59" s="29">
        <v>28.666906839579937</v>
      </c>
      <c r="BQ59" s="29">
        <v>28.807889633825646</v>
      </c>
      <c r="BR59" s="29">
        <v>28.948183131409319</v>
      </c>
      <c r="BS59" s="29">
        <v>29.087778918339524</v>
      </c>
      <c r="BT59" s="29">
        <v>29.226668972812998</v>
      </c>
      <c r="BU59" s="29">
        <v>29.364845764307628</v>
      </c>
      <c r="BV59" s="29">
        <v>29.502302341921443</v>
      </c>
      <c r="BW59" s="29">
        <v>29.639032437132499</v>
      </c>
      <c r="BX59" s="29">
        <v>29.775030531131414</v>
      </c>
      <c r="BY59" s="29">
        <v>29.910291838079566</v>
      </c>
      <c r="BZ59" s="29">
        <v>30.044812243105042</v>
      </c>
      <c r="CA59" s="29">
        <v>30.178588215464053</v>
      </c>
      <c r="CB59" s="29">
        <v>30.311616698647022</v>
      </c>
      <c r="CC59" s="29">
        <v>30.44390897215985</v>
      </c>
      <c r="CD59" s="29">
        <v>30.575461829303002</v>
      </c>
      <c r="CE59" s="29">
        <v>30.706272221769801</v>
      </c>
      <c r="CF59" s="29">
        <v>30.836337257248751</v>
      </c>
      <c r="CG59" s="29">
        <v>30.965654197049027</v>
      </c>
      <c r="CH59" s="29">
        <v>31.094220453747951</v>
      </c>
      <c r="CI59" s="29">
        <v>31.222033588862757</v>
      </c>
      <c r="CJ59" s="29">
        <v>31.349091310545163</v>
      </c>
      <c r="CK59" s="29">
        <v>31.475391471300313</v>
      </c>
      <c r="CL59" s="29">
        <v>31.600932065729133</v>
      </c>
      <c r="CM59" s="29">
        <v>31.725711228295541</v>
      </c>
      <c r="CN59" s="29">
        <v>31.849727231117519</v>
      </c>
      <c r="CO59" s="29">
        <v>31.972978481781531</v>
      </c>
      <c r="CP59" s="29">
        <v>32.095463521182026</v>
      </c>
      <c r="CQ59" s="29">
        <v>32.217181021384349</v>
      </c>
      <c r="CR59" s="29">
        <v>32.33812978351159</v>
      </c>
      <c r="CS59" s="29">
        <v>32.458308735654846</v>
      </c>
      <c r="CT59" s="29">
        <v>32.577716930806552</v>
      </c>
      <c r="CU59" s="29">
        <v>32.696353544817427</v>
      </c>
      <c r="CV59" s="29">
        <v>32.814217874375949</v>
      </c>
      <c r="CW59" s="29">
        <v>32.931309335010162</v>
      </c>
      <c r="CX59" s="29">
        <v>33.047627459111681</v>
      </c>
      <c r="CY59" s="29">
        <v>33.163171893981556</v>
      </c>
      <c r="CZ59" s="29">
        <v>33.277942399897377</v>
      </c>
      <c r="DA59" s="29">
        <v>33.391938848201875</v>
      </c>
      <c r="DB59" s="29">
        <v>33.505161219411519</v>
      </c>
      <c r="DC59" s="29">
        <v>33.617609601345826</v>
      </c>
      <c r="DD59" s="29">
        <v>33.729284187276406</v>
      </c>
      <c r="DE59" s="29">
        <v>33.840185274095923</v>
      </c>
      <c r="DF59" s="29">
        <v>33.950313260505098</v>
      </c>
      <c r="DG59" s="29">
        <v>34.059668645219787</v>
      </c>
      <c r="DH59" s="29">
        <v>34.168252025195073</v>
      </c>
      <c r="DI59" s="29">
        <v>34.276064093868563</v>
      </c>
      <c r="DJ59" s="29">
        <v>34.383105639420094</v>
      </c>
      <c r="DK59" s="29">
        <v>34.48937754304913</v>
      </c>
      <c r="DL59" s="29">
        <v>34.594880777269552</v>
      </c>
      <c r="DM59" s="29">
        <v>34.699616404219398</v>
      </c>
      <c r="DN59" s="29">
        <v>34.803585573988798</v>
      </c>
      <c r="DO59" s="29">
        <v>34.906789522961844</v>
      </c>
      <c r="DP59" s="29">
        <v>35.009229572175045</v>
      </c>
      <c r="DQ59" s="29">
        <v>35.110907125690787</v>
      </c>
      <c r="DR59" s="29">
        <v>35.211823668985097</v>
      </c>
      <c r="DS59">
        <v>35.311980767351272</v>
      </c>
      <c r="DT59">
        <v>35.411380064316461</v>
      </c>
      <c r="DU59">
        <v>35.51002328007317</v>
      </c>
    </row>
    <row r="60" spans="1:125">
      <c r="A60" s="34">
        <v>58</v>
      </c>
      <c r="B60" s="35"/>
      <c r="C60" s="35"/>
      <c r="D60" s="35"/>
      <c r="E60" s="35"/>
      <c r="F60" s="35"/>
      <c r="G60" s="35"/>
      <c r="H60" s="35"/>
      <c r="I60" s="35"/>
      <c r="J60" s="35"/>
      <c r="K60" s="35"/>
      <c r="L60" s="35"/>
      <c r="M60" s="35"/>
      <c r="N60" s="35"/>
      <c r="O60" s="35"/>
      <c r="P60" s="35"/>
      <c r="Q60" s="35"/>
      <c r="R60" s="35"/>
      <c r="S60" s="35"/>
      <c r="T60" s="35"/>
      <c r="U60" s="35"/>
      <c r="V60" s="29"/>
      <c r="W60" s="29"/>
      <c r="X60" s="29"/>
      <c r="Y60" s="29">
        <v>22.483643655721234</v>
      </c>
      <c r="Z60" s="29">
        <v>22.69556980264591</v>
      </c>
      <c r="AA60" s="29">
        <v>22.860238509233174</v>
      </c>
      <c r="AB60" s="29">
        <v>23.020009236424237</v>
      </c>
      <c r="AC60" s="29">
        <v>23.118193224636773</v>
      </c>
      <c r="AD60" s="29">
        <v>23.157113268018954</v>
      </c>
      <c r="AE60" s="29">
        <v>23.308910104687136</v>
      </c>
      <c r="AF60" s="29">
        <v>23.485529206696437</v>
      </c>
      <c r="AG60" s="29">
        <v>23.666338131603382</v>
      </c>
      <c r="AH60" s="29">
        <v>23.871553999438937</v>
      </c>
      <c r="AI60" s="29">
        <v>24.062783012198935</v>
      </c>
      <c r="AJ60" s="29">
        <v>24.290862650198335</v>
      </c>
      <c r="AK60" s="29">
        <v>24.512253691436392</v>
      </c>
      <c r="AL60" s="29">
        <v>24.774582466504654</v>
      </c>
      <c r="AM60" s="29">
        <v>25.00536654967182</v>
      </c>
      <c r="AN60" s="29">
        <v>25.174223380001763</v>
      </c>
      <c r="AO60" s="29">
        <v>25.290728603528102</v>
      </c>
      <c r="AP60" s="29">
        <v>25.385247819118732</v>
      </c>
      <c r="AQ60" s="29">
        <v>25.460040082490536</v>
      </c>
      <c r="AR60" s="29">
        <v>25.542906703320956</v>
      </c>
      <c r="AS60" s="29">
        <v>25.552748297241038</v>
      </c>
      <c r="AT60" s="29">
        <v>25.544193072415684</v>
      </c>
      <c r="AU60" s="29">
        <v>25.562331858243361</v>
      </c>
      <c r="AV60" s="29">
        <v>25.584349517597179</v>
      </c>
      <c r="AW60" s="29">
        <v>25.755441628832617</v>
      </c>
      <c r="AX60" s="29">
        <v>25.788193882220718</v>
      </c>
      <c r="AY60" s="29">
        <v>25.870055474147755</v>
      </c>
      <c r="AZ60" s="29">
        <v>25.947906719518024</v>
      </c>
      <c r="BA60" s="29">
        <v>26.007251613332855</v>
      </c>
      <c r="BB60" s="29">
        <v>26.093227877772712</v>
      </c>
      <c r="BC60" s="29">
        <v>26.181043144760601</v>
      </c>
      <c r="BD60" s="29">
        <v>26.271610170066189</v>
      </c>
      <c r="BE60" s="29">
        <v>26.388170368723948</v>
      </c>
      <c r="BF60" s="29">
        <v>26.493793170067466</v>
      </c>
      <c r="BG60" s="29">
        <v>26.608331826509634</v>
      </c>
      <c r="BH60" s="29">
        <v>26.745440967993531</v>
      </c>
      <c r="BI60" s="29">
        <v>26.864372890420796</v>
      </c>
      <c r="BJ60" s="29">
        <v>26.994703635838249</v>
      </c>
      <c r="BK60" s="29">
        <v>27.114111936834572</v>
      </c>
      <c r="BL60" s="29">
        <v>27.256403392382996</v>
      </c>
      <c r="BM60" s="29">
        <v>27.390985844023113</v>
      </c>
      <c r="BN60" s="29">
        <v>27.531356857860221</v>
      </c>
      <c r="BO60" s="29">
        <v>27.671647956806243</v>
      </c>
      <c r="BP60" s="29">
        <v>27.811288084507229</v>
      </c>
      <c r="BQ60" s="29">
        <v>27.950268386626931</v>
      </c>
      <c r="BR60" s="29">
        <v>28.088580114907849</v>
      </c>
      <c r="BS60" s="29">
        <v>28.22621478391806</v>
      </c>
      <c r="BT60" s="29">
        <v>28.363164301678431</v>
      </c>
      <c r="BU60" s="29">
        <v>28.499421069213824</v>
      </c>
      <c r="BV60" s="29">
        <v>28.634978069156347</v>
      </c>
      <c r="BW60" s="29">
        <v>28.769828968677626</v>
      </c>
      <c r="BX60" s="29">
        <v>28.903968186619093</v>
      </c>
      <c r="BY60" s="29">
        <v>29.037390875998344</v>
      </c>
      <c r="BZ60" s="29">
        <v>29.170092861032209</v>
      </c>
      <c r="CA60" s="29">
        <v>29.302070549274916</v>
      </c>
      <c r="CB60" s="29">
        <v>29.433335236120925</v>
      </c>
      <c r="CC60" s="29">
        <v>29.563883477106081</v>
      </c>
      <c r="CD60" s="29">
        <v>29.693711984736389</v>
      </c>
      <c r="CE60" s="29">
        <v>29.822817626193469</v>
      </c>
      <c r="CF60" s="29">
        <v>29.951197421060712</v>
      </c>
      <c r="CG60" s="29">
        <v>30.078848539071426</v>
      </c>
      <c r="CH60" s="29">
        <v>30.205768297877896</v>
      </c>
      <c r="CI60" s="29">
        <v>30.331954160843431</v>
      </c>
      <c r="CJ60" s="29">
        <v>30.457403734855966</v>
      </c>
      <c r="CK60" s="29">
        <v>30.582114768164548</v>
      </c>
      <c r="CL60" s="29">
        <v>30.70608514823784</v>
      </c>
      <c r="CM60" s="29">
        <v>30.829312899645956</v>
      </c>
      <c r="CN60" s="29">
        <v>30.951796181964561</v>
      </c>
      <c r="CO60" s="29">
        <v>31.073533287700698</v>
      </c>
      <c r="CP60" s="29">
        <v>31.19452264024207</v>
      </c>
      <c r="CQ60" s="29">
        <v>31.314762791827906</v>
      </c>
      <c r="CR60" s="29">
        <v>31.434252421542134</v>
      </c>
      <c r="CS60" s="29">
        <v>31.552990333328125</v>
      </c>
      <c r="CT60" s="29">
        <v>31.670975454024678</v>
      </c>
      <c r="CU60" s="29">
        <v>31.788206831423807</v>
      </c>
      <c r="CV60" s="29">
        <v>31.904683632349208</v>
      </c>
      <c r="CW60" s="29">
        <v>32.020405140755102</v>
      </c>
      <c r="CX60" s="29">
        <v>32.135370755845493</v>
      </c>
      <c r="CY60" s="29">
        <v>32.249579990213249</v>
      </c>
      <c r="CZ60" s="29">
        <v>32.363032467998643</v>
      </c>
      <c r="DA60" s="29">
        <v>32.475727923067325</v>
      </c>
      <c r="DB60" s="29">
        <v>32.587666197206481</v>
      </c>
      <c r="DC60" s="29">
        <v>32.698847238339688</v>
      </c>
      <c r="DD60" s="29">
        <v>32.809271098759595</v>
      </c>
      <c r="DE60" s="29">
        <v>32.918937933378686</v>
      </c>
      <c r="DF60" s="29">
        <v>33.02784799799597</v>
      </c>
      <c r="DG60" s="29">
        <v>33.13600164758202</v>
      </c>
      <c r="DH60" s="29">
        <v>33.243399334579053</v>
      </c>
      <c r="DI60" s="29">
        <v>33.350041607218245</v>
      </c>
      <c r="DJ60" s="29">
        <v>33.455929107851702</v>
      </c>
      <c r="DK60" s="29">
        <v>33.561062571300148</v>
      </c>
      <c r="DL60" s="29">
        <v>33.665442823216253</v>
      </c>
      <c r="DM60" s="29">
        <v>33.769070778460922</v>
      </c>
      <c r="DN60" s="29">
        <v>33.87194743949614</v>
      </c>
      <c r="DO60" s="29">
        <v>33.974073894789832</v>
      </c>
      <c r="DP60" s="29">
        <v>34.075451317235505</v>
      </c>
      <c r="DQ60" s="29">
        <v>34.176080962585274</v>
      </c>
      <c r="DR60" s="29">
        <v>34.27596416789531</v>
      </c>
      <c r="DS60">
        <v>34.375102349985482</v>
      </c>
      <c r="DT60">
        <v>34.47349700391031</v>
      </c>
      <c r="DU60">
        <v>34.571149701443062</v>
      </c>
    </row>
    <row r="61" spans="1:125">
      <c r="A61" s="34">
        <v>59</v>
      </c>
      <c r="B61" s="35"/>
      <c r="C61" s="35"/>
      <c r="D61" s="35"/>
      <c r="E61" s="35"/>
      <c r="F61" s="35"/>
      <c r="G61" s="35"/>
      <c r="H61" s="35"/>
      <c r="I61" s="35"/>
      <c r="J61" s="35"/>
      <c r="K61" s="35"/>
      <c r="L61" s="35"/>
      <c r="M61" s="35"/>
      <c r="N61" s="35"/>
      <c r="O61" s="35"/>
      <c r="P61" s="35"/>
      <c r="Q61" s="35"/>
      <c r="R61" s="35"/>
      <c r="S61" s="35"/>
      <c r="T61" s="35"/>
      <c r="U61" s="35"/>
      <c r="V61" s="29"/>
      <c r="W61" s="29"/>
      <c r="X61" s="29"/>
      <c r="Y61" s="29">
        <v>21.722613519497926</v>
      </c>
      <c r="Z61" s="29">
        <v>21.926097591860739</v>
      </c>
      <c r="AA61" s="29">
        <v>22.085978363639725</v>
      </c>
      <c r="AB61" s="29">
        <v>22.251770997887906</v>
      </c>
      <c r="AC61" s="29">
        <v>22.342337090964477</v>
      </c>
      <c r="AD61" s="29">
        <v>22.384655108420382</v>
      </c>
      <c r="AE61" s="29">
        <v>22.531144201993712</v>
      </c>
      <c r="AF61" s="29">
        <v>22.709508220148479</v>
      </c>
      <c r="AG61" s="29">
        <v>22.890354027050673</v>
      </c>
      <c r="AH61" s="29">
        <v>23.09334122110489</v>
      </c>
      <c r="AI61" s="29">
        <v>23.283979307713949</v>
      </c>
      <c r="AJ61" s="29">
        <v>23.509586079740302</v>
      </c>
      <c r="AK61" s="29">
        <v>23.725411097553298</v>
      </c>
      <c r="AL61" s="29">
        <v>23.977975043449668</v>
      </c>
      <c r="AM61" s="29">
        <v>24.206397799834285</v>
      </c>
      <c r="AN61" s="29">
        <v>24.365010247644577</v>
      </c>
      <c r="AO61" s="29">
        <v>24.478753082405326</v>
      </c>
      <c r="AP61" s="29">
        <v>24.564787152270902</v>
      </c>
      <c r="AQ61" s="29">
        <v>24.641296429886836</v>
      </c>
      <c r="AR61" s="29">
        <v>24.720936488451009</v>
      </c>
      <c r="AS61" s="29">
        <v>24.73012791859334</v>
      </c>
      <c r="AT61" s="29">
        <v>24.725129530754231</v>
      </c>
      <c r="AU61" s="29">
        <v>24.740275159676038</v>
      </c>
      <c r="AV61" s="29">
        <v>24.760415514590591</v>
      </c>
      <c r="AW61" s="29">
        <v>24.923526296112662</v>
      </c>
      <c r="AX61" s="29">
        <v>24.958475185560218</v>
      </c>
      <c r="AY61" s="29">
        <v>25.035941950440353</v>
      </c>
      <c r="AZ61" s="29">
        <v>25.113135961058461</v>
      </c>
      <c r="BA61" s="29">
        <v>25.171927853300048</v>
      </c>
      <c r="BB61" s="29">
        <v>25.262037638709536</v>
      </c>
      <c r="BC61" s="29">
        <v>25.345847235698027</v>
      </c>
      <c r="BD61" s="29">
        <v>25.438485248157143</v>
      </c>
      <c r="BE61" s="29">
        <v>25.55060102119737</v>
      </c>
      <c r="BF61" s="29">
        <v>25.657263852785597</v>
      </c>
      <c r="BG61" s="29">
        <v>25.775241064607187</v>
      </c>
      <c r="BH61" s="29">
        <v>25.907017780014485</v>
      </c>
      <c r="BI61" s="29">
        <v>26.024891454347348</v>
      </c>
      <c r="BJ61" s="29">
        <v>26.146894299169603</v>
      </c>
      <c r="BK61" s="29">
        <v>26.269150579606471</v>
      </c>
      <c r="BL61" s="29">
        <v>26.41276729953816</v>
      </c>
      <c r="BM61" s="29">
        <v>26.549976816815143</v>
      </c>
      <c r="BN61" s="29">
        <v>26.68873030558278</v>
      </c>
      <c r="BO61" s="29">
        <v>26.826863431269004</v>
      </c>
      <c r="BP61" s="29">
        <v>26.964367352564949</v>
      </c>
      <c r="BQ61" s="29">
        <v>27.101233146555998</v>
      </c>
      <c r="BR61" s="29">
        <v>27.237451995974602</v>
      </c>
      <c r="BS61" s="29">
        <v>27.373015347038294</v>
      </c>
      <c r="BT61" s="29">
        <v>27.507915040901754</v>
      </c>
      <c r="BU61" s="29">
        <v>27.642143413704538</v>
      </c>
      <c r="BV61" s="29">
        <v>27.775693385456133</v>
      </c>
      <c r="BW61" s="29">
        <v>27.908558563147555</v>
      </c>
      <c r="BX61" s="29">
        <v>28.040733307646875</v>
      </c>
      <c r="BY61" s="29">
        <v>28.172212715365035</v>
      </c>
      <c r="BZ61" s="29">
        <v>28.302992554195683</v>
      </c>
      <c r="CA61" s="29">
        <v>28.433083859542499</v>
      </c>
      <c r="CB61" s="29">
        <v>28.562482957944233</v>
      </c>
      <c r="CC61" s="29">
        <v>28.69118633083076</v>
      </c>
      <c r="CD61" s="29">
        <v>28.819190612345778</v>
      </c>
      <c r="CE61" s="29">
        <v>28.946492587188395</v>
      </c>
      <c r="CF61" s="29">
        <v>29.07308918847427</v>
      </c>
      <c r="CG61" s="29">
        <v>29.198977495617598</v>
      </c>
      <c r="CH61" s="29">
        <v>29.324154732232625</v>
      </c>
      <c r="CI61" s="29">
        <v>29.44861826405684</v>
      </c>
      <c r="CJ61" s="29">
        <v>29.572365596894169</v>
      </c>
      <c r="CK61" s="29">
        <v>29.695394374579607</v>
      </c>
      <c r="CL61" s="29">
        <v>29.817702376964142</v>
      </c>
      <c r="CM61" s="29">
        <v>29.939287517921429</v>
      </c>
      <c r="CN61" s="29">
        <v>30.060147843374924</v>
      </c>
      <c r="CO61" s="29">
        <v>30.18028152934501</v>
      </c>
      <c r="CP61" s="29">
        <v>30.299686880017688</v>
      </c>
      <c r="CQ61" s="29">
        <v>30.41836232583303</v>
      </c>
      <c r="CR61" s="29">
        <v>30.536306421593977</v>
      </c>
      <c r="CS61" s="29">
        <v>30.653517844594766</v>
      </c>
      <c r="CT61" s="29">
        <v>30.769995392768635</v>
      </c>
      <c r="CU61" s="29">
        <v>30.885737982855293</v>
      </c>
      <c r="CV61" s="29">
        <v>31.000744648587073</v>
      </c>
      <c r="CW61" s="29">
        <v>31.11501453889338</v>
      </c>
      <c r="CX61" s="29">
        <v>31.228546916123509</v>
      </c>
      <c r="CY61" s="29">
        <v>31.3413411542872</v>
      </c>
      <c r="CZ61" s="29">
        <v>31.453396737312591</v>
      </c>
      <c r="DA61" s="29">
        <v>31.564713257321479</v>
      </c>
      <c r="DB61" s="29">
        <v>31.675290412920667</v>
      </c>
      <c r="DC61" s="29">
        <v>31.78512800751</v>
      </c>
      <c r="DD61" s="29">
        <v>31.89422594760601</v>
      </c>
      <c r="DE61" s="29">
        <v>32.002584241181601</v>
      </c>
      <c r="DF61" s="29">
        <v>32.11020299601968</v>
      </c>
      <c r="DG61" s="29">
        <v>32.217082418082875</v>
      </c>
      <c r="DH61" s="29">
        <v>32.323222809896386</v>
      </c>
      <c r="DI61" s="29">
        <v>32.428624568945963</v>
      </c>
      <c r="DJ61" s="29">
        <v>32.533288186088498</v>
      </c>
      <c r="DK61" s="29">
        <v>32.637214243976317</v>
      </c>
      <c r="DL61" s="29">
        <v>32.740403415495088</v>
      </c>
      <c r="DM61" s="29">
        <v>32.842856462212808</v>
      </c>
      <c r="DN61" s="29">
        <v>32.944574232843195</v>
      </c>
      <c r="DO61" s="29">
        <v>33.0455576617193</v>
      </c>
      <c r="DP61" s="29">
        <v>33.145807767279948</v>
      </c>
      <c r="DQ61" s="29">
        <v>33.245325650567608</v>
      </c>
      <c r="DR61" s="29">
        <v>33.344112493736816</v>
      </c>
      <c r="DS61">
        <v>33.442169558575046</v>
      </c>
      <c r="DT61">
        <v>33.539498185032855</v>
      </c>
      <c r="DU61">
        <v>33.636099789765616</v>
      </c>
    </row>
    <row r="62" spans="1:125">
      <c r="A62" s="34">
        <v>60</v>
      </c>
      <c r="B62" s="35"/>
      <c r="C62" s="35"/>
      <c r="D62" s="35"/>
      <c r="E62" s="35"/>
      <c r="F62" s="35"/>
      <c r="G62" s="35"/>
      <c r="H62" s="35"/>
      <c r="I62" s="35"/>
      <c r="J62" s="35"/>
      <c r="K62" s="35"/>
      <c r="L62" s="35"/>
      <c r="M62" s="35"/>
      <c r="N62" s="35"/>
      <c r="O62" s="35"/>
      <c r="P62" s="35"/>
      <c r="Q62" s="35"/>
      <c r="R62" s="35"/>
      <c r="S62" s="35"/>
      <c r="T62" s="35"/>
      <c r="U62" s="35"/>
      <c r="V62" s="29"/>
      <c r="W62" s="29"/>
      <c r="X62" s="29"/>
      <c r="Y62" s="29">
        <v>20.969827587667204</v>
      </c>
      <c r="Z62" s="29">
        <v>21.163943689562753</v>
      </c>
      <c r="AA62" s="29">
        <v>21.324630274447028</v>
      </c>
      <c r="AB62" s="29">
        <v>21.487169372778695</v>
      </c>
      <c r="AC62" s="29">
        <v>21.574417040275076</v>
      </c>
      <c r="AD62" s="29">
        <v>21.621216297764352</v>
      </c>
      <c r="AE62" s="29">
        <v>21.76475645907459</v>
      </c>
      <c r="AF62" s="29">
        <v>21.944785637145799</v>
      </c>
      <c r="AG62" s="29">
        <v>22.127341984068821</v>
      </c>
      <c r="AH62" s="29">
        <v>22.326584483324005</v>
      </c>
      <c r="AI62" s="29">
        <v>22.515545317075169</v>
      </c>
      <c r="AJ62" s="29">
        <v>22.730851906403814</v>
      </c>
      <c r="AK62" s="29">
        <v>22.94695265238326</v>
      </c>
      <c r="AL62" s="29">
        <v>23.194865668440634</v>
      </c>
      <c r="AM62" s="29">
        <v>23.411773839968756</v>
      </c>
      <c r="AN62" s="29">
        <v>23.564527146494218</v>
      </c>
      <c r="AO62" s="29">
        <v>23.673738726717829</v>
      </c>
      <c r="AP62" s="29">
        <v>23.751701607361063</v>
      </c>
      <c r="AQ62" s="29">
        <v>23.830166221762319</v>
      </c>
      <c r="AR62" s="29">
        <v>23.902335830598147</v>
      </c>
      <c r="AS62" s="29">
        <v>23.91622014331687</v>
      </c>
      <c r="AT62" s="29">
        <v>23.90698085746115</v>
      </c>
      <c r="AU62" s="29">
        <v>23.922691768050989</v>
      </c>
      <c r="AV62" s="29">
        <v>23.939870189813412</v>
      </c>
      <c r="AW62" s="29">
        <v>24.094504625802749</v>
      </c>
      <c r="AX62" s="29">
        <v>24.130321172931509</v>
      </c>
      <c r="AY62" s="29">
        <v>24.211212336190957</v>
      </c>
      <c r="AZ62" s="29">
        <v>24.28218846035405</v>
      </c>
      <c r="BA62" s="29">
        <v>24.345489919417055</v>
      </c>
      <c r="BB62" s="29">
        <v>24.436483019247277</v>
      </c>
      <c r="BC62" s="29">
        <v>24.523263190415864</v>
      </c>
      <c r="BD62" s="29">
        <v>24.610667052866248</v>
      </c>
      <c r="BE62" s="29">
        <v>24.726451621029817</v>
      </c>
      <c r="BF62" s="29">
        <v>24.828707262817748</v>
      </c>
      <c r="BG62" s="29">
        <v>24.945382804596335</v>
      </c>
      <c r="BH62" s="29">
        <v>25.076666709679934</v>
      </c>
      <c r="BI62" s="29">
        <v>25.191977019748158</v>
      </c>
      <c r="BJ62" s="29">
        <v>25.31087932339365</v>
      </c>
      <c r="BK62" s="29">
        <v>25.440414297510678</v>
      </c>
      <c r="BL62" s="29">
        <v>25.582122369231872</v>
      </c>
      <c r="BM62" s="29">
        <v>25.719159816840438</v>
      </c>
      <c r="BN62" s="29">
        <v>25.855608280075643</v>
      </c>
      <c r="BO62" s="29">
        <v>25.991459260781411</v>
      </c>
      <c r="BP62" s="29">
        <v>26.126703851863507</v>
      </c>
      <c r="BQ62" s="29">
        <v>26.261333062833451</v>
      </c>
      <c r="BR62" s="29">
        <v>26.395338008547103</v>
      </c>
      <c r="BS62" s="29">
        <v>26.528710068237771</v>
      </c>
      <c r="BT62" s="29">
        <v>26.661441017868938</v>
      </c>
      <c r="BU62" s="29">
        <v>26.793523130719294</v>
      </c>
      <c r="BV62" s="29">
        <v>26.924949266567079</v>
      </c>
      <c r="BW62" s="29">
        <v>27.055712974986157</v>
      </c>
      <c r="BX62" s="29">
        <v>27.185808561967463</v>
      </c>
      <c r="BY62" s="29">
        <v>27.315231070641985</v>
      </c>
      <c r="BZ62" s="29">
        <v>27.443990891229248</v>
      </c>
      <c r="CA62" s="29">
        <v>27.572084130483063</v>
      </c>
      <c r="CB62" s="29">
        <v>27.699507047260923</v>
      </c>
      <c r="CC62" s="29">
        <v>27.826256050477902</v>
      </c>
      <c r="CD62" s="29">
        <v>27.952327697079046</v>
      </c>
      <c r="CE62" s="29">
        <v>28.077718690029574</v>
      </c>
      <c r="CF62" s="29">
        <v>28.202425876323318</v>
      </c>
      <c r="CG62" s="29">
        <v>28.326446245010608</v>
      </c>
      <c r="CH62" s="29">
        <v>28.449776925244251</v>
      </c>
      <c r="CI62" s="29">
        <v>28.572415184345573</v>
      </c>
      <c r="CJ62" s="29">
        <v>28.694358425888815</v>
      </c>
      <c r="CK62" s="29">
        <v>28.815604187805278</v>
      </c>
      <c r="CL62" s="29">
        <v>28.936150140505866</v>
      </c>
      <c r="CM62" s="29">
        <v>29.055994085023631</v>
      </c>
      <c r="CN62" s="29">
        <v>29.175133951174761</v>
      </c>
      <c r="CO62" s="29">
        <v>29.293567795737584</v>
      </c>
      <c r="CP62" s="29">
        <v>29.41129380065119</v>
      </c>
      <c r="CQ62" s="29">
        <v>29.528310271231621</v>
      </c>
      <c r="CR62" s="29">
        <v>29.644615634406406</v>
      </c>
      <c r="CS62" s="29">
        <v>29.760208436966526</v>
      </c>
      <c r="CT62" s="29">
        <v>29.875087343835443</v>
      </c>
      <c r="CU62" s="29">
        <v>29.989251136355801</v>
      </c>
      <c r="CV62" s="29">
        <v>30.102698710592481</v>
      </c>
      <c r="CW62" s="29">
        <v>30.215429075651777</v>
      </c>
      <c r="CX62" s="29">
        <v>30.327441352016656</v>
      </c>
      <c r="CY62" s="29">
        <v>30.438734769897486</v>
      </c>
      <c r="CZ62" s="29">
        <v>30.549308667597941</v>
      </c>
      <c r="DA62" s="29">
        <v>30.659162489895849</v>
      </c>
      <c r="DB62" s="29">
        <v>30.768295786437918</v>
      </c>
      <c r="DC62" s="29">
        <v>30.876708210148863</v>
      </c>
      <c r="DD62" s="29">
        <v>30.984399515653838</v>
      </c>
      <c r="DE62" s="29">
        <v>31.09136955771465</v>
      </c>
      <c r="DF62" s="29">
        <v>31.197618289677685</v>
      </c>
      <c r="DG62" s="29">
        <v>31.303145761935632</v>
      </c>
      <c r="DH62" s="29">
        <v>31.40795212040014</v>
      </c>
      <c r="DI62" s="29">
        <v>31.512037604987331</v>
      </c>
      <c r="DJ62" s="29">
        <v>31.615402548113785</v>
      </c>
      <c r="DK62" s="29">
        <v>31.718047373203991</v>
      </c>
      <c r="DL62" s="29">
        <v>31.819972593209236</v>
      </c>
      <c r="DM62" s="29">
        <v>31.921178809135448</v>
      </c>
      <c r="DN62" s="29">
        <v>32.021666708583311</v>
      </c>
      <c r="DO62" s="29">
        <v>32.121437064296515</v>
      </c>
      <c r="DP62" s="29">
        <v>32.220490732720677</v>
      </c>
      <c r="DQ62" s="29">
        <v>32.318828652571732</v>
      </c>
      <c r="DR62" s="29">
        <v>32.416451843412808</v>
      </c>
      <c r="DS62">
        <v>32.513361404241493</v>
      </c>
      <c r="DT62">
        <v>32.609558512084519</v>
      </c>
      <c r="DU62">
        <v>32.705044420601965</v>
      </c>
    </row>
    <row r="63" spans="1:125">
      <c r="A63" s="34">
        <v>61</v>
      </c>
      <c r="B63" s="35"/>
      <c r="C63" s="35"/>
      <c r="D63" s="35"/>
      <c r="E63" s="35"/>
      <c r="F63" s="35"/>
      <c r="G63" s="35"/>
      <c r="H63" s="35"/>
      <c r="I63" s="35"/>
      <c r="J63" s="35"/>
      <c r="K63" s="35"/>
      <c r="L63" s="35"/>
      <c r="M63" s="35"/>
      <c r="N63" s="35"/>
      <c r="O63" s="35"/>
      <c r="P63" s="35"/>
      <c r="Q63" s="35"/>
      <c r="R63" s="35"/>
      <c r="S63" s="35"/>
      <c r="T63" s="35"/>
      <c r="U63" s="35"/>
      <c r="V63" s="29"/>
      <c r="W63" s="29"/>
      <c r="X63" s="29"/>
      <c r="Y63" s="29">
        <v>20.223793678290356</v>
      </c>
      <c r="Z63" s="29">
        <v>20.415739764963739</v>
      </c>
      <c r="AA63" s="29">
        <v>20.575182420364435</v>
      </c>
      <c r="AB63" s="29">
        <v>20.732672936179927</v>
      </c>
      <c r="AC63" s="29">
        <v>20.817743402775072</v>
      </c>
      <c r="AD63" s="29">
        <v>20.868129319259108</v>
      </c>
      <c r="AE63" s="29">
        <v>21.010824829786813</v>
      </c>
      <c r="AF63" s="29">
        <v>21.198830487860107</v>
      </c>
      <c r="AG63" s="29">
        <v>21.372112931924214</v>
      </c>
      <c r="AH63" s="29">
        <v>21.569549018850921</v>
      </c>
      <c r="AI63" s="29">
        <v>21.7524085729776</v>
      </c>
      <c r="AJ63" s="29">
        <v>21.963978135357571</v>
      </c>
      <c r="AK63" s="29">
        <v>22.177058274111495</v>
      </c>
      <c r="AL63" s="29">
        <v>22.413900944158371</v>
      </c>
      <c r="AM63" s="29">
        <v>22.623306607006917</v>
      </c>
      <c r="AN63" s="29">
        <v>22.76898916329889</v>
      </c>
      <c r="AO63" s="29">
        <v>22.875697687802564</v>
      </c>
      <c r="AP63" s="29">
        <v>22.948010527335398</v>
      </c>
      <c r="AQ63" s="29">
        <v>23.023289851672615</v>
      </c>
      <c r="AR63" s="29">
        <v>23.0936613205577</v>
      </c>
      <c r="AS63" s="29">
        <v>23.103398654391818</v>
      </c>
      <c r="AT63" s="29">
        <v>23.097533931421925</v>
      </c>
      <c r="AU63" s="29">
        <v>23.108558893395063</v>
      </c>
      <c r="AV63" s="29">
        <v>23.125847054970173</v>
      </c>
      <c r="AW63" s="29">
        <v>23.27786747229905</v>
      </c>
      <c r="AX63" s="29">
        <v>23.315869582517472</v>
      </c>
      <c r="AY63" s="29">
        <v>23.393128825272235</v>
      </c>
      <c r="AZ63" s="29">
        <v>23.467268661007903</v>
      </c>
      <c r="BA63" s="29">
        <v>23.531705775742772</v>
      </c>
      <c r="BB63" s="29">
        <v>23.620666693918331</v>
      </c>
      <c r="BC63" s="29">
        <v>23.701829795034183</v>
      </c>
      <c r="BD63" s="29">
        <v>23.798297966345537</v>
      </c>
      <c r="BE63" s="29">
        <v>23.908171609036192</v>
      </c>
      <c r="BF63" s="29">
        <v>24.010367286875937</v>
      </c>
      <c r="BG63" s="29">
        <v>24.126209144383015</v>
      </c>
      <c r="BH63" s="29">
        <v>24.25159530223776</v>
      </c>
      <c r="BI63" s="29">
        <v>24.367852102819732</v>
      </c>
      <c r="BJ63" s="29">
        <v>24.491922892878868</v>
      </c>
      <c r="BK63" s="29">
        <v>24.628674320407566</v>
      </c>
      <c r="BL63" s="29">
        <v>24.76380638774976</v>
      </c>
      <c r="BM63" s="29">
        <v>24.89838127810318</v>
      </c>
      <c r="BN63" s="29">
        <v>25.032391307077862</v>
      </c>
      <c r="BO63" s="29">
        <v>25.165827915286936</v>
      </c>
      <c r="BP63" s="29">
        <v>25.298682128607204</v>
      </c>
      <c r="BQ63" s="29">
        <v>25.430944887804536</v>
      </c>
      <c r="BR63" s="29">
        <v>25.56260723890108</v>
      </c>
      <c r="BS63" s="29">
        <v>25.693660493515772</v>
      </c>
      <c r="BT63" s="29">
        <v>25.824096362198908</v>
      </c>
      <c r="BU63" s="29">
        <v>25.953907055596879</v>
      </c>
      <c r="BV63" s="29">
        <v>26.083085373952258</v>
      </c>
      <c r="BW63" s="29">
        <v>26.211624810587235</v>
      </c>
      <c r="BX63" s="29">
        <v>26.339519618204697</v>
      </c>
      <c r="BY63" s="29">
        <v>26.466779064846826</v>
      </c>
      <c r="BZ63" s="29">
        <v>26.593399047049971</v>
      </c>
      <c r="CA63" s="29">
        <v>26.719375609911353</v>
      </c>
      <c r="CB63" s="29">
        <v>26.844704945192102</v>
      </c>
      <c r="CC63" s="29">
        <v>26.969383389435599</v>
      </c>
      <c r="CD63" s="29">
        <v>27.093407422103169</v>
      </c>
      <c r="CE63" s="29">
        <v>27.216773663726116</v>
      </c>
      <c r="CF63" s="29">
        <v>27.339478874074558</v>
      </c>
      <c r="CG63" s="29">
        <v>27.461519950344112</v>
      </c>
      <c r="CH63" s="29">
        <v>27.582893925358938</v>
      </c>
      <c r="CI63" s="29">
        <v>27.703597965793087</v>
      </c>
      <c r="CJ63" s="29">
        <v>27.823629370408351</v>
      </c>
      <c r="CK63" s="29">
        <v>27.942985568309858</v>
      </c>
      <c r="CL63" s="29">
        <v>28.061664117218108</v>
      </c>
      <c r="CM63" s="29">
        <v>28.179662701758836</v>
      </c>
      <c r="CN63" s="29">
        <v>28.296979131769291</v>
      </c>
      <c r="CO63" s="29">
        <v>28.413611340620214</v>
      </c>
      <c r="CP63" s="29">
        <v>28.529557383555264</v>
      </c>
      <c r="CQ63" s="29">
        <v>28.644815436045679</v>
      </c>
      <c r="CR63" s="29">
        <v>28.759383792160975</v>
      </c>
      <c r="CS63" s="29">
        <v>28.873260862954687</v>
      </c>
      <c r="CT63" s="29">
        <v>28.986445174864823</v>
      </c>
      <c r="CU63" s="29">
        <v>29.098935368129538</v>
      </c>
      <c r="CV63" s="29">
        <v>29.210730195216733</v>
      </c>
      <c r="CW63" s="29">
        <v>29.321828519267342</v>
      </c>
      <c r="CX63" s="29">
        <v>29.432229312552202</v>
      </c>
      <c r="CY63" s="29">
        <v>29.541931654941976</v>
      </c>
      <c r="CZ63" s="29">
        <v>29.650934732389693</v>
      </c>
      <c r="DA63" s="29">
        <v>29.759237835425846</v>
      </c>
      <c r="DB63" s="29">
        <v>29.866840357664799</v>
      </c>
      <c r="DC63" s="29">
        <v>29.973741794323161</v>
      </c>
      <c r="DD63" s="29">
        <v>30.079941740748993</v>
      </c>
      <c r="DE63" s="29">
        <v>30.185439890962314</v>
      </c>
      <c r="DF63" s="29">
        <v>30.290236036204917</v>
      </c>
      <c r="DG63" s="29">
        <v>30.39433006350145</v>
      </c>
      <c r="DH63" s="29">
        <v>30.4977219542291</v>
      </c>
      <c r="DI63" s="29">
        <v>30.600411782697712</v>
      </c>
      <c r="DJ63" s="29">
        <v>30.702399714737886</v>
      </c>
      <c r="DK63" s="29">
        <v>30.803686006298339</v>
      </c>
      <c r="DL63" s="29">
        <v>30.904271002052212</v>
      </c>
      <c r="DM63" s="29">
        <v>31.004155134010102</v>
      </c>
      <c r="DN63" s="29">
        <v>31.103338920143017</v>
      </c>
      <c r="DO63" s="29">
        <v>31.201822963011217</v>
      </c>
      <c r="DP63" s="29">
        <v>31.299607948401484</v>
      </c>
      <c r="DQ63" s="29">
        <v>31.396694643971582</v>
      </c>
      <c r="DR63" s="29">
        <v>31.49308389790113</v>
      </c>
      <c r="DS63">
        <v>31.588776637550588</v>
      </c>
      <c r="DT63">
        <v>31.683773868125606</v>
      </c>
      <c r="DU63">
        <v>31.778076671348735</v>
      </c>
    </row>
    <row r="64" spans="1:125">
      <c r="A64" s="34">
        <v>62</v>
      </c>
      <c r="B64" s="35"/>
      <c r="C64" s="35"/>
      <c r="D64" s="35"/>
      <c r="E64" s="35"/>
      <c r="F64" s="35"/>
      <c r="G64" s="35"/>
      <c r="H64" s="35"/>
      <c r="I64" s="35"/>
      <c r="J64" s="35"/>
      <c r="K64" s="35"/>
      <c r="L64" s="35"/>
      <c r="M64" s="35"/>
      <c r="N64" s="35"/>
      <c r="O64" s="35"/>
      <c r="P64" s="35"/>
      <c r="Q64" s="35"/>
      <c r="R64" s="35"/>
      <c r="S64" s="35"/>
      <c r="T64" s="35"/>
      <c r="U64" s="35"/>
      <c r="V64" s="29"/>
      <c r="W64" s="29"/>
      <c r="X64" s="29"/>
      <c r="Y64" s="29">
        <v>19.491835593688457</v>
      </c>
      <c r="Z64" s="29">
        <v>19.680048480087581</v>
      </c>
      <c r="AA64" s="29">
        <v>19.833942314035603</v>
      </c>
      <c r="AB64" s="29">
        <v>19.988824774905744</v>
      </c>
      <c r="AC64" s="29">
        <v>20.073635600361122</v>
      </c>
      <c r="AD64" s="29">
        <v>20.131929131108549</v>
      </c>
      <c r="AE64" s="29">
        <v>20.272717964932454</v>
      </c>
      <c r="AF64" s="29">
        <v>20.458203820662604</v>
      </c>
      <c r="AG64" s="29">
        <v>20.622901536020677</v>
      </c>
      <c r="AH64" s="29">
        <v>20.819890687354491</v>
      </c>
      <c r="AI64" s="29">
        <v>20.998602301574063</v>
      </c>
      <c r="AJ64" s="29">
        <v>21.208875312237122</v>
      </c>
      <c r="AK64" s="29">
        <v>21.413917344562012</v>
      </c>
      <c r="AL64" s="29">
        <v>21.637577502514102</v>
      </c>
      <c r="AM64" s="29">
        <v>21.838962647669803</v>
      </c>
      <c r="AN64" s="29">
        <v>21.981819753444789</v>
      </c>
      <c r="AO64" s="29">
        <v>22.082407531173544</v>
      </c>
      <c r="AP64" s="29">
        <v>22.149727791413952</v>
      </c>
      <c r="AQ64" s="29">
        <v>22.222759715103056</v>
      </c>
      <c r="AR64" s="29">
        <v>22.286965044716577</v>
      </c>
      <c r="AS64" s="29">
        <v>22.29659249202431</v>
      </c>
      <c r="AT64" s="29">
        <v>22.290710901510771</v>
      </c>
      <c r="AU64" s="29">
        <v>22.303260133945926</v>
      </c>
      <c r="AV64" s="29">
        <v>22.320159004891231</v>
      </c>
      <c r="AW64" s="29">
        <v>22.46967849375649</v>
      </c>
      <c r="AX64" s="29">
        <v>22.503350450612725</v>
      </c>
      <c r="AY64" s="29">
        <v>22.587630297047578</v>
      </c>
      <c r="AZ64" s="29">
        <v>22.657213682106246</v>
      </c>
      <c r="BA64" s="29">
        <v>22.7219066983548</v>
      </c>
      <c r="BB64" s="29">
        <v>22.806031673553576</v>
      </c>
      <c r="BC64" s="29">
        <v>22.897297991197583</v>
      </c>
      <c r="BD64" s="29">
        <v>22.987873528221698</v>
      </c>
      <c r="BE64" s="29">
        <v>23.097180128980508</v>
      </c>
      <c r="BF64" s="29">
        <v>23.204093507421462</v>
      </c>
      <c r="BG64" s="29">
        <v>23.313496295127521</v>
      </c>
      <c r="BH64" s="29">
        <v>23.437534921920744</v>
      </c>
      <c r="BI64" s="29">
        <v>23.557800676541618</v>
      </c>
      <c r="BJ64" s="29">
        <v>23.690266130908036</v>
      </c>
      <c r="BK64" s="29">
        <v>23.823295841346187</v>
      </c>
      <c r="BL64" s="29">
        <v>23.955800761313107</v>
      </c>
      <c r="BM64" s="29">
        <v>24.087773965207802</v>
      </c>
      <c r="BN64" s="29">
        <v>24.219207718973021</v>
      </c>
      <c r="BO64" s="29">
        <v>24.350093398457773</v>
      </c>
      <c r="BP64" s="29">
        <v>24.480421958720221</v>
      </c>
      <c r="BQ64" s="29">
        <v>24.61018426815621</v>
      </c>
      <c r="BR64" s="29">
        <v>24.739371300647257</v>
      </c>
      <c r="BS64" s="29">
        <v>24.867974297327208</v>
      </c>
      <c r="BT64" s="29">
        <v>24.995984900983359</v>
      </c>
      <c r="BU64" s="29">
        <v>25.123395257843363</v>
      </c>
      <c r="BV64" s="29">
        <v>25.250198107405502</v>
      </c>
      <c r="BW64" s="29">
        <v>25.376386886109174</v>
      </c>
      <c r="BX64" s="29">
        <v>25.501969188164296</v>
      </c>
      <c r="BY64" s="29">
        <v>25.626940709703561</v>
      </c>
      <c r="BZ64" s="29">
        <v>25.751297291092779</v>
      </c>
      <c r="CA64" s="29">
        <v>25.875034915199073</v>
      </c>
      <c r="CB64" s="29">
        <v>25.998149705673892</v>
      </c>
      <c r="CC64" s="29">
        <v>26.120637925249984</v>
      </c>
      <c r="CD64" s="29">
        <v>26.242495974054211</v>
      </c>
      <c r="CE64" s="29">
        <v>26.363720387935103</v>
      </c>
      <c r="CF64" s="29">
        <v>26.484307836805492</v>
      </c>
      <c r="CG64" s="29">
        <v>26.604255123001071</v>
      </c>
      <c r="CH64" s="29">
        <v>26.723559179653506</v>
      </c>
      <c r="CI64" s="29">
        <v>26.842217069079684</v>
      </c>
      <c r="CJ64" s="29">
        <v>26.960225981185424</v>
      </c>
      <c r="CK64" s="29">
        <v>27.077583231884724</v>
      </c>
      <c r="CL64" s="29">
        <v>27.194286261533151</v>
      </c>
      <c r="CM64" s="29">
        <v>27.310332633376785</v>
      </c>
      <c r="CN64" s="29">
        <v>27.425720032015121</v>
      </c>
      <c r="CO64" s="29">
        <v>27.540446261877285</v>
      </c>
      <c r="CP64" s="29">
        <v>27.65450924571315</v>
      </c>
      <c r="CQ64" s="29">
        <v>27.767907023097226</v>
      </c>
      <c r="CR64" s="29">
        <v>27.880637748945986</v>
      </c>
      <c r="CS64" s="29">
        <v>27.992699692047612</v>
      </c>
      <c r="CT64" s="29">
        <v>28.104091233603878</v>
      </c>
      <c r="CU64" s="29">
        <v>28.214810865784571</v>
      </c>
      <c r="CV64" s="29">
        <v>28.324857190293216</v>
      </c>
      <c r="CW64" s="29">
        <v>28.434228916943738</v>
      </c>
      <c r="CX64" s="29">
        <v>28.542924862248107</v>
      </c>
      <c r="CY64" s="29">
        <v>28.650943948014294</v>
      </c>
      <c r="CZ64" s="29">
        <v>28.758285199954145</v>
      </c>
      <c r="DA64" s="29">
        <v>28.864947746301119</v>
      </c>
      <c r="DB64" s="29">
        <v>28.970930816436692</v>
      </c>
      <c r="DC64" s="29">
        <v>29.076233739525975</v>
      </c>
      <c r="DD64" s="29">
        <v>29.180855943161511</v>
      </c>
      <c r="DE64" s="29">
        <v>29.284796952015753</v>
      </c>
      <c r="DF64" s="29">
        <v>29.388056386500086</v>
      </c>
      <c r="DG64" s="29">
        <v>29.49063396143265</v>
      </c>
      <c r="DH64" s="29">
        <v>29.592529484711974</v>
      </c>
      <c r="DI64" s="29">
        <v>29.693742855998558</v>
      </c>
      <c r="DJ64" s="29">
        <v>29.794274065401837</v>
      </c>
      <c r="DK64" s="29">
        <v>29.894123192173822</v>
      </c>
      <c r="DL64" s="29">
        <v>29.993290403409226</v>
      </c>
      <c r="DM64" s="29">
        <v>30.091775952749725</v>
      </c>
      <c r="DN64" s="29">
        <v>30.189580179095785</v>
      </c>
      <c r="DO64" s="29">
        <v>30.28670350532181</v>
      </c>
      <c r="DP64" s="29">
        <v>30.383146436997396</v>
      </c>
      <c r="DQ64" s="29">
        <v>30.478909561113369</v>
      </c>
      <c r="DR64" s="29">
        <v>30.573993544811845</v>
      </c>
      <c r="DS64">
        <v>30.668399134122147</v>
      </c>
      <c r="DT64">
        <v>30.762127152699755</v>
      </c>
      <c r="DU64">
        <v>30.855178500570425</v>
      </c>
    </row>
    <row r="65" spans="1:125">
      <c r="A65" s="34">
        <v>63</v>
      </c>
      <c r="B65" s="35"/>
      <c r="C65" s="35"/>
      <c r="D65" s="35"/>
      <c r="E65" s="35"/>
      <c r="F65" s="35"/>
      <c r="G65" s="35"/>
      <c r="H65" s="35"/>
      <c r="I65" s="35"/>
      <c r="J65" s="35"/>
      <c r="K65" s="35"/>
      <c r="L65" s="35"/>
      <c r="M65" s="35"/>
      <c r="N65" s="35"/>
      <c r="O65" s="35"/>
      <c r="P65" s="35"/>
      <c r="Q65" s="35"/>
      <c r="R65" s="35"/>
      <c r="S65" s="35"/>
      <c r="T65" s="35"/>
      <c r="U65" s="35"/>
      <c r="V65" s="29"/>
      <c r="W65" s="29"/>
      <c r="X65" s="29"/>
      <c r="Y65" s="29">
        <v>18.767002734805413</v>
      </c>
      <c r="Z65" s="29">
        <v>18.954622065845477</v>
      </c>
      <c r="AA65" s="29">
        <v>19.10409623440524</v>
      </c>
      <c r="AB65" s="29">
        <v>19.253530787435455</v>
      </c>
      <c r="AC65" s="29">
        <v>19.344315535716191</v>
      </c>
      <c r="AD65" s="29">
        <v>19.405261767222513</v>
      </c>
      <c r="AE65" s="29">
        <v>19.541773800217449</v>
      </c>
      <c r="AF65" s="29">
        <v>19.729355357197257</v>
      </c>
      <c r="AG65" s="29">
        <v>19.886410672197609</v>
      </c>
      <c r="AH65" s="29">
        <v>20.079228648120566</v>
      </c>
      <c r="AI65" s="29">
        <v>20.258454311031695</v>
      </c>
      <c r="AJ65" s="29">
        <v>20.451788218785879</v>
      </c>
      <c r="AK65" s="29">
        <v>20.650356645324401</v>
      </c>
      <c r="AL65" s="29">
        <v>20.869693504906422</v>
      </c>
      <c r="AM65" s="29">
        <v>21.05978240250008</v>
      </c>
      <c r="AN65" s="29">
        <v>21.197314242031993</v>
      </c>
      <c r="AO65" s="29">
        <v>21.294223839957869</v>
      </c>
      <c r="AP65" s="29">
        <v>21.363702392309197</v>
      </c>
      <c r="AQ65" s="29">
        <v>21.42776211959675</v>
      </c>
      <c r="AR65" s="29">
        <v>21.491777122700732</v>
      </c>
      <c r="AS65" s="29">
        <v>21.497255164018952</v>
      </c>
      <c r="AT65" s="29">
        <v>21.48845021784561</v>
      </c>
      <c r="AU65" s="29">
        <v>21.504468173460104</v>
      </c>
      <c r="AV65" s="29">
        <v>21.524464088328529</v>
      </c>
      <c r="AW65" s="29">
        <v>21.664951223448227</v>
      </c>
      <c r="AX65" s="29">
        <v>21.701112838030578</v>
      </c>
      <c r="AY65" s="29">
        <v>21.783223814221266</v>
      </c>
      <c r="AZ65" s="29">
        <v>21.857528021027186</v>
      </c>
      <c r="BA65" s="29">
        <v>21.914138084241387</v>
      </c>
      <c r="BB65" s="29">
        <v>22.009243827725889</v>
      </c>
      <c r="BC65" s="29">
        <v>22.098144195820723</v>
      </c>
      <c r="BD65" s="29">
        <v>22.182796319336717</v>
      </c>
      <c r="BE65" s="29">
        <v>22.301237198491599</v>
      </c>
      <c r="BF65" s="29">
        <v>22.40181605868035</v>
      </c>
      <c r="BG65" s="29">
        <v>22.512775104016413</v>
      </c>
      <c r="BH65" s="29">
        <v>22.640376872012279</v>
      </c>
      <c r="BI65" s="29">
        <v>22.767195585036774</v>
      </c>
      <c r="BJ65" s="29">
        <v>22.897922823606763</v>
      </c>
      <c r="BK65" s="29">
        <v>23.028158422156089</v>
      </c>
      <c r="BL65" s="29">
        <v>23.157896085478139</v>
      </c>
      <c r="BM65" s="29">
        <v>23.287128848821837</v>
      </c>
      <c r="BN65" s="29">
        <v>23.415848923196378</v>
      </c>
      <c r="BO65" s="29">
        <v>23.544047613313133</v>
      </c>
      <c r="BP65" s="29">
        <v>23.671715796869645</v>
      </c>
      <c r="BQ65" s="29">
        <v>23.798844263627146</v>
      </c>
      <c r="BR65" s="29">
        <v>23.925423909497511</v>
      </c>
      <c r="BS65" s="29">
        <v>24.051445899858429</v>
      </c>
      <c r="BT65" s="29">
        <v>24.17690180510667</v>
      </c>
      <c r="BU65" s="29">
        <v>24.3017837031081</v>
      </c>
      <c r="BV65" s="29">
        <v>24.426084269369188</v>
      </c>
      <c r="BW65" s="29">
        <v>24.549808834664397</v>
      </c>
      <c r="BX65" s="29">
        <v>24.672952904639438</v>
      </c>
      <c r="BY65" s="29">
        <v>24.795512124050379</v>
      </c>
      <c r="BZ65" s="29">
        <v>24.917482275215054</v>
      </c>
      <c r="CA65" s="29">
        <v>25.03885927647692</v>
      </c>
      <c r="CB65" s="29">
        <v>25.159639180682227</v>
      </c>
      <c r="CC65" s="29">
        <v>25.279818173669501</v>
      </c>
      <c r="CD65" s="29">
        <v>25.399392572773095</v>
      </c>
      <c r="CE65" s="29">
        <v>25.518358825339611</v>
      </c>
      <c r="CF65" s="29">
        <v>25.63671350725734</v>
      </c>
      <c r="CG65" s="29">
        <v>25.7544533214996</v>
      </c>
      <c r="CH65" s="29">
        <v>25.87157509668031</v>
      </c>
      <c r="CI65" s="29">
        <v>25.988075785623479</v>
      </c>
      <c r="CJ65" s="29">
        <v>26.103952463944726</v>
      </c>
      <c r="CK65" s="29">
        <v>26.219202328645913</v>
      </c>
      <c r="CL65" s="29">
        <v>26.333822696721377</v>
      </c>
      <c r="CM65" s="29">
        <v>26.447811003777083</v>
      </c>
      <c r="CN65" s="29">
        <v>26.56116480266116</v>
      </c>
      <c r="CO65" s="29">
        <v>26.673881762105019</v>
      </c>
      <c r="CP65" s="29">
        <v>26.785959665376616</v>
      </c>
      <c r="CQ65" s="29">
        <v>26.897396408943756</v>
      </c>
      <c r="CR65" s="29">
        <v>27.008190001147977</v>
      </c>
      <c r="CS65" s="29">
        <v>27.11833856088802</v>
      </c>
      <c r="CT65" s="29">
        <v>27.227840316312637</v>
      </c>
      <c r="CU65" s="29">
        <v>27.336693603522971</v>
      </c>
      <c r="CV65" s="29">
        <v>27.444896865283376</v>
      </c>
      <c r="CW65" s="29">
        <v>27.55244864974032</v>
      </c>
      <c r="CX65" s="29">
        <v>27.659347609149286</v>
      </c>
      <c r="CY65" s="29">
        <v>27.765592498609109</v>
      </c>
      <c r="CZ65" s="29">
        <v>27.87118217480333</v>
      </c>
      <c r="DA65" s="29">
        <v>27.976115594748464</v>
      </c>
      <c r="DB65" s="29">
        <v>28.080391814548069</v>
      </c>
      <c r="DC65" s="29">
        <v>28.184009988153139</v>
      </c>
      <c r="DD65" s="29">
        <v>28.286969366127778</v>
      </c>
      <c r="DE65" s="29">
        <v>28.389269294420693</v>
      </c>
      <c r="DF65" s="29">
        <v>28.490909213140405</v>
      </c>
      <c r="DG65" s="29">
        <v>28.591888655336405</v>
      </c>
      <c r="DH65" s="29">
        <v>28.692207245783351</v>
      </c>
      <c r="DI65" s="29">
        <v>28.791864699770432</v>
      </c>
      <c r="DJ65" s="29">
        <v>28.890860821893288</v>
      </c>
      <c r="DK65" s="29">
        <v>28.989195504849995</v>
      </c>
      <c r="DL65" s="29">
        <v>29.086868728240745</v>
      </c>
      <c r="DM65" s="29">
        <v>29.183880557369029</v>
      </c>
      <c r="DN65" s="29">
        <v>29.280231142047725</v>
      </c>
      <c r="DO65" s="29">
        <v>29.375920715405947</v>
      </c>
      <c r="DP65" s="29">
        <v>29.47094959269937</v>
      </c>
      <c r="DQ65" s="29">
        <v>29.565318170122843</v>
      </c>
      <c r="DR65" s="29">
        <v>29.659026923624474</v>
      </c>
      <c r="DS65">
        <v>29.752076407723202</v>
      </c>
      <c r="DT65">
        <v>29.844467254326815</v>
      </c>
      <c r="DU65">
        <v>29.936200171552912</v>
      </c>
    </row>
    <row r="66" spans="1:125">
      <c r="A66" s="34">
        <v>64</v>
      </c>
      <c r="B66" s="35"/>
      <c r="C66" s="35"/>
      <c r="D66" s="35"/>
      <c r="E66" s="35"/>
      <c r="F66" s="35"/>
      <c r="G66" s="35"/>
      <c r="H66" s="35"/>
      <c r="I66" s="35"/>
      <c r="J66" s="35"/>
      <c r="K66" s="35"/>
      <c r="L66" s="35"/>
      <c r="M66" s="35"/>
      <c r="N66" s="35"/>
      <c r="O66" s="35"/>
      <c r="P66" s="35"/>
      <c r="Q66" s="35"/>
      <c r="R66" s="35"/>
      <c r="S66" s="35"/>
      <c r="T66" s="35"/>
      <c r="U66" s="35"/>
      <c r="V66" s="29"/>
      <c r="W66" s="29"/>
      <c r="X66" s="29"/>
      <c r="Y66" s="29">
        <v>18.053499279330531</v>
      </c>
      <c r="Z66" s="29">
        <v>18.240357542603149</v>
      </c>
      <c r="AA66" s="29">
        <v>18.380230858449188</v>
      </c>
      <c r="AB66" s="29">
        <v>18.536043605412146</v>
      </c>
      <c r="AC66" s="29">
        <v>18.627043146315692</v>
      </c>
      <c r="AD66" s="29">
        <v>18.688741683707448</v>
      </c>
      <c r="AE66" s="29">
        <v>18.820444392689424</v>
      </c>
      <c r="AF66" s="29">
        <v>19.009515316080019</v>
      </c>
      <c r="AG66" s="29">
        <v>19.158779814883403</v>
      </c>
      <c r="AH66" s="29">
        <v>19.35028910963258</v>
      </c>
      <c r="AI66" s="29">
        <v>19.51882890836989</v>
      </c>
      <c r="AJ66" s="29">
        <v>19.705011063833048</v>
      </c>
      <c r="AK66" s="29">
        <v>19.893787097006218</v>
      </c>
      <c r="AL66" s="29">
        <v>20.108463267747755</v>
      </c>
      <c r="AM66" s="29">
        <v>20.28384285721776</v>
      </c>
      <c r="AN66" s="29">
        <v>20.421806071292028</v>
      </c>
      <c r="AO66" s="29">
        <v>20.515353221506672</v>
      </c>
      <c r="AP66" s="29">
        <v>20.576745294253467</v>
      </c>
      <c r="AQ66" s="29">
        <v>20.638864710158416</v>
      </c>
      <c r="AR66" s="29">
        <v>20.695087221224455</v>
      </c>
      <c r="AS66" s="29">
        <v>20.702886786282775</v>
      </c>
      <c r="AT66" s="29">
        <v>20.696906240546443</v>
      </c>
      <c r="AU66" s="29">
        <v>20.713874623424047</v>
      </c>
      <c r="AV66" s="29">
        <v>20.732195609484151</v>
      </c>
      <c r="AW66" s="29">
        <v>20.87023144459441</v>
      </c>
      <c r="AX66" s="29">
        <v>20.905663414309739</v>
      </c>
      <c r="AY66" s="29">
        <v>20.989367092194172</v>
      </c>
      <c r="AZ66" s="29">
        <v>21.056823461410104</v>
      </c>
      <c r="BA66" s="29">
        <v>21.123781428921532</v>
      </c>
      <c r="BB66" s="29">
        <v>21.219352387170336</v>
      </c>
      <c r="BC66" s="29">
        <v>21.306134420211269</v>
      </c>
      <c r="BD66" s="29">
        <v>21.396359397106259</v>
      </c>
      <c r="BE66" s="29">
        <v>21.510611717841165</v>
      </c>
      <c r="BF66" s="29">
        <v>21.609738336433111</v>
      </c>
      <c r="BG66" s="29">
        <v>21.730087467628909</v>
      </c>
      <c r="BH66" s="29">
        <v>21.859358563676651</v>
      </c>
      <c r="BI66" s="29">
        <v>21.987585653729596</v>
      </c>
      <c r="BJ66" s="29">
        <v>22.115355116329013</v>
      </c>
      <c r="BK66" s="29">
        <v>22.242661195817995</v>
      </c>
      <c r="BL66" s="29">
        <v>22.369497565122522</v>
      </c>
      <c r="BM66" s="29">
        <v>22.495857213072107</v>
      </c>
      <c r="BN66" s="29">
        <v>22.621732287491206</v>
      </c>
      <c r="BO66" s="29">
        <v>22.747114012674558</v>
      </c>
      <c r="BP66" s="29">
        <v>22.871993179624994</v>
      </c>
      <c r="BQ66" s="29">
        <v>22.996360490539715</v>
      </c>
      <c r="BR66" s="29">
        <v>23.120206754996616</v>
      </c>
      <c r="BS66" s="29">
        <v>23.243523054940162</v>
      </c>
      <c r="BT66" s="29">
        <v>23.366300881470863</v>
      </c>
      <c r="BU66" s="29">
        <v>23.488532237995464</v>
      </c>
      <c r="BV66" s="29">
        <v>23.610219642037833</v>
      </c>
      <c r="BW66" s="29">
        <v>23.731358418631054</v>
      </c>
      <c r="BX66" s="29">
        <v>23.851944026018273</v>
      </c>
      <c r="BY66" s="29">
        <v>23.971972054303855</v>
      </c>
      <c r="BZ66" s="29">
        <v>24.091438224115567</v>
      </c>
      <c r="CA66" s="29">
        <v>24.210338385277524</v>
      </c>
      <c r="CB66" s="29">
        <v>24.32866851549463</v>
      </c>
      <c r="CC66" s="29">
        <v>24.446424719047407</v>
      </c>
      <c r="CD66" s="29">
        <v>24.563603225498866</v>
      </c>
      <c r="CE66" s="29">
        <v>24.680200388411979</v>
      </c>
      <c r="CF66" s="29">
        <v>24.79621268407794</v>
      </c>
      <c r="CG66" s="29">
        <v>24.911636710255902</v>
      </c>
      <c r="CH66" s="29">
        <v>25.026469184922455</v>
      </c>
      <c r="CI66" s="29">
        <v>25.140706945032452</v>
      </c>
      <c r="CJ66" s="29">
        <v>25.254346945289186</v>
      </c>
      <c r="CK66" s="29">
        <v>25.367386256924974</v>
      </c>
      <c r="CL66" s="29">
        <v>25.479822066490524</v>
      </c>
      <c r="CM66" s="29">
        <v>25.591651674654397</v>
      </c>
      <c r="CN66" s="29">
        <v>25.702872495010944</v>
      </c>
      <c r="CO66" s="29">
        <v>25.813482052895846</v>
      </c>
      <c r="CP66" s="29">
        <v>25.923477984210876</v>
      </c>
      <c r="CQ66" s="29">
        <v>26.032858034255614</v>
      </c>
      <c r="CR66" s="29">
        <v>26.141620056566744</v>
      </c>
      <c r="CS66" s="29">
        <v>26.249762011763845</v>
      </c>
      <c r="CT66" s="29">
        <v>26.357281966401423</v>
      </c>
      <c r="CU66" s="29">
        <v>26.464178091827449</v>
      </c>
      <c r="CV66" s="29">
        <v>26.570448663047149</v>
      </c>
      <c r="CW66" s="29">
        <v>26.676092057591838</v>
      </c>
      <c r="CX66" s="29">
        <v>26.781106754392596</v>
      </c>
      <c r="CY66" s="29">
        <v>26.885491332658233</v>
      </c>
      <c r="CZ66" s="29">
        <v>26.989244470757221</v>
      </c>
      <c r="DA66" s="29">
        <v>27.092364945103363</v>
      </c>
      <c r="DB66" s="29">
        <v>27.194851629044223</v>
      </c>
      <c r="DC66" s="29">
        <v>27.296703491752773</v>
      </c>
      <c r="DD66" s="29">
        <v>27.397919597121266</v>
      </c>
      <c r="DE66" s="29">
        <v>27.49849910265786</v>
      </c>
      <c r="DF66" s="29">
        <v>27.598441258383982</v>
      </c>
      <c r="DG66" s="29">
        <v>27.697745405734594</v>
      </c>
      <c r="DH66" s="29">
        <v>27.796410976458557</v>
      </c>
      <c r="DI66" s="29">
        <v>27.894437491521174</v>
      </c>
      <c r="DJ66" s="29">
        <v>27.991824560006435</v>
      </c>
      <c r="DK66" s="29">
        <v>28.088571878020399</v>
      </c>
      <c r="DL66" s="29">
        <v>28.184679227595375</v>
      </c>
      <c r="DM66" s="29">
        <v>28.280146475592886</v>
      </c>
      <c r="DN66" s="29">
        <v>28.374973572608685</v>
      </c>
      <c r="DO66" s="29">
        <v>28.46916055187576</v>
      </c>
      <c r="DP66" s="29">
        <v>28.562707528168175</v>
      </c>
      <c r="DQ66" s="29">
        <v>28.65561469670444</v>
      </c>
      <c r="DR66" s="29">
        <v>28.747882332049798</v>
      </c>
      <c r="DS66">
        <v>28.839510787019282</v>
      </c>
      <c r="DT66">
        <v>28.930500491578833</v>
      </c>
      <c r="DU66">
        <v>29.020851951746629</v>
      </c>
    </row>
    <row r="67" spans="1:125">
      <c r="A67" s="34">
        <v>65</v>
      </c>
      <c r="B67" s="35"/>
      <c r="C67" s="35"/>
      <c r="D67" s="35"/>
      <c r="E67" s="35"/>
      <c r="F67" s="35"/>
      <c r="G67" s="35"/>
      <c r="H67" s="35"/>
      <c r="I67" s="35"/>
      <c r="J67" s="35"/>
      <c r="K67" s="35"/>
      <c r="L67" s="35"/>
      <c r="M67" s="35"/>
      <c r="N67" s="35"/>
      <c r="O67" s="35"/>
      <c r="P67" s="35"/>
      <c r="Q67" s="35"/>
      <c r="R67" s="35"/>
      <c r="S67" s="35"/>
      <c r="T67" s="35"/>
      <c r="U67" s="35"/>
      <c r="V67" s="29"/>
      <c r="W67" s="29"/>
      <c r="X67" s="29"/>
      <c r="Y67" s="29">
        <v>17.347748244370791</v>
      </c>
      <c r="Z67" s="29">
        <v>17.527790203931527</v>
      </c>
      <c r="AA67" s="29">
        <v>17.674024842328155</v>
      </c>
      <c r="AB67" s="29">
        <v>17.830159340883139</v>
      </c>
      <c r="AC67" s="29">
        <v>17.921510045025521</v>
      </c>
      <c r="AD67" s="29">
        <v>17.983182323367952</v>
      </c>
      <c r="AE67" s="29">
        <v>18.112178743541715</v>
      </c>
      <c r="AF67" s="29">
        <v>18.296832682801451</v>
      </c>
      <c r="AG67" s="29">
        <v>18.443757537746809</v>
      </c>
      <c r="AH67" s="29">
        <v>18.623691670839676</v>
      </c>
      <c r="AI67" s="29">
        <v>18.783046118979446</v>
      </c>
      <c r="AJ67" s="29">
        <v>18.958585636112979</v>
      </c>
      <c r="AK67" s="29">
        <v>19.144567584178883</v>
      </c>
      <c r="AL67" s="29">
        <v>19.346234403508959</v>
      </c>
      <c r="AM67" s="29">
        <v>19.515092754532418</v>
      </c>
      <c r="AN67" s="29">
        <v>19.652274943072307</v>
      </c>
      <c r="AO67" s="29">
        <v>19.738169220641318</v>
      </c>
      <c r="AP67" s="29">
        <v>19.792682057960633</v>
      </c>
      <c r="AQ67" s="29">
        <v>19.848955176135291</v>
      </c>
      <c r="AR67" s="29">
        <v>19.905951888591485</v>
      </c>
      <c r="AS67" s="29">
        <v>19.914763049350547</v>
      </c>
      <c r="AT67" s="29">
        <v>19.91015289126473</v>
      </c>
      <c r="AU67" s="29">
        <v>19.929601061383728</v>
      </c>
      <c r="AV67" s="29">
        <v>19.951814277832</v>
      </c>
      <c r="AW67" s="29">
        <v>20.084521188976581</v>
      </c>
      <c r="AX67" s="29">
        <v>20.126796512299357</v>
      </c>
      <c r="AY67" s="29">
        <v>20.200723507017198</v>
      </c>
      <c r="AZ67" s="29">
        <v>20.276700499906156</v>
      </c>
      <c r="BA67" s="29">
        <v>20.342590712350763</v>
      </c>
      <c r="BB67" s="29">
        <v>20.436094213522267</v>
      </c>
      <c r="BC67" s="29">
        <v>20.530178095183508</v>
      </c>
      <c r="BD67" s="29">
        <v>20.619697268508716</v>
      </c>
      <c r="BE67" s="29">
        <v>20.726482757058829</v>
      </c>
      <c r="BF67" s="29">
        <v>20.838926565744458</v>
      </c>
      <c r="BG67" s="29">
        <v>20.96639572885281</v>
      </c>
      <c r="BH67" s="29">
        <v>21.091931349758696</v>
      </c>
      <c r="BI67" s="29">
        <v>21.217044284141974</v>
      </c>
      <c r="BJ67" s="29">
        <v>21.341729217894994</v>
      </c>
      <c r="BK67" s="29">
        <v>21.465980367788468</v>
      </c>
      <c r="BL67" s="29">
        <v>21.589791365148088</v>
      </c>
      <c r="BM67" s="29">
        <v>21.713155141997891</v>
      </c>
      <c r="BN67" s="29">
        <v>21.836063771723602</v>
      </c>
      <c r="BO67" s="29">
        <v>21.958508386032179</v>
      </c>
      <c r="BP67" s="29">
        <v>22.080479677146805</v>
      </c>
      <c r="BQ67" s="29">
        <v>22.201968248172612</v>
      </c>
      <c r="BR67" s="29">
        <v>22.322964811542647</v>
      </c>
      <c r="BS67" s="29">
        <v>22.443460355794763</v>
      </c>
      <c r="BT67" s="29">
        <v>22.563446283677727</v>
      </c>
      <c r="BU67" s="29">
        <v>22.682921818705843</v>
      </c>
      <c r="BV67" s="29">
        <v>22.801882115080517</v>
      </c>
      <c r="BW67" s="29">
        <v>22.920322453574464</v>
      </c>
      <c r="BX67" s="29">
        <v>23.038238240398805</v>
      </c>
      <c r="BY67" s="29">
        <v>23.155625006078772</v>
      </c>
      <c r="BZ67" s="29">
        <v>23.272478404338603</v>
      </c>
      <c r="CA67" s="29">
        <v>23.388794210995236</v>
      </c>
      <c r="CB67" s="29">
        <v>23.504568322861388</v>
      </c>
      <c r="CC67" s="29">
        <v>23.619796756656818</v>
      </c>
      <c r="CD67" s="29">
        <v>23.734475647929173</v>
      </c>
      <c r="CE67" s="29">
        <v>23.848601249983052</v>
      </c>
      <c r="CF67" s="29">
        <v>23.962169932817233</v>
      </c>
      <c r="CG67" s="29">
        <v>24.07517818207068</v>
      </c>
      <c r="CH67" s="29">
        <v>24.187622597975562</v>
      </c>
      <c r="CI67" s="29">
        <v>24.299499894318735</v>
      </c>
      <c r="CJ67" s="29">
        <v>24.410806897409692</v>
      </c>
      <c r="CK67" s="29">
        <v>24.521540545055903</v>
      </c>
      <c r="CL67" s="29">
        <v>24.631697885543922</v>
      </c>
      <c r="CM67" s="29">
        <v>24.741276076627468</v>
      </c>
      <c r="CN67" s="29">
        <v>24.850272384520878</v>
      </c>
      <c r="CO67" s="29">
        <v>24.958684182896924</v>
      </c>
      <c r="CP67" s="29">
        <v>25.066508951890732</v>
      </c>
      <c r="CQ67" s="29">
        <v>25.173744277107289</v>
      </c>
      <c r="CR67" s="29">
        <v>25.280387848633417</v>
      </c>
      <c r="CS67" s="29">
        <v>25.386437460052811</v>
      </c>
      <c r="CT67" s="29">
        <v>25.491891007464147</v>
      </c>
      <c r="CU67" s="29">
        <v>25.596746488502305</v>
      </c>
      <c r="CV67" s="29">
        <v>25.701002001361598</v>
      </c>
      <c r="CW67" s="29">
        <v>25.804655743820689</v>
      </c>
      <c r="CX67" s="29">
        <v>25.907706012269077</v>
      </c>
      <c r="CY67" s="29">
        <v>26.010151200734548</v>
      </c>
      <c r="CZ67" s="29">
        <v>26.111989799911349</v>
      </c>
      <c r="DA67" s="29">
        <v>26.213220396188746</v>
      </c>
      <c r="DB67" s="29">
        <v>26.31384167067916</v>
      </c>
      <c r="DC67" s="29">
        <v>26.413852398246224</v>
      </c>
      <c r="DD67" s="29">
        <v>26.513251446531875</v>
      </c>
      <c r="DE67" s="29">
        <v>26.612037774983008</v>
      </c>
      <c r="DF67" s="29">
        <v>26.710210433875631</v>
      </c>
      <c r="DG67" s="29">
        <v>26.807768563338847</v>
      </c>
      <c r="DH67" s="29">
        <v>26.904711392375834</v>
      </c>
      <c r="DI67" s="29">
        <v>27.001038237883815</v>
      </c>
      <c r="DJ67" s="29">
        <v>27.096748503670796</v>
      </c>
      <c r="DK67" s="29">
        <v>27.191841679470322</v>
      </c>
      <c r="DL67" s="29">
        <v>27.286317339954174</v>
      </c>
      <c r="DM67" s="29">
        <v>27.380175143740729</v>
      </c>
      <c r="DN67" s="29">
        <v>27.473414832402664</v>
      </c>
      <c r="DO67" s="29">
        <v>27.566036229469603</v>
      </c>
      <c r="DP67" s="29">
        <v>27.658039239428881</v>
      </c>
      <c r="DQ67" s="29">
        <v>27.749423846723012</v>
      </c>
      <c r="DR67" s="29">
        <v>27.840190114743322</v>
      </c>
      <c r="DS67">
        <v>27.930338184821657</v>
      </c>
      <c r="DT67">
        <v>28.019868275217462</v>
      </c>
      <c r="DU67">
        <v>28.108780680102512</v>
      </c>
    </row>
    <row r="68" spans="1:125">
      <c r="A68" s="34">
        <v>66</v>
      </c>
      <c r="B68" s="35"/>
      <c r="C68" s="35"/>
      <c r="D68" s="35"/>
      <c r="E68" s="35"/>
      <c r="F68" s="35"/>
      <c r="G68" s="35"/>
      <c r="H68" s="35"/>
      <c r="I68" s="35"/>
      <c r="J68" s="35"/>
      <c r="K68" s="35"/>
      <c r="L68" s="35"/>
      <c r="M68" s="35"/>
      <c r="N68" s="35"/>
      <c r="O68" s="35"/>
      <c r="P68" s="35"/>
      <c r="Q68" s="35"/>
      <c r="R68" s="35"/>
      <c r="S68" s="35"/>
      <c r="T68" s="35"/>
      <c r="U68" s="35"/>
      <c r="V68" s="29"/>
      <c r="W68" s="29"/>
      <c r="X68" s="29"/>
      <c r="Y68" s="29">
        <v>16.655599260047477</v>
      </c>
      <c r="Z68" s="29">
        <v>16.842790434853882</v>
      </c>
      <c r="AA68" s="29">
        <v>16.98302059116569</v>
      </c>
      <c r="AB68" s="29">
        <v>17.131244818292377</v>
      </c>
      <c r="AC68" s="29">
        <v>17.220963443699905</v>
      </c>
      <c r="AD68" s="29">
        <v>17.28437993229446</v>
      </c>
      <c r="AE68" s="29">
        <v>17.41105134540101</v>
      </c>
      <c r="AF68" s="29">
        <v>17.599856803347336</v>
      </c>
      <c r="AG68" s="29">
        <v>17.736387770809891</v>
      </c>
      <c r="AH68" s="29">
        <v>17.901209733800375</v>
      </c>
      <c r="AI68" s="29">
        <v>18.055233162058027</v>
      </c>
      <c r="AJ68" s="29">
        <v>18.22381725553792</v>
      </c>
      <c r="AK68" s="29">
        <v>18.395509522193883</v>
      </c>
      <c r="AL68" s="29">
        <v>18.595851414545145</v>
      </c>
      <c r="AM68" s="29">
        <v>18.761751837493918</v>
      </c>
      <c r="AN68" s="29">
        <v>18.886855926281768</v>
      </c>
      <c r="AO68" s="29">
        <v>18.968458472153245</v>
      </c>
      <c r="AP68" s="29">
        <v>19.015673918026149</v>
      </c>
      <c r="AQ68" s="29">
        <v>19.070818509659091</v>
      </c>
      <c r="AR68" s="29">
        <v>19.124929084169416</v>
      </c>
      <c r="AS68" s="29">
        <v>19.137189811150691</v>
      </c>
      <c r="AT68" s="29">
        <v>19.12806230183617</v>
      </c>
      <c r="AU68" s="29">
        <v>19.15252514420823</v>
      </c>
      <c r="AV68" s="29">
        <v>19.180221222997758</v>
      </c>
      <c r="AW68" s="29">
        <v>19.309667780234513</v>
      </c>
      <c r="AX68" s="29">
        <v>19.346201971108236</v>
      </c>
      <c r="AY68" s="29">
        <v>19.428186693720249</v>
      </c>
      <c r="AZ68" s="29">
        <v>19.505440492814373</v>
      </c>
      <c r="BA68" s="29">
        <v>19.570279064158697</v>
      </c>
      <c r="BB68" s="29">
        <v>19.66533671921335</v>
      </c>
      <c r="BC68" s="29">
        <v>19.757212666379758</v>
      </c>
      <c r="BD68" s="29">
        <v>19.849711394990543</v>
      </c>
      <c r="BE68" s="29">
        <v>19.965244038362176</v>
      </c>
      <c r="BF68" s="29">
        <v>20.087796634715502</v>
      </c>
      <c r="BG68" s="29">
        <v>20.210458699943381</v>
      </c>
      <c r="BH68" s="29">
        <v>20.33273398037187</v>
      </c>
      <c r="BI68" s="29">
        <v>20.45461750425391</v>
      </c>
      <c r="BJ68" s="29">
        <v>20.576103931229689</v>
      </c>
      <c r="BK68" s="29">
        <v>20.697187437956813</v>
      </c>
      <c r="BL68" s="29">
        <v>20.817861601237233</v>
      </c>
      <c r="BM68" s="29">
        <v>20.938119282863525</v>
      </c>
      <c r="BN68" s="29">
        <v>21.057952467624794</v>
      </c>
      <c r="BO68" s="29">
        <v>21.177352179694907</v>
      </c>
      <c r="BP68" s="29">
        <v>21.296308997829904</v>
      </c>
      <c r="BQ68" s="29">
        <v>21.414813412097782</v>
      </c>
      <c r="BR68" s="29">
        <v>21.532856024743012</v>
      </c>
      <c r="BS68" s="29">
        <v>21.650427718872034</v>
      </c>
      <c r="BT68" s="29">
        <v>21.767523990400868</v>
      </c>
      <c r="BU68" s="29">
        <v>21.88413983244893</v>
      </c>
      <c r="BV68" s="29">
        <v>22.000270357389024</v>
      </c>
      <c r="BW68" s="29">
        <v>22.115910795943631</v>
      </c>
      <c r="BX68" s="29">
        <v>22.231056496288346</v>
      </c>
      <c r="BY68" s="29">
        <v>22.345702923161952</v>
      </c>
      <c r="BZ68" s="29">
        <v>22.4598456569835</v>
      </c>
      <c r="CA68" s="29">
        <v>22.573480392975977</v>
      </c>
      <c r="CB68" s="29">
        <v>22.6866029402969</v>
      </c>
      <c r="CC68" s="29">
        <v>22.799209221174575</v>
      </c>
      <c r="CD68" s="29">
        <v>22.911295270051298</v>
      </c>
      <c r="CE68" s="29">
        <v>23.022857232732008</v>
      </c>
      <c r="CF68" s="29">
        <v>23.133891365538297</v>
      </c>
      <c r="CG68" s="29">
        <v>23.244394034468186</v>
      </c>
      <c r="CH68" s="29">
        <v>23.354361714360003</v>
      </c>
      <c r="CI68" s="29">
        <v>23.463790988061529</v>
      </c>
      <c r="CJ68" s="29">
        <v>23.57267854560255</v>
      </c>
      <c r="CK68" s="29">
        <v>23.681021183371552</v>
      </c>
      <c r="CL68" s="29">
        <v>23.788815803294895</v>
      </c>
      <c r="CM68" s="29">
        <v>23.896059412019721</v>
      </c>
      <c r="CN68" s="29">
        <v>24.002749120098848</v>
      </c>
      <c r="CO68" s="29">
        <v>24.108882141176668</v>
      </c>
      <c r="CP68" s="29">
        <v>24.214455791177734</v>
      </c>
      <c r="CQ68" s="29">
        <v>24.31946748749553</v>
      </c>
      <c r="CR68" s="29">
        <v>24.423914748182245</v>
      </c>
      <c r="CS68" s="29">
        <v>24.527795191138203</v>
      </c>
      <c r="CT68" s="29">
        <v>24.631106533300809</v>
      </c>
      <c r="CU68" s="29">
        <v>24.733846589833288</v>
      </c>
      <c r="CV68" s="29">
        <v>24.836013273311856</v>
      </c>
      <c r="CW68" s="29">
        <v>24.937604592911132</v>
      </c>
      <c r="CX68" s="29">
        <v>25.03861865358774</v>
      </c>
      <c r="CY68" s="29">
        <v>25.139053655261375</v>
      </c>
      <c r="CZ68" s="29">
        <v>25.238907891993165</v>
      </c>
      <c r="DA68" s="29">
        <v>25.338179751161061</v>
      </c>
      <c r="DB68" s="29">
        <v>25.436867712631376</v>
      </c>
      <c r="DC68" s="29">
        <v>25.534970347926887</v>
      </c>
      <c r="DD68" s="29">
        <v>25.632486319390665</v>
      </c>
      <c r="DE68" s="29">
        <v>25.729414379346082</v>
      </c>
      <c r="DF68" s="29">
        <v>25.825753369251135</v>
      </c>
      <c r="DG68" s="29">
        <v>25.921502218849284</v>
      </c>
      <c r="DH68" s="29">
        <v>26.016659945314046</v>
      </c>
      <c r="DI68" s="29">
        <v>26.111225652389471</v>
      </c>
      <c r="DJ68" s="29">
        <v>26.205198529524168</v>
      </c>
      <c r="DK68" s="29">
        <v>26.298577851000303</v>
      </c>
      <c r="DL68" s="29">
        <v>26.391362975057348</v>
      </c>
      <c r="DM68" s="29">
        <v>26.483553343008644</v>
      </c>
      <c r="DN68" s="29">
        <v>26.575148478354098</v>
      </c>
      <c r="DO68" s="29">
        <v>26.666147985885083</v>
      </c>
      <c r="DP68" s="29">
        <v>26.756551550784373</v>
      </c>
      <c r="DQ68" s="29">
        <v>26.846358937720009</v>
      </c>
      <c r="DR68" s="29">
        <v>26.935569989932478</v>
      </c>
      <c r="DS68">
        <v>27.024184628317215</v>
      </c>
      <c r="DT68">
        <v>27.112202850499667</v>
      </c>
      <c r="DU68">
        <v>27.199624729905398</v>
      </c>
    </row>
    <row r="69" spans="1:125">
      <c r="A69" s="34">
        <v>67</v>
      </c>
      <c r="B69" s="35"/>
      <c r="C69" s="35"/>
      <c r="D69" s="35"/>
      <c r="E69" s="35"/>
      <c r="F69" s="35"/>
      <c r="G69" s="35"/>
      <c r="H69" s="35"/>
      <c r="I69" s="35"/>
      <c r="J69" s="35"/>
      <c r="K69" s="35"/>
      <c r="L69" s="35"/>
      <c r="M69" s="35"/>
      <c r="N69" s="35"/>
      <c r="O69" s="35"/>
      <c r="P69" s="35"/>
      <c r="Q69" s="35"/>
      <c r="R69" s="35"/>
      <c r="S69" s="35"/>
      <c r="T69" s="35"/>
      <c r="U69" s="35"/>
      <c r="V69" s="29"/>
      <c r="W69" s="29"/>
      <c r="X69" s="29"/>
      <c r="Y69" s="29">
        <v>15.981701761524505</v>
      </c>
      <c r="Z69" s="29">
        <v>16.167996403743718</v>
      </c>
      <c r="AA69" s="29">
        <v>16.299903567933423</v>
      </c>
      <c r="AB69" s="29">
        <v>16.444826922837681</v>
      </c>
      <c r="AC69" s="29">
        <v>16.535320434954532</v>
      </c>
      <c r="AD69" s="29">
        <v>16.594151187139492</v>
      </c>
      <c r="AE69" s="29">
        <v>16.725039918811568</v>
      </c>
      <c r="AF69" s="29">
        <v>16.894969581631024</v>
      </c>
      <c r="AG69" s="29">
        <v>17.028969513799019</v>
      </c>
      <c r="AH69" s="29">
        <v>17.187153629614166</v>
      </c>
      <c r="AI69" s="29">
        <v>17.335231898947086</v>
      </c>
      <c r="AJ69" s="29">
        <v>17.488445344071302</v>
      </c>
      <c r="AK69" s="29">
        <v>17.66084876836721</v>
      </c>
      <c r="AL69" s="29">
        <v>17.852152570424849</v>
      </c>
      <c r="AM69" s="29">
        <v>18.010182403784114</v>
      </c>
      <c r="AN69" s="29">
        <v>18.12676163119108</v>
      </c>
      <c r="AO69" s="29">
        <v>18.200416246562131</v>
      </c>
      <c r="AP69" s="29">
        <v>18.246196817979516</v>
      </c>
      <c r="AQ69" s="29">
        <v>18.302146863953901</v>
      </c>
      <c r="AR69" s="29">
        <v>18.352760364493029</v>
      </c>
      <c r="AS69" s="29">
        <v>18.362729334371998</v>
      </c>
      <c r="AT69" s="29">
        <v>18.363647243023234</v>
      </c>
      <c r="AU69" s="29">
        <v>18.381363972205534</v>
      </c>
      <c r="AV69" s="29">
        <v>18.418260647736105</v>
      </c>
      <c r="AW69" s="29">
        <v>18.54084166673087</v>
      </c>
      <c r="AX69" s="29">
        <v>18.583761360752789</v>
      </c>
      <c r="AY69" s="29">
        <v>18.661402098681137</v>
      </c>
      <c r="AZ69" s="29">
        <v>18.737756203707171</v>
      </c>
      <c r="BA69" s="29">
        <v>18.812725545606476</v>
      </c>
      <c r="BB69" s="29">
        <v>18.905490116648</v>
      </c>
      <c r="BC69" s="29">
        <v>18.994694733610917</v>
      </c>
      <c r="BD69" s="29">
        <v>19.102286900907526</v>
      </c>
      <c r="BE69" s="29">
        <v>19.223037011696142</v>
      </c>
      <c r="BF69" s="29">
        <v>19.34265404302759</v>
      </c>
      <c r="BG69" s="29">
        <v>19.461921023624075</v>
      </c>
      <c r="BH69" s="29">
        <v>19.580833364055778</v>
      </c>
      <c r="BI69" s="29">
        <v>19.699386064518656</v>
      </c>
      <c r="BJ69" s="29">
        <v>19.817573742872014</v>
      </c>
      <c r="BK69" s="29">
        <v>19.935390519991444</v>
      </c>
      <c r="BL69" s="29">
        <v>20.052829902279992</v>
      </c>
      <c r="BM69" s="29">
        <v>20.169884665084858</v>
      </c>
      <c r="BN69" s="29">
        <v>20.286546687797419</v>
      </c>
      <c r="BO69" s="29">
        <v>20.402806869606245</v>
      </c>
      <c r="BP69" s="29">
        <v>20.51865565879406</v>
      </c>
      <c r="BQ69" s="29">
        <v>20.634083416333052</v>
      </c>
      <c r="BR69" s="29">
        <v>20.749080619325959</v>
      </c>
      <c r="BS69" s="29">
        <v>20.863638655456121</v>
      </c>
      <c r="BT69" s="29">
        <v>20.977752366507289</v>
      </c>
      <c r="BU69" s="29">
        <v>21.09141670559503</v>
      </c>
      <c r="BV69" s="29">
        <v>21.204626736503826</v>
      </c>
      <c r="BW69" s="29">
        <v>21.317377633028805</v>
      </c>
      <c r="BX69" s="29">
        <v>21.429664678322496</v>
      </c>
      <c r="BY69" s="29">
        <v>21.541483264245951</v>
      </c>
      <c r="BZ69" s="29">
        <v>21.652828890724443</v>
      </c>
      <c r="CA69" s="29">
        <v>21.763697165107196</v>
      </c>
      <c r="CB69" s="29">
        <v>21.874083801531405</v>
      </c>
      <c r="CC69" s="29">
        <v>21.983984620289071</v>
      </c>
      <c r="CD69" s="29">
        <v>22.093395547197971</v>
      </c>
      <c r="CE69" s="29">
        <v>22.202312612975042</v>
      </c>
      <c r="CF69" s="29">
        <v>22.310731952612052</v>
      </c>
      <c r="CG69" s="29">
        <v>22.418649804753962</v>
      </c>
      <c r="CH69" s="29">
        <v>22.526062511078067</v>
      </c>
      <c r="CI69" s="29">
        <v>22.632966515675243</v>
      </c>
      <c r="CJ69" s="29">
        <v>22.739358364431165</v>
      </c>
      <c r="CK69" s="29">
        <v>22.845234704408362</v>
      </c>
      <c r="CL69" s="29">
        <v>22.95059228322728</v>
      </c>
      <c r="CM69" s="29">
        <v>23.055427948447644</v>
      </c>
      <c r="CN69" s="29">
        <v>23.159738646948291</v>
      </c>
      <c r="CO69" s="29">
        <v>23.263521424304493</v>
      </c>
      <c r="CP69" s="29">
        <v>23.366773424164464</v>
      </c>
      <c r="CQ69" s="29">
        <v>23.469491887622453</v>
      </c>
      <c r="CR69" s="29">
        <v>23.571674152589285</v>
      </c>
      <c r="CS69" s="29">
        <v>23.673317653159032</v>
      </c>
      <c r="CT69" s="29">
        <v>23.774419918971564</v>
      </c>
      <c r="CU69" s="29">
        <v>23.874978574571369</v>
      </c>
      <c r="CV69" s="29">
        <v>23.974991338761221</v>
      </c>
      <c r="CW69" s="29">
        <v>24.074456023950564</v>
      </c>
      <c r="CX69" s="29">
        <v>24.173370535498492</v>
      </c>
      <c r="CY69" s="29">
        <v>24.271732871050709</v>
      </c>
      <c r="CZ69" s="29">
        <v>24.369541119870284</v>
      </c>
      <c r="DA69" s="29">
        <v>24.466793462161924</v>
      </c>
      <c r="DB69" s="29">
        <v>24.563488168388929</v>
      </c>
      <c r="DC69" s="29">
        <v>24.659623598583298</v>
      </c>
      <c r="DD69" s="29">
        <v>24.755198201648142</v>
      </c>
      <c r="DE69" s="29">
        <v>24.850210514652922</v>
      </c>
      <c r="DF69" s="29">
        <v>24.944659162119603</v>
      </c>
      <c r="DG69" s="29">
        <v>25.038542855302079</v>
      </c>
      <c r="DH69" s="29">
        <v>25.131860391456023</v>
      </c>
      <c r="DI69" s="29">
        <v>25.224610653101408</v>
      </c>
      <c r="DJ69" s="29">
        <v>25.316792607275396</v>
      </c>
      <c r="DK69" s="29">
        <v>25.408405304776984</v>
      </c>
      <c r="DL69" s="29">
        <v>25.499447879403323</v>
      </c>
      <c r="DM69" s="29">
        <v>25.589919547175768</v>
      </c>
      <c r="DN69" s="29">
        <v>25.679819605559018</v>
      </c>
      <c r="DO69" s="29">
        <v>25.769147432669449</v>
      </c>
      <c r="DP69" s="29">
        <v>25.85790248647556</v>
      </c>
      <c r="DQ69" s="29">
        <v>25.946084303989444</v>
      </c>
      <c r="DR69" s="29">
        <v>26.033692500448652</v>
      </c>
      <c r="DS69">
        <v>26.120726768490677</v>
      </c>
      <c r="DT69">
        <v>26.207186877317092</v>
      </c>
      <c r="DU69">
        <v>26.293072671850137</v>
      </c>
    </row>
    <row r="70" spans="1:125">
      <c r="A70" s="34">
        <v>68</v>
      </c>
      <c r="B70" s="35"/>
      <c r="C70" s="35"/>
      <c r="D70" s="35"/>
      <c r="E70" s="35"/>
      <c r="F70" s="35"/>
      <c r="G70" s="35"/>
      <c r="H70" s="35"/>
      <c r="I70" s="35"/>
      <c r="J70" s="35"/>
      <c r="K70" s="35"/>
      <c r="L70" s="35"/>
      <c r="M70" s="35"/>
      <c r="N70" s="35"/>
      <c r="O70" s="35"/>
      <c r="P70" s="35"/>
      <c r="Q70" s="35"/>
      <c r="R70" s="35"/>
      <c r="S70" s="35"/>
      <c r="T70" s="35"/>
      <c r="U70" s="35"/>
      <c r="V70" s="29"/>
      <c r="W70" s="29"/>
      <c r="X70" s="29"/>
      <c r="Y70" s="29">
        <v>15.316900416434816</v>
      </c>
      <c r="Z70" s="29">
        <v>15.501700572770018</v>
      </c>
      <c r="AA70" s="29">
        <v>15.626054711336824</v>
      </c>
      <c r="AB70" s="29">
        <v>15.767713526472491</v>
      </c>
      <c r="AC70" s="29">
        <v>15.862870411864016</v>
      </c>
      <c r="AD70" s="29">
        <v>15.924666160797592</v>
      </c>
      <c r="AE70" s="29">
        <v>16.037447237741269</v>
      </c>
      <c r="AF70" s="29">
        <v>16.202395111239866</v>
      </c>
      <c r="AG70" s="29">
        <v>16.330225708196838</v>
      </c>
      <c r="AH70" s="29">
        <v>16.482779283439925</v>
      </c>
      <c r="AI70" s="29">
        <v>16.616861204856711</v>
      </c>
      <c r="AJ70" s="29">
        <v>16.768445803085477</v>
      </c>
      <c r="AK70" s="29">
        <v>16.936297348948486</v>
      </c>
      <c r="AL70" s="29">
        <v>17.110908529226386</v>
      </c>
      <c r="AM70" s="29">
        <v>17.263372610749869</v>
      </c>
      <c r="AN70" s="29">
        <v>17.369243548437151</v>
      </c>
      <c r="AO70" s="29">
        <v>17.43605887035789</v>
      </c>
      <c r="AP70" s="29">
        <v>17.483929428488359</v>
      </c>
      <c r="AQ70" s="29">
        <v>17.539138486827099</v>
      </c>
      <c r="AR70" s="29">
        <v>17.586187270061085</v>
      </c>
      <c r="AS70" s="29">
        <v>17.600575628274044</v>
      </c>
      <c r="AT70" s="29">
        <v>17.600678101588596</v>
      </c>
      <c r="AU70" s="29">
        <v>17.622069743259249</v>
      </c>
      <c r="AV70" s="29">
        <v>17.659973918316908</v>
      </c>
      <c r="AW70" s="29">
        <v>17.782308220443987</v>
      </c>
      <c r="AX70" s="29">
        <v>17.831351020776289</v>
      </c>
      <c r="AY70" s="29">
        <v>17.905650468729714</v>
      </c>
      <c r="AZ70" s="29">
        <v>17.986663519244956</v>
      </c>
      <c r="BA70" s="29">
        <v>18.056704645569155</v>
      </c>
      <c r="BB70" s="29">
        <v>18.152137282350687</v>
      </c>
      <c r="BC70" s="29">
        <v>18.254548817295902</v>
      </c>
      <c r="BD70" s="29">
        <v>18.371718909100359</v>
      </c>
      <c r="BE70" s="29">
        <v>18.488129715527919</v>
      </c>
      <c r="BF70" s="29">
        <v>18.604227833888508</v>
      </c>
      <c r="BG70" s="29">
        <v>18.720009164883457</v>
      </c>
      <c r="BH70" s="29">
        <v>18.835469087405741</v>
      </c>
      <c r="BI70" s="29">
        <v>18.95060255502451</v>
      </c>
      <c r="BJ70" s="29">
        <v>19.06540412534266</v>
      </c>
      <c r="BK70" s="29">
        <v>19.179867845024955</v>
      </c>
      <c r="BL70" s="29">
        <v>19.293987131616596</v>
      </c>
      <c r="BM70" s="29">
        <v>19.407754655382814</v>
      </c>
      <c r="BN70" s="29">
        <v>19.521162171233318</v>
      </c>
      <c r="BO70" s="29">
        <v>19.634200433766452</v>
      </c>
      <c r="BP70" s="29">
        <v>19.746859741822391</v>
      </c>
      <c r="BQ70" s="29">
        <v>19.859130309466725</v>
      </c>
      <c r="BR70" s="29">
        <v>19.970999117540515</v>
      </c>
      <c r="BS70" s="29">
        <v>20.082460866198659</v>
      </c>
      <c r="BT70" s="29">
        <v>20.193510358494514</v>
      </c>
      <c r="BU70" s="29">
        <v>20.304142499965067</v>
      </c>
      <c r="BV70" s="29">
        <v>20.414352298219242</v>
      </c>
      <c r="BW70" s="29">
        <v>20.524134862528683</v>
      </c>
      <c r="BX70" s="29">
        <v>20.633485403421147</v>
      </c>
      <c r="BY70" s="29">
        <v>20.742399232275716</v>
      </c>
      <c r="BZ70" s="29">
        <v>20.850871760919986</v>
      </c>
      <c r="CA70" s="29">
        <v>20.958898501228461</v>
      </c>
      <c r="CB70" s="29">
        <v>21.066475064722422</v>
      </c>
      <c r="CC70" s="29">
        <v>21.173597162169621</v>
      </c>
      <c r="CD70" s="29">
        <v>21.280260603184985</v>
      </c>
      <c r="CE70" s="29">
        <v>21.386461295830713</v>
      </c>
      <c r="CF70" s="29">
        <v>21.492195246215285</v>
      </c>
      <c r="CG70" s="29">
        <v>21.597458558092015</v>
      </c>
      <c r="CH70" s="29">
        <v>21.702247432454925</v>
      </c>
      <c r="CI70" s="29">
        <v>21.806558167133403</v>
      </c>
      <c r="CJ70" s="29">
        <v>21.910387156383319</v>
      </c>
      <c r="CK70" s="29">
        <v>22.013730890475536</v>
      </c>
      <c r="CL70" s="29">
        <v>22.116585955279859</v>
      </c>
      <c r="CM70" s="29">
        <v>22.21894903184581</v>
      </c>
      <c r="CN70" s="29">
        <v>22.320816895978162</v>
      </c>
      <c r="CO70" s="29">
        <v>22.422186417806554</v>
      </c>
      <c r="CP70" s="29">
        <v>22.523054561350467</v>
      </c>
      <c r="CQ70" s="29">
        <v>22.623418384077375</v>
      </c>
      <c r="CR70" s="29">
        <v>22.723275036454577</v>
      </c>
      <c r="CS70" s="29">
        <v>22.8226217614936</v>
      </c>
      <c r="CT70" s="29">
        <v>22.921455894286854</v>
      </c>
      <c r="CU70" s="29">
        <v>23.019774861536927</v>
      </c>
      <c r="CV70" s="29">
        <v>23.117576181077176</v>
      </c>
      <c r="CW70" s="29">
        <v>23.21485746138336</v>
      </c>
      <c r="CX70" s="29">
        <v>23.311616401076396</v>
      </c>
      <c r="CY70" s="29">
        <v>23.40785078841548</v>
      </c>
      <c r="CZ70" s="29">
        <v>23.503558500781473</v>
      </c>
      <c r="DA70" s="29">
        <v>23.598737504150332</v>
      </c>
      <c r="DB70" s="29">
        <v>23.693385852555735</v>
      </c>
      <c r="DC70" s="29">
        <v>23.787501687541393</v>
      </c>
      <c r="DD70" s="29">
        <v>23.881083237602262</v>
      </c>
      <c r="DE70" s="29">
        <v>23.974128817615171</v>
      </c>
      <c r="DF70" s="29">
        <v>24.066636828257053</v>
      </c>
      <c r="DG70" s="29">
        <v>24.158605755413117</v>
      </c>
      <c r="DH70" s="29">
        <v>24.250034169572118</v>
      </c>
      <c r="DI70" s="29">
        <v>24.340920725211156</v>
      </c>
      <c r="DJ70" s="29">
        <v>24.431264160167533</v>
      </c>
      <c r="DK70" s="29">
        <v>24.521063294999266</v>
      </c>
      <c r="DL70" s="29">
        <v>24.61031703233418</v>
      </c>
      <c r="DM70" s="29">
        <v>24.699024356205545</v>
      </c>
      <c r="DN70" s="29">
        <v>24.787184331377915</v>
      </c>
      <c r="DO70" s="29">
        <v>24.874796102659062</v>
      </c>
      <c r="DP70" s="29">
        <v>24.961858894201086</v>
      </c>
      <c r="DQ70" s="29">
        <v>25.048372008789727</v>
      </c>
      <c r="DR70" s="29">
        <v>25.134334827121116</v>
      </c>
      <c r="DS70">
        <v>25.219746807068383</v>
      </c>
      <c r="DT70">
        <v>25.304607482935161</v>
      </c>
      <c r="DU70">
        <v>25.388916464698795</v>
      </c>
    </row>
    <row r="71" spans="1:125">
      <c r="A71" s="34">
        <v>69</v>
      </c>
      <c r="B71" s="35"/>
      <c r="C71" s="35"/>
      <c r="D71" s="35"/>
      <c r="E71" s="35"/>
      <c r="F71" s="35"/>
      <c r="G71" s="35"/>
      <c r="H71" s="35"/>
      <c r="I71" s="35"/>
      <c r="J71" s="35"/>
      <c r="K71" s="35"/>
      <c r="L71" s="35"/>
      <c r="M71" s="35"/>
      <c r="N71" s="35"/>
      <c r="O71" s="35"/>
      <c r="P71" s="35"/>
      <c r="Q71" s="35"/>
      <c r="R71" s="35"/>
      <c r="S71" s="35"/>
      <c r="T71" s="35"/>
      <c r="U71" s="35"/>
      <c r="V71" s="29"/>
      <c r="W71" s="29"/>
      <c r="X71" s="29"/>
      <c r="Y71" s="29">
        <v>14.663545587960789</v>
      </c>
      <c r="Z71" s="29">
        <v>14.845352528022664</v>
      </c>
      <c r="AA71" s="29">
        <v>14.963190544769851</v>
      </c>
      <c r="AB71" s="29">
        <v>15.099851635081077</v>
      </c>
      <c r="AC71" s="29">
        <v>15.200828060729943</v>
      </c>
      <c r="AD71" s="29">
        <v>15.257378423869255</v>
      </c>
      <c r="AE71" s="29">
        <v>15.360788780496442</v>
      </c>
      <c r="AF71" s="29">
        <v>15.520360712621484</v>
      </c>
      <c r="AG71" s="29">
        <v>15.641828567373746</v>
      </c>
      <c r="AH71" s="29">
        <v>15.77841870823514</v>
      </c>
      <c r="AI71" s="29">
        <v>15.908954250434551</v>
      </c>
      <c r="AJ71" s="29">
        <v>16.061917151364263</v>
      </c>
      <c r="AK71" s="29">
        <v>16.212958988914945</v>
      </c>
      <c r="AL71" s="29">
        <v>16.37705720020444</v>
      </c>
      <c r="AM71" s="29">
        <v>16.521838272566555</v>
      </c>
      <c r="AN71" s="29">
        <v>16.616800928740172</v>
      </c>
      <c r="AO71" s="29">
        <v>16.685125153289405</v>
      </c>
      <c r="AP71" s="29">
        <v>16.72945339561193</v>
      </c>
      <c r="AQ71" s="29">
        <v>16.781598890094472</v>
      </c>
      <c r="AR71" s="29">
        <v>16.832088606593274</v>
      </c>
      <c r="AS71" s="29">
        <v>16.843130801784834</v>
      </c>
      <c r="AT71" s="29">
        <v>16.855581135780707</v>
      </c>
      <c r="AU71" s="29">
        <v>16.868839143670499</v>
      </c>
      <c r="AV71" s="29">
        <v>16.913345889778299</v>
      </c>
      <c r="AW71" s="29">
        <v>17.031098611921617</v>
      </c>
      <c r="AX71" s="29">
        <v>17.086565681154656</v>
      </c>
      <c r="AY71" s="29">
        <v>17.164373515548377</v>
      </c>
      <c r="AZ71" s="29">
        <v>17.239100326763925</v>
      </c>
      <c r="BA71" s="29">
        <v>17.313924495920382</v>
      </c>
      <c r="BB71" s="29">
        <v>17.419212290501534</v>
      </c>
      <c r="BC71" s="29">
        <v>17.533619961111086</v>
      </c>
      <c r="BD71" s="29">
        <v>17.64667282678618</v>
      </c>
      <c r="BE71" s="29">
        <v>17.759450744054071</v>
      </c>
      <c r="BF71" s="29">
        <v>17.87195025494713</v>
      </c>
      <c r="BG71" s="29">
        <v>17.984167224156533</v>
      </c>
      <c r="BH71" s="29">
        <v>18.096096977384207</v>
      </c>
      <c r="BI71" s="29">
        <v>18.207734400274582</v>
      </c>
      <c r="BJ71" s="29">
        <v>18.319073969164414</v>
      </c>
      <c r="BK71" s="29">
        <v>18.430109635727106</v>
      </c>
      <c r="BL71" s="29">
        <v>18.540834708008695</v>
      </c>
      <c r="BM71" s="29">
        <v>18.651241730525882</v>
      </c>
      <c r="BN71" s="29">
        <v>18.761322312720569</v>
      </c>
      <c r="BO71" s="29">
        <v>18.871067043210939</v>
      </c>
      <c r="BP71" s="29">
        <v>18.980466050827825</v>
      </c>
      <c r="BQ71" s="29">
        <v>19.089501718423346</v>
      </c>
      <c r="BR71" s="29">
        <v>19.198168614141132</v>
      </c>
      <c r="BS71" s="29">
        <v>19.30646140018457</v>
      </c>
      <c r="BT71" s="29">
        <v>19.414374832654623</v>
      </c>
      <c r="BU71" s="29">
        <v>19.52190376138816</v>
      </c>
      <c r="BV71" s="29">
        <v>19.629043129796997</v>
      </c>
      <c r="BW71" s="29">
        <v>19.735787974707115</v>
      </c>
      <c r="BX71" s="29">
        <v>19.84213342619779</v>
      </c>
      <c r="BY71" s="29">
        <v>19.948074707439979</v>
      </c>
      <c r="BZ71" s="29">
        <v>20.053607134533806</v>
      </c>
      <c r="CA71" s="29">
        <v>20.158726116344397</v>
      </c>
      <c r="CB71" s="29">
        <v>20.263427154336178</v>
      </c>
      <c r="CC71" s="29">
        <v>20.367705842403915</v>
      </c>
      <c r="CD71" s="29">
        <v>20.47155786670163</v>
      </c>
      <c r="CE71" s="29">
        <v>20.574979005467654</v>
      </c>
      <c r="CF71" s="29">
        <v>20.677965128845315</v>
      </c>
      <c r="CG71" s="29">
        <v>20.780512198699817</v>
      </c>
      <c r="CH71" s="29">
        <v>20.882616268429036</v>
      </c>
      <c r="CI71" s="29">
        <v>20.984273482769666</v>
      </c>
      <c r="CJ71" s="29">
        <v>21.085480077596337</v>
      </c>
      <c r="CK71" s="29">
        <v>21.186232379714589</v>
      </c>
      <c r="CL71" s="29">
        <v>21.286526806645824</v>
      </c>
      <c r="CM71" s="29">
        <v>21.386359866405375</v>
      </c>
      <c r="CN71" s="29">
        <v>21.485728157271947</v>
      </c>
      <c r="CO71" s="29">
        <v>21.58462836754736</v>
      </c>
      <c r="CP71" s="29">
        <v>21.683057275308187</v>
      </c>
      <c r="CQ71" s="29">
        <v>21.781011748146906</v>
      </c>
      <c r="CR71" s="29">
        <v>21.878488742903119</v>
      </c>
      <c r="CS71" s="29">
        <v>21.975485305383799</v>
      </c>
      <c r="CT71" s="29">
        <v>22.07199857007214</v>
      </c>
      <c r="CU71" s="29">
        <v>22.16802575982549</v>
      </c>
      <c r="CV71" s="29">
        <v>22.263564185561037</v>
      </c>
      <c r="CW71" s="29">
        <v>22.358611245928934</v>
      </c>
      <c r="CX71" s="29">
        <v>22.453164426973053</v>
      </c>
      <c r="CY71" s="29">
        <v>22.547221301778613</v>
      </c>
      <c r="CZ71" s="29">
        <v>22.640779530106535</v>
      </c>
      <c r="DA71" s="29">
        <v>22.733836858014421</v>
      </c>
      <c r="DB71" s="29">
        <v>22.826391117463281</v>
      </c>
      <c r="DC71" s="29">
        <v>22.918440225910565</v>
      </c>
      <c r="DD71" s="29">
        <v>23.009982185888706</v>
      </c>
      <c r="DE71" s="29">
        <v>23.101015084569774</v>
      </c>
      <c r="DF71" s="29">
        <v>23.191537093314373</v>
      </c>
      <c r="DG71" s="29">
        <v>23.281546467207285</v>
      </c>
      <c r="DH71" s="29">
        <v>23.371041544576961</v>
      </c>
      <c r="DI71" s="29">
        <v>23.460020746501318</v>
      </c>
      <c r="DJ71" s="29">
        <v>23.548482576297509</v>
      </c>
      <c r="DK71" s="29">
        <v>23.63642561899718</v>
      </c>
      <c r="DL71" s="29">
        <v>23.723848540807289</v>
      </c>
      <c r="DM71" s="29">
        <v>23.810750088554414</v>
      </c>
      <c r="DN71" s="29">
        <v>23.897129089116287</v>
      </c>
      <c r="DO71" s="29">
        <v>23.98298444883649</v>
      </c>
      <c r="DP71" s="29">
        <v>24.068315152925443</v>
      </c>
      <c r="DQ71" s="29">
        <v>24.153120264846692</v>
      </c>
      <c r="DR71" s="29">
        <v>24.237398925687899</v>
      </c>
      <c r="DS71">
        <v>24.321150353518867</v>
      </c>
      <c r="DT71">
        <v>24.404373842733776</v>
      </c>
      <c r="DU71">
        <v>24.487068763380421</v>
      </c>
    </row>
    <row r="72" spans="1:125">
      <c r="A72" s="34">
        <v>70</v>
      </c>
      <c r="B72" s="35"/>
      <c r="C72" s="35"/>
      <c r="D72" s="35"/>
      <c r="E72" s="35"/>
      <c r="F72" s="35"/>
      <c r="G72" s="35"/>
      <c r="H72" s="35"/>
      <c r="I72" s="35"/>
      <c r="J72" s="35"/>
      <c r="K72" s="35"/>
      <c r="L72" s="35"/>
      <c r="M72" s="35"/>
      <c r="N72" s="35"/>
      <c r="O72" s="35"/>
      <c r="P72" s="35"/>
      <c r="Q72" s="35"/>
      <c r="R72" s="35"/>
      <c r="S72" s="35"/>
      <c r="T72" s="35"/>
      <c r="U72" s="35"/>
      <c r="V72" s="29"/>
      <c r="W72" s="29"/>
      <c r="X72" s="29"/>
      <c r="Y72" s="29">
        <v>14.01975884314826</v>
      </c>
      <c r="Z72" s="29">
        <v>14.200639045716784</v>
      </c>
      <c r="AA72" s="29">
        <v>14.31232758288127</v>
      </c>
      <c r="AB72" s="29">
        <v>14.455909713496826</v>
      </c>
      <c r="AC72" s="29">
        <v>14.542568603912629</v>
      </c>
      <c r="AD72" s="29">
        <v>14.59347522705464</v>
      </c>
      <c r="AE72" s="29">
        <v>14.691728243981956</v>
      </c>
      <c r="AF72" s="29">
        <v>14.838585545246868</v>
      </c>
      <c r="AG72" s="29">
        <v>14.952910438236938</v>
      </c>
      <c r="AH72" s="29">
        <v>15.083033461995598</v>
      </c>
      <c r="AI72" s="29">
        <v>15.211662950607838</v>
      </c>
      <c r="AJ72" s="29">
        <v>15.353911825960543</v>
      </c>
      <c r="AK72" s="29">
        <v>15.49649319300678</v>
      </c>
      <c r="AL72" s="29">
        <v>15.646821061167085</v>
      </c>
      <c r="AM72" s="29">
        <v>15.782678952904408</v>
      </c>
      <c r="AN72" s="29">
        <v>15.877265034667467</v>
      </c>
      <c r="AO72" s="29">
        <v>15.944600126085348</v>
      </c>
      <c r="AP72" s="29">
        <v>15.981333834402808</v>
      </c>
      <c r="AQ72" s="29">
        <v>16.034949853744617</v>
      </c>
      <c r="AR72" s="29">
        <v>16.083273402972424</v>
      </c>
      <c r="AS72" s="29">
        <v>16.099352492643614</v>
      </c>
      <c r="AT72" s="29">
        <v>16.105543322829917</v>
      </c>
      <c r="AU72" s="29">
        <v>16.128695588384083</v>
      </c>
      <c r="AV72" s="29">
        <v>16.180260470541505</v>
      </c>
      <c r="AW72" s="29">
        <v>16.294658634892961</v>
      </c>
      <c r="AX72" s="29">
        <v>16.355238100589109</v>
      </c>
      <c r="AY72" s="29">
        <v>16.428481158734876</v>
      </c>
      <c r="AZ72" s="29">
        <v>16.501649215823495</v>
      </c>
      <c r="BA72" s="29">
        <v>16.59821297181589</v>
      </c>
      <c r="BB72" s="29">
        <v>16.708735025933578</v>
      </c>
      <c r="BC72" s="29">
        <v>16.818286512404168</v>
      </c>
      <c r="BD72" s="29">
        <v>16.927600864562393</v>
      </c>
      <c r="BE72" s="29">
        <v>17.036675466347461</v>
      </c>
      <c r="BF72" s="29">
        <v>17.14550681994988</v>
      </c>
      <c r="BG72" s="29">
        <v>17.254090729776728</v>
      </c>
      <c r="BH72" s="29">
        <v>17.362422444311495</v>
      </c>
      <c r="BI72" s="29">
        <v>17.470496757652114</v>
      </c>
      <c r="BJ72" s="29">
        <v>17.578308041723211</v>
      </c>
      <c r="BK72" s="29">
        <v>17.685850130463308</v>
      </c>
      <c r="BL72" s="29">
        <v>17.79311619997295</v>
      </c>
      <c r="BM72" s="29">
        <v>17.900098646687034</v>
      </c>
      <c r="BN72" s="29">
        <v>18.006788912037216</v>
      </c>
      <c r="BO72" s="29">
        <v>18.11317739581386</v>
      </c>
      <c r="BP72" s="29">
        <v>18.219241829893996</v>
      </c>
      <c r="BQ72" s="29">
        <v>18.324976659835748</v>
      </c>
      <c r="BR72" s="29">
        <v>18.430376416139076</v>
      </c>
      <c r="BS72" s="29">
        <v>18.535435714334451</v>
      </c>
      <c r="BT72" s="29">
        <v>18.640149255070938</v>
      </c>
      <c r="BU72" s="29">
        <v>18.744511824202412</v>
      </c>
      <c r="BV72" s="29">
        <v>18.8485182928722</v>
      </c>
      <c r="BW72" s="29">
        <v>18.952163617595279</v>
      </c>
      <c r="BX72" s="29">
        <v>19.055442840337847</v>
      </c>
      <c r="BY72" s="29">
        <v>19.158351088593346</v>
      </c>
      <c r="BZ72" s="29">
        <v>19.260883575454791</v>
      </c>
      <c r="CA72" s="29">
        <v>19.363035599682497</v>
      </c>
      <c r="CB72" s="29">
        <v>19.464802545767313</v>
      </c>
      <c r="CC72" s="29">
        <v>19.566179883987438</v>
      </c>
      <c r="CD72" s="29">
        <v>19.667163170460086</v>
      </c>
      <c r="CE72" s="29">
        <v>19.767748047185933</v>
      </c>
      <c r="CF72" s="29">
        <v>19.867930242086107</v>
      </c>
      <c r="CG72" s="29">
        <v>19.96770556903191</v>
      </c>
      <c r="CH72" s="29">
        <v>20.067069927865223</v>
      </c>
      <c r="CI72" s="29">
        <v>20.166019304410803</v>
      </c>
      <c r="CJ72" s="29">
        <v>20.26454977047818</v>
      </c>
      <c r="CK72" s="29">
        <v>20.362657483853969</v>
      </c>
      <c r="CL72" s="29">
        <v>20.460338688282654</v>
      </c>
      <c r="CM72" s="29">
        <v>20.557589713437078</v>
      </c>
      <c r="CN72" s="29">
        <v>20.654406974876768</v>
      </c>
      <c r="CO72" s="29">
        <v>20.75078697399309</v>
      </c>
      <c r="CP72" s="29">
        <v>20.846726297942801</v>
      </c>
      <c r="CQ72" s="29">
        <v>20.942221619567569</v>
      </c>
      <c r="CR72" s="29">
        <v>21.037269697300175</v>
      </c>
      <c r="CS72" s="29">
        <v>21.131867375056103</v>
      </c>
      <c r="CT72" s="29">
        <v>21.226011582110385</v>
      </c>
      <c r="CU72" s="29">
        <v>21.319699332960013</v>
      </c>
      <c r="CV72" s="29">
        <v>21.412927727170604</v>
      </c>
      <c r="CW72" s="29">
        <v>21.505693949207185</v>
      </c>
      <c r="CX72" s="29">
        <v>21.597995268249086</v>
      </c>
      <c r="CY72" s="29">
        <v>21.689829037988339</v>
      </c>
      <c r="CZ72" s="29">
        <v>21.781192696411523</v>
      </c>
      <c r="DA72" s="29">
        <v>21.872083765564792</v>
      </c>
      <c r="DB72" s="29">
        <v>21.962499851301374</v>
      </c>
      <c r="DC72" s="29">
        <v>22.052438643012106</v>
      </c>
      <c r="DD72" s="29">
        <v>22.141897913338234</v>
      </c>
      <c r="DE72" s="29">
        <v>22.230875517867076</v>
      </c>
      <c r="DF72" s="29">
        <v>22.319369394808788</v>
      </c>
      <c r="DG72" s="29">
        <v>22.407377564656706</v>
      </c>
      <c r="DH72" s="29">
        <v>22.494898129828382</v>
      </c>
      <c r="DI72" s="29">
        <v>22.581929274289951</v>
      </c>
      <c r="DJ72" s="29">
        <v>22.668469263161349</v>
      </c>
      <c r="DK72" s="29">
        <v>22.754516442304045</v>
      </c>
      <c r="DL72" s="29">
        <v>22.840069237891392</v>
      </c>
      <c r="DM72" s="29">
        <v>22.925126155959521</v>
      </c>
      <c r="DN72" s="29">
        <v>23.009685781942615</v>
      </c>
      <c r="DO72" s="29">
        <v>23.093746780188468</v>
      </c>
      <c r="DP72" s="29">
        <v>23.177307893457577</v>
      </c>
      <c r="DQ72" s="29">
        <v>23.260367942404763</v>
      </c>
      <c r="DR72" s="29">
        <v>23.342925825042791</v>
      </c>
      <c r="DS72">
        <v>23.424980516190303</v>
      </c>
      <c r="DT72">
        <v>23.506531066901452</v>
      </c>
      <c r="DU72">
        <v>23.587576603879789</v>
      </c>
    </row>
    <row r="73" spans="1:125">
      <c r="A73" s="34">
        <v>71</v>
      </c>
      <c r="B73" s="35"/>
      <c r="C73" s="35"/>
      <c r="D73" s="35"/>
      <c r="E73" s="35"/>
      <c r="F73" s="35"/>
      <c r="G73" s="35"/>
      <c r="H73" s="35"/>
      <c r="I73" s="35"/>
      <c r="J73" s="35"/>
      <c r="K73" s="35"/>
      <c r="L73" s="35"/>
      <c r="M73" s="35"/>
      <c r="N73" s="35"/>
      <c r="O73" s="35"/>
      <c r="P73" s="35"/>
      <c r="Q73" s="35"/>
      <c r="R73" s="35"/>
      <c r="S73" s="35"/>
      <c r="T73" s="35"/>
      <c r="U73" s="35"/>
      <c r="V73" s="29"/>
      <c r="W73" s="29"/>
      <c r="X73" s="29"/>
      <c r="Y73" s="29">
        <v>13.390585231696889</v>
      </c>
      <c r="Z73" s="29">
        <v>13.574441814955744</v>
      </c>
      <c r="AA73" s="29">
        <v>13.676478900390105</v>
      </c>
      <c r="AB73" s="29">
        <v>13.805232598458293</v>
      </c>
      <c r="AC73" s="29">
        <v>13.89124601652783</v>
      </c>
      <c r="AD73" s="29">
        <v>13.937522082668355</v>
      </c>
      <c r="AE73" s="29">
        <v>14.028375850372218</v>
      </c>
      <c r="AF73" s="29">
        <v>14.170582341714294</v>
      </c>
      <c r="AG73" s="29">
        <v>14.273638769114019</v>
      </c>
      <c r="AH73" s="29">
        <v>14.405955378820542</v>
      </c>
      <c r="AI73" s="29">
        <v>14.516852716635476</v>
      </c>
      <c r="AJ73" s="29">
        <v>14.654473394828944</v>
      </c>
      <c r="AK73" s="29">
        <v>14.778707602946474</v>
      </c>
      <c r="AL73" s="29">
        <v>14.925494159664392</v>
      </c>
      <c r="AM73" s="29">
        <v>15.053984050919947</v>
      </c>
      <c r="AN73" s="29">
        <v>15.144698191382876</v>
      </c>
      <c r="AO73" s="29">
        <v>15.206880058373429</v>
      </c>
      <c r="AP73" s="29">
        <v>15.247508521060286</v>
      </c>
      <c r="AQ73" s="29">
        <v>15.296229618216778</v>
      </c>
      <c r="AR73" s="29">
        <v>15.349775289739526</v>
      </c>
      <c r="AS73" s="29">
        <v>15.356344202000962</v>
      </c>
      <c r="AT73" s="29">
        <v>15.376894905375107</v>
      </c>
      <c r="AU73" s="29">
        <v>15.406247687359766</v>
      </c>
      <c r="AV73" s="29">
        <v>15.462138412523899</v>
      </c>
      <c r="AW73" s="29">
        <v>15.569492492170415</v>
      </c>
      <c r="AX73" s="29">
        <v>15.626391097643086</v>
      </c>
      <c r="AY73" s="29">
        <v>15.702207247082672</v>
      </c>
      <c r="AZ73" s="29">
        <v>15.791248748631002</v>
      </c>
      <c r="BA73" s="29">
        <v>15.897281980428446</v>
      </c>
      <c r="BB73" s="29">
        <v>16.003195898560083</v>
      </c>
      <c r="BC73" s="29">
        <v>16.108910094643608</v>
      </c>
      <c r="BD73" s="29">
        <v>16.214423166917616</v>
      </c>
      <c r="BE73" s="29">
        <v>16.319732457920445</v>
      </c>
      <c r="BF73" s="29">
        <v>16.424834403259183</v>
      </c>
      <c r="BG73" s="29">
        <v>16.529724720483379</v>
      </c>
      <c r="BH73" s="29">
        <v>16.634398554701455</v>
      </c>
      <c r="BI73" s="29">
        <v>16.738850582892361</v>
      </c>
      <c r="BJ73" s="29">
        <v>16.843075047649307</v>
      </c>
      <c r="BK73" s="29">
        <v>16.94706564081951</v>
      </c>
      <c r="BL73" s="29">
        <v>17.050815382640916</v>
      </c>
      <c r="BM73" s="29">
        <v>17.154316497783256</v>
      </c>
      <c r="BN73" s="29">
        <v>17.257560235865466</v>
      </c>
      <c r="BO73" s="29">
        <v>17.360519942266045</v>
      </c>
      <c r="BP73" s="29">
        <v>17.463189948981523</v>
      </c>
      <c r="BQ73" s="29">
        <v>17.565564663700801</v>
      </c>
      <c r="BR73" s="29">
        <v>17.667638570138241</v>
      </c>
      <c r="BS73" s="29">
        <v>17.769406228364055</v>
      </c>
      <c r="BT73" s="29">
        <v>17.870862275131969</v>
      </c>
      <c r="BU73" s="29">
        <v>17.972001424202801</v>
      </c>
      <c r="BV73" s="29">
        <v>18.072818466664081</v>
      </c>
      <c r="BW73" s="29">
        <v>18.173308271244821</v>
      </c>
      <c r="BX73" s="29">
        <v>18.273465784625046</v>
      </c>
      <c r="BY73" s="29">
        <v>18.37328603173917</v>
      </c>
      <c r="BZ73" s="29">
        <v>18.472764116072916</v>
      </c>
      <c r="CA73" s="29">
        <v>18.57189521995285</v>
      </c>
      <c r="CB73" s="29">
        <v>18.670674604828484</v>
      </c>
      <c r="CC73" s="29">
        <v>18.769097611545128</v>
      </c>
      <c r="CD73" s="29">
        <v>18.867159660608426</v>
      </c>
      <c r="CE73" s="29">
        <v>18.9648562524388</v>
      </c>
      <c r="CF73" s="29">
        <v>19.062182967615165</v>
      </c>
      <c r="CG73" s="29">
        <v>19.159135467108378</v>
      </c>
      <c r="CH73" s="29">
        <v>19.255709492502106</v>
      </c>
      <c r="CI73" s="29">
        <v>19.351900866202417</v>
      </c>
      <c r="CJ73" s="29">
        <v>19.447705491633698</v>
      </c>
      <c r="CK73" s="29">
        <v>19.543119353421829</v>
      </c>
      <c r="CL73" s="29">
        <v>19.638138517562449</v>
      </c>
      <c r="CM73" s="29">
        <v>19.732759131575712</v>
      </c>
      <c r="CN73" s="29">
        <v>19.826977424645577</v>
      </c>
      <c r="CO73" s="29">
        <v>19.920789707742628</v>
      </c>
      <c r="CP73" s="29">
        <v>20.014192373731973</v>
      </c>
      <c r="CQ73" s="29">
        <v>20.107181897463882</v>
      </c>
      <c r="CR73" s="29">
        <v>20.199754835847717</v>
      </c>
      <c r="CS73" s="29">
        <v>20.291907827908069</v>
      </c>
      <c r="CT73" s="29">
        <v>20.383637594822797</v>
      </c>
      <c r="CU73" s="29">
        <v>20.474940939943405</v>
      </c>
      <c r="CV73" s="29">
        <v>20.565814748796448</v>
      </c>
      <c r="CW73" s="29">
        <v>20.656255989065777</v>
      </c>
      <c r="CX73" s="29">
        <v>20.746261710555739</v>
      </c>
      <c r="CY73" s="29">
        <v>20.835829045134659</v>
      </c>
      <c r="CZ73" s="29">
        <v>20.924955206658595</v>
      </c>
      <c r="DA73" s="29">
        <v>21.013637490875176</v>
      </c>
      <c r="DB73" s="29">
        <v>21.101873275306769</v>
      </c>
      <c r="DC73" s="29">
        <v>21.189660019113575</v>
      </c>
      <c r="DD73" s="29">
        <v>21.276995262935991</v>
      </c>
      <c r="DE73" s="29">
        <v>21.363876628716739</v>
      </c>
      <c r="DF73" s="29">
        <v>21.450301819501146</v>
      </c>
      <c r="DG73" s="29">
        <v>21.536268619218021</v>
      </c>
      <c r="DH73" s="29">
        <v>21.621774892438307</v>
      </c>
      <c r="DI73" s="29">
        <v>21.706818584114117</v>
      </c>
      <c r="DJ73" s="29">
        <v>21.791397719295833</v>
      </c>
      <c r="DK73" s="29">
        <v>21.875510402828819</v>
      </c>
      <c r="DL73" s="29">
        <v>21.959154819030019</v>
      </c>
      <c r="DM73" s="29">
        <v>22.042329231342279</v>
      </c>
      <c r="DN73" s="29">
        <v>22.125031981970402</v>
      </c>
      <c r="DO73" s="29">
        <v>22.207261491494748</v>
      </c>
      <c r="DP73" s="29">
        <v>22.289016258465729</v>
      </c>
      <c r="DQ73" s="29">
        <v>22.370294858978266</v>
      </c>
      <c r="DR73" s="29">
        <v>22.451095946225614</v>
      </c>
      <c r="DS73">
        <v>22.531418250035049</v>
      </c>
      <c r="DT73">
        <v>22.611260576382652</v>
      </c>
      <c r="DU73">
        <v>22.690621806890022</v>
      </c>
    </row>
    <row r="74" spans="1:125">
      <c r="A74" s="34">
        <v>72</v>
      </c>
      <c r="B74" s="35"/>
      <c r="C74" s="35"/>
      <c r="D74" s="35"/>
      <c r="E74" s="35"/>
      <c r="F74" s="35"/>
      <c r="G74" s="35"/>
      <c r="H74" s="35"/>
      <c r="I74" s="35"/>
      <c r="J74" s="35"/>
      <c r="K74" s="35"/>
      <c r="L74" s="35"/>
      <c r="M74" s="35"/>
      <c r="N74" s="35"/>
      <c r="O74" s="35"/>
      <c r="P74" s="35"/>
      <c r="Q74" s="35"/>
      <c r="R74" s="35"/>
      <c r="S74" s="35"/>
      <c r="T74" s="35"/>
      <c r="U74" s="35"/>
      <c r="V74" s="29"/>
      <c r="W74" s="29"/>
      <c r="X74" s="29"/>
      <c r="Y74" s="29">
        <v>12.772470778050309</v>
      </c>
      <c r="Z74" s="29">
        <v>12.962479305446568</v>
      </c>
      <c r="AA74" s="29">
        <v>13.048183997000326</v>
      </c>
      <c r="AB74" s="29">
        <v>13.168604333273953</v>
      </c>
      <c r="AC74" s="29">
        <v>13.252719280034238</v>
      </c>
      <c r="AD74" s="29">
        <v>13.288521270928399</v>
      </c>
      <c r="AE74" s="29">
        <v>13.370830191608938</v>
      </c>
      <c r="AF74" s="29">
        <v>13.510735920107146</v>
      </c>
      <c r="AG74" s="29">
        <v>13.61106436913769</v>
      </c>
      <c r="AH74" s="29">
        <v>13.72726186513075</v>
      </c>
      <c r="AI74" s="29">
        <v>13.83006923049301</v>
      </c>
      <c r="AJ74" s="29">
        <v>13.958574186888555</v>
      </c>
      <c r="AK74" s="29">
        <v>14.073080997856723</v>
      </c>
      <c r="AL74" s="29">
        <v>14.211407641775413</v>
      </c>
      <c r="AM74" s="29">
        <v>14.33389086569008</v>
      </c>
      <c r="AN74" s="29">
        <v>14.418038688605769</v>
      </c>
      <c r="AO74" s="29">
        <v>14.479293564407094</v>
      </c>
      <c r="AP74" s="29">
        <v>14.519216235869138</v>
      </c>
      <c r="AQ74" s="29">
        <v>14.569635258738234</v>
      </c>
      <c r="AR74" s="29">
        <v>14.616142717382814</v>
      </c>
      <c r="AS74" s="29">
        <v>14.637522354008091</v>
      </c>
      <c r="AT74" s="29">
        <v>14.653668670071738</v>
      </c>
      <c r="AU74" s="29">
        <v>14.695577776741638</v>
      </c>
      <c r="AV74" s="29">
        <v>14.754947332020246</v>
      </c>
      <c r="AW74" s="29">
        <v>14.848367565719723</v>
      </c>
      <c r="AX74" s="29">
        <v>14.912276283372902</v>
      </c>
      <c r="AY74" s="29">
        <v>15.000755543755901</v>
      </c>
      <c r="AZ74" s="29">
        <v>15.099687185208253</v>
      </c>
      <c r="BA74" s="29">
        <v>15.20188648098509</v>
      </c>
      <c r="BB74" s="29">
        <v>15.303921163998604</v>
      </c>
      <c r="BC74" s="29">
        <v>15.405791464328978</v>
      </c>
      <c r="BD74" s="29">
        <v>15.507495966597244</v>
      </c>
      <c r="BE74" s="29">
        <v>15.609031964464394</v>
      </c>
      <c r="BF74" s="29">
        <v>15.710395819212225</v>
      </c>
      <c r="BG74" s="29">
        <v>15.811583153894077</v>
      </c>
      <c r="BH74" s="29">
        <v>15.912589002971005</v>
      </c>
      <c r="BI74" s="29">
        <v>16.013407919572018</v>
      </c>
      <c r="BJ74" s="29">
        <v>16.114034010833848</v>
      </c>
      <c r="BK74" s="29">
        <v>16.214460820875264</v>
      </c>
      <c r="BL74" s="29">
        <v>16.314681208768832</v>
      </c>
      <c r="BM74" s="29">
        <v>16.414687222208691</v>
      </c>
      <c r="BN74" s="29">
        <v>16.514448644998097</v>
      </c>
      <c r="BO74" s="29">
        <v>16.61395972329926</v>
      </c>
      <c r="BP74" s="29">
        <v>16.713214769639958</v>
      </c>
      <c r="BQ74" s="29">
        <v>16.812208163473088</v>
      </c>
      <c r="BR74" s="29">
        <v>16.910934351732461</v>
      </c>
      <c r="BS74" s="29">
        <v>17.009387849384339</v>
      </c>
      <c r="BT74" s="29">
        <v>17.107563239974407</v>
      </c>
      <c r="BU74" s="29">
        <v>17.205455176168755</v>
      </c>
      <c r="BV74" s="29">
        <v>17.303058380288931</v>
      </c>
      <c r="BW74" s="29">
        <v>17.400367644840042</v>
      </c>
      <c r="BX74" s="29">
        <v>17.497377833031443</v>
      </c>
      <c r="BY74" s="29">
        <v>17.594083879288974</v>
      </c>
      <c r="BZ74" s="29">
        <v>17.690480789758439</v>
      </c>
      <c r="CA74" s="29">
        <v>17.786563642799258</v>
      </c>
      <c r="CB74" s="29">
        <v>17.882327589468254</v>
      </c>
      <c r="CC74" s="29">
        <v>17.977767853991569</v>
      </c>
      <c r="CD74" s="29">
        <v>18.072879734225793</v>
      </c>
      <c r="CE74" s="29">
        <v>18.167658602106258</v>
      </c>
      <c r="CF74" s="29">
        <v>18.262099904082007</v>
      </c>
      <c r="CG74" s="29">
        <v>18.356199161537738</v>
      </c>
      <c r="CH74" s="29">
        <v>18.449951971200399</v>
      </c>
      <c r="CI74" s="29">
        <v>18.543354005531796</v>
      </c>
      <c r="CJ74" s="29">
        <v>18.63640101310466</v>
      </c>
      <c r="CK74" s="29">
        <v>18.729088818963159</v>
      </c>
      <c r="CL74" s="29">
        <v>18.821413324965672</v>
      </c>
      <c r="CM74" s="29">
        <v>18.913370510111193</v>
      </c>
      <c r="CN74" s="29">
        <v>19.004956430847386</v>
      </c>
      <c r="CO74" s="29">
        <v>19.096167221359291</v>
      </c>
      <c r="CP74" s="29">
        <v>19.186999093840285</v>
      </c>
      <c r="CQ74" s="29">
        <v>19.277448338742779</v>
      </c>
      <c r="CR74" s="29">
        <v>19.367511325009477</v>
      </c>
      <c r="CS74" s="29">
        <v>19.457184500283823</v>
      </c>
      <c r="CT74" s="29">
        <v>19.546464391099576</v>
      </c>
      <c r="CU74" s="29">
        <v>19.63534760304978</v>
      </c>
      <c r="CV74" s="29">
        <v>19.723830820933998</v>
      </c>
      <c r="CW74" s="29">
        <v>19.811910808883432</v>
      </c>
      <c r="CX74" s="29">
        <v>19.899584410464243</v>
      </c>
      <c r="CY74" s="29">
        <v>19.986848548758335</v>
      </c>
      <c r="CZ74" s="29">
        <v>20.073700226421565</v>
      </c>
      <c r="DA74" s="29">
        <v>20.160136525719288</v>
      </c>
      <c r="DB74" s="29">
        <v>20.246154608538479</v>
      </c>
      <c r="DC74" s="29">
        <v>20.331751716377024</v>
      </c>
      <c r="DD74" s="29">
        <v>20.41692517030954</v>
      </c>
      <c r="DE74" s="29">
        <v>20.501672370930322</v>
      </c>
      <c r="DF74" s="29">
        <v>20.585990798271737</v>
      </c>
      <c r="DG74" s="29">
        <v>20.669878011700522</v>
      </c>
      <c r="DH74" s="29">
        <v>20.753331649789331</v>
      </c>
      <c r="DI74" s="29">
        <v>20.836349430166003</v>
      </c>
      <c r="DJ74" s="29">
        <v>20.918929149338346</v>
      </c>
      <c r="DK74" s="29">
        <v>21.001068682495998</v>
      </c>
      <c r="DL74" s="29">
        <v>21.082765983289654</v>
      </c>
      <c r="DM74" s="29">
        <v>21.164019083585547</v>
      </c>
      <c r="DN74" s="29">
        <v>21.244826093199194</v>
      </c>
      <c r="DO74" s="29">
        <v>21.325185199604263</v>
      </c>
      <c r="DP74" s="29">
        <v>21.405094667619991</v>
      </c>
      <c r="DQ74" s="29">
        <v>21.484552839076102</v>
      </c>
      <c r="DR74" s="29">
        <v>21.563558132454872</v>
      </c>
      <c r="DS74">
        <v>21.642109042512679</v>
      </c>
      <c r="DT74">
        <v>21.720204139878398</v>
      </c>
      <c r="DU74">
        <v>21.797842070631514</v>
      </c>
    </row>
    <row r="75" spans="1:125">
      <c r="A75" s="34">
        <v>73</v>
      </c>
      <c r="B75" s="35"/>
      <c r="C75" s="35"/>
      <c r="D75" s="35"/>
      <c r="E75" s="35"/>
      <c r="F75" s="35"/>
      <c r="G75" s="35"/>
      <c r="H75" s="35"/>
      <c r="I75" s="35"/>
      <c r="J75" s="35"/>
      <c r="K75" s="35"/>
      <c r="L75" s="35"/>
      <c r="M75" s="35"/>
      <c r="N75" s="35"/>
      <c r="O75" s="35"/>
      <c r="P75" s="35"/>
      <c r="Q75" s="35"/>
      <c r="R75" s="35"/>
      <c r="S75" s="35"/>
      <c r="T75" s="35"/>
      <c r="U75" s="35"/>
      <c r="V75" s="29"/>
      <c r="W75" s="29"/>
      <c r="X75" s="29"/>
      <c r="Y75" s="29">
        <v>12.180403373555393</v>
      </c>
      <c r="Z75" s="29">
        <v>12.349082663075237</v>
      </c>
      <c r="AA75" s="29">
        <v>12.431777096131446</v>
      </c>
      <c r="AB75" s="29">
        <v>12.545578354402947</v>
      </c>
      <c r="AC75" s="29">
        <v>12.6161575714581</v>
      </c>
      <c r="AD75" s="29">
        <v>12.642076239916477</v>
      </c>
      <c r="AE75" s="29">
        <v>12.724403708735819</v>
      </c>
      <c r="AF75" s="29">
        <v>12.866083966968539</v>
      </c>
      <c r="AG75" s="29">
        <v>12.951706278652662</v>
      </c>
      <c r="AH75" s="29">
        <v>13.052610697785255</v>
      </c>
      <c r="AI75" s="29">
        <v>13.150394126152062</v>
      </c>
      <c r="AJ75" s="29">
        <v>13.268609064124488</v>
      </c>
      <c r="AK75" s="29">
        <v>13.3801471332409</v>
      </c>
      <c r="AL75" s="29">
        <v>13.509405189588836</v>
      </c>
      <c r="AM75" s="29">
        <v>13.620378247781897</v>
      </c>
      <c r="AN75" s="29">
        <v>13.703287990583753</v>
      </c>
      <c r="AO75" s="29">
        <v>13.764535202077436</v>
      </c>
      <c r="AP75" s="29">
        <v>13.803174786464094</v>
      </c>
      <c r="AQ75" s="29">
        <v>13.846234093337955</v>
      </c>
      <c r="AR75" s="29">
        <v>13.900967739689445</v>
      </c>
      <c r="AS75" s="29">
        <v>13.919838072969402</v>
      </c>
      <c r="AT75" s="29">
        <v>13.945481207719766</v>
      </c>
      <c r="AU75" s="29">
        <v>13.993031027360502</v>
      </c>
      <c r="AV75" s="29">
        <v>14.051278945165766</v>
      </c>
      <c r="AW75" s="29">
        <v>14.141335735768664</v>
      </c>
      <c r="AX75" s="29">
        <v>14.21937986495584</v>
      </c>
      <c r="AY75" s="29">
        <v>14.316369483953778</v>
      </c>
      <c r="AZ75" s="29">
        <v>14.414801995563938</v>
      </c>
      <c r="BA75" s="29">
        <v>14.513102125042092</v>
      </c>
      <c r="BB75" s="29">
        <v>14.611271757557247</v>
      </c>
      <c r="BC75" s="29">
        <v>14.709311159645015</v>
      </c>
      <c r="BD75" s="29">
        <v>14.807218901409438</v>
      </c>
      <c r="BE75" s="29">
        <v>14.904992225519095</v>
      </c>
      <c r="BF75" s="29">
        <v>15.002627416432498</v>
      </c>
      <c r="BG75" s="29">
        <v>15.100120000240565</v>
      </c>
      <c r="BH75" s="29">
        <v>15.197464898618975</v>
      </c>
      <c r="BI75" s="29">
        <v>15.294656539233454</v>
      </c>
      <c r="BJ75" s="29">
        <v>15.391688892747041</v>
      </c>
      <c r="BK75" s="29">
        <v>15.488555354990284</v>
      </c>
      <c r="BL75" s="29">
        <v>15.585248623592229</v>
      </c>
      <c r="BM75" s="29">
        <v>15.68173563450032</v>
      </c>
      <c r="BN75" s="29">
        <v>15.778010581133518</v>
      </c>
      <c r="BO75" s="29">
        <v>15.874067713967335</v>
      </c>
      <c r="BP75" s="29">
        <v>15.96990134129733</v>
      </c>
      <c r="BQ75" s="29">
        <v>16.065505829998308</v>
      </c>
      <c r="BR75" s="29">
        <v>16.160875606278633</v>
      </c>
      <c r="BS75" s="29">
        <v>16.256005156428966</v>
      </c>
      <c r="BT75" s="29">
        <v>16.350889027565128</v>
      </c>
      <c r="BU75" s="29">
        <v>16.445521828363439</v>
      </c>
      <c r="BV75" s="29">
        <v>16.539898229788609</v>
      </c>
      <c r="BW75" s="29">
        <v>16.634012965812989</v>
      </c>
      <c r="BX75" s="29">
        <v>16.727860834126716</v>
      </c>
      <c r="BY75" s="29">
        <v>16.821436696837576</v>
      </c>
      <c r="BZ75" s="29">
        <v>16.914735481160228</v>
      </c>
      <c r="CA75" s="29">
        <v>17.007752180093696</v>
      </c>
      <c r="CB75" s="29">
        <v>17.100481853086958</v>
      </c>
      <c r="CC75" s="29">
        <v>17.192919626690653</v>
      </c>
      <c r="CD75" s="29">
        <v>17.28506069519586</v>
      </c>
      <c r="CE75" s="29">
        <v>17.376900321257928</v>
      </c>
      <c r="CF75" s="29">
        <v>17.468433836504783</v>
      </c>
      <c r="CG75" s="29">
        <v>17.559656642129958</v>
      </c>
      <c r="CH75" s="29">
        <v>17.650564209468087</v>
      </c>
      <c r="CI75" s="29">
        <v>17.741152080554027</v>
      </c>
      <c r="CJ75" s="29">
        <v>17.831415868663214</v>
      </c>
      <c r="CK75" s="29">
        <v>17.921351258834086</v>
      </c>
      <c r="CL75" s="29">
        <v>18.010954008370405</v>
      </c>
      <c r="CM75" s="29">
        <v>18.10021994732486</v>
      </c>
      <c r="CN75" s="29">
        <v>18.18914497896192</v>
      </c>
      <c r="CO75" s="29">
        <v>18.277725080198959</v>
      </c>
      <c r="CP75" s="29">
        <v>18.365956302027193</v>
      </c>
      <c r="CQ75" s="29">
        <v>18.453834769909975</v>
      </c>
      <c r="CR75" s="29">
        <v>18.541356684159222</v>
      </c>
      <c r="CS75" s="29">
        <v>18.628518320288617</v>
      </c>
      <c r="CT75" s="29">
        <v>18.715316029343505</v>
      </c>
      <c r="CU75" s="29">
        <v>18.801746238207805</v>
      </c>
      <c r="CV75" s="29">
        <v>18.887805449886699</v>
      </c>
      <c r="CW75" s="29">
        <v>18.973490243764907</v>
      </c>
      <c r="CX75" s="29">
        <v>19.058797275840668</v>
      </c>
      <c r="CY75" s="29">
        <v>19.143723278934822</v>
      </c>
      <c r="CZ75" s="29">
        <v>19.228265062874961</v>
      </c>
      <c r="DA75" s="29">
        <v>19.312419514654522</v>
      </c>
      <c r="DB75" s="29">
        <v>19.396183598566097</v>
      </c>
      <c r="DC75" s="29">
        <v>19.479554356309549</v>
      </c>
      <c r="DD75" s="29">
        <v>19.562528907074395</v>
      </c>
      <c r="DE75" s="29">
        <v>19.645104447596903</v>
      </c>
      <c r="DF75" s="29">
        <v>19.727278252190402</v>
      </c>
      <c r="DG75" s="29">
        <v>19.809047672751213</v>
      </c>
      <c r="DH75" s="29">
        <v>19.890410138737522</v>
      </c>
      <c r="DI75" s="29">
        <v>19.971363157123768</v>
      </c>
      <c r="DJ75" s="29">
        <v>20.051904312328283</v>
      </c>
      <c r="DK75" s="29">
        <v>20.132031266115849</v>
      </c>
      <c r="DL75" s="29">
        <v>20.211741757475398</v>
      </c>
      <c r="DM75" s="29">
        <v>20.291033602470783</v>
      </c>
      <c r="DN75" s="29">
        <v>20.36990469406873</v>
      </c>
      <c r="DO75" s="29">
        <v>20.448353001939726</v>
      </c>
      <c r="DP75" s="29">
        <v>20.526376572235378</v>
      </c>
      <c r="DQ75" s="29">
        <v>20.603973527341203</v>
      </c>
      <c r="DR75" s="29">
        <v>20.681142065604504</v>
      </c>
      <c r="DS75">
        <v>20.757880461039669</v>
      </c>
      <c r="DT75">
        <v>20.834187063008343</v>
      </c>
      <c r="DU75">
        <v>20.910060295877315</v>
      </c>
    </row>
    <row r="76" spans="1:125">
      <c r="A76" s="34">
        <v>74</v>
      </c>
      <c r="B76" s="35"/>
      <c r="C76" s="35"/>
      <c r="D76" s="35"/>
      <c r="E76" s="35"/>
      <c r="F76" s="35"/>
      <c r="G76" s="35"/>
      <c r="H76" s="35"/>
      <c r="I76" s="35"/>
      <c r="J76" s="35"/>
      <c r="K76" s="35"/>
      <c r="L76" s="35"/>
      <c r="M76" s="35"/>
      <c r="N76" s="35"/>
      <c r="O76" s="35"/>
      <c r="P76" s="35"/>
      <c r="Q76" s="35"/>
      <c r="R76" s="35"/>
      <c r="S76" s="35"/>
      <c r="T76" s="35"/>
      <c r="U76" s="35"/>
      <c r="V76" s="29"/>
      <c r="W76" s="29"/>
      <c r="X76" s="29"/>
      <c r="Y76" s="29">
        <v>11.584341300368164</v>
      </c>
      <c r="Z76" s="29">
        <v>11.740032313683647</v>
      </c>
      <c r="AA76" s="29">
        <v>11.825422378254768</v>
      </c>
      <c r="AB76" s="29">
        <v>11.920958027240054</v>
      </c>
      <c r="AC76" s="29">
        <v>11.981516927582623</v>
      </c>
      <c r="AD76" s="29">
        <v>12.009337683055604</v>
      </c>
      <c r="AE76" s="29">
        <v>12.09588468649927</v>
      </c>
      <c r="AF76" s="29">
        <v>12.220657966304914</v>
      </c>
      <c r="AG76" s="29">
        <v>12.301505488145892</v>
      </c>
      <c r="AH76" s="29">
        <v>12.380596170380148</v>
      </c>
      <c r="AI76" s="29">
        <v>12.475448657360779</v>
      </c>
      <c r="AJ76" s="29">
        <v>12.588008362684624</v>
      </c>
      <c r="AK76" s="29">
        <v>12.698771198239758</v>
      </c>
      <c r="AL76" s="29">
        <v>12.813690667155514</v>
      </c>
      <c r="AM76" s="29">
        <v>12.919137101101057</v>
      </c>
      <c r="AN76" s="29">
        <v>12.998345992545929</v>
      </c>
      <c r="AO76" s="29">
        <v>13.061526668814844</v>
      </c>
      <c r="AP76" s="29">
        <v>13.088771919043893</v>
      </c>
      <c r="AQ76" s="29">
        <v>13.144559955180107</v>
      </c>
      <c r="AR76" s="29">
        <v>13.193335099447285</v>
      </c>
      <c r="AS76" s="29">
        <v>13.217435864603949</v>
      </c>
      <c r="AT76" s="29">
        <v>13.252835042806957</v>
      </c>
      <c r="AU76" s="29">
        <v>13.301169223588188</v>
      </c>
      <c r="AV76" s="29">
        <v>13.35820117279947</v>
      </c>
      <c r="AW76" s="29">
        <v>13.457108469788736</v>
      </c>
      <c r="AX76" s="29">
        <v>13.547690483624763</v>
      </c>
      <c r="AY76" s="29">
        <v>13.642323821011544</v>
      </c>
      <c r="AZ76" s="29">
        <v>13.736853906053184</v>
      </c>
      <c r="BA76" s="29">
        <v>13.831284113348064</v>
      </c>
      <c r="BB76" s="29">
        <v>13.925616433118797</v>
      </c>
      <c r="BC76" s="29">
        <v>14.019851172728934</v>
      </c>
      <c r="BD76" s="29">
        <v>14.113986889367451</v>
      </c>
      <c r="BE76" s="29">
        <v>14.208020774838465</v>
      </c>
      <c r="BF76" s="29">
        <v>14.301949036378478</v>
      </c>
      <c r="BG76" s="29">
        <v>14.395767102664298</v>
      </c>
      <c r="BH76" s="29">
        <v>14.489469782420496</v>
      </c>
      <c r="BI76" s="29">
        <v>14.583051378195176</v>
      </c>
      <c r="BJ76" s="29">
        <v>14.676505725116833</v>
      </c>
      <c r="BK76" s="29">
        <v>14.769826072101736</v>
      </c>
      <c r="BL76" s="29">
        <v>14.862977001834714</v>
      </c>
      <c r="BM76" s="29">
        <v>14.955952690472508</v>
      </c>
      <c r="BN76" s="29">
        <v>15.048747362040057</v>
      </c>
      <c r="BO76" s="29">
        <v>15.141355289371411</v>
      </c>
      <c r="BP76" s="29">
        <v>15.233770795047509</v>
      </c>
      <c r="BQ76" s="29">
        <v>15.325988252328958</v>
      </c>
      <c r="BR76" s="29">
        <v>15.418002086083193</v>
      </c>
      <c r="BS76" s="29">
        <v>15.509806773705215</v>
      </c>
      <c r="BT76" s="29">
        <v>15.601396846031438</v>
      </c>
      <c r="BU76" s="29">
        <v>15.692766888245085</v>
      </c>
      <c r="BV76" s="29">
        <v>15.783911540772884</v>
      </c>
      <c r="BW76" s="29">
        <v>15.874825500172051</v>
      </c>
      <c r="BX76" s="29">
        <v>15.965503520006834</v>
      </c>
      <c r="BY76" s="29">
        <v>16.055940411713436</v>
      </c>
      <c r="BZ76" s="29">
        <v>16.146131045452975</v>
      </c>
      <c r="CA76" s="29">
        <v>16.236070350951167</v>
      </c>
      <c r="CB76" s="29">
        <v>16.325753318324654</v>
      </c>
      <c r="CC76" s="29">
        <v>16.415174998891921</v>
      </c>
      <c r="CD76" s="29">
        <v>16.504330505969588</v>
      </c>
      <c r="CE76" s="29">
        <v>16.59321501565222</v>
      </c>
      <c r="CF76" s="29">
        <v>16.681823767574844</v>
      </c>
      <c r="CG76" s="29">
        <v>16.770152065658522</v>
      </c>
      <c r="CH76" s="29">
        <v>16.858195278836604</v>
      </c>
      <c r="CI76" s="29">
        <v>16.945948841762871</v>
      </c>
      <c r="CJ76" s="29">
        <v>17.033408255499022</v>
      </c>
      <c r="CK76" s="29">
        <v>17.120569088182521</v>
      </c>
      <c r="CL76" s="29">
        <v>17.207426975672355</v>
      </c>
      <c r="CM76" s="29">
        <v>17.293977622174282</v>
      </c>
      <c r="CN76" s="29">
        <v>17.380216800843456</v>
      </c>
      <c r="CO76" s="29">
        <v>17.466140354363347</v>
      </c>
      <c r="CP76" s="29">
        <v>17.551744195502607</v>
      </c>
      <c r="CQ76" s="29">
        <v>17.637024307647373</v>
      </c>
      <c r="CR76" s="29">
        <v>17.72197674530976</v>
      </c>
      <c r="CS76" s="29">
        <v>17.806597634611148</v>
      </c>
      <c r="CT76" s="29">
        <v>17.890883173740299</v>
      </c>
      <c r="CU76" s="29">
        <v>17.974829633386442</v>
      </c>
      <c r="CV76" s="29">
        <v>18.058433357146299</v>
      </c>
      <c r="CW76" s="29">
        <v>18.141690761904627</v>
      </c>
      <c r="CX76" s="29">
        <v>18.224598338188599</v>
      </c>
      <c r="CY76" s="29">
        <v>18.307152650495297</v>
      </c>
      <c r="CZ76" s="29">
        <v>18.389350337592337</v>
      </c>
      <c r="DA76" s="29">
        <v>18.471188112791523</v>
      </c>
      <c r="DB76" s="29">
        <v>18.5526627641947</v>
      </c>
      <c r="DC76" s="29">
        <v>18.633771154912598</v>
      </c>
      <c r="DD76" s="29">
        <v>18.714510223255893</v>
      </c>
      <c r="DE76" s="29">
        <v>18.794876982899201</v>
      </c>
      <c r="DF76" s="29">
        <v>18.874868523016232</v>
      </c>
      <c r="DG76" s="29">
        <v>18.954482008388801</v>
      </c>
      <c r="DH76" s="29">
        <v>19.033714679486792</v>
      </c>
      <c r="DI76" s="29">
        <v>19.112563852521831</v>
      </c>
      <c r="DJ76" s="29">
        <v>19.191026919472272</v>
      </c>
      <c r="DK76" s="29">
        <v>19.269101348081328</v>
      </c>
      <c r="DL76" s="29">
        <v>19.346784681828446</v>
      </c>
      <c r="DM76" s="29">
        <v>19.42407453987191</v>
      </c>
      <c r="DN76" s="29">
        <v>19.500968616966858</v>
      </c>
      <c r="DO76" s="29">
        <v>19.5774646833544</v>
      </c>
      <c r="DP76" s="29">
        <v>19.653560584625438</v>
      </c>
      <c r="DQ76" s="29">
        <v>19.729254241558102</v>
      </c>
      <c r="DR76" s="29">
        <v>19.804543649928537</v>
      </c>
      <c r="DS76">
        <v>19.879426880297384</v>
      </c>
      <c r="DT76">
        <v>19.953902077769371</v>
      </c>
      <c r="DU76">
        <v>20.027967461728892</v>
      </c>
    </row>
    <row r="77" spans="1:125">
      <c r="A77" s="34">
        <v>75</v>
      </c>
      <c r="B77" s="35"/>
      <c r="C77" s="35"/>
      <c r="D77" s="35"/>
      <c r="E77" s="35"/>
      <c r="F77" s="35"/>
      <c r="G77" s="35"/>
      <c r="H77" s="35"/>
      <c r="I77" s="35"/>
      <c r="J77" s="35"/>
      <c r="K77" s="35"/>
      <c r="L77" s="35"/>
      <c r="M77" s="35"/>
      <c r="N77" s="35"/>
      <c r="O77" s="35"/>
      <c r="P77" s="35"/>
      <c r="Q77" s="35"/>
      <c r="R77" s="35"/>
      <c r="S77" s="35"/>
      <c r="T77" s="35"/>
      <c r="U77" s="35"/>
      <c r="V77" s="29"/>
      <c r="W77" s="29"/>
      <c r="X77" s="29"/>
      <c r="Y77" s="29">
        <v>11.000819520557663</v>
      </c>
      <c r="Z77" s="29">
        <v>11.151369983858388</v>
      </c>
      <c r="AA77" s="29">
        <v>11.220099929322283</v>
      </c>
      <c r="AB77" s="29">
        <v>11.306770952771792</v>
      </c>
      <c r="AC77" s="29">
        <v>11.359122932172337</v>
      </c>
      <c r="AD77" s="29">
        <v>11.398789327333898</v>
      </c>
      <c r="AE77" s="29">
        <v>11.468867619013862</v>
      </c>
      <c r="AF77" s="29">
        <v>11.582705718088846</v>
      </c>
      <c r="AG77" s="29">
        <v>11.65151914589541</v>
      </c>
      <c r="AH77" s="29">
        <v>11.723502866912682</v>
      </c>
      <c r="AI77" s="29">
        <v>11.812818765674413</v>
      </c>
      <c r="AJ77" s="29">
        <v>11.924506343115912</v>
      </c>
      <c r="AK77" s="29">
        <v>12.021041052232196</v>
      </c>
      <c r="AL77" s="29">
        <v>12.133686109889844</v>
      </c>
      <c r="AM77" s="29">
        <v>12.229528988077121</v>
      </c>
      <c r="AN77" s="29">
        <v>12.307395870608097</v>
      </c>
      <c r="AO77" s="29">
        <v>12.355580718873549</v>
      </c>
      <c r="AP77" s="29">
        <v>12.398005807455661</v>
      </c>
      <c r="AQ77" s="29">
        <v>12.444720471250175</v>
      </c>
      <c r="AR77" s="29">
        <v>12.499035224295614</v>
      </c>
      <c r="AS77" s="29">
        <v>12.53011730170207</v>
      </c>
      <c r="AT77" s="29">
        <v>12.564713049370727</v>
      </c>
      <c r="AU77" s="29">
        <v>12.621457313380223</v>
      </c>
      <c r="AV77" s="29">
        <v>12.693885084426743</v>
      </c>
      <c r="AW77" s="29">
        <v>12.793941353821957</v>
      </c>
      <c r="AX77" s="29">
        <v>12.884757759020502</v>
      </c>
      <c r="AY77" s="29">
        <v>12.975497066970107</v>
      </c>
      <c r="AZ77" s="29">
        <v>13.066163776628212</v>
      </c>
      <c r="BA77" s="29">
        <v>13.156761452758213</v>
      </c>
      <c r="BB77" s="29">
        <v>13.247292199244285</v>
      </c>
      <c r="BC77" s="29">
        <v>13.337756368718367</v>
      </c>
      <c r="BD77" s="29">
        <v>13.428152506640441</v>
      </c>
      <c r="BE77" s="29">
        <v>13.518477753366813</v>
      </c>
      <c r="BF77" s="29">
        <v>13.608728237646984</v>
      </c>
      <c r="BG77" s="29">
        <v>13.698899289342762</v>
      </c>
      <c r="BH77" s="29">
        <v>13.788985603081933</v>
      </c>
      <c r="BI77" s="29">
        <v>13.878981355665296</v>
      </c>
      <c r="BJ77" s="29">
        <v>13.968880246669752</v>
      </c>
      <c r="BK77" s="29">
        <v>14.058644823947935</v>
      </c>
      <c r="BL77" s="29">
        <v>14.148269281664165</v>
      </c>
      <c r="BM77" s="29">
        <v>14.237747852885374</v>
      </c>
      <c r="BN77" s="29">
        <v>14.327074810674809</v>
      </c>
      <c r="BO77" s="29">
        <v>14.416244469180967</v>
      </c>
      <c r="BP77" s="29">
        <v>14.50525118472318</v>
      </c>
      <c r="BQ77" s="29">
        <v>14.594089356871958</v>
      </c>
      <c r="BR77" s="29">
        <v>14.682753429523208</v>
      </c>
      <c r="BS77" s="29">
        <v>14.771237891965677</v>
      </c>
      <c r="BT77" s="29">
        <v>14.859537279940852</v>
      </c>
      <c r="BU77" s="29">
        <v>14.947646176693828</v>
      </c>
      <c r="BV77" s="29">
        <v>15.035559214014796</v>
      </c>
      <c r="BW77" s="29">
        <v>15.12327107326999</v>
      </c>
      <c r="BX77" s="29">
        <v>15.210776486421413</v>
      </c>
      <c r="BY77" s="29">
        <v>15.298070237034061</v>
      </c>
      <c r="BZ77" s="29">
        <v>15.385147161270211</v>
      </c>
      <c r="CA77" s="29">
        <v>15.472002148869475</v>
      </c>
      <c r="CB77" s="29">
        <v>15.558630144114439</v>
      </c>
      <c r="CC77" s="29">
        <v>15.645026146779779</v>
      </c>
      <c r="CD77" s="29">
        <v>15.731185213065711</v>
      </c>
      <c r="CE77" s="29">
        <v>15.817102456513696</v>
      </c>
      <c r="CF77" s="29">
        <v>15.902773048903686</v>
      </c>
      <c r="CG77" s="29">
        <v>15.988192221133236</v>
      </c>
      <c r="CH77" s="29">
        <v>16.073355264075957</v>
      </c>
      <c r="CI77" s="29">
        <v>16.158257529420599</v>
      </c>
      <c r="CJ77" s="29">
        <v>16.242894430488171</v>
      </c>
      <c r="CK77" s="29">
        <v>16.327261443028029</v>
      </c>
      <c r="CL77" s="29">
        <v>16.411354105990551</v>
      </c>
      <c r="CM77" s="29">
        <v>16.495168022277912</v>
      </c>
      <c r="CN77" s="29">
        <v>16.578698859470805</v>
      </c>
      <c r="CO77" s="29">
        <v>16.661942350530019</v>
      </c>
      <c r="CP77" s="29">
        <v>16.744894294474591</v>
      </c>
      <c r="CQ77" s="29">
        <v>16.827550557033874</v>
      </c>
      <c r="CR77" s="29">
        <v>16.909907071274386</v>
      </c>
      <c r="CS77" s="29">
        <v>16.991959838199939</v>
      </c>
      <c r="CT77" s="29">
        <v>17.073704927325114</v>
      </c>
      <c r="CU77" s="29">
        <v>17.15513847722228</v>
      </c>
      <c r="CV77" s="29">
        <v>17.236256696040947</v>
      </c>
      <c r="CW77" s="29">
        <v>17.317055861999233</v>
      </c>
      <c r="CX77" s="29">
        <v>17.397532323847607</v>
      </c>
      <c r="CY77" s="29">
        <v>17.477682501304244</v>
      </c>
      <c r="CZ77" s="29">
        <v>17.557502885462007</v>
      </c>
      <c r="DA77" s="29">
        <v>17.636990039166914</v>
      </c>
      <c r="DB77" s="29">
        <v>17.716140597367335</v>
      </c>
      <c r="DC77" s="29">
        <v>17.794951267434627</v>
      </c>
      <c r="DD77" s="29">
        <v>17.873418829454451</v>
      </c>
      <c r="DE77" s="29">
        <v>17.951540136489573</v>
      </c>
      <c r="DF77" s="29">
        <v>18.029312114812246</v>
      </c>
      <c r="DG77" s="29">
        <v>18.106731764108954</v>
      </c>
      <c r="DH77" s="29">
        <v>18.183796157654626</v>
      </c>
      <c r="DI77" s="29">
        <v>18.260502442459014</v>
      </c>
      <c r="DJ77" s="29">
        <v>18.336847839382919</v>
      </c>
      <c r="DK77" s="29">
        <v>18.412829643226026</v>
      </c>
      <c r="DL77" s="29">
        <v>18.488445222786517</v>
      </c>
      <c r="DM77" s="29">
        <v>18.563692020890436</v>
      </c>
      <c r="DN77" s="29">
        <v>18.638567554394939</v>
      </c>
      <c r="DO77" s="29">
        <v>18.713069414161211</v>
      </c>
      <c r="DP77" s="29">
        <v>18.787195265000602</v>
      </c>
      <c r="DQ77" s="29">
        <v>18.860942845592895</v>
      </c>
      <c r="DR77" s="29">
        <v>18.934309968376521</v>
      </c>
      <c r="DS77">
        <v>19.007294519412941</v>
      </c>
      <c r="DT77">
        <v>19.079894458222782</v>
      </c>
      <c r="DU77">
        <v>19.152107817596459</v>
      </c>
    </row>
    <row r="78" spans="1:125">
      <c r="A78" s="34">
        <v>76</v>
      </c>
      <c r="B78" s="35"/>
      <c r="C78" s="35"/>
      <c r="D78" s="35"/>
      <c r="E78" s="35"/>
      <c r="F78" s="35"/>
      <c r="G78" s="35"/>
      <c r="H78" s="35"/>
      <c r="I78" s="35"/>
      <c r="J78" s="35"/>
      <c r="K78" s="35"/>
      <c r="L78" s="35"/>
      <c r="M78" s="35"/>
      <c r="N78" s="35"/>
      <c r="O78" s="35"/>
      <c r="P78" s="35"/>
      <c r="Q78" s="35"/>
      <c r="R78" s="35"/>
      <c r="S78" s="35"/>
      <c r="T78" s="35"/>
      <c r="U78" s="35"/>
      <c r="V78" s="29"/>
      <c r="W78" s="29"/>
      <c r="X78" s="29"/>
      <c r="Y78" s="29">
        <v>10.431073800158455</v>
      </c>
      <c r="Z78" s="29">
        <v>10.562056453336581</v>
      </c>
      <c r="AA78" s="29">
        <v>10.62571906377439</v>
      </c>
      <c r="AB78" s="29">
        <v>10.699330797224292</v>
      </c>
      <c r="AC78" s="29">
        <v>10.765939986144591</v>
      </c>
      <c r="AD78" s="29">
        <v>10.793311853337318</v>
      </c>
      <c r="AE78" s="29">
        <v>10.849020281043092</v>
      </c>
      <c r="AF78" s="29">
        <v>10.950158577143613</v>
      </c>
      <c r="AG78" s="29">
        <v>11.013106624552496</v>
      </c>
      <c r="AH78" s="29">
        <v>11.085393161658553</v>
      </c>
      <c r="AI78" s="29">
        <v>11.166959380778891</v>
      </c>
      <c r="AJ78" s="29">
        <v>11.265304118228912</v>
      </c>
      <c r="AK78" s="29">
        <v>11.361590126887126</v>
      </c>
      <c r="AL78" s="29">
        <v>11.465278526133424</v>
      </c>
      <c r="AM78" s="29">
        <v>11.559298951478045</v>
      </c>
      <c r="AN78" s="29">
        <v>11.61648502808071</v>
      </c>
      <c r="AO78" s="29">
        <v>11.678913879976927</v>
      </c>
      <c r="AP78" s="29">
        <v>11.711862089087813</v>
      </c>
      <c r="AQ78" s="29">
        <v>11.762923752932242</v>
      </c>
      <c r="AR78" s="29">
        <v>11.820800763428508</v>
      </c>
      <c r="AS78" s="29">
        <v>11.848947636470278</v>
      </c>
      <c r="AT78" s="29">
        <v>11.891004773460455</v>
      </c>
      <c r="AU78" s="29">
        <v>11.965843524210118</v>
      </c>
      <c r="AV78" s="29">
        <v>12.055326674799073</v>
      </c>
      <c r="AW78" s="29">
        <v>12.142321234362811</v>
      </c>
      <c r="AX78" s="29">
        <v>12.22926227483706</v>
      </c>
      <c r="AY78" s="29">
        <v>12.316154837475956</v>
      </c>
      <c r="AZ78" s="29">
        <v>12.40300371057587</v>
      </c>
      <c r="BA78" s="29">
        <v>12.489812662430307</v>
      </c>
      <c r="BB78" s="29">
        <v>12.576583918343166</v>
      </c>
      <c r="BC78" s="29">
        <v>12.663317879087117</v>
      </c>
      <c r="BD78" s="29">
        <v>12.750013077449315</v>
      </c>
      <c r="BE78" s="29">
        <v>12.836666599297626</v>
      </c>
      <c r="BF78" s="29">
        <v>12.923274491013675</v>
      </c>
      <c r="BG78" s="29">
        <v>13.009831979554241</v>
      </c>
      <c r="BH78" s="29">
        <v>13.096333641603721</v>
      </c>
      <c r="BI78" s="29">
        <v>13.182773524914715</v>
      </c>
      <c r="BJ78" s="29">
        <v>13.269112276804638</v>
      </c>
      <c r="BK78" s="29">
        <v>13.355344143301238</v>
      </c>
      <c r="BL78" s="29">
        <v>13.441463400696009</v>
      </c>
      <c r="BM78" s="29">
        <v>13.5274643567602</v>
      </c>
      <c r="BN78" s="29">
        <v>13.613341351960322</v>
      </c>
      <c r="BO78" s="29">
        <v>13.699088760669028</v>
      </c>
      <c r="BP78" s="29">
        <v>13.78470099237272</v>
      </c>
      <c r="BQ78" s="29">
        <v>13.87017249287392</v>
      </c>
      <c r="BR78" s="29">
        <v>13.955497745487479</v>
      </c>
      <c r="BS78" s="29">
        <v>14.040671272229826</v>
      </c>
      <c r="BT78" s="29">
        <v>14.125687635000517</v>
      </c>
      <c r="BU78" s="29">
        <v>14.210541436754475</v>
      </c>
      <c r="BV78" s="29">
        <v>14.2952273226645</v>
      </c>
      <c r="BW78" s="29">
        <v>14.379739981272888</v>
      </c>
      <c r="BX78" s="29">
        <v>14.464074145631415</v>
      </c>
      <c r="BY78" s="29">
        <v>14.548224594428273</v>
      </c>
      <c r="BZ78" s="29">
        <v>14.632186153101621</v>
      </c>
      <c r="CA78" s="29">
        <v>14.715953694938243</v>
      </c>
      <c r="CB78" s="29">
        <v>14.799522142157274</v>
      </c>
      <c r="CC78" s="29">
        <v>14.882886466976665</v>
      </c>
      <c r="CD78" s="29">
        <v>14.966041692663318</v>
      </c>
      <c r="CE78" s="29">
        <v>15.048982894564782</v>
      </c>
      <c r="CF78" s="29">
        <v>15.131705201121687</v>
      </c>
      <c r="CG78" s="29">
        <v>15.214203794861273</v>
      </c>
      <c r="CH78" s="29">
        <v>15.296473913369461</v>
      </c>
      <c r="CI78" s="29">
        <v>15.378510850242659</v>
      </c>
      <c r="CJ78" s="29">
        <v>15.460309956016802</v>
      </c>
      <c r="CK78" s="29">
        <v>15.541866639074426</v>
      </c>
      <c r="CL78" s="29">
        <v>15.623176366527403</v>
      </c>
      <c r="CM78" s="29">
        <v>15.704234665076886</v>
      </c>
      <c r="CN78" s="29">
        <v>15.785037121848216</v>
      </c>
      <c r="CO78" s="29">
        <v>15.865579385199709</v>
      </c>
      <c r="CP78" s="29">
        <v>15.945857165507045</v>
      </c>
      <c r="CQ78" s="29">
        <v>16.025866235920592</v>
      </c>
      <c r="CR78" s="29">
        <v>16.105602433096422</v>
      </c>
      <c r="CS78" s="29">
        <v>16.18506165789967</v>
      </c>
      <c r="CT78" s="29">
        <v>16.264239876080119</v>
      </c>
      <c r="CU78" s="29">
        <v>16.343133118920306</v>
      </c>
      <c r="CV78" s="29">
        <v>16.42173748385494</v>
      </c>
      <c r="CW78" s="29">
        <v>16.500049135061257</v>
      </c>
      <c r="CX78" s="29">
        <v>16.578064304020696</v>
      </c>
      <c r="CY78" s="29">
        <v>16.655779290050987</v>
      </c>
      <c r="CZ78" s="29">
        <v>16.733190460808832</v>
      </c>
      <c r="DA78" s="29">
        <v>16.810294252762962</v>
      </c>
      <c r="DB78" s="29">
        <v>16.887087171636782</v>
      </c>
      <c r="DC78" s="29">
        <v>16.96356579282136</v>
      </c>
      <c r="DD78" s="29">
        <v>17.039726761758001</v>
      </c>
      <c r="DE78" s="29">
        <v>17.115566794291112</v>
      </c>
      <c r="DF78" s="29">
        <v>17.191082676989595</v>
      </c>
      <c r="DG78" s="29">
        <v>17.266271267439411</v>
      </c>
      <c r="DH78" s="29">
        <v>17.341129494504507</v>
      </c>
      <c r="DI78" s="29">
        <v>17.415654358558765</v>
      </c>
      <c r="DJ78" s="29">
        <v>17.489842931686653</v>
      </c>
      <c r="DK78" s="29">
        <v>17.563692357854336</v>
      </c>
      <c r="DL78" s="29">
        <v>17.637199853051406</v>
      </c>
      <c r="DM78" s="29">
        <v>17.71036270540127</v>
      </c>
      <c r="DN78" s="29">
        <v>17.783178275244218</v>
      </c>
      <c r="DO78" s="29">
        <v>17.855643995189034</v>
      </c>
      <c r="DP78" s="29">
        <v>17.927757370136646</v>
      </c>
      <c r="DQ78" s="29">
        <v>17.999515977274839</v>
      </c>
      <c r="DR78" s="29">
        <v>18.07091746604366</v>
      </c>
      <c r="DS78">
        <v>18.141959558073921</v>
      </c>
      <c r="DT78">
        <v>18.212640047096251</v>
      </c>
      <c r="DU78">
        <v>18.282956798823534</v>
      </c>
    </row>
    <row r="79" spans="1:125">
      <c r="A79" s="34">
        <v>77</v>
      </c>
      <c r="B79" s="35"/>
      <c r="C79" s="35"/>
      <c r="D79" s="35"/>
      <c r="E79" s="35"/>
      <c r="F79" s="35"/>
      <c r="G79" s="35"/>
      <c r="H79" s="35"/>
      <c r="I79" s="35"/>
      <c r="J79" s="35"/>
      <c r="K79" s="35"/>
      <c r="L79" s="35"/>
      <c r="M79" s="35"/>
      <c r="N79" s="35"/>
      <c r="O79" s="35"/>
      <c r="P79" s="35"/>
      <c r="Q79" s="35"/>
      <c r="R79" s="35"/>
      <c r="S79" s="35"/>
      <c r="T79" s="35"/>
      <c r="U79" s="35"/>
      <c r="V79" s="29"/>
      <c r="W79" s="29"/>
      <c r="X79" s="29"/>
      <c r="Y79" s="29">
        <v>9.8612859344188646</v>
      </c>
      <c r="Z79" s="29">
        <v>9.9782874800107422</v>
      </c>
      <c r="AA79" s="29">
        <v>10.040207265036791</v>
      </c>
      <c r="AB79" s="29">
        <v>10.118811008722005</v>
      </c>
      <c r="AC79" s="29">
        <v>10.170142279611746</v>
      </c>
      <c r="AD79" s="29">
        <v>10.194180833939626</v>
      </c>
      <c r="AE79" s="29">
        <v>10.240994575966244</v>
      </c>
      <c r="AF79" s="29">
        <v>10.327633348733849</v>
      </c>
      <c r="AG79" s="29">
        <v>10.390590252089549</v>
      </c>
      <c r="AH79" s="29">
        <v>10.45387073107927</v>
      </c>
      <c r="AI79" s="29">
        <v>10.529104516116446</v>
      </c>
      <c r="AJ79" s="29">
        <v>10.623904968845061</v>
      </c>
      <c r="AK79" s="29">
        <v>10.711296262958681</v>
      </c>
      <c r="AL79" s="29">
        <v>10.815448704175857</v>
      </c>
      <c r="AM79" s="29">
        <v>10.890244219410597</v>
      </c>
      <c r="AN79" s="29">
        <v>10.956744378400593</v>
      </c>
      <c r="AO79" s="29">
        <v>11.006446288645414</v>
      </c>
      <c r="AP79" s="29">
        <v>11.045381825743355</v>
      </c>
      <c r="AQ79" s="29">
        <v>11.098248531712624</v>
      </c>
      <c r="AR79" s="29">
        <v>11.144243890603697</v>
      </c>
      <c r="AS79" s="29">
        <v>11.182078417488352</v>
      </c>
      <c r="AT79" s="29">
        <v>11.246587003655378</v>
      </c>
      <c r="AU79" s="29">
        <v>11.331993503544583</v>
      </c>
      <c r="AV79" s="29">
        <v>11.41517397853106</v>
      </c>
      <c r="AW79" s="29">
        <v>11.4983225487805</v>
      </c>
      <c r="AX79" s="29">
        <v>11.581444008374888</v>
      </c>
      <c r="AY79" s="29">
        <v>11.66454379648872</v>
      </c>
      <c r="AZ79" s="29">
        <v>11.747627010252529</v>
      </c>
      <c r="BA79" s="29">
        <v>11.830697633964562</v>
      </c>
      <c r="BB79" s="29">
        <v>11.913758020161488</v>
      </c>
      <c r="BC79" s="29">
        <v>11.996808617811656</v>
      </c>
      <c r="BD79" s="29">
        <v>12.079847942615549</v>
      </c>
      <c r="BE79" s="29">
        <v>12.162873019085351</v>
      </c>
      <c r="BF79" s="29">
        <v>12.245879803375544</v>
      </c>
      <c r="BG79" s="29">
        <v>12.328863411418578</v>
      </c>
      <c r="BH79" s="29">
        <v>12.411818294100669</v>
      </c>
      <c r="BI79" s="29">
        <v>12.494703137419615</v>
      </c>
      <c r="BJ79" s="29">
        <v>12.577512271319787</v>
      </c>
      <c r="BK79" s="29">
        <v>12.660240047787141</v>
      </c>
      <c r="BL79" s="29">
        <v>12.742880842163171</v>
      </c>
      <c r="BM79" s="29">
        <v>12.825429054456979</v>
      </c>
      <c r="BN79" s="29">
        <v>12.907879110657236</v>
      </c>
      <c r="BO79" s="29">
        <v>12.990225464039934</v>
      </c>
      <c r="BP79" s="29">
        <v>13.072462596473219</v>
      </c>
      <c r="BQ79" s="29">
        <v>13.154585019717233</v>
      </c>
      <c r="BR79" s="29">
        <v>13.236587276718</v>
      </c>
      <c r="BS79" s="29">
        <v>13.318463942894535</v>
      </c>
      <c r="BT79" s="29">
        <v>13.400209627418338</v>
      </c>
      <c r="BU79" s="29">
        <v>13.481818974483634</v>
      </c>
      <c r="BV79" s="29">
        <v>13.563286664567876</v>
      </c>
      <c r="BW79" s="29">
        <v>13.644607415681349</v>
      </c>
      <c r="BX79" s="29">
        <v>13.725775984605015</v>
      </c>
      <c r="BY79" s="29">
        <v>13.806787168115203</v>
      </c>
      <c r="BZ79" s="29">
        <v>13.88763580419476</v>
      </c>
      <c r="CA79" s="29">
        <v>13.968316773229079</v>
      </c>
      <c r="CB79" s="29">
        <v>14.048824999186991</v>
      </c>
      <c r="CC79" s="29">
        <v>14.129155450784101</v>
      </c>
      <c r="CD79" s="29">
        <v>14.209303142629519</v>
      </c>
      <c r="CE79" s="29">
        <v>14.289263136353785</v>
      </c>
      <c r="CF79" s="29">
        <v>14.369030541717214</v>
      </c>
      <c r="CG79" s="29">
        <v>14.448600517698939</v>
      </c>
      <c r="CH79" s="29">
        <v>14.527968273564053</v>
      </c>
      <c r="CI79" s="29">
        <v>14.607129069910112</v>
      </c>
      <c r="CJ79" s="29">
        <v>14.686078219690366</v>
      </c>
      <c r="CK79" s="29">
        <v>14.764811089214561</v>
      </c>
      <c r="CL79" s="29">
        <v>14.843323099124916</v>
      </c>
      <c r="CM79" s="29">
        <v>14.921609725348791</v>
      </c>
      <c r="CN79" s="29">
        <v>14.999666500025736</v>
      </c>
      <c r="CO79" s="29">
        <v>15.077489012407959</v>
      </c>
      <c r="CP79" s="29">
        <v>15.155072909735715</v>
      </c>
      <c r="CQ79" s="29">
        <v>15.232413898085134</v>
      </c>
      <c r="CR79" s="29">
        <v>15.3095077431891</v>
      </c>
      <c r="CS79" s="29">
        <v>15.386350271229855</v>
      </c>
      <c r="CT79" s="29">
        <v>15.462937369603198</v>
      </c>
      <c r="CU79" s="29">
        <v>15.539264987654597</v>
      </c>
      <c r="CV79" s="29">
        <v>15.615329137385912</v>
      </c>
      <c r="CW79" s="29">
        <v>15.691125894132409</v>
      </c>
      <c r="CX79" s="29">
        <v>15.766651397210422</v>
      </c>
      <c r="CY79" s="29">
        <v>15.841901850534718</v>
      </c>
      <c r="CZ79" s="29">
        <v>15.916873523205783</v>
      </c>
      <c r="DA79" s="29">
        <v>15.991562750066722</v>
      </c>
      <c r="DB79" s="29">
        <v>16.065965932229098</v>
      </c>
      <c r="DC79" s="29">
        <v>16.14007953756829</v>
      </c>
      <c r="DD79" s="29">
        <v>16.213900101187814</v>
      </c>
      <c r="DE79" s="29">
        <v>16.287424225853051</v>
      </c>
      <c r="DF79" s="29">
        <v>16.360648582392855</v>
      </c>
      <c r="DG79" s="29">
        <v>16.433569910071512</v>
      </c>
      <c r="DH79" s="29">
        <v>16.506185016928292</v>
      </c>
      <c r="DI79" s="29">
        <v>16.578490780087236</v>
      </c>
      <c r="DJ79" s="29">
        <v>16.650484146034884</v>
      </c>
      <c r="DK79" s="29">
        <v>16.722162130867609</v>
      </c>
      <c r="DL79" s="29">
        <v>16.79352182050884</v>
      </c>
      <c r="DM79" s="29">
        <v>16.86456037089404</v>
      </c>
      <c r="DN79" s="29">
        <v>16.935275008127611</v>
      </c>
      <c r="DO79" s="29">
        <v>17.005663028607508</v>
      </c>
      <c r="DP79" s="29">
        <v>17.075721799121037</v>
      </c>
      <c r="DQ79" s="29">
        <v>17.145448756910859</v>
      </c>
      <c r="DR79" s="29">
        <v>17.214841409710914</v>
      </c>
      <c r="DS79">
        <v>17.283897335754503</v>
      </c>
      <c r="DT79">
        <v>17.352614183752138</v>
      </c>
      <c r="DU79">
        <v>17.42098967284187</v>
      </c>
    </row>
    <row r="80" spans="1:125">
      <c r="A80" s="34">
        <v>78</v>
      </c>
      <c r="B80" s="35"/>
      <c r="C80" s="35"/>
      <c r="D80" s="35"/>
      <c r="E80" s="35"/>
      <c r="F80" s="35"/>
      <c r="G80" s="35"/>
      <c r="H80" s="35"/>
      <c r="I80" s="35"/>
      <c r="J80" s="35"/>
      <c r="K80" s="35"/>
      <c r="L80" s="35"/>
      <c r="M80" s="35"/>
      <c r="N80" s="35"/>
      <c r="O80" s="35"/>
      <c r="P80" s="35"/>
      <c r="Q80" s="35"/>
      <c r="R80" s="35"/>
      <c r="S80" s="35"/>
      <c r="T80" s="35"/>
      <c r="U80" s="35"/>
      <c r="V80" s="29"/>
      <c r="W80" s="29"/>
      <c r="X80" s="29"/>
      <c r="Y80" s="29">
        <v>9.3032238477702887</v>
      </c>
      <c r="Z80" s="29">
        <v>9.4140541481291997</v>
      </c>
      <c r="AA80" s="29">
        <v>9.4780510358816699</v>
      </c>
      <c r="AB80" s="29">
        <v>9.5400751836061417</v>
      </c>
      <c r="AC80" s="29">
        <v>9.5843595994381232</v>
      </c>
      <c r="AD80" s="29">
        <v>9.6007039347761918</v>
      </c>
      <c r="AE80" s="29">
        <v>9.6379603935435298</v>
      </c>
      <c r="AF80" s="29">
        <v>9.7226574744125465</v>
      </c>
      <c r="AG80" s="29">
        <v>9.7851693268230129</v>
      </c>
      <c r="AH80" s="29">
        <v>9.8361688773758722</v>
      </c>
      <c r="AI80" s="29">
        <v>9.9097124711875821</v>
      </c>
      <c r="AJ80" s="29">
        <v>9.9962928221212461</v>
      </c>
      <c r="AK80" s="29">
        <v>10.083902228808512</v>
      </c>
      <c r="AL80" s="29">
        <v>10.165220947584857</v>
      </c>
      <c r="AM80" s="29">
        <v>10.243447156319716</v>
      </c>
      <c r="AN80" s="29">
        <v>10.300723676858482</v>
      </c>
      <c r="AO80" s="29">
        <v>10.349898250016114</v>
      </c>
      <c r="AP80" s="29">
        <v>10.390102243299484</v>
      </c>
      <c r="AQ80" s="29">
        <v>10.437720632445693</v>
      </c>
      <c r="AR80" s="29">
        <v>10.481299056101516</v>
      </c>
      <c r="AS80" s="29">
        <v>10.550954043502323</v>
      </c>
      <c r="AT80" s="29">
        <v>10.624156782587862</v>
      </c>
      <c r="AU80" s="29">
        <v>10.703543223048268</v>
      </c>
      <c r="AV80" s="29">
        <v>10.782917858187609</v>
      </c>
      <c r="AW80" s="29">
        <v>10.862284613774699</v>
      </c>
      <c r="AX80" s="29">
        <v>10.941648791837482</v>
      </c>
      <c r="AY80" s="29">
        <v>11.021016257162913</v>
      </c>
      <c r="AZ80" s="29">
        <v>11.100392435127807</v>
      </c>
      <c r="BA80" s="29">
        <v>11.179781536866447</v>
      </c>
      <c r="BB80" s="29">
        <v>11.259186044960339</v>
      </c>
      <c r="BC80" s="29">
        <v>11.338606452539022</v>
      </c>
      <c r="BD80" s="29">
        <v>11.418041248928821</v>
      </c>
      <c r="BE80" s="29">
        <v>11.497487385142584</v>
      </c>
      <c r="BF80" s="29">
        <v>11.57694071382476</v>
      </c>
      <c r="BG80" s="29">
        <v>11.656396226316108</v>
      </c>
      <c r="BH80" s="29">
        <v>11.735810536996908</v>
      </c>
      <c r="BI80" s="29">
        <v>11.815178089926134</v>
      </c>
      <c r="BJ80" s="29">
        <v>11.89449334348129</v>
      </c>
      <c r="BK80" s="29">
        <v>11.973750771742047</v>
      </c>
      <c r="BL80" s="29">
        <v>12.052944865875396</v>
      </c>
      <c r="BM80" s="29">
        <v>12.132070135519568</v>
      </c>
      <c r="BN80" s="29">
        <v>12.211121110168499</v>
      </c>
      <c r="BO80" s="29">
        <v>12.290092340552672</v>
      </c>
      <c r="BP80" s="29">
        <v>12.368978400017554</v>
      </c>
      <c r="BQ80" s="29">
        <v>12.447773885897526</v>
      </c>
      <c r="BR80" s="29">
        <v>12.526473420884326</v>
      </c>
      <c r="BS80" s="29">
        <v>12.605071654389061</v>
      </c>
      <c r="BT80" s="29">
        <v>12.683563263896998</v>
      </c>
      <c r="BU80" s="29">
        <v>12.761942956313412</v>
      </c>
      <c r="BV80" s="29">
        <v>12.840205469299956</v>
      </c>
      <c r="BW80" s="29">
        <v>12.918345572600398</v>
      </c>
      <c r="BX80" s="29">
        <v>12.996358069354788</v>
      </c>
      <c r="BY80" s="29">
        <v>13.074237797400688</v>
      </c>
      <c r="BZ80" s="29">
        <v>13.151979630560959</v>
      </c>
      <c r="CA80" s="29">
        <v>13.229578479916587</v>
      </c>
      <c r="CB80" s="29">
        <v>13.307029295064449</v>
      </c>
      <c r="CC80" s="29">
        <v>13.38432706535758</v>
      </c>
      <c r="CD80" s="29">
        <v>13.461466821128901</v>
      </c>
      <c r="CE80" s="29">
        <v>13.538443634896142</v>
      </c>
      <c r="CF80" s="29">
        <v>13.615252622547168</v>
      </c>
      <c r="CG80" s="29">
        <v>13.691888944506012</v>
      </c>
      <c r="CH80" s="29">
        <v>13.768347806876914</v>
      </c>
      <c r="CI80" s="29">
        <v>13.844624462567696</v>
      </c>
      <c r="CJ80" s="29">
        <v>13.920714212389745</v>
      </c>
      <c r="CK80" s="29">
        <v>13.99661240613548</v>
      </c>
      <c r="CL80" s="29">
        <v>14.072314443630862</v>
      </c>
      <c r="CM80" s="29">
        <v>14.147815775764437</v>
      </c>
      <c r="CN80" s="29">
        <v>14.223111905490672</v>
      </c>
      <c r="CO80" s="29">
        <v>14.298198388806423</v>
      </c>
      <c r="CP80" s="29">
        <v>14.373070835702235</v>
      </c>
      <c r="CQ80" s="29">
        <v>14.447724911085821</v>
      </c>
      <c r="CR80" s="29">
        <v>14.522156335678396</v>
      </c>
      <c r="CS80" s="29">
        <v>14.596360886882483</v>
      </c>
      <c r="CT80" s="29">
        <v>14.670334399621092</v>
      </c>
      <c r="CU80" s="29">
        <v>14.7440727671485</v>
      </c>
      <c r="CV80" s="29">
        <v>14.817571941831426</v>
      </c>
      <c r="CW80" s="29">
        <v>14.89082793590017</v>
      </c>
      <c r="CX80" s="29">
        <v>14.963836822170087</v>
      </c>
      <c r="CY80" s="29">
        <v>15.036594734732489</v>
      </c>
      <c r="CZ80" s="29">
        <v>15.109097869615084</v>
      </c>
      <c r="DA80" s="29">
        <v>15.18134248541174</v>
      </c>
      <c r="DB80" s="29">
        <v>15.253324903880788</v>
      </c>
      <c r="DC80" s="29">
        <v>15.325041510512506</v>
      </c>
      <c r="DD80" s="29">
        <v>15.39648875506515</v>
      </c>
      <c r="DE80" s="29">
        <v>15.467663152070067</v>
      </c>
      <c r="DF80" s="29">
        <v>15.538561281304187</v>
      </c>
      <c r="DG80" s="29">
        <v>15.609179788232533</v>
      </c>
      <c r="DH80" s="29">
        <v>15.679515384417844</v>
      </c>
      <c r="DI80" s="29">
        <v>15.74956484790002</v>
      </c>
      <c r="DJ80" s="29">
        <v>15.819325023543026</v>
      </c>
      <c r="DK80" s="29">
        <v>15.888792823350961</v>
      </c>
      <c r="DL80" s="29">
        <v>15.95796522675354</v>
      </c>
      <c r="DM80" s="29">
        <v>16.026839280858788</v>
      </c>
      <c r="DN80" s="29">
        <v>16.095412100677287</v>
      </c>
      <c r="DO80" s="29">
        <v>16.163680869313435</v>
      </c>
      <c r="DP80" s="29">
        <v>16.231642838127541</v>
      </c>
      <c r="DQ80" s="29">
        <v>16.299295326867508</v>
      </c>
      <c r="DR80" s="29">
        <v>16.366635723769864</v>
      </c>
      <c r="DS80">
        <v>16.43366148563247</v>
      </c>
      <c r="DT80">
        <v>16.500370137856379</v>
      </c>
      <c r="DU80">
        <v>16.566759274459592</v>
      </c>
    </row>
    <row r="81" spans="1:125">
      <c r="A81" s="34">
        <v>79</v>
      </c>
      <c r="B81" s="35"/>
      <c r="C81" s="35"/>
      <c r="D81" s="35"/>
      <c r="E81" s="35"/>
      <c r="F81" s="35"/>
      <c r="G81" s="35"/>
      <c r="H81" s="35"/>
      <c r="I81" s="35"/>
      <c r="J81" s="35"/>
      <c r="K81" s="35"/>
      <c r="L81" s="35"/>
      <c r="M81" s="35"/>
      <c r="N81" s="35"/>
      <c r="O81" s="35"/>
      <c r="P81" s="35"/>
      <c r="Q81" s="35"/>
      <c r="R81" s="35"/>
      <c r="S81" s="35"/>
      <c r="T81" s="35"/>
      <c r="U81" s="35"/>
      <c r="V81" s="29"/>
      <c r="W81" s="29"/>
      <c r="X81" s="29"/>
      <c r="Y81" s="29">
        <v>8.762089066895502</v>
      </c>
      <c r="Z81" s="29">
        <v>8.8763861666115567</v>
      </c>
      <c r="AA81" s="29">
        <v>8.9227304748974561</v>
      </c>
      <c r="AB81" s="29">
        <v>8.9726189203104418</v>
      </c>
      <c r="AC81" s="29">
        <v>9.0093384918860515</v>
      </c>
      <c r="AD81" s="29">
        <v>9.0167641129475307</v>
      </c>
      <c r="AE81" s="29">
        <v>9.0599532605566608</v>
      </c>
      <c r="AF81" s="29">
        <v>9.1405541286847338</v>
      </c>
      <c r="AG81" s="29">
        <v>9.1892609838450383</v>
      </c>
      <c r="AH81" s="29">
        <v>9.2391456037358495</v>
      </c>
      <c r="AI81" s="29">
        <v>9.3066382830451815</v>
      </c>
      <c r="AJ81" s="29">
        <v>9.3898783640101566</v>
      </c>
      <c r="AK81" s="29">
        <v>9.4521321330970398</v>
      </c>
      <c r="AL81" s="29">
        <v>9.5437140365575797</v>
      </c>
      <c r="AM81" s="29">
        <v>9.6071226332782445</v>
      </c>
      <c r="AN81" s="29">
        <v>9.667824514874134</v>
      </c>
      <c r="AO81" s="29">
        <v>9.710071041805211</v>
      </c>
      <c r="AP81" s="29">
        <v>9.7453685548542737</v>
      </c>
      <c r="AQ81" s="29">
        <v>9.7916065829654961</v>
      </c>
      <c r="AR81" s="29">
        <v>9.8606426885074256</v>
      </c>
      <c r="AS81" s="29">
        <v>9.9324285130063927</v>
      </c>
      <c r="AT81" s="29">
        <v>10.00805009550014</v>
      </c>
      <c r="AU81" s="29">
        <v>10.083678610582144</v>
      </c>
      <c r="AV81" s="29">
        <v>10.159316804827579</v>
      </c>
      <c r="AW81" s="29">
        <v>10.234969222095819</v>
      </c>
      <c r="AX81" s="29">
        <v>10.3106417113821</v>
      </c>
      <c r="AY81" s="29">
        <v>10.386340593224121</v>
      </c>
      <c r="AZ81" s="29">
        <v>10.462071640975301</v>
      </c>
      <c r="BA81" s="29">
        <v>10.537839301736133</v>
      </c>
      <c r="BB81" s="29">
        <v>10.613646187478924</v>
      </c>
      <c r="BC81" s="29">
        <v>10.689492826571882</v>
      </c>
      <c r="BD81" s="29">
        <v>10.765377666760685</v>
      </c>
      <c r="BE81" s="29">
        <v>10.841297566961011</v>
      </c>
      <c r="BF81" s="29">
        <v>10.917248256368516</v>
      </c>
      <c r="BG81" s="29">
        <v>10.993184183509964</v>
      </c>
      <c r="BH81" s="29">
        <v>11.069099934950014</v>
      </c>
      <c r="BI81" s="29">
        <v>11.14499010441234</v>
      </c>
      <c r="BJ81" s="29">
        <v>11.220849294208186</v>
      </c>
      <c r="BK81" s="29">
        <v>11.296672116667732</v>
      </c>
      <c r="BL81" s="29">
        <v>11.372453195573808</v>
      </c>
      <c r="BM81" s="29">
        <v>11.448187167595121</v>
      </c>
      <c r="BN81" s="29">
        <v>11.523868683720842</v>
      </c>
      <c r="BO81" s="29">
        <v>11.599492410692218</v>
      </c>
      <c r="BP81" s="29">
        <v>11.675053032432491</v>
      </c>
      <c r="BQ81" s="29">
        <v>11.750545251472957</v>
      </c>
      <c r="BR81" s="29">
        <v>11.825963790374121</v>
      </c>
      <c r="BS81" s="29">
        <v>11.901303393141045</v>
      </c>
      <c r="BT81" s="29">
        <v>11.976558826631983</v>
      </c>
      <c r="BU81" s="29">
        <v>12.051724881958634</v>
      </c>
      <c r="BV81" s="29">
        <v>12.126796375877396</v>
      </c>
      <c r="BW81" s="29">
        <v>12.201768152170477</v>
      </c>
      <c r="BX81" s="29">
        <v>12.276635083015876</v>
      </c>
      <c r="BY81" s="29">
        <v>12.351392070344863</v>
      </c>
      <c r="BZ81" s="29">
        <v>12.426034047186416</v>
      </c>
      <c r="CA81" s="29">
        <v>12.500555978997102</v>
      </c>
      <c r="CB81" s="29">
        <v>12.574952864976257</v>
      </c>
      <c r="CC81" s="29">
        <v>12.649219739363993</v>
      </c>
      <c r="CD81" s="29">
        <v>12.723351672723055</v>
      </c>
      <c r="CE81" s="29">
        <v>12.797343773202115</v>
      </c>
      <c r="CF81" s="29">
        <v>12.871191187779829</v>
      </c>
      <c r="CG81" s="29">
        <v>12.944889103489846</v>
      </c>
      <c r="CH81" s="29">
        <v>13.018432748624093</v>
      </c>
      <c r="CI81" s="29">
        <v>13.091817393915665</v>
      </c>
      <c r="CJ81" s="29">
        <v>13.165038353698538</v>
      </c>
      <c r="CK81" s="29">
        <v>13.238090987044988</v>
      </c>
      <c r="CL81" s="29">
        <v>13.310970698878268</v>
      </c>
      <c r="CM81" s="29">
        <v>13.383672941062009</v>
      </c>
      <c r="CN81" s="29">
        <v>13.456193213464093</v>
      </c>
      <c r="CO81" s="29">
        <v>13.528527064993796</v>
      </c>
      <c r="CP81" s="29">
        <v>13.60067009461396</v>
      </c>
      <c r="CQ81" s="29">
        <v>13.672617952325446</v>
      </c>
      <c r="CR81" s="29">
        <v>13.744366340124575</v>
      </c>
      <c r="CS81" s="29">
        <v>13.815911012932155</v>
      </c>
      <c r="CT81" s="29">
        <v>13.887247779493951</v>
      </c>
      <c r="CU81" s="29">
        <v>13.958372503252896</v>
      </c>
      <c r="CV81" s="29">
        <v>14.0292811031917</v>
      </c>
      <c r="CW81" s="29">
        <v>14.099969554645519</v>
      </c>
      <c r="CX81" s="29">
        <v>14.170433890084979</v>
      </c>
      <c r="CY81" s="29">
        <v>14.240670199868688</v>
      </c>
      <c r="CZ81" s="29">
        <v>14.310674632965231</v>
      </c>
      <c r="DA81" s="29">
        <v>14.380443397644584</v>
      </c>
      <c r="DB81" s="29">
        <v>14.44997276213795</v>
      </c>
      <c r="DC81" s="29">
        <v>14.519259055266845</v>
      </c>
      <c r="DD81" s="29">
        <v>14.588298667040597</v>
      </c>
      <c r="DE81" s="29">
        <v>14.657088049222937</v>
      </c>
      <c r="DF81" s="29">
        <v>14.725623715865858</v>
      </c>
      <c r="DG81" s="29">
        <v>14.793902243813424</v>
      </c>
      <c r="DH81" s="29">
        <v>14.861920273172565</v>
      </c>
      <c r="DI81" s="29">
        <v>14.929674507753614</v>
      </c>
      <c r="DJ81" s="29">
        <v>14.997161715478139</v>
      </c>
      <c r="DK81" s="29">
        <v>15.064378728755795</v>
      </c>
      <c r="DL81" s="29">
        <v>15.131322444830438</v>
      </c>
      <c r="DM81" s="29">
        <v>15.197989826093288</v>
      </c>
      <c r="DN81" s="29">
        <v>15.264377900367402</v>
      </c>
      <c r="DO81" s="29">
        <v>15.330483761159</v>
      </c>
      <c r="DP81" s="29">
        <v>15.396304567879383</v>
      </c>
      <c r="DQ81" s="29">
        <v>15.4618375460362</v>
      </c>
      <c r="DR81" s="29">
        <v>15.527079987393805</v>
      </c>
      <c r="DS81">
        <v>15.592029250105039</v>
      </c>
      <c r="DT81">
        <v>15.656682758811861</v>
      </c>
      <c r="DU81">
        <v>15.721038004717578</v>
      </c>
    </row>
    <row r="82" spans="1:125">
      <c r="A82" s="34">
        <v>80</v>
      </c>
      <c r="B82" s="35"/>
      <c r="C82" s="35"/>
      <c r="D82" s="35"/>
      <c r="E82" s="35"/>
      <c r="F82" s="35"/>
      <c r="G82" s="35"/>
      <c r="H82" s="35"/>
      <c r="I82" s="35"/>
      <c r="J82" s="35"/>
      <c r="K82" s="35"/>
      <c r="L82" s="35"/>
      <c r="M82" s="35"/>
      <c r="N82" s="35"/>
      <c r="O82" s="35"/>
      <c r="P82" s="35"/>
      <c r="Q82" s="35"/>
      <c r="R82" s="35"/>
      <c r="S82" s="35"/>
      <c r="T82" s="35"/>
      <c r="U82" s="35"/>
      <c r="V82" s="29"/>
      <c r="W82" s="29"/>
      <c r="X82" s="29"/>
      <c r="Y82" s="29">
        <v>8.2455564832145782</v>
      </c>
      <c r="Z82" s="29">
        <v>8.3385538616520911</v>
      </c>
      <c r="AA82" s="29">
        <v>8.3804040779517841</v>
      </c>
      <c r="AB82" s="29">
        <v>8.4160125574652476</v>
      </c>
      <c r="AC82" s="29">
        <v>8.4364009247249605</v>
      </c>
      <c r="AD82" s="29">
        <v>8.4528886804041719</v>
      </c>
      <c r="AE82" s="29">
        <v>8.4963415573300516</v>
      </c>
      <c r="AF82" s="29">
        <v>8.5643587349252996</v>
      </c>
      <c r="AG82" s="29">
        <v>8.6124174891112588</v>
      </c>
      <c r="AH82" s="29">
        <v>8.6550217116429735</v>
      </c>
      <c r="AI82" s="29">
        <v>8.7286251161207318</v>
      </c>
      <c r="AJ82" s="29">
        <v>8.7853434431005475</v>
      </c>
      <c r="AK82" s="29">
        <v>8.8535131602997268</v>
      </c>
      <c r="AL82" s="29">
        <v>8.9286280683617356</v>
      </c>
      <c r="AM82" s="29">
        <v>8.9925490586328021</v>
      </c>
      <c r="AN82" s="29">
        <v>9.0501346158341356</v>
      </c>
      <c r="AO82" s="29">
        <v>9.0830353183852566</v>
      </c>
      <c r="AP82" s="29">
        <v>9.1155255690964534</v>
      </c>
      <c r="AQ82" s="29">
        <v>9.1839604643053505</v>
      </c>
      <c r="AR82" s="29">
        <v>9.2579544159917795</v>
      </c>
      <c r="AS82" s="29">
        <v>9.3298457396375731</v>
      </c>
      <c r="AT82" s="29">
        <v>9.4017614824306257</v>
      </c>
      <c r="AU82" s="29">
        <v>9.4737029482972375</v>
      </c>
      <c r="AV82" s="29">
        <v>9.5456736156270878</v>
      </c>
      <c r="AW82" s="29">
        <v>9.6176787008113003</v>
      </c>
      <c r="AX82" s="29">
        <v>9.6897246450498908</v>
      </c>
      <c r="AY82" s="29">
        <v>9.7618182584261426</v>
      </c>
      <c r="AZ82" s="29">
        <v>9.8339656829272233</v>
      </c>
      <c r="BA82" s="29">
        <v>9.9061716090604239</v>
      </c>
      <c r="BB82" s="29">
        <v>9.9784387735386204</v>
      </c>
      <c r="BC82" s="29">
        <v>10.050767725175797</v>
      </c>
      <c r="BD82" s="29">
        <v>10.123156847687545</v>
      </c>
      <c r="BE82" s="29">
        <v>10.195602881330085</v>
      </c>
      <c r="BF82" s="29">
        <v>10.268058068870987</v>
      </c>
      <c r="BG82" s="29">
        <v>10.340517166061513</v>
      </c>
      <c r="BH82" s="29">
        <v>10.41297492926795</v>
      </c>
      <c r="BI82" s="29">
        <v>10.485426116920713</v>
      </c>
      <c r="BJ82" s="29">
        <v>10.557865490968858</v>
      </c>
      <c r="BK82" s="29">
        <v>10.630287818338331</v>
      </c>
      <c r="BL82" s="29">
        <v>10.702687872393383</v>
      </c>
      <c r="BM82" s="29">
        <v>10.775060434398359</v>
      </c>
      <c r="BN82" s="29">
        <v>10.847400294981659</v>
      </c>
      <c r="BO82" s="29">
        <v>10.919702255597503</v>
      </c>
      <c r="BP82" s="29">
        <v>10.991961129986789</v>
      </c>
      <c r="BQ82" s="29">
        <v>11.064171745634827</v>
      </c>
      <c r="BR82" s="29">
        <v>11.136328945224896</v>
      </c>
      <c r="BS82" s="29">
        <v>11.208427588086725</v>
      </c>
      <c r="BT82" s="29">
        <v>11.280462551638934</v>
      </c>
      <c r="BU82" s="29">
        <v>11.352428732823789</v>
      </c>
      <c r="BV82" s="29">
        <v>11.42432104953361</v>
      </c>
      <c r="BW82" s="29">
        <v>11.496134442027707</v>
      </c>
      <c r="BX82" s="29">
        <v>11.567863874338794</v>
      </c>
      <c r="BY82" s="29">
        <v>11.639504335667549</v>
      </c>
      <c r="BZ82" s="29">
        <v>11.711050841764749</v>
      </c>
      <c r="CA82" s="29">
        <v>11.782498436299411</v>
      </c>
      <c r="CB82" s="29">
        <v>11.853842192212882</v>
      </c>
      <c r="CC82" s="29">
        <v>11.925077213056284</v>
      </c>
      <c r="CD82" s="29">
        <v>11.996198634312393</v>
      </c>
      <c r="CE82" s="29">
        <v>12.067201624699525</v>
      </c>
      <c r="CF82" s="29">
        <v>12.13808138745674</v>
      </c>
      <c r="CG82" s="29">
        <v>12.208833161610503</v>
      </c>
      <c r="CH82" s="29">
        <v>12.279452223220161</v>
      </c>
      <c r="CI82" s="29">
        <v>12.349933886603594</v>
      </c>
      <c r="CJ82" s="29">
        <v>12.420273505540111</v>
      </c>
      <c r="CK82" s="29">
        <v>12.490466474451644</v>
      </c>
      <c r="CL82" s="29">
        <v>12.560508229559606</v>
      </c>
      <c r="CM82" s="29">
        <v>12.630394250019013</v>
      </c>
      <c r="CN82" s="29">
        <v>12.700120059027533</v>
      </c>
      <c r="CO82" s="29">
        <v>12.769681224908249</v>
      </c>
      <c r="CP82" s="29">
        <v>12.839073362167914</v>
      </c>
      <c r="CQ82" s="29">
        <v>12.908292132527912</v>
      </c>
      <c r="CR82" s="29">
        <v>12.977333245928657</v>
      </c>
      <c r="CS82" s="29">
        <v>13.046192461505989</v>
      </c>
      <c r="CT82" s="29">
        <v>13.11486558853937</v>
      </c>
      <c r="CU82" s="29">
        <v>13.183348487372301</v>
      </c>
      <c r="CV82" s="29">
        <v>13.251637070303428</v>
      </c>
      <c r="CW82" s="29">
        <v>13.319727302448136</v>
      </c>
      <c r="CX82" s="29">
        <v>13.387615202570828</v>
      </c>
      <c r="CY82" s="29">
        <v>13.455296843887018</v>
      </c>
      <c r="CZ82" s="29">
        <v>13.522768354835279</v>
      </c>
      <c r="DA82" s="29">
        <v>13.590025919818867</v>
      </c>
      <c r="DB82" s="29">
        <v>13.65706577991612</v>
      </c>
      <c r="DC82" s="29">
        <v>13.723884233560325</v>
      </c>
      <c r="DD82" s="29">
        <v>13.790477637188346</v>
      </c>
      <c r="DE82" s="29">
        <v>13.856842405858535</v>
      </c>
      <c r="DF82" s="29">
        <v>13.922975013836162</v>
      </c>
      <c r="DG82" s="29">
        <v>13.988871995149033</v>
      </c>
      <c r="DH82" s="29">
        <v>14.05452994411028</v>
      </c>
      <c r="DI82" s="29">
        <v>14.119945515811105</v>
      </c>
      <c r="DJ82" s="29">
        <v>14.185115426580944</v>
      </c>
      <c r="DK82" s="29">
        <v>14.250036454416868</v>
      </c>
      <c r="DL82" s="29">
        <v>14.314705439382319</v>
      </c>
      <c r="DM82" s="29">
        <v>14.379119283973063</v>
      </c>
      <c r="DN82" s="29">
        <v>14.443274953454514</v>
      </c>
      <c r="DO82" s="29">
        <v>14.507169476166034</v>
      </c>
      <c r="DP82" s="29">
        <v>14.570799943795851</v>
      </c>
      <c r="DQ82" s="29">
        <v>14.63416351162541</v>
      </c>
      <c r="DR82" s="29">
        <v>14.697257398742778</v>
      </c>
      <c r="DS82">
        <v>14.760078888227598</v>
      </c>
      <c r="DT82">
        <v>14.822625327304737</v>
      </c>
      <c r="DU82">
        <v>14.884894127469614</v>
      </c>
    </row>
    <row r="83" spans="1:125">
      <c r="A83" s="34">
        <v>81</v>
      </c>
      <c r="B83" s="35"/>
      <c r="C83" s="35"/>
      <c r="D83" s="35"/>
      <c r="E83" s="35"/>
      <c r="F83" s="35"/>
      <c r="G83" s="35"/>
      <c r="H83" s="35"/>
      <c r="I83" s="35"/>
      <c r="J83" s="35"/>
      <c r="K83" s="35"/>
      <c r="L83" s="35"/>
      <c r="M83" s="35"/>
      <c r="N83" s="35"/>
      <c r="O83" s="35"/>
      <c r="P83" s="35"/>
      <c r="Q83" s="35"/>
      <c r="R83" s="35"/>
      <c r="S83" s="35"/>
      <c r="T83" s="35"/>
      <c r="U83" s="35"/>
      <c r="V83" s="29"/>
      <c r="W83" s="29"/>
      <c r="X83" s="29"/>
      <c r="Y83" s="29">
        <v>7.7344564561918769</v>
      </c>
      <c r="Z83" s="29">
        <v>7.8163276549441942</v>
      </c>
      <c r="AA83" s="29">
        <v>7.8442430581019806</v>
      </c>
      <c r="AB83" s="29">
        <v>7.8774710199226998</v>
      </c>
      <c r="AC83" s="29">
        <v>7.8982974852386985</v>
      </c>
      <c r="AD83" s="29">
        <v>7.9148305485528976</v>
      </c>
      <c r="AE83" s="29">
        <v>7.9422992934322671</v>
      </c>
      <c r="AF83" s="29">
        <v>8.0055631855714307</v>
      </c>
      <c r="AG83" s="29">
        <v>8.0485042466631089</v>
      </c>
      <c r="AH83" s="29">
        <v>8.095769164218785</v>
      </c>
      <c r="AI83" s="29">
        <v>8.1462563045077765</v>
      </c>
      <c r="AJ83" s="29">
        <v>8.2144013177043913</v>
      </c>
      <c r="AK83" s="29">
        <v>8.2672334247186381</v>
      </c>
      <c r="AL83" s="29">
        <v>8.341671526756901</v>
      </c>
      <c r="AM83" s="29">
        <v>8.3967205641806473</v>
      </c>
      <c r="AN83" s="29">
        <v>8.4423212910133181</v>
      </c>
      <c r="AO83" s="29">
        <v>8.4711158288893014</v>
      </c>
      <c r="AP83" s="29">
        <v>8.5311729594645378</v>
      </c>
      <c r="AQ83" s="29">
        <v>8.6025107066356075</v>
      </c>
      <c r="AR83" s="29">
        <v>8.6707080932004761</v>
      </c>
      <c r="AS83" s="29">
        <v>8.7389461979698684</v>
      </c>
      <c r="AT83" s="29">
        <v>8.8072246648956884</v>
      </c>
      <c r="AU83" s="29">
        <v>8.8755456418438463</v>
      </c>
      <c r="AV83" s="29">
        <v>8.943913414132405</v>
      </c>
      <c r="AW83" s="29">
        <v>9.0123339363601485</v>
      </c>
      <c r="AX83" s="29">
        <v>9.0808142955352</v>
      </c>
      <c r="AY83" s="29">
        <v>9.149361830162011</v>
      </c>
      <c r="AZ83" s="29">
        <v>9.2179830730539898</v>
      </c>
      <c r="BA83" s="29">
        <v>9.2866829636752541</v>
      </c>
      <c r="BB83" s="29">
        <v>9.3554643538986504</v>
      </c>
      <c r="BC83" s="29">
        <v>9.4243277907764256</v>
      </c>
      <c r="BD83" s="29">
        <v>9.4932715623002082</v>
      </c>
      <c r="BE83" s="29">
        <v>9.5622457685280686</v>
      </c>
      <c r="BF83" s="29">
        <v>9.6312453594392959</v>
      </c>
      <c r="BG83" s="29">
        <v>9.7002652797398614</v>
      </c>
      <c r="BH83" s="29">
        <v>9.7693004703115953</v>
      </c>
      <c r="BI83" s="29">
        <v>9.8383458696674229</v>
      </c>
      <c r="BJ83" s="29">
        <v>9.9073964154129186</v>
      </c>
      <c r="BK83" s="29">
        <v>9.9764470457124403</v>
      </c>
      <c r="BL83" s="29">
        <v>10.045492700759276</v>
      </c>
      <c r="BM83" s="29">
        <v>10.114528324246981</v>
      </c>
      <c r="BN83" s="29">
        <v>10.183548864843747</v>
      </c>
      <c r="BO83" s="29">
        <v>10.252549277665336</v>
      </c>
      <c r="BP83" s="29">
        <v>10.321524525747964</v>
      </c>
      <c r="BQ83" s="29">
        <v>10.390469581518822</v>
      </c>
      <c r="BR83" s="29">
        <v>10.45937942826323</v>
      </c>
      <c r="BS83" s="29">
        <v>10.528249061587486</v>
      </c>
      <c r="BT83" s="29">
        <v>10.597073490876479</v>
      </c>
      <c r="BU83" s="29">
        <v>10.665847740744384</v>
      </c>
      <c r="BV83" s="29">
        <v>10.73456685247776</v>
      </c>
      <c r="BW83" s="29">
        <v>10.803225885469972</v>
      </c>
      <c r="BX83" s="29">
        <v>10.871819918645862</v>
      </c>
      <c r="BY83" s="29">
        <v>10.940344051875316</v>
      </c>
      <c r="BZ83" s="29">
        <v>11.008793407375158</v>
      </c>
      <c r="CA83" s="29">
        <v>11.077163131097841</v>
      </c>
      <c r="CB83" s="29">
        <v>11.145448394106831</v>
      </c>
      <c r="CC83" s="29">
        <v>11.213644393936068</v>
      </c>
      <c r="CD83" s="29">
        <v>11.281746355934686</v>
      </c>
      <c r="CE83" s="29">
        <v>11.349749534594425</v>
      </c>
      <c r="CF83" s="29">
        <v>11.417649214859132</v>
      </c>
      <c r="CG83" s="29">
        <v>11.485440713416484</v>
      </c>
      <c r="CH83" s="29">
        <v>11.553119379969251</v>
      </c>
      <c r="CI83" s="29">
        <v>11.620680598487466</v>
      </c>
      <c r="CJ83" s="29">
        <v>11.688119788438595</v>
      </c>
      <c r="CK83" s="29">
        <v>11.755432405996743</v>
      </c>
      <c r="CL83" s="29">
        <v>11.822613945228206</v>
      </c>
      <c r="CM83" s="29">
        <v>11.889659939255084</v>
      </c>
      <c r="CN83" s="29">
        <v>11.956565961394482</v>
      </c>
      <c r="CO83" s="29">
        <v>12.02332762627214</v>
      </c>
      <c r="CP83" s="29">
        <v>12.089940590912313</v>
      </c>
      <c r="CQ83" s="29">
        <v>12.156400555800978</v>
      </c>
      <c r="CR83" s="29">
        <v>12.222703265923261</v>
      </c>
      <c r="CS83" s="29">
        <v>12.288844511773462</v>
      </c>
      <c r="CT83" s="29">
        <v>12.354820130337597</v>
      </c>
      <c r="CU83" s="29">
        <v>12.420626006048838</v>
      </c>
      <c r="CV83" s="29">
        <v>12.486258071714261</v>
      </c>
      <c r="CW83" s="29">
        <v>12.551712309412766</v>
      </c>
      <c r="CX83" s="29">
        <v>12.616984751364292</v>
      </c>
      <c r="CY83" s="29">
        <v>12.682071480769469</v>
      </c>
      <c r="CZ83" s="29">
        <v>12.746968632619764</v>
      </c>
      <c r="DA83" s="29">
        <v>12.811672394477849</v>
      </c>
      <c r="DB83" s="29">
        <v>12.876179007227394</v>
      </c>
      <c r="DC83" s="29">
        <v>12.940484765792839</v>
      </c>
      <c r="DD83" s="29">
        <v>13.004586019828512</v>
      </c>
      <c r="DE83" s="29">
        <v>13.068479174377572</v>
      </c>
      <c r="DF83" s="29">
        <v>13.132160690498981</v>
      </c>
      <c r="DG83" s="29">
        <v>13.195627085865189</v>
      </c>
      <c r="DH83" s="29">
        <v>13.258874935327452</v>
      </c>
      <c r="DI83" s="29">
        <v>13.321900871451627</v>
      </c>
      <c r="DJ83" s="29">
        <v>13.384701585021791</v>
      </c>
      <c r="DK83" s="29">
        <v>13.447273825513562</v>
      </c>
      <c r="DL83" s="29">
        <v>13.509614401537196</v>
      </c>
      <c r="DM83" s="29">
        <v>13.571720181248221</v>
      </c>
      <c r="DN83" s="29">
        <v>13.633588092729928</v>
      </c>
      <c r="DO83" s="29">
        <v>13.695215124343127</v>
      </c>
      <c r="DP83" s="29">
        <v>13.75659832504688</v>
      </c>
      <c r="DQ83" s="29">
        <v>13.817734804688982</v>
      </c>
      <c r="DR83" s="29">
        <v>13.878621734265822</v>
      </c>
      <c r="DS83">
        <v>13.93925634615403</v>
      </c>
      <c r="DT83">
        <v>13.999635934311112</v>
      </c>
      <c r="DU83">
        <v>14.059757854447971</v>
      </c>
    </row>
    <row r="84" spans="1:125">
      <c r="A84" s="34">
        <v>82</v>
      </c>
      <c r="B84" s="35"/>
      <c r="C84" s="35"/>
      <c r="D84" s="35"/>
      <c r="E84" s="35"/>
      <c r="F84" s="35"/>
      <c r="G84" s="35"/>
      <c r="H84" s="35"/>
      <c r="I84" s="35"/>
      <c r="J84" s="35"/>
      <c r="K84" s="35"/>
      <c r="L84" s="35"/>
      <c r="M84" s="35"/>
      <c r="N84" s="35"/>
      <c r="O84" s="35"/>
      <c r="P84" s="35"/>
      <c r="Q84" s="35"/>
      <c r="R84" s="35"/>
      <c r="S84" s="35"/>
      <c r="T84" s="35"/>
      <c r="U84" s="35"/>
      <c r="V84" s="29"/>
      <c r="W84" s="29"/>
      <c r="X84" s="29"/>
      <c r="Y84" s="29">
        <v>7.2386892634085722</v>
      </c>
      <c r="Z84" s="29">
        <v>7.3037820329127676</v>
      </c>
      <c r="AA84" s="29">
        <v>7.3286979754601269</v>
      </c>
      <c r="AB84" s="29">
        <v>7.3601203916032141</v>
      </c>
      <c r="AC84" s="29">
        <v>7.3832224990879762</v>
      </c>
      <c r="AD84" s="29">
        <v>7.383861934271609</v>
      </c>
      <c r="AE84" s="29">
        <v>7.4093317242884744</v>
      </c>
      <c r="AF84" s="29">
        <v>7.4661525391505403</v>
      </c>
      <c r="AG84" s="29">
        <v>7.5189263368005133</v>
      </c>
      <c r="AH84" s="29">
        <v>7.5379252311472769</v>
      </c>
      <c r="AI84" s="29">
        <v>7.6022193034838086</v>
      </c>
      <c r="AJ84" s="29">
        <v>7.6525487746415051</v>
      </c>
      <c r="AK84" s="29">
        <v>7.7087193352214616</v>
      </c>
      <c r="AL84" s="29">
        <v>7.7696214802620345</v>
      </c>
      <c r="AM84" s="29">
        <v>7.8142063520605785</v>
      </c>
      <c r="AN84" s="29">
        <v>7.8488480788741501</v>
      </c>
      <c r="AO84" s="29">
        <v>7.9033150443319498</v>
      </c>
      <c r="AP84" s="29">
        <v>7.9686320286809202</v>
      </c>
      <c r="AQ84" s="29">
        <v>8.0331695468226556</v>
      </c>
      <c r="AR84" s="29">
        <v>8.0977628981763683</v>
      </c>
      <c r="AS84" s="29">
        <v>8.1624099133411541</v>
      </c>
      <c r="AT84" s="29">
        <v>8.2271111815492404</v>
      </c>
      <c r="AU84" s="29">
        <v>8.2918697953511042</v>
      </c>
      <c r="AV84" s="29">
        <v>8.3566909399744276</v>
      </c>
      <c r="AW84" s="29">
        <v>8.4215813886712638</v>
      </c>
      <c r="AX84" s="29">
        <v>8.4865489389311008</v>
      </c>
      <c r="AY84" s="29">
        <v>8.5516015033402368</v>
      </c>
      <c r="AZ84" s="29">
        <v>8.6167460298431315</v>
      </c>
      <c r="BA84" s="29">
        <v>8.6819877099772089</v>
      </c>
      <c r="BB84" s="29">
        <v>8.7473294947082394</v>
      </c>
      <c r="BC84" s="29">
        <v>8.8127718973078828</v>
      </c>
      <c r="BD84" s="29">
        <v>8.8782632816522664</v>
      </c>
      <c r="BE84" s="29">
        <v>8.943798815280763</v>
      </c>
      <c r="BF84" s="29">
        <v>9.0093736552651098</v>
      </c>
      <c r="BG84" s="29">
        <v>9.0749829496374943</v>
      </c>
      <c r="BH84" s="29">
        <v>9.1406218388281602</v>
      </c>
      <c r="BI84" s="29">
        <v>9.2062854571098249</v>
      </c>
      <c r="BJ84" s="29">
        <v>9.271968934049184</v>
      </c>
      <c r="BK84" s="29">
        <v>9.3376673959637877</v>
      </c>
      <c r="BL84" s="29">
        <v>9.4033759673836705</v>
      </c>
      <c r="BM84" s="29">
        <v>9.4690897725149448</v>
      </c>
      <c r="BN84" s="29">
        <v>9.5348039367072399</v>
      </c>
      <c r="BO84" s="29">
        <v>9.6005135879204335</v>
      </c>
      <c r="BP84" s="29">
        <v>9.6662138581921546</v>
      </c>
      <c r="BQ84" s="29">
        <v>9.731899885103708</v>
      </c>
      <c r="BR84" s="29">
        <v>9.7975668132434048</v>
      </c>
      <c r="BS84" s="29">
        <v>9.8632097956664335</v>
      </c>
      <c r="BT84" s="29">
        <v>9.9288239953502693</v>
      </c>
      <c r="BU84" s="29">
        <v>9.9944045866440003</v>
      </c>
      <c r="BV84" s="29">
        <v>10.059946756710882</v>
      </c>
      <c r="BW84" s="29">
        <v>10.125445706963045</v>
      </c>
      <c r="BX84" s="29">
        <v>10.190896654487293</v>
      </c>
      <c r="BY84" s="29">
        <v>10.256294833460668</v>
      </c>
      <c r="BZ84" s="29">
        <v>10.321635496555146</v>
      </c>
      <c r="CA84" s="29">
        <v>10.386913916330064</v>
      </c>
      <c r="CB84" s="29">
        <v>10.452125386612066</v>
      </c>
      <c r="CC84" s="29">
        <v>10.517265223860008</v>
      </c>
      <c r="CD84" s="29">
        <v>10.582328768516039</v>
      </c>
      <c r="CE84" s="29">
        <v>10.647311386340235</v>
      </c>
      <c r="CF84" s="29">
        <v>10.712208469728235</v>
      </c>
      <c r="CG84" s="29">
        <v>10.777015439012008</v>
      </c>
      <c r="CH84" s="29">
        <v>10.841727743741044</v>
      </c>
      <c r="CI84" s="29">
        <v>10.906340863945413</v>
      </c>
      <c r="CJ84" s="29">
        <v>10.970850311377696</v>
      </c>
      <c r="CK84" s="29">
        <v>11.035251630734889</v>
      </c>
      <c r="CL84" s="29">
        <v>11.099540400857576</v>
      </c>
      <c r="CM84" s="29">
        <v>11.163712235908097</v>
      </c>
      <c r="CN84" s="29">
        <v>11.227762786525211</v>
      </c>
      <c r="CO84" s="29">
        <v>11.291687740954124</v>
      </c>
      <c r="CP84" s="29">
        <v>11.355482826153672</v>
      </c>
      <c r="CQ84" s="29">
        <v>11.419143808877786</v>
      </c>
      <c r="CR84" s="29">
        <v>11.482666496732076</v>
      </c>
      <c r="CS84" s="29">
        <v>11.546046739203918</v>
      </c>
      <c r="CT84" s="29">
        <v>11.609280428665993</v>
      </c>
      <c r="CU84" s="29">
        <v>11.672363501353605</v>
      </c>
      <c r="CV84" s="29">
        <v>11.735291938314246</v>
      </c>
      <c r="CW84" s="29">
        <v>11.798061766329166</v>
      </c>
      <c r="CX84" s="29">
        <v>11.860669058807177</v>
      </c>
      <c r="CY84" s="29">
        <v>11.923109936649755</v>
      </c>
      <c r="CZ84" s="29">
        <v>11.985380569087464</v>
      </c>
      <c r="DA84" s="29">
        <v>12.047477174487538</v>
      </c>
      <c r="DB84" s="29">
        <v>12.109396021131634</v>
      </c>
      <c r="DC84" s="29">
        <v>12.171133427964477</v>
      </c>
      <c r="DD84" s="29">
        <v>12.232685765312629</v>
      </c>
      <c r="DE84" s="29">
        <v>12.294049455573894</v>
      </c>
      <c r="DF84" s="29">
        <v>12.355220973875536</v>
      </c>
      <c r="DG84" s="29">
        <v>12.41619684870401</v>
      </c>
      <c r="DH84" s="29">
        <v>12.476973662503053</v>
      </c>
      <c r="DI84" s="29">
        <v>12.537548052243009</v>
      </c>
      <c r="DJ84" s="29">
        <v>12.597916709958707</v>
      </c>
      <c r="DK84" s="29">
        <v>12.658076383257725</v>
      </c>
      <c r="DL84" s="29">
        <v>12.718023875799139</v>
      </c>
      <c r="DM84" s="29">
        <v>12.777756047740461</v>
      </c>
      <c r="DN84" s="29">
        <v>12.837269816157107</v>
      </c>
      <c r="DO84" s="29">
        <v>12.896562155429699</v>
      </c>
      <c r="DP84" s="29">
        <v>12.955630097603018</v>
      </c>
      <c r="DQ84" s="29">
        <v>13.014470732715242</v>
      </c>
      <c r="DR84" s="29">
        <v>13.073081209097147</v>
      </c>
      <c r="DS84">
        <v>13.131458733643621</v>
      </c>
      <c r="DT84">
        <v>13.189600572054687</v>
      </c>
      <c r="DU84">
        <v>13.24750404904891</v>
      </c>
    </row>
    <row r="85" spans="1:125">
      <c r="A85" s="34">
        <v>83</v>
      </c>
      <c r="B85" s="35"/>
      <c r="C85" s="35"/>
      <c r="D85" s="35"/>
      <c r="E85" s="35"/>
      <c r="F85" s="35"/>
      <c r="G85" s="35"/>
      <c r="H85" s="35"/>
      <c r="I85" s="35"/>
      <c r="J85" s="35"/>
      <c r="K85" s="35"/>
      <c r="L85" s="35"/>
      <c r="M85" s="35"/>
      <c r="N85" s="35"/>
      <c r="O85" s="35"/>
      <c r="P85" s="35"/>
      <c r="Q85" s="35"/>
      <c r="R85" s="35"/>
      <c r="S85" s="35"/>
      <c r="T85" s="35"/>
      <c r="U85" s="35"/>
      <c r="V85" s="29"/>
      <c r="W85" s="29"/>
      <c r="X85" s="29"/>
      <c r="Y85" s="29">
        <v>6.7549633372826934</v>
      </c>
      <c r="Z85" s="29">
        <v>6.8067145582009072</v>
      </c>
      <c r="AA85" s="29">
        <v>6.8358755667628213</v>
      </c>
      <c r="AB85" s="29">
        <v>6.8713713053390642</v>
      </c>
      <c r="AC85" s="29">
        <v>6.8702935311637168</v>
      </c>
      <c r="AD85" s="29">
        <v>6.8796861684701662</v>
      </c>
      <c r="AE85" s="29">
        <v>6.8982464783983035</v>
      </c>
      <c r="AF85" s="29">
        <v>6.9649229808735154</v>
      </c>
      <c r="AG85" s="29">
        <v>6.9884310208705909</v>
      </c>
      <c r="AH85" s="29">
        <v>7.019242245846101</v>
      </c>
      <c r="AI85" s="29">
        <v>7.065926613236444</v>
      </c>
      <c r="AJ85" s="29">
        <v>7.1224055103656374</v>
      </c>
      <c r="AK85" s="29">
        <v>7.1652533820278546</v>
      </c>
      <c r="AL85" s="29">
        <v>7.2111751256860579</v>
      </c>
      <c r="AM85" s="29">
        <v>7.2445366701417786</v>
      </c>
      <c r="AN85" s="29">
        <v>7.298980829452363</v>
      </c>
      <c r="AO85" s="29">
        <v>7.3594467441934146</v>
      </c>
      <c r="AP85" s="29">
        <v>7.4204719068309508</v>
      </c>
      <c r="AQ85" s="29">
        <v>7.4814480875366893</v>
      </c>
      <c r="AR85" s="29">
        <v>7.5424899028647907</v>
      </c>
      <c r="AS85" s="29">
        <v>7.6035962046485839</v>
      </c>
      <c r="AT85" s="29">
        <v>7.6647686559808221</v>
      </c>
      <c r="AU85" s="29">
        <v>7.7260114202010426</v>
      </c>
      <c r="AV85" s="29">
        <v>7.7873306983335437</v>
      </c>
      <c r="AW85" s="29">
        <v>7.8487341819297711</v>
      </c>
      <c r="AX85" s="29">
        <v>7.9102304583023209</v>
      </c>
      <c r="AY85" s="29">
        <v>7.9718280690646228</v>
      </c>
      <c r="AZ85" s="29">
        <v>8.0335344048758746</v>
      </c>
      <c r="BA85" s="29">
        <v>8.0953549098119275</v>
      </c>
      <c r="BB85" s="29">
        <v>8.1572926098647489</v>
      </c>
      <c r="BC85" s="29">
        <v>8.2192950194873191</v>
      </c>
      <c r="BD85" s="29">
        <v>8.2813575450320869</v>
      </c>
      <c r="BE85" s="29">
        <v>8.3434755779218932</v>
      </c>
      <c r="BF85" s="29">
        <v>8.4056444960408072</v>
      </c>
      <c r="BG85" s="29">
        <v>8.4678596651349451</v>
      </c>
      <c r="BH85" s="29">
        <v>8.5301164402234733</v>
      </c>
      <c r="BI85" s="29">
        <v>8.5924101670169435</v>
      </c>
      <c r="BJ85" s="29">
        <v>8.6547361833433634</v>
      </c>
      <c r="BK85" s="29">
        <v>8.7170898205802558</v>
      </c>
      <c r="BL85" s="29">
        <v>8.7794664050921547</v>
      </c>
      <c r="BM85" s="29">
        <v>8.8418612596706367</v>
      </c>
      <c r="BN85" s="29">
        <v>8.9042697049789545</v>
      </c>
      <c r="BO85" s="29">
        <v>8.9666870609966267</v>
      </c>
      <c r="BP85" s="29">
        <v>9.0291086484654866</v>
      </c>
      <c r="BQ85" s="29">
        <v>9.0915297903349064</v>
      </c>
      <c r="BR85" s="29">
        <v>9.1539458132051834</v>
      </c>
      <c r="BS85" s="29">
        <v>9.2163520487681971</v>
      </c>
      <c r="BT85" s="29">
        <v>9.278743835244434</v>
      </c>
      <c r="BU85" s="29">
        <v>9.341116518814701</v>
      </c>
      <c r="BV85" s="29">
        <v>9.4034654550459003</v>
      </c>
      <c r="BW85" s="29">
        <v>9.4657860103098166</v>
      </c>
      <c r="BX85" s="29">
        <v>9.5280735631938498</v>
      </c>
      <c r="BY85" s="29">
        <v>9.5903235059023686</v>
      </c>
      <c r="BZ85" s="29">
        <v>9.6525312456481629</v>
      </c>
      <c r="CA85" s="29">
        <v>9.714692206032467</v>
      </c>
      <c r="CB85" s="29">
        <v>9.7768018284135039</v>
      </c>
      <c r="CC85" s="29">
        <v>9.8388555732608971</v>
      </c>
      <c r="CD85" s="29">
        <v>9.9008489214972535</v>
      </c>
      <c r="CE85" s="29">
        <v>9.9627773758242881</v>
      </c>
      <c r="CF85" s="29">
        <v>10.024636462032937</v>
      </c>
      <c r="CG85" s="29">
        <v>10.086421730297623</v>
      </c>
      <c r="CH85" s="29">
        <v>10.148128756451982</v>
      </c>
      <c r="CI85" s="29">
        <v>10.209753143247482</v>
      </c>
      <c r="CJ85" s="29">
        <v>10.271290521591997</v>
      </c>
      <c r="CK85" s="29">
        <v>10.33273655176939</v>
      </c>
      <c r="CL85" s="29">
        <v>10.394086924637447</v>
      </c>
      <c r="CM85" s="29">
        <v>10.455337362805903</v>
      </c>
      <c r="CN85" s="29">
        <v>10.516483621792052</v>
      </c>
      <c r="CO85" s="29">
        <v>10.577521491152773</v>
      </c>
      <c r="CP85" s="29">
        <v>10.638446795594906</v>
      </c>
      <c r="CQ85" s="29">
        <v>10.699255396060909</v>
      </c>
      <c r="CR85" s="29">
        <v>10.759943190790842</v>
      </c>
      <c r="CS85" s="29">
        <v>10.820506116358906</v>
      </c>
      <c r="CT85" s="29">
        <v>10.880940148684546</v>
      </c>
      <c r="CU85" s="29">
        <v>10.941241304018495</v>
      </c>
      <c r="CV85" s="29">
        <v>11.001405639902128</v>
      </c>
      <c r="CW85" s="29">
        <v>11.061429256099949</v>
      </c>
      <c r="CX85" s="29">
        <v>11.121308295505425</v>
      </c>
      <c r="CY85" s="29">
        <v>11.181038945019194</v>
      </c>
      <c r="CZ85" s="29">
        <v>11.240617436399713</v>
      </c>
      <c r="DA85" s="29">
        <v>11.300040047086148</v>
      </c>
      <c r="DB85" s="29">
        <v>11.359303100992495</v>
      </c>
      <c r="DC85" s="29">
        <v>11.418402969273689</v>
      </c>
      <c r="DD85" s="29">
        <v>11.477336071062862</v>
      </c>
      <c r="DE85" s="29">
        <v>11.536098874180343</v>
      </c>
      <c r="DF85" s="29">
        <v>11.594687895812415</v>
      </c>
      <c r="DG85" s="29">
        <v>11.653099703162713</v>
      </c>
      <c r="DH85" s="29">
        <v>11.711330914072887</v>
      </c>
      <c r="DI85" s="29">
        <v>11.769378197615579</v>
      </c>
      <c r="DJ85" s="29">
        <v>11.82723827465686</v>
      </c>
      <c r="DK85" s="29">
        <v>11.884907918390049</v>
      </c>
      <c r="DL85" s="29">
        <v>11.942383954840951</v>
      </c>
      <c r="DM85" s="29">
        <v>11.999663263342178</v>
      </c>
      <c r="DN85" s="29">
        <v>12.056742776980952</v>
      </c>
      <c r="DO85" s="29">
        <v>12.113619483015574</v>
      </c>
      <c r="DP85" s="29">
        <v>12.170290423264426</v>
      </c>
      <c r="DQ85" s="29">
        <v>12.226752694466093</v>
      </c>
      <c r="DR85" s="29">
        <v>12.28300344861027</v>
      </c>
      <c r="DS85">
        <v>12.339039893241749</v>
      </c>
      <c r="DT85">
        <v>12.394859291734722</v>
      </c>
      <c r="DU85">
        <v>12.450458963540171</v>
      </c>
    </row>
    <row r="86" spans="1:125">
      <c r="A86" s="34">
        <v>84</v>
      </c>
      <c r="B86" s="35"/>
      <c r="C86" s="35"/>
      <c r="D86" s="35"/>
      <c r="E86" s="35"/>
      <c r="F86" s="35"/>
      <c r="G86" s="35"/>
      <c r="H86" s="35"/>
      <c r="I86" s="35"/>
      <c r="J86" s="35"/>
      <c r="K86" s="35"/>
      <c r="L86" s="35"/>
      <c r="M86" s="35"/>
      <c r="N86" s="35"/>
      <c r="O86" s="35"/>
      <c r="P86" s="35"/>
      <c r="Q86" s="35"/>
      <c r="R86" s="35"/>
      <c r="S86" s="35"/>
      <c r="T86" s="35"/>
      <c r="U86" s="35"/>
      <c r="V86" s="29"/>
      <c r="W86" s="29"/>
      <c r="X86" s="29"/>
      <c r="Y86" s="29">
        <v>6.283936927419651</v>
      </c>
      <c r="Z86" s="29">
        <v>6.3333184694833067</v>
      </c>
      <c r="AA86" s="29">
        <v>6.3654062852236173</v>
      </c>
      <c r="AB86" s="29">
        <v>6.385438784073532</v>
      </c>
      <c r="AC86" s="29">
        <v>6.3854021366639415</v>
      </c>
      <c r="AD86" s="29">
        <v>6.3917882167813271</v>
      </c>
      <c r="AE86" s="29">
        <v>6.4226957905457569</v>
      </c>
      <c r="AF86" s="29">
        <v>6.459272011773713</v>
      </c>
      <c r="AG86" s="29">
        <v>6.49634541250213</v>
      </c>
      <c r="AH86" s="29">
        <v>6.5098198043934179</v>
      </c>
      <c r="AI86" s="29">
        <v>6.5563987907100163</v>
      </c>
      <c r="AJ86" s="29">
        <v>6.6044546649706426</v>
      </c>
      <c r="AK86" s="29">
        <v>6.6311534813183073</v>
      </c>
      <c r="AL86" s="29">
        <v>6.6696536897971956</v>
      </c>
      <c r="AM86" s="29">
        <v>6.7237815561125016</v>
      </c>
      <c r="AN86" s="29">
        <v>6.7785667250267601</v>
      </c>
      <c r="AO86" s="29">
        <v>6.8359474642901796</v>
      </c>
      <c r="AP86" s="29">
        <v>6.8934500771191178</v>
      </c>
      <c r="AQ86" s="29">
        <v>6.9509090059724006</v>
      </c>
      <c r="AR86" s="29">
        <v>7.0084411385101824</v>
      </c>
      <c r="AS86" s="29">
        <v>7.0660465008351085</v>
      </c>
      <c r="AT86" s="29">
        <v>7.1237279907385256</v>
      </c>
      <c r="AU86" s="29">
        <v>7.181490999977461</v>
      </c>
      <c r="AV86" s="29">
        <v>7.2393428899448189</v>
      </c>
      <c r="AW86" s="29">
        <v>7.2972923943547219</v>
      </c>
      <c r="AX86" s="29">
        <v>7.3553489883363667</v>
      </c>
      <c r="AY86" s="29">
        <v>7.4135219093836628</v>
      </c>
      <c r="AZ86" s="29">
        <v>7.4718190227112782</v>
      </c>
      <c r="BA86" s="29">
        <v>7.5302460220231859</v>
      </c>
      <c r="BB86" s="29">
        <v>7.5887505563271107</v>
      </c>
      <c r="BC86" s="29">
        <v>7.6473282892099919</v>
      </c>
      <c r="BD86" s="29">
        <v>7.7059748656474953</v>
      </c>
      <c r="BE86" s="29">
        <v>7.7646859133414736</v>
      </c>
      <c r="BF86" s="29">
        <v>7.823457044070012</v>
      </c>
      <c r="BG86" s="29">
        <v>7.8822838550477918</v>
      </c>
      <c r="BH86" s="29">
        <v>7.9411619302969658</v>
      </c>
      <c r="BI86" s="29">
        <v>8.0000868420257589</v>
      </c>
      <c r="BJ86" s="29">
        <v>8.0590541520151895</v>
      </c>
      <c r="BK86" s="29">
        <v>8.1180594130122383</v>
      </c>
      <c r="BL86" s="29">
        <v>8.1770981701289145</v>
      </c>
      <c r="BM86" s="29">
        <v>8.2361659622442964</v>
      </c>
      <c r="BN86" s="29">
        <v>8.2952583234117885</v>
      </c>
      <c r="BO86" s="29">
        <v>8.3543707842667949</v>
      </c>
      <c r="BP86" s="29">
        <v>8.4134988734364757</v>
      </c>
      <c r="BQ86" s="29">
        <v>8.4726381189493161</v>
      </c>
      <c r="BR86" s="29">
        <v>8.5317840496434449</v>
      </c>
      <c r="BS86" s="29">
        <v>8.5909321965729539</v>
      </c>
      <c r="BT86" s="29">
        <v>8.6500780944112563</v>
      </c>
      <c r="BU86" s="29">
        <v>8.7092172828499219</v>
      </c>
      <c r="BV86" s="29">
        <v>8.7683453079922842</v>
      </c>
      <c r="BW86" s="29">
        <v>8.8274577237409062</v>
      </c>
      <c r="BX86" s="29">
        <v>8.8865500931778296</v>
      </c>
      <c r="BY86" s="29">
        <v>8.9456179899362844</v>
      </c>
      <c r="BZ86" s="29">
        <v>9.0046569995634034</v>
      </c>
      <c r="CA86" s="29">
        <v>9.063662720872431</v>
      </c>
      <c r="CB86" s="29">
        <v>9.1226307672844307</v>
      </c>
      <c r="CC86" s="29">
        <v>9.181556768156776</v>
      </c>
      <c r="CD86" s="29">
        <v>9.2404363700999035</v>
      </c>
      <c r="CE86" s="29">
        <v>9.299265238279574</v>
      </c>
      <c r="CF86" s="29">
        <v>9.3580390577042216</v>
      </c>
      <c r="CG86" s="29">
        <v>9.4167535344974986</v>
      </c>
      <c r="CH86" s="29">
        <v>9.4754043971534365</v>
      </c>
      <c r="CI86" s="29">
        <v>9.5339873977755953</v>
      </c>
      <c r="CJ86" s="29">
        <v>9.5924983132973107</v>
      </c>
      <c r="CK86" s="29">
        <v>9.6509329466841436</v>
      </c>
      <c r="CL86" s="29">
        <v>9.7092871281158288</v>
      </c>
      <c r="CM86" s="29">
        <v>9.7675567161495671</v>
      </c>
      <c r="CN86" s="29">
        <v>9.8257375988620925</v>
      </c>
      <c r="CO86" s="29">
        <v>9.8838256949693637</v>
      </c>
      <c r="CP86" s="29">
        <v>9.941816954925887</v>
      </c>
      <c r="CQ86" s="29">
        <v>9.9997073620005743</v>
      </c>
      <c r="CR86" s="29">
        <v>10.057492933330192</v>
      </c>
      <c r="CS86" s="29">
        <v>10.115169720948606</v>
      </c>
      <c r="CT86" s="29">
        <v>10.172733812791916</v>
      </c>
      <c r="CU86" s="29">
        <v>10.230181333679813</v>
      </c>
      <c r="CV86" s="29">
        <v>10.287508446271509</v>
      </c>
      <c r="CW86" s="29">
        <v>10.344711351996139</v>
      </c>
      <c r="CX86" s="29">
        <v>10.401786291957766</v>
      </c>
      <c r="CY86" s="29">
        <v>10.458729547814078</v>
      </c>
      <c r="CZ86" s="29">
        <v>10.515537442628819</v>
      </c>
      <c r="DA86" s="29">
        <v>10.572206341697761</v>
      </c>
      <c r="DB86" s="29">
        <v>10.628732653347178</v>
      </c>
      <c r="DC86" s="29">
        <v>10.685112829705602</v>
      </c>
      <c r="DD86" s="29">
        <v>10.741343367448001</v>
      </c>
      <c r="DE86" s="29">
        <v>10.797420808512992</v>
      </c>
      <c r="DF86" s="29">
        <v>10.853341740791013</v>
      </c>
      <c r="DG86" s="29">
        <v>10.909102798786456</v>
      </c>
      <c r="DH86" s="29">
        <v>10.964700664250243</v>
      </c>
      <c r="DI86" s="29">
        <v>11.020132066785971</v>
      </c>
      <c r="DJ86" s="29">
        <v>11.075393784426726</v>
      </c>
      <c r="DK86" s="29">
        <v>11.13048264418445</v>
      </c>
      <c r="DL86" s="29">
        <v>11.185395522571945</v>
      </c>
      <c r="DM86" s="29">
        <v>11.240129346095067</v>
      </c>
      <c r="DN86" s="29">
        <v>11.294681091719614</v>
      </c>
      <c r="DO86" s="29">
        <v>11.349047787307931</v>
      </c>
      <c r="DP86" s="29">
        <v>11.403226512029203</v>
      </c>
      <c r="DQ86" s="29">
        <v>11.457214396741925</v>
      </c>
      <c r="DR86" s="29">
        <v>11.511008624348209</v>
      </c>
      <c r="DS86">
        <v>11.564606430122264</v>
      </c>
      <c r="DT86">
        <v>11.618005102010111</v>
      </c>
      <c r="DU86">
        <v>11.671201980903456</v>
      </c>
    </row>
    <row r="87" spans="1:125">
      <c r="A87" s="34">
        <v>85</v>
      </c>
      <c r="B87" s="35"/>
      <c r="C87" s="35"/>
      <c r="D87" s="35"/>
      <c r="E87" s="35"/>
      <c r="F87" s="35"/>
      <c r="G87" s="35"/>
      <c r="H87" s="35"/>
      <c r="I87" s="35"/>
      <c r="J87" s="35"/>
      <c r="K87" s="35"/>
      <c r="L87" s="35"/>
      <c r="M87" s="35"/>
      <c r="N87" s="35"/>
      <c r="O87" s="35"/>
      <c r="P87" s="35"/>
      <c r="Q87" s="35"/>
      <c r="R87" s="35"/>
      <c r="S87" s="35"/>
      <c r="T87" s="35"/>
      <c r="U87" s="35"/>
      <c r="V87" s="29"/>
      <c r="W87" s="29"/>
      <c r="X87" s="29"/>
      <c r="Y87" s="29">
        <v>5.8339567626130098</v>
      </c>
      <c r="Z87" s="29">
        <v>5.889908367416643</v>
      </c>
      <c r="AA87" s="29">
        <v>5.9118925516880676</v>
      </c>
      <c r="AB87" s="29">
        <v>5.9262489482015752</v>
      </c>
      <c r="AC87" s="29">
        <v>5.9225906368193542</v>
      </c>
      <c r="AD87" s="29">
        <v>5.9427183465339057</v>
      </c>
      <c r="AE87" s="29">
        <v>5.9406727536641792</v>
      </c>
      <c r="AF87" s="29">
        <v>5.9974496278847687</v>
      </c>
      <c r="AG87" s="29">
        <v>6.0089206764032603</v>
      </c>
      <c r="AH87" s="29">
        <v>6.0296382317095549</v>
      </c>
      <c r="AI87" s="29">
        <v>6.0718546618346574</v>
      </c>
      <c r="AJ87" s="29">
        <v>6.0994549575467572</v>
      </c>
      <c r="AK87" s="29">
        <v>6.1178446219052693</v>
      </c>
      <c r="AL87" s="29">
        <v>6.1790105671220488</v>
      </c>
      <c r="AM87" s="29">
        <v>6.2290149590874719</v>
      </c>
      <c r="AN87" s="29">
        <v>6.2827832399997288</v>
      </c>
      <c r="AO87" s="29">
        <v>6.336680289273402</v>
      </c>
      <c r="AP87" s="29">
        <v>6.3907020909924785</v>
      </c>
      <c r="AQ87" s="29">
        <v>6.4446829541088597</v>
      </c>
      <c r="AR87" s="29">
        <v>6.4987423991507427</v>
      </c>
      <c r="AS87" s="29">
        <v>6.5528818201176193</v>
      </c>
      <c r="AT87" s="29">
        <v>6.6071055525198386</v>
      </c>
      <c r="AU87" s="29">
        <v>6.6614204147263028</v>
      </c>
      <c r="AV87" s="29">
        <v>6.7158351092192881</v>
      </c>
      <c r="AW87" s="29">
        <v>6.7703595653592705</v>
      </c>
      <c r="AX87" s="29">
        <v>6.8250042658185537</v>
      </c>
      <c r="AY87" s="29">
        <v>6.8797792232594208</v>
      </c>
      <c r="AZ87" s="29">
        <v>6.9346928114141626</v>
      </c>
      <c r="BA87" s="29">
        <v>6.9896937737604823</v>
      </c>
      <c r="BB87" s="29">
        <v>7.044778045694347</v>
      </c>
      <c r="BC87" s="29">
        <v>7.099941541148671</v>
      </c>
      <c r="BD87" s="29">
        <v>7.155180153866695</v>
      </c>
      <c r="BE87" s="29">
        <v>7.2104897586872632</v>
      </c>
      <c r="BF87" s="29">
        <v>7.2658662128427549</v>
      </c>
      <c r="BG87" s="29">
        <v>7.321305357267299</v>
      </c>
      <c r="BH87" s="29">
        <v>7.3768030179156474</v>
      </c>
      <c r="BI87" s="29">
        <v>7.4323550070898179</v>
      </c>
      <c r="BJ87" s="29">
        <v>7.4879571247740113</v>
      </c>
      <c r="BK87" s="29">
        <v>7.5436051599762148</v>
      </c>
      <c r="BL87" s="29">
        <v>7.5992948920759122</v>
      </c>
      <c r="BM87" s="29">
        <v>7.6550220921749865</v>
      </c>
      <c r="BN87" s="29">
        <v>7.7107825244542694</v>
      </c>
      <c r="BO87" s="29">
        <v>7.7665719475307657</v>
      </c>
      <c r="BP87" s="29">
        <v>7.8223861158174266</v>
      </c>
      <c r="BQ87" s="29">
        <v>7.878220780883165</v>
      </c>
      <c r="BR87" s="29">
        <v>7.9340716928121218</v>
      </c>
      <c r="BS87" s="29">
        <v>7.9899346015614503</v>
      </c>
      <c r="BT87" s="29">
        <v>8.0458052583167774</v>
      </c>
      <c r="BU87" s="29">
        <v>8.1016794168437158</v>
      </c>
      <c r="BV87" s="29">
        <v>8.1575528348348296</v>
      </c>
      <c r="BW87" s="29">
        <v>8.2134212752511964</v>
      </c>
      <c r="BX87" s="29">
        <v>8.2692805076575056</v>
      </c>
      <c r="BY87" s="29">
        <v>8.3251263095493826</v>
      </c>
      <c r="BZ87" s="29">
        <v>8.3809544676726109</v>
      </c>
      <c r="CA87" s="29">
        <v>8.4367607793326957</v>
      </c>
      <c r="CB87" s="29">
        <v>8.4925410536948593</v>
      </c>
      <c r="CC87" s="29">
        <v>8.5482911130717767</v>
      </c>
      <c r="CD87" s="29">
        <v>8.6040067942005773</v>
      </c>
      <c r="CE87" s="29">
        <v>8.6596839495063875</v>
      </c>
      <c r="CF87" s="29">
        <v>8.7153184483520327</v>
      </c>
      <c r="CG87" s="29">
        <v>8.7709061782740463</v>
      </c>
      <c r="CH87" s="29">
        <v>8.8264430462024031</v>
      </c>
      <c r="CI87" s="29">
        <v>8.8819249796654596</v>
      </c>
      <c r="CJ87" s="29">
        <v>8.9373479279771448</v>
      </c>
      <c r="CK87" s="29">
        <v>8.9927078634076292</v>
      </c>
      <c r="CL87" s="29">
        <v>9.0480007823346789</v>
      </c>
      <c r="CM87" s="29">
        <v>9.1032227063777107</v>
      </c>
      <c r="CN87" s="29">
        <v>9.1583696835119035</v>
      </c>
      <c r="CO87" s="29">
        <v>9.21343778916121</v>
      </c>
      <c r="CP87" s="29">
        <v>9.2684231272724311</v>
      </c>
      <c r="CQ87" s="29">
        <v>9.3233218313671298</v>
      </c>
      <c r="CR87" s="29">
        <v>9.3781300655725595</v>
      </c>
      <c r="CS87" s="29">
        <v>9.4328440256297945</v>
      </c>
      <c r="CT87" s="29">
        <v>9.4874599398790895</v>
      </c>
      <c r="CU87" s="29">
        <v>9.5419740702230129</v>
      </c>
      <c r="CV87" s="29">
        <v>9.5963827130655126</v>
      </c>
      <c r="CW87" s="29">
        <v>9.6506822002268944</v>
      </c>
      <c r="CX87" s="29">
        <v>9.7048688998349313</v>
      </c>
      <c r="CY87" s="29">
        <v>9.7589392171910383</v>
      </c>
      <c r="CZ87" s="29">
        <v>9.8128895956117237</v>
      </c>
      <c r="DA87" s="29">
        <v>9.8667165172450115</v>
      </c>
      <c r="DB87" s="29">
        <v>9.9204165038608494</v>
      </c>
      <c r="DC87" s="29">
        <v>9.9739861176162528</v>
      </c>
      <c r="DD87" s="29">
        <v>10.027421961794369</v>
      </c>
      <c r="DE87" s="29">
        <v>10.080720681518024</v>
      </c>
      <c r="DF87" s="29">
        <v>10.133878964435672</v>
      </c>
      <c r="DG87" s="29">
        <v>10.186893541382791</v>
      </c>
      <c r="DH87" s="29">
        <v>10.239761187015144</v>
      </c>
      <c r="DI87" s="29">
        <v>10.292478720417055</v>
      </c>
      <c r="DJ87" s="29">
        <v>10.345043005681777</v>
      </c>
      <c r="DK87" s="29">
        <v>10.397450952465796</v>
      </c>
      <c r="DL87" s="29">
        <v>10.449699516517242</v>
      </c>
      <c r="DM87" s="29">
        <v>10.501785700175791</v>
      </c>
      <c r="DN87" s="29">
        <v>10.553706552848677</v>
      </c>
      <c r="DO87" s="29">
        <v>10.605459171457769</v>
      </c>
      <c r="DP87" s="29">
        <v>10.657040700861646</v>
      </c>
      <c r="DQ87" s="29">
        <v>10.708448334251178</v>
      </c>
      <c r="DR87" s="29">
        <v>10.759679313518236</v>
      </c>
      <c r="DS87">
        <v>10.810730929599831</v>
      </c>
      <c r="DT87">
        <v>10.861600522794756</v>
      </c>
      <c r="DU87">
        <v>10.912285483055584</v>
      </c>
    </row>
    <row r="88" spans="1:125">
      <c r="A88" s="34">
        <v>86</v>
      </c>
      <c r="B88" s="35"/>
      <c r="C88" s="35"/>
      <c r="D88" s="35"/>
      <c r="E88" s="35"/>
      <c r="F88" s="35"/>
      <c r="G88" s="35"/>
      <c r="H88" s="35"/>
      <c r="I88" s="35"/>
      <c r="J88" s="35"/>
      <c r="K88" s="35"/>
      <c r="L88" s="35"/>
      <c r="M88" s="35"/>
      <c r="N88" s="35"/>
      <c r="O88" s="35"/>
      <c r="P88" s="35"/>
      <c r="Q88" s="35"/>
      <c r="R88" s="35"/>
      <c r="S88" s="35"/>
      <c r="T88" s="35"/>
      <c r="U88" s="35"/>
      <c r="V88" s="29"/>
      <c r="W88" s="29"/>
      <c r="X88" s="29"/>
      <c r="Y88" s="29">
        <v>5.423311678859883</v>
      </c>
      <c r="Z88" s="29">
        <v>5.4530922486717186</v>
      </c>
      <c r="AA88" s="29">
        <v>5.4793100349695951</v>
      </c>
      <c r="AB88" s="29">
        <v>5.4906930333591832</v>
      </c>
      <c r="AC88" s="29">
        <v>5.4987904983827089</v>
      </c>
      <c r="AD88" s="29">
        <v>5.4880191569006644</v>
      </c>
      <c r="AE88" s="29">
        <v>5.5035299264939956</v>
      </c>
      <c r="AF88" s="29">
        <v>5.5376846698679625</v>
      </c>
      <c r="AG88" s="29">
        <v>5.5640511632090739</v>
      </c>
      <c r="AH88" s="29">
        <v>5.5766694951959845</v>
      </c>
      <c r="AI88" s="29">
        <v>5.591675031946278</v>
      </c>
      <c r="AJ88" s="29">
        <v>5.6108132902024739</v>
      </c>
      <c r="AK88" s="29">
        <v>5.6633513267086029</v>
      </c>
      <c r="AL88" s="29">
        <v>5.7132009308908467</v>
      </c>
      <c r="AM88" s="29">
        <v>5.7633978055365365</v>
      </c>
      <c r="AN88" s="29">
        <v>5.8137271944114177</v>
      </c>
      <c r="AO88" s="29">
        <v>5.8641853871121752</v>
      </c>
      <c r="AP88" s="29">
        <v>5.9147686367296544</v>
      </c>
      <c r="AQ88" s="29">
        <v>5.9653111676929793</v>
      </c>
      <c r="AR88" s="29">
        <v>6.015935579831881</v>
      </c>
      <c r="AS88" s="29">
        <v>6.06664488447307</v>
      </c>
      <c r="AT88" s="29">
        <v>6.1174451147792599</v>
      </c>
      <c r="AU88" s="29">
        <v>6.1683447675187804</v>
      </c>
      <c r="AV88" s="29">
        <v>6.2193541134790014</v>
      </c>
      <c r="AW88" s="29">
        <v>6.2704844677947769</v>
      </c>
      <c r="AX88" s="29">
        <v>6.321747465542046</v>
      </c>
      <c r="AY88" s="29">
        <v>6.3731539858323156</v>
      </c>
      <c r="AZ88" s="29">
        <v>6.4246546738156916</v>
      </c>
      <c r="BA88" s="29">
        <v>6.4762457464027285</v>
      </c>
      <c r="BB88" s="29">
        <v>6.5279233970664716</v>
      </c>
      <c r="BC88" s="29">
        <v>6.5796837970409356</v>
      </c>
      <c r="BD88" s="29">
        <v>6.6315230965334262</v>
      </c>
      <c r="BE88" s="29">
        <v>6.6834374259482594</v>
      </c>
      <c r="BF88" s="29">
        <v>6.7354228971228611</v>
      </c>
      <c r="BG88" s="29">
        <v>6.7874756045738067</v>
      </c>
      <c r="BH88" s="29">
        <v>6.8395916267533163</v>
      </c>
      <c r="BI88" s="29">
        <v>6.8917670273132732</v>
      </c>
      <c r="BJ88" s="29">
        <v>6.9439978563773783</v>
      </c>
      <c r="BK88" s="29">
        <v>6.9962801518199447</v>
      </c>
      <c r="BL88" s="29">
        <v>7.0486099405507279</v>
      </c>
      <c r="BM88" s="29">
        <v>7.100983239802944</v>
      </c>
      <c r="BN88" s="29">
        <v>7.1533960584270844</v>
      </c>
      <c r="BO88" s="29">
        <v>7.2058443981854694</v>
      </c>
      <c r="BP88" s="29">
        <v>7.2583242550495646</v>
      </c>
      <c r="BQ88" s="29">
        <v>7.3108316204977992</v>
      </c>
      <c r="BR88" s="29">
        <v>7.3633624828129101</v>
      </c>
      <c r="BS88" s="29">
        <v>7.4159128283781834</v>
      </c>
      <c r="BT88" s="29">
        <v>7.468478642971796</v>
      </c>
      <c r="BU88" s="29">
        <v>7.5210559130576558</v>
      </c>
      <c r="BV88" s="29">
        <v>7.5736406270722387</v>
      </c>
      <c r="BW88" s="29">
        <v>7.6262287767066148</v>
      </c>
      <c r="BX88" s="29">
        <v>7.6788163581826234</v>
      </c>
      <c r="BY88" s="29">
        <v>7.7313993735219979</v>
      </c>
      <c r="BZ88" s="29">
        <v>7.7839738318081118</v>
      </c>
      <c r="CA88" s="29">
        <v>7.8365357504388502</v>
      </c>
      <c r="CB88" s="29">
        <v>7.8890811563708345</v>
      </c>
      <c r="CC88" s="29">
        <v>7.9416060873521559</v>
      </c>
      <c r="CD88" s="29">
        <v>7.9941065931454576</v>
      </c>
      <c r="CE88" s="29">
        <v>8.0465787367384696</v>
      </c>
      <c r="CF88" s="29">
        <v>8.0990185955417644</v>
      </c>
      <c r="CG88" s="29">
        <v>8.1514222625739094</v>
      </c>
      <c r="CH88" s="29">
        <v>8.2037858476314582</v>
      </c>
      <c r="CI88" s="29">
        <v>8.25610547844534</v>
      </c>
      <c r="CJ88" s="29">
        <v>8.3083773018206895</v>
      </c>
      <c r="CK88" s="29">
        <v>8.3605974847614188</v>
      </c>
      <c r="CL88" s="29">
        <v>8.4127622155767163</v>
      </c>
      <c r="CM88" s="29">
        <v>8.4648677049716401</v>
      </c>
      <c r="CN88" s="29">
        <v>8.5169101871190716</v>
      </c>
      <c r="CO88" s="29">
        <v>8.5688859207119314</v>
      </c>
      <c r="CP88" s="29">
        <v>8.6207911899979273</v>
      </c>
      <c r="CQ88" s="29">
        <v>8.6726223057935385</v>
      </c>
      <c r="CR88" s="29">
        <v>8.7243756064785174</v>
      </c>
      <c r="CS88" s="29">
        <v>8.7760474589690531</v>
      </c>
      <c r="CT88" s="29">
        <v>8.8276342596696775</v>
      </c>
      <c r="CU88" s="29">
        <v>8.8791324354045038</v>
      </c>
      <c r="CV88" s="29">
        <v>8.9305384443259257</v>
      </c>
      <c r="CW88" s="29">
        <v>8.9818487768008097</v>
      </c>
      <c r="CX88" s="29">
        <v>9.0330599562743892</v>
      </c>
      <c r="CY88" s="29">
        <v>9.0841685401108201</v>
      </c>
      <c r="CZ88" s="29">
        <v>9.1351711204106252</v>
      </c>
      <c r="DA88" s="29">
        <v>9.1860643248047289</v>
      </c>
      <c r="DB88" s="29">
        <v>9.2368448172240729</v>
      </c>
      <c r="DC88" s="29">
        <v>9.2875092986456167</v>
      </c>
      <c r="DD88" s="29">
        <v>9.3380545078138759</v>
      </c>
      <c r="DE88" s="29">
        <v>9.3884772219385937</v>
      </c>
      <c r="DF88" s="29">
        <v>9.4387742573664042</v>
      </c>
      <c r="DG88" s="29">
        <v>9.4889424702296274</v>
      </c>
      <c r="DH88" s="29">
        <v>9.5389787570684881</v>
      </c>
      <c r="DI88" s="29">
        <v>9.5888800554300389</v>
      </c>
      <c r="DJ88" s="29">
        <v>9.6386433444407338</v>
      </c>
      <c r="DK88" s="29">
        <v>9.6882656453545692</v>
      </c>
      <c r="DL88" s="29">
        <v>9.7377440220769191</v>
      </c>
      <c r="DM88" s="29">
        <v>9.7870755816614299</v>
      </c>
      <c r="DN88" s="29">
        <v>9.8362574747846381</v>
      </c>
      <c r="DO88" s="29">
        <v>9.8852868961931613</v>
      </c>
      <c r="DP88" s="29">
        <v>9.9341610851274424</v>
      </c>
      <c r="DQ88" s="29">
        <v>9.9828773257205334</v>
      </c>
      <c r="DR88" s="29">
        <v>10.031432947371503</v>
      </c>
      <c r="DS88">
        <v>10.079825325095761</v>
      </c>
      <c r="DT88">
        <v>10.128051879849348</v>
      </c>
      <c r="DU88">
        <v>10.176110078830012</v>
      </c>
    </row>
    <row r="89" spans="1:125">
      <c r="A89" s="34">
        <v>87</v>
      </c>
      <c r="B89" s="35"/>
      <c r="C89" s="35"/>
      <c r="D89" s="35"/>
      <c r="E89" s="35"/>
      <c r="F89" s="35"/>
      <c r="G89" s="35"/>
      <c r="H89" s="35"/>
      <c r="I89" s="35"/>
      <c r="J89" s="35"/>
      <c r="K89" s="35"/>
      <c r="L89" s="35"/>
      <c r="M89" s="35"/>
      <c r="N89" s="35"/>
      <c r="O89" s="35"/>
      <c r="P89" s="35"/>
      <c r="Q89" s="35"/>
      <c r="R89" s="35"/>
      <c r="S89" s="35"/>
      <c r="T89" s="35"/>
      <c r="U89" s="35"/>
      <c r="V89" s="29"/>
      <c r="W89" s="29"/>
      <c r="X89" s="29"/>
      <c r="Y89" s="29">
        <v>5.0156531597490499</v>
      </c>
      <c r="Z89" s="29">
        <v>5.0497419733493292</v>
      </c>
      <c r="AA89" s="29">
        <v>5.08010149088161</v>
      </c>
      <c r="AB89" s="29">
        <v>5.0957469144326391</v>
      </c>
      <c r="AC89" s="29">
        <v>5.0691481467551611</v>
      </c>
      <c r="AD89" s="29">
        <v>5.0842739440309517</v>
      </c>
      <c r="AE89" s="29">
        <v>5.0712143046831439</v>
      </c>
      <c r="AF89" s="29">
        <v>5.1158086218576955</v>
      </c>
      <c r="AG89" s="29">
        <v>5.1314472020534954</v>
      </c>
      <c r="AH89" s="29">
        <v>5.1349826084865073</v>
      </c>
      <c r="AI89" s="29">
        <v>5.1356758686478248</v>
      </c>
      <c r="AJ89" s="29">
        <v>5.180450994614997</v>
      </c>
      <c r="AK89" s="29">
        <v>5.2327495522626126</v>
      </c>
      <c r="AL89" s="29">
        <v>5.2794295595014189</v>
      </c>
      <c r="AM89" s="29">
        <v>5.326242724536967</v>
      </c>
      <c r="AN89" s="29">
        <v>5.3731856378300495</v>
      </c>
      <c r="AO89" s="29">
        <v>5.4202548531895616</v>
      </c>
      <c r="AP89" s="29">
        <v>5.467446888986693</v>
      </c>
      <c r="AQ89" s="29">
        <v>5.5145960880692835</v>
      </c>
      <c r="AR89" s="29">
        <v>5.5618286240759183</v>
      </c>
      <c r="AS89" s="29">
        <v>5.6091494538529627</v>
      </c>
      <c r="AT89" s="29">
        <v>5.656566646765798</v>
      </c>
      <c r="AU89" s="29">
        <v>5.7040907020319178</v>
      </c>
      <c r="AV89" s="29">
        <v>5.7517337467128611</v>
      </c>
      <c r="AW89" s="29">
        <v>5.7995087174886715</v>
      </c>
      <c r="AX89" s="29">
        <v>5.8474285752447468</v>
      </c>
      <c r="AY89" s="29">
        <v>5.8954463380350708</v>
      </c>
      <c r="AZ89" s="29">
        <v>5.9435585082752134</v>
      </c>
      <c r="BA89" s="29">
        <v>5.991761563878911</v>
      </c>
      <c r="BB89" s="29">
        <v>6.0400519593742352</v>
      </c>
      <c r="BC89" s="29">
        <v>6.0884261270344231</v>
      </c>
      <c r="BD89" s="29">
        <v>6.1368804780217818</v>
      </c>
      <c r="BE89" s="29">
        <v>6.1854114035421022</v>
      </c>
      <c r="BF89" s="29">
        <v>6.2340152760108314</v>
      </c>
      <c r="BG89" s="29">
        <v>6.2826884502284805</v>
      </c>
      <c r="BH89" s="29">
        <v>6.3314272645659573</v>
      </c>
      <c r="BI89" s="29">
        <v>6.3802280421568414</v>
      </c>
      <c r="BJ89" s="29">
        <v>6.429087092097344</v>
      </c>
      <c r="BK89" s="29">
        <v>6.478000710652549</v>
      </c>
      <c r="BL89" s="29">
        <v>6.5269651824683752</v>
      </c>
      <c r="BM89" s="29">
        <v>6.5759767817863626</v>
      </c>
      <c r="BN89" s="29">
        <v>6.6250317736642295</v>
      </c>
      <c r="BO89" s="29">
        <v>6.6741264151968949</v>
      </c>
      <c r="BP89" s="29">
        <v>6.7232569567402942</v>
      </c>
      <c r="BQ89" s="29">
        <v>6.7724196431356987</v>
      </c>
      <c r="BR89" s="29">
        <v>6.8216107149336249</v>
      </c>
      <c r="BS89" s="29">
        <v>6.8708264096168001</v>
      </c>
      <c r="BT89" s="29">
        <v>6.9200629628214649</v>
      </c>
      <c r="BU89" s="29">
        <v>6.9693166095554595</v>
      </c>
      <c r="BV89" s="29">
        <v>7.0185835854126086</v>
      </c>
      <c r="BW89" s="29">
        <v>7.0678601277828061</v>
      </c>
      <c r="BX89" s="29">
        <v>7.1171424770566682</v>
      </c>
      <c r="BY89" s="29">
        <v>7.1664268778237012</v>
      </c>
      <c r="BZ89" s="29">
        <v>7.2157095800637343</v>
      </c>
      <c r="CA89" s="29">
        <v>7.2649868403301046</v>
      </c>
      <c r="CB89" s="29">
        <v>7.3142549229250129</v>
      </c>
      <c r="CC89" s="29">
        <v>7.3635101010640795</v>
      </c>
      <c r="CD89" s="29">
        <v>7.4127486580322195</v>
      </c>
      <c r="CE89" s="29">
        <v>7.4619668883278241</v>
      </c>
      <c r="CF89" s="29">
        <v>7.5111610987951289</v>
      </c>
      <c r="CG89" s="29">
        <v>7.5603276097450598</v>
      </c>
      <c r="CH89" s="29">
        <v>7.6094627560619328</v>
      </c>
      <c r="CI89" s="29">
        <v>7.6585628882977375</v>
      </c>
      <c r="CJ89" s="29">
        <v>7.7076243737510053</v>
      </c>
      <c r="CK89" s="29">
        <v>7.756643597531685</v>
      </c>
      <c r="CL89" s="29">
        <v>7.8056169636091548</v>
      </c>
      <c r="CM89" s="29">
        <v>7.854540895845723</v>
      </c>
      <c r="CN89" s="29">
        <v>7.9034118390128416</v>
      </c>
      <c r="CO89" s="29">
        <v>7.9522262597888815</v>
      </c>
      <c r="CP89" s="29">
        <v>8.0009806477410184</v>
      </c>
      <c r="CQ89" s="29">
        <v>8.0496715162877255</v>
      </c>
      <c r="CR89" s="29">
        <v>8.0982954036433643</v>
      </c>
      <c r="CS89" s="29">
        <v>8.146848873742929</v>
      </c>
      <c r="CT89" s="29">
        <v>8.195328517147086</v>
      </c>
      <c r="CU89" s="29">
        <v>8.2437309519282298</v>
      </c>
      <c r="CV89" s="29">
        <v>8.2920528245355403</v>
      </c>
      <c r="CW89" s="29">
        <v>8.3402908106392033</v>
      </c>
      <c r="CX89" s="29">
        <v>8.388441615954024</v>
      </c>
      <c r="CY89" s="29">
        <v>8.4365019770413561</v>
      </c>
      <c r="CZ89" s="29">
        <v>8.4844686620896432</v>
      </c>
      <c r="DA89" s="29">
        <v>8.5323384716732917</v>
      </c>
      <c r="DB89" s="29">
        <v>8.5801082394887995</v>
      </c>
      <c r="DC89" s="29">
        <v>8.627774833069072</v>
      </c>
      <c r="DD89" s="29">
        <v>8.6753351544750039</v>
      </c>
      <c r="DE89" s="29">
        <v>8.7227861409649705</v>
      </c>
      <c r="DF89" s="29">
        <v>8.7701247656400305</v>
      </c>
      <c r="DG89" s="29">
        <v>8.8173480380681095</v>
      </c>
      <c r="DH89" s="29">
        <v>8.8644530048833037</v>
      </c>
      <c r="DI89" s="29">
        <v>8.9114367503637073</v>
      </c>
      <c r="DJ89" s="29">
        <v>8.9582963969846432</v>
      </c>
      <c r="DK89" s="29">
        <v>9.0050291059491947</v>
      </c>
      <c r="DL89" s="29">
        <v>9.051632077696274</v>
      </c>
      <c r="DM89" s="29">
        <v>9.0981025523833789</v>
      </c>
      <c r="DN89" s="29">
        <v>9.1444378103489505</v>
      </c>
      <c r="DO89" s="29">
        <v>9.1906351725489159</v>
      </c>
      <c r="DP89" s="29">
        <v>9.2366920009715869</v>
      </c>
      <c r="DQ89" s="29">
        <v>9.2826056990292685</v>
      </c>
      <c r="DR89" s="29">
        <v>9.3283737119261545</v>
      </c>
      <c r="DS89">
        <v>9.3739935270049024</v>
      </c>
      <c r="DT89">
        <v>9.4194626740687148</v>
      </c>
      <c r="DU89">
        <v>9.4647787256819296</v>
      </c>
    </row>
    <row r="90" spans="1:125">
      <c r="A90" s="34">
        <v>88</v>
      </c>
      <c r="B90" s="35"/>
      <c r="C90" s="35"/>
      <c r="D90" s="35"/>
      <c r="E90" s="35"/>
      <c r="F90" s="35"/>
      <c r="G90" s="35"/>
      <c r="H90" s="35"/>
      <c r="I90" s="35"/>
      <c r="J90" s="35"/>
      <c r="K90" s="35"/>
      <c r="L90" s="35"/>
      <c r="M90" s="35"/>
      <c r="N90" s="35"/>
      <c r="O90" s="35"/>
      <c r="P90" s="35"/>
      <c r="Q90" s="35"/>
      <c r="R90" s="35"/>
      <c r="S90" s="35"/>
      <c r="T90" s="35"/>
      <c r="U90" s="35"/>
      <c r="V90" s="29"/>
      <c r="W90" s="29"/>
      <c r="X90" s="29"/>
      <c r="Y90" s="29">
        <v>4.6410820190813169</v>
      </c>
      <c r="Z90" s="29">
        <v>4.6722396383689153</v>
      </c>
      <c r="AA90" s="29">
        <v>4.7187035217529081</v>
      </c>
      <c r="AB90" s="29">
        <v>4.6903591905636386</v>
      </c>
      <c r="AC90" s="29">
        <v>4.689536073108215</v>
      </c>
      <c r="AD90" s="29">
        <v>4.6756043447606732</v>
      </c>
      <c r="AE90" s="29">
        <v>4.6769279762741682</v>
      </c>
      <c r="AF90" s="29">
        <v>4.7065249812280925</v>
      </c>
      <c r="AG90" s="29">
        <v>4.7092512578416255</v>
      </c>
      <c r="AH90" s="29">
        <v>4.7083841720562374</v>
      </c>
      <c r="AI90" s="29">
        <v>4.7454264116092428</v>
      </c>
      <c r="AJ90" s="29">
        <v>4.7882887406169932</v>
      </c>
      <c r="AK90" s="29">
        <v>4.8315234328745307</v>
      </c>
      <c r="AL90" s="29">
        <v>4.8748889438421177</v>
      </c>
      <c r="AM90" s="29">
        <v>4.9183821542281283</v>
      </c>
      <c r="AN90" s="29">
        <v>4.9619999089412037</v>
      </c>
      <c r="AO90" s="29">
        <v>5.0057390182127248</v>
      </c>
      <c r="AP90" s="29">
        <v>5.0495962587396601</v>
      </c>
      <c r="AQ90" s="29">
        <v>5.0934066808010705</v>
      </c>
      <c r="AR90" s="29">
        <v>5.1373004793151882</v>
      </c>
      <c r="AS90" s="29">
        <v>5.1812849984137994</v>
      </c>
      <c r="AT90" s="29">
        <v>5.2253707928804705</v>
      </c>
      <c r="AU90" s="29">
        <v>5.2695707873646063</v>
      </c>
      <c r="AV90" s="29">
        <v>5.3138993332748612</v>
      </c>
      <c r="AW90" s="29">
        <v>5.3583712811738344</v>
      </c>
      <c r="AX90" s="29">
        <v>5.4029418694886626</v>
      </c>
      <c r="AY90" s="29">
        <v>5.4476078839889102</v>
      </c>
      <c r="AZ90" s="29">
        <v>5.4923660857931331</v>
      </c>
      <c r="BA90" s="29">
        <v>5.5372132124027633</v>
      </c>
      <c r="BB90" s="29">
        <v>5.5821459787462668</v>
      </c>
      <c r="BC90" s="29">
        <v>5.6271610782368064</v>
      </c>
      <c r="BD90" s="29">
        <v>5.672255183841834</v>
      </c>
      <c r="BE90" s="29">
        <v>5.7174249491619289</v>
      </c>
      <c r="BF90" s="29">
        <v>5.7626670095204373</v>
      </c>
      <c r="BG90" s="29">
        <v>5.8079779830612761</v>
      </c>
      <c r="BH90" s="29">
        <v>5.8533544718558534</v>
      </c>
      <c r="BI90" s="29">
        <v>5.8987930630159688</v>
      </c>
      <c r="BJ90" s="29">
        <v>5.9442903298136756</v>
      </c>
      <c r="BK90" s="29">
        <v>5.9898428328067705</v>
      </c>
      <c r="BL90" s="29">
        <v>6.0354471209693825</v>
      </c>
      <c r="BM90" s="29">
        <v>6.0810997328247556</v>
      </c>
      <c r="BN90" s="29">
        <v>6.1267971975835112</v>
      </c>
      <c r="BO90" s="29">
        <v>6.1725360362818522</v>
      </c>
      <c r="BP90" s="29">
        <v>6.2183127629223156</v>
      </c>
      <c r="BQ90" s="29">
        <v>6.2641238856148442</v>
      </c>
      <c r="BR90" s="29">
        <v>6.3099659077172348</v>
      </c>
      <c r="BS90" s="29">
        <v>6.3558353289746208</v>
      </c>
      <c r="BT90" s="29">
        <v>6.4017286466573093</v>
      </c>
      <c r="BU90" s="29">
        <v>6.4476423566954937</v>
      </c>
      <c r="BV90" s="29">
        <v>6.4935729548103822</v>
      </c>
      <c r="BW90" s="29">
        <v>6.5395169376413484</v>
      </c>
      <c r="BX90" s="29">
        <v>6.5854708038679233</v>
      </c>
      <c r="BY90" s="29">
        <v>6.6314310553257023</v>
      </c>
      <c r="BZ90" s="29">
        <v>6.677394198115989</v>
      </c>
      <c r="CA90" s="29">
        <v>6.7233567437077317</v>
      </c>
      <c r="CB90" s="29">
        <v>6.7693152100322571</v>
      </c>
      <c r="CC90" s="29">
        <v>6.8152661225678255</v>
      </c>
      <c r="CD90" s="29">
        <v>6.8612060154163421</v>
      </c>
      <c r="CE90" s="29">
        <v>6.9071314323691162</v>
      </c>
      <c r="CF90" s="29">
        <v>6.9530389279617166</v>
      </c>
      <c r="CG90" s="29">
        <v>6.9989250685182576</v>
      </c>
      <c r="CH90" s="29">
        <v>7.0447864331825016</v>
      </c>
      <c r="CI90" s="29">
        <v>7.0906196149376726</v>
      </c>
      <c r="CJ90" s="29">
        <v>7.1364212216119203</v>
      </c>
      <c r="CK90" s="29">
        <v>7.1821878768710103</v>
      </c>
      <c r="CL90" s="29">
        <v>7.227916221195323</v>
      </c>
      <c r="CM90" s="29">
        <v>7.2736029128437183</v>
      </c>
      <c r="CN90" s="29">
        <v>7.3192446288013961</v>
      </c>
      <c r="CO90" s="29">
        <v>7.36483806571065</v>
      </c>
      <c r="CP90" s="29">
        <v>7.410379940787255</v>
      </c>
      <c r="CQ90" s="29">
        <v>7.455866992718871</v>
      </c>
      <c r="CR90" s="29">
        <v>7.5012959825471013</v>
      </c>
      <c r="CS90" s="29">
        <v>7.5466636945312189</v>
      </c>
      <c r="CT90" s="29">
        <v>7.5919669369937663</v>
      </c>
      <c r="CU90" s="29">
        <v>7.6372025431488586</v>
      </c>
      <c r="CV90" s="29">
        <v>7.6823673719110985</v>
      </c>
      <c r="CW90" s="29">
        <v>7.7274583086853443</v>
      </c>
      <c r="CX90" s="29">
        <v>7.7724722661376013</v>
      </c>
      <c r="CY90" s="29">
        <v>7.8174061849459644</v>
      </c>
      <c r="CZ90" s="29">
        <v>7.8622570345319254</v>
      </c>
      <c r="DA90" s="29">
        <v>7.9070218137718431</v>
      </c>
      <c r="DB90" s="29">
        <v>7.9516975516874222</v>
      </c>
      <c r="DC90" s="29">
        <v>7.9962813081162167</v>
      </c>
      <c r="DD90" s="29">
        <v>8.0407701743612705</v>
      </c>
      <c r="DE90" s="29">
        <v>8.0851612738205016</v>
      </c>
      <c r="DF90" s="29">
        <v>8.1294517625936251</v>
      </c>
      <c r="DG90" s="29">
        <v>8.1736388300699936</v>
      </c>
      <c r="DH90" s="29">
        <v>8.2177196994933617</v>
      </c>
      <c r="DI90" s="29">
        <v>8.2616916285071458</v>
      </c>
      <c r="DJ90" s="29">
        <v>8.3055519096768915</v>
      </c>
      <c r="DK90" s="29">
        <v>8.3492978709919559</v>
      </c>
      <c r="DL90" s="29">
        <v>8.3929268763466531</v>
      </c>
      <c r="DM90" s="29">
        <v>8.4364363259978781</v>
      </c>
      <c r="DN90" s="29">
        <v>8.4798236570043155</v>
      </c>
      <c r="DO90" s="29">
        <v>8.5230863436416335</v>
      </c>
      <c r="DP90" s="29">
        <v>8.5662218977979041</v>
      </c>
      <c r="DQ90" s="29">
        <v>8.6092278693476167</v>
      </c>
      <c r="DR90" s="29">
        <v>8.6521018465037791</v>
      </c>
      <c r="DS90">
        <v>8.6948414561505647</v>
      </c>
      <c r="DT90">
        <v>8.7374443641532444</v>
      </c>
      <c r="DU90">
        <v>8.7799082756484381</v>
      </c>
    </row>
    <row r="91" spans="1:125">
      <c r="A91" s="34">
        <v>89</v>
      </c>
      <c r="B91" s="35"/>
      <c r="C91" s="35"/>
      <c r="D91" s="35"/>
      <c r="E91" s="35"/>
      <c r="F91" s="35"/>
      <c r="G91" s="35"/>
      <c r="H91" s="35"/>
      <c r="I91" s="35"/>
      <c r="J91" s="35"/>
      <c r="K91" s="35"/>
      <c r="L91" s="35"/>
      <c r="M91" s="35"/>
      <c r="N91" s="35"/>
      <c r="O91" s="35"/>
      <c r="P91" s="35"/>
      <c r="Q91" s="35"/>
      <c r="R91" s="35"/>
      <c r="S91" s="35"/>
      <c r="T91" s="35"/>
      <c r="U91" s="35"/>
      <c r="V91" s="29"/>
      <c r="W91" s="29"/>
      <c r="X91" s="29"/>
      <c r="Y91" s="29">
        <v>4.2848912746216623</v>
      </c>
      <c r="Z91" s="29">
        <v>4.3426431982960851</v>
      </c>
      <c r="AA91" s="29">
        <v>4.3429259506710913</v>
      </c>
      <c r="AB91" s="29">
        <v>4.3380899537805213</v>
      </c>
      <c r="AC91" s="29">
        <v>4.3053592969588994</v>
      </c>
      <c r="AD91" s="29">
        <v>4.3121358677766661</v>
      </c>
      <c r="AE91" s="29">
        <v>4.306496141991297</v>
      </c>
      <c r="AF91" s="29">
        <v>4.31848727803402</v>
      </c>
      <c r="AG91" s="29">
        <v>4.3088738648358973</v>
      </c>
      <c r="AH91" s="29">
        <v>4.3376602239333071</v>
      </c>
      <c r="AI91" s="29">
        <v>4.3792900762437021</v>
      </c>
      <c r="AJ91" s="29">
        <v>4.4191707134659026</v>
      </c>
      <c r="AK91" s="29">
        <v>4.4591770322917768</v>
      </c>
      <c r="AL91" s="29">
        <v>4.4993061877031959</v>
      </c>
      <c r="AM91" s="29">
        <v>4.5395553006874003</v>
      </c>
      <c r="AN91" s="29">
        <v>4.57992145926627</v>
      </c>
      <c r="AO91" s="29">
        <v>4.6204017195476821</v>
      </c>
      <c r="AP91" s="29">
        <v>4.6609931067938479</v>
      </c>
      <c r="AQ91" s="29">
        <v>4.7015328096814759</v>
      </c>
      <c r="AR91" s="29">
        <v>4.7421552277759602</v>
      </c>
      <c r="AS91" s="29">
        <v>4.782870701606214</v>
      </c>
      <c r="AT91" s="29">
        <v>4.8236928793226053</v>
      </c>
      <c r="AU91" s="29">
        <v>4.8646376713613044</v>
      </c>
      <c r="AV91" s="29">
        <v>4.9057221276841201</v>
      </c>
      <c r="AW91" s="29">
        <v>4.9469030762350608</v>
      </c>
      <c r="AX91" s="29">
        <v>4.9881775781614532</v>
      </c>
      <c r="AY91" s="29">
        <v>5.0295426707076976</v>
      </c>
      <c r="AZ91" s="29">
        <v>5.0709953681592239</v>
      </c>
      <c r="BA91" s="29">
        <v>5.1125326628022991</v>
      </c>
      <c r="BB91" s="29">
        <v>5.1541515258920869</v>
      </c>
      <c r="BC91" s="29">
        <v>5.1958489086327635</v>
      </c>
      <c r="BD91" s="29">
        <v>5.2376217431681189</v>
      </c>
      <c r="BE91" s="29">
        <v>5.2794669435797825</v>
      </c>
      <c r="BF91" s="29">
        <v>5.3213814068950196</v>
      </c>
      <c r="BG91" s="29">
        <v>5.3633620141013107</v>
      </c>
      <c r="BH91" s="29">
        <v>5.4054056311689642</v>
      </c>
      <c r="BI91" s="29">
        <v>5.4475091100784585</v>
      </c>
      <c r="BJ91" s="29">
        <v>5.4896692898537465</v>
      </c>
      <c r="BK91" s="29">
        <v>5.5318829976002917</v>
      </c>
      <c r="BL91" s="29">
        <v>5.5741470495473209</v>
      </c>
      <c r="BM91" s="29">
        <v>5.6164582520913715</v>
      </c>
      <c r="BN91" s="29">
        <v>5.658813402844844</v>
      </c>
      <c r="BO91" s="29">
        <v>5.7012092916836767</v>
      </c>
      <c r="BP91" s="29">
        <v>5.7436427017971656</v>
      </c>
      <c r="BQ91" s="29">
        <v>5.7861104107376571</v>
      </c>
      <c r="BR91" s="29">
        <v>5.8286091914692228</v>
      </c>
      <c r="BS91" s="29">
        <v>5.8711358134151457</v>
      </c>
      <c r="BT91" s="29">
        <v>5.9136870435035931</v>
      </c>
      <c r="BU91" s="29">
        <v>5.9562596472100484</v>
      </c>
      <c r="BV91" s="29">
        <v>5.9988503895961376</v>
      </c>
      <c r="BW91" s="29">
        <v>6.0414560363446039</v>
      </c>
      <c r="BX91" s="29">
        <v>6.0840733547892523</v>
      </c>
      <c r="BY91" s="29">
        <v>6.12669911493904</v>
      </c>
      <c r="BZ91" s="29">
        <v>6.1693300904962562</v>
      </c>
      <c r="CA91" s="29">
        <v>6.2119630598673528</v>
      </c>
      <c r="CB91" s="29">
        <v>6.2545948071671251</v>
      </c>
      <c r="CC91" s="29">
        <v>6.2972221232131504</v>
      </c>
      <c r="CD91" s="29">
        <v>6.339841806513137</v>
      </c>
      <c r="CE91" s="29">
        <v>6.3824506642419605</v>
      </c>
      <c r="CF91" s="29">
        <v>6.4250455132085644</v>
      </c>
      <c r="CG91" s="29">
        <v>6.4676231808131739</v>
      </c>
      <c r="CH91" s="29">
        <v>6.5101805059922011</v>
      </c>
      <c r="CI91" s="29">
        <v>6.5527143401528836</v>
      </c>
      <c r="CJ91" s="29">
        <v>6.5952215480945799</v>
      </c>
      <c r="CK91" s="29">
        <v>6.6376990089184407</v>
      </c>
      <c r="CL91" s="29">
        <v>6.6801436169224804</v>
      </c>
      <c r="CM91" s="29">
        <v>6.7225522824848412</v>
      </c>
      <c r="CN91" s="29">
        <v>6.7649219329323138</v>
      </c>
      <c r="CO91" s="29">
        <v>6.8072495133929749</v>
      </c>
      <c r="CP91" s="29">
        <v>6.8495319876360163</v>
      </c>
      <c r="CQ91" s="29">
        <v>6.8917663388949055</v>
      </c>
      <c r="CR91" s="29">
        <v>6.9339495706757823</v>
      </c>
      <c r="CS91" s="29">
        <v>6.9760787075489796</v>
      </c>
      <c r="CT91" s="29">
        <v>7.0181507959240008</v>
      </c>
      <c r="CU91" s="29">
        <v>7.0601629048088874</v>
      </c>
      <c r="CV91" s="29">
        <v>7.1021121265517868</v>
      </c>
      <c r="CW91" s="29">
        <v>7.1439955775650823</v>
      </c>
      <c r="CX91" s="29">
        <v>7.1858103990323929</v>
      </c>
      <c r="CY91" s="29">
        <v>7.2275537575973434</v>
      </c>
      <c r="CZ91" s="29">
        <v>7.2692228460345252</v>
      </c>
      <c r="DA91" s="29">
        <v>7.3108148839024363</v>
      </c>
      <c r="DB91" s="29">
        <v>7.3523271181772225</v>
      </c>
      <c r="DC91" s="29">
        <v>7.3937568238683511</v>
      </c>
      <c r="DD91" s="29">
        <v>7.4351013046152818</v>
      </c>
      <c r="DE91" s="29">
        <v>7.4763578932658188</v>
      </c>
      <c r="DF91" s="29">
        <v>7.5175239524338444</v>
      </c>
      <c r="DG91" s="29">
        <v>7.5585968750399832</v>
      </c>
      <c r="DH91" s="29">
        <v>7.5995740848310689</v>
      </c>
      <c r="DI91" s="29">
        <v>7.6404530368821115</v>
      </c>
      <c r="DJ91" s="29">
        <v>7.6812312180773885</v>
      </c>
      <c r="DK91" s="29">
        <v>7.7219061475727191</v>
      </c>
      <c r="DL91" s="29">
        <v>7.7624753772392232</v>
      </c>
      <c r="DM91" s="29">
        <v>7.8029364920854185</v>
      </c>
      <c r="DN91" s="29">
        <v>7.8432871106630238</v>
      </c>
      <c r="DO91" s="29">
        <v>7.8835248854505631</v>
      </c>
      <c r="DP91" s="29">
        <v>7.9236475032192537</v>
      </c>
      <c r="DQ91" s="29">
        <v>7.9636526853794152</v>
      </c>
      <c r="DR91" s="29">
        <v>8.0035381883068801</v>
      </c>
      <c r="DS91">
        <v>8.0433018036519943</v>
      </c>
      <c r="DT91">
        <v>8.0829413586276733</v>
      </c>
      <c r="DU91">
        <v>8.1224547162798277</v>
      </c>
    </row>
    <row r="92" spans="1:125">
      <c r="A92" s="34">
        <v>90</v>
      </c>
      <c r="B92" s="35"/>
      <c r="C92" s="35"/>
      <c r="D92" s="35"/>
      <c r="E92" s="35"/>
      <c r="F92" s="35"/>
      <c r="G92" s="35"/>
      <c r="H92" s="35"/>
      <c r="I92" s="35"/>
      <c r="J92" s="35"/>
      <c r="K92" s="35"/>
      <c r="L92" s="35"/>
      <c r="M92" s="35"/>
      <c r="N92" s="35"/>
      <c r="O92" s="35"/>
      <c r="P92" s="35"/>
      <c r="Q92" s="35"/>
      <c r="R92" s="35"/>
      <c r="S92" s="35"/>
      <c r="T92" s="35"/>
      <c r="U92" s="35"/>
      <c r="V92" s="29"/>
      <c r="W92" s="29"/>
      <c r="X92" s="29"/>
      <c r="Y92" s="29">
        <v>3.9810708741198884</v>
      </c>
      <c r="Z92" s="29">
        <v>3.9866078159239464</v>
      </c>
      <c r="AA92" s="29">
        <v>4.0220551243117102</v>
      </c>
      <c r="AB92" s="29">
        <v>3.9842159751370625</v>
      </c>
      <c r="AC92" s="29">
        <v>3.9637458136534773</v>
      </c>
      <c r="AD92" s="29">
        <v>3.9692771338717057</v>
      </c>
      <c r="AE92" s="29">
        <v>3.9446745039591722</v>
      </c>
      <c r="AF92" s="29">
        <v>3.9420161029152805</v>
      </c>
      <c r="AG92" s="29">
        <v>3.9712664799921131</v>
      </c>
      <c r="AH92" s="29">
        <v>4.0045276766098556</v>
      </c>
      <c r="AI92" s="29">
        <v>4.0411636937428375</v>
      </c>
      <c r="AJ92" s="29">
        <v>4.0779176855443815</v>
      </c>
      <c r="AK92" s="29">
        <v>4.1147870616523186</v>
      </c>
      <c r="AL92" s="29">
        <v>4.151769200383268</v>
      </c>
      <c r="AM92" s="29">
        <v>4.1888614496731673</v>
      </c>
      <c r="AN92" s="29">
        <v>4.2260611280352904</v>
      </c>
      <c r="AO92" s="29">
        <v>4.2633655255371954</v>
      </c>
      <c r="AP92" s="29">
        <v>4.3007719047909028</v>
      </c>
      <c r="AQ92" s="29">
        <v>4.3381225919394879</v>
      </c>
      <c r="AR92" s="29">
        <v>4.3755557538177818</v>
      </c>
      <c r="AS92" s="29">
        <v>4.4130855840138095</v>
      </c>
      <c r="AT92" s="29">
        <v>4.4507296614004535</v>
      </c>
      <c r="AU92" s="29">
        <v>4.488507635258923</v>
      </c>
      <c r="AV92" s="29">
        <v>4.5263772434383842</v>
      </c>
      <c r="AW92" s="29">
        <v>4.5643358099852485</v>
      </c>
      <c r="AX92" s="29">
        <v>4.6023806366195581</v>
      </c>
      <c r="AY92" s="29">
        <v>4.6405090035972538</v>
      </c>
      <c r="AZ92" s="29">
        <v>4.6787181705783958</v>
      </c>
      <c r="BA92" s="29">
        <v>4.7170053775097767</v>
      </c>
      <c r="BB92" s="29">
        <v>4.7553678455134367</v>
      </c>
      <c r="BC92" s="29">
        <v>4.7938027777855661</v>
      </c>
      <c r="BD92" s="29">
        <v>4.832307360504247</v>
      </c>
      <c r="BE92" s="29">
        <v>4.8708787637429243</v>
      </c>
      <c r="BF92" s="29">
        <v>4.9095141423920321</v>
      </c>
      <c r="BG92" s="29">
        <v>4.9482106370857881</v>
      </c>
      <c r="BH92" s="29">
        <v>4.9869653751357284</v>
      </c>
      <c r="BI92" s="29">
        <v>5.0257754714675418</v>
      </c>
      <c r="BJ92" s="29">
        <v>5.0646380295626194</v>
      </c>
      <c r="BK92" s="29">
        <v>5.1035501424033081</v>
      </c>
      <c r="BL92" s="29">
        <v>5.1425088934212777</v>
      </c>
      <c r="BM92" s="29">
        <v>5.181511357446082</v>
      </c>
      <c r="BN92" s="29">
        <v>5.2205546016581321</v>
      </c>
      <c r="BO92" s="29">
        <v>5.2596356865397489</v>
      </c>
      <c r="BP92" s="29">
        <v>5.2987516668278021</v>
      </c>
      <c r="BQ92" s="29">
        <v>5.3378995924656341</v>
      </c>
      <c r="BR92" s="29">
        <v>5.3770765095533992</v>
      </c>
      <c r="BS92" s="29">
        <v>5.4162794612968224</v>
      </c>
      <c r="BT92" s="29">
        <v>5.455505488953861</v>
      </c>
      <c r="BU92" s="29">
        <v>5.4947516327778523</v>
      </c>
      <c r="BV92" s="29">
        <v>5.5340149329568726</v>
      </c>
      <c r="BW92" s="29">
        <v>5.5732924305492695</v>
      </c>
      <c r="BX92" s="29">
        <v>5.6125811684141418</v>
      </c>
      <c r="BY92" s="29">
        <v>5.6518781921360732</v>
      </c>
      <c r="BZ92" s="29">
        <v>5.6911805509441855</v>
      </c>
      <c r="CA92" s="29">
        <v>5.7304852986240871</v>
      </c>
      <c r="CB92" s="29">
        <v>5.7697894944236117</v>
      </c>
      <c r="CC92" s="29">
        <v>5.8090902039491148</v>
      </c>
      <c r="CD92" s="29">
        <v>5.8483845000553814</v>
      </c>
      <c r="CE92" s="29">
        <v>5.8876694637257039</v>
      </c>
      <c r="CF92" s="29">
        <v>5.9269421849425328</v>
      </c>
      <c r="CG92" s="29">
        <v>5.9661997635492225</v>
      </c>
      <c r="CH92" s="29">
        <v>6.005439310100229</v>
      </c>
      <c r="CI92" s="29">
        <v>6.0446579467020189</v>
      </c>
      <c r="CJ92" s="29">
        <v>6.0838528078415344</v>
      </c>
      <c r="CK92" s="29">
        <v>6.1230210412041206</v>
      </c>
      <c r="CL92" s="29">
        <v>6.1621598084778411</v>
      </c>
      <c r="CM92" s="29">
        <v>6.2012662861473142</v>
      </c>
      <c r="CN92" s="29">
        <v>6.2403376662739234</v>
      </c>
      <c r="CO92" s="29">
        <v>6.2793711572613669</v>
      </c>
      <c r="CP92" s="29">
        <v>6.31836398460986</v>
      </c>
      <c r="CQ92" s="29">
        <v>6.3573133916549693</v>
      </c>
      <c r="CR92" s="29">
        <v>6.3962166402932041</v>
      </c>
      <c r="CS92" s="29">
        <v>6.4350710116921359</v>
      </c>
      <c r="CT92" s="29">
        <v>6.4738738069855231</v>
      </c>
      <c r="CU92" s="29">
        <v>6.5126223479544949</v>
      </c>
      <c r="CV92" s="29">
        <v>6.5513139776924856</v>
      </c>
      <c r="CW92" s="29">
        <v>6.5899460612544063</v>
      </c>
      <c r="CX92" s="29">
        <v>6.6285159862904202</v>
      </c>
      <c r="CY92" s="29">
        <v>6.6670211636631977</v>
      </c>
      <c r="CZ92" s="29">
        <v>6.7054590280491633</v>
      </c>
      <c r="DA92" s="29">
        <v>6.7438270385235395</v>
      </c>
      <c r="DB92" s="29">
        <v>6.7821226791279807</v>
      </c>
      <c r="DC92" s="29">
        <v>6.8203434594220376</v>
      </c>
      <c r="DD92" s="29">
        <v>6.8584869150175045</v>
      </c>
      <c r="DE92" s="29">
        <v>6.8965506080963754</v>
      </c>
      <c r="DF92" s="29">
        <v>6.9345321279100416</v>
      </c>
      <c r="DG92" s="29">
        <v>6.9724290912634697</v>
      </c>
      <c r="DH92" s="29">
        <v>7.0102391429800495</v>
      </c>
      <c r="DI92" s="29">
        <v>7.0479599563510096</v>
      </c>
      <c r="DJ92" s="29">
        <v>7.0855892335658739</v>
      </c>
      <c r="DK92" s="29">
        <v>7.1231247061261147</v>
      </c>
      <c r="DL92" s="29">
        <v>7.160564135242363</v>
      </c>
      <c r="DM92" s="29">
        <v>7.1979053122118337</v>
      </c>
      <c r="DN92" s="29">
        <v>7.2351460587816483</v>
      </c>
      <c r="DO92" s="29">
        <v>7.2722842274918058</v>
      </c>
      <c r="DP92" s="29">
        <v>7.3093177020025557</v>
      </c>
      <c r="DQ92" s="29">
        <v>7.3462443974042868</v>
      </c>
      <c r="DR92" s="29">
        <v>7.3830622605093801</v>
      </c>
      <c r="DS92">
        <v>7.419769270128743</v>
      </c>
      <c r="DT92">
        <v>7.4563634373292933</v>
      </c>
      <c r="DU92">
        <v>7.4928428056758705</v>
      </c>
    </row>
    <row r="93" spans="1:125">
      <c r="A93" s="34">
        <v>91</v>
      </c>
      <c r="B93" s="35"/>
      <c r="C93" s="35"/>
      <c r="D93" s="35"/>
      <c r="E93" s="35"/>
      <c r="F93" s="35"/>
      <c r="G93" s="35"/>
      <c r="H93" s="35"/>
      <c r="I93" s="35"/>
      <c r="J93" s="35"/>
      <c r="K93" s="35"/>
      <c r="L93" s="35"/>
      <c r="M93" s="35"/>
      <c r="N93" s="35"/>
      <c r="O93" s="35"/>
      <c r="P93" s="35"/>
      <c r="Q93" s="35"/>
      <c r="R93" s="35"/>
      <c r="S93" s="35"/>
      <c r="T93" s="35"/>
      <c r="U93" s="35"/>
      <c r="V93" s="29"/>
      <c r="W93" s="29"/>
      <c r="X93" s="29"/>
      <c r="Y93" s="29">
        <v>3.6504052959258289</v>
      </c>
      <c r="Z93" s="29">
        <v>3.6891304680907506</v>
      </c>
      <c r="AA93" s="29">
        <v>3.7036319196731244</v>
      </c>
      <c r="AB93" s="29">
        <v>3.6762391396982403</v>
      </c>
      <c r="AC93" s="29">
        <v>3.6488126037011686</v>
      </c>
      <c r="AD93" s="29">
        <v>3.6297994732327363</v>
      </c>
      <c r="AE93" s="29">
        <v>3.6009571768281035</v>
      </c>
      <c r="AF93" s="29">
        <v>3.6363773492150395</v>
      </c>
      <c r="AG93" s="29">
        <v>3.6625778772074211</v>
      </c>
      <c r="AH93" s="29">
        <v>3.6960914133386966</v>
      </c>
      <c r="AI93" s="29">
        <v>3.7297128960040702</v>
      </c>
      <c r="AJ93" s="29">
        <v>3.76343996873169</v>
      </c>
      <c r="AK93" s="29">
        <v>3.7972702471508795</v>
      </c>
      <c r="AL93" s="29">
        <v>3.8312013198495265</v>
      </c>
      <c r="AM93" s="29">
        <v>3.8652307492425502</v>
      </c>
      <c r="AN93" s="29">
        <v>3.899356072454105</v>
      </c>
      <c r="AO93" s="29">
        <v>3.933574802215535</v>
      </c>
      <c r="AP93" s="29">
        <v>3.9678844277726446</v>
      </c>
      <c r="AQ93" s="29">
        <v>4.0021380785409884</v>
      </c>
      <c r="AR93" s="29">
        <v>4.0364760850387515</v>
      </c>
      <c r="AS93" s="29">
        <v>4.0709177158771421</v>
      </c>
      <c r="AT93" s="29">
        <v>4.105485649929558</v>
      </c>
      <c r="AU93" s="29">
        <v>4.1401378666800452</v>
      </c>
      <c r="AV93" s="29">
        <v>4.1748719381714086</v>
      </c>
      <c r="AW93" s="29">
        <v>4.2096854164348487</v>
      </c>
      <c r="AX93" s="29">
        <v>4.2445758342625588</v>
      </c>
      <c r="AY93" s="29">
        <v>4.2795407059941262</v>
      </c>
      <c r="AZ93" s="29">
        <v>4.3145775283059287</v>
      </c>
      <c r="BA93" s="29">
        <v>4.3496837810135061</v>
      </c>
      <c r="BB93" s="29">
        <v>4.384856927877216</v>
      </c>
      <c r="BC93" s="29">
        <v>4.4200944174165659</v>
      </c>
      <c r="BD93" s="29">
        <v>4.4553936837316623</v>
      </c>
      <c r="BE93" s="29">
        <v>4.4907521473283047</v>
      </c>
      <c r="BF93" s="29">
        <v>4.5261672159497692</v>
      </c>
      <c r="BG93" s="29">
        <v>4.5616362854120078</v>
      </c>
      <c r="BH93" s="29">
        <v>4.5971567404442606</v>
      </c>
      <c r="BI93" s="29">
        <v>4.6327259555313507</v>
      </c>
      <c r="BJ93" s="29">
        <v>4.6683412957593955</v>
      </c>
      <c r="BK93" s="29">
        <v>4.7040001176641173</v>
      </c>
      <c r="BL93" s="29">
        <v>4.7396997700810513</v>
      </c>
      <c r="BM93" s="29">
        <v>4.7754375949947319</v>
      </c>
      <c r="BN93" s="29">
        <v>4.8112109283916737</v>
      </c>
      <c r="BO93" s="29">
        <v>4.8470171011102252</v>
      </c>
      <c r="BP93" s="29">
        <v>4.8828534396914147</v>
      </c>
      <c r="BQ93" s="29">
        <v>4.918717267228395</v>
      </c>
      <c r="BR93" s="29">
        <v>4.9546059042136283</v>
      </c>
      <c r="BS93" s="29">
        <v>4.9905166693840446</v>
      </c>
      <c r="BT93" s="29">
        <v>5.0264468805637286</v>
      </c>
      <c r="BU93" s="29">
        <v>5.0623938555027239</v>
      </c>
      <c r="BV93" s="29">
        <v>5.0983549127117875</v>
      </c>
      <c r="BW93" s="29">
        <v>5.1343273722932778</v>
      </c>
      <c r="BX93" s="29">
        <v>5.1703085567668623</v>
      </c>
      <c r="BY93" s="29">
        <v>5.2062957918895343</v>
      </c>
      <c r="BZ93" s="29">
        <v>5.2422864074700684</v>
      </c>
      <c r="CA93" s="29">
        <v>5.2782777381765689</v>
      </c>
      <c r="CB93" s="29">
        <v>5.3142671243381603</v>
      </c>
      <c r="CC93" s="29">
        <v>5.3502519127374413</v>
      </c>
      <c r="CD93" s="29">
        <v>5.3862294573972012</v>
      </c>
      <c r="CE93" s="29">
        <v>5.4221971203577128</v>
      </c>
      <c r="CF93" s="29">
        <v>5.4581522724452078</v>
      </c>
      <c r="CG93" s="29">
        <v>5.4940922940321846</v>
      </c>
      <c r="CH93" s="29">
        <v>5.5300145757868382</v>
      </c>
      <c r="CI93" s="29">
        <v>5.5659165194141362</v>
      </c>
      <c r="CJ93" s="29">
        <v>5.6017955383852351</v>
      </c>
      <c r="CK93" s="29">
        <v>5.6376490586574395</v>
      </c>
      <c r="CL93" s="29">
        <v>5.673474519381398</v>
      </c>
      <c r="CM93" s="29">
        <v>5.709269373599148</v>
      </c>
      <c r="CN93" s="29">
        <v>5.745031088929581</v>
      </c>
      <c r="CO93" s="29">
        <v>5.7807571482403457</v>
      </c>
      <c r="CP93" s="29">
        <v>5.8164450503098877</v>
      </c>
      <c r="CQ93" s="29">
        <v>5.8520923104753146</v>
      </c>
      <c r="CR93" s="29">
        <v>5.8876964612684954</v>
      </c>
      <c r="CS93" s="29">
        <v>5.9232550530380559</v>
      </c>
      <c r="CT93" s="29">
        <v>5.9587656545578298</v>
      </c>
      <c r="CU93" s="29">
        <v>5.9942258536230391</v>
      </c>
      <c r="CV93" s="29">
        <v>6.0296332576317129</v>
      </c>
      <c r="CW93" s="29">
        <v>6.0649854941519425</v>
      </c>
      <c r="CX93" s="29">
        <v>6.1002802114754875</v>
      </c>
      <c r="CY93" s="29">
        <v>6.1355150791564759</v>
      </c>
      <c r="CZ93" s="29">
        <v>6.1706877885358873</v>
      </c>
      <c r="DA93" s="29">
        <v>6.205796053251631</v>
      </c>
      <c r="DB93" s="29">
        <v>6.2408376097329299</v>
      </c>
      <c r="DC93" s="29">
        <v>6.2758102176804336</v>
      </c>
      <c r="DD93" s="29">
        <v>6.3107116605310551</v>
      </c>
      <c r="DE93" s="29">
        <v>6.3455397459083587</v>
      </c>
      <c r="DF93" s="29">
        <v>6.3802923060559511</v>
      </c>
      <c r="DG93" s="29">
        <v>6.4149671982579708</v>
      </c>
      <c r="DH93" s="29">
        <v>6.4495623052420399</v>
      </c>
      <c r="DI93" s="29">
        <v>6.4840755355688602</v>
      </c>
      <c r="DJ93" s="29">
        <v>6.5185048240047605</v>
      </c>
      <c r="DK93" s="29">
        <v>6.5528481318794336</v>
      </c>
      <c r="DL93" s="29">
        <v>6.5871034474293211</v>
      </c>
      <c r="DM93" s="29">
        <v>6.6212687861230526</v>
      </c>
      <c r="DN93" s="29">
        <v>6.6553421909750181</v>
      </c>
      <c r="DO93" s="29">
        <v>6.6893217328404244</v>
      </c>
      <c r="DP93" s="29">
        <v>6.7232055106968689</v>
      </c>
      <c r="DQ93" s="29">
        <v>6.7569916519104467</v>
      </c>
      <c r="DR93" s="29">
        <v>6.7906783124858006</v>
      </c>
      <c r="DS93">
        <v>6.8242636773029623</v>
      </c>
      <c r="DT93">
        <v>6.8577459603370592</v>
      </c>
      <c r="DU93">
        <v>6.8911234048645076</v>
      </c>
    </row>
    <row r="94" spans="1:125">
      <c r="A94" s="34">
        <v>92</v>
      </c>
      <c r="B94" s="35"/>
      <c r="C94" s="35"/>
      <c r="D94" s="35"/>
      <c r="E94" s="35"/>
      <c r="F94" s="35"/>
      <c r="G94" s="35"/>
      <c r="H94" s="35"/>
      <c r="I94" s="35"/>
      <c r="J94" s="35"/>
      <c r="K94" s="35"/>
      <c r="L94" s="35"/>
      <c r="M94" s="35"/>
      <c r="N94" s="35"/>
      <c r="O94" s="35"/>
      <c r="P94" s="35"/>
      <c r="Q94" s="35"/>
      <c r="R94" s="35"/>
      <c r="S94" s="35"/>
      <c r="T94" s="35"/>
      <c r="U94" s="35"/>
      <c r="V94" s="29"/>
      <c r="W94" s="29"/>
      <c r="X94" s="29"/>
      <c r="Y94" s="29">
        <v>3.3941819324336975</v>
      </c>
      <c r="Z94" s="29">
        <v>3.3933471345039168</v>
      </c>
      <c r="AA94" s="29">
        <v>3.4340499273452512</v>
      </c>
      <c r="AB94" s="29">
        <v>3.3827652666045731</v>
      </c>
      <c r="AC94" s="29">
        <v>3.3323869680014298</v>
      </c>
      <c r="AD94" s="29">
        <v>3.3055860738464329</v>
      </c>
      <c r="AE94" s="29">
        <v>3.3092928188455968</v>
      </c>
      <c r="AF94" s="29">
        <v>3.3519195171645411</v>
      </c>
      <c r="AG94" s="29">
        <v>3.3824385441692808</v>
      </c>
      <c r="AH94" s="29">
        <v>3.4130534212098684</v>
      </c>
      <c r="AI94" s="29">
        <v>3.4437620067356347</v>
      </c>
      <c r="AJ94" s="29">
        <v>3.4745621353247214</v>
      </c>
      <c r="AK94" s="29">
        <v>3.5054516184457274</v>
      </c>
      <c r="AL94" s="29">
        <v>3.5364282452413018</v>
      </c>
      <c r="AM94" s="29">
        <v>3.5674897833183521</v>
      </c>
      <c r="AN94" s="29">
        <v>3.5986339795483495</v>
      </c>
      <c r="AO94" s="29">
        <v>3.6298585608804936</v>
      </c>
      <c r="AP94" s="29">
        <v>3.6611612351602552</v>
      </c>
      <c r="AQ94" s="29">
        <v>3.6924161268027849</v>
      </c>
      <c r="AR94" s="29">
        <v>3.723761998078392</v>
      </c>
      <c r="AS94" s="29">
        <v>3.755224959475409</v>
      </c>
      <c r="AT94" s="29">
        <v>3.7867626045200877</v>
      </c>
      <c r="AU94" s="29">
        <v>3.8183727384744199</v>
      </c>
      <c r="AV94" s="29">
        <v>3.8500531494981143</v>
      </c>
      <c r="AW94" s="29">
        <v>3.8818016093371099</v>
      </c>
      <c r="AX94" s="29">
        <v>3.9136158740186433</v>
      </c>
      <c r="AY94" s="29">
        <v>3.9454936845586155</v>
      </c>
      <c r="AZ94" s="29">
        <v>3.9774327676687964</v>
      </c>
      <c r="BA94" s="29">
        <v>4.0094308364758504</v>
      </c>
      <c r="BB94" s="29">
        <v>4.0414855912408827</v>
      </c>
      <c r="BC94" s="29">
        <v>4.0735947200860538</v>
      </c>
      <c r="BD94" s="29">
        <v>4.1057558997266517</v>
      </c>
      <c r="BE94" s="29">
        <v>4.1379667962046884</v>
      </c>
      <c r="BF94" s="29">
        <v>4.170225065627811</v>
      </c>
      <c r="BG94" s="29">
        <v>4.2025283549098429</v>
      </c>
      <c r="BH94" s="29">
        <v>4.2348743025155073</v>
      </c>
      <c r="BI94" s="29">
        <v>4.2672605392051759</v>
      </c>
      <c r="BJ94" s="29">
        <v>4.2996846887817703</v>
      </c>
      <c r="BK94" s="29">
        <v>4.3321443688392094</v>
      </c>
      <c r="BL94" s="29">
        <v>4.3646371915115427</v>
      </c>
      <c r="BM94" s="29">
        <v>4.3971607642197981</v>
      </c>
      <c r="BN94" s="29">
        <v>4.4297126904221322</v>
      </c>
      <c r="BO94" s="29">
        <v>4.4622905703595483</v>
      </c>
      <c r="BP94" s="29">
        <v>4.494892001802075</v>
      </c>
      <c r="BQ94" s="29">
        <v>4.5275145807928432</v>
      </c>
      <c r="BR94" s="29">
        <v>4.5601559023892335</v>
      </c>
      <c r="BS94" s="29">
        <v>4.5928135614015275</v>
      </c>
      <c r="BT94" s="29">
        <v>4.6254851531287313</v>
      </c>
      <c r="BU94" s="29">
        <v>4.6581682740901353</v>
      </c>
      <c r="BV94" s="29">
        <v>4.6908605227525104</v>
      </c>
      <c r="BW94" s="29">
        <v>4.7235595002534332</v>
      </c>
      <c r="BX94" s="29">
        <v>4.7562628111192673</v>
      </c>
      <c r="BY94" s="29">
        <v>4.7889680639774532</v>
      </c>
      <c r="BZ94" s="29">
        <v>4.8216728722633935</v>
      </c>
      <c r="CA94" s="29">
        <v>4.8543748549205326</v>
      </c>
      <c r="CB94" s="29">
        <v>4.8870716370949605</v>
      </c>
      <c r="CC94" s="29">
        <v>4.9197608508208983</v>
      </c>
      <c r="CD94" s="29">
        <v>4.9524401357011092</v>
      </c>
      <c r="CE94" s="29">
        <v>4.9851071395782149</v>
      </c>
      <c r="CF94" s="29">
        <v>5.0177595191977957</v>
      </c>
      <c r="CG94" s="29">
        <v>5.050394940863999</v>
      </c>
      <c r="CH94" s="29">
        <v>5.0830110810848907</v>
      </c>
      <c r="CI94" s="29">
        <v>5.1156056272103534</v>
      </c>
      <c r="CJ94" s="29">
        <v>5.1481762780590667</v>
      </c>
      <c r="CK94" s="29">
        <v>5.1807207445370373</v>
      </c>
      <c r="CL94" s="29">
        <v>5.2132367502441772</v>
      </c>
      <c r="CM94" s="29">
        <v>5.2457220320730151</v>
      </c>
      <c r="CN94" s="29">
        <v>5.2781743407958075</v>
      </c>
      <c r="CO94" s="29">
        <v>5.3105914416391222</v>
      </c>
      <c r="CP94" s="29">
        <v>5.3429711148500161</v>
      </c>
      <c r="CQ94" s="29">
        <v>5.3753111562491309</v>
      </c>
      <c r="CR94" s="29">
        <v>5.4076093777735084</v>
      </c>
      <c r="CS94" s="29">
        <v>5.4398636080065366</v>
      </c>
      <c r="CT94" s="29">
        <v>5.472071692695784</v>
      </c>
      <c r="CU94" s="29">
        <v>5.5042314952601927</v>
      </c>
      <c r="CV94" s="29">
        <v>5.5363408972838837</v>
      </c>
      <c r="CW94" s="29">
        <v>5.5683977989974078</v>
      </c>
      <c r="CX94" s="29">
        <v>5.6004001197469693</v>
      </c>
      <c r="CY94" s="29">
        <v>5.6323457984503484</v>
      </c>
      <c r="CZ94" s="29">
        <v>5.6642327940403199</v>
      </c>
      <c r="DA94" s="29">
        <v>5.6960590858954205</v>
      </c>
      <c r="DB94" s="29">
        <v>5.7278226742566574</v>
      </c>
      <c r="DC94" s="29">
        <v>5.7595215806318176</v>
      </c>
      <c r="DD94" s="29">
        <v>5.7911538481862799</v>
      </c>
      <c r="DE94" s="29">
        <v>5.8227175421212536</v>
      </c>
      <c r="DF94" s="29">
        <v>5.8542107500367457</v>
      </c>
      <c r="DG94" s="29">
        <v>5.8856315822837004</v>
      </c>
      <c r="DH94" s="29">
        <v>5.9169781723003085</v>
      </c>
      <c r="DI94" s="29">
        <v>5.9482486769370517</v>
      </c>
      <c r="DJ94" s="29">
        <v>5.9794412767665008</v>
      </c>
      <c r="DK94" s="29">
        <v>6.0105541763802872</v>
      </c>
      <c r="DL94" s="29">
        <v>6.0415856046737737</v>
      </c>
      <c r="DM94" s="29">
        <v>6.0725338151145571</v>
      </c>
      <c r="DN94" s="29">
        <v>6.1033970860013298</v>
      </c>
      <c r="DO94" s="29">
        <v>6.1341737207059914</v>
      </c>
      <c r="DP94" s="29">
        <v>6.1648620479043963</v>
      </c>
      <c r="DQ94" s="29">
        <v>6.1954604217935989</v>
      </c>
      <c r="DR94" s="29">
        <v>6.2259672222949787</v>
      </c>
      <c r="DS94">
        <v>6.2563808552462996</v>
      </c>
      <c r="DT94">
        <v>6.2866997525784267</v>
      </c>
      <c r="DU94">
        <v>6.3169223724806693</v>
      </c>
    </row>
    <row r="95" spans="1:125">
      <c r="A95" s="34">
        <v>93</v>
      </c>
      <c r="B95" s="35"/>
      <c r="C95" s="35"/>
      <c r="D95" s="35"/>
      <c r="E95" s="35"/>
      <c r="F95" s="35"/>
      <c r="G95" s="35"/>
      <c r="H95" s="35"/>
      <c r="I95" s="35"/>
      <c r="J95" s="35"/>
      <c r="K95" s="35"/>
      <c r="L95" s="35"/>
      <c r="M95" s="35"/>
      <c r="N95" s="35"/>
      <c r="O95" s="35"/>
      <c r="P95" s="35"/>
      <c r="Q95" s="35"/>
      <c r="R95" s="35"/>
      <c r="S95" s="35"/>
      <c r="T95" s="35"/>
      <c r="U95" s="35"/>
      <c r="V95" s="29"/>
      <c r="W95" s="29"/>
      <c r="X95" s="29"/>
      <c r="Y95" s="29">
        <v>3.1197092199949288</v>
      </c>
      <c r="Z95" s="29">
        <v>3.1551149401264507</v>
      </c>
      <c r="AA95" s="29">
        <v>3.2027858975510672</v>
      </c>
      <c r="AB95" s="29">
        <v>3.1024510458305814</v>
      </c>
      <c r="AC95" s="29">
        <v>3.0400910976354032</v>
      </c>
      <c r="AD95" s="29">
        <v>3.0503443643586925</v>
      </c>
      <c r="AE95" s="29">
        <v>3.0710382851036035</v>
      </c>
      <c r="AF95" s="29">
        <v>3.0986877628648135</v>
      </c>
      <c r="AG95" s="29">
        <v>3.1264191833102162</v>
      </c>
      <c r="AH95" s="29">
        <v>3.1542306058630598</v>
      </c>
      <c r="AI95" s="29">
        <v>3.1821200704741619</v>
      </c>
      <c r="AJ95" s="29">
        <v>3.210085598308666</v>
      </c>
      <c r="AK95" s="29">
        <v>3.2381251924278631</v>
      </c>
      <c r="AL95" s="29">
        <v>3.266236838492266</v>
      </c>
      <c r="AM95" s="29">
        <v>3.2944185054669117</v>
      </c>
      <c r="AN95" s="29">
        <v>3.3226681463334051</v>
      </c>
      <c r="AO95" s="29">
        <v>3.3509836988124988</v>
      </c>
      <c r="AP95" s="29">
        <v>3.3793630860882296</v>
      </c>
      <c r="AQ95" s="29">
        <v>3.4077193416277316</v>
      </c>
      <c r="AR95" s="29">
        <v>3.4361820850210263</v>
      </c>
      <c r="AS95" s="29">
        <v>3.4647079442021478</v>
      </c>
      <c r="AT95" s="29">
        <v>3.4932949457746254</v>
      </c>
      <c r="AU95" s="29">
        <v>3.5219411025482659</v>
      </c>
      <c r="AV95" s="29">
        <v>3.55064441414995</v>
      </c>
      <c r="AW95" s="29">
        <v>3.5794028676333407</v>
      </c>
      <c r="AX95" s="29">
        <v>3.6082144380930927</v>
      </c>
      <c r="AY95" s="29">
        <v>3.6370770892903312</v>
      </c>
      <c r="AZ95" s="29">
        <v>3.6659887742746231</v>
      </c>
      <c r="BA95" s="29">
        <v>3.6949474360171375</v>
      </c>
      <c r="BB95" s="29">
        <v>3.7239510080414817</v>
      </c>
      <c r="BC95" s="29">
        <v>3.7529974150602547</v>
      </c>
      <c r="BD95" s="29">
        <v>3.7820845736156623</v>
      </c>
      <c r="BE95" s="29">
        <v>3.8112103927195347</v>
      </c>
      <c r="BF95" s="29">
        <v>3.8403727744975535</v>
      </c>
      <c r="BG95" s="29">
        <v>3.8695696148334013</v>
      </c>
      <c r="BH95" s="29">
        <v>3.8987988040160735</v>
      </c>
      <c r="BI95" s="29">
        <v>3.9280582273856273</v>
      </c>
      <c r="BJ95" s="29">
        <v>3.9573457659799511</v>
      </c>
      <c r="BK95" s="29">
        <v>3.9866592971822059</v>
      </c>
      <c r="BL95" s="29">
        <v>4.0159966953678197</v>
      </c>
      <c r="BM95" s="29">
        <v>4.0453558325479904</v>
      </c>
      <c r="BN95" s="29">
        <v>4.0747345790162193</v>
      </c>
      <c r="BO95" s="29">
        <v>4.1041308039890874</v>
      </c>
      <c r="BP95" s="29">
        <v>4.1335423762470844</v>
      </c>
      <c r="BQ95" s="29">
        <v>4.1629671647727697</v>
      </c>
      <c r="BR95" s="29">
        <v>4.1924030393853107</v>
      </c>
      <c r="BS95" s="29">
        <v>4.221847871372197</v>
      </c>
      <c r="BT95" s="29">
        <v>4.2512995341178055</v>
      </c>
      <c r="BU95" s="29">
        <v>4.280755903727389</v>
      </c>
      <c r="BV95" s="29">
        <v>4.310214859646373</v>
      </c>
      <c r="BW95" s="29">
        <v>4.3396742852759278</v>
      </c>
      <c r="BX95" s="29">
        <v>4.3691320685829522</v>
      </c>
      <c r="BY95" s="29">
        <v>4.3985861027044733</v>
      </c>
      <c r="BZ95" s="29">
        <v>4.4280342865467794</v>
      </c>
      <c r="CA95" s="29">
        <v>4.4574745253778723</v>
      </c>
      <c r="CB95" s="29">
        <v>4.4869047314148691</v>
      </c>
      <c r="CC95" s="29">
        <v>4.5163228244023248</v>
      </c>
      <c r="CD95" s="29">
        <v>4.5457267321862505</v>
      </c>
      <c r="CE95" s="29">
        <v>4.5751143912792767</v>
      </c>
      <c r="CF95" s="29">
        <v>4.6044837474182199</v>
      </c>
      <c r="CG95" s="29">
        <v>4.6338327561148196</v>
      </c>
      <c r="CH95" s="29">
        <v>4.6631593831967981</v>
      </c>
      <c r="CI95" s="29">
        <v>4.6924616053423804</v>
      </c>
      <c r="CJ95" s="29">
        <v>4.7217374106045611</v>
      </c>
      <c r="CK95" s="29">
        <v>4.7509847989279326</v>
      </c>
      <c r="CL95" s="29">
        <v>4.7802017826542791</v>
      </c>
      <c r="CM95" s="29">
        <v>4.8093863870216182</v>
      </c>
      <c r="CN95" s="29">
        <v>4.8385366506525465</v>
      </c>
      <c r="CO95" s="29">
        <v>4.8676506260309882</v>
      </c>
      <c r="CP95" s="29">
        <v>4.896726379972014</v>
      </c>
      <c r="CQ95" s="29">
        <v>4.9257619940795951</v>
      </c>
      <c r="CR95" s="29">
        <v>4.9547555651954838</v>
      </c>
      <c r="CS95" s="29">
        <v>4.9837052058364293</v>
      </c>
      <c r="CT95" s="29">
        <v>5.0126090446205929</v>
      </c>
      <c r="CU95" s="29">
        <v>5.041465226684954</v>
      </c>
      <c r="CV95" s="29">
        <v>5.070271914090605</v>
      </c>
      <c r="CW95" s="29">
        <v>5.0990272862170034</v>
      </c>
      <c r="CX95" s="29">
        <v>5.1277295401457987</v>
      </c>
      <c r="CY95" s="29">
        <v>5.1563768910328402</v>
      </c>
      <c r="CZ95" s="29">
        <v>5.184967572469354</v>
      </c>
      <c r="DA95" s="29">
        <v>5.213499836832133</v>
      </c>
      <c r="DB95" s="29">
        <v>5.2419719556212261</v>
      </c>
      <c r="DC95" s="29">
        <v>5.2703822197870238</v>
      </c>
      <c r="DD95" s="29">
        <v>5.2987289400455317</v>
      </c>
      <c r="DE95" s="29">
        <v>5.327010447182932</v>
      </c>
      <c r="DF95" s="29">
        <v>5.355225092346414</v>
      </c>
      <c r="DG95" s="29">
        <v>5.383371247326262</v>
      </c>
      <c r="DH95" s="29">
        <v>5.4114473048237048</v>
      </c>
      <c r="DI95" s="29">
        <v>5.4394516787095197</v>
      </c>
      <c r="DJ95" s="29">
        <v>5.4673828042691106</v>
      </c>
      <c r="DK95" s="29">
        <v>5.4952391384366601</v>
      </c>
      <c r="DL95" s="29">
        <v>5.5230191600189853</v>
      </c>
      <c r="DM95" s="29">
        <v>5.550721369904867</v>
      </c>
      <c r="DN95" s="29">
        <v>5.5783442912669736</v>
      </c>
      <c r="DO95" s="29">
        <v>5.605886469748647</v>
      </c>
      <c r="DP95" s="29">
        <v>5.6333464736414154</v>
      </c>
      <c r="DQ95" s="29">
        <v>5.6607228940508811</v>
      </c>
      <c r="DR95" s="29">
        <v>5.6880143450503553</v>
      </c>
      <c r="DS95">
        <v>5.7152194638255143</v>
      </c>
      <c r="DT95">
        <v>5.7423369108054221</v>
      </c>
      <c r="DU95">
        <v>5.7693653697842491</v>
      </c>
    </row>
    <row r="96" spans="1:125">
      <c r="A96" s="34">
        <v>94</v>
      </c>
      <c r="B96" s="35"/>
      <c r="C96" s="35"/>
      <c r="D96" s="35"/>
      <c r="E96" s="35"/>
      <c r="F96" s="35"/>
      <c r="G96" s="35"/>
      <c r="H96" s="35"/>
      <c r="I96" s="35"/>
      <c r="J96" s="35"/>
      <c r="K96" s="35"/>
      <c r="L96" s="35"/>
      <c r="M96" s="35"/>
      <c r="N96" s="35"/>
      <c r="O96" s="35"/>
      <c r="P96" s="35"/>
      <c r="Q96" s="35"/>
      <c r="R96" s="35"/>
      <c r="S96" s="35"/>
      <c r="T96" s="35"/>
      <c r="U96" s="35"/>
      <c r="V96" s="29"/>
      <c r="W96" s="29"/>
      <c r="X96" s="29"/>
      <c r="Y96" s="29">
        <v>2.8884210540272317</v>
      </c>
      <c r="Z96" s="29">
        <v>2.9378826428542899</v>
      </c>
      <c r="AA96" s="29">
        <v>2.9749618995378904</v>
      </c>
      <c r="AB96" s="29">
        <v>2.82798533164845</v>
      </c>
      <c r="AC96" s="29">
        <v>2.8022268943920667</v>
      </c>
      <c r="AD96" s="29">
        <v>2.8185682869205317</v>
      </c>
      <c r="AE96" s="29">
        <v>2.8434577565427235</v>
      </c>
      <c r="AF96" s="29">
        <v>2.8684137550773774</v>
      </c>
      <c r="AG96" s="29">
        <v>2.8934345366731691</v>
      </c>
      <c r="AH96" s="29">
        <v>2.9185183405027133</v>
      </c>
      <c r="AI96" s="29">
        <v>2.9436633913539358</v>
      </c>
      <c r="AJ96" s="29">
        <v>2.9688679002384282</v>
      </c>
      <c r="AK96" s="29">
        <v>2.9941300649874343</v>
      </c>
      <c r="AL96" s="29">
        <v>3.0194480708700562</v>
      </c>
      <c r="AM96" s="29">
        <v>3.0448200912093366</v>
      </c>
      <c r="AN96" s="29">
        <v>3.0702442880020957</v>
      </c>
      <c r="AO96" s="29">
        <v>3.0957188125477741</v>
      </c>
      <c r="AP96" s="29">
        <v>3.1212418060750995</v>
      </c>
      <c r="AQ96" s="29">
        <v>3.1467964168864304</v>
      </c>
      <c r="AR96" s="29">
        <v>3.1724009543793619</v>
      </c>
      <c r="AS96" s="29">
        <v>3.1980536598454856</v>
      </c>
      <c r="AT96" s="29">
        <v>3.2237527642571644</v>
      </c>
      <c r="AU96" s="29">
        <v>3.2494964887845912</v>
      </c>
      <c r="AV96" s="29">
        <v>3.2752830453297967</v>
      </c>
      <c r="AW96" s="29">
        <v>3.3011106370556513</v>
      </c>
      <c r="AX96" s="29">
        <v>3.3269774589177112</v>
      </c>
      <c r="AY96" s="29">
        <v>3.3528816982069367</v>
      </c>
      <c r="AZ96" s="29">
        <v>3.3788215350853412</v>
      </c>
      <c r="BA96" s="29">
        <v>3.4047951431329526</v>
      </c>
      <c r="BB96" s="29">
        <v>3.4308006898894821</v>
      </c>
      <c r="BC96" s="29">
        <v>3.4568363374007607</v>
      </c>
      <c r="BD96" s="29">
        <v>3.4829002427681943</v>
      </c>
      <c r="BE96" s="29">
        <v>3.5089905586955332</v>
      </c>
      <c r="BF96" s="29">
        <v>3.5351054340391217</v>
      </c>
      <c r="BG96" s="29">
        <v>3.5612430143564699</v>
      </c>
      <c r="BH96" s="29">
        <v>3.5874014424573071</v>
      </c>
      <c r="BI96" s="29">
        <v>3.6135788589515556</v>
      </c>
      <c r="BJ96" s="29">
        <v>3.6397734027973776</v>
      </c>
      <c r="BK96" s="29">
        <v>3.6659832118493174</v>
      </c>
      <c r="BL96" s="29">
        <v>3.6922064234049574</v>
      </c>
      <c r="BM96" s="29">
        <v>3.7184411747469444</v>
      </c>
      <c r="BN96" s="29">
        <v>3.7446856036881346</v>
      </c>
      <c r="BO96" s="29">
        <v>3.7709378491095853</v>
      </c>
      <c r="BP96" s="29">
        <v>3.797196051498438</v>
      </c>
      <c r="BQ96" s="29">
        <v>3.8234583534826672</v>
      </c>
      <c r="BR96" s="29">
        <v>3.8497229003616003</v>
      </c>
      <c r="BS96" s="29">
        <v>3.8759878406333952</v>
      </c>
      <c r="BT96" s="29">
        <v>3.9022513265191665</v>
      </c>
      <c r="BU96" s="29">
        <v>3.9285115144822793</v>
      </c>
      <c r="BV96" s="29">
        <v>3.9547665657426885</v>
      </c>
      <c r="BW96" s="29">
        <v>3.98101464678779</v>
      </c>
      <c r="BX96" s="29">
        <v>4.0072539298775034</v>
      </c>
      <c r="BY96" s="29">
        <v>4.0334825935438889</v>
      </c>
      <c r="BZ96" s="29">
        <v>4.0596988230857223</v>
      </c>
      <c r="CA96" s="29">
        <v>4.0859008110564963</v>
      </c>
      <c r="CB96" s="29">
        <v>4.1120867577479085</v>
      </c>
      <c r="CC96" s="29">
        <v>4.1382548716641949</v>
      </c>
      <c r="CD96" s="29">
        <v>4.164403369993078</v>
      </c>
      <c r="CE96" s="29">
        <v>4.1905304790680162</v>
      </c>
      <c r="CF96" s="29">
        <v>4.2166344348235016</v>
      </c>
      <c r="CG96" s="29">
        <v>4.2427134832441915</v>
      </c>
      <c r="CH96" s="29">
        <v>4.2687658808048852</v>
      </c>
      <c r="CI96" s="29">
        <v>4.2947898949049064</v>
      </c>
      <c r="CJ96" s="29">
        <v>4.3207838042928213</v>
      </c>
      <c r="CK96" s="29">
        <v>4.3467458994847448</v>
      </c>
      <c r="CL96" s="29">
        <v>4.3726744831720081</v>
      </c>
      <c r="CM96" s="29">
        <v>4.3985678706236424</v>
      </c>
      <c r="CN96" s="29">
        <v>4.4244243900789844</v>
      </c>
      <c r="CO96" s="29">
        <v>4.4502423831294848</v>
      </c>
      <c r="CP96" s="29">
        <v>4.4760202050951285</v>
      </c>
      <c r="CQ96" s="29">
        <v>4.5017562253896335</v>
      </c>
      <c r="CR96" s="29">
        <v>4.5274488278782181</v>
      </c>
      <c r="CS96" s="29">
        <v>4.5530964112247343</v>
      </c>
      <c r="CT96" s="29">
        <v>4.5786973892292728</v>
      </c>
      <c r="CU96" s="29">
        <v>4.6042501911583491</v>
      </c>
      <c r="CV96" s="29">
        <v>4.6297532620641295</v>
      </c>
      <c r="CW96" s="29">
        <v>4.65520506309403</v>
      </c>
      <c r="CX96" s="29">
        <v>4.6806040717914437</v>
      </c>
      <c r="CY96" s="29">
        <v>4.7059487823859971</v>
      </c>
      <c r="CZ96" s="29">
        <v>4.7312377060745785</v>
      </c>
      <c r="DA96" s="29">
        <v>4.7564693712929538</v>
      </c>
      <c r="DB96" s="29">
        <v>4.7816423239763104</v>
      </c>
      <c r="DC96" s="29">
        <v>4.8067551278109004</v>
      </c>
      <c r="DD96" s="29">
        <v>4.8318063644754838</v>
      </c>
      <c r="DE96" s="29">
        <v>4.8567946338737817</v>
      </c>
      <c r="DF96" s="29">
        <v>4.8817185543546362</v>
      </c>
      <c r="DG96" s="29">
        <v>4.9065767629254413</v>
      </c>
      <c r="DH96" s="29">
        <v>4.9313679154527552</v>
      </c>
      <c r="DI96" s="29">
        <v>4.9560906868556582</v>
      </c>
      <c r="DJ96" s="29">
        <v>4.9807437712871234</v>
      </c>
      <c r="DK96" s="29">
        <v>5.0053258823062921</v>
      </c>
      <c r="DL96" s="29">
        <v>5.0298357530423488</v>
      </c>
      <c r="DM96" s="29">
        <v>5.0542721363453582</v>
      </c>
      <c r="DN96" s="29">
        <v>5.0786338049319042</v>
      </c>
      <c r="DO96" s="29">
        <v>5.1029195515169974</v>
      </c>
      <c r="DP96" s="29">
        <v>5.1271281889387703</v>
      </c>
      <c r="DQ96" s="29">
        <v>5.1512585502732717</v>
      </c>
      <c r="DR96" s="29">
        <v>5.175309488938769</v>
      </c>
      <c r="DS96">
        <v>5.1992798787930878</v>
      </c>
      <c r="DT96">
        <v>5.2231686142188671</v>
      </c>
      <c r="DU96">
        <v>5.2469746102015229</v>
      </c>
    </row>
    <row r="97" spans="1:125">
      <c r="A97" s="34">
        <v>95</v>
      </c>
      <c r="B97" s="35"/>
      <c r="C97" s="35"/>
      <c r="D97" s="35"/>
      <c r="E97" s="35"/>
      <c r="F97" s="35"/>
      <c r="G97" s="35"/>
      <c r="H97" s="35"/>
      <c r="I97" s="35"/>
      <c r="J97" s="35"/>
      <c r="K97" s="35"/>
      <c r="L97" s="35"/>
      <c r="M97" s="35"/>
      <c r="N97" s="35"/>
      <c r="O97" s="35"/>
      <c r="P97" s="35"/>
      <c r="Q97" s="35"/>
      <c r="R97" s="35"/>
      <c r="S97" s="35"/>
      <c r="T97" s="35"/>
      <c r="U97" s="35"/>
      <c r="V97" s="29"/>
      <c r="W97" s="29"/>
      <c r="X97" s="29"/>
      <c r="Y97" s="29">
        <v>2.6779092665374531</v>
      </c>
      <c r="Z97" s="29">
        <v>2.7219780271569292</v>
      </c>
      <c r="AA97" s="29">
        <v>2.755181937013103</v>
      </c>
      <c r="AB97" s="29">
        <v>2.6236971263037399</v>
      </c>
      <c r="AC97" s="29">
        <v>2.600565963157853</v>
      </c>
      <c r="AD97" s="29">
        <v>2.6151718164402666</v>
      </c>
      <c r="AE97" s="29">
        <v>2.6374295024536356</v>
      </c>
      <c r="AF97" s="29">
        <v>2.6597357113046893</v>
      </c>
      <c r="AG97" s="29">
        <v>2.6820888828764722</v>
      </c>
      <c r="AH97" s="29">
        <v>2.7044874468271316</v>
      </c>
      <c r="AI97" s="29">
        <v>2.7269298231024424</v>
      </c>
      <c r="AJ97" s="29">
        <v>2.7494144224666419</v>
      </c>
      <c r="AK97" s="29">
        <v>2.7719396470117474</v>
      </c>
      <c r="AL97" s="29">
        <v>2.794503890692341</v>
      </c>
      <c r="AM97" s="29">
        <v>2.8171055398536069</v>
      </c>
      <c r="AN97" s="29">
        <v>2.8397429737604103</v>
      </c>
      <c r="AO97" s="29">
        <v>2.8624145651347579</v>
      </c>
      <c r="AP97" s="29">
        <v>2.8851186806872215</v>
      </c>
      <c r="AQ97" s="29">
        <v>2.9078651096631392</v>
      </c>
      <c r="AR97" s="29">
        <v>2.9306456142729669</v>
      </c>
      <c r="AS97" s="29">
        <v>2.9534586427564937</v>
      </c>
      <c r="AT97" s="29">
        <v>2.9763026368015777</v>
      </c>
      <c r="AU97" s="29">
        <v>2.9991760319852707</v>
      </c>
      <c r="AV97" s="29">
        <v>3.0220772582342921</v>
      </c>
      <c r="AW97" s="29">
        <v>3.0450047402759233</v>
      </c>
      <c r="AX97" s="29">
        <v>3.0679568980904968</v>
      </c>
      <c r="AY97" s="29">
        <v>3.0909321473751312</v>
      </c>
      <c r="AZ97" s="29">
        <v>3.1139288999963304</v>
      </c>
      <c r="BA97" s="29">
        <v>3.1369455644549742</v>
      </c>
      <c r="BB97" s="29">
        <v>3.1599805463427026</v>
      </c>
      <c r="BC97" s="29">
        <v>3.1830322488025486</v>
      </c>
      <c r="BD97" s="29">
        <v>3.2060990729919263</v>
      </c>
      <c r="BE97" s="29">
        <v>3.2291794185407374</v>
      </c>
      <c r="BF97" s="29">
        <v>3.2522716840126513</v>
      </c>
      <c r="BG97" s="29">
        <v>3.2753742673631372</v>
      </c>
      <c r="BH97" s="29">
        <v>3.2984855663996324</v>
      </c>
      <c r="BI97" s="29">
        <v>3.3216039792371257</v>
      </c>
      <c r="BJ97" s="29">
        <v>3.3447279047530314</v>
      </c>
      <c r="BK97" s="29">
        <v>3.3678557430418681</v>
      </c>
      <c r="BL97" s="29">
        <v>3.3909858958674484</v>
      </c>
      <c r="BM97" s="29">
        <v>3.4141167671093378</v>
      </c>
      <c r="BN97" s="29">
        <v>3.4372467632128929</v>
      </c>
      <c r="BO97" s="29">
        <v>3.4603742936306001</v>
      </c>
      <c r="BP97" s="29">
        <v>3.4834977712633766</v>
      </c>
      <c r="BQ97" s="29">
        <v>3.506615612898381</v>
      </c>
      <c r="BR97" s="29">
        <v>3.5297262396419917</v>
      </c>
      <c r="BS97" s="29">
        <v>3.5528280773496443</v>
      </c>
      <c r="BT97" s="29">
        <v>3.5759195570522033</v>
      </c>
      <c r="BU97" s="29">
        <v>3.5989991153772958</v>
      </c>
      <c r="BV97" s="29">
        <v>3.6220651949653906</v>
      </c>
      <c r="BW97" s="29">
        <v>3.6451162448828174</v>
      </c>
      <c r="BX97" s="29">
        <v>3.6681507210287569</v>
      </c>
      <c r="BY97" s="29">
        <v>3.6911670865369546</v>
      </c>
      <c r="BZ97" s="29">
        <v>3.7141638121726235</v>
      </c>
      <c r="CA97" s="29">
        <v>3.7371393767228955</v>
      </c>
      <c r="CB97" s="29">
        <v>3.7600922673833272</v>
      </c>
      <c r="CC97" s="29">
        <v>3.7830209801350794</v>
      </c>
      <c r="CD97" s="29">
        <v>3.8059240201197451</v>
      </c>
      <c r="CE97" s="29">
        <v>3.828799902005537</v>
      </c>
      <c r="CF97" s="29">
        <v>3.8516471503471479</v>
      </c>
      <c r="CG97" s="29">
        <v>3.8744642999401036</v>
      </c>
      <c r="CH97" s="29">
        <v>3.897249896166421</v>
      </c>
      <c r="CI97" s="29">
        <v>3.9200024953355959</v>
      </c>
      <c r="CJ97" s="29">
        <v>3.9427206650164481</v>
      </c>
      <c r="CK97" s="29">
        <v>3.9654029843635477</v>
      </c>
      <c r="CL97" s="29">
        <v>3.9880480444334561</v>
      </c>
      <c r="CM97" s="29">
        <v>4.0106544484972257</v>
      </c>
      <c r="CN97" s="29">
        <v>4.0332208123436741</v>
      </c>
      <c r="CO97" s="29">
        <v>4.055745764572551</v>
      </c>
      <c r="CP97" s="29">
        <v>4.0782279468838603</v>
      </c>
      <c r="CQ97" s="29">
        <v>4.1006660143566727</v>
      </c>
      <c r="CR97" s="29">
        <v>4.1230586357218773</v>
      </c>
      <c r="CS97" s="29">
        <v>4.1454044936252226</v>
      </c>
      <c r="CT97" s="29">
        <v>4.1677022848819556</v>
      </c>
      <c r="CU97" s="29">
        <v>4.1899507207256335</v>
      </c>
      <c r="CV97" s="29">
        <v>4.212148527046935</v>
      </c>
      <c r="CW97" s="29">
        <v>4.2342944446241741</v>
      </c>
      <c r="CX97" s="29">
        <v>4.2563872293463954</v>
      </c>
      <c r="CY97" s="29">
        <v>4.2784256524271909</v>
      </c>
      <c r="CZ97" s="29">
        <v>4.3004085006108168</v>
      </c>
      <c r="DA97" s="29">
        <v>4.3223345763703502</v>
      </c>
      <c r="DB97" s="29">
        <v>4.344202698096022</v>
      </c>
      <c r="DC97" s="29">
        <v>4.3660117002762755</v>
      </c>
      <c r="DD97" s="29">
        <v>4.387760433670099</v>
      </c>
      <c r="DE97" s="29">
        <v>4.4094477654719668</v>
      </c>
      <c r="DF97" s="29">
        <v>4.431072579465738</v>
      </c>
      <c r="DG97" s="29">
        <v>4.4526337761737924</v>
      </c>
      <c r="DH97" s="29">
        <v>4.474130272994552</v>
      </c>
      <c r="DI97" s="29">
        <v>4.4955610043346574</v>
      </c>
      <c r="DJ97" s="29">
        <v>4.5169249217305358</v>
      </c>
      <c r="DK97" s="29">
        <v>4.5382209939625309</v>
      </c>
      <c r="DL97" s="29">
        <v>4.5594482071624824</v>
      </c>
      <c r="DM97" s="29">
        <v>4.5806055649094919</v>
      </c>
      <c r="DN97" s="29">
        <v>4.6016920883226753</v>
      </c>
      <c r="DO97" s="29">
        <v>4.622706816141374</v>
      </c>
      <c r="DP97" s="29">
        <v>4.6436488048000815</v>
      </c>
      <c r="DQ97" s="29">
        <v>4.6645171284950955</v>
      </c>
      <c r="DR97" s="29">
        <v>4.6853108792422358</v>
      </c>
      <c r="DS97">
        <v>4.7060291669295493</v>
      </c>
      <c r="DT97">
        <v>4.7266711193592572</v>
      </c>
      <c r="DU97">
        <v>4.7472358822843379</v>
      </c>
    </row>
    <row r="98" spans="1:125">
      <c r="A98" s="34">
        <v>96</v>
      </c>
      <c r="B98" s="35"/>
      <c r="C98" s="35"/>
      <c r="D98" s="35"/>
      <c r="E98" s="35"/>
      <c r="F98" s="35"/>
      <c r="G98" s="35"/>
      <c r="H98" s="35"/>
      <c r="I98" s="35"/>
      <c r="J98" s="35"/>
      <c r="K98" s="35"/>
      <c r="L98" s="35"/>
      <c r="M98" s="35"/>
      <c r="N98" s="35"/>
      <c r="O98" s="35"/>
      <c r="P98" s="35"/>
      <c r="Q98" s="35"/>
      <c r="R98" s="35"/>
      <c r="S98" s="35"/>
      <c r="T98" s="35"/>
      <c r="U98" s="35"/>
      <c r="V98" s="29"/>
      <c r="W98" s="29"/>
      <c r="X98" s="29"/>
      <c r="Y98" s="29">
        <v>2.4898251637150786</v>
      </c>
      <c r="Z98" s="29">
        <v>2.5292967548880898</v>
      </c>
      <c r="AA98" s="29">
        <v>2.5591926707502504</v>
      </c>
      <c r="AB98" s="29">
        <v>2.4409375282238122</v>
      </c>
      <c r="AC98" s="29">
        <v>2.4200568573975376</v>
      </c>
      <c r="AD98" s="29">
        <v>2.4331790538587317</v>
      </c>
      <c r="AE98" s="29">
        <v>2.453187193008274</v>
      </c>
      <c r="AF98" s="29">
        <v>2.4732298876520957</v>
      </c>
      <c r="AG98" s="29">
        <v>2.4933057445454923</v>
      </c>
      <c r="AH98" s="29">
        <v>2.5134133637450589</v>
      </c>
      <c r="AI98" s="29">
        <v>2.5335513390508875</v>
      </c>
      <c r="AJ98" s="29">
        <v>2.5537182584713491</v>
      </c>
      <c r="AK98" s="29">
        <v>2.5739127046545258</v>
      </c>
      <c r="AL98" s="29">
        <v>2.5941332553520771</v>
      </c>
      <c r="AM98" s="29">
        <v>2.6143784838713762</v>
      </c>
      <c r="AN98" s="29">
        <v>2.634646959526501</v>
      </c>
      <c r="AO98" s="29">
        <v>2.6549372480984559</v>
      </c>
      <c r="AP98" s="29">
        <v>2.6752479122853803</v>
      </c>
      <c r="AQ98" s="29">
        <v>2.6956100098252413</v>
      </c>
      <c r="AR98" s="29">
        <v>2.7159940656766288</v>
      </c>
      <c r="AS98" s="29">
        <v>2.736398708353625</v>
      </c>
      <c r="AT98" s="29">
        <v>2.7568225625677636</v>
      </c>
      <c r="AU98" s="29">
        <v>2.7772642496032436</v>
      </c>
      <c r="AV98" s="29">
        <v>2.7977223877164414</v>
      </c>
      <c r="AW98" s="29">
        <v>2.8181955925203761</v>
      </c>
      <c r="AX98" s="29">
        <v>2.8386824773702934</v>
      </c>
      <c r="AY98" s="29">
        <v>2.859181653762211</v>
      </c>
      <c r="AZ98" s="29">
        <v>2.8796917317155968</v>
      </c>
      <c r="BA98" s="29">
        <v>2.9002113201711444</v>
      </c>
      <c r="BB98" s="29">
        <v>2.9207390273762188</v>
      </c>
      <c r="BC98" s="29">
        <v>2.9412734612748297</v>
      </c>
      <c r="BD98" s="29">
        <v>2.9618132299000162</v>
      </c>
      <c r="BE98" s="29">
        <v>2.9823569417591052</v>
      </c>
      <c r="BF98" s="29">
        <v>3.0029032062226193</v>
      </c>
      <c r="BG98" s="29">
        <v>3.0234506339085305</v>
      </c>
      <c r="BH98" s="29">
        <v>3.0439978370689555</v>
      </c>
      <c r="BI98" s="29">
        <v>3.0645434299708896</v>
      </c>
      <c r="BJ98" s="29">
        <v>3.0850860292757982</v>
      </c>
      <c r="BK98" s="29">
        <v>3.105624254419304</v>
      </c>
      <c r="BL98" s="29">
        <v>3.1261567279875573</v>
      </c>
      <c r="BM98" s="29">
        <v>3.1466820760868854</v>
      </c>
      <c r="BN98" s="29">
        <v>3.1671989287182192</v>
      </c>
      <c r="BO98" s="29">
        <v>3.1877059201411182</v>
      </c>
      <c r="BP98" s="29">
        <v>3.2082016892382796</v>
      </c>
      <c r="BQ98" s="29">
        <v>3.2286848798764822</v>
      </c>
      <c r="BR98" s="29">
        <v>3.2491541412621752</v>
      </c>
      <c r="BS98" s="29">
        <v>3.2696081282941125</v>
      </c>
      <c r="BT98" s="29">
        <v>3.290045501912624</v>
      </c>
      <c r="BU98" s="29">
        <v>3.3104649294437856</v>
      </c>
      <c r="BV98" s="29">
        <v>3.3308650849380932</v>
      </c>
      <c r="BW98" s="29">
        <v>3.3512446495068278</v>
      </c>
      <c r="BX98" s="29">
        <v>3.3716023116521177</v>
      </c>
      <c r="BY98" s="29">
        <v>3.3919367675920444</v>
      </c>
      <c r="BZ98" s="29">
        <v>3.4122467215813046</v>
      </c>
      <c r="CA98" s="29">
        <v>3.4325308862255381</v>
      </c>
      <c r="CB98" s="29">
        <v>3.4527879827924703</v>
      </c>
      <c r="CC98" s="29">
        <v>3.473016741513375</v>
      </c>
      <c r="CD98" s="29">
        <v>3.4932159018835072</v>
      </c>
      <c r="CE98" s="29">
        <v>3.5133842129537829</v>
      </c>
      <c r="CF98" s="29">
        <v>3.5335204336168151</v>
      </c>
      <c r="CG98" s="29">
        <v>3.5536233328881046</v>
      </c>
      <c r="CH98" s="29">
        <v>3.5736916901788827</v>
      </c>
      <c r="CI98" s="29">
        <v>3.5937242955652806</v>
      </c>
      <c r="CJ98" s="29">
        <v>3.613719950048714</v>
      </c>
      <c r="CK98" s="29">
        <v>3.6336774658118465</v>
      </c>
      <c r="CL98" s="29">
        <v>3.6535956664646001</v>
      </c>
      <c r="CM98" s="29">
        <v>3.6734733872879555</v>
      </c>
      <c r="CN98" s="29">
        <v>3.6933094754689906</v>
      </c>
      <c r="CO98" s="29">
        <v>3.7131027903262215</v>
      </c>
      <c r="CP98" s="29">
        <v>3.7328522035327514</v>
      </c>
      <c r="CQ98" s="29">
        <v>3.7525565993292807</v>
      </c>
      <c r="CR98" s="29">
        <v>3.7722148747324207</v>
      </c>
      <c r="CS98" s="29">
        <v>3.7918259397339109</v>
      </c>
      <c r="CT98" s="29">
        <v>3.8113887174923828</v>
      </c>
      <c r="CU98" s="29">
        <v>3.830902144520818</v>
      </c>
      <c r="CV98" s="29">
        <v>3.8503651708646478</v>
      </c>
      <c r="CW98" s="29">
        <v>3.8697767602726811</v>
      </c>
      <c r="CX98" s="29">
        <v>3.8891358903618789</v>
      </c>
      <c r="CY98" s="29">
        <v>3.9084415527737759</v>
      </c>
      <c r="CZ98" s="29">
        <v>3.9276927533244868</v>
      </c>
      <c r="DA98" s="29">
        <v>3.9468885121479973</v>
      </c>
      <c r="DB98" s="29">
        <v>3.9660278638305435</v>
      </c>
      <c r="DC98" s="29">
        <v>3.9851098575391211</v>
      </c>
      <c r="DD98" s="29">
        <v>4.0041335571424455</v>
      </c>
      <c r="DE98" s="29">
        <v>4.0230980413259019</v>
      </c>
      <c r="DF98" s="29">
        <v>4.0420024036962596</v>
      </c>
      <c r="DG98" s="29">
        <v>4.0608457528834752</v>
      </c>
      <c r="DH98" s="29">
        <v>4.0796272126316246</v>
      </c>
      <c r="DI98" s="29">
        <v>4.0983459218862235</v>
      </c>
      <c r="DJ98" s="29">
        <v>4.1170010348718868</v>
      </c>
      <c r="DK98" s="29">
        <v>4.1355917211639426</v>
      </c>
      <c r="DL98" s="29">
        <v>4.1541171657550606</v>
      </c>
      <c r="DM98" s="29">
        <v>4.1725765691108201</v>
      </c>
      <c r="DN98" s="29">
        <v>4.190969147224326</v>
      </c>
      <c r="DO98" s="29">
        <v>4.2092941316589254</v>
      </c>
      <c r="DP98" s="29">
        <v>4.2275507695873706</v>
      </c>
      <c r="DQ98" s="29">
        <v>4.245738323823927</v>
      </c>
      <c r="DR98" s="29">
        <v>4.2638560728487356</v>
      </c>
      <c r="DS98">
        <v>4.2819033108288673</v>
      </c>
      <c r="DT98">
        <v>4.2998793476294459</v>
      </c>
      <c r="DU98">
        <v>4.3177835088210941</v>
      </c>
    </row>
    <row r="99" spans="1:125">
      <c r="A99" s="34">
        <v>97</v>
      </c>
      <c r="B99" s="35"/>
      <c r="C99" s="35"/>
      <c r="D99" s="35"/>
      <c r="E99" s="35"/>
      <c r="F99" s="35"/>
      <c r="G99" s="35"/>
      <c r="H99" s="35"/>
      <c r="I99" s="35"/>
      <c r="J99" s="35"/>
      <c r="K99" s="35"/>
      <c r="L99" s="35"/>
      <c r="M99" s="35"/>
      <c r="N99" s="35"/>
      <c r="O99" s="35"/>
      <c r="P99" s="35"/>
      <c r="Q99" s="35"/>
      <c r="R99" s="35"/>
      <c r="S99" s="35"/>
      <c r="T99" s="35"/>
      <c r="U99" s="35"/>
      <c r="V99" s="29"/>
      <c r="W99" s="29"/>
      <c r="X99" s="29"/>
      <c r="Y99" s="29">
        <v>2.3222904945418872</v>
      </c>
      <c r="Z99" s="29">
        <v>2.3578467149048197</v>
      </c>
      <c r="AA99" s="29">
        <v>2.3849199688296467</v>
      </c>
      <c r="AB99" s="29">
        <v>2.2779554551812486</v>
      </c>
      <c r="AC99" s="29">
        <v>2.2590011932340124</v>
      </c>
      <c r="AD99" s="29">
        <v>2.270856354267746</v>
      </c>
      <c r="AE99" s="29">
        <v>2.2889434243610829</v>
      </c>
      <c r="AF99" s="29">
        <v>2.3070542254326361</v>
      </c>
      <c r="AG99" s="29">
        <v>2.3251875113771971</v>
      </c>
      <c r="AH99" s="29">
        <v>2.3433420319881515</v>
      </c>
      <c r="AI99" s="29">
        <v>2.3615165333384263</v>
      </c>
      <c r="AJ99" s="29">
        <v>2.3797097581923508</v>
      </c>
      <c r="AK99" s="29">
        <v>2.3979204463671819</v>
      </c>
      <c r="AL99" s="29">
        <v>2.4161473351393576</v>
      </c>
      <c r="AM99" s="29">
        <v>2.4343891596327554</v>
      </c>
      <c r="AN99" s="29">
        <v>2.4526446532037216</v>
      </c>
      <c r="AO99" s="29">
        <v>2.4709125478379002</v>
      </c>
      <c r="AP99" s="29">
        <v>2.4891915745322226</v>
      </c>
      <c r="AQ99" s="29">
        <v>2.5075295875673111</v>
      </c>
      <c r="AR99" s="29">
        <v>2.5258803012770579</v>
      </c>
      <c r="AS99" s="29">
        <v>2.5442424992873449</v>
      </c>
      <c r="AT99" s="29">
        <v>2.5626149634168254</v>
      </c>
      <c r="AU99" s="29">
        <v>2.5809964739952607</v>
      </c>
      <c r="AV99" s="29">
        <v>2.5993858102146747</v>
      </c>
      <c r="AW99" s="29">
        <v>2.6177817504580343</v>
      </c>
      <c r="AX99" s="29">
        <v>2.636183072629354</v>
      </c>
      <c r="AY99" s="29">
        <v>2.6545885545000925</v>
      </c>
      <c r="AZ99" s="29">
        <v>2.6729969740334609</v>
      </c>
      <c r="BA99" s="29">
        <v>2.6914071097286323</v>
      </c>
      <c r="BB99" s="29">
        <v>2.7098177409478148</v>
      </c>
      <c r="BC99" s="29">
        <v>2.7282276482489731</v>
      </c>
      <c r="BD99" s="29">
        <v>2.7466356137216907</v>
      </c>
      <c r="BE99" s="29">
        <v>2.765040421313234</v>
      </c>
      <c r="BF99" s="29">
        <v>2.7834408571595324</v>
      </c>
      <c r="BG99" s="29">
        <v>2.8018357099099935</v>
      </c>
      <c r="BH99" s="29">
        <v>2.8202237710557077</v>
      </c>
      <c r="BI99" s="29">
        <v>2.8386038352501712</v>
      </c>
      <c r="BJ99" s="29">
        <v>2.8569747006286335</v>
      </c>
      <c r="BK99" s="29">
        <v>2.8753351691284177</v>
      </c>
      <c r="BL99" s="29">
        <v>2.8936840468050127</v>
      </c>
      <c r="BM99" s="29">
        <v>2.9120201441404081</v>
      </c>
      <c r="BN99" s="29">
        <v>2.9303422763581839</v>
      </c>
      <c r="BO99" s="29">
        <v>2.948649263726006</v>
      </c>
      <c r="BP99" s="29">
        <v>2.9669399318596006</v>
      </c>
      <c r="BQ99" s="29">
        <v>2.9852131120232168</v>
      </c>
      <c r="BR99" s="29">
        <v>3.0034676414241499</v>
      </c>
      <c r="BS99" s="29">
        <v>3.0217023635047089</v>
      </c>
      <c r="BT99" s="29">
        <v>3.0399161282310363</v>
      </c>
      <c r="BU99" s="29">
        <v>3.0581077923768065</v>
      </c>
      <c r="BV99" s="29">
        <v>3.0762762198010982</v>
      </c>
      <c r="BW99" s="29">
        <v>3.0944202817250357</v>
      </c>
      <c r="BX99" s="29">
        <v>3.1125388570016765</v>
      </c>
      <c r="BY99" s="29">
        <v>3.1306308323813568</v>
      </c>
      <c r="BZ99" s="29">
        <v>3.1486951027729875</v>
      </c>
      <c r="CA99" s="29">
        <v>3.1667305714990768</v>
      </c>
      <c r="CB99" s="29">
        <v>3.1847361505484799</v>
      </c>
      <c r="CC99" s="29">
        <v>3.202710760818773</v>
      </c>
      <c r="CD99" s="29">
        <v>3.2206533323592765</v>
      </c>
      <c r="CE99" s="29">
        <v>3.2385628046048969</v>
      </c>
      <c r="CF99" s="29">
        <v>3.2564381266050533</v>
      </c>
      <c r="CG99" s="29">
        <v>3.2742782572483651</v>
      </c>
      <c r="CH99" s="29">
        <v>3.2920821654791954</v>
      </c>
      <c r="CI99" s="29">
        <v>3.3098488305115632</v>
      </c>
      <c r="CJ99" s="29">
        <v>3.3275772420343994</v>
      </c>
      <c r="CK99" s="29">
        <v>3.3452664004134109</v>
      </c>
      <c r="CL99" s="29">
        <v>3.3629153168828885</v>
      </c>
      <c r="CM99" s="29">
        <v>3.380523013737033</v>
      </c>
      <c r="CN99" s="29">
        <v>3.3980885245126853</v>
      </c>
      <c r="CO99" s="29">
        <v>3.4156108941624885</v>
      </c>
      <c r="CP99" s="29">
        <v>3.4330891792276335</v>
      </c>
      <c r="CQ99" s="29">
        <v>3.4505224480005054</v>
      </c>
      <c r="CR99" s="29">
        <v>3.4679097806839749</v>
      </c>
      <c r="CS99" s="29">
        <v>3.4852502695419005</v>
      </c>
      <c r="CT99" s="29">
        <v>3.502543019042947</v>
      </c>
      <c r="CU99" s="29">
        <v>3.5197871460015993</v>
      </c>
      <c r="CV99" s="29">
        <v>3.5369817797101399</v>
      </c>
      <c r="CW99" s="29">
        <v>3.5541260620643822</v>
      </c>
      <c r="CX99" s="29">
        <v>3.5712191476843822</v>
      </c>
      <c r="CY99" s="29">
        <v>3.5882602040274287</v>
      </c>
      <c r="CZ99" s="29">
        <v>3.6052484114957606</v>
      </c>
      <c r="DA99" s="29">
        <v>3.6221829635386107</v>
      </c>
      <c r="DB99" s="29">
        <v>3.6390630667459192</v>
      </c>
      <c r="DC99" s="29">
        <v>3.6558879409374301</v>
      </c>
      <c r="DD99" s="29">
        <v>3.6726568192451765</v>
      </c>
      <c r="DE99" s="29">
        <v>3.6893689481911345</v>
      </c>
      <c r="DF99" s="29">
        <v>3.7060235877550527</v>
      </c>
      <c r="DG99" s="29">
        <v>3.7226200114411867</v>
      </c>
      <c r="DH99" s="29">
        <v>3.7391575063344726</v>
      </c>
      <c r="DI99" s="29">
        <v>3.7556353731547096</v>
      </c>
      <c r="DJ99" s="29">
        <v>3.772052926301674</v>
      </c>
      <c r="DK99" s="29">
        <v>3.7884094938953234</v>
      </c>
      <c r="DL99" s="29">
        <v>3.8047044178124478</v>
      </c>
      <c r="DM99" s="29">
        <v>3.820937053712492</v>
      </c>
      <c r="DN99" s="29">
        <v>3.8371067710645486</v>
      </c>
      <c r="DO99" s="29">
        <v>3.8532129531625352</v>
      </c>
      <c r="DP99" s="29">
        <v>3.8692549971384276</v>
      </c>
      <c r="DQ99" s="29">
        <v>3.8852323139693716</v>
      </c>
      <c r="DR99" s="29">
        <v>3.9011443284778871</v>
      </c>
      <c r="DS99">
        <v>3.9169904793303401</v>
      </c>
      <c r="DT99">
        <v>3.932770219025862</v>
      </c>
      <c r="DU99">
        <v>3.948483013883112</v>
      </c>
    </row>
    <row r="100" spans="1:125">
      <c r="A100" s="34">
        <v>98</v>
      </c>
      <c r="B100" s="35"/>
      <c r="C100" s="35"/>
      <c r="D100" s="35"/>
      <c r="E100" s="35"/>
      <c r="F100" s="35"/>
      <c r="G100" s="35"/>
      <c r="H100" s="35"/>
      <c r="I100" s="35"/>
      <c r="J100" s="35"/>
      <c r="K100" s="35"/>
      <c r="L100" s="35"/>
      <c r="M100" s="35"/>
      <c r="N100" s="35"/>
      <c r="O100" s="35"/>
      <c r="P100" s="35"/>
      <c r="Q100" s="35"/>
      <c r="R100" s="35"/>
      <c r="S100" s="35"/>
      <c r="T100" s="35"/>
      <c r="U100" s="35"/>
      <c r="V100" s="29"/>
      <c r="W100" s="29"/>
      <c r="X100" s="29"/>
      <c r="Y100" s="29">
        <v>2.1734923954640197</v>
      </c>
      <c r="Z100" s="29">
        <v>2.2057156618285712</v>
      </c>
      <c r="AA100" s="29">
        <v>2.2303804283276341</v>
      </c>
      <c r="AB100" s="29">
        <v>2.1330489713627516</v>
      </c>
      <c r="AC100" s="29">
        <v>2.115743125454594</v>
      </c>
      <c r="AD100" s="29">
        <v>2.1265169480792938</v>
      </c>
      <c r="AE100" s="29">
        <v>2.1429643600692043</v>
      </c>
      <c r="AF100" s="29">
        <v>2.1594271087924488</v>
      </c>
      <c r="AG100" s="29">
        <v>2.1759040758924675</v>
      </c>
      <c r="AH100" s="29">
        <v>2.1923941408120999</v>
      </c>
      <c r="AI100" s="29">
        <v>2.2088961811218857</v>
      </c>
      <c r="AJ100" s="29">
        <v>2.2254090728938873</v>
      </c>
      <c r="AK100" s="29">
        <v>2.2419316909989182</v>
      </c>
      <c r="AL100" s="29">
        <v>2.2584629094691597</v>
      </c>
      <c r="AM100" s="29">
        <v>2.2750016018338561</v>
      </c>
      <c r="AN100" s="29">
        <v>2.2915466414493189</v>
      </c>
      <c r="AO100" s="29">
        <v>2.3080969018456359</v>
      </c>
      <c r="AP100" s="29">
        <v>2.3246512570518214</v>
      </c>
      <c r="AQ100" s="29">
        <v>2.3412706698911281</v>
      </c>
      <c r="AR100" s="29">
        <v>2.3578957003582759</v>
      </c>
      <c r="AS100" s="29">
        <v>2.374525264125956</v>
      </c>
      <c r="AT100" s="29">
        <v>2.3911582765049717</v>
      </c>
      <c r="AU100" s="29">
        <v>2.4077936527130017</v>
      </c>
      <c r="AV100" s="29">
        <v>2.4244303081901073</v>
      </c>
      <c r="AW100" s="29">
        <v>2.4410671588807702</v>
      </c>
      <c r="AX100" s="29">
        <v>2.4577031215186427</v>
      </c>
      <c r="AY100" s="29">
        <v>2.4743371139331041</v>
      </c>
      <c r="AZ100" s="29">
        <v>2.4909680553248048</v>
      </c>
      <c r="BA100" s="29">
        <v>2.5075948665689562</v>
      </c>
      <c r="BB100" s="29">
        <v>2.5242164704946379</v>
      </c>
      <c r="BC100" s="29">
        <v>2.540831792171879</v>
      </c>
      <c r="BD100" s="29">
        <v>2.5574397592034526</v>
      </c>
      <c r="BE100" s="29">
        <v>2.5740393020031647</v>
      </c>
      <c r="BF100" s="29">
        <v>2.5906293540813774</v>
      </c>
      <c r="BG100" s="29">
        <v>2.6072088523223838</v>
      </c>
      <c r="BH100" s="29">
        <v>2.6237767372669119</v>
      </c>
      <c r="BI100" s="29">
        <v>2.6403319533851519</v>
      </c>
      <c r="BJ100" s="29">
        <v>2.6568734493482671</v>
      </c>
      <c r="BK100" s="29">
        <v>2.6734001783024581</v>
      </c>
      <c r="BL100" s="29">
        <v>2.6899110981375749</v>
      </c>
      <c r="BM100" s="29">
        <v>2.706405171746618</v>
      </c>
      <c r="BN100" s="29">
        <v>2.7228813672950603</v>
      </c>
      <c r="BO100" s="29">
        <v>2.7393386584744341</v>
      </c>
      <c r="BP100" s="29">
        <v>2.7557760247589336</v>
      </c>
      <c r="BQ100" s="29">
        <v>2.7721924516586669</v>
      </c>
      <c r="BR100" s="29">
        <v>2.7885869309661109</v>
      </c>
      <c r="BS100" s="29">
        <v>2.8049584610006066</v>
      </c>
      <c r="BT100" s="29">
        <v>2.8213060468500091</v>
      </c>
      <c r="BU100" s="29">
        <v>2.8376287006071359</v>
      </c>
      <c r="BV100" s="29">
        <v>2.8539254415998285</v>
      </c>
      <c r="BW100" s="29">
        <v>2.8701952966212789</v>
      </c>
      <c r="BX100" s="29">
        <v>2.8864373001528145</v>
      </c>
      <c r="BY100" s="29">
        <v>2.9026504945826064</v>
      </c>
      <c r="BZ100" s="29">
        <v>2.9188339304207505</v>
      </c>
      <c r="CA100" s="29">
        <v>2.9349866665079611</v>
      </c>
      <c r="CB100" s="29">
        <v>2.951107770223123</v>
      </c>
      <c r="CC100" s="29">
        <v>2.9671963176792255</v>
      </c>
      <c r="CD100" s="29">
        <v>2.9832513939221306</v>
      </c>
      <c r="CE100" s="29">
        <v>2.9992720931192718</v>
      </c>
      <c r="CF100" s="29">
        <v>3.0152575187442006</v>
      </c>
      <c r="CG100" s="29">
        <v>3.0312067837574661</v>
      </c>
      <c r="CH100" s="29">
        <v>3.0471190107793102</v>
      </c>
      <c r="CI100" s="29">
        <v>3.0629933322608913</v>
      </c>
      <c r="CJ100" s="29">
        <v>3.0788288906466832</v>
      </c>
      <c r="CK100" s="29">
        <v>3.094624838534564</v>
      </c>
      <c r="CL100" s="29">
        <v>3.1103803388253182</v>
      </c>
      <c r="CM100" s="29">
        <v>3.1260945648737239</v>
      </c>
      <c r="CN100" s="29">
        <v>3.1417667006308436</v>
      </c>
      <c r="CO100" s="29">
        <v>3.1573959407764933</v>
      </c>
      <c r="CP100" s="29">
        <v>3.1729814908533891</v>
      </c>
      <c r="CQ100" s="29">
        <v>3.1885225673907636</v>
      </c>
      <c r="CR100" s="29">
        <v>3.2040183980260561</v>
      </c>
      <c r="CS100" s="29">
        <v>3.2194682216177792</v>
      </c>
      <c r="CT100" s="29">
        <v>3.2348712883522523</v>
      </c>
      <c r="CU100" s="29">
        <v>3.2502268598491826</v>
      </c>
      <c r="CV100" s="29">
        <v>3.2655342092581066</v>
      </c>
      <c r="CW100" s="29">
        <v>3.2807926213493745</v>
      </c>
      <c r="CX100" s="29">
        <v>3.2960013926011777</v>
      </c>
      <c r="CY100" s="29">
        <v>3.3111598312791681</v>
      </c>
      <c r="CZ100" s="29">
        <v>3.326267257511871</v>
      </c>
      <c r="DA100" s="29">
        <v>3.3413230033613095</v>
      </c>
      <c r="DB100" s="29">
        <v>3.3563264128855379</v>
      </c>
      <c r="DC100" s="29">
        <v>3.371276842197747</v>
      </c>
      <c r="DD100" s="29">
        <v>3.3861736595194669</v>
      </c>
      <c r="DE100" s="29">
        <v>3.401016245230009</v>
      </c>
      <c r="DF100" s="29">
        <v>3.4158039919060501</v>
      </c>
      <c r="DG100" s="29">
        <v>3.4305363043620698</v>
      </c>
      <c r="DH100" s="29">
        <v>3.4452125996800245</v>
      </c>
      <c r="DI100" s="29">
        <v>3.4598323072387265</v>
      </c>
      <c r="DJ100" s="29">
        <v>3.4743948687343265</v>
      </c>
      <c r="DK100" s="29">
        <v>3.4888997381968672</v>
      </c>
      <c r="DL100" s="29">
        <v>3.5033463820046586</v>
      </c>
      <c r="DM100" s="29">
        <v>3.5177342788875441</v>
      </c>
      <c r="DN100" s="29">
        <v>3.5320629199336313</v>
      </c>
      <c r="DO100" s="29">
        <v>3.5463318085837394</v>
      </c>
      <c r="DP100" s="29">
        <v>3.5605404606254956</v>
      </c>
      <c r="DQ100" s="29">
        <v>3.574688404181992</v>
      </c>
      <c r="DR100" s="29">
        <v>3.5887751796940668</v>
      </c>
      <c r="DS100">
        <v>3.6028003399024384</v>
      </c>
      <c r="DT100">
        <v>3.6167634498201782</v>
      </c>
      <c r="DU100">
        <v>3.6306640867045195</v>
      </c>
    </row>
    <row r="101" spans="1:125">
      <c r="A101" s="34">
        <v>99</v>
      </c>
      <c r="B101" s="35"/>
      <c r="C101" s="35"/>
      <c r="D101" s="35"/>
      <c r="E101" s="35"/>
      <c r="F101" s="35"/>
      <c r="G101" s="35"/>
      <c r="H101" s="35"/>
      <c r="I101" s="35"/>
      <c r="J101" s="35"/>
      <c r="K101" s="35"/>
      <c r="L101" s="35"/>
      <c r="M101" s="35"/>
      <c r="N101" s="35"/>
      <c r="O101" s="35"/>
      <c r="P101" s="35"/>
      <c r="Q101" s="35"/>
      <c r="R101" s="35"/>
      <c r="S101" s="35"/>
      <c r="T101" s="35"/>
      <c r="U101" s="35"/>
      <c r="V101" s="29"/>
      <c r="W101" s="29"/>
      <c r="X101" s="29"/>
      <c r="Y101" s="29">
        <v>2.0416950661659143</v>
      </c>
      <c r="Z101" s="29">
        <v>2.0710814051106845</v>
      </c>
      <c r="AA101" s="29">
        <v>2.0936902892458087</v>
      </c>
      <c r="AB101" s="29">
        <v>2.0045787166355291</v>
      </c>
      <c r="AC101" s="29">
        <v>1.9886834588258187</v>
      </c>
      <c r="AD101" s="29">
        <v>1.998534641180485</v>
      </c>
      <c r="AE101" s="29">
        <v>2.0135827717095713</v>
      </c>
      <c r="AF101" s="29">
        <v>2.0286397091565265</v>
      </c>
      <c r="AG101" s="29">
        <v>2.0437044445316443</v>
      </c>
      <c r="AH101" s="29">
        <v>2.058775968031358</v>
      </c>
      <c r="AI101" s="29">
        <v>2.0738532693212059</v>
      </c>
      <c r="AJ101" s="29">
        <v>2.0889353378894064</v>
      </c>
      <c r="AK101" s="29">
        <v>2.1040211632810908</v>
      </c>
      <c r="AL101" s="29">
        <v>2.1191097354325721</v>
      </c>
      <c r="AM101" s="29">
        <v>2.1342000449648206</v>
      </c>
      <c r="AN101" s="29">
        <v>2.1492910834677277</v>
      </c>
      <c r="AO101" s="29">
        <v>2.1643818438095681</v>
      </c>
      <c r="AP101" s="29">
        <v>2.179471320414641</v>
      </c>
      <c r="AQ101" s="29">
        <v>2.1946305704120705</v>
      </c>
      <c r="AR101" s="29">
        <v>2.2097899922216979</v>
      </c>
      <c r="AS101" s="29">
        <v>2.2249486128020326</v>
      </c>
      <c r="AT101" s="29">
        <v>2.2401054598045254</v>
      </c>
      <c r="AU101" s="29">
        <v>2.2552595617974278</v>
      </c>
      <c r="AV101" s="29">
        <v>2.2704099485591485</v>
      </c>
      <c r="AW101" s="29">
        <v>2.2855556513208324</v>
      </c>
      <c r="AX101" s="29">
        <v>2.3006957030144206</v>
      </c>
      <c r="AY101" s="29">
        <v>2.3158291385513081</v>
      </c>
      <c r="AZ101" s="29">
        <v>2.3309549950564246</v>
      </c>
      <c r="BA101" s="29">
        <v>2.3460723121426224</v>
      </c>
      <c r="BB101" s="29">
        <v>2.3611801321507153</v>
      </c>
      <c r="BC101" s="29">
        <v>2.3762775004008336</v>
      </c>
      <c r="BD101" s="29">
        <v>2.3913634654512093</v>
      </c>
      <c r="BE101" s="29">
        <v>2.4064370793379326</v>
      </c>
      <c r="BF101" s="29">
        <v>2.4214973978257159</v>
      </c>
      <c r="BG101" s="29">
        <v>2.4365434806476438</v>
      </c>
      <c r="BH101" s="29">
        <v>2.4515743917528696</v>
      </c>
      <c r="BI101" s="29">
        <v>2.4665891995419407</v>
      </c>
      <c r="BJ101" s="29">
        <v>2.4815869771004571</v>
      </c>
      <c r="BK101" s="29">
        <v>2.4965668024378833</v>
      </c>
      <c r="BL101" s="29">
        <v>2.5115277587189908</v>
      </c>
      <c r="BM101" s="29">
        <v>2.5264689344843161</v>
      </c>
      <c r="BN101" s="29">
        <v>2.5413894238850254</v>
      </c>
      <c r="BO101" s="29">
        <v>2.5562883268973611</v>
      </c>
      <c r="BP101" s="29">
        <v>2.5711647495423953</v>
      </c>
      <c r="BQ101" s="29">
        <v>2.5860178041026649</v>
      </c>
      <c r="BR101" s="29">
        <v>2.6008466093306675</v>
      </c>
      <c r="BS101" s="29">
        <v>2.6156502906562347</v>
      </c>
      <c r="BT101" s="29">
        <v>2.6304279803914268</v>
      </c>
      <c r="BU101" s="29">
        <v>2.6451788179300317</v>
      </c>
      <c r="BV101" s="29">
        <v>2.6599019499396732</v>
      </c>
      <c r="BW101" s="29">
        <v>2.6745965305563502</v>
      </c>
      <c r="BX101" s="29">
        <v>2.6892617215700501</v>
      </c>
      <c r="BY101" s="29">
        <v>2.7038966926068451</v>
      </c>
      <c r="BZ101" s="29">
        <v>2.7185006213077836</v>
      </c>
      <c r="CA101" s="29">
        <v>2.7330726935010548</v>
      </c>
      <c r="CB101" s="29">
        <v>2.7476121033744252</v>
      </c>
      <c r="CC101" s="29">
        <v>2.7621180536340364</v>
      </c>
      <c r="CD101" s="29">
        <v>2.7765897556689847</v>
      </c>
      <c r="CE101" s="29">
        <v>2.7910264297042682</v>
      </c>
      <c r="CF101" s="29">
        <v>2.805427304950439</v>
      </c>
      <c r="CG101" s="29">
        <v>2.8197916197501165</v>
      </c>
      <c r="CH101" s="29">
        <v>2.8341186217159891</v>
      </c>
      <c r="CI101" s="29">
        <v>2.8484075678686915</v>
      </c>
      <c r="CJ101" s="29">
        <v>2.8626577247653056</v>
      </c>
      <c r="CK101" s="29">
        <v>2.8768683686267771</v>
      </c>
      <c r="CL101" s="29">
        <v>2.8910387854536319</v>
      </c>
      <c r="CM101" s="29">
        <v>2.9051682711459086</v>
      </c>
      <c r="CN101" s="29">
        <v>2.919256131613631</v>
      </c>
      <c r="CO101" s="29">
        <v>2.9333016828767216</v>
      </c>
      <c r="CP101" s="29">
        <v>2.947304251169208</v>
      </c>
      <c r="CQ101" s="29">
        <v>2.9612631730318904</v>
      </c>
      <c r="CR101" s="29">
        <v>2.9751777954047212</v>
      </c>
      <c r="CS101" s="29">
        <v>2.9890474757098904</v>
      </c>
      <c r="CT101" s="29">
        <v>3.0028715819291483</v>
      </c>
      <c r="CU101" s="29">
        <v>3.0166494926819132</v>
      </c>
      <c r="CV101" s="29">
        <v>3.0303805972936297</v>
      </c>
      <c r="CW101" s="29">
        <v>3.0440642958593758</v>
      </c>
      <c r="CX101" s="29">
        <v>3.0576999993045462</v>
      </c>
      <c r="CY101" s="29">
        <v>3.0712871294381419</v>
      </c>
      <c r="CZ101" s="29">
        <v>3.0848251190028879</v>
      </c>
      <c r="DA101" s="29">
        <v>3.0983134117213593</v>
      </c>
      <c r="DB101" s="29">
        <v>3.111751462333872</v>
      </c>
      <c r="DC101" s="29">
        <v>3.1251387366341596</v>
      </c>
      <c r="DD101" s="29">
        <v>3.1384747114996654</v>
      </c>
      <c r="DE101" s="29">
        <v>3.1517588749191066</v>
      </c>
      <c r="DF101" s="29">
        <v>3.1649907260096248</v>
      </c>
      <c r="DG101" s="29">
        <v>3.1781697750370794</v>
      </c>
      <c r="DH101" s="29">
        <v>3.1912955434247792</v>
      </c>
      <c r="DI101" s="29">
        <v>3.2043675637638076</v>
      </c>
      <c r="DJ101" s="29">
        <v>3.2173853798142069</v>
      </c>
      <c r="DK101" s="29">
        <v>3.2303485465031159</v>
      </c>
      <c r="DL101" s="29">
        <v>3.2432566299221564</v>
      </c>
      <c r="DM101" s="29">
        <v>3.2561092073128117</v>
      </c>
      <c r="DN101" s="29">
        <v>3.2689058670580184</v>
      </c>
      <c r="DO101" s="29">
        <v>3.2816462086602707</v>
      </c>
      <c r="DP101" s="29">
        <v>3.2943298427211554</v>
      </c>
      <c r="DQ101" s="29">
        <v>3.3069563909158752</v>
      </c>
      <c r="DR101" s="29">
        <v>3.3195254859616625</v>
      </c>
      <c r="DS101">
        <v>3.3320367715877506</v>
      </c>
      <c r="DT101">
        <v>3.3444899024950563</v>
      </c>
      <c r="DU101">
        <v>3.3568845443167845</v>
      </c>
    </row>
    <row r="102" spans="1:125">
      <c r="A102" s="34">
        <v>100</v>
      </c>
      <c r="B102" s="35"/>
      <c r="C102" s="35"/>
      <c r="D102" s="35"/>
      <c r="E102" s="35"/>
      <c r="F102" s="35"/>
      <c r="G102" s="35"/>
      <c r="H102" s="35"/>
      <c r="I102" s="35"/>
      <c r="J102" s="35"/>
      <c r="K102" s="35"/>
      <c r="L102" s="35"/>
      <c r="M102" s="35"/>
      <c r="N102" s="35"/>
      <c r="O102" s="35"/>
      <c r="P102" s="35"/>
      <c r="Q102" s="35"/>
      <c r="R102" s="35"/>
      <c r="S102" s="35"/>
      <c r="T102" s="35"/>
      <c r="U102" s="35"/>
      <c r="V102" s="29"/>
      <c r="W102" s="29"/>
      <c r="X102" s="29"/>
      <c r="Y102" s="29">
        <v>1.9252485463494406</v>
      </c>
      <c r="Z102" s="29">
        <v>1.952219041534363</v>
      </c>
      <c r="AA102" s="29">
        <v>1.9730713936178859</v>
      </c>
      <c r="AB102" s="29">
        <v>1.8909784794470264</v>
      </c>
      <c r="AC102" s="29">
        <v>1.8762909293976655</v>
      </c>
      <c r="AD102" s="29">
        <v>1.8853546576597995</v>
      </c>
      <c r="AE102" s="29">
        <v>1.8992081869172139</v>
      </c>
      <c r="AF102" s="29">
        <v>1.9130654064205947</v>
      </c>
      <c r="AG102" s="29">
        <v>1.9269253994657078</v>
      </c>
      <c r="AH102" s="29">
        <v>1.9407872495528085</v>
      </c>
      <c r="AI102" s="29">
        <v>1.9546500406293383</v>
      </c>
      <c r="AJ102" s="29">
        <v>1.9685128574466693</v>
      </c>
      <c r="AK102" s="29">
        <v>1.9823747857251444</v>
      </c>
      <c r="AL102" s="29">
        <v>1.9962349124782142</v>
      </c>
      <c r="AM102" s="29">
        <v>2.010092326272952</v>
      </c>
      <c r="AN102" s="29">
        <v>2.0239461174756648</v>
      </c>
      <c r="AO102" s="29">
        <v>2.0377953785371559</v>
      </c>
      <c r="AP102" s="29">
        <v>2.0516392042295815</v>
      </c>
      <c r="AQ102" s="29">
        <v>2.0655563032954554</v>
      </c>
      <c r="AR102" s="29">
        <v>2.079469340994379</v>
      </c>
      <c r="AS102" s="29">
        <v>2.0933774370925957</v>
      </c>
      <c r="AT102" s="29">
        <v>2.1072797128421783</v>
      </c>
      <c r="AU102" s="29">
        <v>2.1211752911606792</v>
      </c>
      <c r="AV102" s="29">
        <v>2.1350632969178984</v>
      </c>
      <c r="AW102" s="29">
        <v>2.1489428571435569</v>
      </c>
      <c r="AX102" s="29">
        <v>2.1628131012456877</v>
      </c>
      <c r="AY102" s="29">
        <v>2.1766731612736701</v>
      </c>
      <c r="AZ102" s="29">
        <v>2.190522172115172</v>
      </c>
      <c r="BA102" s="29">
        <v>2.2043592717537459</v>
      </c>
      <c r="BB102" s="29">
        <v>2.218183601475646</v>
      </c>
      <c r="BC102" s="29">
        <v>2.231994306093724</v>
      </c>
      <c r="BD102" s="29">
        <v>2.2457905341832958</v>
      </c>
      <c r="BE102" s="29">
        <v>2.2595714382902434</v>
      </c>
      <c r="BF102" s="29">
        <v>2.2733361751562704</v>
      </c>
      <c r="BG102" s="29">
        <v>2.2870839059286627</v>
      </c>
      <c r="BH102" s="29">
        <v>2.3008137963825037</v>
      </c>
      <c r="BI102" s="29">
        <v>2.3145250171260665</v>
      </c>
      <c r="BJ102" s="29">
        <v>2.3282167438042825</v>
      </c>
      <c r="BK102" s="29">
        <v>2.341888157311562</v>
      </c>
      <c r="BL102" s="29">
        <v>2.3555384439941225</v>
      </c>
      <c r="BM102" s="29">
        <v>2.3691667958385505</v>
      </c>
      <c r="BN102" s="29">
        <v>2.3827724106817918</v>
      </c>
      <c r="BO102" s="29">
        <v>2.3963544923934665</v>
      </c>
      <c r="BP102" s="29">
        <v>2.4099122510669826</v>
      </c>
      <c r="BQ102" s="29">
        <v>2.4234449032078498</v>
      </c>
      <c r="BR102" s="29">
        <v>2.4369516719116788</v>
      </c>
      <c r="BS102" s="29">
        <v>2.4504317870423034</v>
      </c>
      <c r="BT102" s="29">
        <v>2.4638844854078492</v>
      </c>
      <c r="BU102" s="29">
        <v>2.4773090109310241</v>
      </c>
      <c r="BV102" s="29">
        <v>2.4907046148103409</v>
      </c>
      <c r="BW102" s="29">
        <v>2.5040705556869627</v>
      </c>
      <c r="BX102" s="29">
        <v>2.5174060998003309</v>
      </c>
      <c r="BY102" s="29">
        <v>2.5307105211409868</v>
      </c>
      <c r="BZ102" s="29">
        <v>2.5439831016006633</v>
      </c>
      <c r="CA102" s="29">
        <v>2.5572231311149158</v>
      </c>
      <c r="CB102" s="29">
        <v>2.5704299078079984</v>
      </c>
      <c r="CC102" s="29">
        <v>2.5836027381208169</v>
      </c>
      <c r="CD102" s="29">
        <v>2.5967409369489087</v>
      </c>
      <c r="CE102" s="29">
        <v>2.6098438277661744</v>
      </c>
      <c r="CF102" s="29">
        <v>2.6229107427463996</v>
      </c>
      <c r="CG102" s="29">
        <v>2.6359410228821387</v>
      </c>
      <c r="CH102" s="29">
        <v>2.648934018094363</v>
      </c>
      <c r="CI102" s="29">
        <v>2.6618890873437051</v>
      </c>
      <c r="CJ102" s="29">
        <v>2.6748055987312349</v>
      </c>
      <c r="CK102" s="29">
        <v>2.6876829295996751</v>
      </c>
      <c r="CL102" s="29">
        <v>2.7005204666209757</v>
      </c>
      <c r="CM102" s="29">
        <v>2.7133176058916817</v>
      </c>
      <c r="CN102" s="29">
        <v>2.7260737530175545</v>
      </c>
      <c r="CO102" s="29">
        <v>2.7387883231862151</v>
      </c>
      <c r="CP102" s="29">
        <v>2.7514607412476106</v>
      </c>
      <c r="CQ102" s="29">
        <v>2.7640904417811143</v>
      </c>
      <c r="CR102" s="29">
        <v>2.7766768691644113</v>
      </c>
      <c r="CS102" s="29">
        <v>2.7892194776320207</v>
      </c>
      <c r="CT102" s="29">
        <v>2.8017177313282811</v>
      </c>
      <c r="CU102" s="29">
        <v>2.8141711043635587</v>
      </c>
      <c r="CV102" s="29">
        <v>2.8265790808594629</v>
      </c>
      <c r="CW102" s="29">
        <v>2.8389411549899601</v>
      </c>
      <c r="CX102" s="29">
        <v>2.8512568310206992</v>
      </c>
      <c r="CY102" s="29">
        <v>2.8635256233405686</v>
      </c>
      <c r="CZ102" s="29">
        <v>2.8757470564912104</v>
      </c>
      <c r="DA102" s="29">
        <v>2.8879206651932963</v>
      </c>
      <c r="DB102" s="29">
        <v>2.9000459943639809</v>
      </c>
      <c r="DC102" s="29">
        <v>2.912122599133486</v>
      </c>
      <c r="DD102" s="29">
        <v>2.9241500448566544</v>
      </c>
      <c r="DE102" s="29">
        <v>2.936127907122871</v>
      </c>
      <c r="DF102" s="29">
        <v>2.9480557717543592</v>
      </c>
      <c r="DG102" s="29">
        <v>2.9599332348105101</v>
      </c>
      <c r="DH102" s="29">
        <v>2.9717599025790959</v>
      </c>
      <c r="DI102" s="29">
        <v>2.9835353915713938</v>
      </c>
      <c r="DJ102" s="29">
        <v>2.9952593285073856</v>
      </c>
      <c r="DK102" s="29">
        <v>3.0069313502987942</v>
      </c>
      <c r="DL102" s="29">
        <v>3.0185511040329835</v>
      </c>
      <c r="DM102" s="29">
        <v>3.0301182469431671</v>
      </c>
      <c r="DN102" s="29">
        <v>3.0416324463883324</v>
      </c>
      <c r="DO102" s="29">
        <v>3.0530933798175868</v>
      </c>
      <c r="DP102" s="29">
        <v>3.0645007347380271</v>
      </c>
      <c r="DQ102" s="29">
        <v>3.0758542086778293</v>
      </c>
      <c r="DR102" s="29">
        <v>3.0871535091431914</v>
      </c>
      <c r="DS102">
        <v>3.0983983535788715</v>
      </c>
      <c r="DT102">
        <v>3.1095884693171234</v>
      </c>
      <c r="DU102">
        <v>3.1207235935294277</v>
      </c>
    </row>
  </sheetData>
  <sheetProtection formatColumns="0" autoFilter="0"/>
  <hyperlinks>
    <hyperlink ref="A1" r:id="rId1" display="https://view.officeapps.live.com/op/view.aspx?src=https%3A%2F%2Fwww.destatis.de%2FDE%2FThemen%2FGesellschaft-Umwelt%2FBevoelkerung%2FSterbefaelle-Lebenserwartung%2FPublikationen%2FDownloads-Sterbefaelle%2Fkohortensterbetafeln-5126101209005.xlsx%3F__blob%3DpublicationFile&amp;wdOrigin=BROWSELINK" xr:uid="{23A73ABD-5A9C-4A6A-B65F-2D1DE80E6CDB}"/>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5E91C-7046-4DBB-A694-65480046B9DC}">
  <sheetPr codeName="Tabelle53"/>
  <dimension ref="A1:C54"/>
  <sheetViews>
    <sheetView workbookViewId="0">
      <selection activeCell="C4" sqref="C4"/>
    </sheetView>
  </sheetViews>
  <sheetFormatPr baseColWidth="10" defaultRowHeight="15"/>
  <cols>
    <col min="1" max="1" width="23.5703125" customWidth="1"/>
    <col min="2" max="2" width="27.140625" customWidth="1"/>
  </cols>
  <sheetData>
    <row r="1" spans="1:3">
      <c r="A1" s="145" t="s">
        <v>2486</v>
      </c>
    </row>
    <row r="3" spans="1:3">
      <c r="A3" s="146" t="s">
        <v>2487</v>
      </c>
      <c r="B3" s="146" t="s">
        <v>2198</v>
      </c>
    </row>
    <row r="4" spans="1:3">
      <c r="A4" s="147" t="s">
        <v>2269</v>
      </c>
      <c r="B4" s="147" t="s">
        <v>2488</v>
      </c>
      <c r="C4" t="str">
        <f>VLOOKUP(Länderwahl,Doppelbesteuerung,2)</f>
        <v>Fortgeltung DBA Tschechoslowakei; zusätzlich BEPS-MLI-Anwendung</v>
      </c>
    </row>
    <row r="5" spans="1:3">
      <c r="A5" s="147" t="s">
        <v>2489</v>
      </c>
      <c r="B5" s="147" t="s">
        <v>2488</v>
      </c>
    </row>
    <row r="6" spans="1:3">
      <c r="A6" s="147" t="s">
        <v>2490</v>
      </c>
      <c r="B6" s="147" t="s">
        <v>2488</v>
      </c>
    </row>
    <row r="7" spans="1:3" ht="45">
      <c r="A7" s="147" t="s">
        <v>2491</v>
      </c>
      <c r="B7" s="147" t="s">
        <v>2492</v>
      </c>
    </row>
    <row r="8" spans="1:3">
      <c r="A8" s="147" t="s">
        <v>0</v>
      </c>
      <c r="B8" s="147" t="s">
        <v>2488</v>
      </c>
    </row>
    <row r="9" spans="1:3" ht="30">
      <c r="A9" s="147" t="s">
        <v>2493</v>
      </c>
      <c r="B9" s="147" t="s">
        <v>2494</v>
      </c>
    </row>
    <row r="10" spans="1:3">
      <c r="A10" s="147" t="s">
        <v>1</v>
      </c>
      <c r="B10" s="147" t="s">
        <v>2488</v>
      </c>
    </row>
    <row r="11" spans="1:3">
      <c r="A11" s="147" t="s">
        <v>2</v>
      </c>
      <c r="B11" s="147" t="s">
        <v>2488</v>
      </c>
    </row>
    <row r="12" spans="1:3">
      <c r="A12" s="147" t="s">
        <v>4</v>
      </c>
      <c r="B12" s="147" t="s">
        <v>2488</v>
      </c>
    </row>
    <row r="13" spans="1:3">
      <c r="A13" s="147" t="s">
        <v>5</v>
      </c>
      <c r="B13" s="147" t="s">
        <v>2488</v>
      </c>
    </row>
    <row r="14" spans="1:3" ht="30">
      <c r="A14" s="147" t="s">
        <v>6</v>
      </c>
      <c r="B14" s="147" t="s">
        <v>2495</v>
      </c>
    </row>
    <row r="15" spans="1:3">
      <c r="A15" s="147" t="s">
        <v>2496</v>
      </c>
      <c r="B15" s="147" t="s">
        <v>2488</v>
      </c>
    </row>
    <row r="16" spans="1:3" ht="30">
      <c r="A16" s="147" t="s">
        <v>7</v>
      </c>
      <c r="B16" s="147" t="s">
        <v>2495</v>
      </c>
    </row>
    <row r="17" spans="1:2">
      <c r="A17" s="147" t="s">
        <v>8</v>
      </c>
      <c r="B17" s="147" t="s">
        <v>2488</v>
      </c>
    </row>
    <row r="18" spans="1:2">
      <c r="A18" s="147" t="s">
        <v>9</v>
      </c>
      <c r="B18" s="147" t="s">
        <v>2488</v>
      </c>
    </row>
    <row r="19" spans="1:2">
      <c r="A19" s="147" t="s">
        <v>10</v>
      </c>
      <c r="B19" s="147" t="s">
        <v>2488</v>
      </c>
    </row>
    <row r="20" spans="1:2" ht="30">
      <c r="A20" s="147" t="s">
        <v>2309</v>
      </c>
      <c r="B20" s="147" t="s">
        <v>2494</v>
      </c>
    </row>
    <row r="21" spans="1:2" ht="30">
      <c r="A21" s="147" t="s">
        <v>11</v>
      </c>
      <c r="B21" s="147" t="s">
        <v>2495</v>
      </c>
    </row>
    <row r="22" spans="1:2">
      <c r="A22" s="147" t="s">
        <v>12</v>
      </c>
      <c r="B22" s="147" t="s">
        <v>2488</v>
      </c>
    </row>
    <row r="23" spans="1:2">
      <c r="A23" s="147" t="s">
        <v>13</v>
      </c>
      <c r="B23" s="147" t="s">
        <v>2488</v>
      </c>
    </row>
    <row r="24" spans="1:2">
      <c r="A24" s="147" t="s">
        <v>14</v>
      </c>
      <c r="B24" s="147" t="s">
        <v>2488</v>
      </c>
    </row>
    <row r="25" spans="1:2">
      <c r="A25" s="147" t="s">
        <v>15</v>
      </c>
      <c r="B25" s="147" t="s">
        <v>2488</v>
      </c>
    </row>
    <row r="26" spans="1:2" ht="30">
      <c r="A26" s="147" t="s">
        <v>16</v>
      </c>
      <c r="B26" s="147" t="s">
        <v>2495</v>
      </c>
    </row>
    <row r="27" spans="1:2">
      <c r="A27" s="147" t="s">
        <v>2322</v>
      </c>
      <c r="B27" s="147" t="s">
        <v>2497</v>
      </c>
    </row>
    <row r="28" spans="1:2" ht="30">
      <c r="A28" s="147" t="s">
        <v>2324</v>
      </c>
      <c r="B28" s="147" t="s">
        <v>2494</v>
      </c>
    </row>
    <row r="29" spans="1:2">
      <c r="A29" s="147" t="s">
        <v>17</v>
      </c>
      <c r="B29" s="147" t="s">
        <v>2488</v>
      </c>
    </row>
    <row r="30" spans="1:2">
      <c r="A30" s="147" t="s">
        <v>2328</v>
      </c>
      <c r="B30" s="147" t="s">
        <v>2488</v>
      </c>
    </row>
    <row r="31" spans="1:2">
      <c r="A31" s="147" t="s">
        <v>18</v>
      </c>
      <c r="B31" s="147" t="s">
        <v>2488</v>
      </c>
    </row>
    <row r="32" spans="1:2">
      <c r="A32" s="147" t="s">
        <v>19</v>
      </c>
      <c r="B32" s="147" t="s">
        <v>2488</v>
      </c>
    </row>
    <row r="33" spans="1:2">
      <c r="A33" s="147" t="s">
        <v>20</v>
      </c>
      <c r="B33" s="147" t="s">
        <v>2488</v>
      </c>
    </row>
    <row r="34" spans="1:2">
      <c r="A34" s="147" t="s">
        <v>21</v>
      </c>
      <c r="B34" s="147" t="s">
        <v>2488</v>
      </c>
    </row>
    <row r="35" spans="1:2">
      <c r="A35" s="147" t="s">
        <v>22</v>
      </c>
      <c r="B35" s="147" t="s">
        <v>2488</v>
      </c>
    </row>
    <row r="36" spans="1:2" ht="60">
      <c r="A36" s="147" t="s">
        <v>2498</v>
      </c>
      <c r="B36" s="147" t="s">
        <v>2499</v>
      </c>
    </row>
    <row r="37" spans="1:2">
      <c r="A37" s="147" t="s">
        <v>23</v>
      </c>
      <c r="B37" s="147" t="s">
        <v>2488</v>
      </c>
    </row>
    <row r="38" spans="1:2">
      <c r="A38" s="147" t="s">
        <v>24</v>
      </c>
      <c r="B38" s="147" t="s">
        <v>2488</v>
      </c>
    </row>
    <row r="39" spans="1:2" ht="30">
      <c r="A39" s="147" t="s">
        <v>2349</v>
      </c>
      <c r="B39" s="147" t="s">
        <v>2494</v>
      </c>
    </row>
    <row r="40" spans="1:2" ht="45">
      <c r="A40" s="147" t="s">
        <v>25</v>
      </c>
      <c r="B40" s="147" t="s">
        <v>2500</v>
      </c>
    </row>
    <row r="41" spans="1:2">
      <c r="A41" s="147" t="s">
        <v>26</v>
      </c>
      <c r="B41" s="147" t="s">
        <v>2488</v>
      </c>
    </row>
    <row r="42" spans="1:2" ht="30">
      <c r="A42" s="147" t="s">
        <v>27</v>
      </c>
      <c r="B42" s="147" t="s">
        <v>2495</v>
      </c>
    </row>
    <row r="43" spans="1:2" ht="45">
      <c r="A43" s="147" t="s">
        <v>2240</v>
      </c>
      <c r="B43" s="147" t="s">
        <v>2500</v>
      </c>
    </row>
    <row r="44" spans="1:2">
      <c r="A44" s="147" t="s">
        <v>2355</v>
      </c>
      <c r="B44" s="147" t="s">
        <v>2488</v>
      </c>
    </row>
    <row r="45" spans="1:2">
      <c r="A45" s="147" t="s">
        <v>2357</v>
      </c>
      <c r="B45" s="147" t="s">
        <v>2488</v>
      </c>
    </row>
    <row r="46" spans="1:2" ht="30">
      <c r="A46" s="147" t="s">
        <v>29</v>
      </c>
      <c r="B46" s="147" t="s">
        <v>2495</v>
      </c>
    </row>
    <row r="47" spans="1:2">
      <c r="A47" s="147" t="s">
        <v>2501</v>
      </c>
      <c r="B47" s="147" t="s">
        <v>2488</v>
      </c>
    </row>
    <row r="48" spans="1:2">
      <c r="A48" s="147" t="s">
        <v>30</v>
      </c>
      <c r="B48" s="147" t="s">
        <v>2488</v>
      </c>
    </row>
    <row r="50" spans="1:1">
      <c r="A50" s="145" t="s">
        <v>2502</v>
      </c>
    </row>
    <row r="52" spans="1:1">
      <c r="A52" s="145" t="s">
        <v>2503</v>
      </c>
    </row>
    <row r="54" spans="1:1">
      <c r="A54" s="11" t="s">
        <v>2504</v>
      </c>
    </row>
  </sheetData>
  <sheetProtection algorithmName="SHA-512" hashValue="P+yr9qTIvX9mJ48ip6knb7Mk9a3AlxQuV8P4VI5RcbGnZxu9O4gH6cGpCt9bs2VwkXeZ0Jr93YJiIoOWR759/g==" saltValue="CNUzdiDLRLkQql8ojKJN1A==" spinCount="100000" sheet="1" objects="1" scenarios="1" formatColumns="0" autoFilter="0"/>
  <hyperlinks>
    <hyperlink ref="A1" r:id="rId1" tooltip="Bundesfinanzministerium  - Stand der Doppelbesteuerungsabkommen und anderer Abkommen im Steuerbereich sowie der Abkommensverhandlungen am 1. Januar 2026" display="https://www.bundesfinanzministerium.de/Content/DE/Downloads/BMF_Schreiben/Internationales_Steuerrecht/Allgemeine_Informationen/2026-01-07-stand-DBA-1-januar-2026.html" xr:uid="{27A65C70-1F66-4582-BE5E-8CDE249BBCDD}"/>
    <hyperlink ref="A50" r:id="rId2" tooltip="Stand der Doppelbesteuerungsabkommen und anderer Abkommen im Steuerbereich sowei der Abkommensverhandlungen am 1. Januar 2026" display="https://www.bundesfinanzministerium.de/Content/DE/Downloads/BMF_Schreiben/Internationales_Steuerrecht/Allgemeine_Informationen/2026-01-07-stand-DBA-1-januar-2026.pdf?__blob=publicationFile&amp;v=6" xr:uid="{A0A1386D-AB93-4CE9-9CA3-58B6EE36E1D4}"/>
    <hyperlink ref="A52" r:id="rId3" tooltip="Bundesfinanzministerium  - Stand der Doppelbesteuerungsabkommen und anderer Abkommen im Steuerbereich sowie der Abkommensverhandlungen am 1. Januar 2026" display="https://www.bundesfinanzministerium.de/Content/DE/Downloads/BMF_Schreiben/Internationales_Steuerrecht/Allgemeine_Informationen/2026-01-07-stand-DBA-1-januar-2026.html" xr:uid="{44AC25DD-114C-4947-BF4F-D6F9249EA49D}"/>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4891-28F9-4FEC-9CE5-2B8975F8413A}">
  <sheetPr codeName="Tabelle33">
    <tabColor theme="4"/>
    <pageSetUpPr fitToPage="1"/>
  </sheetPr>
  <dimension ref="A1:BC61"/>
  <sheetViews>
    <sheetView showGridLines="0" showRowColHeaders="0" topLeftCell="A2" zoomScaleNormal="100" workbookViewId="0">
      <selection activeCell="F9" sqref="F9"/>
      <extLst>
        <ext xmlns:xlsdti="http://schemas.microsoft.com/office/spreadsheetml/2023/showDataTypeIcons" uri="{77bfe23e-c014-4d31-8a63-9c772dbf06b6}">
          <xlsdti:showDataTypeIcons visible="0"/>
        </ext>
      </extLst>
    </sheetView>
  </sheetViews>
  <sheetFormatPr baseColWidth="10" defaultColWidth="11.42578125" defaultRowHeight="15"/>
  <cols>
    <col min="1" max="1" width="3.5703125" style="593" customWidth="1"/>
    <col min="2" max="2" width="12.5703125" style="594" customWidth="1"/>
    <col min="3" max="3" width="47.140625" customWidth="1"/>
    <col min="4" max="4" width="14.7109375" customWidth="1"/>
    <col min="5" max="5" width="14" customWidth="1"/>
    <col min="6" max="6" width="16.5703125" customWidth="1"/>
    <col min="7" max="7" width="15.28515625" customWidth="1"/>
    <col min="8" max="8" width="17.28515625" customWidth="1"/>
    <col min="9" max="9" width="15.5703125" customWidth="1"/>
    <col min="10" max="10" width="2.42578125" customWidth="1"/>
    <col min="11" max="11" width="6.85546875" customWidth="1"/>
    <col min="12" max="12" width="5.7109375" customWidth="1"/>
    <col min="13" max="14" width="8.5703125" customWidth="1"/>
    <col min="15" max="15" width="8.5703125" style="326" customWidth="1"/>
    <col min="16" max="16" width="15.42578125" customWidth="1"/>
    <col min="17" max="17" width="18.140625" customWidth="1"/>
    <col min="18" max="18" width="12.140625" customWidth="1"/>
    <col min="19" max="20" width="6" customWidth="1"/>
    <col min="21" max="21" width="8.28515625" customWidth="1"/>
    <col min="22" max="22" width="3.5703125" customWidth="1"/>
    <col min="23" max="23" width="11.5703125" customWidth="1"/>
    <col min="24" max="24" width="10.85546875" customWidth="1"/>
    <col min="26" max="26" width="29.5703125" customWidth="1"/>
    <col min="29" max="29" width="18.28515625" customWidth="1"/>
    <col min="32" max="32" width="17.42578125" style="5" customWidth="1"/>
    <col min="33" max="35" width="13.28515625" customWidth="1"/>
    <col min="36" max="36" width="11.85546875" customWidth="1"/>
    <col min="37" max="37" width="14.5703125" customWidth="1"/>
    <col min="38" max="43" width="16.42578125" customWidth="1"/>
    <col min="44" max="44" width="19.5703125" customWidth="1"/>
    <col min="45" max="45" width="16.42578125" customWidth="1"/>
    <col min="47" max="49" width="12.42578125" customWidth="1"/>
    <col min="50" max="51" width="16.28515625" customWidth="1"/>
    <col min="52" max="52" width="17.28515625" customWidth="1"/>
    <col min="55" max="55" width="13.42578125" customWidth="1"/>
    <col min="56" max="56" width="32.5703125" customWidth="1"/>
  </cols>
  <sheetData>
    <row r="1" spans="1:55" ht="34.5" customHeight="1">
      <c r="A1" s="853" t="e" vm="1">
        <f>VLOOKUP(Länderwahl,Länderkennzeichen,3,FALSE)</f>
        <v>#VALUE!</v>
      </c>
      <c r="B1" s="853"/>
      <c r="C1" s="864" t="s">
        <v>3194</v>
      </c>
      <c r="D1" s="864"/>
      <c r="E1" s="864"/>
      <c r="F1" s="864"/>
      <c r="G1" s="864"/>
      <c r="H1" s="700"/>
      <c r="I1" s="489"/>
      <c r="J1" s="489"/>
      <c r="K1" s="489"/>
      <c r="L1" s="851" t="str">
        <f>"Info-Box für "&amp;Länderwahl</f>
        <v>Info-Box für Tschechien</v>
      </c>
      <c r="M1" s="851"/>
      <c r="N1" s="851"/>
      <c r="O1" s="851"/>
      <c r="P1" s="851"/>
      <c r="Q1" s="851"/>
      <c r="R1" s="851"/>
      <c r="S1" s="851"/>
      <c r="T1" s="851"/>
      <c r="U1" s="865" t="e" vm="1">
        <f>VLOOKUP(Länderwahl,Länderkennzeichen,3,FALSE)</f>
        <v>#VALUE!</v>
      </c>
      <c r="V1" s="865"/>
      <c r="W1" s="705"/>
      <c r="AA1" s="11" t="s">
        <v>3259</v>
      </c>
      <c r="AB1" s="323">
        <v>2</v>
      </c>
      <c r="AC1">
        <f>CHOOSE(AB1,Z10,Z11,Z12,Z13,Z14,Z15,Z16,Z17)</f>
        <v>36</v>
      </c>
      <c r="AD1">
        <f>CHOOSE(AB1,AA10,AA11,AA12,AA13,AA14,AA15,AA16,AA17)</f>
        <v>39</v>
      </c>
      <c r="AE1">
        <f>CHOOSE(AB1,AB10,AB11,AB12,AB13,AB14,AB15,AB16,AB17)</f>
        <v>40</v>
      </c>
      <c r="AF1" s="5">
        <f>CHOOSE(AB1,AC10,AC11,AC12,AC13,AC14,AC15,AC16,AC17)</f>
        <v>0</v>
      </c>
      <c r="AH1" t="e" vm="2">
        <v>#VALUE!</v>
      </c>
      <c r="AL1" s="845" t="s">
        <v>3092</v>
      </c>
      <c r="AM1" s="845" t="s">
        <v>3096</v>
      </c>
      <c r="AN1" s="845" t="s">
        <v>3104</v>
      </c>
      <c r="AO1" s="845" t="s">
        <v>3097</v>
      </c>
      <c r="AP1" s="845" t="s">
        <v>3110</v>
      </c>
      <c r="AQ1" s="845" t="s">
        <v>3108</v>
      </c>
      <c r="AR1" s="845" t="s">
        <v>3100</v>
      </c>
      <c r="AS1" s="845" t="s">
        <v>3111</v>
      </c>
      <c r="AT1" s="845" t="s">
        <v>3015</v>
      </c>
      <c r="AU1" s="845" t="s">
        <v>3107</v>
      </c>
      <c r="AV1" s="845" t="s">
        <v>3094</v>
      </c>
      <c r="AW1" s="845" t="s">
        <v>3105</v>
      </c>
      <c r="AX1" s="845" t="s">
        <v>3120</v>
      </c>
      <c r="AY1" s="845" t="s">
        <v>3122</v>
      </c>
      <c r="AZ1" s="845" t="s">
        <v>3121</v>
      </c>
      <c r="BA1" s="845" t="s">
        <v>3095</v>
      </c>
      <c r="BB1" s="845" t="s">
        <v>3106</v>
      </c>
      <c r="BC1" s="870"/>
    </row>
    <row r="2" spans="1:55" s="321" customFormat="1" ht="32.25" customHeight="1">
      <c r="A2" s="853"/>
      <c r="B2" s="853"/>
      <c r="C2" s="858" t="s">
        <v>4208</v>
      </c>
      <c r="D2" s="681" t="s">
        <v>4207</v>
      </c>
      <c r="E2" s="863" t="str">
        <f>IFERROR(VLOOKUP(Länderwahl,DRV_Verbindungsstellen,2,FALSE)&amp;", "&amp;VLOOKUP(Länderwahl,DRV_Verbindungsstellen,3,FALSE)&amp;"; "&amp;VLOOKUP(Länderwahl,DRV_Verbindungsstellen,4,FALSE)&amp;"; "&amp;VLOOKUP(Länderwahl,DRV_Verbindungsstellen,5,FALSE),"unbekannt")</f>
        <v>DRV Bayern Süd, Am Alten Viehmarkt 2, 84028 Landshut; service@drv-bayernsued.de; 0871 81-0</v>
      </c>
      <c r="F2" s="863"/>
      <c r="G2" s="863"/>
      <c r="H2" s="863"/>
      <c r="I2" s="863"/>
      <c r="J2" s="473"/>
      <c r="K2" s="785" t="str">
        <f>"Werden für staatliche Versorgung Auskünfte durch den Versorgungsträgers erteilt? "&amp;IFERROR(VLOOKUP(Länderwahl,Auskunftgeber,3,),"")</f>
        <v>Werden für staatliche Versorgung Auskünfte durch den Versorgungsträgers erteilt? Nein</v>
      </c>
      <c r="L2" s="785"/>
      <c r="M2" s="785"/>
      <c r="N2" s="785"/>
      <c r="O2" s="786"/>
      <c r="P2" s="785"/>
      <c r="Q2" s="785"/>
      <c r="R2" s="785"/>
      <c r="S2" s="787"/>
      <c r="T2" s="784"/>
      <c r="U2" s="865"/>
      <c r="V2" s="865"/>
      <c r="W2" s="705"/>
      <c r="Z2" s="259" t="str" cm="1">
        <f t="array" aca="1" ref="Z2" ca="1">HYPERLINK("#"&amp;CELL("Adresse",K_L),"Zur Kurzinfo")</f>
        <v>Zur Kurzinfo</v>
      </c>
      <c r="AA2" s="321" t="s">
        <v>1622</v>
      </c>
      <c r="AB2" s="325">
        <v>30</v>
      </c>
      <c r="AC2" s="321" t="str">
        <f>VLOOKUP(AB2,Länder1,2)</f>
        <v>Tschechien</v>
      </c>
      <c r="AD2" s="321">
        <f>+AB2+1</f>
        <v>31</v>
      </c>
      <c r="AF2" s="579"/>
      <c r="AH2"/>
      <c r="AL2" s="845"/>
      <c r="AM2" s="845"/>
      <c r="AN2" s="845"/>
      <c r="AO2" s="845"/>
      <c r="AP2" s="845"/>
      <c r="AQ2" s="845"/>
      <c r="AR2" s="845"/>
      <c r="AS2" s="845"/>
      <c r="AT2" s="845"/>
      <c r="AU2" s="845"/>
      <c r="AV2" s="845"/>
      <c r="AW2" s="845"/>
      <c r="AX2" s="845"/>
      <c r="AY2" s="845"/>
      <c r="AZ2" s="845"/>
      <c r="BA2" s="845"/>
      <c r="BB2" s="845"/>
      <c r="BC2" s="870"/>
    </row>
    <row r="3" spans="1:55" ht="21.6" customHeight="1">
      <c r="A3" s="854" t="s">
        <v>3870</v>
      </c>
      <c r="B3" s="854"/>
      <c r="C3" s="858"/>
      <c r="D3" s="492"/>
      <c r="E3" s="420"/>
      <c r="F3" s="862" t="str">
        <f>IFERROR(HYPERLINK(VLOOKUP(Länderwahl,EUEFTA_Rentenrechner,3,FALSE),"→ Rentenrechner für "&amp;TEXT(Länderwahl,"")&amp;" öffnen ℹ"),"x Rentenrechner nicht verfügbar")</f>
        <v>→ Rentenrechner für Tschechien öffnen ℹ</v>
      </c>
      <c r="G3" s="862"/>
      <c r="H3" s="862"/>
      <c r="I3" s="862"/>
      <c r="J3" s="451"/>
      <c r="K3" s="857" t="str">
        <f>HYPERLINK("#'" &amp; AC2 &amp; "'!Y2", "→ Zum Länder-Datenblatt - Auszug aus EU-Datenbank ℹ")</f>
        <v>→ Zum Länder-Datenblatt - Auszug aus EU-Datenbank ℹ</v>
      </c>
      <c r="L3" s="857"/>
      <c r="M3" s="857"/>
      <c r="N3" s="857"/>
      <c r="O3" s="857"/>
      <c r="P3" s="857"/>
      <c r="Q3" s="857"/>
      <c r="R3" s="856" t="str">
        <f>IFERROR(HYPERLINK(VLOOKUP(Länderwahl,EU_Laender,2,FALSE),"ℹ→ EU-Broschüre zur Rente öffnen"),"x EU-Broschüre nicht verfügbar")</f>
        <v>ℹ→ EU-Broschüre zur Rente öffnen</v>
      </c>
      <c r="S3" s="856"/>
      <c r="T3" s="856"/>
      <c r="U3" s="856"/>
      <c r="V3" s="856"/>
      <c r="W3" s="322"/>
      <c r="AA3" s="11" t="s">
        <v>2912</v>
      </c>
      <c r="AB3" s="4" t="s">
        <v>2913</v>
      </c>
      <c r="AL3" s="564">
        <f>DATE(YEAR(Dat_BebDat_Ber)+RentenalterBer,MONTH(Dat_GebDat_Ber)+MOD(RentenalterBer,1)+1,1)</f>
        <v>32</v>
      </c>
      <c r="AM3" s="565"/>
      <c r="AN3" s="7" t="str">
        <f>+Alter_Ber</f>
        <v/>
      </c>
      <c r="AO3" s="566" t="e">
        <f>ROUND(YEARFRAC(Dat_BebDat_Ber,AL5,3),1)</f>
        <v>#VALUE!</v>
      </c>
      <c r="AP3" s="566">
        <f>ROUND(YEARFRAC(Dat_BebDat_Ber,AM4,3),1)</f>
        <v>0.1</v>
      </c>
      <c r="AQ3" s="7" t="e">
        <f>VLOOKUP(IF(RentenalterBer&lt;=Alter_Ber_sVA_Beginn,ROUND(Alter_Ber_sVA_Beginn,0),ROUND(RentenalterBer,0)),CHOOSE(GeschlechtsNr_Ber,Lx,Ly,Ln),YEAR(Dat_GebDat_Ber)+IF(MONTH(Dat_GebDat_Ber)&gt;6,1,0)-1900+2)</f>
        <v>#VALUE!</v>
      </c>
      <c r="AR3" s="7" t="e">
        <f>ROUND(VLOOKUP(Alter_Ber,CHOOSE(GeschlechtsNr_Ber,Kohorte_M,Kohorte_W,Kohorte_D),YEAR(Dat_GebDat_Ber)+IF(MONTH(Dat_GebDat_Ber)&gt;6,1,0)-1900+2),0)</f>
        <v>#N/A</v>
      </c>
      <c r="AS3" s="7">
        <f>ROUND(VLOOKUP(AP3,CHOOSE(GeschlechtsNr_Ber,Kohorte_M,Kohorte_W,Kohorte_D),YEAR(Dat_GebDat_Ber)+IF(MONTH(Dat_GebDat_Ber)&gt;6,1,0)-1900+2),0)</f>
        <v>0</v>
      </c>
      <c r="AT3" s="7" t="e">
        <f>+Kohorte_LDat_Ber/Kohorte_BerDat_Ber</f>
        <v>#N/A</v>
      </c>
      <c r="AU3" s="7"/>
      <c r="AV3" s="1"/>
      <c r="AW3" s="818" t="e">
        <f>+AT3*AT5</f>
        <v>#N/A</v>
      </c>
      <c r="AX3" s="7" t="e">
        <f>IF(ROUND(Alter_Ber_sVA_Beginn-Alter_Ber,2)&lt;=0,0,ROUND(Alter_Ber_sVA_Beginn-Alter_Ber,2))</f>
        <v>#VALUE!</v>
      </c>
      <c r="AY3" s="564">
        <f>DATE(YEAR(Dat_GebDat_Ber)+65,MONTH(Dat_GebDat_Ber)+VLOOKUP(YEAR(Dat_GebDat_Ber),DRV_Renteneintritt,2)+1,1)</f>
        <v>23774</v>
      </c>
      <c r="AZ3" s="7">
        <f>ROUND(YEARFRAC(Dat_Ber,AY3,3),1)</f>
        <v>65.099999999999994</v>
      </c>
      <c r="BA3" s="818" t="e">
        <f>MIN(L_Pfl_sVA_Beginn,L_Ber_absVA)</f>
        <v>#VALUE!</v>
      </c>
      <c r="BB3" s="818" t="e">
        <f>ROUND(+BA3*AW3,2)</f>
        <v>#VALUE!</v>
      </c>
      <c r="BC3" s="866" t="e">
        <f>-PV(-ReDynamik_Leistung,BB3,AV5*ReAnzahlproJahr)</f>
        <v>#VALUE!</v>
      </c>
    </row>
    <row r="4" spans="1:55" ht="30" customHeight="1">
      <c r="A4" s="860" t="s">
        <v>4627</v>
      </c>
      <c r="B4" s="861"/>
      <c r="C4" s="839" t="s">
        <v>2456</v>
      </c>
      <c r="D4" s="840"/>
      <c r="E4" s="841"/>
      <c r="F4" s="341"/>
      <c r="G4" s="843" t="s">
        <v>3880</v>
      </c>
      <c r="H4" s="819" t="s">
        <v>3881</v>
      </c>
      <c r="I4" s="495" t="s">
        <v>3879</v>
      </c>
      <c r="J4" s="459"/>
      <c r="K4" s="855" t="s">
        <v>3189</v>
      </c>
      <c r="L4" s="855"/>
      <c r="M4" s="859" t="s">
        <v>3190</v>
      </c>
      <c r="N4" s="859"/>
      <c r="O4" s="859"/>
      <c r="P4" s="581" t="str" cm="1">
        <f t="array" aca="1" ref="P4" ca="1">HYPERLINK("#"&amp;CELL("Adresse",INDIRECT(KurzSprungziel)),"Zur Kurzinfo")</f>
        <v>Zur Kurzinfo</v>
      </c>
      <c r="Q4" s="859" t="s">
        <v>3191</v>
      </c>
      <c r="R4" s="859"/>
      <c r="S4" s="855" t="str">
        <f>"...RSpr. seit 2009"&amp;_xlfn.UNICHAR(9878)</f>
        <v>...RSpr. seit 2009⚖</v>
      </c>
      <c r="T4" s="855"/>
      <c r="U4" s="855"/>
      <c r="V4" s="855"/>
      <c r="W4" s="142"/>
      <c r="Y4" s="4" t="s">
        <v>1623</v>
      </c>
      <c r="Z4" s="11" t="s">
        <v>3681</v>
      </c>
      <c r="AA4">
        <f>VLOOKUP(Länderwahl,KostenderLebenshaltung,5,FALSE)</f>
        <v>-0.18700000000000006</v>
      </c>
      <c r="AC4" t="s">
        <v>3053</v>
      </c>
      <c r="AL4" s="157" t="s">
        <v>3093</v>
      </c>
      <c r="AM4" s="564">
        <f>MAX(RentenBeginn_Ber,sVA_Leistungsbeginn)</f>
        <v>32</v>
      </c>
      <c r="AN4" s="157" t="s">
        <v>3099</v>
      </c>
      <c r="AO4" s="568" t="s">
        <v>3098</v>
      </c>
      <c r="AP4" s="568" t="s">
        <v>3109</v>
      </c>
      <c r="AQ4" s="157" t="s">
        <v>3102</v>
      </c>
      <c r="AR4" s="157" t="s">
        <v>3101</v>
      </c>
      <c r="AS4" s="157" t="s">
        <v>3103</v>
      </c>
      <c r="AT4" s="1"/>
      <c r="AU4" s="1"/>
      <c r="AV4" s="1"/>
      <c r="AW4" s="818"/>
      <c r="AX4" s="7"/>
      <c r="AY4" s="7"/>
      <c r="AZ4" s="7"/>
      <c r="BA4" s="818"/>
      <c r="BB4" s="818"/>
      <c r="BC4" s="866"/>
    </row>
    <row r="5" spans="1:55" s="13" customFormat="1" ht="23.1" customHeight="1">
      <c r="A5" s="860"/>
      <c r="B5" s="861"/>
      <c r="C5" s="336" t="s">
        <v>3877</v>
      </c>
      <c r="D5" s="341"/>
      <c r="E5" s="491" t="s">
        <v>3878</v>
      </c>
      <c r="F5" s="494" t="s">
        <v>3876</v>
      </c>
      <c r="G5" s="844"/>
      <c r="H5" s="820"/>
      <c r="I5" s="496">
        <f>MAX(Dat_Ber,Leistungsbeginn_Pfl,H7)</f>
        <v>0</v>
      </c>
      <c r="J5" s="460"/>
      <c r="K5" s="857" t="str">
        <f>IFERROR("ℹ Lebenshaltungskosten in "&amp;Länderwahl&amp;" "&amp;IF(AA4&gt;0," +","")&amp;TEXT(AA4,"0,0%")&amp;IF(AA4&gt;0," höher "," niedriger ")&amp;"als in Deutschland - ggfls. Korrektur über § 27 VersAusglG ","Daten zu Lebenshaltungskosten stehen noch nicht zur Verfügung")</f>
        <v xml:space="preserve">ℹ Lebenshaltungskosten in Tschechien -18,7% niedriger als in Deutschland - ggfls. Korrektur über § 27 VersAusglG </v>
      </c>
      <c r="L5" s="857"/>
      <c r="M5" s="857"/>
      <c r="N5" s="857"/>
      <c r="O5" s="857"/>
      <c r="P5" s="857"/>
      <c r="Q5" s="857"/>
      <c r="R5" s="857"/>
      <c r="S5" s="857"/>
      <c r="T5" s="857"/>
      <c r="U5" s="857"/>
      <c r="V5" s="857"/>
      <c r="W5" s="580"/>
      <c r="Y5" s="14" t="s">
        <v>1624</v>
      </c>
      <c r="AA5"/>
      <c r="AB5"/>
      <c r="AC5" s="13" t="e" cm="1">
        <f t="array" aca="1" ref="AC5" ca="1">VLOOKUP(Länderwahl,INDIRECT(Dynamisierungslinks),26)</f>
        <v>#N/A</v>
      </c>
      <c r="AD5"/>
      <c r="AF5" s="5"/>
      <c r="AL5" s="571" t="str">
        <f>+Leistungsbeginn_Pfl</f>
        <v/>
      </c>
      <c r="AM5" s="572"/>
      <c r="AN5" s="573" t="str">
        <f>+Alter_Pfl</f>
        <v/>
      </c>
      <c r="AO5" s="574" t="e">
        <f>ROUND(YEARFRAC(Dat_GebDat_Pfl,AL5,3),1)</f>
        <v>#VALUE!</v>
      </c>
      <c r="AP5" s="574">
        <f>ROUND(YEARFRAC(Dat_GebDat_Pfl,AM4,3),1)</f>
        <v>0.1</v>
      </c>
      <c r="AQ5" s="573">
        <f>ROUND(VLOOKUP(AP5,CHOOSE(GeschlechtsNr_Pfl,Lx,Ly,Ln),YEAR(Dat_GebDat_Pfl)+IF(MONTH(Dat_GebDat_Pfl)&gt;6,1,0)-1900+2),2)</f>
        <v>0</v>
      </c>
      <c r="AR5" s="573" t="e">
        <f>ROUND(VLOOKUP(Alter_Pfl,CHOOSE(GeschlechtsNr_Pfl,Kohorte_M,Kohorte_W,Kohorte_D),YEAR(Dat_GebDat_Pfl)+IF(MONTH(Dat_GebDat_Pfl)&gt;6,1,0)-1900+2),0)</f>
        <v>#N/A</v>
      </c>
      <c r="AS5" s="573">
        <f>ROUND(VLOOKUP(AP5,CHOOSE(GeschlechtsNr_Pfl,Kohorte_M,Kohorte_W,Kohorte_D),YEAR(Dat_GebDat_Pfl)+IF(MONTH(Dat_GebDat_Pfl)&gt;6,1,0)-1900+2),0)</f>
        <v>0</v>
      </c>
      <c r="AT5" s="575" t="e">
        <f>+Kohorte_LDat_Pfl/Kohorte_BerDat_pfl</f>
        <v>#N/A</v>
      </c>
      <c r="AU5" s="573" t="e">
        <f>ROUND(YEARFRAC(AL5,AM4,3),2)</f>
        <v>#VALUE!</v>
      </c>
      <c r="AV5" s="567" t="e">
        <f>+ReHöhe_EZE_Pfl*(1+ReDyn_Anwartschaft)^sVA_AnwartZeit_Pfl*(1+ReDynamik_Leistung)^LZeitBis_sVA</f>
        <v>#VALUE!</v>
      </c>
      <c r="AW5" s="818"/>
      <c r="AX5" s="7" t="e">
        <f>IF(ROUND(Alter_Pfl_sVABeginn-Alter_Pfl_sVA_Beginn,2)&lt;=0,0,ROUND(Alter_Pfl_sVABeginn-Alter_Pfl_sVA_Beginn,2))</f>
        <v>#VALUE!</v>
      </c>
      <c r="AY5" s="7"/>
      <c r="AZ5" s="7"/>
      <c r="BA5" s="818"/>
      <c r="BB5" s="818"/>
      <c r="BC5" s="866"/>
    </row>
    <row r="6" spans="1:55" s="13" customFormat="1" ht="23.1" customHeight="1">
      <c r="A6" s="474">
        <v>1</v>
      </c>
      <c r="B6" s="476" t="s">
        <v>0</v>
      </c>
      <c r="C6" s="336" t="s">
        <v>3872</v>
      </c>
      <c r="D6" s="389"/>
      <c r="E6" s="612" t="str">
        <f>IF(Dat_GebDat_Pfl="","",ROUND(YEARFRAC(Dat_GebDat_Pfl,EzE,3),1))</f>
        <v/>
      </c>
      <c r="F6" s="428" t="str">
        <f>IFERROR(IF(Dat_GebDat_Pfl="","",ROUND(YEARFRAC(D6,F$4,3),1)),"")</f>
        <v/>
      </c>
      <c r="G6" s="797"/>
      <c r="H6" s="422" t="str">
        <f>IF(ReAlter_Pfl="","",DATE(YEAR(Dat_GebDat_Pfl)+INT(ReAlter_Pfl),MONTH(Dat_GebDat_Pfl)+(ReAlter_Pfl-INT(G6))*12+1,1))</f>
        <v/>
      </c>
      <c r="I6" s="498">
        <f>+Alter_sVA_Pfl</f>
        <v>0</v>
      </c>
      <c r="J6" s="460"/>
      <c r="K6" s="850" t="str">
        <f>"ℹ Lebenserwartung einer 65 jährigen ausgleichspfl. Person in "&amp;Länderwahl&amp;" "&amp;TEXT(L_DzuAuswahlland,"0,00%")&amp;IF(L_DzuAuswahlland&gt;0," höher "," niedriger ")&amp;"als in Deutschland"</f>
        <v>ℹ Lebenserwartung einer 65 jährigen ausgleichspfl. Person in Tschechien -8,00% niedriger als in Deutschland</v>
      </c>
      <c r="L6" s="850"/>
      <c r="M6" s="850"/>
      <c r="N6" s="850"/>
      <c r="O6" s="850"/>
      <c r="P6" s="850"/>
      <c r="Q6" s="850"/>
      <c r="R6" s="850"/>
      <c r="S6" s="850"/>
      <c r="T6" s="850"/>
      <c r="U6" s="850"/>
      <c r="V6" s="850"/>
      <c r="W6" s="457"/>
      <c r="Y6" s="14" t="s">
        <v>1625</v>
      </c>
      <c r="AA6" s="324">
        <v>1</v>
      </c>
      <c r="AD6" s="569" t="str">
        <f>HYPERLINK(VLOOKUP(Länderwahl,Dynamisierungslinks,26),"zur Quelle")</f>
        <v>zur Quelle</v>
      </c>
      <c r="AF6" s="5"/>
      <c r="AJ6" s="15"/>
      <c r="AK6" s="317" t="s">
        <v>2467</v>
      </c>
      <c r="AL6" s="15" t="str" cm="1">
        <f t="array" aca="1" ref="AL6" ca="1">IFERROR("► "&amp;INDIRECT("'"&amp;Länderwahl&amp;"'!b"&amp;Thema1)&amp;"; "&amp;INDIRECT("'"&amp;Länderwahl&amp;"'!c"&amp;Thema1)&amp;";  "&amp;INDIRECT("'"&amp;Länderwahl&amp;"'!d"&amp;Thema1)&amp;"(Nr. "&amp;Thema1&amp;"):  "&amp;CHAR(10)&amp;INDIRECT("'"&amp;Länderwahl&amp;"'!F"&amp;Thema1)&amp;CHAR(10),"")</f>
        <v/>
      </c>
      <c r="AM6" s="15"/>
      <c r="AN6" s="15"/>
      <c r="AO6" s="15"/>
      <c r="AP6" s="15"/>
      <c r="AQ6" s="15"/>
      <c r="AR6" s="15"/>
      <c r="AS6" s="15"/>
      <c r="AT6" s="15"/>
      <c r="AU6" s="15"/>
    </row>
    <row r="7" spans="1:55" s="13" customFormat="1" ht="23.1" customHeight="1">
      <c r="A7" s="474">
        <v>2</v>
      </c>
      <c r="B7" s="477" t="s">
        <v>1</v>
      </c>
      <c r="C7" s="336" t="s">
        <v>2505</v>
      </c>
      <c r="D7" s="389"/>
      <c r="E7" s="559" t="str">
        <f>IF(Dat_BebDat_Ber="","",IF(Dat_GebDat_Pfl="","",ROUND(YEARFRAC(Dat_BebDat_Ber,EzE,3),1)))</f>
        <v/>
      </c>
      <c r="F7" s="428" t="str">
        <f>IFERROR(IF(Dat_GebDat_Ber="","",ROUND(YEARFRAC(D7,F$4,3),1)),"")</f>
        <v/>
      </c>
      <c r="G7" s="798"/>
      <c r="H7" s="422" t="str">
        <f>IF(RentenalterBer="","",DATE(YEAR(Dat_BebDat_Ber)+INT(RentenalterBer),MONTH(Dat_GebDat_Ber)+(RentenalterBer-INT(G7))*12+1,1))</f>
        <v/>
      </c>
      <c r="I7" s="498">
        <f>+Alter_sVA_Ber</f>
        <v>0</v>
      </c>
      <c r="J7" s="461"/>
      <c r="K7" s="817" t="e" vm="3">
        <f>IF(Warnauslöser=FALSE,Achtung,"")</f>
        <v>#VALUE!</v>
      </c>
      <c r="L7" s="816" t="str">
        <f>IF(Warnauslöser=FALSE,Warntext2,"")</f>
        <v>Kapitalisierungsmöglichkeit von Versorgungen in Zusatzrentensparen / supplementary pension savings in Tschechien?: Ja / planabhängig. Je nach Vertrag Einmalabfindung, befristete Auszahlung oder Rentenleistung möglich. ! Vertragsart und Mindestlaufzeit prüfen.</v>
      </c>
      <c r="M7" s="816"/>
      <c r="N7" s="816"/>
      <c r="O7" s="816"/>
      <c r="P7" s="816"/>
      <c r="Q7" s="816"/>
      <c r="R7" s="816"/>
      <c r="S7" s="816"/>
      <c r="T7" s="816"/>
      <c r="U7" s="816"/>
      <c r="V7" s="816"/>
      <c r="W7" s="555" t="s">
        <v>3905</v>
      </c>
      <c r="Z7" s="259" t="str" cm="1">
        <f t="array" aca="1" ref="Z7" ca="1">HYPERLINK("#"&amp;CELL("Adresse",INDIRECT(KurzSprungziel)),"Zur Kurzinfo")</f>
        <v>Zur Kurzinfo</v>
      </c>
      <c r="AA7" s="324">
        <v>2</v>
      </c>
      <c r="AC7" s="259" t="s">
        <v>3054</v>
      </c>
      <c r="AD7" s="156" t="s">
        <v>3887</v>
      </c>
      <c r="AE7" s="13">
        <f>ROUND(YEARFRAC(Dat_GebDat_Pfl,I5,3),1)</f>
        <v>0</v>
      </c>
      <c r="AF7" s="4" t="s">
        <v>3885</v>
      </c>
      <c r="AG7" s="13">
        <f>VLOOKUP(Alter_sVA_Pfl,CHOOSE(GeschlechtsNr_Pfl,Lx,Ly,Ln),YEAR(Dat_GebDat_Pfl)+IF(MONTH(Dat_GebDat_Pfl)&gt;6,1,0)-1900+2)</f>
        <v>0</v>
      </c>
      <c r="AK7" s="317" t="s">
        <v>2468</v>
      </c>
      <c r="AL7" s="15" t="str" cm="1">
        <f t="array" aca="1" ref="AL7" ca="1">IFERROR("► "&amp;INDIRECT("'"&amp;Länderwahl&amp;"'!b"&amp;Thema2)&amp;"; "&amp;INDIRECT("'"&amp;Länderwahl&amp;"'!c"&amp;Thema2)&amp;";  "&amp;INDIRECT("'"&amp;Länderwahl&amp;"'!d"&amp;Thema2)&amp;"(Nr. "&amp;Thema2&amp;"):  "&amp;CHAR(10)&amp;INDIRECT("'"&amp;Länderwahl&amp;"'!F"&amp;Thema2)&amp;CHAR(10),"")</f>
        <v/>
      </c>
      <c r="AM7" s="15"/>
      <c r="AN7" s="15"/>
      <c r="AO7" s="15"/>
      <c r="AP7" s="15"/>
      <c r="AQ7" s="15"/>
      <c r="AR7" s="15"/>
      <c r="AS7" s="15"/>
      <c r="AT7" s="15"/>
      <c r="AU7" s="15"/>
    </row>
    <row r="8" spans="1:55" s="13" customFormat="1" ht="23.1" customHeight="1">
      <c r="A8" s="474">
        <v>3</v>
      </c>
      <c r="B8" s="478" t="s">
        <v>2</v>
      </c>
      <c r="C8" s="842" t="s">
        <v>2484</v>
      </c>
      <c r="D8" s="842"/>
      <c r="E8" s="842"/>
      <c r="F8" s="842"/>
      <c r="G8" s="842"/>
      <c r="H8" s="842"/>
      <c r="I8" s="373" t="s">
        <v>3258</v>
      </c>
      <c r="J8" s="458"/>
      <c r="K8" s="817"/>
      <c r="L8" s="816"/>
      <c r="M8" s="816"/>
      <c r="N8" s="816"/>
      <c r="O8" s="816"/>
      <c r="P8" s="816"/>
      <c r="Q8" s="816"/>
      <c r="R8" s="816"/>
      <c r="S8" s="816"/>
      <c r="T8" s="816"/>
      <c r="U8" s="816"/>
      <c r="V8" s="816"/>
      <c r="W8" s="751" t="s">
        <v>4611</v>
      </c>
      <c r="AD8" s="156" t="s">
        <v>3884</v>
      </c>
      <c r="AE8" s="497">
        <f>ROUND(YEARFRAC(Dat_BebDat_Ber,I5,3),1)</f>
        <v>0</v>
      </c>
      <c r="AF8" s="4" t="s">
        <v>3886</v>
      </c>
      <c r="AG8" s="13">
        <f>VLOOKUP(Alter_sVA_Ber,CHOOSE(GeschlechtsNr_Ber,Lx,Ly,Ln),YEAR(Dat_GebDat_Ber)+IF(MONTH(Dat_GebDat_Ber)&gt;6,1,0)-1900+2)</f>
        <v>0</v>
      </c>
      <c r="AK8" s="317" t="s">
        <v>2469</v>
      </c>
      <c r="AL8" s="15" t="str" cm="1">
        <f t="array" aca="1" ref="AL8" ca="1">IFERROR("► "&amp;INDIRECT("'"&amp;Länderwahl&amp;"'!b"&amp;Thema3)&amp;"; "&amp;INDIRECT("'"&amp;Länderwahl&amp;"'!c"&amp;Thema3)&amp;";  "&amp;INDIRECT("'"&amp;Länderwahl&amp;"'!d"&amp;Thema3)&amp;"(Nr. "&amp;Thema3&amp;"):  "&amp;CHAR(10)&amp;INDIRECT("'"&amp;Länderwahl&amp;"'!F"&amp;Thema3)&amp;CHAR(10),"")</f>
        <v/>
      </c>
      <c r="AM8" s="15"/>
      <c r="AN8" s="15"/>
      <c r="AO8" s="15"/>
      <c r="AP8" s="15"/>
      <c r="AQ8" s="15"/>
      <c r="AR8" s="576"/>
      <c r="AS8" s="576"/>
      <c r="AT8" s="15"/>
      <c r="AU8" s="15"/>
      <c r="AW8" s="244"/>
    </row>
    <row r="9" spans="1:55" s="13" customFormat="1" ht="30" customHeight="1">
      <c r="A9" s="474">
        <v>4</v>
      </c>
      <c r="B9" s="478" t="s">
        <v>3</v>
      </c>
      <c r="C9" s="821" t="s">
        <v>3894</v>
      </c>
      <c r="D9" s="822"/>
      <c r="E9" s="421" t="str">
        <f>IFERROR(HYPERLINK(VLOOKUP(Länderwahl,EUEFTA_Rentenrechner,3,FALSE),"→ zum Rentenrechner"),"x Rentenrechner nicht verfügbar")</f>
        <v>→ zum Rentenrechner</v>
      </c>
      <c r="F9" s="330"/>
      <c r="G9" s="852" t="s">
        <v>3132</v>
      </c>
      <c r="H9" s="852"/>
      <c r="I9" s="342">
        <v>12</v>
      </c>
      <c r="J9" s="462"/>
      <c r="K9" s="817"/>
      <c r="L9" s="816"/>
      <c r="M9" s="816"/>
      <c r="N9" s="816"/>
      <c r="O9" s="816"/>
      <c r="P9" s="816"/>
      <c r="Q9" s="816"/>
      <c r="R9" s="816"/>
      <c r="S9" s="816"/>
      <c r="T9" s="816"/>
      <c r="U9" s="816"/>
      <c r="V9" s="816"/>
      <c r="W9" s="121"/>
      <c r="Z9" s="15"/>
      <c r="AA9" s="15"/>
      <c r="AB9" s="15"/>
      <c r="AC9" s="15"/>
      <c r="AF9" s="5"/>
      <c r="AK9" s="317" t="s">
        <v>2470</v>
      </c>
      <c r="AL9" s="15" t="str" cm="1">
        <f t="array" aca="1" ref="AL9" ca="1">IFERROR("► "&amp;INDIRECT("'"&amp;Länderwahl&amp;"'!b"&amp;Thema4)&amp;"; "&amp;INDIRECT("'"&amp;Länderwahl&amp;"'!c"&amp;Thema4)&amp;";  "&amp;INDIRECT("'"&amp;Länderwahl&amp;"'!d"&amp;Thema4)&amp;"(Nr. "&amp;Thema4&amp;"):  "&amp;CHAR(10)&amp;INDIRECT("'"&amp;Länderwahl&amp;"'!F"&amp;Thema4)&amp;CHAR(10),"")</f>
        <v/>
      </c>
      <c r="AM9" s="15"/>
      <c r="AN9" s="15"/>
      <c r="AO9" s="15"/>
      <c r="AP9" s="15"/>
      <c r="AQ9" s="15"/>
      <c r="AR9" s="15"/>
      <c r="AS9" s="15"/>
      <c r="AT9" s="15"/>
      <c r="AU9" s="15"/>
    </row>
    <row r="10" spans="1:55" s="13" customFormat="1" ht="23.1" customHeight="1">
      <c r="A10" s="474">
        <v>5</v>
      </c>
      <c r="B10" s="478" t="s">
        <v>4</v>
      </c>
      <c r="C10" s="847" t="s">
        <v>3883</v>
      </c>
      <c r="D10" s="848"/>
      <c r="E10" s="848"/>
      <c r="F10" s="848"/>
      <c r="G10" s="848"/>
      <c r="H10" s="848"/>
      <c r="I10" s="849"/>
      <c r="J10" s="463"/>
      <c r="K10" s="872" t="str">
        <f>IFERROR(IF(InfoBereich=2,AL37,KTextZus1),"Daten stehen im Momant noch nicht zur Verfügung")</f>
        <v xml:space="preserve">Grundinformation: Tschechien
◊ 1. Säule – Staatliche Rente (Art/Finanzierung):     Umlagefinanzierte gesetzliche Rente
◊ 2. Säule – Betriebliche Vorsorge:                                  Betriebliche Pläne begrenzt
◊ 3. Säule – Private Vorsorge:                                             Staatlich geförderte private Pensionsprodukte
❶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2.b. Erwerb allein aufgrund legalen Aufenthalts?:      Nein. Erwerb und Höhe hängen von Versicherungszeiten und beitragspflichtigen Einkünften ab; bloßer Aufenthalt genügt nicht. (cssz.cz)
❸ 3.a. Dynamisierung in der Anwartschaftsphase:      Die Rente hat einen Grundbetrag und einen prozentualen Teil; der prozentuale Teil wird aus Berechnungsgrundlage und Versicherungsjahren ermittelt, wobei der Steigerungssatz ab 2026 schrittweise sinkt. (cssz.cz)
❸ 3.b. Dynamisierung in der Leistungsphase:      Laufende Renten werden gesetzlich valorisiert; zugleich enthält die Reform ab 2026 Änderungen bei Berechnung und Steigerungssatz. (cssz.cz)
❹ 4.a. Invaliditätsrente? Quote zur Altersrente?:      Ja. Invaliditätsrente bei langfristiger Erwerbsminderung; keine Quote zur Altersrente, sondern drei Invaliditätsgrade und eigene Berechnung. (portal.gov.cz)
❹ 4.b. Hinterbliebenenversorgung? Quote zur Altersrente?:      Ja. Witwen-/Witwerrente besteht aus Grundbetrag und prozentualem Teil; der prozentuale Teil beträgt 50 % des maßgeblichen prozentualen Rententeils des Verstorbenen. (portal.gov.cz)
❹ 4.c. Geschiedenen-Hinterbliebenenversorgung?:      Nein. Geschiedene Ehegatten haben nach dem früheren Ehegatten keinen Anspruch auf Witwen-/Witwerrente; auch bloße Lebensgefährten sind nicht anspruchsberechtigt. (cssz.cz)
❺ 5. Steuerpflicht der Leistungen:      Renten sind grundsätzlich steuerlich relevant; nach gängigen Darstellungen sind staatliche Pflichtleistungen nur oberhalb gesetzlicher Schwellen steuerpflichtig. (cms.law)
❻ 6. Sozialabgaben auf Versorgungsleistungen:      Keine regulären Rentenversicherungsbeiträge auf Rentenzahlungen; Sozialversicherung betrifft vor allem Erwerbstätigkeit, Gesundheitsversicherung ist gesondert geregelt. (taxsummaries.pwc.com)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v>
      </c>
      <c r="L10" s="872"/>
      <c r="M10" s="872"/>
      <c r="N10" s="872"/>
      <c r="O10" s="872"/>
      <c r="P10" s="872"/>
      <c r="Q10" s="872"/>
      <c r="R10" s="872"/>
      <c r="S10" s="872"/>
      <c r="T10" s="872"/>
      <c r="U10" s="872"/>
      <c r="V10" s="872"/>
      <c r="W10" s="121"/>
      <c r="Z10" s="18">
        <v>36</v>
      </c>
      <c r="AA10" s="15"/>
      <c r="AB10" s="15"/>
      <c r="AC10" s="15"/>
      <c r="AD10" s="156" t="s">
        <v>2457</v>
      </c>
      <c r="AF10" s="4" t="s">
        <v>3225</v>
      </c>
      <c r="AG10" s="13" t="str">
        <f>"K_"&amp;VLOOKUP(Länderwahl,Länderkennzeichen,2,FALSE)</f>
        <v>K_CZ</v>
      </c>
      <c r="AJ10" s="15"/>
      <c r="AK10" s="317" t="s">
        <v>3261</v>
      </c>
      <c r="AL10" s="15" t="str">
        <f ca="1">Text1&amp;Text2&amp;Text3&amp;Text4&amp;Text5</f>
        <v/>
      </c>
      <c r="AM10" s="15"/>
      <c r="AN10" s="15"/>
      <c r="AO10" s="15"/>
      <c r="AP10" s="15"/>
      <c r="AQ10" s="15"/>
      <c r="AR10" s="157"/>
      <c r="AS10" s="15"/>
      <c r="AT10" s="15"/>
      <c r="AU10" s="15"/>
    </row>
    <row r="11" spans="1:55" s="13" customFormat="1" ht="23.1" customHeight="1">
      <c r="A11" s="474">
        <v>6</v>
      </c>
      <c r="B11" s="478" t="s">
        <v>5</v>
      </c>
      <c r="C11" s="821" t="s">
        <v>2475</v>
      </c>
      <c r="D11" s="822"/>
      <c r="E11" s="823"/>
      <c r="F11" s="846" t="s">
        <v>2476</v>
      </c>
      <c r="G11" s="846"/>
      <c r="H11" s="846"/>
      <c r="I11" s="846"/>
      <c r="J11" s="464"/>
      <c r="K11" s="872"/>
      <c r="L11" s="872"/>
      <c r="M11" s="872"/>
      <c r="N11" s="872"/>
      <c r="O11" s="872"/>
      <c r="P11" s="872"/>
      <c r="Q11" s="872"/>
      <c r="R11" s="872"/>
      <c r="S11" s="872"/>
      <c r="T11" s="872"/>
      <c r="U11" s="872"/>
      <c r="V11" s="872"/>
      <c r="W11" s="121"/>
      <c r="Y11"/>
      <c r="Z11" s="15">
        <v>36</v>
      </c>
      <c r="AA11" s="15">
        <v>39</v>
      </c>
      <c r="AB11" s="15">
        <v>40</v>
      </c>
      <c r="AC11" s="15"/>
      <c r="AD11" s="156" t="s">
        <v>1519</v>
      </c>
      <c r="AE11" s="156">
        <v>1</v>
      </c>
      <c r="AF11" s="578" t="s">
        <v>0</v>
      </c>
      <c r="AG11" s="343" t="s">
        <v>3203</v>
      </c>
      <c r="AH11" t="e" vm="4">
        <v>#VALUE!</v>
      </c>
      <c r="AI11" t="str">
        <f>"K_"&amp;AG11</f>
        <v>K_B</v>
      </c>
      <c r="AJ11" s="15"/>
      <c r="AM11" s="15"/>
      <c r="AN11" s="15"/>
      <c r="AO11" s="15"/>
      <c r="AP11" s="15"/>
      <c r="AQ11" s="15"/>
      <c r="AR11" s="15"/>
      <c r="AS11" s="15"/>
      <c r="AT11" s="15"/>
      <c r="AU11" s="15"/>
    </row>
    <row r="12" spans="1:55" s="13" customFormat="1" ht="23.1" customHeight="1">
      <c r="A12" s="474">
        <v>7</v>
      </c>
      <c r="B12" s="478" t="s">
        <v>6</v>
      </c>
      <c r="C12" s="821" t="s">
        <v>3682</v>
      </c>
      <c r="D12" s="822"/>
      <c r="E12" s="823"/>
      <c r="F12" s="846" t="s">
        <v>2477</v>
      </c>
      <c r="G12" s="846"/>
      <c r="H12" s="846"/>
      <c r="I12" s="846"/>
      <c r="J12" s="464"/>
      <c r="K12" s="872"/>
      <c r="L12" s="872"/>
      <c r="M12" s="872"/>
      <c r="N12" s="872"/>
      <c r="O12" s="872"/>
      <c r="P12" s="872"/>
      <c r="Q12" s="872"/>
      <c r="R12" s="872"/>
      <c r="S12" s="872"/>
      <c r="T12" s="872"/>
      <c r="U12" s="872"/>
      <c r="V12" s="872"/>
      <c r="W12" s="121"/>
      <c r="Z12" s="15">
        <v>4</v>
      </c>
      <c r="AA12" s="15">
        <v>5</v>
      </c>
      <c r="AB12" s="15">
        <v>8</v>
      </c>
      <c r="AC12" s="15">
        <v>13</v>
      </c>
      <c r="AD12" s="156" t="s">
        <v>1479</v>
      </c>
      <c r="AE12" s="156">
        <v>2</v>
      </c>
      <c r="AF12" s="578" t="s">
        <v>1</v>
      </c>
      <c r="AG12" s="343" t="s">
        <v>3204</v>
      </c>
      <c r="AH12" t="e" vm="5">
        <v>#VALUE!</v>
      </c>
      <c r="AI12" t="str">
        <f t="shared" ref="AI12:AI46" si="0">"K_"&amp;AG12</f>
        <v>K_Bg</v>
      </c>
      <c r="AJ12" s="15"/>
      <c r="AM12" s="15"/>
      <c r="AN12" s="15"/>
      <c r="AO12" s="15"/>
      <c r="AP12" s="15"/>
      <c r="AQ12" s="15"/>
      <c r="AR12" s="15"/>
      <c r="AS12" s="15"/>
      <c r="AT12" s="15">
        <f>500*0.026</f>
        <v>13</v>
      </c>
      <c r="AU12" s="15"/>
    </row>
    <row r="13" spans="1:55" s="13" customFormat="1" ht="23.1" customHeight="1">
      <c r="A13" s="474">
        <v>8</v>
      </c>
      <c r="B13" s="478" t="s">
        <v>7</v>
      </c>
      <c r="C13" s="821" t="s">
        <v>2479</v>
      </c>
      <c r="D13" s="822"/>
      <c r="E13" s="823"/>
      <c r="F13" s="846" t="s">
        <v>2478</v>
      </c>
      <c r="G13" s="846"/>
      <c r="H13" s="846"/>
      <c r="I13" s="846"/>
      <c r="J13" s="464"/>
      <c r="K13" s="872"/>
      <c r="L13" s="872"/>
      <c r="M13" s="872"/>
      <c r="N13" s="872"/>
      <c r="O13" s="872"/>
      <c r="P13" s="872"/>
      <c r="Q13" s="872"/>
      <c r="R13" s="872"/>
      <c r="S13" s="872"/>
      <c r="T13" s="872"/>
      <c r="U13" s="872"/>
      <c r="V13" s="872"/>
      <c r="W13" s="121"/>
      <c r="Z13" s="15">
        <v>75</v>
      </c>
      <c r="AA13" s="15">
        <v>77</v>
      </c>
      <c r="AB13" s="15">
        <v>78</v>
      </c>
      <c r="AC13" s="15">
        <v>83</v>
      </c>
      <c r="AD13" s="156" t="s">
        <v>1466</v>
      </c>
      <c r="AE13" s="156">
        <v>3</v>
      </c>
      <c r="AF13" s="578" t="s">
        <v>2</v>
      </c>
      <c r="AG13" s="343" t="s">
        <v>2206</v>
      </c>
      <c r="AH13" t="e" vm="6">
        <v>#VALUE!</v>
      </c>
      <c r="AI13" t="str">
        <f t="shared" si="0"/>
        <v>K_DK</v>
      </c>
      <c r="AJ13" s="15"/>
      <c r="AK13" s="317" t="s">
        <v>3134</v>
      </c>
      <c r="AL13" s="15" t="str">
        <f>"❶ "&amp;VLOOKUP(1,Kurzübersicht,2)&amp;":      "&amp;VLOOKUP(1,Kurzübersicht,$AB$2+3)&amp;CHAR(10)</f>
        <v xml:space="preserve">❶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v>
      </c>
      <c r="AM13" s="15"/>
      <c r="AN13" s="15"/>
      <c r="AO13" s="15"/>
      <c r="AP13" s="15"/>
      <c r="AQ13" s="15"/>
      <c r="AR13" s="15"/>
      <c r="AS13" s="15"/>
      <c r="AT13" s="15"/>
      <c r="AU13" s="15"/>
    </row>
    <row r="14" spans="1:55" s="13" customFormat="1" ht="23.1" customHeight="1">
      <c r="A14" s="474">
        <v>9</v>
      </c>
      <c r="B14" s="476" t="s">
        <v>3928</v>
      </c>
      <c r="C14" s="821" t="str">
        <f>"Ø Dynamisierung der gRV in "&amp;Länderwahl&amp; " in den letzten 10 / 5 Jahren*)"</f>
        <v>Ø Dynamisierung der gRV in Tschechien in den letzten 10 / 5 Jahren*)</v>
      </c>
      <c r="D14" s="822"/>
      <c r="E14" s="755" t="str">
        <f>IF(VLOOKUP(Länderwahl,Dynamisierungslinks,26)="","",HYPERLINK(VLOOKUP(Länderwahl,Dynamisierungslinks,26),"zur Quelle"))</f>
        <v>zur Quelle</v>
      </c>
      <c r="F14" s="677" t="s">
        <v>4136</v>
      </c>
      <c r="G14" s="678">
        <f>IFERROR(VLOOKUP(Länderwahl,Rentendynamik_Länder,16,FALSE),"Keine Daten")</f>
        <v>6.100359669424793E-2</v>
      </c>
      <c r="H14" s="677" t="s">
        <v>4138</v>
      </c>
      <c r="I14" s="678">
        <f>IFERROR(VLOOKUP(Länderwahl,Inflation_Länder,17,FALSE),"Keine Daten")</f>
        <v>9.1818080766123966E-2</v>
      </c>
      <c r="J14" s="465"/>
      <c r="K14" s="872"/>
      <c r="L14" s="872"/>
      <c r="M14" s="872"/>
      <c r="N14" s="872"/>
      <c r="O14" s="872"/>
      <c r="P14" s="872"/>
      <c r="Q14" s="872"/>
      <c r="R14" s="872"/>
      <c r="S14" s="872"/>
      <c r="T14" s="872"/>
      <c r="U14" s="872"/>
      <c r="V14" s="872"/>
      <c r="W14" s="121"/>
      <c r="Z14" s="15">
        <v>79</v>
      </c>
      <c r="AA14" s="15"/>
      <c r="AB14" s="15"/>
      <c r="AC14" s="15"/>
      <c r="AD14" s="156" t="s">
        <v>2465</v>
      </c>
      <c r="AE14" s="156">
        <v>4</v>
      </c>
      <c r="AF14" s="578" t="s">
        <v>3</v>
      </c>
      <c r="AG14" s="343" t="s">
        <v>3205</v>
      </c>
      <c r="AH14" t="e" vm="7">
        <v>#VALUE!</v>
      </c>
      <c r="AI14" t="str">
        <f t="shared" si="0"/>
        <v>K_D</v>
      </c>
      <c r="AJ14" s="317"/>
      <c r="AK14" s="317" t="s">
        <v>4018</v>
      </c>
      <c r="AL14" s="783" t="str">
        <f>"❶ "&amp;VLOOKUP(12,Kurzübersicht,2,FALSE)&amp;":      "&amp;VLOOKUP(12,Kurzübersicht,$AB$2+3,FALSE)&amp;CHAR(10)</f>
        <v xml:space="preserve">❶ 1.a. Festes Renteneintrittsalter – Männer/Frauen:      Stufenweise Anhebung; perspektivisch 67 bis 2056
</v>
      </c>
      <c r="AM14" s="7"/>
      <c r="AN14" s="15"/>
      <c r="AO14" s="15"/>
      <c r="AP14" s="15"/>
      <c r="AQ14" s="15"/>
      <c r="AR14" s="15"/>
      <c r="AS14" s="15"/>
      <c r="AT14" s="15"/>
      <c r="AU14" s="15"/>
    </row>
    <row r="15" spans="1:55" s="13" customFormat="1" ht="23.1" customHeight="1">
      <c r="A15" s="474">
        <v>10</v>
      </c>
      <c r="B15" s="478" t="s">
        <v>8</v>
      </c>
      <c r="C15" s="837" t="str">
        <f>"Dynamisierung der auszugl. Versorgung in: "&amp;Länderwahl&amp;" Vorschlag obige Zeile "&amp;TEXT(G14,"0,00%")</f>
        <v>Dynamisierung der auszugl. Versorgung in: Tschechien Vorschlag obige Zeile 6,10%</v>
      </c>
      <c r="D15" s="838"/>
      <c r="E15" s="838"/>
      <c r="F15" s="725" t="s">
        <v>3874</v>
      </c>
      <c r="G15" s="328"/>
      <c r="H15" s="423" t="s">
        <v>3875</v>
      </c>
      <c r="I15" s="329"/>
      <c r="J15" s="466"/>
      <c r="K15" s="872"/>
      <c r="L15" s="872"/>
      <c r="M15" s="872"/>
      <c r="N15" s="872"/>
      <c r="O15" s="872"/>
      <c r="P15" s="872"/>
      <c r="Q15" s="872"/>
      <c r="R15" s="872"/>
      <c r="S15" s="872"/>
      <c r="T15" s="872"/>
      <c r="U15" s="872"/>
      <c r="V15" s="872"/>
      <c r="W15" s="121"/>
      <c r="Z15" s="15">
        <v>21</v>
      </c>
      <c r="AA15" s="15">
        <v>57</v>
      </c>
      <c r="AB15" s="15">
        <v>91</v>
      </c>
      <c r="AC15" s="15"/>
      <c r="AD15" s="156" t="s">
        <v>2466</v>
      </c>
      <c r="AE15" s="156">
        <v>5</v>
      </c>
      <c r="AF15" s="578" t="s">
        <v>4</v>
      </c>
      <c r="AG15" s="343" t="s">
        <v>3207</v>
      </c>
      <c r="AH15" t="e" vm="8">
        <v>#VALUE!</v>
      </c>
      <c r="AI15" t="str">
        <f t="shared" si="0"/>
        <v>K_EST</v>
      </c>
      <c r="AJ15" s="317"/>
      <c r="AK15" s="317" t="s">
        <v>4019</v>
      </c>
      <c r="AL15" s="783" t="str">
        <f>"❶ "&amp;VLOOKUP(13,Kurzübersicht,2,FALSE)&amp;":      "&amp;VLOOKUP(13,Kurzübersicht,$AB$2+3,FALSE)&amp;CHAR(10)</f>
        <v xml:space="preserve">❶ 1.b. Abhängig von Lebenserwartung?:      Kein automatischer Lebenserwartungsmechanismus; Reform setzt Altersgrenze gesetzlich stufenweise hoch.
</v>
      </c>
      <c r="AM15" s="7"/>
      <c r="AN15" s="15"/>
      <c r="AO15" s="7"/>
      <c r="AP15" s="7"/>
      <c r="AQ15" s="15"/>
      <c r="AR15" s="15"/>
      <c r="AS15" s="15"/>
      <c r="AT15" s="15"/>
      <c r="AU15" s="15"/>
    </row>
    <row r="16" spans="1:55" s="13" customFormat="1" ht="27.75" customHeight="1">
      <c r="A16" s="474">
        <v>11</v>
      </c>
      <c r="B16" s="478" t="s">
        <v>9</v>
      </c>
      <c r="C16" s="837" t="str">
        <f>IF(Rentenhöhe_Fälligkeit&gt;0,"Die Höhe der Fälligkeitrente wurde manuell eingegeben und nicht errechnet",IF(ReAlter_Pfl="","Bitte Renteneintrittsalter eingeben (E10)",IFERROR(IF(Dat_Ber&lt;Leistungsbeginn_Pfl,"voraussichtliche Höhe der ","")&amp;"sVA-Rente bei Fälligkeit ("&amp;TEXT(I5,"T.M.JJ")&amp;"): "&amp;TEXT(ReHöhe_EZE_Pfl*ReAnzahlproJahr/12,"#.##0,00")&amp;" x (1 + "&amp;TEXT(ReDyn_Anwartschaft,"0,00%")&amp;")^"&amp;TEXT('Abfindung Methode 1'!H8,"0,0")&amp;IF(LeistungsphaseBerztpkt_Pfl&gt;0," x (1 + "&amp;TEXT(ReDynamik_Leistung,"0,00%")&amp;")^"&amp;TEXT(LeistungsphaseBerztpkt_Pfl,"0,0"),"")&amp;" = ","Es fehlen notwendige Dateneingaben im Blatt . Bitte 'gelbe' Zellen kontrollieren")))</f>
        <v>Bitte Renteneintrittsalter eingeben (E10)</v>
      </c>
      <c r="D16" s="838"/>
      <c r="E16" s="838"/>
      <c r="F16" s="838"/>
      <c r="G16" s="339">
        <f>IFERROR(IF(I16&gt;0,I16,ReHöhe_EZE_Pfl*ReAnzahlproJahr/12*(1+ReDyn_Anwartschaft)^(AnwZeitbisBer_Ztpkt)*(1+ReDynamik_Leistung)^LeistungsphaseBerztpkt_Pfl),"")</f>
        <v>0</v>
      </c>
      <c r="H16" s="424" t="s">
        <v>3255</v>
      </c>
      <c r="I16" s="330"/>
      <c r="J16" s="467"/>
      <c r="K16" s="872"/>
      <c r="L16" s="872"/>
      <c r="M16" s="872"/>
      <c r="N16" s="872"/>
      <c r="O16" s="872"/>
      <c r="P16" s="872"/>
      <c r="Q16" s="872"/>
      <c r="R16" s="872"/>
      <c r="S16" s="872"/>
      <c r="T16" s="872"/>
      <c r="U16" s="872"/>
      <c r="V16" s="872"/>
      <c r="W16" s="121"/>
      <c r="Z16" s="15">
        <v>60</v>
      </c>
      <c r="AA16" s="15">
        <v>61</v>
      </c>
      <c r="AB16" s="15">
        <v>62</v>
      </c>
      <c r="AC16" s="15">
        <v>70</v>
      </c>
      <c r="AD16" s="156" t="s">
        <v>2915</v>
      </c>
      <c r="AE16" s="156">
        <v>6</v>
      </c>
      <c r="AF16" s="578" t="s">
        <v>5</v>
      </c>
      <c r="AG16" s="343" t="s">
        <v>2211</v>
      </c>
      <c r="AH16" t="e" vm="9">
        <v>#VALUE!</v>
      </c>
      <c r="AI16" t="str">
        <f t="shared" si="0"/>
        <v>K_FI</v>
      </c>
      <c r="AJ16" s="317"/>
      <c r="AK16" s="317" t="s">
        <v>4020</v>
      </c>
      <c r="AL16" s="783" t="str">
        <f>"❶ "&amp;VLOOKUP(14,Kurzübersicht,2,FALSE)&amp;":      "&amp;VLOOKUP(14,Kurzübersicht,$AB$2+3,FALSE)&amp;CHAR(10)</f>
        <v xml:space="preserve">❶ 1.c. Abhängigkeit vom Geburtsjahrgang / Übergangsregelung:      Ja. Altersgrenze steigt nach Geburtsjahr; frühere Frauen-/Kinderregelungen werden auslaufend angeglichen. (Tschechisches Außenministerium)
</v>
      </c>
      <c r="AM16" s="15"/>
      <c r="AN16" s="15"/>
      <c r="AO16" s="7"/>
      <c r="AP16" s="7"/>
      <c r="AQ16" s="15"/>
      <c r="AR16" s="15"/>
      <c r="AS16" s="15"/>
      <c r="AT16" s="15"/>
      <c r="AU16" s="15"/>
    </row>
    <row r="17" spans="1:47" s="13" customFormat="1" ht="23.1" customHeight="1" thickBot="1">
      <c r="A17" s="474">
        <v>12</v>
      </c>
      <c r="B17" s="478" t="s">
        <v>10</v>
      </c>
      <c r="C17" s="827" t="str">
        <f>IFERROR("Wahl des ReZinses: Inflation? ("&amp;AC2&amp;"): Ø 5Jahre: "&amp;TEXT(VLOOKUP(Länderwahl,Inflation,14),"0,00%") &amp; "  Ø 10Jahre: "&amp;TEXT(VLOOKUP(Länderwahl,Inflation,15),"0,00%")&amp;" oder BilMoG-7: "&amp;TEXT(VLOOKUP(Dat_Ber,BilMoG,2)/100,"0,00%")&amp;" ?; BilMoG-10: "&amp;TEXT(VLOOKUP(Dat_Ber,BilMoG,3)/100,"0,00%")&amp;" ? oder anders:","")</f>
        <v/>
      </c>
      <c r="D17" s="827"/>
      <c r="E17" s="827"/>
      <c r="F17" s="827"/>
      <c r="G17" s="827"/>
      <c r="H17" s="827"/>
      <c r="I17" s="614"/>
      <c r="J17" s="466"/>
      <c r="K17" s="872"/>
      <c r="L17" s="872"/>
      <c r="M17" s="872"/>
      <c r="N17" s="872"/>
      <c r="O17" s="872"/>
      <c r="P17" s="872"/>
      <c r="Q17" s="872"/>
      <c r="R17" s="872"/>
      <c r="S17" s="872"/>
      <c r="T17" s="872"/>
      <c r="U17" s="872"/>
      <c r="V17" s="872"/>
      <c r="W17" s="121"/>
      <c r="Z17" s="15">
        <v>26</v>
      </c>
      <c r="AA17" s="15">
        <v>62</v>
      </c>
      <c r="AB17" s="15">
        <v>70</v>
      </c>
      <c r="AC17" s="15">
        <v>105</v>
      </c>
      <c r="AD17" s="156" t="s">
        <v>2916</v>
      </c>
      <c r="AE17" s="156">
        <v>7</v>
      </c>
      <c r="AF17" s="578" t="s">
        <v>6</v>
      </c>
      <c r="AG17" s="343" t="s">
        <v>3208</v>
      </c>
      <c r="AH17" t="e" vm="10">
        <v>#VALUE!</v>
      </c>
      <c r="AI17" t="str">
        <f t="shared" si="0"/>
        <v>K_F</v>
      </c>
      <c r="AJ17" s="317"/>
      <c r="AK17" s="317" t="s">
        <v>3135</v>
      </c>
      <c r="AL17" s="15" t="str">
        <f>"❷ "&amp;VLOOKUP(2,Kurzübersicht,2)&amp;":      "&amp;VLOOKUP(2,Kurzübersicht,$AB$2+3)&amp;CHAR(10)</f>
        <v xml:space="preserve">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v>
      </c>
      <c r="AM17" s="15"/>
      <c r="AN17" s="15"/>
      <c r="AO17" s="15"/>
      <c r="AP17" s="15"/>
      <c r="AQ17" s="15"/>
      <c r="AR17" s="15"/>
      <c r="AS17" s="15"/>
      <c r="AT17" s="15"/>
      <c r="AU17" s="15"/>
    </row>
    <row r="18" spans="1:47" s="13" customFormat="1" ht="23.1" customHeight="1">
      <c r="A18" s="474">
        <v>13</v>
      </c>
      <c r="B18" s="478" t="s">
        <v>11</v>
      </c>
      <c r="C18" s="500" t="s">
        <v>2917</v>
      </c>
      <c r="D18" s="501"/>
      <c r="E18" s="501"/>
      <c r="F18" s="501"/>
      <c r="G18" s="832" t="s">
        <v>3665</v>
      </c>
      <c r="H18" s="833"/>
      <c r="I18" s="502" t="s">
        <v>3888</v>
      </c>
      <c r="J18" s="468"/>
      <c r="K18" s="872"/>
      <c r="L18" s="872"/>
      <c r="M18" s="872"/>
      <c r="N18" s="872"/>
      <c r="O18" s="872"/>
      <c r="P18" s="872"/>
      <c r="Q18" s="872"/>
      <c r="R18" s="872"/>
      <c r="S18" s="872"/>
      <c r="T18" s="872"/>
      <c r="U18" s="872"/>
      <c r="V18" s="872"/>
      <c r="W18" s="121"/>
      <c r="Z18" s="15"/>
      <c r="AA18" s="15"/>
      <c r="AB18" s="15"/>
      <c r="AC18" s="15"/>
      <c r="AE18" s="156">
        <v>8</v>
      </c>
      <c r="AF18" s="578" t="s">
        <v>7</v>
      </c>
      <c r="AG18" s="343" t="s">
        <v>3209</v>
      </c>
      <c r="AH18" t="e" vm="11">
        <v>#VALUE!</v>
      </c>
      <c r="AI18" t="str">
        <f t="shared" si="0"/>
        <v>K_GR</v>
      </c>
      <c r="AJ18" s="15"/>
      <c r="AK18" s="317" t="s">
        <v>3136</v>
      </c>
      <c r="AL18" s="15" t="str">
        <f>"❷ "&amp;VLOOKUP(3,Kurzübersicht,2)&amp;":      "&amp;VLOOKUP(3,Kurzübersicht,$AB$2+3)&amp;CHAR(10)</f>
        <v xml:space="preserve">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v>
      </c>
      <c r="AM18" s="15"/>
      <c r="AN18" s="15"/>
      <c r="AO18" s="15"/>
      <c r="AP18" s="15"/>
      <c r="AQ18" s="15"/>
      <c r="AR18" s="15"/>
      <c r="AS18" s="15"/>
      <c r="AT18" s="15"/>
      <c r="AU18" s="15"/>
    </row>
    <row r="19" spans="1:47" s="13" customFormat="1" ht="23.1" customHeight="1">
      <c r="A19" s="474">
        <v>14</v>
      </c>
      <c r="B19" s="478" t="s">
        <v>12</v>
      </c>
      <c r="C19" s="831" t="s">
        <v>3199</v>
      </c>
      <c r="D19" s="822"/>
      <c r="E19" s="823"/>
      <c r="F19" s="382"/>
      <c r="G19" s="334" t="s">
        <v>4656</v>
      </c>
      <c r="H19" s="340" t="str">
        <f>IFERROR(IF(I19&gt;0,I19,VLOOKUP(Alter_Pfl,CHOOSE(IF(ReAlter_Pfl&lt;60,60,IF(ReAlter_Pfl&gt;67,67,ReAlter_Pfl))-59,HRIR60,HRIR61,HRIR62,HRIR63,HRIR64,HRIR65,HRIR66,HRIR67),CHOOSE(GeschlechtsNr_Pfl,7,16,25))*F19),"")</f>
        <v/>
      </c>
      <c r="I19" s="390"/>
      <c r="J19" s="469"/>
      <c r="K19" s="872"/>
      <c r="L19" s="872"/>
      <c r="M19" s="872"/>
      <c r="N19" s="872"/>
      <c r="O19" s="872"/>
      <c r="P19" s="872"/>
      <c r="Q19" s="872"/>
      <c r="R19" s="872"/>
      <c r="S19" s="872"/>
      <c r="T19" s="872"/>
      <c r="U19" s="872"/>
      <c r="V19" s="872"/>
      <c r="W19" s="121"/>
      <c r="Z19" s="15"/>
      <c r="AA19" s="15"/>
      <c r="AB19" s="15"/>
      <c r="AC19" s="15"/>
      <c r="AE19" s="156">
        <v>9</v>
      </c>
      <c r="AF19" s="353" t="s">
        <v>3928</v>
      </c>
      <c r="AG19" s="14" t="s">
        <v>3929</v>
      </c>
      <c r="AH19" s="13" t="e" vm="12">
        <v>#VALUE!</v>
      </c>
      <c r="AI19" t="str">
        <f t="shared" si="0"/>
        <v>K_GB</v>
      </c>
      <c r="AJ19" s="15"/>
      <c r="AK19" s="317" t="s">
        <v>3137</v>
      </c>
      <c r="AL19" s="15" t="str">
        <f>"❷ "&amp;VLOOKUP(4,Kurzübersicht,2)&amp;":      "&amp;VLOOKUP(4,Kurzübersicht,$AB$2+3)&amp;CHAR(10)</f>
        <v xml:space="preserve">❷ 2.b. Erwerb allein aufgrund legalen Aufenthalts?:      Nein. Erwerb und Höhe hängen von Versicherungszeiten und beitragspflichtigen Einkünften ab; bloßer Aufenthalt genügt nicht. (cssz.cz)
</v>
      </c>
      <c r="AM19" s="15"/>
      <c r="AN19" s="15"/>
      <c r="AO19" s="15"/>
      <c r="AP19" s="15"/>
      <c r="AQ19" s="15"/>
      <c r="AR19" s="15"/>
      <c r="AS19" s="15"/>
      <c r="AT19" s="15"/>
      <c r="AU19" s="15"/>
    </row>
    <row r="20" spans="1:47" s="13" customFormat="1" ht="23.1" customHeight="1">
      <c r="A20" s="474">
        <v>15</v>
      </c>
      <c r="B20" s="478" t="s">
        <v>13</v>
      </c>
      <c r="C20" s="831" t="s">
        <v>3200</v>
      </c>
      <c r="D20" s="822"/>
      <c r="E20" s="823"/>
      <c r="F20" s="331"/>
      <c r="G20" s="334" t="s">
        <v>4657</v>
      </c>
      <c r="H20" s="335" t="str">
        <f>IFERROR(IF(I20&gt;0,I20,VLOOKUP(Alter_Pfl,CHOOSE(IF(ReAlter_Pfl&lt;60,60,IF(ReAlter_Pfl&gt;67,67,ReAlter_Pfl))-59,HRIR60,HRIR61,HRIR62,HRIR63,HRIR64,HRIR65,HRIR66,HRIR67),CHOOSE(GeschlechtsNr_Pfl,8,17,26))*F20),"")</f>
        <v/>
      </c>
      <c r="I20" s="390"/>
      <c r="J20" s="469"/>
      <c r="K20" s="872"/>
      <c r="L20" s="872"/>
      <c r="M20" s="872"/>
      <c r="N20" s="872"/>
      <c r="O20" s="872"/>
      <c r="P20" s="872"/>
      <c r="Q20" s="872"/>
      <c r="R20" s="872"/>
      <c r="S20" s="872"/>
      <c r="T20" s="872"/>
      <c r="U20" s="872"/>
      <c r="V20" s="872"/>
      <c r="W20" s="121"/>
      <c r="Z20" s="15"/>
      <c r="AA20" s="15"/>
      <c r="AB20" s="15"/>
      <c r="AC20" s="15"/>
      <c r="AE20" s="156">
        <v>10</v>
      </c>
      <c r="AF20" s="578" t="s">
        <v>8</v>
      </c>
      <c r="AG20" s="343" t="s">
        <v>3212</v>
      </c>
      <c r="AH20" t="e" vm="13">
        <v>#VALUE!</v>
      </c>
      <c r="AI20" t="str">
        <f t="shared" si="0"/>
        <v>K_IRL</v>
      </c>
      <c r="AJ20" s="15"/>
      <c r="AK20" s="317" t="s">
        <v>3138</v>
      </c>
      <c r="AL20" s="15" t="str">
        <f>"❸ "&amp;VLOOKUP(5,Kurzübersicht,2)&amp;":      "&amp;VLOOKUP(5,Kurzübersicht,$AB$2+3)&amp;CHAR(10)</f>
        <v xml:space="preserve">❸ 3.a. Dynamisierung in der Anwartschaftsphase:      Die Rente hat einen Grundbetrag und einen prozentualen Teil; der prozentuale Teil wird aus Berechnungsgrundlage und Versicherungsjahren ermittelt, wobei der Steigerungssatz ab 2026 schrittweise sinkt. (cssz.cz)
</v>
      </c>
      <c r="AM20" s="15"/>
      <c r="AN20" s="15"/>
      <c r="AO20" s="15"/>
      <c r="AP20" s="15"/>
      <c r="AQ20" s="15"/>
      <c r="AR20" s="15"/>
      <c r="AS20" s="15"/>
      <c r="AT20" s="15"/>
      <c r="AU20" s="15"/>
    </row>
    <row r="21" spans="1:47" s="13" customFormat="1" ht="23.1" customHeight="1">
      <c r="A21" s="474">
        <v>16</v>
      </c>
      <c r="B21" s="478" t="s">
        <v>14</v>
      </c>
      <c r="C21" s="831" t="s">
        <v>2483</v>
      </c>
      <c r="D21" s="822"/>
      <c r="E21" s="823"/>
      <c r="F21" s="331"/>
      <c r="G21" s="834" t="s">
        <v>3146</v>
      </c>
      <c r="H21" s="835"/>
      <c r="I21" s="836"/>
      <c r="J21" s="470"/>
      <c r="K21" s="872"/>
      <c r="L21" s="872"/>
      <c r="M21" s="872"/>
      <c r="N21" s="872"/>
      <c r="O21" s="872"/>
      <c r="P21" s="872"/>
      <c r="Q21" s="872"/>
      <c r="R21" s="872"/>
      <c r="S21" s="872"/>
      <c r="T21" s="872"/>
      <c r="U21" s="872"/>
      <c r="V21" s="872"/>
      <c r="W21" s="121"/>
      <c r="Z21" s="15"/>
      <c r="AA21" s="15"/>
      <c r="AB21" s="15"/>
      <c r="AC21" s="15"/>
      <c r="AE21" s="156">
        <v>11</v>
      </c>
      <c r="AF21" s="578" t="s">
        <v>9</v>
      </c>
      <c r="AG21" s="343" t="s">
        <v>3210</v>
      </c>
      <c r="AH21" t="e" vm="14">
        <v>#VALUE!</v>
      </c>
      <c r="AI21" t="str">
        <f t="shared" si="0"/>
        <v>K_IS</v>
      </c>
      <c r="AJ21" s="15"/>
      <c r="AK21" s="317" t="s">
        <v>3139</v>
      </c>
      <c r="AL21" s="15" t="str">
        <f>"❸ "&amp;VLOOKUP(6,Kurzübersicht,2)&amp;":      "&amp;VLOOKUP(6,Kurzübersicht,$AB$2+3)&amp;CHAR(10)</f>
        <v xml:space="preserve">❸ 3.b. Dynamisierung in der Leistungsphase:      Laufende Renten werden gesetzlich valorisiert; zugleich enthält die Reform ab 2026 Änderungen bei Berechnung und Steigerungssatz. (cssz.cz)
</v>
      </c>
      <c r="AM21" s="15"/>
      <c r="AN21" s="15"/>
      <c r="AO21" s="15"/>
      <c r="AP21" s="15"/>
      <c r="AQ21" s="15"/>
      <c r="AR21" s="15"/>
      <c r="AS21" s="15"/>
      <c r="AT21" s="15"/>
      <c r="AU21" s="15"/>
    </row>
    <row r="22" spans="1:47" s="13" customFormat="1" ht="23.1" customHeight="1" thickBot="1">
      <c r="A22" s="474">
        <v>17</v>
      </c>
      <c r="B22" s="478" t="s">
        <v>15</v>
      </c>
      <c r="C22" s="824" t="str">
        <f>"pauschaler Steuerabschlag in % "&amp;IF(LEFT(DBA,12)="DBA gelistet","   ("&amp;DBA&amp;")","")</f>
        <v xml:space="preserve">pauschaler Steuerabschlag in % </v>
      </c>
      <c r="D22" s="825"/>
      <c r="E22" s="826"/>
      <c r="F22" s="332"/>
      <c r="G22" s="828" t="s">
        <v>2485</v>
      </c>
      <c r="H22" s="829"/>
      <c r="I22" s="830"/>
      <c r="J22" s="471"/>
      <c r="K22" s="872"/>
      <c r="L22" s="872"/>
      <c r="M22" s="872"/>
      <c r="N22" s="872"/>
      <c r="O22" s="872"/>
      <c r="P22" s="872"/>
      <c r="Q22" s="872"/>
      <c r="R22" s="872"/>
      <c r="S22" s="872"/>
      <c r="T22" s="872"/>
      <c r="U22" s="872"/>
      <c r="V22" s="872"/>
      <c r="W22" s="121"/>
      <c r="Z22" s="15"/>
      <c r="AA22" s="15"/>
      <c r="AB22" s="15"/>
      <c r="AC22" s="15"/>
      <c r="AE22" s="156">
        <v>12</v>
      </c>
      <c r="AF22" s="578" t="s">
        <v>10</v>
      </c>
      <c r="AG22" s="343" t="s">
        <v>3211</v>
      </c>
      <c r="AH22" t="e" vm="15">
        <v>#VALUE!</v>
      </c>
      <c r="AI22" t="str">
        <f t="shared" si="0"/>
        <v>K_I</v>
      </c>
      <c r="AJ22" s="15"/>
      <c r="AK22" s="317" t="s">
        <v>3140</v>
      </c>
      <c r="AL22" s="15" t="str">
        <f>"❹ "&amp;VLOOKUP(7,Kurzübersicht,2)&amp;":      "&amp;VLOOKUP(7,Kurzübersicht,$AB$2+3)&amp;CHAR(10)</f>
        <v xml:space="preserve">❹ 4.a. Invaliditätsrente? Quote zur Altersrente?:      Ja. Invaliditätsrente bei langfristiger Erwerbsminderung; keine Quote zur Altersrente, sondern drei Invaliditätsgrade und eigene Berechnung. (portal.gov.cz)
</v>
      </c>
      <c r="AM22" s="15"/>
      <c r="AN22" s="576"/>
      <c r="AO22" s="576"/>
      <c r="AP22" s="576"/>
      <c r="AQ22" s="15"/>
      <c r="AR22" s="15"/>
      <c r="AS22" s="15"/>
      <c r="AT22" s="15"/>
      <c r="AU22" s="15"/>
    </row>
    <row r="23" spans="1:47" s="13" customFormat="1" ht="23.1" customHeight="1">
      <c r="A23" s="474">
        <v>18</v>
      </c>
      <c r="B23" s="478" t="s">
        <v>16</v>
      </c>
      <c r="C23" s="875" t="s">
        <v>2921</v>
      </c>
      <c r="D23" s="875"/>
      <c r="E23" s="875"/>
      <c r="F23" s="875"/>
      <c r="G23" s="875"/>
      <c r="H23" s="875"/>
      <c r="I23" s="875"/>
      <c r="J23" s="17"/>
      <c r="K23" s="872"/>
      <c r="L23" s="872"/>
      <c r="M23" s="872"/>
      <c r="N23" s="872"/>
      <c r="O23" s="872"/>
      <c r="P23" s="872"/>
      <c r="Q23" s="872"/>
      <c r="R23" s="872"/>
      <c r="S23" s="872"/>
      <c r="T23" s="872"/>
      <c r="U23" s="872"/>
      <c r="V23" s="872"/>
      <c r="W23" s="121"/>
      <c r="X23" s="324" t="b">
        <v>0</v>
      </c>
      <c r="AE23" s="156">
        <v>13</v>
      </c>
      <c r="AF23" s="578" t="s">
        <v>11</v>
      </c>
      <c r="AG23" s="343" t="s">
        <v>3226</v>
      </c>
      <c r="AH23" t="e" vm="16">
        <v>#VALUE!</v>
      </c>
      <c r="AI23" t="str">
        <f t="shared" si="0"/>
        <v>K_KR</v>
      </c>
      <c r="AJ23" s="15"/>
      <c r="AK23" s="317" t="s">
        <v>3141</v>
      </c>
      <c r="AL23" s="15" t="str">
        <f>"❹ "&amp;VLOOKUP(8,Kurzübersicht,2)&amp;":      "&amp;VLOOKUP(8,Kurzübersicht,$AB$2+3)&amp;CHAR(10)</f>
        <v xml:space="preserve">❹ 4.b. Hinterbliebenenversorgung? Quote zur Altersrente?:      Ja. Witwen-/Witwerrente besteht aus Grundbetrag und prozentualem Teil; der prozentuale Teil beträgt 50 % des maßgeblichen prozentualen Rententeils des Verstorbenen. (portal.gov.cz)
</v>
      </c>
    </row>
    <row r="24" spans="1:47" s="13" customFormat="1" ht="23.1" customHeight="1">
      <c r="A24" s="474">
        <v>19</v>
      </c>
      <c r="B24" s="478" t="s">
        <v>17</v>
      </c>
      <c r="C24" s="873" t="str">
        <f>IF(Kurzinfo,_xlfn._LONGTEXT("In dieses Datenblatt tragen Sie die 'Grundinformationen' Ihres Falles ein. Dabei werden Sie von hinterlegten Datenbanken unterstützt. Das Programm hat rechts eine Info-Box. Diese zeigt Ihnen Informationen für das von Ihnen ausgewählte Land, wenn die Optio","n-Box in der ersten Zeile des Arbeitsblattes aktiviert ist.  Die 'Info-Box für Abfindungsberechnung' liefert Ihnen länderspezifische Informationen zu den durch Option-Boxen 'Info' im linken Teilfenster bezeichneten Fragestellungen. Einfach die jeweilige '","Info'-Option anklicken. In der rechten hälfte erhalten Sie bei Aktivierung der Info-Option länderspezifische Informationen :
in der Kurzübersicht zu den für die Abfindungsberechnung maßgeblichen Daten aus der Kurzübersicht zum (beispielhaften) Musterpromt",". Reicht Ihnen das nicht, wechseln Sie einfach in die Kurzübersicht zum entsprechenden Land und klicken auf den Text zu Ihrer Frage. Die Texte sind verlinkt zu belastbaren Informationsmaterialien aus dem Internet (meist aus den jeweiligen Ländern).
Wenn S","ie in der ersten Zeile des Blattes die Länderauswahl treffen, wird Ihnen angezeigt, ob es zu Versorgungssystemen des ausgewählten Landes bereits Entscheidungen deutscher Gerichte gibt und über der rechts angeordneten Infobox wird angezeigt, ob die Versorg","ungsträger des Auswahllandes Auskünfte zum VA erteilen.
Aufgabe des Blattes ist aber die Datenerfassung für die Berechnung der Abfindung einer im VA auszugleichenden ausländischen Versorgung. Da wahrscheinlich niemand die einzelnen Parameter der europäisc","hen Versorgungssysteme im Kopf hat, gibt es die Kurz-Infobox, in der ihre Wunschinformation (hoffentlich) erscheint, wenn die entsprechende Option-Box aktiviert wird.
Falls das nicht weiterhilft, nutzen Sie mit gezielten Aufträgen das Internet und insbeso","ndere unter Anwndung von KI-Systemen (z.B. ChatGPT), mit denen auch diese Datenbank optimiert wurde.
Dieses Datenblatt unterstützt Sie auch in der Entscheidung zur Dynamisierungsannahme. Wo Daten ermittelbar waren, sind diese aufbereitet worden und auch i","n den gesonderten Datenblättern &lt;Inflation&gt; und &lt;Dynamisierung&gt; einsehbar. Die Pfleile in Zeilen 11 und 14 führen Sie dorthin."),"")</f>
        <v/>
      </c>
      <c r="D24" s="873"/>
      <c r="E24" s="873"/>
      <c r="F24" s="873"/>
      <c r="G24" s="873"/>
      <c r="H24" s="873"/>
      <c r="I24" s="873"/>
      <c r="J24" s="472"/>
      <c r="K24" s="872"/>
      <c r="L24" s="872"/>
      <c r="M24" s="872"/>
      <c r="N24" s="872"/>
      <c r="O24" s="872"/>
      <c r="P24" s="872"/>
      <c r="Q24" s="872"/>
      <c r="R24" s="872"/>
      <c r="S24" s="872"/>
      <c r="T24" s="872"/>
      <c r="U24" s="872"/>
      <c r="V24" s="872"/>
      <c r="W24" s="121"/>
      <c r="Z24" s="156" t="s">
        <v>3202</v>
      </c>
      <c r="AA24" s="333" t="b">
        <v>1</v>
      </c>
      <c r="AE24" s="156">
        <v>14</v>
      </c>
      <c r="AF24" s="578" t="s">
        <v>12</v>
      </c>
      <c r="AG24" s="343" t="s">
        <v>3213</v>
      </c>
      <c r="AH24" t="e" vm="17">
        <v>#VALUE!</v>
      </c>
      <c r="AI24" t="str">
        <f t="shared" si="0"/>
        <v>K_LV</v>
      </c>
      <c r="AJ24" s="15"/>
      <c r="AK24" s="317" t="s">
        <v>3142</v>
      </c>
      <c r="AL24" s="15" t="str">
        <f>"❹ "&amp;VLOOKUP(9,Kurzübersicht,2)&amp;":      "&amp;VLOOKUP(9,Kurzübersicht,$AB$2+3)&amp;CHAR(10)</f>
        <v xml:space="preserve">❹ 4.c. Geschiedenen-Hinterbliebenenversorgung?:      Nein. Geschiedene Ehegatten haben nach dem früheren Ehegatten keinen Anspruch auf Witwen-/Witwerrente; auch bloße Lebensgefährten sind nicht anspruchsberechtigt. (cssz.cz)
</v>
      </c>
    </row>
    <row r="25" spans="1:47" s="13" customFormat="1" ht="23.1" customHeight="1">
      <c r="A25" s="474">
        <v>20</v>
      </c>
      <c r="B25" s="478" t="s">
        <v>18</v>
      </c>
      <c r="C25" s="800"/>
      <c r="D25" s="800"/>
      <c r="E25" s="800"/>
      <c r="F25" s="800"/>
      <c r="G25" s="800"/>
      <c r="H25" s="800"/>
      <c r="I25" s="800"/>
      <c r="J25" s="472"/>
      <c r="K25" s="872"/>
      <c r="L25" s="872"/>
      <c r="M25" s="872"/>
      <c r="N25" s="872"/>
      <c r="O25" s="872"/>
      <c r="P25" s="872"/>
      <c r="Q25" s="872"/>
      <c r="R25" s="872"/>
      <c r="S25" s="872"/>
      <c r="T25" s="872"/>
      <c r="U25" s="872"/>
      <c r="V25" s="872"/>
      <c r="W25" s="121"/>
      <c r="Z25" s="156" t="s">
        <v>3201</v>
      </c>
      <c r="AA25" s="202" t="b">
        <v>0</v>
      </c>
      <c r="AD25" s="327" t="str">
        <f>IF(VLOOKUP(Länderwahl,Dynamisierungslinks,26,FALSE)="","",VLOOKUP(Länderwahl,Dynamisierungslinks,26,FALSE))</f>
        <v>JESP/Sage Supplement 2026</v>
      </c>
      <c r="AE25" s="156">
        <v>15</v>
      </c>
      <c r="AF25" s="578" t="s">
        <v>13</v>
      </c>
      <c r="AG25" s="343" t="s">
        <v>3215</v>
      </c>
      <c r="AH25" t="e" vm="18">
        <v>#VALUE!</v>
      </c>
      <c r="AI25" t="str">
        <f t="shared" si="0"/>
        <v>K_FL</v>
      </c>
      <c r="AK25" s="317" t="s">
        <v>3143</v>
      </c>
      <c r="AL25" s="15" t="str">
        <f>"❺ "&amp;VLOOKUP(10,Kurzübersicht,2)&amp;":      "&amp;VLOOKUP(10,Kurzübersicht,$AB$2+3)&amp;CHAR(10)</f>
        <v xml:space="preserve">❺ 5. Steuerpflicht der Leistungen:      Renten sind grundsätzlich steuerlich relevant; nach gängigen Darstellungen sind staatliche Pflichtleistungen nur oberhalb gesetzlicher Schwellen steuerpflichtig. (cms.law)
</v>
      </c>
    </row>
    <row r="26" spans="1:47" s="13" customFormat="1" ht="23.1" customHeight="1">
      <c r="A26" s="474">
        <v>21</v>
      </c>
      <c r="B26" s="478" t="s">
        <v>19</v>
      </c>
      <c r="C26" s="800"/>
      <c r="D26" s="800"/>
      <c r="E26" s="800"/>
      <c r="F26" s="800"/>
      <c r="G26" s="800"/>
      <c r="H26" s="800"/>
      <c r="I26" s="800"/>
      <c r="J26" s="472"/>
      <c r="K26" s="872"/>
      <c r="L26" s="872"/>
      <c r="M26" s="872"/>
      <c r="N26" s="872"/>
      <c r="O26" s="872"/>
      <c r="P26" s="872"/>
      <c r="Q26" s="872"/>
      <c r="R26" s="872"/>
      <c r="S26" s="872"/>
      <c r="T26" s="872"/>
      <c r="U26" s="872"/>
      <c r="V26" s="872"/>
      <c r="W26" s="121"/>
      <c r="AE26" s="156">
        <v>16</v>
      </c>
      <c r="AF26" s="578" t="s">
        <v>14</v>
      </c>
      <c r="AG26" s="343" t="s">
        <v>3214</v>
      </c>
      <c r="AH26" t="e" vm="19">
        <v>#VALUE!</v>
      </c>
      <c r="AI26" t="str">
        <f t="shared" si="0"/>
        <v>K_LI</v>
      </c>
      <c r="AK26" s="317" t="s">
        <v>3144</v>
      </c>
      <c r="AL26" s="15" t="str">
        <f>"❻ "&amp;VLOOKUP(11,Kurzübersicht,2)&amp;":      "&amp;VLOOKUP(11,Kurzübersicht,$AB$2+3)&amp;CHAR(10)</f>
        <v xml:space="preserve">❻ 6. Sozialabgaben auf Versorgungsleistungen:      Keine regulären Rentenversicherungsbeiträge auf Rentenzahlungen; Sozialversicherung betrifft vor allem Erwerbstätigkeit, Gesundheitsversicherung ist gesondert geregelt. (taxsummaries.pwc.com)
</v>
      </c>
    </row>
    <row r="27" spans="1:47" s="13" customFormat="1" ht="23.1" customHeight="1">
      <c r="A27" s="474">
        <v>22</v>
      </c>
      <c r="B27" s="478" t="s">
        <v>20</v>
      </c>
      <c r="C27" s="800"/>
      <c r="D27" s="800"/>
      <c r="E27" s="800"/>
      <c r="F27" s="800"/>
      <c r="G27" s="800"/>
      <c r="H27" s="800"/>
      <c r="I27" s="800"/>
      <c r="J27" s="472"/>
      <c r="K27" s="872"/>
      <c r="L27" s="872"/>
      <c r="M27" s="872"/>
      <c r="N27" s="872"/>
      <c r="O27" s="872"/>
      <c r="P27" s="872"/>
      <c r="Q27" s="872"/>
      <c r="R27" s="872"/>
      <c r="S27" s="872"/>
      <c r="T27" s="872"/>
      <c r="U27" s="872"/>
      <c r="V27" s="872"/>
      <c r="W27" s="121"/>
      <c r="X27" s="13" t="str" cm="1">
        <f t="array" aca="1" ref="X27" ca="1">CELL("Adresse",K_L)</f>
        <v>'[VeuropA-Europa-Rentensysteme-EU-und-EFTA-Laender-im-VA.xlsx]Kurzübersicht'!$T$8</v>
      </c>
      <c r="AE27" s="156">
        <v>17</v>
      </c>
      <c r="AF27" s="578" t="s">
        <v>15</v>
      </c>
      <c r="AG27" s="343" t="s">
        <v>3216</v>
      </c>
      <c r="AH27" t="e" vm="20">
        <v>#VALUE!</v>
      </c>
      <c r="AI27" t="str">
        <f t="shared" si="0"/>
        <v>K_L</v>
      </c>
      <c r="AJ27" s="15"/>
      <c r="AK27" s="317" t="s">
        <v>3195</v>
      </c>
      <c r="AL27" s="15" t="str">
        <f>KText1&amp;CHAR(10)&amp;KText12&amp;CHAR(10)&amp;KText13&amp;CHAR(10)&amp;KText14&amp;CHAR(10)&amp;KText2&amp;CHAR(10)&amp;KText3&amp;CHAR(10)&amp;KText4&amp;CHAR(10)&amp;KText5&amp;CHAR(10)&amp;KText6&amp;CHAR(10)&amp;KText7&amp;CHAR(10)&amp;KText8&amp;CHAR(10)&amp;KText9&amp;CHAR(10)&amp;KText10&amp;CHAR(10)&amp;KText11&amp;CHAR(10)&amp;KText12&amp;CHAR(10)&amp;KText13&amp;CHAR(10)&amp;KText14</f>
        <v xml:space="preserve">❶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2.b. Erwerb allein aufgrund legalen Aufenthalts?:      Nein. Erwerb und Höhe hängen von Versicherungszeiten und beitragspflichtigen Einkünften ab; bloßer Aufenthalt genügt nicht. (cssz.cz)
❸ 3.a. Dynamisierung in der Anwartschaftsphase:      Die Rente hat einen Grundbetrag und einen prozentualen Teil; der prozentuale Teil wird aus Berechnungsgrundlage und Versicherungsjahren ermittelt, wobei der Steigerungssatz ab 2026 schrittweise sinkt. (cssz.cz)
❸ 3.b. Dynamisierung in der Leistungsphase:      Laufende Renten werden gesetzlich valorisiert; zugleich enthält die Reform ab 2026 Änderungen bei Berechnung und Steigerungssatz. (cssz.cz)
❹ 4.a. Invaliditätsrente? Quote zur Altersrente?:      Ja. Invaliditätsrente bei langfristiger Erwerbsminderung; keine Quote zur Altersrente, sondern drei Invaliditätsgrade und eigene Berechnung. (portal.gov.cz)
❹ 4.b. Hinterbliebenenversorgung? Quote zur Altersrente?:      Ja. Witwen-/Witwerrente besteht aus Grundbetrag und prozentualem Teil; der prozentuale Teil beträgt 50 % des maßgeblichen prozentualen Rententeils des Verstorbenen. (portal.gov.cz)
❹ 4.c. Geschiedenen-Hinterbliebenenversorgung?:      Nein. Geschiedene Ehegatten haben nach dem früheren Ehegatten keinen Anspruch auf Witwen-/Witwerrente; auch bloße Lebensgefährten sind nicht anspruchsberechtigt. (cssz.cz)
❺ 5. Steuerpflicht der Leistungen:      Renten sind grundsätzlich steuerlich relevant; nach gängigen Darstellungen sind staatliche Pflichtleistungen nur oberhalb gesetzlicher Schwellen steuerpflichtig. (cms.law)
❻ 6. Sozialabgaben auf Versorgungsleistungen:      Keine regulären Rentenversicherungsbeiträge auf Rentenzahlungen; Sozialversicherung betrifft vor allem Erwerbstätigkeit, Gesundheitsversicherung ist gesondert geregelt. (taxsummaries.pwc.com)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v>
      </c>
    </row>
    <row r="28" spans="1:47" s="13" customFormat="1" ht="23.1" customHeight="1">
      <c r="A28" s="474">
        <v>23</v>
      </c>
      <c r="B28" s="478" t="s">
        <v>21</v>
      </c>
      <c r="C28" s="800"/>
      <c r="D28" s="800"/>
      <c r="E28" s="800"/>
      <c r="F28" s="800"/>
      <c r="G28" s="800"/>
      <c r="H28" s="800"/>
      <c r="I28" s="800"/>
      <c r="J28" s="472"/>
      <c r="K28" s="872"/>
      <c r="L28" s="872"/>
      <c r="M28" s="872"/>
      <c r="N28" s="872"/>
      <c r="O28" s="872"/>
      <c r="P28" s="872"/>
      <c r="Q28" s="872"/>
      <c r="R28" s="872"/>
      <c r="S28" s="872"/>
      <c r="T28" s="872"/>
      <c r="U28" s="872"/>
      <c r="V28" s="872"/>
      <c r="W28" s="121"/>
      <c r="Z28" s="317" t="s">
        <v>3229</v>
      </c>
      <c r="AA28" s="15" t="e">
        <f>ROUND(IF(AA31-AA32&lt;0,0,IF(AND(AlterEzEBerZtpkt_Plf&gt;AA32,AlterEzE_Pfl&gt;AA32),AlterEzEBerZtpkt_Plf-AlterEzE_Pfl,AA31-AA32)),1)</f>
        <v>#VALUE!</v>
      </c>
      <c r="AB28" s="15"/>
      <c r="AE28" s="156">
        <v>18</v>
      </c>
      <c r="AF28" s="578" t="s">
        <v>16</v>
      </c>
      <c r="AG28" s="343" t="s">
        <v>3217</v>
      </c>
      <c r="AH28" t="e" vm="21">
        <v>#VALUE!</v>
      </c>
      <c r="AI28" t="str">
        <f t="shared" si="0"/>
        <v>K_M</v>
      </c>
      <c r="AJ28" s="317" t="s">
        <v>3145</v>
      </c>
      <c r="AK28" s="577">
        <v>1</v>
      </c>
      <c r="AL28" s="15"/>
      <c r="AM28" s="15"/>
      <c r="AN28" s="576"/>
      <c r="AO28" s="576"/>
      <c r="AP28" s="576"/>
      <c r="AQ28" s="15"/>
      <c r="AR28" s="15"/>
      <c r="AS28" s="15"/>
      <c r="AT28" s="15"/>
      <c r="AU28" s="15"/>
    </row>
    <row r="29" spans="1:47" s="13" customFormat="1" ht="23.1" customHeight="1">
      <c r="A29" s="474">
        <v>24</v>
      </c>
      <c r="B29" s="478" t="s">
        <v>22</v>
      </c>
      <c r="C29" s="800"/>
      <c r="D29" s="800"/>
      <c r="E29" s="800"/>
      <c r="F29" s="800"/>
      <c r="G29" s="800"/>
      <c r="H29" s="800"/>
      <c r="I29" s="800"/>
      <c r="J29" s="472"/>
      <c r="K29" s="872"/>
      <c r="L29" s="872"/>
      <c r="M29" s="872"/>
      <c r="N29" s="872"/>
      <c r="O29" s="872"/>
      <c r="P29" s="872"/>
      <c r="Q29" s="872"/>
      <c r="R29" s="872"/>
      <c r="S29" s="872"/>
      <c r="T29" s="872"/>
      <c r="U29" s="872"/>
      <c r="V29" s="872"/>
      <c r="W29" s="121"/>
      <c r="Z29" s="15"/>
      <c r="AA29" s="15"/>
      <c r="AB29" s="15"/>
      <c r="AE29" s="156">
        <v>19</v>
      </c>
      <c r="AF29" s="578" t="s">
        <v>17</v>
      </c>
      <c r="AG29" s="343" t="s">
        <v>3218</v>
      </c>
      <c r="AH29" t="e" vm="22">
        <v>#VALUE!</v>
      </c>
      <c r="AI29" t="str">
        <f t="shared" si="0"/>
        <v>K_NL</v>
      </c>
      <c r="AJ29" s="15"/>
      <c r="AK29" s="15"/>
      <c r="AL29" s="15"/>
      <c r="AM29" s="15"/>
      <c r="AN29" s="15"/>
      <c r="AO29" s="15"/>
      <c r="AP29" s="15"/>
      <c r="AQ29" s="15"/>
      <c r="AR29" s="15"/>
      <c r="AS29" s="15"/>
      <c r="AT29" s="15"/>
      <c r="AU29" s="15"/>
    </row>
    <row r="30" spans="1:47" s="13" customFormat="1" ht="23.1" customHeight="1">
      <c r="A30" s="474">
        <v>25</v>
      </c>
      <c r="B30" s="478" t="s">
        <v>23</v>
      </c>
      <c r="C30" s="800"/>
      <c r="D30" s="800"/>
      <c r="E30" s="800"/>
      <c r="F30" s="800"/>
      <c r="G30" s="800"/>
      <c r="H30" s="800"/>
      <c r="I30" s="800"/>
      <c r="J30" s="472"/>
      <c r="K30" s="872"/>
      <c r="L30" s="872"/>
      <c r="M30" s="872"/>
      <c r="N30" s="872"/>
      <c r="O30" s="872"/>
      <c r="P30" s="872"/>
      <c r="Q30" s="872"/>
      <c r="R30" s="872"/>
      <c r="S30" s="872"/>
      <c r="T30" s="872"/>
      <c r="U30" s="872"/>
      <c r="V30" s="872"/>
      <c r="W30" s="121"/>
      <c r="Z30" s="317" t="s">
        <v>2981</v>
      </c>
      <c r="AA30" s="15">
        <f>ROUND(YEARFRAC(Dat_GebDat_Pfl,D5,3),1)</f>
        <v>0</v>
      </c>
      <c r="AB30" s="818" t="e">
        <f>IF(OR(AlterEzEBerZtpkt_Plf-AlterEzE_Pfl&lt;0,AlterEzE_Pfl&gt;AA32),0,AlterEzEBerZtpkt_Plf-AlterEzE_Pfl)</f>
        <v>#VALUE!</v>
      </c>
      <c r="AE30" s="156">
        <v>20</v>
      </c>
      <c r="AF30" s="578" t="s">
        <v>18</v>
      </c>
      <c r="AG30" s="343" t="s">
        <v>3227</v>
      </c>
      <c r="AH30" t="e" vm="23">
        <v>#VALUE!</v>
      </c>
      <c r="AI30" t="str">
        <f t="shared" si="0"/>
        <v>K_N</v>
      </c>
      <c r="AJ30" s="15"/>
      <c r="AK30" s="317" t="s">
        <v>3181</v>
      </c>
      <c r="AL30" s="15" t="str">
        <f>"◊ "&amp;"1. Säule – Staatliche Rente (Art/Finanzierung):     "&amp;VLOOKUP(Länderwahl,EU_Laender,3,FALSE)&amp;CHAR(10)</f>
        <v xml:space="preserve">◊ 1. Säule – Staatliche Rente (Art/Finanzierung):     Umlagefinanzierte gesetzliche Rente
</v>
      </c>
      <c r="AM30" s="15"/>
      <c r="AN30" s="15"/>
      <c r="AO30" s="15"/>
      <c r="AP30" s="15"/>
      <c r="AQ30" s="15"/>
      <c r="AR30" s="15"/>
      <c r="AS30" s="15"/>
      <c r="AT30" s="15"/>
      <c r="AU30" s="15"/>
    </row>
    <row r="31" spans="1:47" s="13" customFormat="1" ht="23.1" customHeight="1">
      <c r="A31" s="474">
        <v>26</v>
      </c>
      <c r="B31" s="478" t="s">
        <v>24</v>
      </c>
      <c r="C31" s="800"/>
      <c r="D31" s="800"/>
      <c r="E31" s="800"/>
      <c r="F31" s="800"/>
      <c r="G31" s="800"/>
      <c r="H31" s="800"/>
      <c r="I31" s="800"/>
      <c r="J31" s="472"/>
      <c r="K31" s="872"/>
      <c r="L31" s="872"/>
      <c r="M31" s="872"/>
      <c r="N31" s="872"/>
      <c r="O31" s="872"/>
      <c r="P31" s="872"/>
      <c r="Q31" s="872"/>
      <c r="R31" s="872"/>
      <c r="S31" s="872"/>
      <c r="T31" s="872"/>
      <c r="U31" s="872"/>
      <c r="V31" s="872"/>
      <c r="W31" s="121"/>
      <c r="Z31" s="317" t="s">
        <v>2984</v>
      </c>
      <c r="AA31" s="15" t="str">
        <f>+Alter_Pfl</f>
        <v/>
      </c>
      <c r="AB31" s="818"/>
      <c r="AD31" s="372"/>
      <c r="AE31" s="156">
        <v>21</v>
      </c>
      <c r="AF31" s="578" t="s">
        <v>19</v>
      </c>
      <c r="AG31" s="343" t="s">
        <v>3219</v>
      </c>
      <c r="AH31" t="e" vm="24">
        <v>#VALUE!</v>
      </c>
      <c r="AI31" t="str">
        <f t="shared" si="0"/>
        <v>K_A</v>
      </c>
      <c r="AJ31" s="15"/>
      <c r="AK31" s="317" t="s">
        <v>3182</v>
      </c>
      <c r="AL31" s="15" t="str">
        <f>"◊ "&amp;"2. Säule – Betriebliche Vorsorge:                                  "&amp;VLOOKUP(Länderwahl,EU_Laender,4,FALSE)&amp;CHAR(10)</f>
        <v xml:space="preserve">◊ 2. Säule – Betriebliche Vorsorge:                                  Betriebliche Pläne begrenzt
</v>
      </c>
      <c r="AM31" s="15"/>
      <c r="AN31" s="15"/>
      <c r="AO31" s="15"/>
      <c r="AP31" s="15"/>
      <c r="AQ31" s="15"/>
      <c r="AR31" s="15"/>
      <c r="AS31" s="15"/>
      <c r="AT31" s="15"/>
      <c r="AU31" s="15"/>
    </row>
    <row r="32" spans="1:47" s="13" customFormat="1" ht="23.1" customHeight="1">
      <c r="A32" s="474">
        <v>27</v>
      </c>
      <c r="B32" s="478" t="s">
        <v>25</v>
      </c>
      <c r="C32" s="800"/>
      <c r="D32" s="800"/>
      <c r="E32" s="800"/>
      <c r="F32" s="800"/>
      <c r="G32" s="800"/>
      <c r="H32" s="800"/>
      <c r="I32" s="800"/>
      <c r="J32" s="472"/>
      <c r="K32" s="872"/>
      <c r="L32" s="872"/>
      <c r="M32" s="872"/>
      <c r="N32" s="872"/>
      <c r="O32" s="872"/>
      <c r="P32" s="872"/>
      <c r="Q32" s="872"/>
      <c r="R32" s="872"/>
      <c r="S32" s="872"/>
      <c r="T32" s="872"/>
      <c r="U32" s="872"/>
      <c r="V32" s="872"/>
      <c r="W32" s="121"/>
      <c r="Z32" s="317" t="s">
        <v>2987</v>
      </c>
      <c r="AA32" s="15">
        <f>+ReAlter_Pfl</f>
        <v>0</v>
      </c>
      <c r="AB32" s="15"/>
      <c r="AD32" s="372"/>
      <c r="AE32" s="156">
        <v>22</v>
      </c>
      <c r="AF32" s="578" t="s">
        <v>20</v>
      </c>
      <c r="AG32" s="343" t="s">
        <v>2225</v>
      </c>
      <c r="AH32" t="e" vm="25">
        <v>#VALUE!</v>
      </c>
      <c r="AI32" t="str">
        <f t="shared" si="0"/>
        <v>K_PL</v>
      </c>
      <c r="AJ32" s="15"/>
      <c r="AK32" s="317" t="s">
        <v>3183</v>
      </c>
      <c r="AL32" s="15" t="str">
        <f>"◊ "&amp;"3. Säule – Private Vorsorge:                                             "&amp;VLOOKUP(Länderwahl,EU_Laender,5,FALSE)&amp;CHAR(10)</f>
        <v xml:space="preserve">◊ 3. Säule – Private Vorsorge:                                             Staatlich geförderte private Pensionsprodukte
</v>
      </c>
      <c r="AM32" s="15"/>
      <c r="AN32" s="15"/>
      <c r="AO32" s="15"/>
      <c r="AP32" s="15"/>
      <c r="AQ32" s="15"/>
      <c r="AR32" s="15"/>
      <c r="AS32" s="15"/>
      <c r="AT32" s="15"/>
      <c r="AU32" s="15"/>
    </row>
    <row r="33" spans="1:47" ht="23.1" customHeight="1">
      <c r="A33" s="474">
        <v>28</v>
      </c>
      <c r="B33" s="478" t="s">
        <v>26</v>
      </c>
      <c r="C33" s="800"/>
      <c r="D33" s="800"/>
      <c r="E33" s="800"/>
      <c r="F33" s="800"/>
      <c r="G33" s="800"/>
      <c r="H33" s="800"/>
      <c r="I33" s="800"/>
      <c r="J33" s="472"/>
      <c r="K33" s="872"/>
      <c r="L33" s="872"/>
      <c r="M33" s="872"/>
      <c r="N33" s="872"/>
      <c r="O33" s="872"/>
      <c r="P33" s="872"/>
      <c r="Q33" s="872"/>
      <c r="R33" s="872"/>
      <c r="S33" s="872"/>
      <c r="T33" s="872"/>
      <c r="U33" s="872"/>
      <c r="V33" s="872"/>
      <c r="W33" s="122"/>
      <c r="Z33" s="349" t="s">
        <v>3230</v>
      </c>
      <c r="AA33">
        <f>ROUND(IF(AA32-AlterEzE_Pfl&lt;0,0,AA32-AlterEzE_Pfl),1)</f>
        <v>0</v>
      </c>
      <c r="AD33" s="372"/>
      <c r="AE33" s="156">
        <v>23</v>
      </c>
      <c r="AF33" s="578" t="s">
        <v>21</v>
      </c>
      <c r="AG33" s="343" t="s">
        <v>3220</v>
      </c>
      <c r="AH33" t="e" vm="26">
        <v>#VALUE!</v>
      </c>
      <c r="AI33" t="str">
        <f t="shared" si="0"/>
        <v>K_PO</v>
      </c>
      <c r="AJ33" s="15"/>
      <c r="AK33" s="317" t="s">
        <v>3196</v>
      </c>
      <c r="AL33" s="15" t="str">
        <f>"Grundinformation: "&amp;Länderwahl &amp;CHAR(10)&amp;K2_Text1&amp;K2_Text2&amp;K2_Text3&amp;CHAR(10)</f>
        <v xml:space="preserve">Grundinformation: Tschechien
◊ 1. Säule – Staatliche Rente (Art/Finanzierung):     Umlagefinanzierte gesetzliche Rente
◊ 2. Säule – Betriebliche Vorsorge:                                  Betriebliche Pläne begrenzt
◊ 3. Säule – Private Vorsorge:                                             Staatlich geförderte private Pensionsprodukte
</v>
      </c>
      <c r="AM33" s="15"/>
      <c r="AN33" s="15"/>
      <c r="AO33" s="15"/>
      <c r="AP33" s="15"/>
      <c r="AQ33" s="15"/>
      <c r="AR33" s="15"/>
      <c r="AS33" s="15"/>
      <c r="AT33" s="15"/>
      <c r="AU33" s="15"/>
    </row>
    <row r="34" spans="1:47" ht="23.1" customHeight="1">
      <c r="A34" s="474">
        <v>29</v>
      </c>
      <c r="B34" s="478" t="s">
        <v>27</v>
      </c>
      <c r="C34" s="800"/>
      <c r="D34" s="800"/>
      <c r="E34" s="800"/>
      <c r="F34" s="800"/>
      <c r="G34" s="800"/>
      <c r="H34" s="800"/>
      <c r="I34" s="800"/>
      <c r="J34" s="472"/>
      <c r="K34" s="872"/>
      <c r="L34" s="872"/>
      <c r="M34" s="872"/>
      <c r="N34" s="872"/>
      <c r="O34" s="872"/>
      <c r="P34" s="872"/>
      <c r="Q34" s="872"/>
      <c r="R34" s="872"/>
      <c r="S34" s="872"/>
      <c r="T34" s="872"/>
      <c r="U34" s="872"/>
      <c r="V34" s="872"/>
      <c r="W34" s="122"/>
      <c r="Z34" s="317" t="s">
        <v>2983</v>
      </c>
      <c r="AA34" s="15">
        <f>IF(AA32-AlterEzE_Pfl&gt;0,AA32-AlterEzE_Pfl,0)</f>
        <v>0</v>
      </c>
      <c r="AB34" s="15"/>
      <c r="AD34" s="372"/>
      <c r="AE34" s="156">
        <v>24</v>
      </c>
      <c r="AF34" s="578" t="s">
        <v>22</v>
      </c>
      <c r="AG34" s="343" t="s">
        <v>2229</v>
      </c>
      <c r="AH34" t="e" vm="27">
        <v>#VALUE!</v>
      </c>
      <c r="AI34" t="str">
        <f t="shared" si="0"/>
        <v>K_RO</v>
      </c>
      <c r="AJ34" s="15"/>
      <c r="AK34" s="15"/>
      <c r="AL34" s="15"/>
      <c r="AM34" s="15"/>
      <c r="AN34" s="15"/>
      <c r="AO34" s="15"/>
      <c r="AP34" s="15"/>
      <c r="AQ34" s="15"/>
      <c r="AR34" s="15"/>
      <c r="AS34" s="15"/>
      <c r="AT34" s="15"/>
      <c r="AU34" s="15"/>
    </row>
    <row r="35" spans="1:47" ht="23.1" customHeight="1">
      <c r="A35" s="474">
        <v>30</v>
      </c>
      <c r="B35" s="478" t="s">
        <v>2240</v>
      </c>
      <c r="C35" s="800"/>
      <c r="D35" s="800"/>
      <c r="E35" s="800"/>
      <c r="F35" s="800"/>
      <c r="G35" s="800"/>
      <c r="H35" s="800"/>
      <c r="I35" s="800"/>
      <c r="J35" s="472"/>
      <c r="K35" s="872"/>
      <c r="L35" s="872"/>
      <c r="M35" s="872"/>
      <c r="N35" s="872"/>
      <c r="O35" s="872"/>
      <c r="P35" s="872"/>
      <c r="Q35" s="872"/>
      <c r="R35" s="872"/>
      <c r="S35" s="872"/>
      <c r="T35" s="872"/>
      <c r="U35" s="872"/>
      <c r="V35" s="872"/>
      <c r="W35" s="122"/>
      <c r="Z35" s="317" t="s">
        <v>2982</v>
      </c>
      <c r="AA35" s="318">
        <f>IF(+sVA_Rente_Fälligkeit-ReAlter_Pfl&lt;0,0,sVA_Rente_Fälligkeit-ReAlter_Pfl)</f>
        <v>0</v>
      </c>
      <c r="AB35" s="15"/>
      <c r="AE35" s="156">
        <v>25</v>
      </c>
      <c r="AF35" s="578" t="s">
        <v>23</v>
      </c>
      <c r="AG35" s="343" t="s">
        <v>3221</v>
      </c>
      <c r="AH35" t="e" vm="28">
        <v>#VALUE!</v>
      </c>
      <c r="AI35" t="str">
        <f t="shared" si="0"/>
        <v>K_S</v>
      </c>
      <c r="AJ35" s="317" t="s">
        <v>3192</v>
      </c>
      <c r="AK35" s="317" t="s">
        <v>3193</v>
      </c>
      <c r="AL35" s="867" t="str" cm="1">
        <f t="array" ref="AL35">_xlfn.TEXTJOIN(CHAR(10), TRUE,_xlfn._xlws.FILTER(E_Aktenzeichen &amp; " – " &amp; E_BeschlussThema,E_Land = Länderwahl,"Keine Entscheidungen gefunden"))</f>
        <v>BGH, 19.05.2021 – XII ZB 190/18 – Etwaige nicht ehezeitlich erworbene ausländische Anrechte der Ehefrau in Tschechien (konkret nicht festgestellt)</v>
      </c>
      <c r="AM35" s="868"/>
      <c r="AN35" s="868"/>
      <c r="AO35" s="868"/>
      <c r="AP35" s="868"/>
      <c r="AQ35" s="868"/>
      <c r="AR35" s="868"/>
      <c r="AS35" s="868"/>
      <c r="AT35" s="868"/>
      <c r="AU35" s="869"/>
    </row>
    <row r="36" spans="1:47" ht="23.1" customHeight="1">
      <c r="A36" s="474">
        <v>31</v>
      </c>
      <c r="B36" s="478" t="s">
        <v>29</v>
      </c>
      <c r="C36" s="800"/>
      <c r="D36" s="800"/>
      <c r="E36" s="800"/>
      <c r="F36" s="800"/>
      <c r="G36" s="800"/>
      <c r="H36" s="800"/>
      <c r="I36" s="800"/>
      <c r="J36" s="472"/>
      <c r="K36" s="872"/>
      <c r="L36" s="872"/>
      <c r="M36" s="872"/>
      <c r="N36" s="872"/>
      <c r="O36" s="872"/>
      <c r="P36" s="872"/>
      <c r="Q36" s="872"/>
      <c r="R36" s="872"/>
      <c r="S36" s="872"/>
      <c r="T36" s="872"/>
      <c r="U36" s="872"/>
      <c r="V36" s="872"/>
      <c r="W36" s="122"/>
      <c r="Z36" s="317" t="s">
        <v>2985</v>
      </c>
      <c r="AA36" s="15">
        <f>IF(AA32-AlterEzE_Pfl&gt;0,AA32-AlterEzE_Pfl,0)</f>
        <v>0</v>
      </c>
      <c r="AB36" s="15"/>
      <c r="AE36" s="156">
        <v>26</v>
      </c>
      <c r="AF36" s="578" t="s">
        <v>24</v>
      </c>
      <c r="AG36" s="343" t="s">
        <v>2913</v>
      </c>
      <c r="AH36" t="e" vm="29">
        <v>#VALUE!</v>
      </c>
      <c r="AI36" t="str">
        <f t="shared" si="0"/>
        <v>K_CH</v>
      </c>
      <c r="AJ36" s="15"/>
      <c r="AK36" s="15"/>
      <c r="AL36" s="592"/>
      <c r="AM36" s="592"/>
      <c r="AN36" s="592"/>
      <c r="AO36" s="592"/>
      <c r="AP36" s="592"/>
      <c r="AQ36" s="592"/>
      <c r="AR36" s="592"/>
      <c r="AS36" s="592"/>
      <c r="AT36" s="592"/>
      <c r="AU36" s="592"/>
    </row>
    <row r="37" spans="1:47" ht="23.1" customHeight="1">
      <c r="A37" s="474">
        <v>32</v>
      </c>
      <c r="B37" s="478" t="s">
        <v>30</v>
      </c>
      <c r="C37" s="800"/>
      <c r="D37" s="800"/>
      <c r="E37" s="800"/>
      <c r="F37" s="800"/>
      <c r="G37" s="800"/>
      <c r="H37" s="800"/>
      <c r="I37" s="800"/>
      <c r="J37" s="472"/>
      <c r="K37" s="872"/>
      <c r="L37" s="872"/>
      <c r="M37" s="872"/>
      <c r="N37" s="872"/>
      <c r="O37" s="872"/>
      <c r="P37" s="872"/>
      <c r="Q37" s="872"/>
      <c r="R37" s="872"/>
      <c r="S37" s="872"/>
      <c r="T37" s="872"/>
      <c r="U37" s="872"/>
      <c r="V37" s="872"/>
      <c r="W37" s="122"/>
      <c r="Z37" s="317" t="s">
        <v>2986</v>
      </c>
      <c r="AA37" s="319" t="e">
        <f>IF(AlterEzEBerZtpkt_Plf-AA32&gt;0,AlterEzEBerZtpkt_Plf-AA32,0)</f>
        <v>#VALUE!</v>
      </c>
      <c r="AB37" s="15"/>
      <c r="AE37" s="156">
        <v>27</v>
      </c>
      <c r="AF37" s="578" t="s">
        <v>25</v>
      </c>
      <c r="AG37" s="343" t="s">
        <v>2233</v>
      </c>
      <c r="AH37" t="e" vm="30">
        <v>#VALUE!</v>
      </c>
      <c r="AI37" t="str">
        <f t="shared" si="0"/>
        <v>K_SK</v>
      </c>
      <c r="AJ37" s="317" t="s">
        <v>3260</v>
      </c>
      <c r="AK37" s="15"/>
      <c r="AL37" s="15" t="str">
        <f>IFERROR(KTextZus3,"")&amp;CHOOSE(O_Box_K_L,KText,KTextZus1,Rspr)</f>
        <v xml:space="preserve">Grundinformation: Tschechien
◊ 1. Säule – Staatliche Rente (Art/Finanzierung):     Umlagefinanzierte gesetzliche Rente
◊ 2. Säule – Betriebliche Vorsorge:                                  Betriebliche Pläne begrenzt
◊ 3. Säule – Private Vorsorge:                                             Staatlich geförderte private Pensionsprodukte
❶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2.b. Erwerb allein aufgrund legalen Aufenthalts?:      Nein. Erwerb und Höhe hängen von Versicherungszeiten und beitragspflichtigen Einkünften ab; bloßer Aufenthalt genügt nicht. (cssz.cz)
❸ 3.a. Dynamisierung in der Anwartschaftsphase:      Die Rente hat einen Grundbetrag und einen prozentualen Teil; der prozentuale Teil wird aus Berechnungsgrundlage und Versicherungsjahren ermittelt, wobei der Steigerungssatz ab 2026 schrittweise sinkt. (cssz.cz)
❸ 3.b. Dynamisierung in der Leistungsphase:      Laufende Renten werden gesetzlich valorisiert; zugleich enthält die Reform ab 2026 Änderungen bei Berechnung und Steigerungssatz. (cssz.cz)
❹ 4.a. Invaliditätsrente? Quote zur Altersrente?:      Ja. Invaliditätsrente bei langfristiger Erwerbsminderung; keine Quote zur Altersrente, sondern drei Invaliditätsgrade und eigene Berechnung. (portal.gov.cz)
❹ 4.b. Hinterbliebenenversorgung? Quote zur Altersrente?:      Ja. Witwen-/Witwerrente besteht aus Grundbetrag und prozentualem Teil; der prozentuale Teil beträgt 50 % des maßgeblichen prozentualen Rententeils des Verstorbenen. (portal.gov.cz)
❹ 4.c. Geschiedenen-Hinterbliebenenversorgung?:      Nein. Geschiedene Ehegatten haben nach dem früheren Ehegatten keinen Anspruch auf Witwen-/Witwerrente; auch bloße Lebensgefährten sind nicht anspruchsberechtigt. (cssz.cz)
❺ 5. Steuerpflicht der Leistungen:      Renten sind grundsätzlich steuerlich relevant; nach gängigen Darstellungen sind staatliche Pflichtleistungen nur oberhalb gesetzlicher Schwellen steuerpflichtig. (cms.law)
❻ 6. Sozialabgaben auf Versorgungsleistungen:      Keine regulären Rentenversicherungsbeiträge auf Rentenzahlungen; Sozialversicherung betrifft vor allem Erwerbstätigkeit, Gesundheitsversicherung ist gesondert geregelt. (taxsummaries.pwc.com)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v>
      </c>
      <c r="AM37" s="15"/>
      <c r="AN37" s="15"/>
      <c r="AO37" s="15"/>
      <c r="AP37" s="15"/>
      <c r="AQ37" s="15"/>
      <c r="AR37" s="15"/>
      <c r="AS37" s="15"/>
      <c r="AT37" s="15"/>
      <c r="AU37" s="15"/>
    </row>
    <row r="38" spans="1:47" ht="23.1" customHeight="1">
      <c r="A38" s="474">
        <v>33</v>
      </c>
      <c r="B38" s="478" t="str">
        <f>+AF43</f>
        <v>Australien</v>
      </c>
      <c r="C38" s="800"/>
      <c r="D38" s="800"/>
      <c r="E38" s="800"/>
      <c r="F38" s="800"/>
      <c r="G38" s="800"/>
      <c r="H38" s="800"/>
      <c r="I38" s="800"/>
      <c r="J38" s="472"/>
      <c r="K38" s="872"/>
      <c r="L38" s="872"/>
      <c r="M38" s="872"/>
      <c r="N38" s="872"/>
      <c r="O38" s="872"/>
      <c r="P38" s="872"/>
      <c r="Q38" s="872"/>
      <c r="R38" s="872"/>
      <c r="S38" s="872"/>
      <c r="T38" s="872"/>
      <c r="U38" s="872"/>
      <c r="V38" s="872"/>
      <c r="W38" s="122"/>
      <c r="Z38" s="15"/>
      <c r="AA38" s="15"/>
      <c r="AB38" s="15"/>
      <c r="AE38" s="156">
        <v>28</v>
      </c>
      <c r="AF38" s="578" t="s">
        <v>26</v>
      </c>
      <c r="AG38" s="343" t="s">
        <v>3222</v>
      </c>
      <c r="AH38" t="e" vm="31">
        <v>#VALUE!</v>
      </c>
      <c r="AI38" t="str">
        <f t="shared" si="0"/>
        <v>K_SLO</v>
      </c>
      <c r="AJ38" s="1"/>
      <c r="AK38" s="1"/>
      <c r="AL38" s="1"/>
      <c r="AM38" s="1"/>
      <c r="AN38" s="1"/>
      <c r="AO38" s="1"/>
      <c r="AP38" s="1"/>
      <c r="AQ38" s="1"/>
      <c r="AR38" s="1"/>
      <c r="AS38" s="1"/>
      <c r="AT38" s="1"/>
      <c r="AU38" s="1"/>
    </row>
    <row r="39" spans="1:47" ht="23.1" customHeight="1">
      <c r="A39" s="474">
        <v>34</v>
      </c>
      <c r="B39" s="478" t="str">
        <f>+AF44</f>
        <v>Kanada</v>
      </c>
      <c r="C39" s="800"/>
      <c r="D39" s="800"/>
      <c r="E39" s="800"/>
      <c r="F39" s="800"/>
      <c r="G39" s="800"/>
      <c r="H39" s="800"/>
      <c r="I39" s="800"/>
      <c r="J39" s="472"/>
      <c r="K39" s="872"/>
      <c r="L39" s="872"/>
      <c r="M39" s="872"/>
      <c r="N39" s="872"/>
      <c r="O39" s="872"/>
      <c r="P39" s="872"/>
      <c r="Q39" s="872"/>
      <c r="R39" s="872"/>
      <c r="S39" s="872"/>
      <c r="T39" s="872"/>
      <c r="U39" s="872"/>
      <c r="V39" s="872"/>
      <c r="W39" s="122"/>
      <c r="Z39" s="320" t="s">
        <v>2988</v>
      </c>
      <c r="AA39" s="15"/>
      <c r="AB39" s="15"/>
      <c r="AE39" s="156">
        <v>29</v>
      </c>
      <c r="AF39" s="578" t="s">
        <v>27</v>
      </c>
      <c r="AG39" s="343" t="s">
        <v>3206</v>
      </c>
      <c r="AH39" t="e" vm="32">
        <v>#VALUE!</v>
      </c>
      <c r="AI39" t="str">
        <f t="shared" si="0"/>
        <v>K_E</v>
      </c>
      <c r="AJ39" s="14" t="s">
        <v>3198</v>
      </c>
      <c r="AK39" s="371">
        <v>2</v>
      </c>
    </row>
    <row r="40" spans="1:47" ht="23.1" customHeight="1">
      <c r="A40" s="474">
        <v>35</v>
      </c>
      <c r="B40" s="478" t="str">
        <f>+AF45</f>
        <v>Neuseeland</v>
      </c>
      <c r="C40" s="800"/>
      <c r="D40" s="800"/>
      <c r="E40" s="800"/>
      <c r="F40" s="800"/>
      <c r="G40" s="800"/>
      <c r="H40" s="800"/>
      <c r="I40" s="800"/>
      <c r="J40" s="472"/>
      <c r="K40" s="872"/>
      <c r="L40" s="872"/>
      <c r="M40" s="872"/>
      <c r="N40" s="872"/>
      <c r="O40" s="872"/>
      <c r="P40" s="872"/>
      <c r="Q40" s="872"/>
      <c r="R40" s="872"/>
      <c r="S40" s="872"/>
      <c r="T40" s="872"/>
      <c r="U40" s="872"/>
      <c r="V40" s="872"/>
      <c r="W40" s="122"/>
      <c r="AE40" s="156">
        <v>30</v>
      </c>
      <c r="AF40" s="578" t="s">
        <v>2240</v>
      </c>
      <c r="AG40" s="343" t="s">
        <v>2239</v>
      </c>
      <c r="AH40" t="e" vm="33">
        <v>#VALUE!</v>
      </c>
      <c r="AI40" t="str">
        <f t="shared" si="0"/>
        <v>K_CZ</v>
      </c>
      <c r="AJ40" s="11" t="s">
        <v>3753</v>
      </c>
    </row>
    <row r="41" spans="1:47" ht="23.1" customHeight="1">
      <c r="A41" s="474">
        <v>36</v>
      </c>
      <c r="B41" s="478" t="str">
        <f>+AF46</f>
        <v>USA</v>
      </c>
      <c r="C41" s="800"/>
      <c r="D41" s="800"/>
      <c r="E41" s="800"/>
      <c r="F41" s="800"/>
      <c r="G41" s="800"/>
      <c r="H41" s="800"/>
      <c r="I41" s="800"/>
      <c r="J41" s="472"/>
      <c r="K41" s="872"/>
      <c r="L41" s="872"/>
      <c r="M41" s="872"/>
      <c r="N41" s="872"/>
      <c r="O41" s="872"/>
      <c r="P41" s="872"/>
      <c r="Q41" s="872"/>
      <c r="R41" s="872"/>
      <c r="S41" s="872"/>
      <c r="T41" s="872"/>
      <c r="U41" s="872"/>
      <c r="V41" s="872"/>
      <c r="W41" s="122"/>
      <c r="AE41" s="156">
        <v>31</v>
      </c>
      <c r="AF41" s="578" t="s">
        <v>29</v>
      </c>
      <c r="AG41" s="343" t="s">
        <v>3223</v>
      </c>
      <c r="AH41" t="e" vm="34">
        <v>#VALUE!</v>
      </c>
      <c r="AI41" t="str">
        <f t="shared" si="0"/>
        <v>K_H</v>
      </c>
      <c r="AK41" s="11" t="s">
        <v>3754</v>
      </c>
      <c r="AL41" t="str">
        <f>IF(Info_Thema=5,CHAR(10)&amp;TEXT('Geschiedenen-HR-Rente'!C6,"#")&amp;VLOOKUP(Länderwahl,Geschiedenen_HR_Rente,2)&amp;CHAR(10)&amp;CHAR(10)&amp;'Geschiedenen-HR-Rente'!D6&amp;VLOOKUP(Länderwahl,Geschiedenen_HR_Rente,3)&amp;CHAR(10)&amp;CHAR(10)&amp;'Geschiedenen-HR-Rente'!E6&amp;VLOOKUP(Länderwahl,Geschiedenen_HR_Rente,4),"")</f>
        <v/>
      </c>
    </row>
    <row r="42" spans="1:47" ht="23.1" customHeight="1">
      <c r="A42" s="475"/>
      <c r="B42" s="479"/>
      <c r="C42" s="800"/>
      <c r="D42" s="800"/>
      <c r="E42" s="800"/>
      <c r="F42" s="800"/>
      <c r="G42" s="800"/>
      <c r="H42" s="800"/>
      <c r="I42" s="800"/>
      <c r="J42" s="472"/>
      <c r="K42" s="872"/>
      <c r="L42" s="872"/>
      <c r="M42" s="872"/>
      <c r="N42" s="872"/>
      <c r="O42" s="872"/>
      <c r="P42" s="872"/>
      <c r="Q42" s="872"/>
      <c r="R42" s="872"/>
      <c r="S42" s="872"/>
      <c r="T42" s="872"/>
      <c r="U42" s="872"/>
      <c r="V42" s="872"/>
      <c r="W42" s="122"/>
      <c r="AE42" s="156">
        <v>32</v>
      </c>
      <c r="AF42" s="578" t="s">
        <v>30</v>
      </c>
      <c r="AG42" s="343" t="s">
        <v>3224</v>
      </c>
      <c r="AH42" t="e" vm="35">
        <v>#VALUE!</v>
      </c>
      <c r="AI42" t="str">
        <f t="shared" si="0"/>
        <v>K_CY</v>
      </c>
    </row>
    <row r="43" spans="1:47" ht="23.1" customHeight="1">
      <c r="A43" s="475"/>
      <c r="B43" s="479"/>
      <c r="C43" s="800"/>
      <c r="D43" s="800"/>
      <c r="E43" s="800"/>
      <c r="F43" s="800"/>
      <c r="G43" s="800"/>
      <c r="H43" s="800"/>
      <c r="I43" s="800"/>
      <c r="J43" s="472"/>
      <c r="K43" s="872"/>
      <c r="L43" s="872"/>
      <c r="M43" s="872"/>
      <c r="N43" s="872"/>
      <c r="O43" s="872"/>
      <c r="P43" s="872"/>
      <c r="Q43" s="872"/>
      <c r="R43" s="872"/>
      <c r="S43" s="872"/>
      <c r="T43" s="872"/>
      <c r="U43" s="872"/>
      <c r="V43" s="872"/>
      <c r="W43" s="122"/>
      <c r="AE43" s="156">
        <v>33</v>
      </c>
      <c r="AF43" s="353" t="s">
        <v>2273</v>
      </c>
      <c r="AG43" s="343" t="s">
        <v>4014</v>
      </c>
      <c r="AH43" t="e" vm="36">
        <v>#VALUE!</v>
      </c>
      <c r="AI43" t="str">
        <f t="shared" si="0"/>
        <v>K_AUS</v>
      </c>
    </row>
    <row r="44" spans="1:47" ht="23.1" customHeight="1">
      <c r="A44" s="475"/>
      <c r="B44" s="479"/>
      <c r="C44" s="800"/>
      <c r="D44" s="800"/>
      <c r="E44" s="800"/>
      <c r="F44" s="800"/>
      <c r="G44" s="800"/>
      <c r="H44" s="800"/>
      <c r="I44" s="800"/>
      <c r="J44" s="472"/>
      <c r="K44" s="872"/>
      <c r="L44" s="872"/>
      <c r="M44" s="872"/>
      <c r="N44" s="872"/>
      <c r="O44" s="872"/>
      <c r="P44" s="872"/>
      <c r="Q44" s="872"/>
      <c r="R44" s="872"/>
      <c r="S44" s="872"/>
      <c r="T44" s="872"/>
      <c r="U44" s="872"/>
      <c r="V44" s="872"/>
      <c r="W44" s="122"/>
      <c r="AE44" s="156">
        <v>34</v>
      </c>
      <c r="AF44" s="353" t="s">
        <v>3930</v>
      </c>
      <c r="AG44" s="343" t="s">
        <v>4015</v>
      </c>
      <c r="AH44" t="e" vm="37">
        <v>#VALUE!</v>
      </c>
      <c r="AI44" t="str">
        <f t="shared" si="0"/>
        <v>K_CND</v>
      </c>
    </row>
    <row r="45" spans="1:47">
      <c r="A45" s="475"/>
      <c r="B45" s="479"/>
      <c r="C45" s="800"/>
      <c r="D45" s="800"/>
      <c r="E45" s="800"/>
      <c r="F45" s="800"/>
      <c r="G45" s="800"/>
      <c r="H45" s="800"/>
      <c r="I45" s="800"/>
      <c r="J45" s="472"/>
      <c r="K45" s="872"/>
      <c r="L45" s="872"/>
      <c r="M45" s="872"/>
      <c r="N45" s="872"/>
      <c r="O45" s="872"/>
      <c r="P45" s="872"/>
      <c r="Q45" s="872"/>
      <c r="R45" s="872"/>
      <c r="S45" s="872"/>
      <c r="T45" s="872"/>
      <c r="U45" s="872"/>
      <c r="V45" s="872"/>
      <c r="W45" s="122"/>
      <c r="AE45" s="156">
        <v>35</v>
      </c>
      <c r="AF45" s="353" t="s">
        <v>3931</v>
      </c>
      <c r="AG45" s="343" t="s">
        <v>4016</v>
      </c>
      <c r="AH45" t="e" vm="38">
        <v>#VALUE!</v>
      </c>
      <c r="AI45" t="str">
        <f t="shared" si="0"/>
        <v>K_NZ</v>
      </c>
    </row>
    <row r="46" spans="1:47" ht="19.5" customHeight="1">
      <c r="A46" s="475"/>
      <c r="B46" s="479"/>
      <c r="C46" s="800"/>
      <c r="D46" s="800"/>
      <c r="E46" s="800"/>
      <c r="F46" s="800"/>
      <c r="G46" s="800"/>
      <c r="H46" s="800"/>
      <c r="I46" s="800"/>
      <c r="J46" s="472"/>
      <c r="K46" s="872"/>
      <c r="L46" s="872"/>
      <c r="M46" s="872"/>
      <c r="N46" s="872"/>
      <c r="O46" s="872"/>
      <c r="P46" s="872"/>
      <c r="Q46" s="872"/>
      <c r="R46" s="872"/>
      <c r="S46" s="872"/>
      <c r="T46" s="872"/>
      <c r="U46" s="872"/>
      <c r="V46" s="872"/>
      <c r="W46" s="122"/>
      <c r="AE46" s="156">
        <v>36</v>
      </c>
      <c r="AF46" s="353" t="s">
        <v>2886</v>
      </c>
      <c r="AG46" s="343" t="s">
        <v>2886</v>
      </c>
      <c r="AH46" t="e" vm="39">
        <v>#VALUE!</v>
      </c>
      <c r="AI46" t="str">
        <f t="shared" si="0"/>
        <v>K_USA</v>
      </c>
    </row>
    <row r="47" spans="1:47">
      <c r="A47" s="475"/>
      <c r="B47" s="479"/>
      <c r="C47" s="800"/>
      <c r="D47" s="800"/>
      <c r="E47" s="800"/>
      <c r="F47" s="800"/>
      <c r="G47" s="800"/>
      <c r="H47" s="800"/>
      <c r="I47" s="800"/>
      <c r="J47" s="472"/>
      <c r="K47" s="872"/>
      <c r="L47" s="872"/>
      <c r="M47" s="872"/>
      <c r="N47" s="872"/>
      <c r="O47" s="872"/>
      <c r="P47" s="872"/>
      <c r="Q47" s="872"/>
      <c r="R47" s="872"/>
      <c r="S47" s="872"/>
      <c r="T47" s="872"/>
      <c r="U47" s="872"/>
      <c r="V47" s="872"/>
      <c r="W47" s="122"/>
    </row>
    <row r="48" spans="1:47">
      <c r="A48" s="475"/>
      <c r="B48" s="479"/>
      <c r="C48" s="800"/>
      <c r="D48" s="800"/>
      <c r="E48" s="800"/>
      <c r="F48" s="800"/>
      <c r="G48" s="800"/>
      <c r="H48" s="800"/>
      <c r="I48" s="800"/>
      <c r="J48" s="472"/>
      <c r="K48" s="872"/>
      <c r="L48" s="872"/>
      <c r="M48" s="872"/>
      <c r="N48" s="872"/>
      <c r="O48" s="872"/>
      <c r="P48" s="872"/>
      <c r="Q48" s="872"/>
      <c r="R48" s="872"/>
      <c r="S48" s="872"/>
      <c r="T48" s="872"/>
      <c r="U48" s="872"/>
      <c r="V48" s="872"/>
      <c r="W48" s="122"/>
    </row>
    <row r="49" spans="1:23">
      <c r="A49" s="475"/>
      <c r="B49" s="479"/>
      <c r="C49" s="800"/>
      <c r="D49" s="800"/>
      <c r="E49" s="800"/>
      <c r="F49" s="800"/>
      <c r="G49" s="800"/>
      <c r="H49" s="800"/>
      <c r="I49" s="800"/>
      <c r="J49" s="472"/>
      <c r="K49" s="872"/>
      <c r="L49" s="872"/>
      <c r="M49" s="872"/>
      <c r="N49" s="872"/>
      <c r="O49" s="872"/>
      <c r="P49" s="872"/>
      <c r="Q49" s="872"/>
      <c r="R49" s="872"/>
      <c r="S49" s="872"/>
      <c r="T49" s="872"/>
      <c r="U49" s="872"/>
      <c r="V49" s="872"/>
      <c r="W49" s="122"/>
    </row>
    <row r="50" spans="1:23">
      <c r="A50" s="475"/>
      <c r="B50" s="479"/>
      <c r="C50" s="800"/>
      <c r="D50" s="800"/>
      <c r="E50" s="800"/>
      <c r="F50" s="800"/>
      <c r="G50" s="800"/>
      <c r="H50" s="800"/>
      <c r="I50" s="800"/>
      <c r="J50" s="472"/>
      <c r="K50" s="872"/>
      <c r="L50" s="872"/>
      <c r="M50" s="872"/>
      <c r="N50" s="872"/>
      <c r="O50" s="872"/>
      <c r="P50" s="872"/>
      <c r="Q50" s="872"/>
      <c r="R50" s="872"/>
      <c r="S50" s="872"/>
      <c r="T50" s="872"/>
      <c r="U50" s="872"/>
      <c r="V50" s="872"/>
      <c r="W50" s="122"/>
    </row>
    <row r="51" spans="1:23">
      <c r="A51" s="475"/>
      <c r="B51" s="479"/>
      <c r="C51" s="800"/>
      <c r="D51" s="800"/>
      <c r="E51" s="800"/>
      <c r="F51" s="800"/>
      <c r="G51" s="800"/>
      <c r="H51" s="800"/>
      <c r="I51" s="800"/>
      <c r="J51" s="472"/>
      <c r="K51" s="872"/>
      <c r="L51" s="872"/>
      <c r="M51" s="872"/>
      <c r="N51" s="872"/>
      <c r="O51" s="872"/>
      <c r="P51" s="872"/>
      <c r="Q51" s="872"/>
      <c r="R51" s="872"/>
      <c r="S51" s="872"/>
      <c r="T51" s="872"/>
      <c r="U51" s="872"/>
      <c r="V51" s="872"/>
      <c r="W51" s="122"/>
    </row>
    <row r="52" spans="1:23">
      <c r="A52" s="475"/>
      <c r="B52" s="479"/>
      <c r="C52" s="800"/>
      <c r="D52" s="800"/>
      <c r="E52" s="800"/>
      <c r="F52" s="800"/>
      <c r="G52" s="800"/>
      <c r="H52" s="800"/>
      <c r="I52" s="800"/>
      <c r="J52" s="874"/>
      <c r="K52" s="872"/>
      <c r="L52" s="872"/>
      <c r="M52" s="872"/>
      <c r="N52" s="872"/>
      <c r="O52" s="872"/>
      <c r="P52" s="872"/>
      <c r="Q52" s="872"/>
      <c r="R52" s="872"/>
      <c r="S52" s="872"/>
      <c r="T52" s="872"/>
      <c r="U52" s="872"/>
      <c r="V52" s="872"/>
      <c r="W52" s="871"/>
    </row>
    <row r="53" spans="1:23">
      <c r="A53" s="475"/>
      <c r="B53" s="479"/>
      <c r="C53" s="800"/>
      <c r="D53" s="800"/>
      <c r="E53" s="800"/>
      <c r="F53" s="800"/>
      <c r="G53" s="800"/>
      <c r="H53" s="800"/>
      <c r="I53" s="800"/>
      <c r="J53" s="874"/>
      <c r="K53" s="872"/>
      <c r="L53" s="872"/>
      <c r="M53" s="872"/>
      <c r="N53" s="872"/>
      <c r="O53" s="872"/>
      <c r="P53" s="872"/>
      <c r="Q53" s="872"/>
      <c r="R53" s="872"/>
      <c r="S53" s="872"/>
      <c r="T53" s="872"/>
      <c r="U53" s="872"/>
      <c r="V53" s="872"/>
      <c r="W53" s="871"/>
    </row>
    <row r="54" spans="1:23">
      <c r="A54" s="475"/>
      <c r="B54" s="479"/>
      <c r="C54" s="800"/>
      <c r="D54" s="800"/>
      <c r="E54" s="800"/>
      <c r="F54" s="800"/>
      <c r="G54" s="800"/>
      <c r="H54" s="800"/>
      <c r="I54" s="800"/>
      <c r="J54" s="874"/>
      <c r="K54" s="872"/>
      <c r="L54" s="872"/>
      <c r="M54" s="872"/>
      <c r="N54" s="872"/>
      <c r="O54" s="872"/>
      <c r="P54" s="872"/>
      <c r="Q54" s="872"/>
      <c r="R54" s="872"/>
      <c r="S54" s="872"/>
      <c r="T54" s="872"/>
      <c r="U54" s="872"/>
      <c r="V54" s="872"/>
      <c r="W54" s="871"/>
    </row>
    <row r="55" spans="1:23">
      <c r="A55" s="475"/>
      <c r="B55" s="479"/>
      <c r="C55" s="800"/>
      <c r="D55" s="800"/>
      <c r="E55" s="800"/>
      <c r="F55" s="800"/>
      <c r="G55" s="800"/>
      <c r="H55" s="800"/>
      <c r="I55" s="800"/>
      <c r="J55" s="874"/>
      <c r="K55" s="872"/>
      <c r="L55" s="872"/>
      <c r="M55" s="872"/>
      <c r="N55" s="872"/>
      <c r="O55" s="872"/>
      <c r="P55" s="872"/>
      <c r="Q55" s="872"/>
      <c r="R55" s="872"/>
      <c r="S55" s="872"/>
      <c r="T55" s="872"/>
      <c r="U55" s="872"/>
      <c r="V55" s="872"/>
      <c r="W55" s="871"/>
    </row>
    <row r="56" spans="1:23">
      <c r="A56" s="475"/>
      <c r="B56" s="479"/>
      <c r="C56" s="800"/>
      <c r="D56" s="800"/>
      <c r="E56" s="800"/>
      <c r="F56" s="800"/>
      <c r="G56" s="800"/>
      <c r="H56" s="800"/>
      <c r="I56" s="800"/>
      <c r="J56" s="874"/>
      <c r="K56" s="872"/>
      <c r="L56" s="872"/>
      <c r="M56" s="872"/>
      <c r="N56" s="872"/>
      <c r="O56" s="872"/>
      <c r="P56" s="872"/>
      <c r="Q56" s="872"/>
      <c r="R56" s="872"/>
      <c r="S56" s="872"/>
      <c r="T56" s="872"/>
      <c r="U56" s="872"/>
      <c r="V56" s="872"/>
      <c r="W56" s="871"/>
    </row>
    <row r="57" spans="1:23">
      <c r="A57" s="475"/>
      <c r="B57" s="479"/>
      <c r="C57" s="800"/>
      <c r="D57" s="800"/>
      <c r="E57" s="800"/>
      <c r="F57" s="800"/>
      <c r="G57" s="800"/>
      <c r="H57" s="800"/>
      <c r="I57" s="800"/>
      <c r="J57" s="874"/>
      <c r="K57" s="872"/>
      <c r="L57" s="872"/>
      <c r="M57" s="872"/>
      <c r="N57" s="872"/>
      <c r="O57" s="872"/>
      <c r="P57" s="872"/>
      <c r="Q57" s="872"/>
      <c r="R57" s="872"/>
      <c r="S57" s="872"/>
      <c r="T57" s="872"/>
      <c r="U57" s="872"/>
      <c r="V57" s="872"/>
      <c r="W57" s="871"/>
    </row>
    <row r="58" spans="1:23">
      <c r="A58" s="475"/>
      <c r="B58" s="479"/>
      <c r="C58" s="800"/>
      <c r="D58" s="800"/>
      <c r="E58" s="800"/>
      <c r="F58" s="800"/>
      <c r="G58" s="800"/>
      <c r="H58" s="800"/>
      <c r="I58" s="800"/>
      <c r="J58" s="874"/>
      <c r="K58" s="872"/>
      <c r="L58" s="872"/>
      <c r="M58" s="872"/>
      <c r="N58" s="872"/>
      <c r="O58" s="872"/>
      <c r="P58" s="872"/>
      <c r="Q58" s="872"/>
      <c r="R58" s="872"/>
      <c r="S58" s="872"/>
      <c r="T58" s="872"/>
      <c r="U58" s="872"/>
      <c r="V58" s="872"/>
      <c r="W58" s="871"/>
    </row>
    <row r="59" spans="1:23">
      <c r="A59" s="475"/>
      <c r="B59" s="479"/>
      <c r="C59" s="800"/>
      <c r="D59" s="800"/>
      <c r="E59" s="800"/>
      <c r="F59" s="800"/>
      <c r="G59" s="800"/>
      <c r="H59" s="800"/>
      <c r="I59" s="800"/>
      <c r="J59" s="874"/>
      <c r="K59" s="872"/>
      <c r="L59" s="872"/>
      <c r="M59" s="872"/>
      <c r="N59" s="872"/>
      <c r="O59" s="872"/>
      <c r="P59" s="872"/>
      <c r="Q59" s="872"/>
      <c r="R59" s="872"/>
      <c r="S59" s="872"/>
      <c r="T59" s="872"/>
      <c r="U59" s="872"/>
      <c r="V59" s="872"/>
      <c r="W59" s="871"/>
    </row>
    <row r="60" spans="1:23" ht="25.5" customHeight="1">
      <c r="A60" s="479"/>
      <c r="B60" s="643"/>
      <c r="C60" s="643" t="s">
        <v>4025</v>
      </c>
      <c r="D60" s="643"/>
      <c r="E60" s="643"/>
      <c r="F60" s="643"/>
      <c r="G60" s="643"/>
      <c r="H60" s="643"/>
      <c r="I60" s="122"/>
      <c r="J60" s="641"/>
      <c r="K60" s="642" t="s">
        <v>3666</v>
      </c>
      <c r="L60" s="642"/>
      <c r="M60" s="642"/>
      <c r="N60" s="642"/>
      <c r="O60" s="642"/>
      <c r="P60" s="642"/>
      <c r="Q60" s="642"/>
      <c r="R60" s="642"/>
      <c r="S60" s="642"/>
      <c r="T60" s="642"/>
      <c r="U60" s="642"/>
      <c r="V60" s="122"/>
      <c r="W60" s="122"/>
    </row>
    <row r="61" spans="1:23" ht="25.5" customHeight="1">
      <c r="A61" s="710" t="s">
        <v>4139</v>
      </c>
      <c r="B61" s="710"/>
      <c r="C61" s="710"/>
      <c r="D61" s="710"/>
      <c r="E61" s="710"/>
      <c r="F61" s="710"/>
      <c r="G61" s="710"/>
      <c r="H61" s="710"/>
      <c r="I61" s="710"/>
      <c r="J61" s="710"/>
      <c r="K61" s="710"/>
      <c r="L61" s="710"/>
      <c r="M61" s="710"/>
      <c r="N61" s="710"/>
      <c r="O61" s="710"/>
      <c r="P61" s="710"/>
      <c r="Q61" s="710"/>
      <c r="R61" s="710"/>
      <c r="S61" s="710"/>
      <c r="T61" s="710"/>
      <c r="U61" s="710"/>
      <c r="V61" s="710"/>
      <c r="W61" s="122"/>
    </row>
  </sheetData>
  <sheetProtection algorithmName="SHA-512" hashValue="50O6cbPZXvpREZBUzyJypnNjcqprqyXEpLfyJIfkH+Pe6UBZJTgZe/xY5EiLXbzBdVIA+LqYDLuJv4u5VyMRrg==" saltValue="EnjRISEiWtVRxSM5FHXoHw==" spinCount="100000" sheet="1" objects="1" scenarios="1"/>
  <mergeCells count="78">
    <mergeCell ref="W54:W55"/>
    <mergeCell ref="W56:W57"/>
    <mergeCell ref="W58:W59"/>
    <mergeCell ref="K10:V59"/>
    <mergeCell ref="C24:I59"/>
    <mergeCell ref="J54:J55"/>
    <mergeCell ref="J56:J57"/>
    <mergeCell ref="J58:J59"/>
    <mergeCell ref="W52:W53"/>
    <mergeCell ref="C23:I23"/>
    <mergeCell ref="J52:J53"/>
    <mergeCell ref="F13:I13"/>
    <mergeCell ref="C13:E13"/>
    <mergeCell ref="C12:E12"/>
    <mergeCell ref="U1:V2"/>
    <mergeCell ref="BC3:BC5"/>
    <mergeCell ref="AL35:AU35"/>
    <mergeCell ref="AU1:AU2"/>
    <mergeCell ref="AW3:AW5"/>
    <mergeCell ref="BA3:BA5"/>
    <mergeCell ref="BB1:BB2"/>
    <mergeCell ref="BB3:BB5"/>
    <mergeCell ref="BC1:BC2"/>
    <mergeCell ref="AV1:AV2"/>
    <mergeCell ref="BA1:BA2"/>
    <mergeCell ref="AW1:AW2"/>
    <mergeCell ref="AX1:AX2"/>
    <mergeCell ref="AZ1:AZ2"/>
    <mergeCell ref="AY1:AY2"/>
    <mergeCell ref="AS1:AS2"/>
    <mergeCell ref="L1:T1"/>
    <mergeCell ref="G9:H9"/>
    <mergeCell ref="A1:B2"/>
    <mergeCell ref="A3:B3"/>
    <mergeCell ref="K4:L4"/>
    <mergeCell ref="R3:V3"/>
    <mergeCell ref="K3:Q3"/>
    <mergeCell ref="C2:C3"/>
    <mergeCell ref="M4:O4"/>
    <mergeCell ref="S4:V4"/>
    <mergeCell ref="Q4:R4"/>
    <mergeCell ref="A4:B5"/>
    <mergeCell ref="K5:V5"/>
    <mergeCell ref="F3:I3"/>
    <mergeCell ref="E2:I2"/>
    <mergeCell ref="C1:G1"/>
    <mergeCell ref="C4:E4"/>
    <mergeCell ref="C14:D14"/>
    <mergeCell ref="C8:H8"/>
    <mergeCell ref="G4:G5"/>
    <mergeCell ref="AT1:AT2"/>
    <mergeCell ref="F12:I12"/>
    <mergeCell ref="C10:I10"/>
    <mergeCell ref="AL1:AL2"/>
    <mergeCell ref="F11:I11"/>
    <mergeCell ref="AR1:AR2"/>
    <mergeCell ref="AO1:AO2"/>
    <mergeCell ref="AQ1:AQ2"/>
    <mergeCell ref="AP1:AP2"/>
    <mergeCell ref="AN1:AN2"/>
    <mergeCell ref="K6:V6"/>
    <mergeCell ref="AM1:AM2"/>
    <mergeCell ref="L7:V9"/>
    <mergeCell ref="K7:K9"/>
    <mergeCell ref="AB30:AB31"/>
    <mergeCell ref="H4:H5"/>
    <mergeCell ref="C9:D9"/>
    <mergeCell ref="C11:E11"/>
    <mergeCell ref="C22:E22"/>
    <mergeCell ref="C17:H17"/>
    <mergeCell ref="G22:I22"/>
    <mergeCell ref="C20:E20"/>
    <mergeCell ref="C19:E19"/>
    <mergeCell ref="C21:E21"/>
    <mergeCell ref="G18:H18"/>
    <mergeCell ref="G21:I21"/>
    <mergeCell ref="C16:F16"/>
    <mergeCell ref="C15:E15"/>
  </mergeCells>
  <phoneticPr fontId="102" type="noConversion"/>
  <conditionalFormatting sqref="F4 D5:D7">
    <cfRule type="expression" dxfId="44" priority="14">
      <formula>D4=""</formula>
    </cfRule>
  </conditionalFormatting>
  <conditionalFormatting sqref="F9">
    <cfRule type="expression" dxfId="43" priority="13">
      <formula>F9=""</formula>
    </cfRule>
  </conditionalFormatting>
  <conditionalFormatting sqref="F21:F22">
    <cfRule type="expression" dxfId="42" priority="10">
      <formula>F21=""</formula>
    </cfRule>
  </conditionalFormatting>
  <conditionalFormatting sqref="G6">
    <cfRule type="expression" dxfId="41" priority="18">
      <formula>ReAlter_Pfl=""</formula>
    </cfRule>
  </conditionalFormatting>
  <conditionalFormatting sqref="G6:G7">
    <cfRule type="expression" dxfId="40" priority="4">
      <formula>G6=""</formula>
    </cfRule>
  </conditionalFormatting>
  <conditionalFormatting sqref="G15">
    <cfRule type="expression" dxfId="39" priority="17">
      <formula>G15=""</formula>
    </cfRule>
  </conditionalFormatting>
  <conditionalFormatting sqref="I9">
    <cfRule type="expression" dxfId="38" priority="11">
      <formula>I9=""</formula>
    </cfRule>
  </conditionalFormatting>
  <conditionalFormatting sqref="I15">
    <cfRule type="expression" dxfId="37" priority="16">
      <formula>I15=""</formula>
    </cfRule>
  </conditionalFormatting>
  <conditionalFormatting sqref="I17">
    <cfRule type="expression" dxfId="36" priority="3">
      <formula>Rechnungszins=""</formula>
    </cfRule>
  </conditionalFormatting>
  <conditionalFormatting sqref="S2">
    <cfRule type="expression" dxfId="35" priority="6">
      <formula>S2="eingeschränkt"</formula>
    </cfRule>
    <cfRule type="expression" dxfId="34" priority="7">
      <formula>S2="Zurzeit nicht bekannt"</formula>
    </cfRule>
    <cfRule type="expression" dxfId="33" priority="8">
      <formula>S2="nein"</formula>
    </cfRule>
    <cfRule type="expression" dxfId="32" priority="9">
      <formula>S2="Ja"</formula>
    </cfRule>
  </conditionalFormatting>
  <dataValidations count="10">
    <dataValidation type="date" operator="greaterThan" allowBlank="1" showInputMessage="1" showErrorMessage="1" errorTitle="Eingabefehler" error="Es sind nur Datumseingaben ab 1.1.1920 zulässig" sqref="D7" xr:uid="{2D222520-C195-409A-A348-C0CE13B56562}">
      <formula1>7306</formula1>
    </dataValidation>
    <dataValidation type="decimal" allowBlank="1" showInputMessage="1" showErrorMessage="1" errorTitle="Eingabefehler!" error="Es sind nur Zahleneingaben &lt;100 zulässig!" sqref="G6" xr:uid="{DCA7110B-C387-45F8-B918-456DE6B373CF}">
      <formula1>1</formula1>
      <formula2>100</formula2>
    </dataValidation>
    <dataValidation allowBlank="1" showInputMessage="1" showErrorMessage="1" errorTitle="Eingabefehler!" error="Es sind nur Zahleneingaben &lt;18 zulässig_x000a_" sqref="I9:J9" xr:uid="{4CE28B71-CEF2-4968-9C25-3133FB268EB8}"/>
    <dataValidation allowBlank="1" showInputMessage="1" showErrorMessage="1" errorTitle="Eingabefehler" error="Es sind nur Zahleneingaben &lt; 10.000 zulässig" sqref="F9" xr:uid="{6242DA56-5696-417D-966D-D21BF14EC2F2}"/>
    <dataValidation type="decimal" allowBlank="1" showInputMessage="1" showErrorMessage="1" errorTitle="Eingabefehler!" error="Es sind nur Werte &lt;15% zulässig (und plausibel)" sqref="G15" xr:uid="{40A27905-0961-48A1-9BD5-BF3CA2804424}">
      <formula1>0</formula1>
      <formula2>0.15</formula2>
    </dataValidation>
    <dataValidation type="decimal" allowBlank="1" showInputMessage="1" showErrorMessage="1" errorTitle="Eingabefehler" error="Es sind nur Werte bis 15% zulässig (und plausibel)" sqref="I15:J15" xr:uid="{7149A28C-5F40-4E74-9ABE-06EACAD937EE}">
      <formula1>0</formula1>
      <formula2>0.15</formula2>
    </dataValidation>
    <dataValidation type="decimal" allowBlank="1" showInputMessage="1" showErrorMessage="1" errorTitle="Eingabefehler!" error="Es sind nur Zahleneingaben zulässig" sqref="I16:J16" xr:uid="{F6257731-4A37-4E35-B8E1-68342AADA9B6}">
      <formula1>0</formula1>
      <formula2>10000</formula2>
    </dataValidation>
    <dataValidation type="decimal" allowBlank="1" showInputMessage="1" showErrorMessage="1" errorTitle="Eingabefehler!" error="Es sind nur Zahleneingaben zwischen 0% und 100% zulässig!_x000a_" sqref="F19:F22 I19:J20" xr:uid="{6D4A1532-F0F5-421A-A65A-8C8CC5D1708C}">
      <formula1>0</formula1>
      <formula2>1</formula2>
    </dataValidation>
    <dataValidation type="date" operator="greaterThan" allowBlank="1" showInputMessage="1" showErrorMessage="1" errorTitle="Eingabefehler!" error="Es sind nur Datumseingaben ab 1.1.1920 zulässig" sqref="D5:D6 F4" xr:uid="{80654326-32AB-42A2-B895-8AC976FD0E0C}">
      <formula1>7306</formula1>
    </dataValidation>
    <dataValidation type="decimal" allowBlank="1" showInputMessage="1" showErrorMessage="1" errorTitle="Eingabefehler" error="Es sind nur Zahleneingaben &lt;100 zulässig" sqref="J7 G7" xr:uid="{223D3A77-1A30-4D05-8BC8-505677B8FB17}">
      <formula1>1</formula1>
      <formula2>100</formula2>
    </dataValidation>
  </dataValidations>
  <hyperlinks>
    <hyperlink ref="B12" location="Frankreich!A1" display="Frankreich" xr:uid="{E004A4B6-6879-4D48-9D37-A374F9760305}"/>
    <hyperlink ref="B6" location="B" display="Belgien" xr:uid="{0BBC94FF-9478-4CE3-AA96-BC20F8115890}"/>
    <hyperlink ref="B7" location="BG" display="Bulgarien" xr:uid="{DCA67628-2D65-490E-ABBA-2C0B6D779935}"/>
    <hyperlink ref="B8" location="DK" display="Dänemark" xr:uid="{D98E37AA-B040-41AA-9F59-593FD33D26BD}"/>
    <hyperlink ref="B9" location="D" display="Deutschland" xr:uid="{F587D7DE-9851-46A9-9962-2C4C24349897}"/>
    <hyperlink ref="B10" location="EST" display="Estland" xr:uid="{39657D28-3F83-4CA4-A400-31AFEE2FB0FD}"/>
    <hyperlink ref="B11" location="FIN" display="Finnland" xr:uid="{9A4C917C-DA04-4BD4-B127-2DEF8A9DFFD2}"/>
    <hyperlink ref="B13" location="GR" display="Griechenland" xr:uid="{71086555-7B78-4DCA-AA74-C1639182E554}"/>
    <hyperlink ref="B15" location="I" display="Irland" xr:uid="{546E065D-DDB2-40E5-AE86-5D2F06E34C7A}"/>
    <hyperlink ref="B16" location="IS" display="Island" xr:uid="{217B9D3D-0A63-49A2-B707-C39B07E2E6C9}"/>
    <hyperlink ref="B17" location="I" display="Italien" xr:uid="{B76635B8-1335-4DD2-AB8A-5781EA3D549A}"/>
    <hyperlink ref="B18" location="HR" display="Kroatien" xr:uid="{CCA7476C-5597-4B22-85B2-FAE3823BC8D9}"/>
    <hyperlink ref="B19" location="LV" display="Lettland" xr:uid="{A4A6CF13-51A9-4AAA-B6A6-258FC0E2AB6E}"/>
    <hyperlink ref="B20" location="FL" display="Liechtenstein" xr:uid="{F7996F9B-DB33-4EFB-B352-0B1FCCD3DBFC}"/>
    <hyperlink ref="B21" location="LT" display="Litauen" xr:uid="{5ABA009B-ED18-46FE-80A2-7EF02982B4A6}"/>
    <hyperlink ref="B22" location="L" display="Luxemburg" xr:uid="{019E5DF2-AB68-4FAD-B786-A4227F6D71FB}"/>
    <hyperlink ref="B23" location="M" display="Malta" xr:uid="{E1270C23-0DE9-4545-A833-4298EEB7FF4F}"/>
    <hyperlink ref="B24" location="NL" display="Niederlande" xr:uid="{CC0CA254-655D-4F34-9F39-54829FE46964}"/>
    <hyperlink ref="B25" location="N" display="Norwegen" xr:uid="{593DCDA4-DCE9-4DC9-A400-CBFBCECB5DA6}"/>
    <hyperlink ref="B26" location="A" display="Österreich" xr:uid="{9791C570-7587-4BE1-BE4D-819AD718E27D}"/>
    <hyperlink ref="B27" location="PL" display="Polen" xr:uid="{50F9628A-78EC-4ED4-B460-0670620A1DB0}"/>
    <hyperlink ref="B28" location="P" display="Portugal" xr:uid="{F11A9F32-B1BD-45D2-A730-040C4A01955C}"/>
    <hyperlink ref="B29" location="RO" display="Rumänien" xr:uid="{DDC12622-2CBD-453D-ABA3-6250A559C152}"/>
    <hyperlink ref="B31" location="CH" display="Schweiz" xr:uid="{775D2B5B-784C-4A07-B966-A061B2A3C5E0}"/>
    <hyperlink ref="B32" location="SK" display="Slowakei" xr:uid="{0E337002-657B-4795-B910-7D862BC04632}"/>
    <hyperlink ref="B33" location="SLO" display="Slowenien" xr:uid="{29FE57A1-0CDB-4CA2-B3A3-C9A8E7880FDF}"/>
    <hyperlink ref="B34" location="E" display="Spanien" xr:uid="{D0FC7683-75AE-4D70-A68A-15AD1EF9434A}"/>
    <hyperlink ref="B35" location="CZ" display="Tschechische Republik" xr:uid="{526F90B2-EBBE-4B77-8004-7034E8260F94}"/>
    <hyperlink ref="B36" location="H" display="Ungarn" xr:uid="{1BC26F16-06F9-427C-A382-972288B250CC}"/>
    <hyperlink ref="B37" location="CY" display="Zypern" xr:uid="{4345AD51-5CC2-4054-A598-3E2AC39AEEC9}"/>
    <hyperlink ref="B30" location="Schwe" display="Schweden" xr:uid="{32C93550-22CD-4AC0-BA0E-630604D8FC7F}"/>
    <hyperlink ref="G22" r:id="rId1" xr:uid="{FE8B8E37-BF91-4BDE-B0AA-F09422D08396}"/>
    <hyperlink ref="AC7" location="Dynamisierungslinks" display="Dyn" xr:uid="{24FC7974-E0EE-488F-81B2-52745C917F4F}"/>
    <hyperlink ref="K6:V6" location="Lebenserwartung" display="Lebenserwartung" xr:uid="{2464845D-03C4-43A8-B00D-7E1DAF17AC98}"/>
    <hyperlink ref="B14" location="K_GB" display="Großbritanien" xr:uid="{BF1836FF-30C5-4282-A428-3233F8DC240B}"/>
    <hyperlink ref="K5:P5" location="Lebenshaltungskosten" display="Lebenshaltungskosten" xr:uid="{F1A8FB67-F763-4AB6-ADF9-52B00A27D866}"/>
    <hyperlink ref="F14" location="Rentendynamik_Länder" display="Ø 10 Jahre:" xr:uid="{8F3E278A-8EE3-488D-A2D6-7D9F1020A385}"/>
    <hyperlink ref="H14" location="Rentendynamik_Länder" display="Ø 5 Jahre:" xr:uid="{C1F480EA-CD90-40CB-8D68-2EA74A4B197B}"/>
    <hyperlink ref="K7:K8" location="Kapitalisierungsmöglichkeit!A1" display="Kapitalisierungsmöglichkeit!A1" xr:uid="{B60D39D1-0017-4C91-A55F-83C3CAFE80E7}"/>
    <hyperlink ref="L7:V9" location="Kapitalisierungsmöglichkeit!A1" display="Kapitalisierungsmöglichkeit!A1" xr:uid="{90351A77-D3B1-43FA-96AE-B624EA736A8D}"/>
    <hyperlink ref="K2:T2" location="'Wer erteilt Auskunft'!A1" display="'Wer erteilt Auskunft'!A1" xr:uid="{371E28B0-4994-4B4A-8BD1-E0E9194AD48C}"/>
  </hyperlinks>
  <printOptions horizontalCentered="1" verticalCentered="1"/>
  <pageMargins left="0.11811023622047245" right="0.11811023622047245" top="0.19685039370078741" bottom="0.19685039370078741" header="0.31496062992125984" footer="0.31496062992125984"/>
  <pageSetup paperSize="9" scale="93"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3793" r:id="rId5" name="Drop Down 1">
              <controlPr defaultSize="0" autoLine="0" autoPict="0">
                <anchor moveWithCells="1">
                  <from>
                    <xdr:col>2</xdr:col>
                    <xdr:colOff>4210050</xdr:colOff>
                    <xdr:row>2</xdr:row>
                    <xdr:rowOff>19050</xdr:rowOff>
                  </from>
                  <to>
                    <xdr:col>4</xdr:col>
                    <xdr:colOff>66675</xdr:colOff>
                    <xdr:row>2</xdr:row>
                    <xdr:rowOff>238125</xdr:rowOff>
                  </to>
                </anchor>
              </controlPr>
            </control>
          </mc:Choice>
        </mc:AlternateContent>
        <mc:AlternateContent xmlns:mc="http://schemas.openxmlformats.org/markup-compatibility/2006">
          <mc:Choice Requires="x14">
            <control shapeId="33802" r:id="rId6" name="Drop Down 10">
              <controlPr defaultSize="0" autoLine="0" autoPict="0">
                <anchor moveWithCells="1">
                  <from>
                    <xdr:col>4</xdr:col>
                    <xdr:colOff>371475</xdr:colOff>
                    <xdr:row>5</xdr:row>
                    <xdr:rowOff>38100</xdr:rowOff>
                  </from>
                  <to>
                    <xdr:col>4</xdr:col>
                    <xdr:colOff>914400</xdr:colOff>
                    <xdr:row>5</xdr:row>
                    <xdr:rowOff>257175</xdr:rowOff>
                  </to>
                </anchor>
              </controlPr>
            </control>
          </mc:Choice>
        </mc:AlternateContent>
        <mc:AlternateContent xmlns:mc="http://schemas.openxmlformats.org/markup-compatibility/2006">
          <mc:Choice Requires="x14">
            <control shapeId="33803" r:id="rId7" name="Drop Down 11">
              <controlPr defaultSize="0" autoLine="0" autoPict="0">
                <anchor moveWithCells="1">
                  <from>
                    <xdr:col>4</xdr:col>
                    <xdr:colOff>371475</xdr:colOff>
                    <xdr:row>6</xdr:row>
                    <xdr:rowOff>38100</xdr:rowOff>
                  </from>
                  <to>
                    <xdr:col>4</xdr:col>
                    <xdr:colOff>914400</xdr:colOff>
                    <xdr:row>6</xdr:row>
                    <xdr:rowOff>257175</xdr:rowOff>
                  </to>
                </anchor>
              </controlPr>
            </control>
          </mc:Choice>
        </mc:AlternateContent>
        <mc:AlternateContent xmlns:mc="http://schemas.openxmlformats.org/markup-compatibility/2006">
          <mc:Choice Requires="x14">
            <control shapeId="33808" r:id="rId8" name="Check Box 16">
              <controlPr defaultSize="0" autoFill="0" autoLine="0" autoPict="0">
                <anchor moveWithCells="1">
                  <from>
                    <xdr:col>2</xdr:col>
                    <xdr:colOff>19050</xdr:colOff>
                    <xdr:row>18</xdr:row>
                    <xdr:rowOff>28575</xdr:rowOff>
                  </from>
                  <to>
                    <xdr:col>5</xdr:col>
                    <xdr:colOff>19050</xdr:colOff>
                    <xdr:row>18</xdr:row>
                    <xdr:rowOff>238125</xdr:rowOff>
                  </to>
                </anchor>
              </controlPr>
            </control>
          </mc:Choice>
        </mc:AlternateContent>
        <mc:AlternateContent xmlns:mc="http://schemas.openxmlformats.org/markup-compatibility/2006">
          <mc:Choice Requires="x14">
            <control shapeId="33809" r:id="rId9" name="Check Box 17">
              <controlPr defaultSize="0" autoFill="0" autoLine="0" autoPict="0">
                <anchor moveWithCells="1">
                  <from>
                    <xdr:col>2</xdr:col>
                    <xdr:colOff>19050</xdr:colOff>
                    <xdr:row>19</xdr:row>
                    <xdr:rowOff>38100</xdr:rowOff>
                  </from>
                  <to>
                    <xdr:col>5</xdr:col>
                    <xdr:colOff>19050</xdr:colOff>
                    <xdr:row>19</xdr:row>
                    <xdr:rowOff>238125</xdr:rowOff>
                  </to>
                </anchor>
              </controlPr>
            </control>
          </mc:Choice>
        </mc:AlternateContent>
        <mc:AlternateContent xmlns:mc="http://schemas.openxmlformats.org/markup-compatibility/2006">
          <mc:Choice Requires="x14">
            <control shapeId="33828" r:id="rId10" name="Option Button 36">
              <controlPr defaultSize="0" autoFill="0" autoLine="0" autoPict="0">
                <anchor moveWithCells="1">
                  <from>
                    <xdr:col>12</xdr:col>
                    <xdr:colOff>200025</xdr:colOff>
                    <xdr:row>3</xdr:row>
                    <xdr:rowOff>38100</xdr:rowOff>
                  </from>
                  <to>
                    <xdr:col>15</xdr:col>
                    <xdr:colOff>19050</xdr:colOff>
                    <xdr:row>3</xdr:row>
                    <xdr:rowOff>361950</xdr:rowOff>
                  </to>
                </anchor>
              </controlPr>
            </control>
          </mc:Choice>
        </mc:AlternateContent>
        <mc:AlternateContent xmlns:mc="http://schemas.openxmlformats.org/markup-compatibility/2006">
          <mc:Choice Requires="x14">
            <control shapeId="33832" r:id="rId11" name="Option Button 40">
              <controlPr defaultSize="0" autoFill="0" autoLine="0" autoPict="0">
                <anchor moveWithCells="1">
                  <from>
                    <xdr:col>16</xdr:col>
                    <xdr:colOff>85725</xdr:colOff>
                    <xdr:row>3</xdr:row>
                    <xdr:rowOff>38100</xdr:rowOff>
                  </from>
                  <to>
                    <xdr:col>17</xdr:col>
                    <xdr:colOff>295275</xdr:colOff>
                    <xdr:row>3</xdr:row>
                    <xdr:rowOff>314325</xdr:rowOff>
                  </to>
                </anchor>
              </controlPr>
            </control>
          </mc:Choice>
        </mc:AlternateContent>
        <mc:AlternateContent xmlns:mc="http://schemas.openxmlformats.org/markup-compatibility/2006">
          <mc:Choice Requires="x14">
            <control shapeId="33835" r:id="rId12" name="Group Box 43">
              <controlPr defaultSize="0" autoFill="0" autoPict="0">
                <anchor moveWithCells="1">
                  <from>
                    <xdr:col>1</xdr:col>
                    <xdr:colOff>819150</xdr:colOff>
                    <xdr:row>3</xdr:row>
                    <xdr:rowOff>0</xdr:rowOff>
                  </from>
                  <to>
                    <xdr:col>9</xdr:col>
                    <xdr:colOff>19050</xdr:colOff>
                    <xdr:row>21</xdr:row>
                    <xdr:rowOff>257175</xdr:rowOff>
                  </to>
                </anchor>
              </controlPr>
            </control>
          </mc:Choice>
        </mc:AlternateContent>
        <mc:AlternateContent xmlns:mc="http://schemas.openxmlformats.org/markup-compatibility/2006">
          <mc:Choice Requires="x14">
            <control shapeId="33837" r:id="rId13" name="Option Button 45">
              <controlPr defaultSize="0" autoFill="0" autoLine="0" autoPict="0">
                <anchor moveWithCells="1">
                  <from>
                    <xdr:col>7</xdr:col>
                    <xdr:colOff>857250</xdr:colOff>
                    <xdr:row>7</xdr:row>
                    <xdr:rowOff>0</xdr:rowOff>
                  </from>
                  <to>
                    <xdr:col>8</xdr:col>
                    <xdr:colOff>866775</xdr:colOff>
                    <xdr:row>8</xdr:row>
                    <xdr:rowOff>0</xdr:rowOff>
                  </to>
                </anchor>
              </controlPr>
            </control>
          </mc:Choice>
        </mc:AlternateContent>
        <mc:AlternateContent xmlns:mc="http://schemas.openxmlformats.org/markup-compatibility/2006">
          <mc:Choice Requires="x14">
            <control shapeId="33845" r:id="rId14" name="Option Button 53">
              <controlPr defaultSize="0" autoFill="0" autoLine="0" autoPict="0">
                <anchor moveWithCells="1">
                  <from>
                    <xdr:col>6</xdr:col>
                    <xdr:colOff>314325</xdr:colOff>
                    <xdr:row>4</xdr:row>
                    <xdr:rowOff>38100</xdr:rowOff>
                  </from>
                  <to>
                    <xdr:col>6</xdr:col>
                    <xdr:colOff>866775</xdr:colOff>
                    <xdr:row>5</xdr:row>
                    <xdr:rowOff>0</xdr:rowOff>
                  </to>
                </anchor>
              </controlPr>
            </control>
          </mc:Choice>
        </mc:AlternateContent>
        <mc:AlternateContent xmlns:mc="http://schemas.openxmlformats.org/markup-compatibility/2006">
          <mc:Choice Requires="x14">
            <control shapeId="33846" r:id="rId15" name="Option Button 54">
              <controlPr defaultSize="0" autoFill="0" autoLine="0" autoPict="0">
                <anchor moveWithCells="1">
                  <from>
                    <xdr:col>4</xdr:col>
                    <xdr:colOff>200025</xdr:colOff>
                    <xdr:row>10</xdr:row>
                    <xdr:rowOff>28575</xdr:rowOff>
                  </from>
                  <to>
                    <xdr:col>4</xdr:col>
                    <xdr:colOff>914400</xdr:colOff>
                    <xdr:row>10</xdr:row>
                    <xdr:rowOff>257175</xdr:rowOff>
                  </to>
                </anchor>
              </controlPr>
            </control>
          </mc:Choice>
        </mc:AlternateContent>
        <mc:AlternateContent xmlns:mc="http://schemas.openxmlformats.org/markup-compatibility/2006">
          <mc:Choice Requires="x14">
            <control shapeId="33847" r:id="rId16" name="Option Button 55">
              <controlPr defaultSize="0" autoFill="0" autoLine="0" autoPict="0">
                <anchor moveWithCells="1">
                  <from>
                    <xdr:col>8</xdr:col>
                    <xdr:colOff>381000</xdr:colOff>
                    <xdr:row>9</xdr:row>
                    <xdr:rowOff>276225</xdr:rowOff>
                  </from>
                  <to>
                    <xdr:col>8</xdr:col>
                    <xdr:colOff>914400</xdr:colOff>
                    <xdr:row>11</xdr:row>
                    <xdr:rowOff>19050</xdr:rowOff>
                  </to>
                </anchor>
              </controlPr>
            </control>
          </mc:Choice>
        </mc:AlternateContent>
        <mc:AlternateContent xmlns:mc="http://schemas.openxmlformats.org/markup-compatibility/2006">
          <mc:Choice Requires="x14">
            <control shapeId="33848" r:id="rId17" name="Option Button 56">
              <controlPr defaultSize="0" autoFill="0" autoLine="0" autoPict="0">
                <anchor moveWithCells="1">
                  <from>
                    <xdr:col>4</xdr:col>
                    <xdr:colOff>200025</xdr:colOff>
                    <xdr:row>11</xdr:row>
                    <xdr:rowOff>28575</xdr:rowOff>
                  </from>
                  <to>
                    <xdr:col>4</xdr:col>
                    <xdr:colOff>914400</xdr:colOff>
                    <xdr:row>11</xdr:row>
                    <xdr:rowOff>257175</xdr:rowOff>
                  </to>
                </anchor>
              </controlPr>
            </control>
          </mc:Choice>
        </mc:AlternateContent>
        <mc:AlternateContent xmlns:mc="http://schemas.openxmlformats.org/markup-compatibility/2006">
          <mc:Choice Requires="x14">
            <control shapeId="33849" r:id="rId18" name="Option Button 57">
              <controlPr defaultSize="0" autoFill="0" autoLine="0" autoPict="0">
                <anchor moveWithCells="1">
                  <from>
                    <xdr:col>8</xdr:col>
                    <xdr:colOff>381000</xdr:colOff>
                    <xdr:row>10</xdr:row>
                    <xdr:rowOff>266700</xdr:rowOff>
                  </from>
                  <to>
                    <xdr:col>8</xdr:col>
                    <xdr:colOff>914400</xdr:colOff>
                    <xdr:row>12</xdr:row>
                    <xdr:rowOff>0</xdr:rowOff>
                  </to>
                </anchor>
              </controlPr>
            </control>
          </mc:Choice>
        </mc:AlternateContent>
        <mc:AlternateContent xmlns:mc="http://schemas.openxmlformats.org/markup-compatibility/2006">
          <mc:Choice Requires="x14">
            <control shapeId="33850" r:id="rId19" name="Option Button 58">
              <controlPr defaultSize="0" autoFill="0" autoLine="0" autoPict="0">
                <anchor moveWithCells="1">
                  <from>
                    <xdr:col>4</xdr:col>
                    <xdr:colOff>209550</xdr:colOff>
                    <xdr:row>12</xdr:row>
                    <xdr:rowOff>28575</xdr:rowOff>
                  </from>
                  <to>
                    <xdr:col>4</xdr:col>
                    <xdr:colOff>914400</xdr:colOff>
                    <xdr:row>12</xdr:row>
                    <xdr:rowOff>257175</xdr:rowOff>
                  </to>
                </anchor>
              </controlPr>
            </control>
          </mc:Choice>
        </mc:AlternateContent>
        <mc:AlternateContent xmlns:mc="http://schemas.openxmlformats.org/markup-compatibility/2006">
          <mc:Choice Requires="x14">
            <control shapeId="33851" r:id="rId20" name="Option Button 59">
              <controlPr defaultSize="0" autoFill="0" autoLine="0" autoPict="0">
                <anchor moveWithCells="1">
                  <from>
                    <xdr:col>8</xdr:col>
                    <xdr:colOff>381000</xdr:colOff>
                    <xdr:row>11</xdr:row>
                    <xdr:rowOff>266700</xdr:rowOff>
                  </from>
                  <to>
                    <xdr:col>8</xdr:col>
                    <xdr:colOff>914400</xdr:colOff>
                    <xdr:row>13</xdr:row>
                    <xdr:rowOff>0</xdr:rowOff>
                  </to>
                </anchor>
              </controlPr>
            </control>
          </mc:Choice>
        </mc:AlternateContent>
        <mc:AlternateContent xmlns:mc="http://schemas.openxmlformats.org/markup-compatibility/2006">
          <mc:Choice Requires="x14">
            <control shapeId="33852" r:id="rId21" name="Group Box 60">
              <controlPr defaultSize="0" print="0" autoFill="0" autoPict="0">
                <anchor moveWithCells="1">
                  <from>
                    <xdr:col>2</xdr:col>
                    <xdr:colOff>0</xdr:colOff>
                    <xdr:row>0</xdr:row>
                    <xdr:rowOff>19050</xdr:rowOff>
                  </from>
                  <to>
                    <xdr:col>19</xdr:col>
                    <xdr:colOff>285750</xdr:colOff>
                    <xdr:row>1</xdr:row>
                    <xdr:rowOff>19050</xdr:rowOff>
                  </to>
                </anchor>
              </controlPr>
            </control>
          </mc:Choice>
        </mc:AlternateContent>
        <mc:AlternateContent xmlns:mc="http://schemas.openxmlformats.org/markup-compatibility/2006">
          <mc:Choice Requires="x14">
            <control shapeId="33853" r:id="rId22" name="Option Button 61">
              <controlPr defaultSize="0" autoFill="0" autoLine="0" autoPict="0">
                <anchor moveWithCells="1">
                  <from>
                    <xdr:col>2</xdr:col>
                    <xdr:colOff>2257425</xdr:colOff>
                    <xdr:row>0</xdr:row>
                    <xdr:rowOff>66675</xdr:rowOff>
                  </from>
                  <to>
                    <xdr:col>7</xdr:col>
                    <xdr:colOff>66675</xdr:colOff>
                    <xdr:row>0</xdr:row>
                    <xdr:rowOff>400050</xdr:rowOff>
                  </to>
                </anchor>
              </controlPr>
            </control>
          </mc:Choice>
        </mc:AlternateContent>
        <mc:AlternateContent xmlns:mc="http://schemas.openxmlformats.org/markup-compatibility/2006">
          <mc:Choice Requires="x14">
            <control shapeId="33854" r:id="rId23" name="Option Button 62">
              <controlPr defaultSize="0" autoFill="0" autoLine="0" autoPict="0">
                <anchor moveWithCells="1">
                  <from>
                    <xdr:col>13</xdr:col>
                    <xdr:colOff>219075</xdr:colOff>
                    <xdr:row>0</xdr:row>
                    <xdr:rowOff>76200</xdr:rowOff>
                  </from>
                  <to>
                    <xdr:col>17</xdr:col>
                    <xdr:colOff>171450</xdr:colOff>
                    <xdr:row>0</xdr:row>
                    <xdr:rowOff>381000</xdr:rowOff>
                  </to>
                </anchor>
              </controlPr>
            </control>
          </mc:Choice>
        </mc:AlternateContent>
        <mc:AlternateContent xmlns:mc="http://schemas.openxmlformats.org/markup-compatibility/2006">
          <mc:Choice Requires="x14">
            <control shapeId="33860" r:id="rId24" name="Option Button 68">
              <controlPr defaultSize="0" autoFill="0" autoLine="0" autoPict="0">
                <anchor moveWithCells="1">
                  <from>
                    <xdr:col>17</xdr:col>
                    <xdr:colOff>714375</xdr:colOff>
                    <xdr:row>3</xdr:row>
                    <xdr:rowOff>57150</xdr:rowOff>
                  </from>
                  <to>
                    <xdr:col>22</xdr:col>
                    <xdr:colOff>228600</xdr:colOff>
                    <xdr:row>3</xdr:row>
                    <xdr:rowOff>342900</xdr:rowOff>
                  </to>
                </anchor>
              </controlPr>
            </control>
          </mc:Choice>
        </mc:AlternateContent>
        <mc:AlternateContent xmlns:mc="http://schemas.openxmlformats.org/markup-compatibility/2006">
          <mc:Choice Requires="x14">
            <control shapeId="33864" r:id="rId25" name="Check Box 72">
              <controlPr defaultSize="0" autoFill="0" autoLine="0" autoPict="0">
                <anchor moveWithCells="1">
                  <from>
                    <xdr:col>2</xdr:col>
                    <xdr:colOff>2324100</xdr:colOff>
                    <xdr:row>22</xdr:row>
                    <xdr:rowOff>28575</xdr:rowOff>
                  </from>
                  <to>
                    <xdr:col>6</xdr:col>
                    <xdr:colOff>714375</xdr:colOff>
                    <xdr:row>23</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8905-13A0-4CD2-95AD-F0658D600C6E}">
  <sheetPr codeName="Tabelle1"/>
  <dimension ref="A2:C839"/>
  <sheetViews>
    <sheetView workbookViewId="0">
      <selection activeCell="J43" sqref="J43"/>
    </sheetView>
  </sheetViews>
  <sheetFormatPr baseColWidth="10" defaultRowHeight="15"/>
  <cols>
    <col min="1" max="1" width="14.85546875" customWidth="1"/>
    <col min="2" max="3" width="11.42578125" style="5"/>
  </cols>
  <sheetData>
    <row r="2" spans="1:3">
      <c r="A2" s="1"/>
      <c r="B2" s="353" t="s">
        <v>4074</v>
      </c>
      <c r="C2" s="353" t="s">
        <v>4075</v>
      </c>
    </row>
    <row r="3" spans="1:3">
      <c r="A3" s="620">
        <v>45322</v>
      </c>
      <c r="B3" s="629">
        <v>1.76</v>
      </c>
      <c r="C3" s="630">
        <v>1.82</v>
      </c>
    </row>
    <row r="4" spans="1:3">
      <c r="A4" s="620">
        <v>45351</v>
      </c>
      <c r="B4" s="629">
        <v>1.78</v>
      </c>
      <c r="C4" s="630">
        <v>1.82</v>
      </c>
    </row>
    <row r="5" spans="1:3">
      <c r="A5" s="620">
        <v>45382</v>
      </c>
      <c r="B5" s="629">
        <v>1.8</v>
      </c>
      <c r="C5" s="630">
        <v>1.83</v>
      </c>
    </row>
    <row r="6" spans="1:3">
      <c r="A6" s="620">
        <v>45412</v>
      </c>
      <c r="B6" s="629">
        <v>1.82</v>
      </c>
      <c r="C6" s="630">
        <v>1.83</v>
      </c>
    </row>
    <row r="7" spans="1:3">
      <c r="A7" s="620">
        <v>45443</v>
      </c>
      <c r="B7" s="629">
        <v>1.84</v>
      </c>
      <c r="C7" s="630">
        <v>1.83</v>
      </c>
    </row>
    <row r="8" spans="1:3">
      <c r="A8" s="620">
        <v>45473</v>
      </c>
      <c r="B8" s="629">
        <v>1.86</v>
      </c>
      <c r="C8" s="630">
        <v>1.84</v>
      </c>
    </row>
    <row r="9" spans="1:3">
      <c r="A9" s="620">
        <v>45504</v>
      </c>
      <c r="B9" s="629">
        <v>1.87</v>
      </c>
      <c r="C9" s="630">
        <v>1.85</v>
      </c>
    </row>
    <row r="10" spans="1:3">
      <c r="A10" s="620">
        <v>45535</v>
      </c>
      <c r="B10" s="629">
        <v>1.89</v>
      </c>
      <c r="C10" s="630">
        <v>1.86</v>
      </c>
    </row>
    <row r="11" spans="1:3">
      <c r="A11" s="620">
        <v>45565</v>
      </c>
      <c r="B11" s="629">
        <v>1.91</v>
      </c>
      <c r="C11" s="630">
        <v>1.87</v>
      </c>
    </row>
    <row r="12" spans="1:3">
      <c r="A12" s="620">
        <v>45596</v>
      </c>
      <c r="B12" s="629">
        <v>1.93</v>
      </c>
      <c r="C12" s="630">
        <v>1.88</v>
      </c>
    </row>
    <row r="13" spans="1:3">
      <c r="A13" s="620">
        <v>45626</v>
      </c>
      <c r="B13" s="356">
        <v>1.94</v>
      </c>
      <c r="C13" s="630">
        <v>1.88</v>
      </c>
    </row>
    <row r="14" spans="1:3">
      <c r="A14" s="620">
        <v>45657</v>
      </c>
      <c r="B14" s="356">
        <v>1.96</v>
      </c>
      <c r="C14" s="630">
        <v>1.9</v>
      </c>
    </row>
    <row r="15" spans="1:3">
      <c r="A15" s="620">
        <v>45688</v>
      </c>
      <c r="B15" s="629">
        <v>1.98</v>
      </c>
      <c r="C15" s="630">
        <v>1.98</v>
      </c>
    </row>
    <row r="16" spans="1:3">
      <c r="A16" s="620">
        <v>45716</v>
      </c>
      <c r="B16" s="629">
        <v>2</v>
      </c>
      <c r="C16" s="630">
        <v>1.93</v>
      </c>
    </row>
    <row r="17" spans="1:3">
      <c r="A17" s="620">
        <v>45747</v>
      </c>
      <c r="B17" s="629">
        <v>2.02</v>
      </c>
      <c r="C17" s="630">
        <v>1.95</v>
      </c>
    </row>
    <row r="18" spans="1:3">
      <c r="A18" s="621">
        <v>45777</v>
      </c>
      <c r="B18" s="629">
        <v>2.04</v>
      </c>
      <c r="C18" s="631">
        <v>1.96</v>
      </c>
    </row>
    <row r="19" spans="1:3">
      <c r="A19" s="621">
        <v>45808</v>
      </c>
      <c r="B19" s="629">
        <v>2.06</v>
      </c>
      <c r="C19" s="631">
        <v>1.98</v>
      </c>
    </row>
    <row r="20" spans="1:3">
      <c r="A20" s="620">
        <v>45838</v>
      </c>
      <c r="B20" s="629">
        <v>2.08</v>
      </c>
      <c r="C20" s="629">
        <v>1.99</v>
      </c>
    </row>
    <row r="21" spans="1:3">
      <c r="A21" s="622">
        <v>45869</v>
      </c>
      <c r="B21" s="632">
        <v>2.1</v>
      </c>
      <c r="C21" s="632">
        <v>2</v>
      </c>
    </row>
    <row r="22" spans="1:3">
      <c r="A22" s="623">
        <v>45900</v>
      </c>
      <c r="B22" s="633">
        <v>2.13</v>
      </c>
      <c r="C22" s="634">
        <v>2.0099999999999998</v>
      </c>
    </row>
    <row r="23" spans="1:3">
      <c r="A23" s="621">
        <v>45930</v>
      </c>
      <c r="B23" s="356">
        <v>2.15</v>
      </c>
      <c r="C23" s="631">
        <v>2.02</v>
      </c>
    </row>
    <row r="24" spans="1:3">
      <c r="A24" s="624">
        <v>45961</v>
      </c>
      <c r="B24" s="635">
        <v>2.17</v>
      </c>
      <c r="C24" s="633">
        <v>2.0299999999999998</v>
      </c>
    </row>
    <row r="25" spans="1:3">
      <c r="A25" s="624">
        <v>45991</v>
      </c>
      <c r="B25" s="635">
        <v>2.19</v>
      </c>
      <c r="C25" s="633">
        <v>2.0499999999999998</v>
      </c>
    </row>
    <row r="26" spans="1:3">
      <c r="A26" s="625">
        <v>46022</v>
      </c>
      <c r="B26" s="356">
        <v>2.2200000000000002</v>
      </c>
      <c r="C26" s="636">
        <v>2.06</v>
      </c>
    </row>
    <row r="27" spans="1:3">
      <c r="A27" s="626">
        <v>46053</v>
      </c>
      <c r="B27" s="637">
        <v>2.2400000000000002</v>
      </c>
      <c r="C27" s="637">
        <v>2.0699999999999998</v>
      </c>
    </row>
    <row r="28" spans="1:3">
      <c r="A28" s="626">
        <v>46081</v>
      </c>
      <c r="B28" s="638">
        <v>2.27</v>
      </c>
      <c r="C28" s="637">
        <v>2.09</v>
      </c>
    </row>
    <row r="29" spans="1:3">
      <c r="A29" s="626">
        <v>46112</v>
      </c>
      <c r="B29" s="639">
        <v>2.2999999999999998</v>
      </c>
      <c r="C29" s="639">
        <v>2.11</v>
      </c>
    </row>
    <row r="30" spans="1:3">
      <c r="A30" s="626">
        <v>46142</v>
      </c>
      <c r="B30" s="639">
        <v>2.33</v>
      </c>
      <c r="C30" s="639">
        <v>2.13</v>
      </c>
    </row>
    <row r="31" spans="1:3">
      <c r="A31" s="626">
        <v>46173</v>
      </c>
      <c r="B31" s="639">
        <v>2.37</v>
      </c>
      <c r="C31" s="639">
        <v>2.15</v>
      </c>
    </row>
    <row r="32" spans="1:3">
      <c r="A32" s="352">
        <v>46203</v>
      </c>
      <c r="B32" s="249">
        <v>2.4</v>
      </c>
      <c r="C32" s="249">
        <v>2.17</v>
      </c>
    </row>
    <row r="33" spans="1:3">
      <c r="A33" s="352">
        <v>46234</v>
      </c>
      <c r="B33" s="249">
        <v>2.44</v>
      </c>
      <c r="C33" s="249">
        <v>2.19</v>
      </c>
    </row>
    <row r="34" spans="1:3">
      <c r="A34" s="1"/>
      <c r="B34" s="249"/>
      <c r="C34" s="249"/>
    </row>
    <row r="35" spans="1:3">
      <c r="A35" s="1"/>
      <c r="B35" s="249"/>
      <c r="C35" s="249"/>
    </row>
    <row r="36" spans="1:3">
      <c r="A36" s="1"/>
      <c r="B36" s="249"/>
      <c r="C36" s="249"/>
    </row>
    <row r="37" spans="1:3">
      <c r="A37" s="1"/>
      <c r="B37" s="249"/>
      <c r="C37" s="249"/>
    </row>
    <row r="38" spans="1:3">
      <c r="A38" s="1"/>
      <c r="B38" s="249"/>
      <c r="C38" s="249"/>
    </row>
    <row r="39" spans="1:3">
      <c r="A39" s="1"/>
      <c r="B39" s="249"/>
      <c r="C39" s="249"/>
    </row>
    <row r="40" spans="1:3">
      <c r="A40" s="1"/>
      <c r="B40" s="249"/>
      <c r="C40" s="249"/>
    </row>
    <row r="41" spans="1:3">
      <c r="A41" s="1"/>
      <c r="B41" s="249"/>
      <c r="C41" s="249"/>
    </row>
    <row r="42" spans="1:3">
      <c r="A42" s="1"/>
      <c r="B42" s="249"/>
      <c r="C42" s="249"/>
    </row>
    <row r="43" spans="1:3">
      <c r="A43" s="1"/>
      <c r="B43" s="249"/>
      <c r="C43" s="249"/>
    </row>
    <row r="44" spans="1:3">
      <c r="A44" s="1"/>
      <c r="B44" s="249"/>
      <c r="C44" s="249"/>
    </row>
    <row r="45" spans="1:3">
      <c r="A45" s="1"/>
      <c r="B45" s="249"/>
      <c r="C45" s="249"/>
    </row>
    <row r="46" spans="1:3">
      <c r="A46" s="1"/>
      <c r="B46" s="249"/>
      <c r="C46" s="249"/>
    </row>
    <row r="47" spans="1:3">
      <c r="A47" s="1"/>
      <c r="B47" s="249"/>
      <c r="C47" s="249"/>
    </row>
    <row r="48" spans="1:3">
      <c r="A48" s="1"/>
      <c r="B48" s="249"/>
      <c r="C48" s="249"/>
    </row>
    <row r="49" spans="1:3">
      <c r="A49" s="1"/>
      <c r="B49" s="249"/>
      <c r="C49" s="249"/>
    </row>
    <row r="50" spans="1:3">
      <c r="A50" s="1"/>
      <c r="B50" s="249"/>
      <c r="C50" s="249"/>
    </row>
    <row r="51" spans="1:3">
      <c r="A51" s="1"/>
      <c r="B51" s="249"/>
      <c r="C51" s="249"/>
    </row>
    <row r="52" spans="1:3">
      <c r="A52" s="1"/>
      <c r="B52" s="249"/>
      <c r="C52" s="249"/>
    </row>
    <row r="53" spans="1:3">
      <c r="A53" s="1"/>
      <c r="B53" s="249"/>
      <c r="C53" s="249"/>
    </row>
    <row r="54" spans="1:3">
      <c r="A54" s="1"/>
      <c r="B54" s="249"/>
      <c r="C54" s="249"/>
    </row>
    <row r="55" spans="1:3">
      <c r="A55" s="1"/>
      <c r="B55" s="249"/>
      <c r="C55" s="249"/>
    </row>
    <row r="56" spans="1:3">
      <c r="A56" s="1"/>
      <c r="B56" s="249"/>
      <c r="C56" s="249"/>
    </row>
    <row r="57" spans="1:3">
      <c r="A57" s="1"/>
      <c r="B57" s="249"/>
      <c r="C57" s="249"/>
    </row>
    <row r="58" spans="1:3">
      <c r="A58" s="1"/>
      <c r="B58" s="249"/>
      <c r="C58" s="249"/>
    </row>
    <row r="59" spans="1:3">
      <c r="A59" s="1"/>
      <c r="B59" s="249"/>
      <c r="C59" s="249"/>
    </row>
    <row r="60" spans="1:3">
      <c r="A60" s="1"/>
      <c r="B60" s="249"/>
      <c r="C60" s="249"/>
    </row>
    <row r="61" spans="1:3">
      <c r="A61" s="1"/>
      <c r="B61" s="249"/>
      <c r="C61" s="249"/>
    </row>
    <row r="62" spans="1:3">
      <c r="A62" s="1"/>
      <c r="B62" s="249"/>
      <c r="C62" s="249"/>
    </row>
    <row r="63" spans="1:3">
      <c r="A63" s="1"/>
      <c r="B63" s="249"/>
      <c r="C63" s="249"/>
    </row>
    <row r="64" spans="1:3">
      <c r="A64" s="1"/>
      <c r="B64" s="249"/>
      <c r="C64" s="249"/>
    </row>
    <row r="65" spans="1:3">
      <c r="A65" s="1"/>
      <c r="B65" s="249"/>
      <c r="C65" s="249"/>
    </row>
    <row r="66" spans="1:3">
      <c r="A66" s="1"/>
      <c r="B66" s="249"/>
      <c r="C66" s="249"/>
    </row>
    <row r="67" spans="1:3">
      <c r="A67" s="1"/>
      <c r="B67" s="249"/>
      <c r="C67" s="249"/>
    </row>
    <row r="68" spans="1:3">
      <c r="A68" s="1"/>
      <c r="B68" s="249"/>
      <c r="C68" s="249"/>
    </row>
    <row r="69" spans="1:3">
      <c r="A69" s="1"/>
      <c r="B69" s="249"/>
      <c r="C69" s="249"/>
    </row>
    <row r="70" spans="1:3">
      <c r="A70" s="1"/>
      <c r="B70" s="249"/>
      <c r="C70" s="249"/>
    </row>
    <row r="71" spans="1:3">
      <c r="A71" s="1"/>
      <c r="B71" s="249"/>
      <c r="C71" s="249"/>
    </row>
    <row r="72" spans="1:3">
      <c r="A72" s="1"/>
      <c r="B72" s="249"/>
      <c r="C72" s="249"/>
    </row>
    <row r="73" spans="1:3">
      <c r="A73" s="1"/>
      <c r="B73" s="249"/>
      <c r="C73" s="249"/>
    </row>
    <row r="74" spans="1:3">
      <c r="A74" s="1"/>
      <c r="B74" s="249"/>
      <c r="C74" s="249"/>
    </row>
    <row r="75" spans="1:3">
      <c r="A75" s="1"/>
      <c r="B75" s="249"/>
      <c r="C75" s="249"/>
    </row>
    <row r="76" spans="1:3">
      <c r="A76" s="1"/>
      <c r="B76" s="249"/>
      <c r="C76" s="249"/>
    </row>
    <row r="77" spans="1:3">
      <c r="A77" s="1"/>
      <c r="B77" s="249"/>
      <c r="C77" s="249"/>
    </row>
    <row r="78" spans="1:3">
      <c r="A78" s="1"/>
      <c r="B78" s="249"/>
      <c r="C78" s="249"/>
    </row>
    <row r="79" spans="1:3">
      <c r="A79" s="1"/>
      <c r="B79" s="249"/>
      <c r="C79" s="249"/>
    </row>
    <row r="80" spans="1:3">
      <c r="A80" s="1"/>
      <c r="B80" s="249"/>
      <c r="C80" s="249"/>
    </row>
    <row r="81" spans="1:3">
      <c r="A81" s="1"/>
      <c r="B81" s="249"/>
      <c r="C81" s="249"/>
    </row>
    <row r="82" spans="1:3">
      <c r="A82" s="1"/>
      <c r="B82" s="249"/>
      <c r="C82" s="249"/>
    </row>
    <row r="83" spans="1:3">
      <c r="A83" s="1"/>
      <c r="B83" s="249"/>
      <c r="C83" s="249"/>
    </row>
    <row r="84" spans="1:3">
      <c r="A84" s="1"/>
      <c r="B84" s="249"/>
      <c r="C84" s="249"/>
    </row>
    <row r="85" spans="1:3">
      <c r="A85" s="1"/>
      <c r="B85" s="249"/>
      <c r="C85" s="249"/>
    </row>
    <row r="86" spans="1:3">
      <c r="A86" s="1"/>
      <c r="B86" s="249"/>
      <c r="C86" s="249"/>
    </row>
    <row r="87" spans="1:3">
      <c r="A87" s="1"/>
      <c r="B87" s="249"/>
      <c r="C87" s="249"/>
    </row>
    <row r="88" spans="1:3">
      <c r="A88" s="1"/>
      <c r="B88" s="249"/>
      <c r="C88" s="249"/>
    </row>
    <row r="89" spans="1:3">
      <c r="A89" s="1"/>
      <c r="B89" s="249"/>
      <c r="C89" s="249"/>
    </row>
    <row r="90" spans="1:3">
      <c r="A90" s="1"/>
      <c r="B90" s="249"/>
      <c r="C90" s="249"/>
    </row>
    <row r="91" spans="1:3">
      <c r="A91" s="1"/>
      <c r="B91" s="249"/>
      <c r="C91" s="249"/>
    </row>
    <row r="92" spans="1:3">
      <c r="A92" s="1"/>
      <c r="B92" s="249"/>
      <c r="C92" s="249"/>
    </row>
    <row r="93" spans="1:3">
      <c r="A93" s="1"/>
      <c r="B93" s="249"/>
      <c r="C93" s="249"/>
    </row>
    <row r="94" spans="1:3">
      <c r="A94" s="1"/>
      <c r="B94" s="249"/>
      <c r="C94" s="249"/>
    </row>
    <row r="95" spans="1:3">
      <c r="A95" s="1"/>
      <c r="B95" s="249"/>
      <c r="C95" s="249"/>
    </row>
    <row r="96" spans="1:3">
      <c r="A96" s="1"/>
      <c r="B96" s="249"/>
      <c r="C96" s="249"/>
    </row>
    <row r="97" spans="1:3">
      <c r="A97" s="1"/>
      <c r="B97" s="249"/>
      <c r="C97" s="249"/>
    </row>
    <row r="98" spans="1:3">
      <c r="A98" s="1"/>
      <c r="B98" s="249"/>
      <c r="C98" s="249"/>
    </row>
    <row r="99" spans="1:3">
      <c r="A99" s="1"/>
      <c r="B99" s="499"/>
      <c r="C99" s="499"/>
    </row>
    <row r="100" spans="1:3">
      <c r="A100" s="1"/>
      <c r="B100" s="499"/>
      <c r="C100" s="499"/>
    </row>
    <row r="101" spans="1:3">
      <c r="A101" s="1"/>
      <c r="B101" s="499"/>
      <c r="C101" s="499"/>
    </row>
    <row r="102" spans="1:3">
      <c r="A102" s="1"/>
      <c r="B102" s="499"/>
      <c r="C102" s="499"/>
    </row>
    <row r="103" spans="1:3">
      <c r="A103" s="1"/>
      <c r="B103" s="499"/>
      <c r="C103" s="499"/>
    </row>
    <row r="104" spans="1:3">
      <c r="A104" s="1"/>
      <c r="B104" s="499"/>
      <c r="C104" s="499"/>
    </row>
    <row r="105" spans="1:3">
      <c r="A105" s="1"/>
      <c r="B105" s="499"/>
      <c r="C105" s="499"/>
    </row>
    <row r="106" spans="1:3">
      <c r="A106" s="1"/>
      <c r="B106" s="499"/>
      <c r="C106" s="499"/>
    </row>
    <row r="107" spans="1:3">
      <c r="A107" s="1"/>
      <c r="B107" s="499"/>
      <c r="C107" s="499"/>
    </row>
    <row r="108" spans="1:3">
      <c r="A108" s="1"/>
      <c r="B108" s="499"/>
      <c r="C108" s="499"/>
    </row>
    <row r="109" spans="1:3">
      <c r="A109" s="1"/>
      <c r="B109" s="499"/>
      <c r="C109" s="499"/>
    </row>
    <row r="110" spans="1:3">
      <c r="A110" s="1"/>
      <c r="B110" s="499"/>
      <c r="C110" s="499"/>
    </row>
    <row r="111" spans="1:3">
      <c r="A111" s="1"/>
      <c r="B111" s="499"/>
      <c r="C111" s="499"/>
    </row>
    <row r="112" spans="1:3">
      <c r="A112" s="1"/>
      <c r="B112" s="499"/>
      <c r="C112" s="499"/>
    </row>
    <row r="113" spans="1:3">
      <c r="A113" s="1"/>
      <c r="B113" s="499"/>
      <c r="C113" s="499"/>
    </row>
    <row r="114" spans="1:3">
      <c r="A114" s="1"/>
      <c r="B114" s="499"/>
      <c r="C114" s="499"/>
    </row>
    <row r="115" spans="1:3">
      <c r="A115" s="1"/>
      <c r="B115" s="499"/>
      <c r="C115" s="499"/>
    </row>
    <row r="116" spans="1:3">
      <c r="A116" s="1"/>
      <c r="B116" s="499"/>
      <c r="C116" s="499"/>
    </row>
    <row r="117" spans="1:3">
      <c r="A117" s="1"/>
      <c r="B117" s="499"/>
      <c r="C117" s="499"/>
    </row>
    <row r="118" spans="1:3">
      <c r="A118" s="1"/>
      <c r="B118" s="499"/>
      <c r="C118" s="499"/>
    </row>
    <row r="119" spans="1:3">
      <c r="A119" s="1"/>
      <c r="B119" s="499"/>
      <c r="C119" s="499"/>
    </row>
    <row r="120" spans="1:3">
      <c r="A120" s="1"/>
      <c r="B120" s="499"/>
      <c r="C120" s="499"/>
    </row>
    <row r="121" spans="1:3">
      <c r="A121" s="1"/>
      <c r="B121" s="499"/>
      <c r="C121" s="499"/>
    </row>
    <row r="122" spans="1:3">
      <c r="A122" s="1"/>
      <c r="B122" s="499"/>
      <c r="C122" s="499"/>
    </row>
    <row r="123" spans="1:3">
      <c r="A123" s="1"/>
      <c r="B123" s="499"/>
      <c r="C123" s="499"/>
    </row>
    <row r="124" spans="1:3">
      <c r="A124" s="1"/>
      <c r="B124" s="499"/>
      <c r="C124" s="499"/>
    </row>
    <row r="125" spans="1:3">
      <c r="A125" s="1"/>
      <c r="B125" s="499"/>
      <c r="C125" s="499"/>
    </row>
    <row r="126" spans="1:3">
      <c r="A126" s="1"/>
      <c r="B126" s="499"/>
      <c r="C126" s="499"/>
    </row>
    <row r="127" spans="1:3">
      <c r="A127" s="1"/>
      <c r="B127" s="499"/>
      <c r="C127" s="499"/>
    </row>
    <row r="128" spans="1:3">
      <c r="A128" s="1"/>
      <c r="B128" s="499"/>
      <c r="C128" s="499"/>
    </row>
    <row r="129" spans="1:3">
      <c r="A129" s="1"/>
      <c r="B129" s="499"/>
      <c r="C129" s="499"/>
    </row>
    <row r="130" spans="1:3">
      <c r="A130" s="1"/>
      <c r="B130" s="499"/>
      <c r="C130" s="499"/>
    </row>
    <row r="131" spans="1:3">
      <c r="A131" s="1"/>
      <c r="B131" s="499"/>
      <c r="C131" s="499"/>
    </row>
    <row r="132" spans="1:3">
      <c r="A132" s="1"/>
      <c r="B132" s="499"/>
      <c r="C132" s="499"/>
    </row>
    <row r="133" spans="1:3">
      <c r="A133" s="1"/>
      <c r="B133" s="499"/>
      <c r="C133" s="499"/>
    </row>
    <row r="134" spans="1:3">
      <c r="A134" s="1"/>
      <c r="B134" s="499"/>
      <c r="C134" s="499"/>
    </row>
    <row r="135" spans="1:3">
      <c r="A135" s="1"/>
      <c r="B135" s="499"/>
      <c r="C135" s="499"/>
    </row>
    <row r="136" spans="1:3">
      <c r="A136" s="1"/>
      <c r="B136" s="499"/>
      <c r="C136" s="499"/>
    </row>
    <row r="137" spans="1:3">
      <c r="A137" s="1"/>
      <c r="B137" s="499"/>
      <c r="C137" s="499"/>
    </row>
    <row r="138" spans="1:3">
      <c r="A138" s="1"/>
      <c r="B138" s="499"/>
      <c r="C138" s="499"/>
    </row>
    <row r="139" spans="1:3">
      <c r="A139" s="1"/>
      <c r="B139" s="499"/>
      <c r="C139" s="499"/>
    </row>
    <row r="140" spans="1:3">
      <c r="A140" s="1"/>
      <c r="B140" s="499"/>
      <c r="C140" s="499"/>
    </row>
    <row r="141" spans="1:3">
      <c r="A141" s="1"/>
      <c r="B141" s="499"/>
      <c r="C141" s="499"/>
    </row>
    <row r="142" spans="1:3">
      <c r="A142" s="1"/>
      <c r="B142" s="499"/>
      <c r="C142" s="499"/>
    </row>
    <row r="143" spans="1:3">
      <c r="A143" s="1"/>
      <c r="B143" s="499"/>
      <c r="C143" s="499"/>
    </row>
    <row r="144" spans="1:3">
      <c r="A144" s="1"/>
      <c r="B144" s="499"/>
      <c r="C144" s="499"/>
    </row>
    <row r="145" spans="1:3">
      <c r="A145" s="1"/>
      <c r="B145" s="499"/>
      <c r="C145" s="499"/>
    </row>
    <row r="146" spans="1:3">
      <c r="A146" s="1"/>
      <c r="B146" s="499"/>
      <c r="C146" s="499"/>
    </row>
    <row r="147" spans="1:3">
      <c r="A147" s="1"/>
      <c r="B147" s="499"/>
      <c r="C147" s="499"/>
    </row>
    <row r="148" spans="1:3">
      <c r="A148" s="1"/>
      <c r="B148" s="499"/>
      <c r="C148" s="499"/>
    </row>
    <row r="149" spans="1:3">
      <c r="A149" s="1"/>
      <c r="B149" s="499"/>
      <c r="C149" s="499"/>
    </row>
    <row r="150" spans="1:3">
      <c r="A150" s="1"/>
      <c r="B150" s="499"/>
      <c r="C150" s="499"/>
    </row>
    <row r="151" spans="1:3">
      <c r="A151" s="1"/>
      <c r="B151" s="499"/>
      <c r="C151" s="499"/>
    </row>
    <row r="152" spans="1:3">
      <c r="A152" s="1"/>
      <c r="B152" s="499"/>
      <c r="C152" s="499"/>
    </row>
    <row r="153" spans="1:3">
      <c r="A153" s="1"/>
      <c r="B153" s="499"/>
      <c r="C153" s="499"/>
    </row>
    <row r="154" spans="1:3">
      <c r="A154" s="1"/>
      <c r="B154" s="499"/>
      <c r="C154" s="499"/>
    </row>
    <row r="155" spans="1:3">
      <c r="A155" s="1"/>
      <c r="B155" s="499"/>
      <c r="C155" s="499"/>
    </row>
    <row r="156" spans="1:3">
      <c r="A156" s="1"/>
      <c r="B156" s="499"/>
      <c r="C156" s="499"/>
    </row>
    <row r="157" spans="1:3">
      <c r="A157" s="1"/>
      <c r="B157" s="499"/>
      <c r="C157" s="499"/>
    </row>
    <row r="158" spans="1:3">
      <c r="A158" s="1"/>
      <c r="B158" s="499"/>
      <c r="C158" s="499"/>
    </row>
    <row r="159" spans="1:3">
      <c r="A159" s="1"/>
      <c r="B159" s="499"/>
      <c r="C159" s="499"/>
    </row>
    <row r="160" spans="1:3">
      <c r="A160" s="1"/>
      <c r="B160" s="499"/>
      <c r="C160" s="499"/>
    </row>
    <row r="161" spans="1:3">
      <c r="A161" s="1"/>
      <c r="B161" s="499"/>
      <c r="C161" s="499"/>
    </row>
    <row r="162" spans="1:3">
      <c r="A162" s="1"/>
      <c r="B162" s="499"/>
      <c r="C162" s="499"/>
    </row>
    <row r="163" spans="1:3">
      <c r="A163" s="1"/>
      <c r="B163" s="499"/>
      <c r="C163" s="499"/>
    </row>
    <row r="164" spans="1:3">
      <c r="A164" s="1"/>
      <c r="B164" s="499"/>
      <c r="C164" s="499"/>
    </row>
    <row r="165" spans="1:3">
      <c r="A165" s="1"/>
      <c r="B165" s="499"/>
      <c r="C165" s="499"/>
    </row>
    <row r="166" spans="1:3">
      <c r="A166" s="1"/>
      <c r="B166" s="499"/>
      <c r="C166" s="499"/>
    </row>
    <row r="167" spans="1:3">
      <c r="A167" s="1"/>
      <c r="B167" s="499"/>
      <c r="C167" s="499"/>
    </row>
    <row r="168" spans="1:3">
      <c r="A168" s="1"/>
      <c r="B168" s="499"/>
      <c r="C168" s="499"/>
    </row>
    <row r="169" spans="1:3">
      <c r="A169" s="1"/>
      <c r="B169" s="499"/>
      <c r="C169" s="499"/>
    </row>
    <row r="170" spans="1:3">
      <c r="A170" s="1"/>
      <c r="B170" s="499"/>
      <c r="C170" s="499"/>
    </row>
    <row r="171" spans="1:3">
      <c r="A171" s="1"/>
      <c r="B171" s="499"/>
      <c r="C171" s="499"/>
    </row>
    <row r="172" spans="1:3">
      <c r="A172" s="1"/>
      <c r="B172" s="499"/>
      <c r="C172" s="499"/>
    </row>
    <row r="173" spans="1:3">
      <c r="A173" s="1"/>
      <c r="B173" s="499"/>
      <c r="C173" s="499"/>
    </row>
    <row r="174" spans="1:3">
      <c r="A174" s="1"/>
      <c r="B174" s="499"/>
      <c r="C174" s="499"/>
    </row>
    <row r="175" spans="1:3">
      <c r="A175" s="1"/>
      <c r="B175" s="499"/>
      <c r="C175" s="499"/>
    </row>
    <row r="176" spans="1:3">
      <c r="A176" s="1"/>
      <c r="B176" s="499"/>
      <c r="C176" s="499"/>
    </row>
    <row r="177" spans="1:3">
      <c r="A177" s="1"/>
      <c r="B177" s="499"/>
      <c r="C177" s="499"/>
    </row>
    <row r="178" spans="1:3">
      <c r="A178" s="1"/>
      <c r="B178" s="499"/>
      <c r="C178" s="499"/>
    </row>
    <row r="179" spans="1:3">
      <c r="A179" s="1"/>
      <c r="B179" s="499"/>
      <c r="C179" s="499"/>
    </row>
    <row r="180" spans="1:3">
      <c r="A180" s="1"/>
      <c r="B180" s="499"/>
      <c r="C180" s="499"/>
    </row>
    <row r="181" spans="1:3">
      <c r="A181" s="1"/>
      <c r="B181" s="499"/>
      <c r="C181" s="499"/>
    </row>
    <row r="182" spans="1:3">
      <c r="A182" s="1"/>
      <c r="B182" s="499"/>
      <c r="C182" s="499"/>
    </row>
    <row r="183" spans="1:3">
      <c r="A183" s="1"/>
      <c r="B183" s="499"/>
      <c r="C183" s="499"/>
    </row>
    <row r="184" spans="1:3">
      <c r="A184" s="1"/>
      <c r="B184" s="499"/>
      <c r="C184" s="499"/>
    </row>
    <row r="185" spans="1:3">
      <c r="A185" s="1"/>
      <c r="B185" s="499"/>
      <c r="C185" s="499"/>
    </row>
    <row r="186" spans="1:3">
      <c r="A186" s="1"/>
      <c r="B186" s="499"/>
      <c r="C186" s="499"/>
    </row>
    <row r="187" spans="1:3">
      <c r="A187" s="1"/>
      <c r="B187" s="499"/>
      <c r="C187" s="499"/>
    </row>
    <row r="188" spans="1:3">
      <c r="A188" s="1"/>
      <c r="B188" s="499"/>
      <c r="C188" s="499"/>
    </row>
    <row r="189" spans="1:3">
      <c r="A189" s="1"/>
      <c r="B189" s="499"/>
      <c r="C189" s="499"/>
    </row>
    <row r="190" spans="1:3">
      <c r="A190" s="1"/>
      <c r="B190" s="499"/>
      <c r="C190" s="499"/>
    </row>
    <row r="191" spans="1:3">
      <c r="A191" s="1"/>
      <c r="B191" s="499"/>
      <c r="C191" s="499"/>
    </row>
    <row r="192" spans="1:3">
      <c r="A192" s="1"/>
      <c r="B192" s="499"/>
      <c r="C192" s="499"/>
    </row>
    <row r="193" spans="1:3">
      <c r="A193" s="1"/>
      <c r="B193" s="499"/>
      <c r="C193" s="499"/>
    </row>
    <row r="194" spans="1:3">
      <c r="A194" s="1"/>
      <c r="B194" s="499"/>
      <c r="C194" s="499"/>
    </row>
    <row r="195" spans="1:3">
      <c r="A195" s="1"/>
      <c r="B195" s="499"/>
      <c r="C195" s="499"/>
    </row>
    <row r="196" spans="1:3">
      <c r="A196" s="1"/>
      <c r="B196" s="499"/>
      <c r="C196" s="499"/>
    </row>
    <row r="197" spans="1:3">
      <c r="A197" s="1"/>
      <c r="B197" s="499"/>
      <c r="C197" s="499"/>
    </row>
    <row r="198" spans="1:3">
      <c r="A198" s="1"/>
      <c r="B198" s="499"/>
      <c r="C198" s="499"/>
    </row>
    <row r="199" spans="1:3">
      <c r="A199" s="1"/>
      <c r="B199" s="499"/>
      <c r="C199" s="499"/>
    </row>
    <row r="200" spans="1:3">
      <c r="A200" s="1"/>
      <c r="B200" s="499"/>
      <c r="C200" s="499"/>
    </row>
    <row r="201" spans="1:3">
      <c r="A201" s="1"/>
      <c r="B201" s="499"/>
      <c r="C201" s="499"/>
    </row>
    <row r="202" spans="1:3">
      <c r="A202" s="1"/>
      <c r="B202" s="499"/>
      <c r="C202" s="499"/>
    </row>
    <row r="203" spans="1:3">
      <c r="A203" s="1"/>
      <c r="B203" s="499"/>
      <c r="C203" s="499"/>
    </row>
    <row r="204" spans="1:3">
      <c r="A204" s="1"/>
      <c r="B204" s="499"/>
      <c r="C204" s="499"/>
    </row>
    <row r="205" spans="1:3">
      <c r="A205" s="1"/>
      <c r="B205" s="499"/>
      <c r="C205" s="499"/>
    </row>
    <row r="206" spans="1:3">
      <c r="A206" s="1"/>
      <c r="B206" s="499"/>
      <c r="C206" s="499"/>
    </row>
    <row r="207" spans="1:3">
      <c r="A207" s="1"/>
      <c r="B207" s="499"/>
      <c r="C207" s="499"/>
    </row>
    <row r="208" spans="1:3">
      <c r="A208" s="1"/>
      <c r="B208" s="499"/>
      <c r="C208" s="499"/>
    </row>
    <row r="209" spans="1:3">
      <c r="A209" s="1"/>
      <c r="B209" s="499"/>
      <c r="C209" s="499"/>
    </row>
    <row r="210" spans="1:3">
      <c r="A210" s="1"/>
      <c r="B210" s="499"/>
      <c r="C210" s="499"/>
    </row>
    <row r="211" spans="1:3">
      <c r="A211" s="1"/>
      <c r="B211" s="499"/>
      <c r="C211" s="499"/>
    </row>
    <row r="212" spans="1:3">
      <c r="A212" s="1"/>
      <c r="B212" s="499"/>
      <c r="C212" s="499"/>
    </row>
    <row r="213" spans="1:3">
      <c r="A213" s="1"/>
      <c r="B213" s="499"/>
      <c r="C213" s="499"/>
    </row>
    <row r="214" spans="1:3">
      <c r="A214" s="1"/>
      <c r="B214" s="499"/>
      <c r="C214" s="499"/>
    </row>
    <row r="215" spans="1:3">
      <c r="A215" s="1"/>
      <c r="B215" s="499"/>
      <c r="C215" s="499"/>
    </row>
    <row r="216" spans="1:3">
      <c r="A216" s="1"/>
      <c r="B216" s="499"/>
      <c r="C216" s="499"/>
    </row>
    <row r="217" spans="1:3">
      <c r="A217" s="1"/>
      <c r="B217" s="499"/>
      <c r="C217" s="499"/>
    </row>
    <row r="218" spans="1:3">
      <c r="A218" s="1"/>
      <c r="B218" s="499"/>
      <c r="C218" s="499"/>
    </row>
    <row r="219" spans="1:3">
      <c r="A219" s="1"/>
      <c r="B219" s="499"/>
      <c r="C219" s="499"/>
    </row>
    <row r="220" spans="1:3">
      <c r="A220" s="1"/>
      <c r="B220" s="499"/>
      <c r="C220" s="499"/>
    </row>
    <row r="221" spans="1:3">
      <c r="A221" s="1"/>
      <c r="B221" s="499"/>
      <c r="C221" s="499"/>
    </row>
    <row r="222" spans="1:3">
      <c r="A222" s="1"/>
      <c r="B222" s="499"/>
      <c r="C222" s="499"/>
    </row>
    <row r="223" spans="1:3">
      <c r="A223" s="1"/>
      <c r="B223" s="499"/>
      <c r="C223" s="499"/>
    </row>
    <row r="224" spans="1:3">
      <c r="A224" s="1"/>
      <c r="B224" s="499"/>
      <c r="C224" s="499"/>
    </row>
    <row r="225" spans="1:3">
      <c r="A225" s="1"/>
      <c r="B225" s="499"/>
      <c r="C225" s="499"/>
    </row>
    <row r="226" spans="1:3">
      <c r="A226" s="1"/>
      <c r="B226" s="499"/>
      <c r="C226" s="499"/>
    </row>
    <row r="227" spans="1:3">
      <c r="A227" s="1"/>
      <c r="B227" s="499"/>
      <c r="C227" s="499"/>
    </row>
    <row r="228" spans="1:3">
      <c r="A228" s="1"/>
      <c r="B228" s="499"/>
      <c r="C228" s="499"/>
    </row>
    <row r="229" spans="1:3">
      <c r="A229" s="1"/>
      <c r="B229" s="499"/>
      <c r="C229" s="499"/>
    </row>
    <row r="230" spans="1:3">
      <c r="A230" s="1"/>
      <c r="B230" s="499"/>
      <c r="C230" s="499"/>
    </row>
    <row r="231" spans="1:3">
      <c r="A231" s="1"/>
      <c r="B231" s="499"/>
      <c r="C231" s="499"/>
    </row>
    <row r="232" spans="1:3">
      <c r="A232" s="1"/>
      <c r="B232" s="499"/>
      <c r="C232" s="499"/>
    </row>
    <row r="233" spans="1:3">
      <c r="A233" s="1"/>
      <c r="B233" s="499"/>
      <c r="C233" s="499"/>
    </row>
    <row r="234" spans="1:3">
      <c r="A234" s="1"/>
      <c r="B234" s="499"/>
      <c r="C234" s="499"/>
    </row>
    <row r="235" spans="1:3">
      <c r="A235" s="1"/>
      <c r="B235" s="499"/>
      <c r="C235" s="499"/>
    </row>
    <row r="236" spans="1:3">
      <c r="A236" s="1"/>
      <c r="B236" s="499"/>
      <c r="C236" s="499"/>
    </row>
    <row r="237" spans="1:3">
      <c r="A237" s="1"/>
      <c r="B237" s="499"/>
      <c r="C237" s="499"/>
    </row>
    <row r="238" spans="1:3">
      <c r="A238" s="1"/>
      <c r="B238" s="499"/>
      <c r="C238" s="499"/>
    </row>
    <row r="239" spans="1:3">
      <c r="A239" s="1"/>
      <c r="B239" s="499"/>
      <c r="C239" s="499"/>
    </row>
    <row r="240" spans="1:3">
      <c r="A240" s="1"/>
      <c r="B240" s="499"/>
      <c r="C240" s="499"/>
    </row>
    <row r="241" spans="1:3">
      <c r="A241" s="1"/>
      <c r="B241" s="499"/>
      <c r="C241" s="499"/>
    </row>
    <row r="242" spans="1:3">
      <c r="A242" s="1"/>
      <c r="B242" s="499"/>
      <c r="C242" s="499"/>
    </row>
    <row r="243" spans="1:3">
      <c r="A243" s="1"/>
      <c r="B243" s="499"/>
      <c r="C243" s="499"/>
    </row>
    <row r="244" spans="1:3">
      <c r="A244" s="1"/>
      <c r="B244" s="499"/>
      <c r="C244" s="499"/>
    </row>
    <row r="245" spans="1:3">
      <c r="A245" s="1"/>
      <c r="B245" s="499"/>
      <c r="C245" s="499"/>
    </row>
    <row r="246" spans="1:3">
      <c r="A246" s="1"/>
      <c r="B246" s="499"/>
      <c r="C246" s="499"/>
    </row>
    <row r="247" spans="1:3">
      <c r="A247" s="1"/>
      <c r="B247" s="499"/>
      <c r="C247" s="499"/>
    </row>
    <row r="248" spans="1:3">
      <c r="A248" s="1"/>
      <c r="B248" s="499"/>
      <c r="C248" s="499"/>
    </row>
    <row r="249" spans="1:3">
      <c r="A249" s="1"/>
      <c r="B249" s="499"/>
      <c r="C249" s="499"/>
    </row>
    <row r="250" spans="1:3">
      <c r="A250" s="1"/>
      <c r="B250" s="499"/>
      <c r="C250" s="499"/>
    </row>
    <row r="251" spans="1:3">
      <c r="A251" s="1"/>
      <c r="B251" s="499"/>
      <c r="C251" s="499"/>
    </row>
    <row r="252" spans="1:3">
      <c r="A252" s="1"/>
      <c r="B252" s="499"/>
      <c r="C252" s="499"/>
    </row>
    <row r="253" spans="1:3">
      <c r="A253" s="1"/>
      <c r="B253" s="499"/>
      <c r="C253" s="499"/>
    </row>
    <row r="254" spans="1:3">
      <c r="A254" s="1"/>
      <c r="B254" s="499"/>
      <c r="C254" s="499"/>
    </row>
    <row r="255" spans="1:3">
      <c r="A255" s="1"/>
      <c r="B255" s="499"/>
      <c r="C255" s="499"/>
    </row>
    <row r="256" spans="1:3">
      <c r="A256" s="1"/>
      <c r="B256" s="499"/>
      <c r="C256" s="499"/>
    </row>
    <row r="257" spans="1:3">
      <c r="A257" s="1"/>
      <c r="B257" s="499"/>
      <c r="C257" s="499"/>
    </row>
    <row r="258" spans="1:3">
      <c r="A258" s="1"/>
      <c r="B258" s="499"/>
      <c r="C258" s="499"/>
    </row>
    <row r="259" spans="1:3">
      <c r="A259" s="1"/>
      <c r="B259" s="499"/>
      <c r="C259" s="499"/>
    </row>
    <row r="260" spans="1:3">
      <c r="A260" s="1"/>
      <c r="B260" s="499"/>
      <c r="C260" s="499"/>
    </row>
    <row r="261" spans="1:3">
      <c r="A261" s="1"/>
      <c r="B261" s="499"/>
      <c r="C261" s="499"/>
    </row>
    <row r="262" spans="1:3">
      <c r="A262" s="1"/>
      <c r="B262" s="499"/>
      <c r="C262" s="499"/>
    </row>
    <row r="263" spans="1:3">
      <c r="A263" s="1"/>
      <c r="B263" s="499"/>
      <c r="C263" s="499"/>
    </row>
    <row r="264" spans="1:3">
      <c r="A264" s="1"/>
      <c r="B264" s="499"/>
      <c r="C264" s="499"/>
    </row>
    <row r="265" spans="1:3">
      <c r="A265" s="1"/>
      <c r="B265" s="499"/>
      <c r="C265" s="499"/>
    </row>
    <row r="266" spans="1:3">
      <c r="A266" s="1"/>
      <c r="B266" s="499"/>
      <c r="C266" s="499"/>
    </row>
    <row r="267" spans="1:3">
      <c r="A267" s="1"/>
      <c r="B267" s="499"/>
      <c r="C267" s="499"/>
    </row>
    <row r="268" spans="1:3">
      <c r="A268" s="1"/>
      <c r="B268" s="499"/>
      <c r="C268" s="499"/>
    </row>
    <row r="269" spans="1:3">
      <c r="A269" s="1"/>
      <c r="B269" s="499"/>
      <c r="C269" s="499"/>
    </row>
    <row r="270" spans="1:3">
      <c r="A270" s="1"/>
      <c r="B270" s="499"/>
      <c r="C270" s="499"/>
    </row>
    <row r="271" spans="1:3">
      <c r="A271" s="1"/>
      <c r="B271" s="499"/>
      <c r="C271" s="499"/>
    </row>
    <row r="272" spans="1:3">
      <c r="A272" s="1"/>
      <c r="B272" s="499"/>
      <c r="C272" s="499"/>
    </row>
    <row r="273" spans="1:3">
      <c r="A273" s="1"/>
      <c r="B273" s="499"/>
      <c r="C273" s="499"/>
    </row>
    <row r="274" spans="1:3">
      <c r="A274" s="1"/>
      <c r="B274" s="499"/>
      <c r="C274" s="499"/>
    </row>
    <row r="275" spans="1:3">
      <c r="A275" s="1"/>
      <c r="B275" s="499"/>
      <c r="C275" s="499"/>
    </row>
    <row r="276" spans="1:3">
      <c r="A276" s="1"/>
      <c r="B276" s="499"/>
      <c r="C276" s="499"/>
    </row>
    <row r="277" spans="1:3">
      <c r="A277" s="1"/>
      <c r="B277" s="499"/>
      <c r="C277" s="499"/>
    </row>
    <row r="278" spans="1:3">
      <c r="A278" s="1"/>
      <c r="B278" s="499"/>
      <c r="C278" s="499"/>
    </row>
    <row r="279" spans="1:3">
      <c r="A279" s="1"/>
      <c r="B279" s="499"/>
      <c r="C279" s="499"/>
    </row>
    <row r="280" spans="1:3">
      <c r="A280" s="1"/>
      <c r="B280" s="499"/>
      <c r="C280" s="499"/>
    </row>
    <row r="281" spans="1:3">
      <c r="A281" s="1"/>
      <c r="B281" s="499"/>
      <c r="C281" s="499"/>
    </row>
    <row r="282" spans="1:3">
      <c r="A282" s="1"/>
      <c r="B282" s="499"/>
      <c r="C282" s="499"/>
    </row>
    <row r="283" spans="1:3">
      <c r="A283" s="1"/>
      <c r="B283" s="499"/>
      <c r="C283" s="499"/>
    </row>
    <row r="284" spans="1:3">
      <c r="A284" s="1"/>
      <c r="B284" s="499"/>
      <c r="C284" s="499"/>
    </row>
    <row r="285" spans="1:3">
      <c r="A285" s="1"/>
      <c r="B285" s="499"/>
      <c r="C285" s="499"/>
    </row>
    <row r="286" spans="1:3">
      <c r="A286" s="1"/>
      <c r="B286" s="499"/>
      <c r="C286" s="499"/>
    </row>
    <row r="287" spans="1:3">
      <c r="A287" s="1"/>
      <c r="B287" s="499"/>
      <c r="C287" s="499"/>
    </row>
    <row r="288" spans="1:3">
      <c r="A288" s="1"/>
      <c r="B288" s="499"/>
      <c r="C288" s="499"/>
    </row>
    <row r="289" spans="1:3">
      <c r="A289" s="1"/>
      <c r="B289" s="499"/>
      <c r="C289" s="499"/>
    </row>
    <row r="290" spans="1:3">
      <c r="A290" s="1"/>
      <c r="B290" s="499"/>
      <c r="C290" s="499"/>
    </row>
    <row r="291" spans="1:3">
      <c r="A291" s="1"/>
      <c r="B291" s="499"/>
      <c r="C291" s="499"/>
    </row>
    <row r="292" spans="1:3">
      <c r="A292" s="1"/>
      <c r="B292" s="499"/>
      <c r="C292" s="499"/>
    </row>
    <row r="293" spans="1:3">
      <c r="A293" s="1"/>
      <c r="B293" s="499"/>
      <c r="C293" s="499"/>
    </row>
    <row r="294" spans="1:3">
      <c r="A294" s="1"/>
      <c r="B294" s="499"/>
      <c r="C294" s="499"/>
    </row>
    <row r="295" spans="1:3">
      <c r="A295" s="1"/>
      <c r="B295" s="499"/>
      <c r="C295" s="499"/>
    </row>
    <row r="296" spans="1:3">
      <c r="A296" s="1"/>
      <c r="B296" s="499"/>
      <c r="C296" s="499"/>
    </row>
    <row r="297" spans="1:3">
      <c r="A297" s="1"/>
      <c r="B297" s="499"/>
      <c r="C297" s="499"/>
    </row>
    <row r="298" spans="1:3">
      <c r="A298" s="1"/>
      <c r="B298" s="499"/>
      <c r="C298" s="499"/>
    </row>
    <row r="299" spans="1:3">
      <c r="A299" s="1"/>
      <c r="B299" s="499"/>
      <c r="C299" s="499"/>
    </row>
    <row r="300" spans="1:3">
      <c r="A300" s="1"/>
      <c r="B300" s="499"/>
      <c r="C300" s="499"/>
    </row>
    <row r="301" spans="1:3">
      <c r="A301" s="1"/>
      <c r="B301" s="499"/>
      <c r="C301" s="499"/>
    </row>
    <row r="302" spans="1:3">
      <c r="A302" s="1"/>
      <c r="B302" s="499"/>
      <c r="C302" s="499"/>
    </row>
    <row r="303" spans="1:3">
      <c r="A303" s="1"/>
      <c r="B303" s="499"/>
      <c r="C303" s="499"/>
    </row>
    <row r="304" spans="1:3">
      <c r="A304" s="1"/>
      <c r="B304" s="499"/>
      <c r="C304" s="499"/>
    </row>
    <row r="305" spans="1:3">
      <c r="A305" s="1"/>
      <c r="B305" s="499"/>
      <c r="C305" s="499"/>
    </row>
    <row r="306" spans="1:3">
      <c r="A306" s="1"/>
      <c r="B306" s="499"/>
      <c r="C306" s="499"/>
    </row>
    <row r="307" spans="1:3">
      <c r="A307" s="1"/>
      <c r="B307" s="499"/>
      <c r="C307" s="499"/>
    </row>
    <row r="308" spans="1:3">
      <c r="A308" s="1"/>
      <c r="B308" s="499"/>
      <c r="C308" s="499"/>
    </row>
    <row r="309" spans="1:3">
      <c r="A309" s="1"/>
      <c r="B309" s="499"/>
      <c r="C309" s="499"/>
    </row>
    <row r="310" spans="1:3">
      <c r="A310" s="1"/>
      <c r="B310" s="499"/>
      <c r="C310" s="499"/>
    </row>
    <row r="311" spans="1:3">
      <c r="A311" s="1"/>
      <c r="B311" s="499"/>
      <c r="C311" s="499"/>
    </row>
    <row r="312" spans="1:3">
      <c r="A312" s="1"/>
      <c r="B312" s="499"/>
      <c r="C312" s="499"/>
    </row>
    <row r="313" spans="1:3">
      <c r="A313" s="1"/>
      <c r="B313" s="499"/>
      <c r="C313" s="499"/>
    </row>
    <row r="314" spans="1:3">
      <c r="A314" s="1"/>
      <c r="B314" s="499"/>
      <c r="C314" s="499"/>
    </row>
    <row r="315" spans="1:3">
      <c r="A315" s="1"/>
      <c r="B315" s="499"/>
      <c r="C315" s="499"/>
    </row>
    <row r="316" spans="1:3">
      <c r="A316" s="1"/>
      <c r="B316" s="499"/>
      <c r="C316" s="499"/>
    </row>
    <row r="317" spans="1:3">
      <c r="A317" s="1"/>
      <c r="B317" s="499"/>
      <c r="C317" s="499"/>
    </row>
    <row r="318" spans="1:3">
      <c r="A318" s="1"/>
      <c r="B318" s="499"/>
      <c r="C318" s="499"/>
    </row>
    <row r="319" spans="1:3">
      <c r="A319" s="1"/>
      <c r="B319" s="499"/>
      <c r="C319" s="499"/>
    </row>
    <row r="320" spans="1:3">
      <c r="A320" s="1"/>
      <c r="B320" s="499"/>
      <c r="C320" s="499"/>
    </row>
    <row r="321" spans="1:3">
      <c r="A321" s="1"/>
      <c r="B321" s="499"/>
      <c r="C321" s="499"/>
    </row>
    <row r="322" spans="1:3">
      <c r="A322" s="1"/>
      <c r="B322" s="499"/>
      <c r="C322" s="499"/>
    </row>
    <row r="323" spans="1:3">
      <c r="A323" s="1"/>
      <c r="B323" s="499"/>
      <c r="C323" s="499"/>
    </row>
    <row r="324" spans="1:3">
      <c r="A324" s="1"/>
      <c r="B324" s="499"/>
      <c r="C324" s="499"/>
    </row>
    <row r="325" spans="1:3">
      <c r="A325" s="1"/>
      <c r="B325" s="499"/>
      <c r="C325" s="499"/>
    </row>
    <row r="326" spans="1:3">
      <c r="A326" s="1"/>
      <c r="B326" s="499"/>
      <c r="C326" s="499"/>
    </row>
    <row r="327" spans="1:3">
      <c r="A327" s="1"/>
      <c r="B327" s="499"/>
      <c r="C327" s="499"/>
    </row>
    <row r="328" spans="1:3">
      <c r="A328" s="1"/>
      <c r="B328" s="499"/>
      <c r="C328" s="499"/>
    </row>
    <row r="329" spans="1:3">
      <c r="A329" s="1"/>
      <c r="B329" s="499"/>
      <c r="C329" s="499"/>
    </row>
    <row r="330" spans="1:3">
      <c r="A330" s="1"/>
      <c r="B330" s="499"/>
      <c r="C330" s="499"/>
    </row>
    <row r="331" spans="1:3">
      <c r="A331" s="1"/>
      <c r="B331" s="499"/>
      <c r="C331" s="499"/>
    </row>
    <row r="332" spans="1:3">
      <c r="A332" s="1"/>
      <c r="B332" s="499"/>
      <c r="C332" s="499"/>
    </row>
    <row r="333" spans="1:3">
      <c r="A333" s="1"/>
      <c r="B333" s="499"/>
      <c r="C333" s="499"/>
    </row>
    <row r="334" spans="1:3">
      <c r="A334" s="1"/>
      <c r="B334" s="499"/>
      <c r="C334" s="499"/>
    </row>
    <row r="335" spans="1:3">
      <c r="A335" s="1"/>
      <c r="B335" s="499"/>
      <c r="C335" s="499"/>
    </row>
    <row r="336" spans="1:3">
      <c r="A336" s="1"/>
      <c r="B336" s="499"/>
      <c r="C336" s="499"/>
    </row>
    <row r="337" spans="1:3">
      <c r="A337" s="1"/>
      <c r="B337" s="499"/>
      <c r="C337" s="499"/>
    </row>
    <row r="338" spans="1:3">
      <c r="A338" s="1"/>
      <c r="B338" s="499"/>
      <c r="C338" s="499"/>
    </row>
    <row r="339" spans="1:3">
      <c r="A339" s="1"/>
      <c r="B339" s="499"/>
      <c r="C339" s="499"/>
    </row>
    <row r="340" spans="1:3">
      <c r="A340" s="1"/>
      <c r="B340" s="499"/>
      <c r="C340" s="499"/>
    </row>
    <row r="341" spans="1:3">
      <c r="A341" s="1"/>
      <c r="B341" s="499"/>
      <c r="C341" s="499"/>
    </row>
    <row r="342" spans="1:3">
      <c r="A342" s="1"/>
      <c r="B342" s="499"/>
      <c r="C342" s="499"/>
    </row>
    <row r="343" spans="1:3">
      <c r="A343" s="1"/>
      <c r="B343" s="499"/>
      <c r="C343" s="499"/>
    </row>
    <row r="344" spans="1:3">
      <c r="A344" s="1"/>
      <c r="B344" s="499"/>
      <c r="C344" s="499"/>
    </row>
    <row r="345" spans="1:3">
      <c r="A345" s="1"/>
      <c r="B345" s="499"/>
      <c r="C345" s="499"/>
    </row>
    <row r="346" spans="1:3">
      <c r="A346" s="1"/>
      <c r="B346" s="499"/>
      <c r="C346" s="499"/>
    </row>
    <row r="347" spans="1:3">
      <c r="A347" s="1"/>
      <c r="B347" s="499"/>
      <c r="C347" s="499"/>
    </row>
    <row r="348" spans="1:3">
      <c r="A348" s="1"/>
      <c r="B348" s="499"/>
      <c r="C348" s="499"/>
    </row>
    <row r="349" spans="1:3">
      <c r="A349" s="1"/>
      <c r="B349" s="499"/>
      <c r="C349" s="499"/>
    </row>
    <row r="350" spans="1:3">
      <c r="A350" s="1"/>
      <c r="B350" s="499"/>
      <c r="C350" s="499"/>
    </row>
    <row r="351" spans="1:3">
      <c r="A351" s="1"/>
      <c r="B351" s="499"/>
      <c r="C351" s="499"/>
    </row>
    <row r="352" spans="1:3">
      <c r="A352" s="1"/>
      <c r="B352" s="499"/>
      <c r="C352" s="499"/>
    </row>
    <row r="353" spans="1:3">
      <c r="A353" s="1"/>
      <c r="B353" s="499"/>
      <c r="C353" s="499"/>
    </row>
    <row r="354" spans="1:3">
      <c r="A354" s="1"/>
      <c r="B354" s="499"/>
      <c r="C354" s="499"/>
    </row>
    <row r="355" spans="1:3">
      <c r="A355" s="1"/>
      <c r="B355" s="499"/>
      <c r="C355" s="499"/>
    </row>
    <row r="356" spans="1:3">
      <c r="A356" s="1"/>
      <c r="B356" s="499"/>
      <c r="C356" s="499"/>
    </row>
    <row r="357" spans="1:3">
      <c r="A357" s="1"/>
      <c r="B357" s="499"/>
      <c r="C357" s="499"/>
    </row>
    <row r="358" spans="1:3">
      <c r="A358" s="1"/>
      <c r="B358" s="499"/>
      <c r="C358" s="499"/>
    </row>
    <row r="359" spans="1:3">
      <c r="A359" s="1"/>
      <c r="B359" s="499"/>
      <c r="C359" s="499"/>
    </row>
    <row r="360" spans="1:3">
      <c r="A360" s="1"/>
      <c r="B360" s="499"/>
      <c r="C360" s="499"/>
    </row>
    <row r="361" spans="1:3">
      <c r="A361" s="1"/>
      <c r="B361" s="499"/>
      <c r="C361" s="499"/>
    </row>
    <row r="362" spans="1:3">
      <c r="A362" s="1"/>
      <c r="B362" s="499"/>
      <c r="C362" s="499"/>
    </row>
    <row r="363" spans="1:3">
      <c r="A363" s="1"/>
      <c r="B363" s="499"/>
      <c r="C363" s="499"/>
    </row>
    <row r="364" spans="1:3">
      <c r="A364" s="1"/>
      <c r="B364" s="499"/>
      <c r="C364" s="499"/>
    </row>
    <row r="365" spans="1:3">
      <c r="A365" s="1"/>
      <c r="B365" s="499"/>
      <c r="C365" s="499"/>
    </row>
    <row r="366" spans="1:3">
      <c r="A366" s="1"/>
      <c r="B366" s="499"/>
      <c r="C366" s="499"/>
    </row>
    <row r="367" spans="1:3">
      <c r="A367" s="1"/>
      <c r="B367" s="499"/>
      <c r="C367" s="499"/>
    </row>
    <row r="368" spans="1:3">
      <c r="A368" s="1"/>
      <c r="B368" s="499"/>
      <c r="C368" s="499"/>
    </row>
    <row r="369" spans="1:3">
      <c r="A369" s="1"/>
      <c r="B369" s="499"/>
      <c r="C369" s="499"/>
    </row>
    <row r="370" spans="1:3">
      <c r="A370" s="1"/>
      <c r="B370" s="499"/>
      <c r="C370" s="499"/>
    </row>
    <row r="371" spans="1:3">
      <c r="A371" s="1"/>
      <c r="B371" s="499"/>
      <c r="C371" s="499"/>
    </row>
    <row r="372" spans="1:3">
      <c r="A372" s="1"/>
      <c r="B372" s="499"/>
      <c r="C372" s="499"/>
    </row>
    <row r="373" spans="1:3">
      <c r="A373" s="1"/>
      <c r="B373" s="499"/>
      <c r="C373" s="499"/>
    </row>
    <row r="374" spans="1:3">
      <c r="A374" s="1"/>
      <c r="B374" s="499"/>
      <c r="C374" s="499"/>
    </row>
    <row r="375" spans="1:3">
      <c r="A375" s="1"/>
      <c r="B375" s="499"/>
      <c r="C375" s="499"/>
    </row>
    <row r="376" spans="1:3">
      <c r="A376" s="1"/>
      <c r="B376" s="499"/>
      <c r="C376" s="499"/>
    </row>
    <row r="377" spans="1:3">
      <c r="A377" s="1"/>
      <c r="B377" s="499"/>
      <c r="C377" s="499"/>
    </row>
    <row r="378" spans="1:3">
      <c r="A378" s="1"/>
      <c r="B378" s="499"/>
      <c r="C378" s="499"/>
    </row>
    <row r="379" spans="1:3">
      <c r="A379" s="1"/>
      <c r="B379" s="499"/>
      <c r="C379" s="499"/>
    </row>
    <row r="380" spans="1:3">
      <c r="A380" s="1"/>
      <c r="B380" s="499"/>
      <c r="C380" s="499"/>
    </row>
    <row r="381" spans="1:3">
      <c r="A381" s="1"/>
      <c r="B381" s="499"/>
      <c r="C381" s="499"/>
    </row>
    <row r="382" spans="1:3">
      <c r="A382" s="1"/>
      <c r="B382" s="499"/>
      <c r="C382" s="499"/>
    </row>
    <row r="383" spans="1:3">
      <c r="A383" s="1"/>
      <c r="B383" s="499"/>
      <c r="C383" s="499"/>
    </row>
    <row r="384" spans="1:3">
      <c r="A384" s="1"/>
      <c r="B384" s="499"/>
      <c r="C384" s="499"/>
    </row>
    <row r="385" spans="1:3">
      <c r="A385" s="1"/>
      <c r="B385" s="499"/>
      <c r="C385" s="499"/>
    </row>
    <row r="386" spans="1:3">
      <c r="A386" s="1"/>
      <c r="B386" s="499"/>
      <c r="C386" s="499"/>
    </row>
    <row r="387" spans="1:3">
      <c r="A387" s="1"/>
      <c r="B387" s="499"/>
      <c r="C387" s="499"/>
    </row>
    <row r="388" spans="1:3">
      <c r="A388" s="1"/>
      <c r="B388" s="499"/>
      <c r="C388" s="499"/>
    </row>
    <row r="389" spans="1:3">
      <c r="A389" s="1"/>
      <c r="B389" s="499"/>
      <c r="C389" s="499"/>
    </row>
    <row r="390" spans="1:3">
      <c r="A390" s="1"/>
      <c r="B390" s="499"/>
      <c r="C390" s="499"/>
    </row>
    <row r="391" spans="1:3">
      <c r="A391" s="1"/>
      <c r="B391" s="499"/>
      <c r="C391" s="499"/>
    </row>
    <row r="392" spans="1:3">
      <c r="A392" s="1"/>
      <c r="B392" s="499"/>
      <c r="C392" s="499"/>
    </row>
    <row r="393" spans="1:3">
      <c r="A393" s="1"/>
      <c r="B393" s="499"/>
      <c r="C393" s="499"/>
    </row>
    <row r="394" spans="1:3">
      <c r="A394" s="1"/>
      <c r="B394" s="499"/>
      <c r="C394" s="499"/>
    </row>
    <row r="395" spans="1:3">
      <c r="A395" s="1"/>
      <c r="B395" s="499"/>
      <c r="C395" s="499"/>
    </row>
    <row r="396" spans="1:3">
      <c r="A396" s="1"/>
      <c r="B396" s="499"/>
      <c r="C396" s="499"/>
    </row>
    <row r="397" spans="1:3">
      <c r="A397" s="1"/>
      <c r="B397" s="499"/>
      <c r="C397" s="499"/>
    </row>
    <row r="398" spans="1:3">
      <c r="A398" s="1"/>
      <c r="B398" s="499"/>
      <c r="C398" s="499"/>
    </row>
    <row r="399" spans="1:3">
      <c r="A399" s="1"/>
      <c r="B399" s="499"/>
      <c r="C399" s="499"/>
    </row>
    <row r="400" spans="1:3">
      <c r="A400" s="1"/>
      <c r="B400" s="499"/>
      <c r="C400" s="499"/>
    </row>
    <row r="401" spans="1:3">
      <c r="A401" s="1"/>
      <c r="B401" s="499"/>
      <c r="C401" s="499"/>
    </row>
    <row r="402" spans="1:3">
      <c r="A402" s="1"/>
      <c r="B402" s="499"/>
      <c r="C402" s="499"/>
    </row>
    <row r="403" spans="1:3">
      <c r="A403" s="1"/>
      <c r="B403" s="499"/>
      <c r="C403" s="499"/>
    </row>
    <row r="404" spans="1:3">
      <c r="A404" s="1"/>
      <c r="B404" s="499"/>
      <c r="C404" s="499"/>
    </row>
    <row r="405" spans="1:3">
      <c r="A405" s="1"/>
      <c r="B405" s="499"/>
      <c r="C405" s="499"/>
    </row>
    <row r="406" spans="1:3">
      <c r="A406" s="1"/>
      <c r="B406" s="499"/>
      <c r="C406" s="499"/>
    </row>
    <row r="407" spans="1:3">
      <c r="A407" s="1"/>
      <c r="B407" s="499"/>
      <c r="C407" s="499"/>
    </row>
    <row r="408" spans="1:3">
      <c r="A408" s="1"/>
      <c r="B408" s="499"/>
      <c r="C408" s="499"/>
    </row>
    <row r="409" spans="1:3">
      <c r="A409" s="1"/>
      <c r="B409" s="499"/>
      <c r="C409" s="499"/>
    </row>
    <row r="410" spans="1:3">
      <c r="A410" s="1"/>
      <c r="B410" s="499"/>
      <c r="C410" s="499"/>
    </row>
    <row r="411" spans="1:3">
      <c r="A411" s="1"/>
      <c r="B411" s="499"/>
      <c r="C411" s="499"/>
    </row>
    <row r="412" spans="1:3">
      <c r="A412" s="1"/>
      <c r="B412" s="499"/>
      <c r="C412" s="499"/>
    </row>
    <row r="413" spans="1:3">
      <c r="A413" s="1"/>
      <c r="B413" s="499"/>
      <c r="C413" s="499"/>
    </row>
    <row r="414" spans="1:3">
      <c r="A414" s="1"/>
      <c r="B414" s="499"/>
      <c r="C414" s="499"/>
    </row>
    <row r="415" spans="1:3">
      <c r="A415" s="1"/>
      <c r="B415" s="499"/>
      <c r="C415" s="499"/>
    </row>
    <row r="416" spans="1:3">
      <c r="A416" s="1"/>
      <c r="B416" s="499"/>
      <c r="C416" s="499"/>
    </row>
    <row r="417" spans="1:3">
      <c r="A417" s="1"/>
      <c r="B417" s="499"/>
      <c r="C417" s="499"/>
    </row>
    <row r="418" spans="1:3">
      <c r="A418" s="1"/>
      <c r="B418" s="499"/>
      <c r="C418" s="499"/>
    </row>
    <row r="419" spans="1:3">
      <c r="A419" s="1"/>
      <c r="B419" s="499"/>
      <c r="C419" s="499"/>
    </row>
    <row r="420" spans="1:3">
      <c r="A420" s="1"/>
      <c r="B420" s="499"/>
      <c r="C420" s="499"/>
    </row>
    <row r="421" spans="1:3">
      <c r="A421" s="1"/>
      <c r="B421" s="499"/>
      <c r="C421" s="499"/>
    </row>
    <row r="422" spans="1:3">
      <c r="A422" s="1"/>
      <c r="B422" s="499"/>
      <c r="C422" s="499"/>
    </row>
    <row r="423" spans="1:3">
      <c r="A423" s="1"/>
      <c r="B423" s="499"/>
      <c r="C423" s="499"/>
    </row>
    <row r="424" spans="1:3">
      <c r="A424" s="1"/>
      <c r="B424" s="499"/>
      <c r="C424" s="499"/>
    </row>
    <row r="425" spans="1:3">
      <c r="A425" s="1"/>
      <c r="B425" s="499"/>
      <c r="C425" s="499"/>
    </row>
    <row r="426" spans="1:3">
      <c r="A426" s="1"/>
      <c r="B426" s="499"/>
      <c r="C426" s="499"/>
    </row>
    <row r="427" spans="1:3">
      <c r="A427" s="1"/>
      <c r="B427" s="499"/>
      <c r="C427" s="499"/>
    </row>
    <row r="428" spans="1:3">
      <c r="A428" s="1"/>
      <c r="B428" s="499"/>
      <c r="C428" s="499"/>
    </row>
    <row r="429" spans="1:3">
      <c r="A429" s="1"/>
      <c r="B429" s="499"/>
      <c r="C429" s="499"/>
    </row>
    <row r="430" spans="1:3">
      <c r="A430" s="1"/>
      <c r="B430" s="499"/>
      <c r="C430" s="499"/>
    </row>
    <row r="431" spans="1:3">
      <c r="A431" s="1"/>
      <c r="B431" s="499"/>
      <c r="C431" s="499"/>
    </row>
    <row r="432" spans="1:3">
      <c r="A432" s="1"/>
      <c r="B432" s="499"/>
      <c r="C432" s="499"/>
    </row>
    <row r="433" spans="1:3">
      <c r="A433" s="1"/>
      <c r="B433" s="499"/>
      <c r="C433" s="499"/>
    </row>
    <row r="434" spans="1:3">
      <c r="A434" s="1"/>
      <c r="B434" s="499"/>
      <c r="C434" s="499"/>
    </row>
    <row r="435" spans="1:3">
      <c r="A435" s="1"/>
      <c r="B435" s="499"/>
      <c r="C435" s="499"/>
    </row>
    <row r="436" spans="1:3">
      <c r="A436" s="1"/>
      <c r="B436" s="499"/>
      <c r="C436" s="499"/>
    </row>
    <row r="437" spans="1:3">
      <c r="A437" s="1"/>
      <c r="B437" s="499"/>
      <c r="C437" s="499"/>
    </row>
    <row r="438" spans="1:3">
      <c r="A438" s="1"/>
      <c r="B438" s="499"/>
      <c r="C438" s="499"/>
    </row>
    <row r="439" spans="1:3">
      <c r="A439" s="1"/>
      <c r="B439" s="499"/>
      <c r="C439" s="499"/>
    </row>
    <row r="440" spans="1:3">
      <c r="A440" s="1"/>
      <c r="B440" s="499"/>
      <c r="C440" s="499"/>
    </row>
    <row r="441" spans="1:3">
      <c r="A441" s="1"/>
      <c r="B441" s="499"/>
      <c r="C441" s="499"/>
    </row>
    <row r="442" spans="1:3">
      <c r="A442" s="1"/>
      <c r="B442" s="499"/>
      <c r="C442" s="499"/>
    </row>
    <row r="443" spans="1:3">
      <c r="A443" s="1"/>
      <c r="B443" s="499"/>
      <c r="C443" s="499"/>
    </row>
    <row r="444" spans="1:3">
      <c r="A444" s="1"/>
      <c r="B444" s="499"/>
      <c r="C444" s="499"/>
    </row>
    <row r="445" spans="1:3">
      <c r="A445" s="1"/>
      <c r="B445" s="499"/>
      <c r="C445" s="499"/>
    </row>
    <row r="446" spans="1:3">
      <c r="A446" s="1"/>
      <c r="B446" s="499"/>
      <c r="C446" s="499"/>
    </row>
    <row r="447" spans="1:3">
      <c r="A447" s="1"/>
      <c r="B447" s="499"/>
      <c r="C447" s="499"/>
    </row>
    <row r="448" spans="1:3">
      <c r="A448" s="1"/>
      <c r="B448" s="499"/>
      <c r="C448" s="499"/>
    </row>
    <row r="449" spans="1:3">
      <c r="A449" s="1"/>
      <c r="B449" s="499"/>
      <c r="C449" s="499"/>
    </row>
    <row r="450" spans="1:3">
      <c r="A450" s="1"/>
      <c r="B450" s="499"/>
      <c r="C450" s="499"/>
    </row>
    <row r="451" spans="1:3">
      <c r="A451" s="1"/>
      <c r="B451" s="499"/>
      <c r="C451" s="499"/>
    </row>
    <row r="452" spans="1:3">
      <c r="A452" s="1"/>
      <c r="B452" s="499"/>
      <c r="C452" s="499"/>
    </row>
    <row r="453" spans="1:3">
      <c r="A453" s="1"/>
      <c r="B453" s="499"/>
      <c r="C453" s="499"/>
    </row>
    <row r="454" spans="1:3">
      <c r="A454" s="1"/>
      <c r="B454" s="499"/>
      <c r="C454" s="499"/>
    </row>
    <row r="455" spans="1:3">
      <c r="A455" s="1"/>
      <c r="B455" s="499"/>
      <c r="C455" s="499"/>
    </row>
    <row r="456" spans="1:3">
      <c r="A456" s="1"/>
      <c r="B456" s="499"/>
      <c r="C456" s="499"/>
    </row>
    <row r="457" spans="1:3">
      <c r="A457" s="1"/>
      <c r="B457" s="499"/>
      <c r="C457" s="499"/>
    </row>
    <row r="458" spans="1:3">
      <c r="A458" s="1"/>
      <c r="B458" s="499"/>
      <c r="C458" s="499"/>
    </row>
    <row r="459" spans="1:3">
      <c r="A459" s="1"/>
      <c r="B459" s="499"/>
      <c r="C459" s="499"/>
    </row>
    <row r="460" spans="1:3">
      <c r="A460" s="1"/>
      <c r="B460" s="499"/>
      <c r="C460" s="499"/>
    </row>
    <row r="461" spans="1:3">
      <c r="A461" s="1"/>
      <c r="B461" s="499"/>
      <c r="C461" s="499"/>
    </row>
    <row r="462" spans="1:3">
      <c r="A462" s="1"/>
      <c r="B462" s="499"/>
      <c r="C462" s="499"/>
    </row>
    <row r="463" spans="1:3">
      <c r="A463" s="1"/>
      <c r="B463" s="499"/>
      <c r="C463" s="499"/>
    </row>
    <row r="464" spans="1:3">
      <c r="A464" s="1"/>
      <c r="B464" s="499"/>
      <c r="C464" s="499"/>
    </row>
    <row r="465" spans="1:3">
      <c r="A465" s="1"/>
      <c r="B465" s="499"/>
      <c r="C465" s="499"/>
    </row>
    <row r="466" spans="1:3">
      <c r="A466" s="1"/>
      <c r="B466" s="499"/>
      <c r="C466" s="499"/>
    </row>
    <row r="467" spans="1:3">
      <c r="A467" s="1"/>
      <c r="B467" s="499"/>
      <c r="C467" s="499"/>
    </row>
    <row r="468" spans="1:3">
      <c r="A468" s="1"/>
      <c r="B468" s="499"/>
      <c r="C468" s="499"/>
    </row>
    <row r="469" spans="1:3">
      <c r="A469" s="1"/>
      <c r="B469" s="499"/>
      <c r="C469" s="499"/>
    </row>
    <row r="470" spans="1:3">
      <c r="A470" s="1"/>
      <c r="B470" s="499"/>
      <c r="C470" s="499"/>
    </row>
    <row r="471" spans="1:3">
      <c r="A471" s="1"/>
      <c r="B471" s="499"/>
      <c r="C471" s="499"/>
    </row>
    <row r="472" spans="1:3">
      <c r="A472" s="1"/>
      <c r="B472" s="499"/>
      <c r="C472" s="499"/>
    </row>
    <row r="473" spans="1:3">
      <c r="A473" s="1"/>
      <c r="B473" s="499"/>
      <c r="C473" s="499"/>
    </row>
    <row r="474" spans="1:3">
      <c r="A474" s="1"/>
      <c r="B474" s="499"/>
      <c r="C474" s="499"/>
    </row>
    <row r="475" spans="1:3">
      <c r="A475" s="1"/>
      <c r="B475" s="499"/>
      <c r="C475" s="499"/>
    </row>
    <row r="476" spans="1:3">
      <c r="A476" s="1"/>
      <c r="B476" s="499"/>
      <c r="C476" s="499"/>
    </row>
    <row r="477" spans="1:3">
      <c r="A477" s="1"/>
      <c r="B477" s="499"/>
      <c r="C477" s="499"/>
    </row>
    <row r="478" spans="1:3">
      <c r="A478" s="1"/>
      <c r="B478" s="499"/>
      <c r="C478" s="499"/>
    </row>
    <row r="479" spans="1:3">
      <c r="A479" s="1"/>
      <c r="B479" s="499"/>
      <c r="C479" s="499"/>
    </row>
    <row r="480" spans="1:3">
      <c r="A480" s="1"/>
      <c r="B480" s="499"/>
      <c r="C480" s="499"/>
    </row>
    <row r="481" spans="1:3">
      <c r="A481" s="1"/>
      <c r="B481" s="499"/>
      <c r="C481" s="499"/>
    </row>
    <row r="482" spans="1:3">
      <c r="A482" s="1"/>
      <c r="B482" s="499"/>
      <c r="C482" s="499"/>
    </row>
    <row r="483" spans="1:3">
      <c r="A483" s="1"/>
      <c r="B483" s="499"/>
      <c r="C483" s="499"/>
    </row>
    <row r="484" spans="1:3">
      <c r="A484" s="1"/>
      <c r="B484" s="499"/>
      <c r="C484" s="499"/>
    </row>
    <row r="485" spans="1:3">
      <c r="A485" s="1"/>
      <c r="B485" s="499"/>
      <c r="C485" s="499"/>
    </row>
    <row r="486" spans="1:3">
      <c r="A486" s="1"/>
      <c r="B486" s="499"/>
      <c r="C486" s="499"/>
    </row>
    <row r="487" spans="1:3">
      <c r="A487" s="1"/>
      <c r="B487" s="499"/>
      <c r="C487" s="499"/>
    </row>
    <row r="488" spans="1:3">
      <c r="A488" s="1"/>
      <c r="B488" s="499"/>
      <c r="C488" s="499"/>
    </row>
    <row r="489" spans="1:3">
      <c r="A489" s="1"/>
      <c r="B489" s="499"/>
      <c r="C489" s="499"/>
    </row>
    <row r="490" spans="1:3">
      <c r="A490" s="1"/>
      <c r="B490" s="499"/>
      <c r="C490" s="499"/>
    </row>
    <row r="491" spans="1:3">
      <c r="A491" s="1"/>
      <c r="B491" s="499"/>
      <c r="C491" s="499"/>
    </row>
    <row r="492" spans="1:3">
      <c r="A492" s="1"/>
      <c r="B492" s="499"/>
      <c r="C492" s="499"/>
    </row>
    <row r="493" spans="1:3">
      <c r="A493" s="1"/>
      <c r="B493" s="499"/>
      <c r="C493" s="499"/>
    </row>
    <row r="494" spans="1:3">
      <c r="A494" s="1"/>
      <c r="B494" s="499"/>
      <c r="C494" s="499"/>
    </row>
    <row r="495" spans="1:3">
      <c r="A495" s="1"/>
      <c r="B495" s="499"/>
      <c r="C495" s="499"/>
    </row>
    <row r="496" spans="1:3">
      <c r="A496" s="1"/>
      <c r="B496" s="499"/>
      <c r="C496" s="499"/>
    </row>
    <row r="497" spans="1:3">
      <c r="A497" s="1"/>
      <c r="B497" s="499"/>
      <c r="C497" s="499"/>
    </row>
    <row r="498" spans="1:3">
      <c r="A498" s="1"/>
      <c r="B498" s="499"/>
      <c r="C498" s="499"/>
    </row>
    <row r="499" spans="1:3">
      <c r="A499" s="1"/>
      <c r="B499" s="499"/>
      <c r="C499" s="499"/>
    </row>
    <row r="500" spans="1:3">
      <c r="A500" s="1"/>
      <c r="B500" s="499"/>
      <c r="C500" s="499"/>
    </row>
    <row r="501" spans="1:3">
      <c r="A501" s="1"/>
      <c r="B501" s="499"/>
      <c r="C501" s="499"/>
    </row>
    <row r="502" spans="1:3">
      <c r="A502" s="1"/>
      <c r="B502" s="499"/>
      <c r="C502" s="499"/>
    </row>
    <row r="503" spans="1:3">
      <c r="A503" s="1"/>
      <c r="B503" s="499"/>
      <c r="C503" s="499"/>
    </row>
    <row r="504" spans="1:3">
      <c r="A504" s="1"/>
      <c r="B504" s="499"/>
      <c r="C504" s="499"/>
    </row>
    <row r="505" spans="1:3">
      <c r="A505" s="1"/>
      <c r="B505" s="499"/>
      <c r="C505" s="499"/>
    </row>
    <row r="506" spans="1:3">
      <c r="A506" s="1"/>
      <c r="B506" s="499"/>
      <c r="C506" s="499"/>
    </row>
    <row r="507" spans="1:3">
      <c r="A507" s="1"/>
      <c r="B507" s="499"/>
      <c r="C507" s="499"/>
    </row>
    <row r="508" spans="1:3">
      <c r="A508" s="1"/>
      <c r="B508" s="499"/>
      <c r="C508" s="499"/>
    </row>
    <row r="509" spans="1:3">
      <c r="A509" s="1"/>
      <c r="B509" s="499"/>
      <c r="C509" s="499"/>
    </row>
    <row r="510" spans="1:3">
      <c r="A510" s="1"/>
      <c r="B510" s="499"/>
      <c r="C510" s="499"/>
    </row>
    <row r="511" spans="1:3">
      <c r="A511" s="1"/>
      <c r="B511" s="499"/>
      <c r="C511" s="499"/>
    </row>
    <row r="512" spans="1:3">
      <c r="A512" s="1"/>
      <c r="B512" s="499"/>
      <c r="C512" s="499"/>
    </row>
    <row r="513" spans="1:3">
      <c r="A513" s="1"/>
      <c r="B513" s="499"/>
      <c r="C513" s="499"/>
    </row>
    <row r="514" spans="1:3">
      <c r="A514" s="1"/>
      <c r="B514" s="499"/>
      <c r="C514" s="499"/>
    </row>
    <row r="515" spans="1:3">
      <c r="A515" s="1"/>
      <c r="B515" s="499"/>
      <c r="C515" s="499"/>
    </row>
    <row r="516" spans="1:3">
      <c r="A516" s="1"/>
      <c r="B516" s="499"/>
      <c r="C516" s="499"/>
    </row>
    <row r="517" spans="1:3">
      <c r="A517" s="1"/>
      <c r="B517" s="499"/>
      <c r="C517" s="499"/>
    </row>
    <row r="518" spans="1:3">
      <c r="A518" s="1"/>
      <c r="B518" s="499"/>
      <c r="C518" s="499"/>
    </row>
    <row r="519" spans="1:3">
      <c r="A519" s="1"/>
      <c r="B519" s="499"/>
      <c r="C519" s="499"/>
    </row>
    <row r="520" spans="1:3">
      <c r="A520" s="1"/>
      <c r="B520" s="499"/>
      <c r="C520" s="499"/>
    </row>
    <row r="521" spans="1:3">
      <c r="A521" s="1"/>
      <c r="B521" s="499"/>
      <c r="C521" s="499"/>
    </row>
    <row r="522" spans="1:3">
      <c r="A522" s="1"/>
      <c r="B522" s="499"/>
      <c r="C522" s="499"/>
    </row>
    <row r="523" spans="1:3">
      <c r="A523" s="1"/>
      <c r="B523" s="499"/>
      <c r="C523" s="499"/>
    </row>
    <row r="524" spans="1:3">
      <c r="A524" s="1"/>
      <c r="B524" s="499"/>
      <c r="C524" s="499"/>
    </row>
    <row r="525" spans="1:3">
      <c r="A525" s="1"/>
      <c r="B525" s="499"/>
      <c r="C525" s="499"/>
    </row>
    <row r="526" spans="1:3">
      <c r="A526" s="1"/>
      <c r="B526" s="499"/>
      <c r="C526" s="499"/>
    </row>
    <row r="527" spans="1:3">
      <c r="A527" s="1"/>
      <c r="B527" s="499"/>
      <c r="C527" s="499"/>
    </row>
    <row r="528" spans="1:3">
      <c r="A528" s="1"/>
      <c r="B528" s="499"/>
      <c r="C528" s="499"/>
    </row>
    <row r="529" spans="1:3">
      <c r="A529" s="1"/>
      <c r="B529" s="499"/>
      <c r="C529" s="499"/>
    </row>
    <row r="530" spans="1:3">
      <c r="A530" s="1"/>
      <c r="B530" s="499"/>
      <c r="C530" s="499"/>
    </row>
    <row r="531" spans="1:3">
      <c r="A531" s="1"/>
      <c r="B531" s="499"/>
      <c r="C531" s="499"/>
    </row>
    <row r="532" spans="1:3">
      <c r="A532" s="1"/>
      <c r="B532" s="499"/>
      <c r="C532" s="499"/>
    </row>
    <row r="533" spans="1:3">
      <c r="A533" s="1"/>
      <c r="B533" s="499"/>
      <c r="C533" s="499"/>
    </row>
    <row r="534" spans="1:3">
      <c r="A534" s="1"/>
      <c r="B534" s="499"/>
      <c r="C534" s="499"/>
    </row>
    <row r="535" spans="1:3">
      <c r="A535" s="1"/>
      <c r="B535" s="499"/>
      <c r="C535" s="499"/>
    </row>
    <row r="536" spans="1:3">
      <c r="A536" s="1"/>
      <c r="B536" s="499"/>
      <c r="C536" s="499"/>
    </row>
    <row r="537" spans="1:3">
      <c r="A537" s="1"/>
      <c r="B537" s="499"/>
      <c r="C537" s="499"/>
    </row>
    <row r="538" spans="1:3">
      <c r="A538" s="1"/>
      <c r="B538" s="499"/>
      <c r="C538" s="499"/>
    </row>
    <row r="539" spans="1:3">
      <c r="A539" s="1"/>
      <c r="B539" s="499"/>
      <c r="C539" s="499"/>
    </row>
    <row r="540" spans="1:3">
      <c r="A540" s="1"/>
      <c r="B540" s="499"/>
      <c r="C540" s="499"/>
    </row>
    <row r="541" spans="1:3">
      <c r="A541" s="1"/>
      <c r="B541" s="499"/>
      <c r="C541" s="499"/>
    </row>
    <row r="542" spans="1:3">
      <c r="A542" s="1"/>
      <c r="B542" s="499"/>
      <c r="C542" s="499"/>
    </row>
    <row r="543" spans="1:3">
      <c r="A543" s="1"/>
      <c r="B543" s="499"/>
      <c r="C543" s="499"/>
    </row>
    <row r="544" spans="1:3">
      <c r="A544" s="1"/>
      <c r="B544" s="499"/>
      <c r="C544" s="499"/>
    </row>
    <row r="545" spans="1:3">
      <c r="A545" s="1"/>
      <c r="B545" s="499"/>
      <c r="C545" s="499"/>
    </row>
    <row r="546" spans="1:3">
      <c r="A546" s="1"/>
      <c r="B546" s="499"/>
      <c r="C546" s="499"/>
    </row>
    <row r="547" spans="1:3">
      <c r="A547" s="1"/>
      <c r="B547" s="499"/>
      <c r="C547" s="499"/>
    </row>
    <row r="548" spans="1:3">
      <c r="A548" s="1"/>
      <c r="B548" s="499"/>
      <c r="C548" s="499"/>
    </row>
    <row r="549" spans="1:3">
      <c r="A549" s="1"/>
      <c r="B549" s="499"/>
      <c r="C549" s="499"/>
    </row>
    <row r="550" spans="1:3">
      <c r="A550" s="1"/>
      <c r="B550" s="499"/>
      <c r="C550" s="499"/>
    </row>
    <row r="551" spans="1:3">
      <c r="A551" s="1"/>
      <c r="B551" s="499"/>
      <c r="C551" s="499"/>
    </row>
    <row r="552" spans="1:3">
      <c r="A552" s="1"/>
      <c r="B552" s="499"/>
      <c r="C552" s="499"/>
    </row>
    <row r="553" spans="1:3">
      <c r="A553" s="1"/>
      <c r="B553" s="499"/>
      <c r="C553" s="499"/>
    </row>
    <row r="554" spans="1:3">
      <c r="A554" s="1"/>
      <c r="B554" s="499"/>
      <c r="C554" s="499"/>
    </row>
    <row r="555" spans="1:3">
      <c r="A555" s="1"/>
      <c r="B555" s="499"/>
      <c r="C555" s="499"/>
    </row>
    <row r="556" spans="1:3">
      <c r="A556" s="1"/>
      <c r="B556" s="499"/>
      <c r="C556" s="499"/>
    </row>
    <row r="557" spans="1:3">
      <c r="A557" s="1"/>
      <c r="B557" s="499"/>
      <c r="C557" s="499"/>
    </row>
    <row r="558" spans="1:3">
      <c r="A558" s="1"/>
      <c r="B558" s="499"/>
      <c r="C558" s="499"/>
    </row>
    <row r="559" spans="1:3">
      <c r="A559" s="1"/>
      <c r="B559" s="499"/>
      <c r="C559" s="499"/>
    </row>
    <row r="560" spans="1:3">
      <c r="A560" s="1"/>
      <c r="B560" s="499"/>
      <c r="C560" s="499"/>
    </row>
    <row r="561" spans="1:3">
      <c r="A561" s="1"/>
      <c r="B561" s="499"/>
      <c r="C561" s="499"/>
    </row>
    <row r="562" spans="1:3">
      <c r="A562" s="1"/>
      <c r="B562" s="499"/>
      <c r="C562" s="499"/>
    </row>
    <row r="563" spans="1:3">
      <c r="A563" s="1"/>
      <c r="B563" s="499"/>
      <c r="C563" s="499"/>
    </row>
    <row r="564" spans="1:3">
      <c r="A564" s="1"/>
      <c r="B564" s="499"/>
      <c r="C564" s="499"/>
    </row>
    <row r="565" spans="1:3">
      <c r="A565" s="1"/>
      <c r="B565" s="499"/>
      <c r="C565" s="499"/>
    </row>
    <row r="566" spans="1:3">
      <c r="A566" s="1"/>
      <c r="B566" s="499"/>
      <c r="C566" s="499"/>
    </row>
    <row r="567" spans="1:3">
      <c r="A567" s="1"/>
      <c r="B567" s="499"/>
      <c r="C567" s="499"/>
    </row>
    <row r="568" spans="1:3">
      <c r="A568" s="1"/>
      <c r="B568" s="499"/>
      <c r="C568" s="499"/>
    </row>
    <row r="569" spans="1:3">
      <c r="A569" s="1"/>
      <c r="B569" s="499"/>
      <c r="C569" s="499"/>
    </row>
    <row r="570" spans="1:3">
      <c r="A570" s="1"/>
      <c r="B570" s="499"/>
      <c r="C570" s="499"/>
    </row>
    <row r="571" spans="1:3">
      <c r="A571" s="1"/>
      <c r="B571" s="499"/>
      <c r="C571" s="499"/>
    </row>
    <row r="572" spans="1:3">
      <c r="A572" s="1"/>
      <c r="B572" s="499"/>
      <c r="C572" s="499"/>
    </row>
    <row r="573" spans="1:3">
      <c r="A573" s="1"/>
      <c r="B573" s="499"/>
      <c r="C573" s="499"/>
    </row>
    <row r="574" spans="1:3">
      <c r="A574" s="1"/>
      <c r="B574" s="499"/>
      <c r="C574" s="499"/>
    </row>
    <row r="575" spans="1:3">
      <c r="A575" s="1"/>
      <c r="B575" s="499"/>
      <c r="C575" s="499"/>
    </row>
    <row r="576" spans="1:3">
      <c r="A576" s="1"/>
      <c r="B576" s="499"/>
      <c r="C576" s="499"/>
    </row>
    <row r="577" spans="1:3">
      <c r="A577" s="1"/>
      <c r="B577" s="499"/>
      <c r="C577" s="499"/>
    </row>
    <row r="578" spans="1:3">
      <c r="A578" s="1"/>
      <c r="B578" s="499"/>
      <c r="C578" s="499"/>
    </row>
    <row r="579" spans="1:3">
      <c r="A579" s="1"/>
      <c r="B579" s="499"/>
      <c r="C579" s="499"/>
    </row>
    <row r="580" spans="1:3">
      <c r="A580" s="1"/>
      <c r="B580" s="499"/>
      <c r="C580" s="499"/>
    </row>
    <row r="581" spans="1:3">
      <c r="A581" s="1"/>
      <c r="B581" s="499"/>
      <c r="C581" s="499"/>
    </row>
    <row r="582" spans="1:3">
      <c r="A582" s="1"/>
      <c r="B582" s="499"/>
      <c r="C582" s="499"/>
    </row>
    <row r="583" spans="1:3">
      <c r="A583" s="1"/>
      <c r="B583" s="499"/>
      <c r="C583" s="499"/>
    </row>
    <row r="584" spans="1:3">
      <c r="A584" s="1"/>
      <c r="B584" s="499"/>
      <c r="C584" s="499"/>
    </row>
    <row r="585" spans="1:3">
      <c r="A585" s="1"/>
      <c r="B585" s="499"/>
      <c r="C585" s="499"/>
    </row>
    <row r="586" spans="1:3">
      <c r="A586" s="1"/>
      <c r="B586" s="499"/>
      <c r="C586" s="499"/>
    </row>
    <row r="587" spans="1:3">
      <c r="A587" s="1"/>
      <c r="B587" s="499"/>
      <c r="C587" s="499"/>
    </row>
    <row r="588" spans="1:3">
      <c r="A588" s="1"/>
      <c r="B588" s="499"/>
      <c r="C588" s="499"/>
    </row>
    <row r="589" spans="1:3">
      <c r="A589" s="1"/>
      <c r="B589" s="499"/>
      <c r="C589" s="499"/>
    </row>
    <row r="590" spans="1:3">
      <c r="A590" s="1"/>
      <c r="B590" s="499"/>
      <c r="C590" s="499"/>
    </row>
    <row r="591" spans="1:3">
      <c r="A591" s="1"/>
      <c r="B591" s="499"/>
      <c r="C591" s="499"/>
    </row>
    <row r="592" spans="1:3">
      <c r="A592" s="1"/>
      <c r="B592" s="499"/>
      <c r="C592" s="499"/>
    </row>
    <row r="593" spans="1:3">
      <c r="A593" s="1"/>
      <c r="B593" s="499"/>
      <c r="C593" s="499"/>
    </row>
    <row r="594" spans="1:3">
      <c r="A594" s="1"/>
      <c r="B594" s="499"/>
      <c r="C594" s="499"/>
    </row>
    <row r="595" spans="1:3">
      <c r="A595" s="1"/>
      <c r="B595" s="499"/>
      <c r="C595" s="499"/>
    </row>
    <row r="596" spans="1:3">
      <c r="A596" s="1"/>
      <c r="B596" s="499"/>
      <c r="C596" s="499"/>
    </row>
    <row r="597" spans="1:3">
      <c r="A597" s="1"/>
      <c r="B597" s="499"/>
      <c r="C597" s="499"/>
    </row>
    <row r="598" spans="1:3">
      <c r="A598" s="1"/>
      <c r="B598" s="499"/>
      <c r="C598" s="499"/>
    </row>
    <row r="599" spans="1:3">
      <c r="A599" s="1"/>
      <c r="B599" s="499"/>
      <c r="C599" s="499"/>
    </row>
    <row r="600" spans="1:3">
      <c r="A600" s="1"/>
      <c r="B600" s="499"/>
      <c r="C600" s="499"/>
    </row>
    <row r="601" spans="1:3">
      <c r="A601" s="1"/>
      <c r="B601" s="499"/>
      <c r="C601" s="499"/>
    </row>
    <row r="602" spans="1:3">
      <c r="A602" s="1"/>
      <c r="B602" s="499"/>
      <c r="C602" s="499"/>
    </row>
    <row r="603" spans="1:3">
      <c r="A603" s="1"/>
      <c r="B603" s="499"/>
      <c r="C603" s="499"/>
    </row>
    <row r="604" spans="1:3">
      <c r="A604" s="1"/>
      <c r="B604" s="499"/>
      <c r="C604" s="499"/>
    </row>
    <row r="605" spans="1:3">
      <c r="A605" s="1"/>
      <c r="B605" s="499"/>
      <c r="C605" s="499"/>
    </row>
    <row r="606" spans="1:3">
      <c r="A606" s="1"/>
      <c r="B606" s="499"/>
      <c r="C606" s="499"/>
    </row>
    <row r="607" spans="1:3">
      <c r="A607" s="1"/>
      <c r="B607" s="499"/>
      <c r="C607" s="499"/>
    </row>
    <row r="608" spans="1:3">
      <c r="A608" s="1"/>
      <c r="B608" s="499"/>
      <c r="C608" s="499"/>
    </row>
    <row r="609" spans="1:3">
      <c r="A609" s="1"/>
      <c r="B609" s="499"/>
      <c r="C609" s="499"/>
    </row>
    <row r="610" spans="1:3">
      <c r="A610" s="1"/>
      <c r="B610" s="499"/>
      <c r="C610" s="499"/>
    </row>
    <row r="611" spans="1:3">
      <c r="A611" s="1"/>
      <c r="B611" s="499"/>
      <c r="C611" s="499"/>
    </row>
    <row r="612" spans="1:3">
      <c r="A612" s="1"/>
      <c r="B612" s="499"/>
      <c r="C612" s="499"/>
    </row>
    <row r="613" spans="1:3">
      <c r="A613" s="1"/>
      <c r="B613" s="499"/>
      <c r="C613" s="499"/>
    </row>
    <row r="614" spans="1:3">
      <c r="A614" s="1"/>
      <c r="B614" s="499"/>
      <c r="C614" s="499"/>
    </row>
    <row r="615" spans="1:3">
      <c r="A615" s="1"/>
      <c r="B615" s="499"/>
      <c r="C615" s="499"/>
    </row>
    <row r="616" spans="1:3">
      <c r="A616" s="1"/>
      <c r="B616" s="499"/>
      <c r="C616" s="499"/>
    </row>
    <row r="617" spans="1:3">
      <c r="A617" s="1"/>
      <c r="B617" s="499"/>
      <c r="C617" s="499"/>
    </row>
    <row r="618" spans="1:3">
      <c r="A618" s="1"/>
      <c r="B618" s="499"/>
      <c r="C618" s="499"/>
    </row>
    <row r="619" spans="1:3">
      <c r="A619" s="1"/>
      <c r="B619" s="499"/>
      <c r="C619" s="499"/>
    </row>
    <row r="620" spans="1:3">
      <c r="A620" s="1"/>
      <c r="B620" s="499"/>
      <c r="C620" s="499"/>
    </row>
    <row r="621" spans="1:3">
      <c r="A621" s="1"/>
      <c r="B621" s="499"/>
      <c r="C621" s="499"/>
    </row>
    <row r="622" spans="1:3">
      <c r="A622" s="1"/>
      <c r="B622" s="499"/>
      <c r="C622" s="499"/>
    </row>
    <row r="623" spans="1:3">
      <c r="A623" s="1"/>
      <c r="B623" s="499"/>
      <c r="C623" s="499"/>
    </row>
    <row r="624" spans="1:3">
      <c r="A624" s="1"/>
      <c r="B624" s="499"/>
      <c r="C624" s="499"/>
    </row>
    <row r="625" spans="1:3">
      <c r="A625" s="1"/>
      <c r="B625" s="499"/>
      <c r="C625" s="499"/>
    </row>
    <row r="626" spans="1:3">
      <c r="A626" s="1"/>
      <c r="B626" s="499"/>
      <c r="C626" s="499"/>
    </row>
    <row r="627" spans="1:3">
      <c r="A627" s="1"/>
      <c r="B627" s="499"/>
      <c r="C627" s="499"/>
    </row>
    <row r="628" spans="1:3">
      <c r="A628" s="1"/>
      <c r="B628" s="499"/>
      <c r="C628" s="499"/>
    </row>
    <row r="629" spans="1:3">
      <c r="A629" s="1"/>
      <c r="B629" s="499"/>
      <c r="C629" s="499"/>
    </row>
    <row r="630" spans="1:3">
      <c r="A630" s="1"/>
      <c r="B630" s="499"/>
      <c r="C630" s="499"/>
    </row>
    <row r="631" spans="1:3">
      <c r="A631" s="1"/>
      <c r="B631" s="499"/>
      <c r="C631" s="499"/>
    </row>
    <row r="632" spans="1:3">
      <c r="A632" s="1"/>
      <c r="B632" s="499"/>
      <c r="C632" s="499"/>
    </row>
    <row r="633" spans="1:3">
      <c r="A633" s="1"/>
      <c r="B633" s="499"/>
      <c r="C633" s="499"/>
    </row>
    <row r="634" spans="1:3">
      <c r="A634" s="1"/>
      <c r="B634" s="499"/>
      <c r="C634" s="499"/>
    </row>
    <row r="635" spans="1:3">
      <c r="A635" s="1"/>
      <c r="B635" s="499"/>
      <c r="C635" s="499"/>
    </row>
    <row r="636" spans="1:3">
      <c r="A636" s="1"/>
      <c r="B636" s="499"/>
      <c r="C636" s="499"/>
    </row>
    <row r="637" spans="1:3">
      <c r="A637" s="1"/>
      <c r="B637" s="499"/>
      <c r="C637" s="499"/>
    </row>
    <row r="638" spans="1:3">
      <c r="A638" s="1"/>
      <c r="B638" s="499"/>
      <c r="C638" s="499"/>
    </row>
    <row r="639" spans="1:3">
      <c r="A639" s="1"/>
      <c r="B639" s="499"/>
      <c r="C639" s="499"/>
    </row>
    <row r="640" spans="1:3">
      <c r="A640" s="1"/>
      <c r="B640" s="499"/>
      <c r="C640" s="499"/>
    </row>
    <row r="641" spans="1:3">
      <c r="A641" s="1"/>
      <c r="B641" s="499"/>
      <c r="C641" s="499"/>
    </row>
    <row r="642" spans="1:3">
      <c r="A642" s="1"/>
      <c r="B642" s="499"/>
      <c r="C642" s="499"/>
    </row>
    <row r="643" spans="1:3">
      <c r="A643" s="1"/>
      <c r="B643" s="499"/>
      <c r="C643" s="499"/>
    </row>
    <row r="644" spans="1:3">
      <c r="A644" s="1"/>
      <c r="B644" s="499"/>
      <c r="C644" s="499"/>
    </row>
    <row r="645" spans="1:3">
      <c r="A645" s="1"/>
      <c r="B645" s="499"/>
      <c r="C645" s="499"/>
    </row>
    <row r="646" spans="1:3">
      <c r="A646" s="1"/>
      <c r="B646" s="499"/>
      <c r="C646" s="499"/>
    </row>
    <row r="647" spans="1:3">
      <c r="A647" s="1"/>
      <c r="B647" s="499"/>
      <c r="C647" s="499"/>
    </row>
    <row r="648" spans="1:3">
      <c r="A648" s="1"/>
      <c r="B648" s="499"/>
      <c r="C648" s="499"/>
    </row>
    <row r="649" spans="1:3">
      <c r="A649" s="1"/>
      <c r="B649" s="499"/>
      <c r="C649" s="499"/>
    </row>
    <row r="650" spans="1:3">
      <c r="A650" s="1"/>
      <c r="B650" s="499"/>
      <c r="C650" s="499"/>
    </row>
    <row r="651" spans="1:3">
      <c r="A651" s="1"/>
      <c r="B651" s="499"/>
      <c r="C651" s="499"/>
    </row>
    <row r="652" spans="1:3">
      <c r="A652" s="1"/>
      <c r="B652" s="499"/>
      <c r="C652" s="499"/>
    </row>
    <row r="653" spans="1:3">
      <c r="A653" s="1"/>
      <c r="B653" s="499"/>
      <c r="C653" s="499"/>
    </row>
    <row r="654" spans="1:3">
      <c r="A654" s="1"/>
      <c r="B654" s="499"/>
      <c r="C654" s="499"/>
    </row>
    <row r="655" spans="1:3">
      <c r="A655" s="1"/>
      <c r="B655" s="499"/>
      <c r="C655" s="499"/>
    </row>
    <row r="656" spans="1:3">
      <c r="A656" s="1"/>
      <c r="B656" s="499"/>
      <c r="C656" s="499"/>
    </row>
    <row r="657" spans="1:3">
      <c r="A657" s="1"/>
      <c r="B657" s="499"/>
      <c r="C657" s="499"/>
    </row>
    <row r="658" spans="1:3">
      <c r="A658" s="1"/>
      <c r="B658" s="499"/>
      <c r="C658" s="499"/>
    </row>
    <row r="659" spans="1:3">
      <c r="A659" s="1"/>
      <c r="B659" s="499"/>
      <c r="C659" s="499"/>
    </row>
    <row r="660" spans="1:3">
      <c r="A660" s="1"/>
      <c r="B660" s="499"/>
      <c r="C660" s="499"/>
    </row>
    <row r="661" spans="1:3">
      <c r="A661" s="1"/>
      <c r="B661" s="499"/>
      <c r="C661" s="499"/>
    </row>
    <row r="662" spans="1:3">
      <c r="A662" s="1"/>
      <c r="B662" s="499"/>
      <c r="C662" s="499"/>
    </row>
    <row r="663" spans="1:3">
      <c r="A663" s="1"/>
      <c r="B663" s="499"/>
      <c r="C663" s="499"/>
    </row>
    <row r="664" spans="1:3">
      <c r="A664" s="1"/>
      <c r="B664" s="499"/>
      <c r="C664" s="499"/>
    </row>
    <row r="665" spans="1:3">
      <c r="A665" s="1"/>
      <c r="B665" s="499"/>
      <c r="C665" s="499"/>
    </row>
    <row r="666" spans="1:3">
      <c r="A666" s="1"/>
      <c r="B666" s="499"/>
      <c r="C666" s="499"/>
    </row>
    <row r="667" spans="1:3">
      <c r="A667" s="1"/>
      <c r="B667" s="499"/>
      <c r="C667" s="499"/>
    </row>
    <row r="668" spans="1:3">
      <c r="A668" s="1"/>
      <c r="B668" s="499"/>
      <c r="C668" s="499"/>
    </row>
    <row r="669" spans="1:3">
      <c r="A669" s="1"/>
      <c r="B669" s="499"/>
      <c r="C669" s="499"/>
    </row>
    <row r="670" spans="1:3">
      <c r="A670" s="1"/>
      <c r="B670" s="499"/>
      <c r="C670" s="499"/>
    </row>
    <row r="671" spans="1:3">
      <c r="A671" s="1"/>
      <c r="B671" s="499"/>
      <c r="C671" s="499"/>
    </row>
    <row r="672" spans="1:3">
      <c r="A672" s="1"/>
      <c r="B672" s="499"/>
      <c r="C672" s="499"/>
    </row>
    <row r="673" spans="1:3">
      <c r="A673" s="1"/>
      <c r="B673" s="499"/>
      <c r="C673" s="499"/>
    </row>
    <row r="674" spans="1:3">
      <c r="A674" s="1"/>
      <c r="B674" s="499"/>
      <c r="C674" s="499"/>
    </row>
    <row r="675" spans="1:3">
      <c r="A675" s="1"/>
      <c r="B675" s="499"/>
      <c r="C675" s="499"/>
    </row>
    <row r="676" spans="1:3">
      <c r="A676" s="1"/>
      <c r="B676" s="499"/>
      <c r="C676" s="499"/>
    </row>
    <row r="677" spans="1:3">
      <c r="A677" s="1"/>
      <c r="B677" s="499"/>
      <c r="C677" s="499"/>
    </row>
    <row r="678" spans="1:3">
      <c r="A678" s="1"/>
      <c r="B678" s="499"/>
      <c r="C678" s="499"/>
    </row>
    <row r="679" spans="1:3">
      <c r="A679" s="1"/>
      <c r="B679" s="499"/>
      <c r="C679" s="499"/>
    </row>
    <row r="680" spans="1:3">
      <c r="A680" s="1"/>
      <c r="B680" s="499"/>
      <c r="C680" s="499"/>
    </row>
    <row r="681" spans="1:3">
      <c r="A681" s="1"/>
      <c r="B681" s="499"/>
      <c r="C681" s="499"/>
    </row>
    <row r="682" spans="1:3">
      <c r="A682" s="1"/>
      <c r="B682" s="499"/>
      <c r="C682" s="499"/>
    </row>
    <row r="683" spans="1:3">
      <c r="A683" s="1"/>
      <c r="B683" s="499"/>
      <c r="C683" s="499"/>
    </row>
    <row r="684" spans="1:3">
      <c r="A684" s="1"/>
      <c r="B684" s="499"/>
      <c r="C684" s="499"/>
    </row>
    <row r="685" spans="1:3">
      <c r="A685" s="1"/>
      <c r="B685" s="499"/>
      <c r="C685" s="499"/>
    </row>
    <row r="686" spans="1:3">
      <c r="A686" s="1"/>
      <c r="B686" s="499"/>
      <c r="C686" s="499"/>
    </row>
    <row r="687" spans="1:3">
      <c r="A687" s="1"/>
      <c r="B687" s="499"/>
      <c r="C687" s="499"/>
    </row>
    <row r="688" spans="1:3">
      <c r="A688" s="1"/>
      <c r="B688" s="499"/>
      <c r="C688" s="499"/>
    </row>
    <row r="689" spans="1:3">
      <c r="A689" s="1"/>
      <c r="B689" s="499"/>
      <c r="C689" s="499"/>
    </row>
    <row r="690" spans="1:3">
      <c r="A690" s="1"/>
      <c r="B690" s="499"/>
      <c r="C690" s="499"/>
    </row>
    <row r="691" spans="1:3">
      <c r="A691" s="1"/>
      <c r="B691" s="499"/>
      <c r="C691" s="499"/>
    </row>
    <row r="692" spans="1:3">
      <c r="A692" s="1"/>
      <c r="B692" s="499"/>
      <c r="C692" s="499"/>
    </row>
    <row r="693" spans="1:3">
      <c r="A693" s="1"/>
      <c r="B693" s="499"/>
      <c r="C693" s="499"/>
    </row>
    <row r="694" spans="1:3">
      <c r="A694" s="1"/>
      <c r="B694" s="499"/>
      <c r="C694" s="499"/>
    </row>
    <row r="695" spans="1:3">
      <c r="A695" s="1"/>
      <c r="B695" s="499"/>
      <c r="C695" s="499"/>
    </row>
    <row r="696" spans="1:3">
      <c r="A696" s="1"/>
      <c r="B696" s="499"/>
      <c r="C696" s="499"/>
    </row>
    <row r="697" spans="1:3">
      <c r="A697" s="1"/>
      <c r="B697" s="499"/>
      <c r="C697" s="499"/>
    </row>
    <row r="698" spans="1:3">
      <c r="A698" s="1"/>
      <c r="B698" s="499"/>
      <c r="C698" s="499"/>
    </row>
    <row r="699" spans="1:3">
      <c r="A699" s="1"/>
      <c r="B699" s="499"/>
      <c r="C699" s="499"/>
    </row>
    <row r="700" spans="1:3">
      <c r="A700" s="1"/>
      <c r="B700" s="499"/>
      <c r="C700" s="499"/>
    </row>
    <row r="701" spans="1:3">
      <c r="A701" s="1"/>
      <c r="B701" s="499"/>
      <c r="C701" s="499"/>
    </row>
    <row r="702" spans="1:3">
      <c r="A702" s="1"/>
      <c r="B702" s="499"/>
      <c r="C702" s="499"/>
    </row>
    <row r="703" spans="1:3">
      <c r="A703" s="1"/>
      <c r="B703" s="499"/>
      <c r="C703" s="499"/>
    </row>
    <row r="704" spans="1:3">
      <c r="A704" s="1"/>
      <c r="B704" s="499"/>
      <c r="C704" s="499"/>
    </row>
    <row r="705" spans="1:3">
      <c r="A705" s="1"/>
      <c r="B705" s="499"/>
      <c r="C705" s="499"/>
    </row>
    <row r="706" spans="1:3">
      <c r="A706" s="1"/>
      <c r="B706" s="499"/>
      <c r="C706" s="499"/>
    </row>
    <row r="707" spans="1:3">
      <c r="A707" s="1"/>
      <c r="B707" s="499"/>
      <c r="C707" s="499"/>
    </row>
    <row r="708" spans="1:3">
      <c r="A708" s="1"/>
      <c r="B708" s="499"/>
      <c r="C708" s="499"/>
    </row>
    <row r="709" spans="1:3">
      <c r="A709" s="1"/>
      <c r="B709" s="499"/>
      <c r="C709" s="499"/>
    </row>
    <row r="710" spans="1:3">
      <c r="A710" s="1"/>
      <c r="B710" s="499"/>
      <c r="C710" s="499"/>
    </row>
    <row r="711" spans="1:3">
      <c r="A711" s="1"/>
      <c r="B711" s="499"/>
      <c r="C711" s="499"/>
    </row>
    <row r="712" spans="1:3">
      <c r="A712" s="1"/>
      <c r="B712" s="499"/>
      <c r="C712" s="499"/>
    </row>
    <row r="713" spans="1:3">
      <c r="A713" s="1"/>
      <c r="B713" s="499"/>
      <c r="C713" s="499"/>
    </row>
    <row r="714" spans="1:3">
      <c r="A714" s="1"/>
      <c r="B714" s="499"/>
      <c r="C714" s="499"/>
    </row>
    <row r="715" spans="1:3">
      <c r="A715" s="1"/>
      <c r="B715" s="499"/>
      <c r="C715" s="499"/>
    </row>
    <row r="716" spans="1:3">
      <c r="A716" s="1"/>
      <c r="B716" s="499"/>
      <c r="C716" s="499"/>
    </row>
    <row r="717" spans="1:3">
      <c r="A717" s="1"/>
      <c r="B717" s="499"/>
      <c r="C717" s="499"/>
    </row>
    <row r="718" spans="1:3">
      <c r="A718" s="1"/>
      <c r="B718" s="499"/>
      <c r="C718" s="499"/>
    </row>
    <row r="719" spans="1:3">
      <c r="A719" s="1"/>
      <c r="B719" s="499"/>
      <c r="C719" s="499"/>
    </row>
    <row r="720" spans="1:3">
      <c r="A720" s="1"/>
      <c r="B720" s="499"/>
      <c r="C720" s="499"/>
    </row>
    <row r="721" spans="1:3">
      <c r="A721" s="1"/>
      <c r="B721" s="499"/>
      <c r="C721" s="499"/>
    </row>
    <row r="722" spans="1:3">
      <c r="A722" s="1"/>
      <c r="B722" s="499"/>
      <c r="C722" s="499"/>
    </row>
    <row r="723" spans="1:3">
      <c r="A723" s="1"/>
      <c r="B723" s="499"/>
      <c r="C723" s="499"/>
    </row>
    <row r="724" spans="1:3">
      <c r="A724" s="1"/>
      <c r="B724" s="499"/>
      <c r="C724" s="499"/>
    </row>
    <row r="725" spans="1:3">
      <c r="A725" s="1"/>
      <c r="B725" s="499"/>
      <c r="C725" s="499"/>
    </row>
    <row r="726" spans="1:3">
      <c r="A726" s="1"/>
      <c r="B726" s="499"/>
      <c r="C726" s="499"/>
    </row>
    <row r="727" spans="1:3">
      <c r="A727" s="1"/>
      <c r="B727" s="499"/>
      <c r="C727" s="499"/>
    </row>
    <row r="728" spans="1:3">
      <c r="A728" s="1"/>
      <c r="B728" s="499"/>
      <c r="C728" s="499"/>
    </row>
    <row r="729" spans="1:3">
      <c r="A729" s="1"/>
      <c r="B729" s="499"/>
      <c r="C729" s="499"/>
    </row>
    <row r="730" spans="1:3">
      <c r="A730" s="1"/>
      <c r="B730" s="499"/>
      <c r="C730" s="499"/>
    </row>
    <row r="731" spans="1:3">
      <c r="A731" s="1"/>
      <c r="B731" s="499"/>
      <c r="C731" s="499"/>
    </row>
    <row r="732" spans="1:3">
      <c r="A732" s="1"/>
      <c r="B732" s="499"/>
      <c r="C732" s="499"/>
    </row>
    <row r="733" spans="1:3">
      <c r="A733" s="1"/>
      <c r="B733" s="499"/>
      <c r="C733" s="499"/>
    </row>
    <row r="734" spans="1:3">
      <c r="A734" s="1"/>
      <c r="B734" s="499"/>
      <c r="C734" s="499"/>
    </row>
    <row r="735" spans="1:3">
      <c r="A735" s="1"/>
      <c r="B735" s="499"/>
      <c r="C735" s="499"/>
    </row>
    <row r="736" spans="1:3">
      <c r="A736" s="1"/>
      <c r="B736" s="499"/>
      <c r="C736" s="499"/>
    </row>
    <row r="737" spans="1:3">
      <c r="A737" s="1"/>
      <c r="B737" s="499"/>
      <c r="C737" s="499"/>
    </row>
    <row r="738" spans="1:3">
      <c r="A738" s="1"/>
      <c r="B738" s="499"/>
      <c r="C738" s="499"/>
    </row>
    <row r="739" spans="1:3">
      <c r="A739" s="1"/>
      <c r="B739" s="499"/>
      <c r="C739" s="499"/>
    </row>
    <row r="740" spans="1:3">
      <c r="A740" s="1"/>
      <c r="B740" s="499"/>
      <c r="C740" s="499"/>
    </row>
    <row r="741" spans="1:3">
      <c r="A741" s="1"/>
      <c r="B741" s="499"/>
      <c r="C741" s="499"/>
    </row>
    <row r="742" spans="1:3">
      <c r="A742" s="1"/>
      <c r="B742" s="499"/>
      <c r="C742" s="499"/>
    </row>
    <row r="743" spans="1:3">
      <c r="A743" s="1"/>
      <c r="B743" s="499"/>
      <c r="C743" s="499"/>
    </row>
    <row r="744" spans="1:3">
      <c r="A744" s="1"/>
      <c r="B744" s="499"/>
      <c r="C744" s="499"/>
    </row>
    <row r="745" spans="1:3">
      <c r="A745" s="1"/>
      <c r="B745" s="499"/>
      <c r="C745" s="499"/>
    </row>
    <row r="746" spans="1:3">
      <c r="A746" s="1"/>
      <c r="B746" s="499"/>
      <c r="C746" s="499"/>
    </row>
    <row r="747" spans="1:3">
      <c r="A747" s="1"/>
      <c r="B747" s="499"/>
      <c r="C747" s="499"/>
    </row>
    <row r="748" spans="1:3">
      <c r="A748" s="1"/>
      <c r="B748" s="499"/>
      <c r="C748" s="499"/>
    </row>
    <row r="749" spans="1:3">
      <c r="A749" s="1"/>
      <c r="B749" s="499"/>
      <c r="C749" s="499"/>
    </row>
    <row r="750" spans="1:3">
      <c r="A750" s="1"/>
      <c r="B750" s="499"/>
      <c r="C750" s="499"/>
    </row>
    <row r="751" spans="1:3">
      <c r="A751" s="1"/>
      <c r="B751" s="499"/>
      <c r="C751" s="499"/>
    </row>
    <row r="752" spans="1:3">
      <c r="A752" s="1"/>
      <c r="B752" s="499"/>
      <c r="C752" s="499"/>
    </row>
    <row r="753" spans="1:3">
      <c r="A753" s="1"/>
      <c r="B753" s="499"/>
      <c r="C753" s="499"/>
    </row>
    <row r="754" spans="1:3">
      <c r="A754" s="1"/>
      <c r="B754" s="499"/>
      <c r="C754" s="499"/>
    </row>
    <row r="755" spans="1:3">
      <c r="A755" s="1"/>
      <c r="B755" s="499"/>
      <c r="C755" s="499"/>
    </row>
    <row r="756" spans="1:3">
      <c r="A756" s="1"/>
      <c r="B756" s="499"/>
      <c r="C756" s="499"/>
    </row>
    <row r="757" spans="1:3">
      <c r="A757" s="1"/>
      <c r="B757" s="499"/>
      <c r="C757" s="499"/>
    </row>
    <row r="758" spans="1:3">
      <c r="A758" s="1"/>
      <c r="B758" s="499"/>
      <c r="C758" s="499"/>
    </row>
    <row r="759" spans="1:3">
      <c r="A759" s="1"/>
      <c r="B759" s="499"/>
      <c r="C759" s="499"/>
    </row>
    <row r="760" spans="1:3">
      <c r="A760" s="1"/>
      <c r="B760" s="499"/>
      <c r="C760" s="499"/>
    </row>
    <row r="761" spans="1:3">
      <c r="A761" s="1"/>
      <c r="B761" s="499"/>
      <c r="C761" s="499"/>
    </row>
    <row r="762" spans="1:3">
      <c r="A762" s="1"/>
      <c r="B762" s="499"/>
      <c r="C762" s="499"/>
    </row>
    <row r="763" spans="1:3">
      <c r="A763" s="1"/>
      <c r="B763" s="499"/>
      <c r="C763" s="499"/>
    </row>
    <row r="764" spans="1:3">
      <c r="A764" s="1"/>
      <c r="B764" s="499"/>
      <c r="C764" s="499"/>
    </row>
    <row r="765" spans="1:3">
      <c r="A765" s="1"/>
      <c r="B765" s="499"/>
      <c r="C765" s="499"/>
    </row>
    <row r="766" spans="1:3">
      <c r="A766" s="1"/>
      <c r="B766" s="499"/>
      <c r="C766" s="499"/>
    </row>
    <row r="767" spans="1:3">
      <c r="A767" s="1"/>
      <c r="B767" s="499"/>
      <c r="C767" s="499"/>
    </row>
    <row r="768" spans="1:3">
      <c r="A768" s="1"/>
      <c r="B768" s="499"/>
      <c r="C768" s="499"/>
    </row>
    <row r="769" spans="1:3">
      <c r="A769" s="1"/>
      <c r="B769" s="499"/>
      <c r="C769" s="499"/>
    </row>
    <row r="770" spans="1:3">
      <c r="A770" s="1"/>
      <c r="B770" s="499"/>
      <c r="C770" s="499"/>
    </row>
    <row r="771" spans="1:3">
      <c r="A771" s="1"/>
      <c r="B771" s="499"/>
      <c r="C771" s="499"/>
    </row>
    <row r="772" spans="1:3">
      <c r="A772" s="1"/>
      <c r="B772" s="499"/>
      <c r="C772" s="499"/>
    </row>
    <row r="773" spans="1:3">
      <c r="A773" s="1"/>
      <c r="B773" s="499"/>
      <c r="C773" s="499"/>
    </row>
    <row r="774" spans="1:3">
      <c r="A774" s="1"/>
      <c r="B774" s="499"/>
      <c r="C774" s="499"/>
    </row>
    <row r="775" spans="1:3">
      <c r="A775" s="1"/>
      <c r="B775" s="499"/>
      <c r="C775" s="499"/>
    </row>
    <row r="776" spans="1:3">
      <c r="A776" s="1"/>
      <c r="B776" s="499"/>
      <c r="C776" s="499"/>
    </row>
    <row r="777" spans="1:3">
      <c r="A777" s="1"/>
      <c r="B777" s="499"/>
      <c r="C777" s="499"/>
    </row>
    <row r="778" spans="1:3">
      <c r="A778" s="1"/>
      <c r="B778" s="499"/>
      <c r="C778" s="499"/>
    </row>
    <row r="779" spans="1:3">
      <c r="A779" s="1"/>
      <c r="B779" s="499"/>
      <c r="C779" s="499"/>
    </row>
    <row r="780" spans="1:3">
      <c r="A780" s="1"/>
      <c r="B780" s="499"/>
      <c r="C780" s="499"/>
    </row>
    <row r="781" spans="1:3">
      <c r="A781" s="1"/>
      <c r="B781" s="499"/>
      <c r="C781" s="499"/>
    </row>
    <row r="782" spans="1:3">
      <c r="A782" s="1"/>
      <c r="B782" s="499"/>
      <c r="C782" s="499"/>
    </row>
    <row r="783" spans="1:3">
      <c r="A783" s="1"/>
      <c r="B783" s="499"/>
      <c r="C783" s="499"/>
    </row>
    <row r="784" spans="1:3">
      <c r="A784" s="1"/>
      <c r="B784" s="499"/>
      <c r="C784" s="499"/>
    </row>
    <row r="785" spans="1:3">
      <c r="A785" s="1"/>
      <c r="B785" s="499"/>
      <c r="C785" s="499"/>
    </row>
    <row r="786" spans="1:3">
      <c r="A786" s="1"/>
      <c r="B786" s="499"/>
      <c r="C786" s="499"/>
    </row>
    <row r="787" spans="1:3">
      <c r="A787" s="1"/>
      <c r="B787" s="499"/>
      <c r="C787" s="499"/>
    </row>
    <row r="788" spans="1:3">
      <c r="A788" s="1"/>
      <c r="B788" s="499"/>
      <c r="C788" s="499"/>
    </row>
    <row r="789" spans="1:3">
      <c r="A789" s="1"/>
      <c r="B789" s="499"/>
      <c r="C789" s="499"/>
    </row>
    <row r="790" spans="1:3">
      <c r="A790" s="1"/>
      <c r="B790" s="499"/>
      <c r="C790" s="499"/>
    </row>
    <row r="791" spans="1:3">
      <c r="A791" s="1"/>
      <c r="B791" s="499"/>
      <c r="C791" s="499"/>
    </row>
    <row r="792" spans="1:3">
      <c r="A792" s="1"/>
      <c r="B792" s="499"/>
      <c r="C792" s="499"/>
    </row>
    <row r="793" spans="1:3">
      <c r="A793" s="1"/>
      <c r="B793" s="499"/>
      <c r="C793" s="499"/>
    </row>
    <row r="794" spans="1:3">
      <c r="A794" s="1"/>
      <c r="B794" s="499"/>
      <c r="C794" s="499"/>
    </row>
    <row r="795" spans="1:3">
      <c r="A795" s="1"/>
      <c r="B795" s="499"/>
      <c r="C795" s="499"/>
    </row>
    <row r="796" spans="1:3">
      <c r="A796" s="1"/>
      <c r="B796" s="499"/>
      <c r="C796" s="499"/>
    </row>
    <row r="797" spans="1:3">
      <c r="A797" s="1"/>
      <c r="B797" s="499"/>
      <c r="C797" s="499"/>
    </row>
    <row r="798" spans="1:3">
      <c r="A798" s="1"/>
      <c r="B798" s="499"/>
      <c r="C798" s="499"/>
    </row>
    <row r="799" spans="1:3">
      <c r="A799" s="1"/>
      <c r="B799" s="499"/>
      <c r="C799" s="499"/>
    </row>
    <row r="800" spans="1:3">
      <c r="A800" s="1"/>
      <c r="B800" s="499"/>
      <c r="C800" s="499"/>
    </row>
    <row r="801" spans="1:3">
      <c r="A801" s="1"/>
      <c r="B801" s="499"/>
      <c r="C801" s="499"/>
    </row>
    <row r="802" spans="1:3">
      <c r="A802" s="1"/>
      <c r="B802" s="499"/>
      <c r="C802" s="499"/>
    </row>
    <row r="803" spans="1:3">
      <c r="A803" s="1"/>
      <c r="B803" s="499"/>
      <c r="C803" s="499"/>
    </row>
    <row r="804" spans="1:3">
      <c r="A804" s="1"/>
      <c r="B804" s="499"/>
      <c r="C804" s="499"/>
    </row>
    <row r="805" spans="1:3">
      <c r="A805" s="1"/>
      <c r="B805" s="499"/>
      <c r="C805" s="499"/>
    </row>
    <row r="806" spans="1:3">
      <c r="A806" s="1"/>
      <c r="B806" s="499"/>
      <c r="C806" s="499"/>
    </row>
    <row r="807" spans="1:3">
      <c r="A807" s="1"/>
      <c r="B807" s="499"/>
      <c r="C807" s="499"/>
    </row>
    <row r="808" spans="1:3">
      <c r="A808" s="1"/>
      <c r="B808" s="499"/>
      <c r="C808" s="499"/>
    </row>
    <row r="809" spans="1:3">
      <c r="A809" s="1"/>
      <c r="B809" s="499"/>
      <c r="C809" s="499"/>
    </row>
    <row r="810" spans="1:3">
      <c r="A810" s="1"/>
      <c r="B810" s="499"/>
      <c r="C810" s="499"/>
    </row>
    <row r="811" spans="1:3">
      <c r="A811" s="1"/>
      <c r="B811" s="499"/>
      <c r="C811" s="499"/>
    </row>
    <row r="812" spans="1:3">
      <c r="A812" s="1"/>
      <c r="B812" s="499"/>
      <c r="C812" s="499"/>
    </row>
    <row r="813" spans="1:3">
      <c r="A813" s="1"/>
      <c r="B813" s="499"/>
      <c r="C813" s="499"/>
    </row>
    <row r="814" spans="1:3">
      <c r="A814" s="1"/>
      <c r="B814" s="499"/>
      <c r="C814" s="499"/>
    </row>
    <row r="815" spans="1:3">
      <c r="A815" s="1"/>
      <c r="B815" s="499"/>
      <c r="C815" s="499"/>
    </row>
    <row r="816" spans="1:3">
      <c r="A816" s="1"/>
      <c r="B816" s="499"/>
      <c r="C816" s="499"/>
    </row>
    <row r="817" spans="1:3">
      <c r="A817" s="1"/>
      <c r="B817" s="499"/>
      <c r="C817" s="499"/>
    </row>
    <row r="818" spans="1:3">
      <c r="A818" s="1"/>
      <c r="B818" s="499"/>
      <c r="C818" s="499"/>
    </row>
    <row r="819" spans="1:3">
      <c r="A819" s="1"/>
      <c r="B819" s="499"/>
      <c r="C819" s="499"/>
    </row>
    <row r="820" spans="1:3">
      <c r="A820" s="1"/>
      <c r="B820" s="499"/>
      <c r="C820" s="499"/>
    </row>
    <row r="821" spans="1:3">
      <c r="A821" s="1"/>
      <c r="B821" s="499"/>
      <c r="C821" s="499"/>
    </row>
    <row r="822" spans="1:3">
      <c r="A822" s="1"/>
      <c r="B822" s="499"/>
      <c r="C822" s="499"/>
    </row>
    <row r="823" spans="1:3">
      <c r="A823" s="1"/>
      <c r="B823" s="499"/>
      <c r="C823" s="499"/>
    </row>
    <row r="824" spans="1:3">
      <c r="A824" s="1"/>
      <c r="B824" s="499"/>
      <c r="C824" s="499"/>
    </row>
    <row r="825" spans="1:3">
      <c r="A825" s="1"/>
      <c r="B825" s="499"/>
      <c r="C825" s="499"/>
    </row>
    <row r="826" spans="1:3">
      <c r="A826" s="1"/>
      <c r="B826" s="499"/>
      <c r="C826" s="499"/>
    </row>
    <row r="827" spans="1:3">
      <c r="A827" s="1"/>
      <c r="B827" s="499"/>
      <c r="C827" s="499"/>
    </row>
    <row r="828" spans="1:3">
      <c r="A828" s="1"/>
      <c r="B828" s="499"/>
      <c r="C828" s="499"/>
    </row>
    <row r="829" spans="1:3">
      <c r="A829" s="1"/>
      <c r="B829" s="499"/>
      <c r="C829" s="499"/>
    </row>
    <row r="830" spans="1:3">
      <c r="A830" s="1"/>
      <c r="B830" s="499"/>
      <c r="C830" s="499"/>
    </row>
    <row r="831" spans="1:3">
      <c r="A831" s="1"/>
      <c r="B831" s="499"/>
      <c r="C831" s="499"/>
    </row>
    <row r="832" spans="1:3">
      <c r="A832" s="1"/>
      <c r="B832" s="499"/>
      <c r="C832" s="499"/>
    </row>
    <row r="833" spans="1:3">
      <c r="A833" s="1"/>
      <c r="B833" s="499"/>
      <c r="C833" s="499"/>
    </row>
    <row r="834" spans="1:3">
      <c r="A834" s="1"/>
      <c r="B834" s="499"/>
      <c r="C834" s="499"/>
    </row>
    <row r="835" spans="1:3">
      <c r="A835" s="1"/>
      <c r="B835" s="499"/>
      <c r="C835" s="499"/>
    </row>
    <row r="836" spans="1:3">
      <c r="A836" s="1"/>
      <c r="B836" s="499"/>
      <c r="C836" s="499"/>
    </row>
    <row r="837" spans="1:3">
      <c r="A837" s="1"/>
      <c r="B837" s="499"/>
      <c r="C837" s="499"/>
    </row>
    <row r="838" spans="1:3">
      <c r="A838" s="1"/>
      <c r="B838" s="499"/>
      <c r="C838" s="499"/>
    </row>
    <row r="839" spans="1:3">
      <c r="A839" s="1"/>
      <c r="B839" s="499"/>
      <c r="C839" s="499"/>
    </row>
  </sheetData>
  <sheetProtection formatColumns="0" autoFilter="0"/>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25093-65CD-41C5-B7B0-86DC7F9EFC77}">
  <sheetPr codeName="Tabelle64"/>
  <dimension ref="B4:E36"/>
  <sheetViews>
    <sheetView workbookViewId="0">
      <selection activeCell="B4" sqref="B4:E23"/>
    </sheetView>
  </sheetViews>
  <sheetFormatPr baseColWidth="10" defaultRowHeight="15"/>
  <cols>
    <col min="2" max="2" width="4.140625" customWidth="1"/>
    <col min="3" max="3" width="34.140625" customWidth="1"/>
    <col min="4" max="5" width="16.140625" customWidth="1"/>
  </cols>
  <sheetData>
    <row r="4" spans="2:5" ht="21">
      <c r="B4" s="878" t="s">
        <v>4056</v>
      </c>
      <c r="C4" s="878"/>
      <c r="D4" s="878"/>
      <c r="E4" s="878"/>
    </row>
    <row r="5" spans="2:5">
      <c r="B5">
        <v>1</v>
      </c>
      <c r="C5" s="606" t="s">
        <v>4055</v>
      </c>
      <c r="D5" s="603" t="s">
        <v>4028</v>
      </c>
      <c r="E5" s="603" t="s">
        <v>4029</v>
      </c>
    </row>
    <row r="6" spans="2:5">
      <c r="B6">
        <v>2</v>
      </c>
      <c r="C6" s="351" t="s">
        <v>4030</v>
      </c>
      <c r="D6" s="352">
        <v>27759</v>
      </c>
      <c r="E6" s="352">
        <v>28855</v>
      </c>
    </row>
    <row r="7" spans="2:5">
      <c r="B7">
        <v>3</v>
      </c>
      <c r="C7" s="351" t="s">
        <v>4031</v>
      </c>
      <c r="D7" s="879">
        <v>46022</v>
      </c>
      <c r="E7" s="880"/>
    </row>
    <row r="8" spans="2:5">
      <c r="B8">
        <v>4</v>
      </c>
      <c r="C8" s="351" t="s">
        <v>1519</v>
      </c>
      <c r="D8" s="604">
        <f>ROUND(YEARFRAC(D6,$D$7,3),1)</f>
        <v>50</v>
      </c>
      <c r="E8" s="604">
        <f>ROUND(YEARFRAC(E6,$D$7,3),1)</f>
        <v>47</v>
      </c>
    </row>
    <row r="9" spans="2:5">
      <c r="B9">
        <v>5</v>
      </c>
      <c r="C9" s="351" t="s">
        <v>1454</v>
      </c>
      <c r="D9" s="499">
        <v>65</v>
      </c>
      <c r="E9" s="499">
        <v>67</v>
      </c>
    </row>
    <row r="10" spans="2:5">
      <c r="B10">
        <v>6</v>
      </c>
      <c r="C10" s="351" t="s">
        <v>3893</v>
      </c>
      <c r="D10" s="353" t="s">
        <v>1623</v>
      </c>
      <c r="E10" s="353" t="s">
        <v>1624</v>
      </c>
    </row>
    <row r="11" spans="2:5">
      <c r="B11">
        <v>7</v>
      </c>
      <c r="C11" s="351" t="s">
        <v>4034</v>
      </c>
      <c r="D11" s="530">
        <f>+DATE(YEAR(D6)+$D$9,MONTH(D6)+1,1)</f>
        <v>51502</v>
      </c>
      <c r="E11" s="530">
        <f>+DATE(YEAR(E6)+$D$9,MONTH(E6)+1,1)</f>
        <v>52597</v>
      </c>
    </row>
    <row r="12" spans="2:5">
      <c r="B12">
        <v>8</v>
      </c>
      <c r="C12" s="351" t="s">
        <v>4035</v>
      </c>
      <c r="D12" s="879">
        <f>MAX(D11,E11)</f>
        <v>52597</v>
      </c>
      <c r="E12" s="879"/>
    </row>
    <row r="13" spans="2:5">
      <c r="B13">
        <v>9</v>
      </c>
      <c r="C13" s="351" t="s">
        <v>4032</v>
      </c>
      <c r="D13" s="499">
        <f>VLOOKUP(D9,IF(D$10="m",Lx,Ly),YEAR(D6)-1900+2)</f>
        <v>21.588702963427711</v>
      </c>
      <c r="E13" s="499">
        <f>VLOOKUP(E9,IF(E$10="m",Lx,Ly),YEAR(E6)-1900+2)</f>
        <v>23.317903384788206</v>
      </c>
    </row>
    <row r="14" spans="2:5">
      <c r="B14">
        <v>10</v>
      </c>
      <c r="C14" s="351" t="s">
        <v>3890</v>
      </c>
      <c r="D14" s="499">
        <f>ROUND(YEARFRAC(D6,D12,3),0)</f>
        <v>68</v>
      </c>
      <c r="E14" s="499">
        <f>ROUND(YEARFRAC(E6,D12,3),0)</f>
        <v>65</v>
      </c>
    </row>
    <row r="15" spans="2:5">
      <c r="B15">
        <v>11</v>
      </c>
      <c r="C15" s="351" t="s">
        <v>4033</v>
      </c>
      <c r="D15" s="499">
        <f>VLOOKUP(D14,IF(D$10="m",Lx,Ly),YEAR(D6)-1900+2)</f>
        <v>19.32213987731043</v>
      </c>
      <c r="E15" s="499">
        <f>VLOOKUP(E14,IF(E$10="m",Lx,Ly),YEAR(E6)-1900+2)</f>
        <v>25.041695175225605</v>
      </c>
    </row>
    <row r="16" spans="2:5">
      <c r="B16">
        <v>12</v>
      </c>
      <c r="C16" s="351" t="s">
        <v>4036</v>
      </c>
      <c r="D16" s="880">
        <f>MIN(D15:E15)</f>
        <v>19.32213987731043</v>
      </c>
      <c r="E16" s="880"/>
    </row>
    <row r="17" spans="2:5">
      <c r="B17">
        <v>13</v>
      </c>
      <c r="C17" s="351" t="s">
        <v>4037</v>
      </c>
      <c r="D17" s="524">
        <v>500</v>
      </c>
      <c r="E17" s="1"/>
    </row>
    <row r="18" spans="2:5">
      <c r="B18">
        <v>14</v>
      </c>
      <c r="C18" s="351" t="s">
        <v>4038</v>
      </c>
      <c r="D18" s="605">
        <v>0</v>
      </c>
      <c r="E18" s="1"/>
    </row>
    <row r="19" spans="2:5">
      <c r="B19">
        <v>15</v>
      </c>
      <c r="C19" s="351" t="s">
        <v>4039</v>
      </c>
      <c r="D19" s="605">
        <v>0.02</v>
      </c>
      <c r="E19" s="1"/>
    </row>
    <row r="20" spans="2:5">
      <c r="B20">
        <v>16</v>
      </c>
      <c r="C20" s="351" t="s">
        <v>4044</v>
      </c>
      <c r="D20" s="881">
        <v>2.5000000000000001E-2</v>
      </c>
      <c r="E20" s="880"/>
    </row>
    <row r="21" spans="2:5">
      <c r="B21">
        <v>17</v>
      </c>
      <c r="C21" s="351" t="s">
        <v>4041</v>
      </c>
      <c r="D21" s="604">
        <f>+D9-D8</f>
        <v>15</v>
      </c>
      <c r="E21" s="1"/>
    </row>
    <row r="22" spans="2:5">
      <c r="B22">
        <v>18</v>
      </c>
      <c r="C22" s="351" t="s">
        <v>4040</v>
      </c>
      <c r="D22" s="524">
        <f>+D17*(1+D18)^(D9-D8)</f>
        <v>500</v>
      </c>
      <c r="E22" s="1"/>
    </row>
    <row r="23" spans="2:5">
      <c r="B23">
        <v>19</v>
      </c>
      <c r="C23" s="351" t="s">
        <v>4042</v>
      </c>
      <c r="D23" s="524">
        <f>+D22*(1+D19)^(D14-D9)</f>
        <v>530.60399999999993</v>
      </c>
      <c r="E23" s="1"/>
    </row>
    <row r="24" spans="2:5">
      <c r="B24">
        <v>20</v>
      </c>
      <c r="C24" s="351" t="s">
        <v>4043</v>
      </c>
      <c r="D24" s="524">
        <f>-PV(D20,D16,D23*12)</f>
        <v>96636.561060180989</v>
      </c>
      <c r="E24" s="1"/>
    </row>
    <row r="25" spans="2:5">
      <c r="B25">
        <v>21</v>
      </c>
      <c r="C25" s="351" t="s">
        <v>4045</v>
      </c>
      <c r="D25" s="1">
        <f>VLOOKUP(D14,Kohorte_M,YEAR(D$6)-1900+2)</f>
        <v>83597</v>
      </c>
      <c r="E25" s="1"/>
    </row>
    <row r="26" spans="2:5">
      <c r="B26">
        <v>22</v>
      </c>
      <c r="C26" s="351" t="s">
        <v>4046</v>
      </c>
      <c r="D26" s="1">
        <f>VLOOKUP(D8,Kohorte_M,YEAR(D$6)-1900+2)</f>
        <v>93607</v>
      </c>
      <c r="E26" s="1"/>
    </row>
    <row r="27" spans="2:5">
      <c r="B27">
        <v>23</v>
      </c>
      <c r="C27" s="351" t="s">
        <v>4047</v>
      </c>
      <c r="D27" s="1">
        <f>ROUND(D25/D26,4)</f>
        <v>0.8931</v>
      </c>
      <c r="E27" s="1"/>
    </row>
    <row r="28" spans="2:5">
      <c r="B28">
        <v>24</v>
      </c>
      <c r="C28" s="351" t="s">
        <v>4043</v>
      </c>
      <c r="D28" s="608">
        <f>+D27*D24</f>
        <v>86306.112682847641</v>
      </c>
      <c r="E28" s="1"/>
    </row>
    <row r="29" spans="2:5">
      <c r="B29">
        <v>25</v>
      </c>
      <c r="C29" s="606" t="s">
        <v>4054</v>
      </c>
      <c r="D29" s="607">
        <f>+-PV(2.5%,YEARFRAC(D7,D12,3),,D28)</f>
        <v>55317.822526766562</v>
      </c>
      <c r="E29" s="1"/>
    </row>
    <row r="30" spans="2:5">
      <c r="B30">
        <v>26</v>
      </c>
      <c r="C30" s="351" t="s">
        <v>4048</v>
      </c>
      <c r="D30" s="1"/>
      <c r="E30" s="524">
        <f>-PV(-D19+D20,D16,D23*12)</f>
        <v>116994.40047007122</v>
      </c>
    </row>
    <row r="31" spans="2:5">
      <c r="B31">
        <v>27</v>
      </c>
      <c r="C31" s="351" t="s">
        <v>4049</v>
      </c>
      <c r="D31" s="1"/>
      <c r="E31" s="1">
        <f>ROUND(VLOOKUP(D7,'Parameter DRV'!T5:V100,2),10)</f>
        <v>1.06477E-4</v>
      </c>
    </row>
    <row r="32" spans="2:5">
      <c r="B32">
        <v>28</v>
      </c>
      <c r="C32" s="351" t="s">
        <v>4050</v>
      </c>
      <c r="D32" s="1"/>
      <c r="E32" s="1">
        <f>ROUND(+D29*E31,4)</f>
        <v>5.8901000000000003</v>
      </c>
    </row>
    <row r="33" spans="2:5">
      <c r="B33">
        <v>29</v>
      </c>
      <c r="C33" s="351" t="s">
        <v>3117</v>
      </c>
      <c r="D33" s="1"/>
      <c r="E33" s="524">
        <f>VLOOKUP(D7,'Parameter DRV'!G5:I100,2)</f>
        <v>40.79</v>
      </c>
    </row>
    <row r="34" spans="2:5">
      <c r="B34">
        <v>30</v>
      </c>
      <c r="C34" s="351" t="s">
        <v>4051</v>
      </c>
      <c r="D34" s="1"/>
      <c r="E34" s="524">
        <f>+E32*E33</f>
        <v>240.25717900000001</v>
      </c>
    </row>
    <row r="35" spans="2:5">
      <c r="B35">
        <v>31</v>
      </c>
      <c r="C35" s="351" t="s">
        <v>4052</v>
      </c>
      <c r="D35" s="1"/>
      <c r="E35" s="524">
        <f>E34*(1+2.6%)^(E9-E8)</f>
        <v>401.4427222264485</v>
      </c>
    </row>
    <row r="36" spans="2:5">
      <c r="B36">
        <v>32</v>
      </c>
      <c r="C36" s="876" t="s">
        <v>4053</v>
      </c>
      <c r="D36" s="877"/>
      <c r="E36" s="607">
        <f>-PV(-2.6%,E13,E35*12)</f>
        <v>157180.93009737562</v>
      </c>
    </row>
  </sheetData>
  <sheetProtection algorithmName="SHA-512" hashValue="zkPZEryNizdg2XtpHD8d5ZK1bumYQLF2B7msgQCLJO9GrMcfoFsfAIFqSf2Tm3gjteNwVGzDyHOv8aXtjWFzgg==" saltValue="GKkinxxKoQDvZraFKJ+WFA==" spinCount="100000" sheet="1" objects="1" scenarios="1" formatColumns="0" autoFilter="0"/>
  <mergeCells count="6">
    <mergeCell ref="C36:D36"/>
    <mergeCell ref="B4:E4"/>
    <mergeCell ref="D7:E7"/>
    <mergeCell ref="D12:E12"/>
    <mergeCell ref="D16:E16"/>
    <mergeCell ref="D20:E20"/>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445D3-2152-4EEB-B9A9-57385CE61C28}">
  <sheetPr codeName="Tabelle55">
    <tabColor rgb="FF00B050"/>
    <pageSetUpPr fitToPage="1"/>
  </sheetPr>
  <dimension ref="A1:Z68"/>
  <sheetViews>
    <sheetView showGridLines="0" showRowColHeaders="0" zoomScale="145" zoomScaleNormal="145" workbookViewId="0">
      <selection activeCell="H16" sqref="H16"/>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6.140625" customWidth="1"/>
    <col min="2" max="2" width="48.42578125" customWidth="1"/>
    <col min="3" max="3" width="13.7109375" customWidth="1"/>
    <col min="4" max="5" width="13.42578125" customWidth="1"/>
    <col min="6" max="6" width="13.5703125" customWidth="1"/>
    <col min="7" max="7" width="14.5703125" customWidth="1"/>
    <col min="8" max="8" width="14" customWidth="1"/>
    <col min="9" max="9" width="13.140625" customWidth="1"/>
    <col min="10" max="10" width="15.28515625" customWidth="1"/>
    <col min="11" max="11" width="6.5703125" customWidth="1"/>
    <col min="12" max="12" width="20.5703125" hidden="1" customWidth="1"/>
    <col min="13" max="13" width="19.7109375" hidden="1" customWidth="1"/>
    <col min="14" max="22" width="16.85546875" hidden="1" customWidth="1"/>
    <col min="23" max="26" width="11.42578125" hidden="1" customWidth="1"/>
    <col min="27" max="16384" width="1" hidden="1"/>
  </cols>
  <sheetData>
    <row r="1" spans="1:18">
      <c r="A1" s="906" t="e" vm="1">
        <f>VLOOKUP(Länderwahl,Länderkennzeichen,3,FALSE)</f>
        <v>#VALUE!</v>
      </c>
      <c r="B1" s="907" t="str">
        <f>"Grundinformationen zu der auszugleichenden Altersversorgung "&amp;Länderwahl&amp;" zum Fall"</f>
        <v>Grundinformationen zu der auszugleichenden Altersversorgung Tschechien zum Fall</v>
      </c>
      <c r="C1" s="908"/>
      <c r="D1" s="908"/>
      <c r="E1" s="908"/>
      <c r="F1" s="908"/>
      <c r="G1" s="908"/>
      <c r="H1" s="908"/>
      <c r="I1" s="908"/>
      <c r="J1" s="908"/>
      <c r="K1" s="916" t="e" vm="1">
        <f>VLOOKUP(Länderwahl,Länderkennzeichen,3,FALSE)</f>
        <v>#VALUE!</v>
      </c>
      <c r="L1" s="11" t="s">
        <v>3899</v>
      </c>
    </row>
    <row r="2" spans="1:18" ht="18.75" customHeight="1">
      <c r="A2" s="906"/>
      <c r="B2" s="909"/>
      <c r="C2" s="909"/>
      <c r="D2" s="909"/>
      <c r="E2" s="909"/>
      <c r="F2" s="909"/>
      <c r="G2" s="909"/>
      <c r="H2" s="909"/>
      <c r="I2" s="909"/>
      <c r="J2" s="909"/>
      <c r="K2" s="916"/>
    </row>
    <row r="3" spans="1:18" ht="32.25" customHeight="1">
      <c r="A3" s="308"/>
      <c r="B3" s="917" t="s">
        <v>2456</v>
      </c>
      <c r="C3" s="917"/>
      <c r="D3" s="917"/>
      <c r="E3" s="509"/>
      <c r="F3" s="514">
        <f>+Dat_Ber</f>
        <v>0</v>
      </c>
      <c r="G3" s="920" t="s">
        <v>3880</v>
      </c>
      <c r="H3" s="920" t="s">
        <v>3881</v>
      </c>
      <c r="I3" s="925" t="s">
        <v>4666</v>
      </c>
      <c r="J3" s="504" t="s">
        <v>3879</v>
      </c>
      <c r="K3" s="556" t="s">
        <v>3906</v>
      </c>
    </row>
    <row r="4" spans="1:18">
      <c r="A4" s="308"/>
      <c r="B4" s="510" t="s">
        <v>3877</v>
      </c>
      <c r="C4" s="516">
        <f>+EzE</f>
        <v>0</v>
      </c>
      <c r="D4" s="511" t="s">
        <v>3892</v>
      </c>
      <c r="E4" s="511" t="s">
        <v>3893</v>
      </c>
      <c r="F4" s="511" t="s">
        <v>3876</v>
      </c>
      <c r="G4" s="920"/>
      <c r="H4" s="920"/>
      <c r="I4" s="925"/>
      <c r="J4" s="505">
        <f>+Abfindungsberechnung!I5</f>
        <v>0</v>
      </c>
      <c r="K4" s="513"/>
      <c r="L4" s="11" t="s">
        <v>4077</v>
      </c>
      <c r="M4" s="640">
        <v>0</v>
      </c>
    </row>
    <row r="5" spans="1:18" ht="15" customHeight="1">
      <c r="A5" s="308"/>
      <c r="B5" s="510" t="s">
        <v>3872</v>
      </c>
      <c r="C5" s="517">
        <f>+Dat_GebDat_Pfl</f>
        <v>0</v>
      </c>
      <c r="D5" s="512" t="str">
        <f>+Abfindungsberechnung!E6</f>
        <v/>
      </c>
      <c r="E5" s="512" t="str">
        <f>CHOOSE(GeschlechtsNr_Pfl,"m","w","d")</f>
        <v>m</v>
      </c>
      <c r="F5" s="506" t="str">
        <f>+Alter_Pfl</f>
        <v/>
      </c>
      <c r="G5" s="547">
        <f>+ReAlter_Pfl</f>
        <v>0</v>
      </c>
      <c r="H5" s="507" t="str">
        <f>+Leistungsbeginn_Pfl</f>
        <v/>
      </c>
      <c r="I5" s="799" t="e">
        <f>ROUND(VLOOKUP(IF(G5&gt;F5,G5,F5),CHOOSE(GeschlechtsNr_Pfl,Lx,Ly,Ln),YEAR(C5)-1900+2),1)</f>
        <v>#N/A</v>
      </c>
      <c r="J5" s="508">
        <f>+sVA_Rente_Fälligkeit</f>
        <v>0</v>
      </c>
      <c r="K5" s="513"/>
    </row>
    <row r="6" spans="1:18">
      <c r="A6" s="308"/>
      <c r="B6" s="510" t="s">
        <v>2505</v>
      </c>
      <c r="C6" s="517">
        <f>+Dat_BebDat_Ber</f>
        <v>0</v>
      </c>
      <c r="D6" s="512" t="str">
        <f>+Geschlecht_Ber</f>
        <v/>
      </c>
      <c r="E6" s="512" t="str">
        <f>CHOOSE(GeschlechtsNr_Ber,"m","w","d")</f>
        <v>w</v>
      </c>
      <c r="F6" s="506" t="str">
        <f>+Alter_Ber</f>
        <v/>
      </c>
      <c r="G6" s="547">
        <f>+RentenalterBer</f>
        <v>0</v>
      </c>
      <c r="H6" s="507" t="str">
        <f>+Abfindungsberechnung!H7</f>
        <v/>
      </c>
      <c r="I6" s="799" t="e">
        <f>ROUND(VLOOKUP(IF(G6&gt;F6,G6,F6),CHOOSE(GeschlechtsNr_Ber,Lx,Ly,Ln),YEAR(C6)-1900+2),1)</f>
        <v>#N/A</v>
      </c>
      <c r="J6" s="508">
        <f>+Abfindungsberechnung!I7</f>
        <v>0</v>
      </c>
      <c r="K6" s="513"/>
    </row>
    <row r="7" spans="1:18" ht="15" customHeight="1" thickBot="1">
      <c r="A7" s="308"/>
      <c r="B7" s="921" t="s">
        <v>3882</v>
      </c>
      <c r="C7" s="921"/>
      <c r="D7" s="922" t="str">
        <f>IFERROR(HYPERLINK(VLOOKUP(Länderwahl,EUEFTA_Rentenrechner,3,FALSE),"→ zum Rentenrechner"),"x Rentenrechner nicht verfügbar")</f>
        <v>→ zum Rentenrechner</v>
      </c>
      <c r="E7" s="923"/>
      <c r="F7" s="542">
        <f>+ReHöhe_EZE_Pfl</f>
        <v>0</v>
      </c>
      <c r="G7" s="924" t="s">
        <v>3132</v>
      </c>
      <c r="H7" s="924"/>
      <c r="I7" s="544">
        <f>+ReAnzahlproJahr</f>
        <v>12</v>
      </c>
      <c r="J7" s="518"/>
      <c r="K7" s="513"/>
    </row>
    <row r="8" spans="1:18" ht="15.75" thickBot="1">
      <c r="A8" s="308"/>
      <c r="B8" s="918" t="str">
        <f>+Abfindungsberechnung!C16</f>
        <v>Bitte Renteneintrittsalter eingeben (E10)</v>
      </c>
      <c r="C8" s="919"/>
      <c r="D8" s="919"/>
      <c r="E8" s="919"/>
      <c r="F8" s="545">
        <f>+ReHöhe_Berdat</f>
        <v>0</v>
      </c>
      <c r="G8" s="519" t="s">
        <v>3895</v>
      </c>
      <c r="H8" s="613" t="str">
        <f>IFERROR(IF(G5-D5&lt;0,0,G5-D5),"")</f>
        <v/>
      </c>
      <c r="I8" s="519" t="s">
        <v>3896</v>
      </c>
      <c r="J8" s="521">
        <f>IF(J5-G5&lt;0,0,J5-G5)</f>
        <v>0</v>
      </c>
      <c r="K8" s="513"/>
    </row>
    <row r="9" spans="1:18" hidden="1">
      <c r="A9" s="308"/>
      <c r="B9" s="762"/>
      <c r="C9" s="763"/>
      <c r="D9" s="764"/>
      <c r="E9" s="765"/>
      <c r="F9" s="544"/>
      <c r="G9" s="759"/>
      <c r="H9" s="761"/>
      <c r="I9" s="760"/>
      <c r="J9" s="761"/>
      <c r="K9" s="513"/>
    </row>
    <row r="10" spans="1:18" ht="27" customHeight="1">
      <c r="A10" s="308"/>
      <c r="B10" s="911" t="str">
        <f>"Methode 1: Berechnung der Abfindung des Anrechts der im Berechnungszeitpunkt "&amp;TEXT(Alter_Pfl,"0,0")&amp;" Jahre alten ausgleichspflichtigen Person"</f>
        <v>Methode 1: Berechnung der Abfindung des Anrechts der im Berechnungszeitpunkt  Jahre alten ausgleichspflichtigen Person</v>
      </c>
      <c r="C10" s="912"/>
      <c r="D10" s="912"/>
      <c r="E10" s="912"/>
      <c r="F10" s="912"/>
      <c r="G10" s="912"/>
      <c r="H10" s="912"/>
      <c r="I10" s="912"/>
      <c r="J10" s="913"/>
      <c r="K10" s="308"/>
      <c r="L10" s="11" t="s">
        <v>4073</v>
      </c>
      <c r="M10" s="323" t="b">
        <v>0</v>
      </c>
    </row>
    <row r="11" spans="1:18" ht="18.75" customHeight="1">
      <c r="A11" s="645">
        <v>1</v>
      </c>
      <c r="B11" s="888" t="str">
        <f>IFERROR(IF(Anwartschaftszeit_Pfl=0,"Keine Anwartschaftszeit: ","Anwartschaftszeit von "&amp;TEXT(Dat_Ber,"T.M.JJ")&amp;" (Berechnungsdatum) bis Renteneintritt Pfl. am "&amp;TEXT(Leistungsbeginn_Pfl,"T.M.JJ")&amp;": "),"")</f>
        <v xml:space="preserve">Anwartschaftszeit von 0.1.00 (Berechnungsdatum) bis Renteneintritt Pfl. am : </v>
      </c>
      <c r="C11" s="889"/>
      <c r="D11" s="890"/>
      <c r="E11" s="428" t="str">
        <f>IFERROR(ROUND(IF(ReAlter_Pfl-Alter_Pfl&lt;0,0,ReAlter_Pfl-Alter_Pfl),1),"")</f>
        <v/>
      </c>
      <c r="F11" s="882" t="str">
        <f>"Lebenserw. "&amp;CHOOSE(GeschlechtsNr_Pfl,"M","F","D")&amp;" ab Rentenbeginn:"</f>
        <v>Lebenserw. M ab Rentenbeginn:</v>
      </c>
      <c r="G11" s="882"/>
      <c r="H11" s="428">
        <f>ROUND(MIN(L_sVABeginn_Ber,L_sVABeginn_Pfl),1)*IFERROR(IF(M10,(1+L_DzuAuswahlland),1),1)</f>
        <v>0</v>
      </c>
      <c r="I11" s="141"/>
      <c r="J11" s="141"/>
      <c r="K11" s="796">
        <v>1</v>
      </c>
      <c r="L11" s="11" t="s">
        <v>3087</v>
      </c>
    </row>
    <row r="12" spans="1:18" ht="18.95" customHeight="1">
      <c r="A12" s="645">
        <v>2</v>
      </c>
      <c r="B12" s="882" t="str">
        <f>"Ø  voraussichtliche Höhe der Rente d. Pfl. bei Rentenbeginn: "&amp;TEXT(Abfindungsberechnung!F9,"#.##0,00")&amp;" x (1 + "&amp;TEXT(Abfindungsberechnung!G15,"0,00%")&amp;")^"&amp;TEXT(H8,"0,00")&amp;" x "&amp;TEXT(Abfindungsberechnung!I9,"0,0")&amp;" / 12 ="</f>
        <v>Ø  voraussichtliche Höhe der Rente d. Pfl. bei Rentenbeginn: 0,00 x (1 + 0,00%)^ x 12,0 / 12 =</v>
      </c>
      <c r="C12" s="882"/>
      <c r="D12" s="882"/>
      <c r="E12" s="882"/>
      <c r="F12" s="882"/>
      <c r="G12" s="882"/>
      <c r="H12" s="543" t="e">
        <f>ROUND(F7*ReAnzahlproJahr*(1+ReDyn_Anwartschaft)^'Abfindung Methode 1'!H8/12,2)</f>
        <v>#VALUE!</v>
      </c>
      <c r="I12" s="440" t="s">
        <v>2472</v>
      </c>
      <c r="J12" s="367" t="e">
        <f>+Monatsrente_Pfl*12</f>
        <v>#VALUE!</v>
      </c>
      <c r="K12" s="796">
        <v>2</v>
      </c>
      <c r="L12" s="351" t="s">
        <v>3232</v>
      </c>
      <c r="M12" s="353" t="s">
        <v>3233</v>
      </c>
      <c r="N12" s="353" t="s">
        <v>3234</v>
      </c>
      <c r="P12">
        <f>6060*19.02</f>
        <v>115261.2</v>
      </c>
    </row>
    <row r="13" spans="1:18" ht="18.95" customHeight="1">
      <c r="A13" s="645">
        <v>3</v>
      </c>
      <c r="B13" s="882" t="str">
        <f>IFERROR("Barwert d. AusglWerts ("&amp;TEXT(Monatsrente_Pfl,"#.##0,00")&amp;") bei Rentenbeginn am ("&amp;TEXT(H5,"TT.MM.JJJJ")&amp;"): "&amp;TEXT(Monatsrente_Pfl,"#.##0,00 €")&amp;" x 12 "&amp;" x (1 - (1 + "&amp;TEXT(Rechnungszins,"0,00%")&amp;" - "&amp;TEXT(ReDynamik_Leistung,"0,00%")&amp;")^-"&amp;TEXT(Leistungszeit_Pfl,"0,0")&amp;")/("&amp;TEXT(Rechnungszins,"0,00%")&amp;" - "&amp;TEXT(Abfindungsberechnung!I15,"0,00%")&amp;") = ","")</f>
        <v/>
      </c>
      <c r="C13" s="882"/>
      <c r="D13" s="882"/>
      <c r="E13" s="882"/>
      <c r="F13" s="882"/>
      <c r="G13" s="882"/>
      <c r="H13" s="368" t="str">
        <f>IFERROR(ROUND(-PV(Rechnungszins-ReDynamik_Leistung,Leistungszeit_Pfl,Jahresrente_Pfl,,0),0),"")</f>
        <v/>
      </c>
      <c r="I13" s="884" t="s">
        <v>4078</v>
      </c>
      <c r="J13" s="884"/>
      <c r="K13" s="796">
        <v>3</v>
      </c>
      <c r="L13" s="351" t="s">
        <v>3235</v>
      </c>
      <c r="M13" s="352" t="str">
        <f>+Leistungsbeginn_Pfl</f>
        <v/>
      </c>
      <c r="N13" s="352">
        <f>DATE(YEAR(Dat_BebDat_Ber)+INT(RentenalterBer),MONTH(Dat_BebDat_Ber)+(RentenalterBer-INT(RentenalterBer))*12+1,1)</f>
        <v>32</v>
      </c>
      <c r="O13" s="11" t="s">
        <v>3088</v>
      </c>
      <c r="P13" s="11" t="s">
        <v>3089</v>
      </c>
      <c r="Q13" s="11" t="s">
        <v>3090</v>
      </c>
      <c r="R13" s="11" t="s">
        <v>3091</v>
      </c>
    </row>
    <row r="14" spans="1:18" ht="18.95" customHeight="1">
      <c r="A14" s="645">
        <v>4</v>
      </c>
      <c r="B14" s="882" t="str">
        <f>IF(Anwartschaftszeit_Pfl=0,"Keine Abzinsung auf den Berechnungszeitpunkt, da der Berechnungszeitpunkt in den Versorgungsbezug fällt","Mit "&amp;TEXT(Abfindungsberechnung!I17,"0,00%")&amp;" abgezinster Barwert zwischen Leistungsbeginn ("&amp;TEXT(H5,"TT.MM.JJ")&amp;") zum Berechnungszeitpunkt "&amp;TEXT(F3,"t.M.JJ")&amp;": "&amp;TEXT(BW_Pfl_Leistngsbeginn,"###.##0")&amp;IF(Anwartschaftszeit_Pfl=0,""," x (1 + "&amp;TEXT(Rechnungszins,"0,00%")&amp;")^-"&amp;TEXT(Anwartschaftszeit_Pfl,"0,0"))&amp;" = ")</f>
        <v xml:space="preserve">Mit 0,00% abgezinster Barwert zwischen Leistungsbeginn () zum Berechnungszeitpunkt 0.1.00:  x (1 + 0,00%)^- = </v>
      </c>
      <c r="C14" s="882"/>
      <c r="D14" s="882"/>
      <c r="E14" s="882"/>
      <c r="F14" s="882"/>
      <c r="G14" s="882"/>
      <c r="H14" s="368" t="str">
        <f>IFERROR(ROUND(BW_Pfl_Leistngsbeginn*(1+Rechnungszins)^-Anwartschaftszeit_Pfl,0),"")</f>
        <v/>
      </c>
      <c r="I14" s="887" t="str">
        <f>IFERROR("der in "&amp;Länderwahl&amp;" gegenüber Deutschland um ca. "&amp;TEXT(L_DzuAuswahlland,"0,0%")&amp;IF(L_DzuAuswahlland&gt;0," höheren "," niedrigeren ") &amp;" Lebenserwartung d. auglpfl. Person","Keine Daten zur Lebenserwartung verfügbar")</f>
        <v>der in Tschechien gegenüber Deutschland um ca. -8,0% niedrigeren  Lebenserwartung d. auglpfl. Person</v>
      </c>
      <c r="J14" s="887"/>
      <c r="K14" s="796">
        <v>4</v>
      </c>
      <c r="L14" s="351" t="s">
        <v>3236</v>
      </c>
      <c r="M14" s="914">
        <f>MAX(M13,N13)</f>
        <v>32</v>
      </c>
      <c r="N14" s="915"/>
      <c r="O14">
        <f>RentenalterBer</f>
        <v>0</v>
      </c>
      <c r="P14" t="str">
        <f>+Alter_Ber</f>
        <v/>
      </c>
      <c r="Q14" s="298" t="e">
        <f>ROUND(VLOOKUP(IF(RentenalterBer&lt;=Alter_Ber,ROUND(Alter_Ber,0),ROUND(RentenalterBer,0)),CHOOSE(GeschlechtsNr_Ber,Lx,Ly,Ln),YEAR(Dat_GebDat_Ber)+IF(MONTH(Dat_GebDat_Ber)&gt;6,1,0)-1900+2),2)</f>
        <v>#VALUE!</v>
      </c>
    </row>
    <row r="15" spans="1:18" ht="18.95" customHeight="1">
      <c r="A15" s="645">
        <v>5</v>
      </c>
      <c r="B15" s="882" t="e">
        <f>IF(Alter_Pfl&lt;=ReAlter_Pfl,"Überlebenswahrscheinlichkeit d. Pfl. vom: "&amp;TEXT(Dat_Ber,"T.M.JJJJ")&amp;" (BerDatum) bis Rentenbeginn ("&amp;TEXT(H5,"TT.MM.JJJJ")&amp;"): "&amp;TEXT(VLOOKUP(G5,CHOOSE(GeschlechtsNr_Pfl,Kohorte_M,Kohorte_W,Kohorte_D),YEAR(Dat_GebDat_Pfl)+IF(MONTH(Dat_GebDat_Pfl)&gt;6,1,0)-1900+2),"###.##0")&amp;" / "&amp;TEXT(VLOOKUP(F5,CHOOSE(GeschlechtsNr_Pfl,Kohorte_M,Kohorte_W,Kohorte_D),YEAR(Dat_GebDat_Pfl)+IF(MONTH(Dat_GebDat_Pfl)&gt;6,1,0)-1900+2),"###.##0")&amp;"= ","Kein Vorversterbensrisiko, da bereits Leistungsbezug. Leistungsewartung im Berechnungszeitpunkt beträgt "&amp;TEXT(Leistungszeit_Pfl,"0,0")&amp;IF(VVR_Pfl=1," Jahre"," Jahre:"))</f>
        <v>#N/A</v>
      </c>
      <c r="C15" s="882"/>
      <c r="D15" s="882"/>
      <c r="E15" s="882"/>
      <c r="F15" s="882"/>
      <c r="G15" s="882"/>
      <c r="H15" s="366" t="str">
        <f>IFERROR(IF(Anwartschaftszeit_Pfl=0,1,ROUND(VLOOKUP(G5,CHOOSE(GeschlechtsNr_Pfl,Kohorte_M,Kohorte_W,Kohorte_D),YEAR(Dat_GebDat_Pfl)+IF(MONTH(Dat_GebDat_Pfl)&gt;6,1,0)-1900+2)/VLOOKUP(F5,CHOOSE(GeschlechtsNr_Pfl,Kohorte_M,Kohorte_W,Kohorte_D),YEAR(Dat_GebDat_Pfl)+IF(MONTH(Dat_GebDat_Pfl)&gt;6,1,0)-1900+2),4)),"")</f>
        <v/>
      </c>
      <c r="I15" s="887"/>
      <c r="J15" s="887"/>
      <c r="K15" s="796">
        <v>5</v>
      </c>
      <c r="L15" s="350" t="s">
        <v>3237</v>
      </c>
      <c r="M15" s="354" t="e">
        <f>IF(YEARFRAC(Leistungsbeginn_Pfl,Fälligkeit_sVA,3)&lt;0,0,YEARFRAC(Leistungsbeginn_Pfl,Fälligkeit_sVA,3))</f>
        <v>#VALUE!</v>
      </c>
      <c r="N15" s="1"/>
    </row>
    <row r="16" spans="1:18" ht="18.95" customHeight="1">
      <c r="A16" s="645">
        <v>6</v>
      </c>
      <c r="B16" s="885" t="str">
        <f>IF(VVR_Pfl=1,"Keine Korrektur, da sVA-Fäligkeit gegeben.","Mit "&amp;TEXT(Rechnungszins,"0,00%")&amp;" abgezinster Barwert unter Berücksichtigung des Versterbensrisikos der ausglpf. Person: "&amp;TEXT(BW_Pfl_Berechnungsdatum,"###.##0")&amp;IF(VVR_Pfl=1,""," x "&amp;TEXT(VVR_Pfl,"0,0000"))&amp;" = ")</f>
        <v xml:space="preserve">Mit 0,00% abgezinster Barwert unter Berücksichtigung des Versterbensrisikos der ausglpf. Person:  x  = </v>
      </c>
      <c r="C16" s="885"/>
      <c r="D16" s="885"/>
      <c r="E16" s="885"/>
      <c r="F16" s="885"/>
      <c r="G16" s="885"/>
      <c r="H16" s="369" t="str">
        <f>IFERROR(ROUND(BW_Pfl_Berechnungsdatum*VVR_Pfl,0),"")</f>
        <v/>
      </c>
      <c r="I16" s="886" t="s">
        <v>3112</v>
      </c>
      <c r="J16" s="886"/>
      <c r="K16" s="796">
        <v>6</v>
      </c>
      <c r="L16" s="1"/>
      <c r="M16" s="1"/>
      <c r="N16" s="1"/>
      <c r="O16">
        <f>0.25*12</f>
        <v>3</v>
      </c>
      <c r="P16" s="910" t="s">
        <v>3897</v>
      </c>
      <c r="Q16" s="880"/>
    </row>
    <row r="17" spans="1:26" ht="18.95" customHeight="1">
      <c r="A17" s="645">
        <v>7</v>
      </c>
      <c r="B17" s="882" t="str">
        <f>IF(Anwartschaftszeit_Pfl=0,"Kein Invaliditätszuschlag da bereits Versorgungsbezugbezug","Höhe der zu berücksichtigenden Invaliditätsabsicherung im Verhältnis zur Altersrente (zur Änderung hier klicken&gt;):")</f>
        <v>Höhe der zu berücksichtigenden Invaliditätsabsicherung im Verhältnis zur Altersrente (zur Änderung hier klicken&gt;):</v>
      </c>
      <c r="C17" s="882"/>
      <c r="D17" s="882"/>
      <c r="E17" s="882"/>
      <c r="F17" s="882"/>
      <c r="G17" s="882"/>
      <c r="H17" s="367" t="str">
        <f>IFERROR(ROUND(IF(info_IRZuschlag,Invaliditätszuschlag*BarwertMethode1,0),0),"")</f>
        <v/>
      </c>
      <c r="I17" s="883" t="str">
        <f>+Abfindungsberechnung!H19</f>
        <v/>
      </c>
      <c r="J17" s="883"/>
      <c r="K17" s="796">
        <v>7</v>
      </c>
      <c r="L17" s="1"/>
      <c r="M17" s="1"/>
      <c r="N17" s="1"/>
      <c r="P17" s="351" t="s">
        <v>2977</v>
      </c>
      <c r="Q17" s="522" t="e">
        <f>ROUND(AbfindungMethode1*VLOOKUP(Abfindungsberechnung!F4,'Parameter DRV'!T5:V100,2),4)</f>
        <v>#N/A</v>
      </c>
    </row>
    <row r="18" spans="1:26" ht="18.95" customHeight="1">
      <c r="A18" s="645">
        <v>8</v>
      </c>
      <c r="B18" s="882" t="s">
        <v>2979</v>
      </c>
      <c r="C18" s="882"/>
      <c r="D18" s="882"/>
      <c r="E18" s="882"/>
      <c r="F18" s="882"/>
      <c r="G18" s="882"/>
      <c r="H18" s="367">
        <f>IFERROR(ROUND(IF(info_HRZuschlag,BarwertMethode1*Hinterbliebenenzuschlag,0),0),"")</f>
        <v>0</v>
      </c>
      <c r="I18" s="883" t="str">
        <f>IFERROR(ROUND(VLOOKUP(Alter_Pfl,CHOOSE(ReAlter_Pfl-59,HRIR60,HRIR61,HRIR62,HRIR63,HRIR64,HRIR65,HRIR66,HRIR67),CHOOSE(GeschlechtsNr_Pfl,8,17,26))*HR_Quote,4),"")</f>
        <v/>
      </c>
      <c r="J18" s="883"/>
      <c r="K18" s="796">
        <v>8</v>
      </c>
      <c r="P18" s="351" t="s">
        <v>3231</v>
      </c>
      <c r="Q18" s="523" t="e">
        <f>VLOOKUP(Abfindungsberechnung!F4,'Parameter DRV'!G5:I100,2)</f>
        <v>#N/A</v>
      </c>
    </row>
    <row r="19" spans="1:26" ht="18.95" customHeight="1">
      <c r="A19" s="645">
        <v>9</v>
      </c>
      <c r="B19" s="893" t="str">
        <f>"Brutto-Abfindungssumme: "&amp;TEXT(BarwertMethode1,"#.##0")&amp;IF(H17&gt;0," + "&amp;TEXT(H17,"#.##0"),"")&amp;IF(H18&gt;0," + "&amp;TEXT(H18,"#.##0"),"")&amp;" = "</f>
        <v xml:space="preserve">Brutto-Abfindungssumme:  +  = </v>
      </c>
      <c r="C19" s="893"/>
      <c r="D19" s="893"/>
      <c r="E19" s="893"/>
      <c r="F19" s="893"/>
      <c r="G19" s="893"/>
      <c r="H19" s="369">
        <f>ROUND(SUM(H16:H18),0)</f>
        <v>0</v>
      </c>
      <c r="I19" s="896" t="str">
        <f>+I16</f>
        <v>Berücksichtigungssatz</v>
      </c>
      <c r="J19" s="896"/>
      <c r="K19" s="796">
        <v>9</v>
      </c>
      <c r="L19" s="158">
        <f>+Abfindungsberechnung!F19</f>
        <v>0</v>
      </c>
      <c r="N19" s="150" t="b">
        <v>1</v>
      </c>
      <c r="P19" s="351" t="s">
        <v>3898</v>
      </c>
      <c r="Q19" s="524" t="e">
        <f>+EP_BerDat*aktRW_BerDat</f>
        <v>#N/A</v>
      </c>
    </row>
    <row r="20" spans="1:26" ht="18.95" customHeight="1">
      <c r="A20" s="645">
        <v>10</v>
      </c>
      <c r="B20" s="882" t="s">
        <v>2483</v>
      </c>
      <c r="C20" s="882"/>
      <c r="D20" s="882"/>
      <c r="E20" s="882"/>
      <c r="F20" s="882"/>
      <c r="G20" s="882"/>
      <c r="H20" s="546">
        <f>IF(info_SozAbgaben,ROUND(IF(SV_Abschlag&gt;0,SV_Abschlag*-1,SV_Abschlag)*BW_Methode1,0),0)</f>
        <v>0</v>
      </c>
      <c r="I20" s="894">
        <f>+Abfindungsberechnung!F21</f>
        <v>0</v>
      </c>
      <c r="J20" s="894"/>
      <c r="K20" s="796">
        <v>10</v>
      </c>
      <c r="L20" s="158">
        <f>+Abfindungsberechnung!F20</f>
        <v>0</v>
      </c>
      <c r="N20" s="150" t="b">
        <v>1</v>
      </c>
      <c r="P20" s="525" t="s">
        <v>3012</v>
      </c>
      <c r="Q20" s="525" t="s">
        <v>3013</v>
      </c>
      <c r="R20" s="525" t="s">
        <v>3014</v>
      </c>
      <c r="S20" s="525" t="s">
        <v>3016</v>
      </c>
      <c r="T20" s="525" t="s">
        <v>3017</v>
      </c>
      <c r="U20" s="525" t="s">
        <v>3015</v>
      </c>
      <c r="V20" s="525" t="s">
        <v>3018</v>
      </c>
      <c r="W20" s="525" t="s">
        <v>3019</v>
      </c>
      <c r="X20" s="526" t="s">
        <v>3020</v>
      </c>
      <c r="Z20" t="b">
        <v>1</v>
      </c>
    </row>
    <row r="21" spans="1:26" ht="18.95" customHeight="1">
      <c r="A21" s="645">
        <v>11</v>
      </c>
      <c r="B21" s="882" t="s">
        <v>3256</v>
      </c>
      <c r="C21" s="882"/>
      <c r="D21" s="882"/>
      <c r="E21" s="882"/>
      <c r="F21" s="882"/>
      <c r="G21" s="882"/>
      <c r="H21" s="546">
        <f>IF(Info_Steuern,ROUND(IF(Steuer_Abschlag&gt;0,Steuer_Abschlag*-1,Steuer_Abschlag)*BW_Methode1,0),0)</f>
        <v>0</v>
      </c>
      <c r="I21" s="894">
        <f>+Abfindungsberechnung!F22</f>
        <v>0</v>
      </c>
      <c r="J21" s="894"/>
      <c r="K21" s="796">
        <v>11</v>
      </c>
      <c r="P21" s="351" t="s">
        <v>3114</v>
      </c>
      <c r="Q21" s="351"/>
      <c r="R21" s="351"/>
      <c r="S21" s="351"/>
      <c r="T21" s="351"/>
      <c r="U21" s="353"/>
      <c r="V21" s="351"/>
      <c r="W21" s="351"/>
      <c r="X21" s="527"/>
      <c r="Z21" t="b">
        <v>0</v>
      </c>
    </row>
    <row r="22" spans="1:26" ht="18.95" customHeight="1">
      <c r="A22" s="645">
        <v>12</v>
      </c>
      <c r="B22" s="891" t="str">
        <f>"Netto-Abfindungsbetrag Methode 1: "&amp;TEXT(BW_Methode1,"#.##0")&amp;IF(H20&lt;0," - "&amp;TEXT(ABS(H20),"#.##0"),"")&amp;IF(H21&lt;0," - "&amp;TEXT(ABS(H21),"#.##0"),"")&amp;" = "</f>
        <v xml:space="preserve">Netto-Abfindungsbetrag Methode 1: 0 = </v>
      </c>
      <c r="C22" s="891"/>
      <c r="D22" s="891"/>
      <c r="E22" s="891"/>
      <c r="F22" s="891"/>
      <c r="G22" s="891"/>
      <c r="H22" s="370">
        <f>SUM(H19:H21)</f>
        <v>0</v>
      </c>
      <c r="I22" s="895"/>
      <c r="J22" s="895"/>
      <c r="K22" s="796">
        <v>12</v>
      </c>
      <c r="N22" s="529"/>
      <c r="O22" s="245" t="s">
        <v>3115</v>
      </c>
      <c r="P22" s="499">
        <f>VLOOKUP(YEAR(Dat_GebDat_Ber),DRV_Renteneintritt,2)</f>
        <v>0</v>
      </c>
      <c r="Q22" s="499">
        <f>65+P22/12</f>
        <v>65</v>
      </c>
      <c r="R22" s="249" t="e">
        <f>ROUND(VLOOKUP(IF(Q22&lt;=Alter_Ber,ROUND(Alter_Ber,0),ROUND(Q22,0)),CHOOSE(GeschlechtsNr_Ber,Lx,Ly,Ln),YEAR(Dat_GebDat_Ber)+IF(MONTH(Dat_GebDat_Ber)&gt;6,1,0)-1900+2),2)</f>
        <v>#VALUE!</v>
      </c>
      <c r="S22" s="1">
        <f>ROUND(VLOOKUP(Q22,CHOOSE(GeschlechtsNr_Ber,Kohorte_M,Kohorte_W,Kohorte_D),YEAR(Dat_GebDat_Ber)+IF(MONTH(Dat_GebDat_Ber)&gt;6,1,0)-1900+2),2)</f>
        <v>0</v>
      </c>
      <c r="T22" s="1" t="e">
        <f>ROUND(VLOOKUP(Alter_Ber,CHOOSE(GeschlechtsNr_Ber,Kohorte_M,Kohorte_W,Kohorte_D),YEAR(Dat_GebDat_Ber)+IF(MONTH(Dat_GebDat_Ber)&gt;6,1,0)-1900+2),2)</f>
        <v>#N/A</v>
      </c>
      <c r="U22" s="528" t="e">
        <f>ROUND(+IF(S22/T22&gt;1,1,S22/T22),3)</f>
        <v>#N/A</v>
      </c>
      <c r="V22" s="499" t="e">
        <f>IF(Q22-Alter_Ber&lt;0,0,Q22-Alter_Ber)</f>
        <v>#VALUE!</v>
      </c>
      <c r="W22" s="524" t="e">
        <f>Q19*(1+G25)^V22</f>
        <v>#N/A</v>
      </c>
      <c r="X22" s="524" t="e">
        <f>-PV(-G25,R22,W22*12)*U22</f>
        <v>#VALUE!</v>
      </c>
    </row>
    <row r="23" spans="1:26" ht="18.75" customHeight="1">
      <c r="A23" s="645">
        <v>13</v>
      </c>
      <c r="B23" s="892" t="e">
        <f>"ℹ: ∑ erwartbarer Altersrentenzahlungen an die ausglpfl. Person aus der abzufindenden Versorgung über "&amp;TEXT(Leistungszeit_Pfl,"0,0")&amp;" Jahre bei Startbetrag i.H.v. "&amp;TEXT(H12,"#.##0,00 €")&amp;" bei Dynamik von "&amp;TEXT(Abfindungsberechnung!I15,"0,00%")&amp;" = "</f>
        <v>#VALUE!</v>
      </c>
      <c r="C23" s="892"/>
      <c r="D23" s="892"/>
      <c r="E23" s="892"/>
      <c r="F23" s="892"/>
      <c r="G23" s="892"/>
      <c r="H23" s="892"/>
      <c r="I23" s="892"/>
      <c r="J23" s="446" t="str">
        <f>IFERROR(-PV(-ReDynamik_Leistung,Leistungszeit_Pfl,Jahresrente_Pfl),"")</f>
        <v/>
      </c>
      <c r="K23" s="796">
        <v>13</v>
      </c>
      <c r="L23" s="303"/>
    </row>
    <row r="24" spans="1:26" ht="18.75" customHeight="1">
      <c r="A24" s="645">
        <v>14</v>
      </c>
      <c r="B24" s="892" t="str">
        <f>IFERROR("ℹ: ∑ erwartbarer sVA-Zahlungen für ausglber. Person über von "&amp;TEXT(Abfindungsberechnung!BB3,"0,0")&amp;" Jahren*: Startrente unter Berücksichtigung der Anwartschafts- und Leistungsdynamik von "&amp;TEXT(ReDyn_Anwartschaft,"0,00%")&amp;"/"&amp;TEXT(ReDynamik_Leistung,"0,00%")&amp;": "&amp;TEXT(sVA_Starrente,"#.##,00")&amp;" = ","")</f>
        <v/>
      </c>
      <c r="C24" s="892"/>
      <c r="D24" s="892"/>
      <c r="E24" s="892"/>
      <c r="F24" s="892"/>
      <c r="G24" s="892"/>
      <c r="H24" s="892"/>
      <c r="I24" s="892"/>
      <c r="J24" s="446" t="str">
        <f>IFERROR(+Abfindungsberechnung!BC3,"")</f>
        <v/>
      </c>
      <c r="K24" s="796">
        <v>14</v>
      </c>
      <c r="L24" s="303"/>
    </row>
    <row r="25" spans="1:26">
      <c r="A25" s="645">
        <v>15</v>
      </c>
      <c r="B25" s="903" t="str">
        <f>IFERROR("ℹ: ∑ erwartb. Renten der ausglber. Person bei Zahlung von "&amp;TEXT(CHOOSE(L31,BW_Methode1,AbfindungMethode1),"#.##0")&amp;" in die DRV, Berztpkt.: "&amp;TEXT(Q19,"#.##0,00")&amp;" bei ReEintritt: "&amp;TEXT(W22,"#.##0")&amp;" Dynamik von ","")</f>
        <v/>
      </c>
      <c r="C25" s="904"/>
      <c r="D25" s="904"/>
      <c r="E25" s="904"/>
      <c r="F25" s="905"/>
      <c r="G25" s="447">
        <v>2.5999999999999999E-2</v>
      </c>
      <c r="H25" s="901" t="str">
        <f>IFERROR("über "&amp;TEXT(R22*U22,"0,0")&amp;"* Jahre=","")</f>
        <v/>
      </c>
      <c r="I25" s="901"/>
      <c r="J25" s="448" t="str">
        <f>IFERROR(+X22,"")</f>
        <v/>
      </c>
      <c r="K25" s="796">
        <v>15</v>
      </c>
    </row>
    <row r="26" spans="1:26">
      <c r="A26" s="645">
        <v>16</v>
      </c>
      <c r="B26" s="898" t="s">
        <v>3254</v>
      </c>
      <c r="C26" s="898"/>
      <c r="D26" s="898"/>
      <c r="E26" s="898"/>
      <c r="F26" s="898"/>
      <c r="G26" s="898"/>
      <c r="H26" s="449">
        <f>IFERROR(+AbfindungMethode2,"")</f>
        <v>0</v>
      </c>
      <c r="I26" s="450" t="s">
        <v>3116</v>
      </c>
      <c r="J26" s="448" t="str">
        <f>IFERROR('Abfindung Methode 2'!Q23,"")</f>
        <v/>
      </c>
      <c r="K26" s="796">
        <v>16</v>
      </c>
    </row>
    <row r="27" spans="1:26" hidden="1">
      <c r="A27" s="316">
        <v>17</v>
      </c>
      <c r="B27" s="899" t="s">
        <v>2951</v>
      </c>
      <c r="C27" s="899"/>
      <c r="D27" s="899"/>
      <c r="E27" s="899"/>
      <c r="F27" s="899"/>
      <c r="G27" s="899"/>
      <c r="H27" s="445">
        <f>AbfindungMethode3</f>
        <v>0</v>
      </c>
      <c r="I27" s="374" t="s">
        <v>3116</v>
      </c>
      <c r="J27" s="375"/>
      <c r="K27" s="305"/>
    </row>
    <row r="28" spans="1:26">
      <c r="A28" s="308"/>
      <c r="B28" s="902" t="s">
        <v>3197</v>
      </c>
      <c r="C28" s="902"/>
      <c r="D28" s="902"/>
      <c r="E28" s="902"/>
      <c r="F28" s="902"/>
      <c r="G28" s="902"/>
      <c r="H28" s="902"/>
      <c r="I28" s="902"/>
      <c r="J28" s="902"/>
      <c r="K28" s="308"/>
    </row>
    <row r="29" spans="1:26" ht="18.75">
      <c r="A29" s="376"/>
      <c r="B29" s="900" t="s">
        <v>3861</v>
      </c>
      <c r="C29" s="900"/>
      <c r="D29" s="900"/>
      <c r="E29" s="900"/>
      <c r="F29" s="900"/>
      <c r="G29" s="900"/>
      <c r="H29" s="900"/>
      <c r="I29" s="900"/>
      <c r="J29" s="900"/>
      <c r="K29" s="376"/>
      <c r="L29" s="238">
        <f>+BW_Methode1</f>
        <v>0</v>
      </c>
    </row>
    <row r="30" spans="1:26" ht="14.45" customHeight="1">
      <c r="A30" s="377"/>
      <c r="B30" s="897" t="s">
        <v>3860</v>
      </c>
      <c r="C30" s="897"/>
      <c r="D30" s="897"/>
      <c r="E30" s="897"/>
      <c r="F30" s="897"/>
      <c r="G30" s="897"/>
      <c r="H30" s="897"/>
      <c r="I30" s="897"/>
      <c r="J30" s="897"/>
      <c r="K30" s="377"/>
      <c r="L30" s="238">
        <f>+AbfindungMethode1</f>
        <v>0</v>
      </c>
    </row>
    <row r="31" spans="1:26">
      <c r="A31" s="377"/>
      <c r="B31" s="897"/>
      <c r="C31" s="897"/>
      <c r="D31" s="897"/>
      <c r="E31" s="897"/>
      <c r="F31" s="897"/>
      <c r="G31" s="897"/>
      <c r="H31" s="897"/>
      <c r="I31" s="897"/>
      <c r="J31" s="897"/>
      <c r="K31" s="377"/>
      <c r="L31" s="323">
        <v>2</v>
      </c>
    </row>
    <row r="32" spans="1:26">
      <c r="A32" s="377"/>
      <c r="B32" s="897"/>
      <c r="C32" s="897"/>
      <c r="D32" s="897"/>
      <c r="E32" s="897"/>
      <c r="F32" s="897"/>
      <c r="G32" s="897"/>
      <c r="H32" s="897"/>
      <c r="I32" s="897"/>
      <c r="J32" s="897"/>
      <c r="K32" s="377"/>
      <c r="L32">
        <f>CHOOSE(L31,L29,L30)</f>
        <v>0</v>
      </c>
    </row>
    <row r="33" spans="1:11">
      <c r="A33" s="377"/>
      <c r="B33" s="897"/>
      <c r="C33" s="897"/>
      <c r="D33" s="897"/>
      <c r="E33" s="897"/>
      <c r="F33" s="897"/>
      <c r="G33" s="897"/>
      <c r="H33" s="897"/>
      <c r="I33" s="897"/>
      <c r="J33" s="897"/>
      <c r="K33" s="377"/>
    </row>
    <row r="34" spans="1:11">
      <c r="A34" s="377"/>
      <c r="B34" s="897"/>
      <c r="C34" s="897"/>
      <c r="D34" s="897"/>
      <c r="E34" s="897"/>
      <c r="F34" s="897"/>
      <c r="G34" s="897"/>
      <c r="H34" s="897"/>
      <c r="I34" s="897"/>
      <c r="J34" s="897"/>
      <c r="K34" s="377"/>
    </row>
    <row r="35" spans="1:11" ht="139.5" customHeight="1">
      <c r="A35" s="377"/>
      <c r="B35" s="897" t="s">
        <v>2978</v>
      </c>
      <c r="C35" s="897"/>
      <c r="D35" s="897"/>
      <c r="E35" s="897"/>
      <c r="F35" s="897"/>
      <c r="G35" s="897"/>
      <c r="H35" s="897"/>
      <c r="I35" s="897"/>
      <c r="J35" s="897"/>
      <c r="K35" s="377"/>
    </row>
    <row r="36" spans="1:11" ht="14.45" customHeight="1">
      <c r="A36" s="377"/>
      <c r="B36" s="897" t="s">
        <v>3862</v>
      </c>
      <c r="C36" s="897"/>
      <c r="D36" s="897"/>
      <c r="E36" s="897"/>
      <c r="F36" s="897"/>
      <c r="G36" s="897"/>
      <c r="H36" s="897"/>
      <c r="I36" s="897"/>
      <c r="J36" s="897"/>
      <c r="K36" s="377"/>
    </row>
    <row r="37" spans="1:11">
      <c r="A37" s="377"/>
      <c r="B37" s="897"/>
      <c r="C37" s="897"/>
      <c r="D37" s="897"/>
      <c r="E37" s="897"/>
      <c r="F37" s="897"/>
      <c r="G37" s="897"/>
      <c r="H37" s="897"/>
      <c r="I37" s="897"/>
      <c r="J37" s="897"/>
      <c r="K37" s="377"/>
    </row>
    <row r="38" spans="1:11">
      <c r="A38" s="377"/>
      <c r="B38" s="897"/>
      <c r="C38" s="897"/>
      <c r="D38" s="897"/>
      <c r="E38" s="897"/>
      <c r="F38" s="897"/>
      <c r="G38" s="897"/>
      <c r="H38" s="897"/>
      <c r="I38" s="897"/>
      <c r="J38" s="897"/>
      <c r="K38" s="377"/>
    </row>
    <row r="39" spans="1:11">
      <c r="A39" s="377"/>
      <c r="B39" s="897"/>
      <c r="C39" s="897"/>
      <c r="D39" s="897"/>
      <c r="E39" s="897"/>
      <c r="F39" s="897"/>
      <c r="G39" s="897"/>
      <c r="H39" s="897"/>
      <c r="I39" s="897"/>
      <c r="J39" s="897"/>
      <c r="K39" s="377"/>
    </row>
    <row r="40" spans="1:11">
      <c r="A40" s="377"/>
      <c r="B40" s="897"/>
      <c r="C40" s="897"/>
      <c r="D40" s="897"/>
      <c r="E40" s="897"/>
      <c r="F40" s="897"/>
      <c r="G40" s="897"/>
      <c r="H40" s="897"/>
      <c r="I40" s="897"/>
      <c r="J40" s="897"/>
      <c r="K40" s="377"/>
    </row>
    <row r="41" spans="1:11">
      <c r="A41" s="377"/>
      <c r="B41" s="897"/>
      <c r="C41" s="897"/>
      <c r="D41" s="897"/>
      <c r="E41" s="897"/>
      <c r="F41" s="897"/>
      <c r="G41" s="897"/>
      <c r="H41" s="897"/>
      <c r="I41" s="897"/>
      <c r="J41" s="897"/>
      <c r="K41" s="377"/>
    </row>
    <row r="42" spans="1:11">
      <c r="A42" s="377"/>
      <c r="B42" s="897"/>
      <c r="C42" s="897"/>
      <c r="D42" s="897"/>
      <c r="E42" s="897"/>
      <c r="F42" s="897"/>
      <c r="G42" s="897"/>
      <c r="H42" s="897"/>
      <c r="I42" s="897"/>
      <c r="J42" s="897"/>
      <c r="K42" s="377"/>
    </row>
    <row r="43" spans="1:11">
      <c r="A43" s="377"/>
      <c r="B43" s="897"/>
      <c r="C43" s="897"/>
      <c r="D43" s="897"/>
      <c r="E43" s="897"/>
      <c r="F43" s="897"/>
      <c r="G43" s="897"/>
      <c r="H43" s="897"/>
      <c r="I43" s="897"/>
      <c r="J43" s="897"/>
      <c r="K43" s="377"/>
    </row>
    <row r="44" spans="1:11">
      <c r="A44" s="377"/>
      <c r="B44" s="897"/>
      <c r="C44" s="897"/>
      <c r="D44" s="897"/>
      <c r="E44" s="897"/>
      <c r="F44" s="897"/>
      <c r="G44" s="897"/>
      <c r="H44" s="897"/>
      <c r="I44" s="897"/>
      <c r="J44" s="897"/>
      <c r="K44" s="377"/>
    </row>
    <row r="45" spans="1:11">
      <c r="A45" s="377"/>
      <c r="B45" s="897"/>
      <c r="C45" s="897"/>
      <c r="D45" s="897"/>
      <c r="E45" s="897"/>
      <c r="F45" s="897"/>
      <c r="G45" s="897"/>
      <c r="H45" s="897"/>
      <c r="I45" s="897"/>
      <c r="J45" s="897"/>
      <c r="K45" s="377"/>
    </row>
    <row r="46" spans="1:11">
      <c r="A46" s="377"/>
      <c r="B46" s="897"/>
      <c r="C46" s="897"/>
      <c r="D46" s="897"/>
      <c r="E46" s="897"/>
      <c r="F46" s="897"/>
      <c r="G46" s="897"/>
      <c r="H46" s="897"/>
      <c r="I46" s="897"/>
      <c r="J46" s="897"/>
      <c r="K46" s="377"/>
    </row>
    <row r="47" spans="1:11" ht="14.45" customHeight="1">
      <c r="A47" s="377"/>
      <c r="B47" s="897"/>
      <c r="C47" s="897"/>
      <c r="D47" s="897"/>
      <c r="E47" s="897"/>
      <c r="F47" s="897"/>
      <c r="G47" s="897"/>
      <c r="H47" s="897"/>
      <c r="I47" s="897"/>
      <c r="J47" s="897"/>
      <c r="K47" s="377"/>
    </row>
    <row r="48" spans="1:11">
      <c r="A48" s="377"/>
      <c r="B48" s="378"/>
      <c r="C48" s="378"/>
      <c r="D48" s="378"/>
      <c r="E48" s="378"/>
      <c r="F48" s="378"/>
      <c r="G48" s="378"/>
      <c r="H48" s="378"/>
      <c r="I48" s="378"/>
      <c r="J48" s="378"/>
      <c r="K48" s="377"/>
    </row>
    <row r="49" spans="2:10" hidden="1">
      <c r="B49" s="170"/>
      <c r="C49" s="170"/>
      <c r="D49" s="170"/>
      <c r="E49" s="170"/>
      <c r="F49" s="170"/>
      <c r="G49" s="170"/>
      <c r="H49" s="170"/>
      <c r="I49" s="170"/>
      <c r="J49" s="170"/>
    </row>
    <row r="50" spans="2:10" hidden="1">
      <c r="B50" s="170"/>
      <c r="C50" s="170"/>
      <c r="D50" s="170"/>
      <c r="E50" s="170"/>
      <c r="F50" s="170"/>
      <c r="G50" s="170"/>
      <c r="H50" s="170"/>
      <c r="I50" s="170"/>
      <c r="J50" s="170"/>
    </row>
    <row r="51" spans="2:10" hidden="1">
      <c r="B51" s="170"/>
      <c r="C51" s="170"/>
      <c r="D51" s="170"/>
      <c r="E51" s="170"/>
      <c r="F51" s="170"/>
      <c r="G51" s="170"/>
      <c r="H51" s="170"/>
      <c r="I51" s="170"/>
      <c r="J51" s="170"/>
    </row>
    <row r="52" spans="2:10" hidden="1">
      <c r="B52" s="170"/>
      <c r="C52" s="170"/>
      <c r="D52" s="170"/>
      <c r="E52" s="170"/>
      <c r="F52" s="170"/>
      <c r="G52" s="170"/>
      <c r="H52" s="170"/>
      <c r="I52" s="170"/>
      <c r="J52" s="170"/>
    </row>
    <row r="53" spans="2:10" hidden="1">
      <c r="B53" s="170"/>
      <c r="C53" s="170"/>
      <c r="D53" s="170"/>
      <c r="E53" s="170"/>
      <c r="F53" s="170"/>
      <c r="G53" s="170"/>
      <c r="H53" s="170"/>
      <c r="I53" s="170"/>
      <c r="J53" s="170"/>
    </row>
    <row r="54" spans="2:10" hidden="1">
      <c r="B54" s="170"/>
      <c r="C54" s="170"/>
      <c r="D54" s="170"/>
      <c r="E54" s="170"/>
      <c r="F54" s="170"/>
      <c r="G54" s="170"/>
      <c r="H54" s="170"/>
      <c r="I54" s="170"/>
      <c r="J54" s="170"/>
    </row>
    <row r="55" spans="2:10" hidden="1">
      <c r="B55" s="170"/>
      <c r="C55" s="170"/>
      <c r="D55" s="170"/>
      <c r="E55" s="170"/>
      <c r="F55" s="170"/>
      <c r="G55" s="170"/>
      <c r="H55" s="170"/>
      <c r="I55" s="170"/>
      <c r="J55" s="170"/>
    </row>
    <row r="56" spans="2:10" hidden="1">
      <c r="B56" s="170"/>
      <c r="C56" s="170"/>
      <c r="D56" s="170"/>
      <c r="E56" s="170"/>
      <c r="F56" s="170"/>
      <c r="G56" s="170"/>
      <c r="H56" s="170"/>
      <c r="I56" s="170"/>
      <c r="J56" s="170"/>
    </row>
    <row r="57" spans="2:10" hidden="1">
      <c r="B57" s="170"/>
      <c r="C57" s="170"/>
      <c r="D57" s="170"/>
      <c r="E57" s="170"/>
      <c r="F57" s="170"/>
      <c r="G57" s="170"/>
      <c r="H57" s="170"/>
      <c r="I57" s="170"/>
      <c r="J57" s="170"/>
    </row>
    <row r="58" spans="2:10" hidden="1">
      <c r="B58" s="170"/>
      <c r="C58" s="170"/>
      <c r="D58" s="170"/>
      <c r="E58" s="170"/>
      <c r="F58" s="170"/>
      <c r="G58" s="170"/>
      <c r="H58" s="170"/>
      <c r="I58" s="170"/>
      <c r="J58" s="170"/>
    </row>
    <row r="59" spans="2:10" hidden="1">
      <c r="B59" s="170"/>
      <c r="C59" s="170"/>
      <c r="D59" s="170"/>
      <c r="E59" s="170"/>
      <c r="F59" s="170"/>
      <c r="G59" s="170"/>
      <c r="H59" s="170"/>
      <c r="I59" s="170"/>
    </row>
    <row r="60" spans="2:10" hidden="1">
      <c r="B60" s="170"/>
      <c r="C60" s="170"/>
      <c r="D60" s="170"/>
      <c r="E60" s="170"/>
      <c r="F60" s="170"/>
      <c r="G60" s="170"/>
      <c r="H60" s="170"/>
      <c r="I60" s="170"/>
    </row>
    <row r="61" spans="2:10" hidden="1">
      <c r="B61" s="170"/>
      <c r="C61" s="170"/>
      <c r="D61" s="170"/>
      <c r="E61" s="170"/>
      <c r="F61" s="170"/>
      <c r="G61" s="170"/>
      <c r="H61" s="170"/>
      <c r="I61" s="170"/>
    </row>
    <row r="62" spans="2:10" hidden="1">
      <c r="B62" s="170"/>
      <c r="C62" s="170"/>
      <c r="D62" s="170"/>
      <c r="E62" s="170"/>
      <c r="F62" s="170"/>
      <c r="G62" s="170"/>
      <c r="H62" s="170"/>
      <c r="I62" s="170"/>
    </row>
    <row r="63" spans="2:10"/>
    <row r="64" spans="2:10"/>
    <row r="65"/>
    <row r="66"/>
    <row r="67"/>
    <row r="68"/>
  </sheetData>
  <sheetProtection algorithmName="SHA-512" hashValue="fxKf/gSsb/Sc8P4r92286HaR+9pza/v8plj5Z7x0iY7DT11o15ChBs6uHzia1i1iAP/826s+o19Ysj1AOTXnOg==" saltValue="wQB96shexP7AXMS5q/K8Ow==" spinCount="100000" sheet="1" objects="1" scenarios="1"/>
  <mergeCells count="47">
    <mergeCell ref="A1:A2"/>
    <mergeCell ref="B1:J2"/>
    <mergeCell ref="P16:Q16"/>
    <mergeCell ref="B10:J10"/>
    <mergeCell ref="M14:N14"/>
    <mergeCell ref="K1:K2"/>
    <mergeCell ref="B3:D3"/>
    <mergeCell ref="B8:E8"/>
    <mergeCell ref="G3:G4"/>
    <mergeCell ref="H3:H4"/>
    <mergeCell ref="B7:C7"/>
    <mergeCell ref="D7:E7"/>
    <mergeCell ref="G7:H7"/>
    <mergeCell ref="I3:I4"/>
    <mergeCell ref="B36:J47"/>
    <mergeCell ref="B23:I23"/>
    <mergeCell ref="B26:G26"/>
    <mergeCell ref="B27:G27"/>
    <mergeCell ref="B35:J35"/>
    <mergeCell ref="B29:J29"/>
    <mergeCell ref="B30:J34"/>
    <mergeCell ref="H25:I25"/>
    <mergeCell ref="B28:J28"/>
    <mergeCell ref="B25:F25"/>
    <mergeCell ref="B22:G22"/>
    <mergeCell ref="B24:I24"/>
    <mergeCell ref="B19:G19"/>
    <mergeCell ref="B20:G20"/>
    <mergeCell ref="B21:G21"/>
    <mergeCell ref="I21:J21"/>
    <mergeCell ref="I22:J22"/>
    <mergeCell ref="I19:J19"/>
    <mergeCell ref="I20:J20"/>
    <mergeCell ref="B17:G17"/>
    <mergeCell ref="I17:J17"/>
    <mergeCell ref="I18:J18"/>
    <mergeCell ref="B18:G18"/>
    <mergeCell ref="F11:G11"/>
    <mergeCell ref="B13:G13"/>
    <mergeCell ref="B12:G12"/>
    <mergeCell ref="I13:J13"/>
    <mergeCell ref="B14:G14"/>
    <mergeCell ref="B15:G15"/>
    <mergeCell ref="B16:G16"/>
    <mergeCell ref="I16:J16"/>
    <mergeCell ref="I14:J15"/>
    <mergeCell ref="B11:D11"/>
  </mergeCells>
  <conditionalFormatting sqref="G25">
    <cfRule type="expression" dxfId="31" priority="9">
      <formula>G25=""</formula>
    </cfRule>
  </conditionalFormatting>
  <conditionalFormatting sqref="H15">
    <cfRule type="expression" dxfId="30" priority="6">
      <formula>VVR_Pfl=1</formula>
    </cfRule>
  </conditionalFormatting>
  <conditionalFormatting sqref="I20:I21">
    <cfRule type="expression" dxfId="29" priority="10">
      <formula>I20=""</formula>
    </cfRule>
  </conditionalFormatting>
  <dataValidations disablePrompts="1" count="6">
    <dataValidation type="date" operator="greaterThan" allowBlank="1" showInputMessage="1" showErrorMessage="1" errorTitle="Eingabefehler!" error="Es sind nur Datumseingaben ab 1.1.1920 zulässig" sqref="C4:C5 F3" xr:uid="{16AA87F7-8914-4BE3-ACA0-8FE1F4F6CB21}">
      <formula1>7306</formula1>
    </dataValidation>
    <dataValidation allowBlank="1" showInputMessage="1" showErrorMessage="1" errorTitle="Eingabefehler" error="Es sind nur Zahleneingaben &lt; 10.000 zulässig" sqref="F7:F8" xr:uid="{DAE626F0-7882-4DCE-9305-C17900489A2B}"/>
    <dataValidation allowBlank="1" showInputMessage="1" showErrorMessage="1" errorTitle="Eingabefehler!" error="Es sind nur Zahleneingaben &lt;18 zulässig_x000a_" sqref="I7" xr:uid="{504E58CD-7878-4A30-8925-3CFF003DAE96}"/>
    <dataValidation type="decimal" allowBlank="1" showInputMessage="1" showErrorMessage="1" errorTitle="Eingabefehler!" error="Es sind nur Zahleneingaben &lt;100 zulässig!" sqref="G5" xr:uid="{56C90A54-7DEB-4C78-9B10-18C85F5A3508}">
      <formula1>1</formula1>
      <formula2>100</formula2>
    </dataValidation>
    <dataValidation type="date" operator="greaterThan" allowBlank="1" showInputMessage="1" showErrorMessage="1" errorTitle="Eingabefehler" error="Es sind nur Datumseingaben ab 1.1.1920 zulässig" sqref="C6" xr:uid="{1D2FBB94-7A9A-42EB-9222-DEF9C00C40FC}">
      <formula1>7306</formula1>
    </dataValidation>
    <dataValidation type="decimal" allowBlank="1" showInputMessage="1" showErrorMessage="1" errorTitle="Eingabefehler" error="Es sind nur Zahleneingaben &lt;100 zulässig" sqref="F9:G9 G6" xr:uid="{0BDC45BD-F5F8-4BCD-9AF1-09DBD73E29F0}">
      <formula1>1</formula1>
      <formula2>100</formula2>
    </dataValidation>
  </dataValidations>
  <hyperlinks>
    <hyperlink ref="H12" location="Rentenhöhe_Fälligkeit" display="Rentenhöhe_Fälligkeit" xr:uid="{7EA9655E-5740-426F-B0FD-6044B84514D1}"/>
    <hyperlink ref="I20:J20" location="Sozialversicherungsabschlag" display="Sozialversicherungsabschlag" xr:uid="{A4F185EA-5DF4-43CB-8943-AA7E3728A5D5}"/>
    <hyperlink ref="I21:J21" location="Steuerabschlag" display="Steuerabschlag" xr:uid="{5B09653D-EC60-4C1D-B3B3-1D2D1FB37A14}"/>
    <hyperlink ref="I17:J17" location="Invaliditätssatz" display="Invaliditätssatz" xr:uid="{7FA04EB8-07AE-46CA-BD01-5CCBD140300F}"/>
    <hyperlink ref="I18:J18" location="Hinterbliebenensatz" display="Hinterbliebenensatz" xr:uid="{726F415C-13ED-40E7-92AC-7D5A234FB98B}"/>
    <hyperlink ref="G5" location="ReAlter_Pfl" display="ReAlter_Pfl" xr:uid="{0E0CDDF3-B4D2-4CC8-9D0B-6758958BE59A}"/>
    <hyperlink ref="G6" location="ReAlter_Ber" display="ReAlter_Ber" xr:uid="{8AF4128F-5446-4863-8C43-51568C5E9145}"/>
    <hyperlink ref="F7" location="ReHöhe_EZE_Pfl" display="ReHöhe_EZE_Pfl" xr:uid="{9873DFDE-1724-4117-83FB-EF528A762359}"/>
    <hyperlink ref="I7" location="ReAnzahlproJahr" display="ReAnzahlproJahr" xr:uid="{1067963E-A2E1-427D-9728-CF2D9C93EB43}"/>
    <hyperlink ref="F8" location="ReHöhe_Berdat" display="ReHöhe_Berdat" xr:uid="{88ECCBDB-9E5A-40D4-830E-CB18AEF66DED}"/>
  </hyperlinks>
  <pageMargins left="0.31496062992125984" right="0.31496062992125984" top="0.78740157480314965" bottom="0.78740157480314965" header="0.31496062992125984" footer="0.31496062992125984"/>
  <pageSetup paperSize="9"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1</xdr:col>
                    <xdr:colOff>28575</xdr:colOff>
                    <xdr:row>16</xdr:row>
                    <xdr:rowOff>9525</xdr:rowOff>
                  </from>
                  <to>
                    <xdr:col>2</xdr:col>
                    <xdr:colOff>504825</xdr:colOff>
                    <xdr:row>16</xdr:row>
                    <xdr:rowOff>228600</xdr:rowOff>
                  </to>
                </anchor>
              </controlPr>
            </control>
          </mc:Choice>
        </mc:AlternateContent>
        <mc:AlternateContent xmlns:mc="http://schemas.openxmlformats.org/markup-compatibility/2006">
          <mc:Choice Requires="x14">
            <control shapeId="157700" r:id="rId5" name="Check Box 4">
              <controlPr defaultSize="0" autoFill="0" autoLine="0" autoPict="0">
                <anchor moveWithCells="1">
                  <from>
                    <xdr:col>1</xdr:col>
                    <xdr:colOff>28575</xdr:colOff>
                    <xdr:row>17</xdr:row>
                    <xdr:rowOff>9525</xdr:rowOff>
                  </from>
                  <to>
                    <xdr:col>2</xdr:col>
                    <xdr:colOff>523875</xdr:colOff>
                    <xdr:row>17</xdr:row>
                    <xdr:rowOff>228600</xdr:rowOff>
                  </to>
                </anchor>
              </controlPr>
            </control>
          </mc:Choice>
        </mc:AlternateContent>
        <mc:AlternateContent xmlns:mc="http://schemas.openxmlformats.org/markup-compatibility/2006">
          <mc:Choice Requires="x14">
            <control shapeId="157701" r:id="rId6" name="Check Box 5">
              <controlPr defaultSize="0" autoFill="0" autoLine="0" autoPict="0">
                <anchor moveWithCells="1">
                  <from>
                    <xdr:col>3</xdr:col>
                    <xdr:colOff>790575</xdr:colOff>
                    <xdr:row>19</xdr:row>
                    <xdr:rowOff>19050</xdr:rowOff>
                  </from>
                  <to>
                    <xdr:col>6</xdr:col>
                    <xdr:colOff>866775</xdr:colOff>
                    <xdr:row>19</xdr:row>
                    <xdr:rowOff>209550</xdr:rowOff>
                  </to>
                </anchor>
              </controlPr>
            </control>
          </mc:Choice>
        </mc:AlternateContent>
        <mc:AlternateContent xmlns:mc="http://schemas.openxmlformats.org/markup-compatibility/2006">
          <mc:Choice Requires="x14">
            <control shapeId="157702" r:id="rId7" name="Check Box 6">
              <controlPr defaultSize="0" autoFill="0" autoLine="0" autoPict="0">
                <anchor moveWithCells="1">
                  <from>
                    <xdr:col>3</xdr:col>
                    <xdr:colOff>790575</xdr:colOff>
                    <xdr:row>20</xdr:row>
                    <xdr:rowOff>19050</xdr:rowOff>
                  </from>
                  <to>
                    <xdr:col>6</xdr:col>
                    <xdr:colOff>866775</xdr:colOff>
                    <xdr:row>20</xdr:row>
                    <xdr:rowOff>219075</xdr:rowOff>
                  </to>
                </anchor>
              </controlPr>
            </control>
          </mc:Choice>
        </mc:AlternateContent>
        <mc:AlternateContent xmlns:mc="http://schemas.openxmlformats.org/markup-compatibility/2006">
          <mc:Choice Requires="x14">
            <control shapeId="157704" r:id="rId8" name="Check Box 8">
              <controlPr defaultSize="0" autoFill="0" autoLine="0" autoPict="0">
                <anchor moveWithCells="1">
                  <from>
                    <xdr:col>8</xdr:col>
                    <xdr:colOff>19050</xdr:colOff>
                    <xdr:row>11</xdr:row>
                    <xdr:rowOff>228600</xdr:rowOff>
                  </from>
                  <to>
                    <xdr:col>9</xdr:col>
                    <xdr:colOff>990600</xdr:colOff>
                    <xdr:row>13</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404A-87B2-4BB4-A2F2-44DA5B867DE8}">
  <sheetPr codeName="Tabelle56">
    <tabColor rgb="FFFFC000"/>
    <pageSetUpPr fitToPage="1"/>
  </sheetPr>
  <dimension ref="A1:Q41"/>
  <sheetViews>
    <sheetView showGridLines="0" showRowColHeaders="0" zoomScale="130" zoomScaleNormal="130" workbookViewId="0">
      <selection activeCell="B3" sqref="B3:J8"/>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6.28515625" customWidth="1"/>
    <col min="2" max="2" width="48.42578125" customWidth="1"/>
    <col min="3" max="3" width="13.7109375" customWidth="1"/>
    <col min="4" max="5" width="13.42578125" customWidth="1"/>
    <col min="6" max="6" width="14.7109375" customWidth="1"/>
    <col min="7" max="7" width="13.42578125" customWidth="1"/>
    <col min="8" max="8" width="14" customWidth="1"/>
    <col min="9" max="9" width="13.140625" customWidth="1"/>
    <col min="10" max="10" width="15.28515625" customWidth="1"/>
    <col min="11" max="11" width="6.42578125" customWidth="1"/>
    <col min="12" max="14" width="15.42578125" hidden="1" customWidth="1"/>
    <col min="15" max="15" width="15.42578125" style="5" hidden="1" customWidth="1"/>
    <col min="16" max="16" width="15.42578125" hidden="1" customWidth="1"/>
    <col min="17" max="17" width="31.140625" hidden="1" customWidth="1"/>
    <col min="18" max="16384" width="15.42578125" hidden="1"/>
  </cols>
  <sheetData>
    <row r="1" spans="1:17">
      <c r="A1" s="934" t="e" vm="1">
        <f>VLOOKUP(Länderwahl,Länderkennzeichen,3,FALSE)</f>
        <v>#VALUE!</v>
      </c>
      <c r="B1" s="944" t="str">
        <f>"Grundinformationen zu der auszugleichenden Altersversorgung "&amp;Länderwahl&amp;" zum Fall"</f>
        <v>Grundinformationen zu der auszugleichenden Altersversorgung Tschechien zum Fall</v>
      </c>
      <c r="C1" s="944"/>
      <c r="D1" s="944"/>
      <c r="E1" s="944"/>
      <c r="F1" s="944"/>
      <c r="G1" s="944"/>
      <c r="H1" s="944"/>
      <c r="I1" s="944"/>
      <c r="J1" s="944"/>
      <c r="K1" s="941" t="e" vm="1">
        <f>VLOOKUP(Länderwahl,Länderkennzeichen,3,FALSE)</f>
        <v>#VALUE!</v>
      </c>
    </row>
    <row r="2" spans="1:17" ht="18.75" customHeight="1">
      <c r="A2" s="934"/>
      <c r="B2" s="945"/>
      <c r="C2" s="945"/>
      <c r="D2" s="945"/>
      <c r="E2" s="945"/>
      <c r="F2" s="945"/>
      <c r="G2" s="945"/>
      <c r="H2" s="945"/>
      <c r="I2" s="945"/>
      <c r="J2" s="945"/>
      <c r="K2" s="941"/>
      <c r="O2"/>
    </row>
    <row r="3" spans="1:17" ht="30">
      <c r="A3" s="360"/>
      <c r="B3" s="917" t="s">
        <v>2456</v>
      </c>
      <c r="C3" s="917"/>
      <c r="D3" s="917"/>
      <c r="E3" s="509"/>
      <c r="F3" s="514">
        <f>+Dat_Ber</f>
        <v>0</v>
      </c>
      <c r="G3" s="920" t="s">
        <v>3880</v>
      </c>
      <c r="H3" s="920" t="s">
        <v>3881</v>
      </c>
      <c r="I3" s="504" t="s">
        <v>3879</v>
      </c>
      <c r="J3" s="515"/>
      <c r="K3" s="553" t="s">
        <v>3904</v>
      </c>
      <c r="O3"/>
    </row>
    <row r="4" spans="1:17" ht="15" customHeight="1">
      <c r="A4" s="360"/>
      <c r="B4" s="510" t="s">
        <v>3877</v>
      </c>
      <c r="C4" s="516">
        <f>+EzE</f>
        <v>0</v>
      </c>
      <c r="D4" s="511" t="s">
        <v>3892</v>
      </c>
      <c r="E4" s="511" t="s">
        <v>3893</v>
      </c>
      <c r="F4" s="511" t="s">
        <v>3876</v>
      </c>
      <c r="G4" s="920"/>
      <c r="H4" s="920"/>
      <c r="I4" s="505">
        <f>+Abfindungsberechnung!I5</f>
        <v>0</v>
      </c>
      <c r="J4" s="515"/>
      <c r="K4" s="553" t="s">
        <v>3903</v>
      </c>
      <c r="O4"/>
    </row>
    <row r="5" spans="1:17" ht="15" customHeight="1">
      <c r="A5" s="360"/>
      <c r="B5" s="510" t="s">
        <v>3872</v>
      </c>
      <c r="C5" s="517">
        <f>+Dat_GebDat_Pfl</f>
        <v>0</v>
      </c>
      <c r="D5" s="512" t="str">
        <f>+Abfindungsberechnung!E6</f>
        <v/>
      </c>
      <c r="E5" s="512" t="str">
        <f>CHOOSE(GeschlechtsNr_Pfl,"m","w","d")</f>
        <v>m</v>
      </c>
      <c r="F5" s="506" t="str">
        <f>+Alter_Pfl</f>
        <v/>
      </c>
      <c r="G5" s="541">
        <f>+ReAlter_Pfl</f>
        <v>0</v>
      </c>
      <c r="H5" s="507" t="str">
        <f>+Leistungsbeginn_Pfl</f>
        <v/>
      </c>
      <c r="I5" s="932" t="s">
        <v>4057</v>
      </c>
      <c r="J5" s="508">
        <f>+sVA_Rente_Fälligkeit</f>
        <v>0</v>
      </c>
      <c r="K5" s="536"/>
      <c r="O5"/>
    </row>
    <row r="6" spans="1:17" ht="15" customHeight="1">
      <c r="A6" s="360"/>
      <c r="B6" s="510" t="s">
        <v>2505</v>
      </c>
      <c r="C6" s="517">
        <f>+Dat_BebDat_Ber</f>
        <v>0</v>
      </c>
      <c r="D6" s="512" t="str">
        <f>+Geschlecht_Ber</f>
        <v/>
      </c>
      <c r="E6" s="512" t="str">
        <f>CHOOSE(GeschlechtsNr_Ber,"m","w","d")</f>
        <v>w</v>
      </c>
      <c r="F6" s="506" t="str">
        <f>+Alter_Ber</f>
        <v/>
      </c>
      <c r="G6" s="547">
        <f>+RentenalterBer</f>
        <v>0</v>
      </c>
      <c r="H6" s="507" t="str">
        <f>+Abfindungsberechnung!H7</f>
        <v/>
      </c>
      <c r="I6" s="933"/>
      <c r="J6" s="508">
        <f>+Abfindungsberechnung!I7</f>
        <v>0</v>
      </c>
      <c r="K6" s="536"/>
      <c r="O6"/>
    </row>
    <row r="7" spans="1:17" ht="15" customHeight="1" thickBot="1">
      <c r="A7" s="360"/>
      <c r="B7" s="921" t="s">
        <v>3882</v>
      </c>
      <c r="C7" s="921"/>
      <c r="D7" s="922" t="str">
        <f>IFERROR(HYPERLINK(VLOOKUP(Länderwahl,EUEFTA_Rentenrechner,3,FALSE),"→ zum Rentenrechner"),"x Rentenrechner nicht verfügbar")</f>
        <v>→ zum Rentenrechner</v>
      </c>
      <c r="E7" s="923"/>
      <c r="F7" s="542">
        <f>+ReHöhe_EZE_Pfl</f>
        <v>0</v>
      </c>
      <c r="G7" s="924" t="s">
        <v>3132</v>
      </c>
      <c r="H7" s="924"/>
      <c r="I7" s="544">
        <f>+ReAnzahlproJahr</f>
        <v>12</v>
      </c>
      <c r="J7" s="518"/>
      <c r="K7" s="536"/>
      <c r="O7"/>
    </row>
    <row r="8" spans="1:17" ht="15" customHeight="1" thickBot="1">
      <c r="A8" s="360"/>
      <c r="B8" s="926" t="str">
        <f>+Abfindungsberechnung!C16</f>
        <v>Bitte Renteneintrittsalter eingeben (E10)</v>
      </c>
      <c r="C8" s="927"/>
      <c r="D8" s="927"/>
      <c r="E8" s="927"/>
      <c r="F8" s="545">
        <f>+ReHöhe_Berdat</f>
        <v>0</v>
      </c>
      <c r="G8" s="519" t="s">
        <v>3895</v>
      </c>
      <c r="H8" s="613" t="str">
        <f>IFERROR(IF(G5-D5&lt;0,0,G5-D5),"")</f>
        <v/>
      </c>
      <c r="I8" s="519" t="s">
        <v>3896</v>
      </c>
      <c r="J8" s="521">
        <f>IF(J5-G5&lt;0,0,J5-G5)</f>
        <v>0</v>
      </c>
      <c r="K8" s="536"/>
      <c r="O8"/>
    </row>
    <row r="9" spans="1:17" ht="27" customHeight="1">
      <c r="A9" s="300" t="s">
        <v>3113</v>
      </c>
      <c r="B9" s="928" t="str">
        <f>"Berechnung der Abfindung des sVA-Anspruchs der ausgleichsberechtigten Person - Methode 2 - Berechnungsdatum:"</f>
        <v>Berechnung der Abfindung des sVA-Anspruchs der ausgleichsberechtigten Person - Methode 2 - Berechnungsdatum:</v>
      </c>
      <c r="C9" s="928"/>
      <c r="D9" s="928"/>
      <c r="E9" s="928"/>
      <c r="F9" s="928"/>
      <c r="G9" s="928"/>
      <c r="H9" s="928"/>
      <c r="I9" s="928"/>
      <c r="J9" s="535">
        <f>Dat_Ber</f>
        <v>0</v>
      </c>
      <c r="K9" s="619"/>
      <c r="M9" s="361" t="b">
        <v>1</v>
      </c>
      <c r="N9" s="361"/>
      <c r="O9" s="362"/>
    </row>
    <row r="10" spans="1:17" ht="15" customHeight="1">
      <c r="A10" s="649">
        <v>1</v>
      </c>
      <c r="B10" s="846" t="str">
        <f>"frühestmögliches Rentenalter der ausglber. Person "&amp;IF(H5&lt;H6,"(Es kann sinnvoll sein, der ausglber. Person den Abschluss einer auf das "&amp;TEXT(YEARFRAC(C6,MIN(H6,H5),3),"0,0")&amp;". Lj. beginnenden pAV zu empfehlen)","")</f>
        <v xml:space="preserve">frühestmögliches Rentenalter der ausglber. Person </v>
      </c>
      <c r="C10" s="846"/>
      <c r="D10" s="846"/>
      <c r="E10" s="846"/>
      <c r="F10" s="846"/>
      <c r="G10" s="846"/>
      <c r="H10" s="846"/>
      <c r="I10" s="846"/>
      <c r="J10" s="426">
        <f>+Abfindungsberechnung!G7</f>
        <v>0</v>
      </c>
      <c r="K10" s="648">
        <v>1</v>
      </c>
      <c r="M10" s="148" t="s">
        <v>1628</v>
      </c>
      <c r="N10" s="143"/>
      <c r="O10" s="143"/>
      <c r="P10">
        <f>MONTH(Dat_GebDat_Ber)+(RentenalterBer-INT(RentenalterBer))*12</f>
        <v>1</v>
      </c>
      <c r="Q10" s="347">
        <f>(RentenalterBer-INT(RentenalterBer))*12</f>
        <v>0</v>
      </c>
    </row>
    <row r="11" spans="1:17" ht="15" customHeight="1">
      <c r="A11" s="649">
        <v>2</v>
      </c>
      <c r="B11" s="846" t="s">
        <v>3667</v>
      </c>
      <c r="C11" s="846"/>
      <c r="D11" s="846"/>
      <c r="E11" s="846"/>
      <c r="F11" s="846"/>
      <c r="G11" s="846"/>
      <c r="H11" s="846"/>
      <c r="I11" s="846"/>
      <c r="J11" s="427" t="str">
        <f>+H6</f>
        <v/>
      </c>
      <c r="K11" s="648">
        <v>2</v>
      </c>
      <c r="M11" s="148"/>
      <c r="N11" s="143"/>
      <c r="O11" s="143"/>
      <c r="P11" s="302" t="s">
        <v>1470</v>
      </c>
      <c r="Q11" s="347">
        <f>+J32</f>
        <v>0</v>
      </c>
    </row>
    <row r="12" spans="1:17" ht="15" customHeight="1">
      <c r="A12" s="649">
        <v>3</v>
      </c>
      <c r="B12" s="846" t="s">
        <v>3241</v>
      </c>
      <c r="C12" s="846"/>
      <c r="D12" s="846"/>
      <c r="E12" s="846"/>
      <c r="F12" s="846"/>
      <c r="G12" s="846"/>
      <c r="H12" s="846"/>
      <c r="I12" s="846"/>
      <c r="J12" s="428">
        <f>+J5</f>
        <v>0</v>
      </c>
      <c r="K12" s="648">
        <v>3</v>
      </c>
      <c r="M12" s="148" t="s">
        <v>3228</v>
      </c>
      <c r="N12" s="7">
        <f>ROUND(YEARFRAC(Dat_GebDat_Pfl,J15,3),2)</f>
        <v>0</v>
      </c>
      <c r="O12" s="7">
        <f>ROUND(YEARFRAC(Dat_GebDat_Ber,MAX(J15,J9)),0)</f>
        <v>0</v>
      </c>
      <c r="P12" s="302" t="s">
        <v>2977</v>
      </c>
      <c r="Q12" s="5" t="e">
        <f>ROUND(Q11*VLOOKUP(Abfindungsberechnung!F4,'Parameter DRV'!T5:V100,2),4)</f>
        <v>#N/A</v>
      </c>
    </row>
    <row r="13" spans="1:17" ht="15" customHeight="1">
      <c r="A13" s="649">
        <v>4</v>
      </c>
      <c r="B13" s="846" t="s">
        <v>1629</v>
      </c>
      <c r="C13" s="846"/>
      <c r="D13" s="846"/>
      <c r="E13" s="846"/>
      <c r="F13" s="846"/>
      <c r="G13" s="846"/>
      <c r="H13" s="846"/>
      <c r="I13" s="846"/>
      <c r="J13" s="427" t="str">
        <f>IF(ReAlter_Pfl="","",Leistungsbeginn_Pfl)</f>
        <v/>
      </c>
      <c r="K13" s="648">
        <v>4</v>
      </c>
      <c r="M13" s="157" t="s">
        <v>2473</v>
      </c>
      <c r="N13" s="355">
        <f>ROUND(VLOOKUP(N12,CHOOSE(GeschlechtsNr_Pfl,Lx,Ly,Ln),YEAR(Dat_GebDat_Pfl)+IF(MONTH(Dat_GebDat_Pfl)&gt;6,1,0)-1900+2),2)</f>
        <v>0</v>
      </c>
      <c r="O13" s="356">
        <f>ROUND(VLOOKUP(O12,CHOOSE(GeschlechtsNr_Ber,Lx,Ly,Ln),YEAR(Dat_GebDat_Ber)+IF(MONTH(Dat_GebDat_Ber)&gt;6,1,0)-1900+2),2)</f>
        <v>0</v>
      </c>
      <c r="P13" s="302" t="s">
        <v>3117</v>
      </c>
      <c r="Q13" s="5" t="e">
        <f>VLOOKUP(Abfindungsberechnung!F4,'Parameter DRV'!G5:I100,2)</f>
        <v>#N/A</v>
      </c>
    </row>
    <row r="14" spans="1:17" ht="15" customHeight="1">
      <c r="A14" s="649">
        <v>5</v>
      </c>
      <c r="B14" s="846" t="str">
        <f>"Alter der ausgleichsberechtigten Person Bei Renteneintritt der ausglpfl.. Person am "&amp;TEXT(J13,"TT.MM.JJJJ")</f>
        <v xml:space="preserve">Alter der ausgleichsberechtigten Person Bei Renteneintritt der ausglpfl.. Person am </v>
      </c>
      <c r="C14" s="846"/>
      <c r="D14" s="846"/>
      <c r="E14" s="846"/>
      <c r="F14" s="846"/>
      <c r="G14" s="846"/>
      <c r="H14" s="846"/>
      <c r="I14" s="846"/>
      <c r="J14" s="428" t="str">
        <f>IFERROR(ROUND(YEARFRAC(Dat_GebDat_Ber,J13,3),1),"")</f>
        <v/>
      </c>
      <c r="K14" s="648">
        <v>5</v>
      </c>
      <c r="M14" s="157" t="s">
        <v>3240</v>
      </c>
      <c r="N14" s="356">
        <f>ROUND(YEARFRAC(Dat_GebDat_Pfl,'Abfindung Methode 2'!J15,3),0)</f>
        <v>0</v>
      </c>
      <c r="O14" s="356">
        <f>ROUND(YEARFRAC(Dat_GebDat_Ber,'Abfindung Methode 2'!J15,3),2)</f>
        <v>0</v>
      </c>
      <c r="P14" s="302" t="s">
        <v>3118</v>
      </c>
      <c r="Q14" s="267" t="e">
        <f>+Q13*Q12</f>
        <v>#N/A</v>
      </c>
    </row>
    <row r="15" spans="1:17" ht="15" customHeight="1">
      <c r="A15" s="649">
        <v>6</v>
      </c>
      <c r="B15" s="846" t="str">
        <f>IF(AND(J9&gt;=J11,J9&gt;=J13),"Berechnungsdatum bei gleichzeitigem Versorgungsbezug:","Datum des Beginns des gemeinsamen Versorgungsbezugs: ")</f>
        <v xml:space="preserve">Datum des Beginns des gemeinsamen Versorgungsbezugs: </v>
      </c>
      <c r="C15" s="846"/>
      <c r="D15" s="846"/>
      <c r="E15" s="846"/>
      <c r="F15" s="846"/>
      <c r="G15" s="846"/>
      <c r="H15" s="846"/>
      <c r="I15" s="846"/>
      <c r="J15" s="429">
        <f>+I4</f>
        <v>0</v>
      </c>
      <c r="K15" s="648">
        <v>6</v>
      </c>
      <c r="M15" s="359" t="s">
        <v>3246</v>
      </c>
      <c r="N15" s="256">
        <f>+N14+J16</f>
        <v>0</v>
      </c>
      <c r="O15" s="256">
        <f>+O14+J17</f>
        <v>0</v>
      </c>
      <c r="P15" s="302" t="s">
        <v>3124</v>
      </c>
      <c r="Q15" s="348">
        <f>+Dat_GebDat_Ber</f>
        <v>0</v>
      </c>
    </row>
    <row r="16" spans="1:17" ht="15" customHeight="1">
      <c r="A16" s="649">
        <v>7</v>
      </c>
      <c r="B16" s="647" t="str">
        <f>"Lebenserwartung der ausglpfl. Person am "&amp;TEXT(J15,"TT.MM.JJJJJ")&amp;" im Alter von "&amp;TEXT(N12,"0")&amp;" Jahren: "</f>
        <v xml:space="preserve">Lebenserwartung der ausglpfl. Person am 00.01.1900 im Alter von 0 Jahren: </v>
      </c>
      <c r="C16" s="338"/>
      <c r="D16" s="338"/>
      <c r="E16" s="935" t="str">
        <f>IFERROR("       Berücksichtigung der in "&amp;Länderwahl&amp;" gegenüber Deutschland um"&amp;CHAR(10)&amp;"      "&amp;TEXT(L_DzuAuswahlland,"0,00%")&amp;" f.d. Ausglpfl."&amp;" und "&amp;TEXT(L_DzuAuswahlland_Ber,"0,00%")&amp;" f.d. Ausglber."&amp;IF(L_DzuAuswahlland&gt;0," höheren "," niedrigeren ") &amp;" Lebenserwartung","       Es stehen derzeit noch keine belastbaren Angeben zur Verfügung")</f>
        <v xml:space="preserve">       Berücksichtigung der in Tschechien gegenüber Deutschland um
      -8,00% f.d. Ausglpfl. und 0,00% f.d. Ausglber. niedrigeren  Lebenserwartung</v>
      </c>
      <c r="F16" s="936"/>
      <c r="G16" s="936"/>
      <c r="H16" s="936"/>
      <c r="I16" s="937"/>
      <c r="J16" s="503">
        <f>ROUND(+N13,1)*IFERROR(IF(SterbeAnomalie,(1+L_DzuAuswahlland),1),1)</f>
        <v>0</v>
      </c>
      <c r="K16" s="648">
        <v>7</v>
      </c>
      <c r="M16" s="359"/>
      <c r="N16" s="37"/>
      <c r="O16" s="37"/>
      <c r="P16" s="302" t="s">
        <v>3125</v>
      </c>
      <c r="Q16" s="5">
        <f>ROUND(YEARFRAC(Dat_GebDat_Ber,Dat_Ber,3),1)</f>
        <v>0</v>
      </c>
    </row>
    <row r="17" spans="1:17" ht="15" customHeight="1">
      <c r="A17" s="649">
        <v>8</v>
      </c>
      <c r="B17" s="338" t="str">
        <f>"Lebenserwartung der ausglber. Person am "&amp;TEXT(J15,"TT.MM.JJJJ")&amp;" im Alter von "&amp;TEXT(YEARFRAC(Dat_BebDat_Ber,'Abfindung Methode 2'!J15,3),"0")&amp;" Jahren: "</f>
        <v xml:space="preserve">Lebenserwartung der ausglber. Person am 00.01.1900 im Alter von 0 Jahren: </v>
      </c>
      <c r="C17" s="338"/>
      <c r="D17" s="338"/>
      <c r="E17" s="938"/>
      <c r="F17" s="939"/>
      <c r="G17" s="939"/>
      <c r="H17" s="939"/>
      <c r="I17" s="940"/>
      <c r="J17" s="503">
        <f>ROUND(O13,1)*IFERROR(IF(SterbeAnomalie,(1+L_DzuAuswahlland_Ber),1),1)</f>
        <v>0</v>
      </c>
      <c r="K17" s="648">
        <v>8</v>
      </c>
      <c r="M17" s="357"/>
      <c r="P17" s="302" t="s">
        <v>3126</v>
      </c>
      <c r="Q17" s="348">
        <f>+Abfindungsberechnung!AY3</f>
        <v>23774</v>
      </c>
    </row>
    <row r="18" spans="1:17" ht="15" customHeight="1">
      <c r="A18" s="649">
        <v>9</v>
      </c>
      <c r="B18" s="929" t="str">
        <f>"Anwartschaftszeit d. Pflichtigen "&amp;IF(J11&gt;Dat_Ber," bis zum Leistungsbezug ("&amp;TEXT(J11,"T.M.JJ")&amp;") der ausgleichspflichtigen Person: "&amp;TEXT(Dat_Ber,"TT.MM.JJJJ")&amp;" bis "&amp;TEXT(J13,"T.M.JJ")," vom Leistungsbeginn ("&amp;TEXT(J13,"t.M.JJ")&amp;") bis Berechnungsstichtag ("&amp;TEXT(J9,"T.M.JJ")&amp;") in Jahren = ")</f>
        <v xml:space="preserve">Anwartschaftszeit d. Pflichtigen  vom Leistungsbeginn () bis Berechnungsstichtag (0.1.00) in Jahren = </v>
      </c>
      <c r="C18" s="930"/>
      <c r="D18" s="930"/>
      <c r="E18" s="930"/>
      <c r="F18" s="930"/>
      <c r="G18" s="930"/>
      <c r="H18" s="930"/>
      <c r="I18" s="931"/>
      <c r="J18" s="428" t="str">
        <f>IFERROR(ROUND(YEARFRAC(Dat_Ber,J13,3),1),"")</f>
        <v/>
      </c>
      <c r="K18" s="648">
        <v>9</v>
      </c>
      <c r="P18" s="302" t="s">
        <v>3127</v>
      </c>
      <c r="Q18" s="5">
        <f>ROUND(YEARFRAC(Q15,Q17,3),1)</f>
        <v>65.099999999999994</v>
      </c>
    </row>
    <row r="19" spans="1:17" ht="15" hidden="1" customHeight="1">
      <c r="A19" s="649"/>
      <c r="B19" s="929"/>
      <c r="C19" s="930"/>
      <c r="D19" s="930"/>
      <c r="E19" s="930"/>
      <c r="F19" s="930"/>
      <c r="G19" s="930"/>
      <c r="H19" s="930"/>
      <c r="I19" s="931"/>
      <c r="J19" s="367"/>
      <c r="K19" s="648">
        <v>10</v>
      </c>
      <c r="P19" s="302"/>
      <c r="Q19" s="5"/>
    </row>
    <row r="20" spans="1:17" ht="15" customHeight="1">
      <c r="A20" s="649">
        <v>10</v>
      </c>
      <c r="B20" s="929" t="str">
        <f>"Leistungszeit bis zum beiderseitigen Versorgungsbezug: "&amp;TEXT(J13,"TT.MM.JJJ")&amp;" (Rentenbeginn Ausglpfl.) bis "&amp;TEXT(J15,"TT.MM.JJJJ")&amp; " (Rentenbeginn ausglber. Person) in Jahren: "</f>
        <v xml:space="preserve">Leistungszeit bis zum beiderseitigen Versorgungsbezug:  (Rentenbeginn Ausglpfl.) bis 00.01.1900 (Rentenbeginn ausglber. Person) in Jahren: </v>
      </c>
      <c r="C20" s="930"/>
      <c r="D20" s="930"/>
      <c r="E20" s="930"/>
      <c r="F20" s="930"/>
      <c r="G20" s="930"/>
      <c r="H20" s="930"/>
      <c r="I20" s="931"/>
      <c r="J20" s="430" t="str">
        <f>IFERROR(ROUND(IF(YEARFRAC(J13,J15,3)&lt;0,0,YEARFRAC(J13,J15,3)),1),"")</f>
        <v/>
      </c>
      <c r="K20" s="648">
        <v>11</v>
      </c>
      <c r="L20" s="157"/>
      <c r="M20" s="352">
        <f>+J9</f>
        <v>0</v>
      </c>
      <c r="N20" s="352">
        <f>MAX(J15,J13)</f>
        <v>0</v>
      </c>
      <c r="O20" s="530" t="s">
        <v>3015</v>
      </c>
      <c r="P20" s="302" t="s">
        <v>3119</v>
      </c>
      <c r="Q20" s="5">
        <f>+AnwZeit_Ber_BerDatbusDRVRente</f>
        <v>65.099999999999994</v>
      </c>
    </row>
    <row r="21" spans="1:17" ht="15" customHeight="1">
      <c r="A21" s="649">
        <v>11</v>
      </c>
      <c r="B21" s="929" t="str">
        <f>+Abfindungsberechnung!C16</f>
        <v>Bitte Renteneintrittsalter eingeben (E10)</v>
      </c>
      <c r="C21" s="930"/>
      <c r="D21" s="930"/>
      <c r="E21" s="930"/>
      <c r="F21" s="930"/>
      <c r="G21" s="930"/>
      <c r="H21" s="930"/>
      <c r="I21" s="931"/>
      <c r="J21" s="543">
        <f>+ReHöhe_Berdat</f>
        <v>0</v>
      </c>
      <c r="K21" s="648">
        <v>12</v>
      </c>
      <c r="L21" s="351" t="s">
        <v>3238</v>
      </c>
      <c r="M21" s="7" t="e">
        <f>VLOOKUP(Alter_Pfl,CHOOSE(GeschlechtsNr_Pfl,Kohorte_M,Kohorte_W,Kohorte_D),YEAR(Dat_GebDat_Pfl)+IF(MONTH(Dat_GebDat_Pfl)&gt;6,1,0)-1900+2)</f>
        <v>#N/A</v>
      </c>
      <c r="N21" s="157">
        <f>VLOOKUP(N12,CHOOSE(GeschlechtsNr_Pfl,Kohorte_M,Kohorte_W,Kohorte_D),YEAR(Dat_GebDat_Pfl)+IF(MONTH(Dat_GebDat_Pfl)&gt;6,1,0)-1900+2)</f>
        <v>0</v>
      </c>
      <c r="O21" s="531" t="e">
        <f>ROUND(Ü_Pfl_sVAStart/Ü_Pfl_BerZtpkt,4)</f>
        <v>#N/A</v>
      </c>
      <c r="P21" s="302" t="s">
        <v>3123</v>
      </c>
      <c r="Q21" s="267" t="e">
        <f>+Q14*(1+'Abfindung Methode 1'!G25) ^AnwZeit_Ber_BerDatbusDRVRente</f>
        <v>#N/A</v>
      </c>
    </row>
    <row r="22" spans="1:17" ht="15" customHeight="1">
      <c r="A22" s="649">
        <v>12</v>
      </c>
      <c r="B22" s="929" t="str">
        <f>"Barwert der sVA-Rente f.d. ausglber. Person am "&amp;TEXT(J15,"TT.MM.JJJJ")&amp;" über die gemeinsame Bezugsdauer von "&amp;TEXT(MIN(J16,J17),"0,00")&amp;" Jahren: "</f>
        <v xml:space="preserve">Barwert der sVA-Rente f.d. ausglber. Person am 00.01.1900 über die gemeinsame Bezugsdauer von 0,00 Jahren: </v>
      </c>
      <c r="C22" s="930"/>
      <c r="D22" s="930"/>
      <c r="E22" s="930"/>
      <c r="F22" s="930"/>
      <c r="G22" s="930"/>
      <c r="H22" s="930"/>
      <c r="I22" s="931"/>
      <c r="J22" s="435">
        <f>IFERROR(ROUND(-PV(Rechnungszins-ReDynamik_Leistung,MIN(J16,J17),J21*12),0),"")</f>
        <v>0</v>
      </c>
      <c r="K22" s="648">
        <v>13</v>
      </c>
      <c r="L22" s="157" t="s">
        <v>3239</v>
      </c>
      <c r="M22" s="499" t="e">
        <f>VLOOKUP(Alter_Ber,CHOOSE(GeschlechtsNr_Ber,Kohorte_M,Kohorte_W,Kohorte_D),YEAR(Dat_GebDat_Ber)+IF(MONTH(Dat_GebDat_Ber)&gt;6,1,0)-1900+2)</f>
        <v>#N/A</v>
      </c>
      <c r="N22" s="7">
        <f>VLOOKUP(O12,CHOOSE(GeschlechtsNr_Ber,Kohorte_M,Kohorte_W,Kohorte_D),YEAR(Dat_GebDat_Ber)+IF(MONTH(Dat_GebDat_Ber)&gt;6,1,0)-1900+2)</f>
        <v>0</v>
      </c>
      <c r="O22" s="531" t="e">
        <f>ROUND(Ü_Ber_sVAStart/Ü_Ber_BerZtpkt,4)</f>
        <v>#N/A</v>
      </c>
      <c r="P22" s="302" t="s">
        <v>3128</v>
      </c>
      <c r="Q22" s="5">
        <f>ROUND(VLOOKUP(Q18,CHOOSE(GeschlechtsNr_Ber,Lx,Ly,Ld),YEAR('Abfindung Methode 2'!Q15)-1900+2),1)</f>
        <v>0</v>
      </c>
    </row>
    <row r="23" spans="1:17" ht="15" customHeight="1">
      <c r="A23" s="649">
        <v>13</v>
      </c>
      <c r="B23" s="929" t="str">
        <f>"abgezinster BW der sVA-Rente, über "&amp;TEXT(YEARFRAC(Dat_Ber,J15,3),"0,0")&amp;" Jahre vom "&amp;TEXT(J15,"TT.MM.JJJ")&amp;" bis "&amp;TEXT(Abfindungsberechnung!F4,"T.M.JJJ")&amp;", ReZins "&amp;TEXT(Rechnungszins,"0,00%")&amp;": "&amp;TEXT(J22,"#.##0")&amp;" x (1 + "&amp;TEXT(Abfindungsberechnung!I17,"0,00%")&amp;")^"&amp;IF('Abfindung Methode 2'!J18&gt;0,"-"&amp;TEXT(YEARFRAC(J9,J15,3),"0,0")&amp;" = ","")</f>
        <v xml:space="preserve">abgezinster BW der sVA-Rente, über 0,0 Jahre vom 00.01.1900 bis 0.1.1900, ReZins 0,00%: 0 x (1 + 0,00%)^-0,0 = </v>
      </c>
      <c r="C23" s="930"/>
      <c r="D23" s="930"/>
      <c r="E23" s="930"/>
      <c r="F23" s="930"/>
      <c r="G23" s="930"/>
      <c r="H23" s="930"/>
      <c r="I23" s="931"/>
      <c r="J23" s="435">
        <f>IFERROR(ROUND(+J22*(1+Rechnungszins)^-ROUND(YEARFRAC(J9,J15,3),1),0),"")</f>
        <v>0</v>
      </c>
      <c r="K23" s="648">
        <v>14</v>
      </c>
      <c r="L23" s="148"/>
      <c r="M23" s="143"/>
      <c r="N23" s="143"/>
      <c r="O23" s="143"/>
      <c r="P23" s="302" t="s">
        <v>3129</v>
      </c>
      <c r="Q23" s="267" t="e">
        <f>-PV(-'Abfindung Methode 1'!G25,'Abfindung Methode 2'!Q22,'Abfindung Methode 2'!Q21*12)</f>
        <v>#N/A</v>
      </c>
    </row>
    <row r="24" spans="1:17" ht="15" customHeight="1">
      <c r="A24" s="649">
        <v>14</v>
      </c>
      <c r="B24" s="846" t="str">
        <f>IFERROR("        Erlebensbenswahrscheinlichkeit der ausglpflichtigen Person vom "&amp;TEXT(Dat_Ber,"TT.MM.JJJ")&amp;" bis "&amp;TEXT(J15,"TT.MM.JJJJ")&amp;": "&amp;TEXT(Ü_Pfl_sVAStart,"#.##0")&amp;" / "&amp;TEXT(Ü_Pfl_BerZtpkt,"#.##0")&amp;": ","")</f>
        <v/>
      </c>
      <c r="C24" s="846"/>
      <c r="D24" s="846"/>
      <c r="E24" s="846"/>
      <c r="F24" s="846"/>
      <c r="G24" s="846"/>
      <c r="H24" s="846"/>
      <c r="I24" s="846"/>
      <c r="J24" s="431" t="str">
        <f>IFERROR(IF(N26,+O21,0),"")</f>
        <v/>
      </c>
      <c r="K24" s="648">
        <v>15</v>
      </c>
      <c r="L24" s="1"/>
      <c r="M24" s="143"/>
      <c r="N24" s="143"/>
      <c r="O24" s="143"/>
    </row>
    <row r="25" spans="1:17" ht="15" customHeight="1">
      <c r="A25" s="649">
        <v>15</v>
      </c>
      <c r="B25" s="846" t="str">
        <f>IFERROR("        Erlebensbenswahrscheinlichkeit der ausglberechtigten Person vom "&amp;TEXT(Dat_Ber,"TT.MM.JJJ")&amp;" bis "&amp;TEXT(J15,"TT.MM.JJJJ")&amp;": "&amp;TEXT(Ü_Ber_sVAStart,"#.##0")&amp;" / "&amp;TEXT(Ü_Ber_BerZtpkt,"#.##0")&amp;": ","")</f>
        <v/>
      </c>
      <c r="C25" s="846"/>
      <c r="D25" s="846"/>
      <c r="E25" s="846"/>
      <c r="F25" s="846"/>
      <c r="G25" s="846"/>
      <c r="H25" s="846"/>
      <c r="I25" s="846"/>
      <c r="J25" s="432" t="str">
        <f>IFERROR(IF(N27,+O22,0),"")</f>
        <v/>
      </c>
      <c r="K25" s="648">
        <v>16</v>
      </c>
      <c r="L25" s="1"/>
      <c r="M25" s="143"/>
      <c r="N25" s="143"/>
      <c r="O25" s="143"/>
    </row>
    <row r="26" spans="1:17" ht="15" customHeight="1">
      <c r="A26" s="649">
        <v>16</v>
      </c>
      <c r="B26" s="951" t="str">
        <f>"Barwert unter Berücksichtigung des Vorversterbens: "&amp;TEXT(J23,"#.##0,00")&amp;IF(J24="",""," x ")&amp;TEXT(J24,"0,00%")&amp;IF(J25="",""," x ")&amp;TEXT(J25,"0,00%")&amp;" = "</f>
        <v xml:space="preserve">Barwert unter Berücksichtigung des Vorversterbens: 0,00 = </v>
      </c>
      <c r="C26" s="951"/>
      <c r="D26" s="951"/>
      <c r="E26" s="951"/>
      <c r="F26" s="951"/>
      <c r="G26" s="951"/>
      <c r="H26" s="951"/>
      <c r="I26" s="951"/>
      <c r="J26" s="444" t="str">
        <f>IFERROR(ROUND(J23*IF(N26,J24,1)*IF(N27,J25,1),0),"")</f>
        <v/>
      </c>
      <c r="K26" s="648">
        <v>17</v>
      </c>
      <c r="L26" s="1"/>
      <c r="M26" s="143"/>
      <c r="N26" s="425" t="b">
        <v>1</v>
      </c>
      <c r="O26" s="143"/>
    </row>
    <row r="27" spans="1:17" ht="15" customHeight="1">
      <c r="A27" s="649">
        <v>18</v>
      </c>
      <c r="B27" s="882" t="s">
        <v>3130</v>
      </c>
      <c r="C27" s="882"/>
      <c r="D27" s="882"/>
      <c r="E27" s="882"/>
      <c r="F27" s="882"/>
      <c r="G27" s="882"/>
      <c r="H27" s="537">
        <v>1</v>
      </c>
      <c r="I27" s="627" t="str">
        <f>Invaliditätszuschlag</f>
        <v/>
      </c>
      <c r="J27" s="434" t="str">
        <f>IFERROR(IF(info_IRZuschlag,I27*J26,0),"")</f>
        <v/>
      </c>
      <c r="K27" s="648">
        <v>18</v>
      </c>
      <c r="L27" s="524"/>
      <c r="M27" s="143"/>
      <c r="N27" s="425" t="b">
        <v>1</v>
      </c>
      <c r="O27" s="143"/>
    </row>
    <row r="28" spans="1:17" ht="15" customHeight="1">
      <c r="A28" s="649">
        <v>19</v>
      </c>
      <c r="B28" s="882" t="s">
        <v>3130</v>
      </c>
      <c r="C28" s="882"/>
      <c r="D28" s="882"/>
      <c r="E28" s="882"/>
      <c r="F28" s="882"/>
      <c r="G28" s="882"/>
      <c r="H28" s="391">
        <v>0.6</v>
      </c>
      <c r="I28" s="628" t="str">
        <f>Hinterbliebenenzuschlag</f>
        <v/>
      </c>
      <c r="J28" s="367">
        <f>IFERROR(IF(info_HRZuschlag,I28*J26,0),"")</f>
        <v>0</v>
      </c>
      <c r="K28" s="648">
        <v>19</v>
      </c>
      <c r="L28" s="1"/>
      <c r="M28" s="143"/>
      <c r="N28" s="425"/>
      <c r="O28" s="143"/>
    </row>
    <row r="29" spans="1:17" ht="15" customHeight="1">
      <c r="A29" s="649">
        <v>20</v>
      </c>
      <c r="B29" s="885" t="str">
        <f>IFERROR("Brutto-Abfindungsbetrag: "&amp;TEXT(J26,"#.##0,00")&amp;IF(J27," + "&amp;TEXT(J27,"#.##0,00"),"")&amp;IF(J28," + "&amp;TEXT(J28,"#.##0,00"),"")&amp;" = ","")</f>
        <v/>
      </c>
      <c r="C29" s="885"/>
      <c r="D29" s="885"/>
      <c r="E29" s="885"/>
      <c r="F29" s="885"/>
      <c r="G29" s="885"/>
      <c r="H29" s="885"/>
      <c r="I29" s="885"/>
      <c r="J29" s="435" t="str">
        <f>IFERROR(ROUND(+J28+J27+J26,0),"")</f>
        <v/>
      </c>
      <c r="K29" s="648">
        <v>20</v>
      </c>
      <c r="L29" s="1"/>
      <c r="M29" s="1"/>
      <c r="N29" s="425" t="b">
        <v>0</v>
      </c>
      <c r="O29" s="143"/>
    </row>
    <row r="30" spans="1:17" ht="15" customHeight="1">
      <c r="A30" s="649">
        <v>21</v>
      </c>
      <c r="B30" s="846" t="s">
        <v>4079</v>
      </c>
      <c r="C30" s="846"/>
      <c r="D30" s="846"/>
      <c r="E30" s="846"/>
      <c r="F30" s="846"/>
      <c r="G30" s="846"/>
      <c r="H30" s="846"/>
      <c r="I30" s="548">
        <f>+Abfindungsberechnung!F21</f>
        <v>0</v>
      </c>
      <c r="J30" s="436">
        <f>IFERROR(IF(info_SozAbgaben,IF(I30&lt;0,+J$29*I30,J$29*I30*-1),0),"")</f>
        <v>0</v>
      </c>
      <c r="K30" s="648">
        <v>21</v>
      </c>
      <c r="L30" s="1"/>
      <c r="M30" s="1"/>
      <c r="N30" s="425" t="b">
        <v>0</v>
      </c>
      <c r="O30" s="143"/>
    </row>
    <row r="31" spans="1:17" ht="15" customHeight="1">
      <c r="A31" s="649">
        <v>22</v>
      </c>
      <c r="B31" s="846" t="s">
        <v>4080</v>
      </c>
      <c r="C31" s="846"/>
      <c r="D31" s="846"/>
      <c r="E31" s="846"/>
      <c r="F31" s="846"/>
      <c r="G31" s="846"/>
      <c r="H31" s="846"/>
      <c r="I31" s="549">
        <f>+Abfindungsberechnung!F22</f>
        <v>0</v>
      </c>
      <c r="J31" s="436">
        <f>IFERROR(IF(Info_Steuern,IF(I31&lt;0,+J$29*I31,J$29*I31*-1),0),"")</f>
        <v>0</v>
      </c>
      <c r="K31" s="648">
        <v>22</v>
      </c>
      <c r="L31" s="1"/>
      <c r="M31" s="149"/>
      <c r="N31" s="243" t="str">
        <f>+J29</f>
        <v/>
      </c>
      <c r="O31" s="243"/>
    </row>
    <row r="32" spans="1:17" ht="18" customHeight="1">
      <c r="A32" s="649">
        <v>23</v>
      </c>
      <c r="B32" s="947" t="str">
        <f>IFERROR("Netto-Abfindung zum Berechnungszeitpunkt Methode 2 ("&amp;TEXT(Dat_Ber,"TT.MM.JJJJ")&amp;"): "&amp;IF(J30+J31=0,"",TEXT(J29,"#.##0,00"))&amp;IF(J30+J32=0,"",IF(J30&lt;0," - "&amp;TEXT(ABS(J30),"#.##0"),"")&amp;IF(J31&lt;0," - "&amp;TEXT(ABS(J31),"#.##0"),""))&amp;" = ","")</f>
        <v xml:space="preserve">Netto-Abfindung zum Berechnungszeitpunkt Methode 2 (00.01.1900):  = </v>
      </c>
      <c r="C32" s="947"/>
      <c r="D32" s="947"/>
      <c r="E32" s="947"/>
      <c r="F32" s="947"/>
      <c r="G32" s="947"/>
      <c r="H32" s="947"/>
      <c r="I32" s="947"/>
      <c r="J32" s="437">
        <f>IFERROR(ROUND(+J29+J30+J31,0),0)</f>
        <v>0</v>
      </c>
      <c r="K32" s="648">
        <v>23</v>
      </c>
      <c r="L32" s="1"/>
      <c r="M32" s="143"/>
      <c r="N32" s="243">
        <f>+AbfindungMethode2</f>
        <v>0</v>
      </c>
      <c r="O32" s="243"/>
    </row>
    <row r="33" spans="1:15" ht="15" customHeight="1">
      <c r="A33" s="649">
        <v>24</v>
      </c>
      <c r="B33" s="948" t="str">
        <f>"ℹ: ∑ der erwartbaren sVA-Renten-Zahlungen f.d. ausglber. Person, Dynamik "&amp;TEXT(ReDynamik_Leistung,"0,00%")&amp;" Bezugsdauer "&amp;TEXT(MIN(J16,J17),"#0,00")&amp;" Jahre, Startrente "&amp;TEXT(J21,"#.##0,00")&amp;" pro Monat, Dynamik: "&amp;TEXT(Abfindungsberechnung!I15,"0,00%")&amp;": "</f>
        <v xml:space="preserve">ℹ: ∑ der erwartbaren sVA-Renten-Zahlungen f.d. ausglber. Person, Dynamik 0,00% Bezugsdauer 0,00 Jahre, Startrente 0,00 pro Monat, Dynamik: 0,00%: </v>
      </c>
      <c r="C33" s="948"/>
      <c r="D33" s="948"/>
      <c r="E33" s="948"/>
      <c r="F33" s="948"/>
      <c r="G33" s="948"/>
      <c r="H33" s="948"/>
      <c r="I33" s="539">
        <f>IFERROR(L34,"")</f>
        <v>0</v>
      </c>
      <c r="J33" s="438"/>
      <c r="K33" s="648">
        <v>24</v>
      </c>
      <c r="L33" s="1"/>
      <c r="M33" s="143"/>
      <c r="N33" s="143"/>
      <c r="O33" s="143"/>
    </row>
    <row r="34" spans="1:15" ht="15" customHeight="1">
      <c r="A34" s="649">
        <v>25</v>
      </c>
      <c r="B34" s="949" t="str">
        <f>IFERROR("ℹ: ∑ erwartbarer Rentenzahlungen f.d. ausglber. Person aus "&amp;TEXT(AbfindungMethode2,"#.##0")&amp;" der DRV, Dynamik: "&amp;TEXT(DRVDynamik,"0,00%")&amp;", Bezugsdauer "&amp;TEXT(O40,"0,0")&amp;" Jahre: ","")</f>
        <v xml:space="preserve">ℹ: ∑ erwartbarer Rentenzahlungen f.d. ausglber. Person aus 0 der DRV, Dynamik: 2,60%, Bezugsdauer 0,0 Jahre: </v>
      </c>
      <c r="C34" s="949"/>
      <c r="D34" s="949"/>
      <c r="E34" s="949"/>
      <c r="F34" s="949"/>
      <c r="G34" s="949"/>
      <c r="H34" s="949"/>
      <c r="I34" s="540" t="str">
        <f>IFERROR(+O41,"")</f>
        <v/>
      </c>
      <c r="J34" s="439"/>
      <c r="K34" s="648">
        <v>25</v>
      </c>
      <c r="L34" s="524">
        <f>-PV(-ReDynamik_Leistung,MIN(J16,J17),'Abfindung Methode 2'!J21*ReAnzahlproJahr/12*12)</f>
        <v>0</v>
      </c>
      <c r="M34" s="143"/>
      <c r="N34" s="143"/>
      <c r="O34" s="143"/>
    </row>
    <row r="35" spans="1:15">
      <c r="A35" s="649">
        <v>26</v>
      </c>
      <c r="B35" s="950" t="e">
        <f>"ℹ: Abfindung zum Berechnungezeitpunkt Methode 1 zu Methode 2: "&amp;TEXT(I35/AbfindungMethode2,"0,00%")&amp; " der Methode 2"</f>
        <v>#DIV/0!</v>
      </c>
      <c r="C35" s="950"/>
      <c r="D35" s="950"/>
      <c r="E35" s="950"/>
      <c r="F35" s="950"/>
      <c r="G35" s="950"/>
      <c r="H35" s="950"/>
      <c r="I35" s="752">
        <f>+AbfindungMethode1</f>
        <v>0</v>
      </c>
      <c r="J35" s="551"/>
      <c r="K35" s="648">
        <v>26</v>
      </c>
      <c r="L35" s="533" t="e">
        <f>ROUND(VLOOKUP(J9,'Parameter DRV'!T5:V100,2),10)</f>
        <v>#N/A</v>
      </c>
      <c r="M35" s="143" t="e">
        <f>+AbfindungMethode2*L35</f>
        <v>#N/A</v>
      </c>
      <c r="N35" s="148" t="s">
        <v>3117</v>
      </c>
      <c r="O35" s="7" t="e">
        <f>aktRW_BerDat</f>
        <v>#N/A</v>
      </c>
    </row>
    <row r="36" spans="1:15" ht="15" hidden="1" customHeight="1">
      <c r="A36" s="649">
        <v>27</v>
      </c>
      <c r="B36" s="538"/>
      <c r="C36" s="538"/>
      <c r="D36" s="538"/>
      <c r="E36" s="538"/>
      <c r="F36" s="538"/>
      <c r="G36" s="538"/>
      <c r="H36" s="1"/>
      <c r="I36" s="753"/>
      <c r="J36" s="538"/>
      <c r="K36" s="648">
        <v>27</v>
      </c>
      <c r="L36" s="1"/>
      <c r="M36" s="351" t="s">
        <v>3242</v>
      </c>
      <c r="N36" s="1"/>
      <c r="O36" s="532" t="e">
        <f>+O35*M35</f>
        <v>#N/A</v>
      </c>
    </row>
    <row r="37" spans="1:15">
      <c r="A37" s="649">
        <v>28</v>
      </c>
      <c r="B37" s="943" t="s">
        <v>3257</v>
      </c>
      <c r="C37" s="943"/>
      <c r="D37" s="943"/>
      <c r="E37" s="943"/>
      <c r="F37" s="943"/>
      <c r="G37" s="943"/>
      <c r="H37" s="943"/>
      <c r="I37" s="754">
        <f>IFERROR(+AbfindungMethode3,"")</f>
        <v>0</v>
      </c>
      <c r="J37" s="552"/>
      <c r="K37" s="648">
        <v>28</v>
      </c>
      <c r="L37" s="1"/>
      <c r="M37" s="1"/>
      <c r="N37" s="1"/>
      <c r="O37" s="1"/>
    </row>
    <row r="38" spans="1:15">
      <c r="A38" s="360"/>
      <c r="B38" s="946" t="s">
        <v>3910</v>
      </c>
      <c r="C38" s="946"/>
      <c r="D38" s="946"/>
      <c r="E38" s="946"/>
      <c r="F38" s="946"/>
      <c r="G38" s="946"/>
      <c r="H38" s="946"/>
      <c r="I38" s="946"/>
      <c r="J38" s="946"/>
      <c r="K38" s="554"/>
      <c r="L38" s="1"/>
      <c r="M38" s="351" t="s">
        <v>3243</v>
      </c>
      <c r="N38" s="1"/>
      <c r="O38" s="524" t="e">
        <f>Startrente2zumBerDat*(1+'Abfindung Methode 1'!G25)^YEARFRAC('Abfindung Methode 2'!J9,'Abfindung Methode 2'!J15,3)</f>
        <v>#N/A</v>
      </c>
    </row>
    <row r="39" spans="1:15">
      <c r="A39" s="360"/>
      <c r="B39" s="942" t="s">
        <v>3911</v>
      </c>
      <c r="C39" s="942"/>
      <c r="D39" s="942"/>
      <c r="E39" s="942"/>
      <c r="F39" s="942"/>
      <c r="G39" s="942"/>
      <c r="H39" s="942"/>
      <c r="I39" s="942"/>
      <c r="J39" s="942"/>
      <c r="K39" s="360"/>
      <c r="L39" s="1"/>
      <c r="M39" s="351" t="s">
        <v>3245</v>
      </c>
      <c r="N39" s="1"/>
      <c r="O39" s="1">
        <f>VLOOKUP(YEAR(Dat_BebDat_Ber),DRV_Renteneintritt,2)/12+65</f>
        <v>65</v>
      </c>
    </row>
    <row r="40" spans="1:15">
      <c r="A40" s="360"/>
      <c r="B40" s="360"/>
      <c r="C40" s="360"/>
      <c r="D40" s="360"/>
      <c r="E40" s="360"/>
      <c r="F40" s="360"/>
      <c r="G40" s="360"/>
      <c r="H40" s="360"/>
      <c r="I40" s="360"/>
      <c r="J40" s="360"/>
      <c r="K40" s="360"/>
      <c r="L40" s="1"/>
      <c r="M40" s="351" t="s">
        <v>3247</v>
      </c>
      <c r="N40" s="1"/>
      <c r="O40" s="534">
        <f>ROUND(VLOOKUP(O39,CHOOSE(GeschlechtsNr_Ber,Lx,Ly,Ln),YEAR(Dat_GebDat_Ber)+IF(MONTH(Dat_GebDat_Ber)&gt;6,1,0)-1900+2),2)</f>
        <v>0</v>
      </c>
    </row>
    <row r="41" spans="1:15">
      <c r="A41" s="360"/>
      <c r="B41" s="360"/>
      <c r="C41" s="360"/>
      <c r="D41" s="360"/>
      <c r="E41" s="360"/>
      <c r="F41" s="360"/>
      <c r="G41" s="360"/>
      <c r="H41" s="360"/>
      <c r="I41" s="360"/>
      <c r="J41" s="360"/>
      <c r="K41" s="360"/>
      <c r="L41" s="1"/>
      <c r="M41" s="351" t="s">
        <v>3244</v>
      </c>
      <c r="N41" s="351"/>
      <c r="O41" s="524" t="e">
        <f>-PV(-DRVDynamik,O40,O38*12)</f>
        <v>#N/A</v>
      </c>
    </row>
  </sheetData>
  <sheetProtection algorithmName="SHA-512" hashValue="fdWqirF2OQymb4SGzkQ7ctJKhwXjvAD86ZKMbK5/E+TEWChNhneQgaWQwHU8Pd6ckJYrBld7zwjVebcxtdC+CA==" saltValue="xZMSdq93X939pab18sXCSw==" spinCount="100000" sheet="1" objects="1" scenarios="1"/>
  <mergeCells count="40">
    <mergeCell ref="A1:A2"/>
    <mergeCell ref="E16:I17"/>
    <mergeCell ref="K1:K2"/>
    <mergeCell ref="B39:J39"/>
    <mergeCell ref="B37:H37"/>
    <mergeCell ref="B1:J2"/>
    <mergeCell ref="B38:J38"/>
    <mergeCell ref="B31:H31"/>
    <mergeCell ref="B32:I32"/>
    <mergeCell ref="B33:H33"/>
    <mergeCell ref="B34:H34"/>
    <mergeCell ref="B35:H35"/>
    <mergeCell ref="B26:I26"/>
    <mergeCell ref="B27:G27"/>
    <mergeCell ref="B28:G28"/>
    <mergeCell ref="B29:I29"/>
    <mergeCell ref="B30:H30"/>
    <mergeCell ref="B7:C7"/>
    <mergeCell ref="B3:D3"/>
    <mergeCell ref="G3:G4"/>
    <mergeCell ref="H3:H4"/>
    <mergeCell ref="B15:I15"/>
    <mergeCell ref="B22:I22"/>
    <mergeCell ref="B23:I23"/>
    <mergeCell ref="B24:I24"/>
    <mergeCell ref="B25:I25"/>
    <mergeCell ref="B18:I18"/>
    <mergeCell ref="B19:I19"/>
    <mergeCell ref="B20:I20"/>
    <mergeCell ref="B21:I21"/>
    <mergeCell ref="I5:I6"/>
    <mergeCell ref="B11:I11"/>
    <mergeCell ref="B12:I12"/>
    <mergeCell ref="B13:I13"/>
    <mergeCell ref="B14:I14"/>
    <mergeCell ref="D7:E7"/>
    <mergeCell ref="G7:H7"/>
    <mergeCell ref="B8:E8"/>
    <mergeCell ref="B10:I10"/>
    <mergeCell ref="B9:I9"/>
  </mergeCells>
  <dataValidations disablePrompts="1" count="6">
    <dataValidation type="date" operator="greaterThan" allowBlank="1" showInputMessage="1" showErrorMessage="1" errorTitle="Eingabefehler" error="Es sind nur Datumseingaben ab 1.1.1920 zulässig" sqref="C6" xr:uid="{9F8E5C7A-A295-419F-976D-09D62DE3EE97}">
      <formula1>7306</formula1>
    </dataValidation>
    <dataValidation type="decimal" allowBlank="1" showInputMessage="1" showErrorMessage="1" errorTitle="Eingabefehler!" error="Es sind nur Zahleneingaben &lt;100 zulässig!" sqref="G5" xr:uid="{AB4C8FA0-D9DB-4C10-A5B2-814E58312BF2}">
      <formula1>1</formula1>
      <formula2>100</formula2>
    </dataValidation>
    <dataValidation allowBlank="1" showInputMessage="1" showErrorMessage="1" errorTitle="Eingabefehler!" error="Es sind nur Zahleneingaben &lt;18 zulässig_x000a_" sqref="I7" xr:uid="{6DCEF598-CDFD-480F-BA6D-448C883FBE16}"/>
    <dataValidation allowBlank="1" showInputMessage="1" showErrorMessage="1" errorTitle="Eingabefehler" error="Es sind nur Zahleneingaben &lt; 10.000 zulässig" sqref="F7:F8" xr:uid="{FF3B0CC6-1D51-4FE3-A922-DFC7D2C57C89}"/>
    <dataValidation type="date" operator="greaterThan" allowBlank="1" showInputMessage="1" showErrorMessage="1" errorTitle="Eingabefehler!" error="Es sind nur Datumseingaben ab 1.1.1920 zulässig" sqref="C4:C5 F3" xr:uid="{C6F2FFDD-CCC7-4158-A14B-99C79105C8B0}">
      <formula1>7306</formula1>
    </dataValidation>
    <dataValidation type="decimal" allowBlank="1" showInputMessage="1" showErrorMessage="1" errorTitle="Eingabefehler" error="Es sind nur Zahleneingaben &lt;100 zulässig" sqref="G6" xr:uid="{7C207F3E-2095-49EF-BEAF-3346FC72569F}">
      <formula1>1</formula1>
      <formula2>100</formula2>
    </dataValidation>
  </dataValidations>
  <hyperlinks>
    <hyperlink ref="G5" location="ReAlter_Pfl" display="ReAlter_Pfl" xr:uid="{41BB4429-AC8C-4981-B805-4823F8793F2C}"/>
    <hyperlink ref="G6" location="ReAlter_Ber" display="ReAlter_Ber" xr:uid="{E87BCABF-7F2B-49D4-9F9C-4ADA6213216D}"/>
    <hyperlink ref="F7" location="ReHöhe_EZE_Pfl" display="ReHöhe_EZE_Pfl" xr:uid="{C9BF9770-1B54-4813-AD40-990D509045B3}"/>
    <hyperlink ref="I7" location="ReAnzahlproJahr" display="ReAnzahlproJahr" xr:uid="{F6CC3FE8-3DCD-40AE-AB2A-03DBEDB5B3D4}"/>
    <hyperlink ref="F8" location="ReHöhe_Berdat" display="ReHöhe_Berdat" xr:uid="{727519DA-4441-419C-87AF-C2C382232637}"/>
    <hyperlink ref="I30" location="Sozialversicherungsabschlag" display="Sozialversicherungsabschlag" xr:uid="{08392CBA-23D1-4B67-A1F6-F52568C57AC2}"/>
    <hyperlink ref="I31" location="Steuerabschlag" display="Steuerabschlag" xr:uid="{925B0553-AEC2-4F7D-A8AD-ECA4B3447F3E}"/>
    <hyperlink ref="J21" location="Rentenhöhe_Fälligkeit" display="Rentenhöhe_Fälligkeit" xr:uid="{6EBAE67B-82A8-4537-98D7-83B14CCC48F9}"/>
    <hyperlink ref="I27" location="Invaliditätssatz" display="Invaliditätssatz" xr:uid="{E5555C28-F854-4D65-95B2-450767BFFC15}"/>
    <hyperlink ref="I28" location="Hinterbliebenensatz" display="Hinterbliebenensatz" xr:uid="{0A8ECCB7-54FB-4714-AB80-CF2F5C52838D}"/>
  </hyperlinks>
  <pageMargins left="0.31496062992125984" right="0.31496062992125984" top="0.78740157480314965" bottom="0.78740157480314965"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2709" r:id="rId4" name="Check Box 5">
              <controlPr defaultSize="0" autoFill="0" autoLine="0" autoPict="0">
                <anchor moveWithCells="1">
                  <from>
                    <xdr:col>1</xdr:col>
                    <xdr:colOff>0</xdr:colOff>
                    <xdr:row>26</xdr:row>
                    <xdr:rowOff>19050</xdr:rowOff>
                  </from>
                  <to>
                    <xdr:col>1</xdr:col>
                    <xdr:colOff>2095500</xdr:colOff>
                    <xdr:row>27</xdr:row>
                    <xdr:rowOff>9525</xdr:rowOff>
                  </to>
                </anchor>
              </controlPr>
            </control>
          </mc:Choice>
        </mc:AlternateContent>
        <mc:AlternateContent xmlns:mc="http://schemas.openxmlformats.org/markup-compatibility/2006">
          <mc:Choice Requires="x14">
            <control shapeId="72710" r:id="rId5" name="Check Box 6">
              <controlPr defaultSize="0" autoFill="0" autoLine="0" autoPict="0">
                <anchor moveWithCells="1">
                  <from>
                    <xdr:col>1</xdr:col>
                    <xdr:colOff>0</xdr:colOff>
                    <xdr:row>27</xdr:row>
                    <xdr:rowOff>28575</xdr:rowOff>
                  </from>
                  <to>
                    <xdr:col>1</xdr:col>
                    <xdr:colOff>2867025</xdr:colOff>
                    <xdr:row>27</xdr:row>
                    <xdr:rowOff>180975</xdr:rowOff>
                  </to>
                </anchor>
              </controlPr>
            </control>
          </mc:Choice>
        </mc:AlternateContent>
        <mc:AlternateContent xmlns:mc="http://schemas.openxmlformats.org/markup-compatibility/2006">
          <mc:Choice Requires="x14">
            <control shapeId="72715" r:id="rId6" name="Check Box 11">
              <controlPr defaultSize="0" autoFill="0" autoLine="0" autoPict="0">
                <anchor moveWithCells="1">
                  <from>
                    <xdr:col>1</xdr:col>
                    <xdr:colOff>9525</xdr:colOff>
                    <xdr:row>23</xdr:row>
                    <xdr:rowOff>19050</xdr:rowOff>
                  </from>
                  <to>
                    <xdr:col>5</xdr:col>
                    <xdr:colOff>819150</xdr:colOff>
                    <xdr:row>24</xdr:row>
                    <xdr:rowOff>9525</xdr:rowOff>
                  </to>
                </anchor>
              </controlPr>
            </control>
          </mc:Choice>
        </mc:AlternateContent>
        <mc:AlternateContent xmlns:mc="http://schemas.openxmlformats.org/markup-compatibility/2006">
          <mc:Choice Requires="x14">
            <control shapeId="72716" r:id="rId7" name="Check Box 12">
              <controlPr defaultSize="0" autoFill="0" autoLine="0" autoPict="0">
                <anchor moveWithCells="1">
                  <from>
                    <xdr:col>1</xdr:col>
                    <xdr:colOff>9525</xdr:colOff>
                    <xdr:row>24</xdr:row>
                    <xdr:rowOff>9525</xdr:rowOff>
                  </from>
                  <to>
                    <xdr:col>6</xdr:col>
                    <xdr:colOff>161925</xdr:colOff>
                    <xdr:row>24</xdr:row>
                    <xdr:rowOff>180975</xdr:rowOff>
                  </to>
                </anchor>
              </controlPr>
            </control>
          </mc:Choice>
        </mc:AlternateContent>
        <mc:AlternateContent xmlns:mc="http://schemas.openxmlformats.org/markup-compatibility/2006">
          <mc:Choice Requires="x14">
            <control shapeId="72717" r:id="rId8" name="Check Box 13">
              <controlPr defaultSize="0" autoFill="0" autoLine="0" autoPict="0">
                <anchor moveWithCells="1">
                  <from>
                    <xdr:col>0</xdr:col>
                    <xdr:colOff>409575</xdr:colOff>
                    <xdr:row>29</xdr:row>
                    <xdr:rowOff>28575</xdr:rowOff>
                  </from>
                  <to>
                    <xdr:col>1</xdr:col>
                    <xdr:colOff>2857500</xdr:colOff>
                    <xdr:row>29</xdr:row>
                    <xdr:rowOff>180975</xdr:rowOff>
                  </to>
                </anchor>
              </controlPr>
            </control>
          </mc:Choice>
        </mc:AlternateContent>
        <mc:AlternateContent xmlns:mc="http://schemas.openxmlformats.org/markup-compatibility/2006">
          <mc:Choice Requires="x14">
            <control shapeId="72718" r:id="rId9" name="Check Box 14">
              <controlPr defaultSize="0" autoFill="0" autoLine="0" autoPict="0">
                <anchor moveWithCells="1">
                  <from>
                    <xdr:col>0</xdr:col>
                    <xdr:colOff>409575</xdr:colOff>
                    <xdr:row>30</xdr:row>
                    <xdr:rowOff>19050</xdr:rowOff>
                  </from>
                  <to>
                    <xdr:col>1</xdr:col>
                    <xdr:colOff>2857500</xdr:colOff>
                    <xdr:row>30</xdr:row>
                    <xdr:rowOff>171450</xdr:rowOff>
                  </to>
                </anchor>
              </controlPr>
            </control>
          </mc:Choice>
        </mc:AlternateContent>
        <mc:AlternateContent xmlns:mc="http://schemas.openxmlformats.org/markup-compatibility/2006">
          <mc:Choice Requires="x14">
            <control shapeId="72719" r:id="rId10" name="Check Box 15">
              <controlPr defaultSize="0" autoFill="0" autoLine="0" autoPict="0">
                <anchor moveWithCells="1">
                  <from>
                    <xdr:col>4</xdr:col>
                    <xdr:colOff>0</xdr:colOff>
                    <xdr:row>14</xdr:row>
                    <xdr:rowOff>180975</xdr:rowOff>
                  </from>
                  <to>
                    <xdr:col>9</xdr:col>
                    <xdr:colOff>0</xdr:colOff>
                    <xdr:row>16</xdr:row>
                    <xdr:rowOff>180975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068A-497E-4BD0-8C68-CFF347EDE055}">
  <sheetPr codeName="Tabelle40"/>
  <dimension ref="A2:AB84"/>
  <sheetViews>
    <sheetView topLeftCell="B1" workbookViewId="0">
      <selection activeCell="O37" sqref="O37"/>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2" customHeight="1">
      <c r="A2" s="46" t="s">
        <v>2128</v>
      </c>
      <c r="B2" s="952" t="s">
        <v>1519</v>
      </c>
      <c r="C2" s="48" t="s">
        <v>2129</v>
      </c>
      <c r="D2" s="48" t="s">
        <v>2130</v>
      </c>
      <c r="E2" s="48" t="s">
        <v>2131</v>
      </c>
      <c r="F2" s="48" t="s">
        <v>2132</v>
      </c>
      <c r="G2" s="48" t="s">
        <v>2133</v>
      </c>
      <c r="H2" s="954" t="s">
        <v>2134</v>
      </c>
      <c r="I2" s="954"/>
      <c r="J2" s="955"/>
      <c r="K2" s="49"/>
      <c r="L2" s="50" t="s">
        <v>2129</v>
      </c>
      <c r="M2" s="50" t="s">
        <v>2130</v>
      </c>
      <c r="N2" s="50" t="s">
        <v>2131</v>
      </c>
      <c r="O2" s="50" t="s">
        <v>2132</v>
      </c>
      <c r="P2" s="50" t="str">
        <f>+G2</f>
        <v>Anwartschafts-barwert
Altersrente</v>
      </c>
      <c r="Q2" s="956" t="s">
        <v>2135</v>
      </c>
      <c r="R2" s="956"/>
      <c r="S2" s="957"/>
      <c r="T2" s="51"/>
      <c r="U2" s="52" t="s">
        <v>2129</v>
      </c>
      <c r="V2" s="52" t="s">
        <v>2130</v>
      </c>
      <c r="W2" s="52" t="s">
        <v>2131</v>
      </c>
      <c r="X2" s="52" t="s">
        <v>2132</v>
      </c>
      <c r="Y2" s="52" t="str">
        <f>+P2</f>
        <v>Anwartschafts-barwert
Altersrente</v>
      </c>
      <c r="Z2" s="958" t="s">
        <v>2135</v>
      </c>
      <c r="AA2" s="958"/>
      <c r="AB2" s="959"/>
    </row>
    <row r="3" spans="1:28" s="64" customFormat="1" ht="12.75">
      <c r="A3" s="53">
        <v>43112</v>
      </c>
      <c r="B3" s="953"/>
      <c r="C3" s="55" t="s">
        <v>2136</v>
      </c>
      <c r="D3" s="55" t="s">
        <v>2137</v>
      </c>
      <c r="E3" s="55" t="s">
        <v>2138</v>
      </c>
      <c r="F3" s="55"/>
      <c r="G3" s="55"/>
      <c r="H3" s="56" t="s">
        <v>2139</v>
      </c>
      <c r="I3" s="56" t="s">
        <v>2140</v>
      </c>
      <c r="J3" s="57" t="s">
        <v>2141</v>
      </c>
      <c r="K3" s="58" t="s">
        <v>1519</v>
      </c>
      <c r="L3" s="59" t="s">
        <v>2142</v>
      </c>
      <c r="M3" s="59" t="s">
        <v>2143</v>
      </c>
      <c r="N3" s="59" t="s">
        <v>2144</v>
      </c>
      <c r="O3" s="59"/>
      <c r="P3" s="59"/>
      <c r="Q3" s="59" t="s">
        <v>2139</v>
      </c>
      <c r="R3" s="59" t="s">
        <v>2140</v>
      </c>
      <c r="S3" s="60" t="s">
        <v>2141</v>
      </c>
      <c r="T3" s="61" t="s">
        <v>1519</v>
      </c>
      <c r="U3" s="62" t="s">
        <v>2142</v>
      </c>
      <c r="V3" s="62" t="s">
        <v>2143</v>
      </c>
      <c r="W3" s="62" t="s">
        <v>2144</v>
      </c>
      <c r="X3" s="62"/>
      <c r="Y3" s="62"/>
      <c r="Z3" s="62" t="s">
        <v>2139</v>
      </c>
      <c r="AA3" s="62" t="s">
        <v>2140</v>
      </c>
      <c r="AB3" s="63" t="s">
        <v>2141</v>
      </c>
    </row>
    <row r="4" spans="1:28">
      <c r="B4" s="65">
        <v>20</v>
      </c>
      <c r="C4" s="66">
        <v>0.22700000000000001</v>
      </c>
      <c r="D4" s="66">
        <v>5.6020000000000003</v>
      </c>
      <c r="E4" s="66">
        <v>0.53</v>
      </c>
      <c r="F4" s="66">
        <v>0.53</v>
      </c>
      <c r="G4" s="66">
        <v>5.375</v>
      </c>
      <c r="H4" s="67">
        <v>4.2232558139534887E-2</v>
      </c>
      <c r="I4" s="67">
        <v>9.8604651162790699E-2</v>
      </c>
      <c r="J4" s="68">
        <v>0.14083720930232557</v>
      </c>
      <c r="K4" s="65">
        <v>20</v>
      </c>
      <c r="L4" s="66">
        <v>0.24</v>
      </c>
      <c r="M4" s="66">
        <v>6.375</v>
      </c>
      <c r="N4" s="69">
        <v>0.13100000000000001</v>
      </c>
      <c r="O4" s="66">
        <v>0.13100000000000001</v>
      </c>
      <c r="P4" s="66">
        <v>6.1349999999999998</v>
      </c>
      <c r="Q4" s="67">
        <v>3.9119804400977995E-2</v>
      </c>
      <c r="R4" s="67">
        <v>2.1352893235533823E-2</v>
      </c>
      <c r="S4" s="68">
        <v>6.0472697636511821E-2</v>
      </c>
      <c r="T4" s="65">
        <v>20</v>
      </c>
      <c r="U4" s="70">
        <v>0.23349999999999999</v>
      </c>
      <c r="V4" s="70">
        <v>5.9885000000000002</v>
      </c>
      <c r="W4" s="70">
        <v>0.33050000000000002</v>
      </c>
      <c r="X4" s="70">
        <v>0.33050000000000002</v>
      </c>
      <c r="Y4" s="70">
        <v>5.7549999999999999</v>
      </c>
      <c r="Z4" s="71">
        <v>4.0676181270256441E-2</v>
      </c>
      <c r="AA4" s="71">
        <v>5.9978772199162263E-2</v>
      </c>
      <c r="AB4" s="72">
        <v>0.10065495346941869</v>
      </c>
    </row>
    <row r="5" spans="1:28">
      <c r="B5" s="73">
        <v>21</v>
      </c>
      <c r="C5" s="74">
        <v>0.26</v>
      </c>
      <c r="D5" s="74">
        <v>5.7729999999999997</v>
      </c>
      <c r="E5" s="74">
        <v>0.61599999999999999</v>
      </c>
      <c r="F5" s="74">
        <v>0.61599999999999999</v>
      </c>
      <c r="G5" s="74">
        <v>5.5129999999999999</v>
      </c>
      <c r="H5" s="75">
        <v>4.716125521494649E-2</v>
      </c>
      <c r="I5" s="75">
        <v>0.11173589697079631</v>
      </c>
      <c r="J5" s="68">
        <v>0.1588971521857428</v>
      </c>
      <c r="K5" s="73">
        <v>21</v>
      </c>
      <c r="L5" s="74">
        <v>0.28799999999999998</v>
      </c>
      <c r="M5" s="74">
        <v>6.5659999999999998</v>
      </c>
      <c r="N5" s="76">
        <v>0.158</v>
      </c>
      <c r="O5" s="74">
        <v>0.158</v>
      </c>
      <c r="P5" s="74">
        <v>6.2779999999999996</v>
      </c>
      <c r="Q5" s="75">
        <v>4.5874482319209937E-2</v>
      </c>
      <c r="R5" s="75">
        <v>2.5167250716788787E-2</v>
      </c>
      <c r="S5" s="77">
        <v>7.1041733035998728E-2</v>
      </c>
      <c r="T5" s="73">
        <v>21</v>
      </c>
      <c r="U5" s="78">
        <v>0.27400000000000002</v>
      </c>
      <c r="V5" s="78">
        <v>6.1694999999999993</v>
      </c>
      <c r="W5" s="78">
        <v>0.38700000000000001</v>
      </c>
      <c r="X5" s="78">
        <v>0.38700000000000001</v>
      </c>
      <c r="Y5" s="78">
        <v>5.8955000000000002</v>
      </c>
      <c r="Z5" s="19">
        <v>4.651786876707821E-2</v>
      </c>
      <c r="AA5" s="19">
        <v>6.8451573843792551E-2</v>
      </c>
      <c r="AB5" s="79">
        <v>0.11496944261087076</v>
      </c>
    </row>
    <row r="6" spans="1:28">
      <c r="B6" s="65">
        <v>22</v>
      </c>
      <c r="C6" s="66">
        <v>0.29599999999999999</v>
      </c>
      <c r="D6" s="66">
        <v>5.9480000000000004</v>
      </c>
      <c r="E6" s="66">
        <v>0.70799999999999996</v>
      </c>
      <c r="F6" s="66">
        <v>0.70799999999999996</v>
      </c>
      <c r="G6" s="66">
        <v>5.6520000000000001</v>
      </c>
      <c r="H6" s="67">
        <v>5.2370842179759375E-2</v>
      </c>
      <c r="I6" s="67">
        <v>0.12526539278131635</v>
      </c>
      <c r="J6" s="68">
        <v>0.17763623496107572</v>
      </c>
      <c r="K6" s="65">
        <v>22</v>
      </c>
      <c r="L6" s="66">
        <v>0.33200000000000002</v>
      </c>
      <c r="M6" s="66">
        <v>6.7619999999999996</v>
      </c>
      <c r="N6" s="69">
        <v>0.184</v>
      </c>
      <c r="O6" s="66">
        <v>0.184</v>
      </c>
      <c r="P6" s="66">
        <v>6.43</v>
      </c>
      <c r="Q6" s="67">
        <v>5.1632970451010889E-2</v>
      </c>
      <c r="R6" s="67">
        <v>2.8615863141524107E-2</v>
      </c>
      <c r="S6" s="68">
        <v>8.0248833592534999E-2</v>
      </c>
      <c r="T6" s="65">
        <v>22</v>
      </c>
      <c r="U6" s="70">
        <v>0.314</v>
      </c>
      <c r="V6" s="70">
        <v>6.3550000000000004</v>
      </c>
      <c r="W6" s="70">
        <v>0.44599999999999995</v>
      </c>
      <c r="X6" s="70">
        <v>0.44599999999999995</v>
      </c>
      <c r="Y6" s="70">
        <v>6.0410000000000004</v>
      </c>
      <c r="Z6" s="71">
        <v>5.2001906315385135E-2</v>
      </c>
      <c r="AA6" s="71">
        <v>7.6940627961420233E-2</v>
      </c>
      <c r="AB6" s="72">
        <v>0.12894253427680535</v>
      </c>
    </row>
    <row r="7" spans="1:28">
      <c r="B7" s="73">
        <v>23</v>
      </c>
      <c r="C7" s="74">
        <v>0.33100000000000002</v>
      </c>
      <c r="D7" s="74">
        <v>6.1269999999999998</v>
      </c>
      <c r="E7" s="74">
        <v>0.80300000000000005</v>
      </c>
      <c r="F7" s="74">
        <v>0.80300000000000005</v>
      </c>
      <c r="G7" s="74">
        <v>5.7959999999999994</v>
      </c>
      <c r="H7" s="75">
        <v>5.7108350586611463E-2</v>
      </c>
      <c r="I7" s="75">
        <v>0.13854382332643206</v>
      </c>
      <c r="J7" s="68">
        <v>0.19565217391304351</v>
      </c>
      <c r="K7" s="73">
        <v>23</v>
      </c>
      <c r="L7" s="74">
        <v>0.36899999999999999</v>
      </c>
      <c r="M7" s="74">
        <v>6.9630000000000001</v>
      </c>
      <c r="N7" s="76">
        <v>0.20599999999999999</v>
      </c>
      <c r="O7" s="74">
        <v>0.20599999999999999</v>
      </c>
      <c r="P7" s="74">
        <v>6.5940000000000003</v>
      </c>
      <c r="Q7" s="75">
        <v>5.5959963603275702E-2</v>
      </c>
      <c r="R7" s="75">
        <v>3.1240521686381556E-2</v>
      </c>
      <c r="S7" s="77">
        <v>8.7200485289657265E-2</v>
      </c>
      <c r="T7" s="73">
        <v>23</v>
      </c>
      <c r="U7" s="78">
        <v>0.35</v>
      </c>
      <c r="V7" s="78">
        <v>6.5449999999999999</v>
      </c>
      <c r="W7" s="78">
        <v>0.50450000000000006</v>
      </c>
      <c r="X7" s="78">
        <v>0.50450000000000006</v>
      </c>
      <c r="Y7" s="78">
        <v>6.1950000000000003</v>
      </c>
      <c r="Z7" s="19">
        <v>5.6534157094943582E-2</v>
      </c>
      <c r="AA7" s="19">
        <v>8.4892172506406807E-2</v>
      </c>
      <c r="AB7" s="79">
        <v>0.14142632960135038</v>
      </c>
    </row>
    <row r="8" spans="1:28">
      <c r="B8" s="65">
        <v>24</v>
      </c>
      <c r="C8" s="66">
        <v>0.36299999999999999</v>
      </c>
      <c r="D8" s="66">
        <v>6.31</v>
      </c>
      <c r="E8" s="66">
        <v>0.89200000000000002</v>
      </c>
      <c r="F8" s="66">
        <v>0.89200000000000002</v>
      </c>
      <c r="G8" s="66">
        <v>5.9469999999999992</v>
      </c>
      <c r="H8" s="67">
        <v>6.1039179418194055E-2</v>
      </c>
      <c r="I8" s="67">
        <v>0.14999159239952919</v>
      </c>
      <c r="J8" s="68">
        <v>0.21103077181772326</v>
      </c>
      <c r="K8" s="65">
        <v>24</v>
      </c>
      <c r="L8" s="66">
        <v>0.40200000000000002</v>
      </c>
      <c r="M8" s="66">
        <v>7.17</v>
      </c>
      <c r="N8" s="69">
        <v>0.22600000000000001</v>
      </c>
      <c r="O8" s="66">
        <v>0.22600000000000001</v>
      </c>
      <c r="P8" s="66">
        <v>6.7679999999999998</v>
      </c>
      <c r="Q8" s="67">
        <v>5.9397163120567378E-2</v>
      </c>
      <c r="R8" s="67">
        <v>3.3392434988179669E-2</v>
      </c>
      <c r="S8" s="68">
        <v>9.278959810874704E-2</v>
      </c>
      <c r="T8" s="65">
        <v>24</v>
      </c>
      <c r="U8" s="70">
        <v>0.38250000000000001</v>
      </c>
      <c r="V8" s="70">
        <v>6.74</v>
      </c>
      <c r="W8" s="70">
        <v>0.55900000000000005</v>
      </c>
      <c r="X8" s="70">
        <v>0.55900000000000005</v>
      </c>
      <c r="Y8" s="70">
        <v>6.3574999999999999</v>
      </c>
      <c r="Z8" s="71">
        <v>6.0218171269380713E-2</v>
      </c>
      <c r="AA8" s="71">
        <v>9.1692013693854435E-2</v>
      </c>
      <c r="AB8" s="72">
        <v>0.15191018496323516</v>
      </c>
    </row>
    <row r="9" spans="1:28">
      <c r="B9" s="73">
        <v>25</v>
      </c>
      <c r="C9" s="74">
        <v>0.39</v>
      </c>
      <c r="D9" s="74">
        <v>6.4989999999999997</v>
      </c>
      <c r="E9" s="74">
        <v>0.97399999999999998</v>
      </c>
      <c r="F9" s="74">
        <v>0.97399999999999998</v>
      </c>
      <c r="G9" s="74">
        <v>6.109</v>
      </c>
      <c r="H9" s="75">
        <v>6.3840235717793417E-2</v>
      </c>
      <c r="I9" s="75">
        <v>0.15943689638238664</v>
      </c>
      <c r="J9" s="68">
        <v>0.22327713210018008</v>
      </c>
      <c r="K9" s="73">
        <v>25</v>
      </c>
      <c r="L9" s="74">
        <v>0.434</v>
      </c>
      <c r="M9" s="74">
        <v>7.3810000000000002</v>
      </c>
      <c r="N9" s="76">
        <v>0.246</v>
      </c>
      <c r="O9" s="74">
        <v>0.246</v>
      </c>
      <c r="P9" s="74">
        <v>6.9470000000000001</v>
      </c>
      <c r="Q9" s="75">
        <v>6.2473009932344899E-2</v>
      </c>
      <c r="R9" s="75">
        <v>3.5410968763495032E-2</v>
      </c>
      <c r="S9" s="77">
        <v>9.7883978695839924E-2</v>
      </c>
      <c r="T9" s="73">
        <v>25</v>
      </c>
      <c r="U9" s="78">
        <v>0.41200000000000003</v>
      </c>
      <c r="V9" s="78">
        <v>6.9399999999999995</v>
      </c>
      <c r="W9" s="78">
        <v>0.61</v>
      </c>
      <c r="X9" s="78">
        <v>0.61</v>
      </c>
      <c r="Y9" s="78">
        <v>6.5280000000000005</v>
      </c>
      <c r="Z9" s="19">
        <v>6.3156622825069161E-2</v>
      </c>
      <c r="AA9" s="19">
        <v>9.7423932572940838E-2</v>
      </c>
      <c r="AB9" s="79">
        <v>0.16058055539801</v>
      </c>
    </row>
    <row r="10" spans="1:28">
      <c r="B10" s="65">
        <v>26</v>
      </c>
      <c r="C10" s="66">
        <v>0.41499999999999998</v>
      </c>
      <c r="D10" s="66">
        <v>6.6909999999999998</v>
      </c>
      <c r="E10" s="66">
        <v>1.052</v>
      </c>
      <c r="F10" s="66">
        <v>1.052</v>
      </c>
      <c r="G10" s="66">
        <v>6.2759999999999998</v>
      </c>
      <c r="H10" s="67">
        <v>6.6124920331421283E-2</v>
      </c>
      <c r="I10" s="67">
        <v>0.16762268961121735</v>
      </c>
      <c r="J10" s="68">
        <v>0.23374760994263863</v>
      </c>
      <c r="K10" s="65">
        <v>26</v>
      </c>
      <c r="L10" s="66">
        <v>0.46500000000000002</v>
      </c>
      <c r="M10" s="66">
        <v>7.5970000000000004</v>
      </c>
      <c r="N10" s="69">
        <v>0.26600000000000001</v>
      </c>
      <c r="O10" s="66">
        <v>0.26600000000000001</v>
      </c>
      <c r="P10" s="66">
        <v>7.1320000000000006</v>
      </c>
      <c r="Q10" s="67">
        <v>6.5199102636006728E-2</v>
      </c>
      <c r="R10" s="67">
        <v>3.7296690970274819E-2</v>
      </c>
      <c r="S10" s="68">
        <v>0.10249579360628155</v>
      </c>
      <c r="T10" s="65">
        <v>26</v>
      </c>
      <c r="U10" s="70">
        <v>0.44</v>
      </c>
      <c r="V10" s="70">
        <v>7.1440000000000001</v>
      </c>
      <c r="W10" s="70">
        <v>0.65900000000000003</v>
      </c>
      <c r="X10" s="70">
        <v>0.65900000000000003</v>
      </c>
      <c r="Y10" s="70">
        <v>6.7040000000000006</v>
      </c>
      <c r="Z10" s="71">
        <v>6.5662011483714006E-2</v>
      </c>
      <c r="AA10" s="71">
        <v>0.10245969029074609</v>
      </c>
      <c r="AB10" s="72">
        <v>0.16812170177446009</v>
      </c>
    </row>
    <row r="11" spans="1:28">
      <c r="B11" s="73">
        <v>27</v>
      </c>
      <c r="C11" s="74">
        <v>0.436</v>
      </c>
      <c r="D11" s="74">
        <v>6.8890000000000002</v>
      </c>
      <c r="E11" s="74">
        <v>1.1279999999999999</v>
      </c>
      <c r="F11" s="74">
        <v>1.1279999999999999</v>
      </c>
      <c r="G11" s="74">
        <v>6.4530000000000003</v>
      </c>
      <c r="H11" s="75">
        <v>6.7565473423214006E-2</v>
      </c>
      <c r="I11" s="75">
        <v>0.17480241748024172</v>
      </c>
      <c r="J11" s="68">
        <v>0.24236789090345573</v>
      </c>
      <c r="K11" s="73">
        <v>27</v>
      </c>
      <c r="L11" s="74">
        <v>0.49399999999999999</v>
      </c>
      <c r="M11" s="74">
        <v>7.8170000000000002</v>
      </c>
      <c r="N11" s="76">
        <v>0.28599999999999998</v>
      </c>
      <c r="O11" s="74">
        <v>0.28599999999999998</v>
      </c>
      <c r="P11" s="74">
        <v>7.3230000000000004</v>
      </c>
      <c r="Q11" s="75">
        <v>6.7458691792981015E-2</v>
      </c>
      <c r="R11" s="75">
        <v>3.9055032090673215E-2</v>
      </c>
      <c r="S11" s="77">
        <v>0.10651372388365424</v>
      </c>
      <c r="T11" s="73">
        <v>27</v>
      </c>
      <c r="U11" s="78">
        <v>0.46499999999999997</v>
      </c>
      <c r="V11" s="78">
        <v>7.3529999999999998</v>
      </c>
      <c r="W11" s="78">
        <v>0.70699999999999996</v>
      </c>
      <c r="X11" s="78">
        <v>0.70699999999999996</v>
      </c>
      <c r="Y11" s="78">
        <v>6.8879999999999999</v>
      </c>
      <c r="Z11" s="19">
        <v>6.7512082608097518E-2</v>
      </c>
      <c r="AA11" s="19">
        <v>0.10692872478545747</v>
      </c>
      <c r="AB11" s="79">
        <v>0.174440807393555</v>
      </c>
    </row>
    <row r="12" spans="1:28">
      <c r="B12" s="65">
        <v>28</v>
      </c>
      <c r="C12" s="66">
        <v>0.45600000000000002</v>
      </c>
      <c r="D12" s="66">
        <v>7.0910000000000002</v>
      </c>
      <c r="E12" s="66">
        <v>1.2010000000000001</v>
      </c>
      <c r="F12" s="66">
        <v>1.2010000000000001</v>
      </c>
      <c r="G12" s="66">
        <v>6.6349999999999998</v>
      </c>
      <c r="H12" s="67">
        <v>6.8726450640542586E-2</v>
      </c>
      <c r="I12" s="67">
        <v>0.1810097965335343</v>
      </c>
      <c r="J12" s="68">
        <v>0.24973624717407689</v>
      </c>
      <c r="K12" s="65">
        <v>28</v>
      </c>
      <c r="L12" s="66">
        <v>0.52200000000000002</v>
      </c>
      <c r="M12" s="66">
        <v>8.0429999999999993</v>
      </c>
      <c r="N12" s="69">
        <v>0.30599999999999999</v>
      </c>
      <c r="O12" s="66">
        <v>0.30599999999999999</v>
      </c>
      <c r="P12" s="66">
        <v>7.520999999999999</v>
      </c>
      <c r="Q12" s="67">
        <v>6.9405664140406872E-2</v>
      </c>
      <c r="R12" s="67">
        <v>4.0686078978859196E-2</v>
      </c>
      <c r="S12" s="68">
        <v>0.11009174311926606</v>
      </c>
      <c r="T12" s="65">
        <v>28</v>
      </c>
      <c r="U12" s="70">
        <v>0.48899999999999999</v>
      </c>
      <c r="V12" s="70">
        <v>7.5670000000000002</v>
      </c>
      <c r="W12" s="70">
        <v>0.75350000000000006</v>
      </c>
      <c r="X12" s="70">
        <v>0.75350000000000006</v>
      </c>
      <c r="Y12" s="70">
        <v>7.0779999999999994</v>
      </c>
      <c r="Z12" s="71">
        <v>6.9066057390474722E-2</v>
      </c>
      <c r="AA12" s="71">
        <v>0.11084793775619675</v>
      </c>
      <c r="AB12" s="72">
        <v>0.17991399514667147</v>
      </c>
    </row>
    <row r="13" spans="1:28">
      <c r="B13" s="73">
        <v>29</v>
      </c>
      <c r="C13" s="74">
        <v>0.47299999999999998</v>
      </c>
      <c r="D13" s="74">
        <v>7.298</v>
      </c>
      <c r="E13" s="74">
        <v>1.274</v>
      </c>
      <c r="F13" s="74">
        <v>1.274</v>
      </c>
      <c r="G13" s="74">
        <v>6.8250000000000002</v>
      </c>
      <c r="H13" s="75">
        <v>6.9304029304029305E-2</v>
      </c>
      <c r="I13" s="75">
        <v>0.18666666666666668</v>
      </c>
      <c r="J13" s="68">
        <v>0.25597069597069599</v>
      </c>
      <c r="K13" s="73">
        <v>29</v>
      </c>
      <c r="L13" s="74">
        <v>0.54700000000000004</v>
      </c>
      <c r="M13" s="74">
        <v>8.2739999999999991</v>
      </c>
      <c r="N13" s="76">
        <v>0.32600000000000001</v>
      </c>
      <c r="O13" s="74">
        <v>0.32600000000000001</v>
      </c>
      <c r="P13" s="74">
        <v>7.7269999999999994</v>
      </c>
      <c r="Q13" s="75">
        <v>7.0790733790604382E-2</v>
      </c>
      <c r="R13" s="75">
        <v>4.2189724343212116E-2</v>
      </c>
      <c r="S13" s="77">
        <v>0.11298045813381649</v>
      </c>
      <c r="T13" s="73">
        <v>29</v>
      </c>
      <c r="U13" s="78">
        <v>0.51</v>
      </c>
      <c r="V13" s="78">
        <v>7.7859999999999996</v>
      </c>
      <c r="W13" s="78">
        <v>0.8</v>
      </c>
      <c r="X13" s="78">
        <v>0.8</v>
      </c>
      <c r="Y13" s="78">
        <v>7.2759999999999998</v>
      </c>
      <c r="Z13" s="19">
        <v>7.004738154731685E-2</v>
      </c>
      <c r="AA13" s="19">
        <v>0.11442819550493939</v>
      </c>
      <c r="AB13" s="79">
        <v>0.18447557705225626</v>
      </c>
    </row>
    <row r="14" spans="1:28">
      <c r="B14" s="65">
        <v>30</v>
      </c>
      <c r="C14" s="66">
        <v>0.48899999999999999</v>
      </c>
      <c r="D14" s="66">
        <v>7.5110000000000001</v>
      </c>
      <c r="E14" s="66">
        <v>1.345</v>
      </c>
      <c r="F14" s="66">
        <v>1.345</v>
      </c>
      <c r="G14" s="66">
        <v>7.0220000000000002</v>
      </c>
      <c r="H14" s="67">
        <v>6.9638279692395319E-2</v>
      </c>
      <c r="I14" s="67">
        <v>0.19154087154656793</v>
      </c>
      <c r="J14" s="68">
        <v>0.26117915123896324</v>
      </c>
      <c r="K14" s="65">
        <v>30</v>
      </c>
      <c r="L14" s="66">
        <v>0.57099999999999995</v>
      </c>
      <c r="M14" s="66">
        <v>8.5090000000000003</v>
      </c>
      <c r="N14" s="69">
        <v>0.34499999999999997</v>
      </c>
      <c r="O14" s="66">
        <v>0.34499999999999997</v>
      </c>
      <c r="P14" s="66">
        <v>7.9380000000000006</v>
      </c>
      <c r="Q14" s="67">
        <v>7.193247669438145E-2</v>
      </c>
      <c r="R14" s="67">
        <v>4.3461829176114887E-2</v>
      </c>
      <c r="S14" s="68">
        <v>0.11539430587049634</v>
      </c>
      <c r="T14" s="65">
        <v>30</v>
      </c>
      <c r="U14" s="70">
        <v>0.53</v>
      </c>
      <c r="V14" s="70">
        <v>8.01</v>
      </c>
      <c r="W14" s="70">
        <v>0.84499999999999997</v>
      </c>
      <c r="X14" s="70">
        <v>0.84499999999999997</v>
      </c>
      <c r="Y14" s="70">
        <v>7.48</v>
      </c>
      <c r="Z14" s="71">
        <v>7.0785378193388385E-2</v>
      </c>
      <c r="AA14" s="71">
        <v>0.11750135036134141</v>
      </c>
      <c r="AB14" s="72">
        <v>0.18828672855472978</v>
      </c>
    </row>
    <row r="15" spans="1:28">
      <c r="B15" s="73">
        <v>31</v>
      </c>
      <c r="C15" s="74">
        <v>0.503</v>
      </c>
      <c r="D15" s="74">
        <v>7.73</v>
      </c>
      <c r="E15" s="74">
        <v>1.4159999999999999</v>
      </c>
      <c r="F15" s="74">
        <v>1.4159999999999999</v>
      </c>
      <c r="G15" s="74">
        <v>7.2270000000000003</v>
      </c>
      <c r="H15" s="75">
        <v>6.9600110696001111E-2</v>
      </c>
      <c r="I15" s="75">
        <v>0.19593192195931919</v>
      </c>
      <c r="J15" s="68">
        <v>0.26553203265532033</v>
      </c>
      <c r="K15" s="73">
        <v>31</v>
      </c>
      <c r="L15" s="74">
        <v>0.59099999999999997</v>
      </c>
      <c r="M15" s="74">
        <v>8.7509999999999994</v>
      </c>
      <c r="N15" s="76">
        <v>0.36399999999999999</v>
      </c>
      <c r="O15" s="74">
        <v>0.36399999999999999</v>
      </c>
      <c r="P15" s="74">
        <v>8.16</v>
      </c>
      <c r="Q15" s="75">
        <v>7.2426470588235287E-2</v>
      </c>
      <c r="R15" s="75">
        <v>4.4607843137254903E-2</v>
      </c>
      <c r="S15" s="77">
        <v>0.1170343137254902</v>
      </c>
      <c r="T15" s="73">
        <v>31</v>
      </c>
      <c r="U15" s="78">
        <v>0.54699999999999993</v>
      </c>
      <c r="V15" s="78">
        <v>8.2405000000000008</v>
      </c>
      <c r="W15" s="78">
        <v>0.8899999999999999</v>
      </c>
      <c r="X15" s="78">
        <v>0.8899999999999999</v>
      </c>
      <c r="Y15" s="78">
        <v>7.6935000000000002</v>
      </c>
      <c r="Z15" s="19">
        <v>7.1013290642118199E-2</v>
      </c>
      <c r="AA15" s="19">
        <v>0.12026988254828705</v>
      </c>
      <c r="AB15" s="79">
        <v>0.19128317319040528</v>
      </c>
    </row>
    <row r="16" spans="1:28">
      <c r="B16" s="65">
        <v>32</v>
      </c>
      <c r="C16" s="66">
        <v>0.51700000000000002</v>
      </c>
      <c r="D16" s="66">
        <v>7.9539999999999997</v>
      </c>
      <c r="E16" s="66">
        <v>1.488</v>
      </c>
      <c r="F16" s="66">
        <v>1.488</v>
      </c>
      <c r="G16" s="66">
        <v>7.4369999999999994</v>
      </c>
      <c r="H16" s="67">
        <v>6.9517278472502358E-2</v>
      </c>
      <c r="I16" s="67">
        <v>0.200080677692618</v>
      </c>
      <c r="J16" s="68">
        <v>0.26959795616512039</v>
      </c>
      <c r="K16" s="65">
        <v>32</v>
      </c>
      <c r="L16" s="66">
        <v>0.61</v>
      </c>
      <c r="M16" s="66">
        <v>8.9969999999999999</v>
      </c>
      <c r="N16" s="69">
        <v>0.38200000000000001</v>
      </c>
      <c r="O16" s="66">
        <v>0.38200000000000001</v>
      </c>
      <c r="P16" s="66">
        <v>8.3870000000000005</v>
      </c>
      <c r="Q16" s="67">
        <v>7.2731608441635856E-2</v>
      </c>
      <c r="R16" s="67">
        <v>4.5546679384762132E-2</v>
      </c>
      <c r="S16" s="68">
        <v>0.11827828782639799</v>
      </c>
      <c r="T16" s="65">
        <v>32</v>
      </c>
      <c r="U16" s="70">
        <v>0.5635</v>
      </c>
      <c r="V16" s="70">
        <v>8.4755000000000003</v>
      </c>
      <c r="W16" s="70">
        <v>0.93500000000000005</v>
      </c>
      <c r="X16" s="70">
        <v>0.93500000000000005</v>
      </c>
      <c r="Y16" s="70">
        <v>7.9119999999999999</v>
      </c>
      <c r="Z16" s="71">
        <v>7.1124443457069114E-2</v>
      </c>
      <c r="AA16" s="71">
        <v>0.12281367853869007</v>
      </c>
      <c r="AB16" s="72">
        <v>0.19393812199575919</v>
      </c>
    </row>
    <row r="17" spans="2:28">
      <c r="B17" s="73">
        <v>33</v>
      </c>
      <c r="C17" s="74">
        <v>0.52800000000000002</v>
      </c>
      <c r="D17" s="74">
        <v>8.1839999999999993</v>
      </c>
      <c r="E17" s="74">
        <v>1.5589999999999999</v>
      </c>
      <c r="F17" s="74">
        <v>1.5589999999999999</v>
      </c>
      <c r="G17" s="74">
        <v>7.6559999999999988</v>
      </c>
      <c r="H17" s="75">
        <v>6.8965517241379323E-2</v>
      </c>
      <c r="I17" s="75">
        <v>0.20363113897596657</v>
      </c>
      <c r="J17" s="68">
        <v>0.27259665621734591</v>
      </c>
      <c r="K17" s="73">
        <v>33</v>
      </c>
      <c r="L17" s="74">
        <v>0.626</v>
      </c>
      <c r="M17" s="74">
        <v>9.25</v>
      </c>
      <c r="N17" s="76">
        <v>0.4</v>
      </c>
      <c r="O17" s="74">
        <v>0.4</v>
      </c>
      <c r="P17" s="74">
        <v>8.6240000000000006</v>
      </c>
      <c r="Q17" s="75">
        <v>7.2588126159554733E-2</v>
      </c>
      <c r="R17" s="75">
        <v>4.6382189239332093E-2</v>
      </c>
      <c r="S17" s="77">
        <v>0.11897031539888683</v>
      </c>
      <c r="T17" s="73">
        <v>33</v>
      </c>
      <c r="U17" s="78">
        <v>0.57699999999999996</v>
      </c>
      <c r="V17" s="78">
        <v>8.7169999999999987</v>
      </c>
      <c r="W17" s="78">
        <v>0.97950000000000004</v>
      </c>
      <c r="X17" s="78">
        <v>0.97950000000000004</v>
      </c>
      <c r="Y17" s="78">
        <v>8.14</v>
      </c>
      <c r="Z17" s="19">
        <v>7.0776821700467035E-2</v>
      </c>
      <c r="AA17" s="19">
        <v>0.12500666410764932</v>
      </c>
      <c r="AB17" s="79">
        <v>0.19578348580811639</v>
      </c>
    </row>
    <row r="18" spans="2:28">
      <c r="B18" s="65">
        <v>34</v>
      </c>
      <c r="C18" s="66">
        <v>0.53800000000000003</v>
      </c>
      <c r="D18" s="66">
        <v>8.4209999999999994</v>
      </c>
      <c r="E18" s="66">
        <v>1.63</v>
      </c>
      <c r="F18" s="66">
        <v>1.63</v>
      </c>
      <c r="G18" s="66">
        <v>7.8829999999999991</v>
      </c>
      <c r="H18" s="67">
        <v>6.8248128884942291E-2</v>
      </c>
      <c r="I18" s="67">
        <v>0.20677407078523405</v>
      </c>
      <c r="J18" s="68">
        <v>0.27502219967017633</v>
      </c>
      <c r="K18" s="65">
        <v>34</v>
      </c>
      <c r="L18" s="66">
        <v>0.63800000000000001</v>
      </c>
      <c r="M18" s="66">
        <v>9.5079999999999991</v>
      </c>
      <c r="N18" s="69">
        <v>0.41799999999999998</v>
      </c>
      <c r="O18" s="66">
        <v>0.41799999999999998</v>
      </c>
      <c r="P18" s="66">
        <v>8.8699999999999992</v>
      </c>
      <c r="Q18" s="67">
        <v>7.1927846674182644E-2</v>
      </c>
      <c r="R18" s="67">
        <v>4.7125140924464487E-2</v>
      </c>
      <c r="S18" s="68">
        <v>0.11905298759864713</v>
      </c>
      <c r="T18" s="65">
        <v>34</v>
      </c>
      <c r="U18" s="70">
        <v>0.58800000000000008</v>
      </c>
      <c r="V18" s="70">
        <v>8.9644999999999992</v>
      </c>
      <c r="W18" s="70">
        <v>1.024</v>
      </c>
      <c r="X18" s="70">
        <v>1.024</v>
      </c>
      <c r="Y18" s="70">
        <v>8.3765000000000001</v>
      </c>
      <c r="Z18" s="71">
        <v>7.0087987779562461E-2</v>
      </c>
      <c r="AA18" s="71">
        <v>0.12694960585484927</v>
      </c>
      <c r="AB18" s="72">
        <v>0.19703759363441173</v>
      </c>
    </row>
    <row r="19" spans="2:28">
      <c r="B19" s="73">
        <v>35</v>
      </c>
      <c r="C19" s="74">
        <v>0.54600000000000004</v>
      </c>
      <c r="D19" s="74">
        <v>8.6630000000000003</v>
      </c>
      <c r="E19" s="74">
        <v>1.702</v>
      </c>
      <c r="F19" s="74">
        <v>1.702</v>
      </c>
      <c r="G19" s="74">
        <v>8.1170000000000009</v>
      </c>
      <c r="H19" s="75">
        <v>6.7266231366268317E-2</v>
      </c>
      <c r="I19" s="75">
        <v>0.20968338055931993</v>
      </c>
      <c r="J19" s="68">
        <v>0.27694961192558826</v>
      </c>
      <c r="K19" s="73">
        <v>35</v>
      </c>
      <c r="L19" s="74">
        <v>0.64700000000000002</v>
      </c>
      <c r="M19" s="74">
        <v>9.7710000000000008</v>
      </c>
      <c r="N19" s="76">
        <v>0.435</v>
      </c>
      <c r="O19" s="74">
        <v>0.435</v>
      </c>
      <c r="P19" s="74">
        <v>9.1240000000000006</v>
      </c>
      <c r="Q19" s="75">
        <v>7.0911880754055232E-2</v>
      </c>
      <c r="R19" s="75">
        <v>4.7676457693993861E-2</v>
      </c>
      <c r="S19" s="77">
        <v>0.11858833844804909</v>
      </c>
      <c r="T19" s="73">
        <v>35</v>
      </c>
      <c r="U19" s="78">
        <v>0.59650000000000003</v>
      </c>
      <c r="V19" s="78">
        <v>9.2170000000000005</v>
      </c>
      <c r="W19" s="78">
        <v>1.0685</v>
      </c>
      <c r="X19" s="78">
        <v>1.0685</v>
      </c>
      <c r="Y19" s="78">
        <v>8.6204999999999998</v>
      </c>
      <c r="Z19" s="19">
        <v>6.9089056060161774E-2</v>
      </c>
      <c r="AA19" s="19">
        <v>0.12867991912665688</v>
      </c>
      <c r="AB19" s="79">
        <v>0.19776897518681869</v>
      </c>
    </row>
    <row r="20" spans="2:28">
      <c r="B20" s="65">
        <v>36</v>
      </c>
      <c r="C20" s="66">
        <v>0.55100000000000005</v>
      </c>
      <c r="D20" s="66">
        <v>8.9109999999999996</v>
      </c>
      <c r="E20" s="66">
        <v>1.774</v>
      </c>
      <c r="F20" s="66">
        <v>1.774</v>
      </c>
      <c r="G20" s="66">
        <v>8.36</v>
      </c>
      <c r="H20" s="67">
        <v>6.5909090909090917E-2</v>
      </c>
      <c r="I20" s="67">
        <v>0.21220095693779906</v>
      </c>
      <c r="J20" s="68">
        <v>0.27811004784688997</v>
      </c>
      <c r="K20" s="65">
        <v>36</v>
      </c>
      <c r="L20" s="66">
        <v>0.65200000000000002</v>
      </c>
      <c r="M20" s="66">
        <v>10.039999999999999</v>
      </c>
      <c r="N20" s="69">
        <v>0.45100000000000001</v>
      </c>
      <c r="O20" s="66">
        <v>0.45100000000000001</v>
      </c>
      <c r="P20" s="66">
        <v>9.3879999999999999</v>
      </c>
      <c r="Q20" s="67">
        <v>6.9450362164465276E-2</v>
      </c>
      <c r="R20" s="67">
        <v>4.804005112910098E-2</v>
      </c>
      <c r="S20" s="68">
        <v>0.11749041329356626</v>
      </c>
      <c r="T20" s="65">
        <v>36</v>
      </c>
      <c r="U20" s="70">
        <v>0.60150000000000003</v>
      </c>
      <c r="V20" s="70">
        <v>9.4755000000000003</v>
      </c>
      <c r="W20" s="70">
        <v>1.1125</v>
      </c>
      <c r="X20" s="70">
        <v>1.1125</v>
      </c>
      <c r="Y20" s="70">
        <v>8.8739999999999988</v>
      </c>
      <c r="Z20" s="71">
        <v>6.767972653677809E-2</v>
      </c>
      <c r="AA20" s="71">
        <v>0.13012050403345002</v>
      </c>
      <c r="AB20" s="72">
        <v>0.19780023057022811</v>
      </c>
    </row>
    <row r="21" spans="2:28">
      <c r="B21" s="73">
        <v>37</v>
      </c>
      <c r="C21" s="74">
        <v>0.55100000000000005</v>
      </c>
      <c r="D21" s="74">
        <v>9.1630000000000003</v>
      </c>
      <c r="E21" s="74">
        <v>1.8460000000000001</v>
      </c>
      <c r="F21" s="74">
        <v>1.8460000000000001</v>
      </c>
      <c r="G21" s="74">
        <v>8.6120000000000001</v>
      </c>
      <c r="H21" s="75">
        <v>6.3980492336274966E-2</v>
      </c>
      <c r="I21" s="75">
        <v>0.21435206688341849</v>
      </c>
      <c r="J21" s="68">
        <v>0.27833255921969347</v>
      </c>
      <c r="K21" s="73">
        <v>37</v>
      </c>
      <c r="L21" s="74">
        <v>0.65100000000000002</v>
      </c>
      <c r="M21" s="74">
        <v>10.313000000000001</v>
      </c>
      <c r="N21" s="76">
        <v>0.46700000000000003</v>
      </c>
      <c r="O21" s="74">
        <v>0.46700000000000003</v>
      </c>
      <c r="P21" s="74">
        <v>9.6620000000000008</v>
      </c>
      <c r="Q21" s="75">
        <v>6.7377354584972057E-2</v>
      </c>
      <c r="R21" s="75">
        <v>4.8333678327468432E-2</v>
      </c>
      <c r="S21" s="77">
        <v>0.11571103291244049</v>
      </c>
      <c r="T21" s="73">
        <v>37</v>
      </c>
      <c r="U21" s="78">
        <v>0.60099999999999998</v>
      </c>
      <c r="V21" s="78">
        <v>9.7379999999999995</v>
      </c>
      <c r="W21" s="78">
        <v>1.1565000000000001</v>
      </c>
      <c r="X21" s="78">
        <v>1.1565000000000001</v>
      </c>
      <c r="Y21" s="78">
        <v>9.1370000000000005</v>
      </c>
      <c r="Z21" s="19">
        <v>6.5678923460623512E-2</v>
      </c>
      <c r="AA21" s="19">
        <v>0.13134287260544347</v>
      </c>
      <c r="AB21" s="79">
        <v>0.19702179606606698</v>
      </c>
    </row>
    <row r="22" spans="2:28">
      <c r="B22" s="65">
        <v>38</v>
      </c>
      <c r="C22" s="66">
        <v>0.54500000000000004</v>
      </c>
      <c r="D22" s="66">
        <v>9.42</v>
      </c>
      <c r="E22" s="66">
        <v>1.919</v>
      </c>
      <c r="F22" s="66">
        <v>1.919</v>
      </c>
      <c r="G22" s="66">
        <v>8.875</v>
      </c>
      <c r="H22" s="67">
        <v>6.1408450704225355E-2</v>
      </c>
      <c r="I22" s="67">
        <v>0.21622535211267607</v>
      </c>
      <c r="J22" s="68">
        <v>0.27763380281690142</v>
      </c>
      <c r="K22" s="65">
        <v>38</v>
      </c>
      <c r="L22" s="66">
        <v>0.64400000000000002</v>
      </c>
      <c r="M22" s="66">
        <v>10.590999999999999</v>
      </c>
      <c r="N22" s="69">
        <v>0.48199999999999998</v>
      </c>
      <c r="O22" s="66">
        <v>0.48199999999999998</v>
      </c>
      <c r="P22" s="66">
        <v>9.9469999999999992</v>
      </c>
      <c r="Q22" s="67">
        <v>6.4743138634764261E-2</v>
      </c>
      <c r="R22" s="67">
        <v>4.8456821152106165E-2</v>
      </c>
      <c r="S22" s="68">
        <v>0.11319995978687042</v>
      </c>
      <c r="T22" s="65">
        <v>38</v>
      </c>
      <c r="U22" s="70">
        <v>0.59450000000000003</v>
      </c>
      <c r="V22" s="70">
        <v>10.0055</v>
      </c>
      <c r="W22" s="70">
        <v>1.2004999999999999</v>
      </c>
      <c r="X22" s="70">
        <v>1.2004999999999999</v>
      </c>
      <c r="Y22" s="70">
        <v>9.4109999999999996</v>
      </c>
      <c r="Z22" s="71">
        <v>6.3075794669494811E-2</v>
      </c>
      <c r="AA22" s="71">
        <v>0.13234108663239111</v>
      </c>
      <c r="AB22" s="72">
        <v>0.19541688130188592</v>
      </c>
    </row>
    <row r="23" spans="2:28">
      <c r="B23" s="73">
        <v>39</v>
      </c>
      <c r="C23" s="74">
        <v>0.53500000000000003</v>
      </c>
      <c r="D23" s="74">
        <v>9.6820000000000004</v>
      </c>
      <c r="E23" s="74">
        <v>1.9910000000000001</v>
      </c>
      <c r="F23" s="74">
        <v>1.9910000000000001</v>
      </c>
      <c r="G23" s="74">
        <v>9.1470000000000002</v>
      </c>
      <c r="H23" s="75">
        <v>5.8489122116540941E-2</v>
      </c>
      <c r="I23" s="75">
        <v>0.21766699464305236</v>
      </c>
      <c r="J23" s="68">
        <v>0.27615611675959328</v>
      </c>
      <c r="K23" s="73">
        <v>39</v>
      </c>
      <c r="L23" s="74">
        <v>0.63200000000000001</v>
      </c>
      <c r="M23" s="74">
        <v>10.874000000000001</v>
      </c>
      <c r="N23" s="76">
        <v>0.496</v>
      </c>
      <c r="O23" s="74">
        <v>0.496</v>
      </c>
      <c r="P23" s="74">
        <v>10.242000000000001</v>
      </c>
      <c r="Q23" s="75">
        <v>6.1706697910564337E-2</v>
      </c>
      <c r="R23" s="75">
        <v>4.8428041398164416E-2</v>
      </c>
      <c r="S23" s="77">
        <v>0.11013473930872875</v>
      </c>
      <c r="T23" s="73">
        <v>39</v>
      </c>
      <c r="U23" s="78">
        <v>0.58350000000000002</v>
      </c>
      <c r="V23" s="78">
        <v>10.278</v>
      </c>
      <c r="W23" s="78">
        <v>1.2435</v>
      </c>
      <c r="X23" s="78">
        <v>1.2435</v>
      </c>
      <c r="Y23" s="78">
        <v>9.6945000000000014</v>
      </c>
      <c r="Z23" s="19">
        <v>6.0097910013552636E-2</v>
      </c>
      <c r="AA23" s="19">
        <v>0.13304751802060838</v>
      </c>
      <c r="AB23" s="79">
        <v>0.19314542803416102</v>
      </c>
    </row>
    <row r="24" spans="2:28">
      <c r="B24" s="65">
        <v>40</v>
      </c>
      <c r="C24" s="66">
        <v>0.52100000000000002</v>
      </c>
      <c r="D24" s="66">
        <v>9.9499999999999993</v>
      </c>
      <c r="E24" s="66">
        <v>2.0640000000000001</v>
      </c>
      <c r="F24" s="66">
        <v>2.0640000000000001</v>
      </c>
      <c r="G24" s="66">
        <v>9.4289999999999985</v>
      </c>
      <c r="H24" s="67">
        <v>5.5255064163750145E-2</v>
      </c>
      <c r="I24" s="67">
        <v>0.21889914094813875</v>
      </c>
      <c r="J24" s="68">
        <v>0.27415420511188893</v>
      </c>
      <c r="K24" s="65">
        <v>40</v>
      </c>
      <c r="L24" s="66">
        <v>0.61499999999999999</v>
      </c>
      <c r="M24" s="66">
        <v>11.163</v>
      </c>
      <c r="N24" s="69">
        <v>0.51</v>
      </c>
      <c r="O24" s="66">
        <v>0.51</v>
      </c>
      <c r="P24" s="66">
        <v>10.548</v>
      </c>
      <c r="Q24" s="67">
        <v>5.8304891922639365E-2</v>
      </c>
      <c r="R24" s="67">
        <v>4.8350398179749718E-2</v>
      </c>
      <c r="S24" s="68">
        <v>0.10665529010238908</v>
      </c>
      <c r="T24" s="65">
        <v>40</v>
      </c>
      <c r="U24" s="70">
        <v>0.56800000000000006</v>
      </c>
      <c r="V24" s="70">
        <v>10.5565</v>
      </c>
      <c r="W24" s="70">
        <v>1.2869999999999999</v>
      </c>
      <c r="X24" s="70">
        <v>1.2869999999999999</v>
      </c>
      <c r="Y24" s="70">
        <v>9.9884999999999984</v>
      </c>
      <c r="Z24" s="71">
        <v>5.6779978043194755E-2</v>
      </c>
      <c r="AA24" s="71">
        <v>0.13362476956394423</v>
      </c>
      <c r="AB24" s="72">
        <v>0.19040474760713899</v>
      </c>
    </row>
    <row r="25" spans="2:28">
      <c r="B25" s="73">
        <v>41</v>
      </c>
      <c r="C25" s="74">
        <v>0.505</v>
      </c>
      <c r="D25" s="74">
        <v>10.226000000000001</v>
      </c>
      <c r="E25" s="74">
        <v>2.1389999999999998</v>
      </c>
      <c r="F25" s="74">
        <v>2.1389999999999998</v>
      </c>
      <c r="G25" s="74">
        <v>9.7210000000000001</v>
      </c>
      <c r="H25" s="75">
        <v>5.1949387923053182E-2</v>
      </c>
      <c r="I25" s="75">
        <v>0.22003909062853613</v>
      </c>
      <c r="J25" s="68">
        <v>0.27198847855158931</v>
      </c>
      <c r="K25" s="73">
        <v>41</v>
      </c>
      <c r="L25" s="74">
        <v>0.59499999999999997</v>
      </c>
      <c r="M25" s="74">
        <v>11.46</v>
      </c>
      <c r="N25" s="76">
        <v>0.52300000000000002</v>
      </c>
      <c r="O25" s="74">
        <v>0.52300000000000002</v>
      </c>
      <c r="P25" s="74">
        <v>10.865</v>
      </c>
      <c r="Q25" s="75">
        <v>5.4763000460193278E-2</v>
      </c>
      <c r="R25" s="75">
        <v>4.8136217211228717E-2</v>
      </c>
      <c r="S25" s="77">
        <v>0.10289921767142199</v>
      </c>
      <c r="T25" s="73">
        <v>41</v>
      </c>
      <c r="U25" s="78">
        <v>0.55000000000000004</v>
      </c>
      <c r="V25" s="78">
        <v>10.843</v>
      </c>
      <c r="W25" s="78">
        <v>1.331</v>
      </c>
      <c r="X25" s="78">
        <v>1.331</v>
      </c>
      <c r="Y25" s="78">
        <v>10.292999999999999</v>
      </c>
      <c r="Z25" s="19">
        <v>5.3356194191623227E-2</v>
      </c>
      <c r="AA25" s="19">
        <v>0.13408765391988242</v>
      </c>
      <c r="AB25" s="79">
        <v>0.18744384811150566</v>
      </c>
    </row>
    <row r="26" spans="2:28">
      <c r="B26" s="65">
        <v>42</v>
      </c>
      <c r="C26" s="66">
        <v>0.48899999999999999</v>
      </c>
      <c r="D26" s="66">
        <v>10.512</v>
      </c>
      <c r="E26" s="66">
        <v>2.214</v>
      </c>
      <c r="F26" s="66">
        <v>2.214</v>
      </c>
      <c r="G26" s="66">
        <v>10.023</v>
      </c>
      <c r="H26" s="67">
        <v>4.8787788087398982E-2</v>
      </c>
      <c r="I26" s="67">
        <v>0.22089194851840765</v>
      </c>
      <c r="J26" s="68">
        <v>0.26967973660580663</v>
      </c>
      <c r="K26" s="65">
        <v>42</v>
      </c>
      <c r="L26" s="66">
        <v>0.57199999999999995</v>
      </c>
      <c r="M26" s="66">
        <v>11.766</v>
      </c>
      <c r="N26" s="69">
        <v>0.53700000000000003</v>
      </c>
      <c r="O26" s="66">
        <v>0.53700000000000003</v>
      </c>
      <c r="P26" s="66">
        <v>11.194000000000001</v>
      </c>
      <c r="Q26" s="67">
        <v>5.1098802930141136E-2</v>
      </c>
      <c r="R26" s="67">
        <v>4.7972127925674471E-2</v>
      </c>
      <c r="S26" s="68">
        <v>9.9070930855815614E-2</v>
      </c>
      <c r="T26" s="65">
        <v>42</v>
      </c>
      <c r="U26" s="70">
        <v>0.53049999999999997</v>
      </c>
      <c r="V26" s="70">
        <v>11.138999999999999</v>
      </c>
      <c r="W26" s="70">
        <v>1.3754999999999999</v>
      </c>
      <c r="X26" s="70">
        <v>1.3754999999999999</v>
      </c>
      <c r="Y26" s="70">
        <v>10.608499999999999</v>
      </c>
      <c r="Z26" s="71">
        <v>4.9943295508770059E-2</v>
      </c>
      <c r="AA26" s="71">
        <v>0.13443203822204106</v>
      </c>
      <c r="AB26" s="72">
        <v>0.18437533373081111</v>
      </c>
    </row>
    <row r="27" spans="2:28">
      <c r="B27" s="73">
        <v>43</v>
      </c>
      <c r="C27" s="74">
        <v>0.47199999999999998</v>
      </c>
      <c r="D27" s="74">
        <v>10.808</v>
      </c>
      <c r="E27" s="74">
        <v>2.2909999999999999</v>
      </c>
      <c r="F27" s="74">
        <v>2.2909999999999999</v>
      </c>
      <c r="G27" s="74">
        <v>10.336</v>
      </c>
      <c r="H27" s="75">
        <v>4.5665634674922594E-2</v>
      </c>
      <c r="I27" s="75">
        <v>0.22165247678018574</v>
      </c>
      <c r="J27" s="68">
        <v>0.26731811145510831</v>
      </c>
      <c r="K27" s="73">
        <v>43</v>
      </c>
      <c r="L27" s="74">
        <v>0.54700000000000004</v>
      </c>
      <c r="M27" s="74">
        <v>12.081</v>
      </c>
      <c r="N27" s="76">
        <v>0.55000000000000004</v>
      </c>
      <c r="O27" s="74">
        <v>0.55000000000000004</v>
      </c>
      <c r="P27" s="74">
        <v>11.533999999999999</v>
      </c>
      <c r="Q27" s="75">
        <v>4.7425004335009548E-2</v>
      </c>
      <c r="R27" s="75">
        <v>4.7685104907230803E-2</v>
      </c>
      <c r="S27" s="77">
        <v>9.5110109242240351E-2</v>
      </c>
      <c r="T27" s="73">
        <v>43</v>
      </c>
      <c r="U27" s="78">
        <v>0.50950000000000006</v>
      </c>
      <c r="V27" s="78">
        <v>11.4445</v>
      </c>
      <c r="W27" s="78">
        <v>1.4205000000000001</v>
      </c>
      <c r="X27" s="78">
        <v>1.4205000000000001</v>
      </c>
      <c r="Y27" s="78">
        <v>10.934999999999999</v>
      </c>
      <c r="Z27" s="19">
        <v>4.6545319504966071E-2</v>
      </c>
      <c r="AA27" s="19">
        <v>0.13466879084370828</v>
      </c>
      <c r="AB27" s="79">
        <v>0.18121411034867432</v>
      </c>
    </row>
    <row r="28" spans="2:28">
      <c r="B28" s="65">
        <v>44</v>
      </c>
      <c r="C28" s="66">
        <v>0.45400000000000001</v>
      </c>
      <c r="D28" s="66">
        <v>11.115</v>
      </c>
      <c r="E28" s="66">
        <v>2.3690000000000002</v>
      </c>
      <c r="F28" s="66">
        <v>2.3690000000000002</v>
      </c>
      <c r="G28" s="66">
        <v>10.661</v>
      </c>
      <c r="H28" s="67">
        <v>4.2585123346777977E-2</v>
      </c>
      <c r="I28" s="67">
        <v>0.22221180001876001</v>
      </c>
      <c r="J28" s="68">
        <v>0.26479692336553801</v>
      </c>
      <c r="K28" s="65">
        <v>44</v>
      </c>
      <c r="L28" s="66">
        <v>0.52100000000000002</v>
      </c>
      <c r="M28" s="66">
        <v>12.407</v>
      </c>
      <c r="N28" s="69">
        <v>0.56299999999999994</v>
      </c>
      <c r="O28" s="66">
        <v>0.56299999999999994</v>
      </c>
      <c r="P28" s="66">
        <v>11.885999999999999</v>
      </c>
      <c r="Q28" s="67">
        <v>4.3833080935554436E-2</v>
      </c>
      <c r="R28" s="67">
        <v>4.7366649840148073E-2</v>
      </c>
      <c r="S28" s="68">
        <v>9.1199730775702509E-2</v>
      </c>
      <c r="T28" s="65">
        <v>44</v>
      </c>
      <c r="U28" s="70">
        <v>0.48750000000000004</v>
      </c>
      <c r="V28" s="70">
        <v>11.760999999999999</v>
      </c>
      <c r="W28" s="70">
        <v>1.4660000000000002</v>
      </c>
      <c r="X28" s="70">
        <v>1.4660000000000002</v>
      </c>
      <c r="Y28" s="70">
        <v>11.273499999999999</v>
      </c>
      <c r="Z28" s="71">
        <v>4.3209102141166203E-2</v>
      </c>
      <c r="AA28" s="71">
        <v>0.13478922492945405</v>
      </c>
      <c r="AB28" s="72">
        <v>0.17799832707062024</v>
      </c>
    </row>
    <row r="29" spans="2:28">
      <c r="B29" s="73">
        <v>45</v>
      </c>
      <c r="C29" s="74">
        <v>0.436</v>
      </c>
      <c r="D29" s="74">
        <v>11.433</v>
      </c>
      <c r="E29" s="74">
        <v>2.448</v>
      </c>
      <c r="F29" s="74">
        <v>2.448</v>
      </c>
      <c r="G29" s="74">
        <v>10.997</v>
      </c>
      <c r="H29" s="75">
        <v>3.9647176502682548E-2</v>
      </c>
      <c r="I29" s="75">
        <v>0.22260616531781394</v>
      </c>
      <c r="J29" s="68">
        <v>0.26225334182049648</v>
      </c>
      <c r="K29" s="73">
        <v>45</v>
      </c>
      <c r="L29" s="74">
        <v>0.49399999999999999</v>
      </c>
      <c r="M29" s="74">
        <v>12.744</v>
      </c>
      <c r="N29" s="76">
        <v>0.57599999999999996</v>
      </c>
      <c r="O29" s="74">
        <v>0.57599999999999996</v>
      </c>
      <c r="P29" s="74">
        <v>12.25</v>
      </c>
      <c r="Q29" s="75">
        <v>4.03265306122449E-2</v>
      </c>
      <c r="R29" s="75">
        <v>4.7020408163265304E-2</v>
      </c>
      <c r="S29" s="77">
        <v>8.7346938775510197E-2</v>
      </c>
      <c r="T29" s="73">
        <v>45</v>
      </c>
      <c r="U29" s="78">
        <v>0.46499999999999997</v>
      </c>
      <c r="V29" s="78">
        <v>12.0885</v>
      </c>
      <c r="W29" s="78">
        <v>1.512</v>
      </c>
      <c r="X29" s="78">
        <v>1.512</v>
      </c>
      <c r="Y29" s="78">
        <v>11.6235</v>
      </c>
      <c r="Z29" s="19">
        <v>3.9986853557463724E-2</v>
      </c>
      <c r="AA29" s="19">
        <v>0.13481328674053961</v>
      </c>
      <c r="AB29" s="79">
        <v>0.17480014029800334</v>
      </c>
    </row>
    <row r="30" spans="2:28">
      <c r="B30" s="65">
        <v>46</v>
      </c>
      <c r="C30" s="66">
        <v>0.41699999999999998</v>
      </c>
      <c r="D30" s="66">
        <v>11.762</v>
      </c>
      <c r="E30" s="66">
        <v>2.5259999999999998</v>
      </c>
      <c r="F30" s="66">
        <v>2.5259999999999998</v>
      </c>
      <c r="G30" s="66">
        <v>11.345000000000001</v>
      </c>
      <c r="H30" s="67">
        <v>3.6756280299691489E-2</v>
      </c>
      <c r="I30" s="67">
        <v>0.22265315116791534</v>
      </c>
      <c r="J30" s="68">
        <v>0.25940943146760681</v>
      </c>
      <c r="K30" s="65">
        <v>46</v>
      </c>
      <c r="L30" s="66">
        <v>0.46500000000000002</v>
      </c>
      <c r="M30" s="66">
        <v>13.092000000000001</v>
      </c>
      <c r="N30" s="69">
        <v>0.58899999999999997</v>
      </c>
      <c r="O30" s="66">
        <v>0.58899999999999997</v>
      </c>
      <c r="P30" s="66">
        <v>12.627000000000001</v>
      </c>
      <c r="Q30" s="67">
        <v>3.682584937039677E-2</v>
      </c>
      <c r="R30" s="67">
        <v>4.6646075869169239E-2</v>
      </c>
      <c r="S30" s="68">
        <v>8.3471925239566008E-2</v>
      </c>
      <c r="T30" s="65">
        <v>46</v>
      </c>
      <c r="U30" s="70">
        <v>0.441</v>
      </c>
      <c r="V30" s="70">
        <v>12.427</v>
      </c>
      <c r="W30" s="70">
        <v>1.5574999999999999</v>
      </c>
      <c r="X30" s="70">
        <v>1.5574999999999999</v>
      </c>
      <c r="Y30" s="70">
        <v>11.986000000000001</v>
      </c>
      <c r="Z30" s="71">
        <v>3.6791064835044129E-2</v>
      </c>
      <c r="AA30" s="71">
        <v>0.13464961351854229</v>
      </c>
      <c r="AB30" s="72">
        <v>0.1714406783535864</v>
      </c>
    </row>
    <row r="31" spans="2:28">
      <c r="B31" s="73">
        <v>47</v>
      </c>
      <c r="C31" s="74">
        <v>0.39500000000000002</v>
      </c>
      <c r="D31" s="74">
        <v>12.103</v>
      </c>
      <c r="E31" s="74">
        <v>2.6040000000000001</v>
      </c>
      <c r="F31" s="74">
        <v>2.6040000000000001</v>
      </c>
      <c r="G31" s="74">
        <v>11.708</v>
      </c>
      <c r="H31" s="75">
        <v>3.3737615305773828E-2</v>
      </c>
      <c r="I31" s="75">
        <v>0.22241202596515203</v>
      </c>
      <c r="J31" s="68">
        <v>0.25614964127092588</v>
      </c>
      <c r="K31" s="73">
        <v>47</v>
      </c>
      <c r="L31" s="74">
        <v>0.435</v>
      </c>
      <c r="M31" s="74">
        <v>13.452</v>
      </c>
      <c r="N31" s="76">
        <v>0.60099999999999998</v>
      </c>
      <c r="O31" s="74">
        <v>0.60099999999999998</v>
      </c>
      <c r="P31" s="74">
        <v>13.016999999999999</v>
      </c>
      <c r="Q31" s="75">
        <v>3.3417838211569489E-2</v>
      </c>
      <c r="R31" s="75">
        <v>4.6170392563570715E-2</v>
      </c>
      <c r="S31" s="77">
        <v>7.9588230775140212E-2</v>
      </c>
      <c r="T31" s="73">
        <v>47</v>
      </c>
      <c r="U31" s="78">
        <v>0.41500000000000004</v>
      </c>
      <c r="V31" s="78">
        <v>12.7775</v>
      </c>
      <c r="W31" s="78">
        <v>1.6025</v>
      </c>
      <c r="X31" s="78">
        <v>1.6025</v>
      </c>
      <c r="Y31" s="78">
        <v>12.362500000000001</v>
      </c>
      <c r="Z31" s="19">
        <v>3.3577726758671655E-2</v>
      </c>
      <c r="AA31" s="19">
        <v>0.13429120926436136</v>
      </c>
      <c r="AB31" s="79">
        <v>0.16786893602303304</v>
      </c>
    </row>
    <row r="32" spans="2:28">
      <c r="B32" s="65">
        <v>48</v>
      </c>
      <c r="C32" s="66">
        <v>0.371</v>
      </c>
      <c r="D32" s="66">
        <v>12.455</v>
      </c>
      <c r="E32" s="66">
        <v>2.6819999999999999</v>
      </c>
      <c r="F32" s="66">
        <v>2.6819999999999999</v>
      </c>
      <c r="G32" s="66">
        <v>12.084</v>
      </c>
      <c r="H32" s="67">
        <v>3.0701754385964914E-2</v>
      </c>
      <c r="I32" s="67">
        <v>0.22194637537239326</v>
      </c>
      <c r="J32" s="68">
        <v>0.25264812975835815</v>
      </c>
      <c r="K32" s="65">
        <v>48</v>
      </c>
      <c r="L32" s="66">
        <v>0.40300000000000002</v>
      </c>
      <c r="M32" s="66">
        <v>13.823</v>
      </c>
      <c r="N32" s="69">
        <v>0.61299999999999999</v>
      </c>
      <c r="O32" s="66">
        <v>0.61299999999999999</v>
      </c>
      <c r="P32" s="66">
        <v>13.42</v>
      </c>
      <c r="Q32" s="67">
        <v>3.0029806259314458E-2</v>
      </c>
      <c r="R32" s="67">
        <v>4.5678092399403875E-2</v>
      </c>
      <c r="S32" s="68">
        <v>7.5707898658718326E-2</v>
      </c>
      <c r="T32" s="65">
        <v>48</v>
      </c>
      <c r="U32" s="70">
        <v>0.38700000000000001</v>
      </c>
      <c r="V32" s="70">
        <v>13.138999999999999</v>
      </c>
      <c r="W32" s="70">
        <v>1.6475</v>
      </c>
      <c r="X32" s="70">
        <v>1.6475</v>
      </c>
      <c r="Y32" s="70">
        <v>12.751999999999999</v>
      </c>
      <c r="Z32" s="71">
        <v>3.0365780322639688E-2</v>
      </c>
      <c r="AA32" s="71">
        <v>0.13381223388589858</v>
      </c>
      <c r="AB32" s="72">
        <v>0.16417801420853823</v>
      </c>
    </row>
    <row r="33" spans="2:28">
      <c r="B33" s="73">
        <v>49</v>
      </c>
      <c r="C33" s="74">
        <v>0.34399999999999997</v>
      </c>
      <c r="D33" s="74">
        <v>12.82</v>
      </c>
      <c r="E33" s="74">
        <v>2.758</v>
      </c>
      <c r="F33" s="74">
        <v>2.758</v>
      </c>
      <c r="G33" s="74">
        <v>12.476000000000001</v>
      </c>
      <c r="H33" s="75">
        <v>2.7572940044886179E-2</v>
      </c>
      <c r="I33" s="75">
        <v>0.22106444373196535</v>
      </c>
      <c r="J33" s="68">
        <v>0.24863738377685152</v>
      </c>
      <c r="K33" s="73">
        <v>49</v>
      </c>
      <c r="L33" s="74">
        <v>0.36899999999999999</v>
      </c>
      <c r="M33" s="74">
        <v>14.207000000000001</v>
      </c>
      <c r="N33" s="76">
        <v>0.624</v>
      </c>
      <c r="O33" s="74">
        <v>0.624</v>
      </c>
      <c r="P33" s="74">
        <v>13.838000000000001</v>
      </c>
      <c r="Q33" s="75">
        <v>2.6665703136291369E-2</v>
      </c>
      <c r="R33" s="75">
        <v>4.5093221563809793E-2</v>
      </c>
      <c r="S33" s="77">
        <v>7.1758924700101159E-2</v>
      </c>
      <c r="T33" s="73">
        <v>49</v>
      </c>
      <c r="U33" s="78">
        <v>0.35649999999999998</v>
      </c>
      <c r="V33" s="78">
        <v>13.513500000000001</v>
      </c>
      <c r="W33" s="78">
        <v>1.6910000000000001</v>
      </c>
      <c r="X33" s="78">
        <v>1.6910000000000001</v>
      </c>
      <c r="Y33" s="78">
        <v>13.157</v>
      </c>
      <c r="Z33" s="19">
        <v>2.7119321590588774E-2</v>
      </c>
      <c r="AA33" s="19">
        <v>0.13307883264788756</v>
      </c>
      <c r="AB33" s="79">
        <v>0.16019815423847633</v>
      </c>
    </row>
    <row r="34" spans="2:28">
      <c r="B34" s="65">
        <v>50</v>
      </c>
      <c r="C34" s="66">
        <v>0.314</v>
      </c>
      <c r="D34" s="66">
        <v>13.196999999999999</v>
      </c>
      <c r="E34" s="66">
        <v>2.8330000000000002</v>
      </c>
      <c r="F34" s="66">
        <v>2.8330000000000002</v>
      </c>
      <c r="G34" s="66">
        <v>12.882999999999999</v>
      </c>
      <c r="H34" s="67">
        <v>2.4373204998835676E-2</v>
      </c>
      <c r="I34" s="67">
        <v>0.21990219669331681</v>
      </c>
      <c r="J34" s="68">
        <v>0.24427540169215251</v>
      </c>
      <c r="K34" s="65">
        <v>50</v>
      </c>
      <c r="L34" s="66">
        <v>0.33300000000000002</v>
      </c>
      <c r="M34" s="66">
        <v>14.603999999999999</v>
      </c>
      <c r="N34" s="69">
        <v>0.63400000000000001</v>
      </c>
      <c r="O34" s="66">
        <v>0.63400000000000001</v>
      </c>
      <c r="P34" s="66">
        <v>14.270999999999999</v>
      </c>
      <c r="Q34" s="67">
        <v>2.3334034055076731E-2</v>
      </c>
      <c r="R34" s="67">
        <v>4.4425758531287232E-2</v>
      </c>
      <c r="S34" s="68">
        <v>6.7759792586363971E-2</v>
      </c>
      <c r="T34" s="65">
        <v>50</v>
      </c>
      <c r="U34" s="70">
        <v>0.32350000000000001</v>
      </c>
      <c r="V34" s="70">
        <v>13.900499999999999</v>
      </c>
      <c r="W34" s="70">
        <v>1.7335</v>
      </c>
      <c r="X34" s="70">
        <v>1.7335</v>
      </c>
      <c r="Y34" s="70">
        <v>13.576999999999998</v>
      </c>
      <c r="Z34" s="71">
        <v>2.3853619526956204E-2</v>
      </c>
      <c r="AA34" s="71">
        <v>0.13216397761230203</v>
      </c>
      <c r="AB34" s="72">
        <v>0.15601759713925822</v>
      </c>
    </row>
    <row r="35" spans="2:28">
      <c r="B35" s="73">
        <v>51</v>
      </c>
      <c r="C35" s="74">
        <v>0.28100000000000003</v>
      </c>
      <c r="D35" s="74">
        <v>13.587999999999999</v>
      </c>
      <c r="E35" s="74">
        <v>2.907</v>
      </c>
      <c r="F35" s="74">
        <v>2.907</v>
      </c>
      <c r="G35" s="74">
        <v>13.306999999999999</v>
      </c>
      <c r="H35" s="75">
        <v>2.1116705493349368E-2</v>
      </c>
      <c r="I35" s="75">
        <v>0.21845645149169612</v>
      </c>
      <c r="J35" s="68">
        <v>0.2395731569850455</v>
      </c>
      <c r="K35" s="73">
        <v>51</v>
      </c>
      <c r="L35" s="74">
        <v>0.29499999999999998</v>
      </c>
      <c r="M35" s="74">
        <v>15.013</v>
      </c>
      <c r="N35" s="76">
        <v>0.64400000000000002</v>
      </c>
      <c r="O35" s="74">
        <v>0.64400000000000002</v>
      </c>
      <c r="P35" s="74">
        <v>14.718</v>
      </c>
      <c r="Q35" s="75">
        <v>2.0043484169044706E-2</v>
      </c>
      <c r="R35" s="75">
        <v>4.3755945101236579E-2</v>
      </c>
      <c r="S35" s="77">
        <v>6.3799429270281288E-2</v>
      </c>
      <c r="T35" s="73">
        <v>51</v>
      </c>
      <c r="U35" s="78">
        <v>0.28800000000000003</v>
      </c>
      <c r="V35" s="78">
        <v>14.3005</v>
      </c>
      <c r="W35" s="78">
        <v>1.7755000000000001</v>
      </c>
      <c r="X35" s="78">
        <v>1.7755000000000001</v>
      </c>
      <c r="Y35" s="78">
        <v>14.012499999999999</v>
      </c>
      <c r="Z35" s="19">
        <v>2.0580094831197035E-2</v>
      </c>
      <c r="AA35" s="19">
        <v>0.13110619829646636</v>
      </c>
      <c r="AB35" s="79">
        <v>0.15168629312766341</v>
      </c>
    </row>
    <row r="36" spans="2:28">
      <c r="B36" s="65">
        <v>52</v>
      </c>
      <c r="C36" s="66">
        <v>0.246</v>
      </c>
      <c r="D36" s="66">
        <v>13.993</v>
      </c>
      <c r="E36" s="66">
        <v>2.9790000000000001</v>
      </c>
      <c r="F36" s="66">
        <v>2.9790000000000001</v>
      </c>
      <c r="G36" s="66">
        <v>13.747</v>
      </c>
      <c r="H36" s="67">
        <v>1.7894813413835746E-2</v>
      </c>
      <c r="I36" s="67">
        <v>0.21670182585291337</v>
      </c>
      <c r="J36" s="68">
        <v>0.23459663926674912</v>
      </c>
      <c r="K36" s="65">
        <v>52</v>
      </c>
      <c r="L36" s="66">
        <v>0.254</v>
      </c>
      <c r="M36" s="66">
        <v>15.436</v>
      </c>
      <c r="N36" s="69">
        <v>0.65200000000000002</v>
      </c>
      <c r="O36" s="66">
        <v>0.65200000000000002</v>
      </c>
      <c r="P36" s="66">
        <v>15.182</v>
      </c>
      <c r="Q36" s="67">
        <v>1.6730338558819655E-2</v>
      </c>
      <c r="R36" s="67">
        <v>4.2945593465946515E-2</v>
      </c>
      <c r="S36" s="68">
        <v>5.9675932024766169E-2</v>
      </c>
      <c r="T36" s="65">
        <v>52</v>
      </c>
      <c r="U36" s="70">
        <v>0.25</v>
      </c>
      <c r="V36" s="70">
        <v>14.714500000000001</v>
      </c>
      <c r="W36" s="70">
        <v>1.8155000000000001</v>
      </c>
      <c r="X36" s="70">
        <v>1.8155000000000001</v>
      </c>
      <c r="Y36" s="70">
        <v>14.464500000000001</v>
      </c>
      <c r="Z36" s="71">
        <v>1.73125759863277E-2</v>
      </c>
      <c r="AA36" s="71">
        <v>0.12982370965942994</v>
      </c>
      <c r="AB36" s="72">
        <v>0.14713628564575765</v>
      </c>
    </row>
    <row r="37" spans="2:28">
      <c r="B37" s="73">
        <v>53</v>
      </c>
      <c r="C37" s="74">
        <v>0.20799999999999999</v>
      </c>
      <c r="D37" s="74">
        <v>14.414999999999999</v>
      </c>
      <c r="E37" s="74">
        <v>3.05</v>
      </c>
      <c r="F37" s="74">
        <v>3.05</v>
      </c>
      <c r="G37" s="74">
        <v>14.206999999999999</v>
      </c>
      <c r="H37" s="75">
        <v>1.4640670092208067E-2</v>
      </c>
      <c r="I37" s="75">
        <v>0.21468290279439714</v>
      </c>
      <c r="J37" s="68">
        <v>0.22932357288660521</v>
      </c>
      <c r="K37" s="73">
        <v>53</v>
      </c>
      <c r="L37" s="74">
        <v>0.21299999999999999</v>
      </c>
      <c r="M37" s="74">
        <v>15.874000000000001</v>
      </c>
      <c r="N37" s="76">
        <v>0.66</v>
      </c>
      <c r="O37" s="74">
        <v>0.66</v>
      </c>
      <c r="P37" s="74">
        <v>15.661000000000001</v>
      </c>
      <c r="Q37" s="75">
        <v>1.3600664069982758E-2</v>
      </c>
      <c r="R37" s="75">
        <v>4.2142902752059251E-2</v>
      </c>
      <c r="S37" s="77">
        <v>5.5743566822042012E-2</v>
      </c>
      <c r="T37" s="73">
        <v>53</v>
      </c>
      <c r="U37" s="78">
        <v>0.21049999999999999</v>
      </c>
      <c r="V37" s="78">
        <v>15.144500000000001</v>
      </c>
      <c r="W37" s="78">
        <v>1.855</v>
      </c>
      <c r="X37" s="78">
        <v>1.855</v>
      </c>
      <c r="Y37" s="78">
        <v>14.934000000000001</v>
      </c>
      <c r="Z37" s="19">
        <v>1.4120667081095412E-2</v>
      </c>
      <c r="AA37" s="19">
        <v>0.1284129027732282</v>
      </c>
      <c r="AB37" s="79">
        <v>0.14253356985432361</v>
      </c>
    </row>
    <row r="38" spans="2:28">
      <c r="B38" s="65">
        <v>54</v>
      </c>
      <c r="C38" s="66">
        <v>0.16900000000000001</v>
      </c>
      <c r="D38" s="66">
        <v>14.853</v>
      </c>
      <c r="E38" s="66">
        <v>3.12</v>
      </c>
      <c r="F38" s="66">
        <v>3.12</v>
      </c>
      <c r="G38" s="66">
        <v>14.683999999999999</v>
      </c>
      <c r="H38" s="67">
        <v>1.1509125578861346E-2</v>
      </c>
      <c r="I38" s="67">
        <v>0.21247616453282486</v>
      </c>
      <c r="J38" s="68">
        <v>0.22398529011168622</v>
      </c>
      <c r="K38" s="65">
        <v>54</v>
      </c>
      <c r="L38" s="66">
        <v>0.17100000000000001</v>
      </c>
      <c r="M38" s="66">
        <v>16.327999999999999</v>
      </c>
      <c r="N38" s="69">
        <v>0.66700000000000004</v>
      </c>
      <c r="O38" s="66">
        <v>0.66700000000000004</v>
      </c>
      <c r="P38" s="66">
        <v>16.157</v>
      </c>
      <c r="Q38" s="67">
        <v>1.058364795444699E-2</v>
      </c>
      <c r="R38" s="67">
        <v>4.1282416290152876E-2</v>
      </c>
      <c r="S38" s="68">
        <v>5.1866064244599865E-2</v>
      </c>
      <c r="T38" s="65">
        <v>54</v>
      </c>
      <c r="U38" s="70">
        <v>0.17</v>
      </c>
      <c r="V38" s="70">
        <v>15.590499999999999</v>
      </c>
      <c r="W38" s="70">
        <v>1.8935</v>
      </c>
      <c r="X38" s="70">
        <v>1.8935</v>
      </c>
      <c r="Y38" s="70">
        <v>15.420500000000001</v>
      </c>
      <c r="Z38" s="71">
        <v>1.1046386766654169E-2</v>
      </c>
      <c r="AA38" s="71">
        <v>0.12687929041148888</v>
      </c>
      <c r="AB38" s="72">
        <v>0.13792567717814305</v>
      </c>
    </row>
    <row r="39" spans="2:28">
      <c r="B39" s="73">
        <v>55</v>
      </c>
      <c r="C39" s="74">
        <v>0.13</v>
      </c>
      <c r="D39" s="74">
        <v>15.308999999999999</v>
      </c>
      <c r="E39" s="74">
        <v>3.19</v>
      </c>
      <c r="F39" s="74">
        <v>3.19</v>
      </c>
      <c r="G39" s="74">
        <v>15.178999999999998</v>
      </c>
      <c r="H39" s="75">
        <v>8.564464062191187E-3</v>
      </c>
      <c r="I39" s="75">
        <v>0.21015877198761448</v>
      </c>
      <c r="J39" s="68">
        <v>0.21872323604980567</v>
      </c>
      <c r="K39" s="73">
        <v>55</v>
      </c>
      <c r="L39" s="74">
        <v>0.129</v>
      </c>
      <c r="M39" s="74">
        <v>16.798999999999999</v>
      </c>
      <c r="N39" s="76">
        <v>0.67400000000000004</v>
      </c>
      <c r="O39" s="74">
        <v>0.67400000000000004</v>
      </c>
      <c r="P39" s="74">
        <v>16.669999999999998</v>
      </c>
      <c r="Q39" s="75">
        <v>7.7384523095380938E-3</v>
      </c>
      <c r="R39" s="75">
        <v>4.0431913617276549E-2</v>
      </c>
      <c r="S39" s="77">
        <v>4.8170365926814646E-2</v>
      </c>
      <c r="T39" s="73">
        <v>55</v>
      </c>
      <c r="U39" s="78">
        <v>0.1295</v>
      </c>
      <c r="V39" s="78">
        <v>16.053999999999998</v>
      </c>
      <c r="W39" s="78">
        <v>1.9319999999999999</v>
      </c>
      <c r="X39" s="78">
        <v>1.9319999999999999</v>
      </c>
      <c r="Y39" s="78">
        <v>15.924499999999998</v>
      </c>
      <c r="Z39" s="19">
        <v>8.15145818586464E-3</v>
      </c>
      <c r="AA39" s="19">
        <v>0.12529534280244553</v>
      </c>
      <c r="AB39" s="79">
        <v>0.13344680098831016</v>
      </c>
    </row>
    <row r="40" spans="2:28">
      <c r="B40" s="65">
        <v>56</v>
      </c>
      <c r="C40" s="66">
        <v>9.0999999999999998E-2</v>
      </c>
      <c r="D40" s="66">
        <v>15.784000000000001</v>
      </c>
      <c r="E40" s="66">
        <v>3.26</v>
      </c>
      <c r="F40" s="66">
        <v>3.26</v>
      </c>
      <c r="G40" s="66">
        <v>15.693000000000001</v>
      </c>
      <c r="H40" s="67">
        <v>5.7987637800293122E-3</v>
      </c>
      <c r="I40" s="67">
        <v>0.20773593321863248</v>
      </c>
      <c r="J40" s="68">
        <v>0.21353469699866179</v>
      </c>
      <c r="K40" s="65">
        <v>56</v>
      </c>
      <c r="L40" s="66">
        <v>8.7999999999999995E-2</v>
      </c>
      <c r="M40" s="66">
        <v>17.288</v>
      </c>
      <c r="N40" s="69">
        <v>0.68</v>
      </c>
      <c r="O40" s="66">
        <v>0.68</v>
      </c>
      <c r="P40" s="66">
        <v>17.2</v>
      </c>
      <c r="Q40" s="67">
        <v>5.1162790697674414E-3</v>
      </c>
      <c r="R40" s="67">
        <v>3.9534883720930239E-2</v>
      </c>
      <c r="S40" s="68">
        <v>4.4651162790697682E-2</v>
      </c>
      <c r="T40" s="65">
        <v>56</v>
      </c>
      <c r="U40" s="70">
        <v>8.9499999999999996E-2</v>
      </c>
      <c r="V40" s="70">
        <v>16.536000000000001</v>
      </c>
      <c r="W40" s="70">
        <v>1.97</v>
      </c>
      <c r="X40" s="70">
        <v>1.97</v>
      </c>
      <c r="Y40" s="70">
        <v>16.4465</v>
      </c>
      <c r="Z40" s="71">
        <v>5.4575214248983768E-3</v>
      </c>
      <c r="AA40" s="71">
        <v>0.12363540846978135</v>
      </c>
      <c r="AB40" s="72">
        <v>0.12909292989467974</v>
      </c>
    </row>
    <row r="41" spans="2:28">
      <c r="B41" s="73">
        <v>57</v>
      </c>
      <c r="C41" s="74">
        <v>5.5E-2</v>
      </c>
      <c r="D41" s="74">
        <v>16.279</v>
      </c>
      <c r="E41" s="74">
        <v>3.3319999999999999</v>
      </c>
      <c r="F41" s="74">
        <v>3.3319999999999999</v>
      </c>
      <c r="G41" s="74">
        <v>16.224</v>
      </c>
      <c r="H41" s="75">
        <v>3.3900394477317554E-3</v>
      </c>
      <c r="I41" s="75">
        <v>0.20537475345167652</v>
      </c>
      <c r="J41" s="68">
        <v>0.20876479289940827</v>
      </c>
      <c r="K41" s="73">
        <v>57</v>
      </c>
      <c r="L41" s="74">
        <v>5.2999999999999999E-2</v>
      </c>
      <c r="M41" s="74">
        <v>17.798999999999999</v>
      </c>
      <c r="N41" s="76">
        <v>0.68600000000000005</v>
      </c>
      <c r="O41" s="74">
        <v>0.68600000000000005</v>
      </c>
      <c r="P41" s="74">
        <v>17.745999999999999</v>
      </c>
      <c r="Q41" s="75">
        <v>2.9865885269919983E-3</v>
      </c>
      <c r="R41" s="75">
        <v>3.8656598670122853E-2</v>
      </c>
      <c r="S41" s="77">
        <v>4.164318719711485E-2</v>
      </c>
      <c r="T41" s="73">
        <v>57</v>
      </c>
      <c r="U41" s="78">
        <v>5.3999999999999999E-2</v>
      </c>
      <c r="V41" s="78">
        <v>17.039000000000001</v>
      </c>
      <c r="W41" s="78">
        <v>2.0089999999999999</v>
      </c>
      <c r="X41" s="78">
        <v>2.0089999999999999</v>
      </c>
      <c r="Y41" s="78">
        <v>16.984999999999999</v>
      </c>
      <c r="Z41" s="19">
        <v>3.1883139873618771E-3</v>
      </c>
      <c r="AA41" s="19">
        <v>0.12201567606089969</v>
      </c>
      <c r="AB41" s="79">
        <v>0.12520399004826155</v>
      </c>
    </row>
    <row r="42" spans="2:28">
      <c r="B42" s="65">
        <v>58</v>
      </c>
      <c r="C42" s="66">
        <v>2.5999999999999999E-2</v>
      </c>
      <c r="D42" s="66">
        <v>16.797000000000001</v>
      </c>
      <c r="E42" s="66">
        <v>3.407</v>
      </c>
      <c r="F42" s="66">
        <v>3.407</v>
      </c>
      <c r="G42" s="66">
        <v>16.771000000000001</v>
      </c>
      <c r="H42" s="67">
        <v>1.5502951523463119E-3</v>
      </c>
      <c r="I42" s="67">
        <v>0.20314829169399559</v>
      </c>
      <c r="J42" s="68">
        <v>0.2046985868463419</v>
      </c>
      <c r="K42" s="65">
        <v>58</v>
      </c>
      <c r="L42" s="66">
        <v>2.4E-2</v>
      </c>
      <c r="M42" s="66">
        <v>18.332999999999998</v>
      </c>
      <c r="N42" s="69">
        <v>0.69299999999999995</v>
      </c>
      <c r="O42" s="66">
        <v>0.69299999999999995</v>
      </c>
      <c r="P42" s="66">
        <v>18.308999999999997</v>
      </c>
      <c r="Q42" s="67">
        <v>1.3108307389808292E-3</v>
      </c>
      <c r="R42" s="67">
        <v>3.7850237588071441E-2</v>
      </c>
      <c r="S42" s="68">
        <v>3.9161068327052267E-2</v>
      </c>
      <c r="T42" s="65">
        <v>58</v>
      </c>
      <c r="U42" s="70">
        <v>2.5000000000000001E-2</v>
      </c>
      <c r="V42" s="70">
        <v>17.564999999999998</v>
      </c>
      <c r="W42" s="70">
        <v>2.0499999999999998</v>
      </c>
      <c r="X42" s="70">
        <v>2.0499999999999998</v>
      </c>
      <c r="Y42" s="70">
        <v>17.54</v>
      </c>
      <c r="Z42" s="71">
        <v>1.4305629456635707E-3</v>
      </c>
      <c r="AA42" s="71">
        <v>0.12049926464103351</v>
      </c>
      <c r="AB42" s="72">
        <v>0.12192982758669708</v>
      </c>
    </row>
    <row r="43" spans="2:28">
      <c r="B43" s="73">
        <v>59</v>
      </c>
      <c r="C43" s="74">
        <v>6.0000000000000001E-3</v>
      </c>
      <c r="D43" s="74">
        <v>17.341000000000001</v>
      </c>
      <c r="E43" s="74">
        <v>3.4860000000000002</v>
      </c>
      <c r="F43" s="74">
        <v>3.4860000000000002</v>
      </c>
      <c r="G43" s="74">
        <v>17.335000000000001</v>
      </c>
      <c r="H43" s="75">
        <v>3.4612056533025667E-4</v>
      </c>
      <c r="I43" s="75">
        <v>0.20109604845687915</v>
      </c>
      <c r="J43" s="68">
        <v>0.20144216902220941</v>
      </c>
      <c r="K43" s="73">
        <v>59</v>
      </c>
      <c r="L43" s="74">
        <v>6.0000000000000001E-3</v>
      </c>
      <c r="M43" s="74">
        <v>18.896000000000001</v>
      </c>
      <c r="N43" s="76">
        <v>0.7</v>
      </c>
      <c r="O43" s="74">
        <v>0.7</v>
      </c>
      <c r="P43" s="74">
        <v>18.89</v>
      </c>
      <c r="Q43" s="75">
        <v>3.1762837480148225E-4</v>
      </c>
      <c r="R43" s="75">
        <v>3.7056643726839596E-2</v>
      </c>
      <c r="S43" s="77">
        <v>3.7374272101641078E-2</v>
      </c>
      <c r="T43" s="73">
        <v>59</v>
      </c>
      <c r="U43" s="78">
        <v>6.0000000000000001E-3</v>
      </c>
      <c r="V43" s="78">
        <v>18.118500000000001</v>
      </c>
      <c r="W43" s="78">
        <v>2.093</v>
      </c>
      <c r="X43" s="78">
        <v>2.093</v>
      </c>
      <c r="Y43" s="78">
        <v>18.112500000000001</v>
      </c>
      <c r="Z43" s="19">
        <v>3.3187447006586949E-4</v>
      </c>
      <c r="AA43" s="19">
        <v>0.11907634609185937</v>
      </c>
      <c r="AB43" s="79">
        <v>0.11940822056192524</v>
      </c>
    </row>
    <row r="44" spans="2:28">
      <c r="B44" s="80">
        <v>60</v>
      </c>
      <c r="C44" s="81">
        <v>0</v>
      </c>
      <c r="D44" s="81">
        <v>17.913</v>
      </c>
      <c r="E44" s="81">
        <v>3.569</v>
      </c>
      <c r="F44" s="81">
        <v>3.569</v>
      </c>
      <c r="G44" s="81">
        <v>17.913</v>
      </c>
      <c r="H44" s="82">
        <v>0</v>
      </c>
      <c r="I44" s="82">
        <v>0.19924077485624964</v>
      </c>
      <c r="J44" s="83">
        <v>0.19924077485624964</v>
      </c>
      <c r="K44" s="80">
        <v>60</v>
      </c>
      <c r="L44" s="81">
        <v>0</v>
      </c>
      <c r="M44" s="81">
        <v>19.489000000000001</v>
      </c>
      <c r="N44" s="84">
        <v>0.70699999999999996</v>
      </c>
      <c r="O44" s="81">
        <v>0.70699999999999996</v>
      </c>
      <c r="P44" s="81">
        <v>19.489000000000001</v>
      </c>
      <c r="Q44" s="82">
        <v>0</v>
      </c>
      <c r="R44" s="82">
        <v>3.6276874134126939E-2</v>
      </c>
      <c r="S44" s="83">
        <v>3.6276874134126939E-2</v>
      </c>
      <c r="T44" s="80">
        <v>60</v>
      </c>
      <c r="U44" s="85">
        <v>0</v>
      </c>
      <c r="V44" s="85">
        <v>18.701000000000001</v>
      </c>
      <c r="W44" s="85">
        <v>2.1379999999999999</v>
      </c>
      <c r="X44" s="85">
        <v>2.1379999999999999</v>
      </c>
      <c r="Y44" s="85">
        <v>18.701000000000001</v>
      </c>
      <c r="Z44" s="86">
        <v>0</v>
      </c>
      <c r="AA44" s="86">
        <v>0.11775882449518829</v>
      </c>
      <c r="AB44" s="87">
        <v>0.11775882449518829</v>
      </c>
    </row>
    <row r="45" spans="2:28">
      <c r="B45" s="73">
        <v>61</v>
      </c>
      <c r="C45" s="74">
        <v>0</v>
      </c>
      <c r="D45" s="74">
        <v>17.553000000000001</v>
      </c>
      <c r="E45" s="74">
        <v>3.5979999999999999</v>
      </c>
      <c r="F45" s="74">
        <v>3.5979999999999999</v>
      </c>
      <c r="G45" s="74">
        <v>17.553000000000001</v>
      </c>
      <c r="H45" s="75">
        <v>0</v>
      </c>
      <c r="I45" s="75">
        <v>0.20497920583376059</v>
      </c>
      <c r="J45" s="68">
        <v>0.20497920583376059</v>
      </c>
      <c r="K45" s="73">
        <v>61</v>
      </c>
      <c r="L45" s="74">
        <v>0</v>
      </c>
      <c r="M45" s="74">
        <v>19.131</v>
      </c>
      <c r="N45" s="76">
        <v>0.69199999999999995</v>
      </c>
      <c r="O45" s="74">
        <v>0.69199999999999995</v>
      </c>
      <c r="P45" s="74">
        <v>19.131</v>
      </c>
      <c r="Q45" s="75">
        <v>0</v>
      </c>
      <c r="R45" s="75">
        <v>3.6171658564633315E-2</v>
      </c>
      <c r="S45" s="77">
        <v>3.6171658564633315E-2</v>
      </c>
      <c r="T45" s="73">
        <v>61</v>
      </c>
      <c r="U45" s="78">
        <v>0</v>
      </c>
      <c r="V45" s="78">
        <v>18.341999999999999</v>
      </c>
      <c r="W45" s="78">
        <v>2.145</v>
      </c>
      <c r="X45" s="78">
        <v>2.145</v>
      </c>
      <c r="Y45" s="78">
        <v>18.341999999999999</v>
      </c>
      <c r="Z45" s="19">
        <v>0</v>
      </c>
      <c r="AA45" s="19">
        <v>0.12057543219919695</v>
      </c>
      <c r="AB45" s="79">
        <v>0.12057543219919695</v>
      </c>
    </row>
    <row r="46" spans="2:28">
      <c r="B46" s="65">
        <v>62</v>
      </c>
      <c r="C46" s="66">
        <v>0</v>
      </c>
      <c r="D46" s="66">
        <v>17.187000000000001</v>
      </c>
      <c r="E46" s="66">
        <v>3.6219999999999999</v>
      </c>
      <c r="F46" s="66">
        <v>3.6219999999999999</v>
      </c>
      <c r="G46" s="66">
        <v>17.187000000000001</v>
      </c>
      <c r="H46" s="67">
        <v>0</v>
      </c>
      <c r="I46" s="67">
        <v>0.21074067609239538</v>
      </c>
      <c r="J46" s="68">
        <v>0.21074067609239538</v>
      </c>
      <c r="K46" s="65">
        <v>62</v>
      </c>
      <c r="L46" s="66">
        <v>0</v>
      </c>
      <c r="M46" s="66">
        <v>18.765999999999998</v>
      </c>
      <c r="N46" s="69">
        <v>0.67600000000000005</v>
      </c>
      <c r="O46" s="66">
        <v>0.67600000000000005</v>
      </c>
      <c r="P46" s="66">
        <v>18.765999999999998</v>
      </c>
      <c r="Q46" s="67">
        <v>0</v>
      </c>
      <c r="R46" s="67">
        <v>3.6022594053074716E-2</v>
      </c>
      <c r="S46" s="68">
        <v>3.6022594053074716E-2</v>
      </c>
      <c r="T46" s="65">
        <v>62</v>
      </c>
      <c r="U46" s="70">
        <v>0</v>
      </c>
      <c r="V46" s="70">
        <v>17.976500000000001</v>
      </c>
      <c r="W46" s="70">
        <v>2.149</v>
      </c>
      <c r="X46" s="70">
        <v>2.149</v>
      </c>
      <c r="Y46" s="70">
        <v>17.976500000000001</v>
      </c>
      <c r="Z46" s="71">
        <v>0</v>
      </c>
      <c r="AA46" s="71">
        <v>0.12338163507273506</v>
      </c>
      <c r="AB46" s="72">
        <v>0.12338163507273506</v>
      </c>
    </row>
    <row r="47" spans="2:28">
      <c r="B47" s="73">
        <v>63</v>
      </c>
      <c r="C47" s="74">
        <v>0</v>
      </c>
      <c r="D47" s="74">
        <v>16.815000000000001</v>
      </c>
      <c r="E47" s="74">
        <v>3.6419999999999999</v>
      </c>
      <c r="F47" s="74">
        <v>3.6419999999999999</v>
      </c>
      <c r="G47" s="74">
        <v>16.815000000000001</v>
      </c>
      <c r="H47" s="75">
        <v>0</v>
      </c>
      <c r="I47" s="75">
        <v>0.21659232827832289</v>
      </c>
      <c r="J47" s="68">
        <v>0.21659232827832289</v>
      </c>
      <c r="K47" s="73">
        <v>63</v>
      </c>
      <c r="L47" s="74">
        <v>0</v>
      </c>
      <c r="M47" s="74">
        <v>18.393000000000001</v>
      </c>
      <c r="N47" s="76">
        <v>0.65900000000000003</v>
      </c>
      <c r="O47" s="74">
        <v>0.65900000000000003</v>
      </c>
      <c r="P47" s="74">
        <v>18.393000000000001</v>
      </c>
      <c r="Q47" s="75">
        <v>0</v>
      </c>
      <c r="R47" s="75">
        <v>3.5828847931278204E-2</v>
      </c>
      <c r="S47" s="77">
        <v>3.5828847931278204E-2</v>
      </c>
      <c r="T47" s="73">
        <v>63</v>
      </c>
      <c r="U47" s="78">
        <v>0</v>
      </c>
      <c r="V47" s="78">
        <v>17.603999999999999</v>
      </c>
      <c r="W47" s="78">
        <v>2.1505000000000001</v>
      </c>
      <c r="X47" s="78">
        <v>2.1505000000000001</v>
      </c>
      <c r="Y47" s="78">
        <v>17.603999999999999</v>
      </c>
      <c r="Z47" s="19">
        <v>0</v>
      </c>
      <c r="AA47" s="19">
        <v>0.12621058810480054</v>
      </c>
      <c r="AB47" s="79">
        <v>0.12621058810480054</v>
      </c>
    </row>
    <row r="48" spans="2:28">
      <c r="B48" s="65">
        <v>64</v>
      </c>
      <c r="C48" s="66">
        <v>0</v>
      </c>
      <c r="D48" s="66">
        <v>16.437999999999999</v>
      </c>
      <c r="E48" s="66">
        <v>3.6579999999999999</v>
      </c>
      <c r="F48" s="66">
        <v>3.6579999999999999</v>
      </c>
      <c r="G48" s="66">
        <v>16.437999999999999</v>
      </c>
      <c r="H48" s="67">
        <v>0</v>
      </c>
      <c r="I48" s="67">
        <v>0.22253315488502251</v>
      </c>
      <c r="J48" s="68">
        <v>0.22253315488502251</v>
      </c>
      <c r="K48" s="65">
        <v>64</v>
      </c>
      <c r="L48" s="66">
        <v>0</v>
      </c>
      <c r="M48" s="66">
        <v>18.010999999999999</v>
      </c>
      <c r="N48" s="69">
        <v>0.64100000000000001</v>
      </c>
      <c r="O48" s="66">
        <v>0.64100000000000001</v>
      </c>
      <c r="P48" s="66">
        <v>18.010999999999999</v>
      </c>
      <c r="Q48" s="67">
        <v>0</v>
      </c>
      <c r="R48" s="67">
        <v>3.5589362056521016E-2</v>
      </c>
      <c r="S48" s="68">
        <v>3.5589362056521016E-2</v>
      </c>
      <c r="T48" s="65">
        <v>64</v>
      </c>
      <c r="U48" s="70">
        <v>0</v>
      </c>
      <c r="V48" s="70">
        <v>17.224499999999999</v>
      </c>
      <c r="W48" s="70">
        <v>2.1494999999999997</v>
      </c>
      <c r="X48" s="70">
        <v>2.1494999999999997</v>
      </c>
      <c r="Y48" s="70">
        <v>17.224499999999999</v>
      </c>
      <c r="Z48" s="71">
        <v>0</v>
      </c>
      <c r="AA48" s="71">
        <v>0.12906125847077177</v>
      </c>
      <c r="AB48" s="72">
        <v>0.12906125847077177</v>
      </c>
    </row>
    <row r="49" spans="2:28">
      <c r="B49" s="73">
        <v>65</v>
      </c>
      <c r="C49" s="74">
        <v>0</v>
      </c>
      <c r="D49" s="74">
        <v>16.053000000000001</v>
      </c>
      <c r="E49" s="74">
        <v>3.6680000000000001</v>
      </c>
      <c r="F49" s="74">
        <v>3.6680000000000001</v>
      </c>
      <c r="G49" s="74">
        <v>16.053000000000001</v>
      </c>
      <c r="H49" s="75">
        <v>0</v>
      </c>
      <c r="I49" s="75">
        <v>0.2284931165514234</v>
      </c>
      <c r="J49" s="77">
        <v>0.2284931165514234</v>
      </c>
      <c r="K49" s="73">
        <v>65</v>
      </c>
      <c r="L49" s="74">
        <v>0</v>
      </c>
      <c r="M49" s="74">
        <v>17.619</v>
      </c>
      <c r="N49" s="76">
        <v>0.623</v>
      </c>
      <c r="O49" s="74">
        <v>0.623</v>
      </c>
      <c r="P49" s="74">
        <v>17.619</v>
      </c>
      <c r="Q49" s="75">
        <v>0</v>
      </c>
      <c r="R49" s="75">
        <v>3.5359555025824392E-2</v>
      </c>
      <c r="S49" s="77">
        <v>3.5359555025824392E-2</v>
      </c>
      <c r="T49" s="73">
        <v>65</v>
      </c>
      <c r="U49" s="78">
        <v>0</v>
      </c>
      <c r="V49" s="78">
        <v>16.835999999999999</v>
      </c>
      <c r="W49" s="78">
        <v>2.1455000000000002</v>
      </c>
      <c r="X49" s="78">
        <v>2.1455000000000002</v>
      </c>
      <c r="Y49" s="78">
        <v>16.835999999999999</v>
      </c>
      <c r="Z49" s="88">
        <v>0</v>
      </c>
      <c r="AA49" s="88">
        <v>0.13192633578862389</v>
      </c>
      <c r="AB49" s="89">
        <v>0.13192633578862389</v>
      </c>
    </row>
    <row r="50" spans="2:28">
      <c r="B50" s="65">
        <v>66</v>
      </c>
      <c r="C50" s="66"/>
      <c r="D50" s="66">
        <v>15.661</v>
      </c>
      <c r="E50" s="66">
        <v>3.6739999999999999</v>
      </c>
      <c r="F50" s="66">
        <v>3.6739999999999999</v>
      </c>
      <c r="G50" s="66">
        <v>15.661</v>
      </c>
      <c r="H50" s="67">
        <v>0</v>
      </c>
      <c r="I50" s="67">
        <v>0.23459549198646318</v>
      </c>
      <c r="J50" s="68">
        <v>0.23459549198646318</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16.439</v>
      </c>
      <c r="W50" s="70">
        <v>2.1389999999999998</v>
      </c>
      <c r="X50" s="70">
        <v>2.1389999999999998</v>
      </c>
      <c r="Y50" s="70">
        <v>16.439</v>
      </c>
      <c r="Z50" s="71">
        <v>0</v>
      </c>
      <c r="AA50" s="71">
        <v>0.13483854868824233</v>
      </c>
      <c r="AB50" s="72">
        <v>0.13483854868824233</v>
      </c>
    </row>
    <row r="51" spans="2:28">
      <c r="B51" s="73">
        <v>67</v>
      </c>
      <c r="C51" s="74"/>
      <c r="D51" s="74">
        <v>15.260999999999999</v>
      </c>
      <c r="E51" s="74">
        <v>3.6779999999999999</v>
      </c>
      <c r="F51" s="74">
        <v>3.6779999999999999</v>
      </c>
      <c r="G51" s="74">
        <v>15.260999999999999</v>
      </c>
      <c r="H51" s="75">
        <v>0</v>
      </c>
      <c r="I51" s="75">
        <v>0.24100648712404169</v>
      </c>
      <c r="J51" s="68">
        <v>0.24100648712404169</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16.032</v>
      </c>
      <c r="W51" s="78">
        <v>2.1320000000000001</v>
      </c>
      <c r="X51" s="78">
        <v>2.1320000000000001</v>
      </c>
      <c r="Y51" s="78">
        <v>16.032</v>
      </c>
      <c r="Z51" s="19">
        <v>0</v>
      </c>
      <c r="AA51" s="19">
        <v>0.13794060593778706</v>
      </c>
      <c r="AB51" s="79">
        <v>0.13794060593778706</v>
      </c>
    </row>
    <row r="52" spans="2:28">
      <c r="B52" s="65">
        <v>68</v>
      </c>
      <c r="C52" s="66"/>
      <c r="D52" s="66">
        <v>14.851000000000001</v>
      </c>
      <c r="E52" s="66">
        <v>3.68</v>
      </c>
      <c r="F52" s="66">
        <v>3.68</v>
      </c>
      <c r="G52" s="66">
        <v>14.851000000000001</v>
      </c>
      <c r="H52" s="67">
        <v>0</v>
      </c>
      <c r="I52" s="67">
        <v>0.24779476129553565</v>
      </c>
      <c r="J52" s="68">
        <v>0.24779476129553565</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15.6145</v>
      </c>
      <c r="W52" s="70">
        <v>2.1234999999999999</v>
      </c>
      <c r="X52" s="70">
        <v>2.1234999999999999</v>
      </c>
      <c r="Y52" s="70">
        <v>15.6145</v>
      </c>
      <c r="Z52" s="71">
        <v>0</v>
      </c>
      <c r="AA52" s="71">
        <v>0.14120718648486638</v>
      </c>
      <c r="AB52" s="72">
        <v>0.14120718648486638</v>
      </c>
    </row>
    <row r="53" spans="2:28">
      <c r="B53" s="73">
        <v>69</v>
      </c>
      <c r="C53" s="74"/>
      <c r="D53" s="74">
        <v>14.432</v>
      </c>
      <c r="E53" s="74">
        <v>3.681</v>
      </c>
      <c r="F53" s="74">
        <v>3.681</v>
      </c>
      <c r="G53" s="74">
        <v>14.432</v>
      </c>
      <c r="H53" s="75">
        <v>0</v>
      </c>
      <c r="I53" s="75">
        <v>0.25505820399113083</v>
      </c>
      <c r="J53" s="68">
        <v>0.25505820399113083</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15.186</v>
      </c>
      <c r="W53" s="78">
        <v>2.1150000000000002</v>
      </c>
      <c r="X53" s="78">
        <v>2.1150000000000002</v>
      </c>
      <c r="Y53" s="78">
        <v>15.186</v>
      </c>
      <c r="Z53" s="19">
        <v>0</v>
      </c>
      <c r="AA53" s="19">
        <v>0.14474993010096066</v>
      </c>
      <c r="AB53" s="79">
        <v>0.14474993010096066</v>
      </c>
    </row>
    <row r="54" spans="2:28">
      <c r="B54" s="65">
        <v>70</v>
      </c>
      <c r="C54" s="66"/>
      <c r="D54" s="66">
        <v>14.002000000000001</v>
      </c>
      <c r="E54" s="66">
        <v>3.6789999999999998</v>
      </c>
      <c r="F54" s="66">
        <v>3.6789999999999998</v>
      </c>
      <c r="G54" s="66">
        <v>14.002000000000001</v>
      </c>
      <c r="H54" s="67">
        <v>0</v>
      </c>
      <c r="I54" s="67">
        <v>0.26274817883159546</v>
      </c>
      <c r="J54" s="68">
        <v>0.26274817883159546</v>
      </c>
      <c r="K54" s="65">
        <v>70</v>
      </c>
      <c r="L54" s="66">
        <v>0</v>
      </c>
      <c r="M54" s="66">
        <v>15.49</v>
      </c>
      <c r="N54" s="69">
        <v>0.53</v>
      </c>
      <c r="O54" s="66">
        <v>0.53</v>
      </c>
      <c r="P54" s="66">
        <v>15.49</v>
      </c>
      <c r="Q54" s="67">
        <v>0</v>
      </c>
      <c r="R54" s="67">
        <v>3.4215622982569402E-2</v>
      </c>
      <c r="S54" s="68">
        <v>3.4215622982569402E-2</v>
      </c>
      <c r="T54" s="65">
        <v>70</v>
      </c>
      <c r="U54" s="70">
        <v>0</v>
      </c>
      <c r="V54" s="70">
        <v>14.746</v>
      </c>
      <c r="W54" s="70">
        <v>2.1044999999999998</v>
      </c>
      <c r="X54" s="70">
        <v>2.1044999999999998</v>
      </c>
      <c r="Y54" s="70">
        <v>14.746</v>
      </c>
      <c r="Z54" s="71">
        <v>0</v>
      </c>
      <c r="AA54" s="71">
        <v>0.14848190090708244</v>
      </c>
      <c r="AB54" s="72">
        <v>0.14848190090708244</v>
      </c>
    </row>
    <row r="55" spans="2:28">
      <c r="B55" s="73">
        <v>71</v>
      </c>
      <c r="C55" s="74"/>
      <c r="D55" s="74">
        <v>13.561999999999999</v>
      </c>
      <c r="E55" s="74">
        <v>3.6749999999999998</v>
      </c>
      <c r="F55" s="74">
        <v>3.6749999999999998</v>
      </c>
      <c r="G55" s="74">
        <v>13.561999999999999</v>
      </c>
      <c r="H55" s="75">
        <v>0</v>
      </c>
      <c r="I55" s="75">
        <v>0.27097773189795016</v>
      </c>
      <c r="J55" s="68">
        <v>0.27097773189795016</v>
      </c>
      <c r="K55" s="73">
        <v>71</v>
      </c>
      <c r="L55" s="74">
        <v>0</v>
      </c>
      <c r="M55" s="74">
        <v>15.026</v>
      </c>
      <c r="N55" s="76">
        <v>0.51</v>
      </c>
      <c r="O55" s="74">
        <v>0.51</v>
      </c>
      <c r="P55" s="74">
        <v>15.026</v>
      </c>
      <c r="Q55" s="75">
        <v>0</v>
      </c>
      <c r="R55" s="75">
        <v>3.3941168641022229E-2</v>
      </c>
      <c r="S55" s="77">
        <v>3.3941168641022229E-2</v>
      </c>
      <c r="T55" s="73">
        <v>71</v>
      </c>
      <c r="U55" s="78">
        <v>0</v>
      </c>
      <c r="V55" s="78">
        <v>14.294</v>
      </c>
      <c r="W55" s="78">
        <v>2.0924999999999998</v>
      </c>
      <c r="X55" s="78">
        <v>2.0924999999999998</v>
      </c>
      <c r="Y55" s="78">
        <v>14.294</v>
      </c>
      <c r="Z55" s="19">
        <v>0</v>
      </c>
      <c r="AA55" s="19">
        <v>0.15245945026948621</v>
      </c>
      <c r="AB55" s="79">
        <v>0.15245945026948621</v>
      </c>
    </row>
    <row r="56" spans="2:28">
      <c r="B56" s="65">
        <v>72</v>
      </c>
      <c r="C56" s="66"/>
      <c r="D56" s="66">
        <v>13.111000000000001</v>
      </c>
      <c r="E56" s="66">
        <v>3.669</v>
      </c>
      <c r="F56" s="66">
        <v>3.669</v>
      </c>
      <c r="G56" s="66">
        <v>13.111000000000001</v>
      </c>
      <c r="H56" s="67">
        <v>0</v>
      </c>
      <c r="I56" s="67">
        <v>0.27984135458775072</v>
      </c>
      <c r="J56" s="68">
        <v>0.27984135458775072</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13.830500000000001</v>
      </c>
      <c r="W56" s="70">
        <v>2.08</v>
      </c>
      <c r="X56" s="70">
        <v>2.08</v>
      </c>
      <c r="Y56" s="70">
        <v>13.830500000000001</v>
      </c>
      <c r="Z56" s="71">
        <v>0</v>
      </c>
      <c r="AA56" s="71">
        <v>0.15679352952755232</v>
      </c>
      <c r="AB56" s="72">
        <v>0.15679352952755232</v>
      </c>
    </row>
    <row r="57" spans="2:28">
      <c r="B57" s="73">
        <v>73</v>
      </c>
      <c r="C57" s="74"/>
      <c r="D57" s="74">
        <v>12.65</v>
      </c>
      <c r="E57" s="74">
        <v>3.6669999999999998</v>
      </c>
      <c r="F57" s="74">
        <v>3.6669999999999998</v>
      </c>
      <c r="G57" s="74">
        <v>12.65</v>
      </c>
      <c r="H57" s="75">
        <v>0</v>
      </c>
      <c r="I57" s="75">
        <v>0.28988142292490116</v>
      </c>
      <c r="J57" s="68">
        <v>0.28988142292490116</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13.356</v>
      </c>
      <c r="W57" s="78">
        <v>2.0694999999999997</v>
      </c>
      <c r="X57" s="78">
        <v>2.0694999999999997</v>
      </c>
      <c r="Y57" s="78">
        <v>13.356</v>
      </c>
      <c r="Z57" s="19">
        <v>0</v>
      </c>
      <c r="AA57" s="19">
        <v>0.16172353040712417</v>
      </c>
      <c r="AB57" s="79">
        <v>0.16172353040712417</v>
      </c>
    </row>
    <row r="58" spans="2:28">
      <c r="B58" s="65">
        <v>74</v>
      </c>
      <c r="C58" s="66"/>
      <c r="D58" s="66">
        <v>12.18</v>
      </c>
      <c r="E58" s="66">
        <v>3.6619999999999999</v>
      </c>
      <c r="F58" s="66">
        <v>3.6619999999999999</v>
      </c>
      <c r="G58" s="66">
        <v>12.18</v>
      </c>
      <c r="H58" s="67">
        <v>0</v>
      </c>
      <c r="I58" s="67">
        <v>0.30065681444991788</v>
      </c>
      <c r="J58" s="68">
        <v>0.30065681444991788</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12.870999999999999</v>
      </c>
      <c r="W58" s="70">
        <v>2.0575000000000001</v>
      </c>
      <c r="X58" s="70">
        <v>2.0575000000000001</v>
      </c>
      <c r="Y58" s="70">
        <v>12.870999999999999</v>
      </c>
      <c r="Z58" s="71">
        <v>0</v>
      </c>
      <c r="AA58" s="71">
        <v>0.16702948376234281</v>
      </c>
      <c r="AB58" s="72">
        <v>0.16702948376234281</v>
      </c>
    </row>
    <row r="59" spans="2:28">
      <c r="B59" s="73">
        <v>75</v>
      </c>
      <c r="C59" s="74"/>
      <c r="D59" s="74">
        <v>11.701000000000001</v>
      </c>
      <c r="E59" s="74">
        <v>3.6549999999999998</v>
      </c>
      <c r="F59" s="74">
        <v>3.6549999999999998</v>
      </c>
      <c r="G59" s="74">
        <v>11.701000000000001</v>
      </c>
      <c r="H59" s="75">
        <v>0</v>
      </c>
      <c r="I59" s="75">
        <v>0.31236646440475169</v>
      </c>
      <c r="J59" s="68">
        <v>0.31236646440475169</v>
      </c>
      <c r="K59" s="73">
        <v>75</v>
      </c>
      <c r="L59" s="74">
        <v>0</v>
      </c>
      <c r="M59" s="74">
        <v>13.051</v>
      </c>
      <c r="N59" s="76">
        <v>0.434</v>
      </c>
      <c r="O59" s="74">
        <v>0.434</v>
      </c>
      <c r="P59" s="74">
        <v>13.051</v>
      </c>
      <c r="Q59" s="75">
        <v>0</v>
      </c>
      <c r="R59" s="75">
        <v>3.3254156769596199E-2</v>
      </c>
      <c r="S59" s="77">
        <v>3.3254156769596199E-2</v>
      </c>
      <c r="T59" s="73">
        <v>75</v>
      </c>
      <c r="U59" s="78">
        <v>0</v>
      </c>
      <c r="V59" s="78">
        <v>12.376000000000001</v>
      </c>
      <c r="W59" s="78">
        <v>2.0444999999999998</v>
      </c>
      <c r="X59" s="78">
        <v>2.0444999999999998</v>
      </c>
      <c r="Y59" s="78">
        <v>12.376000000000001</v>
      </c>
      <c r="Z59" s="19">
        <v>0</v>
      </c>
      <c r="AA59" s="19">
        <v>0.17281031058717394</v>
      </c>
      <c r="AB59" s="79">
        <v>0.17281031058717394</v>
      </c>
    </row>
    <row r="60" spans="2:28">
      <c r="B60" s="65">
        <v>76</v>
      </c>
      <c r="C60" s="66"/>
      <c r="D60" s="66">
        <v>11.215</v>
      </c>
      <c r="E60" s="66">
        <v>3.6429999999999998</v>
      </c>
      <c r="F60" s="66">
        <v>3.6429999999999998</v>
      </c>
      <c r="G60" s="66">
        <v>11.215</v>
      </c>
      <c r="H60" s="67">
        <v>0</v>
      </c>
      <c r="I60" s="67">
        <v>0.32483281319661167</v>
      </c>
      <c r="J60" s="68">
        <v>0.32483281319661167</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11.873000000000001</v>
      </c>
      <c r="W60" s="70">
        <v>2.0284999999999997</v>
      </c>
      <c r="X60" s="70">
        <v>2.0284999999999997</v>
      </c>
      <c r="Y60" s="70">
        <v>11.873000000000001</v>
      </c>
      <c r="Z60" s="71">
        <v>0</v>
      </c>
      <c r="AA60" s="71">
        <v>0.17893543939696516</v>
      </c>
      <c r="AB60" s="72">
        <v>0.17893543939696516</v>
      </c>
    </row>
    <row r="61" spans="2:28">
      <c r="B61" s="73">
        <v>77</v>
      </c>
      <c r="C61" s="74"/>
      <c r="D61" s="74">
        <v>10.724</v>
      </c>
      <c r="E61" s="74">
        <v>3.625</v>
      </c>
      <c r="F61" s="74">
        <v>3.625</v>
      </c>
      <c r="G61" s="74">
        <v>10.724</v>
      </c>
      <c r="H61" s="75">
        <v>0</v>
      </c>
      <c r="I61" s="75">
        <v>0.33802685565087653</v>
      </c>
      <c r="J61" s="68">
        <v>0.33802685565087653</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11.3635</v>
      </c>
      <c r="W61" s="78">
        <v>2.0089999999999999</v>
      </c>
      <c r="X61" s="78">
        <v>2.0089999999999999</v>
      </c>
      <c r="Y61" s="78">
        <v>11.3635</v>
      </c>
      <c r="Z61" s="19">
        <v>0</v>
      </c>
      <c r="AA61" s="19">
        <v>0.18538433509861996</v>
      </c>
      <c r="AB61" s="79">
        <v>0.18538433509861996</v>
      </c>
    </row>
    <row r="62" spans="2:28">
      <c r="B62" s="65">
        <v>78</v>
      </c>
      <c r="C62" s="66"/>
      <c r="D62" s="66">
        <v>10.228999999999999</v>
      </c>
      <c r="E62" s="66">
        <v>3.601</v>
      </c>
      <c r="F62" s="66">
        <v>3.601</v>
      </c>
      <c r="G62" s="66">
        <v>10.228999999999999</v>
      </c>
      <c r="H62" s="67">
        <v>0</v>
      </c>
      <c r="I62" s="67">
        <v>0.35203832241665856</v>
      </c>
      <c r="J62" s="68">
        <v>0.35203832241665856</v>
      </c>
      <c r="K62" s="65">
        <v>78</v>
      </c>
      <c r="L62" s="66">
        <v>0</v>
      </c>
      <c r="M62" s="66">
        <v>11.47</v>
      </c>
      <c r="N62" s="69">
        <v>0.371</v>
      </c>
      <c r="O62" s="66">
        <v>0.371</v>
      </c>
      <c r="P62" s="66">
        <v>11.47</v>
      </c>
      <c r="Q62" s="67">
        <v>0</v>
      </c>
      <c r="R62" s="67">
        <v>3.2345248474280733E-2</v>
      </c>
      <c r="S62" s="68">
        <v>3.2345248474280733E-2</v>
      </c>
      <c r="T62" s="65">
        <v>78</v>
      </c>
      <c r="U62" s="70">
        <v>0</v>
      </c>
      <c r="V62" s="70">
        <v>10.849499999999999</v>
      </c>
      <c r="W62" s="70">
        <v>1.986</v>
      </c>
      <c r="X62" s="70">
        <v>1.986</v>
      </c>
      <c r="Y62" s="70">
        <v>10.849499999999999</v>
      </c>
      <c r="Z62" s="71">
        <v>0</v>
      </c>
      <c r="AA62" s="71">
        <v>0.19219178544546964</v>
      </c>
      <c r="AB62" s="72">
        <v>0.19219178544546964</v>
      </c>
    </row>
    <row r="63" spans="2:28">
      <c r="B63" s="73">
        <v>79</v>
      </c>
      <c r="C63" s="74"/>
      <c r="D63" s="74">
        <v>9.7330000000000005</v>
      </c>
      <c r="E63" s="74">
        <v>3.57</v>
      </c>
      <c r="F63" s="74">
        <v>3.57</v>
      </c>
      <c r="G63" s="74">
        <v>9.7330000000000005</v>
      </c>
      <c r="H63" s="75">
        <v>0</v>
      </c>
      <c r="I63" s="75">
        <v>0.36679338333504569</v>
      </c>
      <c r="J63" s="68">
        <v>0.36679338333504569</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10.3325</v>
      </c>
      <c r="W63" s="78">
        <v>1.9594999999999998</v>
      </c>
      <c r="X63" s="78">
        <v>1.9594999999999998</v>
      </c>
      <c r="Y63" s="78">
        <v>10.3325</v>
      </c>
      <c r="Z63" s="19">
        <v>0</v>
      </c>
      <c r="AA63" s="19">
        <v>0.19935900414465418</v>
      </c>
      <c r="AB63" s="79">
        <v>0.19935900414465418</v>
      </c>
    </row>
    <row r="64" spans="2:28">
      <c r="B64" s="65">
        <v>80</v>
      </c>
      <c r="C64" s="66"/>
      <c r="D64" s="66">
        <v>9.2379999999999995</v>
      </c>
      <c r="E64" s="66">
        <v>3.5310000000000001</v>
      </c>
      <c r="F64" s="66">
        <v>3.5310000000000001</v>
      </c>
      <c r="G64" s="66">
        <v>9.2379999999999995</v>
      </c>
      <c r="H64" s="67">
        <v>0</v>
      </c>
      <c r="I64" s="67">
        <v>0.38222558995453565</v>
      </c>
      <c r="J64" s="68">
        <v>0.38222558995453565</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9.8149999999999995</v>
      </c>
      <c r="W64" s="70">
        <v>1.929</v>
      </c>
      <c r="X64" s="70">
        <v>1.929</v>
      </c>
      <c r="Y64" s="70">
        <v>9.8149999999999995</v>
      </c>
      <c r="Z64" s="71">
        <v>0</v>
      </c>
      <c r="AA64" s="71">
        <v>0.20684605132830708</v>
      </c>
      <c r="AB64" s="72">
        <v>0.20684605132830708</v>
      </c>
    </row>
    <row r="65" spans="2:28">
      <c r="B65" s="73">
        <v>81</v>
      </c>
      <c r="C65" s="74"/>
      <c r="D65" s="74">
        <v>8.7469999999999999</v>
      </c>
      <c r="E65" s="74">
        <v>3.4820000000000002</v>
      </c>
      <c r="F65" s="74">
        <v>3.4820000000000002</v>
      </c>
      <c r="G65" s="74">
        <v>8.7469999999999999</v>
      </c>
      <c r="H65" s="75">
        <v>0</v>
      </c>
      <c r="I65" s="75">
        <v>0.39807934148851037</v>
      </c>
      <c r="J65" s="68">
        <v>0.39807934148851037</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9.3000000000000007</v>
      </c>
      <c r="W65" s="78">
        <v>1.893</v>
      </c>
      <c r="X65" s="78">
        <v>1.893</v>
      </c>
      <c r="Y65" s="78">
        <v>9.3000000000000007</v>
      </c>
      <c r="Z65" s="19">
        <v>0</v>
      </c>
      <c r="AA65" s="19">
        <v>0.21446644431575626</v>
      </c>
      <c r="AB65" s="79">
        <v>0.21446644431575626</v>
      </c>
    </row>
    <row r="66" spans="2:28">
      <c r="B66" s="65">
        <v>82</v>
      </c>
      <c r="C66" s="66"/>
      <c r="D66" s="66">
        <v>8.2629999999999999</v>
      </c>
      <c r="E66" s="66">
        <v>3.4089999999999998</v>
      </c>
      <c r="F66" s="66">
        <v>3.4089999999999998</v>
      </c>
      <c r="G66" s="66">
        <v>8.2629999999999999</v>
      </c>
      <c r="H66" s="67">
        <v>0</v>
      </c>
      <c r="I66" s="67">
        <v>0.41256202347815563</v>
      </c>
      <c r="J66" s="68">
        <v>0.41256202347815563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8.7904999999999998</v>
      </c>
      <c r="W66" s="70">
        <v>1.845</v>
      </c>
      <c r="X66" s="70">
        <v>1.845</v>
      </c>
      <c r="Y66" s="70">
        <v>8.7904999999999998</v>
      </c>
      <c r="Z66" s="71">
        <v>0</v>
      </c>
      <c r="AA66" s="71">
        <v>0.22135935473113619</v>
      </c>
      <c r="AB66" s="72">
        <v>0.22135935473113619</v>
      </c>
    </row>
    <row r="67" spans="2:28">
      <c r="B67" s="73">
        <v>83</v>
      </c>
      <c r="C67" s="74"/>
      <c r="D67" s="74">
        <v>7.7880000000000003</v>
      </c>
      <c r="E67" s="74">
        <v>3.3220000000000001</v>
      </c>
      <c r="F67" s="74">
        <v>3.3220000000000001</v>
      </c>
      <c r="G67" s="74">
        <v>7.7880000000000003</v>
      </c>
      <c r="H67" s="75">
        <v>0</v>
      </c>
      <c r="I67" s="75">
        <v>0.42655367231638419</v>
      </c>
      <c r="J67" s="68">
        <v>0.42655367231638419</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8.2884999999999991</v>
      </c>
      <c r="W67" s="78">
        <v>1.79</v>
      </c>
      <c r="X67" s="78">
        <v>1.79</v>
      </c>
      <c r="Y67" s="78">
        <v>8.2884999999999991</v>
      </c>
      <c r="Z67" s="19">
        <v>0</v>
      </c>
      <c r="AA67" s="19">
        <v>0.22795427386441577</v>
      </c>
      <c r="AB67" s="79">
        <v>0.22795427386441577</v>
      </c>
    </row>
    <row r="68" spans="2:28">
      <c r="B68" s="65">
        <v>84</v>
      </c>
      <c r="C68" s="66"/>
      <c r="D68" s="66">
        <v>7.327</v>
      </c>
      <c r="E68" s="66">
        <v>3.2229999999999999</v>
      </c>
      <c r="F68" s="66">
        <v>3.2229999999999999</v>
      </c>
      <c r="G68" s="66">
        <v>7.327</v>
      </c>
      <c r="H68" s="67">
        <v>0</v>
      </c>
      <c r="I68" s="67">
        <v>0.43987989627405483</v>
      </c>
      <c r="J68" s="68">
        <v>0.43987989627405483</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7.7990000000000004</v>
      </c>
      <c r="W68" s="70">
        <v>1.7289999999999999</v>
      </c>
      <c r="X68" s="70">
        <v>1.7289999999999999</v>
      </c>
      <c r="Y68" s="70">
        <v>7.7990000000000004</v>
      </c>
      <c r="Z68" s="71">
        <v>0</v>
      </c>
      <c r="AA68" s="71">
        <v>0.23414621098311617</v>
      </c>
      <c r="AB68" s="72">
        <v>0.23414621098311617</v>
      </c>
    </row>
    <row r="69" spans="2:28">
      <c r="B69" s="73">
        <v>85</v>
      </c>
      <c r="C69" s="74"/>
      <c r="D69" s="74">
        <v>6.883</v>
      </c>
      <c r="E69" s="74">
        <v>3.1139999999999999</v>
      </c>
      <c r="F69" s="74">
        <v>3.1139999999999999</v>
      </c>
      <c r="G69" s="74">
        <v>6.883</v>
      </c>
      <c r="H69" s="75">
        <v>0</v>
      </c>
      <c r="I69" s="75">
        <v>0.45241900334156615</v>
      </c>
      <c r="J69" s="68">
        <v>0.45241900334156615</v>
      </c>
      <c r="K69" s="73">
        <v>85</v>
      </c>
      <c r="L69" s="74">
        <v>0</v>
      </c>
      <c r="M69" s="74">
        <v>7.7679999999999998</v>
      </c>
      <c r="N69" s="76">
        <v>0.21</v>
      </c>
      <c r="O69" s="74">
        <v>0.21</v>
      </c>
      <c r="P69" s="74">
        <v>7.7679999999999998</v>
      </c>
      <c r="Q69" s="75">
        <v>0</v>
      </c>
      <c r="R69" s="75">
        <v>2.7033985581874358E-2</v>
      </c>
      <c r="S69" s="77">
        <v>2.7033985581874358E-2</v>
      </c>
      <c r="T69" s="73">
        <v>85</v>
      </c>
      <c r="U69" s="78">
        <v>0</v>
      </c>
      <c r="V69" s="78">
        <v>7.3254999999999999</v>
      </c>
      <c r="W69" s="78">
        <v>1.6619999999999999</v>
      </c>
      <c r="X69" s="78">
        <v>1.6619999999999999</v>
      </c>
      <c r="Y69" s="78">
        <v>7.3254999999999999</v>
      </c>
      <c r="Z69" s="19">
        <v>0</v>
      </c>
      <c r="AA69" s="19">
        <v>0.23972649446172026</v>
      </c>
      <c r="AB69" s="79">
        <v>0.23972649446172026</v>
      </c>
    </row>
    <row r="70" spans="2:28">
      <c r="B70" s="65">
        <v>86</v>
      </c>
      <c r="C70" s="66"/>
      <c r="D70" s="66">
        <v>6.4619999999999997</v>
      </c>
      <c r="E70" s="66">
        <v>2.9969999999999999</v>
      </c>
      <c r="F70" s="66">
        <v>2.9969999999999999</v>
      </c>
      <c r="G70" s="66">
        <v>6.4619999999999997</v>
      </c>
      <c r="H70" s="67">
        <v>0</v>
      </c>
      <c r="I70" s="67">
        <v>0.46378830083565459</v>
      </c>
      <c r="J70" s="68">
        <v>0.46378830083565459</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1.5914999999999999</v>
      </c>
      <c r="X70" s="70">
        <v>1.5914999999999999</v>
      </c>
      <c r="Y70" s="70">
        <v>6.8734999999999999</v>
      </c>
      <c r="Z70" s="71">
        <v>0</v>
      </c>
      <c r="AA70" s="71">
        <v>0.2446601078646358</v>
      </c>
      <c r="AB70" s="72">
        <v>0.2446601078646358</v>
      </c>
    </row>
    <row r="71" spans="2:28">
      <c r="B71" s="73">
        <v>87</v>
      </c>
      <c r="C71" s="74"/>
      <c r="D71" s="74">
        <v>6.069</v>
      </c>
      <c r="E71" s="74">
        <v>2.8730000000000002</v>
      </c>
      <c r="F71" s="74">
        <v>2.8730000000000002</v>
      </c>
      <c r="G71" s="74">
        <v>6.069</v>
      </c>
      <c r="H71" s="75">
        <v>0</v>
      </c>
      <c r="I71" s="75">
        <v>0.47338935574229696</v>
      </c>
      <c r="J71" s="68">
        <v>0.47338935574229696</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1.5175000000000001</v>
      </c>
      <c r="X71" s="78">
        <v>1.5175000000000001</v>
      </c>
      <c r="Y71" s="78">
        <v>6.4474999999999998</v>
      </c>
      <c r="Z71" s="19">
        <v>0</v>
      </c>
      <c r="AA71" s="19">
        <v>0.24856107107360967</v>
      </c>
      <c r="AB71" s="79">
        <v>0.24856107107360967</v>
      </c>
    </row>
    <row r="72" spans="2:28">
      <c r="B72" s="65">
        <v>88</v>
      </c>
      <c r="C72" s="66"/>
      <c r="D72" s="66">
        <v>5.7119999999999997</v>
      </c>
      <c r="E72" s="66">
        <v>2.7149999999999999</v>
      </c>
      <c r="F72" s="66">
        <v>2.7149999999999999</v>
      </c>
      <c r="G72" s="66">
        <v>5.7119999999999997</v>
      </c>
      <c r="H72" s="67">
        <v>0</v>
      </c>
      <c r="I72" s="67">
        <v>0.47531512605042014</v>
      </c>
      <c r="J72" s="68">
        <v>0.47531512605042014</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1.4275</v>
      </c>
      <c r="X72" s="70">
        <v>1.4275</v>
      </c>
      <c r="Y72" s="70">
        <v>6.0549999999999997</v>
      </c>
      <c r="Z72" s="71">
        <v>0</v>
      </c>
      <c r="AA72" s="71">
        <v>0.2485984820624092</v>
      </c>
      <c r="AB72" s="72">
        <v>0.2485984820624092</v>
      </c>
    </row>
    <row r="73" spans="2:28">
      <c r="B73" s="73">
        <v>89</v>
      </c>
      <c r="C73" s="74"/>
      <c r="D73" s="74">
        <v>5.3979999999999997</v>
      </c>
      <c r="E73" s="74">
        <v>2.5489999999999999</v>
      </c>
      <c r="F73" s="74">
        <v>2.5489999999999999</v>
      </c>
      <c r="G73" s="74">
        <v>5.3979999999999997</v>
      </c>
      <c r="H73" s="75">
        <v>0</v>
      </c>
      <c r="I73" s="75">
        <v>0.4722119303445721</v>
      </c>
      <c r="J73" s="68">
        <v>0.4722119303445721</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1.333</v>
      </c>
      <c r="X73" s="78">
        <v>1.333</v>
      </c>
      <c r="Y73" s="78">
        <v>5.7024999999999997</v>
      </c>
      <c r="Z73" s="19">
        <v>0</v>
      </c>
      <c r="AA73" s="19">
        <v>0.2458446034276548</v>
      </c>
      <c r="AB73" s="79">
        <v>0.2458446034276548</v>
      </c>
    </row>
    <row r="74" spans="2:28">
      <c r="B74" s="65">
        <v>90</v>
      </c>
      <c r="C74" s="66"/>
      <c r="D74" s="66">
        <v>5.1150000000000002</v>
      </c>
      <c r="E74" s="66">
        <v>2.387</v>
      </c>
      <c r="F74" s="66">
        <v>2.387</v>
      </c>
      <c r="G74" s="66">
        <v>5.1150000000000002</v>
      </c>
      <c r="H74" s="67">
        <v>0</v>
      </c>
      <c r="I74" s="67">
        <v>0.46666666666666667</v>
      </c>
      <c r="J74" s="68">
        <v>0.46666666666666667</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1.242</v>
      </c>
      <c r="X74" s="70">
        <v>1.242</v>
      </c>
      <c r="Y74" s="70">
        <v>5.3849999999999998</v>
      </c>
      <c r="Z74" s="71">
        <v>0</v>
      </c>
      <c r="AA74" s="71">
        <v>0.24190981432360742</v>
      </c>
      <c r="AB74" s="72">
        <v>0.24190981432360742</v>
      </c>
    </row>
    <row r="75" spans="2:28">
      <c r="B75" s="73">
        <v>91</v>
      </c>
      <c r="C75" s="74"/>
      <c r="D75" s="74">
        <v>4.8499999999999996</v>
      </c>
      <c r="E75" s="74">
        <v>2.2040000000000002</v>
      </c>
      <c r="F75" s="74">
        <v>2.2040000000000002</v>
      </c>
      <c r="G75" s="74">
        <v>4.8499999999999996</v>
      </c>
      <c r="H75" s="75">
        <v>0</v>
      </c>
      <c r="I75" s="75">
        <v>0.45443298969072171</v>
      </c>
      <c r="J75" s="68">
        <v>0.45443298969072171</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1.1420000000000001</v>
      </c>
      <c r="X75" s="78">
        <v>1.1420000000000001</v>
      </c>
      <c r="Y75" s="78">
        <v>5.0909999999999993</v>
      </c>
      <c r="Z75" s="19">
        <v>0</v>
      </c>
      <c r="AA75" s="19">
        <v>0.23471837031422807</v>
      </c>
      <c r="AB75" s="79">
        <v>0.23471837031422807</v>
      </c>
    </row>
    <row r="76" spans="2:28">
      <c r="B76" s="65">
        <v>92</v>
      </c>
      <c r="C76" s="66"/>
      <c r="D76" s="66">
        <v>4.6040000000000001</v>
      </c>
      <c r="E76" s="66">
        <v>2.0350000000000001</v>
      </c>
      <c r="F76" s="66">
        <v>2.0350000000000001</v>
      </c>
      <c r="G76" s="66">
        <v>4.6040000000000001</v>
      </c>
      <c r="H76" s="67">
        <v>0</v>
      </c>
      <c r="I76" s="67">
        <v>0.44200695047784538</v>
      </c>
      <c r="J76" s="68">
        <v>0.44200695047784538</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4.8164999999999996</v>
      </c>
      <c r="W76" s="70">
        <v>1.05</v>
      </c>
      <c r="X76" s="70">
        <v>1.05</v>
      </c>
      <c r="Y76" s="70">
        <v>4.8164999999999996</v>
      </c>
      <c r="Z76" s="71">
        <v>0</v>
      </c>
      <c r="AA76" s="71">
        <v>0.22746599263800799</v>
      </c>
      <c r="AB76" s="72">
        <v>0.22746599263800799</v>
      </c>
    </row>
    <row r="77" spans="2:28">
      <c r="B77" s="73">
        <v>93</v>
      </c>
      <c r="C77" s="74"/>
      <c r="D77" s="74">
        <v>4.3760000000000003</v>
      </c>
      <c r="E77" s="74">
        <v>1.85</v>
      </c>
      <c r="F77" s="74">
        <v>1.85</v>
      </c>
      <c r="G77" s="74">
        <v>4.3760000000000003</v>
      </c>
      <c r="H77" s="75">
        <v>0</v>
      </c>
      <c r="I77" s="75">
        <v>0.42276051188299818</v>
      </c>
      <c r="J77" s="68">
        <v>0.42276051188299818</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4.5615000000000006</v>
      </c>
      <c r="W77" s="78">
        <v>0.95150000000000001</v>
      </c>
      <c r="X77" s="78">
        <v>0.95150000000000001</v>
      </c>
      <c r="Y77" s="78">
        <v>4.5615000000000006</v>
      </c>
      <c r="Z77" s="19">
        <v>0</v>
      </c>
      <c r="AA77" s="19">
        <v>0.21696272908243019</v>
      </c>
      <c r="AB77" s="79">
        <v>0.21696272908243019</v>
      </c>
    </row>
    <row r="78" spans="2:28">
      <c r="B78" s="65">
        <v>94</v>
      </c>
      <c r="C78" s="66"/>
      <c r="D78" s="66">
        <v>4.1660000000000004</v>
      </c>
      <c r="E78" s="66">
        <v>1.6830000000000001</v>
      </c>
      <c r="F78" s="66">
        <v>1.6830000000000001</v>
      </c>
      <c r="G78" s="66">
        <v>4.1660000000000004</v>
      </c>
      <c r="H78" s="67">
        <v>0</v>
      </c>
      <c r="I78" s="67">
        <v>0.4039846375420067</v>
      </c>
      <c r="J78" s="68">
        <v>0.4039846375420067</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0.86250000000000004</v>
      </c>
      <c r="X78" s="70">
        <v>0.86250000000000004</v>
      </c>
      <c r="Y78" s="70">
        <v>4.3254999999999999</v>
      </c>
      <c r="Z78" s="71">
        <v>0</v>
      </c>
      <c r="AA78" s="71">
        <v>0.206674593018495</v>
      </c>
      <c r="AB78" s="72">
        <v>0.206674593018495</v>
      </c>
    </row>
    <row r="79" spans="2:28">
      <c r="B79" s="73">
        <v>95</v>
      </c>
      <c r="C79" s="74"/>
      <c r="D79" s="74">
        <v>3.9740000000000002</v>
      </c>
      <c r="E79" s="74">
        <v>1.5349999999999999</v>
      </c>
      <c r="F79" s="74">
        <v>1.5349999999999999</v>
      </c>
      <c r="G79" s="74">
        <v>3.9740000000000002</v>
      </c>
      <c r="H79" s="75">
        <v>0</v>
      </c>
      <c r="I79" s="75">
        <v>0.38626069451434319</v>
      </c>
      <c r="J79" s="68">
        <v>0.38626069451434319</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0.78449999999999998</v>
      </c>
      <c r="X79" s="78">
        <v>0.78449999999999998</v>
      </c>
      <c r="Y79" s="78">
        <v>4.1095000000000006</v>
      </c>
      <c r="Z79" s="19">
        <v>0</v>
      </c>
      <c r="AA79" s="19">
        <v>0.19713505868237771</v>
      </c>
      <c r="AB79" s="79">
        <v>0.19713505868237771</v>
      </c>
    </row>
    <row r="80" spans="2:28">
      <c r="B80" s="65">
        <v>96</v>
      </c>
      <c r="C80" s="66"/>
      <c r="D80" s="66">
        <v>3.798</v>
      </c>
      <c r="E80" s="66">
        <v>1.371</v>
      </c>
      <c r="F80" s="66">
        <v>1.371</v>
      </c>
      <c r="G80" s="66">
        <v>3.798</v>
      </c>
      <c r="H80" s="67">
        <v>0</v>
      </c>
      <c r="I80" s="67">
        <v>0.36097946287519744</v>
      </c>
      <c r="J80" s="68">
        <v>0.36097946287519744</v>
      </c>
      <c r="K80" s="65">
        <v>96</v>
      </c>
      <c r="L80" s="66">
        <v>0</v>
      </c>
      <c r="M80" s="66">
        <v>4.024</v>
      </c>
      <c r="N80" s="69">
        <v>2.7E-2</v>
      </c>
      <c r="O80" s="66">
        <v>2.7E-2</v>
      </c>
      <c r="P80" s="66">
        <v>4.024</v>
      </c>
      <c r="Q80" s="67">
        <v>0</v>
      </c>
      <c r="R80" s="67">
        <v>6.7097415506958248E-3</v>
      </c>
      <c r="S80" s="68">
        <v>6.7097415506958248E-3</v>
      </c>
      <c r="T80" s="65">
        <v>96</v>
      </c>
      <c r="U80" s="70">
        <v>0</v>
      </c>
      <c r="V80" s="70">
        <v>3.911</v>
      </c>
      <c r="W80" s="70">
        <v>0.69899999999999995</v>
      </c>
      <c r="X80" s="70">
        <v>0.69899999999999995</v>
      </c>
      <c r="Y80" s="70">
        <v>3.911</v>
      </c>
      <c r="Z80" s="71">
        <v>0</v>
      </c>
      <c r="AA80" s="71">
        <v>0.18384460221294663</v>
      </c>
      <c r="AB80" s="72">
        <v>0.18384460221294663</v>
      </c>
    </row>
    <row r="81" spans="2:28">
      <c r="B81" s="73">
        <v>97</v>
      </c>
      <c r="C81" s="74"/>
      <c r="D81" s="74">
        <v>3.6389999999999998</v>
      </c>
      <c r="E81" s="74">
        <v>1.216</v>
      </c>
      <c r="F81" s="74">
        <v>1.216</v>
      </c>
      <c r="G81" s="74">
        <v>3.6389999999999998</v>
      </c>
      <c r="H81" s="75">
        <v>0</v>
      </c>
      <c r="I81" s="75">
        <v>0.33415773564165979</v>
      </c>
      <c r="J81" s="68">
        <v>0.33415773564165979</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0.61849999999999994</v>
      </c>
      <c r="X81" s="78">
        <v>0.61849999999999994</v>
      </c>
      <c r="Y81" s="78">
        <v>3.7314999999999996</v>
      </c>
      <c r="Z81" s="19">
        <v>0</v>
      </c>
      <c r="AA81" s="19">
        <v>0.16982468372041148</v>
      </c>
      <c r="AB81" s="79">
        <v>0.16982468372041148</v>
      </c>
    </row>
    <row r="82" spans="2:28">
      <c r="B82" s="65">
        <v>98</v>
      </c>
      <c r="C82" s="66"/>
      <c r="D82" s="66">
        <v>3.4950000000000001</v>
      </c>
      <c r="E82" s="66">
        <v>1.0409999999999999</v>
      </c>
      <c r="F82" s="66">
        <v>1.0409999999999999</v>
      </c>
      <c r="G82" s="66">
        <v>3.4950000000000001</v>
      </c>
      <c r="H82" s="67">
        <v>0</v>
      </c>
      <c r="I82" s="67">
        <v>0.29785407725321883</v>
      </c>
      <c r="J82" s="68">
        <v>0.29785407725321883</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3.569</v>
      </c>
      <c r="W82" s="70">
        <v>0.52899999999999991</v>
      </c>
      <c r="X82" s="70">
        <v>0.52899999999999991</v>
      </c>
      <c r="Y82" s="70">
        <v>3.569</v>
      </c>
      <c r="Z82" s="71">
        <v>0</v>
      </c>
      <c r="AA82" s="71">
        <v>0.15126028046026299</v>
      </c>
      <c r="AB82" s="72">
        <v>0.15126028046026299</v>
      </c>
    </row>
    <row r="83" spans="2:28">
      <c r="B83" s="73">
        <v>99</v>
      </c>
      <c r="C83" s="74"/>
      <c r="D83" s="74">
        <v>3.3639999999999999</v>
      </c>
      <c r="E83" s="74">
        <v>0.84799999999999998</v>
      </c>
      <c r="F83" s="74">
        <v>0.84799999999999998</v>
      </c>
      <c r="G83" s="74">
        <v>3.3639999999999999</v>
      </c>
      <c r="H83" s="75">
        <v>0</v>
      </c>
      <c r="I83" s="75">
        <v>0.25208085612366232</v>
      </c>
      <c r="J83" s="68">
        <v>0.25208085612366232</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0.43049999999999999</v>
      </c>
      <c r="X83" s="78">
        <v>0.43049999999999999</v>
      </c>
      <c r="Y83" s="78">
        <v>3.4219999999999997</v>
      </c>
      <c r="Z83" s="19">
        <v>0</v>
      </c>
      <c r="AA83" s="19">
        <v>0.12790824415378518</v>
      </c>
      <c r="AB83" s="79">
        <v>0.12790824415378518</v>
      </c>
    </row>
    <row r="84" spans="2:28" ht="15.75" thickBot="1">
      <c r="B84" s="90">
        <v>100</v>
      </c>
      <c r="C84" s="91"/>
      <c r="D84" s="91">
        <v>3.2450000000000001</v>
      </c>
      <c r="E84" s="91">
        <v>0.67200000000000004</v>
      </c>
      <c r="F84" s="91">
        <v>0.67200000000000004</v>
      </c>
      <c r="G84" s="91">
        <v>3.2450000000000001</v>
      </c>
      <c r="H84" s="92">
        <v>0</v>
      </c>
      <c r="I84" s="92">
        <v>0.20708782742681048</v>
      </c>
      <c r="J84" s="68">
        <v>0.20708782742681048</v>
      </c>
      <c r="K84" s="90">
        <v>100</v>
      </c>
      <c r="L84" s="91">
        <v>0</v>
      </c>
      <c r="M84" s="91">
        <v>3.335</v>
      </c>
      <c r="N84" s="93">
        <v>0.01</v>
      </c>
      <c r="O84" s="91">
        <v>0.01</v>
      </c>
      <c r="P84" s="91">
        <v>3.335</v>
      </c>
      <c r="Q84" s="92">
        <v>0</v>
      </c>
      <c r="R84" s="92">
        <v>2.9985007496251873E-3</v>
      </c>
      <c r="S84" s="94">
        <v>2.9985007496251873E-3</v>
      </c>
      <c r="T84" s="90">
        <v>100</v>
      </c>
      <c r="U84" s="95">
        <v>0</v>
      </c>
      <c r="V84" s="95">
        <v>3.29</v>
      </c>
      <c r="W84" s="95">
        <v>0.34100000000000003</v>
      </c>
      <c r="X84" s="95">
        <v>0.34100000000000003</v>
      </c>
      <c r="Y84" s="95">
        <v>3.29</v>
      </c>
      <c r="Z84" s="96">
        <v>0</v>
      </c>
      <c r="AA84" s="96">
        <v>0.10504316408821783</v>
      </c>
      <c r="AB84" s="97">
        <v>0.10504316408821783</v>
      </c>
    </row>
  </sheetData>
  <sheetProtection algorithmName="SHA-512" hashValue="WBP1s5fNQVRnPpYYroTxWkpb8QWLYMFmKaBTzI/5wNALLWq/mFKu17HhZ3PuimEhaFQMODwa3YiFuIpqs712QA==" saltValue="a6mMjrkIcJjPyiktQxZprA=="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CAF40-ED9A-40D3-B735-EE5A289B8E62}">
  <sheetPr codeName="Tabelle41"/>
  <dimension ref="A2: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2" customHeight="1">
      <c r="A2" s="46" t="s">
        <v>2145</v>
      </c>
      <c r="B2" s="952" t="s">
        <v>1519</v>
      </c>
      <c r="C2" s="48" t="s">
        <v>2129</v>
      </c>
      <c r="D2" s="48" t="s">
        <v>2130</v>
      </c>
      <c r="E2" s="48" t="s">
        <v>2131</v>
      </c>
      <c r="F2" s="48" t="s">
        <v>2132</v>
      </c>
      <c r="G2" s="48" t="s">
        <v>2133</v>
      </c>
      <c r="H2" s="954" t="s">
        <v>2134</v>
      </c>
      <c r="I2" s="954"/>
      <c r="J2" s="955"/>
      <c r="K2" s="49"/>
      <c r="L2" s="50" t="s">
        <v>2129</v>
      </c>
      <c r="M2" s="50" t="s">
        <v>2130</v>
      </c>
      <c r="N2" s="50" t="s">
        <v>2131</v>
      </c>
      <c r="O2" s="50" t="s">
        <v>2132</v>
      </c>
      <c r="P2" s="50" t="str">
        <f>+G2</f>
        <v>Anwartschafts-barwert
Altersrente</v>
      </c>
      <c r="Q2" s="956" t="s">
        <v>2135</v>
      </c>
      <c r="R2" s="956"/>
      <c r="S2" s="957"/>
      <c r="T2" s="51"/>
      <c r="U2" s="52" t="s">
        <v>2129</v>
      </c>
      <c r="V2" s="52" t="s">
        <v>2130</v>
      </c>
      <c r="W2" s="52" t="s">
        <v>2131</v>
      </c>
      <c r="X2" s="52" t="s">
        <v>2132</v>
      </c>
      <c r="Y2" s="52" t="str">
        <f>+G2</f>
        <v>Anwartschafts-barwert
Altersrente</v>
      </c>
      <c r="Z2" s="958" t="s">
        <v>2135</v>
      </c>
      <c r="AA2" s="958"/>
      <c r="AB2" s="959"/>
    </row>
    <row r="3" spans="1:28" s="64" customFormat="1" ht="13.5">
      <c r="A3" s="53">
        <v>43111</v>
      </c>
      <c r="B3" s="953"/>
      <c r="C3" s="55" t="s">
        <v>2146</v>
      </c>
      <c r="D3" s="55" t="s">
        <v>2147</v>
      </c>
      <c r="E3" s="55" t="s">
        <v>2148</v>
      </c>
      <c r="F3" s="55" t="s">
        <v>2149</v>
      </c>
      <c r="G3" s="55"/>
      <c r="H3" s="56" t="s">
        <v>2139</v>
      </c>
      <c r="I3" s="56" t="s">
        <v>2140</v>
      </c>
      <c r="J3" s="57" t="s">
        <v>2141</v>
      </c>
      <c r="K3" s="58" t="s">
        <v>1519</v>
      </c>
      <c r="L3" s="59" t="s">
        <v>2150</v>
      </c>
      <c r="M3" s="59" t="s">
        <v>2151</v>
      </c>
      <c r="N3" s="59" t="s">
        <v>2144</v>
      </c>
      <c r="O3" s="59" t="s">
        <v>2152</v>
      </c>
      <c r="P3" s="59"/>
      <c r="Q3" s="59" t="s">
        <v>2139</v>
      </c>
      <c r="R3" s="59" t="s">
        <v>2140</v>
      </c>
      <c r="S3" s="60" t="s">
        <v>2141</v>
      </c>
      <c r="T3" s="61" t="s">
        <v>1519</v>
      </c>
      <c r="U3" s="62" t="s">
        <v>2150</v>
      </c>
      <c r="V3" s="62" t="s">
        <v>2151</v>
      </c>
      <c r="W3" s="62" t="s">
        <v>2144</v>
      </c>
      <c r="X3" s="62" t="s">
        <v>2152</v>
      </c>
      <c r="Y3" s="62"/>
      <c r="Z3" s="62" t="s">
        <v>2139</v>
      </c>
      <c r="AA3" s="62" t="s">
        <v>2140</v>
      </c>
      <c r="AB3" s="63" t="s">
        <v>2141</v>
      </c>
    </row>
    <row r="4" spans="1:28">
      <c r="B4" s="65">
        <v>20</v>
      </c>
      <c r="C4" s="66">
        <v>0.24</v>
      </c>
      <c r="D4" s="66">
        <v>5.3579999999999997</v>
      </c>
      <c r="E4" s="66">
        <v>0.53</v>
      </c>
      <c r="F4" s="66">
        <v>0.53</v>
      </c>
      <c r="G4" s="66">
        <v>5.1179999999999994</v>
      </c>
      <c r="H4" s="67">
        <v>4.6893317702227433E-2</v>
      </c>
      <c r="I4" s="67">
        <v>0.10355607659241893</v>
      </c>
      <c r="J4" s="68">
        <v>0.15044939429464638</v>
      </c>
      <c r="K4" s="65">
        <v>20</v>
      </c>
      <c r="L4" s="66">
        <v>0.254</v>
      </c>
      <c r="M4" s="66">
        <v>6.1280000000000001</v>
      </c>
      <c r="N4" s="69">
        <v>0.13100000000000001</v>
      </c>
      <c r="O4" s="66">
        <v>0.13100000000000001</v>
      </c>
      <c r="P4" s="66">
        <v>5.8740000000000006</v>
      </c>
      <c r="Q4" s="67">
        <v>4.3241402791964589E-2</v>
      </c>
      <c r="R4" s="67">
        <v>2.2301668369084097E-2</v>
      </c>
      <c r="S4" s="68">
        <v>6.5543071161048683E-2</v>
      </c>
      <c r="T4" s="65">
        <v>20</v>
      </c>
      <c r="U4" s="70">
        <v>0.247</v>
      </c>
      <c r="V4" s="70">
        <v>5.7430000000000003</v>
      </c>
      <c r="W4" s="70">
        <v>0.33050000000000002</v>
      </c>
      <c r="X4" s="70">
        <v>0.33050000000000002</v>
      </c>
      <c r="Y4" s="70">
        <v>5.4960000000000004</v>
      </c>
      <c r="Z4" s="71">
        <v>4.5067360247096011E-2</v>
      </c>
      <c r="AA4" s="71">
        <v>6.2928872480751519E-2</v>
      </c>
      <c r="AB4" s="72">
        <v>0.10799623272784753</v>
      </c>
    </row>
    <row r="5" spans="1:28">
      <c r="B5" s="73">
        <v>21</v>
      </c>
      <c r="C5" s="74">
        <v>0.27700000000000002</v>
      </c>
      <c r="D5" s="74">
        <v>5.52</v>
      </c>
      <c r="E5" s="74">
        <v>0.61599999999999999</v>
      </c>
      <c r="F5" s="74">
        <v>0.61599999999999999</v>
      </c>
      <c r="G5" s="74">
        <v>5.2429999999999994</v>
      </c>
      <c r="H5" s="75">
        <v>5.2832347892428008E-2</v>
      </c>
      <c r="I5" s="75">
        <v>0.11748998664886516</v>
      </c>
      <c r="J5" s="68">
        <v>0.17032233454129317</v>
      </c>
      <c r="K5" s="73">
        <v>21</v>
      </c>
      <c r="L5" s="74">
        <v>0.30499999999999999</v>
      </c>
      <c r="M5" s="74">
        <v>6.3120000000000003</v>
      </c>
      <c r="N5" s="76">
        <v>0.159</v>
      </c>
      <c r="O5" s="74">
        <v>0.159</v>
      </c>
      <c r="P5" s="74">
        <v>6.0070000000000006</v>
      </c>
      <c r="Q5" s="75">
        <v>5.07740968869652E-2</v>
      </c>
      <c r="R5" s="75">
        <v>2.6469119360745794E-2</v>
      </c>
      <c r="S5" s="77">
        <v>7.7243216247710994E-2</v>
      </c>
      <c r="T5" s="73">
        <v>21</v>
      </c>
      <c r="U5" s="78">
        <v>0.29100000000000004</v>
      </c>
      <c r="V5" s="78">
        <v>5.9160000000000004</v>
      </c>
      <c r="W5" s="78">
        <v>0.38750000000000001</v>
      </c>
      <c r="X5" s="78">
        <v>0.38750000000000001</v>
      </c>
      <c r="Y5" s="78">
        <v>5.625</v>
      </c>
      <c r="Z5" s="19">
        <v>5.1803222389696604E-2</v>
      </c>
      <c r="AA5" s="19">
        <v>7.1979553004805477E-2</v>
      </c>
      <c r="AB5" s="79">
        <v>0.12378277539450208</v>
      </c>
    </row>
    <row r="6" spans="1:28">
      <c r="B6" s="65">
        <v>22</v>
      </c>
      <c r="C6" s="66">
        <v>0.314</v>
      </c>
      <c r="D6" s="66">
        <v>5.6870000000000003</v>
      </c>
      <c r="E6" s="66">
        <v>0.70799999999999996</v>
      </c>
      <c r="F6" s="66">
        <v>0.70799999999999996</v>
      </c>
      <c r="G6" s="66">
        <v>5.3730000000000002</v>
      </c>
      <c r="H6" s="67">
        <v>5.8440349897636329E-2</v>
      </c>
      <c r="I6" s="67">
        <v>0.13176996091568954</v>
      </c>
      <c r="J6" s="68">
        <v>0.19021031081332587</v>
      </c>
      <c r="K6" s="65">
        <v>22</v>
      </c>
      <c r="L6" s="66">
        <v>0.35199999999999998</v>
      </c>
      <c r="M6" s="66">
        <v>6.5</v>
      </c>
      <c r="N6" s="69">
        <v>0.184</v>
      </c>
      <c r="O6" s="66">
        <v>0.184</v>
      </c>
      <c r="P6" s="66">
        <v>6.1479999999999997</v>
      </c>
      <c r="Q6" s="67">
        <v>5.7254391672088484E-2</v>
      </c>
      <c r="R6" s="67">
        <v>2.992843201040989E-2</v>
      </c>
      <c r="S6" s="68">
        <v>8.718282368249837E-2</v>
      </c>
      <c r="T6" s="65">
        <v>22</v>
      </c>
      <c r="U6" s="70">
        <v>0.33299999999999996</v>
      </c>
      <c r="V6" s="70">
        <v>6.0935000000000006</v>
      </c>
      <c r="W6" s="70">
        <v>0.44599999999999995</v>
      </c>
      <c r="X6" s="70">
        <v>0.44599999999999995</v>
      </c>
      <c r="Y6" s="70">
        <v>5.7605000000000004</v>
      </c>
      <c r="Z6" s="71">
        <v>5.7847370784862406E-2</v>
      </c>
      <c r="AA6" s="71">
        <v>8.0849196463049722E-2</v>
      </c>
      <c r="AB6" s="72">
        <v>0.13869656724791213</v>
      </c>
    </row>
    <row r="7" spans="1:28">
      <c r="B7" s="73">
        <v>23</v>
      </c>
      <c r="C7" s="74">
        <v>0.35299999999999998</v>
      </c>
      <c r="D7" s="74">
        <v>5.8579999999999997</v>
      </c>
      <c r="E7" s="74">
        <v>0.80300000000000005</v>
      </c>
      <c r="F7" s="74">
        <v>0.80300000000000005</v>
      </c>
      <c r="G7" s="74">
        <v>5.5049999999999999</v>
      </c>
      <c r="H7" s="75">
        <v>6.4123524069028159E-2</v>
      </c>
      <c r="I7" s="75">
        <v>0.14586739327883744</v>
      </c>
      <c r="J7" s="68">
        <v>0.2099909173478656</v>
      </c>
      <c r="K7" s="73">
        <v>23</v>
      </c>
      <c r="L7" s="74">
        <v>0.39</v>
      </c>
      <c r="M7" s="74">
        <v>6.6929999999999996</v>
      </c>
      <c r="N7" s="76">
        <v>0.20599999999999999</v>
      </c>
      <c r="O7" s="74">
        <v>0.20599999999999999</v>
      </c>
      <c r="P7" s="74">
        <v>6.3029999999999999</v>
      </c>
      <c r="Q7" s="75">
        <v>6.1875297477391719E-2</v>
      </c>
      <c r="R7" s="75">
        <v>3.2682849436776136E-2</v>
      </c>
      <c r="S7" s="77">
        <v>9.4558146914167862E-2</v>
      </c>
      <c r="T7" s="73">
        <v>23</v>
      </c>
      <c r="U7" s="78">
        <v>0.3715</v>
      </c>
      <c r="V7" s="78">
        <v>6.2754999999999992</v>
      </c>
      <c r="W7" s="78">
        <v>0.50450000000000006</v>
      </c>
      <c r="X7" s="78">
        <v>0.50450000000000006</v>
      </c>
      <c r="Y7" s="78">
        <v>5.9039999999999999</v>
      </c>
      <c r="Z7" s="19">
        <v>6.2999410773209946E-2</v>
      </c>
      <c r="AA7" s="19">
        <v>8.9275121357806783E-2</v>
      </c>
      <c r="AB7" s="79">
        <v>0.15227453213101672</v>
      </c>
    </row>
    <row r="8" spans="1:28">
      <c r="B8" s="65">
        <v>24</v>
      </c>
      <c r="C8" s="66">
        <v>0.38600000000000001</v>
      </c>
      <c r="D8" s="66">
        <v>6.0339999999999998</v>
      </c>
      <c r="E8" s="66">
        <v>0.89100000000000001</v>
      </c>
      <c r="F8" s="66">
        <v>0.89100000000000001</v>
      </c>
      <c r="G8" s="66">
        <v>5.6479999999999997</v>
      </c>
      <c r="H8" s="67">
        <v>6.8342776203966005E-2</v>
      </c>
      <c r="I8" s="67">
        <v>0.15775495750708216</v>
      </c>
      <c r="J8" s="68">
        <v>0.22609773371104816</v>
      </c>
      <c r="K8" s="65">
        <v>24</v>
      </c>
      <c r="L8" s="66">
        <v>0.42499999999999999</v>
      </c>
      <c r="M8" s="66">
        <v>6.891</v>
      </c>
      <c r="N8" s="69">
        <v>0.22600000000000001</v>
      </c>
      <c r="O8" s="66">
        <v>0.22600000000000001</v>
      </c>
      <c r="P8" s="66">
        <v>6.4660000000000002</v>
      </c>
      <c r="Q8" s="67">
        <v>6.5728425610887722E-2</v>
      </c>
      <c r="R8" s="67">
        <v>3.4952056913083826E-2</v>
      </c>
      <c r="S8" s="68">
        <v>0.10068048252397155</v>
      </c>
      <c r="T8" s="65">
        <v>24</v>
      </c>
      <c r="U8" s="70">
        <v>0.40549999999999997</v>
      </c>
      <c r="V8" s="70">
        <v>6.4625000000000004</v>
      </c>
      <c r="W8" s="70">
        <v>0.5585</v>
      </c>
      <c r="X8" s="70">
        <v>0.5585</v>
      </c>
      <c r="Y8" s="70">
        <v>6.0570000000000004</v>
      </c>
      <c r="Z8" s="71">
        <v>6.7035600907426857E-2</v>
      </c>
      <c r="AA8" s="71">
        <v>9.6353507210082984E-2</v>
      </c>
      <c r="AB8" s="72">
        <v>0.16338910811750984</v>
      </c>
    </row>
    <row r="9" spans="1:28">
      <c r="B9" s="73">
        <v>25</v>
      </c>
      <c r="C9" s="74">
        <v>0.41599999999999998</v>
      </c>
      <c r="D9" s="74">
        <v>6.2130000000000001</v>
      </c>
      <c r="E9" s="74">
        <v>0.97399999999999998</v>
      </c>
      <c r="F9" s="74">
        <v>0.97399999999999998</v>
      </c>
      <c r="G9" s="74">
        <v>5.7969999999999997</v>
      </c>
      <c r="H9" s="75">
        <v>7.1761255821976885E-2</v>
      </c>
      <c r="I9" s="75">
        <v>0.1680179403139555</v>
      </c>
      <c r="J9" s="68">
        <v>0.2397791961359324</v>
      </c>
      <c r="K9" s="73">
        <v>25</v>
      </c>
      <c r="L9" s="74">
        <v>0.45900000000000002</v>
      </c>
      <c r="M9" s="74">
        <v>7.0940000000000003</v>
      </c>
      <c r="N9" s="76">
        <v>0.246</v>
      </c>
      <c r="O9" s="74">
        <v>0.246</v>
      </c>
      <c r="P9" s="74">
        <v>6.6350000000000007</v>
      </c>
      <c r="Q9" s="75">
        <v>6.9178598342125086E-2</v>
      </c>
      <c r="R9" s="75">
        <v>3.7076111529766385E-2</v>
      </c>
      <c r="S9" s="77">
        <v>0.10625470987189148</v>
      </c>
      <c r="T9" s="73">
        <v>25</v>
      </c>
      <c r="U9" s="78">
        <v>0.4375</v>
      </c>
      <c r="V9" s="78">
        <v>6.6535000000000002</v>
      </c>
      <c r="W9" s="78">
        <v>0.61</v>
      </c>
      <c r="X9" s="78">
        <v>0.61</v>
      </c>
      <c r="Y9" s="78">
        <v>6.2160000000000002</v>
      </c>
      <c r="Z9" s="19">
        <v>7.0469927082050993E-2</v>
      </c>
      <c r="AA9" s="19">
        <v>0.10254702592186095</v>
      </c>
      <c r="AB9" s="79">
        <v>0.17301695300391196</v>
      </c>
    </row>
    <row r="10" spans="1:28">
      <c r="B10" s="65">
        <v>26</v>
      </c>
      <c r="C10" s="66">
        <v>0.442</v>
      </c>
      <c r="D10" s="66">
        <v>6.3970000000000002</v>
      </c>
      <c r="E10" s="66">
        <v>1.052</v>
      </c>
      <c r="F10" s="66">
        <v>1.052</v>
      </c>
      <c r="G10" s="66">
        <v>5.9550000000000001</v>
      </c>
      <c r="H10" s="67">
        <v>7.4223341729638959E-2</v>
      </c>
      <c r="I10" s="67">
        <v>0.17665827036104115</v>
      </c>
      <c r="J10" s="68">
        <v>0.25088161209068011</v>
      </c>
      <c r="K10" s="65">
        <v>26</v>
      </c>
      <c r="L10" s="66">
        <v>0.49299999999999999</v>
      </c>
      <c r="M10" s="66">
        <v>7.3010000000000002</v>
      </c>
      <c r="N10" s="69">
        <v>0.26700000000000002</v>
      </c>
      <c r="O10" s="66">
        <v>0.26700000000000002</v>
      </c>
      <c r="P10" s="66">
        <v>6.8079999999999998</v>
      </c>
      <c r="Q10" s="67">
        <v>7.241480611045828E-2</v>
      </c>
      <c r="R10" s="67">
        <v>3.9218566392479441E-2</v>
      </c>
      <c r="S10" s="68">
        <v>0.11163337250293773</v>
      </c>
      <c r="T10" s="65">
        <v>26</v>
      </c>
      <c r="U10" s="70">
        <v>0.46750000000000003</v>
      </c>
      <c r="V10" s="70">
        <v>6.8490000000000002</v>
      </c>
      <c r="W10" s="70">
        <v>0.65949999999999998</v>
      </c>
      <c r="X10" s="70">
        <v>0.65949999999999998</v>
      </c>
      <c r="Y10" s="70">
        <v>6.3815</v>
      </c>
      <c r="Z10" s="71">
        <v>7.3319073920048619E-2</v>
      </c>
      <c r="AA10" s="71">
        <v>0.1079384183767603</v>
      </c>
      <c r="AB10" s="72">
        <v>0.18125749229680893</v>
      </c>
    </row>
    <row r="11" spans="1:28">
      <c r="B11" s="73">
        <v>27</v>
      </c>
      <c r="C11" s="74">
        <v>0.46600000000000003</v>
      </c>
      <c r="D11" s="74">
        <v>6.585</v>
      </c>
      <c r="E11" s="74">
        <v>1.127</v>
      </c>
      <c r="F11" s="74">
        <v>1.127</v>
      </c>
      <c r="G11" s="74">
        <v>6.1189999999999998</v>
      </c>
      <c r="H11" s="75">
        <v>7.6156234678869103E-2</v>
      </c>
      <c r="I11" s="75">
        <v>0.18418042163752249</v>
      </c>
      <c r="J11" s="68">
        <v>0.26033665631639158</v>
      </c>
      <c r="K11" s="73">
        <v>27</v>
      </c>
      <c r="L11" s="74">
        <v>0.52500000000000002</v>
      </c>
      <c r="M11" s="74">
        <v>7.5129999999999999</v>
      </c>
      <c r="N11" s="76">
        <v>0.28699999999999998</v>
      </c>
      <c r="O11" s="74">
        <v>0.28699999999999998</v>
      </c>
      <c r="P11" s="74">
        <v>6.9879999999999995</v>
      </c>
      <c r="Q11" s="75">
        <v>7.5128792215226115E-2</v>
      </c>
      <c r="R11" s="75">
        <v>4.1070406410990266E-2</v>
      </c>
      <c r="S11" s="77">
        <v>0.11619919862621639</v>
      </c>
      <c r="T11" s="73">
        <v>27</v>
      </c>
      <c r="U11" s="78">
        <v>0.49550000000000005</v>
      </c>
      <c r="V11" s="78">
        <v>7.0489999999999995</v>
      </c>
      <c r="W11" s="78">
        <v>0.70699999999999996</v>
      </c>
      <c r="X11" s="78">
        <v>0.70699999999999996</v>
      </c>
      <c r="Y11" s="78">
        <v>6.5534999999999997</v>
      </c>
      <c r="Z11" s="19">
        <v>7.5642513447047616E-2</v>
      </c>
      <c r="AA11" s="19">
        <v>0.11262541402425638</v>
      </c>
      <c r="AB11" s="79">
        <v>0.188267927471304</v>
      </c>
    </row>
    <row r="12" spans="1:28">
      <c r="B12" s="65">
        <v>28</v>
      </c>
      <c r="C12" s="66">
        <v>0.48699999999999999</v>
      </c>
      <c r="D12" s="66">
        <v>6.7779999999999996</v>
      </c>
      <c r="E12" s="66">
        <v>1.2010000000000001</v>
      </c>
      <c r="F12" s="66">
        <v>1.2010000000000001</v>
      </c>
      <c r="G12" s="66">
        <v>6.2909999999999995</v>
      </c>
      <c r="H12" s="67">
        <v>7.7412176124622478E-2</v>
      </c>
      <c r="I12" s="67">
        <v>0.19090764584326819</v>
      </c>
      <c r="J12" s="68">
        <v>0.26831982196789067</v>
      </c>
      <c r="K12" s="65">
        <v>28</v>
      </c>
      <c r="L12" s="66">
        <v>0.55500000000000005</v>
      </c>
      <c r="M12" s="66">
        <v>7.7290000000000001</v>
      </c>
      <c r="N12" s="69">
        <v>0.307</v>
      </c>
      <c r="O12" s="66">
        <v>0.307</v>
      </c>
      <c r="P12" s="66">
        <v>7.1740000000000004</v>
      </c>
      <c r="Q12" s="67">
        <v>7.7362698633955951E-2</v>
      </c>
      <c r="R12" s="67">
        <v>4.2793420685809866E-2</v>
      </c>
      <c r="S12" s="68">
        <v>0.12015611931976582</v>
      </c>
      <c r="T12" s="65">
        <v>28</v>
      </c>
      <c r="U12" s="70">
        <v>0.52100000000000002</v>
      </c>
      <c r="V12" s="70">
        <v>7.2534999999999998</v>
      </c>
      <c r="W12" s="70">
        <v>0.754</v>
      </c>
      <c r="X12" s="70">
        <v>0.754</v>
      </c>
      <c r="Y12" s="70">
        <v>6.7324999999999999</v>
      </c>
      <c r="Z12" s="71">
        <v>7.7387437379289215E-2</v>
      </c>
      <c r="AA12" s="71">
        <v>0.11685053326453904</v>
      </c>
      <c r="AB12" s="72">
        <v>0.19423797064382825</v>
      </c>
    </row>
    <row r="13" spans="1:28">
      <c r="B13" s="73">
        <v>29</v>
      </c>
      <c r="C13" s="74">
        <v>0.50700000000000001</v>
      </c>
      <c r="D13" s="74">
        <v>6.976</v>
      </c>
      <c r="E13" s="74">
        <v>1.2729999999999999</v>
      </c>
      <c r="F13" s="74">
        <v>1.2729999999999999</v>
      </c>
      <c r="G13" s="74">
        <v>6.4690000000000003</v>
      </c>
      <c r="H13" s="75">
        <v>7.8373782655742769E-2</v>
      </c>
      <c r="I13" s="75">
        <v>0.19678466532694386</v>
      </c>
      <c r="J13" s="68">
        <v>0.27515844798268663</v>
      </c>
      <c r="K13" s="73">
        <v>29</v>
      </c>
      <c r="L13" s="74">
        <v>0.58299999999999996</v>
      </c>
      <c r="M13" s="74">
        <v>7.95</v>
      </c>
      <c r="N13" s="76">
        <v>0.32600000000000001</v>
      </c>
      <c r="O13" s="74">
        <v>0.32600000000000001</v>
      </c>
      <c r="P13" s="74">
        <v>7.367</v>
      </c>
      <c r="Q13" s="75">
        <v>7.9136690647482008E-2</v>
      </c>
      <c r="R13" s="75">
        <v>4.4251391339758382E-2</v>
      </c>
      <c r="S13" s="77">
        <v>0.12338808198724038</v>
      </c>
      <c r="T13" s="73">
        <v>29</v>
      </c>
      <c r="U13" s="78">
        <v>0.54499999999999993</v>
      </c>
      <c r="V13" s="78">
        <v>7.4630000000000001</v>
      </c>
      <c r="W13" s="78">
        <v>0.79949999999999999</v>
      </c>
      <c r="X13" s="78">
        <v>0.79949999999999999</v>
      </c>
      <c r="Y13" s="78">
        <v>6.9180000000000001</v>
      </c>
      <c r="Z13" s="19">
        <v>7.8755236651612381E-2</v>
      </c>
      <c r="AA13" s="19">
        <v>0.12051802833335112</v>
      </c>
      <c r="AB13" s="79">
        <v>0.19927326498496351</v>
      </c>
    </row>
    <row r="14" spans="1:28">
      <c r="B14" s="65">
        <v>30</v>
      </c>
      <c r="C14" s="66">
        <v>0.52500000000000002</v>
      </c>
      <c r="D14" s="66">
        <v>7.1790000000000003</v>
      </c>
      <c r="E14" s="66">
        <v>1.345</v>
      </c>
      <c r="F14" s="66">
        <v>1.345</v>
      </c>
      <c r="G14" s="66">
        <v>6.6539999999999999</v>
      </c>
      <c r="H14" s="67">
        <v>7.889990982867448E-2</v>
      </c>
      <c r="I14" s="67">
        <v>0.20213405470393747</v>
      </c>
      <c r="J14" s="68">
        <v>0.28103396453261198</v>
      </c>
      <c r="K14" s="65">
        <v>30</v>
      </c>
      <c r="L14" s="66">
        <v>0.60799999999999998</v>
      </c>
      <c r="M14" s="66">
        <v>8.1750000000000007</v>
      </c>
      <c r="N14" s="69">
        <v>0.34599999999999997</v>
      </c>
      <c r="O14" s="66">
        <v>0.34599999999999997</v>
      </c>
      <c r="P14" s="66">
        <v>7.5670000000000011</v>
      </c>
      <c r="Q14" s="67">
        <v>8.0348883309105307E-2</v>
      </c>
      <c r="R14" s="67">
        <v>4.5724857935773744E-2</v>
      </c>
      <c r="S14" s="68">
        <v>0.12607374124487905</v>
      </c>
      <c r="T14" s="65">
        <v>30</v>
      </c>
      <c r="U14" s="70">
        <v>0.5665</v>
      </c>
      <c r="V14" s="70">
        <v>7.6770000000000005</v>
      </c>
      <c r="W14" s="70">
        <v>0.84549999999999992</v>
      </c>
      <c r="X14" s="70">
        <v>0.84549999999999992</v>
      </c>
      <c r="Y14" s="70">
        <v>7.1105</v>
      </c>
      <c r="Z14" s="71">
        <v>7.9624396568889894E-2</v>
      </c>
      <c r="AA14" s="71">
        <v>0.12392945631985561</v>
      </c>
      <c r="AB14" s="72">
        <v>0.2035538528887455</v>
      </c>
    </row>
    <row r="15" spans="1:28">
      <c r="B15" s="73">
        <v>31</v>
      </c>
      <c r="C15" s="74">
        <v>0.54100000000000004</v>
      </c>
      <c r="D15" s="74">
        <v>7.3869999999999996</v>
      </c>
      <c r="E15" s="74">
        <v>1.4159999999999999</v>
      </c>
      <c r="F15" s="74">
        <v>1.4159999999999999</v>
      </c>
      <c r="G15" s="74">
        <v>6.8459999999999992</v>
      </c>
      <c r="H15" s="75">
        <v>7.9024247735904191E-2</v>
      </c>
      <c r="I15" s="75">
        <v>0.20683610867659949</v>
      </c>
      <c r="J15" s="68">
        <v>0.28586035641250368</v>
      </c>
      <c r="K15" s="73">
        <v>31</v>
      </c>
      <c r="L15" s="74">
        <v>0.63200000000000001</v>
      </c>
      <c r="M15" s="74">
        <v>8.4060000000000006</v>
      </c>
      <c r="N15" s="76">
        <v>0.36399999999999999</v>
      </c>
      <c r="O15" s="74">
        <v>0.36399999999999999</v>
      </c>
      <c r="P15" s="74">
        <v>7.7740000000000009</v>
      </c>
      <c r="Q15" s="75">
        <v>8.1296629791613062E-2</v>
      </c>
      <c r="R15" s="75">
        <v>4.6822742474916385E-2</v>
      </c>
      <c r="S15" s="77">
        <v>0.12811937226652945</v>
      </c>
      <c r="T15" s="73">
        <v>31</v>
      </c>
      <c r="U15" s="78">
        <v>0.58650000000000002</v>
      </c>
      <c r="V15" s="78">
        <v>7.8964999999999996</v>
      </c>
      <c r="W15" s="78">
        <v>0.8899999999999999</v>
      </c>
      <c r="X15" s="78">
        <v>0.8899999999999999</v>
      </c>
      <c r="Y15" s="78">
        <v>7.3100000000000005</v>
      </c>
      <c r="Z15" s="19">
        <v>8.0160438763758626E-2</v>
      </c>
      <c r="AA15" s="19">
        <v>0.12682942557575794</v>
      </c>
      <c r="AB15" s="79">
        <v>0.20698986433951655</v>
      </c>
    </row>
    <row r="16" spans="1:28">
      <c r="B16" s="65">
        <v>32</v>
      </c>
      <c r="C16" s="66">
        <v>0.55600000000000005</v>
      </c>
      <c r="D16" s="66">
        <v>7.6</v>
      </c>
      <c r="E16" s="66">
        <v>1.4870000000000001</v>
      </c>
      <c r="F16" s="66">
        <v>1.4870000000000001</v>
      </c>
      <c r="G16" s="66">
        <v>7.0439999999999996</v>
      </c>
      <c r="H16" s="67">
        <v>7.8932424758659858E-2</v>
      </c>
      <c r="I16" s="67">
        <v>0.21110164679159571</v>
      </c>
      <c r="J16" s="68">
        <v>0.29003407155025557</v>
      </c>
      <c r="K16" s="65">
        <v>32</v>
      </c>
      <c r="L16" s="66">
        <v>0.65300000000000002</v>
      </c>
      <c r="M16" s="66">
        <v>8.6419999999999995</v>
      </c>
      <c r="N16" s="69">
        <v>0.38300000000000001</v>
      </c>
      <c r="O16" s="66">
        <v>0.38300000000000001</v>
      </c>
      <c r="P16" s="66">
        <v>7.988999999999999</v>
      </c>
      <c r="Q16" s="67">
        <v>8.1737388909750922E-2</v>
      </c>
      <c r="R16" s="67">
        <v>4.7940918763299541E-2</v>
      </c>
      <c r="S16" s="68">
        <v>0.12967830767305047</v>
      </c>
      <c r="T16" s="65">
        <v>32</v>
      </c>
      <c r="U16" s="70">
        <v>0.60450000000000004</v>
      </c>
      <c r="V16" s="70">
        <v>8.1209999999999987</v>
      </c>
      <c r="W16" s="70">
        <v>0.93500000000000005</v>
      </c>
      <c r="X16" s="70">
        <v>0.93500000000000005</v>
      </c>
      <c r="Y16" s="70">
        <v>7.5164999999999988</v>
      </c>
      <c r="Z16" s="71">
        <v>8.0334906834205383E-2</v>
      </c>
      <c r="AA16" s="71">
        <v>0.12952128277744762</v>
      </c>
      <c r="AB16" s="72">
        <v>0.20985618961165303</v>
      </c>
    </row>
    <row r="17" spans="2:28">
      <c r="B17" s="73">
        <v>33</v>
      </c>
      <c r="C17" s="74">
        <v>0.56999999999999995</v>
      </c>
      <c r="D17" s="74">
        <v>7.819</v>
      </c>
      <c r="E17" s="74">
        <v>1.5580000000000001</v>
      </c>
      <c r="F17" s="74">
        <v>1.5580000000000001</v>
      </c>
      <c r="G17" s="74">
        <v>7.2489999999999997</v>
      </c>
      <c r="H17" s="75">
        <v>7.8631535384190918E-2</v>
      </c>
      <c r="I17" s="75">
        <v>0.21492619671678853</v>
      </c>
      <c r="J17" s="68">
        <v>0.29355773210097946</v>
      </c>
      <c r="K17" s="73">
        <v>33</v>
      </c>
      <c r="L17" s="74">
        <v>0.67100000000000004</v>
      </c>
      <c r="M17" s="74">
        <v>8.8829999999999991</v>
      </c>
      <c r="N17" s="76">
        <v>0.40100000000000002</v>
      </c>
      <c r="O17" s="74">
        <v>0.40100000000000002</v>
      </c>
      <c r="P17" s="74">
        <v>8.2119999999999997</v>
      </c>
      <c r="Q17" s="75">
        <v>8.1709693132001951E-2</v>
      </c>
      <c r="R17" s="75">
        <v>4.8830979055041406E-2</v>
      </c>
      <c r="S17" s="77">
        <v>0.13054067218704335</v>
      </c>
      <c r="T17" s="73">
        <v>33</v>
      </c>
      <c r="U17" s="78">
        <v>0.62050000000000005</v>
      </c>
      <c r="V17" s="78">
        <v>8.3509999999999991</v>
      </c>
      <c r="W17" s="78">
        <v>0.97950000000000004</v>
      </c>
      <c r="X17" s="78">
        <v>0.97950000000000004</v>
      </c>
      <c r="Y17" s="78">
        <v>7.7304999999999993</v>
      </c>
      <c r="Z17" s="19">
        <v>8.0170614258096434E-2</v>
      </c>
      <c r="AA17" s="19">
        <v>0.13187858788591497</v>
      </c>
      <c r="AB17" s="79">
        <v>0.21204920214401141</v>
      </c>
    </row>
    <row r="18" spans="2:28">
      <c r="B18" s="65">
        <v>34</v>
      </c>
      <c r="C18" s="66">
        <v>0.58199999999999996</v>
      </c>
      <c r="D18" s="66">
        <v>8.0440000000000005</v>
      </c>
      <c r="E18" s="66">
        <v>1.629</v>
      </c>
      <c r="F18" s="66">
        <v>1.629</v>
      </c>
      <c r="G18" s="66">
        <v>7.4620000000000006</v>
      </c>
      <c r="H18" s="67">
        <v>7.7995175556151153E-2</v>
      </c>
      <c r="I18" s="67">
        <v>0.21830608415974267</v>
      </c>
      <c r="J18" s="68">
        <v>0.29630125971589383</v>
      </c>
      <c r="K18" s="65">
        <v>34</v>
      </c>
      <c r="L18" s="66">
        <v>0.68600000000000005</v>
      </c>
      <c r="M18" s="66">
        <v>9.1300000000000008</v>
      </c>
      <c r="N18" s="69">
        <v>0.41799999999999998</v>
      </c>
      <c r="O18" s="66">
        <v>0.41799999999999998</v>
      </c>
      <c r="P18" s="66">
        <v>8.4440000000000008</v>
      </c>
      <c r="Q18" s="67">
        <v>8.1241117953576497E-2</v>
      </c>
      <c r="R18" s="67">
        <v>4.9502605400284221E-2</v>
      </c>
      <c r="S18" s="68">
        <v>0.13074372335386072</v>
      </c>
      <c r="T18" s="65">
        <v>34</v>
      </c>
      <c r="U18" s="70">
        <v>0.63400000000000001</v>
      </c>
      <c r="V18" s="70">
        <v>8.5869999999999997</v>
      </c>
      <c r="W18" s="70">
        <v>1.0235000000000001</v>
      </c>
      <c r="X18" s="70">
        <v>1.0235000000000001</v>
      </c>
      <c r="Y18" s="70">
        <v>7.9530000000000012</v>
      </c>
      <c r="Z18" s="71">
        <v>7.9618146754863825E-2</v>
      </c>
      <c r="AA18" s="71">
        <v>0.13390434478001345</v>
      </c>
      <c r="AB18" s="72">
        <v>0.21352249153487729</v>
      </c>
    </row>
    <row r="19" spans="2:28">
      <c r="B19" s="73">
        <v>35</v>
      </c>
      <c r="C19" s="74">
        <v>0.59099999999999997</v>
      </c>
      <c r="D19" s="74">
        <v>8.2750000000000004</v>
      </c>
      <c r="E19" s="74">
        <v>1.7010000000000001</v>
      </c>
      <c r="F19" s="74">
        <v>1.7010000000000001</v>
      </c>
      <c r="G19" s="74">
        <v>7.6840000000000002</v>
      </c>
      <c r="H19" s="75">
        <v>7.6913066111400308E-2</v>
      </c>
      <c r="I19" s="75">
        <v>0.2213690786048933</v>
      </c>
      <c r="J19" s="68">
        <v>0.29828214471629361</v>
      </c>
      <c r="K19" s="73">
        <v>35</v>
      </c>
      <c r="L19" s="74">
        <v>0.69699999999999995</v>
      </c>
      <c r="M19" s="74">
        <v>9.3810000000000002</v>
      </c>
      <c r="N19" s="76">
        <v>0.435</v>
      </c>
      <c r="O19" s="74">
        <v>0.435</v>
      </c>
      <c r="P19" s="74">
        <v>8.6840000000000011</v>
      </c>
      <c r="Q19" s="75">
        <v>8.0262551819438033E-2</v>
      </c>
      <c r="R19" s="75">
        <v>5.0092123445416852E-2</v>
      </c>
      <c r="S19" s="77">
        <v>0.13035467526485489</v>
      </c>
      <c r="T19" s="73">
        <v>35</v>
      </c>
      <c r="U19" s="78">
        <v>0.64399999999999991</v>
      </c>
      <c r="V19" s="78">
        <v>8.8279999999999994</v>
      </c>
      <c r="W19" s="78">
        <v>1.0680000000000001</v>
      </c>
      <c r="X19" s="78">
        <v>1.0680000000000001</v>
      </c>
      <c r="Y19" s="78">
        <v>8.1840000000000011</v>
      </c>
      <c r="Z19" s="19">
        <v>7.858780896541917E-2</v>
      </c>
      <c r="AA19" s="19">
        <v>0.13573060102515508</v>
      </c>
      <c r="AB19" s="79">
        <v>0.21431840999057425</v>
      </c>
    </row>
    <row r="20" spans="2:28">
      <c r="B20" s="65">
        <v>36</v>
      </c>
      <c r="C20" s="66">
        <v>0.59799999999999998</v>
      </c>
      <c r="D20" s="66">
        <v>8.51</v>
      </c>
      <c r="E20" s="66">
        <v>1.7729999999999999</v>
      </c>
      <c r="F20" s="66">
        <v>1.7729999999999999</v>
      </c>
      <c r="G20" s="66">
        <v>7.9119999999999999</v>
      </c>
      <c r="H20" s="67">
        <v>7.5581395348837205E-2</v>
      </c>
      <c r="I20" s="67">
        <v>0.22408998988877654</v>
      </c>
      <c r="J20" s="68">
        <v>0.29967138523761372</v>
      </c>
      <c r="K20" s="65">
        <v>36</v>
      </c>
      <c r="L20" s="66">
        <v>0.70399999999999996</v>
      </c>
      <c r="M20" s="66">
        <v>9.6370000000000005</v>
      </c>
      <c r="N20" s="69">
        <v>0.45100000000000001</v>
      </c>
      <c r="O20" s="66">
        <v>0.45100000000000001</v>
      </c>
      <c r="P20" s="66">
        <v>8.9329999999999998</v>
      </c>
      <c r="Q20" s="67">
        <v>7.8808910780252997E-2</v>
      </c>
      <c r="R20" s="67">
        <v>5.0486958468599574E-2</v>
      </c>
      <c r="S20" s="68">
        <v>0.12929586924885256</v>
      </c>
      <c r="T20" s="65">
        <v>36</v>
      </c>
      <c r="U20" s="70">
        <v>0.65100000000000002</v>
      </c>
      <c r="V20" s="70">
        <v>9.0734999999999992</v>
      </c>
      <c r="W20" s="70">
        <v>1.1119999999999999</v>
      </c>
      <c r="X20" s="70">
        <v>1.1119999999999999</v>
      </c>
      <c r="Y20" s="70">
        <v>8.4224999999999994</v>
      </c>
      <c r="Z20" s="71">
        <v>7.7195153064545108E-2</v>
      </c>
      <c r="AA20" s="71">
        <v>0.13728847417868806</v>
      </c>
      <c r="AB20" s="72">
        <v>0.21448362724323314</v>
      </c>
    </row>
    <row r="21" spans="2:28">
      <c r="B21" s="73">
        <v>37</v>
      </c>
      <c r="C21" s="74">
        <v>0.6</v>
      </c>
      <c r="D21" s="74">
        <v>8.75</v>
      </c>
      <c r="E21" s="74">
        <v>1.8440000000000001</v>
      </c>
      <c r="F21" s="74">
        <v>1.8440000000000001</v>
      </c>
      <c r="G21" s="74">
        <v>8.15</v>
      </c>
      <c r="H21" s="75">
        <v>7.3619631901840482E-2</v>
      </c>
      <c r="I21" s="75">
        <v>0.22625766871165645</v>
      </c>
      <c r="J21" s="68">
        <v>0.29987730061349693</v>
      </c>
      <c r="K21" s="73">
        <v>37</v>
      </c>
      <c r="L21" s="74">
        <v>0.70499999999999996</v>
      </c>
      <c r="M21" s="74">
        <v>9.8970000000000002</v>
      </c>
      <c r="N21" s="76">
        <v>0.46700000000000003</v>
      </c>
      <c r="O21" s="74">
        <v>0.46700000000000003</v>
      </c>
      <c r="P21" s="74">
        <v>9.1920000000000002</v>
      </c>
      <c r="Q21" s="75">
        <v>7.6697127937336809E-2</v>
      </c>
      <c r="R21" s="75">
        <v>5.0805047867711055E-2</v>
      </c>
      <c r="S21" s="77">
        <v>0.12750217580504786</v>
      </c>
      <c r="T21" s="73">
        <v>37</v>
      </c>
      <c r="U21" s="78">
        <v>0.65249999999999997</v>
      </c>
      <c r="V21" s="78">
        <v>9.3234999999999992</v>
      </c>
      <c r="W21" s="78">
        <v>1.1555</v>
      </c>
      <c r="X21" s="78">
        <v>1.1555</v>
      </c>
      <c r="Y21" s="78">
        <v>8.6709999999999994</v>
      </c>
      <c r="Z21" s="19">
        <v>7.5158379919588653E-2</v>
      </c>
      <c r="AA21" s="19">
        <v>0.13853135828968374</v>
      </c>
      <c r="AB21" s="79">
        <v>0.2136897382092724</v>
      </c>
    </row>
    <row r="22" spans="2:28">
      <c r="B22" s="65">
        <v>38</v>
      </c>
      <c r="C22" s="66">
        <v>0.59599999999999997</v>
      </c>
      <c r="D22" s="66">
        <v>8.9930000000000003</v>
      </c>
      <c r="E22" s="66">
        <v>1.9159999999999999</v>
      </c>
      <c r="F22" s="66">
        <v>1.9159999999999999</v>
      </c>
      <c r="G22" s="66">
        <v>8.3970000000000002</v>
      </c>
      <c r="H22" s="67">
        <v>7.097773014171728E-2</v>
      </c>
      <c r="I22" s="67">
        <v>0.22817672978444681</v>
      </c>
      <c r="J22" s="68">
        <v>0.29915445992616407</v>
      </c>
      <c r="K22" s="65">
        <v>38</v>
      </c>
      <c r="L22" s="66">
        <v>0.70099999999999996</v>
      </c>
      <c r="M22" s="66">
        <v>10.161</v>
      </c>
      <c r="N22" s="69">
        <v>0.48199999999999998</v>
      </c>
      <c r="O22" s="66">
        <v>0.48199999999999998</v>
      </c>
      <c r="P22" s="66">
        <v>9.4599999999999991</v>
      </c>
      <c r="Q22" s="67">
        <v>7.4101479915433408E-2</v>
      </c>
      <c r="R22" s="67">
        <v>5.0951374207188163E-2</v>
      </c>
      <c r="S22" s="68">
        <v>0.12505285412262157</v>
      </c>
      <c r="T22" s="65">
        <v>38</v>
      </c>
      <c r="U22" s="70">
        <v>0.64849999999999997</v>
      </c>
      <c r="V22" s="70">
        <v>9.577</v>
      </c>
      <c r="W22" s="70">
        <v>1.1989999999999998</v>
      </c>
      <c r="X22" s="70">
        <v>1.1989999999999998</v>
      </c>
      <c r="Y22" s="70">
        <v>8.9284999999999997</v>
      </c>
      <c r="Z22" s="71">
        <v>7.2539605028575344E-2</v>
      </c>
      <c r="AA22" s="71">
        <v>0.13956405199581748</v>
      </c>
      <c r="AB22" s="72">
        <v>0.21210365702439282</v>
      </c>
    </row>
    <row r="23" spans="2:28">
      <c r="B23" s="73">
        <v>39</v>
      </c>
      <c r="C23" s="74">
        <v>0.58799999999999997</v>
      </c>
      <c r="D23" s="74">
        <v>9.2409999999999997</v>
      </c>
      <c r="E23" s="74">
        <v>1.988</v>
      </c>
      <c r="F23" s="74">
        <v>1.988</v>
      </c>
      <c r="G23" s="74">
        <v>8.6530000000000005</v>
      </c>
      <c r="H23" s="75">
        <v>6.7953310990407939E-2</v>
      </c>
      <c r="I23" s="75">
        <v>0.22974690858661734</v>
      </c>
      <c r="J23" s="68">
        <v>0.2977002195770253</v>
      </c>
      <c r="K23" s="73">
        <v>39</v>
      </c>
      <c r="L23" s="74">
        <v>0.69</v>
      </c>
      <c r="M23" s="74">
        <v>10.43</v>
      </c>
      <c r="N23" s="76">
        <v>0.496</v>
      </c>
      <c r="O23" s="74">
        <v>0.496</v>
      </c>
      <c r="P23" s="74">
        <v>9.74</v>
      </c>
      <c r="Q23" s="75">
        <v>7.0841889117043116E-2</v>
      </c>
      <c r="R23" s="75">
        <v>5.0924024640657081E-2</v>
      </c>
      <c r="S23" s="77">
        <v>0.1217659137577002</v>
      </c>
      <c r="T23" s="73">
        <v>39</v>
      </c>
      <c r="U23" s="78">
        <v>0.63900000000000001</v>
      </c>
      <c r="V23" s="78">
        <v>9.8354999999999997</v>
      </c>
      <c r="W23" s="78">
        <v>1.242</v>
      </c>
      <c r="X23" s="78">
        <v>1.242</v>
      </c>
      <c r="Y23" s="78">
        <v>9.1965000000000003</v>
      </c>
      <c r="Z23" s="19">
        <v>6.9397600053725528E-2</v>
      </c>
      <c r="AA23" s="19">
        <v>0.14033546661363722</v>
      </c>
      <c r="AB23" s="79">
        <v>0.20973306666736274</v>
      </c>
    </row>
    <row r="24" spans="2:28">
      <c r="B24" s="65">
        <v>40</v>
      </c>
      <c r="C24" s="66">
        <v>0.57599999999999996</v>
      </c>
      <c r="D24" s="66">
        <v>9.4939999999999998</v>
      </c>
      <c r="E24" s="66">
        <v>2.0609999999999999</v>
      </c>
      <c r="F24" s="66">
        <v>2.0609999999999999</v>
      </c>
      <c r="G24" s="66">
        <v>8.9179999999999993</v>
      </c>
      <c r="H24" s="67">
        <v>6.4588472751738055E-2</v>
      </c>
      <c r="I24" s="67">
        <v>0.23110562906481275</v>
      </c>
      <c r="J24" s="68">
        <v>0.29569410181655081</v>
      </c>
      <c r="K24" s="65">
        <v>40</v>
      </c>
      <c r="L24" s="66">
        <v>0.67500000000000004</v>
      </c>
      <c r="M24" s="66">
        <v>10.705</v>
      </c>
      <c r="N24" s="69">
        <v>0.50900000000000001</v>
      </c>
      <c r="O24" s="66">
        <v>0.50900000000000001</v>
      </c>
      <c r="P24" s="66">
        <v>10.029999999999999</v>
      </c>
      <c r="Q24" s="67">
        <v>6.7298105682951151E-2</v>
      </c>
      <c r="R24" s="67">
        <v>5.0747756729810571E-2</v>
      </c>
      <c r="S24" s="68">
        <v>0.11804586241276172</v>
      </c>
      <c r="T24" s="65">
        <v>40</v>
      </c>
      <c r="U24" s="70">
        <v>0.62549999999999994</v>
      </c>
      <c r="V24" s="70">
        <v>10.099499999999999</v>
      </c>
      <c r="W24" s="70">
        <v>1.2849999999999999</v>
      </c>
      <c r="X24" s="70">
        <v>1.2849999999999999</v>
      </c>
      <c r="Y24" s="70">
        <v>9.4740000000000002</v>
      </c>
      <c r="Z24" s="71">
        <v>6.5943289217344603E-2</v>
      </c>
      <c r="AA24" s="71">
        <v>0.14092669289731166</v>
      </c>
      <c r="AB24" s="72">
        <v>0.20686998211465626</v>
      </c>
    </row>
    <row r="25" spans="2:28">
      <c r="B25" s="73">
        <v>41</v>
      </c>
      <c r="C25" s="74">
        <v>0.56100000000000005</v>
      </c>
      <c r="D25" s="74">
        <v>9.7560000000000002</v>
      </c>
      <c r="E25" s="74">
        <v>2.1349999999999998</v>
      </c>
      <c r="F25" s="74">
        <v>2.1349999999999998</v>
      </c>
      <c r="G25" s="74">
        <v>9.1950000000000003</v>
      </c>
      <c r="H25" s="75">
        <v>6.1011419249592171E-2</v>
      </c>
      <c r="I25" s="75">
        <v>0.23219140837411634</v>
      </c>
      <c r="J25" s="68">
        <v>0.29320282762370853</v>
      </c>
      <c r="K25" s="73">
        <v>41</v>
      </c>
      <c r="L25" s="74">
        <v>0.65600000000000003</v>
      </c>
      <c r="M25" s="74">
        <v>10.986000000000001</v>
      </c>
      <c r="N25" s="76">
        <v>0.52300000000000002</v>
      </c>
      <c r="O25" s="74">
        <v>0.52300000000000002</v>
      </c>
      <c r="P25" s="74">
        <v>10.33</v>
      </c>
      <c r="Q25" s="75">
        <v>6.3504356243949664E-2</v>
      </c>
      <c r="R25" s="75">
        <v>5.0629235237173283E-2</v>
      </c>
      <c r="S25" s="77">
        <v>0.11413359148112295</v>
      </c>
      <c r="T25" s="73">
        <v>41</v>
      </c>
      <c r="U25" s="78">
        <v>0.60850000000000004</v>
      </c>
      <c r="V25" s="78">
        <v>10.371</v>
      </c>
      <c r="W25" s="78">
        <v>1.329</v>
      </c>
      <c r="X25" s="78">
        <v>1.329</v>
      </c>
      <c r="Y25" s="78">
        <v>9.7624999999999993</v>
      </c>
      <c r="Z25" s="19">
        <v>6.2257887746770921E-2</v>
      </c>
      <c r="AA25" s="19">
        <v>0.14141032180564481</v>
      </c>
      <c r="AB25" s="79">
        <v>0.20366820955241574</v>
      </c>
    </row>
    <row r="26" spans="2:28">
      <c r="B26" s="65">
        <v>42</v>
      </c>
      <c r="C26" s="66">
        <v>0.54600000000000004</v>
      </c>
      <c r="D26" s="66">
        <v>10.026</v>
      </c>
      <c r="E26" s="66">
        <v>2.21</v>
      </c>
      <c r="F26" s="66">
        <v>2.21</v>
      </c>
      <c r="G26" s="66">
        <v>9.48</v>
      </c>
      <c r="H26" s="67">
        <v>5.7594936708860761E-2</v>
      </c>
      <c r="I26" s="67">
        <v>0.2331223628691983</v>
      </c>
      <c r="J26" s="68">
        <v>0.29071729957805903</v>
      </c>
      <c r="K26" s="65">
        <v>42</v>
      </c>
      <c r="L26" s="66">
        <v>0.63500000000000001</v>
      </c>
      <c r="M26" s="66">
        <v>11.276</v>
      </c>
      <c r="N26" s="69">
        <v>0.53600000000000003</v>
      </c>
      <c r="O26" s="66">
        <v>0.53600000000000003</v>
      </c>
      <c r="P26" s="66">
        <v>10.641</v>
      </c>
      <c r="Q26" s="67">
        <v>5.9674842589982145E-2</v>
      </c>
      <c r="R26" s="67">
        <v>5.0371205713748708E-2</v>
      </c>
      <c r="S26" s="68">
        <v>0.11004604830373085</v>
      </c>
      <c r="T26" s="65">
        <v>42</v>
      </c>
      <c r="U26" s="70">
        <v>0.59050000000000002</v>
      </c>
      <c r="V26" s="70">
        <v>10.651</v>
      </c>
      <c r="W26" s="70">
        <v>1.373</v>
      </c>
      <c r="X26" s="70">
        <v>1.373</v>
      </c>
      <c r="Y26" s="70">
        <v>10.060500000000001</v>
      </c>
      <c r="Z26" s="71">
        <v>5.8634889649421457E-2</v>
      </c>
      <c r="AA26" s="71">
        <v>0.1417467842914735</v>
      </c>
      <c r="AB26" s="72">
        <v>0.20038167394089496</v>
      </c>
    </row>
    <row r="27" spans="2:28">
      <c r="B27" s="73">
        <v>43</v>
      </c>
      <c r="C27" s="74">
        <v>0.53100000000000003</v>
      </c>
      <c r="D27" s="74">
        <v>10.305999999999999</v>
      </c>
      <c r="E27" s="74">
        <v>2.286</v>
      </c>
      <c r="F27" s="74">
        <v>2.286</v>
      </c>
      <c r="G27" s="74">
        <v>9.7749999999999986</v>
      </c>
      <c r="H27" s="75">
        <v>5.4322250639386199E-2</v>
      </c>
      <c r="I27" s="75">
        <v>0.23386189258312023</v>
      </c>
      <c r="J27" s="68">
        <v>0.28818414322250641</v>
      </c>
      <c r="K27" s="73">
        <v>43</v>
      </c>
      <c r="L27" s="74">
        <v>0.61199999999999999</v>
      </c>
      <c r="M27" s="74">
        <v>11.574999999999999</v>
      </c>
      <c r="N27" s="76">
        <v>0.54900000000000004</v>
      </c>
      <c r="O27" s="74">
        <v>0.54900000000000004</v>
      </c>
      <c r="P27" s="74">
        <v>10.962999999999999</v>
      </c>
      <c r="Q27" s="75">
        <v>5.5824135729271189E-2</v>
      </c>
      <c r="R27" s="75">
        <v>5.0077533521846219E-2</v>
      </c>
      <c r="S27" s="77">
        <v>0.10590166925111741</v>
      </c>
      <c r="T27" s="73">
        <v>43</v>
      </c>
      <c r="U27" s="78">
        <v>0.57150000000000001</v>
      </c>
      <c r="V27" s="78">
        <v>10.9405</v>
      </c>
      <c r="W27" s="78">
        <v>1.4175</v>
      </c>
      <c r="X27" s="78">
        <v>1.4175</v>
      </c>
      <c r="Y27" s="78">
        <v>10.369</v>
      </c>
      <c r="Z27" s="19">
        <v>5.5073193184328698E-2</v>
      </c>
      <c r="AA27" s="19">
        <v>0.14196971305248324</v>
      </c>
      <c r="AB27" s="79">
        <v>0.19704290623681192</v>
      </c>
    </row>
    <row r="28" spans="2:28">
      <c r="B28" s="65">
        <v>44</v>
      </c>
      <c r="C28" s="66">
        <v>0.51500000000000001</v>
      </c>
      <c r="D28" s="66">
        <v>10.596</v>
      </c>
      <c r="E28" s="66">
        <v>2.3639999999999999</v>
      </c>
      <c r="F28" s="66">
        <v>2.3639999999999999</v>
      </c>
      <c r="G28" s="66">
        <v>10.081</v>
      </c>
      <c r="H28" s="67">
        <v>5.108620176569785E-2</v>
      </c>
      <c r="I28" s="67">
        <v>0.23450054558079556</v>
      </c>
      <c r="J28" s="68">
        <v>0.28558674734649342</v>
      </c>
      <c r="K28" s="65">
        <v>44</v>
      </c>
      <c r="L28" s="66">
        <v>0.58699999999999997</v>
      </c>
      <c r="M28" s="66">
        <v>11.884</v>
      </c>
      <c r="N28" s="69">
        <v>0.56100000000000005</v>
      </c>
      <c r="O28" s="66">
        <v>0.56100000000000005</v>
      </c>
      <c r="P28" s="66">
        <v>11.297000000000001</v>
      </c>
      <c r="Q28" s="67">
        <v>5.1960697530317776E-2</v>
      </c>
      <c r="R28" s="67">
        <v>4.9659201557935739E-2</v>
      </c>
      <c r="S28" s="68">
        <v>0.10161989908825352</v>
      </c>
      <c r="T28" s="65">
        <v>44</v>
      </c>
      <c r="U28" s="70">
        <v>0.55099999999999993</v>
      </c>
      <c r="V28" s="70">
        <v>11.24</v>
      </c>
      <c r="W28" s="70">
        <v>1.4624999999999999</v>
      </c>
      <c r="X28" s="70">
        <v>1.4624999999999999</v>
      </c>
      <c r="Y28" s="70">
        <v>10.689</v>
      </c>
      <c r="Z28" s="71">
        <v>5.1523449648007813E-2</v>
      </c>
      <c r="AA28" s="71">
        <v>0.14207987356936563</v>
      </c>
      <c r="AB28" s="72">
        <v>0.19360332321737347</v>
      </c>
    </row>
    <row r="29" spans="2:28">
      <c r="B29" s="73">
        <v>45</v>
      </c>
      <c r="C29" s="74">
        <v>0.498</v>
      </c>
      <c r="D29" s="74">
        <v>10.897</v>
      </c>
      <c r="E29" s="74">
        <v>2.4409999999999998</v>
      </c>
      <c r="F29" s="74">
        <v>2.4409999999999998</v>
      </c>
      <c r="G29" s="74">
        <v>10.399000000000001</v>
      </c>
      <c r="H29" s="75">
        <v>4.788922011731897E-2</v>
      </c>
      <c r="I29" s="75">
        <v>0.23473410904894698</v>
      </c>
      <c r="J29" s="68">
        <v>0.28262332916626598</v>
      </c>
      <c r="K29" s="73">
        <v>45</v>
      </c>
      <c r="L29" s="74">
        <v>0.56000000000000005</v>
      </c>
      <c r="M29" s="74">
        <v>12.202999999999999</v>
      </c>
      <c r="N29" s="76">
        <v>0.57399999999999995</v>
      </c>
      <c r="O29" s="74">
        <v>0.57399999999999995</v>
      </c>
      <c r="P29" s="74">
        <v>11.642999999999999</v>
      </c>
      <c r="Q29" s="75">
        <v>4.8097569354977249E-2</v>
      </c>
      <c r="R29" s="75">
        <v>4.9300008588851668E-2</v>
      </c>
      <c r="S29" s="77">
        <v>9.7397577943828917E-2</v>
      </c>
      <c r="T29" s="73">
        <v>45</v>
      </c>
      <c r="U29" s="78">
        <v>0.52900000000000003</v>
      </c>
      <c r="V29" s="78">
        <v>11.55</v>
      </c>
      <c r="W29" s="78">
        <v>1.5074999999999998</v>
      </c>
      <c r="X29" s="78">
        <v>1.5074999999999998</v>
      </c>
      <c r="Y29" s="78">
        <v>11.021000000000001</v>
      </c>
      <c r="Z29" s="19">
        <v>4.7993394736148109E-2</v>
      </c>
      <c r="AA29" s="19">
        <v>0.14201705881889931</v>
      </c>
      <c r="AB29" s="79">
        <v>0.19001045355504745</v>
      </c>
    </row>
    <row r="30" spans="2:28">
      <c r="B30" s="65">
        <v>46</v>
      </c>
      <c r="C30" s="66">
        <v>0.48</v>
      </c>
      <c r="D30" s="66">
        <v>11.208</v>
      </c>
      <c r="E30" s="66">
        <v>2.5190000000000001</v>
      </c>
      <c r="F30" s="66">
        <v>2.5190000000000001</v>
      </c>
      <c r="G30" s="66">
        <v>10.728</v>
      </c>
      <c r="H30" s="67">
        <v>4.4742729306487698E-2</v>
      </c>
      <c r="I30" s="67">
        <v>0.2348061148396719</v>
      </c>
      <c r="J30" s="68">
        <v>0.2795488441461596</v>
      </c>
      <c r="K30" s="65">
        <v>46</v>
      </c>
      <c r="L30" s="66">
        <v>0.53300000000000003</v>
      </c>
      <c r="M30" s="66">
        <v>12.532</v>
      </c>
      <c r="N30" s="69">
        <v>0.58599999999999997</v>
      </c>
      <c r="O30" s="66">
        <v>0.58599999999999997</v>
      </c>
      <c r="P30" s="66">
        <v>11.999000000000001</v>
      </c>
      <c r="Q30" s="67">
        <v>4.4420368364030335E-2</v>
      </c>
      <c r="R30" s="67">
        <v>4.8837403116926408E-2</v>
      </c>
      <c r="S30" s="68">
        <v>9.3257771480956736E-2</v>
      </c>
      <c r="T30" s="65">
        <v>46</v>
      </c>
      <c r="U30" s="70">
        <v>0.50649999999999995</v>
      </c>
      <c r="V30" s="70">
        <v>11.870000000000001</v>
      </c>
      <c r="W30" s="70">
        <v>1.5525</v>
      </c>
      <c r="X30" s="70">
        <v>1.5525</v>
      </c>
      <c r="Y30" s="70">
        <v>11.3635</v>
      </c>
      <c r="Z30" s="71">
        <v>4.4581548835259013E-2</v>
      </c>
      <c r="AA30" s="71">
        <v>0.14182175897829916</v>
      </c>
      <c r="AB30" s="72">
        <v>0.18640330781355818</v>
      </c>
    </row>
    <row r="31" spans="2:28">
      <c r="B31" s="73">
        <v>47</v>
      </c>
      <c r="C31" s="74">
        <v>0.45900000000000002</v>
      </c>
      <c r="D31" s="74">
        <v>11.53</v>
      </c>
      <c r="E31" s="74">
        <v>2.5960000000000001</v>
      </c>
      <c r="F31" s="74">
        <v>2.5960000000000001</v>
      </c>
      <c r="G31" s="74">
        <v>11.071</v>
      </c>
      <c r="H31" s="75">
        <v>4.1459669406557674E-2</v>
      </c>
      <c r="I31" s="75">
        <v>0.23448649625146781</v>
      </c>
      <c r="J31" s="68">
        <v>0.27594616565802549</v>
      </c>
      <c r="K31" s="73">
        <v>47</v>
      </c>
      <c r="L31" s="74">
        <v>0.503</v>
      </c>
      <c r="M31" s="74">
        <v>12.872999999999999</v>
      </c>
      <c r="N31" s="76">
        <v>0.59799999999999998</v>
      </c>
      <c r="O31" s="74">
        <v>0.59799999999999998</v>
      </c>
      <c r="P31" s="74">
        <v>12.37</v>
      </c>
      <c r="Q31" s="75">
        <v>4.066289409862571E-2</v>
      </c>
      <c r="R31" s="75">
        <v>4.8342764753435734E-2</v>
      </c>
      <c r="S31" s="77">
        <v>8.9005658852061437E-2</v>
      </c>
      <c r="T31" s="73">
        <v>47</v>
      </c>
      <c r="U31" s="78">
        <v>0.48099999999999998</v>
      </c>
      <c r="V31" s="78">
        <v>12.201499999999999</v>
      </c>
      <c r="W31" s="78">
        <v>1.597</v>
      </c>
      <c r="X31" s="78">
        <v>1.597</v>
      </c>
      <c r="Y31" s="78">
        <v>11.720499999999999</v>
      </c>
      <c r="Z31" s="19">
        <v>4.1061281752591688E-2</v>
      </c>
      <c r="AA31" s="19">
        <v>0.14141463050245176</v>
      </c>
      <c r="AB31" s="79">
        <v>0.18247591225504345</v>
      </c>
    </row>
    <row r="32" spans="2:28">
      <c r="B32" s="65">
        <v>48</v>
      </c>
      <c r="C32" s="66">
        <v>0.436</v>
      </c>
      <c r="D32" s="66">
        <v>11.863</v>
      </c>
      <c r="E32" s="66">
        <v>2.6720000000000002</v>
      </c>
      <c r="F32" s="66">
        <v>2.6720000000000002</v>
      </c>
      <c r="G32" s="66">
        <v>11.427</v>
      </c>
      <c r="H32" s="67">
        <v>3.8155246346372629E-2</v>
      </c>
      <c r="I32" s="67">
        <v>0.23383215192088913</v>
      </c>
      <c r="J32" s="68">
        <v>0.27198739826726176</v>
      </c>
      <c r="K32" s="65">
        <v>48</v>
      </c>
      <c r="L32" s="66">
        <v>0.47099999999999997</v>
      </c>
      <c r="M32" s="66">
        <v>13.224</v>
      </c>
      <c r="N32" s="69">
        <v>0.60899999999999999</v>
      </c>
      <c r="O32" s="66">
        <v>0.60899999999999999</v>
      </c>
      <c r="P32" s="66">
        <v>12.753</v>
      </c>
      <c r="Q32" s="67">
        <v>3.6932486473770877E-2</v>
      </c>
      <c r="R32" s="67">
        <v>4.7753469771818394E-2</v>
      </c>
      <c r="S32" s="68">
        <v>8.4685956245589278E-2</v>
      </c>
      <c r="T32" s="65">
        <v>48</v>
      </c>
      <c r="U32" s="70">
        <v>0.45350000000000001</v>
      </c>
      <c r="V32" s="70">
        <v>12.5435</v>
      </c>
      <c r="W32" s="70">
        <v>1.6405000000000001</v>
      </c>
      <c r="X32" s="70">
        <v>1.6405000000000001</v>
      </c>
      <c r="Y32" s="70">
        <v>12.09</v>
      </c>
      <c r="Z32" s="71">
        <v>3.754386641007175E-2</v>
      </c>
      <c r="AA32" s="71">
        <v>0.14079281084635376</v>
      </c>
      <c r="AB32" s="72">
        <v>0.17833667725642552</v>
      </c>
    </row>
    <row r="33" spans="2:28">
      <c r="B33" s="73">
        <v>49</v>
      </c>
      <c r="C33" s="74">
        <v>0.41</v>
      </c>
      <c r="D33" s="74">
        <v>12.206</v>
      </c>
      <c r="E33" s="74">
        <v>2.7469999999999999</v>
      </c>
      <c r="F33" s="74">
        <v>2.7469999999999999</v>
      </c>
      <c r="G33" s="74">
        <v>11.795999999999999</v>
      </c>
      <c r="H33" s="75">
        <v>3.4757544930484913E-2</v>
      </c>
      <c r="I33" s="75">
        <v>0.2328755510342489</v>
      </c>
      <c r="J33" s="68">
        <v>0.26763309596473384</v>
      </c>
      <c r="K33" s="73">
        <v>49</v>
      </c>
      <c r="L33" s="74">
        <v>0.437</v>
      </c>
      <c r="M33" s="74">
        <v>13.587</v>
      </c>
      <c r="N33" s="76">
        <v>0.62</v>
      </c>
      <c r="O33" s="74">
        <v>0.62</v>
      </c>
      <c r="P33" s="74">
        <v>13.15</v>
      </c>
      <c r="Q33" s="75">
        <v>3.3231939163498099E-2</v>
      </c>
      <c r="R33" s="75">
        <v>4.714828897338403E-2</v>
      </c>
      <c r="S33" s="77">
        <v>8.0380228136882129E-2</v>
      </c>
      <c r="T33" s="73">
        <v>49</v>
      </c>
      <c r="U33" s="78">
        <v>0.42349999999999999</v>
      </c>
      <c r="V33" s="78">
        <v>12.8965</v>
      </c>
      <c r="W33" s="78">
        <v>1.6835</v>
      </c>
      <c r="X33" s="78">
        <v>1.6835</v>
      </c>
      <c r="Y33" s="78">
        <v>12.472999999999999</v>
      </c>
      <c r="Z33" s="19">
        <v>3.3994742046991502E-2</v>
      </c>
      <c r="AA33" s="19">
        <v>0.14001192000381646</v>
      </c>
      <c r="AB33" s="79">
        <v>0.17400666205080798</v>
      </c>
    </row>
    <row r="34" spans="2:28">
      <c r="B34" s="65">
        <v>50</v>
      </c>
      <c r="C34" s="66">
        <v>0.38</v>
      </c>
      <c r="D34" s="66">
        <v>12.561999999999999</v>
      </c>
      <c r="E34" s="66">
        <v>2.8210000000000002</v>
      </c>
      <c r="F34" s="66">
        <v>2.8210000000000002</v>
      </c>
      <c r="G34" s="66">
        <v>12.181999999999999</v>
      </c>
      <c r="H34" s="67">
        <v>3.1193564275160075E-2</v>
      </c>
      <c r="I34" s="67">
        <v>0.23157117057954363</v>
      </c>
      <c r="J34" s="68">
        <v>0.2627647348547037</v>
      </c>
      <c r="K34" s="65">
        <v>50</v>
      </c>
      <c r="L34" s="66">
        <v>0.40100000000000002</v>
      </c>
      <c r="M34" s="66">
        <v>13.961</v>
      </c>
      <c r="N34" s="69">
        <v>0.63</v>
      </c>
      <c r="O34" s="66">
        <v>0.63</v>
      </c>
      <c r="P34" s="66">
        <v>13.56</v>
      </c>
      <c r="Q34" s="67">
        <v>2.957227138643068E-2</v>
      </c>
      <c r="R34" s="67">
        <v>4.6460176991150438E-2</v>
      </c>
      <c r="S34" s="68">
        <v>7.6032448377581122E-2</v>
      </c>
      <c r="T34" s="65">
        <v>50</v>
      </c>
      <c r="U34" s="70">
        <v>0.39050000000000001</v>
      </c>
      <c r="V34" s="70">
        <v>13.2615</v>
      </c>
      <c r="W34" s="70">
        <v>1.7255</v>
      </c>
      <c r="X34" s="70">
        <v>1.7255</v>
      </c>
      <c r="Y34" s="70">
        <v>12.870999999999999</v>
      </c>
      <c r="Z34" s="71">
        <v>3.0382917830795379E-2</v>
      </c>
      <c r="AA34" s="71">
        <v>0.13901567378534704</v>
      </c>
      <c r="AB34" s="72">
        <v>0.1693985916161424</v>
      </c>
    </row>
    <row r="35" spans="2:28">
      <c r="B35" s="73">
        <v>51</v>
      </c>
      <c r="C35" s="74">
        <v>0.34599999999999997</v>
      </c>
      <c r="D35" s="74">
        <v>12.93</v>
      </c>
      <c r="E35" s="74">
        <v>2.8929999999999998</v>
      </c>
      <c r="F35" s="74">
        <v>2.8929999999999998</v>
      </c>
      <c r="G35" s="74">
        <v>12.584</v>
      </c>
      <c r="H35" s="75">
        <v>2.7495232040686584E-2</v>
      </c>
      <c r="I35" s="75">
        <v>0.2298951048951049</v>
      </c>
      <c r="J35" s="68">
        <v>0.2573903369357915</v>
      </c>
      <c r="K35" s="73">
        <v>51</v>
      </c>
      <c r="L35" s="74">
        <v>0.36099999999999999</v>
      </c>
      <c r="M35" s="74">
        <v>14.347</v>
      </c>
      <c r="N35" s="76">
        <v>0.63800000000000001</v>
      </c>
      <c r="O35" s="74">
        <v>0.63800000000000001</v>
      </c>
      <c r="P35" s="74">
        <v>13.985999999999999</v>
      </c>
      <c r="Q35" s="75">
        <v>2.5811525811525814E-2</v>
      </c>
      <c r="R35" s="75">
        <v>4.5617045617045625E-2</v>
      </c>
      <c r="S35" s="77">
        <v>7.1428571428571438E-2</v>
      </c>
      <c r="T35" s="73">
        <v>51</v>
      </c>
      <c r="U35" s="78">
        <v>0.35349999999999998</v>
      </c>
      <c r="V35" s="78">
        <v>13.638500000000001</v>
      </c>
      <c r="W35" s="78">
        <v>1.7654999999999998</v>
      </c>
      <c r="X35" s="78">
        <v>1.7654999999999998</v>
      </c>
      <c r="Y35" s="78">
        <v>13.285</v>
      </c>
      <c r="Z35" s="19">
        <v>2.6653378926106197E-2</v>
      </c>
      <c r="AA35" s="19">
        <v>0.13775607525607525</v>
      </c>
      <c r="AB35" s="79">
        <v>0.16440945418218147</v>
      </c>
    </row>
    <row r="36" spans="2:28">
      <c r="B36" s="65">
        <v>52</v>
      </c>
      <c r="C36" s="66">
        <v>0.309</v>
      </c>
      <c r="D36" s="66">
        <v>13.311999999999999</v>
      </c>
      <c r="E36" s="66">
        <v>2.9630000000000001</v>
      </c>
      <c r="F36" s="66">
        <v>2.9630000000000001</v>
      </c>
      <c r="G36" s="66">
        <v>13.003</v>
      </c>
      <c r="H36" s="67">
        <v>2.3763746827655155E-2</v>
      </c>
      <c r="I36" s="67">
        <v>0.22787049142505575</v>
      </c>
      <c r="J36" s="68">
        <v>0.25163423825271092</v>
      </c>
      <c r="K36" s="65">
        <v>52</v>
      </c>
      <c r="L36" s="66">
        <v>0.31900000000000001</v>
      </c>
      <c r="M36" s="66">
        <v>14.746</v>
      </c>
      <c r="N36" s="69">
        <v>0.64600000000000002</v>
      </c>
      <c r="O36" s="66">
        <v>0.64600000000000002</v>
      </c>
      <c r="P36" s="66">
        <v>14.427</v>
      </c>
      <c r="Q36" s="67">
        <v>2.2111319054550497E-2</v>
      </c>
      <c r="R36" s="67">
        <v>4.4777153947459625E-2</v>
      </c>
      <c r="S36" s="68">
        <v>6.6888473002010118E-2</v>
      </c>
      <c r="T36" s="65">
        <v>52</v>
      </c>
      <c r="U36" s="70">
        <v>0.314</v>
      </c>
      <c r="V36" s="70">
        <v>14.029</v>
      </c>
      <c r="W36" s="70">
        <v>1.8045</v>
      </c>
      <c r="X36" s="70">
        <v>1.8045</v>
      </c>
      <c r="Y36" s="70">
        <v>13.715</v>
      </c>
      <c r="Z36" s="71">
        <v>2.2937532941102824E-2</v>
      </c>
      <c r="AA36" s="71">
        <v>0.1363238226862577</v>
      </c>
      <c r="AB36" s="72">
        <v>0.15926135562736052</v>
      </c>
    </row>
    <row r="37" spans="2:28">
      <c r="B37" s="73">
        <v>53</v>
      </c>
      <c r="C37" s="74">
        <v>0.27</v>
      </c>
      <c r="D37" s="74">
        <v>13.709</v>
      </c>
      <c r="E37" s="74">
        <v>3.032</v>
      </c>
      <c r="F37" s="74">
        <v>3.032</v>
      </c>
      <c r="G37" s="74">
        <v>13.439</v>
      </c>
      <c r="H37" s="75">
        <v>2.0090780564030061E-2</v>
      </c>
      <c r="I37" s="75">
        <v>0.22561202470421907</v>
      </c>
      <c r="J37" s="68">
        <v>0.24570280526824911</v>
      </c>
      <c r="K37" s="73">
        <v>53</v>
      </c>
      <c r="L37" s="74">
        <v>0.27500000000000002</v>
      </c>
      <c r="M37" s="74">
        <v>15.157999999999999</v>
      </c>
      <c r="N37" s="76">
        <v>0.65300000000000002</v>
      </c>
      <c r="O37" s="74">
        <v>0.65300000000000002</v>
      </c>
      <c r="P37" s="74">
        <v>14.882999999999999</v>
      </c>
      <c r="Q37" s="75">
        <v>1.8477457501847747E-2</v>
      </c>
      <c r="R37" s="75">
        <v>4.3875562722569379E-2</v>
      </c>
      <c r="S37" s="77">
        <v>6.2353020224417126E-2</v>
      </c>
      <c r="T37" s="73">
        <v>53</v>
      </c>
      <c r="U37" s="78">
        <v>0.27250000000000002</v>
      </c>
      <c r="V37" s="78">
        <v>14.433499999999999</v>
      </c>
      <c r="W37" s="78">
        <v>1.8425</v>
      </c>
      <c r="X37" s="78">
        <v>1.8425</v>
      </c>
      <c r="Y37" s="78">
        <v>14.161</v>
      </c>
      <c r="Z37" s="19">
        <v>1.9284119032938904E-2</v>
      </c>
      <c r="AA37" s="19">
        <v>0.13474379371339423</v>
      </c>
      <c r="AB37" s="79">
        <v>0.15402791274633312</v>
      </c>
    </row>
    <row r="38" spans="2:28">
      <c r="B38" s="65">
        <v>54</v>
      </c>
      <c r="C38" s="66">
        <v>0.22800000000000001</v>
      </c>
      <c r="D38" s="66">
        <v>14.12</v>
      </c>
      <c r="E38" s="66">
        <v>3.0990000000000002</v>
      </c>
      <c r="F38" s="66">
        <v>3.0990000000000002</v>
      </c>
      <c r="G38" s="66">
        <v>13.891999999999999</v>
      </c>
      <c r="H38" s="67">
        <v>1.6412323639504751E-2</v>
      </c>
      <c r="I38" s="67">
        <v>0.22307803052116329</v>
      </c>
      <c r="J38" s="68">
        <v>0.23949035416066805</v>
      </c>
      <c r="K38" s="65">
        <v>54</v>
      </c>
      <c r="L38" s="66">
        <v>0.22900000000000001</v>
      </c>
      <c r="M38" s="66">
        <v>15.585000000000001</v>
      </c>
      <c r="N38" s="69">
        <v>0.65900000000000003</v>
      </c>
      <c r="O38" s="66">
        <v>0.65900000000000003</v>
      </c>
      <c r="P38" s="66">
        <v>15.356000000000002</v>
      </c>
      <c r="Q38" s="67">
        <v>1.4912737692107318E-2</v>
      </c>
      <c r="R38" s="67">
        <v>4.2914821568116691E-2</v>
      </c>
      <c r="S38" s="68">
        <v>5.782755926022401E-2</v>
      </c>
      <c r="T38" s="65">
        <v>54</v>
      </c>
      <c r="U38" s="70">
        <v>0.22850000000000001</v>
      </c>
      <c r="V38" s="70">
        <v>14.852499999999999</v>
      </c>
      <c r="W38" s="70">
        <v>1.879</v>
      </c>
      <c r="X38" s="70">
        <v>1.879</v>
      </c>
      <c r="Y38" s="70">
        <v>14.624000000000001</v>
      </c>
      <c r="Z38" s="71">
        <v>1.5662530665806036E-2</v>
      </c>
      <c r="AA38" s="71">
        <v>0.13299642604463999</v>
      </c>
      <c r="AB38" s="72">
        <v>0.14865895671044604</v>
      </c>
    </row>
    <row r="39" spans="2:28">
      <c r="B39" s="73">
        <v>55</v>
      </c>
      <c r="C39" s="74">
        <v>0.184</v>
      </c>
      <c r="D39" s="74">
        <v>14.548</v>
      </c>
      <c r="E39" s="74">
        <v>3.165</v>
      </c>
      <c r="F39" s="74">
        <v>3.165</v>
      </c>
      <c r="G39" s="74">
        <v>14.364000000000001</v>
      </c>
      <c r="H39" s="75">
        <v>1.2809802283486493E-2</v>
      </c>
      <c r="I39" s="75">
        <v>0.22034252297410192</v>
      </c>
      <c r="J39" s="68">
        <v>0.23315232525758842</v>
      </c>
      <c r="K39" s="73">
        <v>55</v>
      </c>
      <c r="L39" s="74">
        <v>0.18099999999999999</v>
      </c>
      <c r="M39" s="74">
        <v>16.026</v>
      </c>
      <c r="N39" s="76">
        <v>0.66400000000000003</v>
      </c>
      <c r="O39" s="74">
        <v>0.66400000000000003</v>
      </c>
      <c r="P39" s="74">
        <v>15.845000000000001</v>
      </c>
      <c r="Q39" s="75">
        <v>1.1423161880719469E-2</v>
      </c>
      <c r="R39" s="75">
        <v>4.1905964026506787E-2</v>
      </c>
      <c r="S39" s="77">
        <v>5.3329125907226257E-2</v>
      </c>
      <c r="T39" s="73">
        <v>55</v>
      </c>
      <c r="U39" s="78">
        <v>0.1825</v>
      </c>
      <c r="V39" s="78">
        <v>15.286999999999999</v>
      </c>
      <c r="W39" s="78">
        <v>1.9145000000000001</v>
      </c>
      <c r="X39" s="78">
        <v>1.9145000000000001</v>
      </c>
      <c r="Y39" s="78">
        <v>15.104500000000002</v>
      </c>
      <c r="Z39" s="19">
        <v>1.2116482082102982E-2</v>
      </c>
      <c r="AA39" s="19">
        <v>0.13112424350030435</v>
      </c>
      <c r="AB39" s="79">
        <v>0.14324072558240733</v>
      </c>
    </row>
    <row r="40" spans="2:28">
      <c r="B40" s="65">
        <v>56</v>
      </c>
      <c r="C40" s="66">
        <v>0.13900000000000001</v>
      </c>
      <c r="D40" s="66">
        <v>14.993</v>
      </c>
      <c r="E40" s="66">
        <v>3.2320000000000002</v>
      </c>
      <c r="F40" s="66">
        <v>3.2320000000000002</v>
      </c>
      <c r="G40" s="66">
        <v>14.854000000000001</v>
      </c>
      <c r="H40" s="67">
        <v>9.35774875454423E-3</v>
      </c>
      <c r="I40" s="67">
        <v>0.21758448902652483</v>
      </c>
      <c r="J40" s="68">
        <v>0.22694223778106906</v>
      </c>
      <c r="K40" s="65">
        <v>56</v>
      </c>
      <c r="L40" s="66">
        <v>0.13500000000000001</v>
      </c>
      <c r="M40" s="66">
        <v>16.484999999999999</v>
      </c>
      <c r="N40" s="69">
        <v>0.66900000000000004</v>
      </c>
      <c r="O40" s="66">
        <v>0.66900000000000004</v>
      </c>
      <c r="P40" s="66">
        <v>16.349999999999998</v>
      </c>
      <c r="Q40" s="67">
        <v>8.2568807339449563E-3</v>
      </c>
      <c r="R40" s="67">
        <v>4.0917431192660558E-2</v>
      </c>
      <c r="S40" s="68">
        <v>4.9174311926605513E-2</v>
      </c>
      <c r="T40" s="65">
        <v>56</v>
      </c>
      <c r="U40" s="70">
        <v>0.13700000000000001</v>
      </c>
      <c r="V40" s="70">
        <v>15.739000000000001</v>
      </c>
      <c r="W40" s="70">
        <v>1.9505000000000001</v>
      </c>
      <c r="X40" s="70">
        <v>1.9505000000000001</v>
      </c>
      <c r="Y40" s="70">
        <v>15.602</v>
      </c>
      <c r="Z40" s="71">
        <v>8.8073147442445932E-3</v>
      </c>
      <c r="AA40" s="71">
        <v>0.12925096010959269</v>
      </c>
      <c r="AB40" s="72">
        <v>0.13805827485383729</v>
      </c>
    </row>
    <row r="41" spans="2:28">
      <c r="B41" s="73">
        <v>57</v>
      </c>
      <c r="C41" s="74">
        <v>9.5000000000000001E-2</v>
      </c>
      <c r="D41" s="74">
        <v>15.458</v>
      </c>
      <c r="E41" s="74">
        <v>3.2989999999999999</v>
      </c>
      <c r="F41" s="74">
        <v>3.2989999999999999</v>
      </c>
      <c r="G41" s="74">
        <v>15.363</v>
      </c>
      <c r="H41" s="75">
        <v>6.1836880817548656E-3</v>
      </c>
      <c r="I41" s="75">
        <v>0.21473670507062423</v>
      </c>
      <c r="J41" s="68">
        <v>0.2209203931523791</v>
      </c>
      <c r="K41" s="73">
        <v>57</v>
      </c>
      <c r="L41" s="74">
        <v>9.0999999999999998E-2</v>
      </c>
      <c r="M41" s="74">
        <v>16.963000000000001</v>
      </c>
      <c r="N41" s="76">
        <v>0.67300000000000004</v>
      </c>
      <c r="O41" s="74">
        <v>0.67300000000000004</v>
      </c>
      <c r="P41" s="74">
        <v>16.872</v>
      </c>
      <c r="Q41" s="75">
        <v>5.3935514461830253E-3</v>
      </c>
      <c r="R41" s="75">
        <v>3.988857278330963E-2</v>
      </c>
      <c r="S41" s="77">
        <v>4.5282124229492654E-2</v>
      </c>
      <c r="T41" s="73">
        <v>57</v>
      </c>
      <c r="U41" s="78">
        <v>9.2999999999999999E-2</v>
      </c>
      <c r="V41" s="78">
        <v>16.2105</v>
      </c>
      <c r="W41" s="78">
        <v>1.986</v>
      </c>
      <c r="X41" s="78">
        <v>1.986</v>
      </c>
      <c r="Y41" s="78">
        <v>16.1175</v>
      </c>
      <c r="Z41" s="19">
        <v>5.7886197639689455E-3</v>
      </c>
      <c r="AA41" s="19">
        <v>0.12731263892696693</v>
      </c>
      <c r="AB41" s="79">
        <v>0.13310125869093586</v>
      </c>
    </row>
    <row r="42" spans="2:28">
      <c r="B42" s="65">
        <v>58</v>
      </c>
      <c r="C42" s="66">
        <v>5.7000000000000002E-2</v>
      </c>
      <c r="D42" s="66">
        <v>15.943</v>
      </c>
      <c r="E42" s="66">
        <v>3.3679999999999999</v>
      </c>
      <c r="F42" s="66">
        <v>3.3679999999999999</v>
      </c>
      <c r="G42" s="66">
        <v>15.885999999999999</v>
      </c>
      <c r="H42" s="67">
        <v>3.5880649628603806E-3</v>
      </c>
      <c r="I42" s="67">
        <v>0.21201057534936421</v>
      </c>
      <c r="J42" s="68">
        <v>0.21559864031222459</v>
      </c>
      <c r="K42" s="65">
        <v>58</v>
      </c>
      <c r="L42" s="66">
        <v>5.1999999999999998E-2</v>
      </c>
      <c r="M42" s="66">
        <v>17.463000000000001</v>
      </c>
      <c r="N42" s="69">
        <v>0.67800000000000005</v>
      </c>
      <c r="O42" s="66">
        <v>0.67800000000000005</v>
      </c>
      <c r="P42" s="66">
        <v>17.411000000000001</v>
      </c>
      <c r="Q42" s="67">
        <v>2.9866176555051402E-3</v>
      </c>
      <c r="R42" s="67">
        <v>3.8940899431393949E-2</v>
      </c>
      <c r="S42" s="68">
        <v>4.192751708689909E-2</v>
      </c>
      <c r="T42" s="65">
        <v>58</v>
      </c>
      <c r="U42" s="70">
        <v>5.45E-2</v>
      </c>
      <c r="V42" s="70">
        <v>16.702999999999999</v>
      </c>
      <c r="W42" s="70">
        <v>2.0230000000000001</v>
      </c>
      <c r="X42" s="70">
        <v>2.0230000000000001</v>
      </c>
      <c r="Y42" s="70">
        <v>16.648499999999999</v>
      </c>
      <c r="Z42" s="71">
        <v>3.2873413091827602E-3</v>
      </c>
      <c r="AA42" s="71">
        <v>0.12547573739037909</v>
      </c>
      <c r="AB42" s="72">
        <v>0.12876307869956183</v>
      </c>
    </row>
    <row r="43" spans="2:28">
      <c r="B43" s="73">
        <v>59</v>
      </c>
      <c r="C43" s="74">
        <v>2.5999999999999999E-2</v>
      </c>
      <c r="D43" s="74">
        <v>16.451000000000001</v>
      </c>
      <c r="E43" s="74">
        <v>3.4409999999999998</v>
      </c>
      <c r="F43" s="74">
        <v>3.4409999999999998</v>
      </c>
      <c r="G43" s="74">
        <v>16.425000000000001</v>
      </c>
      <c r="H43" s="75">
        <v>1.5829528158295279E-3</v>
      </c>
      <c r="I43" s="75">
        <v>0.20949771689497715</v>
      </c>
      <c r="J43" s="68">
        <v>0.21108066971080669</v>
      </c>
      <c r="K43" s="73">
        <v>59</v>
      </c>
      <c r="L43" s="74">
        <v>2.3E-2</v>
      </c>
      <c r="M43" s="74">
        <v>17.989000000000001</v>
      </c>
      <c r="N43" s="76">
        <v>0.68200000000000005</v>
      </c>
      <c r="O43" s="74">
        <v>0.68200000000000005</v>
      </c>
      <c r="P43" s="74">
        <v>17.966000000000001</v>
      </c>
      <c r="Q43" s="75">
        <v>1.2801959256373149E-3</v>
      </c>
      <c r="R43" s="75">
        <v>3.7960592229767338E-2</v>
      </c>
      <c r="S43" s="77">
        <v>3.9240788155404653E-2</v>
      </c>
      <c r="T43" s="73">
        <v>59</v>
      </c>
      <c r="U43" s="78">
        <v>2.4500000000000001E-2</v>
      </c>
      <c r="V43" s="78">
        <v>17.22</v>
      </c>
      <c r="W43" s="78">
        <v>2.0615000000000001</v>
      </c>
      <c r="X43" s="78">
        <v>2.0615000000000001</v>
      </c>
      <c r="Y43" s="78">
        <v>17.195500000000003</v>
      </c>
      <c r="Z43" s="19">
        <v>1.4315743707334215E-3</v>
      </c>
      <c r="AA43" s="19">
        <v>0.12372915456237224</v>
      </c>
      <c r="AB43" s="79">
        <v>0.12516072893310567</v>
      </c>
    </row>
    <row r="44" spans="2:28">
      <c r="B44" s="65">
        <v>60</v>
      </c>
      <c r="C44" s="66">
        <v>6.0000000000000001E-3</v>
      </c>
      <c r="D44" s="66">
        <v>16.986999999999998</v>
      </c>
      <c r="E44" s="66">
        <v>3.5169999999999999</v>
      </c>
      <c r="F44" s="66">
        <v>3.5169999999999999</v>
      </c>
      <c r="G44" s="66">
        <v>16.980999999999998</v>
      </c>
      <c r="H44" s="67">
        <v>3.5333608150285616E-4</v>
      </c>
      <c r="I44" s="67">
        <v>0.20711383310759085</v>
      </c>
      <c r="J44" s="68">
        <v>0.20746716918909372</v>
      </c>
      <c r="K44" s="65">
        <v>60</v>
      </c>
      <c r="L44" s="66">
        <v>5.0000000000000001E-3</v>
      </c>
      <c r="M44" s="66">
        <v>18.544</v>
      </c>
      <c r="N44" s="69">
        <v>0.68700000000000006</v>
      </c>
      <c r="O44" s="66">
        <v>0.68700000000000006</v>
      </c>
      <c r="P44" s="66">
        <v>18.539000000000001</v>
      </c>
      <c r="Q44" s="67">
        <v>2.6970170990884082E-4</v>
      </c>
      <c r="R44" s="67">
        <v>3.7057014941474731E-2</v>
      </c>
      <c r="S44" s="68">
        <v>3.7326716651383575E-2</v>
      </c>
      <c r="T44" s="65">
        <v>60</v>
      </c>
      <c r="U44" s="70">
        <v>5.4999999999999997E-3</v>
      </c>
      <c r="V44" s="70">
        <v>17.765499999999999</v>
      </c>
      <c r="W44" s="70">
        <v>2.1019999999999999</v>
      </c>
      <c r="X44" s="70">
        <v>2.1019999999999999</v>
      </c>
      <c r="Y44" s="70">
        <v>17.759999999999998</v>
      </c>
      <c r="Z44" s="71">
        <v>3.1151889570584846E-4</v>
      </c>
      <c r="AA44" s="71">
        <v>0.12208542402453279</v>
      </c>
      <c r="AB44" s="72">
        <v>0.12239694292023864</v>
      </c>
    </row>
    <row r="45" spans="2:28">
      <c r="B45" s="80">
        <v>61</v>
      </c>
      <c r="C45" s="81">
        <v>0</v>
      </c>
      <c r="D45" s="81">
        <v>17.553000000000001</v>
      </c>
      <c r="E45" s="81">
        <v>3.5979999999999999</v>
      </c>
      <c r="F45" s="81">
        <v>3.5979999999999999</v>
      </c>
      <c r="G45" s="81">
        <v>17.553000000000001</v>
      </c>
      <c r="H45" s="82">
        <v>0</v>
      </c>
      <c r="I45" s="82">
        <v>0.20497920583376059</v>
      </c>
      <c r="J45" s="83">
        <v>0.20497920583376059</v>
      </c>
      <c r="K45" s="80">
        <v>61</v>
      </c>
      <c r="L45" s="81">
        <v>0</v>
      </c>
      <c r="M45" s="81">
        <v>19.131</v>
      </c>
      <c r="N45" s="84">
        <v>0.69199999999999995</v>
      </c>
      <c r="O45" s="81">
        <v>0.69199999999999995</v>
      </c>
      <c r="P45" s="81">
        <v>19.131</v>
      </c>
      <c r="Q45" s="82">
        <v>0</v>
      </c>
      <c r="R45" s="82">
        <v>3.6171658564633315E-2</v>
      </c>
      <c r="S45" s="83">
        <v>3.6171658564633315E-2</v>
      </c>
      <c r="T45" s="80">
        <v>61</v>
      </c>
      <c r="U45" s="85">
        <v>0</v>
      </c>
      <c r="V45" s="85">
        <v>18.341999999999999</v>
      </c>
      <c r="W45" s="85">
        <v>2.145</v>
      </c>
      <c r="X45" s="85">
        <v>2.145</v>
      </c>
      <c r="Y45" s="85">
        <v>18.341999999999999</v>
      </c>
      <c r="Z45" s="86">
        <v>0</v>
      </c>
      <c r="AA45" s="86">
        <v>0.12057543219919695</v>
      </c>
      <c r="AB45" s="87">
        <v>0.12057543219919695</v>
      </c>
    </row>
    <row r="46" spans="2:28">
      <c r="B46" s="65">
        <v>62</v>
      </c>
      <c r="C46" s="66">
        <v>0</v>
      </c>
      <c r="D46" s="66">
        <v>17.187000000000001</v>
      </c>
      <c r="E46" s="66">
        <v>3.6219999999999999</v>
      </c>
      <c r="F46" s="66">
        <v>3.734</v>
      </c>
      <c r="G46" s="66">
        <v>17.187000000000001</v>
      </c>
      <c r="H46" s="67">
        <v>0</v>
      </c>
      <c r="I46" s="67">
        <v>0.21725722930121602</v>
      </c>
      <c r="J46" s="68">
        <v>0.21725722930121602</v>
      </c>
      <c r="K46" s="65">
        <v>62</v>
      </c>
      <c r="L46" s="66">
        <v>0</v>
      </c>
      <c r="M46" s="66">
        <v>18.765999999999998</v>
      </c>
      <c r="N46" s="69">
        <v>0.67600000000000005</v>
      </c>
      <c r="O46" s="66">
        <v>0.67600000000000005</v>
      </c>
      <c r="P46" s="66">
        <v>18.765999999999998</v>
      </c>
      <c r="Q46" s="67">
        <v>0</v>
      </c>
      <c r="R46" s="67">
        <v>3.6022594053074716E-2</v>
      </c>
      <c r="S46" s="68">
        <v>3.6022594053074716E-2</v>
      </c>
      <c r="T46" s="65">
        <v>62</v>
      </c>
      <c r="U46" s="70">
        <v>0</v>
      </c>
      <c r="V46" s="70">
        <v>17.976500000000001</v>
      </c>
      <c r="W46" s="70">
        <v>2.149</v>
      </c>
      <c r="X46" s="70">
        <v>2.2050000000000001</v>
      </c>
      <c r="Y46" s="70">
        <v>17.976500000000001</v>
      </c>
      <c r="Z46" s="71">
        <v>0</v>
      </c>
      <c r="AA46" s="71">
        <v>0.12663991167714536</v>
      </c>
      <c r="AB46" s="72">
        <v>0.12663991167714536</v>
      </c>
    </row>
    <row r="47" spans="2:28">
      <c r="B47" s="73">
        <v>63</v>
      </c>
      <c r="C47" s="74">
        <v>0</v>
      </c>
      <c r="D47" s="74">
        <v>16.815000000000001</v>
      </c>
      <c r="E47" s="74">
        <v>3.6419999999999999</v>
      </c>
      <c r="F47" s="74">
        <v>3.7530000000000001</v>
      </c>
      <c r="G47" s="74">
        <v>16.815000000000001</v>
      </c>
      <c r="H47" s="75">
        <v>0</v>
      </c>
      <c r="I47" s="75">
        <v>0.22319357716324709</v>
      </c>
      <c r="J47" s="68">
        <v>0.22319357716324709</v>
      </c>
      <c r="K47" s="73">
        <v>63</v>
      </c>
      <c r="L47" s="74">
        <v>0</v>
      </c>
      <c r="M47" s="74">
        <v>18.393000000000001</v>
      </c>
      <c r="N47" s="76">
        <v>0.65900000000000003</v>
      </c>
      <c r="O47" s="74">
        <v>0.65900000000000003</v>
      </c>
      <c r="P47" s="74">
        <v>18.393000000000001</v>
      </c>
      <c r="Q47" s="75">
        <v>0</v>
      </c>
      <c r="R47" s="75">
        <v>3.5828847931278204E-2</v>
      </c>
      <c r="S47" s="77">
        <v>3.5828847931278204E-2</v>
      </c>
      <c r="T47" s="73">
        <v>63</v>
      </c>
      <c r="U47" s="78">
        <v>0</v>
      </c>
      <c r="V47" s="78">
        <v>17.603999999999999</v>
      </c>
      <c r="W47" s="78">
        <v>2.1505000000000001</v>
      </c>
      <c r="X47" s="78">
        <v>2.206</v>
      </c>
      <c r="Y47" s="78">
        <v>17.603999999999999</v>
      </c>
      <c r="Z47" s="19">
        <v>0</v>
      </c>
      <c r="AA47" s="19">
        <v>0.12951121254726264</v>
      </c>
      <c r="AB47" s="79">
        <v>0.12951121254726264</v>
      </c>
    </row>
    <row r="48" spans="2:28">
      <c r="B48" s="65">
        <v>64</v>
      </c>
      <c r="C48" s="66">
        <v>0</v>
      </c>
      <c r="D48" s="66">
        <v>16.437999999999999</v>
      </c>
      <c r="E48" s="66">
        <v>3.6579999999999999</v>
      </c>
      <c r="F48" s="66">
        <v>3.7669999999999999</v>
      </c>
      <c r="G48" s="66">
        <v>16.437999999999999</v>
      </c>
      <c r="H48" s="67">
        <v>0</v>
      </c>
      <c r="I48" s="67">
        <v>0.22916413188952428</v>
      </c>
      <c r="J48" s="68">
        <v>0.22916413188952428</v>
      </c>
      <c r="K48" s="65">
        <v>64</v>
      </c>
      <c r="L48" s="66">
        <v>0</v>
      </c>
      <c r="M48" s="66">
        <v>18.010999999999999</v>
      </c>
      <c r="N48" s="69">
        <v>0.64100000000000001</v>
      </c>
      <c r="O48" s="66">
        <v>0.64100000000000001</v>
      </c>
      <c r="P48" s="66">
        <v>18.010999999999999</v>
      </c>
      <c r="Q48" s="67">
        <v>0</v>
      </c>
      <c r="R48" s="67">
        <v>3.5589362056521016E-2</v>
      </c>
      <c r="S48" s="68">
        <v>3.5589362056521016E-2</v>
      </c>
      <c r="T48" s="65">
        <v>64</v>
      </c>
      <c r="U48" s="70">
        <v>0</v>
      </c>
      <c r="V48" s="70">
        <v>17.224499999999999</v>
      </c>
      <c r="W48" s="70">
        <v>2.1494999999999997</v>
      </c>
      <c r="X48" s="70">
        <v>2.2039999999999997</v>
      </c>
      <c r="Y48" s="70">
        <v>17.224499999999999</v>
      </c>
      <c r="Z48" s="71">
        <v>0</v>
      </c>
      <c r="AA48" s="71">
        <v>0.13237674697302265</v>
      </c>
      <c r="AB48" s="72">
        <v>0.13237674697302265</v>
      </c>
    </row>
    <row r="49" spans="2:28">
      <c r="B49" s="73">
        <v>65</v>
      </c>
      <c r="C49" s="74">
        <v>0</v>
      </c>
      <c r="D49" s="74">
        <v>16.053000000000001</v>
      </c>
      <c r="E49" s="74">
        <v>3.6680000000000001</v>
      </c>
      <c r="F49" s="74">
        <v>3.7749999999999999</v>
      </c>
      <c r="G49" s="74">
        <v>16.053000000000001</v>
      </c>
      <c r="H49" s="75">
        <v>0</v>
      </c>
      <c r="I49" s="75">
        <v>0.23515853734504452</v>
      </c>
      <c r="J49" s="77">
        <v>0.23515853734504452</v>
      </c>
      <c r="K49" s="73">
        <v>65</v>
      </c>
      <c r="L49" s="74">
        <v>0</v>
      </c>
      <c r="M49" s="74">
        <v>17.619</v>
      </c>
      <c r="N49" s="76">
        <v>0.623</v>
      </c>
      <c r="O49" s="74">
        <v>0.623</v>
      </c>
      <c r="P49" s="74">
        <v>17.619</v>
      </c>
      <c r="Q49" s="75">
        <v>0</v>
      </c>
      <c r="R49" s="75">
        <v>3.5359555025824392E-2</v>
      </c>
      <c r="S49" s="77">
        <v>3.5359555025824392E-2</v>
      </c>
      <c r="T49" s="73">
        <v>65</v>
      </c>
      <c r="U49" s="78">
        <v>0</v>
      </c>
      <c r="V49" s="78">
        <v>16.835999999999999</v>
      </c>
      <c r="W49" s="78">
        <v>2.1455000000000002</v>
      </c>
      <c r="X49" s="78">
        <v>2.1989999999999998</v>
      </c>
      <c r="Y49" s="78">
        <v>16.835999999999999</v>
      </c>
      <c r="Z49" s="88">
        <v>0</v>
      </c>
      <c r="AA49" s="88">
        <v>0.13525904618543447</v>
      </c>
      <c r="AB49" s="89">
        <v>0.13525904618543447</v>
      </c>
    </row>
    <row r="50" spans="2:28">
      <c r="B50" s="65">
        <v>66</v>
      </c>
      <c r="C50" s="66"/>
      <c r="D50" s="66">
        <v>15.661</v>
      </c>
      <c r="E50" s="66">
        <v>3.6739999999999999</v>
      </c>
      <c r="F50" s="66">
        <v>3.778</v>
      </c>
      <c r="G50" s="66">
        <v>15.661</v>
      </c>
      <c r="H50" s="67">
        <v>0</v>
      </c>
      <c r="I50" s="67">
        <v>0.24123619181406042</v>
      </c>
      <c r="J50" s="68">
        <v>0.24123619181406042</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16.439</v>
      </c>
      <c r="W50" s="70">
        <v>2.1389999999999998</v>
      </c>
      <c r="X50" s="70">
        <v>2.1909999999999998</v>
      </c>
      <c r="Y50" s="70">
        <v>16.439</v>
      </c>
      <c r="Z50" s="71">
        <v>0</v>
      </c>
      <c r="AA50" s="71">
        <v>0.13815889860204095</v>
      </c>
      <c r="AB50" s="72">
        <v>0.13815889860204095</v>
      </c>
    </row>
    <row r="51" spans="2:28">
      <c r="B51" s="73">
        <v>67</v>
      </c>
      <c r="C51" s="74"/>
      <c r="D51" s="74">
        <v>15.260999999999999</v>
      </c>
      <c r="E51" s="74">
        <v>3.6779999999999999</v>
      </c>
      <c r="F51" s="74">
        <v>3.778</v>
      </c>
      <c r="G51" s="74">
        <v>15.260999999999999</v>
      </c>
      <c r="H51" s="75">
        <v>0</v>
      </c>
      <c r="I51" s="75">
        <v>0.24755913767118801</v>
      </c>
      <c r="J51" s="68">
        <v>0.24755913767118801</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16.032</v>
      </c>
      <c r="W51" s="78">
        <v>2.1320000000000001</v>
      </c>
      <c r="X51" s="78">
        <v>2.1819999999999999</v>
      </c>
      <c r="Y51" s="78">
        <v>16.032</v>
      </c>
      <c r="Z51" s="19">
        <v>0</v>
      </c>
      <c r="AA51" s="19">
        <v>0.14121693121136022</v>
      </c>
      <c r="AB51" s="79">
        <v>0.14121693121136022</v>
      </c>
    </row>
    <row r="52" spans="2:28">
      <c r="B52" s="65">
        <v>68</v>
      </c>
      <c r="C52" s="66"/>
      <c r="D52" s="66">
        <v>14.851000000000001</v>
      </c>
      <c r="E52" s="66">
        <v>3.68</v>
      </c>
      <c r="F52" s="66">
        <v>3.7770000000000001</v>
      </c>
      <c r="G52" s="66">
        <v>14.851000000000001</v>
      </c>
      <c r="H52" s="67">
        <v>0</v>
      </c>
      <c r="I52" s="67">
        <v>0.25432630799272776</v>
      </c>
      <c r="J52" s="68">
        <v>0.25432630799272776</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15.6145</v>
      </c>
      <c r="W52" s="70">
        <v>2.1234999999999999</v>
      </c>
      <c r="X52" s="70">
        <v>2.1720000000000002</v>
      </c>
      <c r="Y52" s="70">
        <v>15.6145</v>
      </c>
      <c r="Z52" s="71">
        <v>0</v>
      </c>
      <c r="AA52" s="71">
        <v>0.14447295983346242</v>
      </c>
      <c r="AB52" s="72">
        <v>0.14447295983346242</v>
      </c>
    </row>
    <row r="53" spans="2:28">
      <c r="B53" s="73">
        <v>69</v>
      </c>
      <c r="C53" s="74"/>
      <c r="D53" s="74">
        <v>14.432</v>
      </c>
      <c r="E53" s="74">
        <v>3.681</v>
      </c>
      <c r="F53" s="74">
        <v>3.7730000000000001</v>
      </c>
      <c r="G53" s="74">
        <v>14.432</v>
      </c>
      <c r="H53" s="75">
        <v>0</v>
      </c>
      <c r="I53" s="75">
        <v>0.26143292682926828</v>
      </c>
      <c r="J53" s="68">
        <v>0.26143292682926828</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15.186</v>
      </c>
      <c r="W53" s="78">
        <v>2.1150000000000002</v>
      </c>
      <c r="X53" s="78">
        <v>2.161</v>
      </c>
      <c r="Y53" s="78">
        <v>15.186</v>
      </c>
      <c r="Z53" s="19">
        <v>0</v>
      </c>
      <c r="AA53" s="19">
        <v>0.14793729152002938</v>
      </c>
      <c r="AB53" s="79">
        <v>0.14793729152002938</v>
      </c>
    </row>
    <row r="54" spans="2:28">
      <c r="B54" s="65">
        <v>70</v>
      </c>
      <c r="C54" s="66"/>
      <c r="D54" s="66">
        <v>14.002000000000001</v>
      </c>
      <c r="E54" s="66">
        <v>3.6789999999999998</v>
      </c>
      <c r="F54" s="66">
        <v>3.7669999999999999</v>
      </c>
      <c r="G54" s="66">
        <v>14.002000000000001</v>
      </c>
      <c r="H54" s="67">
        <v>0</v>
      </c>
      <c r="I54" s="67">
        <v>0.26903299528638763</v>
      </c>
      <c r="J54" s="68">
        <v>0.26903299528638763</v>
      </c>
      <c r="K54" s="65">
        <v>70</v>
      </c>
      <c r="L54" s="66">
        <v>0</v>
      </c>
      <c r="M54" s="66">
        <v>15.49</v>
      </c>
      <c r="N54" s="69">
        <v>0.53</v>
      </c>
      <c r="O54" s="66">
        <v>0.53</v>
      </c>
      <c r="P54" s="66">
        <v>15.49</v>
      </c>
      <c r="Q54" s="67">
        <v>0</v>
      </c>
      <c r="R54" s="67">
        <v>3.4215622982569402E-2</v>
      </c>
      <c r="S54" s="68">
        <v>3.4215622982569402E-2</v>
      </c>
      <c r="T54" s="65">
        <v>70</v>
      </c>
      <c r="U54" s="70">
        <v>0</v>
      </c>
      <c r="V54" s="70">
        <v>14.746</v>
      </c>
      <c r="W54" s="70">
        <v>2.1044999999999998</v>
      </c>
      <c r="X54" s="70">
        <v>2.1484999999999999</v>
      </c>
      <c r="Y54" s="70">
        <v>14.746</v>
      </c>
      <c r="Z54" s="71">
        <v>0</v>
      </c>
      <c r="AA54" s="71">
        <v>0.15162430913447852</v>
      </c>
      <c r="AB54" s="72">
        <v>0.15162430913447852</v>
      </c>
    </row>
    <row r="55" spans="2:28">
      <c r="B55" s="73">
        <v>71</v>
      </c>
      <c r="C55" s="74"/>
      <c r="D55" s="74">
        <v>13.561999999999999</v>
      </c>
      <c r="E55" s="74">
        <v>3.6749999999999998</v>
      </c>
      <c r="F55" s="74">
        <v>3.758</v>
      </c>
      <c r="G55" s="74">
        <v>13.561999999999999</v>
      </c>
      <c r="H55" s="75">
        <v>0</v>
      </c>
      <c r="I55" s="75">
        <v>0.277097773189795</v>
      </c>
      <c r="J55" s="68">
        <v>0.277097773189795</v>
      </c>
      <c r="K55" s="73">
        <v>71</v>
      </c>
      <c r="L55" s="74">
        <v>0</v>
      </c>
      <c r="M55" s="74">
        <v>15.026</v>
      </c>
      <c r="N55" s="76">
        <v>0.51</v>
      </c>
      <c r="O55" s="74">
        <v>0.51</v>
      </c>
      <c r="P55" s="74">
        <v>15.026</v>
      </c>
      <c r="Q55" s="75">
        <v>0</v>
      </c>
      <c r="R55" s="75">
        <v>3.3941168641022229E-2</v>
      </c>
      <c r="S55" s="77">
        <v>3.3941168641022229E-2</v>
      </c>
      <c r="T55" s="73">
        <v>71</v>
      </c>
      <c r="U55" s="78">
        <v>0</v>
      </c>
      <c r="V55" s="78">
        <v>14.294</v>
      </c>
      <c r="W55" s="78">
        <v>2.0924999999999998</v>
      </c>
      <c r="X55" s="78">
        <v>2.1339999999999999</v>
      </c>
      <c r="Y55" s="78">
        <v>14.294</v>
      </c>
      <c r="Z55" s="19">
        <v>0</v>
      </c>
      <c r="AA55" s="19">
        <v>0.15551947091540863</v>
      </c>
      <c r="AB55" s="79">
        <v>0.15551947091540863</v>
      </c>
    </row>
    <row r="56" spans="2:28">
      <c r="B56" s="65">
        <v>72</v>
      </c>
      <c r="C56" s="66"/>
      <c r="D56" s="66">
        <v>13.111000000000001</v>
      </c>
      <c r="E56" s="66">
        <v>3.669</v>
      </c>
      <c r="F56" s="66">
        <v>3.7469999999999999</v>
      </c>
      <c r="G56" s="66">
        <v>13.111000000000001</v>
      </c>
      <c r="H56" s="67">
        <v>0</v>
      </c>
      <c r="I56" s="67">
        <v>0.28579055754709781</v>
      </c>
      <c r="J56" s="68">
        <v>0.28579055754709781</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13.830500000000001</v>
      </c>
      <c r="W56" s="70">
        <v>2.08</v>
      </c>
      <c r="X56" s="70">
        <v>2.1189999999999998</v>
      </c>
      <c r="Y56" s="70">
        <v>13.830500000000001</v>
      </c>
      <c r="Z56" s="71">
        <v>0</v>
      </c>
      <c r="AA56" s="71">
        <v>0.15976813100722587</v>
      </c>
      <c r="AB56" s="72">
        <v>0.15976813100722587</v>
      </c>
    </row>
    <row r="57" spans="2:28">
      <c r="B57" s="73">
        <v>73</v>
      </c>
      <c r="C57" s="74"/>
      <c r="D57" s="74">
        <v>12.65</v>
      </c>
      <c r="E57" s="74">
        <v>3.6669999999999998</v>
      </c>
      <c r="F57" s="74">
        <v>3.7389999999999999</v>
      </c>
      <c r="G57" s="74">
        <v>12.65</v>
      </c>
      <c r="H57" s="75">
        <v>0</v>
      </c>
      <c r="I57" s="75">
        <v>0.29557312252964424</v>
      </c>
      <c r="J57" s="68">
        <v>0.29557312252964424</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13.356</v>
      </c>
      <c r="W57" s="78">
        <v>2.0694999999999997</v>
      </c>
      <c r="X57" s="78">
        <v>2.1055000000000001</v>
      </c>
      <c r="Y57" s="78">
        <v>13.356</v>
      </c>
      <c r="Z57" s="19">
        <v>0</v>
      </c>
      <c r="AA57" s="19">
        <v>0.16456938020949571</v>
      </c>
      <c r="AB57" s="79">
        <v>0.16456938020949571</v>
      </c>
    </row>
    <row r="58" spans="2:28">
      <c r="B58" s="65">
        <v>74</v>
      </c>
      <c r="C58" s="66"/>
      <c r="D58" s="66">
        <v>12.18</v>
      </c>
      <c r="E58" s="66">
        <v>3.6619999999999999</v>
      </c>
      <c r="F58" s="66">
        <v>3.7290000000000001</v>
      </c>
      <c r="G58" s="66">
        <v>12.18</v>
      </c>
      <c r="H58" s="67">
        <v>0</v>
      </c>
      <c r="I58" s="67">
        <v>0.3061576354679803</v>
      </c>
      <c r="J58" s="68">
        <v>0.3061576354679803</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12.870999999999999</v>
      </c>
      <c r="W58" s="70">
        <v>2.0575000000000001</v>
      </c>
      <c r="X58" s="70">
        <v>2.0910000000000002</v>
      </c>
      <c r="Y58" s="70">
        <v>12.870999999999999</v>
      </c>
      <c r="Z58" s="71">
        <v>0</v>
      </c>
      <c r="AA58" s="71">
        <v>0.16977989427137402</v>
      </c>
      <c r="AB58" s="72">
        <v>0.16977989427137402</v>
      </c>
    </row>
    <row r="59" spans="2:28">
      <c r="B59" s="73">
        <v>75</v>
      </c>
      <c r="C59" s="74"/>
      <c r="D59" s="74">
        <v>11.701000000000001</v>
      </c>
      <c r="E59" s="74">
        <v>3.6549999999999998</v>
      </c>
      <c r="F59" s="74">
        <v>3.7160000000000002</v>
      </c>
      <c r="G59" s="74">
        <v>11.701000000000001</v>
      </c>
      <c r="H59" s="75">
        <v>0</v>
      </c>
      <c r="I59" s="75">
        <v>0.31757969404324415</v>
      </c>
      <c r="J59" s="68">
        <v>0.31757969404324415</v>
      </c>
      <c r="K59" s="73">
        <v>75</v>
      </c>
      <c r="L59" s="74">
        <v>0</v>
      </c>
      <c r="M59" s="74">
        <v>13.051</v>
      </c>
      <c r="N59" s="76">
        <v>0.434</v>
      </c>
      <c r="O59" s="74">
        <v>0.434</v>
      </c>
      <c r="P59" s="74">
        <v>13.051</v>
      </c>
      <c r="Q59" s="75">
        <v>0</v>
      </c>
      <c r="R59" s="75">
        <v>3.3254156769596199E-2</v>
      </c>
      <c r="S59" s="77">
        <v>3.3254156769596199E-2</v>
      </c>
      <c r="T59" s="73">
        <v>75</v>
      </c>
      <c r="U59" s="78">
        <v>0</v>
      </c>
      <c r="V59" s="78">
        <v>12.376000000000001</v>
      </c>
      <c r="W59" s="78">
        <v>2.0444999999999998</v>
      </c>
      <c r="X59" s="78">
        <v>2.0750000000000002</v>
      </c>
      <c r="Y59" s="78">
        <v>12.376000000000001</v>
      </c>
      <c r="Z59" s="19">
        <v>0</v>
      </c>
      <c r="AA59" s="19">
        <v>0.17541692540642018</v>
      </c>
      <c r="AB59" s="79">
        <v>0.17541692540642018</v>
      </c>
    </row>
    <row r="60" spans="2:28">
      <c r="B60" s="65">
        <v>76</v>
      </c>
      <c r="C60" s="66"/>
      <c r="D60" s="66">
        <v>11.215</v>
      </c>
      <c r="E60" s="66">
        <v>3.6429999999999998</v>
      </c>
      <c r="F60" s="66">
        <v>3.698</v>
      </c>
      <c r="G60" s="66">
        <v>11.215</v>
      </c>
      <c r="H60" s="67">
        <v>0</v>
      </c>
      <c r="I60" s="67">
        <v>0.32973695942933573</v>
      </c>
      <c r="J60" s="68">
        <v>0.32973695942933573</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11.873000000000001</v>
      </c>
      <c r="W60" s="70">
        <v>2.0284999999999997</v>
      </c>
      <c r="X60" s="70">
        <v>2.056</v>
      </c>
      <c r="Y60" s="70">
        <v>11.873000000000001</v>
      </c>
      <c r="Z60" s="71">
        <v>0</v>
      </c>
      <c r="AA60" s="71">
        <v>0.18138751251332719</v>
      </c>
      <c r="AB60" s="72">
        <v>0.18138751251332719</v>
      </c>
    </row>
    <row r="61" spans="2:28">
      <c r="B61" s="73">
        <v>77</v>
      </c>
      <c r="C61" s="74"/>
      <c r="D61" s="74">
        <v>10.724</v>
      </c>
      <c r="E61" s="74">
        <v>3.625</v>
      </c>
      <c r="F61" s="74">
        <v>3.6749999999999998</v>
      </c>
      <c r="G61" s="74">
        <v>10.724</v>
      </c>
      <c r="H61" s="75">
        <v>0</v>
      </c>
      <c r="I61" s="75">
        <v>0.34268929503916445</v>
      </c>
      <c r="J61" s="68">
        <v>0.34268929503916445</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11.3635</v>
      </c>
      <c r="W61" s="78">
        <v>2.0089999999999999</v>
      </c>
      <c r="X61" s="78">
        <v>2.0339999999999998</v>
      </c>
      <c r="Y61" s="78">
        <v>11.3635</v>
      </c>
      <c r="Z61" s="19">
        <v>0</v>
      </c>
      <c r="AA61" s="19">
        <v>0.18771555479276392</v>
      </c>
      <c r="AB61" s="79">
        <v>0.18771555479276392</v>
      </c>
    </row>
    <row r="62" spans="2:28">
      <c r="B62" s="65">
        <v>78</v>
      </c>
      <c r="C62" s="66"/>
      <c r="D62" s="66">
        <v>10.228999999999999</v>
      </c>
      <c r="E62" s="66">
        <v>3.601</v>
      </c>
      <c r="F62" s="66">
        <v>3.645</v>
      </c>
      <c r="G62" s="66">
        <v>10.228999999999999</v>
      </c>
      <c r="H62" s="67">
        <v>0</v>
      </c>
      <c r="I62" s="67">
        <v>0.35633981816404342</v>
      </c>
      <c r="J62" s="68">
        <v>0.35633981816404342</v>
      </c>
      <c r="K62" s="65">
        <v>78</v>
      </c>
      <c r="L62" s="66">
        <v>0</v>
      </c>
      <c r="M62" s="66">
        <v>11.47</v>
      </c>
      <c r="N62" s="69">
        <v>0.371</v>
      </c>
      <c r="O62" s="66">
        <v>0.371</v>
      </c>
      <c r="P62" s="66">
        <v>11.47</v>
      </c>
      <c r="Q62" s="67">
        <v>0</v>
      </c>
      <c r="R62" s="67">
        <v>3.2345248474280733E-2</v>
      </c>
      <c r="S62" s="68">
        <v>3.2345248474280733E-2</v>
      </c>
      <c r="T62" s="65">
        <v>78</v>
      </c>
      <c r="U62" s="70">
        <v>0</v>
      </c>
      <c r="V62" s="70">
        <v>10.849499999999999</v>
      </c>
      <c r="W62" s="70">
        <v>1.986</v>
      </c>
      <c r="X62" s="70">
        <v>2.008</v>
      </c>
      <c r="Y62" s="70">
        <v>10.849499999999999</v>
      </c>
      <c r="Z62" s="71">
        <v>0</v>
      </c>
      <c r="AA62" s="71">
        <v>0.19434253331916207</v>
      </c>
      <c r="AB62" s="72">
        <v>0.19434253331916207</v>
      </c>
    </row>
    <row r="63" spans="2:28">
      <c r="B63" s="73">
        <v>79</v>
      </c>
      <c r="C63" s="74"/>
      <c r="D63" s="74">
        <v>9.7330000000000005</v>
      </c>
      <c r="E63" s="74">
        <v>3.57</v>
      </c>
      <c r="F63" s="74">
        <v>3.6070000000000002</v>
      </c>
      <c r="G63" s="74">
        <v>9.7330000000000005</v>
      </c>
      <c r="H63" s="75">
        <v>0</v>
      </c>
      <c r="I63" s="75">
        <v>0.37059488338641733</v>
      </c>
      <c r="J63" s="68">
        <v>0.37059488338641733</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10.3325</v>
      </c>
      <c r="W63" s="78">
        <v>1.9594999999999998</v>
      </c>
      <c r="X63" s="78">
        <v>1.9780000000000002</v>
      </c>
      <c r="Y63" s="78">
        <v>10.3325</v>
      </c>
      <c r="Z63" s="19">
        <v>0</v>
      </c>
      <c r="AA63" s="19">
        <v>0.20125975417034003</v>
      </c>
      <c r="AB63" s="79">
        <v>0.20125975417034003</v>
      </c>
    </row>
    <row r="64" spans="2:28">
      <c r="B64" s="65">
        <v>80</v>
      </c>
      <c r="C64" s="66"/>
      <c r="D64" s="66">
        <v>9.2379999999999995</v>
      </c>
      <c r="E64" s="66">
        <v>3.5310000000000001</v>
      </c>
      <c r="F64" s="66">
        <v>3.5619999999999998</v>
      </c>
      <c r="G64" s="66">
        <v>9.2379999999999995</v>
      </c>
      <c r="H64" s="67">
        <v>0</v>
      </c>
      <c r="I64" s="67">
        <v>0.38558129465252217</v>
      </c>
      <c r="J64" s="68">
        <v>0.38558129465252217</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9.8149999999999995</v>
      </c>
      <c r="W64" s="70">
        <v>1.929</v>
      </c>
      <c r="X64" s="70">
        <v>1.9444999999999999</v>
      </c>
      <c r="Y64" s="70">
        <v>9.8149999999999995</v>
      </c>
      <c r="Z64" s="71">
        <v>0</v>
      </c>
      <c r="AA64" s="71">
        <v>0.20852390367730034</v>
      </c>
      <c r="AB64" s="72">
        <v>0.20852390367730034</v>
      </c>
    </row>
    <row r="65" spans="2:28">
      <c r="B65" s="73">
        <v>81</v>
      </c>
      <c r="C65" s="74"/>
      <c r="D65" s="74">
        <v>8.7469999999999999</v>
      </c>
      <c r="E65" s="74">
        <v>3.4820000000000002</v>
      </c>
      <c r="F65" s="74">
        <v>3.5070000000000001</v>
      </c>
      <c r="G65" s="74">
        <v>8.7469999999999999</v>
      </c>
      <c r="H65" s="75">
        <v>0</v>
      </c>
      <c r="I65" s="75">
        <v>0.40093746427346522</v>
      </c>
      <c r="J65" s="68">
        <v>0.40093746427346522</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9.3000000000000007</v>
      </c>
      <c r="W65" s="78">
        <v>1.893</v>
      </c>
      <c r="X65" s="78">
        <v>1.9055</v>
      </c>
      <c r="Y65" s="78">
        <v>9.3000000000000007</v>
      </c>
      <c r="Z65" s="19">
        <v>0</v>
      </c>
      <c r="AA65" s="19">
        <v>0.21589550570823368</v>
      </c>
      <c r="AB65" s="79">
        <v>0.21589550570823368</v>
      </c>
    </row>
    <row r="66" spans="2:28">
      <c r="B66" s="65">
        <v>82</v>
      </c>
      <c r="C66" s="66"/>
      <c r="D66" s="66">
        <v>8.2629999999999999</v>
      </c>
      <c r="E66" s="66">
        <v>3.4089999999999998</v>
      </c>
      <c r="F66" s="66">
        <v>3.4260000000000002</v>
      </c>
      <c r="G66" s="66">
        <v>8.2629999999999999</v>
      </c>
      <c r="H66" s="67">
        <v>0</v>
      </c>
      <c r="I66" s="67">
        <v>0.41461938763161083</v>
      </c>
      <c r="J66" s="68">
        <v>0.41461938763161083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8.7904999999999998</v>
      </c>
      <c r="W66" s="70">
        <v>1.845</v>
      </c>
      <c r="X66" s="70">
        <v>1.8535000000000001</v>
      </c>
      <c r="Y66" s="70">
        <v>8.7904999999999998</v>
      </c>
      <c r="Z66" s="71">
        <v>0</v>
      </c>
      <c r="AA66" s="71">
        <v>0.22238803680786379</v>
      </c>
      <c r="AB66" s="72">
        <v>0.22238803680786379</v>
      </c>
    </row>
    <row r="67" spans="2:28">
      <c r="B67" s="73">
        <v>83</v>
      </c>
      <c r="C67" s="74"/>
      <c r="D67" s="74">
        <v>7.7880000000000003</v>
      </c>
      <c r="E67" s="74">
        <v>3.3220000000000001</v>
      </c>
      <c r="F67" s="74">
        <v>3.3330000000000002</v>
      </c>
      <c r="G67" s="74">
        <v>7.7880000000000003</v>
      </c>
      <c r="H67" s="75">
        <v>0</v>
      </c>
      <c r="I67" s="75">
        <v>0.42796610169491528</v>
      </c>
      <c r="J67" s="68">
        <v>0.42796610169491528</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8.2884999999999991</v>
      </c>
      <c r="W67" s="78">
        <v>1.79</v>
      </c>
      <c r="X67" s="78">
        <v>1.7955000000000001</v>
      </c>
      <c r="Y67" s="78">
        <v>8.2884999999999991</v>
      </c>
      <c r="Z67" s="19">
        <v>0</v>
      </c>
      <c r="AA67" s="19">
        <v>0.22866048855368132</v>
      </c>
      <c r="AB67" s="79">
        <v>0.22866048855368132</v>
      </c>
    </row>
    <row r="68" spans="2:28">
      <c r="B68" s="65">
        <v>84</v>
      </c>
      <c r="C68" s="66"/>
      <c r="D68" s="66">
        <v>7.327</v>
      </c>
      <c r="E68" s="66">
        <v>3.2229999999999999</v>
      </c>
      <c r="F68" s="66">
        <v>3.2280000000000002</v>
      </c>
      <c r="G68" s="66">
        <v>7.327</v>
      </c>
      <c r="H68" s="67">
        <v>0</v>
      </c>
      <c r="I68" s="67">
        <v>0.44056230380783407</v>
      </c>
      <c r="J68" s="68">
        <v>0.44056230380783407</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7.7990000000000004</v>
      </c>
      <c r="W68" s="70">
        <v>1.7289999999999999</v>
      </c>
      <c r="X68" s="70">
        <v>1.7315</v>
      </c>
      <c r="Y68" s="70">
        <v>7.7990000000000004</v>
      </c>
      <c r="Z68" s="71">
        <v>0</v>
      </c>
      <c r="AA68" s="71">
        <v>0.23448741475000578</v>
      </c>
      <c r="AB68" s="72">
        <v>0.23448741475000578</v>
      </c>
    </row>
    <row r="69" spans="2:28">
      <c r="B69" s="73">
        <v>85</v>
      </c>
      <c r="C69" s="74"/>
      <c r="D69" s="74">
        <v>6.883</v>
      </c>
      <c r="E69" s="74">
        <v>3.1139999999999999</v>
      </c>
      <c r="F69" s="74">
        <v>3.1139999999999999</v>
      </c>
      <c r="G69" s="74">
        <v>6.883</v>
      </c>
      <c r="H69" s="75">
        <v>0</v>
      </c>
      <c r="I69" s="75">
        <v>0.45241900334156615</v>
      </c>
      <c r="J69" s="68">
        <v>0.45241900334156615</v>
      </c>
      <c r="K69" s="73">
        <v>85</v>
      </c>
      <c r="L69" s="74">
        <v>0</v>
      </c>
      <c r="M69" s="74">
        <v>7.7679999999999998</v>
      </c>
      <c r="N69" s="76">
        <v>0.21</v>
      </c>
      <c r="O69" s="74">
        <v>0.21</v>
      </c>
      <c r="P69" s="74">
        <v>7.7679999999999998</v>
      </c>
      <c r="Q69" s="75">
        <v>0</v>
      </c>
      <c r="R69" s="75">
        <v>2.7033985581874358E-2</v>
      </c>
      <c r="S69" s="77">
        <v>2.7033985581874358E-2</v>
      </c>
      <c r="T69" s="73">
        <v>85</v>
      </c>
      <c r="U69" s="78">
        <v>0</v>
      </c>
      <c r="V69" s="78">
        <v>7.3254999999999999</v>
      </c>
      <c r="W69" s="78">
        <v>1.6619999999999999</v>
      </c>
      <c r="X69" s="78">
        <v>1.6619999999999999</v>
      </c>
      <c r="Y69" s="78">
        <v>7.3254999999999999</v>
      </c>
      <c r="Z69" s="19">
        <v>0</v>
      </c>
      <c r="AA69" s="19">
        <v>0.23972649446172026</v>
      </c>
      <c r="AB69" s="79">
        <v>0.23972649446172026</v>
      </c>
    </row>
    <row r="70" spans="2:28">
      <c r="B70" s="65">
        <v>86</v>
      </c>
      <c r="C70" s="66"/>
      <c r="D70" s="66">
        <v>6.4619999999999997</v>
      </c>
      <c r="E70" s="66">
        <v>2.9969999999999999</v>
      </c>
      <c r="F70" s="66">
        <v>2.992</v>
      </c>
      <c r="G70" s="66">
        <v>6.4619999999999997</v>
      </c>
      <c r="H70" s="67">
        <v>0</v>
      </c>
      <c r="I70" s="67">
        <v>0.46301454658000618</v>
      </c>
      <c r="J70" s="68">
        <v>0.46301454658000618</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1.5914999999999999</v>
      </c>
      <c r="X70" s="70">
        <v>1.589</v>
      </c>
      <c r="Y70" s="70">
        <v>6.8734999999999999</v>
      </c>
      <c r="Z70" s="71">
        <v>0</v>
      </c>
      <c r="AA70" s="71">
        <v>0.24427323073681159</v>
      </c>
      <c r="AB70" s="72">
        <v>0.24427323073681159</v>
      </c>
    </row>
    <row r="71" spans="2:28">
      <c r="B71" s="73">
        <v>87</v>
      </c>
      <c r="C71" s="74"/>
      <c r="D71" s="74">
        <v>6.069</v>
      </c>
      <c r="E71" s="74">
        <v>2.8730000000000002</v>
      </c>
      <c r="F71" s="74">
        <v>2.8650000000000002</v>
      </c>
      <c r="G71" s="74">
        <v>6.069</v>
      </c>
      <c r="H71" s="75">
        <v>0</v>
      </c>
      <c r="I71" s="75">
        <v>0.47207118141374199</v>
      </c>
      <c r="J71" s="68">
        <v>0.47207118141374199</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1.5175000000000001</v>
      </c>
      <c r="X71" s="78">
        <v>1.5135000000000001</v>
      </c>
      <c r="Y71" s="78">
        <v>6.4474999999999998</v>
      </c>
      <c r="Z71" s="19">
        <v>0</v>
      </c>
      <c r="AA71" s="19">
        <v>0.24790198390933219</v>
      </c>
      <c r="AB71" s="79">
        <v>0.24790198390933219</v>
      </c>
    </row>
    <row r="72" spans="2:28">
      <c r="B72" s="65">
        <v>88</v>
      </c>
      <c r="C72" s="66"/>
      <c r="D72" s="66">
        <v>5.7119999999999997</v>
      </c>
      <c r="E72" s="66">
        <v>2.7149999999999999</v>
      </c>
      <c r="F72" s="66">
        <v>2.7050000000000001</v>
      </c>
      <c r="G72" s="66">
        <v>5.7119999999999997</v>
      </c>
      <c r="H72" s="67">
        <v>0</v>
      </c>
      <c r="I72" s="67">
        <v>0.47356442577030816</v>
      </c>
      <c r="J72" s="68">
        <v>0.47356442577030816</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1.4275</v>
      </c>
      <c r="X72" s="70">
        <v>1.4225000000000001</v>
      </c>
      <c r="Y72" s="70">
        <v>6.0549999999999997</v>
      </c>
      <c r="Z72" s="71">
        <v>0</v>
      </c>
      <c r="AA72" s="71">
        <v>0.24772313192235321</v>
      </c>
      <c r="AB72" s="72">
        <v>0.24772313192235321</v>
      </c>
    </row>
    <row r="73" spans="2:28">
      <c r="B73" s="73">
        <v>89</v>
      </c>
      <c r="C73" s="74"/>
      <c r="D73" s="74">
        <v>5.3979999999999997</v>
      </c>
      <c r="E73" s="74">
        <v>2.5489999999999999</v>
      </c>
      <c r="F73" s="74">
        <v>2.5379999999999998</v>
      </c>
      <c r="G73" s="74">
        <v>5.3979999999999997</v>
      </c>
      <c r="H73" s="75">
        <v>0</v>
      </c>
      <c r="I73" s="75">
        <v>0.47017413856984069</v>
      </c>
      <c r="J73" s="68">
        <v>0.47017413856984069</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1.333</v>
      </c>
      <c r="X73" s="78">
        <v>1.3274999999999999</v>
      </c>
      <c r="Y73" s="78">
        <v>5.7024999999999997</v>
      </c>
      <c r="Z73" s="19">
        <v>0</v>
      </c>
      <c r="AA73" s="19">
        <v>0.24482570754028909</v>
      </c>
      <c r="AB73" s="79">
        <v>0.24482570754028909</v>
      </c>
    </row>
    <row r="74" spans="2:28">
      <c r="B74" s="65">
        <v>90</v>
      </c>
      <c r="C74" s="66"/>
      <c r="D74" s="66">
        <v>5.1150000000000002</v>
      </c>
      <c r="E74" s="66">
        <v>2.387</v>
      </c>
      <c r="F74" s="66">
        <v>2.3759999999999999</v>
      </c>
      <c r="G74" s="66">
        <v>5.1150000000000002</v>
      </c>
      <c r="H74" s="67">
        <v>0</v>
      </c>
      <c r="I74" s="67">
        <v>0.46451612903225803</v>
      </c>
      <c r="J74" s="68">
        <v>0.46451612903225803</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1.242</v>
      </c>
      <c r="X74" s="70">
        <v>1.2364999999999999</v>
      </c>
      <c r="Y74" s="70">
        <v>5.3849999999999998</v>
      </c>
      <c r="Z74" s="71">
        <v>0</v>
      </c>
      <c r="AA74" s="71">
        <v>0.2408345455064031</v>
      </c>
      <c r="AB74" s="72">
        <v>0.2408345455064031</v>
      </c>
    </row>
    <row r="75" spans="2:28">
      <c r="B75" s="73">
        <v>91</v>
      </c>
      <c r="C75" s="74"/>
      <c r="D75" s="74">
        <v>4.8499999999999996</v>
      </c>
      <c r="E75" s="74">
        <v>2.2040000000000002</v>
      </c>
      <c r="F75" s="74">
        <v>2.1920000000000002</v>
      </c>
      <c r="G75" s="74">
        <v>4.8499999999999996</v>
      </c>
      <c r="H75" s="75">
        <v>0</v>
      </c>
      <c r="I75" s="75">
        <v>0.45195876288659803</v>
      </c>
      <c r="J75" s="68">
        <v>0.45195876288659803</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1.1420000000000001</v>
      </c>
      <c r="X75" s="78">
        <v>1.1360000000000001</v>
      </c>
      <c r="Y75" s="78">
        <v>5.0909999999999993</v>
      </c>
      <c r="Z75" s="19">
        <v>0</v>
      </c>
      <c r="AA75" s="19">
        <v>0.23348125691216623</v>
      </c>
      <c r="AB75" s="79">
        <v>0.23348125691216623</v>
      </c>
    </row>
    <row r="76" spans="2:28">
      <c r="B76" s="65">
        <v>92</v>
      </c>
      <c r="C76" s="66"/>
      <c r="D76" s="66">
        <v>4.6040000000000001</v>
      </c>
      <c r="E76" s="66">
        <v>2.0350000000000001</v>
      </c>
      <c r="F76" s="66">
        <v>2.024</v>
      </c>
      <c r="G76" s="66">
        <v>4.6040000000000001</v>
      </c>
      <c r="H76" s="67">
        <v>0</v>
      </c>
      <c r="I76" s="67">
        <v>0.43961772371850566</v>
      </c>
      <c r="J76" s="68">
        <v>0.43961772371850566</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4.8164999999999996</v>
      </c>
      <c r="W76" s="70">
        <v>1.05</v>
      </c>
      <c r="X76" s="70">
        <v>1.0445</v>
      </c>
      <c r="Y76" s="70">
        <v>4.8164999999999996</v>
      </c>
      <c r="Z76" s="71">
        <v>0</v>
      </c>
      <c r="AA76" s="71">
        <v>0.22627137925833812</v>
      </c>
      <c r="AB76" s="72">
        <v>0.22627137925833812</v>
      </c>
    </row>
    <row r="77" spans="2:28">
      <c r="B77" s="73">
        <v>93</v>
      </c>
      <c r="C77" s="74"/>
      <c r="D77" s="74">
        <v>4.3760000000000003</v>
      </c>
      <c r="E77" s="74">
        <v>1.85</v>
      </c>
      <c r="F77" s="74">
        <v>1.839</v>
      </c>
      <c r="G77" s="74">
        <v>4.3760000000000003</v>
      </c>
      <c r="H77" s="75">
        <v>0</v>
      </c>
      <c r="I77" s="75">
        <v>0.42024680073126136</v>
      </c>
      <c r="J77" s="68">
        <v>0.42024680073126136</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4.5615000000000006</v>
      </c>
      <c r="W77" s="78">
        <v>0.95150000000000001</v>
      </c>
      <c r="X77" s="78">
        <v>0.94599999999999995</v>
      </c>
      <c r="Y77" s="78">
        <v>4.5615000000000006</v>
      </c>
      <c r="Z77" s="19">
        <v>0</v>
      </c>
      <c r="AA77" s="19">
        <v>0.21570587350656178</v>
      </c>
      <c r="AB77" s="79">
        <v>0.21570587350656178</v>
      </c>
    </row>
    <row r="78" spans="2:28">
      <c r="B78" s="65">
        <v>94</v>
      </c>
      <c r="C78" s="66"/>
      <c r="D78" s="66">
        <v>4.1660000000000004</v>
      </c>
      <c r="E78" s="66">
        <v>1.6830000000000001</v>
      </c>
      <c r="F78" s="66">
        <v>1.6739999999999999</v>
      </c>
      <c r="G78" s="66">
        <v>4.1660000000000004</v>
      </c>
      <c r="H78" s="67">
        <v>0</v>
      </c>
      <c r="I78" s="67">
        <v>0.40182429188670182</v>
      </c>
      <c r="J78" s="68">
        <v>0.40182429188670182</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0.86250000000000004</v>
      </c>
      <c r="X78" s="70">
        <v>0.85799999999999998</v>
      </c>
      <c r="Y78" s="70">
        <v>4.3254999999999999</v>
      </c>
      <c r="Z78" s="71">
        <v>0</v>
      </c>
      <c r="AA78" s="71">
        <v>0.20559442019084256</v>
      </c>
      <c r="AB78" s="72">
        <v>0.20559442019084256</v>
      </c>
    </row>
    <row r="79" spans="2:28">
      <c r="B79" s="73">
        <v>95</v>
      </c>
      <c r="C79" s="74"/>
      <c r="D79" s="74">
        <v>3.9740000000000002</v>
      </c>
      <c r="E79" s="74">
        <v>1.5349999999999999</v>
      </c>
      <c r="F79" s="74">
        <v>1.528</v>
      </c>
      <c r="G79" s="74">
        <v>3.9740000000000002</v>
      </c>
      <c r="H79" s="75">
        <v>0</v>
      </c>
      <c r="I79" s="75">
        <v>0.38449924509310518</v>
      </c>
      <c r="J79" s="68">
        <v>0.38449924509310518</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0.78449999999999998</v>
      </c>
      <c r="X79" s="78">
        <v>0.78100000000000003</v>
      </c>
      <c r="Y79" s="78">
        <v>4.1095000000000006</v>
      </c>
      <c r="Z79" s="19">
        <v>0</v>
      </c>
      <c r="AA79" s="19">
        <v>0.1962543339717587</v>
      </c>
      <c r="AB79" s="79">
        <v>0.1962543339717587</v>
      </c>
    </row>
    <row r="80" spans="2:28">
      <c r="B80" s="65">
        <v>96</v>
      </c>
      <c r="C80" s="66"/>
      <c r="D80" s="66">
        <v>3.798</v>
      </c>
      <c r="E80" s="66">
        <v>1.371</v>
      </c>
      <c r="F80" s="66">
        <v>1.3640000000000001</v>
      </c>
      <c r="G80" s="66">
        <v>3.798</v>
      </c>
      <c r="H80" s="67">
        <v>0</v>
      </c>
      <c r="I80" s="67">
        <v>0.35913638757240657</v>
      </c>
      <c r="J80" s="68">
        <v>0.35913638757240657</v>
      </c>
      <c r="K80" s="65">
        <v>96</v>
      </c>
      <c r="L80" s="66">
        <v>0</v>
      </c>
      <c r="M80" s="66">
        <v>4.024</v>
      </c>
      <c r="N80" s="69">
        <v>2.7E-2</v>
      </c>
      <c r="O80" s="66">
        <v>2.7E-2</v>
      </c>
      <c r="P80" s="66">
        <v>4.024</v>
      </c>
      <c r="Q80" s="67">
        <v>0</v>
      </c>
      <c r="R80" s="67">
        <v>6.7097415506958248E-3</v>
      </c>
      <c r="S80" s="68">
        <v>6.7097415506958248E-3</v>
      </c>
      <c r="T80" s="65">
        <v>96</v>
      </c>
      <c r="U80" s="70">
        <v>0</v>
      </c>
      <c r="V80" s="70">
        <v>3.911</v>
      </c>
      <c r="W80" s="70">
        <v>0.69899999999999995</v>
      </c>
      <c r="X80" s="70">
        <v>0.69550000000000001</v>
      </c>
      <c r="Y80" s="70">
        <v>3.911</v>
      </c>
      <c r="Z80" s="71">
        <v>0</v>
      </c>
      <c r="AA80" s="71">
        <v>0.18292306456155119</v>
      </c>
      <c r="AB80" s="72">
        <v>0.18292306456155119</v>
      </c>
    </row>
    <row r="81" spans="2:28">
      <c r="B81" s="73">
        <v>97</v>
      </c>
      <c r="C81" s="74"/>
      <c r="D81" s="74">
        <v>3.6389999999999998</v>
      </c>
      <c r="E81" s="74">
        <v>1.216</v>
      </c>
      <c r="F81" s="74">
        <v>1.2110000000000001</v>
      </c>
      <c r="G81" s="74">
        <v>3.6389999999999998</v>
      </c>
      <c r="H81" s="75">
        <v>0</v>
      </c>
      <c r="I81" s="75">
        <v>0.33278373179444909</v>
      </c>
      <c r="J81" s="68">
        <v>0.33278373179444909</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0.61849999999999994</v>
      </c>
      <c r="X81" s="78">
        <v>0.61599999999999999</v>
      </c>
      <c r="Y81" s="78">
        <v>3.7314999999999996</v>
      </c>
      <c r="Z81" s="19">
        <v>0</v>
      </c>
      <c r="AA81" s="19">
        <v>0.16913768179680613</v>
      </c>
      <c r="AB81" s="79">
        <v>0.16913768179680613</v>
      </c>
    </row>
    <row r="82" spans="2:28">
      <c r="B82" s="65">
        <v>98</v>
      </c>
      <c r="C82" s="66"/>
      <c r="D82" s="66">
        <v>3.4950000000000001</v>
      </c>
      <c r="E82" s="66">
        <v>1.0409999999999999</v>
      </c>
      <c r="F82" s="66">
        <v>1.038</v>
      </c>
      <c r="G82" s="66">
        <v>3.4950000000000001</v>
      </c>
      <c r="H82" s="67">
        <v>0</v>
      </c>
      <c r="I82" s="67">
        <v>0.29699570815450643</v>
      </c>
      <c r="J82" s="68">
        <v>0.29699570815450643</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3.569</v>
      </c>
      <c r="W82" s="70">
        <v>0.52899999999999991</v>
      </c>
      <c r="X82" s="70">
        <v>0.52749999999999997</v>
      </c>
      <c r="Y82" s="70">
        <v>3.569</v>
      </c>
      <c r="Z82" s="71">
        <v>0</v>
      </c>
      <c r="AA82" s="71">
        <v>0.15083109591090679</v>
      </c>
      <c r="AB82" s="72">
        <v>0.15083109591090679</v>
      </c>
    </row>
    <row r="83" spans="2:28">
      <c r="B83" s="73">
        <v>99</v>
      </c>
      <c r="C83" s="74"/>
      <c r="D83" s="74">
        <v>3.3639999999999999</v>
      </c>
      <c r="E83" s="74">
        <v>0.84799999999999998</v>
      </c>
      <c r="F83" s="74">
        <v>0.84499999999999997</v>
      </c>
      <c r="G83" s="74">
        <v>3.3639999999999999</v>
      </c>
      <c r="H83" s="75">
        <v>0</v>
      </c>
      <c r="I83" s="75">
        <v>0.25118906064209273</v>
      </c>
      <c r="J83" s="68">
        <v>0.25118906064209273</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0.43049999999999999</v>
      </c>
      <c r="X83" s="78">
        <v>0.42899999999999999</v>
      </c>
      <c r="Y83" s="78">
        <v>3.4219999999999997</v>
      </c>
      <c r="Z83" s="19">
        <v>0</v>
      </c>
      <c r="AA83" s="19">
        <v>0.12746234641300039</v>
      </c>
      <c r="AB83" s="79">
        <v>0.12746234641300039</v>
      </c>
    </row>
    <row r="84" spans="2:28" ht="15.75" thickBot="1">
      <c r="B84" s="90">
        <v>100</v>
      </c>
      <c r="C84" s="91"/>
      <c r="D84" s="91">
        <v>3.2450000000000001</v>
      </c>
      <c r="E84" s="91">
        <v>0.67200000000000004</v>
      </c>
      <c r="F84" s="91">
        <v>0.67</v>
      </c>
      <c r="G84" s="91">
        <v>3.2450000000000001</v>
      </c>
      <c r="H84" s="92">
        <v>0</v>
      </c>
      <c r="I84" s="92">
        <v>0.20647149460708783</v>
      </c>
      <c r="J84" s="68">
        <v>0.20647149460708783</v>
      </c>
      <c r="K84" s="90">
        <v>100</v>
      </c>
      <c r="L84" s="91">
        <v>0</v>
      </c>
      <c r="M84" s="91">
        <v>3.335</v>
      </c>
      <c r="N84" s="93">
        <v>0.01</v>
      </c>
      <c r="O84" s="91">
        <v>0.01</v>
      </c>
      <c r="P84" s="91">
        <v>3.335</v>
      </c>
      <c r="Q84" s="92">
        <v>0</v>
      </c>
      <c r="R84" s="92">
        <v>2.9985007496251873E-3</v>
      </c>
      <c r="S84" s="94">
        <v>2.9985007496251873E-3</v>
      </c>
      <c r="T84" s="90">
        <v>100</v>
      </c>
      <c r="U84" s="95">
        <v>0</v>
      </c>
      <c r="V84" s="95">
        <v>3.29</v>
      </c>
      <c r="W84" s="95">
        <v>0.34100000000000003</v>
      </c>
      <c r="X84" s="95">
        <v>0.34</v>
      </c>
      <c r="Y84" s="95">
        <v>3.29</v>
      </c>
      <c r="Z84" s="96">
        <v>0</v>
      </c>
      <c r="AA84" s="96">
        <v>0.10473499767835651</v>
      </c>
      <c r="AB84" s="97">
        <v>0.10473499767835651</v>
      </c>
    </row>
  </sheetData>
  <sheetProtection algorithmName="SHA-512" hashValue="mduIpxrvCk4HZ+z21GFmAsKEfAa2W0epb1CoI49OALBIhNBGkGo79oT7vn5ABNtliT6k4VkCL5mP2Tz1NehNAw==" saltValue="5fRWmbnUnWPAxQIbtkRFtw=="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70A6-E47A-4EF2-BF7B-4B4049B1175C}">
  <sheetPr codeName="Tabelle42"/>
  <dimension ref="A2: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2" customHeight="1">
      <c r="A2" s="46" t="s">
        <v>2153</v>
      </c>
      <c r="B2" s="952" t="s">
        <v>1519</v>
      </c>
      <c r="C2" s="48" t="s">
        <v>2129</v>
      </c>
      <c r="D2" s="48" t="s">
        <v>2130</v>
      </c>
      <c r="E2" s="48" t="s">
        <v>2131</v>
      </c>
      <c r="F2" s="48" t="s">
        <v>2132</v>
      </c>
      <c r="G2" s="48" t="s">
        <v>2133</v>
      </c>
      <c r="H2" s="954" t="s">
        <v>2134</v>
      </c>
      <c r="I2" s="954"/>
      <c r="J2" s="955"/>
      <c r="K2" s="49"/>
      <c r="L2" s="50" t="s">
        <v>2129</v>
      </c>
      <c r="M2" s="50" t="s">
        <v>2130</v>
      </c>
      <c r="N2" s="50" t="s">
        <v>2131</v>
      </c>
      <c r="O2" s="50" t="s">
        <v>2132</v>
      </c>
      <c r="P2" s="50" t="str">
        <f>+G2</f>
        <v>Anwartschafts-barwert
Altersrente</v>
      </c>
      <c r="Q2" s="956" t="s">
        <v>2135</v>
      </c>
      <c r="R2" s="956"/>
      <c r="S2" s="957"/>
      <c r="T2" s="51"/>
      <c r="U2" s="52" t="s">
        <v>2129</v>
      </c>
      <c r="V2" s="52" t="s">
        <v>2130</v>
      </c>
      <c r="W2" s="52" t="s">
        <v>2131</v>
      </c>
      <c r="X2" s="52" t="s">
        <v>2132</v>
      </c>
      <c r="Y2" s="52" t="str">
        <f>+G2</f>
        <v>Anwartschafts-barwert
Altersrente</v>
      </c>
      <c r="Z2" s="958" t="s">
        <v>2135</v>
      </c>
      <c r="AA2" s="958"/>
      <c r="AB2" s="959"/>
    </row>
    <row r="3" spans="1:28" s="64" customFormat="1" ht="13.5">
      <c r="A3" s="53">
        <v>43111</v>
      </c>
      <c r="B3" s="953"/>
      <c r="C3" s="55" t="s">
        <v>2146</v>
      </c>
      <c r="D3" s="55" t="s">
        <v>2147</v>
      </c>
      <c r="E3" s="55" t="s">
        <v>2148</v>
      </c>
      <c r="F3" s="55"/>
      <c r="G3" s="55"/>
      <c r="H3" s="56" t="s">
        <v>2139</v>
      </c>
      <c r="I3" s="56" t="s">
        <v>2140</v>
      </c>
      <c r="J3" s="57" t="s">
        <v>2141</v>
      </c>
      <c r="K3" s="58" t="s">
        <v>1519</v>
      </c>
      <c r="L3" s="59" t="s">
        <v>2150</v>
      </c>
      <c r="M3" s="59" t="s">
        <v>2151</v>
      </c>
      <c r="N3" s="59" t="s">
        <v>2144</v>
      </c>
      <c r="O3" s="59"/>
      <c r="P3" s="59"/>
      <c r="Q3" s="59" t="s">
        <v>2139</v>
      </c>
      <c r="R3" s="59" t="s">
        <v>2140</v>
      </c>
      <c r="S3" s="60" t="s">
        <v>2141</v>
      </c>
      <c r="T3" s="61" t="s">
        <v>1519</v>
      </c>
      <c r="U3" s="62" t="s">
        <v>2150</v>
      </c>
      <c r="V3" s="62" t="s">
        <v>2151</v>
      </c>
      <c r="W3" s="62" t="s">
        <v>2144</v>
      </c>
      <c r="X3" s="62" t="s">
        <v>2152</v>
      </c>
      <c r="Y3" s="62"/>
      <c r="Z3" s="62" t="s">
        <v>2139</v>
      </c>
      <c r="AA3" s="62" t="s">
        <v>2140</v>
      </c>
      <c r="AB3" s="63" t="s">
        <v>2141</v>
      </c>
    </row>
    <row r="4" spans="1:28">
      <c r="B4" s="65">
        <v>20</v>
      </c>
      <c r="C4" s="66">
        <v>0.26800000000000002</v>
      </c>
      <c r="D4" s="66">
        <v>5.1230000000000002</v>
      </c>
      <c r="E4" s="66">
        <v>0.53100000000000003</v>
      </c>
      <c r="F4" s="66">
        <v>0.53100000000000003</v>
      </c>
      <c r="G4" s="66">
        <v>4.8550000000000004</v>
      </c>
      <c r="H4" s="67">
        <v>5.5200823892893922E-2</v>
      </c>
      <c r="I4" s="67">
        <v>0.1093717816683831</v>
      </c>
      <c r="J4" s="68">
        <v>0.16457260556127701</v>
      </c>
      <c r="K4" s="65">
        <v>20</v>
      </c>
      <c r="L4" s="66">
        <v>0.26800000000000002</v>
      </c>
      <c r="M4" s="66">
        <v>5.8920000000000003</v>
      </c>
      <c r="N4" s="69">
        <v>0.13200000000000001</v>
      </c>
      <c r="O4" s="66">
        <v>0.13200000000000001</v>
      </c>
      <c r="P4" s="66">
        <v>5.6240000000000006</v>
      </c>
      <c r="Q4" s="67">
        <v>4.7652916073968703E-2</v>
      </c>
      <c r="R4" s="67">
        <v>2.3470839260312942E-2</v>
      </c>
      <c r="S4" s="68">
        <v>7.1123755334281641E-2</v>
      </c>
      <c r="T4" s="65">
        <v>20</v>
      </c>
      <c r="U4" s="70">
        <v>0.26800000000000002</v>
      </c>
      <c r="V4" s="70">
        <v>5.5075000000000003</v>
      </c>
      <c r="W4" s="70">
        <v>0.33150000000000002</v>
      </c>
      <c r="X4" s="70">
        <v>0.49299999999999999</v>
      </c>
      <c r="Y4" s="70">
        <v>5.8960000000000008</v>
      </c>
      <c r="Z4" s="71">
        <v>4.9533799533799529E-2</v>
      </c>
      <c r="AA4" s="71">
        <v>9.5765345765345747E-2</v>
      </c>
      <c r="AB4" s="72">
        <v>0.14529914529914528</v>
      </c>
    </row>
    <row r="5" spans="1:28">
      <c r="B5" s="73">
        <v>21</v>
      </c>
      <c r="C5" s="74">
        <v>0.32100000000000001</v>
      </c>
      <c r="D5" s="74">
        <v>5.2789999999999999</v>
      </c>
      <c r="E5" s="74">
        <v>0.61699999999999999</v>
      </c>
      <c r="F5" s="74">
        <v>0.61699999999999999</v>
      </c>
      <c r="G5" s="74">
        <v>4.9580000000000002</v>
      </c>
      <c r="H5" s="75">
        <v>6.4743848325937881E-2</v>
      </c>
      <c r="I5" s="75">
        <v>0.12444534086325131</v>
      </c>
      <c r="J5" s="77">
        <v>0.1891891891891892</v>
      </c>
      <c r="K5" s="73">
        <v>21</v>
      </c>
      <c r="L5" s="74">
        <v>0.32100000000000001</v>
      </c>
      <c r="M5" s="74">
        <v>6.0679999999999996</v>
      </c>
      <c r="N5" s="76">
        <v>0.159</v>
      </c>
      <c r="O5" s="74">
        <v>0.159</v>
      </c>
      <c r="P5" s="74">
        <v>5.7469999999999999</v>
      </c>
      <c r="Q5" s="75">
        <v>5.5855228815033936E-2</v>
      </c>
      <c r="R5" s="75">
        <v>2.7666608665390641E-2</v>
      </c>
      <c r="S5" s="77">
        <v>8.3521837480424577E-2</v>
      </c>
      <c r="T5" s="73">
        <v>21</v>
      </c>
      <c r="U5" s="78">
        <v>0.32100000000000001</v>
      </c>
      <c r="V5" s="78">
        <v>5.6734999999999998</v>
      </c>
      <c r="W5" s="78">
        <v>0.38800000000000001</v>
      </c>
      <c r="X5" s="78">
        <v>0.49299999999999999</v>
      </c>
      <c r="Y5" s="78">
        <v>5.8960000000000008</v>
      </c>
      <c r="Z5" s="19">
        <v>4.9533799533799529E-2</v>
      </c>
      <c r="AA5" s="19">
        <v>9.5765345765345747E-2</v>
      </c>
      <c r="AB5" s="79">
        <v>0.14529914529914528</v>
      </c>
    </row>
    <row r="6" spans="1:28">
      <c r="B6" s="65">
        <v>22</v>
      </c>
      <c r="C6" s="66">
        <v>0.371</v>
      </c>
      <c r="D6" s="66">
        <v>5.4379999999999997</v>
      </c>
      <c r="E6" s="66">
        <v>0.70899999999999996</v>
      </c>
      <c r="F6" s="66">
        <v>0.70899999999999996</v>
      </c>
      <c r="G6" s="66">
        <v>5.0670000000000002</v>
      </c>
      <c r="H6" s="67">
        <v>7.32188671797908E-2</v>
      </c>
      <c r="I6" s="67">
        <v>0.1399250049338859</v>
      </c>
      <c r="J6" s="68">
        <v>0.21314387211367669</v>
      </c>
      <c r="K6" s="65">
        <v>22</v>
      </c>
      <c r="L6" s="66">
        <v>0.371</v>
      </c>
      <c r="M6" s="66">
        <v>6.2489999999999997</v>
      </c>
      <c r="N6" s="69">
        <v>0.185</v>
      </c>
      <c r="O6" s="66">
        <v>0.185</v>
      </c>
      <c r="P6" s="66">
        <v>5.8780000000000001</v>
      </c>
      <c r="Q6" s="67">
        <v>6.31167063627084E-2</v>
      </c>
      <c r="R6" s="67">
        <v>3.1473290234773729E-2</v>
      </c>
      <c r="S6" s="68">
        <v>9.4589996597482129E-2</v>
      </c>
      <c r="T6" s="65">
        <v>22</v>
      </c>
      <c r="U6" s="70">
        <v>0.371</v>
      </c>
      <c r="V6" s="70">
        <v>5.8434999999999997</v>
      </c>
      <c r="W6" s="70">
        <v>0.44699999999999995</v>
      </c>
      <c r="X6" s="70">
        <v>0.49299999999999999</v>
      </c>
      <c r="Y6" s="70">
        <v>5.8960000000000008</v>
      </c>
      <c r="Z6" s="71">
        <v>4.9533799533799529E-2</v>
      </c>
      <c r="AA6" s="71">
        <v>9.5765345765345747E-2</v>
      </c>
      <c r="AB6" s="72">
        <v>0.14529914529914528</v>
      </c>
    </row>
    <row r="7" spans="1:28">
      <c r="B7" s="73">
        <v>23</v>
      </c>
      <c r="C7" s="74">
        <v>0.41199999999999998</v>
      </c>
      <c r="D7" s="74">
        <v>5.601</v>
      </c>
      <c r="E7" s="74">
        <v>0.80500000000000005</v>
      </c>
      <c r="F7" s="74">
        <v>0.80500000000000005</v>
      </c>
      <c r="G7" s="74">
        <v>5.1890000000000001</v>
      </c>
      <c r="H7" s="75">
        <v>7.9398728078627856E-2</v>
      </c>
      <c r="I7" s="75">
        <v>0.15513586432838697</v>
      </c>
      <c r="J7" s="77">
        <v>0.23453459240701482</v>
      </c>
      <c r="K7" s="73">
        <v>23</v>
      </c>
      <c r="L7" s="74">
        <v>0.41199999999999998</v>
      </c>
      <c r="M7" s="74">
        <v>6.4349999999999996</v>
      </c>
      <c r="N7" s="76">
        <v>0.20599999999999999</v>
      </c>
      <c r="O7" s="74">
        <v>0.20599999999999999</v>
      </c>
      <c r="P7" s="74">
        <v>6.0229999999999997</v>
      </c>
      <c r="Q7" s="75">
        <v>6.8404449609828985E-2</v>
      </c>
      <c r="R7" s="75">
        <v>3.4202224804914493E-2</v>
      </c>
      <c r="S7" s="77">
        <v>0.10260667441474347</v>
      </c>
      <c r="T7" s="73">
        <v>23</v>
      </c>
      <c r="U7" s="78">
        <v>0.41199999999999998</v>
      </c>
      <c r="V7" s="78">
        <v>6.0179999999999998</v>
      </c>
      <c r="W7" s="78">
        <v>0.50550000000000006</v>
      </c>
      <c r="X7" s="78">
        <v>0.49299999999999999</v>
      </c>
      <c r="Y7" s="78">
        <v>5.8960000000000008</v>
      </c>
      <c r="Z7" s="19">
        <v>4.9533799533799529E-2</v>
      </c>
      <c r="AA7" s="19">
        <v>9.5765345765345747E-2</v>
      </c>
      <c r="AB7" s="79">
        <v>0.14529914529914528</v>
      </c>
    </row>
    <row r="8" spans="1:28">
      <c r="B8" s="65">
        <v>24</v>
      </c>
      <c r="C8" s="66">
        <v>0.44900000000000001</v>
      </c>
      <c r="D8" s="66">
        <v>5.7690000000000001</v>
      </c>
      <c r="E8" s="66">
        <v>0.89400000000000002</v>
      </c>
      <c r="F8" s="66">
        <v>0.89400000000000002</v>
      </c>
      <c r="G8" s="66">
        <v>5.32</v>
      </c>
      <c r="H8" s="67">
        <v>8.43984962406015E-2</v>
      </c>
      <c r="I8" s="67">
        <v>0.16804511278195489</v>
      </c>
      <c r="J8" s="68">
        <v>0.25244360902255636</v>
      </c>
      <c r="K8" s="65">
        <v>24</v>
      </c>
      <c r="L8" s="66">
        <v>0.44900000000000001</v>
      </c>
      <c r="M8" s="66">
        <v>6.625</v>
      </c>
      <c r="N8" s="69">
        <v>0.22700000000000001</v>
      </c>
      <c r="O8" s="66">
        <v>0.22700000000000001</v>
      </c>
      <c r="P8" s="66">
        <v>6.1760000000000002</v>
      </c>
      <c r="Q8" s="67">
        <v>7.2700777202072533E-2</v>
      </c>
      <c r="R8" s="67">
        <v>3.6755181347150258E-2</v>
      </c>
      <c r="S8" s="68">
        <v>0.1094559585492228</v>
      </c>
      <c r="T8" s="65">
        <v>24</v>
      </c>
      <c r="U8" s="70">
        <v>0.44900000000000001</v>
      </c>
      <c r="V8" s="70">
        <v>6.1970000000000001</v>
      </c>
      <c r="W8" s="70">
        <v>0.5605</v>
      </c>
      <c r="X8" s="70">
        <v>0.49299999999999999</v>
      </c>
      <c r="Y8" s="70">
        <v>5.8960000000000008</v>
      </c>
      <c r="Z8" s="71">
        <v>4.9533799533799529E-2</v>
      </c>
      <c r="AA8" s="71">
        <v>9.5765345765345747E-2</v>
      </c>
      <c r="AB8" s="72">
        <v>0.14529914529914528</v>
      </c>
    </row>
    <row r="9" spans="1:28">
      <c r="B9" s="73">
        <v>25</v>
      </c>
      <c r="C9" s="74">
        <v>0.48599999999999999</v>
      </c>
      <c r="D9" s="74">
        <v>5.94</v>
      </c>
      <c r="E9" s="74">
        <v>0.97599999999999998</v>
      </c>
      <c r="F9" s="74">
        <v>0.97599999999999998</v>
      </c>
      <c r="G9" s="74">
        <v>5.4540000000000006</v>
      </c>
      <c r="H9" s="75">
        <v>8.9108910891089091E-2</v>
      </c>
      <c r="I9" s="75">
        <v>0.17895122845617892</v>
      </c>
      <c r="J9" s="77">
        <v>0.26806013934726802</v>
      </c>
      <c r="K9" s="73">
        <v>25</v>
      </c>
      <c r="L9" s="74">
        <v>0.48599999999999999</v>
      </c>
      <c r="M9" s="74">
        <v>6.819</v>
      </c>
      <c r="N9" s="76">
        <v>0.247</v>
      </c>
      <c r="O9" s="74">
        <v>0.247</v>
      </c>
      <c r="P9" s="74">
        <v>6.3330000000000002</v>
      </c>
      <c r="Q9" s="75">
        <v>7.6740881099005204E-2</v>
      </c>
      <c r="R9" s="75">
        <v>3.9002052739617876E-2</v>
      </c>
      <c r="S9" s="77">
        <v>0.11574293383862308</v>
      </c>
      <c r="T9" s="73">
        <v>25</v>
      </c>
      <c r="U9" s="78">
        <v>0.48599999999999999</v>
      </c>
      <c r="V9" s="78">
        <v>6.3795000000000002</v>
      </c>
      <c r="W9" s="78">
        <v>0.61149999999999993</v>
      </c>
      <c r="X9" s="78">
        <v>0.49299999999999999</v>
      </c>
      <c r="Y9" s="78">
        <v>5.8960000000000008</v>
      </c>
      <c r="Z9" s="19">
        <v>4.9533799533799529E-2</v>
      </c>
      <c r="AA9" s="19">
        <v>9.5765345765345747E-2</v>
      </c>
      <c r="AB9" s="79">
        <v>0.14529914529914528</v>
      </c>
    </row>
    <row r="10" spans="1:28">
      <c r="B10" s="65">
        <v>26</v>
      </c>
      <c r="C10" s="66">
        <v>0.52100000000000002</v>
      </c>
      <c r="D10" s="66">
        <v>6.1150000000000002</v>
      </c>
      <c r="E10" s="66">
        <v>1.054</v>
      </c>
      <c r="F10" s="66">
        <v>1.054</v>
      </c>
      <c r="G10" s="66">
        <v>5.5940000000000003</v>
      </c>
      <c r="H10" s="67">
        <v>9.3135502323918484E-2</v>
      </c>
      <c r="I10" s="67">
        <v>0.18841616017161245</v>
      </c>
      <c r="J10" s="68">
        <v>0.28155166249553093</v>
      </c>
      <c r="K10" s="65">
        <v>26</v>
      </c>
      <c r="L10" s="66">
        <v>0.52100000000000002</v>
      </c>
      <c r="M10" s="66">
        <v>7.0179999999999998</v>
      </c>
      <c r="N10" s="69">
        <v>0.26700000000000002</v>
      </c>
      <c r="O10" s="66">
        <v>0.26700000000000002</v>
      </c>
      <c r="P10" s="66">
        <v>6.4969999999999999</v>
      </c>
      <c r="Q10" s="67">
        <v>8.0190857318762507E-2</v>
      </c>
      <c r="R10" s="67">
        <v>4.1095890410958909E-2</v>
      </c>
      <c r="S10" s="68">
        <v>0.12128674772972142</v>
      </c>
      <c r="T10" s="65">
        <v>26</v>
      </c>
      <c r="U10" s="70">
        <v>0.52100000000000002</v>
      </c>
      <c r="V10" s="70">
        <v>6.5664999999999996</v>
      </c>
      <c r="W10" s="70">
        <v>0.66050000000000009</v>
      </c>
      <c r="X10" s="70">
        <v>0.49299999999999999</v>
      </c>
      <c r="Y10" s="70">
        <v>5.8960000000000008</v>
      </c>
      <c r="Z10" s="71">
        <v>4.9533799533799529E-2</v>
      </c>
      <c r="AA10" s="71">
        <v>9.5765345765345747E-2</v>
      </c>
      <c r="AB10" s="72">
        <v>0.14529914529914528</v>
      </c>
    </row>
    <row r="11" spans="1:28">
      <c r="B11" s="73">
        <v>27</v>
      </c>
      <c r="C11" s="74">
        <v>0.55500000000000005</v>
      </c>
      <c r="D11" s="74">
        <v>6.2949999999999999</v>
      </c>
      <c r="E11" s="74">
        <v>1.1299999999999999</v>
      </c>
      <c r="F11" s="74">
        <v>1.1299999999999999</v>
      </c>
      <c r="G11" s="74">
        <v>5.74</v>
      </c>
      <c r="H11" s="75">
        <v>9.6689895470383286E-2</v>
      </c>
      <c r="I11" s="75">
        <v>0.1968641114982578</v>
      </c>
      <c r="J11" s="77">
        <v>0.29355400696864109</v>
      </c>
      <c r="K11" s="73">
        <v>27</v>
      </c>
      <c r="L11" s="74">
        <v>0.55500000000000005</v>
      </c>
      <c r="M11" s="74">
        <v>7.22</v>
      </c>
      <c r="N11" s="76">
        <v>0.28799999999999998</v>
      </c>
      <c r="O11" s="74">
        <v>0.28799999999999998</v>
      </c>
      <c r="P11" s="74">
        <v>6.665</v>
      </c>
      <c r="Q11" s="75">
        <v>8.3270817704426112E-2</v>
      </c>
      <c r="R11" s="75">
        <v>4.3210802700675163E-2</v>
      </c>
      <c r="S11" s="77">
        <v>0.12648162040510127</v>
      </c>
      <c r="T11" s="73">
        <v>27</v>
      </c>
      <c r="U11" s="78">
        <v>0.55500000000000005</v>
      </c>
      <c r="V11" s="78">
        <v>6.7575000000000003</v>
      </c>
      <c r="W11" s="78">
        <v>0.70899999999999996</v>
      </c>
      <c r="X11" s="78">
        <v>0.49299999999999999</v>
      </c>
      <c r="Y11" s="78">
        <v>5.8960000000000008</v>
      </c>
      <c r="Z11" s="19">
        <v>4.9533799533799529E-2</v>
      </c>
      <c r="AA11" s="19">
        <v>9.5765345765345747E-2</v>
      </c>
      <c r="AB11" s="79">
        <v>0.14529914529914528</v>
      </c>
    </row>
    <row r="12" spans="1:28">
      <c r="B12" s="65">
        <v>28</v>
      </c>
      <c r="C12" s="66">
        <v>0.58799999999999997</v>
      </c>
      <c r="D12" s="66">
        <v>6.4790000000000001</v>
      </c>
      <c r="E12" s="66">
        <v>1.204</v>
      </c>
      <c r="F12" s="66">
        <v>1.204</v>
      </c>
      <c r="G12" s="66">
        <v>5.891</v>
      </c>
      <c r="H12" s="67">
        <v>9.981327448650483E-2</v>
      </c>
      <c r="I12" s="67">
        <v>0.20437956204379562</v>
      </c>
      <c r="J12" s="68">
        <v>0.30419283653030044</v>
      </c>
      <c r="K12" s="65">
        <v>28</v>
      </c>
      <c r="L12" s="66">
        <v>0.58799999999999997</v>
      </c>
      <c r="M12" s="66">
        <v>7.4279999999999999</v>
      </c>
      <c r="N12" s="69">
        <v>0.308</v>
      </c>
      <c r="O12" s="66">
        <v>0.308</v>
      </c>
      <c r="P12" s="66">
        <v>6.84</v>
      </c>
      <c r="Q12" s="67">
        <v>8.5964912280701758E-2</v>
      </c>
      <c r="R12" s="67">
        <v>4.502923976608187E-2</v>
      </c>
      <c r="S12" s="68">
        <v>0.13099415204678364</v>
      </c>
      <c r="T12" s="65">
        <v>28</v>
      </c>
      <c r="U12" s="70">
        <v>0.58799999999999997</v>
      </c>
      <c r="V12" s="70">
        <v>6.9535</v>
      </c>
      <c r="W12" s="70">
        <v>0.75600000000000001</v>
      </c>
      <c r="X12" s="70">
        <v>0.49299999999999999</v>
      </c>
      <c r="Y12" s="70">
        <v>5.8960000000000008</v>
      </c>
      <c r="Z12" s="71">
        <v>4.9533799533799529E-2</v>
      </c>
      <c r="AA12" s="71">
        <v>9.5765345765345747E-2</v>
      </c>
      <c r="AB12" s="72">
        <v>0.14529914529914528</v>
      </c>
    </row>
    <row r="13" spans="1:28">
      <c r="B13" s="73">
        <v>29</v>
      </c>
      <c r="C13" s="74">
        <v>0.61799999999999999</v>
      </c>
      <c r="D13" s="74">
        <v>6.6669999999999998</v>
      </c>
      <c r="E13" s="74">
        <v>1.276</v>
      </c>
      <c r="F13" s="74">
        <v>1.276</v>
      </c>
      <c r="G13" s="74">
        <v>6.0489999999999995</v>
      </c>
      <c r="H13" s="75">
        <v>0.10216564721441561</v>
      </c>
      <c r="I13" s="75">
        <v>0.21094395767895521</v>
      </c>
      <c r="J13" s="77">
        <v>0.31310960489337081</v>
      </c>
      <c r="K13" s="73">
        <v>29</v>
      </c>
      <c r="L13" s="74">
        <v>0.61799999999999999</v>
      </c>
      <c r="M13" s="74">
        <v>7.6390000000000002</v>
      </c>
      <c r="N13" s="76">
        <v>0.32700000000000001</v>
      </c>
      <c r="O13" s="74">
        <v>0.32700000000000001</v>
      </c>
      <c r="P13" s="74">
        <v>7.0209999999999999</v>
      </c>
      <c r="Q13" s="75">
        <v>8.802164933770118E-2</v>
      </c>
      <c r="R13" s="75">
        <v>4.6574562028201115E-2</v>
      </c>
      <c r="S13" s="77">
        <v>0.1345962113659023</v>
      </c>
      <c r="T13" s="73">
        <v>29</v>
      </c>
      <c r="U13" s="78">
        <v>0.61799999999999999</v>
      </c>
      <c r="V13" s="78">
        <v>7.1530000000000005</v>
      </c>
      <c r="W13" s="78">
        <v>0.80149999999999999</v>
      </c>
      <c r="X13" s="78">
        <v>0.49299999999999999</v>
      </c>
      <c r="Y13" s="78">
        <v>5.8960000000000008</v>
      </c>
      <c r="Z13" s="19">
        <v>4.9533799533799529E-2</v>
      </c>
      <c r="AA13" s="19">
        <v>9.5765345765345747E-2</v>
      </c>
      <c r="AB13" s="79">
        <v>0.14529914529914528</v>
      </c>
    </row>
    <row r="14" spans="1:28">
      <c r="B14" s="65">
        <v>30</v>
      </c>
      <c r="C14" s="66">
        <v>0.64700000000000002</v>
      </c>
      <c r="D14" s="66">
        <v>6.86</v>
      </c>
      <c r="E14" s="66">
        <v>1.3480000000000001</v>
      </c>
      <c r="F14" s="66">
        <v>1.3480000000000001</v>
      </c>
      <c r="G14" s="66">
        <v>6.2130000000000001</v>
      </c>
      <c r="H14" s="67">
        <v>0.10413648800901336</v>
      </c>
      <c r="I14" s="67">
        <v>0.21696442942217931</v>
      </c>
      <c r="J14" s="68">
        <v>0.32110091743119268</v>
      </c>
      <c r="K14" s="65">
        <v>30</v>
      </c>
      <c r="L14" s="66">
        <v>0.64700000000000002</v>
      </c>
      <c r="M14" s="66">
        <v>7.8550000000000004</v>
      </c>
      <c r="N14" s="69">
        <v>0.34699999999999998</v>
      </c>
      <c r="O14" s="66">
        <v>0.34699999999999998</v>
      </c>
      <c r="P14" s="66">
        <v>7.2080000000000002</v>
      </c>
      <c r="Q14" s="67">
        <v>8.9761376248612648E-2</v>
      </c>
      <c r="R14" s="67">
        <v>4.8140954495005543E-2</v>
      </c>
      <c r="S14" s="68">
        <v>0.13790233074361818</v>
      </c>
      <c r="T14" s="65">
        <v>30</v>
      </c>
      <c r="U14" s="70">
        <v>0.64700000000000002</v>
      </c>
      <c r="V14" s="70">
        <v>7.3574999999999999</v>
      </c>
      <c r="W14" s="70">
        <v>0.84750000000000003</v>
      </c>
      <c r="X14" s="70">
        <v>0.49299999999999999</v>
      </c>
      <c r="Y14" s="70">
        <v>5.8960000000000008</v>
      </c>
      <c r="Z14" s="71">
        <v>4.9533799533799529E-2</v>
      </c>
      <c r="AA14" s="71">
        <v>9.5765345765345747E-2</v>
      </c>
      <c r="AB14" s="72">
        <v>0.14529914529914528</v>
      </c>
    </row>
    <row r="15" spans="1:28">
      <c r="B15" s="73">
        <v>31</v>
      </c>
      <c r="C15" s="74">
        <v>0.67200000000000004</v>
      </c>
      <c r="D15" s="74">
        <v>7.0579999999999998</v>
      </c>
      <c r="E15" s="74">
        <v>1.419</v>
      </c>
      <c r="F15" s="74">
        <v>1.419</v>
      </c>
      <c r="G15" s="74">
        <v>6.3860000000000001</v>
      </c>
      <c r="H15" s="75">
        <v>0.10523019104290636</v>
      </c>
      <c r="I15" s="75">
        <v>0.2222048230504228</v>
      </c>
      <c r="J15" s="77">
        <v>0.32743501409332915</v>
      </c>
      <c r="K15" s="73">
        <v>31</v>
      </c>
      <c r="L15" s="74">
        <v>0.67200000000000004</v>
      </c>
      <c r="M15" s="74">
        <v>8.0760000000000005</v>
      </c>
      <c r="N15" s="76">
        <v>0.36499999999999999</v>
      </c>
      <c r="O15" s="74">
        <v>0.36499999999999999</v>
      </c>
      <c r="P15" s="74">
        <v>7.4040000000000008</v>
      </c>
      <c r="Q15" s="75">
        <v>9.0761750405186387E-2</v>
      </c>
      <c r="R15" s="75">
        <v>4.929767693138843E-2</v>
      </c>
      <c r="S15" s="77">
        <v>0.14005942733657481</v>
      </c>
      <c r="T15" s="73">
        <v>31</v>
      </c>
      <c r="U15" s="78">
        <v>0.67200000000000004</v>
      </c>
      <c r="V15" s="78">
        <v>7.5670000000000002</v>
      </c>
      <c r="W15" s="78">
        <v>0.89200000000000002</v>
      </c>
      <c r="X15" s="78">
        <v>0.49299999999999999</v>
      </c>
      <c r="Y15" s="78">
        <v>5.8960000000000008</v>
      </c>
      <c r="Z15" s="19">
        <v>4.9533799533799529E-2</v>
      </c>
      <c r="AA15" s="19">
        <v>9.5765345765345747E-2</v>
      </c>
      <c r="AB15" s="79">
        <v>0.14529914529914528</v>
      </c>
    </row>
    <row r="16" spans="1:28">
      <c r="B16" s="65">
        <v>32</v>
      </c>
      <c r="C16" s="66">
        <v>0.69599999999999995</v>
      </c>
      <c r="D16" s="66">
        <v>7.2610000000000001</v>
      </c>
      <c r="E16" s="66">
        <v>1.49</v>
      </c>
      <c r="F16" s="66">
        <v>1.49</v>
      </c>
      <c r="G16" s="66">
        <v>6.5650000000000004</v>
      </c>
      <c r="H16" s="67">
        <v>0.106016755521706</v>
      </c>
      <c r="I16" s="67">
        <v>0.22696115765422695</v>
      </c>
      <c r="J16" s="68">
        <v>0.33297791317593295</v>
      </c>
      <c r="K16" s="65">
        <v>32</v>
      </c>
      <c r="L16" s="66">
        <v>0.69599999999999995</v>
      </c>
      <c r="M16" s="66">
        <v>8.3010000000000002</v>
      </c>
      <c r="N16" s="69">
        <v>0.38400000000000001</v>
      </c>
      <c r="O16" s="66">
        <v>0.38400000000000001</v>
      </c>
      <c r="P16" s="66">
        <v>7.6050000000000004</v>
      </c>
      <c r="Q16" s="67">
        <v>9.1518737672583811E-2</v>
      </c>
      <c r="R16" s="67">
        <v>5.0493096646942799E-2</v>
      </c>
      <c r="S16" s="68">
        <v>0.1420118343195266</v>
      </c>
      <c r="T16" s="65">
        <v>32</v>
      </c>
      <c r="U16" s="70">
        <v>0.69599999999999995</v>
      </c>
      <c r="V16" s="70">
        <v>7.7810000000000006</v>
      </c>
      <c r="W16" s="70">
        <v>0.93700000000000006</v>
      </c>
      <c r="X16" s="70">
        <v>0.49299999999999999</v>
      </c>
      <c r="Y16" s="70">
        <v>5.8960000000000008</v>
      </c>
      <c r="Z16" s="71">
        <v>4.9533799533799529E-2</v>
      </c>
      <c r="AA16" s="71">
        <v>9.5765345765345747E-2</v>
      </c>
      <c r="AB16" s="72">
        <v>0.14529914529914528</v>
      </c>
    </row>
    <row r="17" spans="2:28">
      <c r="B17" s="73">
        <v>33</v>
      </c>
      <c r="C17" s="74">
        <v>0.71599999999999997</v>
      </c>
      <c r="D17" s="74">
        <v>7.47</v>
      </c>
      <c r="E17" s="74">
        <v>1.5620000000000001</v>
      </c>
      <c r="F17" s="74">
        <v>1.5620000000000001</v>
      </c>
      <c r="G17" s="74">
        <v>6.7539999999999996</v>
      </c>
      <c r="H17" s="75">
        <v>0.10601125259105715</v>
      </c>
      <c r="I17" s="75">
        <v>0.23127035830618894</v>
      </c>
      <c r="J17" s="77">
        <v>0.33728161089724606</v>
      </c>
      <c r="K17" s="73">
        <v>33</v>
      </c>
      <c r="L17" s="74">
        <v>0.71599999999999997</v>
      </c>
      <c r="M17" s="74">
        <v>8.532</v>
      </c>
      <c r="N17" s="76">
        <v>0.40200000000000002</v>
      </c>
      <c r="O17" s="74">
        <v>0.40200000000000002</v>
      </c>
      <c r="P17" s="74">
        <v>7.8159999999999998</v>
      </c>
      <c r="Q17" s="75">
        <v>9.1606960081883321E-2</v>
      </c>
      <c r="R17" s="75">
        <v>5.1432958034800413E-2</v>
      </c>
      <c r="S17" s="77">
        <v>0.14303991811668373</v>
      </c>
      <c r="T17" s="73">
        <v>33</v>
      </c>
      <c r="U17" s="78">
        <v>0.71599999999999997</v>
      </c>
      <c r="V17" s="78">
        <v>8.0009999999999994</v>
      </c>
      <c r="W17" s="78">
        <v>0.98199999999999998</v>
      </c>
      <c r="X17" s="78">
        <v>0.49299999999999999</v>
      </c>
      <c r="Y17" s="78">
        <v>5.8960000000000008</v>
      </c>
      <c r="Z17" s="19">
        <v>4.9533799533799529E-2</v>
      </c>
      <c r="AA17" s="19">
        <v>9.5765345765345747E-2</v>
      </c>
      <c r="AB17" s="79">
        <v>0.14529914529914528</v>
      </c>
    </row>
    <row r="18" spans="2:28">
      <c r="B18" s="65">
        <v>34</v>
      </c>
      <c r="C18" s="66">
        <v>0.73399999999999999</v>
      </c>
      <c r="D18" s="66">
        <v>7.6840000000000002</v>
      </c>
      <c r="E18" s="66">
        <v>1.633</v>
      </c>
      <c r="F18" s="66">
        <v>1.633</v>
      </c>
      <c r="G18" s="66">
        <v>6.95</v>
      </c>
      <c r="H18" s="67">
        <v>0.10561151079136691</v>
      </c>
      <c r="I18" s="67">
        <v>0.23496402877697842</v>
      </c>
      <c r="J18" s="68">
        <v>0.3405755395683453</v>
      </c>
      <c r="K18" s="65">
        <v>34</v>
      </c>
      <c r="L18" s="66">
        <v>0.73399999999999999</v>
      </c>
      <c r="M18" s="66">
        <v>8.7669999999999995</v>
      </c>
      <c r="N18" s="69">
        <v>0.41899999999999998</v>
      </c>
      <c r="O18" s="66">
        <v>0.41899999999999998</v>
      </c>
      <c r="P18" s="66">
        <v>8.0329999999999995</v>
      </c>
      <c r="Q18" s="67">
        <v>9.1373086020166819E-2</v>
      </c>
      <c r="R18" s="67">
        <v>5.2159840657288688E-2</v>
      </c>
      <c r="S18" s="68">
        <v>0.14353292667745551</v>
      </c>
      <c r="T18" s="65">
        <v>34</v>
      </c>
      <c r="U18" s="70">
        <v>0.73399999999999999</v>
      </c>
      <c r="V18" s="70">
        <v>8.2255000000000003</v>
      </c>
      <c r="W18" s="70">
        <v>1.026</v>
      </c>
      <c r="X18" s="70">
        <v>0.49299999999999999</v>
      </c>
      <c r="Y18" s="70">
        <v>5.8960000000000008</v>
      </c>
      <c r="Z18" s="71">
        <v>4.9533799533799529E-2</v>
      </c>
      <c r="AA18" s="71">
        <v>9.5765345765345747E-2</v>
      </c>
      <c r="AB18" s="72">
        <v>0.14529914529914528</v>
      </c>
    </row>
    <row r="19" spans="2:28">
      <c r="B19" s="73">
        <v>35</v>
      </c>
      <c r="C19" s="74">
        <v>0.748</v>
      </c>
      <c r="D19" s="74">
        <v>7.9029999999999996</v>
      </c>
      <c r="E19" s="74">
        <v>1.7050000000000001</v>
      </c>
      <c r="F19" s="74">
        <v>1.7050000000000001</v>
      </c>
      <c r="G19" s="74">
        <v>7.1549999999999994</v>
      </c>
      <c r="H19" s="75">
        <v>0.10454227812718379</v>
      </c>
      <c r="I19" s="75">
        <v>0.2382948986722572</v>
      </c>
      <c r="J19" s="77">
        <v>0.34283717679944098</v>
      </c>
      <c r="K19" s="73">
        <v>35</v>
      </c>
      <c r="L19" s="74">
        <v>0.748</v>
      </c>
      <c r="M19" s="74">
        <v>9.0069999999999997</v>
      </c>
      <c r="N19" s="76">
        <v>0.436</v>
      </c>
      <c r="O19" s="74">
        <v>0.436</v>
      </c>
      <c r="P19" s="74">
        <v>8.2590000000000003</v>
      </c>
      <c r="Q19" s="75">
        <v>9.0567865359002298E-2</v>
      </c>
      <c r="R19" s="75">
        <v>5.2790894781450534E-2</v>
      </c>
      <c r="S19" s="77">
        <v>0.14335876014045285</v>
      </c>
      <c r="T19" s="73">
        <v>35</v>
      </c>
      <c r="U19" s="78">
        <v>0.748</v>
      </c>
      <c r="V19" s="78">
        <v>8.4550000000000001</v>
      </c>
      <c r="W19" s="78">
        <v>1.0705</v>
      </c>
      <c r="X19" s="78">
        <v>0.49299999999999999</v>
      </c>
      <c r="Y19" s="78">
        <v>5.8960000000000008</v>
      </c>
      <c r="Z19" s="19">
        <v>4.9533799533799529E-2</v>
      </c>
      <c r="AA19" s="19">
        <v>9.5765345765345747E-2</v>
      </c>
      <c r="AB19" s="79">
        <v>0.14529914529914528</v>
      </c>
    </row>
    <row r="20" spans="2:28">
      <c r="B20" s="65">
        <v>36</v>
      </c>
      <c r="C20" s="66">
        <v>0.75700000000000001</v>
      </c>
      <c r="D20" s="66">
        <v>8.1259999999999994</v>
      </c>
      <c r="E20" s="66">
        <v>1.7769999999999999</v>
      </c>
      <c r="F20" s="66">
        <v>1.7769999999999999</v>
      </c>
      <c r="G20" s="66">
        <v>7.3689999999999998</v>
      </c>
      <c r="H20" s="67">
        <v>0.10272764282806351</v>
      </c>
      <c r="I20" s="67">
        <v>0.2411453385805401</v>
      </c>
      <c r="J20" s="68">
        <v>0.34387298140860362</v>
      </c>
      <c r="K20" s="65">
        <v>36</v>
      </c>
      <c r="L20" s="66">
        <v>0.75700000000000001</v>
      </c>
      <c r="M20" s="66">
        <v>9.2509999999999994</v>
      </c>
      <c r="N20" s="69">
        <v>0.45200000000000001</v>
      </c>
      <c r="O20" s="66">
        <v>0.45200000000000001</v>
      </c>
      <c r="P20" s="66">
        <v>8.4939999999999998</v>
      </c>
      <c r="Q20" s="67">
        <v>8.9121732987991531E-2</v>
      </c>
      <c r="R20" s="67">
        <v>5.3214033435366147E-2</v>
      </c>
      <c r="S20" s="68">
        <v>0.14233576642335768</v>
      </c>
      <c r="T20" s="65">
        <v>36</v>
      </c>
      <c r="U20" s="70">
        <v>0.75700000000000001</v>
      </c>
      <c r="V20" s="70">
        <v>8.6884999999999994</v>
      </c>
      <c r="W20" s="70">
        <v>1.1145</v>
      </c>
      <c r="X20" s="70">
        <v>0.49299999999999999</v>
      </c>
      <c r="Y20" s="70">
        <v>5.8960000000000008</v>
      </c>
      <c r="Z20" s="71">
        <v>4.9533799533799529E-2</v>
      </c>
      <c r="AA20" s="71">
        <v>9.5765345765345747E-2</v>
      </c>
      <c r="AB20" s="72">
        <v>0.14529914529914528</v>
      </c>
    </row>
    <row r="21" spans="2:28">
      <c r="B21" s="73">
        <v>37</v>
      </c>
      <c r="C21" s="74">
        <v>0.76</v>
      </c>
      <c r="D21" s="74">
        <v>8.3529999999999998</v>
      </c>
      <c r="E21" s="74">
        <v>1.8480000000000001</v>
      </c>
      <c r="F21" s="74">
        <v>1.8480000000000001</v>
      </c>
      <c r="G21" s="74">
        <v>7.593</v>
      </c>
      <c r="H21" s="75">
        <v>0.10009219017516133</v>
      </c>
      <c r="I21" s="75">
        <v>0.24338206242591862</v>
      </c>
      <c r="J21" s="77">
        <v>0.34347425260107994</v>
      </c>
      <c r="K21" s="73">
        <v>37</v>
      </c>
      <c r="L21" s="74">
        <v>0.76</v>
      </c>
      <c r="M21" s="74">
        <v>9.4979999999999993</v>
      </c>
      <c r="N21" s="76">
        <v>0.46800000000000003</v>
      </c>
      <c r="O21" s="74">
        <v>0.46800000000000003</v>
      </c>
      <c r="P21" s="74">
        <v>8.7379999999999995</v>
      </c>
      <c r="Q21" s="75">
        <v>8.6976424811169614E-2</v>
      </c>
      <c r="R21" s="75">
        <v>5.3559166857404444E-2</v>
      </c>
      <c r="S21" s="77">
        <v>0.14053559166857404</v>
      </c>
      <c r="T21" s="73">
        <v>37</v>
      </c>
      <c r="U21" s="78">
        <v>0.76</v>
      </c>
      <c r="V21" s="78">
        <v>8.9254999999999995</v>
      </c>
      <c r="W21" s="78">
        <v>1.1580000000000001</v>
      </c>
      <c r="X21" s="78">
        <v>0.49299999999999999</v>
      </c>
      <c r="Y21" s="78">
        <v>5.8960000000000008</v>
      </c>
      <c r="Z21" s="19">
        <v>4.9533799533799529E-2</v>
      </c>
      <c r="AA21" s="19">
        <v>9.5765345765345747E-2</v>
      </c>
      <c r="AB21" s="79">
        <v>0.14529914529914528</v>
      </c>
    </row>
    <row r="22" spans="2:28">
      <c r="B22" s="65">
        <v>38</v>
      </c>
      <c r="C22" s="66">
        <v>0.75800000000000001</v>
      </c>
      <c r="D22" s="66">
        <v>8.5839999999999996</v>
      </c>
      <c r="E22" s="66">
        <v>1.92</v>
      </c>
      <c r="F22" s="66">
        <v>1.92</v>
      </c>
      <c r="G22" s="66">
        <v>7.8259999999999996</v>
      </c>
      <c r="H22" s="67">
        <v>9.6856631740352681E-2</v>
      </c>
      <c r="I22" s="67">
        <v>0.24533605928954766</v>
      </c>
      <c r="J22" s="68">
        <v>0.34219269102990035</v>
      </c>
      <c r="K22" s="65">
        <v>38</v>
      </c>
      <c r="L22" s="66">
        <v>0.75800000000000001</v>
      </c>
      <c r="M22" s="66">
        <v>9.7490000000000006</v>
      </c>
      <c r="N22" s="69">
        <v>0.48199999999999998</v>
      </c>
      <c r="O22" s="66">
        <v>0.48199999999999998</v>
      </c>
      <c r="P22" s="66">
        <v>8.9909999999999997</v>
      </c>
      <c r="Q22" s="67">
        <v>8.4306528750973206E-2</v>
      </c>
      <c r="R22" s="67">
        <v>5.3609164720275833E-2</v>
      </c>
      <c r="S22" s="68">
        <v>0.13791569347124905</v>
      </c>
      <c r="T22" s="65">
        <v>38</v>
      </c>
      <c r="U22" s="70">
        <v>0.75800000000000001</v>
      </c>
      <c r="V22" s="70">
        <v>9.1664999999999992</v>
      </c>
      <c r="W22" s="70">
        <v>1.2010000000000001</v>
      </c>
      <c r="X22" s="70">
        <v>0.49299999999999999</v>
      </c>
      <c r="Y22" s="70">
        <v>5.8960000000000008</v>
      </c>
      <c r="Z22" s="71">
        <v>4.9533799533799529E-2</v>
      </c>
      <c r="AA22" s="71">
        <v>9.5765345765345747E-2</v>
      </c>
      <c r="AB22" s="72">
        <v>0.14529914529914528</v>
      </c>
    </row>
    <row r="23" spans="2:28">
      <c r="B23" s="73">
        <v>39</v>
      </c>
      <c r="C23" s="74">
        <v>0.75</v>
      </c>
      <c r="D23" s="74">
        <v>8.8179999999999996</v>
      </c>
      <c r="E23" s="74">
        <v>1.992</v>
      </c>
      <c r="F23" s="74">
        <v>1.992</v>
      </c>
      <c r="G23" s="74">
        <v>8.0679999999999996</v>
      </c>
      <c r="H23" s="75">
        <v>9.2959841348537436E-2</v>
      </c>
      <c r="I23" s="75">
        <v>0.24690133862171543</v>
      </c>
      <c r="J23" s="77">
        <v>0.33986117997025289</v>
      </c>
      <c r="K23" s="73">
        <v>39</v>
      </c>
      <c r="L23" s="74">
        <v>0.75</v>
      </c>
      <c r="M23" s="74">
        <v>10.005000000000001</v>
      </c>
      <c r="N23" s="76">
        <v>0.496</v>
      </c>
      <c r="O23" s="74">
        <v>0.496</v>
      </c>
      <c r="P23" s="74">
        <v>9.2550000000000008</v>
      </c>
      <c r="Q23" s="75">
        <v>8.1037277147487832E-2</v>
      </c>
      <c r="R23" s="75">
        <v>5.3592652620205287E-2</v>
      </c>
      <c r="S23" s="77">
        <v>0.13462992976769311</v>
      </c>
      <c r="T23" s="73">
        <v>39</v>
      </c>
      <c r="U23" s="78">
        <v>0.75</v>
      </c>
      <c r="V23" s="78">
        <v>9.4115000000000002</v>
      </c>
      <c r="W23" s="78">
        <v>1.244</v>
      </c>
      <c r="X23" s="78">
        <v>0.49299999999999999</v>
      </c>
      <c r="Y23" s="78">
        <v>5.8960000000000008</v>
      </c>
      <c r="Z23" s="19">
        <v>4.9533799533799529E-2</v>
      </c>
      <c r="AA23" s="19">
        <v>9.5765345765345747E-2</v>
      </c>
      <c r="AB23" s="79">
        <v>0.14529914529914528</v>
      </c>
    </row>
    <row r="24" spans="2:28">
      <c r="B24" s="65">
        <v>40</v>
      </c>
      <c r="C24" s="66">
        <v>0.73699999999999999</v>
      </c>
      <c r="D24" s="66">
        <v>9.0579999999999998</v>
      </c>
      <c r="E24" s="66">
        <v>2.0649999999999999</v>
      </c>
      <c r="F24" s="66">
        <v>2.0649999999999999</v>
      </c>
      <c r="G24" s="66">
        <v>8.3209999999999997</v>
      </c>
      <c r="H24" s="67">
        <v>8.8571085206105044E-2</v>
      </c>
      <c r="I24" s="67">
        <v>0.24816728758562673</v>
      </c>
      <c r="J24" s="68">
        <v>0.3367383727917318</v>
      </c>
      <c r="K24" s="65">
        <v>40</v>
      </c>
      <c r="L24" s="66">
        <v>0.73699999999999999</v>
      </c>
      <c r="M24" s="66">
        <v>10.265000000000001</v>
      </c>
      <c r="N24" s="69">
        <v>0.51</v>
      </c>
      <c r="O24" s="66">
        <v>0.51</v>
      </c>
      <c r="P24" s="66">
        <v>9.5280000000000005</v>
      </c>
      <c r="Q24" s="67">
        <v>7.7350965575146924E-2</v>
      </c>
      <c r="R24" s="67">
        <v>5.35264483627204E-2</v>
      </c>
      <c r="S24" s="68">
        <v>0.13087741393786734</v>
      </c>
      <c r="T24" s="65">
        <v>40</v>
      </c>
      <c r="U24" s="70">
        <v>0.73699999999999999</v>
      </c>
      <c r="V24" s="70">
        <v>9.6615000000000002</v>
      </c>
      <c r="W24" s="70">
        <v>1.2875000000000001</v>
      </c>
      <c r="X24" s="70">
        <v>0.49299999999999999</v>
      </c>
      <c r="Y24" s="70">
        <v>5.8960000000000008</v>
      </c>
      <c r="Z24" s="71">
        <v>4.9533799533799529E-2</v>
      </c>
      <c r="AA24" s="71">
        <v>9.5765345765345747E-2</v>
      </c>
      <c r="AB24" s="72">
        <v>0.14529914529914528</v>
      </c>
    </row>
    <row r="25" spans="2:28">
      <c r="B25" s="73">
        <v>41</v>
      </c>
      <c r="C25" s="74">
        <v>0.72</v>
      </c>
      <c r="D25" s="74">
        <v>9.3049999999999997</v>
      </c>
      <c r="E25" s="74">
        <v>2.1389999999999998</v>
      </c>
      <c r="F25" s="74">
        <v>2.1389999999999998</v>
      </c>
      <c r="G25" s="74">
        <v>8.5849999999999991</v>
      </c>
      <c r="H25" s="75">
        <v>8.3867210250436808E-2</v>
      </c>
      <c r="I25" s="75">
        <v>0.24915550378567269</v>
      </c>
      <c r="J25" s="77">
        <v>0.3330227140361095</v>
      </c>
      <c r="K25" s="73">
        <v>41</v>
      </c>
      <c r="L25" s="74">
        <v>0.72</v>
      </c>
      <c r="M25" s="74">
        <v>10.532</v>
      </c>
      <c r="N25" s="76">
        <v>0.52300000000000002</v>
      </c>
      <c r="O25" s="74">
        <v>0.52300000000000002</v>
      </c>
      <c r="P25" s="74">
        <v>9.8119999999999994</v>
      </c>
      <c r="Q25" s="75">
        <v>7.3379535262943343E-2</v>
      </c>
      <c r="R25" s="75">
        <v>5.3302079086832453E-2</v>
      </c>
      <c r="S25" s="77">
        <v>0.12668161434977579</v>
      </c>
      <c r="T25" s="73">
        <v>41</v>
      </c>
      <c r="U25" s="78">
        <v>0.72</v>
      </c>
      <c r="V25" s="78">
        <v>9.9184999999999999</v>
      </c>
      <c r="W25" s="78">
        <v>1.331</v>
      </c>
      <c r="X25" s="78">
        <v>0.49299999999999999</v>
      </c>
      <c r="Y25" s="78">
        <v>5.8960000000000008</v>
      </c>
      <c r="Z25" s="19">
        <v>4.9533799533799529E-2</v>
      </c>
      <c r="AA25" s="19">
        <v>9.5765345765345747E-2</v>
      </c>
      <c r="AB25" s="79">
        <v>0.14529914529914528</v>
      </c>
    </row>
    <row r="26" spans="2:28">
      <c r="B26" s="65">
        <v>42</v>
      </c>
      <c r="C26" s="66">
        <v>0.7</v>
      </c>
      <c r="D26" s="66">
        <v>9.56</v>
      </c>
      <c r="E26" s="66">
        <v>2.214</v>
      </c>
      <c r="F26" s="66">
        <v>2.214</v>
      </c>
      <c r="G26" s="66">
        <v>8.8600000000000012</v>
      </c>
      <c r="H26" s="67">
        <v>7.9006772009029336E-2</v>
      </c>
      <c r="I26" s="67">
        <v>0.2498871331828442</v>
      </c>
      <c r="J26" s="68">
        <v>0.32889390519187356</v>
      </c>
      <c r="K26" s="65">
        <v>42</v>
      </c>
      <c r="L26" s="66">
        <v>0.7</v>
      </c>
      <c r="M26" s="66">
        <v>10.805999999999999</v>
      </c>
      <c r="N26" s="69">
        <v>0.53600000000000003</v>
      </c>
      <c r="O26" s="66">
        <v>0.53600000000000003</v>
      </c>
      <c r="P26" s="66">
        <v>10.106</v>
      </c>
      <c r="Q26" s="67">
        <v>6.9265782703344547E-2</v>
      </c>
      <c r="R26" s="67">
        <v>5.3037799327132401E-2</v>
      </c>
      <c r="S26" s="68">
        <v>0.12230358203047695</v>
      </c>
      <c r="T26" s="65">
        <v>42</v>
      </c>
      <c r="U26" s="70">
        <v>0.7</v>
      </c>
      <c r="V26" s="70">
        <v>10.183</v>
      </c>
      <c r="W26" s="70">
        <v>1.375</v>
      </c>
      <c r="X26" s="70">
        <v>0.49299999999999999</v>
      </c>
      <c r="Y26" s="70">
        <v>5.8960000000000008</v>
      </c>
      <c r="Z26" s="71">
        <v>4.9533799533799529E-2</v>
      </c>
      <c r="AA26" s="71">
        <v>9.5765345765345747E-2</v>
      </c>
      <c r="AB26" s="72">
        <v>0.14529914529914528</v>
      </c>
    </row>
    <row r="27" spans="2:28">
      <c r="B27" s="73">
        <v>43</v>
      </c>
      <c r="C27" s="74">
        <v>0.67800000000000005</v>
      </c>
      <c r="D27" s="74">
        <v>9.8249999999999993</v>
      </c>
      <c r="E27" s="74">
        <v>2.29</v>
      </c>
      <c r="F27" s="74">
        <v>2.29</v>
      </c>
      <c r="G27" s="74">
        <v>9.1469999999999985</v>
      </c>
      <c r="H27" s="75">
        <v>7.4122663168251904E-2</v>
      </c>
      <c r="I27" s="75">
        <v>0.25035530775117532</v>
      </c>
      <c r="J27" s="77">
        <v>0.32447797091942721</v>
      </c>
      <c r="K27" s="73">
        <v>43</v>
      </c>
      <c r="L27" s="74">
        <v>0.67800000000000005</v>
      </c>
      <c r="M27" s="74">
        <v>11.089</v>
      </c>
      <c r="N27" s="76">
        <v>0.54900000000000004</v>
      </c>
      <c r="O27" s="74">
        <v>0.54900000000000004</v>
      </c>
      <c r="P27" s="74">
        <v>10.411</v>
      </c>
      <c r="Q27" s="75">
        <v>6.5123427144366544E-2</v>
      </c>
      <c r="R27" s="75">
        <v>5.2732686581500342E-2</v>
      </c>
      <c r="S27" s="77">
        <v>0.11785611372586688</v>
      </c>
      <c r="T27" s="73">
        <v>43</v>
      </c>
      <c r="U27" s="78">
        <v>0.67800000000000005</v>
      </c>
      <c r="V27" s="78">
        <v>10.457000000000001</v>
      </c>
      <c r="W27" s="78">
        <v>1.4195</v>
      </c>
      <c r="X27" s="78">
        <v>0.49299999999999999</v>
      </c>
      <c r="Y27" s="78">
        <v>5.8960000000000008</v>
      </c>
      <c r="Z27" s="19">
        <v>4.9533799533799529E-2</v>
      </c>
      <c r="AA27" s="19">
        <v>9.5765345765345747E-2</v>
      </c>
      <c r="AB27" s="79">
        <v>0.14529914529914528</v>
      </c>
    </row>
    <row r="28" spans="2:28">
      <c r="B28" s="65">
        <v>44</v>
      </c>
      <c r="C28" s="66">
        <v>0.65400000000000003</v>
      </c>
      <c r="D28" s="66">
        <v>10.099</v>
      </c>
      <c r="E28" s="66">
        <v>2.367</v>
      </c>
      <c r="F28" s="66">
        <v>2.367</v>
      </c>
      <c r="G28" s="66">
        <v>9.4450000000000003</v>
      </c>
      <c r="H28" s="67">
        <v>6.9242985706723131E-2</v>
      </c>
      <c r="I28" s="67">
        <v>0.25060878771836947</v>
      </c>
      <c r="J28" s="68">
        <v>0.31985177342509263</v>
      </c>
      <c r="K28" s="65">
        <v>44</v>
      </c>
      <c r="L28" s="66">
        <v>0.65400000000000003</v>
      </c>
      <c r="M28" s="66">
        <v>11.381</v>
      </c>
      <c r="N28" s="69">
        <v>0.56100000000000005</v>
      </c>
      <c r="O28" s="66">
        <v>0.56100000000000005</v>
      </c>
      <c r="P28" s="66">
        <v>10.727</v>
      </c>
      <c r="Q28" s="67">
        <v>6.0967651719958986E-2</v>
      </c>
      <c r="R28" s="67">
        <v>5.2297939778129958E-2</v>
      </c>
      <c r="S28" s="68">
        <v>0.11326559149808894</v>
      </c>
      <c r="T28" s="65">
        <v>44</v>
      </c>
      <c r="U28" s="70">
        <v>0.65400000000000003</v>
      </c>
      <c r="V28" s="70">
        <v>10.74</v>
      </c>
      <c r="W28" s="70">
        <v>1.464</v>
      </c>
      <c r="X28" s="70">
        <v>0.49299999999999999</v>
      </c>
      <c r="Y28" s="70">
        <v>5.8960000000000008</v>
      </c>
      <c r="Z28" s="71">
        <v>4.9533799533799529E-2</v>
      </c>
      <c r="AA28" s="71">
        <v>9.5765345765345747E-2</v>
      </c>
      <c r="AB28" s="72">
        <v>0.14529914529914528</v>
      </c>
    </row>
    <row r="29" spans="2:28">
      <c r="B29" s="73">
        <v>45</v>
      </c>
      <c r="C29" s="74">
        <v>0.629</v>
      </c>
      <c r="D29" s="74">
        <v>10.382999999999999</v>
      </c>
      <c r="E29" s="74">
        <v>2.444</v>
      </c>
      <c r="F29" s="74">
        <v>2.444</v>
      </c>
      <c r="G29" s="74">
        <v>9.7539999999999996</v>
      </c>
      <c r="H29" s="75">
        <v>6.4486364568382207E-2</v>
      </c>
      <c r="I29" s="75">
        <v>0.25056387123231494</v>
      </c>
      <c r="J29" s="77">
        <v>0.31505023580069713</v>
      </c>
      <c r="K29" s="73">
        <v>45</v>
      </c>
      <c r="L29" s="74">
        <v>0.629</v>
      </c>
      <c r="M29" s="74">
        <v>11.683</v>
      </c>
      <c r="N29" s="76">
        <v>0.57399999999999995</v>
      </c>
      <c r="O29" s="74">
        <v>0.57399999999999995</v>
      </c>
      <c r="P29" s="74">
        <v>11.054</v>
      </c>
      <c r="Q29" s="75">
        <v>5.690247874072734E-2</v>
      </c>
      <c r="R29" s="75">
        <v>5.1926904288040525E-2</v>
      </c>
      <c r="S29" s="77">
        <v>0.10882938302876786</v>
      </c>
      <c r="T29" s="73">
        <v>45</v>
      </c>
      <c r="U29" s="78">
        <v>0.629</v>
      </c>
      <c r="V29" s="78">
        <v>11.032999999999999</v>
      </c>
      <c r="W29" s="78">
        <v>1.5089999999999999</v>
      </c>
      <c r="X29" s="78">
        <v>0.49299999999999999</v>
      </c>
      <c r="Y29" s="78">
        <v>5.8960000000000008</v>
      </c>
      <c r="Z29" s="19">
        <v>4.9533799533799529E-2</v>
      </c>
      <c r="AA29" s="19">
        <v>9.5765345765345747E-2</v>
      </c>
      <c r="AB29" s="79">
        <v>0.14529914529914528</v>
      </c>
    </row>
    <row r="30" spans="2:28">
      <c r="B30" s="65">
        <v>46</v>
      </c>
      <c r="C30" s="66">
        <v>0.60199999999999998</v>
      </c>
      <c r="D30" s="66">
        <v>10.677</v>
      </c>
      <c r="E30" s="66">
        <v>2.5209999999999999</v>
      </c>
      <c r="F30" s="66">
        <v>2.5209999999999999</v>
      </c>
      <c r="G30" s="66">
        <v>10.074999999999999</v>
      </c>
      <c r="H30" s="67">
        <v>5.9751861042183628E-2</v>
      </c>
      <c r="I30" s="67">
        <v>0.25022332506203476</v>
      </c>
      <c r="J30" s="68">
        <v>0.30997518610421837</v>
      </c>
      <c r="K30" s="65">
        <v>46</v>
      </c>
      <c r="L30" s="66">
        <v>0.60199999999999998</v>
      </c>
      <c r="M30" s="66">
        <v>11.994999999999999</v>
      </c>
      <c r="N30" s="69">
        <v>0.58599999999999997</v>
      </c>
      <c r="O30" s="66">
        <v>0.58599999999999997</v>
      </c>
      <c r="P30" s="66">
        <v>11.392999999999999</v>
      </c>
      <c r="Q30" s="67">
        <v>5.2839462828052318E-2</v>
      </c>
      <c r="R30" s="67">
        <v>5.1435091722987804E-2</v>
      </c>
      <c r="S30" s="68">
        <v>0.10427455455104012</v>
      </c>
      <c r="T30" s="65">
        <v>46</v>
      </c>
      <c r="U30" s="70">
        <v>0.60199999999999998</v>
      </c>
      <c r="V30" s="70">
        <v>11.335999999999999</v>
      </c>
      <c r="W30" s="70">
        <v>1.5534999999999999</v>
      </c>
      <c r="X30" s="70">
        <v>0.49299999999999999</v>
      </c>
      <c r="Y30" s="70">
        <v>5.8960000000000008</v>
      </c>
      <c r="Z30" s="71">
        <v>4.9533799533799529E-2</v>
      </c>
      <c r="AA30" s="71">
        <v>9.5765345765345747E-2</v>
      </c>
      <c r="AB30" s="72">
        <v>0.14529914529914528</v>
      </c>
    </row>
    <row r="31" spans="2:28">
      <c r="B31" s="73">
        <v>47</v>
      </c>
      <c r="C31" s="74">
        <v>0.57399999999999995</v>
      </c>
      <c r="D31" s="74">
        <v>10.981</v>
      </c>
      <c r="E31" s="74">
        <v>2.5979999999999999</v>
      </c>
      <c r="F31" s="74">
        <v>2.5979999999999999</v>
      </c>
      <c r="G31" s="74">
        <v>10.407</v>
      </c>
      <c r="H31" s="75">
        <v>5.5155184010761985E-2</v>
      </c>
      <c r="I31" s="75">
        <v>0.24963966560968578</v>
      </c>
      <c r="J31" s="77">
        <v>0.30479484962044778</v>
      </c>
      <c r="K31" s="73">
        <v>47</v>
      </c>
      <c r="L31" s="74">
        <v>0.57399999999999995</v>
      </c>
      <c r="M31" s="74">
        <v>12.316000000000001</v>
      </c>
      <c r="N31" s="76">
        <v>0.59699999999999998</v>
      </c>
      <c r="O31" s="74">
        <v>0.59699999999999998</v>
      </c>
      <c r="P31" s="74">
        <v>11.742000000000001</v>
      </c>
      <c r="Q31" s="75">
        <v>4.8884346789303347E-2</v>
      </c>
      <c r="R31" s="75">
        <v>5.0843127235564632E-2</v>
      </c>
      <c r="S31" s="77">
        <v>9.9727474024867979E-2</v>
      </c>
      <c r="T31" s="73">
        <v>47</v>
      </c>
      <c r="U31" s="78">
        <v>0.57399999999999995</v>
      </c>
      <c r="V31" s="78">
        <v>11.6485</v>
      </c>
      <c r="W31" s="78">
        <v>1.5974999999999999</v>
      </c>
      <c r="X31" s="78">
        <v>0.49299999999999999</v>
      </c>
      <c r="Y31" s="78">
        <v>5.8960000000000008</v>
      </c>
      <c r="Z31" s="19">
        <v>4.9533799533799529E-2</v>
      </c>
      <c r="AA31" s="19">
        <v>9.5765345765345747E-2</v>
      </c>
      <c r="AB31" s="79">
        <v>0.14529914529914528</v>
      </c>
    </row>
    <row r="32" spans="2:28">
      <c r="B32" s="65">
        <v>48</v>
      </c>
      <c r="C32" s="66">
        <v>0.54300000000000004</v>
      </c>
      <c r="D32" s="66">
        <v>11.295</v>
      </c>
      <c r="E32" s="66">
        <v>2.673</v>
      </c>
      <c r="F32" s="66">
        <v>2.673</v>
      </c>
      <c r="G32" s="66">
        <v>10.752000000000001</v>
      </c>
      <c r="H32" s="67">
        <v>5.0502232142857144E-2</v>
      </c>
      <c r="I32" s="67">
        <v>0.2486049107142857</v>
      </c>
      <c r="J32" s="68">
        <v>0.29910714285714285</v>
      </c>
      <c r="K32" s="65">
        <v>48</v>
      </c>
      <c r="L32" s="66">
        <v>0.54300000000000004</v>
      </c>
      <c r="M32" s="66">
        <v>12.648</v>
      </c>
      <c r="N32" s="69">
        <v>0.60799999999999998</v>
      </c>
      <c r="O32" s="66">
        <v>0.60799999999999998</v>
      </c>
      <c r="P32" s="66">
        <v>12.105</v>
      </c>
      <c r="Q32" s="67">
        <v>4.4857496902106567E-2</v>
      </c>
      <c r="R32" s="67">
        <v>5.0227178851714162E-2</v>
      </c>
      <c r="S32" s="68">
        <v>9.5084675753820735E-2</v>
      </c>
      <c r="T32" s="65">
        <v>48</v>
      </c>
      <c r="U32" s="70">
        <v>0.54300000000000004</v>
      </c>
      <c r="V32" s="70">
        <v>11.971499999999999</v>
      </c>
      <c r="W32" s="70">
        <v>1.6405000000000001</v>
      </c>
      <c r="X32" s="70">
        <v>0.49299999999999999</v>
      </c>
      <c r="Y32" s="70">
        <v>5.8960000000000008</v>
      </c>
      <c r="Z32" s="71">
        <v>4.9533799533799529E-2</v>
      </c>
      <c r="AA32" s="71">
        <v>9.5765345765345747E-2</v>
      </c>
      <c r="AB32" s="72">
        <v>0.14529914529914528</v>
      </c>
    </row>
    <row r="33" spans="1:28">
      <c r="B33" s="73">
        <v>49</v>
      </c>
      <c r="C33" s="74">
        <v>0.50900000000000001</v>
      </c>
      <c r="D33" s="74">
        <v>11.619</v>
      </c>
      <c r="E33" s="74">
        <v>2.7480000000000002</v>
      </c>
      <c r="F33" s="74">
        <v>2.7480000000000002</v>
      </c>
      <c r="G33" s="74">
        <v>11.11</v>
      </c>
      <c r="H33" s="75">
        <v>4.581458145814582E-2</v>
      </c>
      <c r="I33" s="75">
        <v>0.24734473447344738</v>
      </c>
      <c r="J33" s="77">
        <v>0.29315931593159317</v>
      </c>
      <c r="K33" s="73">
        <v>49</v>
      </c>
      <c r="L33" s="74">
        <v>0.50900000000000001</v>
      </c>
      <c r="M33" s="74">
        <v>12.991</v>
      </c>
      <c r="N33" s="76">
        <v>0.61799999999999999</v>
      </c>
      <c r="O33" s="74">
        <v>0.61799999999999999</v>
      </c>
      <c r="P33" s="74">
        <v>12.481999999999999</v>
      </c>
      <c r="Q33" s="75">
        <v>4.0778721358756612E-2</v>
      </c>
      <c r="R33" s="75">
        <v>4.9511296266623941E-2</v>
      </c>
      <c r="S33" s="77">
        <v>9.0290017625380553E-2</v>
      </c>
      <c r="T33" s="73">
        <v>49</v>
      </c>
      <c r="U33" s="78">
        <v>0.50900000000000001</v>
      </c>
      <c r="V33" s="78">
        <v>12.305</v>
      </c>
      <c r="W33" s="78">
        <v>1.6830000000000001</v>
      </c>
      <c r="X33" s="78">
        <v>0.49299999999999999</v>
      </c>
      <c r="Y33" s="78">
        <v>5.8960000000000008</v>
      </c>
      <c r="Z33" s="19">
        <v>4.9533799533799529E-2</v>
      </c>
      <c r="AA33" s="19">
        <v>9.5765345765345747E-2</v>
      </c>
      <c r="AB33" s="79">
        <v>0.14529914529914528</v>
      </c>
    </row>
    <row r="34" spans="1:28">
      <c r="B34" s="65">
        <v>50</v>
      </c>
      <c r="C34" s="66">
        <v>0.47199999999999998</v>
      </c>
      <c r="D34" s="66">
        <v>11.954000000000001</v>
      </c>
      <c r="E34" s="66">
        <v>2.82</v>
      </c>
      <c r="F34" s="66">
        <v>2.82</v>
      </c>
      <c r="G34" s="66">
        <v>11.482000000000001</v>
      </c>
      <c r="H34" s="67">
        <v>4.1107820937118962E-2</v>
      </c>
      <c r="I34" s="67">
        <v>0.24560181153109212</v>
      </c>
      <c r="J34" s="68">
        <v>0.28670963246821107</v>
      </c>
      <c r="K34" s="65">
        <v>50</v>
      </c>
      <c r="L34" s="66">
        <v>0.47199999999999998</v>
      </c>
      <c r="M34" s="66">
        <v>13.343999999999999</v>
      </c>
      <c r="N34" s="69">
        <v>0.627</v>
      </c>
      <c r="O34" s="66">
        <v>0.627</v>
      </c>
      <c r="P34" s="66">
        <v>12.872</v>
      </c>
      <c r="Q34" s="67">
        <v>3.6668738346799255E-2</v>
      </c>
      <c r="R34" s="67">
        <v>4.8710379117464266E-2</v>
      </c>
      <c r="S34" s="68">
        <v>8.5379117464263521E-2</v>
      </c>
      <c r="T34" s="65">
        <v>50</v>
      </c>
      <c r="U34" s="70">
        <v>0.47199999999999998</v>
      </c>
      <c r="V34" s="70">
        <v>12.649000000000001</v>
      </c>
      <c r="W34" s="70">
        <v>1.7235</v>
      </c>
      <c r="X34" s="70">
        <v>0.49299999999999999</v>
      </c>
      <c r="Y34" s="70">
        <v>5.8960000000000008</v>
      </c>
      <c r="Z34" s="71">
        <v>4.9533799533799529E-2</v>
      </c>
      <c r="AA34" s="71">
        <v>9.5765345765345747E-2</v>
      </c>
      <c r="AB34" s="72">
        <v>0.14529914529914528</v>
      </c>
    </row>
    <row r="35" spans="1:28">
      <c r="B35" s="73">
        <v>51</v>
      </c>
      <c r="C35" s="74">
        <v>0.43099999999999999</v>
      </c>
      <c r="D35" s="74">
        <v>12.3</v>
      </c>
      <c r="E35" s="74">
        <v>2.891</v>
      </c>
      <c r="F35" s="74">
        <v>2.891</v>
      </c>
      <c r="G35" s="74">
        <v>11.869000000000002</v>
      </c>
      <c r="H35" s="75">
        <v>3.6313084505855582E-2</v>
      </c>
      <c r="I35" s="75">
        <v>0.24357570140702667</v>
      </c>
      <c r="J35" s="77">
        <v>0.27988878591288224</v>
      </c>
      <c r="K35" s="73">
        <v>51</v>
      </c>
      <c r="L35" s="74">
        <v>0.43099999999999999</v>
      </c>
      <c r="M35" s="74">
        <v>13.707000000000001</v>
      </c>
      <c r="N35" s="76">
        <v>0.63500000000000001</v>
      </c>
      <c r="O35" s="74">
        <v>0.63500000000000001</v>
      </c>
      <c r="P35" s="74">
        <v>13.276000000000002</v>
      </c>
      <c r="Q35" s="75">
        <v>3.2464597770412773E-2</v>
      </c>
      <c r="R35" s="75">
        <v>4.7830671889123225E-2</v>
      </c>
      <c r="S35" s="77">
        <v>8.0295269659535998E-2</v>
      </c>
      <c r="T35" s="73">
        <v>51</v>
      </c>
      <c r="U35" s="78">
        <v>0.43099999999999999</v>
      </c>
      <c r="V35" s="78">
        <v>13.003500000000001</v>
      </c>
      <c r="W35" s="78">
        <v>1.7629999999999999</v>
      </c>
      <c r="X35" s="78">
        <v>0.49299999999999999</v>
      </c>
      <c r="Y35" s="78">
        <v>5.8960000000000008</v>
      </c>
      <c r="Z35" s="19">
        <v>4.9533799533799529E-2</v>
      </c>
      <c r="AA35" s="19">
        <v>9.5765345765345747E-2</v>
      </c>
      <c r="AB35" s="79">
        <v>0.14529914529914528</v>
      </c>
    </row>
    <row r="36" spans="1:28">
      <c r="B36" s="65">
        <v>52</v>
      </c>
      <c r="C36" s="66">
        <v>0.38800000000000001</v>
      </c>
      <c r="D36" s="66">
        <v>12.659000000000001</v>
      </c>
      <c r="E36" s="66">
        <v>2.96</v>
      </c>
      <c r="F36" s="66">
        <v>2.96</v>
      </c>
      <c r="G36" s="66">
        <v>12.271000000000001</v>
      </c>
      <c r="H36" s="67">
        <v>3.1619264933583247E-2</v>
      </c>
      <c r="I36" s="67">
        <v>0.24121913454486185</v>
      </c>
      <c r="J36" s="68">
        <v>0.27283839947844513</v>
      </c>
      <c r="K36" s="65">
        <v>52</v>
      </c>
      <c r="L36" s="66">
        <v>0.38800000000000001</v>
      </c>
      <c r="M36" s="66">
        <v>14.083</v>
      </c>
      <c r="N36" s="69">
        <v>0.64300000000000002</v>
      </c>
      <c r="O36" s="66">
        <v>0.64300000000000002</v>
      </c>
      <c r="P36" s="66">
        <v>13.695</v>
      </c>
      <c r="Q36" s="67">
        <v>2.8331507849580138E-2</v>
      </c>
      <c r="R36" s="67">
        <v>4.6951442132165025E-2</v>
      </c>
      <c r="S36" s="68">
        <v>7.5282949981745159E-2</v>
      </c>
      <c r="T36" s="65">
        <v>52</v>
      </c>
      <c r="U36" s="70">
        <v>0.38800000000000001</v>
      </c>
      <c r="V36" s="70">
        <v>13.371</v>
      </c>
      <c r="W36" s="70">
        <v>1.8014999999999999</v>
      </c>
      <c r="X36" s="70">
        <v>0.49299999999999999</v>
      </c>
      <c r="Y36" s="70">
        <v>5.8960000000000008</v>
      </c>
      <c r="Z36" s="71">
        <v>4.9533799533799529E-2</v>
      </c>
      <c r="AA36" s="71">
        <v>9.5765345765345747E-2</v>
      </c>
      <c r="AB36" s="72">
        <v>0.14529914529914528</v>
      </c>
    </row>
    <row r="37" spans="1:28">
      <c r="B37" s="73">
        <v>53</v>
      </c>
      <c r="C37" s="74">
        <v>0.34100000000000003</v>
      </c>
      <c r="D37" s="74">
        <v>13.031000000000001</v>
      </c>
      <c r="E37" s="74">
        <v>3.0270000000000001</v>
      </c>
      <c r="F37" s="74">
        <v>3.0270000000000001</v>
      </c>
      <c r="G37" s="74">
        <v>12.690000000000001</v>
      </c>
      <c r="H37" s="75">
        <v>2.6871552403467298E-2</v>
      </c>
      <c r="I37" s="75">
        <v>0.23853427895981086</v>
      </c>
      <c r="J37" s="77">
        <v>0.26540583136327817</v>
      </c>
      <c r="K37" s="73">
        <v>53</v>
      </c>
      <c r="L37" s="74">
        <v>0.34100000000000003</v>
      </c>
      <c r="M37" s="74">
        <v>14.47</v>
      </c>
      <c r="N37" s="76">
        <v>0.64900000000000002</v>
      </c>
      <c r="O37" s="74">
        <v>0.64900000000000002</v>
      </c>
      <c r="P37" s="74">
        <v>14.129000000000001</v>
      </c>
      <c r="Q37" s="75">
        <v>2.4134758298534929E-2</v>
      </c>
      <c r="R37" s="75">
        <v>4.5933894826243896E-2</v>
      </c>
      <c r="S37" s="77">
        <v>7.0068653124778821E-2</v>
      </c>
      <c r="T37" s="73">
        <v>53</v>
      </c>
      <c r="U37" s="78">
        <v>0.34100000000000003</v>
      </c>
      <c r="V37" s="78">
        <v>13.750500000000001</v>
      </c>
      <c r="W37" s="78">
        <v>1.8380000000000001</v>
      </c>
      <c r="X37" s="78">
        <v>0.49299999999999999</v>
      </c>
      <c r="Y37" s="78">
        <v>5.8960000000000008</v>
      </c>
      <c r="Z37" s="19">
        <v>4.9533799533799529E-2</v>
      </c>
      <c r="AA37" s="19">
        <v>9.5765345765345747E-2</v>
      </c>
      <c r="AB37" s="79">
        <v>0.14529914529914528</v>
      </c>
    </row>
    <row r="38" spans="1:28">
      <c r="B38" s="65">
        <v>54</v>
      </c>
      <c r="C38" s="66">
        <v>0.29199999999999998</v>
      </c>
      <c r="D38" s="66">
        <v>13.417999999999999</v>
      </c>
      <c r="E38" s="66">
        <v>3.093</v>
      </c>
      <c r="F38" s="66">
        <v>3.093</v>
      </c>
      <c r="G38" s="66">
        <v>13.125999999999999</v>
      </c>
      <c r="H38" s="67">
        <v>2.2245924120067043E-2</v>
      </c>
      <c r="I38" s="67">
        <v>0.23563918939509371</v>
      </c>
      <c r="J38" s="68">
        <v>0.25788511351516075</v>
      </c>
      <c r="K38" s="65">
        <v>54</v>
      </c>
      <c r="L38" s="66">
        <v>0.29199999999999998</v>
      </c>
      <c r="M38" s="66">
        <v>14.87</v>
      </c>
      <c r="N38" s="69">
        <v>0.65400000000000003</v>
      </c>
      <c r="O38" s="66">
        <v>0.65400000000000003</v>
      </c>
      <c r="P38" s="66">
        <v>14.577999999999999</v>
      </c>
      <c r="Q38" s="67">
        <v>2.0030182466730689E-2</v>
      </c>
      <c r="R38" s="67">
        <v>4.4862121004252985E-2</v>
      </c>
      <c r="S38" s="68">
        <v>6.4892303470983681E-2</v>
      </c>
      <c r="T38" s="65">
        <v>54</v>
      </c>
      <c r="U38" s="70">
        <v>0.29199999999999998</v>
      </c>
      <c r="V38" s="70">
        <v>14.143999999999998</v>
      </c>
      <c r="W38" s="70">
        <v>1.8734999999999999</v>
      </c>
      <c r="X38" s="70">
        <v>0.49299999999999999</v>
      </c>
      <c r="Y38" s="70">
        <v>5.8960000000000008</v>
      </c>
      <c r="Z38" s="71">
        <v>4.9533799533799529E-2</v>
      </c>
      <c r="AA38" s="71">
        <v>9.5765345765345747E-2</v>
      </c>
      <c r="AB38" s="72">
        <v>0.14529914529914528</v>
      </c>
    </row>
    <row r="39" spans="1:28">
      <c r="B39" s="73">
        <v>55</v>
      </c>
      <c r="C39" s="74">
        <v>0.24</v>
      </c>
      <c r="D39" s="74">
        <v>13.818</v>
      </c>
      <c r="E39" s="74">
        <v>3.157</v>
      </c>
      <c r="F39" s="74">
        <v>3.157</v>
      </c>
      <c r="G39" s="74">
        <v>13.577999999999999</v>
      </c>
      <c r="H39" s="75">
        <v>1.7675651789659744E-2</v>
      </c>
      <c r="I39" s="75">
        <v>0.23250846958314922</v>
      </c>
      <c r="J39" s="77">
        <v>0.25018412137280899</v>
      </c>
      <c r="K39" s="73">
        <v>55</v>
      </c>
      <c r="L39" s="74">
        <v>0.24</v>
      </c>
      <c r="M39" s="74">
        <v>15.284000000000001</v>
      </c>
      <c r="N39" s="76">
        <v>0.65800000000000003</v>
      </c>
      <c r="O39" s="74">
        <v>0.65800000000000003</v>
      </c>
      <c r="P39" s="74">
        <v>15.044</v>
      </c>
      <c r="Q39" s="75">
        <v>1.5953203935123637E-2</v>
      </c>
      <c r="R39" s="75">
        <v>4.3738367455463972E-2</v>
      </c>
      <c r="S39" s="77">
        <v>5.969157139058761E-2</v>
      </c>
      <c r="T39" s="73">
        <v>55</v>
      </c>
      <c r="U39" s="78">
        <v>0.24</v>
      </c>
      <c r="V39" s="78">
        <v>14.551</v>
      </c>
      <c r="W39" s="78">
        <v>1.9075</v>
      </c>
      <c r="X39" s="78">
        <v>0.49299999999999999</v>
      </c>
      <c r="Y39" s="78">
        <v>5.8960000000000008</v>
      </c>
      <c r="Z39" s="19">
        <v>4.9533799533799529E-2</v>
      </c>
      <c r="AA39" s="19">
        <v>9.5765345765345747E-2</v>
      </c>
      <c r="AB39" s="79">
        <v>0.14529914529914528</v>
      </c>
    </row>
    <row r="40" spans="1:28">
      <c r="B40" s="65">
        <v>56</v>
      </c>
      <c r="C40" s="66">
        <v>0.188</v>
      </c>
      <c r="D40" s="66">
        <v>14.234999999999999</v>
      </c>
      <c r="E40" s="66">
        <v>3.22</v>
      </c>
      <c r="F40" s="66">
        <v>3.22</v>
      </c>
      <c r="G40" s="66">
        <v>14.046999999999999</v>
      </c>
      <c r="H40" s="67">
        <v>1.3383640635011036E-2</v>
      </c>
      <c r="I40" s="67">
        <v>0.22923044066348691</v>
      </c>
      <c r="J40" s="68">
        <v>0.24261408129849796</v>
      </c>
      <c r="K40" s="65">
        <v>56</v>
      </c>
      <c r="L40" s="66">
        <v>0.188</v>
      </c>
      <c r="M40" s="66">
        <v>15.712999999999999</v>
      </c>
      <c r="N40" s="69">
        <v>0.66100000000000003</v>
      </c>
      <c r="O40" s="66">
        <v>0.66100000000000003</v>
      </c>
      <c r="P40" s="66">
        <v>15.524999999999999</v>
      </c>
      <c r="Q40" s="67">
        <v>1.2109500805152979E-2</v>
      </c>
      <c r="R40" s="67">
        <v>4.2576489533011276E-2</v>
      </c>
      <c r="S40" s="68">
        <v>5.4685990338164257E-2</v>
      </c>
      <c r="T40" s="65">
        <v>56</v>
      </c>
      <c r="U40" s="70">
        <v>0.188</v>
      </c>
      <c r="V40" s="70">
        <v>14.974</v>
      </c>
      <c r="W40" s="70">
        <v>1.9405000000000001</v>
      </c>
      <c r="X40" s="70">
        <v>0.49299999999999999</v>
      </c>
      <c r="Y40" s="70">
        <v>5.8960000000000008</v>
      </c>
      <c r="Z40" s="71">
        <v>4.9533799533799529E-2</v>
      </c>
      <c r="AA40" s="71">
        <v>9.5765345765345747E-2</v>
      </c>
      <c r="AB40" s="72">
        <v>0.14529914529914528</v>
      </c>
    </row>
    <row r="41" spans="1:28">
      <c r="B41" s="73">
        <v>57</v>
      </c>
      <c r="C41" s="74">
        <v>0.13600000000000001</v>
      </c>
      <c r="D41" s="74">
        <v>14.669</v>
      </c>
      <c r="E41" s="74">
        <v>3.2829999999999999</v>
      </c>
      <c r="F41" s="74">
        <v>3.2829999999999999</v>
      </c>
      <c r="G41" s="74">
        <v>14.533000000000001</v>
      </c>
      <c r="H41" s="75">
        <v>9.35801279845868E-3</v>
      </c>
      <c r="I41" s="75">
        <v>0.22589967659808707</v>
      </c>
      <c r="J41" s="77">
        <v>0.23525768939654576</v>
      </c>
      <c r="K41" s="73">
        <v>57</v>
      </c>
      <c r="L41" s="74">
        <v>0.13600000000000001</v>
      </c>
      <c r="M41" s="74">
        <v>16.158999999999999</v>
      </c>
      <c r="N41" s="76">
        <v>0.66400000000000003</v>
      </c>
      <c r="O41" s="74">
        <v>0.66400000000000003</v>
      </c>
      <c r="P41" s="74">
        <v>16.023</v>
      </c>
      <c r="Q41" s="75">
        <v>8.4877987892404676E-3</v>
      </c>
      <c r="R41" s="75">
        <v>4.1440429382762281E-2</v>
      </c>
      <c r="S41" s="77">
        <v>4.992822817200275E-2</v>
      </c>
      <c r="T41" s="73">
        <v>57</v>
      </c>
      <c r="U41" s="78">
        <v>0.13600000000000001</v>
      </c>
      <c r="V41" s="78">
        <v>15.414</v>
      </c>
      <c r="W41" s="78">
        <v>1.9735</v>
      </c>
      <c r="X41" s="78">
        <v>0.49299999999999999</v>
      </c>
      <c r="Y41" s="78">
        <v>5.8960000000000008</v>
      </c>
      <c r="Z41" s="19">
        <v>4.9533799533799529E-2</v>
      </c>
      <c r="AA41" s="19">
        <v>9.5765345765345747E-2</v>
      </c>
      <c r="AB41" s="79">
        <v>0.14529914529914528</v>
      </c>
    </row>
    <row r="42" spans="1:28">
      <c r="B42" s="65">
        <v>58</v>
      </c>
      <c r="C42" s="66">
        <v>8.8999999999999996E-2</v>
      </c>
      <c r="D42" s="66">
        <v>15.122</v>
      </c>
      <c r="E42" s="66">
        <v>3.3490000000000002</v>
      </c>
      <c r="F42" s="66">
        <v>3.3490000000000002</v>
      </c>
      <c r="G42" s="66">
        <v>15.032999999999999</v>
      </c>
      <c r="H42" s="67">
        <v>5.9203086542938864E-3</v>
      </c>
      <c r="I42" s="67">
        <v>0.22277655823854189</v>
      </c>
      <c r="J42" s="68">
        <v>0.22869686689283578</v>
      </c>
      <c r="K42" s="65">
        <v>58</v>
      </c>
      <c r="L42" s="66">
        <v>8.8999999999999996E-2</v>
      </c>
      <c r="M42" s="66">
        <v>16.626000000000001</v>
      </c>
      <c r="N42" s="69">
        <v>0.66700000000000004</v>
      </c>
      <c r="O42" s="66">
        <v>0.66700000000000004</v>
      </c>
      <c r="P42" s="66">
        <v>16.537000000000003</v>
      </c>
      <c r="Q42" s="67">
        <v>5.381870956037974E-3</v>
      </c>
      <c r="R42" s="67">
        <v>4.0333796940194712E-2</v>
      </c>
      <c r="S42" s="68">
        <v>4.5715667896232687E-2</v>
      </c>
      <c r="T42" s="65">
        <v>58</v>
      </c>
      <c r="U42" s="70">
        <v>8.8999999999999996E-2</v>
      </c>
      <c r="V42" s="70">
        <v>15.874000000000001</v>
      </c>
      <c r="W42" s="70">
        <v>2.008</v>
      </c>
      <c r="X42" s="70">
        <v>0.49299999999999999</v>
      </c>
      <c r="Y42" s="70">
        <v>5.8960000000000008</v>
      </c>
      <c r="Z42" s="71">
        <v>4.9533799533799529E-2</v>
      </c>
      <c r="AA42" s="71">
        <v>9.5765345765345747E-2</v>
      </c>
      <c r="AB42" s="72">
        <v>0.14529914529914528</v>
      </c>
    </row>
    <row r="43" spans="1:28">
      <c r="B43" s="73">
        <v>59</v>
      </c>
      <c r="C43" s="74">
        <v>4.9000000000000002E-2</v>
      </c>
      <c r="D43" s="74">
        <v>15.597</v>
      </c>
      <c r="E43" s="74">
        <v>3.4159999999999999</v>
      </c>
      <c r="F43" s="74">
        <v>3.4159999999999999</v>
      </c>
      <c r="G43" s="74">
        <v>15.548</v>
      </c>
      <c r="H43" s="75">
        <v>3.1515307435039876E-3</v>
      </c>
      <c r="I43" s="75">
        <v>0.21970671468999228</v>
      </c>
      <c r="J43" s="77">
        <v>0.22285824543349628</v>
      </c>
      <c r="K43" s="73">
        <v>59</v>
      </c>
      <c r="L43" s="74">
        <v>4.9000000000000002E-2</v>
      </c>
      <c r="M43" s="74">
        <v>17.117000000000001</v>
      </c>
      <c r="N43" s="76">
        <v>0.67</v>
      </c>
      <c r="O43" s="74">
        <v>0.67</v>
      </c>
      <c r="P43" s="74">
        <v>17.068000000000001</v>
      </c>
      <c r="Q43" s="75">
        <v>2.8708694633231779E-3</v>
      </c>
      <c r="R43" s="75">
        <v>3.925474572299039E-2</v>
      </c>
      <c r="S43" s="77">
        <v>4.2125615186313567E-2</v>
      </c>
      <c r="T43" s="73">
        <v>59</v>
      </c>
      <c r="U43" s="78">
        <v>4.9000000000000002E-2</v>
      </c>
      <c r="V43" s="78">
        <v>16.356999999999999</v>
      </c>
      <c r="W43" s="78">
        <v>2.0430000000000001</v>
      </c>
      <c r="X43" s="78">
        <v>0.49299999999999999</v>
      </c>
      <c r="Y43" s="78">
        <v>5.8960000000000008</v>
      </c>
      <c r="Z43" s="19">
        <v>4.9533799533799529E-2</v>
      </c>
      <c r="AA43" s="19">
        <v>9.5765345765345747E-2</v>
      </c>
      <c r="AB43" s="79">
        <v>0.14529914529914528</v>
      </c>
    </row>
    <row r="44" spans="1:28">
      <c r="B44" s="65">
        <v>60</v>
      </c>
      <c r="C44" s="66">
        <v>2.1000000000000001E-2</v>
      </c>
      <c r="D44" s="66">
        <v>16.097000000000001</v>
      </c>
      <c r="E44" s="66">
        <v>3.4870000000000001</v>
      </c>
      <c r="F44" s="66">
        <v>3.4870000000000001</v>
      </c>
      <c r="G44" s="66">
        <v>16.076000000000001</v>
      </c>
      <c r="H44" s="67">
        <v>1.3062950982831551E-3</v>
      </c>
      <c r="I44" s="67">
        <v>0.21690719084349341</v>
      </c>
      <c r="J44" s="68">
        <v>0.21821348594177656</v>
      </c>
      <c r="K44" s="65">
        <v>60</v>
      </c>
      <c r="L44" s="66">
        <v>2.1000000000000001E-2</v>
      </c>
      <c r="M44" s="66">
        <v>17.635000000000002</v>
      </c>
      <c r="N44" s="69">
        <v>0.67300000000000004</v>
      </c>
      <c r="O44" s="66">
        <v>0.67300000000000004</v>
      </c>
      <c r="P44" s="66">
        <v>17.614000000000001</v>
      </c>
      <c r="Q44" s="67">
        <v>1.1922334506642444E-3</v>
      </c>
      <c r="R44" s="67">
        <v>3.8208243442716019E-2</v>
      </c>
      <c r="S44" s="68">
        <v>3.9400476893380262E-2</v>
      </c>
      <c r="T44" s="65">
        <v>60</v>
      </c>
      <c r="U44" s="70">
        <v>2.1000000000000001E-2</v>
      </c>
      <c r="V44" s="70">
        <v>16.866</v>
      </c>
      <c r="W44" s="70">
        <v>2.08</v>
      </c>
      <c r="X44" s="70">
        <v>0.49299999999999999</v>
      </c>
      <c r="Y44" s="70">
        <v>5.8960000000000008</v>
      </c>
      <c r="Z44" s="71">
        <v>4.9533799533799529E-2</v>
      </c>
      <c r="AA44" s="71">
        <v>9.5765345765345747E-2</v>
      </c>
      <c r="AB44" s="72">
        <v>0.14529914529914528</v>
      </c>
    </row>
    <row r="45" spans="1:28">
      <c r="B45" s="73">
        <v>61</v>
      </c>
      <c r="C45" s="74">
        <v>4.0000000000000001E-3</v>
      </c>
      <c r="D45" s="74">
        <v>16.626000000000001</v>
      </c>
      <c r="E45" s="74">
        <v>3.5619999999999998</v>
      </c>
      <c r="F45" s="74">
        <v>3.5619999999999998</v>
      </c>
      <c r="G45" s="74">
        <v>16.622</v>
      </c>
      <c r="H45" s="75">
        <v>2.406449284081338E-4</v>
      </c>
      <c r="I45" s="75">
        <v>0.21429430874744315</v>
      </c>
      <c r="J45" s="77">
        <v>0.21453495367585129</v>
      </c>
      <c r="K45" s="73">
        <v>61</v>
      </c>
      <c r="L45" s="74">
        <v>4.0000000000000001E-3</v>
      </c>
      <c r="M45" s="74">
        <v>18.184999999999999</v>
      </c>
      <c r="N45" s="76">
        <v>0.67600000000000005</v>
      </c>
      <c r="O45" s="74">
        <v>0.67600000000000005</v>
      </c>
      <c r="P45" s="74">
        <v>18.180999999999997</v>
      </c>
      <c r="Q45" s="75">
        <v>2.2000990044552008E-4</v>
      </c>
      <c r="R45" s="75">
        <v>3.7181673175292897E-2</v>
      </c>
      <c r="S45" s="77">
        <v>3.7401683075738414E-2</v>
      </c>
      <c r="T45" s="73">
        <v>61</v>
      </c>
      <c r="U45" s="78">
        <v>4.0000000000000001E-3</v>
      </c>
      <c r="V45" s="78">
        <v>17.4055</v>
      </c>
      <c r="W45" s="78">
        <v>2.1189999999999998</v>
      </c>
      <c r="X45" s="78">
        <v>0.49299999999999999</v>
      </c>
      <c r="Y45" s="78">
        <v>5.8960000000000008</v>
      </c>
      <c r="Z45" s="19">
        <v>4.9533799533799529E-2</v>
      </c>
      <c r="AA45" s="19">
        <v>9.5765345765345747E-2</v>
      </c>
      <c r="AB45" s="79">
        <v>0.14529914529914528</v>
      </c>
    </row>
    <row r="46" spans="1:28">
      <c r="A46" s="33"/>
      <c r="B46" s="80">
        <v>62</v>
      </c>
      <c r="C46" s="81">
        <v>0</v>
      </c>
      <c r="D46" s="81">
        <v>17.187000000000001</v>
      </c>
      <c r="E46" s="81">
        <v>3.6219999999999999</v>
      </c>
      <c r="F46" s="81">
        <v>3.6219999999999999</v>
      </c>
      <c r="G46" s="81">
        <v>17.187000000000001</v>
      </c>
      <c r="H46" s="82">
        <v>0</v>
      </c>
      <c r="I46" s="82">
        <v>0.21074067609239538</v>
      </c>
      <c r="J46" s="83">
        <v>0.21074067609239538</v>
      </c>
      <c r="K46" s="80">
        <v>62</v>
      </c>
      <c r="L46" s="81">
        <v>0</v>
      </c>
      <c r="M46" s="81">
        <v>18.765999999999998</v>
      </c>
      <c r="N46" s="84">
        <v>0.67600000000000005</v>
      </c>
      <c r="O46" s="81">
        <v>0.67600000000000005</v>
      </c>
      <c r="P46" s="81">
        <v>18.765999999999998</v>
      </c>
      <c r="Q46" s="82">
        <v>0</v>
      </c>
      <c r="R46" s="82">
        <v>3.6022594053074716E-2</v>
      </c>
      <c r="S46" s="83">
        <v>3.6022594053074716E-2</v>
      </c>
      <c r="T46" s="80">
        <v>62</v>
      </c>
      <c r="U46" s="85">
        <v>0</v>
      </c>
      <c r="V46" s="85">
        <v>17.976500000000001</v>
      </c>
      <c r="W46" s="85">
        <v>2.149</v>
      </c>
      <c r="X46" s="85">
        <v>0.49299999999999999</v>
      </c>
      <c r="Y46" s="85">
        <v>5.8960000000000008</v>
      </c>
      <c r="Z46" s="86">
        <v>4.9533799533799529E-2</v>
      </c>
      <c r="AA46" s="86">
        <v>9.5765345765345747E-2</v>
      </c>
      <c r="AB46" s="87">
        <v>0.14529914529914528</v>
      </c>
    </row>
    <row r="47" spans="1:28">
      <c r="B47" s="73">
        <v>63</v>
      </c>
      <c r="C47" s="74">
        <v>0</v>
      </c>
      <c r="D47" s="74">
        <v>16.815000000000001</v>
      </c>
      <c r="E47" s="74">
        <v>3.6419999999999999</v>
      </c>
      <c r="F47" s="74">
        <v>3.6419999999999999</v>
      </c>
      <c r="G47" s="74">
        <v>16.815000000000001</v>
      </c>
      <c r="H47" s="75">
        <v>0</v>
      </c>
      <c r="I47" s="75">
        <v>0.21659232827832289</v>
      </c>
      <c r="J47" s="77">
        <v>0.21659232827832289</v>
      </c>
      <c r="K47" s="73">
        <v>63</v>
      </c>
      <c r="L47" s="74">
        <v>0</v>
      </c>
      <c r="M47" s="74">
        <v>18.393000000000001</v>
      </c>
      <c r="N47" s="76">
        <v>0.65900000000000003</v>
      </c>
      <c r="O47" s="74">
        <v>0.65900000000000003</v>
      </c>
      <c r="P47" s="74">
        <v>18.393000000000001</v>
      </c>
      <c r="Q47" s="75">
        <v>0</v>
      </c>
      <c r="R47" s="75">
        <v>3.5828847931278204E-2</v>
      </c>
      <c r="S47" s="77">
        <v>3.5828847931278204E-2</v>
      </c>
      <c r="T47" s="73">
        <v>63</v>
      </c>
      <c r="U47" s="78">
        <v>0</v>
      </c>
      <c r="V47" s="78">
        <v>17.603999999999999</v>
      </c>
      <c r="W47" s="78">
        <v>2.1505000000000001</v>
      </c>
      <c r="X47" s="78">
        <v>0.49299999999999999</v>
      </c>
      <c r="Y47" s="78">
        <v>5.8960000000000008</v>
      </c>
      <c r="Z47" s="19">
        <v>4.9533799533799529E-2</v>
      </c>
      <c r="AA47" s="19">
        <v>9.5765345765345747E-2</v>
      </c>
      <c r="AB47" s="79">
        <v>0.14529914529914528</v>
      </c>
    </row>
    <row r="48" spans="1:28">
      <c r="B48" s="65">
        <v>64</v>
      </c>
      <c r="C48" s="66">
        <v>0</v>
      </c>
      <c r="D48" s="66">
        <v>16.437999999999999</v>
      </c>
      <c r="E48" s="66">
        <v>3.6579999999999999</v>
      </c>
      <c r="F48" s="66">
        <v>3.6579999999999999</v>
      </c>
      <c r="G48" s="66">
        <v>16.437999999999999</v>
      </c>
      <c r="H48" s="67">
        <v>0</v>
      </c>
      <c r="I48" s="67">
        <v>0.22253315488502251</v>
      </c>
      <c r="J48" s="68">
        <v>0.22253315488502251</v>
      </c>
      <c r="K48" s="65">
        <v>64</v>
      </c>
      <c r="L48" s="66">
        <v>0</v>
      </c>
      <c r="M48" s="66">
        <v>18.010999999999999</v>
      </c>
      <c r="N48" s="69">
        <v>0.64100000000000001</v>
      </c>
      <c r="O48" s="66">
        <v>0.64100000000000001</v>
      </c>
      <c r="P48" s="66">
        <v>18.010999999999999</v>
      </c>
      <c r="Q48" s="67">
        <v>0</v>
      </c>
      <c r="R48" s="67">
        <v>3.5589362056521016E-2</v>
      </c>
      <c r="S48" s="68">
        <v>3.5589362056521016E-2</v>
      </c>
      <c r="T48" s="65">
        <v>64</v>
      </c>
      <c r="U48" s="70">
        <v>0</v>
      </c>
      <c r="V48" s="70">
        <v>17.224499999999999</v>
      </c>
      <c r="W48" s="70">
        <v>2.1494999999999997</v>
      </c>
      <c r="X48" s="70">
        <v>0.49299999999999999</v>
      </c>
      <c r="Y48" s="70">
        <v>5.8960000000000008</v>
      </c>
      <c r="Z48" s="71">
        <v>4.9533799533799529E-2</v>
      </c>
      <c r="AA48" s="71">
        <v>9.5765345765345747E-2</v>
      </c>
      <c r="AB48" s="72">
        <v>0.14529914529914528</v>
      </c>
    </row>
    <row r="49" spans="2:28">
      <c r="B49" s="73">
        <v>65</v>
      </c>
      <c r="C49" s="74">
        <v>0</v>
      </c>
      <c r="D49" s="74">
        <v>16.053000000000001</v>
      </c>
      <c r="E49" s="74">
        <v>3.6680000000000001</v>
      </c>
      <c r="F49" s="74">
        <v>3.6680000000000001</v>
      </c>
      <c r="G49" s="74">
        <v>16.053000000000001</v>
      </c>
      <c r="H49" s="75">
        <v>0</v>
      </c>
      <c r="I49" s="75">
        <v>0.2284931165514234</v>
      </c>
      <c r="J49" s="77">
        <v>0.2284931165514234</v>
      </c>
      <c r="K49" s="73">
        <v>65</v>
      </c>
      <c r="L49" s="74">
        <v>0</v>
      </c>
      <c r="M49" s="74">
        <v>17.619</v>
      </c>
      <c r="N49" s="76">
        <v>0.623</v>
      </c>
      <c r="O49" s="74">
        <v>0.623</v>
      </c>
      <c r="P49" s="74">
        <v>17.619</v>
      </c>
      <c r="Q49" s="75">
        <v>0</v>
      </c>
      <c r="R49" s="75">
        <v>3.5359555025824392E-2</v>
      </c>
      <c r="S49" s="77">
        <v>3.5359555025824392E-2</v>
      </c>
      <c r="T49" s="73">
        <v>65</v>
      </c>
      <c r="U49" s="78">
        <v>0</v>
      </c>
      <c r="V49" s="78">
        <v>16.835999999999999</v>
      </c>
      <c r="W49" s="78">
        <v>2.1455000000000002</v>
      </c>
      <c r="X49" s="78">
        <v>0.49299999999999999</v>
      </c>
      <c r="Y49" s="78">
        <v>5.8960000000000008</v>
      </c>
      <c r="Z49" s="88">
        <v>4.9533799533799529E-2</v>
      </c>
      <c r="AA49" s="88">
        <v>9.5765345765345747E-2</v>
      </c>
      <c r="AB49" s="89">
        <v>0.14529914529914528</v>
      </c>
    </row>
    <row r="50" spans="2:28">
      <c r="B50" s="65">
        <v>66</v>
      </c>
      <c r="C50" s="66"/>
      <c r="D50" s="66">
        <v>15.661</v>
      </c>
      <c r="E50" s="66">
        <v>3.6739999999999999</v>
      </c>
      <c r="F50" s="66">
        <v>3.6739999999999999</v>
      </c>
      <c r="G50" s="66">
        <v>15.661</v>
      </c>
      <c r="H50" s="67">
        <v>0</v>
      </c>
      <c r="I50" s="67">
        <v>0.23459549198646318</v>
      </c>
      <c r="J50" s="68">
        <v>0.23459549198646318</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16.439</v>
      </c>
      <c r="W50" s="70">
        <v>2.1389999999999998</v>
      </c>
      <c r="X50" s="70">
        <v>0.49299999999999999</v>
      </c>
      <c r="Y50" s="70">
        <v>5.8960000000000008</v>
      </c>
      <c r="Z50" s="71">
        <v>4.9533799533799529E-2</v>
      </c>
      <c r="AA50" s="71">
        <v>9.5765345765345747E-2</v>
      </c>
      <c r="AB50" s="72">
        <v>0.14529914529914528</v>
      </c>
    </row>
    <row r="51" spans="2:28">
      <c r="B51" s="73">
        <v>67</v>
      </c>
      <c r="C51" s="74"/>
      <c r="D51" s="74">
        <v>15.260999999999999</v>
      </c>
      <c r="E51" s="74">
        <v>3.6779999999999999</v>
      </c>
      <c r="F51" s="74">
        <v>3.6779999999999999</v>
      </c>
      <c r="G51" s="74">
        <v>15.260999999999999</v>
      </c>
      <c r="H51" s="75">
        <v>0</v>
      </c>
      <c r="I51" s="75">
        <v>0.24100648712404169</v>
      </c>
      <c r="J51" s="77">
        <v>0.24100648712404169</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16.032</v>
      </c>
      <c r="W51" s="78">
        <v>2.1320000000000001</v>
      </c>
      <c r="X51" s="78">
        <v>0.49299999999999999</v>
      </c>
      <c r="Y51" s="78">
        <v>5.8960000000000008</v>
      </c>
      <c r="Z51" s="19">
        <v>4.9533799533799529E-2</v>
      </c>
      <c r="AA51" s="19">
        <v>9.5765345765345747E-2</v>
      </c>
      <c r="AB51" s="79">
        <v>0.14529914529914528</v>
      </c>
    </row>
    <row r="52" spans="2:28">
      <c r="B52" s="65">
        <v>68</v>
      </c>
      <c r="C52" s="66"/>
      <c r="D52" s="66">
        <v>14.851000000000001</v>
      </c>
      <c r="E52" s="66">
        <v>3.68</v>
      </c>
      <c r="F52" s="66">
        <v>3.68</v>
      </c>
      <c r="G52" s="66">
        <v>14.851000000000001</v>
      </c>
      <c r="H52" s="67">
        <v>0</v>
      </c>
      <c r="I52" s="67">
        <v>0.24779476129553565</v>
      </c>
      <c r="J52" s="68">
        <v>0.24779476129553565</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15.6145</v>
      </c>
      <c r="W52" s="70">
        <v>2.1234999999999999</v>
      </c>
      <c r="X52" s="70">
        <v>0.49299999999999999</v>
      </c>
      <c r="Y52" s="70">
        <v>5.8960000000000008</v>
      </c>
      <c r="Z52" s="71">
        <v>4.9533799533799529E-2</v>
      </c>
      <c r="AA52" s="71">
        <v>9.5765345765345747E-2</v>
      </c>
      <c r="AB52" s="72">
        <v>0.14529914529914528</v>
      </c>
    </row>
    <row r="53" spans="2:28">
      <c r="B53" s="73">
        <v>69</v>
      </c>
      <c r="C53" s="74"/>
      <c r="D53" s="74">
        <v>14.432</v>
      </c>
      <c r="E53" s="74">
        <v>3.681</v>
      </c>
      <c r="F53" s="74">
        <v>3.681</v>
      </c>
      <c r="G53" s="74">
        <v>14.432</v>
      </c>
      <c r="H53" s="75">
        <v>0</v>
      </c>
      <c r="I53" s="75">
        <v>0.25505820399113083</v>
      </c>
      <c r="J53" s="77">
        <v>0.25505820399113083</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15.186</v>
      </c>
      <c r="W53" s="78">
        <v>2.1150000000000002</v>
      </c>
      <c r="X53" s="78">
        <v>0.49299999999999999</v>
      </c>
      <c r="Y53" s="78">
        <v>5.8960000000000008</v>
      </c>
      <c r="Z53" s="19">
        <v>4.9533799533799529E-2</v>
      </c>
      <c r="AA53" s="19">
        <v>9.5765345765345747E-2</v>
      </c>
      <c r="AB53" s="79">
        <v>0.14529914529914528</v>
      </c>
    </row>
    <row r="54" spans="2:28">
      <c r="B54" s="65">
        <v>70</v>
      </c>
      <c r="C54" s="66"/>
      <c r="D54" s="66">
        <v>14.002000000000001</v>
      </c>
      <c r="E54" s="66">
        <v>3.6789999999999998</v>
      </c>
      <c r="F54" s="66">
        <v>3.6789999999999998</v>
      </c>
      <c r="G54" s="66">
        <v>14.002000000000001</v>
      </c>
      <c r="H54" s="67">
        <v>0</v>
      </c>
      <c r="I54" s="67">
        <v>0.26274817883159546</v>
      </c>
      <c r="J54" s="68">
        <v>0.26274817883159546</v>
      </c>
      <c r="K54" s="65">
        <v>70</v>
      </c>
      <c r="L54" s="66">
        <v>0</v>
      </c>
      <c r="M54" s="66">
        <v>15.49</v>
      </c>
      <c r="N54" s="69">
        <v>0.53</v>
      </c>
      <c r="O54" s="66">
        <v>0.53</v>
      </c>
      <c r="P54" s="66">
        <v>15.49</v>
      </c>
      <c r="Q54" s="67">
        <v>0</v>
      </c>
      <c r="R54" s="67">
        <v>3.4215622982569402E-2</v>
      </c>
      <c r="S54" s="68">
        <v>3.4215622982569402E-2</v>
      </c>
      <c r="T54" s="65">
        <v>70</v>
      </c>
      <c r="U54" s="70">
        <v>0</v>
      </c>
      <c r="V54" s="70">
        <v>14.746</v>
      </c>
      <c r="W54" s="70">
        <v>2.1044999999999998</v>
      </c>
      <c r="X54" s="70">
        <v>0.49299999999999999</v>
      </c>
      <c r="Y54" s="70">
        <v>5.8960000000000008</v>
      </c>
      <c r="Z54" s="71">
        <v>4.9533799533799529E-2</v>
      </c>
      <c r="AA54" s="71">
        <v>9.5765345765345747E-2</v>
      </c>
      <c r="AB54" s="72">
        <v>0.14529914529914528</v>
      </c>
    </row>
    <row r="55" spans="2:28">
      <c r="B55" s="73">
        <v>71</v>
      </c>
      <c r="C55" s="74"/>
      <c r="D55" s="74">
        <v>13.561999999999999</v>
      </c>
      <c r="E55" s="74">
        <v>3.6749999999999998</v>
      </c>
      <c r="F55" s="74">
        <v>3.6749999999999998</v>
      </c>
      <c r="G55" s="74">
        <v>13.561999999999999</v>
      </c>
      <c r="H55" s="75">
        <v>0</v>
      </c>
      <c r="I55" s="75">
        <v>0.27097773189795016</v>
      </c>
      <c r="J55" s="77">
        <v>0.27097773189795016</v>
      </c>
      <c r="K55" s="73">
        <v>71</v>
      </c>
      <c r="L55" s="74">
        <v>0</v>
      </c>
      <c r="M55" s="74">
        <v>15.026</v>
      </c>
      <c r="N55" s="76">
        <v>0.51</v>
      </c>
      <c r="O55" s="74">
        <v>0.51</v>
      </c>
      <c r="P55" s="74">
        <v>15.026</v>
      </c>
      <c r="Q55" s="75">
        <v>0</v>
      </c>
      <c r="R55" s="75">
        <v>3.3941168641022229E-2</v>
      </c>
      <c r="S55" s="77">
        <v>3.3941168641022229E-2</v>
      </c>
      <c r="T55" s="73">
        <v>71</v>
      </c>
      <c r="U55" s="78">
        <v>0</v>
      </c>
      <c r="V55" s="78">
        <v>14.294</v>
      </c>
      <c r="W55" s="78">
        <v>2.0924999999999998</v>
      </c>
      <c r="X55" s="78">
        <v>0.49299999999999999</v>
      </c>
      <c r="Y55" s="78">
        <v>5.8960000000000008</v>
      </c>
      <c r="Z55" s="19">
        <v>4.9533799533799529E-2</v>
      </c>
      <c r="AA55" s="19">
        <v>9.5765345765345747E-2</v>
      </c>
      <c r="AB55" s="79">
        <v>0.14529914529914528</v>
      </c>
    </row>
    <row r="56" spans="2:28">
      <c r="B56" s="65">
        <v>72</v>
      </c>
      <c r="C56" s="66"/>
      <c r="D56" s="66">
        <v>13.111000000000001</v>
      </c>
      <c r="E56" s="66">
        <v>3.669</v>
      </c>
      <c r="F56" s="66">
        <v>3.669</v>
      </c>
      <c r="G56" s="66">
        <v>13.111000000000001</v>
      </c>
      <c r="H56" s="67">
        <v>0</v>
      </c>
      <c r="I56" s="67">
        <v>0.27984135458775072</v>
      </c>
      <c r="J56" s="68">
        <v>0.27984135458775072</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13.830500000000001</v>
      </c>
      <c r="W56" s="70">
        <v>2.08</v>
      </c>
      <c r="X56" s="70">
        <v>0.49299999999999999</v>
      </c>
      <c r="Y56" s="70">
        <v>5.8960000000000008</v>
      </c>
      <c r="Z56" s="71">
        <v>4.9533799533799529E-2</v>
      </c>
      <c r="AA56" s="71">
        <v>9.5765345765345747E-2</v>
      </c>
      <c r="AB56" s="72">
        <v>0.14529914529914528</v>
      </c>
    </row>
    <row r="57" spans="2:28">
      <c r="B57" s="73">
        <v>73</v>
      </c>
      <c r="C57" s="74"/>
      <c r="D57" s="74">
        <v>12.65</v>
      </c>
      <c r="E57" s="74">
        <v>3.6669999999999998</v>
      </c>
      <c r="F57" s="74">
        <v>3.6669999999999998</v>
      </c>
      <c r="G57" s="74">
        <v>12.65</v>
      </c>
      <c r="H57" s="75">
        <v>0</v>
      </c>
      <c r="I57" s="75">
        <v>0.28988142292490116</v>
      </c>
      <c r="J57" s="77">
        <v>0.28988142292490116</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13.356</v>
      </c>
      <c r="W57" s="78">
        <v>2.0694999999999997</v>
      </c>
      <c r="X57" s="78">
        <v>0.49299999999999999</v>
      </c>
      <c r="Y57" s="78">
        <v>5.8960000000000008</v>
      </c>
      <c r="Z57" s="19">
        <v>4.9533799533799529E-2</v>
      </c>
      <c r="AA57" s="19">
        <v>9.5765345765345747E-2</v>
      </c>
      <c r="AB57" s="79">
        <v>0.14529914529914528</v>
      </c>
    </row>
    <row r="58" spans="2:28">
      <c r="B58" s="65">
        <v>74</v>
      </c>
      <c r="C58" s="66"/>
      <c r="D58" s="66">
        <v>12.18</v>
      </c>
      <c r="E58" s="66">
        <v>3.6619999999999999</v>
      </c>
      <c r="F58" s="66">
        <v>3.6619999999999999</v>
      </c>
      <c r="G58" s="66">
        <v>12.18</v>
      </c>
      <c r="H58" s="67">
        <v>0</v>
      </c>
      <c r="I58" s="67">
        <v>0.30065681444991788</v>
      </c>
      <c r="J58" s="68">
        <v>0.30065681444991788</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12.870999999999999</v>
      </c>
      <c r="W58" s="70">
        <v>2.0575000000000001</v>
      </c>
      <c r="X58" s="70">
        <v>0.49299999999999999</v>
      </c>
      <c r="Y58" s="70">
        <v>5.8960000000000008</v>
      </c>
      <c r="Z58" s="71">
        <v>4.9533799533799529E-2</v>
      </c>
      <c r="AA58" s="71">
        <v>9.5765345765345747E-2</v>
      </c>
      <c r="AB58" s="72">
        <v>0.14529914529914528</v>
      </c>
    </row>
    <row r="59" spans="2:28">
      <c r="B59" s="73">
        <v>75</v>
      </c>
      <c r="C59" s="74"/>
      <c r="D59" s="74">
        <v>11.701000000000001</v>
      </c>
      <c r="E59" s="74">
        <v>3.6549999999999998</v>
      </c>
      <c r="F59" s="74">
        <v>3.6549999999999998</v>
      </c>
      <c r="G59" s="74">
        <v>11.701000000000001</v>
      </c>
      <c r="H59" s="75">
        <v>0</v>
      </c>
      <c r="I59" s="75">
        <v>0.31236646440475169</v>
      </c>
      <c r="J59" s="77">
        <v>0.31236646440475169</v>
      </c>
      <c r="K59" s="73">
        <v>75</v>
      </c>
      <c r="L59" s="74">
        <v>0</v>
      </c>
      <c r="M59" s="74">
        <v>13.051</v>
      </c>
      <c r="N59" s="76">
        <v>0.434</v>
      </c>
      <c r="O59" s="74">
        <v>0.434</v>
      </c>
      <c r="P59" s="74">
        <v>13.051</v>
      </c>
      <c r="Q59" s="75">
        <v>0</v>
      </c>
      <c r="R59" s="75">
        <v>3.3254156769596199E-2</v>
      </c>
      <c r="S59" s="77">
        <v>3.3254156769596199E-2</v>
      </c>
      <c r="T59" s="73">
        <v>75</v>
      </c>
      <c r="U59" s="78">
        <v>0</v>
      </c>
      <c r="V59" s="78">
        <v>12.376000000000001</v>
      </c>
      <c r="W59" s="78">
        <v>2.0444999999999998</v>
      </c>
      <c r="X59" s="78">
        <v>0.49299999999999999</v>
      </c>
      <c r="Y59" s="78">
        <v>5.8960000000000008</v>
      </c>
      <c r="Z59" s="19">
        <v>4.9533799533799529E-2</v>
      </c>
      <c r="AA59" s="19">
        <v>9.5765345765345747E-2</v>
      </c>
      <c r="AB59" s="79">
        <v>0.14529914529914528</v>
      </c>
    </row>
    <row r="60" spans="2:28">
      <c r="B60" s="65">
        <v>76</v>
      </c>
      <c r="C60" s="66"/>
      <c r="D60" s="66">
        <v>11.215</v>
      </c>
      <c r="E60" s="66">
        <v>3.6429999999999998</v>
      </c>
      <c r="F60" s="66">
        <v>3.6429999999999998</v>
      </c>
      <c r="G60" s="66">
        <v>11.215</v>
      </c>
      <c r="H60" s="67">
        <v>0</v>
      </c>
      <c r="I60" s="67">
        <v>0.32483281319661167</v>
      </c>
      <c r="J60" s="68">
        <v>0.32483281319661167</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11.873000000000001</v>
      </c>
      <c r="W60" s="70">
        <v>2.0284999999999997</v>
      </c>
      <c r="X60" s="70">
        <v>0.49299999999999999</v>
      </c>
      <c r="Y60" s="70">
        <v>5.8960000000000008</v>
      </c>
      <c r="Z60" s="71">
        <v>4.9533799533799529E-2</v>
      </c>
      <c r="AA60" s="71">
        <v>9.5765345765345747E-2</v>
      </c>
      <c r="AB60" s="72">
        <v>0.14529914529914528</v>
      </c>
    </row>
    <row r="61" spans="2:28">
      <c r="B61" s="73">
        <v>77</v>
      </c>
      <c r="C61" s="74"/>
      <c r="D61" s="74">
        <v>10.724</v>
      </c>
      <c r="E61" s="74">
        <v>3.625</v>
      </c>
      <c r="F61" s="74">
        <v>3.625</v>
      </c>
      <c r="G61" s="74">
        <v>10.724</v>
      </c>
      <c r="H61" s="75">
        <v>0</v>
      </c>
      <c r="I61" s="75">
        <v>0.33802685565087653</v>
      </c>
      <c r="J61" s="77">
        <v>0.33802685565087653</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11.3635</v>
      </c>
      <c r="W61" s="78">
        <v>2.0089999999999999</v>
      </c>
      <c r="X61" s="78">
        <v>0.49299999999999999</v>
      </c>
      <c r="Y61" s="78">
        <v>5.8960000000000008</v>
      </c>
      <c r="Z61" s="19">
        <v>4.9533799533799529E-2</v>
      </c>
      <c r="AA61" s="19">
        <v>9.5765345765345747E-2</v>
      </c>
      <c r="AB61" s="79">
        <v>0.14529914529914528</v>
      </c>
    </row>
    <row r="62" spans="2:28">
      <c r="B62" s="65">
        <v>78</v>
      </c>
      <c r="C62" s="66"/>
      <c r="D62" s="66">
        <v>10.228999999999999</v>
      </c>
      <c r="E62" s="66">
        <v>3.601</v>
      </c>
      <c r="F62" s="66">
        <v>3.601</v>
      </c>
      <c r="G62" s="66">
        <v>10.228999999999999</v>
      </c>
      <c r="H62" s="67">
        <v>0</v>
      </c>
      <c r="I62" s="67">
        <v>0.35203832241665856</v>
      </c>
      <c r="J62" s="68">
        <v>0.35203832241665856</v>
      </c>
      <c r="K62" s="65">
        <v>78</v>
      </c>
      <c r="L62" s="66">
        <v>0</v>
      </c>
      <c r="M62" s="66">
        <v>11.47</v>
      </c>
      <c r="N62" s="69">
        <v>0.371</v>
      </c>
      <c r="O62" s="66">
        <v>0.371</v>
      </c>
      <c r="P62" s="66">
        <v>11.47</v>
      </c>
      <c r="Q62" s="67">
        <v>0</v>
      </c>
      <c r="R62" s="67">
        <v>3.2345248474280733E-2</v>
      </c>
      <c r="S62" s="68">
        <v>3.2345248474280733E-2</v>
      </c>
      <c r="T62" s="65">
        <v>78</v>
      </c>
      <c r="U62" s="70">
        <v>0</v>
      </c>
      <c r="V62" s="70">
        <v>10.849499999999999</v>
      </c>
      <c r="W62" s="70">
        <v>1.986</v>
      </c>
      <c r="X62" s="70">
        <v>0.49299999999999999</v>
      </c>
      <c r="Y62" s="70">
        <v>5.8960000000000008</v>
      </c>
      <c r="Z62" s="71">
        <v>4.9533799533799529E-2</v>
      </c>
      <c r="AA62" s="71">
        <v>9.5765345765345747E-2</v>
      </c>
      <c r="AB62" s="72">
        <v>0.14529914529914528</v>
      </c>
    </row>
    <row r="63" spans="2:28">
      <c r="B63" s="73">
        <v>79</v>
      </c>
      <c r="C63" s="74"/>
      <c r="D63" s="74">
        <v>9.7330000000000005</v>
      </c>
      <c r="E63" s="74">
        <v>3.57</v>
      </c>
      <c r="F63" s="74">
        <v>3.57</v>
      </c>
      <c r="G63" s="74">
        <v>9.7330000000000005</v>
      </c>
      <c r="H63" s="75">
        <v>0</v>
      </c>
      <c r="I63" s="75">
        <v>0.36679338333504569</v>
      </c>
      <c r="J63" s="77">
        <v>0.36679338333504569</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10.3325</v>
      </c>
      <c r="W63" s="78">
        <v>1.9594999999999998</v>
      </c>
      <c r="X63" s="78">
        <v>0.49299999999999999</v>
      </c>
      <c r="Y63" s="78">
        <v>5.8960000000000008</v>
      </c>
      <c r="Z63" s="19">
        <v>4.9533799533799529E-2</v>
      </c>
      <c r="AA63" s="19">
        <v>9.5765345765345747E-2</v>
      </c>
      <c r="AB63" s="79">
        <v>0.14529914529914528</v>
      </c>
    </row>
    <row r="64" spans="2:28">
      <c r="B64" s="65">
        <v>80</v>
      </c>
      <c r="C64" s="66"/>
      <c r="D64" s="66">
        <v>9.2379999999999995</v>
      </c>
      <c r="E64" s="66">
        <v>3.5310000000000001</v>
      </c>
      <c r="F64" s="66">
        <v>3.5310000000000001</v>
      </c>
      <c r="G64" s="66">
        <v>9.2379999999999995</v>
      </c>
      <c r="H64" s="67">
        <v>0</v>
      </c>
      <c r="I64" s="67">
        <v>0.38222558995453565</v>
      </c>
      <c r="J64" s="68">
        <v>0.38222558995453565</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9.8149999999999995</v>
      </c>
      <c r="W64" s="70">
        <v>1.929</v>
      </c>
      <c r="X64" s="70">
        <v>0.49299999999999999</v>
      </c>
      <c r="Y64" s="70">
        <v>5.8960000000000008</v>
      </c>
      <c r="Z64" s="71">
        <v>4.9533799533799529E-2</v>
      </c>
      <c r="AA64" s="71">
        <v>9.5765345765345747E-2</v>
      </c>
      <c r="AB64" s="72">
        <v>0.14529914529914528</v>
      </c>
    </row>
    <row r="65" spans="2:28">
      <c r="B65" s="73">
        <v>81</v>
      </c>
      <c r="C65" s="74"/>
      <c r="D65" s="74">
        <v>8.7469999999999999</v>
      </c>
      <c r="E65" s="74">
        <v>3.4820000000000002</v>
      </c>
      <c r="F65" s="74">
        <v>3.4820000000000002</v>
      </c>
      <c r="G65" s="74">
        <v>8.7469999999999999</v>
      </c>
      <c r="H65" s="75">
        <v>0</v>
      </c>
      <c r="I65" s="75">
        <v>0.39807934148851037</v>
      </c>
      <c r="J65" s="77">
        <v>0.39807934148851037</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9.3000000000000007</v>
      </c>
      <c r="W65" s="78">
        <v>1.893</v>
      </c>
      <c r="X65" s="78">
        <v>0.49299999999999999</v>
      </c>
      <c r="Y65" s="78">
        <v>5.8960000000000008</v>
      </c>
      <c r="Z65" s="19">
        <v>4.9533799533799529E-2</v>
      </c>
      <c r="AA65" s="19">
        <v>9.5765345765345747E-2</v>
      </c>
      <c r="AB65" s="79">
        <v>0.14529914529914528</v>
      </c>
    </row>
    <row r="66" spans="2:28">
      <c r="B66" s="65">
        <v>82</v>
      </c>
      <c r="C66" s="66"/>
      <c r="D66" s="66">
        <v>8.2629999999999999</v>
      </c>
      <c r="E66" s="66">
        <v>3.4089999999999998</v>
      </c>
      <c r="F66" s="66">
        <v>3.4089999999999998</v>
      </c>
      <c r="G66" s="66">
        <v>8.2629999999999999</v>
      </c>
      <c r="H66" s="67">
        <v>0</v>
      </c>
      <c r="I66" s="67">
        <v>0.41256202347815563</v>
      </c>
      <c r="J66" s="68">
        <v>0.41256202347815563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8.7904999999999998</v>
      </c>
      <c r="W66" s="70">
        <v>1.845</v>
      </c>
      <c r="X66" s="70">
        <v>0.49299999999999999</v>
      </c>
      <c r="Y66" s="70">
        <v>5.8960000000000008</v>
      </c>
      <c r="Z66" s="71">
        <v>4.9533799533799529E-2</v>
      </c>
      <c r="AA66" s="71">
        <v>9.5765345765345747E-2</v>
      </c>
      <c r="AB66" s="72">
        <v>0.14529914529914528</v>
      </c>
    </row>
    <row r="67" spans="2:28">
      <c r="B67" s="73">
        <v>83</v>
      </c>
      <c r="C67" s="74"/>
      <c r="D67" s="74">
        <v>7.7880000000000003</v>
      </c>
      <c r="E67" s="74">
        <v>3.3220000000000001</v>
      </c>
      <c r="F67" s="74">
        <v>3.3220000000000001</v>
      </c>
      <c r="G67" s="74">
        <v>7.7880000000000003</v>
      </c>
      <c r="H67" s="75">
        <v>0</v>
      </c>
      <c r="I67" s="75">
        <v>0.42655367231638419</v>
      </c>
      <c r="J67" s="77">
        <v>0.42655367231638419</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8.2884999999999991</v>
      </c>
      <c r="W67" s="78">
        <v>1.79</v>
      </c>
      <c r="X67" s="78">
        <v>0.49299999999999999</v>
      </c>
      <c r="Y67" s="78">
        <v>5.8960000000000008</v>
      </c>
      <c r="Z67" s="19">
        <v>4.9533799533799529E-2</v>
      </c>
      <c r="AA67" s="19">
        <v>9.5765345765345747E-2</v>
      </c>
      <c r="AB67" s="79">
        <v>0.14529914529914528</v>
      </c>
    </row>
    <row r="68" spans="2:28">
      <c r="B68" s="65">
        <v>84</v>
      </c>
      <c r="C68" s="66"/>
      <c r="D68" s="66">
        <v>7.327</v>
      </c>
      <c r="E68" s="66">
        <v>3.2229999999999999</v>
      </c>
      <c r="F68" s="66">
        <v>3.2229999999999999</v>
      </c>
      <c r="G68" s="66">
        <v>7.327</v>
      </c>
      <c r="H68" s="67">
        <v>0</v>
      </c>
      <c r="I68" s="67">
        <v>0.43987989627405483</v>
      </c>
      <c r="J68" s="68">
        <v>0.43987989627405483</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7.7990000000000004</v>
      </c>
      <c r="W68" s="70">
        <v>1.7289999999999999</v>
      </c>
      <c r="X68" s="70">
        <v>0.49299999999999999</v>
      </c>
      <c r="Y68" s="70">
        <v>5.8960000000000008</v>
      </c>
      <c r="Z68" s="71">
        <v>4.9533799533799529E-2</v>
      </c>
      <c r="AA68" s="71">
        <v>9.5765345765345747E-2</v>
      </c>
      <c r="AB68" s="72">
        <v>0.14529914529914528</v>
      </c>
    </row>
    <row r="69" spans="2:28">
      <c r="B69" s="73">
        <v>85</v>
      </c>
      <c r="C69" s="74"/>
      <c r="D69" s="74">
        <v>6.883</v>
      </c>
      <c r="E69" s="74">
        <v>3.1139999999999999</v>
      </c>
      <c r="F69" s="74">
        <v>3.1139999999999999</v>
      </c>
      <c r="G69" s="74">
        <v>6.883</v>
      </c>
      <c r="H69" s="75">
        <v>0</v>
      </c>
      <c r="I69" s="75">
        <v>0.45241900334156615</v>
      </c>
      <c r="J69" s="77">
        <v>0.45241900334156615</v>
      </c>
      <c r="K69" s="73">
        <v>85</v>
      </c>
      <c r="L69" s="74">
        <v>0</v>
      </c>
      <c r="M69" s="74">
        <v>7.7679999999999998</v>
      </c>
      <c r="N69" s="76">
        <v>0.21</v>
      </c>
      <c r="O69" s="74">
        <v>0.21</v>
      </c>
      <c r="P69" s="74">
        <v>7.7679999999999998</v>
      </c>
      <c r="Q69" s="75">
        <v>0</v>
      </c>
      <c r="R69" s="75">
        <v>2.7033985581874358E-2</v>
      </c>
      <c r="S69" s="77">
        <v>2.7033985581874358E-2</v>
      </c>
      <c r="T69" s="73">
        <v>85</v>
      </c>
      <c r="U69" s="78">
        <v>0</v>
      </c>
      <c r="V69" s="78">
        <v>7.3254999999999999</v>
      </c>
      <c r="W69" s="78">
        <v>1.6619999999999999</v>
      </c>
      <c r="X69" s="78">
        <v>0.49299999999999999</v>
      </c>
      <c r="Y69" s="78">
        <v>5.8960000000000008</v>
      </c>
      <c r="Z69" s="19">
        <v>4.9533799533799529E-2</v>
      </c>
      <c r="AA69" s="19">
        <v>9.5765345765345747E-2</v>
      </c>
      <c r="AB69" s="79">
        <v>0.14529914529914528</v>
      </c>
    </row>
    <row r="70" spans="2:28">
      <c r="B70" s="65">
        <v>86</v>
      </c>
      <c r="C70" s="66"/>
      <c r="D70" s="66">
        <v>6.4619999999999997</v>
      </c>
      <c r="E70" s="66">
        <v>2.9969999999999999</v>
      </c>
      <c r="F70" s="66">
        <v>2.9969999999999999</v>
      </c>
      <c r="G70" s="66">
        <v>6.4619999999999997</v>
      </c>
      <c r="H70" s="67">
        <v>0</v>
      </c>
      <c r="I70" s="67">
        <v>0.46378830083565459</v>
      </c>
      <c r="J70" s="68">
        <v>0.46378830083565459</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1.5914999999999999</v>
      </c>
      <c r="X70" s="70">
        <v>0.49299999999999999</v>
      </c>
      <c r="Y70" s="70">
        <v>5.8960000000000008</v>
      </c>
      <c r="Z70" s="71">
        <v>4.9533799533799529E-2</v>
      </c>
      <c r="AA70" s="71">
        <v>9.5765345765345747E-2</v>
      </c>
      <c r="AB70" s="72">
        <v>0.14529914529914528</v>
      </c>
    </row>
    <row r="71" spans="2:28">
      <c r="B71" s="73">
        <v>87</v>
      </c>
      <c r="C71" s="74"/>
      <c r="D71" s="74">
        <v>6.069</v>
      </c>
      <c r="E71" s="74">
        <v>2.8730000000000002</v>
      </c>
      <c r="F71" s="74">
        <v>2.8730000000000002</v>
      </c>
      <c r="G71" s="74">
        <v>6.069</v>
      </c>
      <c r="H71" s="75">
        <v>0</v>
      </c>
      <c r="I71" s="75">
        <v>0.47338935574229696</v>
      </c>
      <c r="J71" s="77">
        <v>0.47338935574229696</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1.5175000000000001</v>
      </c>
      <c r="X71" s="78">
        <v>0.49299999999999999</v>
      </c>
      <c r="Y71" s="78">
        <v>5.8960000000000008</v>
      </c>
      <c r="Z71" s="19">
        <v>4.9533799533799529E-2</v>
      </c>
      <c r="AA71" s="19">
        <v>9.5765345765345747E-2</v>
      </c>
      <c r="AB71" s="79">
        <v>0.14529914529914528</v>
      </c>
    </row>
    <row r="72" spans="2:28">
      <c r="B72" s="65">
        <v>88</v>
      </c>
      <c r="C72" s="66"/>
      <c r="D72" s="66">
        <v>5.7119999999999997</v>
      </c>
      <c r="E72" s="66">
        <v>2.7149999999999999</v>
      </c>
      <c r="F72" s="66">
        <v>2.7149999999999999</v>
      </c>
      <c r="G72" s="66">
        <v>5.7119999999999997</v>
      </c>
      <c r="H72" s="67">
        <v>0</v>
      </c>
      <c r="I72" s="67">
        <v>0.47531512605042014</v>
      </c>
      <c r="J72" s="68">
        <v>0.47531512605042014</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1.4275</v>
      </c>
      <c r="X72" s="70">
        <v>0.49299999999999999</v>
      </c>
      <c r="Y72" s="70">
        <v>5.8960000000000008</v>
      </c>
      <c r="Z72" s="71">
        <v>4.9533799533799529E-2</v>
      </c>
      <c r="AA72" s="71">
        <v>9.5765345765345747E-2</v>
      </c>
      <c r="AB72" s="72">
        <v>0.14529914529914528</v>
      </c>
    </row>
    <row r="73" spans="2:28">
      <c r="B73" s="73">
        <v>89</v>
      </c>
      <c r="C73" s="74"/>
      <c r="D73" s="74">
        <v>5.3979999999999997</v>
      </c>
      <c r="E73" s="74">
        <v>2.5489999999999999</v>
      </c>
      <c r="F73" s="74">
        <v>2.5489999999999999</v>
      </c>
      <c r="G73" s="74">
        <v>5.3979999999999997</v>
      </c>
      <c r="H73" s="75">
        <v>0</v>
      </c>
      <c r="I73" s="75">
        <v>0.4722119303445721</v>
      </c>
      <c r="J73" s="77">
        <v>0.4722119303445721</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1.333</v>
      </c>
      <c r="X73" s="78">
        <v>0.49299999999999999</v>
      </c>
      <c r="Y73" s="78">
        <v>5.8960000000000008</v>
      </c>
      <c r="Z73" s="19">
        <v>4.9533799533799529E-2</v>
      </c>
      <c r="AA73" s="19">
        <v>9.5765345765345747E-2</v>
      </c>
      <c r="AB73" s="79">
        <v>0.14529914529914528</v>
      </c>
    </row>
    <row r="74" spans="2:28">
      <c r="B74" s="65">
        <v>90</v>
      </c>
      <c r="C74" s="66"/>
      <c r="D74" s="66">
        <v>5.1150000000000002</v>
      </c>
      <c r="E74" s="66">
        <v>2.387</v>
      </c>
      <c r="F74" s="66">
        <v>2.387</v>
      </c>
      <c r="G74" s="66">
        <v>5.1150000000000002</v>
      </c>
      <c r="H74" s="67">
        <v>0</v>
      </c>
      <c r="I74" s="67">
        <v>0.46666666666666667</v>
      </c>
      <c r="J74" s="68">
        <v>0.46666666666666667</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1.242</v>
      </c>
      <c r="X74" s="70">
        <v>0.49299999999999999</v>
      </c>
      <c r="Y74" s="70">
        <v>5.8960000000000008</v>
      </c>
      <c r="Z74" s="71">
        <v>4.9533799533799529E-2</v>
      </c>
      <c r="AA74" s="71">
        <v>9.5765345765345747E-2</v>
      </c>
      <c r="AB74" s="72">
        <v>0.14529914529914528</v>
      </c>
    </row>
    <row r="75" spans="2:28">
      <c r="B75" s="73">
        <v>91</v>
      </c>
      <c r="C75" s="74"/>
      <c r="D75" s="74">
        <v>4.8499999999999996</v>
      </c>
      <c r="E75" s="74">
        <v>2.2040000000000002</v>
      </c>
      <c r="F75" s="74">
        <v>2.2040000000000002</v>
      </c>
      <c r="G75" s="74">
        <v>4.8499999999999996</v>
      </c>
      <c r="H75" s="75">
        <v>0</v>
      </c>
      <c r="I75" s="75">
        <v>0.45443298969072171</v>
      </c>
      <c r="J75" s="77">
        <v>0.45443298969072171</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1.1420000000000001</v>
      </c>
      <c r="X75" s="78">
        <v>0.49299999999999999</v>
      </c>
      <c r="Y75" s="78">
        <v>5.8960000000000008</v>
      </c>
      <c r="Z75" s="19">
        <v>4.9533799533799529E-2</v>
      </c>
      <c r="AA75" s="19">
        <v>9.5765345765345747E-2</v>
      </c>
      <c r="AB75" s="79">
        <v>0.14529914529914528</v>
      </c>
    </row>
    <row r="76" spans="2:28">
      <c r="B76" s="65">
        <v>92</v>
      </c>
      <c r="C76" s="66"/>
      <c r="D76" s="66">
        <v>4.6040000000000001</v>
      </c>
      <c r="E76" s="66">
        <v>2.0350000000000001</v>
      </c>
      <c r="F76" s="66">
        <v>2.0350000000000001</v>
      </c>
      <c r="G76" s="66">
        <v>4.6040000000000001</v>
      </c>
      <c r="H76" s="67">
        <v>0</v>
      </c>
      <c r="I76" s="67">
        <v>0.44200695047784538</v>
      </c>
      <c r="J76" s="68">
        <v>0.44200695047784538</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4.8164999999999996</v>
      </c>
      <c r="W76" s="70">
        <v>1.05</v>
      </c>
      <c r="X76" s="70">
        <v>0.49299999999999999</v>
      </c>
      <c r="Y76" s="70">
        <v>5.8960000000000008</v>
      </c>
      <c r="Z76" s="71">
        <v>4.9533799533799529E-2</v>
      </c>
      <c r="AA76" s="71">
        <v>9.5765345765345747E-2</v>
      </c>
      <c r="AB76" s="72">
        <v>0.14529914529914528</v>
      </c>
    </row>
    <row r="77" spans="2:28">
      <c r="B77" s="73">
        <v>93</v>
      </c>
      <c r="C77" s="74"/>
      <c r="D77" s="74">
        <v>4.3760000000000003</v>
      </c>
      <c r="E77" s="74">
        <v>1.85</v>
      </c>
      <c r="F77" s="74">
        <v>1.85</v>
      </c>
      <c r="G77" s="74">
        <v>4.3760000000000003</v>
      </c>
      <c r="H77" s="75">
        <v>0</v>
      </c>
      <c r="I77" s="75">
        <v>0.42276051188299818</v>
      </c>
      <c r="J77" s="77">
        <v>0.42276051188299818</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4.5615000000000006</v>
      </c>
      <c r="W77" s="78">
        <v>0.95150000000000001</v>
      </c>
      <c r="X77" s="78">
        <v>0.49299999999999999</v>
      </c>
      <c r="Y77" s="78">
        <v>5.8960000000000008</v>
      </c>
      <c r="Z77" s="19">
        <v>4.9533799533799529E-2</v>
      </c>
      <c r="AA77" s="19">
        <v>9.5765345765345747E-2</v>
      </c>
      <c r="AB77" s="79">
        <v>0.14529914529914528</v>
      </c>
    </row>
    <row r="78" spans="2:28">
      <c r="B78" s="65">
        <v>94</v>
      </c>
      <c r="C78" s="66"/>
      <c r="D78" s="66">
        <v>4.1660000000000004</v>
      </c>
      <c r="E78" s="66">
        <v>1.6830000000000001</v>
      </c>
      <c r="F78" s="66">
        <v>1.6830000000000001</v>
      </c>
      <c r="G78" s="66">
        <v>4.1660000000000004</v>
      </c>
      <c r="H78" s="67">
        <v>0</v>
      </c>
      <c r="I78" s="67">
        <v>0.4039846375420067</v>
      </c>
      <c r="J78" s="68">
        <v>0.4039846375420067</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0.86250000000000004</v>
      </c>
      <c r="X78" s="70">
        <v>0.49299999999999999</v>
      </c>
      <c r="Y78" s="70">
        <v>5.8960000000000008</v>
      </c>
      <c r="Z78" s="71">
        <v>4.9533799533799529E-2</v>
      </c>
      <c r="AA78" s="71">
        <v>9.5765345765345747E-2</v>
      </c>
      <c r="AB78" s="72">
        <v>0.14529914529914528</v>
      </c>
    </row>
    <row r="79" spans="2:28">
      <c r="B79" s="73">
        <v>95</v>
      </c>
      <c r="C79" s="74"/>
      <c r="D79" s="74">
        <v>3.9740000000000002</v>
      </c>
      <c r="E79" s="74">
        <v>1.5349999999999999</v>
      </c>
      <c r="F79" s="74">
        <v>1.5349999999999999</v>
      </c>
      <c r="G79" s="74">
        <v>3.9740000000000002</v>
      </c>
      <c r="H79" s="75">
        <v>0</v>
      </c>
      <c r="I79" s="75">
        <v>0.38626069451434319</v>
      </c>
      <c r="J79" s="77">
        <v>0.38626069451434319</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0.78449999999999998</v>
      </c>
      <c r="X79" s="78">
        <v>0.49299999999999999</v>
      </c>
      <c r="Y79" s="78">
        <v>5.8960000000000008</v>
      </c>
      <c r="Z79" s="19">
        <v>4.9533799533799529E-2</v>
      </c>
      <c r="AA79" s="19">
        <v>9.5765345765345747E-2</v>
      </c>
      <c r="AB79" s="79">
        <v>0.14529914529914528</v>
      </c>
    </row>
    <row r="80" spans="2:28">
      <c r="B80" s="65">
        <v>96</v>
      </c>
      <c r="C80" s="66"/>
      <c r="D80" s="66">
        <v>3.798</v>
      </c>
      <c r="E80" s="66">
        <v>1.371</v>
      </c>
      <c r="F80" s="66">
        <v>1.371</v>
      </c>
      <c r="G80" s="66">
        <v>3.798</v>
      </c>
      <c r="H80" s="67">
        <v>0</v>
      </c>
      <c r="I80" s="67">
        <v>0.36097946287519744</v>
      </c>
      <c r="J80" s="68">
        <v>0.36097946287519744</v>
      </c>
      <c r="K80" s="65">
        <v>96</v>
      </c>
      <c r="L80" s="66">
        <v>0</v>
      </c>
      <c r="M80" s="66">
        <v>4.024</v>
      </c>
      <c r="N80" s="69">
        <v>2.7E-2</v>
      </c>
      <c r="O80" s="66">
        <v>2.7E-2</v>
      </c>
      <c r="P80" s="66">
        <v>4.024</v>
      </c>
      <c r="Q80" s="67">
        <v>0</v>
      </c>
      <c r="R80" s="67">
        <v>6.7097415506958248E-3</v>
      </c>
      <c r="S80" s="68">
        <v>6.7097415506958248E-3</v>
      </c>
      <c r="T80" s="65">
        <v>96</v>
      </c>
      <c r="U80" s="70">
        <v>0</v>
      </c>
      <c r="V80" s="70">
        <v>3.911</v>
      </c>
      <c r="W80" s="70">
        <v>0.69899999999999995</v>
      </c>
      <c r="X80" s="70">
        <v>0.49299999999999999</v>
      </c>
      <c r="Y80" s="70">
        <v>5.8960000000000008</v>
      </c>
      <c r="Z80" s="71">
        <v>4.9533799533799529E-2</v>
      </c>
      <c r="AA80" s="71">
        <v>9.5765345765345747E-2</v>
      </c>
      <c r="AB80" s="72">
        <v>0.14529914529914528</v>
      </c>
    </row>
    <row r="81" spans="2:28">
      <c r="B81" s="73">
        <v>97</v>
      </c>
      <c r="C81" s="74"/>
      <c r="D81" s="74">
        <v>3.6389999999999998</v>
      </c>
      <c r="E81" s="74">
        <v>1.216</v>
      </c>
      <c r="F81" s="74">
        <v>1.216</v>
      </c>
      <c r="G81" s="74">
        <v>3.6389999999999998</v>
      </c>
      <c r="H81" s="75">
        <v>0</v>
      </c>
      <c r="I81" s="75">
        <v>0.33415773564165979</v>
      </c>
      <c r="J81" s="77">
        <v>0.33415773564165979</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0.61849999999999994</v>
      </c>
      <c r="X81" s="78">
        <v>0.49299999999999999</v>
      </c>
      <c r="Y81" s="78">
        <v>5.8960000000000008</v>
      </c>
      <c r="Z81" s="19">
        <v>4.9533799533799529E-2</v>
      </c>
      <c r="AA81" s="19">
        <v>9.5765345765345747E-2</v>
      </c>
      <c r="AB81" s="79">
        <v>0.14529914529914528</v>
      </c>
    </row>
    <row r="82" spans="2:28">
      <c r="B82" s="65">
        <v>98</v>
      </c>
      <c r="C82" s="66"/>
      <c r="D82" s="66">
        <v>3.4950000000000001</v>
      </c>
      <c r="E82" s="66">
        <v>1.0409999999999999</v>
      </c>
      <c r="F82" s="66">
        <v>1.0409999999999999</v>
      </c>
      <c r="G82" s="66">
        <v>3.4950000000000001</v>
      </c>
      <c r="H82" s="67">
        <v>0</v>
      </c>
      <c r="I82" s="67">
        <v>0.29785407725321883</v>
      </c>
      <c r="J82" s="68">
        <v>0.29785407725321883</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3.569</v>
      </c>
      <c r="W82" s="70">
        <v>0.52899999999999991</v>
      </c>
      <c r="X82" s="70">
        <v>0.49299999999999999</v>
      </c>
      <c r="Y82" s="70">
        <v>5.8960000000000008</v>
      </c>
      <c r="Z82" s="71">
        <v>4.9533799533799529E-2</v>
      </c>
      <c r="AA82" s="71">
        <v>9.5765345765345747E-2</v>
      </c>
      <c r="AB82" s="72">
        <v>0.14529914529914528</v>
      </c>
    </row>
    <row r="83" spans="2:28">
      <c r="B83" s="73">
        <v>99</v>
      </c>
      <c r="C83" s="74"/>
      <c r="D83" s="74">
        <v>3.3639999999999999</v>
      </c>
      <c r="E83" s="74">
        <v>0.84799999999999998</v>
      </c>
      <c r="F83" s="74">
        <v>0.84799999999999998</v>
      </c>
      <c r="G83" s="74">
        <v>3.3639999999999999</v>
      </c>
      <c r="H83" s="75">
        <v>0</v>
      </c>
      <c r="I83" s="75">
        <v>0.25208085612366232</v>
      </c>
      <c r="J83" s="77">
        <v>0.25208085612366232</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0.43049999999999999</v>
      </c>
      <c r="X83" s="78">
        <v>0.49299999999999999</v>
      </c>
      <c r="Y83" s="78">
        <v>5.8960000000000008</v>
      </c>
      <c r="Z83" s="19">
        <v>4.9533799533799529E-2</v>
      </c>
      <c r="AA83" s="19">
        <v>9.5765345765345747E-2</v>
      </c>
      <c r="AB83" s="79">
        <v>0.14529914529914528</v>
      </c>
    </row>
    <row r="84" spans="2:28" ht="15.75" thickBot="1">
      <c r="B84" s="90">
        <v>100</v>
      </c>
      <c r="C84" s="91"/>
      <c r="D84" s="91">
        <v>3.2450000000000001</v>
      </c>
      <c r="E84" s="91">
        <v>0.67200000000000004</v>
      </c>
      <c r="F84" s="91">
        <v>0.67200000000000004</v>
      </c>
      <c r="G84" s="91">
        <v>3.2450000000000001</v>
      </c>
      <c r="H84" s="92">
        <v>0</v>
      </c>
      <c r="I84" s="92">
        <v>0.20708782742681048</v>
      </c>
      <c r="J84" s="94">
        <v>0.20708782742681048</v>
      </c>
      <c r="K84" s="90">
        <v>100</v>
      </c>
      <c r="L84" s="91">
        <v>0</v>
      </c>
      <c r="M84" s="91">
        <v>3.335</v>
      </c>
      <c r="N84" s="93">
        <v>0.01</v>
      </c>
      <c r="O84" s="91">
        <v>0.01</v>
      </c>
      <c r="P84" s="91">
        <v>3.335</v>
      </c>
      <c r="Q84" s="92">
        <v>0</v>
      </c>
      <c r="R84" s="92">
        <v>2.9985007496251873E-3</v>
      </c>
      <c r="S84" s="94">
        <v>2.9985007496251873E-3</v>
      </c>
      <c r="T84" s="90">
        <v>100</v>
      </c>
      <c r="U84" s="95">
        <v>0</v>
      </c>
      <c r="V84" s="95">
        <v>3.29</v>
      </c>
      <c r="W84" s="95">
        <v>0.34100000000000003</v>
      </c>
      <c r="X84" s="95">
        <v>0.49299999999999999</v>
      </c>
      <c r="Y84" s="95">
        <v>5.8960000000000008</v>
      </c>
      <c r="Z84" s="96">
        <v>4.9533799533799529E-2</v>
      </c>
      <c r="AA84" s="96">
        <v>9.5765345765345747E-2</v>
      </c>
      <c r="AB84" s="97">
        <v>0.14529914529914528</v>
      </c>
    </row>
  </sheetData>
  <sheetProtection algorithmName="SHA-512" hashValue="t8vfDd6peRYuhjGiko2sszuivvrH7O+M2ljCJzX3AQqvs0dggFTOY/LOqVHoaCVi6wbvy+ZjRpifLcDVJS+JFg==" saltValue="6j/nGuRSm3HCFG3Pj1Mnqw=="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DB6B-C84B-466F-89F0-7F808AD76E3A}">
  <sheetPr codeName="Tabelle43"/>
  <dimension ref="A2: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8.75" customHeight="1">
      <c r="A2" s="46" t="s">
        <v>2154</v>
      </c>
      <c r="B2" s="47" t="s">
        <v>1519</v>
      </c>
      <c r="C2" s="48" t="s">
        <v>2129</v>
      </c>
      <c r="D2" s="48" t="s">
        <v>2130</v>
      </c>
      <c r="E2" s="48" t="s">
        <v>2131</v>
      </c>
      <c r="F2" s="48" t="s">
        <v>2132</v>
      </c>
      <c r="G2" s="48" t="s">
        <v>2133</v>
      </c>
      <c r="H2" s="960" t="s">
        <v>2134</v>
      </c>
      <c r="I2" s="961"/>
      <c r="J2" s="962"/>
      <c r="K2" s="49" t="s">
        <v>1519</v>
      </c>
      <c r="L2" s="50" t="s">
        <v>2129</v>
      </c>
      <c r="M2" s="50" t="s">
        <v>2130</v>
      </c>
      <c r="N2" s="50" t="s">
        <v>2131</v>
      </c>
      <c r="O2" s="50" t="s">
        <v>2132</v>
      </c>
      <c r="P2" s="50" t="str">
        <f>+G2</f>
        <v>Anwartschafts-barwert
Altersrente</v>
      </c>
      <c r="Q2" s="963" t="s">
        <v>2135</v>
      </c>
      <c r="R2" s="964"/>
      <c r="S2" s="965"/>
      <c r="T2" s="51" t="s">
        <v>1519</v>
      </c>
      <c r="U2" s="52" t="s">
        <v>2129</v>
      </c>
      <c r="V2" s="52" t="s">
        <v>2130</v>
      </c>
      <c r="W2" s="52" t="s">
        <v>2131</v>
      </c>
      <c r="X2" s="52" t="s">
        <v>2132</v>
      </c>
      <c r="Y2" s="52" t="str">
        <f>+P2</f>
        <v>Anwartschafts-barwert
Altersrente</v>
      </c>
      <c r="Z2" s="966" t="s">
        <v>2155</v>
      </c>
      <c r="AA2" s="967"/>
      <c r="AB2" s="968"/>
    </row>
    <row r="3" spans="1:28" s="64" customFormat="1" ht="13.5">
      <c r="A3" s="53">
        <v>43111</v>
      </c>
      <c r="B3" s="54"/>
      <c r="C3" s="55" t="s">
        <v>2146</v>
      </c>
      <c r="D3" s="55" t="s">
        <v>2147</v>
      </c>
      <c r="E3" s="55" t="s">
        <v>2148</v>
      </c>
      <c r="F3" s="55"/>
      <c r="G3" s="55"/>
      <c r="H3" s="56" t="s">
        <v>2139</v>
      </c>
      <c r="I3" s="56" t="s">
        <v>2140</v>
      </c>
      <c r="J3" s="57" t="s">
        <v>2141</v>
      </c>
      <c r="K3" s="58"/>
      <c r="L3" s="59" t="s">
        <v>2150</v>
      </c>
      <c r="M3" s="59" t="s">
        <v>2151</v>
      </c>
      <c r="N3" s="59" t="s">
        <v>2144</v>
      </c>
      <c r="O3" s="59"/>
      <c r="P3" s="59"/>
      <c r="Q3" s="59" t="s">
        <v>2139</v>
      </c>
      <c r="R3" s="59" t="s">
        <v>2140</v>
      </c>
      <c r="S3" s="60" t="s">
        <v>2141</v>
      </c>
      <c r="T3" s="61"/>
      <c r="U3" s="62" t="s">
        <v>2150</v>
      </c>
      <c r="V3" s="62" t="s">
        <v>2151</v>
      </c>
      <c r="W3" s="62" t="s">
        <v>2144</v>
      </c>
      <c r="X3" s="62" t="s">
        <v>2152</v>
      </c>
      <c r="Y3" s="62"/>
      <c r="Z3" s="62" t="s">
        <v>2139</v>
      </c>
      <c r="AA3" s="62" t="s">
        <v>2140</v>
      </c>
      <c r="AB3" s="63" t="s">
        <v>2141</v>
      </c>
    </row>
    <row r="4" spans="1:28">
      <c r="B4" s="65">
        <v>20</v>
      </c>
      <c r="C4" s="66">
        <v>0.26900000000000002</v>
      </c>
      <c r="D4" s="66">
        <v>4.8979999999999997</v>
      </c>
      <c r="E4" s="66">
        <v>0.53200000000000003</v>
      </c>
      <c r="F4" s="66">
        <v>0.53200000000000003</v>
      </c>
      <c r="G4" s="66">
        <v>4.6289999999999996</v>
      </c>
      <c r="H4" s="67">
        <v>5.8111903218837774E-2</v>
      </c>
      <c r="I4" s="67">
        <v>0.11492763015770147</v>
      </c>
      <c r="J4" s="68">
        <v>0.17303953337653924</v>
      </c>
      <c r="K4" s="65">
        <v>20</v>
      </c>
      <c r="L4" s="66">
        <v>0.28100000000000003</v>
      </c>
      <c r="M4" s="66">
        <v>5.665</v>
      </c>
      <c r="N4" s="69">
        <v>0.13200000000000001</v>
      </c>
      <c r="O4" s="66">
        <v>0.13200000000000001</v>
      </c>
      <c r="P4" s="66">
        <v>5.3840000000000003</v>
      </c>
      <c r="Q4" s="67">
        <v>5.2191679049034177E-2</v>
      </c>
      <c r="R4" s="67">
        <v>2.4517087667161961E-2</v>
      </c>
      <c r="S4" s="68">
        <v>7.6708766716196142E-2</v>
      </c>
      <c r="T4" s="65">
        <v>20</v>
      </c>
      <c r="U4" s="70">
        <v>0.27500000000000002</v>
      </c>
      <c r="V4" s="70">
        <v>5.2814999999999994</v>
      </c>
      <c r="W4" s="70">
        <v>0.33200000000000002</v>
      </c>
      <c r="X4" s="70">
        <v>0.33200000000000002</v>
      </c>
      <c r="Y4" s="70">
        <v>5.0065</v>
      </c>
      <c r="Z4" s="71">
        <v>5.5151791133935979E-2</v>
      </c>
      <c r="AA4" s="71">
        <v>6.9722358912431712E-2</v>
      </c>
      <c r="AB4" s="72">
        <v>0.12487415004636769</v>
      </c>
    </row>
    <row r="5" spans="1:28">
      <c r="B5" s="73">
        <v>21</v>
      </c>
      <c r="C5" s="74">
        <v>0.31</v>
      </c>
      <c r="D5" s="74">
        <v>5.0469999999999997</v>
      </c>
      <c r="E5" s="74">
        <v>0.61899999999999999</v>
      </c>
      <c r="F5" s="74">
        <v>0.61899999999999999</v>
      </c>
      <c r="G5" s="74">
        <v>4.7370000000000001</v>
      </c>
      <c r="H5" s="75">
        <v>6.5442263035676587E-2</v>
      </c>
      <c r="I5" s="75">
        <v>0.13067342199704454</v>
      </c>
      <c r="J5" s="77">
        <v>0.19611568503272114</v>
      </c>
      <c r="K5" s="73">
        <v>21</v>
      </c>
      <c r="L5" s="74">
        <v>0.33800000000000002</v>
      </c>
      <c r="M5" s="74">
        <v>5.8339999999999996</v>
      </c>
      <c r="N5" s="76">
        <v>0.16</v>
      </c>
      <c r="O5" s="74">
        <v>0.16</v>
      </c>
      <c r="P5" s="74">
        <v>5.4959999999999996</v>
      </c>
      <c r="Q5" s="75">
        <v>6.1499272197962161E-2</v>
      </c>
      <c r="R5" s="75">
        <v>2.9112081513828242E-2</v>
      </c>
      <c r="S5" s="77">
        <v>9.061135371179041E-2</v>
      </c>
      <c r="T5" s="73">
        <v>21</v>
      </c>
      <c r="U5" s="78">
        <v>0.32400000000000001</v>
      </c>
      <c r="V5" s="78">
        <v>5.4405000000000001</v>
      </c>
      <c r="W5" s="78">
        <v>0.38950000000000001</v>
      </c>
      <c r="X5" s="78">
        <v>0.38950000000000001</v>
      </c>
      <c r="Y5" s="78">
        <v>5.1165000000000003</v>
      </c>
      <c r="Z5" s="19">
        <v>6.3470767616819371E-2</v>
      </c>
      <c r="AA5" s="19">
        <v>7.9892751755436392E-2</v>
      </c>
      <c r="AB5" s="79">
        <v>0.14336351937225578</v>
      </c>
    </row>
    <row r="6" spans="1:28">
      <c r="B6" s="65">
        <v>22</v>
      </c>
      <c r="C6" s="66">
        <v>0.35199999999999998</v>
      </c>
      <c r="D6" s="66">
        <v>5.1989999999999998</v>
      </c>
      <c r="E6" s="66">
        <v>0.71099999999999997</v>
      </c>
      <c r="F6" s="66">
        <v>0.71099999999999997</v>
      </c>
      <c r="G6" s="66">
        <v>4.8469999999999995</v>
      </c>
      <c r="H6" s="67">
        <v>7.2622240561171864E-2</v>
      </c>
      <c r="I6" s="67">
        <v>0.14668867340623065</v>
      </c>
      <c r="J6" s="68">
        <v>0.21931091396740252</v>
      </c>
      <c r="K6" s="65">
        <v>22</v>
      </c>
      <c r="L6" s="66">
        <v>0.39</v>
      </c>
      <c r="M6" s="66">
        <v>6.008</v>
      </c>
      <c r="N6" s="69">
        <v>0.185</v>
      </c>
      <c r="O6" s="66">
        <v>0.185</v>
      </c>
      <c r="P6" s="66">
        <v>5.6180000000000003</v>
      </c>
      <c r="Q6" s="67">
        <v>6.9419722321110711E-2</v>
      </c>
      <c r="R6" s="67">
        <v>3.2929868280526874E-2</v>
      </c>
      <c r="S6" s="68">
        <v>0.10234959060163759</v>
      </c>
      <c r="T6" s="65">
        <v>22</v>
      </c>
      <c r="U6" s="70">
        <v>0.371</v>
      </c>
      <c r="V6" s="70">
        <v>5.6035000000000004</v>
      </c>
      <c r="W6" s="70">
        <v>0.44799999999999995</v>
      </c>
      <c r="X6" s="70">
        <v>0.44799999999999995</v>
      </c>
      <c r="Y6" s="70">
        <v>5.2324999999999999</v>
      </c>
      <c r="Z6" s="71">
        <v>7.1020981441141287E-2</v>
      </c>
      <c r="AA6" s="71">
        <v>8.9809270843378766E-2</v>
      </c>
      <c r="AB6" s="72">
        <v>0.16083025228452005</v>
      </c>
    </row>
    <row r="7" spans="1:28">
      <c r="B7" s="73">
        <v>23</v>
      </c>
      <c r="C7" s="74">
        <v>0.39500000000000002</v>
      </c>
      <c r="D7" s="74">
        <v>5.3550000000000004</v>
      </c>
      <c r="E7" s="74">
        <v>0.80800000000000005</v>
      </c>
      <c r="F7" s="74">
        <v>0.80800000000000005</v>
      </c>
      <c r="G7" s="74">
        <v>4.9600000000000009</v>
      </c>
      <c r="H7" s="75">
        <v>7.9637096774193533E-2</v>
      </c>
      <c r="I7" s="75">
        <v>0.16290322580645158</v>
      </c>
      <c r="J7" s="77">
        <v>0.24254032258064512</v>
      </c>
      <c r="K7" s="73">
        <v>23</v>
      </c>
      <c r="L7" s="74">
        <v>0.434</v>
      </c>
      <c r="M7" s="74">
        <v>6.1859999999999999</v>
      </c>
      <c r="N7" s="76">
        <v>0.20699999999999999</v>
      </c>
      <c r="O7" s="74">
        <v>0.20699999999999999</v>
      </c>
      <c r="P7" s="74">
        <v>5.7519999999999998</v>
      </c>
      <c r="Q7" s="75">
        <v>7.545201668984701E-2</v>
      </c>
      <c r="R7" s="75">
        <v>3.5987482614742695E-2</v>
      </c>
      <c r="S7" s="77">
        <v>0.11143949930458971</v>
      </c>
      <c r="T7" s="73">
        <v>23</v>
      </c>
      <c r="U7" s="78">
        <v>0.41449999999999998</v>
      </c>
      <c r="V7" s="78">
        <v>5.7705000000000002</v>
      </c>
      <c r="W7" s="78">
        <v>0.50750000000000006</v>
      </c>
      <c r="X7" s="78">
        <v>0.50750000000000006</v>
      </c>
      <c r="Y7" s="78">
        <v>5.3559999999999999</v>
      </c>
      <c r="Z7" s="19">
        <v>7.7544556732020264E-2</v>
      </c>
      <c r="AA7" s="19">
        <v>9.9445354210597137E-2</v>
      </c>
      <c r="AB7" s="79">
        <v>0.1769899109426174</v>
      </c>
    </row>
    <row r="8" spans="1:28">
      <c r="B8" s="65">
        <v>24</v>
      </c>
      <c r="C8" s="66">
        <v>0.434</v>
      </c>
      <c r="D8" s="66">
        <v>5.5149999999999997</v>
      </c>
      <c r="E8" s="66">
        <v>0.89600000000000002</v>
      </c>
      <c r="F8" s="66">
        <v>0.89600000000000002</v>
      </c>
      <c r="G8" s="66">
        <v>5.0809999999999995</v>
      </c>
      <c r="H8" s="67">
        <v>8.5416256642393232E-2</v>
      </c>
      <c r="I8" s="67">
        <v>0.17634323951977959</v>
      </c>
      <c r="J8" s="68">
        <v>0.26175949616217281</v>
      </c>
      <c r="K8" s="65">
        <v>24</v>
      </c>
      <c r="L8" s="66">
        <v>0.47299999999999998</v>
      </c>
      <c r="M8" s="66">
        <v>6.3680000000000003</v>
      </c>
      <c r="N8" s="69">
        <v>0.22700000000000001</v>
      </c>
      <c r="O8" s="66">
        <v>0.22700000000000001</v>
      </c>
      <c r="P8" s="66">
        <v>5.8950000000000005</v>
      </c>
      <c r="Q8" s="67">
        <v>8.0237489397794737E-2</v>
      </c>
      <c r="R8" s="67">
        <v>3.8507209499575909E-2</v>
      </c>
      <c r="S8" s="68">
        <v>0.11874469889737065</v>
      </c>
      <c r="T8" s="65">
        <v>24</v>
      </c>
      <c r="U8" s="70">
        <v>0.45350000000000001</v>
      </c>
      <c r="V8" s="70">
        <v>5.9414999999999996</v>
      </c>
      <c r="W8" s="70">
        <v>0.5615</v>
      </c>
      <c r="X8" s="70">
        <v>0.5615</v>
      </c>
      <c r="Y8" s="70">
        <v>5.4879999999999995</v>
      </c>
      <c r="Z8" s="71">
        <v>8.2826873020093977E-2</v>
      </c>
      <c r="AA8" s="71">
        <v>0.10742522450967776</v>
      </c>
      <c r="AB8" s="72">
        <v>0.19025209752977174</v>
      </c>
    </row>
    <row r="9" spans="1:28">
      <c r="B9" s="73">
        <v>25</v>
      </c>
      <c r="C9" s="74">
        <v>0.46800000000000003</v>
      </c>
      <c r="D9" s="74">
        <v>5.6779999999999999</v>
      </c>
      <c r="E9" s="74">
        <v>0.97899999999999998</v>
      </c>
      <c r="F9" s="74">
        <v>0.97899999999999998</v>
      </c>
      <c r="G9" s="74">
        <v>5.21</v>
      </c>
      <c r="H9" s="75">
        <v>8.9827255278310952E-2</v>
      </c>
      <c r="I9" s="75">
        <v>0.18790786948176583</v>
      </c>
      <c r="J9" s="77">
        <v>0.27773512476007678</v>
      </c>
      <c r="K9" s="73">
        <v>25</v>
      </c>
      <c r="L9" s="74">
        <v>0.51200000000000001</v>
      </c>
      <c r="M9" s="74">
        <v>6.5549999999999997</v>
      </c>
      <c r="N9" s="76">
        <v>0.248</v>
      </c>
      <c r="O9" s="74">
        <v>0.248</v>
      </c>
      <c r="P9" s="74">
        <v>6.0429999999999993</v>
      </c>
      <c r="Q9" s="75">
        <v>8.4726129405924222E-2</v>
      </c>
      <c r="R9" s="75">
        <v>4.1039218930994541E-2</v>
      </c>
      <c r="S9" s="77">
        <v>0.12576534833691877</v>
      </c>
      <c r="T9" s="73">
        <v>25</v>
      </c>
      <c r="U9" s="78">
        <v>0.49</v>
      </c>
      <c r="V9" s="78">
        <v>6.1165000000000003</v>
      </c>
      <c r="W9" s="78">
        <v>0.61349999999999993</v>
      </c>
      <c r="X9" s="78">
        <v>0.61349999999999993</v>
      </c>
      <c r="Y9" s="78">
        <v>5.6265000000000001</v>
      </c>
      <c r="Z9" s="19">
        <v>8.7276692342117587E-2</v>
      </c>
      <c r="AA9" s="19">
        <v>0.11447354420638019</v>
      </c>
      <c r="AB9" s="79">
        <v>0.20175023654849777</v>
      </c>
    </row>
    <row r="10" spans="1:28">
      <c r="B10" s="65">
        <v>26</v>
      </c>
      <c r="C10" s="66">
        <v>0.499</v>
      </c>
      <c r="D10" s="66">
        <v>5.8460000000000001</v>
      </c>
      <c r="E10" s="66">
        <v>1.0569999999999999</v>
      </c>
      <c r="F10" s="66">
        <v>1.0569999999999999</v>
      </c>
      <c r="G10" s="66">
        <v>5.3470000000000004</v>
      </c>
      <c r="H10" s="67">
        <v>9.3323358892837091E-2</v>
      </c>
      <c r="I10" s="67">
        <v>0.19768094258462687</v>
      </c>
      <c r="J10" s="68">
        <v>0.29100430147746398</v>
      </c>
      <c r="K10" s="65">
        <v>26</v>
      </c>
      <c r="L10" s="66">
        <v>0.55000000000000004</v>
      </c>
      <c r="M10" s="66">
        <v>6.7450000000000001</v>
      </c>
      <c r="N10" s="69">
        <v>0.26800000000000002</v>
      </c>
      <c r="O10" s="66">
        <v>0.26800000000000002</v>
      </c>
      <c r="P10" s="66">
        <v>6.1950000000000003</v>
      </c>
      <c r="Q10" s="67">
        <v>8.8781275221953185E-2</v>
      </c>
      <c r="R10" s="67">
        <v>4.3260694108151733E-2</v>
      </c>
      <c r="S10" s="68">
        <v>0.13204196933010492</v>
      </c>
      <c r="T10" s="65">
        <v>26</v>
      </c>
      <c r="U10" s="70">
        <v>0.52449999999999997</v>
      </c>
      <c r="V10" s="70">
        <v>6.2955000000000005</v>
      </c>
      <c r="W10" s="70">
        <v>0.66249999999999998</v>
      </c>
      <c r="X10" s="70">
        <v>0.66249999999999998</v>
      </c>
      <c r="Y10" s="70">
        <v>5.7710000000000008</v>
      </c>
      <c r="Z10" s="71">
        <v>9.1052317057395138E-2</v>
      </c>
      <c r="AA10" s="71">
        <v>0.1204708183463893</v>
      </c>
      <c r="AB10" s="72">
        <v>0.21152313540378445</v>
      </c>
    </row>
    <row r="11" spans="1:28">
      <c r="B11" s="73">
        <v>27</v>
      </c>
      <c r="C11" s="74">
        <v>0.52600000000000002</v>
      </c>
      <c r="D11" s="74">
        <v>6.0170000000000003</v>
      </c>
      <c r="E11" s="74">
        <v>1.133</v>
      </c>
      <c r="F11" s="74">
        <v>1.133</v>
      </c>
      <c r="G11" s="74">
        <v>5.4910000000000005</v>
      </c>
      <c r="H11" s="75">
        <v>9.5793116008013102E-2</v>
      </c>
      <c r="I11" s="75">
        <v>0.20633764341649971</v>
      </c>
      <c r="J11" s="77">
        <v>0.30213075942451284</v>
      </c>
      <c r="K11" s="73">
        <v>27</v>
      </c>
      <c r="L11" s="74">
        <v>0.58599999999999997</v>
      </c>
      <c r="M11" s="74">
        <v>6.94</v>
      </c>
      <c r="N11" s="76">
        <v>0.28799999999999998</v>
      </c>
      <c r="O11" s="74">
        <v>0.28799999999999998</v>
      </c>
      <c r="P11" s="74">
        <v>6.3540000000000001</v>
      </c>
      <c r="Q11" s="75">
        <v>9.2225369845766444E-2</v>
      </c>
      <c r="R11" s="75">
        <v>4.5325779036827191E-2</v>
      </c>
      <c r="S11" s="77">
        <v>0.13755114888259362</v>
      </c>
      <c r="T11" s="73">
        <v>27</v>
      </c>
      <c r="U11" s="78">
        <v>0.55600000000000005</v>
      </c>
      <c r="V11" s="78">
        <v>6.4785000000000004</v>
      </c>
      <c r="W11" s="78">
        <v>0.71050000000000002</v>
      </c>
      <c r="X11" s="78">
        <v>0.71050000000000002</v>
      </c>
      <c r="Y11" s="78">
        <v>5.9225000000000003</v>
      </c>
      <c r="Z11" s="19">
        <v>9.400924292688978E-2</v>
      </c>
      <c r="AA11" s="19">
        <v>0.12583171122666345</v>
      </c>
      <c r="AB11" s="79">
        <v>0.21984095415355323</v>
      </c>
    </row>
    <row r="12" spans="1:28">
      <c r="B12" s="65">
        <v>28</v>
      </c>
      <c r="C12" s="66">
        <v>0.55200000000000005</v>
      </c>
      <c r="D12" s="66">
        <v>6.1920000000000002</v>
      </c>
      <c r="E12" s="66">
        <v>1.2070000000000001</v>
      </c>
      <c r="F12" s="66">
        <v>1.2070000000000001</v>
      </c>
      <c r="G12" s="66">
        <v>5.6400000000000006</v>
      </c>
      <c r="H12" s="67">
        <v>9.7872340425531917E-2</v>
      </c>
      <c r="I12" s="67">
        <v>0.21400709219858155</v>
      </c>
      <c r="J12" s="68">
        <v>0.31187943262411344</v>
      </c>
      <c r="K12" s="65">
        <v>28</v>
      </c>
      <c r="L12" s="66">
        <v>0.621</v>
      </c>
      <c r="M12" s="66">
        <v>7.1379999999999999</v>
      </c>
      <c r="N12" s="69">
        <v>0.308</v>
      </c>
      <c r="O12" s="66">
        <v>0.308</v>
      </c>
      <c r="P12" s="66">
        <v>6.5169999999999995</v>
      </c>
      <c r="Q12" s="67">
        <v>9.5289243516955668E-2</v>
      </c>
      <c r="R12" s="67">
        <v>4.7261009667024706E-2</v>
      </c>
      <c r="S12" s="68">
        <v>0.14255025318398037</v>
      </c>
      <c r="T12" s="65">
        <v>28</v>
      </c>
      <c r="U12" s="70">
        <v>0.58650000000000002</v>
      </c>
      <c r="V12" s="70">
        <v>6.665</v>
      </c>
      <c r="W12" s="70">
        <v>0.75750000000000006</v>
      </c>
      <c r="X12" s="70">
        <v>0.75750000000000006</v>
      </c>
      <c r="Y12" s="70">
        <v>6.0785</v>
      </c>
      <c r="Z12" s="71">
        <v>9.6580791971243793E-2</v>
      </c>
      <c r="AA12" s="71">
        <v>0.13063405093280311</v>
      </c>
      <c r="AB12" s="72">
        <v>0.22721484290404692</v>
      </c>
    </row>
    <row r="13" spans="1:28">
      <c r="B13" s="73">
        <v>29</v>
      </c>
      <c r="C13" s="74">
        <v>0.57499999999999996</v>
      </c>
      <c r="D13" s="74">
        <v>6.3710000000000004</v>
      </c>
      <c r="E13" s="74">
        <v>1.28</v>
      </c>
      <c r="F13" s="74">
        <v>1.28</v>
      </c>
      <c r="G13" s="74">
        <v>5.7960000000000003</v>
      </c>
      <c r="H13" s="75">
        <v>9.9206349206349201E-2</v>
      </c>
      <c r="I13" s="75">
        <v>0.22084195997239475</v>
      </c>
      <c r="J13" s="77">
        <v>0.32004830917874394</v>
      </c>
      <c r="K13" s="73">
        <v>29</v>
      </c>
      <c r="L13" s="74">
        <v>0.65400000000000003</v>
      </c>
      <c r="M13" s="74">
        <v>7.3410000000000002</v>
      </c>
      <c r="N13" s="76">
        <v>0.32800000000000001</v>
      </c>
      <c r="O13" s="74">
        <v>0.32800000000000001</v>
      </c>
      <c r="P13" s="74">
        <v>6.6870000000000003</v>
      </c>
      <c r="Q13" s="75">
        <v>9.7801704800358907E-2</v>
      </c>
      <c r="R13" s="75">
        <v>4.9050396291311499E-2</v>
      </c>
      <c r="S13" s="77">
        <v>0.14685210109167041</v>
      </c>
      <c r="T13" s="73">
        <v>29</v>
      </c>
      <c r="U13" s="78">
        <v>0.61450000000000005</v>
      </c>
      <c r="V13" s="78">
        <v>6.8559999999999999</v>
      </c>
      <c r="W13" s="78">
        <v>0.80400000000000005</v>
      </c>
      <c r="X13" s="78">
        <v>0.80400000000000005</v>
      </c>
      <c r="Y13" s="78">
        <v>6.2415000000000003</v>
      </c>
      <c r="Z13" s="19">
        <v>9.8504027003354061E-2</v>
      </c>
      <c r="AA13" s="19">
        <v>0.13494617813185311</v>
      </c>
      <c r="AB13" s="79">
        <v>0.23345020513520717</v>
      </c>
    </row>
    <row r="14" spans="1:28">
      <c r="B14" s="65">
        <v>30</v>
      </c>
      <c r="C14" s="66">
        <v>0.59699999999999998</v>
      </c>
      <c r="D14" s="66">
        <v>6.5549999999999997</v>
      </c>
      <c r="E14" s="66">
        <v>1.3520000000000001</v>
      </c>
      <c r="F14" s="66">
        <v>1.3520000000000001</v>
      </c>
      <c r="G14" s="66">
        <v>5.9580000000000002</v>
      </c>
      <c r="H14" s="67">
        <v>0.10020140986908357</v>
      </c>
      <c r="I14" s="67">
        <v>0.22692178583417255</v>
      </c>
      <c r="J14" s="68">
        <v>0.3271231957032561</v>
      </c>
      <c r="K14" s="65">
        <v>30</v>
      </c>
      <c r="L14" s="66">
        <v>0.68500000000000005</v>
      </c>
      <c r="M14" s="66">
        <v>7.5469999999999997</v>
      </c>
      <c r="N14" s="69">
        <v>0.34699999999999998</v>
      </c>
      <c r="O14" s="66">
        <v>0.34699999999999998</v>
      </c>
      <c r="P14" s="66">
        <v>6.8620000000000001</v>
      </c>
      <c r="Q14" s="67">
        <v>9.982512387059167E-2</v>
      </c>
      <c r="R14" s="67">
        <v>5.0568347420577087E-2</v>
      </c>
      <c r="S14" s="68">
        <v>0.15039347129116876</v>
      </c>
      <c r="T14" s="65">
        <v>30</v>
      </c>
      <c r="U14" s="70">
        <v>0.64100000000000001</v>
      </c>
      <c r="V14" s="70">
        <v>7.0510000000000002</v>
      </c>
      <c r="W14" s="70">
        <v>0.84950000000000003</v>
      </c>
      <c r="X14" s="70">
        <v>0.84950000000000003</v>
      </c>
      <c r="Y14" s="70">
        <v>6.41</v>
      </c>
      <c r="Z14" s="71">
        <v>0.10001326686983762</v>
      </c>
      <c r="AA14" s="71">
        <v>0.13874506662737482</v>
      </c>
      <c r="AB14" s="72">
        <v>0.23875833349721243</v>
      </c>
    </row>
    <row r="15" spans="1:28">
      <c r="B15" s="73">
        <v>31</v>
      </c>
      <c r="C15" s="74">
        <v>0.61699999999999999</v>
      </c>
      <c r="D15" s="74">
        <v>6.7430000000000003</v>
      </c>
      <c r="E15" s="74">
        <v>1.423</v>
      </c>
      <c r="F15" s="74">
        <v>1.423</v>
      </c>
      <c r="G15" s="74">
        <v>6.1260000000000003</v>
      </c>
      <c r="H15" s="75">
        <v>0.10071825008161932</v>
      </c>
      <c r="I15" s="75">
        <v>0.23228860594188702</v>
      </c>
      <c r="J15" s="77">
        <v>0.33300685602350633</v>
      </c>
      <c r="K15" s="73">
        <v>31</v>
      </c>
      <c r="L15" s="74">
        <v>0.71299999999999997</v>
      </c>
      <c r="M15" s="74">
        <v>7.758</v>
      </c>
      <c r="N15" s="76">
        <v>0.36599999999999999</v>
      </c>
      <c r="O15" s="74">
        <v>0.36599999999999999</v>
      </c>
      <c r="P15" s="74">
        <v>7.0449999999999999</v>
      </c>
      <c r="Q15" s="75">
        <v>0.10120652945351312</v>
      </c>
      <c r="R15" s="75">
        <v>5.1951738821859474E-2</v>
      </c>
      <c r="S15" s="77">
        <v>0.1531582682753726</v>
      </c>
      <c r="T15" s="73">
        <v>31</v>
      </c>
      <c r="U15" s="78">
        <v>0.66500000000000004</v>
      </c>
      <c r="V15" s="78">
        <v>7.2505000000000006</v>
      </c>
      <c r="W15" s="78">
        <v>0.89450000000000007</v>
      </c>
      <c r="X15" s="78">
        <v>0.89450000000000007</v>
      </c>
      <c r="Y15" s="78">
        <v>6.5854999999999997</v>
      </c>
      <c r="Z15" s="19">
        <v>0.10096238976756622</v>
      </c>
      <c r="AA15" s="19">
        <v>0.14212017238187324</v>
      </c>
      <c r="AB15" s="79">
        <v>0.24308256214943946</v>
      </c>
    </row>
    <row r="16" spans="1:28">
      <c r="B16" s="65">
        <v>32</v>
      </c>
      <c r="C16" s="66">
        <v>0.63700000000000001</v>
      </c>
      <c r="D16" s="66">
        <v>6.9370000000000003</v>
      </c>
      <c r="E16" s="66">
        <v>1.494</v>
      </c>
      <c r="F16" s="66">
        <v>1.494</v>
      </c>
      <c r="G16" s="66">
        <v>6.3000000000000007</v>
      </c>
      <c r="H16" s="67">
        <v>0.1011111111111111</v>
      </c>
      <c r="I16" s="67">
        <v>0.23714285714285713</v>
      </c>
      <c r="J16" s="68">
        <v>0.33825396825396825</v>
      </c>
      <c r="K16" s="65">
        <v>32</v>
      </c>
      <c r="L16" s="66">
        <v>0.73899999999999999</v>
      </c>
      <c r="M16" s="66">
        <v>7.9740000000000002</v>
      </c>
      <c r="N16" s="69">
        <v>0.38500000000000001</v>
      </c>
      <c r="O16" s="66">
        <v>0.38500000000000001</v>
      </c>
      <c r="P16" s="66">
        <v>7.2350000000000003</v>
      </c>
      <c r="Q16" s="67">
        <v>0.10214236351071181</v>
      </c>
      <c r="R16" s="67">
        <v>5.3213545266067724E-2</v>
      </c>
      <c r="S16" s="68">
        <v>0.15535590877677952</v>
      </c>
      <c r="T16" s="65">
        <v>32</v>
      </c>
      <c r="U16" s="70">
        <v>0.68799999999999994</v>
      </c>
      <c r="V16" s="70">
        <v>7.4555000000000007</v>
      </c>
      <c r="W16" s="70">
        <v>0.9395</v>
      </c>
      <c r="X16" s="70">
        <v>0.9395</v>
      </c>
      <c r="Y16" s="70">
        <v>6.7675000000000001</v>
      </c>
      <c r="Z16" s="71">
        <v>0.10162673731091146</v>
      </c>
      <c r="AA16" s="71">
        <v>0.14517820120446243</v>
      </c>
      <c r="AB16" s="72">
        <v>0.24680493851537388</v>
      </c>
    </row>
    <row r="17" spans="2:28">
      <c r="B17" s="73">
        <v>33</v>
      </c>
      <c r="C17" s="74">
        <v>0.65400000000000003</v>
      </c>
      <c r="D17" s="74">
        <v>7.1349999999999998</v>
      </c>
      <c r="E17" s="74">
        <v>1.5660000000000001</v>
      </c>
      <c r="F17" s="74">
        <v>1.5660000000000001</v>
      </c>
      <c r="G17" s="74">
        <v>6.4809999999999999</v>
      </c>
      <c r="H17" s="75">
        <v>0.10091035334053387</v>
      </c>
      <c r="I17" s="75">
        <v>0.24162937818237928</v>
      </c>
      <c r="J17" s="77">
        <v>0.34253973152291317</v>
      </c>
      <c r="K17" s="73">
        <v>33</v>
      </c>
      <c r="L17" s="74">
        <v>0.76200000000000001</v>
      </c>
      <c r="M17" s="74">
        <v>8.1940000000000008</v>
      </c>
      <c r="N17" s="76">
        <v>0.40200000000000002</v>
      </c>
      <c r="O17" s="74">
        <v>0.40200000000000002</v>
      </c>
      <c r="P17" s="74">
        <v>7.4320000000000004</v>
      </c>
      <c r="Q17" s="75">
        <v>0.10252960172228202</v>
      </c>
      <c r="R17" s="75">
        <v>5.4090419806243274E-2</v>
      </c>
      <c r="S17" s="77">
        <v>0.15662002152852531</v>
      </c>
      <c r="T17" s="73">
        <v>33</v>
      </c>
      <c r="U17" s="78">
        <v>0.70799999999999996</v>
      </c>
      <c r="V17" s="78">
        <v>7.6645000000000003</v>
      </c>
      <c r="W17" s="78">
        <v>0.98399999999999999</v>
      </c>
      <c r="X17" s="78">
        <v>0.98399999999999999</v>
      </c>
      <c r="Y17" s="78">
        <v>6.9565000000000001</v>
      </c>
      <c r="Z17" s="19">
        <v>0.10171997753140795</v>
      </c>
      <c r="AA17" s="19">
        <v>0.14785989899431129</v>
      </c>
      <c r="AB17" s="79">
        <v>0.24957987652571922</v>
      </c>
    </row>
    <row r="18" spans="2:28">
      <c r="B18" s="65">
        <v>34</v>
      </c>
      <c r="C18" s="66">
        <v>0.67</v>
      </c>
      <c r="D18" s="66">
        <v>7.3390000000000004</v>
      </c>
      <c r="E18" s="66">
        <v>1.637</v>
      </c>
      <c r="F18" s="66">
        <v>1.637</v>
      </c>
      <c r="G18" s="66">
        <v>6.6690000000000005</v>
      </c>
      <c r="H18" s="67">
        <v>0.10046483730694257</v>
      </c>
      <c r="I18" s="67">
        <v>0.2454640875693507</v>
      </c>
      <c r="J18" s="68">
        <v>0.34592892487629329</v>
      </c>
      <c r="K18" s="65">
        <v>34</v>
      </c>
      <c r="L18" s="66">
        <v>0.78200000000000003</v>
      </c>
      <c r="M18" s="66">
        <v>8.4190000000000005</v>
      </c>
      <c r="N18" s="69">
        <v>0.42</v>
      </c>
      <c r="O18" s="66">
        <v>0.42</v>
      </c>
      <c r="P18" s="66">
        <v>7.6370000000000005</v>
      </c>
      <c r="Q18" s="67">
        <v>0.1023962288856881</v>
      </c>
      <c r="R18" s="67">
        <v>5.4995417048579277E-2</v>
      </c>
      <c r="S18" s="68">
        <v>0.15739164593426738</v>
      </c>
      <c r="T18" s="65">
        <v>34</v>
      </c>
      <c r="U18" s="70">
        <v>0.72599999999999998</v>
      </c>
      <c r="V18" s="70">
        <v>7.8790000000000004</v>
      </c>
      <c r="W18" s="70">
        <v>1.0285</v>
      </c>
      <c r="X18" s="70">
        <v>1.0285</v>
      </c>
      <c r="Y18" s="70">
        <v>7.1530000000000005</v>
      </c>
      <c r="Z18" s="71">
        <v>0.10143053309631533</v>
      </c>
      <c r="AA18" s="71">
        <v>0.15022975230896499</v>
      </c>
      <c r="AB18" s="72">
        <v>0.25166028540528035</v>
      </c>
    </row>
    <row r="19" spans="2:28">
      <c r="B19" s="73">
        <v>35</v>
      </c>
      <c r="C19" s="74">
        <v>0.68400000000000005</v>
      </c>
      <c r="D19" s="74">
        <v>7.5469999999999997</v>
      </c>
      <c r="E19" s="74">
        <v>1.7090000000000001</v>
      </c>
      <c r="F19" s="74">
        <v>1.7090000000000001</v>
      </c>
      <c r="G19" s="74">
        <v>6.8629999999999995</v>
      </c>
      <c r="H19" s="75">
        <v>9.9664869590558078E-2</v>
      </c>
      <c r="I19" s="75">
        <v>0.24901646510272479</v>
      </c>
      <c r="J19" s="77">
        <v>0.34868133469328288</v>
      </c>
      <c r="K19" s="73">
        <v>35</v>
      </c>
      <c r="L19" s="74">
        <v>0.79800000000000004</v>
      </c>
      <c r="M19" s="74">
        <v>8.6470000000000002</v>
      </c>
      <c r="N19" s="76">
        <v>0.437</v>
      </c>
      <c r="O19" s="74">
        <v>0.437</v>
      </c>
      <c r="P19" s="74">
        <v>7.8490000000000002</v>
      </c>
      <c r="Q19" s="75">
        <v>0.10166900242069053</v>
      </c>
      <c r="R19" s="75">
        <v>5.5675882277997198E-2</v>
      </c>
      <c r="S19" s="77">
        <v>0.15734488469868774</v>
      </c>
      <c r="T19" s="73">
        <v>35</v>
      </c>
      <c r="U19" s="78">
        <v>0.7410000000000001</v>
      </c>
      <c r="V19" s="78">
        <v>8.0969999999999995</v>
      </c>
      <c r="W19" s="78">
        <v>1.073</v>
      </c>
      <c r="X19" s="78">
        <v>1.073</v>
      </c>
      <c r="Y19" s="78">
        <v>7.3559999999999999</v>
      </c>
      <c r="Z19" s="19">
        <v>0.10066693600562431</v>
      </c>
      <c r="AA19" s="19">
        <v>0.15234617369036099</v>
      </c>
      <c r="AB19" s="79">
        <v>0.25301310969598534</v>
      </c>
    </row>
    <row r="20" spans="2:28">
      <c r="B20" s="65">
        <v>36</v>
      </c>
      <c r="C20" s="66">
        <v>0.69499999999999995</v>
      </c>
      <c r="D20" s="66">
        <v>7.7590000000000003</v>
      </c>
      <c r="E20" s="66">
        <v>1.7809999999999999</v>
      </c>
      <c r="F20" s="66">
        <v>1.7809999999999999</v>
      </c>
      <c r="G20" s="66">
        <v>7.0640000000000001</v>
      </c>
      <c r="H20" s="67">
        <v>9.838618346545866E-2</v>
      </c>
      <c r="I20" s="67">
        <v>0.25212344280860699</v>
      </c>
      <c r="J20" s="68">
        <v>0.35050962627406568</v>
      </c>
      <c r="K20" s="65">
        <v>36</v>
      </c>
      <c r="L20" s="66">
        <v>0.81</v>
      </c>
      <c r="M20" s="66">
        <v>8.8800000000000008</v>
      </c>
      <c r="N20" s="69">
        <v>0.45300000000000001</v>
      </c>
      <c r="O20" s="66">
        <v>0.45300000000000001</v>
      </c>
      <c r="P20" s="66">
        <v>8.07</v>
      </c>
      <c r="Q20" s="67">
        <v>0.10037174721189591</v>
      </c>
      <c r="R20" s="67">
        <v>5.6133828996282525E-2</v>
      </c>
      <c r="S20" s="68">
        <v>0.15650557620817845</v>
      </c>
      <c r="T20" s="65">
        <v>36</v>
      </c>
      <c r="U20" s="70">
        <v>0.75249999999999995</v>
      </c>
      <c r="V20" s="70">
        <v>8.3195000000000014</v>
      </c>
      <c r="W20" s="70">
        <v>1.117</v>
      </c>
      <c r="X20" s="70">
        <v>1.117</v>
      </c>
      <c r="Y20" s="70">
        <v>7.5670000000000002</v>
      </c>
      <c r="Z20" s="71">
        <v>9.9378965338677294E-2</v>
      </c>
      <c r="AA20" s="71">
        <v>0.15412863590244474</v>
      </c>
      <c r="AB20" s="72">
        <v>0.25350760124112204</v>
      </c>
    </row>
    <row r="21" spans="2:28">
      <c r="B21" s="73">
        <v>37</v>
      </c>
      <c r="C21" s="74">
        <v>0.70099999999999996</v>
      </c>
      <c r="D21" s="74">
        <v>7.9740000000000002</v>
      </c>
      <c r="E21" s="74">
        <v>1.853</v>
      </c>
      <c r="F21" s="74">
        <v>1.853</v>
      </c>
      <c r="G21" s="74">
        <v>7.2730000000000006</v>
      </c>
      <c r="H21" s="75">
        <v>9.6383885604289829E-2</v>
      </c>
      <c r="I21" s="75">
        <v>0.25477794582703145</v>
      </c>
      <c r="J21" s="77">
        <v>0.35116183143132129</v>
      </c>
      <c r="K21" s="73">
        <v>37</v>
      </c>
      <c r="L21" s="74">
        <v>0.81599999999999995</v>
      </c>
      <c r="M21" s="74">
        <v>9.1150000000000002</v>
      </c>
      <c r="N21" s="76">
        <v>0.46899999999999997</v>
      </c>
      <c r="O21" s="74">
        <v>0.46899999999999997</v>
      </c>
      <c r="P21" s="74">
        <v>8.2989999999999995</v>
      </c>
      <c r="Q21" s="75">
        <v>9.8325099409567421E-2</v>
      </c>
      <c r="R21" s="75">
        <v>5.6512832871430295E-2</v>
      </c>
      <c r="S21" s="77">
        <v>0.15483793228099771</v>
      </c>
      <c r="T21" s="73">
        <v>37</v>
      </c>
      <c r="U21" s="78">
        <v>0.75849999999999995</v>
      </c>
      <c r="V21" s="78">
        <v>8.5444999999999993</v>
      </c>
      <c r="W21" s="78">
        <v>1.161</v>
      </c>
      <c r="X21" s="78">
        <v>1.161</v>
      </c>
      <c r="Y21" s="78">
        <v>7.7859999999999996</v>
      </c>
      <c r="Z21" s="19">
        <v>9.7354492506928625E-2</v>
      </c>
      <c r="AA21" s="19">
        <v>0.15564538934923086</v>
      </c>
      <c r="AB21" s="79">
        <v>0.25299988185615951</v>
      </c>
    </row>
    <row r="22" spans="2:28">
      <c r="B22" s="65">
        <v>38</v>
      </c>
      <c r="C22" s="66">
        <v>0.70099999999999996</v>
      </c>
      <c r="D22" s="66">
        <v>8.1920000000000002</v>
      </c>
      <c r="E22" s="66">
        <v>1.925</v>
      </c>
      <c r="F22" s="66">
        <v>1.925</v>
      </c>
      <c r="G22" s="66">
        <v>7.4910000000000005</v>
      </c>
      <c r="H22" s="67">
        <v>9.3578961420371101E-2</v>
      </c>
      <c r="I22" s="67">
        <v>0.25697503671071953</v>
      </c>
      <c r="J22" s="68">
        <v>0.35055399813109062</v>
      </c>
      <c r="K22" s="65">
        <v>38</v>
      </c>
      <c r="L22" s="66">
        <v>0.81599999999999995</v>
      </c>
      <c r="M22" s="66">
        <v>9.3539999999999992</v>
      </c>
      <c r="N22" s="69">
        <v>0.48299999999999998</v>
      </c>
      <c r="O22" s="66">
        <v>0.48299999999999998</v>
      </c>
      <c r="P22" s="66">
        <v>8.5379999999999985</v>
      </c>
      <c r="Q22" s="67">
        <v>9.5572733661278997E-2</v>
      </c>
      <c r="R22" s="67">
        <v>5.6570625439212936E-2</v>
      </c>
      <c r="S22" s="68">
        <v>0.15214335910049193</v>
      </c>
      <c r="T22" s="65">
        <v>38</v>
      </c>
      <c r="U22" s="70">
        <v>0.75849999999999995</v>
      </c>
      <c r="V22" s="70">
        <v>8.7729999999999997</v>
      </c>
      <c r="W22" s="70">
        <v>1.204</v>
      </c>
      <c r="X22" s="70">
        <v>1.204</v>
      </c>
      <c r="Y22" s="70">
        <v>8.0145</v>
      </c>
      <c r="Z22" s="71">
        <v>9.4575847540825042E-2</v>
      </c>
      <c r="AA22" s="71">
        <v>0.15677283107496623</v>
      </c>
      <c r="AB22" s="72">
        <v>0.25134867861579124</v>
      </c>
    </row>
    <row r="23" spans="2:28">
      <c r="B23" s="73">
        <v>39</v>
      </c>
      <c r="C23" s="74">
        <v>0.69599999999999995</v>
      </c>
      <c r="D23" s="74">
        <v>8.4139999999999997</v>
      </c>
      <c r="E23" s="74">
        <v>1.9970000000000001</v>
      </c>
      <c r="F23" s="74">
        <v>1.9970000000000001</v>
      </c>
      <c r="G23" s="74">
        <v>7.718</v>
      </c>
      <c r="H23" s="75">
        <v>9.0178802798652494E-2</v>
      </c>
      <c r="I23" s="75">
        <v>0.2587457890645245</v>
      </c>
      <c r="J23" s="77">
        <v>0.34892459186317698</v>
      </c>
      <c r="K23" s="73">
        <v>39</v>
      </c>
      <c r="L23" s="74">
        <v>0.81</v>
      </c>
      <c r="M23" s="74">
        <v>9.5960000000000001</v>
      </c>
      <c r="N23" s="76">
        <v>0.497</v>
      </c>
      <c r="O23" s="74">
        <v>0.497</v>
      </c>
      <c r="P23" s="74">
        <v>8.7859999999999996</v>
      </c>
      <c r="Q23" s="75">
        <v>9.2192123833371289E-2</v>
      </c>
      <c r="R23" s="75">
        <v>5.6567266105167317E-2</v>
      </c>
      <c r="S23" s="77">
        <v>0.1487593899385386</v>
      </c>
      <c r="T23" s="73">
        <v>39</v>
      </c>
      <c r="U23" s="78">
        <v>0.753</v>
      </c>
      <c r="V23" s="78">
        <v>9.004999999999999</v>
      </c>
      <c r="W23" s="78">
        <v>1.2470000000000001</v>
      </c>
      <c r="X23" s="78">
        <v>1.2470000000000001</v>
      </c>
      <c r="Y23" s="78">
        <v>8.2519999999999989</v>
      </c>
      <c r="Z23" s="19">
        <v>9.1185463316011892E-2</v>
      </c>
      <c r="AA23" s="19">
        <v>0.15765652758484591</v>
      </c>
      <c r="AB23" s="79">
        <v>0.24884199090085779</v>
      </c>
    </row>
    <row r="24" spans="2:28">
      <c r="B24" s="65">
        <v>40</v>
      </c>
      <c r="C24" s="66">
        <v>0.68799999999999994</v>
      </c>
      <c r="D24" s="66">
        <v>8.64</v>
      </c>
      <c r="E24" s="66">
        <v>2.069</v>
      </c>
      <c r="F24" s="66">
        <v>2.069</v>
      </c>
      <c r="G24" s="66">
        <v>7.9520000000000008</v>
      </c>
      <c r="H24" s="67">
        <v>8.6519114688128756E-2</v>
      </c>
      <c r="I24" s="67">
        <v>0.2601861167002012</v>
      </c>
      <c r="J24" s="68">
        <v>0.34670523138832998</v>
      </c>
      <c r="K24" s="65">
        <v>40</v>
      </c>
      <c r="L24" s="66">
        <v>0.79800000000000004</v>
      </c>
      <c r="M24" s="66">
        <v>9.8420000000000005</v>
      </c>
      <c r="N24" s="69">
        <v>0.51100000000000001</v>
      </c>
      <c r="O24" s="66">
        <v>0.51100000000000001</v>
      </c>
      <c r="P24" s="66">
        <v>9.0440000000000005</v>
      </c>
      <c r="Q24" s="67">
        <v>8.8235294117647065E-2</v>
      </c>
      <c r="R24" s="67">
        <v>5.6501547987616099E-2</v>
      </c>
      <c r="S24" s="68">
        <v>0.14473684210526316</v>
      </c>
      <c r="T24" s="65">
        <v>40</v>
      </c>
      <c r="U24" s="70">
        <v>0.74299999999999999</v>
      </c>
      <c r="V24" s="70">
        <v>9.2409999999999997</v>
      </c>
      <c r="W24" s="70">
        <v>1.29</v>
      </c>
      <c r="X24" s="70">
        <v>1.29</v>
      </c>
      <c r="Y24" s="70">
        <v>8.4980000000000011</v>
      </c>
      <c r="Z24" s="71">
        <v>8.7377204402887904E-2</v>
      </c>
      <c r="AA24" s="71">
        <v>0.15834383234390864</v>
      </c>
      <c r="AB24" s="72">
        <v>0.24572103674679657</v>
      </c>
    </row>
    <row r="25" spans="2:28">
      <c r="B25" s="73">
        <v>41</v>
      </c>
      <c r="C25" s="74">
        <v>0.67700000000000005</v>
      </c>
      <c r="D25" s="74">
        <v>8.8729999999999993</v>
      </c>
      <c r="E25" s="74">
        <v>2.1429999999999998</v>
      </c>
      <c r="F25" s="74">
        <v>2.1429999999999998</v>
      </c>
      <c r="G25" s="74">
        <v>8.1959999999999997</v>
      </c>
      <c r="H25" s="75">
        <v>8.2601268911664236E-2</v>
      </c>
      <c r="I25" s="75">
        <v>0.26146900927281597</v>
      </c>
      <c r="J25" s="77">
        <v>0.34407027818448022</v>
      </c>
      <c r="K25" s="73">
        <v>41</v>
      </c>
      <c r="L25" s="74">
        <v>0.78300000000000003</v>
      </c>
      <c r="M25" s="74">
        <v>10.095000000000001</v>
      </c>
      <c r="N25" s="76">
        <v>0.52400000000000002</v>
      </c>
      <c r="O25" s="74">
        <v>0.52400000000000002</v>
      </c>
      <c r="P25" s="74">
        <v>9.3120000000000012</v>
      </c>
      <c r="Q25" s="75">
        <v>8.4085051546391745E-2</v>
      </c>
      <c r="R25" s="75">
        <v>5.6271477663230235E-2</v>
      </c>
      <c r="S25" s="77">
        <v>0.14035652920962199</v>
      </c>
      <c r="T25" s="73">
        <v>41</v>
      </c>
      <c r="U25" s="78">
        <v>0.73</v>
      </c>
      <c r="V25" s="78">
        <v>9.484</v>
      </c>
      <c r="W25" s="78">
        <v>1.3334999999999999</v>
      </c>
      <c r="X25" s="78">
        <v>1.3334999999999999</v>
      </c>
      <c r="Y25" s="78">
        <v>8.7540000000000013</v>
      </c>
      <c r="Z25" s="19">
        <v>8.334316022902799E-2</v>
      </c>
      <c r="AA25" s="19">
        <v>0.15887024346802309</v>
      </c>
      <c r="AB25" s="79">
        <v>0.24221340369705111</v>
      </c>
    </row>
    <row r="26" spans="2:28">
      <c r="B26" s="65">
        <v>42</v>
      </c>
      <c r="C26" s="66">
        <v>0.66500000000000004</v>
      </c>
      <c r="D26" s="66">
        <v>9.1140000000000008</v>
      </c>
      <c r="E26" s="66">
        <v>2.218</v>
      </c>
      <c r="F26" s="66">
        <v>2.218</v>
      </c>
      <c r="G26" s="66">
        <v>8.4490000000000016</v>
      </c>
      <c r="H26" s="67">
        <v>7.8707539353769659E-2</v>
      </c>
      <c r="I26" s="67">
        <v>0.26251627411527984</v>
      </c>
      <c r="J26" s="68">
        <v>0.34122381346904951</v>
      </c>
      <c r="K26" s="65">
        <v>42</v>
      </c>
      <c r="L26" s="66">
        <v>0.76500000000000001</v>
      </c>
      <c r="M26" s="66">
        <v>10.353999999999999</v>
      </c>
      <c r="N26" s="69">
        <v>0.53700000000000003</v>
      </c>
      <c r="O26" s="66">
        <v>0.53700000000000003</v>
      </c>
      <c r="P26" s="66">
        <v>9.5889999999999986</v>
      </c>
      <c r="Q26" s="67">
        <v>7.977891333820003E-2</v>
      </c>
      <c r="R26" s="67">
        <v>5.6001668578579633E-2</v>
      </c>
      <c r="S26" s="68">
        <v>0.13578058191677966</v>
      </c>
      <c r="T26" s="65">
        <v>42</v>
      </c>
      <c r="U26" s="70">
        <v>0.71500000000000008</v>
      </c>
      <c r="V26" s="70">
        <v>9.734</v>
      </c>
      <c r="W26" s="70">
        <v>1.3774999999999999</v>
      </c>
      <c r="X26" s="70">
        <v>1.3774999999999999</v>
      </c>
      <c r="Y26" s="70">
        <v>9.0190000000000001</v>
      </c>
      <c r="Z26" s="71">
        <v>7.9243226345984852E-2</v>
      </c>
      <c r="AA26" s="71">
        <v>0.15925897134692973</v>
      </c>
      <c r="AB26" s="72">
        <v>0.23850219769291459</v>
      </c>
    </row>
    <row r="27" spans="2:28">
      <c r="B27" s="73">
        <v>43</v>
      </c>
      <c r="C27" s="74">
        <v>0.65300000000000002</v>
      </c>
      <c r="D27" s="74">
        <v>9.3640000000000008</v>
      </c>
      <c r="E27" s="74">
        <v>2.294</v>
      </c>
      <c r="F27" s="74">
        <v>2.294</v>
      </c>
      <c r="G27" s="74">
        <v>8.7110000000000003</v>
      </c>
      <c r="H27" s="75">
        <v>7.4962690850648606E-2</v>
      </c>
      <c r="I27" s="75">
        <v>0.26334519572953735</v>
      </c>
      <c r="J27" s="77">
        <v>0.33830788658018596</v>
      </c>
      <c r="K27" s="73">
        <v>43</v>
      </c>
      <c r="L27" s="74">
        <v>0.745</v>
      </c>
      <c r="M27" s="74">
        <v>10.622</v>
      </c>
      <c r="N27" s="76">
        <v>0.54900000000000004</v>
      </c>
      <c r="O27" s="74">
        <v>0.54900000000000004</v>
      </c>
      <c r="P27" s="74">
        <v>9.8770000000000007</v>
      </c>
      <c r="Q27" s="75">
        <v>7.5427761466032195E-2</v>
      </c>
      <c r="R27" s="75">
        <v>5.5583679254834463E-2</v>
      </c>
      <c r="S27" s="77">
        <v>0.13101144072086665</v>
      </c>
      <c r="T27" s="73">
        <v>43</v>
      </c>
      <c r="U27" s="78">
        <v>0.69900000000000007</v>
      </c>
      <c r="V27" s="78">
        <v>9.9930000000000003</v>
      </c>
      <c r="W27" s="78">
        <v>1.4215</v>
      </c>
      <c r="X27" s="78">
        <v>1.4215</v>
      </c>
      <c r="Y27" s="78">
        <v>9.2940000000000005</v>
      </c>
      <c r="Z27" s="19">
        <v>7.51952261583404E-2</v>
      </c>
      <c r="AA27" s="19">
        <v>0.15946443749218592</v>
      </c>
      <c r="AB27" s="79">
        <v>0.23465966365052632</v>
      </c>
    </row>
    <row r="28" spans="2:28">
      <c r="B28" s="65">
        <v>44</v>
      </c>
      <c r="C28" s="66">
        <v>0.64100000000000001</v>
      </c>
      <c r="D28" s="66">
        <v>9.6219999999999999</v>
      </c>
      <c r="E28" s="66">
        <v>2.37</v>
      </c>
      <c r="F28" s="66">
        <v>2.37</v>
      </c>
      <c r="G28" s="66">
        <v>8.9809999999999999</v>
      </c>
      <c r="H28" s="67">
        <v>7.1372898340941987E-2</v>
      </c>
      <c r="I28" s="67">
        <v>0.26389043536354528</v>
      </c>
      <c r="J28" s="68">
        <v>0.33526333370448724</v>
      </c>
      <c r="K28" s="65">
        <v>44</v>
      </c>
      <c r="L28" s="66">
        <v>0.72299999999999998</v>
      </c>
      <c r="M28" s="66">
        <v>10.898</v>
      </c>
      <c r="N28" s="69">
        <v>0.56200000000000006</v>
      </c>
      <c r="O28" s="66">
        <v>0.56200000000000006</v>
      </c>
      <c r="P28" s="66">
        <v>10.174999999999999</v>
      </c>
      <c r="Q28" s="67">
        <v>7.1056511056511062E-2</v>
      </c>
      <c r="R28" s="67">
        <v>5.5233415233415246E-2</v>
      </c>
      <c r="S28" s="68">
        <v>0.1262899262899263</v>
      </c>
      <c r="T28" s="65">
        <v>44</v>
      </c>
      <c r="U28" s="70">
        <v>0.68199999999999994</v>
      </c>
      <c r="V28" s="70">
        <v>10.26</v>
      </c>
      <c r="W28" s="70">
        <v>1.4660000000000002</v>
      </c>
      <c r="X28" s="70">
        <v>1.4660000000000002</v>
      </c>
      <c r="Y28" s="70">
        <v>9.5779999999999994</v>
      </c>
      <c r="Z28" s="71">
        <v>7.1214704698726525E-2</v>
      </c>
      <c r="AA28" s="71">
        <v>0.15956192529848026</v>
      </c>
      <c r="AB28" s="72">
        <v>0.23077662999720677</v>
      </c>
    </row>
    <row r="29" spans="2:28">
      <c r="B29" s="73">
        <v>45</v>
      </c>
      <c r="C29" s="74">
        <v>0.627</v>
      </c>
      <c r="D29" s="74">
        <v>9.89</v>
      </c>
      <c r="E29" s="74">
        <v>2.4470000000000001</v>
      </c>
      <c r="F29" s="74">
        <v>2.4470000000000001</v>
      </c>
      <c r="G29" s="74">
        <v>9.2629999999999999</v>
      </c>
      <c r="H29" s="75">
        <v>6.7688653783871316E-2</v>
      </c>
      <c r="I29" s="75">
        <v>0.26416927561265252</v>
      </c>
      <c r="J29" s="77">
        <v>0.33185792939652381</v>
      </c>
      <c r="K29" s="73">
        <v>45</v>
      </c>
      <c r="L29" s="74">
        <v>0.69899999999999995</v>
      </c>
      <c r="M29" s="74">
        <v>11.183</v>
      </c>
      <c r="N29" s="76">
        <v>0.57399999999999995</v>
      </c>
      <c r="O29" s="74">
        <v>0.57399999999999995</v>
      </c>
      <c r="P29" s="74">
        <v>10.484</v>
      </c>
      <c r="Q29" s="75">
        <v>6.6673025562762306E-2</v>
      </c>
      <c r="R29" s="75">
        <v>5.475009538344143E-2</v>
      </c>
      <c r="S29" s="77">
        <v>0.12142312094620374</v>
      </c>
      <c r="T29" s="73">
        <v>45</v>
      </c>
      <c r="U29" s="78">
        <v>0.66300000000000003</v>
      </c>
      <c r="V29" s="78">
        <v>10.5365</v>
      </c>
      <c r="W29" s="78">
        <v>1.5105</v>
      </c>
      <c r="X29" s="78">
        <v>1.5105</v>
      </c>
      <c r="Y29" s="78">
        <v>9.8734999999999999</v>
      </c>
      <c r="Z29" s="19">
        <v>6.7180839673316811E-2</v>
      </c>
      <c r="AA29" s="19">
        <v>0.15945968549804698</v>
      </c>
      <c r="AB29" s="79">
        <v>0.22664052517136377</v>
      </c>
    </row>
    <row r="30" spans="2:28">
      <c r="B30" s="65">
        <v>46</v>
      </c>
      <c r="C30" s="66">
        <v>0.61199999999999999</v>
      </c>
      <c r="D30" s="66">
        <v>10.167999999999999</v>
      </c>
      <c r="E30" s="66">
        <v>2.524</v>
      </c>
      <c r="F30" s="66">
        <v>2.524</v>
      </c>
      <c r="G30" s="66">
        <v>9.5559999999999992</v>
      </c>
      <c r="H30" s="67">
        <v>6.4043532858936797E-2</v>
      </c>
      <c r="I30" s="67">
        <v>0.26412724989535374</v>
      </c>
      <c r="J30" s="68">
        <v>0.32817078275429057</v>
      </c>
      <c r="K30" s="65">
        <v>46</v>
      </c>
      <c r="L30" s="66">
        <v>0.67300000000000004</v>
      </c>
      <c r="M30" s="66">
        <v>11.478</v>
      </c>
      <c r="N30" s="69">
        <v>0.58499999999999996</v>
      </c>
      <c r="O30" s="66">
        <v>0.58499999999999996</v>
      </c>
      <c r="P30" s="66">
        <v>10.805</v>
      </c>
      <c r="Q30" s="67">
        <v>6.2285978713558544E-2</v>
      </c>
      <c r="R30" s="67">
        <v>5.4141601110596946E-2</v>
      </c>
      <c r="S30" s="68">
        <v>0.1164275798241555</v>
      </c>
      <c r="T30" s="65">
        <v>46</v>
      </c>
      <c r="U30" s="70">
        <v>0.64250000000000007</v>
      </c>
      <c r="V30" s="70">
        <v>10.823</v>
      </c>
      <c r="W30" s="70">
        <v>1.5545</v>
      </c>
      <c r="X30" s="70">
        <v>1.5545</v>
      </c>
      <c r="Y30" s="70">
        <v>10.180499999999999</v>
      </c>
      <c r="Z30" s="71">
        <v>6.3164755786247667E-2</v>
      </c>
      <c r="AA30" s="71">
        <v>0.15913442550297535</v>
      </c>
      <c r="AB30" s="72">
        <v>0.22229918128922305</v>
      </c>
    </row>
    <row r="31" spans="2:28">
      <c r="B31" s="73">
        <v>47</v>
      </c>
      <c r="C31" s="74">
        <v>0.59399999999999997</v>
      </c>
      <c r="D31" s="74">
        <v>10.454000000000001</v>
      </c>
      <c r="E31" s="74">
        <v>2.6</v>
      </c>
      <c r="F31" s="74">
        <v>2.6</v>
      </c>
      <c r="G31" s="74">
        <v>9.8600000000000012</v>
      </c>
      <c r="H31" s="75">
        <v>6.0243407707910743E-2</v>
      </c>
      <c r="I31" s="75">
        <v>0.26369168356997968</v>
      </c>
      <c r="J31" s="77">
        <v>0.32393509127789044</v>
      </c>
      <c r="K31" s="73">
        <v>47</v>
      </c>
      <c r="L31" s="74">
        <v>0.64600000000000002</v>
      </c>
      <c r="M31" s="74">
        <v>11.781000000000001</v>
      </c>
      <c r="N31" s="76">
        <v>0.59699999999999998</v>
      </c>
      <c r="O31" s="74">
        <v>0.59699999999999998</v>
      </c>
      <c r="P31" s="74">
        <v>11.135</v>
      </c>
      <c r="Q31" s="75">
        <v>5.8015267175572524E-2</v>
      </c>
      <c r="R31" s="75">
        <v>5.3614728334081721E-2</v>
      </c>
      <c r="S31" s="77">
        <v>0.11162999550965425</v>
      </c>
      <c r="T31" s="73">
        <v>47</v>
      </c>
      <c r="U31" s="78">
        <v>0.62</v>
      </c>
      <c r="V31" s="78">
        <v>11.1175</v>
      </c>
      <c r="W31" s="78">
        <v>1.5985</v>
      </c>
      <c r="X31" s="78">
        <v>1.5985</v>
      </c>
      <c r="Y31" s="78">
        <v>10.4975</v>
      </c>
      <c r="Z31" s="19">
        <v>5.9129337441741633E-2</v>
      </c>
      <c r="AA31" s="19">
        <v>0.1586532059520307</v>
      </c>
      <c r="AB31" s="79">
        <v>0.21778254339377234</v>
      </c>
    </row>
    <row r="32" spans="2:28">
      <c r="B32" s="65">
        <v>48</v>
      </c>
      <c r="C32" s="66">
        <v>0.57299999999999995</v>
      </c>
      <c r="D32" s="66">
        <v>10.75</v>
      </c>
      <c r="E32" s="66">
        <v>2.6760000000000002</v>
      </c>
      <c r="F32" s="66">
        <v>2.6760000000000002</v>
      </c>
      <c r="G32" s="66">
        <v>10.177</v>
      </c>
      <c r="H32" s="67">
        <v>5.6303429301365823E-2</v>
      </c>
      <c r="I32" s="67">
        <v>0.26294585830794931</v>
      </c>
      <c r="J32" s="68">
        <v>0.31924928760931515</v>
      </c>
      <c r="K32" s="65">
        <v>48</v>
      </c>
      <c r="L32" s="66">
        <v>0.61499999999999999</v>
      </c>
      <c r="M32" s="66">
        <v>12.095000000000001</v>
      </c>
      <c r="N32" s="69">
        <v>0.60699999999999998</v>
      </c>
      <c r="O32" s="66">
        <v>0.60699999999999998</v>
      </c>
      <c r="P32" s="66">
        <v>11.48</v>
      </c>
      <c r="Q32" s="67">
        <v>5.3571428571428568E-2</v>
      </c>
      <c r="R32" s="67">
        <v>5.2874564459930308E-2</v>
      </c>
      <c r="S32" s="68">
        <v>0.10644599303135888</v>
      </c>
      <c r="T32" s="65">
        <v>48</v>
      </c>
      <c r="U32" s="70">
        <v>0.59399999999999997</v>
      </c>
      <c r="V32" s="70">
        <v>11.422499999999999</v>
      </c>
      <c r="W32" s="70">
        <v>1.6415000000000002</v>
      </c>
      <c r="X32" s="70">
        <v>1.6415000000000002</v>
      </c>
      <c r="Y32" s="70">
        <v>10.8285</v>
      </c>
      <c r="Z32" s="71">
        <v>5.4937428936397192E-2</v>
      </c>
      <c r="AA32" s="71">
        <v>0.15791021138393982</v>
      </c>
      <c r="AB32" s="72">
        <v>0.21284764032033701</v>
      </c>
    </row>
    <row r="33" spans="2:28">
      <c r="B33" s="73">
        <v>49</v>
      </c>
      <c r="C33" s="74">
        <v>0.54800000000000004</v>
      </c>
      <c r="D33" s="74">
        <v>11.055</v>
      </c>
      <c r="E33" s="74">
        <v>2.75</v>
      </c>
      <c r="F33" s="74">
        <v>2.75</v>
      </c>
      <c r="G33" s="74">
        <v>10.507</v>
      </c>
      <c r="H33" s="75">
        <v>5.2155705719996198E-2</v>
      </c>
      <c r="I33" s="75">
        <v>0.2617302750547254</v>
      </c>
      <c r="J33" s="77">
        <v>0.31388598077472163</v>
      </c>
      <c r="K33" s="73">
        <v>49</v>
      </c>
      <c r="L33" s="74">
        <v>0.58199999999999996</v>
      </c>
      <c r="M33" s="74">
        <v>12.417</v>
      </c>
      <c r="N33" s="76">
        <v>0.61699999999999999</v>
      </c>
      <c r="O33" s="74">
        <v>0.61699999999999999</v>
      </c>
      <c r="P33" s="74">
        <v>11.834999999999999</v>
      </c>
      <c r="Q33" s="75">
        <v>4.9176172370088721E-2</v>
      </c>
      <c r="R33" s="75">
        <v>5.2133502323616396E-2</v>
      </c>
      <c r="S33" s="77">
        <v>0.10130967469370511</v>
      </c>
      <c r="T33" s="73">
        <v>49</v>
      </c>
      <c r="U33" s="78">
        <v>0.56499999999999995</v>
      </c>
      <c r="V33" s="78">
        <v>11.736000000000001</v>
      </c>
      <c r="W33" s="78">
        <v>1.6835</v>
      </c>
      <c r="X33" s="78">
        <v>1.6835</v>
      </c>
      <c r="Y33" s="78">
        <v>11.170999999999999</v>
      </c>
      <c r="Z33" s="19">
        <v>5.0665939045042463E-2</v>
      </c>
      <c r="AA33" s="19">
        <v>0.15693188868917091</v>
      </c>
      <c r="AB33" s="79">
        <v>0.20759782773421337</v>
      </c>
    </row>
    <row r="34" spans="2:28">
      <c r="B34" s="65">
        <v>50</v>
      </c>
      <c r="C34" s="66">
        <v>0.51900000000000002</v>
      </c>
      <c r="D34" s="66">
        <v>11.37</v>
      </c>
      <c r="E34" s="66">
        <v>2.8210000000000002</v>
      </c>
      <c r="F34" s="66">
        <v>2.8210000000000002</v>
      </c>
      <c r="G34" s="66">
        <v>10.850999999999999</v>
      </c>
      <c r="H34" s="67">
        <v>4.7829693115841863E-2</v>
      </c>
      <c r="I34" s="67">
        <v>0.25997603907473971</v>
      </c>
      <c r="J34" s="68">
        <v>0.30780573219058155</v>
      </c>
      <c r="K34" s="65">
        <v>50</v>
      </c>
      <c r="L34" s="66">
        <v>0.54500000000000004</v>
      </c>
      <c r="M34" s="66">
        <v>12.75</v>
      </c>
      <c r="N34" s="69">
        <v>0.626</v>
      </c>
      <c r="O34" s="66">
        <v>0.626</v>
      </c>
      <c r="P34" s="66">
        <v>12.205</v>
      </c>
      <c r="Q34" s="67">
        <v>4.4653830397378129E-2</v>
      </c>
      <c r="R34" s="67">
        <v>5.1290454731667351E-2</v>
      </c>
      <c r="S34" s="68">
        <v>9.5944285129045487E-2</v>
      </c>
      <c r="T34" s="65">
        <v>50</v>
      </c>
      <c r="U34" s="70">
        <v>0.53200000000000003</v>
      </c>
      <c r="V34" s="70">
        <v>12.059999999999999</v>
      </c>
      <c r="W34" s="70">
        <v>1.7235</v>
      </c>
      <c r="X34" s="70">
        <v>1.7235</v>
      </c>
      <c r="Y34" s="70">
        <v>11.527999999999999</v>
      </c>
      <c r="Z34" s="71">
        <v>4.6241761756609996E-2</v>
      </c>
      <c r="AA34" s="71">
        <v>0.15563324690320351</v>
      </c>
      <c r="AB34" s="72">
        <v>0.2018750086598135</v>
      </c>
    </row>
    <row r="35" spans="2:28">
      <c r="B35" s="73">
        <v>51</v>
      </c>
      <c r="C35" s="74">
        <v>0.48499999999999999</v>
      </c>
      <c r="D35" s="74">
        <v>11.695</v>
      </c>
      <c r="E35" s="74">
        <v>2.891</v>
      </c>
      <c r="F35" s="74">
        <v>2.891</v>
      </c>
      <c r="G35" s="74">
        <v>11.21</v>
      </c>
      <c r="H35" s="75">
        <v>4.3264942016057087E-2</v>
      </c>
      <c r="I35" s="75">
        <v>0.25789473684210523</v>
      </c>
      <c r="J35" s="77">
        <v>0.30115967885816231</v>
      </c>
      <c r="K35" s="73">
        <v>51</v>
      </c>
      <c r="L35" s="74">
        <v>0.504</v>
      </c>
      <c r="M35" s="74">
        <v>13.092000000000001</v>
      </c>
      <c r="N35" s="76">
        <v>0.63300000000000001</v>
      </c>
      <c r="O35" s="74">
        <v>0.63300000000000001</v>
      </c>
      <c r="P35" s="74">
        <v>12.588000000000001</v>
      </c>
      <c r="Q35" s="75">
        <v>4.0038131553860816E-2</v>
      </c>
      <c r="R35" s="75">
        <v>5.0285986653956144E-2</v>
      </c>
      <c r="S35" s="77">
        <v>9.0324118207816967E-2</v>
      </c>
      <c r="T35" s="73">
        <v>51</v>
      </c>
      <c r="U35" s="78">
        <v>0.4945</v>
      </c>
      <c r="V35" s="78">
        <v>12.3935</v>
      </c>
      <c r="W35" s="78">
        <v>1.762</v>
      </c>
      <c r="X35" s="78">
        <v>1.762</v>
      </c>
      <c r="Y35" s="78">
        <v>11.899000000000001</v>
      </c>
      <c r="Z35" s="19">
        <v>4.1651536784958948E-2</v>
      </c>
      <c r="AA35" s="19">
        <v>0.1540903617480307</v>
      </c>
      <c r="AB35" s="79">
        <v>0.19574189853298962</v>
      </c>
    </row>
    <row r="36" spans="2:28">
      <c r="B36" s="65">
        <v>52</v>
      </c>
      <c r="C36" s="66">
        <v>0.44700000000000001</v>
      </c>
      <c r="D36" s="66">
        <v>12.032</v>
      </c>
      <c r="E36" s="66">
        <v>2.9590000000000001</v>
      </c>
      <c r="F36" s="66">
        <v>2.9590000000000001</v>
      </c>
      <c r="G36" s="66">
        <v>11.585000000000001</v>
      </c>
      <c r="H36" s="67">
        <v>3.8584376348726801E-2</v>
      </c>
      <c r="I36" s="67">
        <v>0.25541648683642643</v>
      </c>
      <c r="J36" s="68">
        <v>0.29400086318515323</v>
      </c>
      <c r="K36" s="65">
        <v>52</v>
      </c>
      <c r="L36" s="66">
        <v>0.45900000000000002</v>
      </c>
      <c r="M36" s="66">
        <v>13.445</v>
      </c>
      <c r="N36" s="69">
        <v>0.64</v>
      </c>
      <c r="O36" s="66">
        <v>0.64</v>
      </c>
      <c r="P36" s="66">
        <v>12.986000000000001</v>
      </c>
      <c r="Q36" s="67">
        <v>3.5345756969043587E-2</v>
      </c>
      <c r="R36" s="67">
        <v>4.9283844139842908E-2</v>
      </c>
      <c r="S36" s="68">
        <v>8.4629601108886496E-2</v>
      </c>
      <c r="T36" s="65">
        <v>52</v>
      </c>
      <c r="U36" s="70">
        <v>0.45300000000000001</v>
      </c>
      <c r="V36" s="70">
        <v>12.7385</v>
      </c>
      <c r="W36" s="70">
        <v>1.7995000000000001</v>
      </c>
      <c r="X36" s="70">
        <v>1.7995000000000001</v>
      </c>
      <c r="Y36" s="70">
        <v>12.285500000000001</v>
      </c>
      <c r="Z36" s="71">
        <v>3.6965066658885194E-2</v>
      </c>
      <c r="AA36" s="71">
        <v>0.15235016548813468</v>
      </c>
      <c r="AB36" s="72">
        <v>0.18931523214701987</v>
      </c>
    </row>
    <row r="37" spans="2:28">
      <c r="B37" s="73">
        <v>53</v>
      </c>
      <c r="C37" s="74">
        <v>0.40500000000000003</v>
      </c>
      <c r="D37" s="74">
        <v>12.381</v>
      </c>
      <c r="E37" s="74">
        <v>3.0249999999999999</v>
      </c>
      <c r="F37" s="74">
        <v>3.0249999999999999</v>
      </c>
      <c r="G37" s="74">
        <v>11.976000000000001</v>
      </c>
      <c r="H37" s="75">
        <v>3.3817635270541081E-2</v>
      </c>
      <c r="I37" s="75">
        <v>0.2525885103540414</v>
      </c>
      <c r="J37" s="77">
        <v>0.2864061456245825</v>
      </c>
      <c r="K37" s="73">
        <v>53</v>
      </c>
      <c r="L37" s="74">
        <v>0.41099999999999998</v>
      </c>
      <c r="M37" s="74">
        <v>13.808</v>
      </c>
      <c r="N37" s="76">
        <v>0.64500000000000002</v>
      </c>
      <c r="O37" s="74">
        <v>0.64500000000000002</v>
      </c>
      <c r="P37" s="74">
        <v>13.397</v>
      </c>
      <c r="Q37" s="75">
        <v>3.0678510114204669E-2</v>
      </c>
      <c r="R37" s="75">
        <v>4.8145107113532884E-2</v>
      </c>
      <c r="S37" s="77">
        <v>7.882361722773755E-2</v>
      </c>
      <c r="T37" s="73">
        <v>53</v>
      </c>
      <c r="U37" s="78">
        <v>0.40800000000000003</v>
      </c>
      <c r="V37" s="78">
        <v>13.0945</v>
      </c>
      <c r="W37" s="78">
        <v>1.835</v>
      </c>
      <c r="X37" s="78">
        <v>1.835</v>
      </c>
      <c r="Y37" s="78">
        <v>12.686500000000001</v>
      </c>
      <c r="Z37" s="19">
        <v>3.2248072692372877E-2</v>
      </c>
      <c r="AA37" s="19">
        <v>0.15036680873378713</v>
      </c>
      <c r="AB37" s="79">
        <v>0.18261488142616003</v>
      </c>
    </row>
    <row r="38" spans="2:28">
      <c r="B38" s="65">
        <v>54</v>
      </c>
      <c r="C38" s="66">
        <v>0.35899999999999999</v>
      </c>
      <c r="D38" s="66">
        <v>12.743</v>
      </c>
      <c r="E38" s="66">
        <v>3.0880000000000001</v>
      </c>
      <c r="F38" s="66">
        <v>3.0880000000000001</v>
      </c>
      <c r="G38" s="66">
        <v>12.384</v>
      </c>
      <c r="H38" s="67">
        <v>2.8989018087855294E-2</v>
      </c>
      <c r="I38" s="67">
        <v>0.24935400516795866</v>
      </c>
      <c r="J38" s="68">
        <v>0.27834302325581395</v>
      </c>
      <c r="K38" s="65">
        <v>54</v>
      </c>
      <c r="L38" s="66">
        <v>0.35799999999999998</v>
      </c>
      <c r="M38" s="66">
        <v>14.182</v>
      </c>
      <c r="N38" s="69">
        <v>0.65</v>
      </c>
      <c r="O38" s="66">
        <v>0.65</v>
      </c>
      <c r="P38" s="66">
        <v>13.824</v>
      </c>
      <c r="Q38" s="67">
        <v>2.5896990740740741E-2</v>
      </c>
      <c r="R38" s="67">
        <v>4.701967592592593E-2</v>
      </c>
      <c r="S38" s="68">
        <v>7.2916666666666671E-2</v>
      </c>
      <c r="T38" s="65">
        <v>54</v>
      </c>
      <c r="U38" s="70">
        <v>0.35849999999999999</v>
      </c>
      <c r="V38" s="70">
        <v>13.4625</v>
      </c>
      <c r="W38" s="70">
        <v>1.869</v>
      </c>
      <c r="X38" s="70">
        <v>1.869</v>
      </c>
      <c r="Y38" s="70">
        <v>13.103999999999999</v>
      </c>
      <c r="Z38" s="71">
        <v>2.744300441429802E-2</v>
      </c>
      <c r="AA38" s="71">
        <v>0.14818684054694231</v>
      </c>
      <c r="AB38" s="72">
        <v>0.17562984496124032</v>
      </c>
    </row>
    <row r="39" spans="2:28">
      <c r="B39" s="73">
        <v>55</v>
      </c>
      <c r="C39" s="74">
        <v>0.308</v>
      </c>
      <c r="D39" s="74">
        <v>13.118</v>
      </c>
      <c r="E39" s="74">
        <v>3.15</v>
      </c>
      <c r="F39" s="74">
        <v>3.15</v>
      </c>
      <c r="G39" s="74">
        <v>12.81</v>
      </c>
      <c r="H39" s="75">
        <v>2.4043715846994534E-2</v>
      </c>
      <c r="I39" s="75">
        <v>0.24590163934426229</v>
      </c>
      <c r="J39" s="77">
        <v>0.26994535519125684</v>
      </c>
      <c r="K39" s="73">
        <v>55</v>
      </c>
      <c r="L39" s="74">
        <v>0.30299999999999999</v>
      </c>
      <c r="M39" s="74">
        <v>14.569000000000001</v>
      </c>
      <c r="N39" s="76">
        <v>0.65300000000000002</v>
      </c>
      <c r="O39" s="74">
        <v>0.65300000000000002</v>
      </c>
      <c r="P39" s="74">
        <v>14.266</v>
      </c>
      <c r="Q39" s="75">
        <v>2.1239310248142435E-2</v>
      </c>
      <c r="R39" s="75">
        <v>4.577316697041918E-2</v>
      </c>
      <c r="S39" s="77">
        <v>6.7012477218561614E-2</v>
      </c>
      <c r="T39" s="73">
        <v>55</v>
      </c>
      <c r="U39" s="78">
        <v>0.30549999999999999</v>
      </c>
      <c r="V39" s="78">
        <v>13.843500000000001</v>
      </c>
      <c r="W39" s="78">
        <v>1.9015</v>
      </c>
      <c r="X39" s="78">
        <v>1.9015</v>
      </c>
      <c r="Y39" s="78">
        <v>13.538</v>
      </c>
      <c r="Z39" s="19">
        <v>2.2641513047568486E-2</v>
      </c>
      <c r="AA39" s="19">
        <v>0.14583740315734073</v>
      </c>
      <c r="AB39" s="79">
        <v>0.16847891620490923</v>
      </c>
    </row>
    <row r="40" spans="2:28">
      <c r="B40" s="65">
        <v>56</v>
      </c>
      <c r="C40" s="66">
        <v>0.254</v>
      </c>
      <c r="D40" s="66">
        <v>13.506</v>
      </c>
      <c r="E40" s="66">
        <v>3.2109999999999999</v>
      </c>
      <c r="F40" s="66">
        <v>3.2109999999999999</v>
      </c>
      <c r="G40" s="66">
        <v>13.252000000000001</v>
      </c>
      <c r="H40" s="67">
        <v>1.916691820102626E-2</v>
      </c>
      <c r="I40" s="67">
        <v>0.24230304859643825</v>
      </c>
      <c r="J40" s="68">
        <v>0.26146996679746454</v>
      </c>
      <c r="K40" s="65">
        <v>56</v>
      </c>
      <c r="L40" s="66">
        <v>0.245</v>
      </c>
      <c r="M40" s="66">
        <v>14.968999999999999</v>
      </c>
      <c r="N40" s="69">
        <v>0.65500000000000003</v>
      </c>
      <c r="O40" s="66">
        <v>0.65500000000000003</v>
      </c>
      <c r="P40" s="66">
        <v>14.724</v>
      </c>
      <c r="Q40" s="67">
        <v>1.6639500135832652E-2</v>
      </c>
      <c r="R40" s="67">
        <v>4.4485194240695462E-2</v>
      </c>
      <c r="S40" s="68">
        <v>6.1124694376528114E-2</v>
      </c>
      <c r="T40" s="65">
        <v>56</v>
      </c>
      <c r="U40" s="70">
        <v>0.2495</v>
      </c>
      <c r="V40" s="70">
        <v>14.237500000000001</v>
      </c>
      <c r="W40" s="70">
        <v>1.9329999999999998</v>
      </c>
      <c r="X40" s="70">
        <v>1.9329999999999998</v>
      </c>
      <c r="Y40" s="70">
        <v>13.988</v>
      </c>
      <c r="Z40" s="71">
        <v>1.7903209168429454E-2</v>
      </c>
      <c r="AA40" s="71">
        <v>0.14339412141856686</v>
      </c>
      <c r="AB40" s="72">
        <v>0.16129733058699633</v>
      </c>
    </row>
    <row r="41" spans="2:28">
      <c r="B41" s="73">
        <v>57</v>
      </c>
      <c r="C41" s="74">
        <v>0.19800000000000001</v>
      </c>
      <c r="D41" s="74">
        <v>13.911</v>
      </c>
      <c r="E41" s="74">
        <v>3.2709999999999999</v>
      </c>
      <c r="F41" s="74">
        <v>3.2709999999999999</v>
      </c>
      <c r="G41" s="74">
        <v>13.712999999999999</v>
      </c>
      <c r="H41" s="75">
        <v>1.4438853642528988E-2</v>
      </c>
      <c r="I41" s="75">
        <v>0.23853277911470869</v>
      </c>
      <c r="J41" s="77">
        <v>0.25297163275723766</v>
      </c>
      <c r="K41" s="73">
        <v>57</v>
      </c>
      <c r="L41" s="74">
        <v>0.187</v>
      </c>
      <c r="M41" s="74">
        <v>15.385</v>
      </c>
      <c r="N41" s="76">
        <v>0.65700000000000003</v>
      </c>
      <c r="O41" s="74">
        <v>0.65700000000000003</v>
      </c>
      <c r="P41" s="74">
        <v>15.198</v>
      </c>
      <c r="Q41" s="75">
        <v>1.2304250559284116E-2</v>
      </c>
      <c r="R41" s="75">
        <v>4.3229372285827086E-2</v>
      </c>
      <c r="S41" s="77">
        <v>5.5533622845111201E-2</v>
      </c>
      <c r="T41" s="73">
        <v>57</v>
      </c>
      <c r="U41" s="78">
        <v>0.1925</v>
      </c>
      <c r="V41" s="78">
        <v>14.648</v>
      </c>
      <c r="W41" s="78">
        <v>1.964</v>
      </c>
      <c r="X41" s="78">
        <v>1.964</v>
      </c>
      <c r="Y41" s="78">
        <v>14.455500000000001</v>
      </c>
      <c r="Z41" s="19">
        <v>1.3371552100906552E-2</v>
      </c>
      <c r="AA41" s="19">
        <v>0.14088107570026789</v>
      </c>
      <c r="AB41" s="79">
        <v>0.15425262780117444</v>
      </c>
    </row>
    <row r="42" spans="2:28">
      <c r="B42" s="65">
        <v>58</v>
      </c>
      <c r="C42" s="66">
        <v>0.14299999999999999</v>
      </c>
      <c r="D42" s="66">
        <v>14.332000000000001</v>
      </c>
      <c r="E42" s="66">
        <v>3.3330000000000002</v>
      </c>
      <c r="F42" s="66">
        <v>3.3330000000000002</v>
      </c>
      <c r="G42" s="66">
        <v>14.189</v>
      </c>
      <c r="H42" s="67">
        <v>1.0078229614490097E-2</v>
      </c>
      <c r="I42" s="67">
        <v>0.23490027486080767</v>
      </c>
      <c r="J42" s="68">
        <v>0.24497850447529776</v>
      </c>
      <c r="K42" s="65">
        <v>58</v>
      </c>
      <c r="L42" s="66">
        <v>0.13100000000000001</v>
      </c>
      <c r="M42" s="66">
        <v>15.819000000000001</v>
      </c>
      <c r="N42" s="69">
        <v>0.65800000000000003</v>
      </c>
      <c r="O42" s="66">
        <v>0.65800000000000003</v>
      </c>
      <c r="P42" s="66">
        <v>15.688000000000001</v>
      </c>
      <c r="Q42" s="67">
        <v>8.35033146353901E-3</v>
      </c>
      <c r="R42" s="67">
        <v>4.1942886282508925E-2</v>
      </c>
      <c r="S42" s="68">
        <v>5.0293217746047933E-2</v>
      </c>
      <c r="T42" s="65">
        <v>58</v>
      </c>
      <c r="U42" s="70">
        <v>0.13700000000000001</v>
      </c>
      <c r="V42" s="70">
        <v>15.075500000000002</v>
      </c>
      <c r="W42" s="70">
        <v>1.9955000000000001</v>
      </c>
      <c r="X42" s="70">
        <v>1.9955000000000001</v>
      </c>
      <c r="Y42" s="70">
        <v>14.938500000000001</v>
      </c>
      <c r="Z42" s="71">
        <v>9.2142805390145535E-3</v>
      </c>
      <c r="AA42" s="71">
        <v>0.13842158057165829</v>
      </c>
      <c r="AB42" s="72">
        <v>0.14763586111067284</v>
      </c>
    </row>
    <row r="43" spans="2:28">
      <c r="B43" s="73">
        <v>59</v>
      </c>
      <c r="C43" s="74">
        <v>9.2999999999999999E-2</v>
      </c>
      <c r="D43" s="74">
        <v>14.775</v>
      </c>
      <c r="E43" s="74">
        <v>3.3959999999999999</v>
      </c>
      <c r="F43" s="74">
        <v>3.3959999999999999</v>
      </c>
      <c r="G43" s="74">
        <v>14.682</v>
      </c>
      <c r="H43" s="75">
        <v>6.334286881896199E-3</v>
      </c>
      <c r="I43" s="75">
        <v>0.23130363710666121</v>
      </c>
      <c r="J43" s="77">
        <v>0.2376379239885574</v>
      </c>
      <c r="K43" s="73">
        <v>59</v>
      </c>
      <c r="L43" s="74">
        <v>8.2000000000000003E-2</v>
      </c>
      <c r="M43" s="74">
        <v>16.276</v>
      </c>
      <c r="N43" s="76">
        <v>0.66</v>
      </c>
      <c r="O43" s="74">
        <v>0.66</v>
      </c>
      <c r="P43" s="74">
        <v>16.193999999999999</v>
      </c>
      <c r="Q43" s="75">
        <v>5.0636038038779797E-3</v>
      </c>
      <c r="R43" s="75">
        <v>4.0755835494627642E-2</v>
      </c>
      <c r="S43" s="77">
        <v>4.581943929850562E-2</v>
      </c>
      <c r="T43" s="73">
        <v>59</v>
      </c>
      <c r="U43" s="78">
        <v>8.7499999999999994E-2</v>
      </c>
      <c r="V43" s="78">
        <v>15.525500000000001</v>
      </c>
      <c r="W43" s="78">
        <v>2.028</v>
      </c>
      <c r="X43" s="78">
        <v>2.028</v>
      </c>
      <c r="Y43" s="78">
        <v>15.437999999999999</v>
      </c>
      <c r="Z43" s="19">
        <v>5.6989453428870889E-3</v>
      </c>
      <c r="AA43" s="19">
        <v>0.13602973630064444</v>
      </c>
      <c r="AB43" s="79">
        <v>0.1417286816435315</v>
      </c>
    </row>
    <row r="44" spans="2:28">
      <c r="B44" s="65">
        <v>60</v>
      </c>
      <c r="C44" s="66">
        <v>5.1999999999999998E-2</v>
      </c>
      <c r="D44" s="66">
        <v>15.241</v>
      </c>
      <c r="E44" s="66">
        <v>3.4630000000000001</v>
      </c>
      <c r="F44" s="66">
        <v>3.4630000000000001</v>
      </c>
      <c r="G44" s="66">
        <v>15.189</v>
      </c>
      <c r="H44" s="67">
        <v>3.4235301863190467E-3</v>
      </c>
      <c r="I44" s="67">
        <v>0.22799394298505499</v>
      </c>
      <c r="J44" s="68">
        <v>0.23141747317137404</v>
      </c>
      <c r="K44" s="65">
        <v>60</v>
      </c>
      <c r="L44" s="66">
        <v>4.3999999999999997E-2</v>
      </c>
      <c r="M44" s="66">
        <v>16.759</v>
      </c>
      <c r="N44" s="69">
        <v>0.66100000000000003</v>
      </c>
      <c r="O44" s="66">
        <v>0.66100000000000003</v>
      </c>
      <c r="P44" s="66">
        <v>16.715</v>
      </c>
      <c r="Q44" s="67">
        <v>2.6323661381992222E-3</v>
      </c>
      <c r="R44" s="67">
        <v>3.9545318576129231E-2</v>
      </c>
      <c r="S44" s="68">
        <v>4.2177684714328451E-2</v>
      </c>
      <c r="T44" s="65">
        <v>60</v>
      </c>
      <c r="U44" s="70">
        <v>4.8000000000000001E-2</v>
      </c>
      <c r="V44" s="70">
        <v>16</v>
      </c>
      <c r="W44" s="70">
        <v>2.0620000000000003</v>
      </c>
      <c r="X44" s="70">
        <v>2.0620000000000003</v>
      </c>
      <c r="Y44" s="70">
        <v>15.952</v>
      </c>
      <c r="Z44" s="71">
        <v>3.0279481622591344E-3</v>
      </c>
      <c r="AA44" s="71">
        <v>0.13376963078059212</v>
      </c>
      <c r="AB44" s="72">
        <v>0.13679757894285124</v>
      </c>
    </row>
    <row r="45" spans="2:28">
      <c r="B45" s="73">
        <v>61</v>
      </c>
      <c r="C45" s="74">
        <v>2.1999999999999999E-2</v>
      </c>
      <c r="D45" s="74">
        <v>15.734</v>
      </c>
      <c r="E45" s="74">
        <v>3.532</v>
      </c>
      <c r="F45" s="74">
        <v>3.532</v>
      </c>
      <c r="G45" s="74">
        <v>15.712</v>
      </c>
      <c r="H45" s="75">
        <v>1.4002036659877799E-3</v>
      </c>
      <c r="I45" s="75">
        <v>0.22479633401221996</v>
      </c>
      <c r="J45" s="77">
        <v>0.22619653767820774</v>
      </c>
      <c r="K45" s="73">
        <v>61</v>
      </c>
      <c r="L45" s="74">
        <v>1.7000000000000001E-2</v>
      </c>
      <c r="M45" s="74">
        <v>17.271999999999998</v>
      </c>
      <c r="N45" s="76">
        <v>0.66200000000000003</v>
      </c>
      <c r="O45" s="74">
        <v>0.66200000000000003</v>
      </c>
      <c r="P45" s="74">
        <v>17.254999999999999</v>
      </c>
      <c r="Q45" s="75">
        <v>9.8522167487684743E-4</v>
      </c>
      <c r="R45" s="75">
        <v>3.8365691104027821E-2</v>
      </c>
      <c r="S45" s="77">
        <v>3.9350912778904672E-2</v>
      </c>
      <c r="T45" s="73">
        <v>61</v>
      </c>
      <c r="U45" s="78">
        <v>1.95E-2</v>
      </c>
      <c r="V45" s="78">
        <v>16.503</v>
      </c>
      <c r="W45" s="78">
        <v>2.097</v>
      </c>
      <c r="X45" s="78">
        <v>2.097</v>
      </c>
      <c r="Y45" s="78">
        <v>16.483499999999999</v>
      </c>
      <c r="Z45" s="19">
        <v>1.1927126704323137E-3</v>
      </c>
      <c r="AA45" s="19">
        <v>0.13158101255812388</v>
      </c>
      <c r="AB45" s="79">
        <v>0.13277372522855621</v>
      </c>
    </row>
    <row r="46" spans="2:28">
      <c r="B46" s="65">
        <v>62</v>
      </c>
      <c r="C46" s="66">
        <v>5.0000000000000001E-3</v>
      </c>
      <c r="D46" s="66">
        <v>16.257999999999999</v>
      </c>
      <c r="E46" s="66">
        <v>3.5870000000000002</v>
      </c>
      <c r="F46" s="66">
        <v>3.5870000000000002</v>
      </c>
      <c r="G46" s="66">
        <v>16.253</v>
      </c>
      <c r="H46" s="67">
        <v>3.0763551344367192E-4</v>
      </c>
      <c r="I46" s="67">
        <v>0.22069771734449026</v>
      </c>
      <c r="J46" s="68">
        <v>0.22100535285793393</v>
      </c>
      <c r="K46" s="65">
        <v>62</v>
      </c>
      <c r="L46" s="66">
        <v>4.0000000000000001E-3</v>
      </c>
      <c r="M46" s="66">
        <v>17.815999999999999</v>
      </c>
      <c r="N46" s="69">
        <v>0.66100000000000003</v>
      </c>
      <c r="O46" s="66">
        <v>0.66100000000000003</v>
      </c>
      <c r="P46" s="66">
        <v>17.811999999999998</v>
      </c>
      <c r="Q46" s="67">
        <v>2.2456770716370989E-4</v>
      </c>
      <c r="R46" s="67">
        <v>3.7109813608803062E-2</v>
      </c>
      <c r="S46" s="68">
        <v>3.7334381315966773E-2</v>
      </c>
      <c r="T46" s="65">
        <v>62</v>
      </c>
      <c r="U46" s="70">
        <v>4.5000000000000005E-3</v>
      </c>
      <c r="V46" s="70">
        <v>17.036999999999999</v>
      </c>
      <c r="W46" s="70">
        <v>2.1240000000000001</v>
      </c>
      <c r="X46" s="70">
        <v>2.1240000000000001</v>
      </c>
      <c r="Y46" s="70">
        <v>17.032499999999999</v>
      </c>
      <c r="Z46" s="71">
        <v>2.6610161030369092E-4</v>
      </c>
      <c r="AA46" s="71">
        <v>0.12890376547664667</v>
      </c>
      <c r="AB46" s="72">
        <v>0.12916986708695036</v>
      </c>
    </row>
    <row r="47" spans="2:28">
      <c r="B47" s="80">
        <v>63</v>
      </c>
      <c r="C47" s="81">
        <v>0</v>
      </c>
      <c r="D47" s="81">
        <v>16.815000000000001</v>
      </c>
      <c r="E47" s="81">
        <v>3.6419999999999999</v>
      </c>
      <c r="F47" s="81">
        <v>3.6419999999999999</v>
      </c>
      <c r="G47" s="81">
        <v>16.815000000000001</v>
      </c>
      <c r="H47" s="82">
        <v>0</v>
      </c>
      <c r="I47" s="82">
        <v>0.21659232827832289</v>
      </c>
      <c r="J47" s="83">
        <v>0.21659232827832289</v>
      </c>
      <c r="K47" s="80">
        <v>63</v>
      </c>
      <c r="L47" s="81">
        <v>0</v>
      </c>
      <c r="M47" s="81">
        <v>18.393000000000001</v>
      </c>
      <c r="N47" s="84">
        <v>0.65900000000000003</v>
      </c>
      <c r="O47" s="81">
        <v>0.65900000000000003</v>
      </c>
      <c r="P47" s="81">
        <v>18.393000000000001</v>
      </c>
      <c r="Q47" s="82">
        <v>0</v>
      </c>
      <c r="R47" s="82">
        <v>3.5828847931278204E-2</v>
      </c>
      <c r="S47" s="83">
        <v>3.5828847931278204E-2</v>
      </c>
      <c r="T47" s="80">
        <v>63</v>
      </c>
      <c r="U47" s="85">
        <v>0</v>
      </c>
      <c r="V47" s="85">
        <v>17.603999999999999</v>
      </c>
      <c r="W47" s="85">
        <v>2.1505000000000001</v>
      </c>
      <c r="X47" s="85">
        <v>2.1505000000000001</v>
      </c>
      <c r="Y47" s="85">
        <v>17.603999999999999</v>
      </c>
      <c r="Z47" s="86">
        <v>0</v>
      </c>
      <c r="AA47" s="86">
        <v>0.12621058810480054</v>
      </c>
      <c r="AB47" s="87">
        <v>0.12621058810480054</v>
      </c>
    </row>
    <row r="48" spans="2:28">
      <c r="B48" s="65">
        <v>64</v>
      </c>
      <c r="C48" s="66">
        <v>0</v>
      </c>
      <c r="D48" s="66">
        <v>16.154</v>
      </c>
      <c r="E48" s="66">
        <v>3.7669999999999999</v>
      </c>
      <c r="F48" s="66">
        <v>3.7669999999999999</v>
      </c>
      <c r="G48" s="66">
        <v>16.154</v>
      </c>
      <c r="H48" s="67">
        <v>0</v>
      </c>
      <c r="I48" s="67">
        <v>0.23319301720935989</v>
      </c>
      <c r="J48" s="68">
        <v>0.23319301720935989</v>
      </c>
      <c r="K48" s="65">
        <v>64</v>
      </c>
      <c r="L48" s="66">
        <v>0</v>
      </c>
      <c r="M48" s="66">
        <v>18.010999999999999</v>
      </c>
      <c r="N48" s="69">
        <v>0.64100000000000001</v>
      </c>
      <c r="O48" s="66">
        <v>0.64100000000000001</v>
      </c>
      <c r="P48" s="66">
        <v>18.010999999999999</v>
      </c>
      <c r="Q48" s="67">
        <v>0</v>
      </c>
      <c r="R48" s="67">
        <v>3.5589362056521016E-2</v>
      </c>
      <c r="S48" s="68">
        <v>3.5589362056521016E-2</v>
      </c>
      <c r="T48" s="65">
        <v>64</v>
      </c>
      <c r="U48" s="70">
        <v>0</v>
      </c>
      <c r="V48" s="70">
        <v>17.0825</v>
      </c>
      <c r="W48" s="70">
        <v>2.2039999999999997</v>
      </c>
      <c r="X48" s="70">
        <v>2.2039999999999997</v>
      </c>
      <c r="Y48" s="70">
        <v>17.0825</v>
      </c>
      <c r="Z48" s="71">
        <v>0</v>
      </c>
      <c r="AA48" s="71">
        <v>0.13439118963294044</v>
      </c>
      <c r="AB48" s="72">
        <v>0.13439118963294044</v>
      </c>
    </row>
    <row r="49" spans="2:28">
      <c r="B49" s="73">
        <v>65</v>
      </c>
      <c r="C49" s="74">
        <v>0</v>
      </c>
      <c r="D49" s="74">
        <v>15.77</v>
      </c>
      <c r="E49" s="74">
        <v>3.7749999999999999</v>
      </c>
      <c r="F49" s="74">
        <v>3.7749999999999999</v>
      </c>
      <c r="G49" s="74">
        <v>15.77</v>
      </c>
      <c r="H49" s="75">
        <v>0</v>
      </c>
      <c r="I49" s="75">
        <v>0.23937856689917564</v>
      </c>
      <c r="J49" s="77">
        <v>0.23937856689917564</v>
      </c>
      <c r="K49" s="73">
        <v>65</v>
      </c>
      <c r="L49" s="74">
        <v>0</v>
      </c>
      <c r="M49" s="74">
        <v>17.619</v>
      </c>
      <c r="N49" s="76">
        <v>0.623</v>
      </c>
      <c r="O49" s="74">
        <v>0.623</v>
      </c>
      <c r="P49" s="74">
        <v>17.619</v>
      </c>
      <c r="Q49" s="75">
        <v>0</v>
      </c>
      <c r="R49" s="75">
        <v>3.5359555025824392E-2</v>
      </c>
      <c r="S49" s="77">
        <v>3.5359555025824392E-2</v>
      </c>
      <c r="T49" s="73">
        <v>65</v>
      </c>
      <c r="U49" s="78">
        <v>0</v>
      </c>
      <c r="V49" s="78">
        <v>16.694499999999998</v>
      </c>
      <c r="W49" s="78">
        <v>2.1989999999999998</v>
      </c>
      <c r="X49" s="78">
        <v>2.1989999999999998</v>
      </c>
      <c r="Y49" s="78">
        <v>16.694499999999998</v>
      </c>
      <c r="Z49" s="88">
        <v>0</v>
      </c>
      <c r="AA49" s="88">
        <v>0.13736906096250001</v>
      </c>
      <c r="AB49" s="89">
        <v>0.13736906096250001</v>
      </c>
    </row>
    <row r="50" spans="2:28">
      <c r="B50" s="65">
        <v>66</v>
      </c>
      <c r="C50" s="66"/>
      <c r="D50" s="66">
        <v>15.379</v>
      </c>
      <c r="E50" s="66">
        <v>3.778</v>
      </c>
      <c r="F50" s="66">
        <v>3.778</v>
      </c>
      <c r="G50" s="66">
        <v>15.379</v>
      </c>
      <c r="H50" s="67">
        <v>0</v>
      </c>
      <c r="I50" s="67">
        <v>0.24565966577800899</v>
      </c>
      <c r="J50" s="68">
        <v>0.24565966577800899</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16.297999999999998</v>
      </c>
      <c r="W50" s="70">
        <v>2.1909999999999998</v>
      </c>
      <c r="X50" s="70">
        <v>2.1909999999999998</v>
      </c>
      <c r="Y50" s="70">
        <v>16.297999999999998</v>
      </c>
      <c r="Z50" s="71">
        <v>0</v>
      </c>
      <c r="AA50" s="71">
        <v>0.14037063558401525</v>
      </c>
      <c r="AB50" s="72">
        <v>0.14037063558401525</v>
      </c>
    </row>
    <row r="51" spans="2:28">
      <c r="B51" s="73">
        <v>67</v>
      </c>
      <c r="C51" s="74"/>
      <c r="D51" s="74">
        <v>14.98</v>
      </c>
      <c r="E51" s="74">
        <v>3.778</v>
      </c>
      <c r="F51" s="74">
        <v>3.778</v>
      </c>
      <c r="G51" s="74">
        <v>14.98</v>
      </c>
      <c r="H51" s="75">
        <v>0</v>
      </c>
      <c r="I51" s="75">
        <v>0.25220293724966619</v>
      </c>
      <c r="J51" s="77">
        <v>0.25220293724966619</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15.891500000000001</v>
      </c>
      <c r="W51" s="78">
        <v>2.1819999999999999</v>
      </c>
      <c r="X51" s="78">
        <v>2.1819999999999999</v>
      </c>
      <c r="Y51" s="78">
        <v>15.891500000000001</v>
      </c>
      <c r="Z51" s="19">
        <v>0</v>
      </c>
      <c r="AA51" s="19">
        <v>0.14353883100059933</v>
      </c>
      <c r="AB51" s="79">
        <v>0.14353883100059933</v>
      </c>
    </row>
    <row r="52" spans="2:28">
      <c r="B52" s="65">
        <v>68</v>
      </c>
      <c r="C52" s="66"/>
      <c r="D52" s="66">
        <v>14.573</v>
      </c>
      <c r="E52" s="66">
        <v>3.7770000000000001</v>
      </c>
      <c r="F52" s="66">
        <v>3.7770000000000001</v>
      </c>
      <c r="G52" s="66">
        <v>14.573</v>
      </c>
      <c r="H52" s="67">
        <v>0</v>
      </c>
      <c r="I52" s="67">
        <v>0.25917793179166954</v>
      </c>
      <c r="J52" s="68">
        <v>0.25917793179166954</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15.4755</v>
      </c>
      <c r="W52" s="70">
        <v>2.1720000000000002</v>
      </c>
      <c r="X52" s="70">
        <v>2.1720000000000002</v>
      </c>
      <c r="Y52" s="70">
        <v>15.4755</v>
      </c>
      <c r="Z52" s="71">
        <v>0</v>
      </c>
      <c r="AA52" s="71">
        <v>0.14689877173293331</v>
      </c>
      <c r="AB52" s="72">
        <v>0.14689877173293331</v>
      </c>
    </row>
    <row r="53" spans="2:28">
      <c r="B53" s="73">
        <v>69</v>
      </c>
      <c r="C53" s="74"/>
      <c r="D53" s="74">
        <v>14.156000000000001</v>
      </c>
      <c r="E53" s="74">
        <v>3.7730000000000001</v>
      </c>
      <c r="F53" s="74">
        <v>3.7730000000000001</v>
      </c>
      <c r="G53" s="74">
        <v>14.156000000000001</v>
      </c>
      <c r="H53" s="75">
        <v>0</v>
      </c>
      <c r="I53" s="75">
        <v>0.26653009324667987</v>
      </c>
      <c r="J53" s="77">
        <v>0.26653009324667987</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15.048</v>
      </c>
      <c r="W53" s="78">
        <v>2.161</v>
      </c>
      <c r="X53" s="78">
        <v>2.161</v>
      </c>
      <c r="Y53" s="78">
        <v>15.048</v>
      </c>
      <c r="Z53" s="19">
        <v>0</v>
      </c>
      <c r="AA53" s="19">
        <v>0.15048587472873518</v>
      </c>
      <c r="AB53" s="79">
        <v>0.15048587472873518</v>
      </c>
    </row>
    <row r="54" spans="2:28">
      <c r="B54" s="65">
        <v>70</v>
      </c>
      <c r="C54" s="66"/>
      <c r="D54" s="66">
        <v>13.728999999999999</v>
      </c>
      <c r="E54" s="66">
        <v>3.7669999999999999</v>
      </c>
      <c r="F54" s="66">
        <v>3.7669999999999999</v>
      </c>
      <c r="G54" s="66">
        <v>13.728999999999999</v>
      </c>
      <c r="H54" s="67">
        <v>0</v>
      </c>
      <c r="I54" s="67">
        <v>0.27438269356835898</v>
      </c>
      <c r="J54" s="68">
        <v>0.27438269356835898</v>
      </c>
      <c r="K54" s="65">
        <v>70</v>
      </c>
      <c r="L54" s="66">
        <v>0</v>
      </c>
      <c r="M54" s="66">
        <v>15.49</v>
      </c>
      <c r="N54" s="69">
        <v>0.53</v>
      </c>
      <c r="O54" s="66">
        <v>0.53</v>
      </c>
      <c r="P54" s="66">
        <v>15.49</v>
      </c>
      <c r="Q54" s="67">
        <v>0</v>
      </c>
      <c r="R54" s="67">
        <v>3.4215622982569402E-2</v>
      </c>
      <c r="S54" s="68">
        <v>3.4215622982569402E-2</v>
      </c>
      <c r="T54" s="65">
        <v>70</v>
      </c>
      <c r="U54" s="70">
        <v>0</v>
      </c>
      <c r="V54" s="70">
        <v>14.609500000000001</v>
      </c>
      <c r="W54" s="70">
        <v>2.1484999999999999</v>
      </c>
      <c r="X54" s="70">
        <v>2.1484999999999999</v>
      </c>
      <c r="Y54" s="70">
        <v>14.609500000000001</v>
      </c>
      <c r="Z54" s="71">
        <v>0</v>
      </c>
      <c r="AA54" s="71">
        <v>0.1542991582754642</v>
      </c>
      <c r="AB54" s="72">
        <v>0.1542991582754642</v>
      </c>
    </row>
    <row r="55" spans="2:28">
      <c r="B55" s="73">
        <v>71</v>
      </c>
      <c r="C55" s="74"/>
      <c r="D55" s="74">
        <v>13.292999999999999</v>
      </c>
      <c r="E55" s="74">
        <v>3.758</v>
      </c>
      <c r="F55" s="74">
        <v>3.758</v>
      </c>
      <c r="G55" s="74">
        <v>13.292999999999999</v>
      </c>
      <c r="H55" s="75">
        <v>0</v>
      </c>
      <c r="I55" s="75">
        <v>0.28270518317911686</v>
      </c>
      <c r="J55" s="77">
        <v>0.28270518317911686</v>
      </c>
      <c r="K55" s="73">
        <v>71</v>
      </c>
      <c r="L55" s="74">
        <v>0</v>
      </c>
      <c r="M55" s="74">
        <v>15.026</v>
      </c>
      <c r="N55" s="76">
        <v>0.51</v>
      </c>
      <c r="O55" s="74">
        <v>0.51</v>
      </c>
      <c r="P55" s="74">
        <v>15.026</v>
      </c>
      <c r="Q55" s="75">
        <v>0</v>
      </c>
      <c r="R55" s="75">
        <v>3.3941168641022229E-2</v>
      </c>
      <c r="S55" s="77">
        <v>3.3941168641022229E-2</v>
      </c>
      <c r="T55" s="73">
        <v>71</v>
      </c>
      <c r="U55" s="78">
        <v>0</v>
      </c>
      <c r="V55" s="78">
        <v>14.1595</v>
      </c>
      <c r="W55" s="78">
        <v>2.1339999999999999</v>
      </c>
      <c r="X55" s="78">
        <v>2.1339999999999999</v>
      </c>
      <c r="Y55" s="78">
        <v>14.1595</v>
      </c>
      <c r="Z55" s="19">
        <v>0</v>
      </c>
      <c r="AA55" s="19">
        <v>0.15832317591006956</v>
      </c>
      <c r="AB55" s="79">
        <v>0.15832317591006956</v>
      </c>
    </row>
    <row r="56" spans="2:28">
      <c r="B56" s="65">
        <v>72</v>
      </c>
      <c r="C56" s="66"/>
      <c r="D56" s="66">
        <v>12.846</v>
      </c>
      <c r="E56" s="66">
        <v>3.7469999999999999</v>
      </c>
      <c r="F56" s="66">
        <v>3.7469999999999999</v>
      </c>
      <c r="G56" s="66">
        <v>12.846</v>
      </c>
      <c r="H56" s="67">
        <v>0</v>
      </c>
      <c r="I56" s="67">
        <v>0.29168612797758053</v>
      </c>
      <c r="J56" s="68">
        <v>0.29168612797758053</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13.698</v>
      </c>
      <c r="W56" s="70">
        <v>2.1189999999999998</v>
      </c>
      <c r="X56" s="70">
        <v>2.1189999999999998</v>
      </c>
      <c r="Y56" s="70">
        <v>13.698</v>
      </c>
      <c r="Z56" s="71">
        <v>0</v>
      </c>
      <c r="AA56" s="71">
        <v>0.16271591622246723</v>
      </c>
      <c r="AB56" s="72">
        <v>0.16271591622246723</v>
      </c>
    </row>
    <row r="57" spans="2:28">
      <c r="B57" s="73">
        <v>73</v>
      </c>
      <c r="C57" s="74"/>
      <c r="D57" s="74">
        <v>12.388999999999999</v>
      </c>
      <c r="E57" s="74">
        <v>3.7389999999999999</v>
      </c>
      <c r="F57" s="74">
        <v>3.7389999999999999</v>
      </c>
      <c r="G57" s="74">
        <v>12.388999999999999</v>
      </c>
      <c r="H57" s="75">
        <v>0</v>
      </c>
      <c r="I57" s="75">
        <v>0.30179998385664702</v>
      </c>
      <c r="J57" s="77">
        <v>0.30179998385664702</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13.2255</v>
      </c>
      <c r="W57" s="78">
        <v>2.1055000000000001</v>
      </c>
      <c r="X57" s="78">
        <v>2.1055000000000001</v>
      </c>
      <c r="Y57" s="78">
        <v>13.2255</v>
      </c>
      <c r="Z57" s="19">
        <v>0</v>
      </c>
      <c r="AA57" s="19">
        <v>0.16768281087299711</v>
      </c>
      <c r="AB57" s="79">
        <v>0.16768281087299711</v>
      </c>
    </row>
    <row r="58" spans="2:28">
      <c r="B58" s="65">
        <v>74</v>
      </c>
      <c r="C58" s="66"/>
      <c r="D58" s="66">
        <v>11.923999999999999</v>
      </c>
      <c r="E58" s="66">
        <v>3.7290000000000001</v>
      </c>
      <c r="F58" s="66">
        <v>3.7290000000000001</v>
      </c>
      <c r="G58" s="66">
        <v>11.923999999999999</v>
      </c>
      <c r="H58" s="67">
        <v>0</v>
      </c>
      <c r="I58" s="67">
        <v>0.3127306273062731</v>
      </c>
      <c r="J58" s="68">
        <v>0.3127306273062731</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12.742999999999999</v>
      </c>
      <c r="W58" s="70">
        <v>2.0910000000000002</v>
      </c>
      <c r="X58" s="70">
        <v>2.0910000000000002</v>
      </c>
      <c r="Y58" s="70">
        <v>12.742999999999999</v>
      </c>
      <c r="Z58" s="71">
        <v>0</v>
      </c>
      <c r="AA58" s="71">
        <v>0.17306639019052042</v>
      </c>
      <c r="AB58" s="72">
        <v>0.17306639019052042</v>
      </c>
    </row>
    <row r="59" spans="2:28">
      <c r="B59" s="73">
        <v>75</v>
      </c>
      <c r="C59" s="74"/>
      <c r="D59" s="74">
        <v>11.45</v>
      </c>
      <c r="E59" s="74">
        <v>3.7160000000000002</v>
      </c>
      <c r="F59" s="74">
        <v>3.7160000000000002</v>
      </c>
      <c r="G59" s="74">
        <v>11.45</v>
      </c>
      <c r="H59" s="75">
        <v>0</v>
      </c>
      <c r="I59" s="75">
        <v>0.32454148471615724</v>
      </c>
      <c r="J59" s="77">
        <v>0.32454148471615724</v>
      </c>
      <c r="K59" s="73">
        <v>75</v>
      </c>
      <c r="L59" s="74">
        <v>0</v>
      </c>
      <c r="M59" s="74">
        <v>13.051</v>
      </c>
      <c r="N59" s="76">
        <v>0.434</v>
      </c>
      <c r="O59" s="74">
        <v>0.434</v>
      </c>
      <c r="P59" s="74">
        <v>13.051</v>
      </c>
      <c r="Q59" s="75">
        <v>0</v>
      </c>
      <c r="R59" s="75">
        <v>3.3254156769596199E-2</v>
      </c>
      <c r="S59" s="77">
        <v>3.3254156769596199E-2</v>
      </c>
      <c r="T59" s="73">
        <v>75</v>
      </c>
      <c r="U59" s="78">
        <v>0</v>
      </c>
      <c r="V59" s="78">
        <v>12.250499999999999</v>
      </c>
      <c r="W59" s="78">
        <v>2.0750000000000002</v>
      </c>
      <c r="X59" s="78">
        <v>2.0750000000000002</v>
      </c>
      <c r="Y59" s="78">
        <v>12.250499999999999</v>
      </c>
      <c r="Z59" s="19">
        <v>0</v>
      </c>
      <c r="AA59" s="19">
        <v>0.17889782074287672</v>
      </c>
      <c r="AB59" s="79">
        <v>0.17889782074287672</v>
      </c>
    </row>
    <row r="60" spans="2:28">
      <c r="B60" s="65">
        <v>76</v>
      </c>
      <c r="C60" s="66"/>
      <c r="D60" s="66">
        <v>10.97</v>
      </c>
      <c r="E60" s="66">
        <v>3.698</v>
      </c>
      <c r="F60" s="66">
        <v>3.698</v>
      </c>
      <c r="G60" s="66">
        <v>10.97</v>
      </c>
      <c r="H60" s="67">
        <v>0</v>
      </c>
      <c r="I60" s="67">
        <v>0.3371011850501367</v>
      </c>
      <c r="J60" s="68">
        <v>0.3371011850501367</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11.750500000000001</v>
      </c>
      <c r="W60" s="70">
        <v>2.056</v>
      </c>
      <c r="X60" s="70">
        <v>2.056</v>
      </c>
      <c r="Y60" s="70">
        <v>11.750500000000001</v>
      </c>
      <c r="Z60" s="71">
        <v>0</v>
      </c>
      <c r="AA60" s="71">
        <v>0.18506962532372767</v>
      </c>
      <c r="AB60" s="72">
        <v>0.18506962532372767</v>
      </c>
    </row>
    <row r="61" spans="2:28">
      <c r="B61" s="73">
        <v>77</v>
      </c>
      <c r="C61" s="74"/>
      <c r="D61" s="74">
        <v>10.484999999999999</v>
      </c>
      <c r="E61" s="74">
        <v>3.6749999999999998</v>
      </c>
      <c r="F61" s="74">
        <v>3.6749999999999998</v>
      </c>
      <c r="G61" s="74">
        <v>10.484999999999999</v>
      </c>
      <c r="H61" s="75">
        <v>0</v>
      </c>
      <c r="I61" s="75">
        <v>0.35050071530758226</v>
      </c>
      <c r="J61" s="77">
        <v>0.35050071530758226</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11.244</v>
      </c>
      <c r="W61" s="78">
        <v>2.0339999999999998</v>
      </c>
      <c r="X61" s="78">
        <v>2.0339999999999998</v>
      </c>
      <c r="Y61" s="78">
        <v>11.244</v>
      </c>
      <c r="Z61" s="19">
        <v>0</v>
      </c>
      <c r="AA61" s="19">
        <v>0.19162126492697285</v>
      </c>
      <c r="AB61" s="79">
        <v>0.19162126492697285</v>
      </c>
    </row>
    <row r="62" spans="2:28">
      <c r="B62" s="65">
        <v>78</v>
      </c>
      <c r="C62" s="66"/>
      <c r="D62" s="66">
        <v>9.9969999999999999</v>
      </c>
      <c r="E62" s="66">
        <v>3.645</v>
      </c>
      <c r="F62" s="66">
        <v>3.645</v>
      </c>
      <c r="G62" s="66">
        <v>9.9969999999999999</v>
      </c>
      <c r="H62" s="67">
        <v>0</v>
      </c>
      <c r="I62" s="67">
        <v>0.36460938281484445</v>
      </c>
      <c r="J62" s="68">
        <v>0.36460938281484445</v>
      </c>
      <c r="K62" s="65">
        <v>78</v>
      </c>
      <c r="L62" s="66">
        <v>0</v>
      </c>
      <c r="M62" s="66">
        <v>11.47</v>
      </c>
      <c r="N62" s="69">
        <v>0.371</v>
      </c>
      <c r="O62" s="66">
        <v>0.371</v>
      </c>
      <c r="P62" s="66">
        <v>11.47</v>
      </c>
      <c r="Q62" s="67">
        <v>0</v>
      </c>
      <c r="R62" s="67">
        <v>3.2345248474280733E-2</v>
      </c>
      <c r="S62" s="68">
        <v>3.2345248474280733E-2</v>
      </c>
      <c r="T62" s="65">
        <v>78</v>
      </c>
      <c r="U62" s="70">
        <v>0</v>
      </c>
      <c r="V62" s="70">
        <v>10.733499999999999</v>
      </c>
      <c r="W62" s="70">
        <v>2.008</v>
      </c>
      <c r="X62" s="70">
        <v>2.008</v>
      </c>
      <c r="Y62" s="70">
        <v>10.733499999999999</v>
      </c>
      <c r="Z62" s="71">
        <v>0</v>
      </c>
      <c r="AA62" s="71">
        <v>0.19847731564456259</v>
      </c>
      <c r="AB62" s="72">
        <v>0.19847731564456259</v>
      </c>
    </row>
    <row r="63" spans="2:28">
      <c r="B63" s="73">
        <v>79</v>
      </c>
      <c r="C63" s="74"/>
      <c r="D63" s="74">
        <v>9.5079999999999991</v>
      </c>
      <c r="E63" s="74">
        <v>3.6070000000000002</v>
      </c>
      <c r="F63" s="74">
        <v>3.6070000000000002</v>
      </c>
      <c r="G63" s="74">
        <v>9.5079999999999991</v>
      </c>
      <c r="H63" s="75">
        <v>0</v>
      </c>
      <c r="I63" s="75">
        <v>0.37936474547749272</v>
      </c>
      <c r="J63" s="77">
        <v>0.37936474547749272</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10.219999999999999</v>
      </c>
      <c r="W63" s="78">
        <v>1.9780000000000002</v>
      </c>
      <c r="X63" s="78">
        <v>1.9780000000000002</v>
      </c>
      <c r="Y63" s="78">
        <v>10.219999999999999</v>
      </c>
      <c r="Z63" s="19">
        <v>0</v>
      </c>
      <c r="AA63" s="19">
        <v>0.2056446852158777</v>
      </c>
      <c r="AB63" s="79">
        <v>0.2056446852158777</v>
      </c>
    </row>
    <row r="64" spans="2:28">
      <c r="B64" s="65">
        <v>80</v>
      </c>
      <c r="C64" s="66"/>
      <c r="D64" s="66">
        <v>9.0210000000000008</v>
      </c>
      <c r="E64" s="66">
        <v>3.5619999999999998</v>
      </c>
      <c r="F64" s="66">
        <v>3.5619999999999998</v>
      </c>
      <c r="G64" s="66">
        <v>9.0210000000000008</v>
      </c>
      <c r="H64" s="67">
        <v>0</v>
      </c>
      <c r="I64" s="67">
        <v>0.39485644607028042</v>
      </c>
      <c r="J64" s="68">
        <v>0.39485644607028042</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9.7065000000000001</v>
      </c>
      <c r="W64" s="70">
        <v>1.9444999999999999</v>
      </c>
      <c r="X64" s="70">
        <v>1.9444999999999999</v>
      </c>
      <c r="Y64" s="70">
        <v>9.7065000000000001</v>
      </c>
      <c r="Z64" s="71">
        <v>0</v>
      </c>
      <c r="AA64" s="71">
        <v>0.21316147938617946</v>
      </c>
      <c r="AB64" s="72">
        <v>0.21316147938617946</v>
      </c>
    </row>
    <row r="65" spans="2:28">
      <c r="B65" s="73">
        <v>81</v>
      </c>
      <c r="C65" s="74"/>
      <c r="D65" s="74">
        <v>8.5380000000000003</v>
      </c>
      <c r="E65" s="74">
        <v>3.5070000000000001</v>
      </c>
      <c r="F65" s="74">
        <v>3.5070000000000001</v>
      </c>
      <c r="G65" s="74">
        <v>8.5380000000000003</v>
      </c>
      <c r="H65" s="75">
        <v>0</v>
      </c>
      <c r="I65" s="75">
        <v>0.4107519325368939</v>
      </c>
      <c r="J65" s="77">
        <v>0.4107519325368939</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9.1954999999999991</v>
      </c>
      <c r="W65" s="78">
        <v>1.9055</v>
      </c>
      <c r="X65" s="78">
        <v>1.9055</v>
      </c>
      <c r="Y65" s="78">
        <v>9.1954999999999991</v>
      </c>
      <c r="Z65" s="19">
        <v>0</v>
      </c>
      <c r="AA65" s="19">
        <v>0.22080273983994803</v>
      </c>
      <c r="AB65" s="79">
        <v>0.22080273983994803</v>
      </c>
    </row>
    <row r="66" spans="2:28">
      <c r="B66" s="65">
        <v>82</v>
      </c>
      <c r="C66" s="66"/>
      <c r="D66" s="66">
        <v>8.0619999999999994</v>
      </c>
      <c r="E66" s="66">
        <v>3.4260000000000002</v>
      </c>
      <c r="F66" s="66">
        <v>3.4260000000000002</v>
      </c>
      <c r="G66" s="66">
        <v>8.0619999999999994</v>
      </c>
      <c r="H66" s="67">
        <v>0</v>
      </c>
      <c r="I66" s="67">
        <v>0.42495658645497403</v>
      </c>
      <c r="J66" s="68">
        <v>0.42495658645497403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8.69</v>
      </c>
      <c r="W66" s="70">
        <v>1.8535000000000001</v>
      </c>
      <c r="X66" s="70">
        <v>1.8535000000000001</v>
      </c>
      <c r="Y66" s="70">
        <v>8.69</v>
      </c>
      <c r="Z66" s="71">
        <v>0</v>
      </c>
      <c r="AA66" s="71">
        <v>0.22755663621954539</v>
      </c>
      <c r="AB66" s="72">
        <v>0.22755663621954539</v>
      </c>
    </row>
    <row r="67" spans="2:28">
      <c r="B67" s="73">
        <v>83</v>
      </c>
      <c r="C67" s="74"/>
      <c r="D67" s="74">
        <v>7.5960000000000001</v>
      </c>
      <c r="E67" s="74">
        <v>3.3330000000000002</v>
      </c>
      <c r="F67" s="74">
        <v>3.3330000000000002</v>
      </c>
      <c r="G67" s="74">
        <v>7.5960000000000001</v>
      </c>
      <c r="H67" s="75">
        <v>0</v>
      </c>
      <c r="I67" s="75">
        <v>0.43878357030015802</v>
      </c>
      <c r="J67" s="77">
        <v>0.43878357030015802</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8.192499999999999</v>
      </c>
      <c r="W67" s="78">
        <v>1.7955000000000001</v>
      </c>
      <c r="X67" s="78">
        <v>1.7955000000000001</v>
      </c>
      <c r="Y67" s="78">
        <v>8.192499999999999</v>
      </c>
      <c r="Z67" s="19">
        <v>0</v>
      </c>
      <c r="AA67" s="19">
        <v>0.23406922285630269</v>
      </c>
      <c r="AB67" s="79">
        <v>0.23406922285630269</v>
      </c>
    </row>
    <row r="68" spans="2:28">
      <c r="B68" s="65">
        <v>84</v>
      </c>
      <c r="C68" s="66"/>
      <c r="D68" s="66">
        <v>7.1429999999999998</v>
      </c>
      <c r="E68" s="66">
        <v>3.2280000000000002</v>
      </c>
      <c r="F68" s="66">
        <v>3.2280000000000002</v>
      </c>
      <c r="G68" s="66">
        <v>7.1429999999999998</v>
      </c>
      <c r="H68" s="67">
        <v>0</v>
      </c>
      <c r="I68" s="67">
        <v>0.45191096178076445</v>
      </c>
      <c r="J68" s="68">
        <v>0.45191096178076445</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7.7070000000000007</v>
      </c>
      <c r="W68" s="70">
        <v>1.7315</v>
      </c>
      <c r="X68" s="70">
        <v>1.7315</v>
      </c>
      <c r="Y68" s="70">
        <v>7.7070000000000007</v>
      </c>
      <c r="Z68" s="71">
        <v>0</v>
      </c>
      <c r="AA68" s="71">
        <v>0.24016174373647098</v>
      </c>
      <c r="AB68" s="72">
        <v>0.24016174373647098</v>
      </c>
    </row>
    <row r="69" spans="2:28">
      <c r="B69" s="73">
        <v>85</v>
      </c>
      <c r="C69" s="74"/>
      <c r="D69" s="74">
        <v>6.7080000000000002</v>
      </c>
      <c r="E69" s="74">
        <v>3.1139999999999999</v>
      </c>
      <c r="F69" s="74">
        <v>3.1139999999999999</v>
      </c>
      <c r="G69" s="74">
        <v>6.7080000000000002</v>
      </c>
      <c r="H69" s="75">
        <v>0</v>
      </c>
      <c r="I69" s="75">
        <v>0.46422182468694095</v>
      </c>
      <c r="J69" s="77">
        <v>0.46422182468694095</v>
      </c>
      <c r="K69" s="73">
        <v>85</v>
      </c>
      <c r="L69" s="74">
        <v>0</v>
      </c>
      <c r="M69" s="74">
        <v>7.7679999999999998</v>
      </c>
      <c r="N69" s="76">
        <v>0.21</v>
      </c>
      <c r="O69" s="74">
        <v>0.21</v>
      </c>
      <c r="P69" s="74">
        <v>7.7679999999999998</v>
      </c>
      <c r="Q69" s="75">
        <v>0</v>
      </c>
      <c r="R69" s="75">
        <v>2.7033985581874358E-2</v>
      </c>
      <c r="S69" s="77">
        <v>2.7033985581874358E-2</v>
      </c>
      <c r="T69" s="73">
        <v>85</v>
      </c>
      <c r="U69" s="78">
        <v>0</v>
      </c>
      <c r="V69" s="78">
        <v>7.2379999999999995</v>
      </c>
      <c r="W69" s="78">
        <v>1.6619999999999999</v>
      </c>
      <c r="X69" s="78">
        <v>1.6619999999999999</v>
      </c>
      <c r="Y69" s="78">
        <v>7.2379999999999995</v>
      </c>
      <c r="Z69" s="19">
        <v>0</v>
      </c>
      <c r="AA69" s="19">
        <v>0.24562790513440766</v>
      </c>
      <c r="AB69" s="79">
        <v>0.24562790513440766</v>
      </c>
    </row>
    <row r="70" spans="2:28">
      <c r="B70" s="65">
        <v>86</v>
      </c>
      <c r="C70" s="66"/>
      <c r="D70" s="66">
        <v>6.2949999999999999</v>
      </c>
      <c r="E70" s="66">
        <v>2.992</v>
      </c>
      <c r="F70" s="66">
        <v>2.992</v>
      </c>
      <c r="G70" s="66">
        <v>6.2949999999999999</v>
      </c>
      <c r="H70" s="67">
        <v>0</v>
      </c>
      <c r="I70" s="67">
        <v>0.47529785544082603</v>
      </c>
      <c r="J70" s="68">
        <v>0.47529785544082603</v>
      </c>
      <c r="K70" s="65">
        <v>86</v>
      </c>
      <c r="L70" s="66">
        <v>0</v>
      </c>
      <c r="M70" s="66">
        <v>7.2850000000000001</v>
      </c>
      <c r="N70" s="69">
        <v>0.186</v>
      </c>
      <c r="O70" s="66">
        <v>0.186</v>
      </c>
      <c r="P70" s="66">
        <v>7.2850000000000001</v>
      </c>
      <c r="Q70" s="67">
        <v>0</v>
      </c>
      <c r="R70" s="67">
        <v>2.553191489361702E-2</v>
      </c>
      <c r="S70" s="68">
        <v>2.553191489361702E-2</v>
      </c>
      <c r="T70" s="65">
        <v>86</v>
      </c>
      <c r="U70" s="70">
        <v>0</v>
      </c>
      <c r="V70" s="70">
        <v>6.79</v>
      </c>
      <c r="W70" s="70">
        <v>1.589</v>
      </c>
      <c r="X70" s="70">
        <v>1.589</v>
      </c>
      <c r="Y70" s="70">
        <v>6.79</v>
      </c>
      <c r="Z70" s="71">
        <v>0</v>
      </c>
      <c r="AA70" s="71">
        <v>0.25041488516722155</v>
      </c>
      <c r="AB70" s="72">
        <v>0.25041488516722155</v>
      </c>
    </row>
    <row r="71" spans="2:28">
      <c r="B71" s="73">
        <v>87</v>
      </c>
      <c r="C71" s="74"/>
      <c r="D71" s="74">
        <v>5.9089999999999998</v>
      </c>
      <c r="E71" s="74">
        <v>2.8650000000000002</v>
      </c>
      <c r="F71" s="74">
        <v>2.8650000000000002</v>
      </c>
      <c r="G71" s="74">
        <v>5.9089999999999998</v>
      </c>
      <c r="H71" s="75">
        <v>0</v>
      </c>
      <c r="I71" s="75">
        <v>0.4848536131325098</v>
      </c>
      <c r="J71" s="77">
        <v>0.4848536131325098</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6.3674999999999997</v>
      </c>
      <c r="W71" s="78">
        <v>1.5135000000000001</v>
      </c>
      <c r="X71" s="78">
        <v>1.5135000000000001</v>
      </c>
      <c r="Y71" s="78">
        <v>6.3674999999999997</v>
      </c>
      <c r="Z71" s="19">
        <v>0</v>
      </c>
      <c r="AA71" s="19">
        <v>0.25429319976871606</v>
      </c>
      <c r="AB71" s="79">
        <v>0.25429319976871606</v>
      </c>
    </row>
    <row r="72" spans="2:28">
      <c r="B72" s="65">
        <v>88</v>
      </c>
      <c r="C72" s="66"/>
      <c r="D72" s="66">
        <v>5.5570000000000004</v>
      </c>
      <c r="E72" s="66">
        <v>2.7050000000000001</v>
      </c>
      <c r="F72" s="66">
        <v>2.7050000000000001</v>
      </c>
      <c r="G72" s="66">
        <v>5.5570000000000004</v>
      </c>
      <c r="H72" s="67">
        <v>0</v>
      </c>
      <c r="I72" s="67">
        <v>0.48677343890588443</v>
      </c>
      <c r="J72" s="68">
        <v>0.48677343890588443</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5.9775</v>
      </c>
      <c r="W72" s="70">
        <v>1.4225000000000001</v>
      </c>
      <c r="X72" s="70">
        <v>1.4225000000000001</v>
      </c>
      <c r="Y72" s="70">
        <v>5.9775</v>
      </c>
      <c r="Z72" s="71">
        <v>0</v>
      </c>
      <c r="AA72" s="71">
        <v>0.25432763849014134</v>
      </c>
      <c r="AB72" s="72">
        <v>0.25432763849014134</v>
      </c>
    </row>
    <row r="73" spans="2:28">
      <c r="B73" s="73">
        <v>89</v>
      </c>
      <c r="C73" s="74"/>
      <c r="D73" s="74">
        <v>5.2469999999999999</v>
      </c>
      <c r="E73" s="74">
        <v>2.5379999999999998</v>
      </c>
      <c r="F73" s="74">
        <v>2.5379999999999998</v>
      </c>
      <c r="G73" s="74">
        <v>5.2469999999999999</v>
      </c>
      <c r="H73" s="75">
        <v>0</v>
      </c>
      <c r="I73" s="75">
        <v>0.483704974271012</v>
      </c>
      <c r="J73" s="77">
        <v>0.483704974271012</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5.6269999999999998</v>
      </c>
      <c r="W73" s="78">
        <v>1.3274999999999999</v>
      </c>
      <c r="X73" s="78">
        <v>1.3274999999999999</v>
      </c>
      <c r="Y73" s="78">
        <v>5.6269999999999998</v>
      </c>
      <c r="Z73" s="19">
        <v>0</v>
      </c>
      <c r="AA73" s="19">
        <v>0.25159112539087475</v>
      </c>
      <c r="AB73" s="79">
        <v>0.25159112539087475</v>
      </c>
    </row>
    <row r="74" spans="2:28">
      <c r="B74" s="65">
        <v>90</v>
      </c>
      <c r="C74" s="66"/>
      <c r="D74" s="66">
        <v>4.9669999999999996</v>
      </c>
      <c r="E74" s="66">
        <v>2.3759999999999999</v>
      </c>
      <c r="F74" s="66">
        <v>2.3759999999999999</v>
      </c>
      <c r="G74" s="66">
        <v>4.9669999999999996</v>
      </c>
      <c r="H74" s="67">
        <v>0</v>
      </c>
      <c r="I74" s="67">
        <v>0.47835715723776928</v>
      </c>
      <c r="J74" s="68">
        <v>0.47835715723776928</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5.3109999999999999</v>
      </c>
      <c r="W74" s="70">
        <v>1.2364999999999999</v>
      </c>
      <c r="X74" s="70">
        <v>1.2364999999999999</v>
      </c>
      <c r="Y74" s="70">
        <v>5.3109999999999999</v>
      </c>
      <c r="Z74" s="71">
        <v>0</v>
      </c>
      <c r="AA74" s="71">
        <v>0.24775505960915872</v>
      </c>
      <c r="AB74" s="72">
        <v>0.24775505960915872</v>
      </c>
    </row>
    <row r="75" spans="2:28">
      <c r="B75" s="73">
        <v>91</v>
      </c>
      <c r="C75" s="74"/>
      <c r="D75" s="74">
        <v>4.7060000000000004</v>
      </c>
      <c r="E75" s="74">
        <v>2.1920000000000002</v>
      </c>
      <c r="F75" s="74">
        <v>2.1920000000000002</v>
      </c>
      <c r="G75" s="74">
        <v>4.7060000000000004</v>
      </c>
      <c r="H75" s="75">
        <v>0</v>
      </c>
      <c r="I75" s="75">
        <v>0.46578835529111773</v>
      </c>
      <c r="J75" s="77">
        <v>0.46578835529111773</v>
      </c>
      <c r="K75" s="73">
        <v>91</v>
      </c>
      <c r="L75" s="74">
        <v>0</v>
      </c>
      <c r="M75" s="74">
        <v>5.3319999999999999</v>
      </c>
      <c r="N75" s="76">
        <v>0.08</v>
      </c>
      <c r="O75" s="74">
        <v>0.08</v>
      </c>
      <c r="P75" s="74">
        <v>5.3319999999999999</v>
      </c>
      <c r="Q75" s="75">
        <v>0</v>
      </c>
      <c r="R75" s="75">
        <v>1.5003750937734435E-2</v>
      </c>
      <c r="S75" s="77">
        <v>1.5003750937734435E-2</v>
      </c>
      <c r="T75" s="73">
        <v>91</v>
      </c>
      <c r="U75" s="78">
        <v>0</v>
      </c>
      <c r="V75" s="78">
        <v>5.0190000000000001</v>
      </c>
      <c r="W75" s="78">
        <v>1.1360000000000001</v>
      </c>
      <c r="X75" s="78">
        <v>1.1360000000000001</v>
      </c>
      <c r="Y75" s="78">
        <v>5.0190000000000001</v>
      </c>
      <c r="Z75" s="19">
        <v>0</v>
      </c>
      <c r="AA75" s="19">
        <v>0.24039605311442608</v>
      </c>
      <c r="AB75" s="79">
        <v>0.24039605311442608</v>
      </c>
    </row>
    <row r="76" spans="2:28">
      <c r="B76" s="65">
        <v>92</v>
      </c>
      <c r="C76" s="66"/>
      <c r="D76" s="66">
        <v>4.4630000000000001</v>
      </c>
      <c r="E76" s="66">
        <v>2.024</v>
      </c>
      <c r="F76" s="66">
        <v>2.024</v>
      </c>
      <c r="G76" s="66">
        <v>4.4630000000000001</v>
      </c>
      <c r="H76" s="67">
        <v>0</v>
      </c>
      <c r="I76" s="67">
        <v>0.45350660990365227</v>
      </c>
      <c r="J76" s="68">
        <v>0.45350660990365227</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4.7460000000000004</v>
      </c>
      <c r="W76" s="70">
        <v>1.0445</v>
      </c>
      <c r="X76" s="70">
        <v>1.0445</v>
      </c>
      <c r="Y76" s="70">
        <v>4.7460000000000004</v>
      </c>
      <c r="Z76" s="71">
        <v>0</v>
      </c>
      <c r="AA76" s="71">
        <v>0.23321582235091143</v>
      </c>
      <c r="AB76" s="72">
        <v>0.23321582235091143</v>
      </c>
    </row>
    <row r="77" spans="2:28">
      <c r="B77" s="73">
        <v>93</v>
      </c>
      <c r="C77" s="74"/>
      <c r="D77" s="74">
        <v>4.2380000000000004</v>
      </c>
      <c r="E77" s="74">
        <v>1.839</v>
      </c>
      <c r="F77" s="74">
        <v>1.839</v>
      </c>
      <c r="G77" s="74">
        <v>4.2380000000000004</v>
      </c>
      <c r="H77" s="75">
        <v>0</v>
      </c>
      <c r="I77" s="75">
        <v>0.43393109957527132</v>
      </c>
      <c r="J77" s="77">
        <v>0.43393109957527132</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4.4924999999999997</v>
      </c>
      <c r="W77" s="78">
        <v>0.94599999999999995</v>
      </c>
      <c r="X77" s="78">
        <v>0.94599999999999995</v>
      </c>
      <c r="Y77" s="78">
        <v>4.4924999999999997</v>
      </c>
      <c r="Z77" s="19">
        <v>0</v>
      </c>
      <c r="AA77" s="19">
        <v>0.22254802292856676</v>
      </c>
      <c r="AB77" s="79">
        <v>0.22254802292856676</v>
      </c>
    </row>
    <row r="78" spans="2:28">
      <c r="B78" s="65">
        <v>94</v>
      </c>
      <c r="C78" s="66"/>
      <c r="D78" s="66">
        <v>4.0309999999999997</v>
      </c>
      <c r="E78" s="66">
        <v>1.6739999999999999</v>
      </c>
      <c r="F78" s="66">
        <v>1.6739999999999999</v>
      </c>
      <c r="G78" s="66">
        <v>4.0309999999999997</v>
      </c>
      <c r="H78" s="67">
        <v>0</v>
      </c>
      <c r="I78" s="67">
        <v>0.41528156784916898</v>
      </c>
      <c r="J78" s="68">
        <v>0.41528156784916898</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4.258</v>
      </c>
      <c r="W78" s="70">
        <v>0.85799999999999998</v>
      </c>
      <c r="X78" s="70">
        <v>0.85799999999999998</v>
      </c>
      <c r="Y78" s="70">
        <v>4.258</v>
      </c>
      <c r="Z78" s="71">
        <v>0</v>
      </c>
      <c r="AA78" s="71">
        <v>0.21232305817207614</v>
      </c>
      <c r="AB78" s="72">
        <v>0.21232305817207614</v>
      </c>
    </row>
    <row r="79" spans="2:28">
      <c r="B79" s="73">
        <v>95</v>
      </c>
      <c r="C79" s="74"/>
      <c r="D79" s="74">
        <v>3.8420000000000001</v>
      </c>
      <c r="E79" s="74">
        <v>1.528</v>
      </c>
      <c r="F79" s="74">
        <v>1.528</v>
      </c>
      <c r="G79" s="74">
        <v>3.8420000000000001</v>
      </c>
      <c r="H79" s="75">
        <v>0</v>
      </c>
      <c r="I79" s="75">
        <v>0.39770952628839146</v>
      </c>
      <c r="J79" s="77">
        <v>0.39770952628839146</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4.0434999999999999</v>
      </c>
      <c r="W79" s="78">
        <v>0.78100000000000003</v>
      </c>
      <c r="X79" s="78">
        <v>0.78100000000000003</v>
      </c>
      <c r="Y79" s="78">
        <v>4.0434999999999999</v>
      </c>
      <c r="Z79" s="19">
        <v>0</v>
      </c>
      <c r="AA79" s="19">
        <v>0.20285947456940184</v>
      </c>
      <c r="AB79" s="79">
        <v>0.20285947456940184</v>
      </c>
    </row>
    <row r="80" spans="2:28">
      <c r="B80" s="65">
        <v>96</v>
      </c>
      <c r="C80" s="66"/>
      <c r="D80" s="66">
        <v>3.67</v>
      </c>
      <c r="E80" s="66">
        <v>1.3640000000000001</v>
      </c>
      <c r="F80" s="66">
        <v>1.3640000000000001</v>
      </c>
      <c r="G80" s="66">
        <v>3.67</v>
      </c>
      <c r="H80" s="67">
        <v>0</v>
      </c>
      <c r="I80" s="67">
        <v>0.3716621253405995</v>
      </c>
      <c r="J80" s="68">
        <v>0.3716621253405995</v>
      </c>
      <c r="K80" s="65">
        <v>96</v>
      </c>
      <c r="L80" s="66">
        <v>0</v>
      </c>
      <c r="M80" s="66">
        <v>4.024</v>
      </c>
      <c r="N80" s="69">
        <v>2.7E-2</v>
      </c>
      <c r="O80" s="66">
        <v>2.7E-2</v>
      </c>
      <c r="P80" s="66">
        <v>4.024</v>
      </c>
      <c r="Q80" s="67">
        <v>0</v>
      </c>
      <c r="R80" s="67">
        <v>6.7097415506958248E-3</v>
      </c>
      <c r="S80" s="68">
        <v>6.7097415506958248E-3</v>
      </c>
      <c r="T80" s="65">
        <v>96</v>
      </c>
      <c r="U80" s="70">
        <v>0</v>
      </c>
      <c r="V80" s="70">
        <v>3.847</v>
      </c>
      <c r="W80" s="70">
        <v>0.69550000000000001</v>
      </c>
      <c r="X80" s="70">
        <v>0.69550000000000001</v>
      </c>
      <c r="Y80" s="70">
        <v>3.847</v>
      </c>
      <c r="Z80" s="71">
        <v>0</v>
      </c>
      <c r="AA80" s="71">
        <v>0.18918593344564766</v>
      </c>
      <c r="AB80" s="72">
        <v>0.18918593344564766</v>
      </c>
    </row>
    <row r="81" spans="2:28">
      <c r="B81" s="73">
        <v>97</v>
      </c>
      <c r="C81" s="74"/>
      <c r="D81" s="74">
        <v>3.5129999999999999</v>
      </c>
      <c r="E81" s="74">
        <v>1.2110000000000001</v>
      </c>
      <c r="F81" s="74">
        <v>1.2110000000000001</v>
      </c>
      <c r="G81" s="74">
        <v>3.5129999999999999</v>
      </c>
      <c r="H81" s="75">
        <v>0</v>
      </c>
      <c r="I81" s="75">
        <v>0.34471961286649588</v>
      </c>
      <c r="J81" s="77">
        <v>0.34471961286649588</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3.6684999999999999</v>
      </c>
      <c r="W81" s="78">
        <v>0.61599999999999999</v>
      </c>
      <c r="X81" s="78">
        <v>0.61599999999999999</v>
      </c>
      <c r="Y81" s="78">
        <v>3.6684999999999999</v>
      </c>
      <c r="Z81" s="19">
        <v>0</v>
      </c>
      <c r="AA81" s="19">
        <v>0.17510562233282953</v>
      </c>
      <c r="AB81" s="79">
        <v>0.17510562233282953</v>
      </c>
    </row>
    <row r="82" spans="2:28">
      <c r="B82" s="65">
        <v>98</v>
      </c>
      <c r="C82" s="66"/>
      <c r="D82" s="66">
        <v>3.371</v>
      </c>
      <c r="E82" s="66">
        <v>1.038</v>
      </c>
      <c r="F82" s="66">
        <v>1.038</v>
      </c>
      <c r="G82" s="66">
        <v>3.371</v>
      </c>
      <c r="H82" s="67">
        <v>0</v>
      </c>
      <c r="I82" s="67">
        <v>0.30792049836843666</v>
      </c>
      <c r="J82" s="68">
        <v>0.30792049836843666</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3.5069999999999997</v>
      </c>
      <c r="W82" s="70">
        <v>0.52749999999999997</v>
      </c>
      <c r="X82" s="70">
        <v>0.52749999999999997</v>
      </c>
      <c r="Y82" s="70">
        <v>3.5069999999999997</v>
      </c>
      <c r="Z82" s="71">
        <v>0</v>
      </c>
      <c r="AA82" s="71">
        <v>0.15629349101787191</v>
      </c>
      <c r="AB82" s="72">
        <v>0.15629349101787191</v>
      </c>
    </row>
    <row r="83" spans="2:28">
      <c r="B83" s="73">
        <v>99</v>
      </c>
      <c r="C83" s="74"/>
      <c r="D83" s="74">
        <v>3.2429999999999999</v>
      </c>
      <c r="E83" s="74">
        <v>0.84499999999999997</v>
      </c>
      <c r="F83" s="74">
        <v>0.84499999999999997</v>
      </c>
      <c r="G83" s="74">
        <v>3.2429999999999999</v>
      </c>
      <c r="H83" s="75">
        <v>0</v>
      </c>
      <c r="I83" s="75">
        <v>0.26056120875732347</v>
      </c>
      <c r="J83" s="77">
        <v>0.26056120875732347</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3.3614999999999999</v>
      </c>
      <c r="W83" s="78">
        <v>0.42899999999999999</v>
      </c>
      <c r="X83" s="78">
        <v>0.42899999999999999</v>
      </c>
      <c r="Y83" s="78">
        <v>3.3614999999999999</v>
      </c>
      <c r="Z83" s="19">
        <v>0</v>
      </c>
      <c r="AA83" s="19">
        <v>0.13214842047061576</v>
      </c>
      <c r="AB83" s="79">
        <v>0.13214842047061576</v>
      </c>
    </row>
    <row r="84" spans="2:28" ht="15.75" thickBot="1">
      <c r="B84" s="90">
        <v>100</v>
      </c>
      <c r="C84" s="91"/>
      <c r="D84" s="91">
        <v>3.1269999999999998</v>
      </c>
      <c r="E84" s="91">
        <v>0.67</v>
      </c>
      <c r="F84" s="91">
        <v>0.67</v>
      </c>
      <c r="G84" s="91">
        <v>3.1269999999999998</v>
      </c>
      <c r="H84" s="92">
        <v>0</v>
      </c>
      <c r="I84" s="92">
        <v>0.21426287176207229</v>
      </c>
      <c r="J84" s="94">
        <v>0.21426287176207229</v>
      </c>
      <c r="K84" s="90">
        <v>100</v>
      </c>
      <c r="L84" s="91">
        <v>0</v>
      </c>
      <c r="M84" s="91">
        <v>3.335</v>
      </c>
      <c r="N84" s="93">
        <v>0.01</v>
      </c>
      <c r="O84" s="91">
        <v>0.01</v>
      </c>
      <c r="P84" s="91">
        <v>3.335</v>
      </c>
      <c r="Q84" s="92">
        <v>0</v>
      </c>
      <c r="R84" s="92">
        <v>2.9985007496251873E-3</v>
      </c>
      <c r="S84" s="94">
        <v>2.9985007496251873E-3</v>
      </c>
      <c r="T84" s="90">
        <v>100</v>
      </c>
      <c r="U84" s="95">
        <v>0</v>
      </c>
      <c r="V84" s="95">
        <v>3.2309999999999999</v>
      </c>
      <c r="W84" s="95">
        <v>0.34</v>
      </c>
      <c r="X84" s="95">
        <v>0.34</v>
      </c>
      <c r="Y84" s="95">
        <v>3.2309999999999999</v>
      </c>
      <c r="Z84" s="96">
        <v>0</v>
      </c>
      <c r="AA84" s="96">
        <v>0.10863068625584874</v>
      </c>
      <c r="AB84" s="97">
        <v>0.10863068625584874</v>
      </c>
    </row>
  </sheetData>
  <sheetProtection algorithmName="SHA-512" hashValue="Ug/NFkTiiK0p/pCOw6LKO/BhsbV2CjgZzJrU54XVrK+fPzbAvmPXN+HEi9I3JEj5whoq58wV6P+z1iQjsR48Rw==" saltValue="jO1v0wT+xt3QkYDNTa4QXg==" spinCount="100000" sheet="1" objects="1" scenarios="1" formatColumns="0" autoFilter="0"/>
  <mergeCells count="3">
    <mergeCell ref="H2:J2"/>
    <mergeCell ref="Q2:S2"/>
    <mergeCell ref="Z2:AB2"/>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8334-C491-467F-8294-AE26783C844E}">
  <sheetPr codeName="Tabelle34"/>
  <dimension ref="A1:DU117"/>
  <sheetViews>
    <sheetView workbookViewId="0">
      <pane xSplit="1" ySplit="1" topLeftCell="BC2" activePane="bottomRight" state="frozen"/>
      <selection pane="topRight" activeCell="B1" sqref="B1"/>
      <selection pane="bottomLeft" activeCell="A2" sqref="A2"/>
      <selection pane="bottomRight" sqref="A1:XFD1048576"/>
    </sheetView>
  </sheetViews>
  <sheetFormatPr baseColWidth="10" defaultColWidth="12.7109375" defaultRowHeight="15"/>
  <cols>
    <col min="1" max="1" width="6.28515625" style="26" customWidth="1"/>
    <col min="2" max="122" width="6.28515625" customWidth="1"/>
  </cols>
  <sheetData>
    <row r="1" spans="1:125" s="26" customFormat="1">
      <c r="A1" s="24" t="s">
        <v>2126</v>
      </c>
      <c r="B1" s="36">
        <v>1900</v>
      </c>
      <c r="C1" s="36">
        <v>1901</v>
      </c>
      <c r="D1" s="36">
        <v>1902</v>
      </c>
      <c r="E1" s="36">
        <v>1903</v>
      </c>
      <c r="F1" s="36">
        <v>1904</v>
      </c>
      <c r="G1" s="36">
        <v>1905</v>
      </c>
      <c r="H1" s="36">
        <v>1906</v>
      </c>
      <c r="I1" s="36">
        <v>1907</v>
      </c>
      <c r="J1" s="36">
        <v>1908</v>
      </c>
      <c r="K1" s="36">
        <v>1909</v>
      </c>
      <c r="L1" s="36">
        <v>1910</v>
      </c>
      <c r="M1" s="36">
        <v>1911</v>
      </c>
      <c r="N1" s="36">
        <v>1912</v>
      </c>
      <c r="O1" s="36">
        <v>1913</v>
      </c>
      <c r="P1" s="36">
        <v>1914</v>
      </c>
      <c r="Q1" s="36">
        <v>1915</v>
      </c>
      <c r="R1" s="36">
        <v>1916</v>
      </c>
      <c r="S1" s="36">
        <v>1917</v>
      </c>
      <c r="T1" s="36">
        <v>1918</v>
      </c>
      <c r="U1" s="36">
        <v>1919</v>
      </c>
      <c r="V1" s="36">
        <v>1920</v>
      </c>
      <c r="W1" s="36">
        <v>1921</v>
      </c>
      <c r="X1" s="36">
        <v>1922</v>
      </c>
      <c r="Y1" s="36">
        <v>1923</v>
      </c>
      <c r="Z1" s="36">
        <v>1924</v>
      </c>
      <c r="AA1" s="36">
        <v>1925</v>
      </c>
      <c r="AB1" s="36">
        <v>1926</v>
      </c>
      <c r="AC1" s="36">
        <v>1927</v>
      </c>
      <c r="AD1" s="36">
        <v>1928</v>
      </c>
      <c r="AE1" s="36">
        <v>1929</v>
      </c>
      <c r="AF1" s="36">
        <v>1930</v>
      </c>
      <c r="AG1" s="36">
        <v>1931</v>
      </c>
      <c r="AH1" s="36">
        <v>1932</v>
      </c>
      <c r="AI1" s="36">
        <v>1933</v>
      </c>
      <c r="AJ1" s="36">
        <v>1934</v>
      </c>
      <c r="AK1" s="36">
        <v>1935</v>
      </c>
      <c r="AL1" s="36">
        <v>1936</v>
      </c>
      <c r="AM1" s="36">
        <v>1937</v>
      </c>
      <c r="AN1" s="36">
        <v>1938</v>
      </c>
      <c r="AO1" s="36">
        <v>1939</v>
      </c>
      <c r="AP1" s="36">
        <v>1940</v>
      </c>
      <c r="AQ1" s="36">
        <v>1941</v>
      </c>
      <c r="AR1" s="36">
        <v>1942</v>
      </c>
      <c r="AS1" s="36">
        <v>1943</v>
      </c>
      <c r="AT1" s="36">
        <v>1944</v>
      </c>
      <c r="AU1" s="36">
        <v>1945</v>
      </c>
      <c r="AV1" s="36">
        <v>1946</v>
      </c>
      <c r="AW1" s="36">
        <v>1947</v>
      </c>
      <c r="AX1" s="36">
        <v>1948</v>
      </c>
      <c r="AY1" s="36">
        <v>1949</v>
      </c>
      <c r="AZ1" s="36">
        <v>1950</v>
      </c>
      <c r="BA1" s="36">
        <v>1951</v>
      </c>
      <c r="BB1" s="36">
        <v>1952</v>
      </c>
      <c r="BC1" s="36">
        <v>1953</v>
      </c>
      <c r="BD1" s="36">
        <v>1954</v>
      </c>
      <c r="BE1" s="36">
        <v>1955</v>
      </c>
      <c r="BF1" s="36">
        <v>1956</v>
      </c>
      <c r="BG1" s="36">
        <v>1957</v>
      </c>
      <c r="BH1" s="36">
        <v>1958</v>
      </c>
      <c r="BI1" s="36">
        <v>1959</v>
      </c>
      <c r="BJ1" s="36">
        <v>1960</v>
      </c>
      <c r="BK1" s="36">
        <v>1961</v>
      </c>
      <c r="BL1" s="36">
        <v>1962</v>
      </c>
      <c r="BM1" s="36">
        <v>1963</v>
      </c>
      <c r="BN1" s="36">
        <v>1964</v>
      </c>
      <c r="BO1" s="36">
        <v>1965</v>
      </c>
      <c r="BP1" s="36">
        <v>1966</v>
      </c>
      <c r="BQ1" s="36">
        <v>1967</v>
      </c>
      <c r="BR1" s="36">
        <v>1968</v>
      </c>
      <c r="BS1" s="36">
        <v>1969</v>
      </c>
      <c r="BT1" s="36">
        <v>1970</v>
      </c>
      <c r="BU1" s="36">
        <v>1971</v>
      </c>
      <c r="BV1" s="36">
        <v>1972</v>
      </c>
      <c r="BW1" s="36">
        <v>1973</v>
      </c>
      <c r="BX1" s="36">
        <v>1974</v>
      </c>
      <c r="BY1" s="36">
        <v>1975</v>
      </c>
      <c r="BZ1" s="36">
        <v>1976</v>
      </c>
      <c r="CA1" s="36">
        <v>1977</v>
      </c>
      <c r="CB1" s="36">
        <v>1978</v>
      </c>
      <c r="CC1" s="36">
        <v>1979</v>
      </c>
      <c r="CD1" s="36">
        <v>1980</v>
      </c>
      <c r="CE1" s="36">
        <v>1981</v>
      </c>
      <c r="CF1" s="36">
        <v>1982</v>
      </c>
      <c r="CG1" s="36">
        <v>1983</v>
      </c>
      <c r="CH1" s="36">
        <v>1984</v>
      </c>
      <c r="CI1" s="36">
        <v>1985</v>
      </c>
      <c r="CJ1" s="36">
        <v>1986</v>
      </c>
      <c r="CK1" s="36">
        <v>1987</v>
      </c>
      <c r="CL1" s="36">
        <v>1988</v>
      </c>
      <c r="CM1" s="36">
        <v>1989</v>
      </c>
      <c r="CN1" s="36">
        <v>1990</v>
      </c>
      <c r="CO1" s="36">
        <v>1991</v>
      </c>
      <c r="CP1" s="36">
        <v>1992</v>
      </c>
      <c r="CQ1" s="36">
        <v>1993</v>
      </c>
      <c r="CR1" s="36">
        <v>1994</v>
      </c>
      <c r="CS1" s="36">
        <v>1995</v>
      </c>
      <c r="CT1" s="36">
        <v>1996</v>
      </c>
      <c r="CU1" s="36">
        <v>1997</v>
      </c>
      <c r="CV1" s="36">
        <v>1998</v>
      </c>
      <c r="CW1" s="36">
        <v>1999</v>
      </c>
      <c r="CX1" s="36">
        <v>2000</v>
      </c>
      <c r="CY1" s="36">
        <v>2001</v>
      </c>
      <c r="CZ1" s="36">
        <v>2002</v>
      </c>
      <c r="DA1" s="36">
        <v>2003</v>
      </c>
      <c r="DB1" s="36">
        <v>2004</v>
      </c>
      <c r="DC1" s="36">
        <v>2005</v>
      </c>
      <c r="DD1" s="36">
        <v>2006</v>
      </c>
      <c r="DE1" s="36">
        <v>2007</v>
      </c>
      <c r="DF1" s="36">
        <v>2008</v>
      </c>
      <c r="DG1" s="36">
        <v>2009</v>
      </c>
      <c r="DH1" s="36">
        <v>2010</v>
      </c>
      <c r="DI1" s="36">
        <v>2011</v>
      </c>
      <c r="DJ1" s="36">
        <v>2012</v>
      </c>
      <c r="DK1" s="36">
        <v>2013</v>
      </c>
      <c r="DL1" s="36">
        <v>2014</v>
      </c>
      <c r="DM1" s="36">
        <v>2015</v>
      </c>
      <c r="DN1" s="36">
        <v>2016</v>
      </c>
      <c r="DO1" s="36">
        <v>2017</v>
      </c>
      <c r="DP1" s="36">
        <v>2018</v>
      </c>
      <c r="DQ1" s="36">
        <v>2019</v>
      </c>
      <c r="DR1" s="36">
        <v>2020</v>
      </c>
    </row>
    <row r="2" spans="1:125">
      <c r="A2" s="34">
        <v>0</v>
      </c>
      <c r="B2" s="35"/>
      <c r="C2" s="35"/>
      <c r="D2" s="35"/>
      <c r="E2" s="35"/>
      <c r="F2" s="35"/>
      <c r="G2" s="35"/>
      <c r="H2" s="35"/>
      <c r="I2" s="35"/>
      <c r="J2" s="35"/>
      <c r="K2" s="35"/>
      <c r="L2" s="35"/>
      <c r="M2" s="35"/>
      <c r="N2" s="35"/>
      <c r="O2" s="35"/>
      <c r="P2" s="35"/>
      <c r="Q2" s="35"/>
      <c r="R2" s="35"/>
      <c r="S2" s="35"/>
      <c r="T2" s="35"/>
      <c r="U2" s="35"/>
      <c r="V2" s="29"/>
      <c r="W2" s="29">
        <v>65.28</v>
      </c>
      <c r="X2" s="29">
        <v>66.06</v>
      </c>
      <c r="Y2" s="29">
        <v>66.276415071410952</v>
      </c>
      <c r="Z2" s="29">
        <v>68.091991191526489</v>
      </c>
      <c r="AA2" s="29">
        <v>68.571147942150844</v>
      </c>
      <c r="AB2" s="29">
        <v>69.189170012223684</v>
      </c>
      <c r="AC2" s="29">
        <v>70.045877551772378</v>
      </c>
      <c r="AD2" s="29">
        <v>70.816602533984778</v>
      </c>
      <c r="AE2" s="29">
        <v>70.919777740808996</v>
      </c>
      <c r="AF2" s="29">
        <v>71.973755716031448</v>
      </c>
      <c r="AG2" s="29">
        <v>72.492327921260198</v>
      </c>
      <c r="AH2" s="29">
        <v>72.762716310271259</v>
      </c>
      <c r="AI2" s="29">
        <v>73.226018250385678</v>
      </c>
      <c r="AJ2" s="29">
        <v>74.419202176280862</v>
      </c>
      <c r="AK2" s="29">
        <v>74.622436150127896</v>
      </c>
      <c r="AL2" s="29">
        <v>75.141458660782362</v>
      </c>
      <c r="AM2" s="29">
        <v>75.574507593522966</v>
      </c>
      <c r="AN2" s="29">
        <v>76.139129911989684</v>
      </c>
      <c r="AO2" s="29">
        <v>76.281273419268771</v>
      </c>
      <c r="AP2" s="29">
        <v>76.460264684478986</v>
      </c>
      <c r="AQ2" s="29">
        <v>76.550244197712061</v>
      </c>
      <c r="AR2" s="29">
        <v>76.595330634374221</v>
      </c>
      <c r="AS2" s="29">
        <v>76.175653069053723</v>
      </c>
      <c r="AT2" s="29">
        <v>75.566428372382617</v>
      </c>
      <c r="AU2" s="29">
        <v>74.66651186806719</v>
      </c>
      <c r="AV2" s="29">
        <v>74.857694857060125</v>
      </c>
      <c r="AW2" s="29">
        <v>75.310882152047185</v>
      </c>
      <c r="AX2" s="29">
        <v>76.990785887138557</v>
      </c>
      <c r="AY2" s="29">
        <v>78.45826280914649</v>
      </c>
      <c r="AZ2" s="29">
        <v>78.627693466406626</v>
      </c>
      <c r="BA2" s="29">
        <v>78.779370257947321</v>
      </c>
      <c r="BB2" s="29">
        <v>79.362263444420066</v>
      </c>
      <c r="BC2" s="29">
        <v>79.670112870040668</v>
      </c>
      <c r="BD2" s="29">
        <v>80.005149152558886</v>
      </c>
      <c r="BE2" s="29">
        <v>80.187913377089799</v>
      </c>
      <c r="BF2" s="29">
        <v>80.583421814129053</v>
      </c>
      <c r="BG2" s="29">
        <v>80.862264328562119</v>
      </c>
      <c r="BH2" s="29">
        <v>81.187238855652183</v>
      </c>
      <c r="BI2" s="29">
        <v>81.391016665303752</v>
      </c>
      <c r="BJ2" s="29">
        <v>81.69886028744277</v>
      </c>
      <c r="BK2" s="29">
        <v>82.051949733891661</v>
      </c>
      <c r="BL2" s="29">
        <v>82.468543134675599</v>
      </c>
      <c r="BM2" s="29">
        <v>82.813368537136924</v>
      </c>
      <c r="BN2" s="29">
        <v>83.15990290103332</v>
      </c>
      <c r="BO2" s="29">
        <v>83.425918653529223</v>
      </c>
      <c r="BP2" s="29">
        <v>83.707776603448906</v>
      </c>
      <c r="BQ2" s="29">
        <v>83.915218230073819</v>
      </c>
      <c r="BR2" s="29">
        <v>84.139171773656926</v>
      </c>
      <c r="BS2" s="29">
        <v>84.275491089423241</v>
      </c>
      <c r="BT2" s="29">
        <v>84.474601078233292</v>
      </c>
      <c r="BU2" s="29">
        <v>84.647304249953436</v>
      </c>
      <c r="BV2" s="29">
        <v>84.867909644140212</v>
      </c>
      <c r="BW2" s="29">
        <v>85.078829423108672</v>
      </c>
      <c r="BX2" s="29">
        <v>85.298498186606537</v>
      </c>
      <c r="BY2" s="29">
        <v>85.50855897805134</v>
      </c>
      <c r="BZ2" s="29">
        <v>85.829476533164367</v>
      </c>
      <c r="CA2" s="29">
        <v>86.099666942830027</v>
      </c>
      <c r="CB2" s="29">
        <v>86.319252605090426</v>
      </c>
      <c r="CC2" s="29">
        <v>86.514948587405627</v>
      </c>
      <c r="CD2" s="29">
        <v>86.715724334436118</v>
      </c>
      <c r="CE2" s="29">
        <v>86.91088725247144</v>
      </c>
      <c r="CF2" s="29">
        <v>87.107104424278276</v>
      </c>
      <c r="CG2" s="29">
        <v>87.316483072362146</v>
      </c>
      <c r="CH2" s="29">
        <v>87.492874286431388</v>
      </c>
      <c r="CI2" s="29">
        <v>87.707475356836696</v>
      </c>
      <c r="CJ2" s="29">
        <v>87.865690589145458</v>
      </c>
      <c r="CK2" s="29">
        <v>88.047494123863672</v>
      </c>
      <c r="CL2" s="29">
        <v>88.251749511622336</v>
      </c>
      <c r="CM2" s="29">
        <v>88.411559843289126</v>
      </c>
      <c r="CN2" s="29">
        <v>88.597639888591928</v>
      </c>
      <c r="CO2" s="29">
        <v>88.746253320920488</v>
      </c>
      <c r="CP2" s="29">
        <v>88.926869119162575</v>
      </c>
      <c r="CQ2" s="29">
        <v>89.086374357394234</v>
      </c>
      <c r="CR2" s="29">
        <v>89.236932603591583</v>
      </c>
      <c r="CS2" s="29">
        <v>89.397471015285987</v>
      </c>
      <c r="CT2" s="29">
        <v>89.541821435909682</v>
      </c>
      <c r="CU2" s="29">
        <v>89.6812582205757</v>
      </c>
      <c r="CV2" s="29">
        <v>89.804450130231061</v>
      </c>
      <c r="CW2" s="29">
        <v>89.954455957926257</v>
      </c>
      <c r="CX2" s="29">
        <v>90.095092913474161</v>
      </c>
      <c r="CY2" s="29">
        <v>90.225179524828789</v>
      </c>
      <c r="CZ2" s="29">
        <v>90.33057890159678</v>
      </c>
      <c r="DA2" s="29">
        <v>90.450569592480804</v>
      </c>
      <c r="DB2" s="29">
        <v>90.581595294196106</v>
      </c>
      <c r="DC2" s="29">
        <v>90.725357806454483</v>
      </c>
      <c r="DD2" s="29">
        <v>90.838660886196067</v>
      </c>
      <c r="DE2" s="29">
        <v>90.967235083179375</v>
      </c>
      <c r="DF2" s="29">
        <v>91.123540495581324</v>
      </c>
      <c r="DG2" s="29">
        <v>91.217988535467939</v>
      </c>
      <c r="DH2" s="29">
        <v>91.346878408609385</v>
      </c>
      <c r="DI2" s="29">
        <v>91.438453808253868</v>
      </c>
      <c r="DJ2" s="29">
        <v>91.567633303374308</v>
      </c>
      <c r="DK2" s="29">
        <v>91.693873274795436</v>
      </c>
      <c r="DL2" s="29">
        <v>91.802517966986258</v>
      </c>
      <c r="DM2" s="29">
        <v>91.892527767895089</v>
      </c>
      <c r="DN2" s="29">
        <v>92.000925511752484</v>
      </c>
      <c r="DO2" s="29">
        <v>92.121191151652113</v>
      </c>
      <c r="DP2" s="29">
        <v>92.245736364713238</v>
      </c>
      <c r="DQ2" s="29">
        <v>92.348526026191436</v>
      </c>
      <c r="DR2" s="29">
        <v>92.451039206368009</v>
      </c>
      <c r="DS2">
        <v>92.563477932733193</v>
      </c>
      <c r="DT2">
        <v>92.677015416863554</v>
      </c>
      <c r="DU2">
        <v>92.789105218103245</v>
      </c>
    </row>
    <row r="3" spans="1:125">
      <c r="A3" s="34">
        <v>1</v>
      </c>
      <c r="B3" s="35"/>
      <c r="C3" s="35"/>
      <c r="D3" s="35"/>
      <c r="E3" s="35"/>
      <c r="F3" s="35"/>
      <c r="G3" s="35"/>
      <c r="H3" s="35"/>
      <c r="I3" s="35"/>
      <c r="J3" s="35"/>
      <c r="K3" s="35"/>
      <c r="L3" s="35"/>
      <c r="M3" s="35"/>
      <c r="N3" s="35"/>
      <c r="O3" s="35"/>
      <c r="P3" s="35"/>
      <c r="Q3" s="35"/>
      <c r="R3" s="35"/>
      <c r="S3" s="35"/>
      <c r="T3" s="35"/>
      <c r="U3" s="35"/>
      <c r="V3" s="29"/>
      <c r="W3" s="29">
        <v>73.16</v>
      </c>
      <c r="X3" s="29">
        <v>73.69</v>
      </c>
      <c r="Y3" s="29">
        <v>74.191614472032654</v>
      </c>
      <c r="Z3" s="29">
        <v>74.460530280706237</v>
      </c>
      <c r="AA3" s="29">
        <v>74.657711305742424</v>
      </c>
      <c r="AB3" s="29">
        <v>75.089294441596181</v>
      </c>
      <c r="AC3" s="29">
        <v>75.612279999005182</v>
      </c>
      <c r="AD3" s="29">
        <v>75.869222912794953</v>
      </c>
      <c r="AE3" s="29">
        <v>76.440130529710288</v>
      </c>
      <c r="AF3" s="29">
        <v>76.78634496956893</v>
      </c>
      <c r="AG3" s="29">
        <v>77.06214386847968</v>
      </c>
      <c r="AH3" s="29">
        <v>77.305828737827611</v>
      </c>
      <c r="AI3" s="29">
        <v>77.551993021340564</v>
      </c>
      <c r="AJ3" s="29">
        <v>77.987400070363023</v>
      </c>
      <c r="AK3" s="29">
        <v>78.363829111031848</v>
      </c>
      <c r="AL3" s="29">
        <v>78.754553659532164</v>
      </c>
      <c r="AM3" s="29">
        <v>79.084754566268828</v>
      </c>
      <c r="AN3" s="29">
        <v>79.34112766160095</v>
      </c>
      <c r="AO3" s="29">
        <v>79.580390932936453</v>
      </c>
      <c r="AP3" s="29">
        <v>79.769693450961356</v>
      </c>
      <c r="AQ3" s="29">
        <v>79.864953907119897</v>
      </c>
      <c r="AR3" s="29">
        <v>79.912784249945332</v>
      </c>
      <c r="AS3" s="29">
        <v>79.925823255465843</v>
      </c>
      <c r="AT3" s="29">
        <v>79.967357980735287</v>
      </c>
      <c r="AU3" s="29">
        <v>80.163655523089488</v>
      </c>
      <c r="AV3" s="29">
        <v>80.405817023360257</v>
      </c>
      <c r="AW3" s="29">
        <v>80.899048137319312</v>
      </c>
      <c r="AX3" s="29">
        <v>81.318055282598095</v>
      </c>
      <c r="AY3" s="29">
        <v>81.499660960290768</v>
      </c>
      <c r="AZ3" s="29">
        <v>81.678017337504727</v>
      </c>
      <c r="BA3" s="29">
        <v>81.837536669824487</v>
      </c>
      <c r="BB3" s="29">
        <v>81.966731526090527</v>
      </c>
      <c r="BC3" s="29">
        <v>82.110756881567738</v>
      </c>
      <c r="BD3" s="29">
        <v>82.213240637582302</v>
      </c>
      <c r="BE3" s="29">
        <v>82.352530011554919</v>
      </c>
      <c r="BF3" s="29">
        <v>82.519703225924133</v>
      </c>
      <c r="BG3" s="29">
        <v>82.716474659964192</v>
      </c>
      <c r="BH3" s="29">
        <v>82.90332889058682</v>
      </c>
      <c r="BI3" s="29">
        <v>83.061165796686282</v>
      </c>
      <c r="BJ3" s="29">
        <v>83.2287483196952</v>
      </c>
      <c r="BK3" s="29">
        <v>83.412029713911423</v>
      </c>
      <c r="BL3" s="29">
        <v>83.65296292444971</v>
      </c>
      <c r="BM3" s="29">
        <v>83.862114577905956</v>
      </c>
      <c r="BN3" s="29">
        <v>84.037888013514277</v>
      </c>
      <c r="BO3" s="29">
        <v>84.207141770345245</v>
      </c>
      <c r="BP3" s="29">
        <v>84.414617729028237</v>
      </c>
      <c r="BQ3" s="29">
        <v>84.597994739710927</v>
      </c>
      <c r="BR3" s="29">
        <v>84.752856550263587</v>
      </c>
      <c r="BS3" s="29">
        <v>84.947988673894926</v>
      </c>
      <c r="BT3" s="29">
        <v>85.123758275708369</v>
      </c>
      <c r="BU3" s="29">
        <v>85.273249033519704</v>
      </c>
      <c r="BV3" s="29">
        <v>85.45321601411537</v>
      </c>
      <c r="BW3" s="29">
        <v>85.608857000057299</v>
      </c>
      <c r="BX3" s="29">
        <v>85.771001967770246</v>
      </c>
      <c r="BY3" s="29">
        <v>85.924627152357516</v>
      </c>
      <c r="BZ3" s="29">
        <v>86.062334737522391</v>
      </c>
      <c r="CA3" s="29">
        <v>86.210936446151621</v>
      </c>
      <c r="CB3" s="29">
        <v>86.381492237902364</v>
      </c>
      <c r="CC3" s="29">
        <v>86.511861069210141</v>
      </c>
      <c r="CD3" s="29">
        <v>86.662832179865418</v>
      </c>
      <c r="CE3" s="29">
        <v>86.802760773002902</v>
      </c>
      <c r="CF3" s="29">
        <v>86.947902574874107</v>
      </c>
      <c r="CG3" s="29">
        <v>87.091447513431604</v>
      </c>
      <c r="CH3" s="29">
        <v>87.24770528732995</v>
      </c>
      <c r="CI3" s="29">
        <v>87.410733627473888</v>
      </c>
      <c r="CJ3" s="29">
        <v>87.527378487588692</v>
      </c>
      <c r="CK3" s="29">
        <v>87.680550165591171</v>
      </c>
      <c r="CL3" s="29">
        <v>87.829182450650691</v>
      </c>
      <c r="CM3" s="29">
        <v>87.973577914965119</v>
      </c>
      <c r="CN3" s="29">
        <v>88.136179913816548</v>
      </c>
      <c r="CO3" s="29">
        <v>88.260688013104641</v>
      </c>
      <c r="CP3" s="29">
        <v>88.404476296541105</v>
      </c>
      <c r="CQ3" s="29">
        <v>88.525477853805853</v>
      </c>
      <c r="CR3" s="29">
        <v>88.668843853286575</v>
      </c>
      <c r="CS3" s="29">
        <v>88.81155716072567</v>
      </c>
      <c r="CT3" s="29">
        <v>88.93791906260067</v>
      </c>
      <c r="CU3" s="29">
        <v>89.057903543446528</v>
      </c>
      <c r="CV3" s="29">
        <v>89.17369951580109</v>
      </c>
      <c r="CW3" s="29">
        <v>89.312898280746666</v>
      </c>
      <c r="CX3" s="29">
        <v>89.440300945761123</v>
      </c>
      <c r="CY3" s="29">
        <v>89.563828122303349</v>
      </c>
      <c r="CZ3" s="29">
        <v>89.679475110172646</v>
      </c>
      <c r="DA3" s="29">
        <v>89.797553567124027</v>
      </c>
      <c r="DB3" s="29">
        <v>89.916778216215434</v>
      </c>
      <c r="DC3" s="29">
        <v>90.033047552633775</v>
      </c>
      <c r="DD3" s="29">
        <v>90.154602499324497</v>
      </c>
      <c r="DE3" s="29">
        <v>90.275331047393962</v>
      </c>
      <c r="DF3" s="29">
        <v>90.404168532748784</v>
      </c>
      <c r="DG3" s="29">
        <v>90.504003549344446</v>
      </c>
      <c r="DH3" s="29">
        <v>90.630698430295226</v>
      </c>
      <c r="DI3" s="29">
        <v>90.736678012051286</v>
      </c>
      <c r="DJ3" s="29">
        <v>90.844765660608758</v>
      </c>
      <c r="DK3" s="29">
        <v>90.961109384822365</v>
      </c>
      <c r="DL3" s="29">
        <v>91.075608641407371</v>
      </c>
      <c r="DM3" s="29">
        <v>91.179081176853586</v>
      </c>
      <c r="DN3" s="29">
        <v>91.28747300274631</v>
      </c>
      <c r="DO3" s="29">
        <v>91.398672078788707</v>
      </c>
      <c r="DP3" s="29">
        <v>91.509269496004478</v>
      </c>
      <c r="DQ3" s="29">
        <v>91.614397055448023</v>
      </c>
      <c r="DR3" s="29">
        <v>91.715662063408629</v>
      </c>
      <c r="DS3">
        <v>91.821898525608347</v>
      </c>
      <c r="DT3">
        <v>91.925466293373006</v>
      </c>
      <c r="DU3">
        <v>92.027963137385044</v>
      </c>
    </row>
    <row r="4" spans="1:125">
      <c r="A4" s="34">
        <v>2</v>
      </c>
      <c r="B4" s="35"/>
      <c r="C4" s="35"/>
      <c r="D4" s="35"/>
      <c r="E4" s="35"/>
      <c r="F4" s="35"/>
      <c r="G4" s="35"/>
      <c r="H4" s="35"/>
      <c r="I4" s="35"/>
      <c r="J4" s="35"/>
      <c r="K4" s="35"/>
      <c r="L4" s="35"/>
      <c r="M4" s="35"/>
      <c r="N4" s="35"/>
      <c r="O4" s="35"/>
      <c r="P4" s="35"/>
      <c r="Q4" s="35"/>
      <c r="R4" s="35"/>
      <c r="S4" s="35"/>
      <c r="T4" s="35"/>
      <c r="U4" s="35"/>
      <c r="V4" s="29"/>
      <c r="W4" s="29">
        <v>73.52</v>
      </c>
      <c r="X4" s="29">
        <v>74.099999999999994</v>
      </c>
      <c r="Y4" s="29">
        <v>74.308505458528487</v>
      </c>
      <c r="Z4" s="29">
        <v>74.581497031384814</v>
      </c>
      <c r="AA4" s="29">
        <v>74.781666587899764</v>
      </c>
      <c r="AB4" s="29">
        <v>75.123138104969456</v>
      </c>
      <c r="AC4" s="29">
        <v>75.450202134291587</v>
      </c>
      <c r="AD4" s="29">
        <v>75.768922964954825</v>
      </c>
      <c r="AE4" s="29">
        <v>76.131393884297452</v>
      </c>
      <c r="AF4" s="29">
        <v>76.449082699288567</v>
      </c>
      <c r="AG4" s="29">
        <v>76.697479121650872</v>
      </c>
      <c r="AH4" s="29">
        <v>76.943186159923783</v>
      </c>
      <c r="AI4" s="29">
        <v>77.1913931872718</v>
      </c>
      <c r="AJ4" s="29">
        <v>77.550104116283507</v>
      </c>
      <c r="AK4" s="29">
        <v>77.911113228424099</v>
      </c>
      <c r="AL4" s="29">
        <v>78.289975378441042</v>
      </c>
      <c r="AM4" s="29">
        <v>78.583820072445903</v>
      </c>
      <c r="AN4" s="29">
        <v>78.851911588632817</v>
      </c>
      <c r="AO4" s="29">
        <v>79.092724962522041</v>
      </c>
      <c r="AP4" s="29">
        <v>79.283253904957931</v>
      </c>
      <c r="AQ4" s="29">
        <v>79.379131520095939</v>
      </c>
      <c r="AR4" s="29">
        <v>79.479087375648618</v>
      </c>
      <c r="AS4" s="29">
        <v>79.57008169148439</v>
      </c>
      <c r="AT4" s="29">
        <v>79.742129295523071</v>
      </c>
      <c r="AU4" s="29">
        <v>79.932591093947622</v>
      </c>
      <c r="AV4" s="29">
        <v>80.177090003796565</v>
      </c>
      <c r="AW4" s="29">
        <v>80.522154736705232</v>
      </c>
      <c r="AX4" s="29">
        <v>80.610051467882471</v>
      </c>
      <c r="AY4" s="29">
        <v>80.792313288128042</v>
      </c>
      <c r="AZ4" s="29">
        <v>80.971314068150079</v>
      </c>
      <c r="BA4" s="29">
        <v>81.105922421182186</v>
      </c>
      <c r="BB4" s="29">
        <v>81.21956416018206</v>
      </c>
      <c r="BC4" s="29">
        <v>81.338007502412864</v>
      </c>
      <c r="BD4" s="29">
        <v>81.453045880005789</v>
      </c>
      <c r="BE4" s="29">
        <v>81.561235545659329</v>
      </c>
      <c r="BF4" s="29">
        <v>81.738497373194775</v>
      </c>
      <c r="BG4" s="29">
        <v>81.903215453663009</v>
      </c>
      <c r="BH4" s="29">
        <v>82.102617121714971</v>
      </c>
      <c r="BI4" s="29">
        <v>82.24017250406024</v>
      </c>
      <c r="BJ4" s="29">
        <v>82.403066417791692</v>
      </c>
      <c r="BK4" s="29">
        <v>82.580671224222428</v>
      </c>
      <c r="BL4" s="29">
        <v>82.799706615587255</v>
      </c>
      <c r="BM4" s="29">
        <v>83.005682930711302</v>
      </c>
      <c r="BN4" s="29">
        <v>83.176755503953615</v>
      </c>
      <c r="BO4" s="29">
        <v>83.342113600590224</v>
      </c>
      <c r="BP4" s="29">
        <v>83.542010320786673</v>
      </c>
      <c r="BQ4" s="29">
        <v>83.719462635090295</v>
      </c>
      <c r="BR4" s="29">
        <v>83.881577223825047</v>
      </c>
      <c r="BS4" s="29">
        <v>84.063127071601926</v>
      </c>
      <c r="BT4" s="29">
        <v>84.23339622167488</v>
      </c>
      <c r="BU4" s="29">
        <v>84.373505938815228</v>
      </c>
      <c r="BV4" s="29">
        <v>84.548427115139418</v>
      </c>
      <c r="BW4" s="29">
        <v>84.703010581000214</v>
      </c>
      <c r="BX4" s="29">
        <v>84.863829820830119</v>
      </c>
      <c r="BY4" s="29">
        <v>85.007477448865686</v>
      </c>
      <c r="BZ4" s="29">
        <v>85.140686422643697</v>
      </c>
      <c r="CA4" s="29">
        <v>85.292987861742361</v>
      </c>
      <c r="CB4" s="29">
        <v>85.456166457024565</v>
      </c>
      <c r="CC4" s="29">
        <v>85.590800685477717</v>
      </c>
      <c r="CD4" s="29">
        <v>85.733196709266949</v>
      </c>
      <c r="CE4" s="29">
        <v>85.871048279755513</v>
      </c>
      <c r="CF4" s="29">
        <v>86.013293245281233</v>
      </c>
      <c r="CG4" s="29">
        <v>86.155561032742199</v>
      </c>
      <c r="CH4" s="29">
        <v>86.311544228447616</v>
      </c>
      <c r="CI4" s="29">
        <v>86.469312062038682</v>
      </c>
      <c r="CJ4" s="29">
        <v>86.584681735640615</v>
      </c>
      <c r="CK4" s="29">
        <v>86.734620006494026</v>
      </c>
      <c r="CL4" s="29">
        <v>86.883507071523681</v>
      </c>
      <c r="CM4" s="29">
        <v>87.026202767916828</v>
      </c>
      <c r="CN4" s="29">
        <v>87.182323983991608</v>
      </c>
      <c r="CO4" s="29">
        <v>87.307932380536528</v>
      </c>
      <c r="CP4" s="29">
        <v>87.448978631466161</v>
      </c>
      <c r="CQ4" s="29">
        <v>87.573254159983946</v>
      </c>
      <c r="CR4" s="29">
        <v>87.705591757930478</v>
      </c>
      <c r="CS4" s="29">
        <v>87.843349745204677</v>
      </c>
      <c r="CT4" s="29">
        <v>87.977147475271096</v>
      </c>
      <c r="CU4" s="29">
        <v>88.093084082389112</v>
      </c>
      <c r="CV4" s="29">
        <v>88.205807100499655</v>
      </c>
      <c r="CW4" s="29">
        <v>88.344098706499338</v>
      </c>
      <c r="CX4" s="29">
        <v>88.472473836664861</v>
      </c>
      <c r="CY4" s="29">
        <v>88.600040189835141</v>
      </c>
      <c r="CZ4" s="29">
        <v>88.710640842134836</v>
      </c>
      <c r="DA4" s="29">
        <v>88.826748460078377</v>
      </c>
      <c r="DB4" s="29">
        <v>88.941674940066349</v>
      </c>
      <c r="DC4" s="29">
        <v>89.0592082488822</v>
      </c>
      <c r="DD4" s="29">
        <v>89.180519773209269</v>
      </c>
      <c r="DE4" s="29">
        <v>89.299193898684194</v>
      </c>
      <c r="DF4" s="29">
        <v>89.424815415271709</v>
      </c>
      <c r="DG4" s="29">
        <v>89.533422767275908</v>
      </c>
      <c r="DH4" s="29">
        <v>89.648376328975672</v>
      </c>
      <c r="DI4" s="29">
        <v>89.76032424769005</v>
      </c>
      <c r="DJ4" s="29">
        <v>89.868897890808228</v>
      </c>
      <c r="DK4" s="29">
        <v>89.983527684710708</v>
      </c>
      <c r="DL4" s="29">
        <v>90.095532468318694</v>
      </c>
      <c r="DM4" s="29">
        <v>90.200621415581068</v>
      </c>
      <c r="DN4" s="29">
        <v>90.311550576682492</v>
      </c>
      <c r="DO4" s="29">
        <v>90.418350285195942</v>
      </c>
      <c r="DP4" s="29">
        <v>90.528089833235967</v>
      </c>
      <c r="DQ4" s="29">
        <v>90.63182983587707</v>
      </c>
      <c r="DR4" s="29">
        <v>90.735315574951485</v>
      </c>
      <c r="DS4">
        <v>90.839277378804496</v>
      </c>
      <c r="DT4">
        <v>90.942183795964723</v>
      </c>
      <c r="DU4">
        <v>91.04404425290133</v>
      </c>
    </row>
    <row r="5" spans="1:125">
      <c r="A5" s="34">
        <v>3</v>
      </c>
      <c r="B5" s="35"/>
      <c r="C5" s="35"/>
      <c r="D5" s="35"/>
      <c r="E5" s="35"/>
      <c r="F5" s="35"/>
      <c r="G5" s="35"/>
      <c r="H5" s="35"/>
      <c r="I5" s="35"/>
      <c r="J5" s="35"/>
      <c r="K5" s="35"/>
      <c r="L5" s="35"/>
      <c r="M5" s="35"/>
      <c r="N5" s="35"/>
      <c r="O5" s="35"/>
      <c r="P5" s="35"/>
      <c r="Q5" s="35"/>
      <c r="R5" s="35"/>
      <c r="S5" s="35"/>
      <c r="T5" s="35"/>
      <c r="U5" s="35"/>
      <c r="V5" s="29"/>
      <c r="W5" s="29">
        <v>73.31</v>
      </c>
      <c r="X5" s="29">
        <v>73.53</v>
      </c>
      <c r="Y5" s="29">
        <v>73.734612132167143</v>
      </c>
      <c r="Z5" s="29">
        <v>74.009179722994816</v>
      </c>
      <c r="AA5" s="29">
        <v>74.236170992520044</v>
      </c>
      <c r="AB5" s="29">
        <v>74.534697151925911</v>
      </c>
      <c r="AC5" s="29">
        <v>74.908797081900971</v>
      </c>
      <c r="AD5" s="29">
        <v>75.146210799365619</v>
      </c>
      <c r="AE5" s="29">
        <v>75.457309596781755</v>
      </c>
      <c r="AF5" s="29">
        <v>75.752567919608609</v>
      </c>
      <c r="AG5" s="29">
        <v>76.001956910153282</v>
      </c>
      <c r="AH5" s="29">
        <v>76.248645770088729</v>
      </c>
      <c r="AI5" s="29">
        <v>76.54498686138372</v>
      </c>
      <c r="AJ5" s="29">
        <v>76.936320177016754</v>
      </c>
      <c r="AK5" s="29">
        <v>77.244698223044765</v>
      </c>
      <c r="AL5" s="29">
        <v>77.601758846891698</v>
      </c>
      <c r="AM5" s="29">
        <v>77.912462265355288</v>
      </c>
      <c r="AN5" s="29">
        <v>78.1816821354534</v>
      </c>
      <c r="AO5" s="29">
        <v>78.42350905395665</v>
      </c>
      <c r="AP5" s="29">
        <v>78.61483990195245</v>
      </c>
      <c r="AQ5" s="29">
        <v>78.744473770189032</v>
      </c>
      <c r="AR5" s="29">
        <v>78.895037828296608</v>
      </c>
      <c r="AS5" s="29">
        <v>79.070324224780592</v>
      </c>
      <c r="AT5" s="29">
        <v>79.119525848042784</v>
      </c>
      <c r="AU5" s="29">
        <v>79.310894734991493</v>
      </c>
      <c r="AV5" s="29">
        <v>79.432465292270265</v>
      </c>
      <c r="AW5" s="29">
        <v>79.694573068803152</v>
      </c>
      <c r="AX5" s="29">
        <v>79.782659185130498</v>
      </c>
      <c r="AY5" s="29">
        <v>79.96531371261014</v>
      </c>
      <c r="AZ5" s="29">
        <v>80.089829929477375</v>
      </c>
      <c r="BA5" s="29">
        <v>80.227663732857081</v>
      </c>
      <c r="BB5" s="29">
        <v>80.341814464813012</v>
      </c>
      <c r="BC5" s="29">
        <v>80.458849566854298</v>
      </c>
      <c r="BD5" s="29">
        <v>80.562354643380516</v>
      </c>
      <c r="BE5" s="29">
        <v>80.670473504047948</v>
      </c>
      <c r="BF5" s="29">
        <v>80.839929684112008</v>
      </c>
      <c r="BG5" s="29">
        <v>81.004551461945923</v>
      </c>
      <c r="BH5" s="29">
        <v>81.193389652450364</v>
      </c>
      <c r="BI5" s="29">
        <v>81.331577588313863</v>
      </c>
      <c r="BJ5" s="29">
        <v>81.495259911084744</v>
      </c>
      <c r="BK5" s="29">
        <v>81.663077712417873</v>
      </c>
      <c r="BL5" s="29">
        <v>81.872985993836394</v>
      </c>
      <c r="BM5" s="29">
        <v>82.079443582800195</v>
      </c>
      <c r="BN5" s="29">
        <v>82.254566337778215</v>
      </c>
      <c r="BO5" s="29">
        <v>82.409964040464686</v>
      </c>
      <c r="BP5" s="29">
        <v>82.611228257065491</v>
      </c>
      <c r="BQ5" s="29">
        <v>82.794652922785474</v>
      </c>
      <c r="BR5" s="29">
        <v>82.946484313470265</v>
      </c>
      <c r="BS5" s="29">
        <v>83.124755111707941</v>
      </c>
      <c r="BT5" s="29">
        <v>83.292669706955195</v>
      </c>
      <c r="BU5" s="29">
        <v>83.431388773761597</v>
      </c>
      <c r="BV5" s="29">
        <v>83.60830905783574</v>
      </c>
      <c r="BW5" s="29">
        <v>83.758678842292483</v>
      </c>
      <c r="BX5" s="29">
        <v>83.912782230563678</v>
      </c>
      <c r="BY5" s="29">
        <v>84.056639083188813</v>
      </c>
      <c r="BZ5" s="29">
        <v>84.187358783812201</v>
      </c>
      <c r="CA5" s="29">
        <v>84.339160604966281</v>
      </c>
      <c r="CB5" s="29">
        <v>84.496556783805488</v>
      </c>
      <c r="CC5" s="29">
        <v>84.636765323272002</v>
      </c>
      <c r="CD5" s="29">
        <v>84.776246418813741</v>
      </c>
      <c r="CE5" s="29">
        <v>84.908032880757787</v>
      </c>
      <c r="CF5" s="29">
        <v>85.053523389590424</v>
      </c>
      <c r="CG5" s="29">
        <v>85.189956388679875</v>
      </c>
      <c r="CH5" s="29">
        <v>85.345921194861262</v>
      </c>
      <c r="CI5" s="29">
        <v>85.502095411015148</v>
      </c>
      <c r="CJ5" s="29">
        <v>85.62004492609573</v>
      </c>
      <c r="CK5" s="29">
        <v>85.765404324104153</v>
      </c>
      <c r="CL5" s="29">
        <v>85.911194085263944</v>
      </c>
      <c r="CM5" s="29">
        <v>86.053883025407799</v>
      </c>
      <c r="CN5" s="29">
        <v>86.200745408316976</v>
      </c>
      <c r="CO5" s="29">
        <v>86.332249575785596</v>
      </c>
      <c r="CP5" s="29">
        <v>86.472823453563024</v>
      </c>
      <c r="CQ5" s="29">
        <v>86.596735399486505</v>
      </c>
      <c r="CR5" s="29">
        <v>86.725859153010404</v>
      </c>
      <c r="CS5" s="29">
        <v>86.865440682094771</v>
      </c>
      <c r="CT5" s="29">
        <v>86.996544307431776</v>
      </c>
      <c r="CU5" s="29">
        <v>87.114966218097535</v>
      </c>
      <c r="CV5" s="29">
        <v>87.225417208077829</v>
      </c>
      <c r="CW5" s="29">
        <v>87.362039661252098</v>
      </c>
      <c r="CX5" s="29">
        <v>87.487887231037192</v>
      </c>
      <c r="CY5" s="29">
        <v>87.617857234865625</v>
      </c>
      <c r="CZ5" s="29">
        <v>87.728153886655818</v>
      </c>
      <c r="DA5" s="29">
        <v>87.844108189186542</v>
      </c>
      <c r="DB5" s="29">
        <v>87.957312124998978</v>
      </c>
      <c r="DC5" s="29">
        <v>88.076355574201955</v>
      </c>
      <c r="DD5" s="29">
        <v>88.193726757519087</v>
      </c>
      <c r="DE5" s="29">
        <v>88.310839764029268</v>
      </c>
      <c r="DF5" s="29">
        <v>88.438364497041022</v>
      </c>
      <c r="DG5" s="29">
        <v>88.546806723496317</v>
      </c>
      <c r="DH5" s="29">
        <v>88.659595295183237</v>
      </c>
      <c r="DI5" s="29">
        <v>88.769317449796304</v>
      </c>
      <c r="DJ5" s="29">
        <v>88.879472949760853</v>
      </c>
      <c r="DK5" s="29">
        <v>88.995133514621386</v>
      </c>
      <c r="DL5" s="29">
        <v>89.104589216382763</v>
      </c>
      <c r="DM5" s="29">
        <v>89.213314123111729</v>
      </c>
      <c r="DN5" s="29">
        <v>89.323705037991786</v>
      </c>
      <c r="DO5" s="29">
        <v>89.429625803967085</v>
      </c>
      <c r="DP5" s="29">
        <v>89.537580643478123</v>
      </c>
      <c r="DQ5" s="29">
        <v>89.642584105964204</v>
      </c>
      <c r="DR5" s="29">
        <v>89.7471495974075</v>
      </c>
      <c r="DS5">
        <v>89.85066758405803</v>
      </c>
      <c r="DT5">
        <v>89.953146688408566</v>
      </c>
      <c r="DU5">
        <v>90.054595729955494</v>
      </c>
    </row>
    <row r="6" spans="1:125">
      <c r="A6" s="34">
        <v>4</v>
      </c>
      <c r="B6" s="35"/>
      <c r="C6" s="35"/>
      <c r="D6" s="35"/>
      <c r="E6" s="35"/>
      <c r="F6" s="35"/>
      <c r="G6" s="35"/>
      <c r="H6" s="35"/>
      <c r="I6" s="35"/>
      <c r="J6" s="35"/>
      <c r="K6" s="35"/>
      <c r="L6" s="35"/>
      <c r="M6" s="35"/>
      <c r="N6" s="35"/>
      <c r="O6" s="35"/>
      <c r="P6" s="35"/>
      <c r="Q6" s="35"/>
      <c r="R6" s="35"/>
      <c r="S6" s="35"/>
      <c r="T6" s="35"/>
      <c r="U6" s="35"/>
      <c r="V6" s="29"/>
      <c r="W6" s="29">
        <v>72.569999999999993</v>
      </c>
      <c r="X6" s="29">
        <v>72.790000000000006</v>
      </c>
      <c r="Y6" s="29">
        <v>73.000684610456986</v>
      </c>
      <c r="Z6" s="29">
        <v>73.292197931173476</v>
      </c>
      <c r="AA6" s="29">
        <v>73.51105223327356</v>
      </c>
      <c r="AB6" s="29">
        <v>73.840832287179822</v>
      </c>
      <c r="AC6" s="29">
        <v>74.178316186925287</v>
      </c>
      <c r="AD6" s="29">
        <v>74.378700350131993</v>
      </c>
      <c r="AE6" s="29">
        <v>74.673810170071562</v>
      </c>
      <c r="AF6" s="29">
        <v>74.969921292932256</v>
      </c>
      <c r="AG6" s="29">
        <v>75.220030598276324</v>
      </c>
      <c r="AH6" s="29">
        <v>75.501045615347181</v>
      </c>
      <c r="AI6" s="29">
        <v>75.820432475400381</v>
      </c>
      <c r="AJ6" s="29">
        <v>76.174385117619735</v>
      </c>
      <c r="AK6" s="29">
        <v>76.467032502835096</v>
      </c>
      <c r="AL6" s="29">
        <v>76.836306488624558</v>
      </c>
      <c r="AM6" s="29">
        <v>77.147955083374256</v>
      </c>
      <c r="AN6" s="29">
        <v>77.417993934603061</v>
      </c>
      <c r="AO6" s="29">
        <v>77.660556503424687</v>
      </c>
      <c r="AP6" s="29">
        <v>77.876311879982069</v>
      </c>
      <c r="AQ6" s="29">
        <v>78.042230019224505</v>
      </c>
      <c r="AR6" s="29">
        <v>78.253305560554026</v>
      </c>
      <c r="AS6" s="29">
        <v>78.346286226573596</v>
      </c>
      <c r="AT6" s="29">
        <v>78.395660660354039</v>
      </c>
      <c r="AU6" s="29">
        <v>78.497256740485952</v>
      </c>
      <c r="AV6" s="29">
        <v>78.562127180846844</v>
      </c>
      <c r="AW6" s="29">
        <v>78.824665520256374</v>
      </c>
      <c r="AX6" s="29">
        <v>78.912896335120095</v>
      </c>
      <c r="AY6" s="29">
        <v>79.054132639011428</v>
      </c>
      <c r="AZ6" s="29">
        <v>79.175256620677999</v>
      </c>
      <c r="BA6" s="29">
        <v>79.30816756019621</v>
      </c>
      <c r="BB6" s="29">
        <v>79.418100799567583</v>
      </c>
      <c r="BC6" s="29">
        <v>79.536351117014902</v>
      </c>
      <c r="BD6" s="29">
        <v>79.639485912790263</v>
      </c>
      <c r="BE6" s="29">
        <v>79.736332458675989</v>
      </c>
      <c r="BF6" s="29">
        <v>79.915255379263897</v>
      </c>
      <c r="BG6" s="29">
        <v>80.074699537897331</v>
      </c>
      <c r="BH6" s="29">
        <v>80.26062361553312</v>
      </c>
      <c r="BI6" s="29">
        <v>80.393462178706528</v>
      </c>
      <c r="BJ6" s="29">
        <v>80.551373153204125</v>
      </c>
      <c r="BK6" s="29">
        <v>80.717878580681813</v>
      </c>
      <c r="BL6" s="29">
        <v>80.927885963453633</v>
      </c>
      <c r="BM6" s="29">
        <v>81.133334148716287</v>
      </c>
      <c r="BN6" s="29">
        <v>81.30793444150855</v>
      </c>
      <c r="BO6" s="29">
        <v>81.463145212157613</v>
      </c>
      <c r="BP6" s="29">
        <v>81.664825407929683</v>
      </c>
      <c r="BQ6" s="29">
        <v>81.846279933251694</v>
      </c>
      <c r="BR6" s="29">
        <v>81.997671617595998</v>
      </c>
      <c r="BS6" s="29">
        <v>82.172381207011085</v>
      </c>
      <c r="BT6" s="29">
        <v>82.33772901572749</v>
      </c>
      <c r="BU6" s="29">
        <v>82.475904819305669</v>
      </c>
      <c r="BV6" s="29">
        <v>82.6514946868663</v>
      </c>
      <c r="BW6" s="29">
        <v>82.799841868408976</v>
      </c>
      <c r="BX6" s="29">
        <v>82.956991477878432</v>
      </c>
      <c r="BY6" s="29">
        <v>83.096768963621571</v>
      </c>
      <c r="BZ6" s="29">
        <v>83.225486061298668</v>
      </c>
      <c r="CA6" s="29">
        <v>83.372563755676822</v>
      </c>
      <c r="CB6" s="29">
        <v>83.531276222880294</v>
      </c>
      <c r="CC6" s="29">
        <v>83.666763800146924</v>
      </c>
      <c r="CD6" s="29">
        <v>83.805388763743679</v>
      </c>
      <c r="CE6" s="29">
        <v>83.935712065567287</v>
      </c>
      <c r="CF6" s="29">
        <v>84.080394405546869</v>
      </c>
      <c r="CG6" s="29">
        <v>84.21281637612077</v>
      </c>
      <c r="CH6" s="29">
        <v>84.369835928820606</v>
      </c>
      <c r="CI6" s="29">
        <v>84.528814526740959</v>
      </c>
      <c r="CJ6" s="29">
        <v>84.641396267930347</v>
      </c>
      <c r="CK6" s="29">
        <v>84.793105230733687</v>
      </c>
      <c r="CL6" s="29">
        <v>84.932931163430439</v>
      </c>
      <c r="CM6" s="29">
        <v>85.074777100885655</v>
      </c>
      <c r="CN6" s="29">
        <v>85.220692969653797</v>
      </c>
      <c r="CO6" s="29">
        <v>85.349562084535734</v>
      </c>
      <c r="CP6" s="29">
        <v>85.48964886031051</v>
      </c>
      <c r="CQ6" s="29">
        <v>85.612218644144363</v>
      </c>
      <c r="CR6" s="29">
        <v>85.740639541561464</v>
      </c>
      <c r="CS6" s="29">
        <v>85.881767075132899</v>
      </c>
      <c r="CT6" s="29">
        <v>86.00855857000019</v>
      </c>
      <c r="CU6" s="29">
        <v>86.129594128088797</v>
      </c>
      <c r="CV6" s="29">
        <v>86.240708194806629</v>
      </c>
      <c r="CW6" s="29">
        <v>86.377670257591006</v>
      </c>
      <c r="CX6" s="29">
        <v>86.501207154922483</v>
      </c>
      <c r="CY6" s="29">
        <v>86.63015717131465</v>
      </c>
      <c r="CZ6" s="29">
        <v>86.738785948339995</v>
      </c>
      <c r="DA6" s="29">
        <v>86.855974283100736</v>
      </c>
      <c r="DB6" s="29">
        <v>86.970496303598424</v>
      </c>
      <c r="DC6" s="29">
        <v>87.089659857154501</v>
      </c>
      <c r="DD6" s="29">
        <v>87.201978787790594</v>
      </c>
      <c r="DE6" s="29">
        <v>87.321602335930933</v>
      </c>
      <c r="DF6" s="29">
        <v>87.448043260189522</v>
      </c>
      <c r="DG6" s="29">
        <v>87.558345302829835</v>
      </c>
      <c r="DH6" s="29">
        <v>87.668239214524178</v>
      </c>
      <c r="DI6" s="29">
        <v>87.780222259850802</v>
      </c>
      <c r="DJ6" s="29">
        <v>87.889177907316622</v>
      </c>
      <c r="DK6" s="29">
        <v>88.004908382093532</v>
      </c>
      <c r="DL6" s="29">
        <v>88.112971966335323</v>
      </c>
      <c r="DM6" s="29">
        <v>88.222943096178625</v>
      </c>
      <c r="DN6" s="29">
        <v>88.332043350506012</v>
      </c>
      <c r="DO6" s="29">
        <v>88.439592559916605</v>
      </c>
      <c r="DP6" s="29">
        <v>88.545970793946339</v>
      </c>
      <c r="DQ6" s="29">
        <v>88.651259515838049</v>
      </c>
      <c r="DR6" s="29">
        <v>88.755504418817722</v>
      </c>
      <c r="DS6">
        <v>88.858713559696554</v>
      </c>
      <c r="DT6">
        <v>88.960895135784668</v>
      </c>
      <c r="DU6">
        <v>89.062057556578338</v>
      </c>
    </row>
    <row r="7" spans="1:125">
      <c r="A7" s="34">
        <v>5</v>
      </c>
      <c r="B7" s="35"/>
      <c r="C7" s="35"/>
      <c r="D7" s="35"/>
      <c r="E7" s="35"/>
      <c r="F7" s="35"/>
      <c r="G7" s="35"/>
      <c r="H7" s="35"/>
      <c r="I7" s="35"/>
      <c r="J7" s="35"/>
      <c r="K7" s="35"/>
      <c r="L7" s="35"/>
      <c r="M7" s="35"/>
      <c r="N7" s="35"/>
      <c r="O7" s="35"/>
      <c r="P7" s="35"/>
      <c r="Q7" s="35"/>
      <c r="R7" s="35"/>
      <c r="S7" s="35"/>
      <c r="T7" s="35"/>
      <c r="U7" s="35"/>
      <c r="V7" s="29"/>
      <c r="W7" s="29">
        <v>71.78</v>
      </c>
      <c r="X7" s="29">
        <v>72</v>
      </c>
      <c r="Y7" s="29">
        <v>72.221038879116165</v>
      </c>
      <c r="Z7" s="29">
        <v>72.51561217351113</v>
      </c>
      <c r="AA7" s="29">
        <v>72.759592555709816</v>
      </c>
      <c r="AB7" s="29">
        <v>73.06854731099989</v>
      </c>
      <c r="AC7" s="29">
        <v>73.375035640486459</v>
      </c>
      <c r="AD7" s="29">
        <v>73.56163258261104</v>
      </c>
      <c r="AE7" s="29">
        <v>73.857473128699453</v>
      </c>
      <c r="AF7" s="29">
        <v>74.154317457051164</v>
      </c>
      <c r="AG7" s="29">
        <v>74.433457792975702</v>
      </c>
      <c r="AH7" s="29">
        <v>74.733915414560158</v>
      </c>
      <c r="AI7" s="29">
        <v>75.0215363426625</v>
      </c>
      <c r="AJ7" s="29">
        <v>75.362330791151223</v>
      </c>
      <c r="AK7" s="29">
        <v>75.665143404031383</v>
      </c>
      <c r="AL7" s="29">
        <v>76.03538040232381</v>
      </c>
      <c r="AM7" s="29">
        <v>76.347841730991462</v>
      </c>
      <c r="AN7" s="29">
        <v>76.618584804017715</v>
      </c>
      <c r="AO7" s="29">
        <v>76.881960023020142</v>
      </c>
      <c r="AP7" s="29">
        <v>77.12870905311604</v>
      </c>
      <c r="AQ7" s="29">
        <v>77.345954231996814</v>
      </c>
      <c r="AR7" s="29">
        <v>77.445831765013608</v>
      </c>
      <c r="AS7" s="29">
        <v>77.539042661948599</v>
      </c>
      <c r="AT7" s="29">
        <v>77.525561265850484</v>
      </c>
      <c r="AU7" s="29">
        <v>77.596439218293199</v>
      </c>
      <c r="AV7" s="29">
        <v>77.661392148875919</v>
      </c>
      <c r="AW7" s="29">
        <v>77.924264335963059</v>
      </c>
      <c r="AX7" s="29">
        <v>77.981565963100962</v>
      </c>
      <c r="AY7" s="29">
        <v>78.120026697109822</v>
      </c>
      <c r="AZ7" s="29">
        <v>78.243626144893426</v>
      </c>
      <c r="BA7" s="29">
        <v>78.363737377161527</v>
      </c>
      <c r="BB7" s="29">
        <v>78.476460879516893</v>
      </c>
      <c r="BC7" s="29">
        <v>78.598901464400242</v>
      </c>
      <c r="BD7" s="29">
        <v>78.692467744117778</v>
      </c>
      <c r="BE7" s="29">
        <v>78.791557637012332</v>
      </c>
      <c r="BF7" s="29">
        <v>78.967464376838478</v>
      </c>
      <c r="BG7" s="29">
        <v>79.12426042973307</v>
      </c>
      <c r="BH7" s="29">
        <v>79.306089142135178</v>
      </c>
      <c r="BI7" s="29">
        <v>79.443207228585877</v>
      </c>
      <c r="BJ7" s="29">
        <v>79.596940488017083</v>
      </c>
      <c r="BK7" s="29">
        <v>79.765127809562799</v>
      </c>
      <c r="BL7" s="29">
        <v>79.973612067525693</v>
      </c>
      <c r="BM7" s="29">
        <v>80.182230466107754</v>
      </c>
      <c r="BN7" s="29">
        <v>80.354725543056972</v>
      </c>
      <c r="BO7" s="29">
        <v>80.509518180569358</v>
      </c>
      <c r="BP7" s="29">
        <v>80.704771931699199</v>
      </c>
      <c r="BQ7" s="29">
        <v>80.886154553635038</v>
      </c>
      <c r="BR7" s="29">
        <v>81.040201049863512</v>
      </c>
      <c r="BS7" s="29">
        <v>81.205684467669201</v>
      </c>
      <c r="BT7" s="29">
        <v>81.376838973398861</v>
      </c>
      <c r="BU7" s="29">
        <v>81.514301934769804</v>
      </c>
      <c r="BV7" s="29">
        <v>81.686537195088604</v>
      </c>
      <c r="BW7" s="29">
        <v>81.834554467487223</v>
      </c>
      <c r="BX7" s="29">
        <v>81.98719949543937</v>
      </c>
      <c r="BY7" s="29">
        <v>82.129386133121201</v>
      </c>
      <c r="BZ7" s="29">
        <v>82.2559427100569</v>
      </c>
      <c r="CA7" s="29">
        <v>82.398502659026519</v>
      </c>
      <c r="CB7" s="29">
        <v>82.558218535850912</v>
      </c>
      <c r="CC7" s="29">
        <v>82.689544461691852</v>
      </c>
      <c r="CD7" s="29">
        <v>82.827879175496136</v>
      </c>
      <c r="CE7" s="29">
        <v>82.955368732556622</v>
      </c>
      <c r="CF7" s="29">
        <v>83.099587621487416</v>
      </c>
      <c r="CG7" s="29">
        <v>83.231241141403544</v>
      </c>
      <c r="CH7" s="29">
        <v>83.387918002636539</v>
      </c>
      <c r="CI7" s="29">
        <v>83.545327570150263</v>
      </c>
      <c r="CJ7" s="29">
        <v>83.660859164831351</v>
      </c>
      <c r="CK7" s="29">
        <v>83.811122629265967</v>
      </c>
      <c r="CL7" s="29">
        <v>83.952123071512361</v>
      </c>
      <c r="CM7" s="29">
        <v>84.089615571936676</v>
      </c>
      <c r="CN7" s="29">
        <v>84.236601556368939</v>
      </c>
      <c r="CO7" s="29">
        <v>84.365961460633571</v>
      </c>
      <c r="CP7" s="29">
        <v>84.50075487250048</v>
      </c>
      <c r="CQ7" s="29">
        <v>84.627496719050399</v>
      </c>
      <c r="CR7" s="29">
        <v>84.75187604748011</v>
      </c>
      <c r="CS7" s="29">
        <v>84.894010821755856</v>
      </c>
      <c r="CT7" s="29">
        <v>85.020423764769646</v>
      </c>
      <c r="CU7" s="29">
        <v>85.141005579570901</v>
      </c>
      <c r="CV7" s="29">
        <v>85.252680189230531</v>
      </c>
      <c r="CW7" s="29">
        <v>85.387428632457599</v>
      </c>
      <c r="CX7" s="29">
        <v>85.51278172438515</v>
      </c>
      <c r="CY7" s="29">
        <v>85.638026260072607</v>
      </c>
      <c r="CZ7" s="29">
        <v>85.748080423303435</v>
      </c>
      <c r="DA7" s="29">
        <v>85.866213993618999</v>
      </c>
      <c r="DB7" s="29">
        <v>85.980780063835141</v>
      </c>
      <c r="DC7" s="29">
        <v>86.099971149782888</v>
      </c>
      <c r="DD7" s="29">
        <v>86.212807390252223</v>
      </c>
      <c r="DE7" s="29">
        <v>86.33117269678263</v>
      </c>
      <c r="DF7" s="29">
        <v>86.455756400316361</v>
      </c>
      <c r="DG7" s="29">
        <v>86.566239573447803</v>
      </c>
      <c r="DH7" s="29">
        <v>86.676169512746966</v>
      </c>
      <c r="DI7" s="29">
        <v>86.787423311857737</v>
      </c>
      <c r="DJ7" s="29">
        <v>86.898859839052008</v>
      </c>
      <c r="DK7" s="29">
        <v>87.012511586218906</v>
      </c>
      <c r="DL7" s="29">
        <v>87.122136404831551</v>
      </c>
      <c r="DM7" s="29">
        <v>87.230786340855047</v>
      </c>
      <c r="DN7" s="29">
        <v>87.340026776348935</v>
      </c>
      <c r="DO7" s="29">
        <v>87.446694834942534</v>
      </c>
      <c r="DP7" s="29">
        <v>87.552778328608909</v>
      </c>
      <c r="DQ7" s="29">
        <v>87.65781921430208</v>
      </c>
      <c r="DR7" s="29">
        <v>87.761825220761764</v>
      </c>
      <c r="DS7">
        <v>87.86480408619876</v>
      </c>
      <c r="DT7">
        <v>87.966763700509901</v>
      </c>
      <c r="DU7">
        <v>88.067712176584251</v>
      </c>
    </row>
    <row r="8" spans="1:125">
      <c r="A8" s="34">
        <v>6</v>
      </c>
      <c r="B8" s="35"/>
      <c r="C8" s="35"/>
      <c r="D8" s="35"/>
      <c r="E8" s="35"/>
      <c r="F8" s="35"/>
      <c r="G8" s="35"/>
      <c r="H8" s="35"/>
      <c r="I8" s="35"/>
      <c r="J8" s="35"/>
      <c r="K8" s="35"/>
      <c r="L8" s="35"/>
      <c r="M8" s="35"/>
      <c r="N8" s="35"/>
      <c r="O8" s="35"/>
      <c r="P8" s="35"/>
      <c r="Q8" s="35"/>
      <c r="R8" s="35"/>
      <c r="S8" s="35"/>
      <c r="T8" s="35"/>
      <c r="U8" s="35"/>
      <c r="V8" s="29"/>
      <c r="W8" s="29">
        <v>70.94</v>
      </c>
      <c r="X8" s="29">
        <v>71.17</v>
      </c>
      <c r="Y8" s="29">
        <v>71.401021746727835</v>
      </c>
      <c r="Z8" s="29">
        <v>71.716044161479473</v>
      </c>
      <c r="AA8" s="29">
        <v>71.954805317062309</v>
      </c>
      <c r="AB8" s="29">
        <v>72.23714334465852</v>
      </c>
      <c r="AC8" s="29">
        <v>72.532054557785713</v>
      </c>
      <c r="AD8" s="29">
        <v>72.719053547738682</v>
      </c>
      <c r="AE8" s="29">
        <v>73.015531521470606</v>
      </c>
      <c r="AF8" s="29">
        <v>73.337376736267188</v>
      </c>
      <c r="AG8" s="29">
        <v>73.633192581695653</v>
      </c>
      <c r="AH8" s="29">
        <v>73.906380541197024</v>
      </c>
      <c r="AI8" s="29">
        <v>74.182588675838417</v>
      </c>
      <c r="AJ8" s="29">
        <v>74.532210440942364</v>
      </c>
      <c r="AK8" s="29">
        <v>74.835710204490752</v>
      </c>
      <c r="AL8" s="29">
        <v>75.206787354712006</v>
      </c>
      <c r="AM8" s="29">
        <v>75.519957729177818</v>
      </c>
      <c r="AN8" s="29">
        <v>75.808631343253296</v>
      </c>
      <c r="AO8" s="29">
        <v>76.098743048053223</v>
      </c>
      <c r="AP8" s="29">
        <v>76.389837278299083</v>
      </c>
      <c r="AQ8" s="29">
        <v>76.48452637947986</v>
      </c>
      <c r="AR8" s="29">
        <v>76.584584016242857</v>
      </c>
      <c r="AS8" s="29">
        <v>76.632623715512139</v>
      </c>
      <c r="AT8" s="29">
        <v>76.60189213906817</v>
      </c>
      <c r="AU8" s="29">
        <v>76.672840330220126</v>
      </c>
      <c r="AV8" s="29">
        <v>76.737857627927568</v>
      </c>
      <c r="AW8" s="29">
        <v>76.980796579653457</v>
      </c>
      <c r="AX8" s="29">
        <v>77.031201169016072</v>
      </c>
      <c r="AY8" s="29">
        <v>77.175477090878459</v>
      </c>
      <c r="AZ8" s="29">
        <v>77.291641639379364</v>
      </c>
      <c r="BA8" s="29">
        <v>77.413340751160263</v>
      </c>
      <c r="BB8" s="29">
        <v>77.530248274198783</v>
      </c>
      <c r="BC8" s="29">
        <v>77.643408264093338</v>
      </c>
      <c r="BD8" s="29">
        <v>77.733268554629163</v>
      </c>
      <c r="BE8" s="29">
        <v>77.835680018103389</v>
      </c>
      <c r="BF8" s="29">
        <v>78.008558401785763</v>
      </c>
      <c r="BG8" s="29">
        <v>78.167227669442639</v>
      </c>
      <c r="BH8" s="29">
        <v>78.343934789917782</v>
      </c>
      <c r="BI8" s="29">
        <v>78.482019430470586</v>
      </c>
      <c r="BJ8" s="29">
        <v>78.636330535997402</v>
      </c>
      <c r="BK8" s="29">
        <v>78.805910402769257</v>
      </c>
      <c r="BL8" s="29">
        <v>79.013330438570321</v>
      </c>
      <c r="BM8" s="29">
        <v>79.217621210678971</v>
      </c>
      <c r="BN8" s="29">
        <v>79.395162847129214</v>
      </c>
      <c r="BO8" s="29">
        <v>79.549444490201424</v>
      </c>
      <c r="BP8" s="29">
        <v>79.740865000661955</v>
      </c>
      <c r="BQ8" s="29">
        <v>79.919711828937849</v>
      </c>
      <c r="BR8" s="29">
        <v>80.075179939237813</v>
      </c>
      <c r="BS8" s="29">
        <v>80.241682646109012</v>
      </c>
      <c r="BT8" s="29">
        <v>80.4080606355149</v>
      </c>
      <c r="BU8" s="29">
        <v>80.544442097756502</v>
      </c>
      <c r="BV8" s="29">
        <v>80.712126136332088</v>
      </c>
      <c r="BW8" s="29">
        <v>80.866696933874209</v>
      </c>
      <c r="BX8" s="29">
        <v>81.010577264668569</v>
      </c>
      <c r="BY8" s="29">
        <v>81.152329960772448</v>
      </c>
      <c r="BZ8" s="29">
        <v>81.284771429361456</v>
      </c>
      <c r="CA8" s="29">
        <v>81.419137951764867</v>
      </c>
      <c r="CB8" s="29">
        <v>81.577789602004088</v>
      </c>
      <c r="CC8" s="29">
        <v>81.713628803573741</v>
      </c>
      <c r="CD8" s="29">
        <v>81.844759668894099</v>
      </c>
      <c r="CE8" s="29">
        <v>81.971929300832429</v>
      </c>
      <c r="CF8" s="29">
        <v>82.116628457314917</v>
      </c>
      <c r="CG8" s="29">
        <v>82.248436775592111</v>
      </c>
      <c r="CH8" s="29">
        <v>82.406128264054203</v>
      </c>
      <c r="CI8" s="29">
        <v>82.562849487265737</v>
      </c>
      <c r="CJ8" s="29">
        <v>82.678508611439227</v>
      </c>
      <c r="CK8" s="29">
        <v>82.825715119518165</v>
      </c>
      <c r="CL8" s="29">
        <v>82.96369509828061</v>
      </c>
      <c r="CM8" s="29">
        <v>83.104932165172897</v>
      </c>
      <c r="CN8" s="29">
        <v>83.247685743091424</v>
      </c>
      <c r="CO8" s="29">
        <v>83.37432775606338</v>
      </c>
      <c r="CP8" s="29">
        <v>83.508820491085274</v>
      </c>
      <c r="CQ8" s="29">
        <v>83.635361674570348</v>
      </c>
      <c r="CR8" s="29">
        <v>83.761622928806759</v>
      </c>
      <c r="CS8" s="29">
        <v>83.902070195387381</v>
      </c>
      <c r="CT8" s="29">
        <v>84.029304582787248</v>
      </c>
      <c r="CU8" s="29">
        <v>84.153320642896517</v>
      </c>
      <c r="CV8" s="29">
        <v>84.264500257478758</v>
      </c>
      <c r="CW8" s="29">
        <v>84.395503355130671</v>
      </c>
      <c r="CX8" s="29">
        <v>84.521757365173244</v>
      </c>
      <c r="CY8" s="29">
        <v>84.643689767099247</v>
      </c>
      <c r="CZ8" s="29">
        <v>84.757037730060759</v>
      </c>
      <c r="DA8" s="29">
        <v>84.872641190471413</v>
      </c>
      <c r="DB8" s="29">
        <v>84.989212102114735</v>
      </c>
      <c r="DC8" s="29">
        <v>85.109195636653112</v>
      </c>
      <c r="DD8" s="29">
        <v>85.223742404499546</v>
      </c>
      <c r="DE8" s="29">
        <v>85.339315359608008</v>
      </c>
      <c r="DF8" s="29">
        <v>85.461557881650549</v>
      </c>
      <c r="DG8" s="29">
        <v>85.572411039685505</v>
      </c>
      <c r="DH8" s="29">
        <v>85.683350911796865</v>
      </c>
      <c r="DI8" s="29">
        <v>85.795683535571868</v>
      </c>
      <c r="DJ8" s="29">
        <v>85.905907877047483</v>
      </c>
      <c r="DK8" s="29">
        <v>86.019489439809476</v>
      </c>
      <c r="DL8" s="29">
        <v>86.127908070291411</v>
      </c>
      <c r="DM8" s="29">
        <v>86.236462034561512</v>
      </c>
      <c r="DN8" s="29">
        <v>86.345457061043348</v>
      </c>
      <c r="DO8" s="29">
        <v>86.452379737123735</v>
      </c>
      <c r="DP8" s="29">
        <v>86.558259362820607</v>
      </c>
      <c r="DQ8" s="29">
        <v>86.663103620926975</v>
      </c>
      <c r="DR8" s="29">
        <v>86.766919986271233</v>
      </c>
      <c r="DS8">
        <v>86.869715951911928</v>
      </c>
      <c r="DT8">
        <v>86.971499171064664</v>
      </c>
      <c r="DU8">
        <v>87.072277528124587</v>
      </c>
    </row>
    <row r="9" spans="1:125">
      <c r="A9" s="34">
        <v>7</v>
      </c>
      <c r="B9" s="35"/>
      <c r="C9" s="35"/>
      <c r="D9" s="35"/>
      <c r="E9" s="35"/>
      <c r="F9" s="35"/>
      <c r="G9" s="35"/>
      <c r="H9" s="35"/>
      <c r="I9" s="35"/>
      <c r="J9" s="35"/>
      <c r="K9" s="35"/>
      <c r="L9" s="35"/>
      <c r="M9" s="35"/>
      <c r="N9" s="35"/>
      <c r="O9" s="35"/>
      <c r="P9" s="35"/>
      <c r="Q9" s="35"/>
      <c r="R9" s="35"/>
      <c r="S9" s="35"/>
      <c r="T9" s="35"/>
      <c r="U9" s="35"/>
      <c r="V9" s="29"/>
      <c r="W9" s="29">
        <v>70.069999999999993</v>
      </c>
      <c r="X9" s="29">
        <v>70.319999999999993</v>
      </c>
      <c r="Y9" s="29">
        <v>70.571538701170482</v>
      </c>
      <c r="Z9" s="29">
        <v>70.890496809731914</v>
      </c>
      <c r="AA9" s="29">
        <v>71.105338646421856</v>
      </c>
      <c r="AB9" s="29">
        <v>71.377304087629412</v>
      </c>
      <c r="AC9" s="29">
        <v>71.672791501213069</v>
      </c>
      <c r="AD9" s="29">
        <v>71.860155851649395</v>
      </c>
      <c r="AE9" s="29">
        <v>72.178957211777288</v>
      </c>
      <c r="AF9" s="29">
        <v>72.515801042377078</v>
      </c>
      <c r="AG9" s="29">
        <v>72.787261757549757</v>
      </c>
      <c r="AH9" s="29">
        <v>73.05023650885191</v>
      </c>
      <c r="AI9" s="29">
        <v>73.334205492328351</v>
      </c>
      <c r="AJ9" s="29">
        <v>73.684546674867988</v>
      </c>
      <c r="AK9" s="29">
        <v>73.988670950513239</v>
      </c>
      <c r="AL9" s="29">
        <v>74.360511666960917</v>
      </c>
      <c r="AM9" s="29">
        <v>74.689798273242218</v>
      </c>
      <c r="AN9" s="29">
        <v>75.002434450367971</v>
      </c>
      <c r="AO9" s="29">
        <v>75.332322903942512</v>
      </c>
      <c r="AP9" s="29">
        <v>75.495470982965401</v>
      </c>
      <c r="AQ9" s="29">
        <v>75.590291885200301</v>
      </c>
      <c r="AR9" s="29">
        <v>75.655934327451348</v>
      </c>
      <c r="AS9" s="29">
        <v>75.695103700546582</v>
      </c>
      <c r="AT9" s="29">
        <v>75.664346903529065</v>
      </c>
      <c r="AU9" s="29">
        <v>75.735353319942476</v>
      </c>
      <c r="AV9" s="29">
        <v>75.783404723567912</v>
      </c>
      <c r="AW9" s="29">
        <v>76.024348381487783</v>
      </c>
      <c r="AX9" s="29">
        <v>76.074119330270648</v>
      </c>
      <c r="AY9" s="29">
        <v>76.213616005139926</v>
      </c>
      <c r="AZ9" s="29">
        <v>76.330073854051733</v>
      </c>
      <c r="BA9" s="29">
        <v>76.450113652069689</v>
      </c>
      <c r="BB9" s="29">
        <v>76.563847513256363</v>
      </c>
      <c r="BC9" s="29">
        <v>76.678543898197617</v>
      </c>
      <c r="BD9" s="29">
        <v>76.768784955897544</v>
      </c>
      <c r="BE9" s="29">
        <v>76.869962567468122</v>
      </c>
      <c r="BF9" s="29">
        <v>77.040177012051572</v>
      </c>
      <c r="BG9" s="29">
        <v>77.204044029664487</v>
      </c>
      <c r="BH9" s="29">
        <v>77.378716749713945</v>
      </c>
      <c r="BI9" s="29">
        <v>77.515104900564012</v>
      </c>
      <c r="BJ9" s="29">
        <v>77.669837347664242</v>
      </c>
      <c r="BK9" s="29">
        <v>77.840417418117468</v>
      </c>
      <c r="BL9" s="29">
        <v>78.049763509393017</v>
      </c>
      <c r="BM9" s="29">
        <v>78.254463235232791</v>
      </c>
      <c r="BN9" s="29">
        <v>78.429634362560449</v>
      </c>
      <c r="BO9" s="29">
        <v>78.585480735921834</v>
      </c>
      <c r="BP9" s="29">
        <v>78.777690653974034</v>
      </c>
      <c r="BQ9" s="29">
        <v>78.95240893266012</v>
      </c>
      <c r="BR9" s="29">
        <v>79.103162557426245</v>
      </c>
      <c r="BS9" s="29">
        <v>79.272233641916586</v>
      </c>
      <c r="BT9" s="29">
        <v>79.435486094370901</v>
      </c>
      <c r="BU9" s="29">
        <v>79.573326212255765</v>
      </c>
      <c r="BV9" s="29">
        <v>79.735027927220585</v>
      </c>
      <c r="BW9" s="29">
        <v>79.892465575042394</v>
      </c>
      <c r="BX9" s="29">
        <v>80.02966660489507</v>
      </c>
      <c r="BY9" s="29">
        <v>80.17393712427409</v>
      </c>
      <c r="BZ9" s="29">
        <v>80.307085185870477</v>
      </c>
      <c r="CA9" s="29">
        <v>80.436515001706525</v>
      </c>
      <c r="CB9" s="29">
        <v>80.597474566933599</v>
      </c>
      <c r="CC9" s="29">
        <v>80.731267975916936</v>
      </c>
      <c r="CD9" s="29">
        <v>80.860045819342204</v>
      </c>
      <c r="CE9" s="29">
        <v>80.985407660860389</v>
      </c>
      <c r="CF9" s="29">
        <v>81.134501616705336</v>
      </c>
      <c r="CG9" s="29">
        <v>81.263812866822576</v>
      </c>
      <c r="CH9" s="29">
        <v>81.421107174131521</v>
      </c>
      <c r="CI9" s="29">
        <v>81.577784976574478</v>
      </c>
      <c r="CJ9" s="29">
        <v>81.69406519737052</v>
      </c>
      <c r="CK9" s="29">
        <v>81.834327257258238</v>
      </c>
      <c r="CL9" s="29">
        <v>81.977198772385222</v>
      </c>
      <c r="CM9" s="29">
        <v>82.11726451111295</v>
      </c>
      <c r="CN9" s="29">
        <v>82.259670539575581</v>
      </c>
      <c r="CO9" s="29">
        <v>82.38318275490947</v>
      </c>
      <c r="CP9" s="29">
        <v>82.517819831918132</v>
      </c>
      <c r="CQ9" s="29">
        <v>82.643120851615393</v>
      </c>
      <c r="CR9" s="29">
        <v>82.773214092187828</v>
      </c>
      <c r="CS9" s="29">
        <v>82.910898736611202</v>
      </c>
      <c r="CT9" s="29">
        <v>83.038496100274727</v>
      </c>
      <c r="CU9" s="29">
        <v>83.158985063723932</v>
      </c>
      <c r="CV9" s="29">
        <v>83.273809005699093</v>
      </c>
      <c r="CW9" s="29">
        <v>83.405274210126649</v>
      </c>
      <c r="CX9" s="29">
        <v>83.527311913061894</v>
      </c>
      <c r="CY9" s="29">
        <v>83.648597436708613</v>
      </c>
      <c r="CZ9" s="29">
        <v>83.765671286710088</v>
      </c>
      <c r="DA9" s="29">
        <v>83.879735599216517</v>
      </c>
      <c r="DB9" s="29">
        <v>83.997093897368188</v>
      </c>
      <c r="DC9" s="29">
        <v>84.114503049476085</v>
      </c>
      <c r="DD9" s="29">
        <v>84.229382364960372</v>
      </c>
      <c r="DE9" s="29">
        <v>84.345066181693412</v>
      </c>
      <c r="DF9" s="29">
        <v>84.465753096749665</v>
      </c>
      <c r="DG9" s="29">
        <v>84.578388689028685</v>
      </c>
      <c r="DH9" s="29">
        <v>84.691317872828861</v>
      </c>
      <c r="DI9" s="29">
        <v>84.802796041378457</v>
      </c>
      <c r="DJ9" s="29">
        <v>84.913782633328722</v>
      </c>
      <c r="DK9" s="29">
        <v>85.024456178205924</v>
      </c>
      <c r="DL9" s="29">
        <v>85.13290707908844</v>
      </c>
      <c r="DM9" s="29">
        <v>85.242690158258881</v>
      </c>
      <c r="DN9" s="29">
        <v>85.350480232318802</v>
      </c>
      <c r="DO9" s="29">
        <v>85.457225493062396</v>
      </c>
      <c r="DP9" s="29">
        <v>85.562933906097783</v>
      </c>
      <c r="DQ9" s="29">
        <v>85.667612940241227</v>
      </c>
      <c r="DR9" s="29">
        <v>85.771269863586909</v>
      </c>
      <c r="DS9">
        <v>85.873911969474548</v>
      </c>
      <c r="DT9">
        <v>85.975546718190202</v>
      </c>
      <c r="DU9">
        <v>86.076181807765479</v>
      </c>
    </row>
    <row r="10" spans="1:125">
      <c r="A10" s="34">
        <v>8</v>
      </c>
      <c r="B10" s="35"/>
      <c r="C10" s="35"/>
      <c r="D10" s="35"/>
      <c r="E10" s="35"/>
      <c r="F10" s="35"/>
      <c r="G10" s="35"/>
      <c r="H10" s="35"/>
      <c r="I10" s="35"/>
      <c r="J10" s="35"/>
      <c r="K10" s="35"/>
      <c r="L10" s="35"/>
      <c r="M10" s="35"/>
      <c r="N10" s="35"/>
      <c r="O10" s="35"/>
      <c r="P10" s="35"/>
      <c r="Q10" s="35"/>
      <c r="R10" s="35"/>
      <c r="S10" s="35"/>
      <c r="T10" s="35"/>
      <c r="U10" s="35"/>
      <c r="V10" s="29"/>
      <c r="W10" s="29">
        <v>69.2</v>
      </c>
      <c r="X10" s="29">
        <v>69.45</v>
      </c>
      <c r="Y10" s="29">
        <v>69.704801224099498</v>
      </c>
      <c r="Z10" s="29">
        <v>70.003211776600992</v>
      </c>
      <c r="AA10" s="29">
        <v>70.226280586224291</v>
      </c>
      <c r="AB10" s="29">
        <v>70.498711884952684</v>
      </c>
      <c r="AC10" s="29">
        <v>70.794705447528358</v>
      </c>
      <c r="AD10" s="29">
        <v>71.010169693471767</v>
      </c>
      <c r="AE10" s="29">
        <v>71.322458627616669</v>
      </c>
      <c r="AF10" s="29">
        <v>71.645546254944662</v>
      </c>
      <c r="AG10" s="29">
        <v>71.910254646493186</v>
      </c>
      <c r="AH10" s="29">
        <v>72.180944571824526</v>
      </c>
      <c r="AI10" s="29">
        <v>72.46542515991537</v>
      </c>
      <c r="AJ10" s="29">
        <v>72.816397524647556</v>
      </c>
      <c r="AK10" s="29">
        <v>73.121069717114096</v>
      </c>
      <c r="AL10" s="29">
        <v>73.506913594142844</v>
      </c>
      <c r="AM10" s="29">
        <v>73.856950975505072</v>
      </c>
      <c r="AN10" s="29">
        <v>74.203953758137942</v>
      </c>
      <c r="AO10" s="29">
        <v>74.417729115133767</v>
      </c>
      <c r="AP10" s="29">
        <v>74.581063395235972</v>
      </c>
      <c r="AQ10" s="29">
        <v>74.65790357315656</v>
      </c>
      <c r="AR10" s="29">
        <v>74.703312414272332</v>
      </c>
      <c r="AS10" s="29">
        <v>74.742506479628744</v>
      </c>
      <c r="AT10" s="29">
        <v>74.711730293614039</v>
      </c>
      <c r="AU10" s="29">
        <v>74.773538285959461</v>
      </c>
      <c r="AV10" s="29">
        <v>74.81623647791811</v>
      </c>
      <c r="AW10" s="29">
        <v>75.059152149269167</v>
      </c>
      <c r="AX10" s="29">
        <v>75.109200070646267</v>
      </c>
      <c r="AY10" s="29">
        <v>75.246349616893482</v>
      </c>
      <c r="AZ10" s="29">
        <v>75.362596316394047</v>
      </c>
      <c r="BA10" s="29">
        <v>75.482926348837097</v>
      </c>
      <c r="BB10" s="29">
        <v>75.599665231379646</v>
      </c>
      <c r="BC10" s="29">
        <v>75.706953859089367</v>
      </c>
      <c r="BD10" s="29">
        <v>75.804415625743744</v>
      </c>
      <c r="BE10" s="29">
        <v>75.905721314084516</v>
      </c>
      <c r="BF10" s="29">
        <v>76.068483971522241</v>
      </c>
      <c r="BG10" s="29">
        <v>76.230342377260271</v>
      </c>
      <c r="BH10" s="29">
        <v>76.40842247629422</v>
      </c>
      <c r="BI10" s="29">
        <v>76.545771344396982</v>
      </c>
      <c r="BJ10" s="29">
        <v>76.700211648513573</v>
      </c>
      <c r="BK10" s="29">
        <v>76.868991284189192</v>
      </c>
      <c r="BL10" s="29">
        <v>77.079982445787394</v>
      </c>
      <c r="BM10" s="29">
        <v>77.287061213182866</v>
      </c>
      <c r="BN10" s="29">
        <v>77.457405087344284</v>
      </c>
      <c r="BO10" s="29">
        <v>77.614921637152761</v>
      </c>
      <c r="BP10" s="29">
        <v>77.805378390772987</v>
      </c>
      <c r="BQ10" s="29">
        <v>77.97925390290203</v>
      </c>
      <c r="BR10" s="29">
        <v>78.132593570056599</v>
      </c>
      <c r="BS10" s="29">
        <v>78.296890894221349</v>
      </c>
      <c r="BT10" s="29">
        <v>78.460900169547955</v>
      </c>
      <c r="BU10" s="29">
        <v>78.595840362658208</v>
      </c>
      <c r="BV10" s="29">
        <v>78.756342360580533</v>
      </c>
      <c r="BW10" s="29">
        <v>78.914626325893849</v>
      </c>
      <c r="BX10" s="29">
        <v>79.049383316850978</v>
      </c>
      <c r="BY10" s="29">
        <v>79.194112692785694</v>
      </c>
      <c r="BZ10" s="29">
        <v>79.322999749176873</v>
      </c>
      <c r="CA10" s="29">
        <v>79.453391536623997</v>
      </c>
      <c r="CB10" s="29">
        <v>79.611577088466817</v>
      </c>
      <c r="CC10" s="29">
        <v>79.74683299893691</v>
      </c>
      <c r="CD10" s="29">
        <v>79.872270000643795</v>
      </c>
      <c r="CE10" s="29">
        <v>80.001129447810385</v>
      </c>
      <c r="CF10" s="29">
        <v>80.149453740188264</v>
      </c>
      <c r="CG10" s="29">
        <v>80.27784381825326</v>
      </c>
      <c r="CH10" s="29">
        <v>80.432805790295973</v>
      </c>
      <c r="CI10" s="29">
        <v>80.588143410089828</v>
      </c>
      <c r="CJ10" s="29">
        <v>80.70600431594292</v>
      </c>
      <c r="CK10" s="29">
        <v>80.845302150589049</v>
      </c>
      <c r="CL10" s="29">
        <v>80.988018853877449</v>
      </c>
      <c r="CM10" s="29">
        <v>81.12672298806136</v>
      </c>
      <c r="CN10" s="29">
        <v>81.268855927803116</v>
      </c>
      <c r="CO10" s="29">
        <v>81.391938790190252</v>
      </c>
      <c r="CP10" s="29">
        <v>81.52851164352289</v>
      </c>
      <c r="CQ10" s="29">
        <v>81.65078278973219</v>
      </c>
      <c r="CR10" s="29">
        <v>81.778389304928822</v>
      </c>
      <c r="CS10" s="29">
        <v>81.919391130576273</v>
      </c>
      <c r="CT10" s="29">
        <v>82.046305350286133</v>
      </c>
      <c r="CU10" s="29">
        <v>82.165205606345921</v>
      </c>
      <c r="CV10" s="29">
        <v>82.281091034937049</v>
      </c>
      <c r="CW10" s="29">
        <v>82.411429206574695</v>
      </c>
      <c r="CX10" s="29">
        <v>82.533467686394147</v>
      </c>
      <c r="CY10" s="29">
        <v>82.655534608767297</v>
      </c>
      <c r="CZ10" s="29">
        <v>82.773495988157947</v>
      </c>
      <c r="DA10" s="29">
        <v>82.885563900271165</v>
      </c>
      <c r="DB10" s="29">
        <v>83.002921033469676</v>
      </c>
      <c r="DC10" s="29">
        <v>83.122959988572774</v>
      </c>
      <c r="DD10" s="29">
        <v>83.233158352740389</v>
      </c>
      <c r="DE10" s="29">
        <v>83.349715184206644</v>
      </c>
      <c r="DF10" s="29">
        <v>83.470057411023674</v>
      </c>
      <c r="DG10" s="29">
        <v>83.582995989767255</v>
      </c>
      <c r="DH10" s="29">
        <v>83.6953356630938</v>
      </c>
      <c r="DI10" s="29">
        <v>83.806886614214335</v>
      </c>
      <c r="DJ10" s="29">
        <v>83.918233459452765</v>
      </c>
      <c r="DK10" s="29">
        <v>84.029108655135516</v>
      </c>
      <c r="DL10" s="29">
        <v>84.138683921461364</v>
      </c>
      <c r="DM10" s="29">
        <v>84.247359371719099</v>
      </c>
      <c r="DN10" s="29">
        <v>84.354987047800151</v>
      </c>
      <c r="DO10" s="29">
        <v>84.461575498655407</v>
      </c>
      <c r="DP10" s="29">
        <v>84.567132500320383</v>
      </c>
      <c r="DQ10" s="29">
        <v>84.671665338325582</v>
      </c>
      <c r="DR10" s="29">
        <v>84.775181103579641</v>
      </c>
      <c r="DS10">
        <v>84.877686918149777</v>
      </c>
      <c r="DT10">
        <v>84.979190076775978</v>
      </c>
      <c r="DU10">
        <v>85.079698117485449</v>
      </c>
    </row>
    <row r="11" spans="1:125">
      <c r="A11" s="34">
        <v>9</v>
      </c>
      <c r="B11" s="35"/>
      <c r="C11" s="35"/>
      <c r="D11" s="35"/>
      <c r="E11" s="35"/>
      <c r="F11" s="35"/>
      <c r="G11" s="35"/>
      <c r="H11" s="35"/>
      <c r="I11" s="35"/>
      <c r="J11" s="35"/>
      <c r="K11" s="35"/>
      <c r="L11" s="35"/>
      <c r="M11" s="35"/>
      <c r="N11" s="35"/>
      <c r="O11" s="35"/>
      <c r="P11" s="35"/>
      <c r="Q11" s="35"/>
      <c r="R11" s="35"/>
      <c r="S11" s="35"/>
      <c r="T11" s="35"/>
      <c r="U11" s="35"/>
      <c r="V11" s="29"/>
      <c r="W11" s="29">
        <v>68.31</v>
      </c>
      <c r="X11" s="29">
        <v>68.569999999999993</v>
      </c>
      <c r="Y11" s="29">
        <v>68.800042984550586</v>
      </c>
      <c r="Z11" s="29">
        <v>69.105531908506492</v>
      </c>
      <c r="AA11" s="29">
        <v>69.328929112018955</v>
      </c>
      <c r="AB11" s="29">
        <v>69.601761474319929</v>
      </c>
      <c r="AC11" s="29">
        <v>69.921701805137928</v>
      </c>
      <c r="AD11" s="29">
        <v>70.13148496638668</v>
      </c>
      <c r="AE11" s="29">
        <v>70.432118053647841</v>
      </c>
      <c r="AF11" s="29">
        <v>70.749582213825434</v>
      </c>
      <c r="AG11" s="29">
        <v>71.020824198708937</v>
      </c>
      <c r="AH11" s="29">
        <v>71.291933252413088</v>
      </c>
      <c r="AI11" s="29">
        <v>71.576854321936125</v>
      </c>
      <c r="AJ11" s="29">
        <v>71.928370122025044</v>
      </c>
      <c r="AK11" s="29">
        <v>72.244777648878923</v>
      </c>
      <c r="AL11" s="29">
        <v>72.648270527739143</v>
      </c>
      <c r="AM11" s="29">
        <v>73.02745861994822</v>
      </c>
      <c r="AN11" s="29">
        <v>73.279947103654706</v>
      </c>
      <c r="AO11" s="29">
        <v>73.493942876296359</v>
      </c>
      <c r="AP11" s="29">
        <v>73.641324881220697</v>
      </c>
      <c r="AQ11" s="29">
        <v>73.700940118425251</v>
      </c>
      <c r="AR11" s="29">
        <v>73.746375311953258</v>
      </c>
      <c r="AS11" s="29">
        <v>73.785592123060127</v>
      </c>
      <c r="AT11" s="29">
        <v>73.742023964633731</v>
      </c>
      <c r="AU11" s="29">
        <v>73.801904876916623</v>
      </c>
      <c r="AV11" s="29">
        <v>73.843944889206057</v>
      </c>
      <c r="AW11" s="29">
        <v>74.087236463447809</v>
      </c>
      <c r="AX11" s="29">
        <v>74.136129305654464</v>
      </c>
      <c r="AY11" s="29">
        <v>74.272621895313321</v>
      </c>
      <c r="AZ11" s="29">
        <v>74.386519882050635</v>
      </c>
      <c r="BA11" s="29">
        <v>74.508962259530264</v>
      </c>
      <c r="BB11" s="29">
        <v>74.626664410321411</v>
      </c>
      <c r="BC11" s="29">
        <v>74.733649910896389</v>
      </c>
      <c r="BD11" s="29">
        <v>74.831220070928509</v>
      </c>
      <c r="BE11" s="29">
        <v>74.931773421613045</v>
      </c>
      <c r="BF11" s="29">
        <v>75.091962205307652</v>
      </c>
      <c r="BG11" s="29">
        <v>75.253061154175043</v>
      </c>
      <c r="BH11" s="29">
        <v>75.433729885654458</v>
      </c>
      <c r="BI11" s="29">
        <v>75.572015517243486</v>
      </c>
      <c r="BJ11" s="29">
        <v>75.728626264540395</v>
      </c>
      <c r="BK11" s="29">
        <v>75.895920278704224</v>
      </c>
      <c r="BL11" s="29">
        <v>76.10871065834182</v>
      </c>
      <c r="BM11" s="29">
        <v>76.312583687129191</v>
      </c>
      <c r="BN11" s="29">
        <v>76.481774364662769</v>
      </c>
      <c r="BO11" s="29">
        <v>76.637209925970581</v>
      </c>
      <c r="BP11" s="29">
        <v>76.828353149291772</v>
      </c>
      <c r="BQ11" s="29">
        <v>76.999651919855793</v>
      </c>
      <c r="BR11" s="29">
        <v>77.152113568371433</v>
      </c>
      <c r="BS11" s="29">
        <v>77.319103600431987</v>
      </c>
      <c r="BT11" s="29">
        <v>77.480802081379295</v>
      </c>
      <c r="BU11" s="29">
        <v>77.6162232319856</v>
      </c>
      <c r="BV11" s="29">
        <v>77.773502368565204</v>
      </c>
      <c r="BW11" s="29">
        <v>77.92964227282809</v>
      </c>
      <c r="BX11" s="29">
        <v>78.064995759546321</v>
      </c>
      <c r="BY11" s="29">
        <v>78.208591272101017</v>
      </c>
      <c r="BZ11" s="29">
        <v>78.33838724120551</v>
      </c>
      <c r="CA11" s="29">
        <v>78.469038810752224</v>
      </c>
      <c r="CB11" s="29">
        <v>78.625060040249693</v>
      </c>
      <c r="CC11" s="29">
        <v>78.759824137450479</v>
      </c>
      <c r="CD11" s="29">
        <v>78.884612312771139</v>
      </c>
      <c r="CE11" s="29">
        <v>79.019291993807585</v>
      </c>
      <c r="CF11" s="29">
        <v>79.160681098632566</v>
      </c>
      <c r="CG11" s="29">
        <v>79.291922264077797</v>
      </c>
      <c r="CH11" s="29">
        <v>79.442888342057145</v>
      </c>
      <c r="CI11" s="29">
        <v>79.597716999454931</v>
      </c>
      <c r="CJ11" s="29">
        <v>79.715912060182063</v>
      </c>
      <c r="CK11" s="29">
        <v>79.855183324415847</v>
      </c>
      <c r="CL11" s="29">
        <v>79.99436617826386</v>
      </c>
      <c r="CM11" s="29">
        <v>80.134641456256048</v>
      </c>
      <c r="CN11" s="29">
        <v>80.275834723830584</v>
      </c>
      <c r="CO11" s="29">
        <v>80.399801138539985</v>
      </c>
      <c r="CP11" s="29">
        <v>80.535674675098548</v>
      </c>
      <c r="CQ11" s="29">
        <v>80.658536967167322</v>
      </c>
      <c r="CR11" s="29">
        <v>80.784550053892218</v>
      </c>
      <c r="CS11" s="29">
        <v>80.929913643222577</v>
      </c>
      <c r="CT11" s="29">
        <v>81.052558725473716</v>
      </c>
      <c r="CU11" s="29">
        <v>81.171968184866671</v>
      </c>
      <c r="CV11" s="29">
        <v>81.286387017415791</v>
      </c>
      <c r="CW11" s="29">
        <v>81.416864156134679</v>
      </c>
      <c r="CX11" s="29">
        <v>81.538466904112624</v>
      </c>
      <c r="CY11" s="29">
        <v>81.661244560971554</v>
      </c>
      <c r="CZ11" s="29">
        <v>81.781026021383084</v>
      </c>
      <c r="DA11" s="29">
        <v>81.892504236798516</v>
      </c>
      <c r="DB11" s="29">
        <v>82.01008913879221</v>
      </c>
      <c r="DC11" s="29">
        <v>82.125890645045288</v>
      </c>
      <c r="DD11" s="29">
        <v>82.238329002013018</v>
      </c>
      <c r="DE11" s="29">
        <v>82.356597671037861</v>
      </c>
      <c r="DF11" s="29">
        <v>82.474478469223669</v>
      </c>
      <c r="DG11" s="29">
        <v>82.589875856943721</v>
      </c>
      <c r="DH11" s="29">
        <v>82.70089663953857</v>
      </c>
      <c r="DI11" s="29">
        <v>82.812317611030181</v>
      </c>
      <c r="DJ11" s="29">
        <v>82.922838290070914</v>
      </c>
      <c r="DK11" s="29">
        <v>83.033654252879032</v>
      </c>
      <c r="DL11" s="29">
        <v>83.143225773530574</v>
      </c>
      <c r="DM11" s="29">
        <v>83.251745688664329</v>
      </c>
      <c r="DN11" s="29">
        <v>83.359223096128034</v>
      </c>
      <c r="DO11" s="29">
        <v>83.465666369239059</v>
      </c>
      <c r="DP11" s="29">
        <v>83.571083114100944</v>
      </c>
      <c r="DQ11" s="29">
        <v>83.675480451850916</v>
      </c>
      <c r="DR11" s="29">
        <v>83.778865314382713</v>
      </c>
      <c r="DS11">
        <v>83.881244669966179</v>
      </c>
      <c r="DT11">
        <v>83.982625664600178</v>
      </c>
      <c r="DU11">
        <v>84.083015692466887</v>
      </c>
    </row>
    <row r="12" spans="1:125">
      <c r="A12" s="34">
        <v>10</v>
      </c>
      <c r="B12" s="35"/>
      <c r="C12" s="35"/>
      <c r="D12" s="35"/>
      <c r="E12" s="35"/>
      <c r="F12" s="35"/>
      <c r="G12" s="35"/>
      <c r="H12" s="35"/>
      <c r="I12" s="35"/>
      <c r="J12" s="35"/>
      <c r="K12" s="35"/>
      <c r="L12" s="35"/>
      <c r="M12" s="35"/>
      <c r="N12" s="35"/>
      <c r="O12" s="35"/>
      <c r="P12" s="35"/>
      <c r="Q12" s="35"/>
      <c r="R12" s="35"/>
      <c r="S12" s="35"/>
      <c r="T12" s="35"/>
      <c r="U12" s="35"/>
      <c r="V12" s="29"/>
      <c r="W12" s="29">
        <v>67.41</v>
      </c>
      <c r="X12" s="29">
        <v>67.650000000000006</v>
      </c>
      <c r="Y12" s="29">
        <v>67.887579085780374</v>
      </c>
      <c r="Z12" s="29">
        <v>68.19345953671349</v>
      </c>
      <c r="AA12" s="29">
        <v>68.417143055129515</v>
      </c>
      <c r="AB12" s="29">
        <v>68.710441317362552</v>
      </c>
      <c r="AC12" s="29">
        <v>69.025683057000634</v>
      </c>
      <c r="AD12" s="29">
        <v>69.225346220902608</v>
      </c>
      <c r="AE12" s="29">
        <v>69.52114531158854</v>
      </c>
      <c r="AF12" s="29">
        <v>69.844276645790998</v>
      </c>
      <c r="AG12" s="29">
        <v>70.11588425712911</v>
      </c>
      <c r="AH12" s="29">
        <v>70.387358758100461</v>
      </c>
      <c r="AI12" s="29">
        <v>70.672663893093826</v>
      </c>
      <c r="AJ12" s="29">
        <v>71.034296145417414</v>
      </c>
      <c r="AK12" s="29">
        <v>71.365705791725887</v>
      </c>
      <c r="AL12" s="29">
        <v>71.794249630009858</v>
      </c>
      <c r="AM12" s="29">
        <v>72.097878562153511</v>
      </c>
      <c r="AN12" s="29">
        <v>72.350612197486257</v>
      </c>
      <c r="AO12" s="29">
        <v>72.54985852696764</v>
      </c>
      <c r="AP12" s="29">
        <v>72.6793781578628</v>
      </c>
      <c r="AQ12" s="29">
        <v>72.739024411119033</v>
      </c>
      <c r="AR12" s="29">
        <v>72.784483243239734</v>
      </c>
      <c r="AS12" s="29">
        <v>72.816937044275008</v>
      </c>
      <c r="AT12" s="29">
        <v>72.77374302832925</v>
      </c>
      <c r="AU12" s="29">
        <v>72.825389965236965</v>
      </c>
      <c r="AV12" s="29">
        <v>72.868303547946482</v>
      </c>
      <c r="AW12" s="29">
        <v>73.11451440166168</v>
      </c>
      <c r="AX12" s="29">
        <v>73.163266209885307</v>
      </c>
      <c r="AY12" s="29">
        <v>73.297917672057082</v>
      </c>
      <c r="AZ12" s="29">
        <v>73.409089610456419</v>
      </c>
      <c r="BA12" s="29">
        <v>73.535377528701986</v>
      </c>
      <c r="BB12" s="29">
        <v>73.650173072936099</v>
      </c>
      <c r="BC12" s="29">
        <v>73.756889829362734</v>
      </c>
      <c r="BD12" s="29">
        <v>73.853751231682196</v>
      </c>
      <c r="BE12" s="29">
        <v>73.955017080922516</v>
      </c>
      <c r="BF12" s="29">
        <v>74.11439943141508</v>
      </c>
      <c r="BG12" s="29">
        <v>74.276144123047303</v>
      </c>
      <c r="BH12" s="29">
        <v>74.457477741497456</v>
      </c>
      <c r="BI12" s="29">
        <v>74.596475976695316</v>
      </c>
      <c r="BJ12" s="29">
        <v>74.754595240479134</v>
      </c>
      <c r="BK12" s="29">
        <v>74.918284975424214</v>
      </c>
      <c r="BL12" s="29">
        <v>75.131997295992406</v>
      </c>
      <c r="BM12" s="29">
        <v>75.333947797068305</v>
      </c>
      <c r="BN12" s="29">
        <v>75.501897222049791</v>
      </c>
      <c r="BO12" s="29">
        <v>75.654714042006958</v>
      </c>
      <c r="BP12" s="29">
        <v>75.848599437008843</v>
      </c>
      <c r="BQ12" s="29">
        <v>76.017272546561117</v>
      </c>
      <c r="BR12" s="29">
        <v>76.173466523227376</v>
      </c>
      <c r="BS12" s="29">
        <v>76.336928568852315</v>
      </c>
      <c r="BT12" s="29">
        <v>76.496076735738797</v>
      </c>
      <c r="BU12" s="29">
        <v>76.630889102683582</v>
      </c>
      <c r="BV12" s="29">
        <v>76.787711076369959</v>
      </c>
      <c r="BW12" s="29">
        <v>76.942699719068102</v>
      </c>
      <c r="BX12" s="29">
        <v>77.078425993886924</v>
      </c>
      <c r="BY12" s="29">
        <v>77.22655864975269</v>
      </c>
      <c r="BZ12" s="29">
        <v>77.352558514267187</v>
      </c>
      <c r="CA12" s="29">
        <v>77.481000595044733</v>
      </c>
      <c r="CB12" s="29">
        <v>77.637632356899204</v>
      </c>
      <c r="CC12" s="29">
        <v>77.771335339365365</v>
      </c>
      <c r="CD12" s="29">
        <v>77.893872680282939</v>
      </c>
      <c r="CE12" s="29">
        <v>78.033317955066508</v>
      </c>
      <c r="CF12" s="29">
        <v>78.17145349551808</v>
      </c>
      <c r="CG12" s="29">
        <v>78.301021445271246</v>
      </c>
      <c r="CH12" s="29">
        <v>78.450515759642286</v>
      </c>
      <c r="CI12" s="29">
        <v>78.609861130725804</v>
      </c>
      <c r="CJ12" s="29">
        <v>78.723329197735211</v>
      </c>
      <c r="CK12" s="29">
        <v>78.862981806095235</v>
      </c>
      <c r="CL12" s="29">
        <v>79.00197385682813</v>
      </c>
      <c r="CM12" s="29">
        <v>79.141414288971916</v>
      </c>
      <c r="CN12" s="29">
        <v>79.28477482045588</v>
      </c>
      <c r="CO12" s="29">
        <v>79.405850956282933</v>
      </c>
      <c r="CP12" s="29">
        <v>79.543315817313029</v>
      </c>
      <c r="CQ12" s="29">
        <v>79.663561569549358</v>
      </c>
      <c r="CR12" s="29">
        <v>79.79062622076664</v>
      </c>
      <c r="CS12" s="29">
        <v>79.934575798509769</v>
      </c>
      <c r="CT12" s="29">
        <v>80.057706982166735</v>
      </c>
      <c r="CU12" s="29">
        <v>80.177438459821573</v>
      </c>
      <c r="CV12" s="29">
        <v>80.291624299600343</v>
      </c>
      <c r="CW12" s="29">
        <v>80.422236679522939</v>
      </c>
      <c r="CX12" s="29">
        <v>80.543405050242825</v>
      </c>
      <c r="CY12" s="29">
        <v>80.66805012160296</v>
      </c>
      <c r="CZ12" s="29">
        <v>80.785432386365912</v>
      </c>
      <c r="DA12" s="29">
        <v>80.896741829594831</v>
      </c>
      <c r="DB12" s="29">
        <v>81.015954925278024</v>
      </c>
      <c r="DC12" s="29">
        <v>81.130190447160302</v>
      </c>
      <c r="DD12" s="29">
        <v>81.244064865771335</v>
      </c>
      <c r="DE12" s="29">
        <v>81.361223085609623</v>
      </c>
      <c r="DF12" s="29">
        <v>81.478802845952828</v>
      </c>
      <c r="DG12" s="29">
        <v>81.59382968656999</v>
      </c>
      <c r="DH12" s="29">
        <v>81.705897247120888</v>
      </c>
      <c r="DI12" s="29">
        <v>81.816725651066704</v>
      </c>
      <c r="DJ12" s="29">
        <v>81.927785858663</v>
      </c>
      <c r="DK12" s="29">
        <v>82.038258008863664</v>
      </c>
      <c r="DL12" s="29">
        <v>82.147674327684015</v>
      </c>
      <c r="DM12" s="29">
        <v>82.256044211262946</v>
      </c>
      <c r="DN12" s="29">
        <v>82.363376587995944</v>
      </c>
      <c r="DO12" s="29">
        <v>82.469679667143836</v>
      </c>
      <c r="DP12" s="29">
        <v>82.574960895984617</v>
      </c>
      <c r="DQ12" s="29">
        <v>82.679227241916067</v>
      </c>
      <c r="DR12" s="29">
        <v>82.782485488035505</v>
      </c>
      <c r="DS12">
        <v>82.884742458615349</v>
      </c>
      <c r="DT12">
        <v>82.986005160310683</v>
      </c>
      <c r="DU12">
        <v>83.086280852469358</v>
      </c>
    </row>
    <row r="13" spans="1:125">
      <c r="A13" s="34">
        <v>11</v>
      </c>
      <c r="B13" s="35"/>
      <c r="C13" s="35"/>
      <c r="D13" s="35"/>
      <c r="E13" s="35"/>
      <c r="F13" s="35"/>
      <c r="G13" s="35"/>
      <c r="H13" s="35"/>
      <c r="I13" s="35"/>
      <c r="J13" s="35"/>
      <c r="K13" s="35"/>
      <c r="L13" s="35"/>
      <c r="M13" s="35"/>
      <c r="N13" s="35"/>
      <c r="O13" s="35"/>
      <c r="P13" s="35"/>
      <c r="Q13" s="35"/>
      <c r="R13" s="35"/>
      <c r="S13" s="35"/>
      <c r="T13" s="35"/>
      <c r="U13" s="35"/>
      <c r="V13" s="29"/>
      <c r="W13" s="29">
        <v>66.48</v>
      </c>
      <c r="X13" s="29">
        <v>66.72</v>
      </c>
      <c r="Y13" s="29">
        <v>66.964488602787554</v>
      </c>
      <c r="Z13" s="29">
        <v>67.270718155410648</v>
      </c>
      <c r="AA13" s="29">
        <v>67.51226034645866</v>
      </c>
      <c r="AB13" s="29">
        <v>67.801418898312676</v>
      </c>
      <c r="AC13" s="29">
        <v>68.107938553317936</v>
      </c>
      <c r="AD13" s="29">
        <v>68.303257021346425</v>
      </c>
      <c r="AE13" s="29">
        <v>68.603995541031281</v>
      </c>
      <c r="AF13" s="29">
        <v>68.927514749196973</v>
      </c>
      <c r="AG13" s="29">
        <v>69.199448387476778</v>
      </c>
      <c r="AH13" s="29">
        <v>69.471248755609423</v>
      </c>
      <c r="AI13" s="29">
        <v>69.765330729504001</v>
      </c>
      <c r="AJ13" s="29">
        <v>70.140161108613455</v>
      </c>
      <c r="AK13" s="29">
        <v>70.493378968009665</v>
      </c>
      <c r="AL13" s="29">
        <v>70.859900738689447</v>
      </c>
      <c r="AM13" s="29">
        <v>71.163809266678854</v>
      </c>
      <c r="AN13" s="29">
        <v>71.402812855474664</v>
      </c>
      <c r="AO13" s="29">
        <v>71.583737883772997</v>
      </c>
      <c r="AP13" s="29">
        <v>71.713318417519019</v>
      </c>
      <c r="AQ13" s="29">
        <v>71.772992717696354</v>
      </c>
      <c r="AR13" s="29">
        <v>71.809800366067833</v>
      </c>
      <c r="AS13" s="29">
        <v>71.843248047763311</v>
      </c>
      <c r="AT13" s="29">
        <v>71.797306023115993</v>
      </c>
      <c r="AU13" s="29">
        <v>71.846266018331221</v>
      </c>
      <c r="AV13" s="29">
        <v>71.892549769473732</v>
      </c>
      <c r="AW13" s="29">
        <v>72.13971055078774</v>
      </c>
      <c r="AX13" s="29">
        <v>72.186705573557731</v>
      </c>
      <c r="AY13" s="29">
        <v>72.319039696117088</v>
      </c>
      <c r="AZ13" s="29">
        <v>72.429923062386038</v>
      </c>
      <c r="BA13" s="29">
        <v>72.557503556191946</v>
      </c>
      <c r="BB13" s="29">
        <v>72.668886412147373</v>
      </c>
      <c r="BC13" s="29">
        <v>72.772692864379081</v>
      </c>
      <c r="BD13" s="29">
        <v>72.876236186982709</v>
      </c>
      <c r="BE13" s="29">
        <v>72.975070670083667</v>
      </c>
      <c r="BF13" s="29">
        <v>73.134159126725933</v>
      </c>
      <c r="BG13" s="29">
        <v>73.297416993556865</v>
      </c>
      <c r="BH13" s="29">
        <v>73.47967152095481</v>
      </c>
      <c r="BI13" s="29">
        <v>73.620049557481863</v>
      </c>
      <c r="BJ13" s="29">
        <v>73.775763740532994</v>
      </c>
      <c r="BK13" s="29">
        <v>73.94159311879433</v>
      </c>
      <c r="BL13" s="29">
        <v>74.151208827569988</v>
      </c>
      <c r="BM13" s="29">
        <v>74.351389396546523</v>
      </c>
      <c r="BN13" s="29">
        <v>74.516868536989534</v>
      </c>
      <c r="BO13" s="29">
        <v>74.673517983937302</v>
      </c>
      <c r="BP13" s="29">
        <v>74.864504839288941</v>
      </c>
      <c r="BQ13" s="29">
        <v>75.032289473783976</v>
      </c>
      <c r="BR13" s="29">
        <v>75.187139320412101</v>
      </c>
      <c r="BS13" s="29">
        <v>75.352392300562656</v>
      </c>
      <c r="BT13" s="29">
        <v>75.512725368286624</v>
      </c>
      <c r="BU13" s="29">
        <v>75.644536741135795</v>
      </c>
      <c r="BV13" s="29">
        <v>75.800691851944947</v>
      </c>
      <c r="BW13" s="29">
        <v>75.954452589217539</v>
      </c>
      <c r="BX13" s="29">
        <v>76.09053591143703</v>
      </c>
      <c r="BY13" s="29">
        <v>76.238456408471222</v>
      </c>
      <c r="BZ13" s="29">
        <v>76.363072537829012</v>
      </c>
      <c r="CA13" s="29">
        <v>76.490048339623215</v>
      </c>
      <c r="CB13" s="29">
        <v>76.648538408063303</v>
      </c>
      <c r="CC13" s="29">
        <v>76.780814760896959</v>
      </c>
      <c r="CD13" s="29">
        <v>76.904352768804003</v>
      </c>
      <c r="CE13" s="29">
        <v>77.04304233830868</v>
      </c>
      <c r="CF13" s="29">
        <v>77.184285665409206</v>
      </c>
      <c r="CG13" s="29">
        <v>77.312466358508075</v>
      </c>
      <c r="CH13" s="29">
        <v>77.457259877201707</v>
      </c>
      <c r="CI13" s="29">
        <v>77.620318177996381</v>
      </c>
      <c r="CJ13" s="29">
        <v>77.730959936251338</v>
      </c>
      <c r="CK13" s="29">
        <v>77.870663302911254</v>
      </c>
      <c r="CL13" s="29">
        <v>78.008646898400556</v>
      </c>
      <c r="CM13" s="29">
        <v>78.149968033265793</v>
      </c>
      <c r="CN13" s="29">
        <v>78.291215313747017</v>
      </c>
      <c r="CO13" s="29">
        <v>78.411993713020863</v>
      </c>
      <c r="CP13" s="29">
        <v>78.551418545150455</v>
      </c>
      <c r="CQ13" s="29">
        <v>78.668715108512728</v>
      </c>
      <c r="CR13" s="29">
        <v>78.798482376198891</v>
      </c>
      <c r="CS13" s="29">
        <v>78.940016307896272</v>
      </c>
      <c r="CT13" s="29">
        <v>79.063406049437191</v>
      </c>
      <c r="CU13" s="29">
        <v>79.183445896862082</v>
      </c>
      <c r="CV13" s="29">
        <v>79.298458030386286</v>
      </c>
      <c r="CW13" s="29">
        <v>79.427544499683677</v>
      </c>
      <c r="CX13" s="29">
        <v>79.550238040119893</v>
      </c>
      <c r="CY13" s="29">
        <v>79.671179594797366</v>
      </c>
      <c r="CZ13" s="29">
        <v>79.790680572039392</v>
      </c>
      <c r="DA13" s="29">
        <v>79.900440779860915</v>
      </c>
      <c r="DB13" s="29">
        <v>80.021237442479261</v>
      </c>
      <c r="DC13" s="29">
        <v>80.135757316697493</v>
      </c>
      <c r="DD13" s="29">
        <v>80.248259120554863</v>
      </c>
      <c r="DE13" s="29">
        <v>80.366202956722248</v>
      </c>
      <c r="DF13" s="29">
        <v>80.482818705452488</v>
      </c>
      <c r="DG13" s="29">
        <v>80.59816337949411</v>
      </c>
      <c r="DH13" s="29">
        <v>80.709023490302727</v>
      </c>
      <c r="DI13" s="29">
        <v>80.821257253994986</v>
      </c>
      <c r="DJ13" s="29">
        <v>80.932628728999489</v>
      </c>
      <c r="DK13" s="29">
        <v>81.042940184900971</v>
      </c>
      <c r="DL13" s="29">
        <v>81.152201074992718</v>
      </c>
      <c r="DM13" s="29">
        <v>81.260420625852504</v>
      </c>
      <c r="DN13" s="29">
        <v>81.367607601620023</v>
      </c>
      <c r="DO13" s="29">
        <v>81.473770052435484</v>
      </c>
      <c r="DP13" s="29">
        <v>81.57891527143822</v>
      </c>
      <c r="DQ13" s="29">
        <v>81.683050076735299</v>
      </c>
      <c r="DR13" s="29">
        <v>81.786181106849241</v>
      </c>
      <c r="DS13">
        <v>81.888315046059489</v>
      </c>
      <c r="DT13">
        <v>81.98945876547478</v>
      </c>
      <c r="DU13">
        <v>82.089619393207755</v>
      </c>
    </row>
    <row r="14" spans="1:125">
      <c r="A14" s="34">
        <v>12</v>
      </c>
      <c r="B14" s="35"/>
      <c r="C14" s="35"/>
      <c r="D14" s="35"/>
      <c r="E14" s="35"/>
      <c r="F14" s="35"/>
      <c r="G14" s="35"/>
      <c r="H14" s="35"/>
      <c r="I14" s="35"/>
      <c r="J14" s="35"/>
      <c r="K14" s="35"/>
      <c r="L14" s="35"/>
      <c r="M14" s="35"/>
      <c r="N14" s="35"/>
      <c r="O14" s="35"/>
      <c r="P14" s="35"/>
      <c r="Q14" s="35"/>
      <c r="R14" s="35"/>
      <c r="S14" s="35"/>
      <c r="T14" s="35"/>
      <c r="U14" s="35"/>
      <c r="V14" s="29"/>
      <c r="W14" s="29">
        <v>65.55</v>
      </c>
      <c r="X14" s="29">
        <v>65.790000000000006</v>
      </c>
      <c r="Y14" s="29">
        <v>66.033683633766671</v>
      </c>
      <c r="Z14" s="29">
        <v>66.356016627286522</v>
      </c>
      <c r="AA14" s="29">
        <v>66.593789976566129</v>
      </c>
      <c r="AB14" s="29">
        <v>66.875110591594265</v>
      </c>
      <c r="AC14" s="29">
        <v>67.177852485068698</v>
      </c>
      <c r="AD14" s="29">
        <v>67.377498202315564</v>
      </c>
      <c r="AE14" s="29">
        <v>67.678566015663364</v>
      </c>
      <c r="AF14" s="29">
        <v>68.002439461208439</v>
      </c>
      <c r="AG14" s="29">
        <v>68.274670853244288</v>
      </c>
      <c r="AH14" s="29">
        <v>68.554329933542945</v>
      </c>
      <c r="AI14" s="29">
        <v>68.860159285983983</v>
      </c>
      <c r="AJ14" s="29">
        <v>69.254602511264295</v>
      </c>
      <c r="AK14" s="29">
        <v>69.556429754788965</v>
      </c>
      <c r="AL14" s="29">
        <v>69.923281692212441</v>
      </c>
      <c r="AM14" s="29">
        <v>70.214030846779991</v>
      </c>
      <c r="AN14" s="29">
        <v>70.435443159327974</v>
      </c>
      <c r="AO14" s="29">
        <v>70.616451451440668</v>
      </c>
      <c r="AP14" s="29">
        <v>70.746091619664071</v>
      </c>
      <c r="AQ14" s="29">
        <v>70.797132477617708</v>
      </c>
      <c r="AR14" s="29">
        <v>70.837134916754096</v>
      </c>
      <c r="AS14" s="29">
        <v>70.867886912215411</v>
      </c>
      <c r="AT14" s="29">
        <v>70.818779723795473</v>
      </c>
      <c r="AU14" s="29">
        <v>70.870858291376422</v>
      </c>
      <c r="AV14" s="29">
        <v>70.913900832861358</v>
      </c>
      <c r="AW14" s="29">
        <v>71.163064933069109</v>
      </c>
      <c r="AX14" s="29">
        <v>71.207331600227491</v>
      </c>
      <c r="AY14" s="29">
        <v>71.339299864183246</v>
      </c>
      <c r="AZ14" s="29">
        <v>71.453444622618008</v>
      </c>
      <c r="BA14" s="29">
        <v>71.576606260548559</v>
      </c>
      <c r="BB14" s="29">
        <v>71.687470694530774</v>
      </c>
      <c r="BC14" s="29">
        <v>71.793146025464324</v>
      </c>
      <c r="BD14" s="29">
        <v>71.898526487009562</v>
      </c>
      <c r="BE14" s="29">
        <v>71.994681526239901</v>
      </c>
      <c r="BF14" s="29">
        <v>72.158408681173626</v>
      </c>
      <c r="BG14" s="29">
        <v>72.314896778609821</v>
      </c>
      <c r="BH14" s="29">
        <v>72.498613694146357</v>
      </c>
      <c r="BI14" s="29">
        <v>72.640585041390139</v>
      </c>
      <c r="BJ14" s="29">
        <v>72.795831699073688</v>
      </c>
      <c r="BK14" s="29">
        <v>72.959935061229316</v>
      </c>
      <c r="BL14" s="29">
        <v>73.167049024178951</v>
      </c>
      <c r="BM14" s="29">
        <v>73.366735875011443</v>
      </c>
      <c r="BN14" s="29">
        <v>73.534240949936205</v>
      </c>
      <c r="BO14" s="29">
        <v>73.69147537245081</v>
      </c>
      <c r="BP14" s="29">
        <v>73.881353792566699</v>
      </c>
      <c r="BQ14" s="29">
        <v>74.047193256327617</v>
      </c>
      <c r="BR14" s="29">
        <v>74.201460509414446</v>
      </c>
      <c r="BS14" s="29">
        <v>74.36743482532944</v>
      </c>
      <c r="BT14" s="29">
        <v>74.528464308205017</v>
      </c>
      <c r="BU14" s="29">
        <v>74.65739251726913</v>
      </c>
      <c r="BV14" s="29">
        <v>74.812146061857305</v>
      </c>
      <c r="BW14" s="29">
        <v>74.966106746459204</v>
      </c>
      <c r="BX14" s="29">
        <v>75.10228814040488</v>
      </c>
      <c r="BY14" s="29">
        <v>75.246466281294829</v>
      </c>
      <c r="BZ14" s="29">
        <v>75.377514485082301</v>
      </c>
      <c r="CA14" s="29">
        <v>75.498106757827188</v>
      </c>
      <c r="CB14" s="29">
        <v>75.659171410704801</v>
      </c>
      <c r="CC14" s="29">
        <v>75.791750068149511</v>
      </c>
      <c r="CD14" s="29">
        <v>75.916867666331399</v>
      </c>
      <c r="CE14" s="29">
        <v>76.053415623423561</v>
      </c>
      <c r="CF14" s="29">
        <v>76.194923224060489</v>
      </c>
      <c r="CG14" s="29">
        <v>76.321367030597727</v>
      </c>
      <c r="CH14" s="29">
        <v>76.466722533265198</v>
      </c>
      <c r="CI14" s="29">
        <v>76.625804476164873</v>
      </c>
      <c r="CJ14" s="29">
        <v>76.739668861204237</v>
      </c>
      <c r="CK14" s="29">
        <v>76.878744948291853</v>
      </c>
      <c r="CL14" s="29">
        <v>77.016040286609353</v>
      </c>
      <c r="CM14" s="29">
        <v>77.157214707482581</v>
      </c>
      <c r="CN14" s="29">
        <v>77.299057010348832</v>
      </c>
      <c r="CO14" s="29">
        <v>77.41913838800491</v>
      </c>
      <c r="CP14" s="29">
        <v>77.559405952022743</v>
      </c>
      <c r="CQ14" s="29">
        <v>77.67516773373579</v>
      </c>
      <c r="CR14" s="29">
        <v>77.80786637228897</v>
      </c>
      <c r="CS14" s="29">
        <v>77.945595741439348</v>
      </c>
      <c r="CT14" s="29">
        <v>78.070443718148553</v>
      </c>
      <c r="CU14" s="29">
        <v>78.188193525945977</v>
      </c>
      <c r="CV14" s="29">
        <v>78.306022101763617</v>
      </c>
      <c r="CW14" s="29">
        <v>78.43364017537219</v>
      </c>
      <c r="CX14" s="29">
        <v>78.554865892401835</v>
      </c>
      <c r="CY14" s="29">
        <v>78.675357821285914</v>
      </c>
      <c r="CZ14" s="29">
        <v>78.795163503903225</v>
      </c>
      <c r="DA14" s="29">
        <v>78.904514390421781</v>
      </c>
      <c r="DB14" s="29">
        <v>79.029726987964068</v>
      </c>
      <c r="DC14" s="29">
        <v>79.140734721214031</v>
      </c>
      <c r="DD14" s="29">
        <v>79.255102213024045</v>
      </c>
      <c r="DE14" s="29">
        <v>79.37286097964116</v>
      </c>
      <c r="DF14" s="29">
        <v>79.488727500586123</v>
      </c>
      <c r="DG14" s="29">
        <v>79.602196392724025</v>
      </c>
      <c r="DH14" s="29">
        <v>79.714259230007841</v>
      </c>
      <c r="DI14" s="29">
        <v>79.826522586228592</v>
      </c>
      <c r="DJ14" s="29">
        <v>79.93772213108771</v>
      </c>
      <c r="DK14" s="29">
        <v>80.047867197002347</v>
      </c>
      <c r="DL14" s="29">
        <v>80.156967062021167</v>
      </c>
      <c r="DM14" s="29">
        <v>80.265030782865296</v>
      </c>
      <c r="DN14" s="29">
        <v>80.372066959034797</v>
      </c>
      <c r="DO14" s="29">
        <v>80.478083481082095</v>
      </c>
      <c r="DP14" s="29">
        <v>80.583087487463061</v>
      </c>
      <c r="DQ14" s="29">
        <v>80.687085646378193</v>
      </c>
      <c r="DR14" s="29">
        <v>80.790084451094259</v>
      </c>
      <c r="DS14">
        <v>80.892090445157422</v>
      </c>
      <c r="DT14">
        <v>80.993110363334921</v>
      </c>
      <c r="DU14">
        <v>81.093151201658941</v>
      </c>
    </row>
    <row r="15" spans="1:125">
      <c r="A15" s="34">
        <v>13</v>
      </c>
      <c r="B15" s="35"/>
      <c r="C15" s="35"/>
      <c r="D15" s="35"/>
      <c r="E15" s="35"/>
      <c r="F15" s="35"/>
      <c r="G15" s="35"/>
      <c r="H15" s="35"/>
      <c r="I15" s="35"/>
      <c r="J15" s="35"/>
      <c r="K15" s="35"/>
      <c r="L15" s="35"/>
      <c r="M15" s="35"/>
      <c r="N15" s="35"/>
      <c r="O15" s="35"/>
      <c r="P15" s="35"/>
      <c r="Q15" s="35"/>
      <c r="R15" s="35"/>
      <c r="S15" s="35"/>
      <c r="T15" s="35"/>
      <c r="U15" s="35"/>
      <c r="V15" s="29"/>
      <c r="W15" s="29">
        <v>64.61</v>
      </c>
      <c r="X15" s="29">
        <v>64.86</v>
      </c>
      <c r="Y15" s="29">
        <v>65.118932834471025</v>
      </c>
      <c r="Z15" s="29">
        <v>65.441685133430994</v>
      </c>
      <c r="AA15" s="29">
        <v>65.673150140636452</v>
      </c>
      <c r="AB15" s="29">
        <v>65.94816339228538</v>
      </c>
      <c r="AC15" s="29">
        <v>66.257913944926685</v>
      </c>
      <c r="AD15" s="29">
        <v>66.457799380865467</v>
      </c>
      <c r="AE15" s="29">
        <v>66.759228692488264</v>
      </c>
      <c r="AF15" s="29">
        <v>67.083491019496847</v>
      </c>
      <c r="AG15" s="29">
        <v>67.364197878228566</v>
      </c>
      <c r="AH15" s="29">
        <v>67.656503384549154</v>
      </c>
      <c r="AI15" s="29">
        <v>67.983355408045227</v>
      </c>
      <c r="AJ15" s="29">
        <v>68.316537394919735</v>
      </c>
      <c r="AK15" s="29">
        <v>68.618636527663867</v>
      </c>
      <c r="AL15" s="29">
        <v>68.971895004056137</v>
      </c>
      <c r="AM15" s="29">
        <v>69.24750965141267</v>
      </c>
      <c r="AN15" s="29">
        <v>69.469028292908561</v>
      </c>
      <c r="AO15" s="29">
        <v>69.650123510725805</v>
      </c>
      <c r="AP15" s="29">
        <v>69.771524094479133</v>
      </c>
      <c r="AQ15" s="29">
        <v>69.821177304597455</v>
      </c>
      <c r="AR15" s="29">
        <v>69.858636600852975</v>
      </c>
      <c r="AS15" s="29">
        <v>69.890541041855826</v>
      </c>
      <c r="AT15" s="29">
        <v>69.840987453312749</v>
      </c>
      <c r="AU15" s="29">
        <v>69.89314918075722</v>
      </c>
      <c r="AV15" s="29">
        <v>69.935300815620096</v>
      </c>
      <c r="AW15" s="29">
        <v>70.186246973477111</v>
      </c>
      <c r="AX15" s="29">
        <v>70.225995012458739</v>
      </c>
      <c r="AY15" s="29">
        <v>70.362366008781152</v>
      </c>
      <c r="AZ15" s="29">
        <v>70.471178214380018</v>
      </c>
      <c r="BA15" s="29">
        <v>70.598664000496385</v>
      </c>
      <c r="BB15" s="29">
        <v>70.709901328036167</v>
      </c>
      <c r="BC15" s="29">
        <v>70.814558318712017</v>
      </c>
      <c r="BD15" s="29">
        <v>70.918683837569887</v>
      </c>
      <c r="BE15" s="29">
        <v>71.013317273586864</v>
      </c>
      <c r="BF15" s="29">
        <v>71.177858944512536</v>
      </c>
      <c r="BG15" s="29">
        <v>71.333402246275952</v>
      </c>
      <c r="BH15" s="29">
        <v>71.518485480046479</v>
      </c>
      <c r="BI15" s="29">
        <v>71.658669088389814</v>
      </c>
      <c r="BJ15" s="29">
        <v>71.815914131885023</v>
      </c>
      <c r="BK15" s="29">
        <v>71.97543062910232</v>
      </c>
      <c r="BL15" s="29">
        <v>72.18333190219731</v>
      </c>
      <c r="BM15" s="29">
        <v>72.384447071756782</v>
      </c>
      <c r="BN15" s="29">
        <v>72.551814468264837</v>
      </c>
      <c r="BO15" s="29">
        <v>72.707903832596955</v>
      </c>
      <c r="BP15" s="29">
        <v>72.897125800373473</v>
      </c>
      <c r="BQ15" s="29">
        <v>73.060648880129961</v>
      </c>
      <c r="BR15" s="29">
        <v>73.217148933280342</v>
      </c>
      <c r="BS15" s="29">
        <v>73.382096844623064</v>
      </c>
      <c r="BT15" s="29">
        <v>73.541235302336077</v>
      </c>
      <c r="BU15" s="29">
        <v>73.671314102878767</v>
      </c>
      <c r="BV15" s="29">
        <v>73.821601405519658</v>
      </c>
      <c r="BW15" s="29">
        <v>73.976456212170476</v>
      </c>
      <c r="BX15" s="29">
        <v>74.113658759398845</v>
      </c>
      <c r="BY15" s="29">
        <v>74.2578885977845</v>
      </c>
      <c r="BZ15" s="29">
        <v>74.387126587088176</v>
      </c>
      <c r="CA15" s="29">
        <v>74.507116043101561</v>
      </c>
      <c r="CB15" s="29">
        <v>74.669163364675512</v>
      </c>
      <c r="CC15" s="29">
        <v>74.802229880204479</v>
      </c>
      <c r="CD15" s="29">
        <v>74.928398906019325</v>
      </c>
      <c r="CE15" s="29">
        <v>75.063567975316786</v>
      </c>
      <c r="CF15" s="29">
        <v>75.20278526772789</v>
      </c>
      <c r="CG15" s="29">
        <v>75.330086788310908</v>
      </c>
      <c r="CH15" s="29">
        <v>75.475831040339756</v>
      </c>
      <c r="CI15" s="29">
        <v>75.634341090692402</v>
      </c>
      <c r="CJ15" s="29">
        <v>75.747579598633934</v>
      </c>
      <c r="CK15" s="29">
        <v>75.88553792737406</v>
      </c>
      <c r="CL15" s="29">
        <v>76.02477894309358</v>
      </c>
      <c r="CM15" s="29">
        <v>76.164676159274762</v>
      </c>
      <c r="CN15" s="29">
        <v>76.30562753615331</v>
      </c>
      <c r="CO15" s="29">
        <v>76.424552547075507</v>
      </c>
      <c r="CP15" s="29">
        <v>76.566345402211681</v>
      </c>
      <c r="CQ15" s="29">
        <v>76.681341477053223</v>
      </c>
      <c r="CR15" s="29">
        <v>76.814512492042624</v>
      </c>
      <c r="CS15" s="29">
        <v>76.951104637832316</v>
      </c>
      <c r="CT15" s="29">
        <v>77.075805322021267</v>
      </c>
      <c r="CU15" s="29">
        <v>77.193074630281515</v>
      </c>
      <c r="CV15" s="29">
        <v>77.311887743779579</v>
      </c>
      <c r="CW15" s="29">
        <v>77.440888665229636</v>
      </c>
      <c r="CX15" s="29">
        <v>77.560866281041925</v>
      </c>
      <c r="CY15" s="29">
        <v>77.680541834934459</v>
      </c>
      <c r="CZ15" s="29">
        <v>77.802409305096575</v>
      </c>
      <c r="DA15" s="29">
        <v>77.911341999143744</v>
      </c>
      <c r="DB15" s="29">
        <v>78.035181876923602</v>
      </c>
      <c r="DC15" s="29">
        <v>78.147382790747699</v>
      </c>
      <c r="DD15" s="29">
        <v>78.260915391853359</v>
      </c>
      <c r="DE15" s="29">
        <v>78.376345059011499</v>
      </c>
      <c r="DF15" s="29">
        <v>78.494101874195181</v>
      </c>
      <c r="DG15" s="29">
        <v>78.607010790479393</v>
      </c>
      <c r="DH15" s="29">
        <v>78.720151767105548</v>
      </c>
      <c r="DI15" s="29">
        <v>78.832225817997482</v>
      </c>
      <c r="DJ15" s="29">
        <v>78.94324205468844</v>
      </c>
      <c r="DK15" s="29">
        <v>79.053209623305321</v>
      </c>
      <c r="DL15" s="29">
        <v>79.162137621231068</v>
      </c>
      <c r="DM15" s="29">
        <v>79.270034929972553</v>
      </c>
      <c r="DN15" s="29">
        <v>79.376909979096155</v>
      </c>
      <c r="DO15" s="29">
        <v>79.482770494336464</v>
      </c>
      <c r="DP15" s="29">
        <v>79.587623454301166</v>
      </c>
      <c r="DQ15" s="29">
        <v>79.691475372187696</v>
      </c>
      <c r="DR15" s="29">
        <v>79.794332590981398</v>
      </c>
      <c r="DS15">
        <v>79.896201508542021</v>
      </c>
      <c r="DT15">
        <v>79.997088718416023</v>
      </c>
      <c r="DU15">
        <v>80.096993361076827</v>
      </c>
    </row>
    <row r="16" spans="1:125">
      <c r="A16" s="34">
        <v>14</v>
      </c>
      <c r="B16" s="35"/>
      <c r="C16" s="35"/>
      <c r="D16" s="35"/>
      <c r="E16" s="35"/>
      <c r="F16" s="35"/>
      <c r="G16" s="35"/>
      <c r="H16" s="35"/>
      <c r="I16" s="35"/>
      <c r="J16" s="35"/>
      <c r="K16" s="35"/>
      <c r="L16" s="35"/>
      <c r="M16" s="35"/>
      <c r="N16" s="35"/>
      <c r="O16" s="35"/>
      <c r="P16" s="35"/>
      <c r="Q16" s="35"/>
      <c r="R16" s="35"/>
      <c r="S16" s="35"/>
      <c r="T16" s="35"/>
      <c r="U16" s="35"/>
      <c r="V16" s="29"/>
      <c r="W16" s="29">
        <v>63.68</v>
      </c>
      <c r="X16" s="29">
        <v>63.95</v>
      </c>
      <c r="Y16" s="29">
        <v>64.208167706820959</v>
      </c>
      <c r="Z16" s="29">
        <v>64.524862893013676</v>
      </c>
      <c r="AA16" s="29">
        <v>64.751403569594501</v>
      </c>
      <c r="AB16" s="29">
        <v>65.031989852725815</v>
      </c>
      <c r="AC16" s="29">
        <v>65.342137136017783</v>
      </c>
      <c r="AD16" s="29">
        <v>65.542278586605704</v>
      </c>
      <c r="AE16" s="29">
        <v>65.844093970976104</v>
      </c>
      <c r="AF16" s="29">
        <v>66.177311691624908</v>
      </c>
      <c r="AG16" s="29">
        <v>66.471282325861523</v>
      </c>
      <c r="AH16" s="29">
        <v>66.785607834666692</v>
      </c>
      <c r="AI16" s="29">
        <v>67.047525557324676</v>
      </c>
      <c r="AJ16" s="29">
        <v>67.381024368069404</v>
      </c>
      <c r="AK16" s="29">
        <v>67.66898821253119</v>
      </c>
      <c r="AL16" s="29">
        <v>68.007518913891346</v>
      </c>
      <c r="AM16" s="29">
        <v>68.2832769554295</v>
      </c>
      <c r="AN16" s="29">
        <v>68.504910846548754</v>
      </c>
      <c r="AO16" s="29">
        <v>68.679078688374275</v>
      </c>
      <c r="AP16" s="29">
        <v>68.799044594644542</v>
      </c>
      <c r="AQ16" s="29">
        <v>68.845661625837522</v>
      </c>
      <c r="AR16" s="29">
        <v>68.881057371538958</v>
      </c>
      <c r="AS16" s="29">
        <v>68.912632805123124</v>
      </c>
      <c r="AT16" s="29">
        <v>68.865708289837272</v>
      </c>
      <c r="AU16" s="29">
        <v>68.916453230688134</v>
      </c>
      <c r="AV16" s="29">
        <v>68.957273465343974</v>
      </c>
      <c r="AW16" s="29">
        <v>69.208632788060044</v>
      </c>
      <c r="AX16" s="29">
        <v>69.249123465961986</v>
      </c>
      <c r="AY16" s="29">
        <v>69.382697343367852</v>
      </c>
      <c r="AZ16" s="29">
        <v>69.490158988123042</v>
      </c>
      <c r="BA16" s="29">
        <v>69.617876527927564</v>
      </c>
      <c r="BB16" s="29">
        <v>69.7324004866759</v>
      </c>
      <c r="BC16" s="29">
        <v>69.833557914858019</v>
      </c>
      <c r="BD16" s="29">
        <v>69.938272928502457</v>
      </c>
      <c r="BE16" s="29">
        <v>70.034101152709738</v>
      </c>
      <c r="BF16" s="29">
        <v>70.198167906710196</v>
      </c>
      <c r="BG16" s="29">
        <v>70.354153420079882</v>
      </c>
      <c r="BH16" s="29">
        <v>70.538259432600739</v>
      </c>
      <c r="BI16" s="29">
        <v>70.678738794412268</v>
      </c>
      <c r="BJ16" s="29">
        <v>70.831300023834174</v>
      </c>
      <c r="BK16" s="29">
        <v>70.992390517824234</v>
      </c>
      <c r="BL16" s="29">
        <v>71.201549978024502</v>
      </c>
      <c r="BM16" s="29">
        <v>71.401575163702503</v>
      </c>
      <c r="BN16" s="29">
        <v>71.568354928118964</v>
      </c>
      <c r="BO16" s="29">
        <v>71.724974853699678</v>
      </c>
      <c r="BP16" s="29">
        <v>71.912630484148679</v>
      </c>
      <c r="BQ16" s="29">
        <v>72.074939368563989</v>
      </c>
      <c r="BR16" s="29">
        <v>72.229889579940519</v>
      </c>
      <c r="BS16" s="29">
        <v>72.396302699700769</v>
      </c>
      <c r="BT16" s="29">
        <v>72.554432911468268</v>
      </c>
      <c r="BU16" s="29">
        <v>72.684796659496939</v>
      </c>
      <c r="BV16" s="29">
        <v>72.832798184988235</v>
      </c>
      <c r="BW16" s="29">
        <v>72.987395327219261</v>
      </c>
      <c r="BX16" s="29">
        <v>73.127935636976275</v>
      </c>
      <c r="BY16" s="29">
        <v>73.268060878848772</v>
      </c>
      <c r="BZ16" s="29">
        <v>73.399949345554234</v>
      </c>
      <c r="CA16" s="29">
        <v>73.518528132024969</v>
      </c>
      <c r="CB16" s="29">
        <v>73.678722662016355</v>
      </c>
      <c r="CC16" s="29">
        <v>73.812275703780827</v>
      </c>
      <c r="CD16" s="29">
        <v>73.940356908817549</v>
      </c>
      <c r="CE16" s="29">
        <v>74.072842292126566</v>
      </c>
      <c r="CF16" s="29">
        <v>74.214170290531271</v>
      </c>
      <c r="CG16" s="29">
        <v>74.33829833902756</v>
      </c>
      <c r="CH16" s="29">
        <v>74.487376706227352</v>
      </c>
      <c r="CI16" s="29">
        <v>74.641380582435147</v>
      </c>
      <c r="CJ16" s="29">
        <v>74.756685566527807</v>
      </c>
      <c r="CK16" s="29">
        <v>74.893854635602963</v>
      </c>
      <c r="CL16" s="29">
        <v>75.036241219332979</v>
      </c>
      <c r="CM16" s="29">
        <v>75.171366022318438</v>
      </c>
      <c r="CN16" s="29">
        <v>75.311938108381668</v>
      </c>
      <c r="CO16" s="29">
        <v>75.431312698689894</v>
      </c>
      <c r="CP16" s="29">
        <v>75.575041093447993</v>
      </c>
      <c r="CQ16" s="29">
        <v>75.690293607153734</v>
      </c>
      <c r="CR16" s="29">
        <v>75.821866182479141</v>
      </c>
      <c r="CS16" s="29">
        <v>75.959565596207412</v>
      </c>
      <c r="CT16" s="29">
        <v>76.081879458458673</v>
      </c>
      <c r="CU16" s="29">
        <v>76.198098404008348</v>
      </c>
      <c r="CV16" s="29">
        <v>76.320655854455495</v>
      </c>
      <c r="CW16" s="29">
        <v>76.44598146097708</v>
      </c>
      <c r="CX16" s="29">
        <v>76.566964263606309</v>
      </c>
      <c r="CY16" s="29">
        <v>76.687100573834925</v>
      </c>
      <c r="CZ16" s="29">
        <v>76.809895522089604</v>
      </c>
      <c r="DA16" s="29">
        <v>76.919518448587922</v>
      </c>
      <c r="DB16" s="29">
        <v>77.041810158745761</v>
      </c>
      <c r="DC16" s="29">
        <v>77.152598644519117</v>
      </c>
      <c r="DD16" s="29">
        <v>77.267277526410268</v>
      </c>
      <c r="DE16" s="29">
        <v>77.383834192696852</v>
      </c>
      <c r="DF16" s="29">
        <v>77.499773259744856</v>
      </c>
      <c r="DG16" s="29">
        <v>77.613769791215702</v>
      </c>
      <c r="DH16" s="29">
        <v>77.726697181889392</v>
      </c>
      <c r="DI16" s="29">
        <v>77.838564297195646</v>
      </c>
      <c r="DJ16" s="29">
        <v>77.94938004586507</v>
      </c>
      <c r="DK16" s="29">
        <v>78.05915337722837</v>
      </c>
      <c r="DL16" s="29">
        <v>78.167893197702057</v>
      </c>
      <c r="DM16" s="29">
        <v>78.275608203479621</v>
      </c>
      <c r="DN16" s="29">
        <v>78.3823066442922</v>
      </c>
      <c r="DO16" s="29">
        <v>78.487996071348547</v>
      </c>
      <c r="DP16" s="29">
        <v>78.592683293891639</v>
      </c>
      <c r="DQ16" s="29">
        <v>78.69637466079098</v>
      </c>
      <c r="DR16" s="29">
        <v>78.799076355617103</v>
      </c>
      <c r="DS16">
        <v>78.900794621600241</v>
      </c>
      <c r="DT16">
        <v>79.001527313423523</v>
      </c>
      <c r="DU16">
        <v>79.101282576659898</v>
      </c>
    </row>
    <row r="17" spans="1:125">
      <c r="A17" s="34">
        <v>15</v>
      </c>
      <c r="B17" s="35"/>
      <c r="C17" s="35"/>
      <c r="D17" s="35"/>
      <c r="E17" s="35"/>
      <c r="F17" s="35"/>
      <c r="G17" s="35"/>
      <c r="H17" s="35"/>
      <c r="I17" s="35"/>
      <c r="J17" s="35"/>
      <c r="K17" s="35"/>
      <c r="L17" s="35"/>
      <c r="M17" s="35"/>
      <c r="N17" s="35"/>
      <c r="O17" s="35"/>
      <c r="P17" s="35"/>
      <c r="Q17" s="35"/>
      <c r="R17" s="35"/>
      <c r="S17" s="35"/>
      <c r="T17" s="35"/>
      <c r="U17" s="35"/>
      <c r="V17" s="29"/>
      <c r="W17" s="29">
        <v>62.77</v>
      </c>
      <c r="X17" s="29">
        <v>63.04</v>
      </c>
      <c r="Y17" s="29">
        <v>63.294868548325979</v>
      </c>
      <c r="Z17" s="29">
        <v>63.608147429072332</v>
      </c>
      <c r="AA17" s="29">
        <v>63.838843704162464</v>
      </c>
      <c r="AB17" s="29">
        <v>64.119811838910891</v>
      </c>
      <c r="AC17" s="29">
        <v>64.430381203568871</v>
      </c>
      <c r="AD17" s="29">
        <v>64.630795027901172</v>
      </c>
      <c r="AE17" s="29">
        <v>64.941927187260617</v>
      </c>
      <c r="AF17" s="29">
        <v>65.289075543900353</v>
      </c>
      <c r="AG17" s="29">
        <v>65.606045118012091</v>
      </c>
      <c r="AH17" s="29">
        <v>65.859266620615585</v>
      </c>
      <c r="AI17" s="29">
        <v>66.12147539501315</v>
      </c>
      <c r="AJ17" s="29">
        <v>66.438794641180692</v>
      </c>
      <c r="AK17" s="29">
        <v>66.708641310904625</v>
      </c>
      <c r="AL17" s="29">
        <v>67.047371863290692</v>
      </c>
      <c r="AM17" s="29">
        <v>67.323292698121378</v>
      </c>
      <c r="AN17" s="29">
        <v>67.534489338235005</v>
      </c>
      <c r="AO17" s="29">
        <v>67.705956635752429</v>
      </c>
      <c r="AP17" s="29">
        <v>67.823961404863269</v>
      </c>
      <c r="AQ17" s="29">
        <v>67.872582355578075</v>
      </c>
      <c r="AR17" s="29">
        <v>67.905124787037266</v>
      </c>
      <c r="AS17" s="29">
        <v>67.94203060739126</v>
      </c>
      <c r="AT17" s="29">
        <v>67.896048990589065</v>
      </c>
      <c r="AU17" s="29">
        <v>67.942853163149053</v>
      </c>
      <c r="AV17" s="29">
        <v>67.976309822714896</v>
      </c>
      <c r="AW17" s="29">
        <v>68.234768782009368</v>
      </c>
      <c r="AX17" s="29">
        <v>68.27026119484168</v>
      </c>
      <c r="AY17" s="29">
        <v>68.404520700016974</v>
      </c>
      <c r="AZ17" s="29">
        <v>68.51270100852777</v>
      </c>
      <c r="BA17" s="29">
        <v>68.642665324824506</v>
      </c>
      <c r="BB17" s="29">
        <v>68.755082640017434</v>
      </c>
      <c r="BC17" s="29">
        <v>68.856365281441114</v>
      </c>
      <c r="BD17" s="29">
        <v>68.960349514795723</v>
      </c>
      <c r="BE17" s="29">
        <v>69.061717920305597</v>
      </c>
      <c r="BF17" s="29">
        <v>69.221640303160541</v>
      </c>
      <c r="BG17" s="29">
        <v>69.376550612038642</v>
      </c>
      <c r="BH17" s="29">
        <v>69.559421959531775</v>
      </c>
      <c r="BI17" s="29">
        <v>69.699991240699802</v>
      </c>
      <c r="BJ17" s="29">
        <v>69.854512650680718</v>
      </c>
      <c r="BK17" s="29">
        <v>70.013710691338375</v>
      </c>
      <c r="BL17" s="29">
        <v>70.220847936768209</v>
      </c>
      <c r="BM17" s="29">
        <v>70.421053255946404</v>
      </c>
      <c r="BN17" s="29">
        <v>70.589618919573184</v>
      </c>
      <c r="BO17" s="29">
        <v>70.744413260604603</v>
      </c>
      <c r="BP17" s="29">
        <v>70.930094757326188</v>
      </c>
      <c r="BQ17" s="29">
        <v>71.091432631553445</v>
      </c>
      <c r="BR17" s="29">
        <v>71.247166205066307</v>
      </c>
      <c r="BS17" s="29">
        <v>71.410467451175919</v>
      </c>
      <c r="BT17" s="29">
        <v>71.569623138317667</v>
      </c>
      <c r="BU17" s="29">
        <v>71.699275615187574</v>
      </c>
      <c r="BV17" s="29">
        <v>71.845984761987239</v>
      </c>
      <c r="BW17" s="29">
        <v>71.999426168875488</v>
      </c>
      <c r="BX17" s="29">
        <v>72.140173414600298</v>
      </c>
      <c r="BY17" s="29">
        <v>72.279529825490499</v>
      </c>
      <c r="BZ17" s="29">
        <v>72.419528655932766</v>
      </c>
      <c r="CA17" s="29">
        <v>72.527821084093091</v>
      </c>
      <c r="CB17" s="29">
        <v>72.691096409325539</v>
      </c>
      <c r="CC17" s="29">
        <v>72.823678393165494</v>
      </c>
      <c r="CD17" s="29">
        <v>72.952895051649818</v>
      </c>
      <c r="CE17" s="29">
        <v>73.084234839249135</v>
      </c>
      <c r="CF17" s="29">
        <v>73.224189923154213</v>
      </c>
      <c r="CG17" s="29">
        <v>73.348561834335158</v>
      </c>
      <c r="CH17" s="29">
        <v>73.497731683938397</v>
      </c>
      <c r="CI17" s="29">
        <v>73.652518911539204</v>
      </c>
      <c r="CJ17" s="29">
        <v>73.768904692177898</v>
      </c>
      <c r="CK17" s="29">
        <v>73.903794422575118</v>
      </c>
      <c r="CL17" s="29">
        <v>74.045322836929259</v>
      </c>
      <c r="CM17" s="29">
        <v>74.180044086330639</v>
      </c>
      <c r="CN17" s="29">
        <v>74.320390060750029</v>
      </c>
      <c r="CO17" s="29">
        <v>74.442890032755443</v>
      </c>
      <c r="CP17" s="29">
        <v>74.582892693949319</v>
      </c>
      <c r="CQ17" s="29">
        <v>74.699693410208326</v>
      </c>
      <c r="CR17" s="29">
        <v>74.831478254809696</v>
      </c>
      <c r="CS17" s="29">
        <v>74.966919390180479</v>
      </c>
      <c r="CT17" s="29">
        <v>75.089838219587349</v>
      </c>
      <c r="CU17" s="29">
        <v>75.204378066669634</v>
      </c>
      <c r="CV17" s="29">
        <v>75.327910082834762</v>
      </c>
      <c r="CW17" s="29">
        <v>75.453988971402993</v>
      </c>
      <c r="CX17" s="29">
        <v>75.575527246030305</v>
      </c>
      <c r="CY17" s="29">
        <v>75.694936721524613</v>
      </c>
      <c r="CZ17" s="29">
        <v>75.81637737348143</v>
      </c>
      <c r="DA17" s="29">
        <v>75.926688050208355</v>
      </c>
      <c r="DB17" s="29">
        <v>76.048521519424312</v>
      </c>
      <c r="DC17" s="29">
        <v>76.160276786599724</v>
      </c>
      <c r="DD17" s="29">
        <v>76.275898801007813</v>
      </c>
      <c r="DE17" s="29">
        <v>76.392829622530797</v>
      </c>
      <c r="DF17" s="29">
        <v>76.507651433544922</v>
      </c>
      <c r="DG17" s="29">
        <v>76.621403154184563</v>
      </c>
      <c r="DH17" s="29">
        <v>76.734093223661588</v>
      </c>
      <c r="DI17" s="29">
        <v>76.845730283269504</v>
      </c>
      <c r="DJ17" s="29">
        <v>76.956323024105444</v>
      </c>
      <c r="DK17" s="29">
        <v>77.065880184188842</v>
      </c>
      <c r="DL17" s="29">
        <v>77.174410464764563</v>
      </c>
      <c r="DM17" s="29">
        <v>77.281922362810391</v>
      </c>
      <c r="DN17" s="29">
        <v>77.388423934615773</v>
      </c>
      <c r="DO17" s="29">
        <v>77.493922543546304</v>
      </c>
      <c r="DP17" s="29">
        <v>77.598424816447434</v>
      </c>
      <c r="DQ17" s="29">
        <v>77.701936925111156</v>
      </c>
      <c r="DR17" s="29">
        <v>77.804464881224845</v>
      </c>
      <c r="DS17">
        <v>77.906005062016419</v>
      </c>
      <c r="DT17">
        <v>78.006565482853077</v>
      </c>
      <c r="DU17">
        <v>78.106154102619499</v>
      </c>
    </row>
    <row r="18" spans="1:125">
      <c r="A18" s="34">
        <v>16</v>
      </c>
      <c r="B18" s="35"/>
      <c r="C18" s="35"/>
      <c r="D18" s="35"/>
      <c r="E18" s="35"/>
      <c r="F18" s="35"/>
      <c r="G18" s="35"/>
      <c r="H18" s="35"/>
      <c r="I18" s="35"/>
      <c r="J18" s="35"/>
      <c r="K18" s="35"/>
      <c r="L18" s="35"/>
      <c r="M18" s="35"/>
      <c r="N18" s="35"/>
      <c r="O18" s="35"/>
      <c r="P18" s="35"/>
      <c r="Q18" s="35"/>
      <c r="R18" s="35"/>
      <c r="S18" s="35"/>
      <c r="T18" s="35"/>
      <c r="U18" s="35"/>
      <c r="V18" s="29"/>
      <c r="W18" s="29">
        <v>61.87</v>
      </c>
      <c r="X18" s="29">
        <v>62.13</v>
      </c>
      <c r="Y18" s="29">
        <v>62.382841061111506</v>
      </c>
      <c r="Z18" s="29">
        <v>62.69908742644283</v>
      </c>
      <c r="AA18" s="29">
        <v>62.930116139094579</v>
      </c>
      <c r="AB18" s="29">
        <v>63.211489154076013</v>
      </c>
      <c r="AC18" s="29">
        <v>63.522506054881951</v>
      </c>
      <c r="AD18" s="29">
        <v>63.732464695125429</v>
      </c>
      <c r="AE18" s="29">
        <v>64.058046517848467</v>
      </c>
      <c r="AF18" s="29">
        <v>64.438584403864297</v>
      </c>
      <c r="AG18" s="29">
        <v>64.693404279746943</v>
      </c>
      <c r="AH18" s="29">
        <v>64.946965554458558</v>
      </c>
      <c r="AI18" s="29">
        <v>65.189914930292034</v>
      </c>
      <c r="AJ18" s="29">
        <v>65.483663532382721</v>
      </c>
      <c r="AK18" s="29">
        <v>65.753693822704065</v>
      </c>
      <c r="AL18" s="29">
        <v>66.092654868601343</v>
      </c>
      <c r="AM18" s="29">
        <v>66.357517146503767</v>
      </c>
      <c r="AN18" s="29">
        <v>66.567251168620345</v>
      </c>
      <c r="AO18" s="29">
        <v>66.739471141886185</v>
      </c>
      <c r="AP18" s="29">
        <v>66.855836882176675</v>
      </c>
      <c r="AQ18" s="29">
        <v>66.904104265277297</v>
      </c>
      <c r="AR18" s="29">
        <v>66.938525110584635</v>
      </c>
      <c r="AS18" s="29">
        <v>66.970277155520591</v>
      </c>
      <c r="AT18" s="29">
        <v>66.923728969393991</v>
      </c>
      <c r="AU18" s="29">
        <v>66.971497629047605</v>
      </c>
      <c r="AV18" s="29">
        <v>67.003554268303844</v>
      </c>
      <c r="AW18" s="29">
        <v>67.26172482093564</v>
      </c>
      <c r="AX18" s="29">
        <v>67.294274289605099</v>
      </c>
      <c r="AY18" s="29">
        <v>67.429091397811405</v>
      </c>
      <c r="AZ18" s="29">
        <v>67.539263568633075</v>
      </c>
      <c r="BA18" s="29">
        <v>67.668925351604315</v>
      </c>
      <c r="BB18" s="29">
        <v>67.782224795083692</v>
      </c>
      <c r="BC18" s="29">
        <v>67.884947770832937</v>
      </c>
      <c r="BD18" s="29">
        <v>67.989224253948436</v>
      </c>
      <c r="BE18" s="29">
        <v>68.094471652924994</v>
      </c>
      <c r="BF18" s="29">
        <v>68.251909511774343</v>
      </c>
      <c r="BG18" s="29">
        <v>68.403870646205135</v>
      </c>
      <c r="BH18" s="29">
        <v>68.586060146101659</v>
      </c>
      <c r="BI18" s="29">
        <v>68.72660262103652</v>
      </c>
      <c r="BJ18" s="29">
        <v>68.884331467195352</v>
      </c>
      <c r="BK18" s="29">
        <v>69.044881408211651</v>
      </c>
      <c r="BL18" s="29">
        <v>69.250336990368524</v>
      </c>
      <c r="BM18" s="29">
        <v>69.448023267746478</v>
      </c>
      <c r="BN18" s="29">
        <v>69.614868718209578</v>
      </c>
      <c r="BO18" s="29">
        <v>69.768501215270746</v>
      </c>
      <c r="BP18" s="29">
        <v>69.953937283618856</v>
      </c>
      <c r="BQ18" s="29">
        <v>70.111474404310513</v>
      </c>
      <c r="BR18" s="29">
        <v>70.26887959671383</v>
      </c>
      <c r="BS18" s="29">
        <v>70.430080512893639</v>
      </c>
      <c r="BT18" s="29">
        <v>70.587672082268412</v>
      </c>
      <c r="BU18" s="29">
        <v>70.71598934162968</v>
      </c>
      <c r="BV18" s="29">
        <v>70.861336251317667</v>
      </c>
      <c r="BW18" s="29">
        <v>71.013934361452755</v>
      </c>
      <c r="BX18" s="29">
        <v>71.156004046281737</v>
      </c>
      <c r="BY18" s="29">
        <v>71.295793562345281</v>
      </c>
      <c r="BZ18" s="29">
        <v>71.434406445304248</v>
      </c>
      <c r="CA18" s="29">
        <v>71.543975357255746</v>
      </c>
      <c r="CB18" s="29">
        <v>71.704407708875166</v>
      </c>
      <c r="CC18" s="29">
        <v>71.841529019304275</v>
      </c>
      <c r="CD18" s="29">
        <v>71.971941585853315</v>
      </c>
      <c r="CE18" s="29">
        <v>72.0979853040607</v>
      </c>
      <c r="CF18" s="29">
        <v>72.240170082063415</v>
      </c>
      <c r="CG18" s="29">
        <v>72.362309111693335</v>
      </c>
      <c r="CH18" s="29">
        <v>72.511911596612407</v>
      </c>
      <c r="CI18" s="29">
        <v>72.665625054737205</v>
      </c>
      <c r="CJ18" s="29">
        <v>72.782350774789222</v>
      </c>
      <c r="CK18" s="29">
        <v>72.915616170528722</v>
      </c>
      <c r="CL18" s="29">
        <v>73.057960946829255</v>
      </c>
      <c r="CM18" s="29">
        <v>73.192389135999349</v>
      </c>
      <c r="CN18" s="29">
        <v>73.331550698829645</v>
      </c>
      <c r="CO18" s="29">
        <v>73.452232033833482</v>
      </c>
      <c r="CP18" s="29">
        <v>73.593519810840661</v>
      </c>
      <c r="CQ18" s="29">
        <v>73.709338429962216</v>
      </c>
      <c r="CR18" s="29">
        <v>73.842696626211179</v>
      </c>
      <c r="CS18" s="29">
        <v>73.976974501122172</v>
      </c>
      <c r="CT18" s="29">
        <v>74.09614325731502</v>
      </c>
      <c r="CU18" s="29">
        <v>74.214484058162284</v>
      </c>
      <c r="CV18" s="29">
        <v>74.337731465389382</v>
      </c>
      <c r="CW18" s="29">
        <v>74.463013184862902</v>
      </c>
      <c r="CX18" s="29">
        <v>74.585611506753068</v>
      </c>
      <c r="CY18" s="29">
        <v>74.704809609445959</v>
      </c>
      <c r="CZ18" s="29">
        <v>74.824774567336064</v>
      </c>
      <c r="DA18" s="29">
        <v>74.936819528929831</v>
      </c>
      <c r="DB18" s="29">
        <v>75.055721622497828</v>
      </c>
      <c r="DC18" s="29">
        <v>75.167818424412204</v>
      </c>
      <c r="DD18" s="29">
        <v>75.286426982061343</v>
      </c>
      <c r="DE18" s="29">
        <v>75.402037278869457</v>
      </c>
      <c r="DF18" s="29">
        <v>75.516577806377498</v>
      </c>
      <c r="DG18" s="29">
        <v>75.630056696083201</v>
      </c>
      <c r="DH18" s="29">
        <v>75.742482139042693</v>
      </c>
      <c r="DI18" s="29">
        <v>75.853862535460806</v>
      </c>
      <c r="DJ18" s="29">
        <v>75.964206342203695</v>
      </c>
      <c r="DK18" s="29">
        <v>76.073522069731268</v>
      </c>
      <c r="DL18" s="29">
        <v>76.181818198210919</v>
      </c>
      <c r="DM18" s="29">
        <v>76.289103009833809</v>
      </c>
      <c r="DN18" s="29">
        <v>76.395384352203806</v>
      </c>
      <c r="DO18" s="29">
        <v>76.500669385918641</v>
      </c>
      <c r="DP18" s="29">
        <v>76.604964540815914</v>
      </c>
      <c r="DQ18" s="29">
        <v>76.708275797312808</v>
      </c>
      <c r="DR18" s="29">
        <v>76.810598011979991</v>
      </c>
      <c r="DS18">
        <v>76.911939043490023</v>
      </c>
      <c r="DT18">
        <v>77.012306699698513</v>
      </c>
      <c r="DU18">
        <v>77.111708738348781</v>
      </c>
    </row>
    <row r="19" spans="1:125">
      <c r="A19" s="34">
        <v>17</v>
      </c>
      <c r="B19" s="35"/>
      <c r="C19" s="35"/>
      <c r="D19" s="35"/>
      <c r="E19" s="35"/>
      <c r="F19" s="35"/>
      <c r="G19" s="35"/>
      <c r="H19" s="35"/>
      <c r="I19" s="35"/>
      <c r="J19" s="35"/>
      <c r="K19" s="35"/>
      <c r="L19" s="35"/>
      <c r="M19" s="35"/>
      <c r="N19" s="35"/>
      <c r="O19" s="35"/>
      <c r="P19" s="35"/>
      <c r="Q19" s="35"/>
      <c r="R19" s="35"/>
      <c r="S19" s="35"/>
      <c r="T19" s="35"/>
      <c r="U19" s="35"/>
      <c r="V19" s="29"/>
      <c r="W19" s="29">
        <v>60.96</v>
      </c>
      <c r="X19" s="29">
        <v>61.22</v>
      </c>
      <c r="Y19" s="29">
        <v>61.476973728155542</v>
      </c>
      <c r="Z19" s="29">
        <v>61.793701149516302</v>
      </c>
      <c r="AA19" s="29">
        <v>62.025081289938875</v>
      </c>
      <c r="AB19" s="29">
        <v>62.306882313587657</v>
      </c>
      <c r="AC19" s="29">
        <v>62.627974985071226</v>
      </c>
      <c r="AD19" s="29">
        <v>62.85274248249749</v>
      </c>
      <c r="AE19" s="29">
        <v>63.222579233058994</v>
      </c>
      <c r="AF19" s="29">
        <v>63.537843060608239</v>
      </c>
      <c r="AG19" s="29">
        <v>63.793058520453656</v>
      </c>
      <c r="AH19" s="29">
        <v>64.024726480613808</v>
      </c>
      <c r="AI19" s="29">
        <v>64.240412452004605</v>
      </c>
      <c r="AJ19" s="29">
        <v>64.534390356861067</v>
      </c>
      <c r="AK19" s="29">
        <v>64.804631435223541</v>
      </c>
      <c r="AL19" s="29">
        <v>65.134710404561162</v>
      </c>
      <c r="AM19" s="29">
        <v>65.395358374183132</v>
      </c>
      <c r="AN19" s="29">
        <v>65.600892419269954</v>
      </c>
      <c r="AO19" s="29">
        <v>65.771481286802882</v>
      </c>
      <c r="AP19" s="29">
        <v>65.886585735992156</v>
      </c>
      <c r="AQ19" s="29">
        <v>65.939925779272315</v>
      </c>
      <c r="AR19" s="29">
        <v>65.972042146869555</v>
      </c>
      <c r="AS19" s="29">
        <v>66.002305839158822</v>
      </c>
      <c r="AT19" s="29">
        <v>65.955052577938602</v>
      </c>
      <c r="AU19" s="29">
        <v>66.002215544371651</v>
      </c>
      <c r="AV19" s="29">
        <v>66.036905477942739</v>
      </c>
      <c r="AW19" s="29">
        <v>66.292604163333806</v>
      </c>
      <c r="AX19" s="29">
        <v>66.324090520892383</v>
      </c>
      <c r="AY19" s="29">
        <v>66.459688632195622</v>
      </c>
      <c r="AZ19" s="29">
        <v>66.574017710146961</v>
      </c>
      <c r="BA19" s="29">
        <v>66.700997510914817</v>
      </c>
      <c r="BB19" s="29">
        <v>66.811488348852194</v>
      </c>
      <c r="BC19" s="29">
        <v>66.920178508442447</v>
      </c>
      <c r="BD19" s="29">
        <v>67.025722091669351</v>
      </c>
      <c r="BE19" s="29">
        <v>67.136433601012143</v>
      </c>
      <c r="BF19" s="29">
        <v>67.287171052843831</v>
      </c>
      <c r="BG19" s="29">
        <v>67.437373216082534</v>
      </c>
      <c r="BH19" s="29">
        <v>67.618276397099521</v>
      </c>
      <c r="BI19" s="29">
        <v>67.762270104160038</v>
      </c>
      <c r="BJ19" s="29">
        <v>67.922102671713446</v>
      </c>
      <c r="BK19" s="29">
        <v>68.082857971649801</v>
      </c>
      <c r="BL19" s="29">
        <v>68.284002242851969</v>
      </c>
      <c r="BM19" s="29">
        <v>68.480706512137488</v>
      </c>
      <c r="BN19" s="29">
        <v>68.646417816745142</v>
      </c>
      <c r="BO19" s="29">
        <v>68.796675663477657</v>
      </c>
      <c r="BP19" s="29">
        <v>68.982657040882117</v>
      </c>
      <c r="BQ19" s="29">
        <v>69.136019170783513</v>
      </c>
      <c r="BR19" s="29">
        <v>69.292118858600872</v>
      </c>
      <c r="BS19" s="29">
        <v>69.451799766562118</v>
      </c>
      <c r="BT19" s="29">
        <v>69.609694906360033</v>
      </c>
      <c r="BU19" s="29">
        <v>69.734976019562694</v>
      </c>
      <c r="BV19" s="29">
        <v>69.880393941743279</v>
      </c>
      <c r="BW19" s="29">
        <v>70.032362898509291</v>
      </c>
      <c r="BX19" s="29">
        <v>70.172669410442836</v>
      </c>
      <c r="BY19" s="29">
        <v>70.31638531267464</v>
      </c>
      <c r="BZ19" s="29">
        <v>70.452771905953696</v>
      </c>
      <c r="CA19" s="29">
        <v>70.566492166410598</v>
      </c>
      <c r="CB19" s="29">
        <v>70.725294998850046</v>
      </c>
      <c r="CC19" s="29">
        <v>70.86098738780062</v>
      </c>
      <c r="CD19" s="29">
        <v>70.99106792321551</v>
      </c>
      <c r="CE19" s="29">
        <v>71.117355200803971</v>
      </c>
      <c r="CF19" s="29">
        <v>71.25588520911046</v>
      </c>
      <c r="CG19" s="29">
        <v>71.377917316553763</v>
      </c>
      <c r="CH19" s="29">
        <v>71.52731372449874</v>
      </c>
      <c r="CI19" s="29">
        <v>71.6797863160849</v>
      </c>
      <c r="CJ19" s="29">
        <v>71.796496787126756</v>
      </c>
      <c r="CK19" s="29">
        <v>71.932204801927227</v>
      </c>
      <c r="CL19" s="29">
        <v>72.070552764678794</v>
      </c>
      <c r="CM19" s="29">
        <v>72.201274144969659</v>
      </c>
      <c r="CN19" s="29">
        <v>72.344565165511597</v>
      </c>
      <c r="CO19" s="29">
        <v>72.462973316148251</v>
      </c>
      <c r="CP19" s="29">
        <v>72.606125907140836</v>
      </c>
      <c r="CQ19" s="29">
        <v>72.719751457538621</v>
      </c>
      <c r="CR19" s="29">
        <v>72.854957526943423</v>
      </c>
      <c r="CS19" s="29">
        <v>72.984534463912127</v>
      </c>
      <c r="CT19" s="29">
        <v>73.10477792043261</v>
      </c>
      <c r="CU19" s="29">
        <v>73.22624068093981</v>
      </c>
      <c r="CV19" s="29">
        <v>73.348480475423344</v>
      </c>
      <c r="CW19" s="29">
        <v>73.475042811416301</v>
      </c>
      <c r="CX19" s="29">
        <v>73.594693611208939</v>
      </c>
      <c r="CY19" s="29">
        <v>73.71684245928347</v>
      </c>
      <c r="CZ19" s="29">
        <v>73.835207691580223</v>
      </c>
      <c r="DA19" s="29">
        <v>73.945739586911145</v>
      </c>
      <c r="DB19" s="29">
        <v>74.06400669175234</v>
      </c>
      <c r="DC19" s="29">
        <v>74.180713660624491</v>
      </c>
      <c r="DD19" s="29">
        <v>74.297072552485673</v>
      </c>
      <c r="DE19" s="29">
        <v>74.412363240189819</v>
      </c>
      <c r="DF19" s="29">
        <v>74.526593588857565</v>
      </c>
      <c r="DG19" s="29">
        <v>74.63977145850933</v>
      </c>
      <c r="DH19" s="29">
        <v>74.751904776272767</v>
      </c>
      <c r="DI19" s="29">
        <v>74.863001685791716</v>
      </c>
      <c r="DJ19" s="29">
        <v>74.973070394523376</v>
      </c>
      <c r="DK19" s="29">
        <v>75.082119170480681</v>
      </c>
      <c r="DL19" s="29">
        <v>75.190156258151831</v>
      </c>
      <c r="DM19" s="29">
        <v>75.297189710619762</v>
      </c>
      <c r="DN19" s="29">
        <v>75.403227152754766</v>
      </c>
      <c r="DO19" s="29">
        <v>75.508275528606319</v>
      </c>
      <c r="DP19" s="29">
        <v>75.612341057488379</v>
      </c>
      <c r="DQ19" s="29">
        <v>75.715417257878585</v>
      </c>
      <c r="DR19" s="29">
        <v>75.817511805033931</v>
      </c>
      <c r="DS19">
        <v>75.918632329710348</v>
      </c>
      <c r="DT19">
        <v>76.018786418691363</v>
      </c>
      <c r="DU19">
        <v>76.117981615295477</v>
      </c>
    </row>
    <row r="20" spans="1:125">
      <c r="A20" s="34">
        <v>18</v>
      </c>
      <c r="B20" s="35"/>
      <c r="C20" s="35"/>
      <c r="D20" s="35"/>
      <c r="E20" s="35"/>
      <c r="F20" s="35"/>
      <c r="G20" s="35"/>
      <c r="H20" s="35"/>
      <c r="I20" s="35"/>
      <c r="J20" s="35"/>
      <c r="K20" s="35"/>
      <c r="L20" s="35"/>
      <c r="M20" s="35"/>
      <c r="N20" s="35"/>
      <c r="O20" s="35"/>
      <c r="P20" s="35"/>
      <c r="Q20" s="35"/>
      <c r="R20" s="35"/>
      <c r="S20" s="35"/>
      <c r="T20" s="35"/>
      <c r="U20" s="35"/>
      <c r="V20" s="29"/>
      <c r="W20" s="29">
        <v>60.06</v>
      </c>
      <c r="X20" s="29">
        <v>60.32</v>
      </c>
      <c r="Y20" s="29">
        <v>60.574614999137374</v>
      </c>
      <c r="Z20" s="29">
        <v>60.891849590108002</v>
      </c>
      <c r="AA20" s="29">
        <v>61.123600235158953</v>
      </c>
      <c r="AB20" s="29">
        <v>61.415766955716023</v>
      </c>
      <c r="AC20" s="29">
        <v>61.752380221324884</v>
      </c>
      <c r="AD20" s="29">
        <v>62.032692677252179</v>
      </c>
      <c r="AE20" s="29">
        <v>62.333165604522961</v>
      </c>
      <c r="AF20" s="29">
        <v>62.648985274691697</v>
      </c>
      <c r="AG20" s="29">
        <v>62.875393013951012</v>
      </c>
      <c r="AH20" s="29">
        <v>63.079404768714909</v>
      </c>
      <c r="AI20" s="29">
        <v>63.295276389699744</v>
      </c>
      <c r="AJ20" s="29">
        <v>63.589507333167596</v>
      </c>
      <c r="AK20" s="29">
        <v>63.84913398818172</v>
      </c>
      <c r="AL20" s="29">
        <v>64.173995533007371</v>
      </c>
      <c r="AM20" s="29">
        <v>64.435475914094397</v>
      </c>
      <c r="AN20" s="29">
        <v>64.640631170629391</v>
      </c>
      <c r="AO20" s="29">
        <v>64.804846191720301</v>
      </c>
      <c r="AP20" s="29">
        <v>64.92254025658535</v>
      </c>
      <c r="AQ20" s="29">
        <v>64.972045399338484</v>
      </c>
      <c r="AR20" s="29">
        <v>65.00926133083739</v>
      </c>
      <c r="AS20" s="29">
        <v>65.032524830300048</v>
      </c>
      <c r="AT20" s="29">
        <v>64.990312562462634</v>
      </c>
      <c r="AU20" s="29">
        <v>65.033108935642133</v>
      </c>
      <c r="AV20" s="29">
        <v>65.069140899390703</v>
      </c>
      <c r="AW20" s="29">
        <v>65.322877625930218</v>
      </c>
      <c r="AX20" s="29">
        <v>65.355154105561468</v>
      </c>
      <c r="AY20" s="29">
        <v>65.490902746319676</v>
      </c>
      <c r="AZ20" s="29">
        <v>65.609857533379568</v>
      </c>
      <c r="BA20" s="29">
        <v>65.734356901908953</v>
      </c>
      <c r="BB20" s="29">
        <v>65.849030920047795</v>
      </c>
      <c r="BC20" s="29">
        <v>65.955381884069595</v>
      </c>
      <c r="BD20" s="29">
        <v>66.062116035649026</v>
      </c>
      <c r="BE20" s="29">
        <v>66.174786672254655</v>
      </c>
      <c r="BF20" s="29">
        <v>66.319442679808915</v>
      </c>
      <c r="BG20" s="29">
        <v>66.471252296085225</v>
      </c>
      <c r="BH20" s="29">
        <v>66.657990377337541</v>
      </c>
      <c r="BI20" s="29">
        <v>66.800549600247237</v>
      </c>
      <c r="BJ20" s="29">
        <v>66.958570374250144</v>
      </c>
      <c r="BK20" s="29">
        <v>67.117085629460377</v>
      </c>
      <c r="BL20" s="29">
        <v>67.317774210994344</v>
      </c>
      <c r="BM20" s="29">
        <v>67.512016773930355</v>
      </c>
      <c r="BN20" s="29">
        <v>67.680685686906216</v>
      </c>
      <c r="BO20" s="29">
        <v>67.82750353234546</v>
      </c>
      <c r="BP20" s="29">
        <v>68.013365205180222</v>
      </c>
      <c r="BQ20" s="29">
        <v>68.160701355838967</v>
      </c>
      <c r="BR20" s="29">
        <v>68.318155081916274</v>
      </c>
      <c r="BS20" s="29">
        <v>68.47377268332923</v>
      </c>
      <c r="BT20" s="29">
        <v>68.629998498074357</v>
      </c>
      <c r="BU20" s="29">
        <v>68.756935814757455</v>
      </c>
      <c r="BV20" s="29">
        <v>68.902120603328299</v>
      </c>
      <c r="BW20" s="29">
        <v>69.051519078746125</v>
      </c>
      <c r="BX20" s="29">
        <v>69.19466487179487</v>
      </c>
      <c r="BY20" s="29">
        <v>69.337644305320822</v>
      </c>
      <c r="BZ20" s="29">
        <v>69.473774220899713</v>
      </c>
      <c r="CA20" s="29">
        <v>69.58712444288696</v>
      </c>
      <c r="CB20" s="29">
        <v>69.744685951165224</v>
      </c>
      <c r="CC20" s="29">
        <v>69.879370702325758</v>
      </c>
      <c r="CD20" s="29">
        <v>70.007656008383947</v>
      </c>
      <c r="CE20" s="29">
        <v>70.138250164237348</v>
      </c>
      <c r="CF20" s="29">
        <v>70.27862469773855</v>
      </c>
      <c r="CG20" s="29">
        <v>70.394825597192437</v>
      </c>
      <c r="CH20" s="29">
        <v>70.543214858471714</v>
      </c>
      <c r="CI20" s="29">
        <v>70.696389737670742</v>
      </c>
      <c r="CJ20" s="29">
        <v>70.812246640228949</v>
      </c>
      <c r="CK20" s="29">
        <v>70.945772888907243</v>
      </c>
      <c r="CL20" s="29">
        <v>71.084440158911733</v>
      </c>
      <c r="CM20" s="29">
        <v>71.214170388938285</v>
      </c>
      <c r="CN20" s="29">
        <v>71.35723543773571</v>
      </c>
      <c r="CO20" s="29">
        <v>71.475409526816478</v>
      </c>
      <c r="CP20" s="29">
        <v>71.617843250427441</v>
      </c>
      <c r="CQ20" s="29">
        <v>71.733787045142975</v>
      </c>
      <c r="CR20" s="29">
        <v>71.865128476440219</v>
      </c>
      <c r="CS20" s="29">
        <v>71.994242634716954</v>
      </c>
      <c r="CT20" s="29">
        <v>72.116013507478897</v>
      </c>
      <c r="CU20" s="29">
        <v>72.23469500866581</v>
      </c>
      <c r="CV20" s="29">
        <v>72.360594509894383</v>
      </c>
      <c r="CW20" s="29">
        <v>72.484732375616474</v>
      </c>
      <c r="CX20" s="29">
        <v>72.60599386822166</v>
      </c>
      <c r="CY20" s="29">
        <v>72.726894307719036</v>
      </c>
      <c r="CZ20" s="29">
        <v>72.842289028247322</v>
      </c>
      <c r="DA20" s="29">
        <v>72.955892742770047</v>
      </c>
      <c r="DB20" s="29">
        <v>73.075655063217283</v>
      </c>
      <c r="DC20" s="29">
        <v>73.19272524438945</v>
      </c>
      <c r="DD20" s="29">
        <v>73.308729846445672</v>
      </c>
      <c r="DE20" s="29">
        <v>73.423676504508578</v>
      </c>
      <c r="DF20" s="29">
        <v>73.537572794217652</v>
      </c>
      <c r="DG20" s="29">
        <v>73.650426293973638</v>
      </c>
      <c r="DH20" s="29">
        <v>73.76224465695492</v>
      </c>
      <c r="DI20" s="29">
        <v>73.873035760348543</v>
      </c>
      <c r="DJ20" s="29">
        <v>73.982807552430856</v>
      </c>
      <c r="DK20" s="29">
        <v>74.091568049121079</v>
      </c>
      <c r="DL20" s="29">
        <v>74.199325249706405</v>
      </c>
      <c r="DM20" s="29">
        <v>74.30608696876358</v>
      </c>
      <c r="DN20" s="29">
        <v>74.411860599153542</v>
      </c>
      <c r="DO20" s="29">
        <v>74.516652859222305</v>
      </c>
      <c r="DP20" s="29">
        <v>74.620456397728617</v>
      </c>
      <c r="DQ20" s="29">
        <v>74.723278683599531</v>
      </c>
      <c r="DR20" s="29">
        <v>74.825127148086182</v>
      </c>
      <c r="DS20">
        <v>74.926009185103084</v>
      </c>
      <c r="DT20">
        <v>75.025932151555068</v>
      </c>
      <c r="DU20">
        <v>75.124903367648699</v>
      </c>
    </row>
    <row r="21" spans="1:125">
      <c r="A21" s="34">
        <v>19</v>
      </c>
      <c r="B21" s="35"/>
      <c r="C21" s="35"/>
      <c r="D21" s="35"/>
      <c r="E21" s="35"/>
      <c r="F21" s="35"/>
      <c r="G21" s="35"/>
      <c r="H21" s="35"/>
      <c r="I21" s="35"/>
      <c r="J21" s="35"/>
      <c r="K21" s="35"/>
      <c r="L21" s="35"/>
      <c r="M21" s="35"/>
      <c r="N21" s="35"/>
      <c r="O21" s="35"/>
      <c r="P21" s="35"/>
      <c r="Q21" s="35"/>
      <c r="R21" s="35"/>
      <c r="S21" s="35"/>
      <c r="T21" s="35"/>
      <c r="U21" s="35"/>
      <c r="V21" s="29"/>
      <c r="W21" s="29">
        <v>59.16</v>
      </c>
      <c r="X21" s="29">
        <v>59.43</v>
      </c>
      <c r="Y21" s="29">
        <v>59.682309889117725</v>
      </c>
      <c r="Z21" s="29">
        <v>60.000113181933095</v>
      </c>
      <c r="AA21" s="29">
        <v>60.243168622635565</v>
      </c>
      <c r="AB21" s="29">
        <v>60.552331673711187</v>
      </c>
      <c r="AC21" s="29">
        <v>60.950315344327372</v>
      </c>
      <c r="AD21" s="29">
        <v>61.155386897177564</v>
      </c>
      <c r="AE21" s="29">
        <v>61.45645895784908</v>
      </c>
      <c r="AF21" s="29">
        <v>61.740412180334012</v>
      </c>
      <c r="AG21" s="29">
        <v>61.935330931645403</v>
      </c>
      <c r="AH21" s="29">
        <v>62.139538725891761</v>
      </c>
      <c r="AI21" s="29">
        <v>62.355617782771205</v>
      </c>
      <c r="AJ21" s="29">
        <v>62.636994405296058</v>
      </c>
      <c r="AK21" s="29">
        <v>62.892347121519478</v>
      </c>
      <c r="AL21" s="29">
        <v>63.218743829792679</v>
      </c>
      <c r="AM21" s="29">
        <v>63.473855487345496</v>
      </c>
      <c r="AN21" s="29">
        <v>63.677171727431947</v>
      </c>
      <c r="AO21" s="29">
        <v>63.842012040825558</v>
      </c>
      <c r="AP21" s="29">
        <v>63.957826165886807</v>
      </c>
      <c r="AQ21" s="29">
        <v>64.008450874128457</v>
      </c>
      <c r="AR21" s="29">
        <v>64.044846655341573</v>
      </c>
      <c r="AS21" s="29">
        <v>64.070499005785962</v>
      </c>
      <c r="AT21" s="29">
        <v>64.029210611137032</v>
      </c>
      <c r="AU21" s="29">
        <v>64.067073553409756</v>
      </c>
      <c r="AV21" s="29">
        <v>64.106650592404407</v>
      </c>
      <c r="AW21" s="29">
        <v>64.359664916603933</v>
      </c>
      <c r="AX21" s="29">
        <v>64.392715992311807</v>
      </c>
      <c r="AY21" s="29">
        <v>64.529206307946041</v>
      </c>
      <c r="AZ21" s="29">
        <v>64.648127381727136</v>
      </c>
      <c r="BA21" s="29">
        <v>64.777131827875778</v>
      </c>
      <c r="BB21" s="29">
        <v>64.89089181923417</v>
      </c>
      <c r="BC21" s="29">
        <v>64.997976388351972</v>
      </c>
      <c r="BD21" s="29">
        <v>65.103546682882453</v>
      </c>
      <c r="BE21" s="29">
        <v>65.209746361684566</v>
      </c>
      <c r="BF21" s="29">
        <v>65.360054882819881</v>
      </c>
      <c r="BG21" s="29">
        <v>65.512174941815118</v>
      </c>
      <c r="BH21" s="29">
        <v>65.699029147439958</v>
      </c>
      <c r="BI21" s="29">
        <v>65.843246530636719</v>
      </c>
      <c r="BJ21" s="29">
        <v>65.993783532020672</v>
      </c>
      <c r="BK21" s="29">
        <v>66.153458816364122</v>
      </c>
      <c r="BL21" s="29">
        <v>66.353434986114706</v>
      </c>
      <c r="BM21" s="29">
        <v>66.548826402213379</v>
      </c>
      <c r="BN21" s="29">
        <v>66.716341102000897</v>
      </c>
      <c r="BO21" s="29">
        <v>66.858308003474988</v>
      </c>
      <c r="BP21" s="29">
        <v>67.041527389451602</v>
      </c>
      <c r="BQ21" s="29">
        <v>67.188591757772912</v>
      </c>
      <c r="BR21" s="29">
        <v>67.345306352288731</v>
      </c>
      <c r="BS21" s="29">
        <v>67.501096306857775</v>
      </c>
      <c r="BT21" s="29">
        <v>67.653966005915436</v>
      </c>
      <c r="BU21" s="29">
        <v>67.785205692024817</v>
      </c>
      <c r="BV21" s="29">
        <v>67.931293753325221</v>
      </c>
      <c r="BW21" s="29">
        <v>68.079117477280377</v>
      </c>
      <c r="BX21" s="29">
        <v>68.219661801020308</v>
      </c>
      <c r="BY21" s="29">
        <v>68.363981779052367</v>
      </c>
      <c r="BZ21" s="29">
        <v>68.503917713344165</v>
      </c>
      <c r="CA21" s="29">
        <v>68.614757088631649</v>
      </c>
      <c r="CB21" s="29">
        <v>68.774653289539984</v>
      </c>
      <c r="CC21" s="29">
        <v>68.907755134795522</v>
      </c>
      <c r="CD21" s="29">
        <v>69.031920589649403</v>
      </c>
      <c r="CE21" s="29">
        <v>69.161109808979646</v>
      </c>
      <c r="CF21" s="29">
        <v>69.301764177879008</v>
      </c>
      <c r="CG21" s="29">
        <v>69.419898018742487</v>
      </c>
      <c r="CH21" s="29">
        <v>69.564245616677098</v>
      </c>
      <c r="CI21" s="29">
        <v>69.714677303014923</v>
      </c>
      <c r="CJ21" s="29">
        <v>69.830716586448816</v>
      </c>
      <c r="CK21" s="29">
        <v>69.963582756882275</v>
      </c>
      <c r="CL21" s="29">
        <v>70.101607839086583</v>
      </c>
      <c r="CM21" s="29">
        <v>70.22895759829737</v>
      </c>
      <c r="CN21" s="29">
        <v>70.36999633975276</v>
      </c>
      <c r="CO21" s="29">
        <v>70.494230180617819</v>
      </c>
      <c r="CP21" s="29">
        <v>70.63437063034398</v>
      </c>
      <c r="CQ21" s="29">
        <v>70.750742010196305</v>
      </c>
      <c r="CR21" s="29">
        <v>70.88114495057421</v>
      </c>
      <c r="CS21" s="29">
        <v>71.007427295816257</v>
      </c>
      <c r="CT21" s="29">
        <v>71.128737071459796</v>
      </c>
      <c r="CU21" s="29">
        <v>71.250337455079531</v>
      </c>
      <c r="CV21" s="29">
        <v>71.376263699373155</v>
      </c>
      <c r="CW21" s="29">
        <v>71.498689184164888</v>
      </c>
      <c r="CX21" s="29">
        <v>71.617898872243714</v>
      </c>
      <c r="CY21" s="29">
        <v>71.736122716454503</v>
      </c>
      <c r="CZ21" s="29">
        <v>71.85343676690826</v>
      </c>
      <c r="DA21" s="29">
        <v>71.970948973953782</v>
      </c>
      <c r="DB21" s="29">
        <v>72.088703461864611</v>
      </c>
      <c r="DC21" s="29">
        <v>72.205395669499566</v>
      </c>
      <c r="DD21" s="29">
        <v>72.321033036884401</v>
      </c>
      <c r="DE21" s="29">
        <v>72.435622902363491</v>
      </c>
      <c r="DF21" s="29">
        <v>72.54917255266254</v>
      </c>
      <c r="DG21" s="29">
        <v>72.661689284948054</v>
      </c>
      <c r="DH21" s="29">
        <v>72.773180478662781</v>
      </c>
      <c r="DI21" s="29">
        <v>72.883653744589353</v>
      </c>
      <c r="DJ21" s="29">
        <v>72.993116771721347</v>
      </c>
      <c r="DK21" s="29">
        <v>73.101577323636306</v>
      </c>
      <c r="DL21" s="29">
        <v>73.209043154033878</v>
      </c>
      <c r="DM21" s="29">
        <v>73.315521838465671</v>
      </c>
      <c r="DN21" s="29">
        <v>73.421020537137593</v>
      </c>
      <c r="DO21" s="29">
        <v>73.525531757601101</v>
      </c>
      <c r="DP21" s="29">
        <v>73.629062748228009</v>
      </c>
      <c r="DQ21" s="29">
        <v>73.73162072676871</v>
      </c>
      <c r="DR21" s="29">
        <v>73.833212880503297</v>
      </c>
      <c r="DS21">
        <v>73.933846366383321</v>
      </c>
      <c r="DT21">
        <v>74.033528311166663</v>
      </c>
      <c r="DU21">
        <v>74.13226581154143</v>
      </c>
    </row>
    <row r="22" spans="1:125">
      <c r="A22" s="34">
        <v>20</v>
      </c>
      <c r="B22" s="35"/>
      <c r="C22" s="35"/>
      <c r="D22" s="35"/>
      <c r="E22" s="35"/>
      <c r="F22" s="35"/>
      <c r="G22" s="35"/>
      <c r="H22" s="35"/>
      <c r="I22" s="35"/>
      <c r="J22" s="35"/>
      <c r="K22" s="35"/>
      <c r="L22" s="35"/>
      <c r="M22" s="35"/>
      <c r="N22" s="35"/>
      <c r="O22" s="35"/>
      <c r="P22" s="35"/>
      <c r="Q22" s="35"/>
      <c r="R22" s="35"/>
      <c r="S22" s="35"/>
      <c r="T22" s="35"/>
      <c r="U22" s="35"/>
      <c r="V22" s="29"/>
      <c r="W22" s="29">
        <v>58.28</v>
      </c>
      <c r="X22" s="29">
        <v>58.54</v>
      </c>
      <c r="Y22" s="29">
        <v>58.796499063245776</v>
      </c>
      <c r="Z22" s="29">
        <v>59.126420147072778</v>
      </c>
      <c r="AA22" s="29">
        <v>59.387327311480327</v>
      </c>
      <c r="AB22" s="29">
        <v>59.761216203389388</v>
      </c>
      <c r="AC22" s="29">
        <v>60.084206440561012</v>
      </c>
      <c r="AD22" s="29">
        <v>60.289732205351385</v>
      </c>
      <c r="AE22" s="29">
        <v>60.556061298208391</v>
      </c>
      <c r="AF22" s="29">
        <v>60.805395899988</v>
      </c>
      <c r="AG22" s="29">
        <v>61.000521484418883</v>
      </c>
      <c r="AH22" s="29">
        <v>61.204945968618489</v>
      </c>
      <c r="AI22" s="29">
        <v>61.404110306157982</v>
      </c>
      <c r="AJ22" s="29">
        <v>61.6828562173786</v>
      </c>
      <c r="AK22" s="29">
        <v>61.938063146762893</v>
      </c>
      <c r="AL22" s="29">
        <v>62.257955089527883</v>
      </c>
      <c r="AM22" s="29">
        <v>62.514531679406694</v>
      </c>
      <c r="AN22" s="29">
        <v>62.720459840597798</v>
      </c>
      <c r="AO22" s="29">
        <v>62.87886655296635</v>
      </c>
      <c r="AP22" s="29">
        <v>62.996162213739701</v>
      </c>
      <c r="AQ22" s="29">
        <v>63.04407801453398</v>
      </c>
      <c r="AR22" s="29">
        <v>63.085611572792146</v>
      </c>
      <c r="AS22" s="29">
        <v>63.110956917537926</v>
      </c>
      <c r="AT22" s="29">
        <v>63.064590993806725</v>
      </c>
      <c r="AU22" s="29">
        <v>63.10102807970258</v>
      </c>
      <c r="AV22" s="29">
        <v>63.143894496568514</v>
      </c>
      <c r="AW22" s="29">
        <v>63.394405742744716</v>
      </c>
      <c r="AX22" s="29">
        <v>63.43431963936834</v>
      </c>
      <c r="AY22" s="29">
        <v>63.564790444831324</v>
      </c>
      <c r="AZ22" s="29">
        <v>63.685889589819098</v>
      </c>
      <c r="BA22" s="29">
        <v>63.819161486850312</v>
      </c>
      <c r="BB22" s="29">
        <v>63.936239140051157</v>
      </c>
      <c r="BC22" s="29">
        <v>64.038491506983135</v>
      </c>
      <c r="BD22" s="29">
        <v>64.137656683211134</v>
      </c>
      <c r="BE22" s="29">
        <v>64.249309713407328</v>
      </c>
      <c r="BF22" s="29">
        <v>64.399387318471597</v>
      </c>
      <c r="BG22" s="29">
        <v>64.547617820394834</v>
      </c>
      <c r="BH22" s="29">
        <v>64.742841546706188</v>
      </c>
      <c r="BI22" s="29">
        <v>64.87920876660327</v>
      </c>
      <c r="BJ22" s="29">
        <v>65.029297393560284</v>
      </c>
      <c r="BK22" s="29">
        <v>65.186787579495089</v>
      </c>
      <c r="BL22" s="29">
        <v>65.389028258500559</v>
      </c>
      <c r="BM22" s="29">
        <v>65.58094579798906</v>
      </c>
      <c r="BN22" s="29">
        <v>65.749171994523451</v>
      </c>
      <c r="BO22" s="29">
        <v>65.89037204836292</v>
      </c>
      <c r="BP22" s="29">
        <v>66.065456981713353</v>
      </c>
      <c r="BQ22" s="29">
        <v>66.214091423194333</v>
      </c>
      <c r="BR22" s="29">
        <v>66.374001870656912</v>
      </c>
      <c r="BS22" s="29">
        <v>66.525539673841379</v>
      </c>
      <c r="BT22" s="29">
        <v>66.679416825529955</v>
      </c>
      <c r="BU22" s="29">
        <v>66.815134631597999</v>
      </c>
      <c r="BV22" s="29">
        <v>66.963867326152553</v>
      </c>
      <c r="BW22" s="29">
        <v>67.107109317191373</v>
      </c>
      <c r="BX22" s="29">
        <v>67.247405643449426</v>
      </c>
      <c r="BY22" s="29">
        <v>67.389468819382301</v>
      </c>
      <c r="BZ22" s="29">
        <v>67.529525892518905</v>
      </c>
      <c r="CA22" s="29">
        <v>67.640110636165033</v>
      </c>
      <c r="CB22" s="29">
        <v>67.798719375024461</v>
      </c>
      <c r="CC22" s="29">
        <v>67.931939760689147</v>
      </c>
      <c r="CD22" s="29">
        <v>68.057140101044283</v>
      </c>
      <c r="CE22" s="29">
        <v>68.187919156860119</v>
      </c>
      <c r="CF22" s="29">
        <v>68.323168490505253</v>
      </c>
      <c r="CG22" s="29">
        <v>68.439686352960834</v>
      </c>
      <c r="CH22" s="29">
        <v>68.584088155419522</v>
      </c>
      <c r="CI22" s="29">
        <v>68.730507498853598</v>
      </c>
      <c r="CJ22" s="29">
        <v>68.847267088146324</v>
      </c>
      <c r="CK22" s="29">
        <v>68.981877436885924</v>
      </c>
      <c r="CL22" s="29">
        <v>69.115533156541488</v>
      </c>
      <c r="CM22" s="29">
        <v>69.242556038358941</v>
      </c>
      <c r="CN22" s="29">
        <v>69.385573631805215</v>
      </c>
      <c r="CO22" s="29">
        <v>69.509934860743584</v>
      </c>
      <c r="CP22" s="29">
        <v>69.64669425163639</v>
      </c>
      <c r="CQ22" s="29">
        <v>69.763385274979683</v>
      </c>
      <c r="CR22" s="29">
        <v>69.895578078750503</v>
      </c>
      <c r="CS22" s="29">
        <v>70.020848981826774</v>
      </c>
      <c r="CT22" s="29">
        <v>70.142957487438522</v>
      </c>
      <c r="CU22" s="29">
        <v>70.263366298706416</v>
      </c>
      <c r="CV22" s="29">
        <v>70.388452200653916</v>
      </c>
      <c r="CW22" s="29">
        <v>70.510047282951334</v>
      </c>
      <c r="CX22" s="29">
        <v>70.629227062454262</v>
      </c>
      <c r="CY22" s="29">
        <v>70.747262448755848</v>
      </c>
      <c r="CZ22" s="29">
        <v>70.866005809251163</v>
      </c>
      <c r="DA22" s="29">
        <v>70.984435650240002</v>
      </c>
      <c r="DB22" s="29">
        <v>71.101806631874325</v>
      </c>
      <c r="DC22" s="29">
        <v>71.218126017721744</v>
      </c>
      <c r="DD22" s="29">
        <v>71.333400958777943</v>
      </c>
      <c r="DE22" s="29">
        <v>71.447638511823172</v>
      </c>
      <c r="DF22" s="29">
        <v>71.560845689315173</v>
      </c>
      <c r="DG22" s="29">
        <v>71.673029521282629</v>
      </c>
      <c r="DH22" s="29">
        <v>71.784197126998237</v>
      </c>
      <c r="DI22" s="29">
        <v>71.894355863893068</v>
      </c>
      <c r="DJ22" s="29">
        <v>72.003513174234811</v>
      </c>
      <c r="DK22" s="29">
        <v>72.11167658133688</v>
      </c>
      <c r="DL22" s="29">
        <v>72.218853604925442</v>
      </c>
      <c r="DM22" s="29">
        <v>72.325051592692802</v>
      </c>
      <c r="DN22" s="29">
        <v>72.430263563925138</v>
      </c>
      <c r="DO22" s="29">
        <v>72.534496545063533</v>
      </c>
      <c r="DP22" s="29">
        <v>72.637757538835814</v>
      </c>
      <c r="DQ22" s="29">
        <v>72.74005352422796</v>
      </c>
      <c r="DR22" s="29">
        <v>72.841391456451902</v>
      </c>
      <c r="DS22">
        <v>72.941778266908642</v>
      </c>
      <c r="DT22">
        <v>73.041220863148695</v>
      </c>
      <c r="DU22">
        <v>73.139726128826013</v>
      </c>
    </row>
    <row r="23" spans="1:125">
      <c r="A23" s="34">
        <v>21</v>
      </c>
      <c r="B23" s="35"/>
      <c r="C23" s="35"/>
      <c r="D23" s="35"/>
      <c r="E23" s="35"/>
      <c r="F23" s="35"/>
      <c r="G23" s="35"/>
      <c r="H23" s="35"/>
      <c r="I23" s="35"/>
      <c r="J23" s="35"/>
      <c r="K23" s="35"/>
      <c r="L23" s="35"/>
      <c r="M23" s="35"/>
      <c r="N23" s="35"/>
      <c r="O23" s="35"/>
      <c r="P23" s="35"/>
      <c r="Q23" s="35"/>
      <c r="R23" s="35"/>
      <c r="S23" s="35"/>
      <c r="T23" s="35"/>
      <c r="U23" s="35"/>
      <c r="V23" s="29"/>
      <c r="W23" s="29">
        <v>57.4</v>
      </c>
      <c r="X23" s="29">
        <v>57.66</v>
      </c>
      <c r="Y23" s="29">
        <v>57.929026932086536</v>
      </c>
      <c r="Z23" s="29">
        <v>58.277919262241205</v>
      </c>
      <c r="AA23" s="29">
        <v>58.606706355671584</v>
      </c>
      <c r="AB23" s="29">
        <v>58.901403515686411</v>
      </c>
      <c r="AC23" s="29">
        <v>59.225157812999697</v>
      </c>
      <c r="AD23" s="29">
        <v>59.394070640325758</v>
      </c>
      <c r="AE23" s="29">
        <v>59.625205284285322</v>
      </c>
      <c r="AF23" s="29">
        <v>59.874826950981635</v>
      </c>
      <c r="AG23" s="29">
        <v>60.070177188185291</v>
      </c>
      <c r="AH23" s="29">
        <v>60.258858592827842</v>
      </c>
      <c r="AI23" s="29">
        <v>60.453867233389595</v>
      </c>
      <c r="AJ23" s="29">
        <v>60.727930662859684</v>
      </c>
      <c r="AK23" s="29">
        <v>60.985214191222724</v>
      </c>
      <c r="AL23" s="29">
        <v>61.303980330945251</v>
      </c>
      <c r="AM23" s="29">
        <v>61.559606968710483</v>
      </c>
      <c r="AN23" s="29">
        <v>61.759165191353276</v>
      </c>
      <c r="AO23" s="29">
        <v>61.917713352075886</v>
      </c>
      <c r="AP23" s="29">
        <v>62.031970017200457</v>
      </c>
      <c r="AQ23" s="29">
        <v>62.083042427414284</v>
      </c>
      <c r="AR23" s="29">
        <v>62.119015569941133</v>
      </c>
      <c r="AS23" s="29">
        <v>62.146482041660015</v>
      </c>
      <c r="AT23" s="29">
        <v>62.099101823035568</v>
      </c>
      <c r="AU23" s="29">
        <v>62.139841860152188</v>
      </c>
      <c r="AV23" s="29">
        <v>62.180798988185856</v>
      </c>
      <c r="AW23" s="29">
        <v>62.430205408367776</v>
      </c>
      <c r="AX23" s="29">
        <v>62.469603150285785</v>
      </c>
      <c r="AY23" s="29">
        <v>62.60168126163201</v>
      </c>
      <c r="AZ23" s="29">
        <v>62.729111187143253</v>
      </c>
      <c r="BA23" s="29">
        <v>62.857608300008444</v>
      </c>
      <c r="BB23" s="29">
        <v>62.97390742596739</v>
      </c>
      <c r="BC23" s="29">
        <v>63.07525639475886</v>
      </c>
      <c r="BD23" s="29">
        <v>63.173900369449072</v>
      </c>
      <c r="BE23" s="29">
        <v>63.287860172048894</v>
      </c>
      <c r="BF23" s="29">
        <v>63.434082656628675</v>
      </c>
      <c r="BG23" s="29">
        <v>63.587945249077542</v>
      </c>
      <c r="BH23" s="29">
        <v>63.779820032592482</v>
      </c>
      <c r="BI23" s="29">
        <v>63.910684061834182</v>
      </c>
      <c r="BJ23" s="29">
        <v>64.060393528785298</v>
      </c>
      <c r="BK23" s="29">
        <v>64.215645000587443</v>
      </c>
      <c r="BL23" s="29">
        <v>64.419411073525879</v>
      </c>
      <c r="BM23" s="29">
        <v>64.610605114250632</v>
      </c>
      <c r="BN23" s="29">
        <v>64.779029589124633</v>
      </c>
      <c r="BO23" s="29">
        <v>64.913694920589975</v>
      </c>
      <c r="BP23" s="29">
        <v>65.091528742582327</v>
      </c>
      <c r="BQ23" s="29">
        <v>65.239813931072277</v>
      </c>
      <c r="BR23" s="29">
        <v>65.398653680704044</v>
      </c>
      <c r="BS23" s="29">
        <v>65.553943930789032</v>
      </c>
      <c r="BT23" s="29">
        <v>65.706446471874514</v>
      </c>
      <c r="BU23" s="29">
        <v>65.841585402977429</v>
      </c>
      <c r="BV23" s="29">
        <v>65.985835280040206</v>
      </c>
      <c r="BW23" s="29">
        <v>66.134432780584675</v>
      </c>
      <c r="BX23" s="29">
        <v>66.267882182363081</v>
      </c>
      <c r="BY23" s="29">
        <v>66.417638446995753</v>
      </c>
      <c r="BZ23" s="29">
        <v>66.553375167859528</v>
      </c>
      <c r="CA23" s="29">
        <v>66.665344942748746</v>
      </c>
      <c r="CB23" s="29">
        <v>66.819941559692111</v>
      </c>
      <c r="CC23" s="29">
        <v>66.952659192714819</v>
      </c>
      <c r="CD23" s="29">
        <v>67.082728843856273</v>
      </c>
      <c r="CE23" s="29">
        <v>67.210410407154043</v>
      </c>
      <c r="CF23" s="29">
        <v>67.343612194814526</v>
      </c>
      <c r="CG23" s="29">
        <v>67.461965324266302</v>
      </c>
      <c r="CH23" s="29">
        <v>67.603357397783014</v>
      </c>
      <c r="CI23" s="29">
        <v>67.744131801469194</v>
      </c>
      <c r="CJ23" s="29">
        <v>67.862676331551356</v>
      </c>
      <c r="CK23" s="29">
        <v>67.996581068221246</v>
      </c>
      <c r="CL23" s="29">
        <v>68.129975543099462</v>
      </c>
      <c r="CM23" s="29">
        <v>68.257704831904888</v>
      </c>
      <c r="CN23" s="29">
        <v>68.401257627214562</v>
      </c>
      <c r="CO23" s="29">
        <v>68.523412658543648</v>
      </c>
      <c r="CP23" s="29">
        <v>68.656956247591282</v>
      </c>
      <c r="CQ23" s="29">
        <v>68.777079392523675</v>
      </c>
      <c r="CR23" s="29">
        <v>68.908913535163094</v>
      </c>
      <c r="CS23" s="29">
        <v>69.034802149362065</v>
      </c>
      <c r="CT23" s="29">
        <v>69.15575889829779</v>
      </c>
      <c r="CU23" s="29">
        <v>69.276055314631492</v>
      </c>
      <c r="CV23" s="29">
        <v>69.400670230607147</v>
      </c>
      <c r="CW23" s="29">
        <v>69.521176885361612</v>
      </c>
      <c r="CX23" s="29">
        <v>69.640552159560187</v>
      </c>
      <c r="CY23" s="29">
        <v>69.760231273891193</v>
      </c>
      <c r="CZ23" s="29">
        <v>69.87934471135496</v>
      </c>
      <c r="DA23" s="29">
        <v>69.997402377197062</v>
      </c>
      <c r="DB23" s="29">
        <v>70.114411345380503</v>
      </c>
      <c r="DC23" s="29">
        <v>70.230378610605968</v>
      </c>
      <c r="DD23" s="29">
        <v>70.345311061767859</v>
      </c>
      <c r="DE23" s="29">
        <v>70.459215500158024</v>
      </c>
      <c r="DF23" s="29">
        <v>70.57209868921359</v>
      </c>
      <c r="DG23" s="29">
        <v>70.683967416268516</v>
      </c>
      <c r="DH23" s="29">
        <v>70.794828564087879</v>
      </c>
      <c r="DI23" s="29">
        <v>70.90468925965537</v>
      </c>
      <c r="DJ23" s="29">
        <v>71.013556720682018</v>
      </c>
      <c r="DK23" s="29">
        <v>71.121438251673254</v>
      </c>
      <c r="DL23" s="29">
        <v>71.22834115914624</v>
      </c>
      <c r="DM23" s="29">
        <v>71.334259346651393</v>
      </c>
      <c r="DN23" s="29">
        <v>71.439199628393084</v>
      </c>
      <c r="DO23" s="29">
        <v>71.543168801321229</v>
      </c>
      <c r="DP23" s="29">
        <v>71.646173644940959</v>
      </c>
      <c r="DQ23" s="29">
        <v>71.74822092112214</v>
      </c>
      <c r="DR23" s="29">
        <v>71.849317373908605</v>
      </c>
      <c r="DS23">
        <v>71.949469729326836</v>
      </c>
      <c r="DT23">
        <v>72.048684695195504</v>
      </c>
      <c r="DU23">
        <v>72.146968960932014</v>
      </c>
    </row>
    <row r="24" spans="1:125">
      <c r="A24" s="34">
        <v>22</v>
      </c>
      <c r="B24" s="35"/>
      <c r="C24" s="35"/>
      <c r="D24" s="35"/>
      <c r="E24" s="35"/>
      <c r="F24" s="35"/>
      <c r="G24" s="35"/>
      <c r="H24" s="35"/>
      <c r="I24" s="35"/>
      <c r="J24" s="35"/>
      <c r="K24" s="35"/>
      <c r="L24" s="35"/>
      <c r="M24" s="35"/>
      <c r="N24" s="35"/>
      <c r="O24" s="35"/>
      <c r="P24" s="35"/>
      <c r="Q24" s="35"/>
      <c r="R24" s="35"/>
      <c r="S24" s="35"/>
      <c r="T24" s="35"/>
      <c r="U24" s="35"/>
      <c r="V24" s="29"/>
      <c r="W24" s="29">
        <v>56.52</v>
      </c>
      <c r="X24" s="29">
        <v>56.8</v>
      </c>
      <c r="Y24" s="29">
        <v>57.085953992235424</v>
      </c>
      <c r="Z24" s="29">
        <v>57.505540743248055</v>
      </c>
      <c r="AA24" s="29">
        <v>57.748833509434604</v>
      </c>
      <c r="AB24" s="29">
        <v>58.044251489320359</v>
      </c>
      <c r="AC24" s="29">
        <v>58.331118659124002</v>
      </c>
      <c r="AD24" s="29">
        <v>58.466599557781834</v>
      </c>
      <c r="AE24" s="29">
        <v>58.698018847467708</v>
      </c>
      <c r="AF24" s="29">
        <v>58.947947926931754</v>
      </c>
      <c r="AG24" s="29">
        <v>59.125779574019234</v>
      </c>
      <c r="AH24" s="29">
        <v>59.310182063066634</v>
      </c>
      <c r="AI24" s="29">
        <v>59.501682074155902</v>
      </c>
      <c r="AJ24" s="29">
        <v>59.772980662295396</v>
      </c>
      <c r="AK24" s="29">
        <v>60.028233866481521</v>
      </c>
      <c r="AL24" s="29">
        <v>60.342267705634725</v>
      </c>
      <c r="AM24" s="29">
        <v>60.599241867423828</v>
      </c>
      <c r="AN24" s="29">
        <v>60.796952341994498</v>
      </c>
      <c r="AO24" s="29">
        <v>60.953209993932354</v>
      </c>
      <c r="AP24" s="29">
        <v>61.076003227608282</v>
      </c>
      <c r="AQ24" s="29">
        <v>61.117869705910302</v>
      </c>
      <c r="AR24" s="29">
        <v>61.156673367208185</v>
      </c>
      <c r="AS24" s="29">
        <v>61.181069783475358</v>
      </c>
      <c r="AT24" s="29">
        <v>61.131448147833694</v>
      </c>
      <c r="AU24" s="29">
        <v>61.175552948649575</v>
      </c>
      <c r="AV24" s="29">
        <v>61.21756733847625</v>
      </c>
      <c r="AW24" s="29">
        <v>61.464254142849427</v>
      </c>
      <c r="AX24" s="29">
        <v>61.506478578171567</v>
      </c>
      <c r="AY24" s="29">
        <v>61.638985479088909</v>
      </c>
      <c r="AZ24" s="29">
        <v>61.76566672225578</v>
      </c>
      <c r="BA24" s="29">
        <v>61.896003719613418</v>
      </c>
      <c r="BB24" s="29">
        <v>62.009306728725683</v>
      </c>
      <c r="BC24" s="29">
        <v>62.110010955854989</v>
      </c>
      <c r="BD24" s="29">
        <v>62.206999703299751</v>
      </c>
      <c r="BE24" s="29">
        <v>62.327284169159242</v>
      </c>
      <c r="BF24" s="29">
        <v>62.46598295595922</v>
      </c>
      <c r="BG24" s="29">
        <v>62.619473248074932</v>
      </c>
      <c r="BH24" s="29">
        <v>62.810667325547634</v>
      </c>
      <c r="BI24" s="29">
        <v>62.942861977828606</v>
      </c>
      <c r="BJ24" s="29">
        <v>63.092346372342497</v>
      </c>
      <c r="BK24" s="29">
        <v>63.243465432420514</v>
      </c>
      <c r="BL24" s="29">
        <v>63.447761051240249</v>
      </c>
      <c r="BM24" s="29">
        <v>63.636915110018926</v>
      </c>
      <c r="BN24" s="29">
        <v>63.806629831706005</v>
      </c>
      <c r="BO24" s="29">
        <v>63.937439276064495</v>
      </c>
      <c r="BP24" s="29">
        <v>64.11652435142588</v>
      </c>
      <c r="BQ24" s="29">
        <v>64.263008217801499</v>
      </c>
      <c r="BR24" s="29">
        <v>64.420771234059373</v>
      </c>
      <c r="BS24" s="29">
        <v>64.580164131893156</v>
      </c>
      <c r="BT24" s="29">
        <v>64.730088579094883</v>
      </c>
      <c r="BU24" s="29">
        <v>64.864038612749383</v>
      </c>
      <c r="BV24" s="29">
        <v>65.004490547379973</v>
      </c>
      <c r="BW24" s="29">
        <v>65.15773396123457</v>
      </c>
      <c r="BX24" s="29">
        <v>65.292605831573042</v>
      </c>
      <c r="BY24" s="29">
        <v>65.438970825713568</v>
      </c>
      <c r="BZ24" s="29">
        <v>65.573052222650574</v>
      </c>
      <c r="CA24" s="29">
        <v>65.687022574638007</v>
      </c>
      <c r="CB24" s="29">
        <v>65.842335767164457</v>
      </c>
      <c r="CC24" s="29">
        <v>65.97187575206253</v>
      </c>
      <c r="CD24" s="29">
        <v>66.101133149109785</v>
      </c>
      <c r="CE24" s="29">
        <v>66.226242173343991</v>
      </c>
      <c r="CF24" s="29">
        <v>66.359447313365266</v>
      </c>
      <c r="CG24" s="29">
        <v>66.478648902493433</v>
      </c>
      <c r="CH24" s="29">
        <v>66.617062625863923</v>
      </c>
      <c r="CI24" s="29">
        <v>66.75900108468015</v>
      </c>
      <c r="CJ24" s="29">
        <v>66.875888240824409</v>
      </c>
      <c r="CK24" s="29">
        <v>67.011936627225523</v>
      </c>
      <c r="CL24" s="29">
        <v>67.1436746746826</v>
      </c>
      <c r="CM24" s="29">
        <v>67.27287382853531</v>
      </c>
      <c r="CN24" s="29">
        <v>67.414078942358898</v>
      </c>
      <c r="CO24" s="29">
        <v>67.53676896045161</v>
      </c>
      <c r="CP24" s="29">
        <v>67.668624660190787</v>
      </c>
      <c r="CQ24" s="29">
        <v>67.789302652460165</v>
      </c>
      <c r="CR24" s="29">
        <v>67.919691343546347</v>
      </c>
      <c r="CS24" s="29">
        <v>68.046580123072602</v>
      </c>
      <c r="CT24" s="29">
        <v>68.168098442194577</v>
      </c>
      <c r="CU24" s="29">
        <v>68.287385942142549</v>
      </c>
      <c r="CV24" s="29">
        <v>68.412673490136456</v>
      </c>
      <c r="CW24" s="29">
        <v>68.532361475828338</v>
      </c>
      <c r="CX24" s="29">
        <v>68.653241797935834</v>
      </c>
      <c r="CY24" s="29">
        <v>68.773057520994357</v>
      </c>
      <c r="CZ24" s="29">
        <v>68.891819992506584</v>
      </c>
      <c r="DA24" s="29">
        <v>69.009536077714458</v>
      </c>
      <c r="DB24" s="29">
        <v>69.126212607899248</v>
      </c>
      <c r="DC24" s="29">
        <v>69.241856341027528</v>
      </c>
      <c r="DD24" s="29">
        <v>69.356473935070696</v>
      </c>
      <c r="DE24" s="29">
        <v>69.470071966081946</v>
      </c>
      <c r="DF24" s="29">
        <v>69.582656977824243</v>
      </c>
      <c r="DG24" s="29">
        <v>69.694235543404631</v>
      </c>
      <c r="DH24" s="29">
        <v>69.80481433669344</v>
      </c>
      <c r="DI24" s="29">
        <v>69.914400281008213</v>
      </c>
      <c r="DJ24" s="29">
        <v>70.023000395477283</v>
      </c>
      <c r="DK24" s="29">
        <v>70.130621790987618</v>
      </c>
      <c r="DL24" s="29">
        <v>70.23725937533348</v>
      </c>
      <c r="DM24" s="29">
        <v>70.342919766062906</v>
      </c>
      <c r="DN24" s="29">
        <v>70.447609569340543</v>
      </c>
      <c r="DO24" s="29">
        <v>70.551335379612738</v>
      </c>
      <c r="DP24" s="29">
        <v>70.654103779278387</v>
      </c>
      <c r="DQ24" s="29">
        <v>70.755921338362768</v>
      </c>
      <c r="DR24" s="29">
        <v>70.856794614194143</v>
      </c>
      <c r="DS24">
        <v>70.956730151082994</v>
      </c>
      <c r="DT24">
        <v>71.055734480004787</v>
      </c>
      <c r="DU24">
        <v>71.153814118282881</v>
      </c>
    </row>
    <row r="25" spans="1:125">
      <c r="A25" s="34">
        <v>23</v>
      </c>
      <c r="B25" s="35"/>
      <c r="C25" s="35"/>
      <c r="D25" s="35"/>
      <c r="E25" s="35"/>
      <c r="F25" s="35"/>
      <c r="G25" s="35"/>
      <c r="H25" s="35"/>
      <c r="I25" s="35"/>
      <c r="J25" s="35"/>
      <c r="K25" s="35"/>
      <c r="L25" s="35"/>
      <c r="M25" s="35"/>
      <c r="N25" s="35"/>
      <c r="O25" s="35"/>
      <c r="P25" s="35"/>
      <c r="Q25" s="35"/>
      <c r="R25" s="35"/>
      <c r="S25" s="35"/>
      <c r="T25" s="35"/>
      <c r="U25" s="35"/>
      <c r="V25" s="29"/>
      <c r="W25" s="29">
        <v>55.66</v>
      </c>
      <c r="X25" s="29">
        <v>55.95</v>
      </c>
      <c r="Y25" s="29">
        <v>56.310677078070164</v>
      </c>
      <c r="Z25" s="29">
        <v>56.647838862014474</v>
      </c>
      <c r="AA25" s="29">
        <v>56.891738939393683</v>
      </c>
      <c r="AB25" s="29">
        <v>57.159455196005688</v>
      </c>
      <c r="AC25" s="29">
        <v>57.404657574243295</v>
      </c>
      <c r="AD25" s="29">
        <v>57.540310752437421</v>
      </c>
      <c r="AE25" s="29">
        <v>57.772024318352017</v>
      </c>
      <c r="AF25" s="29">
        <v>58.002716417656508</v>
      </c>
      <c r="AG25" s="29">
        <v>58.178900266594603</v>
      </c>
      <c r="AH25" s="29">
        <v>58.355561890666543</v>
      </c>
      <c r="AI25" s="29">
        <v>58.546332126427828</v>
      </c>
      <c r="AJ25" s="29">
        <v>58.815929826557273</v>
      </c>
      <c r="AK25" s="29">
        <v>59.075348226074482</v>
      </c>
      <c r="AL25" s="29">
        <v>59.381680192117628</v>
      </c>
      <c r="AM25" s="29">
        <v>59.640022996806543</v>
      </c>
      <c r="AN25" s="29">
        <v>59.836562288796877</v>
      </c>
      <c r="AO25" s="29">
        <v>59.988115606417566</v>
      </c>
      <c r="AP25" s="29">
        <v>60.115670559268111</v>
      </c>
      <c r="AQ25" s="29">
        <v>60.151121362438602</v>
      </c>
      <c r="AR25" s="29">
        <v>60.19440498780498</v>
      </c>
      <c r="AS25" s="29">
        <v>60.216172617643103</v>
      </c>
      <c r="AT25" s="29">
        <v>60.170100324632898</v>
      </c>
      <c r="AU25" s="29">
        <v>60.208936999177922</v>
      </c>
      <c r="AV25" s="29">
        <v>60.257830671665026</v>
      </c>
      <c r="AW25" s="29">
        <v>60.498194491706677</v>
      </c>
      <c r="AX25" s="29">
        <v>60.541197278066583</v>
      </c>
      <c r="AY25" s="29">
        <v>60.677291494383752</v>
      </c>
      <c r="AZ25" s="29">
        <v>60.799562300637078</v>
      </c>
      <c r="BA25" s="29">
        <v>60.927474002788351</v>
      </c>
      <c r="BB25" s="29">
        <v>61.045464975372496</v>
      </c>
      <c r="BC25" s="29">
        <v>61.143149650333122</v>
      </c>
      <c r="BD25" s="29">
        <v>61.240817453085995</v>
      </c>
      <c r="BE25" s="29">
        <v>61.360549739582382</v>
      </c>
      <c r="BF25" s="29">
        <v>61.501856648622223</v>
      </c>
      <c r="BG25" s="29">
        <v>61.648860488841528</v>
      </c>
      <c r="BH25" s="29">
        <v>61.842725447496882</v>
      </c>
      <c r="BI25" s="29">
        <v>61.970580129582771</v>
      </c>
      <c r="BJ25" s="29">
        <v>62.120314344371515</v>
      </c>
      <c r="BK25" s="29">
        <v>62.272540259866403</v>
      </c>
      <c r="BL25" s="29">
        <v>62.474510297357853</v>
      </c>
      <c r="BM25" s="29">
        <v>62.661439774895747</v>
      </c>
      <c r="BN25" s="29">
        <v>62.828874500173661</v>
      </c>
      <c r="BO25" s="29">
        <v>62.96105100012602</v>
      </c>
      <c r="BP25" s="29">
        <v>63.140089416767196</v>
      </c>
      <c r="BQ25" s="29">
        <v>63.287517457854619</v>
      </c>
      <c r="BR25" s="29">
        <v>63.44517975483717</v>
      </c>
      <c r="BS25" s="29">
        <v>63.601530859254687</v>
      </c>
      <c r="BT25" s="29">
        <v>63.75433345945001</v>
      </c>
      <c r="BU25" s="29">
        <v>63.888714504336974</v>
      </c>
      <c r="BV25" s="29">
        <v>64.024087587434636</v>
      </c>
      <c r="BW25" s="29">
        <v>64.179300611338576</v>
      </c>
      <c r="BX25" s="29">
        <v>64.31422203878094</v>
      </c>
      <c r="BY25" s="29">
        <v>64.458961250379218</v>
      </c>
      <c r="BZ25" s="29">
        <v>64.590872878288934</v>
      </c>
      <c r="CA25" s="29">
        <v>64.707043753670433</v>
      </c>
      <c r="CB25" s="29">
        <v>64.858690999095046</v>
      </c>
      <c r="CC25" s="29">
        <v>64.989755441660975</v>
      </c>
      <c r="CD25" s="29">
        <v>65.11750947195749</v>
      </c>
      <c r="CE25" s="29">
        <v>65.245550159723606</v>
      </c>
      <c r="CF25" s="29">
        <v>65.374593587245528</v>
      </c>
      <c r="CG25" s="29">
        <v>65.495448411596271</v>
      </c>
      <c r="CH25" s="29">
        <v>65.633809985417514</v>
      </c>
      <c r="CI25" s="29">
        <v>65.773943388024563</v>
      </c>
      <c r="CJ25" s="29">
        <v>65.889512749498778</v>
      </c>
      <c r="CK25" s="29">
        <v>66.028190282196164</v>
      </c>
      <c r="CL25" s="29">
        <v>66.1575600624396</v>
      </c>
      <c r="CM25" s="29">
        <v>66.289871360765503</v>
      </c>
      <c r="CN25" s="29">
        <v>66.425535633077587</v>
      </c>
      <c r="CO25" s="29">
        <v>66.548482236625929</v>
      </c>
      <c r="CP25" s="29">
        <v>66.678182771428098</v>
      </c>
      <c r="CQ25" s="29">
        <v>66.80301358758247</v>
      </c>
      <c r="CR25" s="29">
        <v>66.930090170453013</v>
      </c>
      <c r="CS25" s="29">
        <v>67.057169250217115</v>
      </c>
      <c r="CT25" s="29">
        <v>67.178656347012662</v>
      </c>
      <c r="CU25" s="29">
        <v>67.300359330245001</v>
      </c>
      <c r="CV25" s="29">
        <v>67.423468334500882</v>
      </c>
      <c r="CW25" s="29">
        <v>67.544885696889381</v>
      </c>
      <c r="CX25" s="29">
        <v>67.665425952638543</v>
      </c>
      <c r="CY25" s="29">
        <v>67.784914881885754</v>
      </c>
      <c r="CZ25" s="29">
        <v>67.903359113027165</v>
      </c>
      <c r="DA25" s="29">
        <v>68.02076529535033</v>
      </c>
      <c r="DB25" s="29">
        <v>68.137140049332501</v>
      </c>
      <c r="DC25" s="29">
        <v>68.252489927169592</v>
      </c>
      <c r="DD25" s="29">
        <v>68.366821385983357</v>
      </c>
      <c r="DE25" s="29">
        <v>68.480140805795273</v>
      </c>
      <c r="DF25" s="29">
        <v>68.592454539057101</v>
      </c>
      <c r="DG25" s="29">
        <v>68.703768972189934</v>
      </c>
      <c r="DH25" s="29">
        <v>68.814090596910091</v>
      </c>
      <c r="DI25" s="29">
        <v>68.923426158829884</v>
      </c>
      <c r="DJ25" s="29">
        <v>69.03178250369875</v>
      </c>
      <c r="DK25" s="29">
        <v>69.139155490223516</v>
      </c>
      <c r="DL25" s="29">
        <v>69.245551556170312</v>
      </c>
      <c r="DM25" s="29">
        <v>69.350977133190284</v>
      </c>
      <c r="DN25" s="29">
        <v>69.4554386463642</v>
      </c>
      <c r="DO25" s="29">
        <v>69.558942513750765</v>
      </c>
      <c r="DP25" s="29">
        <v>69.661495145943348</v>
      </c>
      <c r="DQ25" s="29">
        <v>69.763102945631928</v>
      </c>
      <c r="DR25" s="29">
        <v>69.863772307170507</v>
      </c>
      <c r="DS25">
        <v>69.963509616149366</v>
      </c>
      <c r="DT25">
        <v>70.062321248973305</v>
      </c>
      <c r="DU25">
        <v>70.160213572442274</v>
      </c>
    </row>
    <row r="26" spans="1:125">
      <c r="A26" s="34">
        <v>24</v>
      </c>
      <c r="B26" s="35"/>
      <c r="C26" s="35"/>
      <c r="D26" s="35"/>
      <c r="E26" s="35"/>
      <c r="F26" s="35"/>
      <c r="G26" s="35"/>
      <c r="H26" s="35"/>
      <c r="I26" s="35"/>
      <c r="J26" s="35"/>
      <c r="K26" s="35"/>
      <c r="L26" s="35"/>
      <c r="M26" s="35"/>
      <c r="N26" s="35"/>
      <c r="O26" s="35"/>
      <c r="P26" s="35"/>
      <c r="Q26" s="35"/>
      <c r="R26" s="35"/>
      <c r="S26" s="35"/>
      <c r="T26" s="35"/>
      <c r="U26" s="35"/>
      <c r="V26" s="29"/>
      <c r="W26" s="29">
        <v>54.81</v>
      </c>
      <c r="X26" s="29">
        <v>55.18</v>
      </c>
      <c r="Y26" s="29">
        <v>55.455041084067048</v>
      </c>
      <c r="Z26" s="29">
        <v>55.79307499550287</v>
      </c>
      <c r="AA26" s="29">
        <v>56.008724370730619</v>
      </c>
      <c r="AB26" s="29">
        <v>56.233208366882629</v>
      </c>
      <c r="AC26" s="29">
        <v>56.478729923143383</v>
      </c>
      <c r="AD26" s="29">
        <v>56.614559680021443</v>
      </c>
      <c r="AE26" s="29">
        <v>56.832447827706382</v>
      </c>
      <c r="AF26" s="29">
        <v>57.055840764935397</v>
      </c>
      <c r="AG26" s="29">
        <v>57.230390905774527</v>
      </c>
      <c r="AH26" s="29">
        <v>57.406452235223263</v>
      </c>
      <c r="AI26" s="29">
        <v>57.59149732435413</v>
      </c>
      <c r="AJ26" s="29">
        <v>57.859239411241582</v>
      </c>
      <c r="AK26" s="29">
        <v>58.117797576890112</v>
      </c>
      <c r="AL26" s="29">
        <v>58.421897442437398</v>
      </c>
      <c r="AM26" s="29">
        <v>58.681980625345886</v>
      </c>
      <c r="AN26" s="29">
        <v>58.878817255937456</v>
      </c>
      <c r="AO26" s="29">
        <v>59.024454176009904</v>
      </c>
      <c r="AP26" s="29">
        <v>59.151351257461755</v>
      </c>
      <c r="AQ26" s="29">
        <v>59.187044553552461</v>
      </c>
      <c r="AR26" s="29">
        <v>59.229733533998612</v>
      </c>
      <c r="AS26" s="29">
        <v>59.250234484268098</v>
      </c>
      <c r="AT26" s="29">
        <v>59.205488656045048</v>
      </c>
      <c r="AU26" s="29">
        <v>59.243106270635082</v>
      </c>
      <c r="AV26" s="29">
        <v>59.293211797972383</v>
      </c>
      <c r="AW26" s="29">
        <v>59.535400366996086</v>
      </c>
      <c r="AX26" s="29">
        <v>59.577305473528654</v>
      </c>
      <c r="AY26" s="29">
        <v>59.716794162552496</v>
      </c>
      <c r="AZ26" s="29">
        <v>59.83371425737645</v>
      </c>
      <c r="BA26" s="29">
        <v>59.960368782405226</v>
      </c>
      <c r="BB26" s="29">
        <v>60.081151523857677</v>
      </c>
      <c r="BC26" s="29">
        <v>60.174353711518606</v>
      </c>
      <c r="BD26" s="29">
        <v>60.274833704428737</v>
      </c>
      <c r="BE26" s="29">
        <v>60.393876838797176</v>
      </c>
      <c r="BF26" s="29">
        <v>60.532648454415131</v>
      </c>
      <c r="BG26" s="29">
        <v>60.679482187976348</v>
      </c>
      <c r="BH26" s="29">
        <v>60.871772877345649</v>
      </c>
      <c r="BI26" s="29">
        <v>60.999390240825811</v>
      </c>
      <c r="BJ26" s="29">
        <v>61.14640191845902</v>
      </c>
      <c r="BK26" s="29">
        <v>61.299342012535668</v>
      </c>
      <c r="BL26" s="29">
        <v>61.498001752710337</v>
      </c>
      <c r="BM26" s="29">
        <v>61.683441963541007</v>
      </c>
      <c r="BN26" s="29">
        <v>61.852612764654758</v>
      </c>
      <c r="BO26" s="29">
        <v>61.985925763489405</v>
      </c>
      <c r="BP26" s="29">
        <v>62.165247630688114</v>
      </c>
      <c r="BQ26" s="29">
        <v>62.31267589701244</v>
      </c>
      <c r="BR26" s="29">
        <v>62.467791110591371</v>
      </c>
      <c r="BS26" s="29">
        <v>62.622870248046894</v>
      </c>
      <c r="BT26" s="29">
        <v>62.775441523149617</v>
      </c>
      <c r="BU26" s="29">
        <v>62.907160291619185</v>
      </c>
      <c r="BV26" s="29">
        <v>63.045461666754207</v>
      </c>
      <c r="BW26" s="29">
        <v>63.197274778603912</v>
      </c>
      <c r="BX26" s="29">
        <v>63.331957095249876</v>
      </c>
      <c r="BY26" s="29">
        <v>63.474580008010548</v>
      </c>
      <c r="BZ26" s="29">
        <v>63.61051259403952</v>
      </c>
      <c r="CA26" s="29">
        <v>63.727329454162465</v>
      </c>
      <c r="CB26" s="29">
        <v>63.874792616794913</v>
      </c>
      <c r="CC26" s="29">
        <v>64.007368403191123</v>
      </c>
      <c r="CD26" s="29">
        <v>64.134875259927455</v>
      </c>
      <c r="CE26" s="29">
        <v>64.261068943645853</v>
      </c>
      <c r="CF26" s="29">
        <v>64.391591806594548</v>
      </c>
      <c r="CG26" s="29">
        <v>64.51157992204412</v>
      </c>
      <c r="CH26" s="29">
        <v>64.649626506698652</v>
      </c>
      <c r="CI26" s="29">
        <v>64.786932223815754</v>
      </c>
      <c r="CJ26" s="29">
        <v>64.905685795725375</v>
      </c>
      <c r="CK26" s="29">
        <v>65.043908139255862</v>
      </c>
      <c r="CL26" s="29">
        <v>65.170912850174034</v>
      </c>
      <c r="CM26" s="29">
        <v>65.303194446131286</v>
      </c>
      <c r="CN26" s="29">
        <v>65.441016507114313</v>
      </c>
      <c r="CO26" s="29">
        <v>65.563818980260478</v>
      </c>
      <c r="CP26" s="29">
        <v>65.69233522926254</v>
      </c>
      <c r="CQ26" s="29">
        <v>65.814295827298253</v>
      </c>
      <c r="CR26" s="29">
        <v>65.94270084868387</v>
      </c>
      <c r="CS26" s="29">
        <v>66.066321797218308</v>
      </c>
      <c r="CT26" s="29">
        <v>66.190071665851264</v>
      </c>
      <c r="CU26" s="29">
        <v>66.312711087032014</v>
      </c>
      <c r="CV26" s="29">
        <v>66.435219648282398</v>
      </c>
      <c r="CW26" s="29">
        <v>66.556504446321014</v>
      </c>
      <c r="CX26" s="29">
        <v>66.676739373527795</v>
      </c>
      <c r="CY26" s="29">
        <v>66.795930791840618</v>
      </c>
      <c r="CZ26" s="29">
        <v>66.914085137089643</v>
      </c>
      <c r="DA26" s="29">
        <v>67.031208870462407</v>
      </c>
      <c r="DB26" s="29">
        <v>67.147308428701379</v>
      </c>
      <c r="DC26" s="29">
        <v>67.262390184536429</v>
      </c>
      <c r="DD26" s="29">
        <v>67.376460419799884</v>
      </c>
      <c r="DE26" s="29">
        <v>67.489525343316387</v>
      </c>
      <c r="DF26" s="29">
        <v>67.601591140354472</v>
      </c>
      <c r="DG26" s="29">
        <v>67.71266403408876</v>
      </c>
      <c r="DH26" s="29">
        <v>67.822750356849937</v>
      </c>
      <c r="DI26" s="29">
        <v>67.931856698659416</v>
      </c>
      <c r="DJ26" s="29">
        <v>68.039979732803346</v>
      </c>
      <c r="DK26" s="29">
        <v>68.147125732080966</v>
      </c>
      <c r="DL26" s="29">
        <v>68.253300967925753</v>
      </c>
      <c r="DM26" s="29">
        <v>68.358511709839789</v>
      </c>
      <c r="DN26" s="29">
        <v>68.46276422484047</v>
      </c>
      <c r="DO26" s="29">
        <v>68.566064776912896</v>
      </c>
      <c r="DP26" s="29">
        <v>68.668419626472783</v>
      </c>
      <c r="DQ26" s="29">
        <v>68.769835029836344</v>
      </c>
      <c r="DR26" s="29">
        <v>68.87031723869768</v>
      </c>
      <c r="DS26">
        <v>68.969872499612876</v>
      </c>
      <c r="DT26">
        <v>69.068507053491899</v>
      </c>
      <c r="DU26">
        <v>69.1662271350948</v>
      </c>
    </row>
    <row r="27" spans="1:125">
      <c r="A27" s="34">
        <v>25</v>
      </c>
      <c r="B27" s="35"/>
      <c r="C27" s="35"/>
      <c r="D27" s="35"/>
      <c r="E27" s="35"/>
      <c r="F27" s="35"/>
      <c r="G27" s="35"/>
      <c r="H27" s="35"/>
      <c r="I27" s="35"/>
      <c r="J27" s="35"/>
      <c r="K27" s="35"/>
      <c r="L27" s="35"/>
      <c r="M27" s="35"/>
      <c r="N27" s="35"/>
      <c r="O27" s="35"/>
      <c r="P27" s="35"/>
      <c r="Q27" s="35"/>
      <c r="R27" s="35"/>
      <c r="S27" s="35"/>
      <c r="T27" s="35"/>
      <c r="U27" s="35"/>
      <c r="V27" s="29"/>
      <c r="W27" s="29">
        <v>54.04</v>
      </c>
      <c r="X27" s="29">
        <v>54.32</v>
      </c>
      <c r="Y27" s="29">
        <v>54.599953962989716</v>
      </c>
      <c r="Z27" s="29">
        <v>54.910008923799147</v>
      </c>
      <c r="AA27" s="29">
        <v>55.08209273313836</v>
      </c>
      <c r="AB27" s="29">
        <v>55.3068734398232</v>
      </c>
      <c r="AC27" s="29">
        <v>55.55271951290041</v>
      </c>
      <c r="AD27" s="29">
        <v>55.677351178638141</v>
      </c>
      <c r="AE27" s="29">
        <v>55.886630112031938</v>
      </c>
      <c r="AF27" s="29">
        <v>56.105460575760006</v>
      </c>
      <c r="AG27" s="29">
        <v>56.281383572053834</v>
      </c>
      <c r="AH27" s="29">
        <v>56.454209165783084</v>
      </c>
      <c r="AI27" s="29">
        <v>56.635737960094673</v>
      </c>
      <c r="AJ27" s="29">
        <v>56.902343357348478</v>
      </c>
      <c r="AK27" s="29">
        <v>57.163985458820278</v>
      </c>
      <c r="AL27" s="29">
        <v>57.461931881664995</v>
      </c>
      <c r="AM27" s="29">
        <v>57.720729991542584</v>
      </c>
      <c r="AN27" s="29">
        <v>57.916452647481577</v>
      </c>
      <c r="AO27" s="29">
        <v>58.061824785360137</v>
      </c>
      <c r="AP27" s="29">
        <v>58.187401785209623</v>
      </c>
      <c r="AQ27" s="29">
        <v>58.225495808238385</v>
      </c>
      <c r="AR27" s="29">
        <v>58.269531628174263</v>
      </c>
      <c r="AS27" s="29">
        <v>58.289898179820305</v>
      </c>
      <c r="AT27" s="29">
        <v>58.239212021173365</v>
      </c>
      <c r="AU27" s="29">
        <v>58.276642286647721</v>
      </c>
      <c r="AV27" s="29">
        <v>58.331156557593935</v>
      </c>
      <c r="AW27" s="29">
        <v>58.569985836054386</v>
      </c>
      <c r="AX27" s="29">
        <v>58.613697185397882</v>
      </c>
      <c r="AY27" s="29">
        <v>58.74825843765165</v>
      </c>
      <c r="AZ27" s="29">
        <v>58.866579970029591</v>
      </c>
      <c r="BA27" s="29">
        <v>58.992307469379348</v>
      </c>
      <c r="BB27" s="29">
        <v>59.114069257119652</v>
      </c>
      <c r="BC27" s="29">
        <v>59.211094676590626</v>
      </c>
      <c r="BD27" s="29">
        <v>59.311052375370529</v>
      </c>
      <c r="BE27" s="29">
        <v>59.424918012754802</v>
      </c>
      <c r="BF27" s="29">
        <v>59.56078669799404</v>
      </c>
      <c r="BG27" s="29">
        <v>59.710097603675671</v>
      </c>
      <c r="BH27" s="29">
        <v>59.900160635438901</v>
      </c>
      <c r="BI27" s="29">
        <v>60.027779365040921</v>
      </c>
      <c r="BJ27" s="29">
        <v>60.170150533455896</v>
      </c>
      <c r="BK27" s="29">
        <v>60.325289994654256</v>
      </c>
      <c r="BL27" s="29">
        <v>60.524697599971255</v>
      </c>
      <c r="BM27" s="29">
        <v>60.710309947065561</v>
      </c>
      <c r="BN27" s="29">
        <v>60.876094298475792</v>
      </c>
      <c r="BO27" s="29">
        <v>61.010922479838364</v>
      </c>
      <c r="BP27" s="29">
        <v>61.188695021708192</v>
      </c>
      <c r="BQ27" s="29">
        <v>61.336481687482944</v>
      </c>
      <c r="BR27" s="29">
        <v>61.491095114939078</v>
      </c>
      <c r="BS27" s="29">
        <v>61.645780604691865</v>
      </c>
      <c r="BT27" s="29">
        <v>61.795938041616033</v>
      </c>
      <c r="BU27" s="29">
        <v>61.930377034729212</v>
      </c>
      <c r="BV27" s="29">
        <v>62.064777847443459</v>
      </c>
      <c r="BW27" s="29">
        <v>62.21665164753643</v>
      </c>
      <c r="BX27" s="29">
        <v>62.349841373155776</v>
      </c>
      <c r="BY27" s="29">
        <v>62.493551744697719</v>
      </c>
      <c r="BZ27" s="29">
        <v>62.628201422937295</v>
      </c>
      <c r="CA27" s="29">
        <v>62.746589029741976</v>
      </c>
      <c r="CB27" s="29">
        <v>62.890570144541798</v>
      </c>
      <c r="CC27" s="29">
        <v>63.024381811283511</v>
      </c>
      <c r="CD27" s="29">
        <v>63.150806704948756</v>
      </c>
      <c r="CE27" s="29">
        <v>63.275451620004091</v>
      </c>
      <c r="CF27" s="29">
        <v>63.404223557971271</v>
      </c>
      <c r="CG27" s="29">
        <v>63.524587114583682</v>
      </c>
      <c r="CH27" s="29">
        <v>63.665023170686439</v>
      </c>
      <c r="CI27" s="29">
        <v>63.801704107351604</v>
      </c>
      <c r="CJ27" s="29">
        <v>63.918761949564427</v>
      </c>
      <c r="CK27" s="29">
        <v>64.055337490977877</v>
      </c>
      <c r="CL27" s="29">
        <v>64.187093603893317</v>
      </c>
      <c r="CM27" s="29">
        <v>64.315821615934638</v>
      </c>
      <c r="CN27" s="29">
        <v>64.452102188375719</v>
      </c>
      <c r="CO27" s="29">
        <v>64.57463048093625</v>
      </c>
      <c r="CP27" s="29">
        <v>64.702146649195285</v>
      </c>
      <c r="CQ27" s="29">
        <v>64.828927945251124</v>
      </c>
      <c r="CR27" s="29">
        <v>64.953711755523287</v>
      </c>
      <c r="CS27" s="29">
        <v>65.07592883333605</v>
      </c>
      <c r="CT27" s="29">
        <v>65.200759295549489</v>
      </c>
      <c r="CU27" s="29">
        <v>65.324478819740648</v>
      </c>
      <c r="CV27" s="29">
        <v>65.446521296758505</v>
      </c>
      <c r="CW27" s="29">
        <v>65.567515125839265</v>
      </c>
      <c r="CX27" s="29">
        <v>65.687466370340871</v>
      </c>
      <c r="CY27" s="29">
        <v>65.8063812171725</v>
      </c>
      <c r="CZ27" s="29">
        <v>65.924265931080697</v>
      </c>
      <c r="DA27" s="29">
        <v>66.041126806027236</v>
      </c>
      <c r="DB27" s="29">
        <v>66.15697011530213</v>
      </c>
      <c r="DC27" s="29">
        <v>66.271802071875001</v>
      </c>
      <c r="DD27" s="29">
        <v>66.385628801433072</v>
      </c>
      <c r="DE27" s="29">
        <v>66.498456360201459</v>
      </c>
      <c r="DF27" s="29">
        <v>66.610290784329948</v>
      </c>
      <c r="DG27" s="29">
        <v>66.721138151291754</v>
      </c>
      <c r="DH27" s="29">
        <v>66.83100465107141</v>
      </c>
      <c r="DI27" s="29">
        <v>66.939887635334017</v>
      </c>
      <c r="DJ27" s="29">
        <v>67.047793222460896</v>
      </c>
      <c r="DK27" s="29">
        <v>67.154727533820463</v>
      </c>
      <c r="DL27" s="29">
        <v>67.260696693109821</v>
      </c>
      <c r="DM27" s="29">
        <v>67.365706825705772</v>
      </c>
      <c r="DN27" s="29">
        <v>67.469764058030236</v>
      </c>
      <c r="DO27" s="29">
        <v>67.572874516922454</v>
      </c>
      <c r="DP27" s="29">
        <v>67.675044329023535</v>
      </c>
      <c r="DQ27" s="29">
        <v>67.776279620169589</v>
      </c>
      <c r="DR27" s="29">
        <v>67.876586514793587</v>
      </c>
      <c r="DS27">
        <v>67.975971135335769</v>
      </c>
      <c r="DT27">
        <v>68.074439601663045</v>
      </c>
      <c r="DU27">
        <v>68.171998030494379</v>
      </c>
    </row>
    <row r="28" spans="1:125">
      <c r="A28" s="34">
        <v>26</v>
      </c>
      <c r="B28" s="35"/>
      <c r="C28" s="35"/>
      <c r="D28" s="35"/>
      <c r="E28" s="35"/>
      <c r="F28" s="35"/>
      <c r="G28" s="35"/>
      <c r="H28" s="35"/>
      <c r="I28" s="35"/>
      <c r="J28" s="35"/>
      <c r="K28" s="35"/>
      <c r="L28" s="35"/>
      <c r="M28" s="35"/>
      <c r="N28" s="35"/>
      <c r="O28" s="35"/>
      <c r="P28" s="35"/>
      <c r="Q28" s="35"/>
      <c r="R28" s="35"/>
      <c r="S28" s="35"/>
      <c r="T28" s="35"/>
      <c r="U28" s="35"/>
      <c r="V28" s="29"/>
      <c r="W28" s="29">
        <v>53.18</v>
      </c>
      <c r="X28" s="29">
        <v>53.46</v>
      </c>
      <c r="Y28" s="29">
        <v>53.713492806656383</v>
      </c>
      <c r="Z28" s="29">
        <v>53.983561732137538</v>
      </c>
      <c r="AA28" s="29">
        <v>54.155878168666057</v>
      </c>
      <c r="AB28" s="29">
        <v>54.380962739521557</v>
      </c>
      <c r="AC28" s="29">
        <v>54.608562998282544</v>
      </c>
      <c r="AD28" s="29">
        <v>54.732116389265158</v>
      </c>
      <c r="AE28" s="29">
        <v>54.939799225341268</v>
      </c>
      <c r="AF28" s="29">
        <v>55.153252847483571</v>
      </c>
      <c r="AG28" s="29">
        <v>55.332256337910358</v>
      </c>
      <c r="AH28" s="29">
        <v>55.504226881451864</v>
      </c>
      <c r="AI28" s="29">
        <v>55.67877362780272</v>
      </c>
      <c r="AJ28" s="29">
        <v>55.947804298427144</v>
      </c>
      <c r="AK28" s="29">
        <v>56.203209574068374</v>
      </c>
      <c r="AL28" s="29">
        <v>56.501659632027881</v>
      </c>
      <c r="AM28" s="29">
        <v>56.759496084989536</v>
      </c>
      <c r="AN28" s="29">
        <v>56.954291398899855</v>
      </c>
      <c r="AO28" s="29">
        <v>57.100696479403901</v>
      </c>
      <c r="AP28" s="29">
        <v>57.225890969761991</v>
      </c>
      <c r="AQ28" s="29">
        <v>57.25899353928979</v>
      </c>
      <c r="AR28" s="29">
        <v>57.311369242650699</v>
      </c>
      <c r="AS28" s="29">
        <v>57.322712143738258</v>
      </c>
      <c r="AT28" s="29">
        <v>57.275772778064734</v>
      </c>
      <c r="AU28" s="29">
        <v>57.313004917562928</v>
      </c>
      <c r="AV28" s="29">
        <v>57.36701871547011</v>
      </c>
      <c r="AW28" s="29">
        <v>57.604869182194285</v>
      </c>
      <c r="AX28" s="29">
        <v>57.648330431130056</v>
      </c>
      <c r="AY28" s="29">
        <v>57.781778554077185</v>
      </c>
      <c r="AZ28" s="29">
        <v>57.899897543844695</v>
      </c>
      <c r="BA28" s="29">
        <v>58.025555364704175</v>
      </c>
      <c r="BB28" s="29">
        <v>58.150434505745352</v>
      </c>
      <c r="BC28" s="29">
        <v>58.243427968742786</v>
      </c>
      <c r="BD28" s="29">
        <v>58.344599005526504</v>
      </c>
      <c r="BE28" s="29">
        <v>58.455755595043257</v>
      </c>
      <c r="BF28" s="29">
        <v>58.5888523869233</v>
      </c>
      <c r="BG28" s="29">
        <v>58.739815647285369</v>
      </c>
      <c r="BH28" s="29">
        <v>58.926070947105288</v>
      </c>
      <c r="BI28" s="29">
        <v>59.052193666922463</v>
      </c>
      <c r="BJ28" s="29">
        <v>59.195666109671613</v>
      </c>
      <c r="BK28" s="29">
        <v>59.348695322496972</v>
      </c>
      <c r="BL28" s="29">
        <v>59.548934057512312</v>
      </c>
      <c r="BM28" s="29">
        <v>59.733807838849884</v>
      </c>
      <c r="BN28" s="29">
        <v>59.898930312008531</v>
      </c>
      <c r="BO28" s="29">
        <v>60.036927296817431</v>
      </c>
      <c r="BP28" s="29">
        <v>60.210459697998701</v>
      </c>
      <c r="BQ28" s="29">
        <v>60.36265328863518</v>
      </c>
      <c r="BR28" s="29">
        <v>60.513927167457432</v>
      </c>
      <c r="BS28" s="29">
        <v>60.664837081979528</v>
      </c>
      <c r="BT28" s="29">
        <v>60.817337903349802</v>
      </c>
      <c r="BU28" s="29">
        <v>60.948731561716329</v>
      </c>
      <c r="BV28" s="29">
        <v>61.083822816038577</v>
      </c>
      <c r="BW28" s="29">
        <v>61.23834491074404</v>
      </c>
      <c r="BX28" s="29">
        <v>61.368401256402379</v>
      </c>
      <c r="BY28" s="29">
        <v>61.509635771081392</v>
      </c>
      <c r="BZ28" s="29">
        <v>61.643758019282217</v>
      </c>
      <c r="CA28" s="29">
        <v>61.765349445064494</v>
      </c>
      <c r="CB28" s="29">
        <v>61.904769551864881</v>
      </c>
      <c r="CC28" s="29">
        <v>62.038792629743412</v>
      </c>
      <c r="CD28" s="29">
        <v>62.165895134451496</v>
      </c>
      <c r="CE28" s="29">
        <v>62.288293898938385</v>
      </c>
      <c r="CF28" s="29">
        <v>62.419776852168113</v>
      </c>
      <c r="CG28" s="29">
        <v>62.538433970920856</v>
      </c>
      <c r="CH28" s="29">
        <v>62.679887933673555</v>
      </c>
      <c r="CI28" s="29">
        <v>62.814901507529704</v>
      </c>
      <c r="CJ28" s="29">
        <v>62.933592150418797</v>
      </c>
      <c r="CK28" s="29">
        <v>63.069139462429931</v>
      </c>
      <c r="CL28" s="29">
        <v>63.199896499383051</v>
      </c>
      <c r="CM28" s="29">
        <v>63.328544245958561</v>
      </c>
      <c r="CN28" s="29">
        <v>63.46312951840109</v>
      </c>
      <c r="CO28" s="29">
        <v>63.585753641341753</v>
      </c>
      <c r="CP28" s="29">
        <v>63.7146745890281</v>
      </c>
      <c r="CQ28" s="29">
        <v>63.842266830532843</v>
      </c>
      <c r="CR28" s="29">
        <v>63.964826915236181</v>
      </c>
      <c r="CS28" s="29">
        <v>64.088022708221985</v>
      </c>
      <c r="CT28" s="29">
        <v>64.213033647503835</v>
      </c>
      <c r="CU28" s="29">
        <v>64.33583681388447</v>
      </c>
      <c r="CV28" s="29">
        <v>64.457592632379885</v>
      </c>
      <c r="CW28" s="29">
        <v>64.578306827119661</v>
      </c>
      <c r="CX28" s="29">
        <v>64.697985296851712</v>
      </c>
      <c r="CY28" s="29">
        <v>64.81663406748217</v>
      </c>
      <c r="CZ28" s="29">
        <v>64.934259246283673</v>
      </c>
      <c r="DA28" s="29">
        <v>65.050866973197287</v>
      </c>
      <c r="DB28" s="29">
        <v>65.166463370871554</v>
      </c>
      <c r="DC28" s="29">
        <v>65.281054504943555</v>
      </c>
      <c r="DD28" s="29">
        <v>65.394646357009989</v>
      </c>
      <c r="DE28" s="29">
        <v>65.507244842387991</v>
      </c>
      <c r="DF28" s="29">
        <v>65.618855859446839</v>
      </c>
      <c r="DG28" s="29">
        <v>65.729485350953098</v>
      </c>
      <c r="DH28" s="29">
        <v>65.83913105993382</v>
      </c>
      <c r="DI28" s="29">
        <v>65.947798955477637</v>
      </c>
      <c r="DJ28" s="29">
        <v>66.055495013765963</v>
      </c>
      <c r="DK28" s="29">
        <v>66.162225217328341</v>
      </c>
      <c r="DL28" s="29">
        <v>66.267995554311128</v>
      </c>
      <c r="DM28" s="29">
        <v>66.372812017757525</v>
      </c>
      <c r="DN28" s="29">
        <v>66.476680604902867</v>
      </c>
      <c r="DO28" s="29">
        <v>66.579607316478132</v>
      </c>
      <c r="DP28" s="29">
        <v>66.681598156027107</v>
      </c>
      <c r="DQ28" s="29">
        <v>66.782659129233224</v>
      </c>
      <c r="DR28" s="29">
        <v>66.882796243256678</v>
      </c>
      <c r="DS28">
        <v>66.982015506080927</v>
      </c>
      <c r="DT28">
        <v>67.080322925869652</v>
      </c>
      <c r="DU28">
        <v>67.177724510330862</v>
      </c>
    </row>
    <row r="29" spans="1:125">
      <c r="A29" s="34">
        <v>27</v>
      </c>
      <c r="B29" s="35"/>
      <c r="C29" s="35"/>
      <c r="D29" s="35"/>
      <c r="E29" s="35"/>
      <c r="F29" s="35"/>
      <c r="G29" s="35"/>
      <c r="H29" s="35"/>
      <c r="I29" s="35"/>
      <c r="J29" s="35"/>
      <c r="K29" s="35"/>
      <c r="L29" s="35"/>
      <c r="M29" s="35"/>
      <c r="N29" s="35"/>
      <c r="O29" s="35"/>
      <c r="P29" s="35"/>
      <c r="Q29" s="35"/>
      <c r="R29" s="35"/>
      <c r="S29" s="35"/>
      <c r="T29" s="35"/>
      <c r="U29" s="35"/>
      <c r="V29" s="29"/>
      <c r="W29" s="29">
        <v>52.31</v>
      </c>
      <c r="X29" s="29">
        <v>52.57</v>
      </c>
      <c r="Y29" s="29">
        <v>52.787562518557181</v>
      </c>
      <c r="Z29" s="29">
        <v>53.058007362371235</v>
      </c>
      <c r="AA29" s="29">
        <v>53.230563652142536</v>
      </c>
      <c r="AB29" s="29">
        <v>53.440125792021867</v>
      </c>
      <c r="AC29" s="29">
        <v>53.664813316632312</v>
      </c>
      <c r="AD29" s="29">
        <v>53.790539000202571</v>
      </c>
      <c r="AE29" s="29">
        <v>53.993662147232449</v>
      </c>
      <c r="AF29" s="29">
        <v>54.204602642110849</v>
      </c>
      <c r="AG29" s="29">
        <v>54.382984347196256</v>
      </c>
      <c r="AH29" s="29">
        <v>54.55108042905519</v>
      </c>
      <c r="AI29" s="29">
        <v>54.724233028357901</v>
      </c>
      <c r="AJ29" s="29">
        <v>54.994860987345909</v>
      </c>
      <c r="AK29" s="29">
        <v>55.246983690304909</v>
      </c>
      <c r="AL29" s="29">
        <v>55.541742771429661</v>
      </c>
      <c r="AM29" s="29">
        <v>55.797482150115876</v>
      </c>
      <c r="AN29" s="29">
        <v>55.992369916784781</v>
      </c>
      <c r="AO29" s="29">
        <v>56.138607296586301</v>
      </c>
      <c r="AP29" s="29">
        <v>56.264645893922996</v>
      </c>
      <c r="AQ29" s="29">
        <v>56.296122052697463</v>
      </c>
      <c r="AR29" s="29">
        <v>56.349422300319766</v>
      </c>
      <c r="AS29" s="29">
        <v>56.358513034173299</v>
      </c>
      <c r="AT29" s="29">
        <v>56.312790792343122</v>
      </c>
      <c r="AU29" s="29">
        <v>56.350697896244576</v>
      </c>
      <c r="AV29" s="29">
        <v>56.404228226096585</v>
      </c>
      <c r="AW29" s="29">
        <v>56.637920571960343</v>
      </c>
      <c r="AX29" s="29">
        <v>56.681097704605726</v>
      </c>
      <c r="AY29" s="29">
        <v>56.816735447262545</v>
      </c>
      <c r="AZ29" s="29">
        <v>56.934241583446401</v>
      </c>
      <c r="BA29" s="29">
        <v>57.05842183613747</v>
      </c>
      <c r="BB29" s="29">
        <v>57.182524308013562</v>
      </c>
      <c r="BC29" s="29">
        <v>57.275810983651041</v>
      </c>
      <c r="BD29" s="29">
        <v>57.377282764743832</v>
      </c>
      <c r="BE29" s="29">
        <v>57.488249881777428</v>
      </c>
      <c r="BF29" s="29">
        <v>57.61854410154794</v>
      </c>
      <c r="BG29" s="29">
        <v>57.770011612644907</v>
      </c>
      <c r="BH29" s="29">
        <v>57.951976928469954</v>
      </c>
      <c r="BI29" s="29">
        <v>58.07905665061736</v>
      </c>
      <c r="BJ29" s="29">
        <v>58.221896061406234</v>
      </c>
      <c r="BK29" s="29">
        <v>58.3715849849942</v>
      </c>
      <c r="BL29" s="29">
        <v>58.572449707280043</v>
      </c>
      <c r="BM29" s="29">
        <v>58.755610933761893</v>
      </c>
      <c r="BN29" s="29">
        <v>58.921811222753348</v>
      </c>
      <c r="BO29" s="29">
        <v>59.063133309625165</v>
      </c>
      <c r="BP29" s="29">
        <v>59.233480829259094</v>
      </c>
      <c r="BQ29" s="29">
        <v>59.384007419322202</v>
      </c>
      <c r="BR29" s="29">
        <v>59.535817107783039</v>
      </c>
      <c r="BS29" s="29">
        <v>59.684724748424109</v>
      </c>
      <c r="BT29" s="29">
        <v>59.835775162757201</v>
      </c>
      <c r="BU29" s="29">
        <v>59.966738914221018</v>
      </c>
      <c r="BV29" s="29">
        <v>60.104571573199195</v>
      </c>
      <c r="BW29" s="29">
        <v>60.255950474564159</v>
      </c>
      <c r="BX29" s="29">
        <v>60.384631955416417</v>
      </c>
      <c r="BY29" s="29">
        <v>60.52680418342603</v>
      </c>
      <c r="BZ29" s="29">
        <v>60.660140627924505</v>
      </c>
      <c r="CA29" s="29">
        <v>60.783688991089626</v>
      </c>
      <c r="CB29" s="29">
        <v>60.919593047319267</v>
      </c>
      <c r="CC29" s="29">
        <v>61.052783459406591</v>
      </c>
      <c r="CD29" s="29">
        <v>61.181441618770556</v>
      </c>
      <c r="CE29" s="29">
        <v>61.304251811161372</v>
      </c>
      <c r="CF29" s="29">
        <v>61.436349117368735</v>
      </c>
      <c r="CG29" s="29">
        <v>61.554890343111516</v>
      </c>
      <c r="CH29" s="29">
        <v>61.693589225566619</v>
      </c>
      <c r="CI29" s="29">
        <v>61.828561181352661</v>
      </c>
      <c r="CJ29" s="29">
        <v>61.947365883960302</v>
      </c>
      <c r="CK29" s="29">
        <v>62.081664349797968</v>
      </c>
      <c r="CL29" s="29">
        <v>62.210359317334031</v>
      </c>
      <c r="CM29" s="29">
        <v>62.341524211636909</v>
      </c>
      <c r="CN29" s="29">
        <v>62.476103829310517</v>
      </c>
      <c r="CO29" s="29">
        <v>62.597322301043917</v>
      </c>
      <c r="CP29" s="29">
        <v>62.725090028626759</v>
      </c>
      <c r="CQ29" s="29">
        <v>62.852667144302124</v>
      </c>
      <c r="CR29" s="29">
        <v>62.976496506121848</v>
      </c>
      <c r="CS29" s="29">
        <v>63.101240617590008</v>
      </c>
      <c r="CT29" s="29">
        <v>63.224797530327002</v>
      </c>
      <c r="CU29" s="29">
        <v>63.34730878118647</v>
      </c>
      <c r="CV29" s="29">
        <v>63.468779704788687</v>
      </c>
      <c r="CW29" s="29">
        <v>63.589215864245389</v>
      </c>
      <c r="CX29" s="29">
        <v>63.70862300073027</v>
      </c>
      <c r="CY29" s="29">
        <v>63.827006985945076</v>
      </c>
      <c r="CZ29" s="29">
        <v>63.944373776256825</v>
      </c>
      <c r="DA29" s="29">
        <v>64.060729363930264</v>
      </c>
      <c r="DB29" s="29">
        <v>64.176079727099179</v>
      </c>
      <c r="DC29" s="29">
        <v>64.290430789983418</v>
      </c>
      <c r="DD29" s="29">
        <v>64.403788395799012</v>
      </c>
      <c r="DE29" s="29">
        <v>64.516158324465863</v>
      </c>
      <c r="DF29" s="29">
        <v>64.627546341890451</v>
      </c>
      <c r="DG29" s="29">
        <v>64.737950455444079</v>
      </c>
      <c r="DH29" s="29">
        <v>64.847376484369306</v>
      </c>
      <c r="DI29" s="29">
        <v>64.955830259015741</v>
      </c>
      <c r="DJ29" s="29">
        <v>65.063317620012285</v>
      </c>
      <c r="DK29" s="29">
        <v>65.169844417456204</v>
      </c>
      <c r="DL29" s="29">
        <v>65.275416510116827</v>
      </c>
      <c r="DM29" s="29">
        <v>65.380039764651499</v>
      </c>
      <c r="DN29" s="29">
        <v>65.483720054838017</v>
      </c>
      <c r="DO29" s="29">
        <v>65.586463260816402</v>
      </c>
      <c r="DP29" s="29">
        <v>65.688275268345222</v>
      </c>
      <c r="DQ29" s="29">
        <v>65.789161968068868</v>
      </c>
      <c r="DR29" s="29">
        <v>65.88912925479606</v>
      </c>
      <c r="DS29">
        <v>65.988183026788761</v>
      </c>
      <c r="DT29">
        <v>66.086329185062681</v>
      </c>
      <c r="DU29">
        <v>66.183573632695854</v>
      </c>
    </row>
    <row r="30" spans="1:125">
      <c r="A30" s="34">
        <v>28</v>
      </c>
      <c r="B30" s="35"/>
      <c r="C30" s="35"/>
      <c r="D30" s="35"/>
      <c r="E30" s="35"/>
      <c r="F30" s="35"/>
      <c r="G30" s="35"/>
      <c r="H30" s="35"/>
      <c r="I30" s="35"/>
      <c r="J30" s="35"/>
      <c r="K30" s="35"/>
      <c r="L30" s="35"/>
      <c r="M30" s="35"/>
      <c r="N30" s="35"/>
      <c r="O30" s="35"/>
      <c r="P30" s="35"/>
      <c r="Q30" s="35"/>
      <c r="R30" s="35"/>
      <c r="S30" s="35"/>
      <c r="T30" s="35"/>
      <c r="U30" s="35"/>
      <c r="V30" s="29"/>
      <c r="W30" s="29">
        <v>51.42</v>
      </c>
      <c r="X30" s="29">
        <v>51.65</v>
      </c>
      <c r="Y30" s="29">
        <v>51.862965188428525</v>
      </c>
      <c r="Z30" s="29">
        <v>52.133800034420801</v>
      </c>
      <c r="AA30" s="29">
        <v>52.296034711377231</v>
      </c>
      <c r="AB30" s="29">
        <v>52.499222807960642</v>
      </c>
      <c r="AC30" s="29">
        <v>52.720428632941946</v>
      </c>
      <c r="AD30" s="29">
        <v>52.843978183270934</v>
      </c>
      <c r="AE30" s="29">
        <v>53.047839638319729</v>
      </c>
      <c r="AF30" s="29">
        <v>53.25674040209077</v>
      </c>
      <c r="AG30" s="29">
        <v>53.433108978935067</v>
      </c>
      <c r="AH30" s="29">
        <v>53.601385709172263</v>
      </c>
      <c r="AI30" s="29">
        <v>53.769861905908414</v>
      </c>
      <c r="AJ30" s="29">
        <v>54.039407041416297</v>
      </c>
      <c r="AK30" s="29">
        <v>54.289746961338786</v>
      </c>
      <c r="AL30" s="29">
        <v>54.580242940585777</v>
      </c>
      <c r="AM30" s="29">
        <v>54.834863313830489</v>
      </c>
      <c r="AN30" s="29">
        <v>55.032135157073597</v>
      </c>
      <c r="AO30" s="29">
        <v>55.179968580938684</v>
      </c>
      <c r="AP30" s="29">
        <v>55.302027789190618</v>
      </c>
      <c r="AQ30" s="29">
        <v>55.334739329414269</v>
      </c>
      <c r="AR30" s="29">
        <v>55.389058310824453</v>
      </c>
      <c r="AS30" s="29">
        <v>55.398445002585362</v>
      </c>
      <c r="AT30" s="29">
        <v>55.351965298358017</v>
      </c>
      <c r="AU30" s="29">
        <v>55.38460403395397</v>
      </c>
      <c r="AV30" s="29">
        <v>55.440937208833482</v>
      </c>
      <c r="AW30" s="29">
        <v>55.67171617325188</v>
      </c>
      <c r="AX30" s="29">
        <v>55.712247181660828</v>
      </c>
      <c r="AY30" s="29">
        <v>55.850184528938705</v>
      </c>
      <c r="AZ30" s="29">
        <v>55.973121183053699</v>
      </c>
      <c r="BA30" s="29">
        <v>56.090545880491618</v>
      </c>
      <c r="BB30" s="29">
        <v>56.214456792731355</v>
      </c>
      <c r="BC30" s="29">
        <v>56.30893650239635</v>
      </c>
      <c r="BD30" s="29">
        <v>56.407775380843042</v>
      </c>
      <c r="BE30" s="29">
        <v>56.519615842509985</v>
      </c>
      <c r="BF30" s="29">
        <v>56.645652071728094</v>
      </c>
      <c r="BG30" s="29">
        <v>56.799140550492474</v>
      </c>
      <c r="BH30" s="29">
        <v>56.979011591865543</v>
      </c>
      <c r="BI30" s="29">
        <v>57.106052179728778</v>
      </c>
      <c r="BJ30" s="29">
        <v>57.248321485376557</v>
      </c>
      <c r="BK30" s="29">
        <v>57.395848975994269</v>
      </c>
      <c r="BL30" s="29">
        <v>57.595570191662667</v>
      </c>
      <c r="BM30" s="29">
        <v>57.778760947713984</v>
      </c>
      <c r="BN30" s="29">
        <v>57.944614799984031</v>
      </c>
      <c r="BO30" s="29">
        <v>58.087125432144525</v>
      </c>
      <c r="BP30" s="29">
        <v>58.253664401103521</v>
      </c>
      <c r="BQ30" s="29">
        <v>58.406056136121911</v>
      </c>
      <c r="BR30" s="29">
        <v>58.556518958723387</v>
      </c>
      <c r="BS30" s="29">
        <v>58.705244956565359</v>
      </c>
      <c r="BT30" s="29">
        <v>58.856526262073508</v>
      </c>
      <c r="BU30" s="29">
        <v>58.984093849387989</v>
      </c>
      <c r="BV30" s="29">
        <v>59.125480127655898</v>
      </c>
      <c r="BW30" s="29">
        <v>59.276025740037461</v>
      </c>
      <c r="BX30" s="29">
        <v>59.40453348727678</v>
      </c>
      <c r="BY30" s="29">
        <v>59.543299512483358</v>
      </c>
      <c r="BZ30" s="29">
        <v>59.676807831371086</v>
      </c>
      <c r="CA30" s="29">
        <v>59.801149034646741</v>
      </c>
      <c r="CB30" s="29">
        <v>59.934377545745065</v>
      </c>
      <c r="CC30" s="29">
        <v>60.068789844097779</v>
      </c>
      <c r="CD30" s="29">
        <v>60.196120317950957</v>
      </c>
      <c r="CE30" s="29">
        <v>60.319740908825501</v>
      </c>
      <c r="CF30" s="29">
        <v>60.452916636851562</v>
      </c>
      <c r="CG30" s="29">
        <v>60.573451811935492</v>
      </c>
      <c r="CH30" s="29">
        <v>60.70825359180381</v>
      </c>
      <c r="CI30" s="29">
        <v>60.84209978682884</v>
      </c>
      <c r="CJ30" s="29">
        <v>60.961124616207542</v>
      </c>
      <c r="CK30" s="29">
        <v>61.096484805106918</v>
      </c>
      <c r="CL30" s="29">
        <v>61.223262550821886</v>
      </c>
      <c r="CM30" s="29">
        <v>61.354705935734927</v>
      </c>
      <c r="CN30" s="29">
        <v>61.489068948841798</v>
      </c>
      <c r="CO30" s="29">
        <v>61.609697643619477</v>
      </c>
      <c r="CP30" s="29">
        <v>61.738473514879686</v>
      </c>
      <c r="CQ30" s="29">
        <v>61.864660817204303</v>
      </c>
      <c r="CR30" s="29">
        <v>61.989415090928375</v>
      </c>
      <c r="CS30" s="29">
        <v>62.113711001274574</v>
      </c>
      <c r="CT30" s="29">
        <v>62.236963552675995</v>
      </c>
      <c r="CU30" s="29">
        <v>62.359177628774574</v>
      </c>
      <c r="CV30" s="29">
        <v>62.480358402851451</v>
      </c>
      <c r="CW30" s="29">
        <v>62.600511280049091</v>
      </c>
      <c r="CX30" s="29">
        <v>62.719641846869571</v>
      </c>
      <c r="CY30" s="29">
        <v>62.837755823571456</v>
      </c>
      <c r="CZ30" s="29">
        <v>62.954859018240242</v>
      </c>
      <c r="DA30" s="29">
        <v>63.070957277955522</v>
      </c>
      <c r="DB30" s="29">
        <v>63.186056438698841</v>
      </c>
      <c r="DC30" s="29">
        <v>63.300162285510744</v>
      </c>
      <c r="DD30" s="29">
        <v>63.413280525344277</v>
      </c>
      <c r="DE30" s="29">
        <v>63.525416804723761</v>
      </c>
      <c r="DF30" s="29">
        <v>63.636569343510651</v>
      </c>
      <c r="DG30" s="29">
        <v>63.746743807271983</v>
      </c>
      <c r="DH30" s="29">
        <v>63.855945876677325</v>
      </c>
      <c r="DI30" s="29">
        <v>63.964181246594727</v>
      </c>
      <c r="DJ30" s="29">
        <v>64.071455625201111</v>
      </c>
      <c r="DK30" s="29">
        <v>64.177774733110766</v>
      </c>
      <c r="DL30" s="29">
        <v>64.283144302519233</v>
      </c>
      <c r="DM30" s="29">
        <v>64.387570076360433</v>
      </c>
      <c r="DN30" s="29">
        <v>64.491057807481312</v>
      </c>
      <c r="DO30" s="29">
        <v>64.593613257826576</v>
      </c>
      <c r="DP30" s="29">
        <v>64.695242197639232</v>
      </c>
      <c r="DQ30" s="29">
        <v>64.795950404672638</v>
      </c>
      <c r="DR30" s="29">
        <v>64.895743663414905</v>
      </c>
      <c r="DS30">
        <v>64.994627764324648</v>
      </c>
      <c r="DT30">
        <v>65.092608503079191</v>
      </c>
      <c r="DU30">
        <v>65.18969167983164</v>
      </c>
    </row>
    <row r="31" spans="1:125">
      <c r="A31" s="34">
        <v>29</v>
      </c>
      <c r="B31" s="35"/>
      <c r="C31" s="35"/>
      <c r="D31" s="35"/>
      <c r="E31" s="35"/>
      <c r="F31" s="35"/>
      <c r="G31" s="35"/>
      <c r="H31" s="35"/>
      <c r="I31" s="35"/>
      <c r="J31" s="35"/>
      <c r="K31" s="35"/>
      <c r="L31" s="35"/>
      <c r="M31" s="35"/>
      <c r="N31" s="35"/>
      <c r="O31" s="35"/>
      <c r="P31" s="35"/>
      <c r="Q31" s="35"/>
      <c r="R31" s="35"/>
      <c r="S31" s="35"/>
      <c r="T31" s="35"/>
      <c r="U31" s="35"/>
      <c r="V31" s="29"/>
      <c r="W31" s="29">
        <v>50.5</v>
      </c>
      <c r="X31" s="29">
        <v>50.73</v>
      </c>
      <c r="Y31" s="29">
        <v>50.940640555667578</v>
      </c>
      <c r="Z31" s="29">
        <v>51.196243308117033</v>
      </c>
      <c r="AA31" s="29">
        <v>51.354028014150856</v>
      </c>
      <c r="AB31" s="29">
        <v>51.557622744037438</v>
      </c>
      <c r="AC31" s="29">
        <v>51.777638834181928</v>
      </c>
      <c r="AD31" s="29">
        <v>51.895792592286853</v>
      </c>
      <c r="AE31" s="29">
        <v>52.105596543083351</v>
      </c>
      <c r="AF31" s="29">
        <v>52.307336255764348</v>
      </c>
      <c r="AG31" s="29">
        <v>52.489685234216388</v>
      </c>
      <c r="AH31" s="29">
        <v>52.652938717111802</v>
      </c>
      <c r="AI31" s="29">
        <v>52.81684159526224</v>
      </c>
      <c r="AJ31" s="29">
        <v>53.085812108790805</v>
      </c>
      <c r="AK31" s="29">
        <v>53.334774459675771</v>
      </c>
      <c r="AL31" s="29">
        <v>53.622736620894308</v>
      </c>
      <c r="AM31" s="29">
        <v>53.873547162465734</v>
      </c>
      <c r="AN31" s="29">
        <v>54.069635959036873</v>
      </c>
      <c r="AO31" s="29">
        <v>54.21862438943284</v>
      </c>
      <c r="AP31" s="29">
        <v>54.339371339323939</v>
      </c>
      <c r="AQ31" s="29">
        <v>54.374343226200928</v>
      </c>
      <c r="AR31" s="29">
        <v>54.424133809239422</v>
      </c>
      <c r="AS31" s="29">
        <v>54.433814435563939</v>
      </c>
      <c r="AT31" s="29">
        <v>54.390130273372932</v>
      </c>
      <c r="AU31" s="29">
        <v>54.422810996075071</v>
      </c>
      <c r="AV31" s="29">
        <v>54.474710615124451</v>
      </c>
      <c r="AW31" s="29">
        <v>54.706295119409297</v>
      </c>
      <c r="AX31" s="29">
        <v>54.746693246682973</v>
      </c>
      <c r="AY31" s="29">
        <v>54.887208703921061</v>
      </c>
      <c r="AZ31" s="29">
        <v>55.005389361571744</v>
      </c>
      <c r="BA31" s="29">
        <v>55.125305314295346</v>
      </c>
      <c r="BB31" s="29">
        <v>55.247106262372036</v>
      </c>
      <c r="BC31" s="29">
        <v>55.341491676965546</v>
      </c>
      <c r="BD31" s="29">
        <v>55.436478948514633</v>
      </c>
      <c r="BE31" s="29">
        <v>55.554287796229765</v>
      </c>
      <c r="BF31" s="29">
        <v>55.673547509620789</v>
      </c>
      <c r="BG31" s="29">
        <v>55.828042683565329</v>
      </c>
      <c r="BH31" s="29">
        <v>56.00677808689386</v>
      </c>
      <c r="BI31" s="29">
        <v>56.131533676423864</v>
      </c>
      <c r="BJ31" s="29">
        <v>56.272184404914356</v>
      </c>
      <c r="BK31" s="29">
        <v>56.422305013729414</v>
      </c>
      <c r="BL31" s="29">
        <v>56.618811685287731</v>
      </c>
      <c r="BM31" s="29">
        <v>56.806350833507096</v>
      </c>
      <c r="BN31" s="29">
        <v>56.971575021994887</v>
      </c>
      <c r="BO31" s="29">
        <v>57.108981642542361</v>
      </c>
      <c r="BP31" s="29">
        <v>57.276264140148093</v>
      </c>
      <c r="BQ31" s="29">
        <v>57.429096547180258</v>
      </c>
      <c r="BR31" s="29">
        <v>57.580248356556012</v>
      </c>
      <c r="BS31" s="29">
        <v>57.727633290875858</v>
      </c>
      <c r="BT31" s="29">
        <v>57.875000904661952</v>
      </c>
      <c r="BU31" s="29">
        <v>58.005410992425318</v>
      </c>
      <c r="BV31" s="29">
        <v>58.145245937812859</v>
      </c>
      <c r="BW31" s="29">
        <v>58.293585769073914</v>
      </c>
      <c r="BX31" s="29">
        <v>58.422696385589099</v>
      </c>
      <c r="BY31" s="29">
        <v>58.560741318320225</v>
      </c>
      <c r="BZ31" s="29">
        <v>58.690080473292674</v>
      </c>
      <c r="CA31" s="29">
        <v>58.815627860904691</v>
      </c>
      <c r="CB31" s="29">
        <v>58.949148780171967</v>
      </c>
      <c r="CC31" s="29">
        <v>59.083903551837871</v>
      </c>
      <c r="CD31" s="29">
        <v>59.212131046587125</v>
      </c>
      <c r="CE31" s="29">
        <v>59.334993372173862</v>
      </c>
      <c r="CF31" s="29">
        <v>59.466806242742187</v>
      </c>
      <c r="CG31" s="29">
        <v>59.589560719622447</v>
      </c>
      <c r="CH31" s="29">
        <v>59.723285838531957</v>
      </c>
      <c r="CI31" s="29">
        <v>59.856640074490841</v>
      </c>
      <c r="CJ31" s="29">
        <v>59.976527214481649</v>
      </c>
      <c r="CK31" s="29">
        <v>60.112314584851404</v>
      </c>
      <c r="CL31" s="29">
        <v>60.236258531249952</v>
      </c>
      <c r="CM31" s="29">
        <v>60.369948907304845</v>
      </c>
      <c r="CN31" s="29">
        <v>60.502488273738777</v>
      </c>
      <c r="CO31" s="29">
        <v>60.62533548487059</v>
      </c>
      <c r="CP31" s="29">
        <v>60.752561062314932</v>
      </c>
      <c r="CQ31" s="29">
        <v>60.877836940648997</v>
      </c>
      <c r="CR31" s="29">
        <v>61.002850473471263</v>
      </c>
      <c r="CS31" s="29">
        <v>61.126823757736929</v>
      </c>
      <c r="CT31" s="29">
        <v>61.249761163855325</v>
      </c>
      <c r="CU31" s="29">
        <v>61.371667411049195</v>
      </c>
      <c r="CV31" s="29">
        <v>61.492547511537879</v>
      </c>
      <c r="CW31" s="29">
        <v>61.612406712686159</v>
      </c>
      <c r="CX31" s="29">
        <v>61.731250446433236</v>
      </c>
      <c r="CY31" s="29">
        <v>61.849084281623362</v>
      </c>
      <c r="CZ31" s="29">
        <v>61.965913878012316</v>
      </c>
      <c r="DA31" s="29">
        <v>62.081744937372207</v>
      </c>
      <c r="DB31" s="29">
        <v>62.196583153338707</v>
      </c>
      <c r="DC31" s="29">
        <v>62.310434171510884</v>
      </c>
      <c r="DD31" s="29">
        <v>62.423303562251178</v>
      </c>
      <c r="DE31" s="29">
        <v>62.535189768394837</v>
      </c>
      <c r="DF31" s="29">
        <v>62.646098295677881</v>
      </c>
      <c r="DG31" s="29">
        <v>62.756034668969484</v>
      </c>
      <c r="DH31" s="29">
        <v>62.865004431288398</v>
      </c>
      <c r="DI31" s="29">
        <v>62.973013142840614</v>
      </c>
      <c r="DJ31" s="29">
        <v>63.080066380072338</v>
      </c>
      <c r="DK31" s="29">
        <v>63.186169734741902</v>
      </c>
      <c r="DL31" s="29">
        <v>63.291328813007937</v>
      </c>
      <c r="DM31" s="29">
        <v>63.395549234531543</v>
      </c>
      <c r="DN31" s="29">
        <v>63.498836631596774</v>
      </c>
      <c r="DO31" s="29">
        <v>63.601196648242244</v>
      </c>
      <c r="DP31" s="29">
        <v>63.702634939409009</v>
      </c>
      <c r="DQ31" s="29">
        <v>63.803157170101152</v>
      </c>
      <c r="DR31" s="29">
        <v>63.90276901455919</v>
      </c>
      <c r="DS31">
        <v>64.001476155445943</v>
      </c>
      <c r="DT31">
        <v>64.099284283045364</v>
      </c>
      <c r="DU31">
        <v>64.196199094471311</v>
      </c>
    </row>
    <row r="32" spans="1:125">
      <c r="A32" s="34">
        <v>30</v>
      </c>
      <c r="B32" s="35"/>
      <c r="C32" s="35"/>
      <c r="D32" s="35"/>
      <c r="E32" s="35"/>
      <c r="F32" s="35"/>
      <c r="G32" s="35"/>
      <c r="H32" s="35"/>
      <c r="I32" s="35"/>
      <c r="J32" s="35"/>
      <c r="K32" s="35"/>
      <c r="L32" s="35"/>
      <c r="M32" s="35"/>
      <c r="N32" s="35"/>
      <c r="O32" s="35"/>
      <c r="P32" s="35"/>
      <c r="Q32" s="35"/>
      <c r="R32" s="35"/>
      <c r="S32" s="35"/>
      <c r="T32" s="35"/>
      <c r="U32" s="35"/>
      <c r="V32" s="29"/>
      <c r="W32" s="29">
        <v>49.58</v>
      </c>
      <c r="X32" s="29">
        <v>49.8</v>
      </c>
      <c r="Y32" s="29">
        <v>50.00991682042585</v>
      </c>
      <c r="Z32" s="29">
        <v>50.258736324789126</v>
      </c>
      <c r="AA32" s="29">
        <v>50.414895483092039</v>
      </c>
      <c r="AB32" s="29">
        <v>50.61583412634819</v>
      </c>
      <c r="AC32" s="29">
        <v>50.834032630481872</v>
      </c>
      <c r="AD32" s="29">
        <v>50.950373748903012</v>
      </c>
      <c r="AE32" s="29">
        <v>51.160978956495349</v>
      </c>
      <c r="AF32" s="29">
        <v>51.36359730940282</v>
      </c>
      <c r="AG32" s="29">
        <v>51.54201183635827</v>
      </c>
      <c r="AH32" s="29">
        <v>51.704392486433619</v>
      </c>
      <c r="AI32" s="29">
        <v>51.864823661978384</v>
      </c>
      <c r="AJ32" s="29">
        <v>52.132928883123938</v>
      </c>
      <c r="AK32" s="29">
        <v>52.380378426100542</v>
      </c>
      <c r="AL32" s="29">
        <v>52.664054007666799</v>
      </c>
      <c r="AM32" s="29">
        <v>52.916364049805566</v>
      </c>
      <c r="AN32" s="29">
        <v>53.113777014568313</v>
      </c>
      <c r="AO32" s="29">
        <v>53.257118380126791</v>
      </c>
      <c r="AP32" s="29">
        <v>53.378703242770484</v>
      </c>
      <c r="AQ32" s="29">
        <v>53.413860273608023</v>
      </c>
      <c r="AR32" s="29">
        <v>53.462862304432605</v>
      </c>
      <c r="AS32" s="29">
        <v>53.472750991756541</v>
      </c>
      <c r="AT32" s="29">
        <v>53.427470394291717</v>
      </c>
      <c r="AU32" s="29">
        <v>53.461793410952104</v>
      </c>
      <c r="AV32" s="29">
        <v>53.512847237611005</v>
      </c>
      <c r="AW32" s="29">
        <v>53.742173473564556</v>
      </c>
      <c r="AX32" s="29">
        <v>53.781501199242648</v>
      </c>
      <c r="AY32" s="29">
        <v>53.927450334558124</v>
      </c>
      <c r="AZ32" s="29">
        <v>54.041964006394394</v>
      </c>
      <c r="BA32" s="29">
        <v>54.15740233403298</v>
      </c>
      <c r="BB32" s="29">
        <v>54.2811783646615</v>
      </c>
      <c r="BC32" s="29">
        <v>54.374538370497568</v>
      </c>
      <c r="BD32" s="29">
        <v>54.466723224595953</v>
      </c>
      <c r="BE32" s="29">
        <v>54.586938106608287</v>
      </c>
      <c r="BF32" s="29">
        <v>54.70143001154586</v>
      </c>
      <c r="BG32" s="29">
        <v>54.851414098467025</v>
      </c>
      <c r="BH32" s="29">
        <v>55.033149790464414</v>
      </c>
      <c r="BI32" s="29">
        <v>55.161404790920983</v>
      </c>
      <c r="BJ32" s="29">
        <v>55.301673774370165</v>
      </c>
      <c r="BK32" s="29">
        <v>55.449723377542497</v>
      </c>
      <c r="BL32" s="29">
        <v>55.647369409895248</v>
      </c>
      <c r="BM32" s="29">
        <v>55.834437930808299</v>
      </c>
      <c r="BN32" s="29">
        <v>55.99583992583792</v>
      </c>
      <c r="BO32" s="29">
        <v>56.132257642490266</v>
      </c>
      <c r="BP32" s="29">
        <v>56.301580076194533</v>
      </c>
      <c r="BQ32" s="29">
        <v>56.451845290154672</v>
      </c>
      <c r="BR32" s="29">
        <v>56.600533507790402</v>
      </c>
      <c r="BS32" s="29">
        <v>56.749091390557666</v>
      </c>
      <c r="BT32" s="29">
        <v>56.895383924604147</v>
      </c>
      <c r="BU32" s="29">
        <v>57.02578379005579</v>
      </c>
      <c r="BV32" s="29">
        <v>57.161834612233434</v>
      </c>
      <c r="BW32" s="29">
        <v>57.310138002626168</v>
      </c>
      <c r="BX32" s="29">
        <v>57.439970689792347</v>
      </c>
      <c r="BY32" s="29">
        <v>57.577324041422663</v>
      </c>
      <c r="BZ32" s="29">
        <v>57.706351423397727</v>
      </c>
      <c r="CA32" s="29">
        <v>57.834553745030853</v>
      </c>
      <c r="CB32" s="29">
        <v>57.967116037295909</v>
      </c>
      <c r="CC32" s="29">
        <v>58.097452744955881</v>
      </c>
      <c r="CD32" s="29">
        <v>58.228248976997953</v>
      </c>
      <c r="CE32" s="29">
        <v>58.352894388298424</v>
      </c>
      <c r="CF32" s="29">
        <v>58.481457007486462</v>
      </c>
      <c r="CG32" s="29">
        <v>58.608078211146996</v>
      </c>
      <c r="CH32" s="29">
        <v>58.738279238796842</v>
      </c>
      <c r="CI32" s="29">
        <v>58.871117874996116</v>
      </c>
      <c r="CJ32" s="29">
        <v>58.992688737657694</v>
      </c>
      <c r="CK32" s="29">
        <v>59.128156443190079</v>
      </c>
      <c r="CL32" s="29">
        <v>59.252791002958737</v>
      </c>
      <c r="CM32" s="29">
        <v>59.385020900243909</v>
      </c>
      <c r="CN32" s="29">
        <v>59.515693632792342</v>
      </c>
      <c r="CO32" s="29">
        <v>59.640618002563613</v>
      </c>
      <c r="CP32" s="29">
        <v>59.766741515603883</v>
      </c>
      <c r="CQ32" s="29">
        <v>59.892446007780158</v>
      </c>
      <c r="CR32" s="29">
        <v>60.017114314941111</v>
      </c>
      <c r="CS32" s="29">
        <v>60.140750235348854</v>
      </c>
      <c r="CT32" s="29">
        <v>60.263357970238317</v>
      </c>
      <c r="CU32" s="29">
        <v>60.384942073037244</v>
      </c>
      <c r="CV32" s="29">
        <v>60.505507393475334</v>
      </c>
      <c r="CW32" s="29">
        <v>60.625059019661613</v>
      </c>
      <c r="CX32" s="29">
        <v>60.743602227446182</v>
      </c>
      <c r="CY32" s="29">
        <v>60.861142432686549</v>
      </c>
      <c r="CZ32" s="29">
        <v>60.977685145192453</v>
      </c>
      <c r="DA32" s="29">
        <v>61.093235919770201</v>
      </c>
      <c r="DB32" s="29">
        <v>61.207800306011386</v>
      </c>
      <c r="DC32" s="29">
        <v>61.321383808337721</v>
      </c>
      <c r="DD32" s="29">
        <v>61.433985151082595</v>
      </c>
      <c r="DE32" s="29">
        <v>61.545609672577619</v>
      </c>
      <c r="DF32" s="29">
        <v>61.656262734373499</v>
      </c>
      <c r="DG32" s="29">
        <v>61.765949720183286</v>
      </c>
      <c r="DH32" s="29">
        <v>61.874676034843525</v>
      </c>
      <c r="DI32" s="29">
        <v>61.982447103297304</v>
      </c>
      <c r="DJ32" s="29">
        <v>62.089268369593256</v>
      </c>
      <c r="DK32" s="29">
        <v>62.195145295904389</v>
      </c>
      <c r="DL32" s="29">
        <v>62.300083361563615</v>
      </c>
      <c r="DM32" s="29">
        <v>62.404088062114361</v>
      </c>
      <c r="DN32" s="29">
        <v>62.507164908379814</v>
      </c>
      <c r="DO32" s="29">
        <v>62.609319425544335</v>
      </c>
      <c r="DP32" s="29">
        <v>62.71055715225171</v>
      </c>
      <c r="DQ32" s="29">
        <v>62.810883639716785</v>
      </c>
      <c r="DR32" s="29">
        <v>62.910304450850774</v>
      </c>
      <c r="DS32">
        <v>63.008825159399613</v>
      </c>
      <c r="DT32">
        <v>63.106451349096083</v>
      </c>
      <c r="DU32">
        <v>63.20318861282248</v>
      </c>
    </row>
    <row r="33" spans="1:125">
      <c r="A33" s="34">
        <v>31</v>
      </c>
      <c r="B33" s="35"/>
      <c r="C33" s="35"/>
      <c r="D33" s="35"/>
      <c r="E33" s="35"/>
      <c r="F33" s="35"/>
      <c r="G33" s="35"/>
      <c r="H33" s="35"/>
      <c r="I33" s="35"/>
      <c r="J33" s="35"/>
      <c r="K33" s="35"/>
      <c r="L33" s="35"/>
      <c r="M33" s="35"/>
      <c r="N33" s="35"/>
      <c r="O33" s="35"/>
      <c r="P33" s="35"/>
      <c r="Q33" s="35"/>
      <c r="R33" s="35"/>
      <c r="S33" s="35"/>
      <c r="T33" s="35"/>
      <c r="U33" s="35"/>
      <c r="V33" s="29"/>
      <c r="W33" s="29">
        <v>48.66</v>
      </c>
      <c r="X33" s="29">
        <v>48.87</v>
      </c>
      <c r="Y33" s="29">
        <v>49.073140685899645</v>
      </c>
      <c r="Z33" s="29">
        <v>49.3227764858445</v>
      </c>
      <c r="AA33" s="29">
        <v>49.474494079764511</v>
      </c>
      <c r="AB33" s="29">
        <v>49.673560558042219</v>
      </c>
      <c r="AC33" s="29">
        <v>49.89526785395504</v>
      </c>
      <c r="AD33" s="29">
        <v>50.000857820769895</v>
      </c>
      <c r="AE33" s="29">
        <v>50.215429307196665</v>
      </c>
      <c r="AF33" s="29">
        <v>50.411732789946448</v>
      </c>
      <c r="AG33" s="29">
        <v>50.5893578385298</v>
      </c>
      <c r="AH33" s="29">
        <v>50.75021129362063</v>
      </c>
      <c r="AI33" s="29">
        <v>50.91481528556443</v>
      </c>
      <c r="AJ33" s="29">
        <v>51.17833532057962</v>
      </c>
      <c r="AK33" s="29">
        <v>51.427499056095115</v>
      </c>
      <c r="AL33" s="29">
        <v>51.709975379795488</v>
      </c>
      <c r="AM33" s="29">
        <v>51.960676508635061</v>
      </c>
      <c r="AN33" s="29">
        <v>52.158180813706302</v>
      </c>
      <c r="AO33" s="29">
        <v>52.301240777837577</v>
      </c>
      <c r="AP33" s="29">
        <v>52.419435401074075</v>
      </c>
      <c r="AQ33" s="29">
        <v>52.455936845889994</v>
      </c>
      <c r="AR33" s="29">
        <v>52.505319726108034</v>
      </c>
      <c r="AS33" s="29">
        <v>52.5119825097362</v>
      </c>
      <c r="AT33" s="29">
        <v>52.468332869684794</v>
      </c>
      <c r="AU33" s="29">
        <v>52.503525277044943</v>
      </c>
      <c r="AV33" s="29">
        <v>52.550520135810586</v>
      </c>
      <c r="AW33" s="29">
        <v>52.780134014649661</v>
      </c>
      <c r="AX33" s="29">
        <v>52.818446846595364</v>
      </c>
      <c r="AY33" s="29">
        <v>52.962297010518519</v>
      </c>
      <c r="AZ33" s="29">
        <v>53.077552502789906</v>
      </c>
      <c r="BA33" s="29">
        <v>53.193988779354925</v>
      </c>
      <c r="BB33" s="29">
        <v>53.315001448250875</v>
      </c>
      <c r="BC33" s="29">
        <v>53.405493193768841</v>
      </c>
      <c r="BD33" s="29">
        <v>53.499634921185567</v>
      </c>
      <c r="BE33" s="29">
        <v>53.616535956428102</v>
      </c>
      <c r="BF33" s="29">
        <v>53.732714718101356</v>
      </c>
      <c r="BG33" s="29">
        <v>53.881094142465976</v>
      </c>
      <c r="BH33" s="29">
        <v>54.061993955669578</v>
      </c>
      <c r="BI33" s="29">
        <v>54.190088690367986</v>
      </c>
      <c r="BJ33" s="29">
        <v>54.330935949281546</v>
      </c>
      <c r="BK33" s="29">
        <v>54.481533712529163</v>
      </c>
      <c r="BL33" s="29">
        <v>54.675109142653277</v>
      </c>
      <c r="BM33" s="29">
        <v>54.862814364093133</v>
      </c>
      <c r="BN33" s="29">
        <v>55.023040943162641</v>
      </c>
      <c r="BO33" s="29">
        <v>55.15712303342454</v>
      </c>
      <c r="BP33" s="29">
        <v>55.325038207419233</v>
      </c>
      <c r="BQ33" s="29">
        <v>55.474037931200279</v>
      </c>
      <c r="BR33" s="29">
        <v>55.621760089266438</v>
      </c>
      <c r="BS33" s="29">
        <v>55.768806740290202</v>
      </c>
      <c r="BT33" s="29">
        <v>55.911886388182452</v>
      </c>
      <c r="BU33" s="29">
        <v>56.044609090648116</v>
      </c>
      <c r="BV33" s="29">
        <v>56.179627498210145</v>
      </c>
      <c r="BW33" s="29">
        <v>56.330860085236743</v>
      </c>
      <c r="BX33" s="29">
        <v>56.458891146537191</v>
      </c>
      <c r="BY33" s="29">
        <v>56.5943446140381</v>
      </c>
      <c r="BZ33" s="29">
        <v>56.723195643151676</v>
      </c>
      <c r="CA33" s="29">
        <v>56.850609738467604</v>
      </c>
      <c r="CB33" s="29">
        <v>56.983857035603229</v>
      </c>
      <c r="CC33" s="29">
        <v>57.11163846577675</v>
      </c>
      <c r="CD33" s="29">
        <v>57.245590399783303</v>
      </c>
      <c r="CE33" s="29">
        <v>57.368516099815871</v>
      </c>
      <c r="CF33" s="29">
        <v>57.497733136911236</v>
      </c>
      <c r="CG33" s="29">
        <v>57.62456006178958</v>
      </c>
      <c r="CH33" s="29">
        <v>57.754512331552782</v>
      </c>
      <c r="CI33" s="29">
        <v>57.888379628304023</v>
      </c>
      <c r="CJ33" s="29">
        <v>58.012688671797278</v>
      </c>
      <c r="CK33" s="29">
        <v>58.145358628915311</v>
      </c>
      <c r="CL33" s="29">
        <v>58.271281855308594</v>
      </c>
      <c r="CM33" s="29">
        <v>58.400724319219975</v>
      </c>
      <c r="CN33" s="29">
        <v>58.530126360192902</v>
      </c>
      <c r="CO33" s="29">
        <v>58.656296851450819</v>
      </c>
      <c r="CP33" s="29">
        <v>58.782662191280075</v>
      </c>
      <c r="CQ33" s="29">
        <v>58.907996440551067</v>
      </c>
      <c r="CR33" s="29">
        <v>59.032302785128735</v>
      </c>
      <c r="CS33" s="29">
        <v>59.155584848855106</v>
      </c>
      <c r="CT33" s="29">
        <v>59.277846661954221</v>
      </c>
      <c r="CU33" s="29">
        <v>59.399092610177767</v>
      </c>
      <c r="CV33" s="29">
        <v>59.519327378841666</v>
      </c>
      <c r="CW33" s="29">
        <v>59.638555894833594</v>
      </c>
      <c r="CX33" s="29">
        <v>59.756783275909122</v>
      </c>
      <c r="CY33" s="29">
        <v>59.874014782895635</v>
      </c>
      <c r="CZ33" s="29">
        <v>59.990255773577289</v>
      </c>
      <c r="DA33" s="29">
        <v>60.105511653680708</v>
      </c>
      <c r="DB33" s="29">
        <v>60.219787826607053</v>
      </c>
      <c r="DC33" s="29">
        <v>60.333083371807959</v>
      </c>
      <c r="DD33" s="29">
        <v>60.445403452201312</v>
      </c>
      <c r="DE33" s="29">
        <v>60.556753258071545</v>
      </c>
      <c r="DF33" s="29">
        <v>60.667138005936849</v>
      </c>
      <c r="DG33" s="29">
        <v>60.776562937440012</v>
      </c>
      <c r="DH33" s="29">
        <v>60.885033318257676</v>
      </c>
      <c r="DI33" s="29">
        <v>60.99255443703214</v>
      </c>
      <c r="DJ33" s="29">
        <v>61.099131604319687</v>
      </c>
      <c r="DK33" s="29">
        <v>61.204770151559373</v>
      </c>
      <c r="DL33" s="29">
        <v>61.309475430059159</v>
      </c>
      <c r="DM33" s="29">
        <v>61.413252809997651</v>
      </c>
      <c r="DN33" s="29">
        <v>61.516107679445184</v>
      </c>
      <c r="DO33" s="29">
        <v>61.618045443397648</v>
      </c>
      <c r="DP33" s="29">
        <v>61.719071522827754</v>
      </c>
      <c r="DQ33" s="29">
        <v>61.819191353750398</v>
      </c>
      <c r="DR33" s="29">
        <v>61.918410386302256</v>
      </c>
      <c r="DS33">
        <v>62.016734083834997</v>
      </c>
      <c r="DT33">
        <v>62.114167922022972</v>
      </c>
      <c r="DU33">
        <v>62.210717387982172</v>
      </c>
    </row>
    <row r="34" spans="1:125">
      <c r="A34" s="34">
        <v>32</v>
      </c>
      <c r="B34" s="35"/>
      <c r="C34" s="35"/>
      <c r="D34" s="35"/>
      <c r="E34" s="35"/>
      <c r="F34" s="35"/>
      <c r="G34" s="35"/>
      <c r="H34" s="35"/>
      <c r="I34" s="35"/>
      <c r="J34" s="35"/>
      <c r="K34" s="35"/>
      <c r="L34" s="35"/>
      <c r="M34" s="35"/>
      <c r="N34" s="35"/>
      <c r="O34" s="35"/>
      <c r="P34" s="35"/>
      <c r="Q34" s="35"/>
      <c r="R34" s="35"/>
      <c r="S34" s="35"/>
      <c r="T34" s="35"/>
      <c r="U34" s="35"/>
      <c r="V34" s="29"/>
      <c r="W34" s="29">
        <v>47.73</v>
      </c>
      <c r="X34" s="29">
        <v>47.93</v>
      </c>
      <c r="Y34" s="29">
        <v>48.136006266424573</v>
      </c>
      <c r="Z34" s="29">
        <v>48.383272950700999</v>
      </c>
      <c r="AA34" s="29">
        <v>48.534061458932428</v>
      </c>
      <c r="AB34" s="29">
        <v>48.728458092686168</v>
      </c>
      <c r="AC34" s="29">
        <v>48.949517751061123</v>
      </c>
      <c r="AD34" s="29">
        <v>49.062070936676264</v>
      </c>
      <c r="AE34" s="29">
        <v>49.272102891702644</v>
      </c>
      <c r="AF34" s="29">
        <v>49.463564466921206</v>
      </c>
      <c r="AG34" s="29">
        <v>49.640339276622704</v>
      </c>
      <c r="AH34" s="29">
        <v>49.798295270942951</v>
      </c>
      <c r="AI34" s="29">
        <v>49.962816213600867</v>
      </c>
      <c r="AJ34" s="29">
        <v>50.231315213745646</v>
      </c>
      <c r="AK34" s="29">
        <v>50.469460608164184</v>
      </c>
      <c r="AL34" s="29">
        <v>50.751599054338293</v>
      </c>
      <c r="AM34" s="29">
        <v>51.004467997855578</v>
      </c>
      <c r="AN34" s="29">
        <v>51.203063344420187</v>
      </c>
      <c r="AO34" s="29">
        <v>51.3435257465216</v>
      </c>
      <c r="AP34" s="29">
        <v>51.462718631816159</v>
      </c>
      <c r="AQ34" s="29">
        <v>51.496790654856028</v>
      </c>
      <c r="AR34" s="29">
        <v>51.543793240578182</v>
      </c>
      <c r="AS34" s="29">
        <v>51.557547704203991</v>
      </c>
      <c r="AT34" s="29">
        <v>51.510686079833405</v>
      </c>
      <c r="AU34" s="29">
        <v>51.545957803730317</v>
      </c>
      <c r="AV34" s="29">
        <v>51.591871132309095</v>
      </c>
      <c r="AW34" s="29">
        <v>51.818693940326888</v>
      </c>
      <c r="AX34" s="29">
        <v>51.854609441463481</v>
      </c>
      <c r="AY34" s="29">
        <v>51.999661124805229</v>
      </c>
      <c r="AZ34" s="29">
        <v>52.116256983880064</v>
      </c>
      <c r="BA34" s="29">
        <v>52.229788344470286</v>
      </c>
      <c r="BB34" s="29">
        <v>52.346378859359284</v>
      </c>
      <c r="BC34" s="29">
        <v>52.43570379305995</v>
      </c>
      <c r="BD34" s="29">
        <v>52.531386040201127</v>
      </c>
      <c r="BE34" s="29">
        <v>52.648060988350565</v>
      </c>
      <c r="BF34" s="29">
        <v>52.76671988872188</v>
      </c>
      <c r="BG34" s="29">
        <v>52.910908753871517</v>
      </c>
      <c r="BH34" s="29">
        <v>53.094029326301531</v>
      </c>
      <c r="BI34" s="29">
        <v>53.221047381519732</v>
      </c>
      <c r="BJ34" s="29">
        <v>53.358183963114989</v>
      </c>
      <c r="BK34" s="29">
        <v>53.510848007712056</v>
      </c>
      <c r="BL34" s="29">
        <v>53.700608365855445</v>
      </c>
      <c r="BM34" s="29">
        <v>53.889515501872786</v>
      </c>
      <c r="BN34" s="29">
        <v>54.05135852777186</v>
      </c>
      <c r="BO34" s="29">
        <v>54.182274786841305</v>
      </c>
      <c r="BP34" s="29">
        <v>54.348321668255736</v>
      </c>
      <c r="BQ34" s="29">
        <v>54.494560037331297</v>
      </c>
      <c r="BR34" s="29">
        <v>54.64433792580688</v>
      </c>
      <c r="BS34" s="29">
        <v>54.790256877808659</v>
      </c>
      <c r="BT34" s="29">
        <v>54.930871075397548</v>
      </c>
      <c r="BU34" s="29">
        <v>55.065720536670227</v>
      </c>
      <c r="BV34" s="29">
        <v>55.199355687977118</v>
      </c>
      <c r="BW34" s="29">
        <v>55.348444146574316</v>
      </c>
      <c r="BX34" s="29">
        <v>55.477452597044639</v>
      </c>
      <c r="BY34" s="29">
        <v>55.610200394459056</v>
      </c>
      <c r="BZ34" s="29">
        <v>55.744342347367827</v>
      </c>
      <c r="CA34" s="29">
        <v>55.867743118845567</v>
      </c>
      <c r="CB34" s="29">
        <v>56.000579252712626</v>
      </c>
      <c r="CC34" s="29">
        <v>56.129673135068131</v>
      </c>
      <c r="CD34" s="29">
        <v>56.260825922032083</v>
      </c>
      <c r="CE34" s="29">
        <v>56.386504996282454</v>
      </c>
      <c r="CF34" s="29">
        <v>56.513586060641451</v>
      </c>
      <c r="CG34" s="29">
        <v>56.643599037475518</v>
      </c>
      <c r="CH34" s="29">
        <v>56.772620637280276</v>
      </c>
      <c r="CI34" s="29">
        <v>56.906288820110582</v>
      </c>
      <c r="CJ34" s="29">
        <v>57.033496356660244</v>
      </c>
      <c r="CK34" s="29">
        <v>57.161897837785666</v>
      </c>
      <c r="CL34" s="29">
        <v>57.291024762015503</v>
      </c>
      <c r="CM34" s="29">
        <v>57.4170515008351</v>
      </c>
      <c r="CN34" s="29">
        <v>57.546604546917337</v>
      </c>
      <c r="CO34" s="29">
        <v>57.673598951580772</v>
      </c>
      <c r="CP34" s="29">
        <v>57.799568398727317</v>
      </c>
      <c r="CQ34" s="29">
        <v>57.924515447613643</v>
      </c>
      <c r="CR34" s="29">
        <v>58.048443104958189</v>
      </c>
      <c r="CS34" s="29">
        <v>58.171354818878292</v>
      </c>
      <c r="CT34" s="29">
        <v>58.293254447224939</v>
      </c>
      <c r="CU34" s="29">
        <v>58.414146206655595</v>
      </c>
      <c r="CV34" s="29">
        <v>58.534034616599996</v>
      </c>
      <c r="CW34" s="29">
        <v>58.652924441199254</v>
      </c>
      <c r="CX34" s="29">
        <v>58.770820638538332</v>
      </c>
      <c r="CY34" s="29">
        <v>58.88772831278952</v>
      </c>
      <c r="CZ34" s="29">
        <v>59.003652668039379</v>
      </c>
      <c r="DA34" s="29">
        <v>59.118598959217898</v>
      </c>
      <c r="DB34" s="29">
        <v>59.232566664933934</v>
      </c>
      <c r="DC34" s="29">
        <v>59.345560765070033</v>
      </c>
      <c r="DD34" s="29">
        <v>59.457586271064613</v>
      </c>
      <c r="DE34" s="29">
        <v>59.568648224708539</v>
      </c>
      <c r="DF34" s="29">
        <v>59.678751696963054</v>
      </c>
      <c r="DG34" s="29">
        <v>59.787901786801768</v>
      </c>
      <c r="DH34" s="29">
        <v>59.896103620071713</v>
      </c>
      <c r="DI34" s="29">
        <v>60.00336234837723</v>
      </c>
      <c r="DJ34" s="29">
        <v>60.109683147981002</v>
      </c>
      <c r="DK34" s="29">
        <v>60.215071218726052</v>
      </c>
      <c r="DL34" s="29">
        <v>60.319531782975503</v>
      </c>
      <c r="DM34" s="29">
        <v>60.423070084568607</v>
      </c>
      <c r="DN34" s="29">
        <v>60.52569138779652</v>
      </c>
      <c r="DO34" s="29">
        <v>60.627400976391336</v>
      </c>
      <c r="DP34" s="29">
        <v>60.728204152533245</v>
      </c>
      <c r="DQ34" s="29">
        <v>60.828106235872148</v>
      </c>
      <c r="DR34" s="29">
        <v>60.927112562564133</v>
      </c>
      <c r="DS34">
        <v>61.025228484322078</v>
      </c>
      <c r="DT34">
        <v>61.122459367481312</v>
      </c>
      <c r="DU34">
        <v>61.218810592076984</v>
      </c>
    </row>
    <row r="35" spans="1:125">
      <c r="A35" s="34">
        <v>33</v>
      </c>
      <c r="B35" s="35"/>
      <c r="C35" s="35"/>
      <c r="D35" s="35"/>
      <c r="E35" s="35"/>
      <c r="F35" s="35"/>
      <c r="G35" s="35"/>
      <c r="H35" s="35"/>
      <c r="I35" s="35"/>
      <c r="J35" s="35"/>
      <c r="K35" s="35"/>
      <c r="L35" s="35"/>
      <c r="M35" s="35"/>
      <c r="N35" s="35"/>
      <c r="O35" s="35"/>
      <c r="P35" s="35"/>
      <c r="Q35" s="35"/>
      <c r="R35" s="35"/>
      <c r="S35" s="35"/>
      <c r="T35" s="35"/>
      <c r="U35" s="35"/>
      <c r="V35" s="29"/>
      <c r="W35" s="29">
        <v>46.8</v>
      </c>
      <c r="X35" s="29">
        <v>47</v>
      </c>
      <c r="Y35" s="29">
        <v>47.202034514785034</v>
      </c>
      <c r="Z35" s="29">
        <v>47.445899962216387</v>
      </c>
      <c r="AA35" s="29">
        <v>47.597135112330683</v>
      </c>
      <c r="AB35" s="29">
        <v>47.788045464600067</v>
      </c>
      <c r="AC35" s="29">
        <v>48.004111366829903</v>
      </c>
      <c r="AD35" s="29">
        <v>48.114448687920792</v>
      </c>
      <c r="AE35" s="29">
        <v>48.327537393104457</v>
      </c>
      <c r="AF35" s="29">
        <v>48.517110651651272</v>
      </c>
      <c r="AG35" s="29">
        <v>48.690326925114157</v>
      </c>
      <c r="AH35" s="29">
        <v>48.849978032276169</v>
      </c>
      <c r="AI35" s="29">
        <v>49.014147949772862</v>
      </c>
      <c r="AJ35" s="29">
        <v>49.279166175064915</v>
      </c>
      <c r="AK35" s="29">
        <v>49.519311761303562</v>
      </c>
      <c r="AL35" s="29">
        <v>49.796779263036804</v>
      </c>
      <c r="AM35" s="29">
        <v>50.052141427189731</v>
      </c>
      <c r="AN35" s="29">
        <v>50.246483008222881</v>
      </c>
      <c r="AO35" s="29">
        <v>50.388534090614321</v>
      </c>
      <c r="AP35" s="29">
        <v>50.506391529320332</v>
      </c>
      <c r="AQ35" s="29">
        <v>50.541263958577396</v>
      </c>
      <c r="AR35" s="29">
        <v>50.589455432688283</v>
      </c>
      <c r="AS35" s="29">
        <v>50.600516571974367</v>
      </c>
      <c r="AT35" s="29">
        <v>50.552719407462476</v>
      </c>
      <c r="AU35" s="29">
        <v>50.588956472970835</v>
      </c>
      <c r="AV35" s="29">
        <v>50.633756478758301</v>
      </c>
      <c r="AW35" s="29">
        <v>50.859287153168644</v>
      </c>
      <c r="AX35" s="29">
        <v>50.896024985406676</v>
      </c>
      <c r="AY35" s="29">
        <v>51.037802979285132</v>
      </c>
      <c r="AZ35" s="29">
        <v>51.152168243106509</v>
      </c>
      <c r="BA35" s="29">
        <v>51.264160792659702</v>
      </c>
      <c r="BB35" s="29">
        <v>51.38120787430055</v>
      </c>
      <c r="BC35" s="29">
        <v>51.471418733420492</v>
      </c>
      <c r="BD35" s="29">
        <v>51.563064369268673</v>
      </c>
      <c r="BE35" s="29">
        <v>51.682725289787172</v>
      </c>
      <c r="BF35" s="29">
        <v>51.800477134759213</v>
      </c>
      <c r="BG35" s="29">
        <v>51.945832287979847</v>
      </c>
      <c r="BH35" s="29">
        <v>52.127364353272014</v>
      </c>
      <c r="BI35" s="29">
        <v>52.254967300695547</v>
      </c>
      <c r="BJ35" s="29">
        <v>52.389064951745887</v>
      </c>
      <c r="BK35" s="29">
        <v>52.54196997592355</v>
      </c>
      <c r="BL35" s="29">
        <v>52.732139489993557</v>
      </c>
      <c r="BM35" s="29">
        <v>52.915113705966945</v>
      </c>
      <c r="BN35" s="29">
        <v>53.078208113708492</v>
      </c>
      <c r="BO35" s="29">
        <v>53.205670987156076</v>
      </c>
      <c r="BP35" s="29">
        <v>53.372063385319606</v>
      </c>
      <c r="BQ35" s="29">
        <v>53.520603836538285</v>
      </c>
      <c r="BR35" s="29">
        <v>53.666318746230239</v>
      </c>
      <c r="BS35" s="29">
        <v>53.809803913982684</v>
      </c>
      <c r="BT35" s="29">
        <v>53.950954244230523</v>
      </c>
      <c r="BU35" s="29">
        <v>54.084194677519335</v>
      </c>
      <c r="BV35" s="29">
        <v>54.219249834038706</v>
      </c>
      <c r="BW35" s="29">
        <v>54.366873959591437</v>
      </c>
      <c r="BX35" s="29">
        <v>54.495924391407819</v>
      </c>
      <c r="BY35" s="29">
        <v>54.628695985887859</v>
      </c>
      <c r="BZ35" s="29">
        <v>54.762426332016616</v>
      </c>
      <c r="CA35" s="29">
        <v>54.887666358182713</v>
      </c>
      <c r="CB35" s="29">
        <v>55.019651002292079</v>
      </c>
      <c r="CC35" s="29">
        <v>55.147894613206425</v>
      </c>
      <c r="CD35" s="29">
        <v>55.277361195900539</v>
      </c>
      <c r="CE35" s="29">
        <v>55.405381412041955</v>
      </c>
      <c r="CF35" s="29">
        <v>55.534551553926882</v>
      </c>
      <c r="CG35" s="29">
        <v>55.662584772538828</v>
      </c>
      <c r="CH35" s="29">
        <v>55.791130131572721</v>
      </c>
      <c r="CI35" s="29">
        <v>55.924731778652109</v>
      </c>
      <c r="CJ35" s="29">
        <v>56.052711936197568</v>
      </c>
      <c r="CK35" s="29">
        <v>56.181429069456115</v>
      </c>
      <c r="CL35" s="29">
        <v>56.307754786908198</v>
      </c>
      <c r="CM35" s="29">
        <v>56.437761285468511</v>
      </c>
      <c r="CN35" s="29">
        <v>56.565351634301209</v>
      </c>
      <c r="CO35" s="29">
        <v>56.691924181576347</v>
      </c>
      <c r="CP35" s="29">
        <v>56.817480858996262</v>
      </c>
      <c r="CQ35" s="29">
        <v>56.942024042722672</v>
      </c>
      <c r="CR35" s="29">
        <v>57.065556559787659</v>
      </c>
      <c r="CS35" s="29">
        <v>57.188081681968377</v>
      </c>
      <c r="CT35" s="29">
        <v>57.309603094053763</v>
      </c>
      <c r="CU35" s="29">
        <v>57.430124842846418</v>
      </c>
      <c r="CV35" s="29">
        <v>57.549651281059312</v>
      </c>
      <c r="CW35" s="29">
        <v>57.668187009188379</v>
      </c>
      <c r="CX35" s="29">
        <v>57.785736824683312</v>
      </c>
      <c r="CY35" s="29">
        <v>57.902305674032675</v>
      </c>
      <c r="CZ35" s="29">
        <v>58.017898606535162</v>
      </c>
      <c r="DA35" s="29">
        <v>58.132515503341068</v>
      </c>
      <c r="DB35" s="29">
        <v>58.246161154228695</v>
      </c>
      <c r="DC35" s="29">
        <v>58.358840384746564</v>
      </c>
      <c r="DD35" s="29">
        <v>58.470558054938977</v>
      </c>
      <c r="DE35" s="29">
        <v>58.581319058096796</v>
      </c>
      <c r="DF35" s="29">
        <v>58.691128319530037</v>
      </c>
      <c r="DG35" s="29">
        <v>58.799990795364792</v>
      </c>
      <c r="DH35" s="29">
        <v>58.907911471359647</v>
      </c>
      <c r="DI35" s="29">
        <v>59.014895361745324</v>
      </c>
      <c r="DJ35" s="29">
        <v>59.120947508081784</v>
      </c>
      <c r="DK35" s="29">
        <v>59.226072978136813</v>
      </c>
      <c r="DL35" s="29">
        <v>59.330276864782661</v>
      </c>
      <c r="DM35" s="29">
        <v>59.433564284909473</v>
      </c>
      <c r="DN35" s="29">
        <v>59.535940378358845</v>
      </c>
      <c r="DO35" s="29">
        <v>59.637410306871075</v>
      </c>
      <c r="DP35" s="29">
        <v>59.737979253050987</v>
      </c>
      <c r="DQ35" s="29">
        <v>59.837652419348622</v>
      </c>
      <c r="DR35" s="29">
        <v>59.936435027055282</v>
      </c>
      <c r="DS35">
        <v>60.034332315314174</v>
      </c>
      <c r="DT35">
        <v>60.131349540146459</v>
      </c>
      <c r="DU35">
        <v>60.227491973489656</v>
      </c>
    </row>
    <row r="36" spans="1:125">
      <c r="A36" s="34">
        <v>34</v>
      </c>
      <c r="B36" s="35"/>
      <c r="C36" s="35"/>
      <c r="D36" s="35"/>
      <c r="E36" s="35"/>
      <c r="F36" s="35"/>
      <c r="G36" s="35"/>
      <c r="H36" s="35"/>
      <c r="I36" s="35"/>
      <c r="J36" s="35"/>
      <c r="K36" s="35"/>
      <c r="L36" s="35"/>
      <c r="M36" s="35"/>
      <c r="N36" s="35"/>
      <c r="O36" s="35"/>
      <c r="P36" s="35"/>
      <c r="Q36" s="35"/>
      <c r="R36" s="35"/>
      <c r="S36" s="35"/>
      <c r="T36" s="35"/>
      <c r="U36" s="35"/>
      <c r="V36" s="29"/>
      <c r="W36" s="29">
        <v>45.86</v>
      </c>
      <c r="X36" s="29">
        <v>46.07</v>
      </c>
      <c r="Y36" s="29">
        <v>46.264095598686737</v>
      </c>
      <c r="Z36" s="29">
        <v>46.505843714472825</v>
      </c>
      <c r="AA36" s="29">
        <v>46.653770197999158</v>
      </c>
      <c r="AB36" s="29">
        <v>46.847304074313122</v>
      </c>
      <c r="AC36" s="29">
        <v>47.06223426262288</v>
      </c>
      <c r="AD36" s="29">
        <v>47.169333499909129</v>
      </c>
      <c r="AE36" s="29">
        <v>47.384376669982295</v>
      </c>
      <c r="AF36" s="29">
        <v>47.569514139863948</v>
      </c>
      <c r="AG36" s="29">
        <v>47.741141782009478</v>
      </c>
      <c r="AH36" s="29">
        <v>47.902111407728334</v>
      </c>
      <c r="AI36" s="29">
        <v>48.070642186077229</v>
      </c>
      <c r="AJ36" s="29">
        <v>48.328249647299728</v>
      </c>
      <c r="AK36" s="29">
        <v>48.566573316003364</v>
      </c>
      <c r="AL36" s="29">
        <v>48.843621682179233</v>
      </c>
      <c r="AM36" s="29">
        <v>49.101292231249424</v>
      </c>
      <c r="AN36" s="29">
        <v>49.293789465931233</v>
      </c>
      <c r="AO36" s="29">
        <v>49.436628401546457</v>
      </c>
      <c r="AP36" s="29">
        <v>49.551280248507041</v>
      </c>
      <c r="AQ36" s="29">
        <v>49.585527439802007</v>
      </c>
      <c r="AR36" s="29">
        <v>49.634078964147911</v>
      </c>
      <c r="AS36" s="29">
        <v>49.6449676307315</v>
      </c>
      <c r="AT36" s="29">
        <v>49.60158859478792</v>
      </c>
      <c r="AU36" s="29">
        <v>49.635308251114175</v>
      </c>
      <c r="AV36" s="29">
        <v>49.679296859960395</v>
      </c>
      <c r="AW36" s="29">
        <v>49.90092738470797</v>
      </c>
      <c r="AX36" s="29">
        <v>49.932996056589758</v>
      </c>
      <c r="AY36" s="29">
        <v>50.079533862990637</v>
      </c>
      <c r="AZ36" s="29">
        <v>50.19012988373516</v>
      </c>
      <c r="BA36" s="29">
        <v>50.302308928431621</v>
      </c>
      <c r="BB36" s="29">
        <v>50.415325142044843</v>
      </c>
      <c r="BC36" s="29">
        <v>50.506526500520039</v>
      </c>
      <c r="BD36" s="29">
        <v>50.595932104488682</v>
      </c>
      <c r="BE36" s="29">
        <v>50.718707969261985</v>
      </c>
      <c r="BF36" s="29">
        <v>50.833485511110361</v>
      </c>
      <c r="BG36" s="29">
        <v>50.983099311285109</v>
      </c>
      <c r="BH36" s="29">
        <v>51.161889054511065</v>
      </c>
      <c r="BI36" s="29">
        <v>51.2892214626971</v>
      </c>
      <c r="BJ36" s="29">
        <v>51.426830949691073</v>
      </c>
      <c r="BK36" s="29">
        <v>51.575470964996605</v>
      </c>
      <c r="BL36" s="29">
        <v>51.762370560600907</v>
      </c>
      <c r="BM36" s="29">
        <v>51.942764476346021</v>
      </c>
      <c r="BN36" s="29">
        <v>52.104571345945935</v>
      </c>
      <c r="BO36" s="29">
        <v>52.231906558879281</v>
      </c>
      <c r="BP36" s="29">
        <v>52.39810422076215</v>
      </c>
      <c r="BQ36" s="29">
        <v>52.543809114957817</v>
      </c>
      <c r="BR36" s="29">
        <v>52.687449147346179</v>
      </c>
      <c r="BS36" s="29">
        <v>52.831071729026682</v>
      </c>
      <c r="BT36" s="29">
        <v>52.972826089002893</v>
      </c>
      <c r="BU36" s="29">
        <v>53.104985869580865</v>
      </c>
      <c r="BV36" s="29">
        <v>53.238036265524187</v>
      </c>
      <c r="BW36" s="29">
        <v>53.390279776734126</v>
      </c>
      <c r="BX36" s="29">
        <v>53.51511279169079</v>
      </c>
      <c r="BY36" s="29">
        <v>53.648093368666416</v>
      </c>
      <c r="BZ36" s="29">
        <v>53.780918748465965</v>
      </c>
      <c r="CA36" s="29">
        <v>53.908956096906287</v>
      </c>
      <c r="CB36" s="29">
        <v>54.041676519082998</v>
      </c>
      <c r="CC36" s="29">
        <v>54.169798484766488</v>
      </c>
      <c r="CD36" s="29">
        <v>54.297072960840296</v>
      </c>
      <c r="CE36" s="29">
        <v>54.425170250037425</v>
      </c>
      <c r="CF36" s="29">
        <v>54.554109403021435</v>
      </c>
      <c r="CG36" s="29">
        <v>54.681926626409293</v>
      </c>
      <c r="CH36" s="29">
        <v>54.812009466626051</v>
      </c>
      <c r="CI36" s="29">
        <v>54.944011509703287</v>
      </c>
      <c r="CJ36" s="29">
        <v>55.072736324596711</v>
      </c>
      <c r="CK36" s="29">
        <v>55.199713836660408</v>
      </c>
      <c r="CL36" s="29">
        <v>55.329870633185372</v>
      </c>
      <c r="CM36" s="29">
        <v>55.458022543332248</v>
      </c>
      <c r="CN36" s="29">
        <v>55.585164800301314</v>
      </c>
      <c r="CO36" s="29">
        <v>55.711298718460469</v>
      </c>
      <c r="CP36" s="29">
        <v>55.836426043353178</v>
      </c>
      <c r="CQ36" s="29">
        <v>55.960548968351716</v>
      </c>
      <c r="CR36" s="29">
        <v>56.083670141011659</v>
      </c>
      <c r="CS36" s="29">
        <v>56.20579265688734</v>
      </c>
      <c r="CT36" s="29">
        <v>56.326920027732726</v>
      </c>
      <c r="CU36" s="29">
        <v>56.447056130434426</v>
      </c>
      <c r="CV36" s="29">
        <v>56.566205150841256</v>
      </c>
      <c r="CW36" s="29">
        <v>56.68437152557231</v>
      </c>
      <c r="CX36" s="29">
        <v>56.801559891128313</v>
      </c>
      <c r="CY36" s="29">
        <v>56.917775035920734</v>
      </c>
      <c r="CZ36" s="29">
        <v>57.033017198098882</v>
      </c>
      <c r="DA36" s="29">
        <v>57.147290970865015</v>
      </c>
      <c r="DB36" s="29">
        <v>57.260600987409525</v>
      </c>
      <c r="DC36" s="29">
        <v>57.37295191956963</v>
      </c>
      <c r="DD36" s="29">
        <v>57.484348476512992</v>
      </c>
      <c r="DE36" s="29">
        <v>57.594795403446845</v>
      </c>
      <c r="DF36" s="29">
        <v>57.704297480349226</v>
      </c>
      <c r="DG36" s="29">
        <v>57.812859520724615</v>
      </c>
      <c r="DH36" s="29">
        <v>57.920486370379564</v>
      </c>
      <c r="DI36" s="29">
        <v>58.027182906221654</v>
      </c>
      <c r="DJ36" s="29">
        <v>58.132954035076331</v>
      </c>
      <c r="DK36" s="29">
        <v>58.23780469252543</v>
      </c>
      <c r="DL36" s="29">
        <v>58.341739841764138</v>
      </c>
      <c r="DM36" s="29">
        <v>58.44476447247505</v>
      </c>
      <c r="DN36" s="29">
        <v>58.546883599722626</v>
      </c>
      <c r="DO36" s="29">
        <v>58.648102262861848</v>
      </c>
      <c r="DP36" s="29">
        <v>58.748425524465539</v>
      </c>
      <c r="DQ36" s="29">
        <v>58.847858469267209</v>
      </c>
      <c r="DR36" s="29">
        <v>58.946406203119338</v>
      </c>
      <c r="DS36">
        <v>59.044073851966836</v>
      </c>
      <c r="DT36">
        <v>59.140866560836159</v>
      </c>
      <c r="DU36">
        <v>59.236789492837211</v>
      </c>
    </row>
    <row r="37" spans="1:125">
      <c r="A37" s="34">
        <v>35</v>
      </c>
      <c r="B37" s="35"/>
      <c r="C37" s="35"/>
      <c r="D37" s="35"/>
      <c r="E37" s="35"/>
      <c r="F37" s="35"/>
      <c r="G37" s="35"/>
      <c r="H37" s="35"/>
      <c r="I37" s="35"/>
      <c r="J37" s="35"/>
      <c r="K37" s="35"/>
      <c r="L37" s="35"/>
      <c r="M37" s="35"/>
      <c r="N37" s="35"/>
      <c r="O37" s="35"/>
      <c r="P37" s="35"/>
      <c r="Q37" s="35"/>
      <c r="R37" s="35"/>
      <c r="S37" s="35"/>
      <c r="T37" s="35"/>
      <c r="U37" s="35"/>
      <c r="V37" s="29"/>
      <c r="W37" s="29">
        <v>44.94</v>
      </c>
      <c r="X37" s="29">
        <v>45.13</v>
      </c>
      <c r="Y37" s="29">
        <v>45.330771276388575</v>
      </c>
      <c r="Z37" s="29">
        <v>45.56999588977353</v>
      </c>
      <c r="AA37" s="29">
        <v>45.716289307188987</v>
      </c>
      <c r="AB37" s="29">
        <v>45.909568463996067</v>
      </c>
      <c r="AC37" s="29">
        <v>46.118056607923954</v>
      </c>
      <c r="AD37" s="29">
        <v>46.223475568796893</v>
      </c>
      <c r="AE37" s="29">
        <v>46.442360850127336</v>
      </c>
      <c r="AF37" s="29">
        <v>46.6249534729629</v>
      </c>
      <c r="AG37" s="29">
        <v>46.796312384991367</v>
      </c>
      <c r="AH37" s="29">
        <v>46.957953728987114</v>
      </c>
      <c r="AI37" s="29">
        <v>47.12237167747378</v>
      </c>
      <c r="AJ37" s="29">
        <v>47.380325184494545</v>
      </c>
      <c r="AK37" s="29">
        <v>47.619931426781328</v>
      </c>
      <c r="AL37" s="29">
        <v>47.894525325933706</v>
      </c>
      <c r="AM37" s="29">
        <v>48.148067877158937</v>
      </c>
      <c r="AN37" s="29">
        <v>48.342061247291134</v>
      </c>
      <c r="AO37" s="29">
        <v>48.486567980034302</v>
      </c>
      <c r="AP37" s="29">
        <v>48.600037899142556</v>
      </c>
      <c r="AQ37" s="29">
        <v>48.632523688753309</v>
      </c>
      <c r="AR37" s="29">
        <v>48.678687397930759</v>
      </c>
      <c r="AS37" s="29">
        <v>48.694460238636054</v>
      </c>
      <c r="AT37" s="29">
        <v>48.649969581136496</v>
      </c>
      <c r="AU37" s="29">
        <v>48.675675841945974</v>
      </c>
      <c r="AV37" s="29">
        <v>48.722873692510426</v>
      </c>
      <c r="AW37" s="29">
        <v>48.94114852337853</v>
      </c>
      <c r="AX37" s="29">
        <v>48.97378218039777</v>
      </c>
      <c r="AY37" s="29">
        <v>49.119391147369882</v>
      </c>
      <c r="AZ37" s="29">
        <v>49.225919474296965</v>
      </c>
      <c r="BA37" s="29">
        <v>49.342840814630982</v>
      </c>
      <c r="BB37" s="29">
        <v>49.45224338913718</v>
      </c>
      <c r="BC37" s="29">
        <v>49.544516685258337</v>
      </c>
      <c r="BD37" s="29">
        <v>49.631388260184082</v>
      </c>
      <c r="BE37" s="29">
        <v>49.758826805248034</v>
      </c>
      <c r="BF37" s="29">
        <v>49.871312846954261</v>
      </c>
      <c r="BG37" s="29">
        <v>50.022732361327861</v>
      </c>
      <c r="BH37" s="29">
        <v>50.200201966766798</v>
      </c>
      <c r="BI37" s="29">
        <v>50.325096955900939</v>
      </c>
      <c r="BJ37" s="29">
        <v>50.463517760438826</v>
      </c>
      <c r="BK37" s="29">
        <v>50.609428487922642</v>
      </c>
      <c r="BL37" s="29">
        <v>50.794635028414653</v>
      </c>
      <c r="BM37" s="29">
        <v>50.972721287705454</v>
      </c>
      <c r="BN37" s="29">
        <v>51.133081893984077</v>
      </c>
      <c r="BO37" s="29">
        <v>51.258242683181216</v>
      </c>
      <c r="BP37" s="29">
        <v>51.423047133477354</v>
      </c>
      <c r="BQ37" s="29">
        <v>51.568835208669448</v>
      </c>
      <c r="BR37" s="29">
        <v>51.712572805349069</v>
      </c>
      <c r="BS37" s="29">
        <v>51.855901181697377</v>
      </c>
      <c r="BT37" s="29">
        <v>51.993132600038571</v>
      </c>
      <c r="BU37" s="29">
        <v>52.127910995258276</v>
      </c>
      <c r="BV37" s="29">
        <v>52.258651435189563</v>
      </c>
      <c r="BW37" s="29">
        <v>52.409985691845925</v>
      </c>
      <c r="BX37" s="29">
        <v>52.537094682463305</v>
      </c>
      <c r="BY37" s="29">
        <v>52.672467178577783</v>
      </c>
      <c r="BZ37" s="29">
        <v>52.802414260060615</v>
      </c>
      <c r="CA37" s="29">
        <v>52.931261231985197</v>
      </c>
      <c r="CB37" s="29">
        <v>53.062484968935117</v>
      </c>
      <c r="CC37" s="29">
        <v>53.188909014186798</v>
      </c>
      <c r="CD37" s="29">
        <v>53.319433511078557</v>
      </c>
      <c r="CE37" s="29">
        <v>53.447838616297894</v>
      </c>
      <c r="CF37" s="29">
        <v>53.57419826649928</v>
      </c>
      <c r="CG37" s="29">
        <v>53.704607659491529</v>
      </c>
      <c r="CH37" s="29">
        <v>53.833007967444551</v>
      </c>
      <c r="CI37" s="29">
        <v>53.964850411686861</v>
      </c>
      <c r="CJ37" s="29">
        <v>54.093556071636449</v>
      </c>
      <c r="CK37" s="29">
        <v>54.223044990350303</v>
      </c>
      <c r="CL37" s="29">
        <v>54.351722859836869</v>
      </c>
      <c r="CM37" s="29">
        <v>54.479400178770028</v>
      </c>
      <c r="CN37" s="29">
        <v>54.606077659570893</v>
      </c>
      <c r="CO37" s="29">
        <v>54.731756428338322</v>
      </c>
      <c r="CP37" s="29">
        <v>54.85643804564981</v>
      </c>
      <c r="CQ37" s="29">
        <v>54.980124523165081</v>
      </c>
      <c r="CR37" s="29">
        <v>55.1028183299278</v>
      </c>
      <c r="CS37" s="29">
        <v>55.22452238612474</v>
      </c>
      <c r="CT37" s="29">
        <v>55.34524003122354</v>
      </c>
      <c r="CU37" s="29">
        <v>55.46497497283891</v>
      </c>
      <c r="CV37" s="29">
        <v>55.58373123049715</v>
      </c>
      <c r="CW37" s="29">
        <v>55.701513077381875</v>
      </c>
      <c r="CX37" s="29">
        <v>55.818324989388344</v>
      </c>
      <c r="CY37" s="29">
        <v>55.934167470719068</v>
      </c>
      <c r="CZ37" s="29">
        <v>56.049044912138733</v>
      </c>
      <c r="DA37" s="29">
        <v>56.162961748601951</v>
      </c>
      <c r="DB37" s="29">
        <v>56.275922457848125</v>
      </c>
      <c r="DC37" s="29">
        <v>56.387931559022306</v>
      </c>
      <c r="DD37" s="29">
        <v>56.498993611321268</v>
      </c>
      <c r="DE37" s="29">
        <v>56.609113212665044</v>
      </c>
      <c r="DF37" s="29">
        <v>56.718294998390732</v>
      </c>
      <c r="DG37" s="29">
        <v>56.826543639971021</v>
      </c>
      <c r="DH37" s="29">
        <v>56.933863843752626</v>
      </c>
      <c r="DI37" s="29">
        <v>57.040260349718451</v>
      </c>
      <c r="DJ37" s="29">
        <v>57.145737930267671</v>
      </c>
      <c r="DK37" s="29">
        <v>57.250301389017814</v>
      </c>
      <c r="DL37" s="29">
        <v>57.353955559625426</v>
      </c>
      <c r="DM37" s="29">
        <v>57.456705304624165</v>
      </c>
      <c r="DN37" s="29">
        <v>57.558555514283348</v>
      </c>
      <c r="DO37" s="29">
        <v>57.659511105481194</v>
      </c>
      <c r="DP37" s="29">
        <v>57.75957702059678</v>
      </c>
      <c r="DQ37" s="29">
        <v>57.858758226417919</v>
      </c>
      <c r="DR37" s="29">
        <v>57.957059713064666</v>
      </c>
      <c r="DS37">
        <v>58.054486492928426</v>
      </c>
      <c r="DT37">
        <v>58.151043599626817</v>
      </c>
      <c r="DU37">
        <v>58.246736086971794</v>
      </c>
    </row>
    <row r="38" spans="1:125">
      <c r="A38" s="34">
        <v>36</v>
      </c>
      <c r="B38" s="35"/>
      <c r="C38" s="35"/>
      <c r="D38" s="35"/>
      <c r="E38" s="35"/>
      <c r="F38" s="35"/>
      <c r="G38" s="35"/>
      <c r="H38" s="35"/>
      <c r="I38" s="35"/>
      <c r="J38" s="35"/>
      <c r="K38" s="35"/>
      <c r="L38" s="35"/>
      <c r="M38" s="35"/>
      <c r="N38" s="35"/>
      <c r="O38" s="35"/>
      <c r="P38" s="35"/>
      <c r="Q38" s="35"/>
      <c r="R38" s="35"/>
      <c r="S38" s="35"/>
      <c r="T38" s="35"/>
      <c r="U38" s="35"/>
      <c r="V38" s="29"/>
      <c r="W38" s="29">
        <v>44</v>
      </c>
      <c r="X38" s="29">
        <v>44.2</v>
      </c>
      <c r="Y38" s="29">
        <v>44.394540845464697</v>
      </c>
      <c r="Z38" s="29">
        <v>44.636471032507586</v>
      </c>
      <c r="AA38" s="29">
        <v>44.782513888346877</v>
      </c>
      <c r="AB38" s="29">
        <v>44.974394120211372</v>
      </c>
      <c r="AC38" s="29">
        <v>45.179881779156638</v>
      </c>
      <c r="AD38" s="29">
        <v>45.285003987852569</v>
      </c>
      <c r="AE38" s="29">
        <v>45.502029778936695</v>
      </c>
      <c r="AF38" s="29">
        <v>45.682721766504123</v>
      </c>
      <c r="AG38" s="29">
        <v>45.854821849088019</v>
      </c>
      <c r="AH38" s="29">
        <v>46.0136664946587</v>
      </c>
      <c r="AI38" s="29">
        <v>46.179366507926815</v>
      </c>
      <c r="AJ38" s="29">
        <v>46.439364181633387</v>
      </c>
      <c r="AK38" s="29">
        <v>46.675163141419731</v>
      </c>
      <c r="AL38" s="29">
        <v>46.951582304679143</v>
      </c>
      <c r="AM38" s="29">
        <v>47.195952957704272</v>
      </c>
      <c r="AN38" s="29">
        <v>47.394208899662729</v>
      </c>
      <c r="AO38" s="29">
        <v>47.536045120272227</v>
      </c>
      <c r="AP38" s="29">
        <v>47.648822858917164</v>
      </c>
      <c r="AQ38" s="29">
        <v>47.682657423238545</v>
      </c>
      <c r="AR38" s="29">
        <v>47.731730605473594</v>
      </c>
      <c r="AS38" s="29">
        <v>47.742751363012459</v>
      </c>
      <c r="AT38" s="29">
        <v>47.698818540764947</v>
      </c>
      <c r="AU38" s="29">
        <v>47.724224993575106</v>
      </c>
      <c r="AV38" s="29">
        <v>47.768401035508063</v>
      </c>
      <c r="AW38" s="29">
        <v>47.988471320567349</v>
      </c>
      <c r="AX38" s="29">
        <v>48.018490192356872</v>
      </c>
      <c r="AY38" s="29">
        <v>48.165777108067743</v>
      </c>
      <c r="AZ38" s="29">
        <v>48.26285894380122</v>
      </c>
      <c r="BA38" s="29">
        <v>48.381656238636289</v>
      </c>
      <c r="BB38" s="29">
        <v>48.49088393191262</v>
      </c>
      <c r="BC38" s="29">
        <v>48.583519060789527</v>
      </c>
      <c r="BD38" s="29">
        <v>48.669863263765428</v>
      </c>
      <c r="BE38" s="29">
        <v>48.79972765869725</v>
      </c>
      <c r="BF38" s="29">
        <v>48.910878247524899</v>
      </c>
      <c r="BG38" s="29">
        <v>49.062164351687763</v>
      </c>
      <c r="BH38" s="29">
        <v>49.234455141600009</v>
      </c>
      <c r="BI38" s="29">
        <v>49.363171996467088</v>
      </c>
      <c r="BJ38" s="29">
        <v>49.502083568870333</v>
      </c>
      <c r="BK38" s="29">
        <v>49.642300433636663</v>
      </c>
      <c r="BL38" s="29">
        <v>49.82977675730401</v>
      </c>
      <c r="BM38" s="29">
        <v>50.00327452974652</v>
      </c>
      <c r="BN38" s="29">
        <v>50.161746841357967</v>
      </c>
      <c r="BO38" s="29">
        <v>50.288130546483799</v>
      </c>
      <c r="BP38" s="29">
        <v>50.451342637760803</v>
      </c>
      <c r="BQ38" s="29">
        <v>50.597193102893577</v>
      </c>
      <c r="BR38" s="29">
        <v>50.738598465925485</v>
      </c>
      <c r="BS38" s="29">
        <v>50.879458161348381</v>
      </c>
      <c r="BT38" s="29">
        <v>51.017692324222487</v>
      </c>
      <c r="BU38" s="29">
        <v>51.151618022991002</v>
      </c>
      <c r="BV38" s="29">
        <v>51.281318922199503</v>
      </c>
      <c r="BW38" s="29">
        <v>51.431587757176821</v>
      </c>
      <c r="BX38" s="29">
        <v>51.560742352842247</v>
      </c>
      <c r="BY38" s="29">
        <v>51.691175221739172</v>
      </c>
      <c r="BZ38" s="29">
        <v>51.826280984834469</v>
      </c>
      <c r="CA38" s="29">
        <v>51.9545962999184</v>
      </c>
      <c r="CB38" s="29">
        <v>52.083983269054862</v>
      </c>
      <c r="CC38" s="29">
        <v>52.209232563013074</v>
      </c>
      <c r="CD38" s="29">
        <v>52.342938729557069</v>
      </c>
      <c r="CE38" s="29">
        <v>52.468885097314555</v>
      </c>
      <c r="CF38" s="29">
        <v>52.596642753674217</v>
      </c>
      <c r="CG38" s="29">
        <v>52.727872247872007</v>
      </c>
      <c r="CH38" s="29">
        <v>52.860590147773337</v>
      </c>
      <c r="CI38" s="29">
        <v>52.988432552487041</v>
      </c>
      <c r="CJ38" s="29">
        <v>53.117407875440456</v>
      </c>
      <c r="CK38" s="29">
        <v>53.246574859188463</v>
      </c>
      <c r="CL38" s="29">
        <v>53.37475130806844</v>
      </c>
      <c r="CM38" s="29">
        <v>53.50193735074069</v>
      </c>
      <c r="CN38" s="29">
        <v>53.628133510198673</v>
      </c>
      <c r="CO38" s="29">
        <v>53.753340726325568</v>
      </c>
      <c r="CP38" s="29">
        <v>53.877560376651239</v>
      </c>
      <c r="CQ38" s="29">
        <v>54.000794292910335</v>
      </c>
      <c r="CR38" s="29">
        <v>54.123044767294779</v>
      </c>
      <c r="CS38" s="29">
        <v>54.244314546160119</v>
      </c>
      <c r="CT38" s="29">
        <v>54.364606798102692</v>
      </c>
      <c r="CU38" s="29">
        <v>54.483925062761323</v>
      </c>
      <c r="CV38" s="29">
        <v>54.602273194518965</v>
      </c>
      <c r="CW38" s="29">
        <v>54.719655304188308</v>
      </c>
      <c r="CX38" s="29">
        <v>54.836072030559869</v>
      </c>
      <c r="CY38" s="29">
        <v>54.951527556684248</v>
      </c>
      <c r="CZ38" s="29">
        <v>55.066026113970111</v>
      </c>
      <c r="DA38" s="29">
        <v>55.179571980717633</v>
      </c>
      <c r="DB38" s="29">
        <v>55.292169480680009</v>
      </c>
      <c r="DC38" s="29">
        <v>55.403822981650954</v>
      </c>
      <c r="DD38" s="29">
        <v>55.514536894077352</v>
      </c>
      <c r="DE38" s="29">
        <v>55.624315669697388</v>
      </c>
      <c r="DF38" s="29">
        <v>55.733163800201098</v>
      </c>
      <c r="DG38" s="29">
        <v>55.841085815915541</v>
      </c>
      <c r="DH38" s="29">
        <v>55.948086284510076</v>
      </c>
      <c r="DI38" s="29">
        <v>56.054169809725337</v>
      </c>
      <c r="DJ38" s="29">
        <v>56.15934103012043</v>
      </c>
      <c r="DK38" s="29">
        <v>56.263604617841914</v>
      </c>
      <c r="DL38" s="29">
        <v>56.366965277411829</v>
      </c>
      <c r="DM38" s="29">
        <v>56.469427744533128</v>
      </c>
      <c r="DN38" s="29">
        <v>56.57099678491565</v>
      </c>
      <c r="DO38" s="29">
        <v>56.671677193117162</v>
      </c>
      <c r="DP38" s="29">
        <v>56.771473791403103</v>
      </c>
      <c r="DQ38" s="29">
        <v>56.870391428622497</v>
      </c>
      <c r="DR38" s="29">
        <v>56.968434979099712</v>
      </c>
      <c r="DS38">
        <v>57.065609341542</v>
      </c>
      <c r="DT38">
        <v>57.161919437963029</v>
      </c>
      <c r="DU38">
        <v>57.257370212619847</v>
      </c>
    </row>
    <row r="39" spans="1:125">
      <c r="A39" s="34">
        <v>37</v>
      </c>
      <c r="B39" s="35"/>
      <c r="C39" s="35"/>
      <c r="D39" s="35"/>
      <c r="E39" s="35"/>
      <c r="F39" s="35"/>
      <c r="G39" s="35"/>
      <c r="H39" s="35"/>
      <c r="I39" s="35"/>
      <c r="J39" s="35"/>
      <c r="K39" s="35"/>
      <c r="L39" s="35"/>
      <c r="M39" s="35"/>
      <c r="N39" s="35"/>
      <c r="O39" s="35"/>
      <c r="P39" s="35"/>
      <c r="Q39" s="35"/>
      <c r="R39" s="35"/>
      <c r="S39" s="35"/>
      <c r="T39" s="35"/>
      <c r="U39" s="35"/>
      <c r="V39" s="29"/>
      <c r="W39" s="29">
        <v>43.07</v>
      </c>
      <c r="X39" s="29">
        <v>43.27</v>
      </c>
      <c r="Y39" s="29">
        <v>43.46597807774733</v>
      </c>
      <c r="Z39" s="29">
        <v>43.703885589589703</v>
      </c>
      <c r="AA39" s="29">
        <v>43.847423501087128</v>
      </c>
      <c r="AB39" s="29">
        <v>44.033319015806534</v>
      </c>
      <c r="AC39" s="29">
        <v>44.242801053154473</v>
      </c>
      <c r="AD39" s="29">
        <v>44.346212173299328</v>
      </c>
      <c r="AE39" s="29">
        <v>44.559345811401798</v>
      </c>
      <c r="AF39" s="29">
        <v>44.743773892812783</v>
      </c>
      <c r="AG39" s="29">
        <v>44.912964986919171</v>
      </c>
      <c r="AH39" s="29">
        <v>45.070304274274569</v>
      </c>
      <c r="AI39" s="29">
        <v>45.240840872459906</v>
      </c>
      <c r="AJ39" s="29">
        <v>45.500456561066827</v>
      </c>
      <c r="AK39" s="29">
        <v>45.732556408905751</v>
      </c>
      <c r="AL39" s="29">
        <v>46.007250527517186</v>
      </c>
      <c r="AM39" s="29">
        <v>46.247415630696594</v>
      </c>
      <c r="AN39" s="29">
        <v>46.447614315994983</v>
      </c>
      <c r="AO39" s="29">
        <v>46.589978884040725</v>
      </c>
      <c r="AP39" s="29">
        <v>46.700221554613876</v>
      </c>
      <c r="AQ39" s="29">
        <v>46.732100301783682</v>
      </c>
      <c r="AR39" s="29">
        <v>46.781496306316825</v>
      </c>
      <c r="AS39" s="29">
        <v>46.791905222865928</v>
      </c>
      <c r="AT39" s="29">
        <v>46.748341633813055</v>
      </c>
      <c r="AU39" s="29">
        <v>46.773593051413684</v>
      </c>
      <c r="AV39" s="29">
        <v>46.820284994354104</v>
      </c>
      <c r="AW39" s="29">
        <v>47.03463326161787</v>
      </c>
      <c r="AX39" s="29">
        <v>47.064263819748042</v>
      </c>
      <c r="AY39" s="29">
        <v>47.208221891011739</v>
      </c>
      <c r="AZ39" s="29">
        <v>47.303387846196124</v>
      </c>
      <c r="BA39" s="29">
        <v>47.423456171721618</v>
      </c>
      <c r="BB39" s="29">
        <v>47.533906390048472</v>
      </c>
      <c r="BC39" s="29">
        <v>47.627998249249124</v>
      </c>
      <c r="BD39" s="29">
        <v>47.719460409536289</v>
      </c>
      <c r="BE39" s="29">
        <v>47.843563652014097</v>
      </c>
      <c r="BF39" s="29">
        <v>47.95338928016993</v>
      </c>
      <c r="BG39" s="29">
        <v>48.102564896199205</v>
      </c>
      <c r="BH39" s="29">
        <v>48.274293636810178</v>
      </c>
      <c r="BI39" s="29">
        <v>48.399613699552894</v>
      </c>
      <c r="BJ39" s="29">
        <v>48.539305276285155</v>
      </c>
      <c r="BK39" s="29">
        <v>48.681494416486935</v>
      </c>
      <c r="BL39" s="29">
        <v>48.862555251318078</v>
      </c>
      <c r="BM39" s="29">
        <v>49.033858016443688</v>
      </c>
      <c r="BN39" s="29">
        <v>49.193598357455173</v>
      </c>
      <c r="BO39" s="29">
        <v>49.318898645021918</v>
      </c>
      <c r="BP39" s="29">
        <v>49.482371458200213</v>
      </c>
      <c r="BQ39" s="29">
        <v>49.623976838503793</v>
      </c>
      <c r="BR39" s="29">
        <v>49.765062761812374</v>
      </c>
      <c r="BS39" s="29">
        <v>49.90600779159103</v>
      </c>
      <c r="BT39" s="29">
        <v>50.043007464391209</v>
      </c>
      <c r="BU39" s="29">
        <v>50.174623359631191</v>
      </c>
      <c r="BV39" s="29">
        <v>50.305485502120931</v>
      </c>
      <c r="BW39" s="29">
        <v>50.456425468790684</v>
      </c>
      <c r="BX39" s="29">
        <v>50.584099507236139</v>
      </c>
      <c r="BY39" s="29">
        <v>50.716241879866615</v>
      </c>
      <c r="BZ39" s="29">
        <v>50.848564677924074</v>
      </c>
      <c r="CA39" s="29">
        <v>50.979863389747706</v>
      </c>
      <c r="CB39" s="29">
        <v>51.106952606765688</v>
      </c>
      <c r="CC39" s="29">
        <v>51.233032790519502</v>
      </c>
      <c r="CD39" s="29">
        <v>51.366319703704704</v>
      </c>
      <c r="CE39" s="29">
        <v>51.492108506717301</v>
      </c>
      <c r="CF39" s="29">
        <v>51.62281863269726</v>
      </c>
      <c r="CG39" s="29">
        <v>51.752519064487153</v>
      </c>
      <c r="CH39" s="29">
        <v>51.884207662545457</v>
      </c>
      <c r="CI39" s="29">
        <v>52.013096478066331</v>
      </c>
      <c r="CJ39" s="29">
        <v>52.142714378820855</v>
      </c>
      <c r="CK39" s="29">
        <v>52.271352636339827</v>
      </c>
      <c r="CL39" s="29">
        <v>52.399010811991587</v>
      </c>
      <c r="CM39" s="29">
        <v>52.525688844727</v>
      </c>
      <c r="CN39" s="29">
        <v>52.651387070929459</v>
      </c>
      <c r="CO39" s="29">
        <v>52.776106246933089</v>
      </c>
      <c r="CP39" s="29">
        <v>52.899847569740182</v>
      </c>
      <c r="CQ39" s="29">
        <v>53.022612693537937</v>
      </c>
      <c r="CR39" s="29">
        <v>53.144403735905613</v>
      </c>
      <c r="CS39" s="29">
        <v>53.26522327147125</v>
      </c>
      <c r="CT39" s="29">
        <v>53.385074299931084</v>
      </c>
      <c r="CU39" s="29">
        <v>53.503960194788803</v>
      </c>
      <c r="CV39" s="29">
        <v>53.621884646996563</v>
      </c>
      <c r="CW39" s="29">
        <v>53.738848257877798</v>
      </c>
      <c r="CX39" s="29">
        <v>53.854854998014005</v>
      </c>
      <c r="CY39" s="29">
        <v>53.969908890461937</v>
      </c>
      <c r="CZ39" s="29">
        <v>54.084014009230401</v>
      </c>
      <c r="DA39" s="29">
        <v>54.197174477784813</v>
      </c>
      <c r="DB39" s="29">
        <v>54.309394467579693</v>
      </c>
      <c r="DC39" s="29">
        <v>54.420678196617175</v>
      </c>
      <c r="DD39" s="29">
        <v>54.531029928030392</v>
      </c>
      <c r="DE39" s="29">
        <v>54.64045396869242</v>
      </c>
      <c r="DF39" s="29">
        <v>54.748954667847471</v>
      </c>
      <c r="DG39" s="29">
        <v>54.856536415766726</v>
      </c>
      <c r="DH39" s="29">
        <v>54.963203642424297</v>
      </c>
      <c r="DI39" s="29">
        <v>55.068960816196721</v>
      </c>
      <c r="DJ39" s="29">
        <v>55.173812442580854</v>
      </c>
      <c r="DK39" s="29">
        <v>55.277763062933523</v>
      </c>
      <c r="DL39" s="29">
        <v>55.380817253230212</v>
      </c>
      <c r="DM39" s="29">
        <v>55.482979622841277</v>
      </c>
      <c r="DN39" s="29">
        <v>55.58425481332872</v>
      </c>
      <c r="DO39" s="29">
        <v>55.684647497258148</v>
      </c>
      <c r="DP39" s="29">
        <v>55.784162377029489</v>
      </c>
      <c r="DQ39" s="29">
        <v>55.882804183724041</v>
      </c>
      <c r="DR39" s="29">
        <v>55.980577675967403</v>
      </c>
      <c r="DS39">
        <v>56.077487638808414</v>
      </c>
      <c r="DT39">
        <v>56.173538882614103</v>
      </c>
      <c r="DU39">
        <v>56.268736241978353</v>
      </c>
    </row>
    <row r="40" spans="1:125">
      <c r="A40" s="34">
        <v>38</v>
      </c>
      <c r="B40" s="35"/>
      <c r="C40" s="35"/>
      <c r="D40" s="35"/>
      <c r="E40" s="35"/>
      <c r="F40" s="35"/>
      <c r="G40" s="35"/>
      <c r="H40" s="35"/>
      <c r="I40" s="35"/>
      <c r="J40" s="35"/>
      <c r="K40" s="35"/>
      <c r="L40" s="35"/>
      <c r="M40" s="35"/>
      <c r="N40" s="35"/>
      <c r="O40" s="35"/>
      <c r="P40" s="35"/>
      <c r="Q40" s="35"/>
      <c r="R40" s="35"/>
      <c r="S40" s="35"/>
      <c r="T40" s="35"/>
      <c r="U40" s="35"/>
      <c r="V40" s="29"/>
      <c r="W40" s="29">
        <v>42.15</v>
      </c>
      <c r="X40" s="29">
        <v>42.34</v>
      </c>
      <c r="Y40" s="29">
        <v>42.54011098709843</v>
      </c>
      <c r="Z40" s="29">
        <v>42.774353034160228</v>
      </c>
      <c r="AA40" s="29">
        <v>42.915880650149724</v>
      </c>
      <c r="AB40" s="29">
        <v>43.096410751976315</v>
      </c>
      <c r="AC40" s="29">
        <v>43.308762604390779</v>
      </c>
      <c r="AD40" s="29">
        <v>43.415652693684621</v>
      </c>
      <c r="AE40" s="29">
        <v>43.626695795520675</v>
      </c>
      <c r="AF40" s="29">
        <v>43.803866237049483</v>
      </c>
      <c r="AG40" s="29">
        <v>43.975783805936558</v>
      </c>
      <c r="AH40" s="29">
        <v>44.136307135481125</v>
      </c>
      <c r="AI40" s="29">
        <v>44.303944265500775</v>
      </c>
      <c r="AJ40" s="29">
        <v>44.562412590533548</v>
      </c>
      <c r="AK40" s="29">
        <v>44.794842240613001</v>
      </c>
      <c r="AL40" s="29">
        <v>45.064429209050935</v>
      </c>
      <c r="AM40" s="29">
        <v>45.302807254772823</v>
      </c>
      <c r="AN40" s="29">
        <v>45.501772955826247</v>
      </c>
      <c r="AO40" s="29">
        <v>45.643882668658577</v>
      </c>
      <c r="AP40" s="29">
        <v>45.752914813268006</v>
      </c>
      <c r="AQ40" s="29">
        <v>45.783295526130104</v>
      </c>
      <c r="AR40" s="29">
        <v>45.835205920583554</v>
      </c>
      <c r="AS40" s="29">
        <v>45.846944167706347</v>
      </c>
      <c r="AT40" s="29">
        <v>45.802360887275789</v>
      </c>
      <c r="AU40" s="29">
        <v>45.823545329810493</v>
      </c>
      <c r="AV40" s="29">
        <v>45.8668531121914</v>
      </c>
      <c r="AW40" s="29">
        <v>46.087401352154686</v>
      </c>
      <c r="AX40" s="29">
        <v>46.109976151201487</v>
      </c>
      <c r="AY40" s="29">
        <v>46.255100034970454</v>
      </c>
      <c r="AZ40" s="29">
        <v>46.348136851773802</v>
      </c>
      <c r="BA40" s="29">
        <v>46.466660812356672</v>
      </c>
      <c r="BB40" s="29">
        <v>46.578698037244557</v>
      </c>
      <c r="BC40" s="29">
        <v>46.67684917464274</v>
      </c>
      <c r="BD40" s="29">
        <v>46.765512756932608</v>
      </c>
      <c r="BE40" s="29">
        <v>46.89180450804286</v>
      </c>
      <c r="BF40" s="29">
        <v>46.999377081071117</v>
      </c>
      <c r="BG40" s="29">
        <v>47.143837640177097</v>
      </c>
      <c r="BH40" s="29">
        <v>47.316323761430269</v>
      </c>
      <c r="BI40" s="29">
        <v>47.442146213821296</v>
      </c>
      <c r="BJ40" s="29">
        <v>47.577509921871453</v>
      </c>
      <c r="BK40" s="29">
        <v>47.720020398331187</v>
      </c>
      <c r="BL40" s="29">
        <v>47.896910632938805</v>
      </c>
      <c r="BM40" s="29">
        <v>48.070174641087561</v>
      </c>
      <c r="BN40" s="29">
        <v>48.227178681446354</v>
      </c>
      <c r="BO40" s="29">
        <v>48.350510462180793</v>
      </c>
      <c r="BP40" s="29">
        <v>48.510685950124241</v>
      </c>
      <c r="BQ40" s="29">
        <v>48.653792808779677</v>
      </c>
      <c r="BR40" s="29">
        <v>48.792812770454347</v>
      </c>
      <c r="BS40" s="29">
        <v>48.933246543239022</v>
      </c>
      <c r="BT40" s="29">
        <v>49.067932264061923</v>
      </c>
      <c r="BU40" s="29">
        <v>49.2004977785111</v>
      </c>
      <c r="BV40" s="29">
        <v>49.332638660550032</v>
      </c>
      <c r="BW40" s="29">
        <v>49.483474101678766</v>
      </c>
      <c r="BX40" s="29">
        <v>49.610122304962324</v>
      </c>
      <c r="BY40" s="29">
        <v>49.740579931397285</v>
      </c>
      <c r="BZ40" s="29">
        <v>49.872021950364527</v>
      </c>
      <c r="CA40" s="29">
        <v>50.002215884688383</v>
      </c>
      <c r="CB40" s="29">
        <v>50.131523758198291</v>
      </c>
      <c r="CC40" s="29">
        <v>50.256523214459129</v>
      </c>
      <c r="CD40" s="29">
        <v>50.390373564536752</v>
      </c>
      <c r="CE40" s="29">
        <v>50.519062338451661</v>
      </c>
      <c r="CF40" s="29">
        <v>50.649454644698523</v>
      </c>
      <c r="CG40" s="29">
        <v>50.779996584748169</v>
      </c>
      <c r="CH40" s="29">
        <v>50.910259288723552</v>
      </c>
      <c r="CI40" s="29">
        <v>51.040288489736589</v>
      </c>
      <c r="CJ40" s="29">
        <v>51.169349774837549</v>
      </c>
      <c r="CK40" s="29">
        <v>51.297442159726728</v>
      </c>
      <c r="CL40" s="29">
        <v>51.424565016577866</v>
      </c>
      <c r="CM40" s="29">
        <v>51.550718098117592</v>
      </c>
      <c r="CN40" s="29">
        <v>51.675901557440731</v>
      </c>
      <c r="CO40" s="29">
        <v>51.800115970494716</v>
      </c>
      <c r="CP40" s="29">
        <v>51.923362356761935</v>
      </c>
      <c r="CQ40" s="29">
        <v>52.045642195739248</v>
      </c>
      <c r="CR40" s="29">
        <v>52.166957433103548</v>
      </c>
      <c r="CS40" s="29">
        <v>52.287310474322268</v>
      </c>
      <c r="CT40" s="29">
        <v>52.406704152617515</v>
      </c>
      <c r="CU40" s="29">
        <v>52.525141677645067</v>
      </c>
      <c r="CV40" s="29">
        <v>52.642623399185013</v>
      </c>
      <c r="CW40" s="29">
        <v>52.75915307105754</v>
      </c>
      <c r="CX40" s="29">
        <v>52.874734503610043</v>
      </c>
      <c r="CY40" s="29">
        <v>52.989371562140967</v>
      </c>
      <c r="CZ40" s="29">
        <v>53.103068165352447</v>
      </c>
      <c r="DA40" s="29">
        <v>53.215828283830369</v>
      </c>
      <c r="DB40" s="29">
        <v>53.327655938552304</v>
      </c>
      <c r="DC40" s="29">
        <v>53.43855519942106</v>
      </c>
      <c r="DD40" s="29">
        <v>53.548530183823125</v>
      </c>
      <c r="DE40" s="29">
        <v>53.657585055212294</v>
      </c>
      <c r="DF40" s="29">
        <v>53.765724021715599</v>
      </c>
      <c r="DG40" s="29">
        <v>53.872951334763563</v>
      </c>
      <c r="DH40" s="29">
        <v>53.979271287740644</v>
      </c>
      <c r="DI40" s="29">
        <v>54.084688214658989</v>
      </c>
      <c r="DJ40" s="29">
        <v>54.189206488850573</v>
      </c>
      <c r="DK40" s="29">
        <v>54.292830521681076</v>
      </c>
      <c r="DL40" s="29">
        <v>54.395564761282628</v>
      </c>
      <c r="DM40" s="29">
        <v>54.497413691304168</v>
      </c>
      <c r="DN40" s="29">
        <v>54.598381829682332</v>
      </c>
      <c r="DO40" s="29">
        <v>54.698473727427462</v>
      </c>
      <c r="DP40" s="29">
        <v>54.797693967428465</v>
      </c>
      <c r="DQ40" s="29">
        <v>54.896047163274005</v>
      </c>
      <c r="DR40" s="29">
        <v>54.993537958089561</v>
      </c>
      <c r="DS40">
        <v>55.090171023390681</v>
      </c>
      <c r="DT40">
        <v>55.185951057952138</v>
      </c>
      <c r="DU40">
        <v>55.280882786690988</v>
      </c>
    </row>
    <row r="41" spans="1:125">
      <c r="A41" s="34">
        <v>39</v>
      </c>
      <c r="B41" s="35"/>
      <c r="C41" s="35"/>
      <c r="D41" s="35"/>
      <c r="E41" s="35"/>
      <c r="F41" s="35"/>
      <c r="G41" s="35"/>
      <c r="H41" s="35"/>
      <c r="I41" s="35"/>
      <c r="J41" s="35"/>
      <c r="K41" s="35"/>
      <c r="L41" s="35"/>
      <c r="M41" s="35"/>
      <c r="N41" s="35"/>
      <c r="O41" s="35"/>
      <c r="P41" s="35"/>
      <c r="Q41" s="35"/>
      <c r="R41" s="35"/>
      <c r="S41" s="35"/>
      <c r="T41" s="35"/>
      <c r="U41" s="35"/>
      <c r="V41" s="29"/>
      <c r="W41" s="29">
        <v>41.22</v>
      </c>
      <c r="X41" s="29">
        <v>41.42</v>
      </c>
      <c r="Y41" s="29">
        <v>41.609057717925488</v>
      </c>
      <c r="Z41" s="29">
        <v>41.847778364418289</v>
      </c>
      <c r="AA41" s="29">
        <v>41.985723352337146</v>
      </c>
      <c r="AB41" s="29">
        <v>42.162830486352739</v>
      </c>
      <c r="AC41" s="29">
        <v>42.37538153643932</v>
      </c>
      <c r="AD41" s="29">
        <v>42.486236829994489</v>
      </c>
      <c r="AE41" s="29">
        <v>42.696508017193345</v>
      </c>
      <c r="AF41" s="29">
        <v>42.872920062961924</v>
      </c>
      <c r="AG41" s="29">
        <v>43.047828564487311</v>
      </c>
      <c r="AH41" s="29">
        <v>43.203862238487851</v>
      </c>
      <c r="AI41" s="29">
        <v>43.37371512445629</v>
      </c>
      <c r="AJ41" s="29">
        <v>43.627200173048259</v>
      </c>
      <c r="AK41" s="29">
        <v>43.855332409699301</v>
      </c>
      <c r="AL41" s="29">
        <v>44.12338016263633</v>
      </c>
      <c r="AM41" s="29">
        <v>44.368416074936476</v>
      </c>
      <c r="AN41" s="29">
        <v>44.560410031098684</v>
      </c>
      <c r="AO41" s="29">
        <v>44.700228177636824</v>
      </c>
      <c r="AP41" s="29">
        <v>44.806906730104693</v>
      </c>
      <c r="AQ41" s="29">
        <v>44.839272687008879</v>
      </c>
      <c r="AR41" s="29">
        <v>44.888492039879345</v>
      </c>
      <c r="AS41" s="29">
        <v>44.900869886628136</v>
      </c>
      <c r="AT41" s="29">
        <v>44.855551425105055</v>
      </c>
      <c r="AU41" s="29">
        <v>44.879892216433191</v>
      </c>
      <c r="AV41" s="29">
        <v>44.918572040001067</v>
      </c>
      <c r="AW41" s="29">
        <v>45.139285612663066</v>
      </c>
      <c r="AX41" s="29">
        <v>45.15775966586672</v>
      </c>
      <c r="AY41" s="29">
        <v>45.304128488058566</v>
      </c>
      <c r="AZ41" s="29">
        <v>45.3993374717368</v>
      </c>
      <c r="BA41" s="29">
        <v>45.515348971939595</v>
      </c>
      <c r="BB41" s="29">
        <v>45.628339262329618</v>
      </c>
      <c r="BC41" s="29">
        <v>45.726287189525017</v>
      </c>
      <c r="BD41" s="29">
        <v>45.814679429519231</v>
      </c>
      <c r="BE41" s="29">
        <v>45.935428467426618</v>
      </c>
      <c r="BF41" s="29">
        <v>46.044438029424533</v>
      </c>
      <c r="BG41" s="29">
        <v>46.189857016154725</v>
      </c>
      <c r="BH41" s="29">
        <v>46.359860548958167</v>
      </c>
      <c r="BI41" s="29">
        <v>46.483095339346733</v>
      </c>
      <c r="BJ41" s="29">
        <v>46.616878852122547</v>
      </c>
      <c r="BK41" s="29">
        <v>46.760247868395474</v>
      </c>
      <c r="BL41" s="29">
        <v>46.93576995515599</v>
      </c>
      <c r="BM41" s="29">
        <v>47.10432397653414</v>
      </c>
      <c r="BN41" s="29">
        <v>47.262005312184804</v>
      </c>
      <c r="BO41" s="29">
        <v>47.384088414784173</v>
      </c>
      <c r="BP41" s="29">
        <v>47.540027977381818</v>
      </c>
      <c r="BQ41" s="29">
        <v>47.683039747861208</v>
      </c>
      <c r="BR41" s="29">
        <v>47.819753176172888</v>
      </c>
      <c r="BS41" s="29">
        <v>47.963044339905295</v>
      </c>
      <c r="BT41" s="29">
        <v>48.097617672103219</v>
      </c>
      <c r="BU41" s="29">
        <v>48.22677660488278</v>
      </c>
      <c r="BV41" s="29">
        <v>48.362141262816372</v>
      </c>
      <c r="BW41" s="29">
        <v>48.507671604556393</v>
      </c>
      <c r="BX41" s="29">
        <v>48.639272358420733</v>
      </c>
      <c r="BY41" s="29">
        <v>48.768668613463994</v>
      </c>
      <c r="BZ41" s="29">
        <v>48.900662236318659</v>
      </c>
      <c r="CA41" s="29">
        <v>49.030697667616082</v>
      </c>
      <c r="CB41" s="29">
        <v>49.161858899850046</v>
      </c>
      <c r="CC41" s="29">
        <v>49.287528089353316</v>
      </c>
      <c r="CD41" s="29">
        <v>49.417539779353852</v>
      </c>
      <c r="CE41" s="29">
        <v>49.546438579002135</v>
      </c>
      <c r="CF41" s="29">
        <v>49.67750564229604</v>
      </c>
      <c r="CG41" s="29">
        <v>49.809050583841106</v>
      </c>
      <c r="CH41" s="29">
        <v>49.939450104505433</v>
      </c>
      <c r="CI41" s="29">
        <v>50.068894214672838</v>
      </c>
      <c r="CJ41" s="29">
        <v>50.197381423522359</v>
      </c>
      <c r="CK41" s="29">
        <v>50.324910558824051</v>
      </c>
      <c r="CL41" s="29">
        <v>50.451480807645147</v>
      </c>
      <c r="CM41" s="29">
        <v>50.577091740402388</v>
      </c>
      <c r="CN41" s="29">
        <v>50.70174333064724</v>
      </c>
      <c r="CO41" s="29">
        <v>50.82543597752101</v>
      </c>
      <c r="CP41" s="29">
        <v>50.948170526406464</v>
      </c>
      <c r="CQ41" s="29">
        <v>51.069948285374259</v>
      </c>
      <c r="CR41" s="29">
        <v>51.19077103131054</v>
      </c>
      <c r="CS41" s="29">
        <v>51.310641003484562</v>
      </c>
      <c r="CT41" s="29">
        <v>51.429560871459898</v>
      </c>
      <c r="CU41" s="29">
        <v>51.547530471483896</v>
      </c>
      <c r="CV41" s="29">
        <v>51.664553336755979</v>
      </c>
      <c r="CW41" s="29">
        <v>51.780633060977017</v>
      </c>
      <c r="CX41" s="29">
        <v>51.895773296723846</v>
      </c>
      <c r="CY41" s="29">
        <v>52.009977753853697</v>
      </c>
      <c r="CZ41" s="29">
        <v>52.12325019793699</v>
      </c>
      <c r="DA41" s="29">
        <v>52.235594448717279</v>
      </c>
      <c r="DB41" s="29">
        <v>52.347014378598686</v>
      </c>
      <c r="DC41" s="29">
        <v>52.457513911158728</v>
      </c>
      <c r="DD41" s="29">
        <v>52.567097019685733</v>
      </c>
      <c r="DE41" s="29">
        <v>52.675767725741167</v>
      </c>
      <c r="DF41" s="29">
        <v>52.783530097744084</v>
      </c>
      <c r="DG41" s="29">
        <v>52.890388249579615</v>
      </c>
      <c r="DH41" s="29">
        <v>52.996346339227578</v>
      </c>
      <c r="DI41" s="29">
        <v>53.101408567414047</v>
      </c>
      <c r="DJ41" s="29">
        <v>53.205579176281354</v>
      </c>
      <c r="DK41" s="29">
        <v>53.308862448079509</v>
      </c>
      <c r="DL41" s="29">
        <v>53.411262703876503</v>
      </c>
      <c r="DM41" s="29">
        <v>53.512784302286022</v>
      </c>
      <c r="DN41" s="29">
        <v>53.61343163821568</v>
      </c>
      <c r="DO41" s="29">
        <v>53.713209141630195</v>
      </c>
      <c r="DP41" s="29">
        <v>53.812121276333485</v>
      </c>
      <c r="DQ41" s="29">
        <v>53.910172538766986</v>
      </c>
      <c r="DR41" s="29">
        <v>54.007367456823772</v>
      </c>
      <c r="DS41">
        <v>54.103710588678879</v>
      </c>
      <c r="DT41">
        <v>54.199206521635567</v>
      </c>
      <c r="DU41">
        <v>54.293859870985429</v>
      </c>
    </row>
    <row r="42" spans="1:125">
      <c r="A42" s="34">
        <v>40</v>
      </c>
      <c r="B42" s="35"/>
      <c r="C42" s="35"/>
      <c r="D42" s="35"/>
      <c r="E42" s="35"/>
      <c r="F42" s="35"/>
      <c r="G42" s="35"/>
      <c r="H42" s="35"/>
      <c r="I42" s="35"/>
      <c r="J42" s="35"/>
      <c r="K42" s="35"/>
      <c r="L42" s="35"/>
      <c r="M42" s="35"/>
      <c r="N42" s="35"/>
      <c r="O42" s="35"/>
      <c r="P42" s="35"/>
      <c r="Q42" s="35"/>
      <c r="R42" s="35"/>
      <c r="S42" s="35"/>
      <c r="T42" s="35"/>
      <c r="U42" s="35"/>
      <c r="V42" s="29"/>
      <c r="W42" s="29">
        <v>40.299999999999997</v>
      </c>
      <c r="X42" s="29">
        <v>40.5</v>
      </c>
      <c r="Y42" s="29">
        <v>40.683419565956264</v>
      </c>
      <c r="Z42" s="29">
        <v>40.916273287679715</v>
      </c>
      <c r="AA42" s="29">
        <v>41.061294171162743</v>
      </c>
      <c r="AB42" s="29">
        <v>41.2377315910365</v>
      </c>
      <c r="AC42" s="29">
        <v>41.448716072934147</v>
      </c>
      <c r="AD42" s="29">
        <v>41.555357207848502</v>
      </c>
      <c r="AE42" s="29">
        <v>41.768962607023674</v>
      </c>
      <c r="AF42" s="29">
        <v>41.948554995884699</v>
      </c>
      <c r="AG42" s="29">
        <v>42.11674837460852</v>
      </c>
      <c r="AH42" s="29">
        <v>42.273342943051524</v>
      </c>
      <c r="AI42" s="29">
        <v>42.439679176591405</v>
      </c>
      <c r="AJ42" s="29">
        <v>42.693807717896441</v>
      </c>
      <c r="AK42" s="29">
        <v>42.921376129476762</v>
      </c>
      <c r="AL42" s="29">
        <v>43.18508177316081</v>
      </c>
      <c r="AM42" s="29">
        <v>43.428102522558738</v>
      </c>
      <c r="AN42" s="29">
        <v>43.623908973647588</v>
      </c>
      <c r="AO42" s="29">
        <v>43.759262113819133</v>
      </c>
      <c r="AP42" s="29">
        <v>43.867332911473753</v>
      </c>
      <c r="AQ42" s="29">
        <v>43.897895761225406</v>
      </c>
      <c r="AR42" s="29">
        <v>43.94519075462081</v>
      </c>
      <c r="AS42" s="29">
        <v>43.961364680026136</v>
      </c>
      <c r="AT42" s="29">
        <v>43.909458451624893</v>
      </c>
      <c r="AU42" s="29">
        <v>43.932823845262099</v>
      </c>
      <c r="AV42" s="29">
        <v>43.973952553071115</v>
      </c>
      <c r="AW42" s="29">
        <v>44.18931239304991</v>
      </c>
      <c r="AX42" s="29">
        <v>44.211716847871415</v>
      </c>
      <c r="AY42" s="29">
        <v>44.35415451632722</v>
      </c>
      <c r="AZ42" s="29">
        <v>44.456576601382508</v>
      </c>
      <c r="BA42" s="29">
        <v>44.565092674304992</v>
      </c>
      <c r="BB42" s="29">
        <v>44.68147595292281</v>
      </c>
      <c r="BC42" s="29">
        <v>44.776240176401949</v>
      </c>
      <c r="BD42" s="29">
        <v>44.862600513248815</v>
      </c>
      <c r="BE42" s="29">
        <v>44.9838424096829</v>
      </c>
      <c r="BF42" s="29">
        <v>45.093059736035947</v>
      </c>
      <c r="BG42" s="29">
        <v>45.235077062972927</v>
      </c>
      <c r="BH42" s="29">
        <v>45.404807169950658</v>
      </c>
      <c r="BI42" s="29">
        <v>45.526295995706576</v>
      </c>
      <c r="BJ42" s="29">
        <v>45.66040170167733</v>
      </c>
      <c r="BK42" s="29">
        <v>45.799295045421019</v>
      </c>
      <c r="BL42" s="29">
        <v>45.9770825746631</v>
      </c>
      <c r="BM42" s="29">
        <v>46.143192226442352</v>
      </c>
      <c r="BN42" s="29">
        <v>46.298545865717017</v>
      </c>
      <c r="BO42" s="29">
        <v>46.417808059517306</v>
      </c>
      <c r="BP42" s="29">
        <v>46.57553213520368</v>
      </c>
      <c r="BQ42" s="29">
        <v>46.716737378118275</v>
      </c>
      <c r="BR42" s="29">
        <v>46.852552199963021</v>
      </c>
      <c r="BS42" s="29">
        <v>46.99621981797366</v>
      </c>
      <c r="BT42" s="29">
        <v>47.128539840755217</v>
      </c>
      <c r="BU42" s="29">
        <v>47.258281805172594</v>
      </c>
      <c r="BV42" s="29">
        <v>47.392801025587985</v>
      </c>
      <c r="BW42" s="29">
        <v>47.539383307725522</v>
      </c>
      <c r="BX42" s="29">
        <v>47.668941897275054</v>
      </c>
      <c r="BY42" s="29">
        <v>47.798641775545249</v>
      </c>
      <c r="BZ42" s="29">
        <v>47.928450201364996</v>
      </c>
      <c r="CA42" s="29">
        <v>48.059941079190246</v>
      </c>
      <c r="CB42" s="29">
        <v>48.192320514519828</v>
      </c>
      <c r="CC42" s="29">
        <v>48.318442827319785</v>
      </c>
      <c r="CD42" s="29">
        <v>48.449256946414692</v>
      </c>
      <c r="CE42" s="29">
        <v>48.576651258460522</v>
      </c>
      <c r="CF42" s="29">
        <v>48.709629816915033</v>
      </c>
      <c r="CG42" s="29">
        <v>48.840357410157807</v>
      </c>
      <c r="CH42" s="29">
        <v>48.970142795653743</v>
      </c>
      <c r="CI42" s="29">
        <v>49.098984038046162</v>
      </c>
      <c r="CJ42" s="29">
        <v>49.226879460573301</v>
      </c>
      <c r="CK42" s="29">
        <v>49.353827707717066</v>
      </c>
      <c r="CL42" s="29">
        <v>49.479827785898543</v>
      </c>
      <c r="CM42" s="29">
        <v>49.604879087507889</v>
      </c>
      <c r="CN42" s="29">
        <v>49.728981410663899</v>
      </c>
      <c r="CO42" s="29">
        <v>49.852134981644319</v>
      </c>
      <c r="CP42" s="29">
        <v>49.974340475510957</v>
      </c>
      <c r="CQ42" s="29">
        <v>50.095599032526998</v>
      </c>
      <c r="CR42" s="29">
        <v>50.215912264250328</v>
      </c>
      <c r="CS42" s="29">
        <v>50.33528224706118</v>
      </c>
      <c r="CT42" s="29">
        <v>50.453707997296419</v>
      </c>
      <c r="CU42" s="29">
        <v>50.571192824087795</v>
      </c>
      <c r="CV42" s="29">
        <v>50.687740100953491</v>
      </c>
      <c r="CW42" s="29">
        <v>50.803353264127146</v>
      </c>
      <c r="CX42" s="29">
        <v>50.918035810917765</v>
      </c>
      <c r="CY42" s="29">
        <v>51.03179129809903</v>
      </c>
      <c r="CZ42" s="29">
        <v>51.144623340326334</v>
      </c>
      <c r="DA42" s="29">
        <v>51.256535608580911</v>
      </c>
      <c r="DB42" s="29">
        <v>51.367531828640729</v>
      </c>
      <c r="DC42" s="29">
        <v>51.477615779576581</v>
      </c>
      <c r="DD42" s="29">
        <v>51.586791292272359</v>
      </c>
      <c r="DE42" s="29">
        <v>51.695062247969915</v>
      </c>
      <c r="DF42" s="29">
        <v>51.802432576835777</v>
      </c>
      <c r="DG42" s="29">
        <v>51.908906256551496</v>
      </c>
      <c r="DH42" s="29">
        <v>52.014487310924018</v>
      </c>
      <c r="DI42" s="29">
        <v>52.119179808518631</v>
      </c>
      <c r="DJ42" s="29">
        <v>52.222987861310145</v>
      </c>
      <c r="DK42" s="29">
        <v>52.325915623355357</v>
      </c>
      <c r="DL42" s="29">
        <v>52.427967289484023</v>
      </c>
      <c r="DM42" s="29">
        <v>52.5291470940073</v>
      </c>
      <c r="DN42" s="29">
        <v>52.629459309446347</v>
      </c>
      <c r="DO42" s="29">
        <v>52.728908245275846</v>
      </c>
      <c r="DP42" s="29">
        <v>52.827498246686233</v>
      </c>
      <c r="DQ42" s="29">
        <v>52.925233693362053</v>
      </c>
      <c r="DR42" s="29">
        <v>53.022118998276092</v>
      </c>
      <c r="DS42">
        <v>53.118158606499527</v>
      </c>
      <c r="DT42">
        <v>53.213356994027997</v>
      </c>
      <c r="DU42">
        <v>53.307718666621426</v>
      </c>
    </row>
    <row r="43" spans="1:125">
      <c r="A43" s="34">
        <v>41</v>
      </c>
      <c r="B43" s="35"/>
      <c r="C43" s="35"/>
      <c r="D43" s="35"/>
      <c r="E43" s="35"/>
      <c r="F43" s="35"/>
      <c r="G43" s="35"/>
      <c r="H43" s="35"/>
      <c r="I43" s="35"/>
      <c r="J43" s="35"/>
      <c r="K43" s="35"/>
      <c r="L43" s="35"/>
      <c r="M43" s="35"/>
      <c r="N43" s="35"/>
      <c r="O43" s="35"/>
      <c r="P43" s="35"/>
      <c r="Q43" s="35"/>
      <c r="R43" s="35"/>
      <c r="S43" s="35"/>
      <c r="T43" s="35"/>
      <c r="U43" s="35"/>
      <c r="V43" s="29"/>
      <c r="W43" s="29">
        <v>39.380000000000003</v>
      </c>
      <c r="X43" s="29">
        <v>39.58</v>
      </c>
      <c r="Y43" s="29">
        <v>39.764194188478356</v>
      </c>
      <c r="Z43" s="29">
        <v>39.993654442269914</v>
      </c>
      <c r="AA43" s="29">
        <v>40.135883753895946</v>
      </c>
      <c r="AB43" s="29">
        <v>40.312955508162595</v>
      </c>
      <c r="AC43" s="29">
        <v>40.520828880825469</v>
      </c>
      <c r="AD43" s="29">
        <v>40.628783860127335</v>
      </c>
      <c r="AE43" s="29">
        <v>40.848833541180333</v>
      </c>
      <c r="AF43" s="29">
        <v>41.020287457623297</v>
      </c>
      <c r="AG43" s="29">
        <v>41.185027893968801</v>
      </c>
      <c r="AH43" s="29">
        <v>41.341422149749775</v>
      </c>
      <c r="AI43" s="29">
        <v>41.511977774129804</v>
      </c>
      <c r="AJ43" s="29">
        <v>41.760047750173179</v>
      </c>
      <c r="AK43" s="29">
        <v>41.993197727355955</v>
      </c>
      <c r="AL43" s="29">
        <v>42.253891369546658</v>
      </c>
      <c r="AM43" s="29">
        <v>42.495108094167001</v>
      </c>
      <c r="AN43" s="29">
        <v>42.689072820290988</v>
      </c>
      <c r="AO43" s="29">
        <v>42.821377354657997</v>
      </c>
      <c r="AP43" s="29">
        <v>42.929698348747188</v>
      </c>
      <c r="AQ43" s="29">
        <v>42.959533190845868</v>
      </c>
      <c r="AR43" s="29">
        <v>43.00684437119989</v>
      </c>
      <c r="AS43" s="29">
        <v>43.023456654957073</v>
      </c>
      <c r="AT43" s="29">
        <v>42.965913776752203</v>
      </c>
      <c r="AU43" s="29">
        <v>42.991842813139819</v>
      </c>
      <c r="AV43" s="29">
        <v>43.029858820330347</v>
      </c>
      <c r="AW43" s="29">
        <v>43.245402274645443</v>
      </c>
      <c r="AX43" s="29">
        <v>43.267931770942603</v>
      </c>
      <c r="AY43" s="29">
        <v>43.411951165691463</v>
      </c>
      <c r="AZ43" s="29">
        <v>43.514673597376046</v>
      </c>
      <c r="BA43" s="29">
        <v>43.62039606003102</v>
      </c>
      <c r="BB43" s="29">
        <v>43.735528872994912</v>
      </c>
      <c r="BC43" s="29">
        <v>43.831128466664126</v>
      </c>
      <c r="BD43" s="29">
        <v>43.917115848580544</v>
      </c>
      <c r="BE43" s="29">
        <v>44.038492225944125</v>
      </c>
      <c r="BF43" s="29">
        <v>44.144497718951705</v>
      </c>
      <c r="BG43" s="29">
        <v>44.283193603980664</v>
      </c>
      <c r="BH43" s="29">
        <v>44.452209100585286</v>
      </c>
      <c r="BI43" s="29">
        <v>44.570037210677029</v>
      </c>
      <c r="BJ43" s="29">
        <v>44.703526488209995</v>
      </c>
      <c r="BK43" s="29">
        <v>44.84408973946968</v>
      </c>
      <c r="BL43" s="29">
        <v>45.017383877138833</v>
      </c>
      <c r="BM43" s="29">
        <v>45.181381374359688</v>
      </c>
      <c r="BN43" s="29">
        <v>45.336795478830503</v>
      </c>
      <c r="BO43" s="29">
        <v>45.45505380546615</v>
      </c>
      <c r="BP43" s="29">
        <v>45.610416594160526</v>
      </c>
      <c r="BQ43" s="29">
        <v>45.748410837795703</v>
      </c>
      <c r="BR43" s="29">
        <v>45.886495659395216</v>
      </c>
      <c r="BS43" s="29">
        <v>46.030323711264877</v>
      </c>
      <c r="BT43" s="29">
        <v>46.160421808551476</v>
      </c>
      <c r="BU43" s="29">
        <v>46.292127353058355</v>
      </c>
      <c r="BV43" s="29">
        <v>46.424869353736895</v>
      </c>
      <c r="BW43" s="29">
        <v>46.571810983156865</v>
      </c>
      <c r="BX43" s="29">
        <v>46.698930763454108</v>
      </c>
      <c r="BY43" s="29">
        <v>46.832546116017099</v>
      </c>
      <c r="BZ43" s="29">
        <v>46.9620880726061</v>
      </c>
      <c r="CA43" s="29">
        <v>47.092162614546375</v>
      </c>
      <c r="CB43" s="29">
        <v>47.220369771269674</v>
      </c>
      <c r="CC43" s="29">
        <v>47.349573401940084</v>
      </c>
      <c r="CD43" s="29">
        <v>47.478077098982482</v>
      </c>
      <c r="CE43" s="29">
        <v>47.612161287380822</v>
      </c>
      <c r="CF43" s="29">
        <v>47.74317359854318</v>
      </c>
      <c r="CG43" s="29">
        <v>47.873257481179046</v>
      </c>
      <c r="CH43" s="29">
        <v>48.002410656439118</v>
      </c>
      <c r="CI43" s="29">
        <v>48.130631005745173</v>
      </c>
      <c r="CJ43" s="29">
        <v>48.257916671564558</v>
      </c>
      <c r="CK43" s="29">
        <v>48.384266120071807</v>
      </c>
      <c r="CL43" s="29">
        <v>48.509678181838964</v>
      </c>
      <c r="CM43" s="29">
        <v>48.634152075847688</v>
      </c>
      <c r="CN43" s="29">
        <v>48.757687429227488</v>
      </c>
      <c r="CO43" s="29">
        <v>48.880284299665476</v>
      </c>
      <c r="CP43" s="29">
        <v>49.001943196009158</v>
      </c>
      <c r="CQ43" s="29">
        <v>49.122665094658579</v>
      </c>
      <c r="CR43" s="29">
        <v>49.242451445628632</v>
      </c>
      <c r="CS43" s="29">
        <v>49.361300100900884</v>
      </c>
      <c r="CT43" s="29">
        <v>49.479214142513513</v>
      </c>
      <c r="CU43" s="29">
        <v>49.596196720672644</v>
      </c>
      <c r="CV43" s="29">
        <v>49.712251052042909</v>
      </c>
      <c r="CW43" s="29">
        <v>49.827380418066632</v>
      </c>
      <c r="CX43" s="29">
        <v>49.941588163313199</v>
      </c>
      <c r="CY43" s="29">
        <v>50.054877693857406</v>
      </c>
      <c r="CZ43" s="29">
        <v>50.167252475684961</v>
      </c>
      <c r="DA43" s="29">
        <v>50.278716033124574</v>
      </c>
      <c r="DB43" s="29">
        <v>50.389271947306398</v>
      </c>
      <c r="DC43" s="29">
        <v>50.498923854645078</v>
      </c>
      <c r="DD43" s="29">
        <v>50.607675445346807</v>
      </c>
      <c r="DE43" s="29">
        <v>50.715530461940332</v>
      </c>
      <c r="DF43" s="29">
        <v>50.822492697829531</v>
      </c>
      <c r="DG43" s="29">
        <v>50.928565995869285</v>
      </c>
      <c r="DH43" s="29">
        <v>51.033754246960953</v>
      </c>
      <c r="DI43" s="29">
        <v>51.138061388670216</v>
      </c>
      <c r="DJ43" s="29">
        <v>51.241491403862724</v>
      </c>
      <c r="DK43" s="29">
        <v>51.34404831936083</v>
      </c>
      <c r="DL43" s="29">
        <v>51.445736204618555</v>
      </c>
      <c r="DM43" s="29">
        <v>51.546559170413779</v>
      </c>
      <c r="DN43" s="29">
        <v>51.646521367560283</v>
      </c>
      <c r="DO43" s="29">
        <v>51.745626985634644</v>
      </c>
      <c r="DP43" s="29">
        <v>51.843880251721508</v>
      </c>
      <c r="DQ43" s="29">
        <v>51.941285429174883</v>
      </c>
      <c r="DR43" s="29">
        <v>52.03784681639501</v>
      </c>
      <c r="DS43">
        <v>52.133568745621155</v>
      </c>
      <c r="DT43">
        <v>52.22845558174005</v>
      </c>
      <c r="DU43">
        <v>52.322511721108164</v>
      </c>
    </row>
    <row r="44" spans="1:125">
      <c r="A44" s="34">
        <v>42</v>
      </c>
      <c r="B44" s="35"/>
      <c r="C44" s="35"/>
      <c r="D44" s="35"/>
      <c r="E44" s="35"/>
      <c r="F44" s="35"/>
      <c r="G44" s="35"/>
      <c r="H44" s="35"/>
      <c r="I44" s="35"/>
      <c r="J44" s="35"/>
      <c r="K44" s="35"/>
      <c r="L44" s="35"/>
      <c r="M44" s="35"/>
      <c r="N44" s="35"/>
      <c r="O44" s="35"/>
      <c r="P44" s="35"/>
      <c r="Q44" s="35"/>
      <c r="R44" s="35"/>
      <c r="S44" s="35"/>
      <c r="T44" s="35"/>
      <c r="U44" s="35"/>
      <c r="V44" s="29"/>
      <c r="W44" s="29">
        <v>38.46</v>
      </c>
      <c r="X44" s="29">
        <v>38.659999999999997</v>
      </c>
      <c r="Y44" s="29">
        <v>38.844624220306173</v>
      </c>
      <c r="Z44" s="29">
        <v>39.073294210673502</v>
      </c>
      <c r="AA44" s="29">
        <v>39.216042228396176</v>
      </c>
      <c r="AB44" s="29">
        <v>39.391902763034288</v>
      </c>
      <c r="AC44" s="29">
        <v>39.600314323913445</v>
      </c>
      <c r="AD44" s="29">
        <v>39.712832331050251</v>
      </c>
      <c r="AE44" s="29">
        <v>39.927769230483683</v>
      </c>
      <c r="AF44" s="29">
        <v>40.09897930727773</v>
      </c>
      <c r="AG44" s="29">
        <v>40.26361236699389</v>
      </c>
      <c r="AH44" s="29">
        <v>40.412709207837878</v>
      </c>
      <c r="AI44" s="29">
        <v>40.588988372364589</v>
      </c>
      <c r="AJ44" s="29">
        <v>40.836730506151703</v>
      </c>
      <c r="AK44" s="29">
        <v>41.067678585450686</v>
      </c>
      <c r="AL44" s="29">
        <v>41.325701569863327</v>
      </c>
      <c r="AM44" s="29">
        <v>41.561517801498894</v>
      </c>
      <c r="AN44" s="29">
        <v>41.755189666178261</v>
      </c>
      <c r="AO44" s="29">
        <v>41.885658253615333</v>
      </c>
      <c r="AP44" s="29">
        <v>41.994214097253732</v>
      </c>
      <c r="AQ44" s="29">
        <v>42.024793746999862</v>
      </c>
      <c r="AR44" s="29">
        <v>42.071245864864828</v>
      </c>
      <c r="AS44" s="29">
        <v>42.086396183682275</v>
      </c>
      <c r="AT44" s="29">
        <v>42.026581580024505</v>
      </c>
      <c r="AU44" s="29">
        <v>42.051786121763868</v>
      </c>
      <c r="AV44" s="29">
        <v>42.085808725996365</v>
      </c>
      <c r="AW44" s="29">
        <v>42.302606716392781</v>
      </c>
      <c r="AX44" s="29">
        <v>42.330180656025789</v>
      </c>
      <c r="AY44" s="29">
        <v>42.47070729512027</v>
      </c>
      <c r="AZ44" s="29">
        <v>42.574071034808661</v>
      </c>
      <c r="BA44" s="29">
        <v>42.681653229263766</v>
      </c>
      <c r="BB44" s="29">
        <v>42.792709220680315</v>
      </c>
      <c r="BC44" s="29">
        <v>42.891994746329146</v>
      </c>
      <c r="BD44" s="29">
        <v>42.974793498431083</v>
      </c>
      <c r="BE44" s="29">
        <v>43.093234845736326</v>
      </c>
      <c r="BF44" s="29">
        <v>43.198377983585353</v>
      </c>
      <c r="BG44" s="29">
        <v>43.335622552342869</v>
      </c>
      <c r="BH44" s="29">
        <v>43.50173638575842</v>
      </c>
      <c r="BI44" s="29">
        <v>43.619436474541907</v>
      </c>
      <c r="BJ44" s="29">
        <v>43.752172595639784</v>
      </c>
      <c r="BK44" s="29">
        <v>43.890367189245147</v>
      </c>
      <c r="BL44" s="29">
        <v>44.061066820439493</v>
      </c>
      <c r="BM44" s="29">
        <v>44.2212901297938</v>
      </c>
      <c r="BN44" s="29">
        <v>44.374646487715538</v>
      </c>
      <c r="BO44" s="29">
        <v>44.495804747228142</v>
      </c>
      <c r="BP44" s="29">
        <v>44.648495481862469</v>
      </c>
      <c r="BQ44" s="29">
        <v>44.784682523990178</v>
      </c>
      <c r="BR44" s="29">
        <v>44.924882544347859</v>
      </c>
      <c r="BS44" s="29">
        <v>45.065884379408033</v>
      </c>
      <c r="BT44" s="29">
        <v>45.196919163091231</v>
      </c>
      <c r="BU44" s="29">
        <v>45.326911011528637</v>
      </c>
      <c r="BV44" s="29">
        <v>45.459781182029189</v>
      </c>
      <c r="BW44" s="29">
        <v>45.60741238299893</v>
      </c>
      <c r="BX44" s="29">
        <v>45.732762599937708</v>
      </c>
      <c r="BY44" s="29">
        <v>45.866660422569119</v>
      </c>
      <c r="BZ44" s="29">
        <v>45.995921035184686</v>
      </c>
      <c r="CA44" s="29">
        <v>46.125097072314446</v>
      </c>
      <c r="CB44" s="29">
        <v>46.253973331224039</v>
      </c>
      <c r="CC44" s="29">
        <v>46.384643894566068</v>
      </c>
      <c r="CD44" s="29">
        <v>46.516813699587857</v>
      </c>
      <c r="CE44" s="29">
        <v>46.648066477672302</v>
      </c>
      <c r="CF44" s="29">
        <v>46.778405024698664</v>
      </c>
      <c r="CG44" s="29">
        <v>46.907826855243421</v>
      </c>
      <c r="CH44" s="29">
        <v>47.03632951071971</v>
      </c>
      <c r="CI44" s="29">
        <v>47.163910695011552</v>
      </c>
      <c r="CJ44" s="29">
        <v>47.29056837530235</v>
      </c>
      <c r="CK44" s="29">
        <v>47.416300844756329</v>
      </c>
      <c r="CL44" s="29">
        <v>47.541106763208937</v>
      </c>
      <c r="CM44" s="29">
        <v>47.664985181165704</v>
      </c>
      <c r="CN44" s="29">
        <v>47.787935559523255</v>
      </c>
      <c r="CO44" s="29">
        <v>47.909957791962732</v>
      </c>
      <c r="CP44" s="29">
        <v>48.031052225534225</v>
      </c>
      <c r="CQ44" s="29">
        <v>48.151219677027505</v>
      </c>
      <c r="CR44" s="29">
        <v>48.270456471714695</v>
      </c>
      <c r="CS44" s="29">
        <v>48.388765461956588</v>
      </c>
      <c r="CT44" s="29">
        <v>48.506149571952562</v>
      </c>
      <c r="CU44" s="29">
        <v>48.622611795992817</v>
      </c>
      <c r="CV44" s="29">
        <v>48.738155196743719</v>
      </c>
      <c r="CW44" s="29">
        <v>48.852782903561376</v>
      </c>
      <c r="CX44" s="29">
        <v>48.966498110834479</v>
      </c>
      <c r="CY44" s="29">
        <v>49.079304076355697</v>
      </c>
      <c r="CZ44" s="29">
        <v>49.191204119719615</v>
      </c>
      <c r="DA44" s="29">
        <v>49.302201620746601</v>
      </c>
      <c r="DB44" s="29">
        <v>49.412300017932594</v>
      </c>
      <c r="DC44" s="29">
        <v>49.521502806922975</v>
      </c>
      <c r="DD44" s="29">
        <v>49.629813539009824</v>
      </c>
      <c r="DE44" s="29">
        <v>49.737235819652831</v>
      </c>
      <c r="DF44" s="29">
        <v>49.843773307021266</v>
      </c>
      <c r="DG44" s="29">
        <v>49.949429710558668</v>
      </c>
      <c r="DH44" s="29">
        <v>50.054208789567021</v>
      </c>
      <c r="DI44" s="29">
        <v>50.158114351812614</v>
      </c>
      <c r="DJ44" s="29">
        <v>50.261150252149584</v>
      </c>
      <c r="DK44" s="29">
        <v>50.363320391163967</v>
      </c>
      <c r="DL44" s="29">
        <v>50.464628713835893</v>
      </c>
      <c r="DM44" s="29">
        <v>50.565079208218435</v>
      </c>
      <c r="DN44" s="29">
        <v>50.66467590413626</v>
      </c>
      <c r="DO44" s="29">
        <v>50.763422871898676</v>
      </c>
      <c r="DP44" s="29">
        <v>50.861324221030898</v>
      </c>
      <c r="DQ44" s="29">
        <v>50.958384099021089</v>
      </c>
      <c r="DR44" s="29">
        <v>51.054606690082636</v>
      </c>
      <c r="DS44">
        <v>51.149996213932305</v>
      </c>
      <c r="DT44">
        <v>51.244556924583733</v>
      </c>
      <c r="DU44">
        <v>51.338293109154591</v>
      </c>
    </row>
    <row r="45" spans="1:125">
      <c r="A45" s="34">
        <v>43</v>
      </c>
      <c r="B45" s="35"/>
      <c r="C45" s="35"/>
      <c r="D45" s="35"/>
      <c r="E45" s="35"/>
      <c r="F45" s="35"/>
      <c r="G45" s="35"/>
      <c r="H45" s="35"/>
      <c r="I45" s="35"/>
      <c r="J45" s="35"/>
      <c r="K45" s="35"/>
      <c r="L45" s="35"/>
      <c r="M45" s="35"/>
      <c r="N45" s="35"/>
      <c r="O45" s="35"/>
      <c r="P45" s="35"/>
      <c r="Q45" s="35"/>
      <c r="R45" s="35"/>
      <c r="S45" s="35"/>
      <c r="T45" s="35"/>
      <c r="U45" s="35"/>
      <c r="V45" s="29"/>
      <c r="W45" s="29">
        <v>37.549999999999997</v>
      </c>
      <c r="X45" s="29">
        <v>37.75</v>
      </c>
      <c r="Y45" s="29">
        <v>37.9322383905197</v>
      </c>
      <c r="Z45" s="29">
        <v>38.162621663309572</v>
      </c>
      <c r="AA45" s="29">
        <v>38.304947709788394</v>
      </c>
      <c r="AB45" s="29">
        <v>38.473757757591891</v>
      </c>
      <c r="AC45" s="29">
        <v>38.691151789464847</v>
      </c>
      <c r="AD45" s="29">
        <v>38.798011570562345</v>
      </c>
      <c r="AE45" s="29">
        <v>39.014361531678546</v>
      </c>
      <c r="AF45" s="29">
        <v>39.181732883556151</v>
      </c>
      <c r="AG45" s="29">
        <v>39.34438683700769</v>
      </c>
      <c r="AH45" s="29">
        <v>39.494313241522747</v>
      </c>
      <c r="AI45" s="29">
        <v>39.666213450605142</v>
      </c>
      <c r="AJ45" s="29">
        <v>39.920726627827349</v>
      </c>
      <c r="AK45" s="29">
        <v>40.140478189716426</v>
      </c>
      <c r="AL45" s="29">
        <v>40.396773147275027</v>
      </c>
      <c r="AM45" s="29">
        <v>40.636550007772101</v>
      </c>
      <c r="AN45" s="29">
        <v>40.823699639762573</v>
      </c>
      <c r="AO45" s="29">
        <v>40.958848582461108</v>
      </c>
      <c r="AP45" s="29">
        <v>41.06369072961914</v>
      </c>
      <c r="AQ45" s="29">
        <v>41.094766324252546</v>
      </c>
      <c r="AR45" s="29">
        <v>41.134763463524756</v>
      </c>
      <c r="AS45" s="29">
        <v>41.150184066774443</v>
      </c>
      <c r="AT45" s="29">
        <v>41.095835140818025</v>
      </c>
      <c r="AU45" s="29">
        <v>41.115123356393745</v>
      </c>
      <c r="AV45" s="29">
        <v>41.152736727193691</v>
      </c>
      <c r="AW45" s="29">
        <v>41.365420366591877</v>
      </c>
      <c r="AX45" s="29">
        <v>41.393375092890523</v>
      </c>
      <c r="AY45" s="29">
        <v>41.534358959672886</v>
      </c>
      <c r="AZ45" s="29">
        <v>41.639488708552008</v>
      </c>
      <c r="BA45" s="29">
        <v>41.743519973517571</v>
      </c>
      <c r="BB45" s="29">
        <v>41.854167858787768</v>
      </c>
      <c r="BC45" s="29">
        <v>41.957625266274036</v>
      </c>
      <c r="BD45" s="29">
        <v>42.03291696233287</v>
      </c>
      <c r="BE45" s="29">
        <v>42.148107041811599</v>
      </c>
      <c r="BF45" s="29">
        <v>42.253730769889508</v>
      </c>
      <c r="BG45" s="29">
        <v>42.393793981470388</v>
      </c>
      <c r="BH45" s="29">
        <v>42.554292955513056</v>
      </c>
      <c r="BI45" s="29">
        <v>42.669455217330793</v>
      </c>
      <c r="BJ45" s="29">
        <v>42.803626774729615</v>
      </c>
      <c r="BK45" s="29">
        <v>42.936027463365022</v>
      </c>
      <c r="BL45" s="29">
        <v>43.107734528941329</v>
      </c>
      <c r="BM45" s="29">
        <v>43.267069606834845</v>
      </c>
      <c r="BN45" s="29">
        <v>43.418991601416813</v>
      </c>
      <c r="BO45" s="29">
        <v>43.540396589975138</v>
      </c>
      <c r="BP45" s="29">
        <v>43.689329264845732</v>
      </c>
      <c r="BQ45" s="29">
        <v>43.823059224762062</v>
      </c>
      <c r="BR45" s="29">
        <v>43.965857348391722</v>
      </c>
      <c r="BS45" s="29">
        <v>44.103602382887082</v>
      </c>
      <c r="BT45" s="29">
        <v>44.236978861069993</v>
      </c>
      <c r="BU45" s="29">
        <v>44.365206259927795</v>
      </c>
      <c r="BV45" s="29">
        <v>44.497942577218765</v>
      </c>
      <c r="BW45" s="29">
        <v>44.641274311201656</v>
      </c>
      <c r="BX45" s="29">
        <v>44.771475820291322</v>
      </c>
      <c r="BY45" s="29">
        <v>44.901544305247427</v>
      </c>
      <c r="BZ45" s="29">
        <v>45.034579520825687</v>
      </c>
      <c r="CA45" s="29">
        <v>45.160212538747828</v>
      </c>
      <c r="CB45" s="29">
        <v>45.289570690816149</v>
      </c>
      <c r="CC45" s="29">
        <v>45.423760639789769</v>
      </c>
      <c r="CD45" s="29">
        <v>45.555208924251204</v>
      </c>
      <c r="CE45" s="29">
        <v>45.685757412428138</v>
      </c>
      <c r="CF45" s="29">
        <v>45.815403572023754</v>
      </c>
      <c r="CG45" s="29">
        <v>45.944144742134426</v>
      </c>
      <c r="CH45" s="29">
        <v>46.071978290585157</v>
      </c>
      <c r="CI45" s="29">
        <v>46.198901749666248</v>
      </c>
      <c r="CJ45" s="29">
        <v>46.324912917025337</v>
      </c>
      <c r="CK45" s="29">
        <v>46.450009918375059</v>
      </c>
      <c r="CL45" s="29">
        <v>46.574191248189059</v>
      </c>
      <c r="CM45" s="29">
        <v>46.697455793691809</v>
      </c>
      <c r="CN45" s="29">
        <v>46.819802854566397</v>
      </c>
      <c r="CO45" s="29">
        <v>46.941232165335691</v>
      </c>
      <c r="CP45" s="29">
        <v>47.061743915932205</v>
      </c>
      <c r="CQ45" s="29">
        <v>47.181332550327149</v>
      </c>
      <c r="CR45" s="29">
        <v>47.300000689083419</v>
      </c>
      <c r="CS45" s="29">
        <v>47.417751028146476</v>
      </c>
      <c r="CT45" s="29">
        <v>47.534586337066635</v>
      </c>
      <c r="CU45" s="29">
        <v>47.65050945725109</v>
      </c>
      <c r="CV45" s="29">
        <v>47.765523300248233</v>
      </c>
      <c r="CW45" s="29">
        <v>47.879630846059399</v>
      </c>
      <c r="CX45" s="29">
        <v>47.992835141479361</v>
      </c>
      <c r="CY45" s="29">
        <v>48.105139298464536</v>
      </c>
      <c r="CZ45" s="29">
        <v>48.216546492527094</v>
      </c>
      <c r="DA45" s="29">
        <v>48.327059961154539</v>
      </c>
      <c r="DB45" s="29">
        <v>48.436683002254384</v>
      </c>
      <c r="DC45" s="29">
        <v>48.545418972622464</v>
      </c>
      <c r="DD45" s="29">
        <v>48.653271286434062</v>
      </c>
      <c r="DE45" s="29">
        <v>48.760243413758111</v>
      </c>
      <c r="DF45" s="29">
        <v>48.866338879091948</v>
      </c>
      <c r="DG45" s="29">
        <v>48.971561259918396</v>
      </c>
      <c r="DH45" s="29">
        <v>49.075914185281633</v>
      </c>
      <c r="DI45" s="29">
        <v>49.1794013343846</v>
      </c>
      <c r="DJ45" s="29">
        <v>49.28202643520337</v>
      </c>
      <c r="DK45" s="29">
        <v>49.383793263121817</v>
      </c>
      <c r="DL45" s="29">
        <v>49.484705639583922</v>
      </c>
      <c r="DM45" s="29">
        <v>49.584767430762447</v>
      </c>
      <c r="DN45" s="29">
        <v>49.683982546246966</v>
      </c>
      <c r="DO45" s="29">
        <v>49.782354937746028</v>
      </c>
      <c r="DP45" s="29">
        <v>49.87988859780716</v>
      </c>
      <c r="DQ45" s="29">
        <v>49.976587558552424</v>
      </c>
      <c r="DR45" s="29">
        <v>50.072455890428856</v>
      </c>
      <c r="DS45">
        <v>50.167497700974486</v>
      </c>
      <c r="DT45">
        <v>50.261717133599561</v>
      </c>
      <c r="DU45">
        <v>50.355118366381092</v>
      </c>
    </row>
    <row r="46" spans="1:125">
      <c r="A46" s="34">
        <v>44</v>
      </c>
      <c r="B46" s="35"/>
      <c r="C46" s="35"/>
      <c r="D46" s="35"/>
      <c r="E46" s="35"/>
      <c r="F46" s="35"/>
      <c r="G46" s="35"/>
      <c r="H46" s="35"/>
      <c r="I46" s="35"/>
      <c r="J46" s="35"/>
      <c r="K46" s="35"/>
      <c r="L46" s="35"/>
      <c r="M46" s="35"/>
      <c r="N46" s="35"/>
      <c r="O46" s="35"/>
      <c r="P46" s="35"/>
      <c r="Q46" s="35"/>
      <c r="R46" s="35"/>
      <c r="S46" s="35"/>
      <c r="T46" s="35"/>
      <c r="U46" s="35"/>
      <c r="V46" s="29"/>
      <c r="W46" s="29">
        <v>36.64</v>
      </c>
      <c r="X46" s="29">
        <v>36.840000000000003</v>
      </c>
      <c r="Y46" s="29">
        <v>37.026146976041019</v>
      </c>
      <c r="Z46" s="29">
        <v>37.255245064481755</v>
      </c>
      <c r="AA46" s="29">
        <v>37.395961706482723</v>
      </c>
      <c r="AB46" s="29">
        <v>37.570648192253842</v>
      </c>
      <c r="AC46" s="29">
        <v>37.783851058145629</v>
      </c>
      <c r="AD46" s="29">
        <v>37.883842533086543</v>
      </c>
      <c r="AE46" s="29">
        <v>38.104852182172777</v>
      </c>
      <c r="AF46" s="29">
        <v>38.271988016141066</v>
      </c>
      <c r="AG46" s="29">
        <v>38.435147251313609</v>
      </c>
      <c r="AH46" s="29">
        <v>38.581293019316121</v>
      </c>
      <c r="AI46" s="29">
        <v>38.751870790970514</v>
      </c>
      <c r="AJ46" s="29">
        <v>39.003070750582353</v>
      </c>
      <c r="AK46" s="29">
        <v>39.22315416960533</v>
      </c>
      <c r="AL46" s="29">
        <v>39.474870623162992</v>
      </c>
      <c r="AM46" s="29">
        <v>39.713687493449669</v>
      </c>
      <c r="AN46" s="29">
        <v>39.900420616344761</v>
      </c>
      <c r="AO46" s="29">
        <v>40.030782110381026</v>
      </c>
      <c r="AP46" s="29">
        <v>40.13364690983807</v>
      </c>
      <c r="AQ46" s="29">
        <v>40.163352426078035</v>
      </c>
      <c r="AR46" s="29">
        <v>40.201213941324418</v>
      </c>
      <c r="AS46" s="29">
        <v>40.218101456849709</v>
      </c>
      <c r="AT46" s="29">
        <v>40.168520388497299</v>
      </c>
      <c r="AU46" s="29">
        <v>40.181131924226023</v>
      </c>
      <c r="AV46" s="29">
        <v>40.219951235786077</v>
      </c>
      <c r="AW46" s="29">
        <v>40.432978716046748</v>
      </c>
      <c r="AX46" s="29">
        <v>40.459314434940893</v>
      </c>
      <c r="AY46" s="29">
        <v>40.602862317335905</v>
      </c>
      <c r="AZ46" s="29">
        <v>40.71005797143939</v>
      </c>
      <c r="BA46" s="29">
        <v>40.807543046240028</v>
      </c>
      <c r="BB46" s="29">
        <v>40.917516523596781</v>
      </c>
      <c r="BC46" s="29">
        <v>41.021973788668276</v>
      </c>
      <c r="BD46" s="29">
        <v>41.097512279028273</v>
      </c>
      <c r="BE46" s="29">
        <v>41.213142384380397</v>
      </c>
      <c r="BF46" s="29">
        <v>41.313090501882336</v>
      </c>
      <c r="BG46" s="29">
        <v>41.450735322382897</v>
      </c>
      <c r="BH46" s="29">
        <v>41.611257170021332</v>
      </c>
      <c r="BI46" s="29">
        <v>41.72813231013901</v>
      </c>
      <c r="BJ46" s="29">
        <v>41.857058869815233</v>
      </c>
      <c r="BK46" s="29">
        <v>41.984972767689868</v>
      </c>
      <c r="BL46" s="29">
        <v>42.160872512351958</v>
      </c>
      <c r="BM46" s="29">
        <v>42.31280700446888</v>
      </c>
      <c r="BN46" s="29">
        <v>42.464230010210507</v>
      </c>
      <c r="BO46" s="29">
        <v>42.58503524169334</v>
      </c>
      <c r="BP46" s="29">
        <v>42.734454969205842</v>
      </c>
      <c r="BQ46" s="29">
        <v>42.866648773154125</v>
      </c>
      <c r="BR46" s="29">
        <v>43.009057511280353</v>
      </c>
      <c r="BS46" s="29">
        <v>43.145090245625873</v>
      </c>
      <c r="BT46" s="29">
        <v>43.27772162605968</v>
      </c>
      <c r="BU46" s="29">
        <v>43.404243027317982</v>
      </c>
      <c r="BV46" s="29">
        <v>43.539588577044924</v>
      </c>
      <c r="BW46" s="29">
        <v>43.679821190351085</v>
      </c>
      <c r="BX46" s="29">
        <v>43.810297163927657</v>
      </c>
      <c r="BY46" s="29">
        <v>43.941991992912392</v>
      </c>
      <c r="BZ46" s="29">
        <v>44.073667455401477</v>
      </c>
      <c r="CA46" s="29">
        <v>44.200876142210859</v>
      </c>
      <c r="CB46" s="29">
        <v>44.333193836049546</v>
      </c>
      <c r="CC46" s="29">
        <v>44.464791833265409</v>
      </c>
      <c r="CD46" s="29">
        <v>44.595504536078835</v>
      </c>
      <c r="CE46" s="29">
        <v>44.725329520420445</v>
      </c>
      <c r="CF46" s="29">
        <v>44.854264083451746</v>
      </c>
      <c r="CG46" s="29">
        <v>44.982305395255139</v>
      </c>
      <c r="CH46" s="29">
        <v>45.109450656319588</v>
      </c>
      <c r="CI46" s="29">
        <v>45.235697233391939</v>
      </c>
      <c r="CJ46" s="29">
        <v>45.361042760441677</v>
      </c>
      <c r="CK46" s="29">
        <v>45.48548520140168</v>
      </c>
      <c r="CL46" s="29">
        <v>45.609022890874911</v>
      </c>
      <c r="CM46" s="29">
        <v>45.731654558119388</v>
      </c>
      <c r="CN46" s="29">
        <v>45.853379346746514</v>
      </c>
      <c r="CO46" s="29">
        <v>45.974196837093821</v>
      </c>
      <c r="CP46" s="29">
        <v>46.094099256529709</v>
      </c>
      <c r="CQ46" s="29">
        <v>46.213088992107352</v>
      </c>
      <c r="CR46" s="29">
        <v>46.331168509671301</v>
      </c>
      <c r="CS46" s="29">
        <v>46.448340352052234</v>
      </c>
      <c r="CT46" s="29">
        <v>46.56460713729372</v>
      </c>
      <c r="CU46" s="29">
        <v>46.679971556907994</v>
      </c>
      <c r="CV46" s="29">
        <v>46.794436374163176</v>
      </c>
      <c r="CW46" s="29">
        <v>46.908004422397163</v>
      </c>
      <c r="CX46" s="29">
        <v>47.020678603359435</v>
      </c>
      <c r="CY46" s="29">
        <v>47.132461885579943</v>
      </c>
      <c r="CZ46" s="29">
        <v>47.243357302763123</v>
      </c>
      <c r="DA46" s="29">
        <v>47.353367952206668</v>
      </c>
      <c r="DB46" s="29">
        <v>47.462496993244848</v>
      </c>
      <c r="DC46" s="29">
        <v>47.570747645714626</v>
      </c>
      <c r="DD46" s="29">
        <v>47.678123188444239</v>
      </c>
      <c r="DE46" s="29">
        <v>47.784626957763955</v>
      </c>
      <c r="DF46" s="29">
        <v>47.890262346037083</v>
      </c>
      <c r="DG46" s="29">
        <v>47.995032800212563</v>
      </c>
      <c r="DH46" s="29">
        <v>48.098941820395922</v>
      </c>
      <c r="DI46" s="29">
        <v>48.20199295844121</v>
      </c>
      <c r="DJ46" s="29">
        <v>48.304189816559393</v>
      </c>
      <c r="DK46" s="29">
        <v>48.405536045946654</v>
      </c>
      <c r="DL46" s="29">
        <v>48.506035345429787</v>
      </c>
      <c r="DM46" s="29">
        <v>48.605691460127581</v>
      </c>
      <c r="DN46" s="29">
        <v>48.704508180131107</v>
      </c>
      <c r="DO46" s="29">
        <v>48.802489339197855</v>
      </c>
      <c r="DP46" s="29">
        <v>48.899638813463156</v>
      </c>
      <c r="DQ46" s="29">
        <v>48.995960520166932</v>
      </c>
      <c r="DR46" s="29">
        <v>49.091458416394964</v>
      </c>
      <c r="DS46">
        <v>49.186136497835406</v>
      </c>
      <c r="DT46">
        <v>49.279998797550135</v>
      </c>
      <c r="DU46">
        <v>49.373049384759256</v>
      </c>
    </row>
    <row r="47" spans="1:125">
      <c r="A47" s="34">
        <v>45</v>
      </c>
      <c r="B47" s="35"/>
      <c r="C47" s="35"/>
      <c r="D47" s="35"/>
      <c r="E47" s="35"/>
      <c r="F47" s="35"/>
      <c r="G47" s="35"/>
      <c r="H47" s="35"/>
      <c r="I47" s="35"/>
      <c r="J47" s="35"/>
      <c r="K47" s="35"/>
      <c r="L47" s="35"/>
      <c r="M47" s="35"/>
      <c r="N47" s="35"/>
      <c r="O47" s="35"/>
      <c r="P47" s="35"/>
      <c r="Q47" s="35"/>
      <c r="R47" s="35"/>
      <c r="S47" s="35"/>
      <c r="T47" s="35"/>
      <c r="U47" s="35"/>
      <c r="V47" s="29"/>
      <c r="W47" s="29">
        <v>35.74</v>
      </c>
      <c r="X47" s="29">
        <v>35.94</v>
      </c>
      <c r="Y47" s="29">
        <v>36.121071691216393</v>
      </c>
      <c r="Z47" s="29">
        <v>36.350475700371554</v>
      </c>
      <c r="AA47" s="29">
        <v>36.496988821931666</v>
      </c>
      <c r="AB47" s="29">
        <v>36.66828169719907</v>
      </c>
      <c r="AC47" s="29">
        <v>36.878421566851252</v>
      </c>
      <c r="AD47" s="29">
        <v>36.976535663568541</v>
      </c>
      <c r="AE47" s="29">
        <v>37.2001007953886</v>
      </c>
      <c r="AF47" s="29">
        <v>37.362617918081511</v>
      </c>
      <c r="AG47" s="29">
        <v>37.527826228112339</v>
      </c>
      <c r="AH47" s="29">
        <v>37.673222498064725</v>
      </c>
      <c r="AI47" s="29">
        <v>37.84081673557435</v>
      </c>
      <c r="AJ47" s="29">
        <v>38.093238175545565</v>
      </c>
      <c r="AK47" s="29">
        <v>38.308144035655637</v>
      </c>
      <c r="AL47" s="29">
        <v>38.554826761625094</v>
      </c>
      <c r="AM47" s="29">
        <v>38.793907047759674</v>
      </c>
      <c r="AN47" s="29">
        <v>38.979219043727596</v>
      </c>
      <c r="AO47" s="29">
        <v>39.108236481090273</v>
      </c>
      <c r="AP47" s="29">
        <v>39.204759075151671</v>
      </c>
      <c r="AQ47" s="29">
        <v>39.237549330213341</v>
      </c>
      <c r="AR47" s="29">
        <v>39.273878545759317</v>
      </c>
      <c r="AS47" s="29">
        <v>39.293235312235559</v>
      </c>
      <c r="AT47" s="29">
        <v>39.238827318672961</v>
      </c>
      <c r="AU47" s="29">
        <v>39.255195643169898</v>
      </c>
      <c r="AV47" s="29">
        <v>39.292694012109166</v>
      </c>
      <c r="AW47" s="29">
        <v>39.503251208301293</v>
      </c>
      <c r="AX47" s="29">
        <v>39.531919581164182</v>
      </c>
      <c r="AY47" s="29">
        <v>39.676599516765847</v>
      </c>
      <c r="AZ47" s="29">
        <v>39.780384034538045</v>
      </c>
      <c r="BA47" s="29">
        <v>39.880488430619103</v>
      </c>
      <c r="BB47" s="29">
        <v>39.984325975568403</v>
      </c>
      <c r="BC47" s="29">
        <v>40.090184206293834</v>
      </c>
      <c r="BD47" s="29">
        <v>40.160566330876421</v>
      </c>
      <c r="BE47" s="29">
        <v>40.275603140771544</v>
      </c>
      <c r="BF47" s="29">
        <v>40.376419767940945</v>
      </c>
      <c r="BG47" s="29">
        <v>40.51002428688227</v>
      </c>
      <c r="BH47" s="29">
        <v>40.672411860182862</v>
      </c>
      <c r="BI47" s="29">
        <v>40.783598656828367</v>
      </c>
      <c r="BJ47" s="29">
        <v>40.911870392350671</v>
      </c>
      <c r="BK47" s="29">
        <v>41.03679784168402</v>
      </c>
      <c r="BL47" s="29">
        <v>41.210550142587813</v>
      </c>
      <c r="BM47" s="29">
        <v>41.357932150347096</v>
      </c>
      <c r="BN47" s="29">
        <v>41.512741012426744</v>
      </c>
      <c r="BO47" s="29">
        <v>41.634752423868413</v>
      </c>
      <c r="BP47" s="29">
        <v>41.781008378152485</v>
      </c>
      <c r="BQ47" s="29">
        <v>41.912797934499153</v>
      </c>
      <c r="BR47" s="29">
        <v>42.053521558365567</v>
      </c>
      <c r="BS47" s="29">
        <v>42.190516248195749</v>
      </c>
      <c r="BT47" s="29">
        <v>42.320738954946769</v>
      </c>
      <c r="BU47" s="29">
        <v>42.448394255599531</v>
      </c>
      <c r="BV47" s="29">
        <v>42.582185477127815</v>
      </c>
      <c r="BW47" s="29">
        <v>42.720439518239004</v>
      </c>
      <c r="BX47" s="29">
        <v>42.851772825402904</v>
      </c>
      <c r="BY47" s="29">
        <v>42.982734819076086</v>
      </c>
      <c r="BZ47" s="29">
        <v>43.117960318065819</v>
      </c>
      <c r="CA47" s="29">
        <v>43.245336655448781</v>
      </c>
      <c r="CB47" s="29">
        <v>43.37703736056627</v>
      </c>
      <c r="CC47" s="29">
        <v>43.507867184742395</v>
      </c>
      <c r="CD47" s="29">
        <v>43.637823962404596</v>
      </c>
      <c r="CE47" s="29">
        <v>43.766905104417965</v>
      </c>
      <c r="CF47" s="29">
        <v>43.89510774400317</v>
      </c>
      <c r="CG47" s="29">
        <v>44.022428888606136</v>
      </c>
      <c r="CH47" s="29">
        <v>44.148865577548719</v>
      </c>
      <c r="CI47" s="29">
        <v>44.274415018007261</v>
      </c>
      <c r="CJ47" s="29">
        <v>44.39907468605967</v>
      </c>
      <c r="CK47" s="29">
        <v>44.522842389465964</v>
      </c>
      <c r="CL47" s="29">
        <v>44.645716308390718</v>
      </c>
      <c r="CM47" s="29">
        <v>44.767695019387155</v>
      </c>
      <c r="CN47" s="29">
        <v>44.888777515089551</v>
      </c>
      <c r="CO47" s="29">
        <v>45.008953499120544</v>
      </c>
      <c r="CP47" s="29">
        <v>45.128225123634031</v>
      </c>
      <c r="CQ47" s="29">
        <v>45.246594622837868</v>
      </c>
      <c r="CR47" s="29">
        <v>45.364064311166736</v>
      </c>
      <c r="CS47" s="29">
        <v>45.48063658148623</v>
      </c>
      <c r="CT47" s="29">
        <v>45.596313903328188</v>
      </c>
      <c r="CU47" s="29">
        <v>45.711098821154025</v>
      </c>
      <c r="CV47" s="29">
        <v>45.824993952648676</v>
      </c>
      <c r="CW47" s="29">
        <v>45.93800198704043</v>
      </c>
      <c r="CX47" s="29">
        <v>46.050125683447725</v>
      </c>
      <c r="CY47" s="29">
        <v>46.161367869252388</v>
      </c>
      <c r="CZ47" s="29">
        <v>46.271731438497113</v>
      </c>
      <c r="DA47" s="29">
        <v>46.381219350307056</v>
      </c>
      <c r="DB47" s="29">
        <v>46.489834627335107</v>
      </c>
      <c r="DC47" s="29">
        <v>46.597580354229457</v>
      </c>
      <c r="DD47" s="29">
        <v>46.704459676122738</v>
      </c>
      <c r="DE47" s="29">
        <v>46.810475797142885</v>
      </c>
      <c r="DF47" s="29">
        <v>46.915631978943459</v>
      </c>
      <c r="DG47" s="29">
        <v>47.019931539255069</v>
      </c>
      <c r="DH47" s="29">
        <v>47.123377850454439</v>
      </c>
      <c r="DI47" s="29">
        <v>47.225974338154025</v>
      </c>
      <c r="DJ47" s="29">
        <v>47.327724479807415</v>
      </c>
      <c r="DK47" s="29">
        <v>47.428631803334213</v>
      </c>
      <c r="DL47" s="29">
        <v>47.528699885761462</v>
      </c>
      <c r="DM47" s="29">
        <v>47.627932351880567</v>
      </c>
      <c r="DN47" s="29">
        <v>47.726332872922633</v>
      </c>
      <c r="DO47" s="29">
        <v>47.823905165247268</v>
      </c>
      <c r="DP47" s="29">
        <v>47.920652989048193</v>
      </c>
      <c r="DQ47" s="29">
        <v>48.016580147073789</v>
      </c>
      <c r="DR47" s="29">
        <v>48.111690483361706</v>
      </c>
      <c r="DS47">
        <v>48.20598788198847</v>
      </c>
      <c r="DT47">
        <v>48.299476265833405</v>
      </c>
      <c r="DU47">
        <v>48.392159595355494</v>
      </c>
    </row>
    <row r="48" spans="1:125">
      <c r="A48" s="34">
        <v>46</v>
      </c>
      <c r="B48" s="35"/>
      <c r="C48" s="35"/>
      <c r="D48" s="35"/>
      <c r="E48" s="35"/>
      <c r="F48" s="35"/>
      <c r="G48" s="35"/>
      <c r="H48" s="35"/>
      <c r="I48" s="35"/>
      <c r="J48" s="35"/>
      <c r="K48" s="35"/>
      <c r="L48" s="35"/>
      <c r="M48" s="35"/>
      <c r="N48" s="35"/>
      <c r="O48" s="35"/>
      <c r="P48" s="35"/>
      <c r="Q48" s="35"/>
      <c r="R48" s="35"/>
      <c r="S48" s="35"/>
      <c r="T48" s="35"/>
      <c r="U48" s="35"/>
      <c r="V48" s="29"/>
      <c r="W48" s="29">
        <v>34.840000000000003</v>
      </c>
      <c r="X48" s="29">
        <v>35.04</v>
      </c>
      <c r="Y48" s="29">
        <v>35.223555216322985</v>
      </c>
      <c r="Z48" s="29">
        <v>35.456573992897269</v>
      </c>
      <c r="AA48" s="29">
        <v>35.595019288362664</v>
      </c>
      <c r="AB48" s="29">
        <v>35.764437395699851</v>
      </c>
      <c r="AC48" s="29">
        <v>35.976171839757754</v>
      </c>
      <c r="AD48" s="29">
        <v>36.079764678046473</v>
      </c>
      <c r="AE48" s="29">
        <v>36.298009570924378</v>
      </c>
      <c r="AF48" s="29">
        <v>36.456956339942614</v>
      </c>
      <c r="AG48" s="29">
        <v>36.62140256036448</v>
      </c>
      <c r="AH48" s="29">
        <v>36.770153539803076</v>
      </c>
      <c r="AI48" s="29">
        <v>36.938614176624768</v>
      </c>
      <c r="AJ48" s="29">
        <v>37.183099971067847</v>
      </c>
      <c r="AK48" s="29">
        <v>37.397142706655536</v>
      </c>
      <c r="AL48" s="29">
        <v>37.640188746644199</v>
      </c>
      <c r="AM48" s="29">
        <v>37.878488272331268</v>
      </c>
      <c r="AN48" s="29">
        <v>38.058746133835797</v>
      </c>
      <c r="AO48" s="29">
        <v>38.188665864655526</v>
      </c>
      <c r="AP48" s="29">
        <v>38.282277840539749</v>
      </c>
      <c r="AQ48" s="29">
        <v>38.314834587770676</v>
      </c>
      <c r="AR48" s="29">
        <v>38.353984869180806</v>
      </c>
      <c r="AS48" s="29">
        <v>38.370492036423926</v>
      </c>
      <c r="AT48" s="29">
        <v>38.316711203314554</v>
      </c>
      <c r="AU48" s="29">
        <v>38.338588195021011</v>
      </c>
      <c r="AV48" s="29">
        <v>38.368926984490585</v>
      </c>
      <c r="AW48" s="29">
        <v>38.580550161309979</v>
      </c>
      <c r="AX48" s="29">
        <v>38.610413393291893</v>
      </c>
      <c r="AY48" s="29">
        <v>38.749648249771454</v>
      </c>
      <c r="AZ48" s="29">
        <v>38.853998111881268</v>
      </c>
      <c r="BA48" s="29">
        <v>38.954637164470803</v>
      </c>
      <c r="BB48" s="29">
        <v>39.054529774246539</v>
      </c>
      <c r="BC48" s="29">
        <v>39.158752484897171</v>
      </c>
      <c r="BD48" s="29">
        <v>39.230059746227795</v>
      </c>
      <c r="BE48" s="29">
        <v>39.342961866673257</v>
      </c>
      <c r="BF48" s="29">
        <v>39.443054156026996</v>
      </c>
      <c r="BG48" s="29">
        <v>39.576366295087652</v>
      </c>
      <c r="BH48" s="29">
        <v>39.732579638347147</v>
      </c>
      <c r="BI48" s="29">
        <v>39.844634648284263</v>
      </c>
      <c r="BJ48" s="29">
        <v>39.972387064221792</v>
      </c>
      <c r="BK48" s="29">
        <v>40.096703322999971</v>
      </c>
      <c r="BL48" s="29">
        <v>40.266658152534752</v>
      </c>
      <c r="BM48" s="29">
        <v>40.412099847036977</v>
      </c>
      <c r="BN48" s="29">
        <v>40.56486774125942</v>
      </c>
      <c r="BO48" s="29">
        <v>40.686775978711182</v>
      </c>
      <c r="BP48" s="29">
        <v>40.827569070935098</v>
      </c>
      <c r="BQ48" s="29">
        <v>40.962433549128697</v>
      </c>
      <c r="BR48" s="29">
        <v>41.100925275100742</v>
      </c>
      <c r="BS48" s="29">
        <v>41.235048212752559</v>
      </c>
      <c r="BT48" s="29">
        <v>41.367742135996394</v>
      </c>
      <c r="BU48" s="29">
        <v>41.495902176688183</v>
      </c>
      <c r="BV48" s="29">
        <v>41.633526310451821</v>
      </c>
      <c r="BW48" s="29">
        <v>41.763357170920479</v>
      </c>
      <c r="BX48" s="29">
        <v>41.894794145354766</v>
      </c>
      <c r="BY48" s="29">
        <v>42.030824405746721</v>
      </c>
      <c r="BZ48" s="29">
        <v>42.160451441502516</v>
      </c>
      <c r="CA48" s="29">
        <v>42.292206133320754</v>
      </c>
      <c r="CB48" s="29">
        <v>42.423104127121441</v>
      </c>
      <c r="CC48" s="29">
        <v>42.553143663763116</v>
      </c>
      <c r="CD48" s="29">
        <v>42.682322418490344</v>
      </c>
      <c r="CE48" s="29">
        <v>42.810637643664634</v>
      </c>
      <c r="CF48" s="29">
        <v>42.938086314894335</v>
      </c>
      <c r="CG48" s="29">
        <v>43.064665283100354</v>
      </c>
      <c r="CH48" s="29">
        <v>43.190371432347753</v>
      </c>
      <c r="CI48" s="29">
        <v>43.315201815964606</v>
      </c>
      <c r="CJ48" s="29">
        <v>43.439153757681353</v>
      </c>
      <c r="CK48" s="29">
        <v>43.562224914457893</v>
      </c>
      <c r="CL48" s="29">
        <v>43.684413317226891</v>
      </c>
      <c r="CM48" s="29">
        <v>43.805717394880524</v>
      </c>
      <c r="CN48" s="29">
        <v>43.926124050808134</v>
      </c>
      <c r="CO48" s="29">
        <v>44.045635201104325</v>
      </c>
      <c r="CP48" s="29">
        <v>44.164252847024883</v>
      </c>
      <c r="CQ48" s="29">
        <v>44.281979073142359</v>
      </c>
      <c r="CR48" s="29">
        <v>44.398816045533131</v>
      </c>
      <c r="CS48" s="29">
        <v>44.514766009994922</v>
      </c>
      <c r="CT48" s="29">
        <v>44.629831290294376</v>
      </c>
      <c r="CU48" s="29">
        <v>44.744014286441747</v>
      </c>
      <c r="CV48" s="29">
        <v>44.857317472995419</v>
      </c>
      <c r="CW48" s="29">
        <v>44.969743397391163</v>
      </c>
      <c r="CX48" s="29">
        <v>45.081294678297731</v>
      </c>
      <c r="CY48" s="29">
        <v>45.191974003997913</v>
      </c>
      <c r="CZ48" s="29">
        <v>45.301784130793024</v>
      </c>
      <c r="DA48" s="29">
        <v>45.410727881430716</v>
      </c>
      <c r="DB48" s="29">
        <v>45.518808143555717</v>
      </c>
      <c r="DC48" s="29">
        <v>45.626027868182057</v>
      </c>
      <c r="DD48" s="29">
        <v>45.732390068186156</v>
      </c>
      <c r="DE48" s="29">
        <v>45.837897816820949</v>
      </c>
      <c r="DF48" s="29">
        <v>45.942554246248775</v>
      </c>
      <c r="DG48" s="29">
        <v>46.046362546094649</v>
      </c>
      <c r="DH48" s="29">
        <v>46.149325962016562</v>
      </c>
      <c r="DI48" s="29">
        <v>46.251447794295785</v>
      </c>
      <c r="DJ48" s="29">
        <v>46.352731396442245</v>
      </c>
      <c r="DK48" s="29">
        <v>46.453180173818829</v>
      </c>
      <c r="DL48" s="29">
        <v>46.55279758228172</v>
      </c>
      <c r="DM48" s="29">
        <v>46.651587126835629</v>
      </c>
      <c r="DN48" s="29">
        <v>46.749552360306929</v>
      </c>
      <c r="DO48" s="29">
        <v>46.846696882029825</v>
      </c>
      <c r="DP48" s="29">
        <v>46.94302433654871</v>
      </c>
      <c r="DQ48" s="29">
        <v>47.038538412335157</v>
      </c>
      <c r="DR48" s="29">
        <v>47.133242840518371</v>
      </c>
      <c r="DS48">
        <v>47.227141393630305</v>
      </c>
      <c r="DT48">
        <v>47.320237884364644</v>
      </c>
      <c r="DU48">
        <v>47.412536164348374</v>
      </c>
    </row>
    <row r="49" spans="1:125">
      <c r="A49" s="34">
        <v>47</v>
      </c>
      <c r="B49" s="35"/>
      <c r="C49" s="35"/>
      <c r="D49" s="35"/>
      <c r="E49" s="35"/>
      <c r="F49" s="35"/>
      <c r="G49" s="35"/>
      <c r="H49" s="35"/>
      <c r="I49" s="35"/>
      <c r="J49" s="35"/>
      <c r="K49" s="35"/>
      <c r="L49" s="35"/>
      <c r="M49" s="35"/>
      <c r="N49" s="35"/>
      <c r="O49" s="35"/>
      <c r="P49" s="35"/>
      <c r="Q49" s="35"/>
      <c r="R49" s="35"/>
      <c r="S49" s="35"/>
      <c r="T49" s="35"/>
      <c r="U49" s="35"/>
      <c r="V49" s="29"/>
      <c r="W49" s="29">
        <v>33.950000000000003</v>
      </c>
      <c r="X49" s="29">
        <v>34.15</v>
      </c>
      <c r="Y49" s="29">
        <v>34.340612307871517</v>
      </c>
      <c r="Z49" s="29">
        <v>34.565486878428494</v>
      </c>
      <c r="AA49" s="29">
        <v>34.706288899924949</v>
      </c>
      <c r="AB49" s="29">
        <v>34.871567698568022</v>
      </c>
      <c r="AC49" s="29">
        <v>35.080646845579757</v>
      </c>
      <c r="AD49" s="29">
        <v>35.186659807470143</v>
      </c>
      <c r="AE49" s="29">
        <v>35.401183102557006</v>
      </c>
      <c r="AF49" s="29">
        <v>35.556697765904602</v>
      </c>
      <c r="AG49" s="29">
        <v>35.7188290485593</v>
      </c>
      <c r="AH49" s="29">
        <v>35.870587145814319</v>
      </c>
      <c r="AI49" s="29">
        <v>36.035349721014818</v>
      </c>
      <c r="AJ49" s="29">
        <v>36.275960276666325</v>
      </c>
      <c r="AK49" s="29">
        <v>36.490352703660278</v>
      </c>
      <c r="AL49" s="29">
        <v>36.730610262383479</v>
      </c>
      <c r="AM49" s="29">
        <v>36.960556126922427</v>
      </c>
      <c r="AN49" s="29">
        <v>37.145818381362403</v>
      </c>
      <c r="AO49" s="29">
        <v>37.271407043798476</v>
      </c>
      <c r="AP49" s="29">
        <v>37.366285970651951</v>
      </c>
      <c r="AQ49" s="29">
        <v>37.399900461653722</v>
      </c>
      <c r="AR49" s="29">
        <v>37.438281107850869</v>
      </c>
      <c r="AS49" s="29">
        <v>37.445025314930355</v>
      </c>
      <c r="AT49" s="29">
        <v>37.405435541163897</v>
      </c>
      <c r="AU49" s="29">
        <v>37.424862248492886</v>
      </c>
      <c r="AV49" s="29">
        <v>37.453466017015053</v>
      </c>
      <c r="AW49" s="29">
        <v>37.658586733889422</v>
      </c>
      <c r="AX49" s="29">
        <v>37.690162306653313</v>
      </c>
      <c r="AY49" s="29">
        <v>37.827502565243456</v>
      </c>
      <c r="AZ49" s="29">
        <v>37.930936907378801</v>
      </c>
      <c r="BA49" s="29">
        <v>38.028209914582192</v>
      </c>
      <c r="BB49" s="29">
        <v>38.12843576197325</v>
      </c>
      <c r="BC49" s="29">
        <v>38.232106244850819</v>
      </c>
      <c r="BD49" s="29">
        <v>38.302801416808805</v>
      </c>
      <c r="BE49" s="29">
        <v>38.412013361540829</v>
      </c>
      <c r="BF49" s="29">
        <v>38.515906909090788</v>
      </c>
      <c r="BG49" s="29">
        <v>38.644504802485208</v>
      </c>
      <c r="BH49" s="29">
        <v>38.79899235778813</v>
      </c>
      <c r="BI49" s="29">
        <v>38.909735978830987</v>
      </c>
      <c r="BJ49" s="29">
        <v>39.036033924384242</v>
      </c>
      <c r="BK49" s="29">
        <v>39.156986592547455</v>
      </c>
      <c r="BL49" s="29">
        <v>39.330657503604847</v>
      </c>
      <c r="BM49" s="29">
        <v>39.470483993485502</v>
      </c>
      <c r="BN49" s="29">
        <v>39.618188716760208</v>
      </c>
      <c r="BO49" s="29">
        <v>39.741801965031669</v>
      </c>
      <c r="BP49" s="29">
        <v>39.883777282394526</v>
      </c>
      <c r="BQ49" s="29">
        <v>40.01357609432894</v>
      </c>
      <c r="BR49" s="29">
        <v>40.154797307013837</v>
      </c>
      <c r="BS49" s="29">
        <v>40.284311611126363</v>
      </c>
      <c r="BT49" s="29">
        <v>40.419298862430331</v>
      </c>
      <c r="BU49" s="29">
        <v>40.545179897602097</v>
      </c>
      <c r="BV49" s="29">
        <v>40.681954385354281</v>
      </c>
      <c r="BW49" s="29">
        <v>40.812872674230675</v>
      </c>
      <c r="BX49" s="29">
        <v>40.946329146151392</v>
      </c>
      <c r="BY49" s="29">
        <v>41.078847997764043</v>
      </c>
      <c r="BZ49" s="29">
        <v>41.210605606745716</v>
      </c>
      <c r="CA49" s="29">
        <v>41.341520340127033</v>
      </c>
      <c r="CB49" s="29">
        <v>41.471590992934914</v>
      </c>
      <c r="CC49" s="29">
        <v>41.600815653032512</v>
      </c>
      <c r="CD49" s="29">
        <v>41.729191842851506</v>
      </c>
      <c r="CE49" s="29">
        <v>41.856716662373856</v>
      </c>
      <c r="CF49" s="29">
        <v>41.983386935492092</v>
      </c>
      <c r="CG49" s="29">
        <v>42.10919936228904</v>
      </c>
      <c r="CH49" s="29">
        <v>42.234150677066907</v>
      </c>
      <c r="CI49" s="29">
        <v>42.358237784620634</v>
      </c>
      <c r="CJ49" s="29">
        <v>42.481457861479882</v>
      </c>
      <c r="CK49" s="29">
        <v>42.603808418789576</v>
      </c>
      <c r="CL49" s="29">
        <v>42.725287343079003</v>
      </c>
      <c r="CM49" s="29">
        <v>42.8458784917622</v>
      </c>
      <c r="CN49" s="29">
        <v>42.965583543851118</v>
      </c>
      <c r="CO49" s="29">
        <v>43.084404266460901</v>
      </c>
      <c r="CP49" s="29">
        <v>43.202342512953692</v>
      </c>
      <c r="CQ49" s="29">
        <v>43.319400221113504</v>
      </c>
      <c r="CR49" s="29">
        <v>43.435579411351448</v>
      </c>
      <c r="CS49" s="29">
        <v>43.550882184940342</v>
      </c>
      <c r="CT49" s="29">
        <v>43.665310722278434</v>
      </c>
      <c r="CU49" s="29">
        <v>43.778867281179217</v>
      </c>
      <c r="CV49" s="29">
        <v>43.891554195190061</v>
      </c>
      <c r="CW49" s="29">
        <v>44.003373871934649</v>
      </c>
      <c r="CX49" s="29">
        <v>44.114328791480837</v>
      </c>
      <c r="CY49" s="29">
        <v>44.224421504733101</v>
      </c>
      <c r="CZ49" s="29">
        <v>44.33365463184743</v>
      </c>
      <c r="DA49" s="29">
        <v>44.442030860668815</v>
      </c>
      <c r="DB49" s="29">
        <v>44.54955294519074</v>
      </c>
      <c r="DC49" s="29">
        <v>44.656223704035405</v>
      </c>
      <c r="DD49" s="29">
        <v>44.762046018953967</v>
      </c>
      <c r="DE49" s="29">
        <v>44.8670228333471</v>
      </c>
      <c r="DF49" s="29">
        <v>44.971157150803563</v>
      </c>
      <c r="DG49" s="29">
        <v>45.074452033658396</v>
      </c>
      <c r="DH49" s="29">
        <v>45.176910601567556</v>
      </c>
      <c r="DI49" s="29">
        <v>45.278536030101684</v>
      </c>
      <c r="DJ49" s="29">
        <v>45.379331549354454</v>
      </c>
      <c r="DK49" s="29">
        <v>45.479300442569205</v>
      </c>
      <c r="DL49" s="29">
        <v>45.57844604478084</v>
      </c>
      <c r="DM49" s="29">
        <v>45.676771741472244</v>
      </c>
      <c r="DN49" s="29">
        <v>45.77428096724784</v>
      </c>
      <c r="DO49" s="29">
        <v>45.870977204519704</v>
      </c>
      <c r="DP49" s="29">
        <v>45.966863982209368</v>
      </c>
      <c r="DQ49" s="29">
        <v>46.061944874463705</v>
      </c>
      <c r="DR49" s="29">
        <v>46.156223499383643</v>
      </c>
      <c r="DS49">
        <v>46.249703517767415</v>
      </c>
      <c r="DT49">
        <v>46.342388631866761</v>
      </c>
      <c r="DU49">
        <v>46.434282584155632</v>
      </c>
    </row>
    <row r="50" spans="1:125">
      <c r="A50" s="34">
        <v>48</v>
      </c>
      <c r="B50" s="35"/>
      <c r="C50" s="35"/>
      <c r="D50" s="35"/>
      <c r="E50" s="35"/>
      <c r="F50" s="35"/>
      <c r="G50" s="35"/>
      <c r="H50" s="35"/>
      <c r="I50" s="35"/>
      <c r="J50" s="35"/>
      <c r="K50" s="35"/>
      <c r="L50" s="35"/>
      <c r="M50" s="35"/>
      <c r="N50" s="35"/>
      <c r="O50" s="35"/>
      <c r="P50" s="35"/>
      <c r="Q50" s="35"/>
      <c r="R50" s="35"/>
      <c r="S50" s="35"/>
      <c r="T50" s="35"/>
      <c r="U50" s="35"/>
      <c r="V50" s="29"/>
      <c r="W50" s="29">
        <v>33.07</v>
      </c>
      <c r="X50" s="29">
        <v>33.270000000000003</v>
      </c>
      <c r="Y50" s="29">
        <v>33.45558511010374</v>
      </c>
      <c r="Z50" s="29">
        <v>33.677914336355734</v>
      </c>
      <c r="AA50" s="29">
        <v>33.816706328651613</v>
      </c>
      <c r="AB50" s="29">
        <v>33.985684313854811</v>
      </c>
      <c r="AC50" s="29">
        <v>34.192127451573668</v>
      </c>
      <c r="AD50" s="29">
        <v>34.295465140400232</v>
      </c>
      <c r="AE50" s="29">
        <v>34.508756649774753</v>
      </c>
      <c r="AF50" s="29">
        <v>34.665734872238509</v>
      </c>
      <c r="AG50" s="29">
        <v>34.825214896975488</v>
      </c>
      <c r="AH50" s="29">
        <v>34.977039915100768</v>
      </c>
      <c r="AI50" s="29">
        <v>35.138413307577558</v>
      </c>
      <c r="AJ50" s="29">
        <v>35.375803334230376</v>
      </c>
      <c r="AK50" s="29">
        <v>35.585376907410918</v>
      </c>
      <c r="AL50" s="29">
        <v>35.822666410143739</v>
      </c>
      <c r="AM50" s="29">
        <v>36.045461822251447</v>
      </c>
      <c r="AN50" s="29">
        <v>36.234320287156962</v>
      </c>
      <c r="AO50" s="29">
        <v>36.357610140929822</v>
      </c>
      <c r="AP50" s="29">
        <v>36.45252086236507</v>
      </c>
      <c r="AQ50" s="29">
        <v>36.486472209569598</v>
      </c>
      <c r="AR50" s="29">
        <v>36.522846226761402</v>
      </c>
      <c r="AS50" s="29">
        <v>36.533041428787747</v>
      </c>
      <c r="AT50" s="29">
        <v>36.493809748163919</v>
      </c>
      <c r="AU50" s="29">
        <v>36.510341061637035</v>
      </c>
      <c r="AV50" s="29">
        <v>36.539549270786679</v>
      </c>
      <c r="AW50" s="29">
        <v>36.743075141696927</v>
      </c>
      <c r="AX50" s="29">
        <v>36.772220375862631</v>
      </c>
      <c r="AY50" s="29">
        <v>36.908337542570017</v>
      </c>
      <c r="AZ50" s="29">
        <v>37.011197851284976</v>
      </c>
      <c r="BA50" s="29">
        <v>37.104915504596669</v>
      </c>
      <c r="BB50" s="29">
        <v>37.207050785183824</v>
      </c>
      <c r="BC50" s="29">
        <v>37.306981238360066</v>
      </c>
      <c r="BD50" s="29">
        <v>37.378223014677694</v>
      </c>
      <c r="BE50" s="29">
        <v>37.486850975987878</v>
      </c>
      <c r="BF50" s="29">
        <v>37.589070646538651</v>
      </c>
      <c r="BG50" s="29">
        <v>37.715909455539197</v>
      </c>
      <c r="BH50" s="29">
        <v>37.868026036459817</v>
      </c>
      <c r="BI50" s="29">
        <v>37.97910025033552</v>
      </c>
      <c r="BJ50" s="29">
        <v>38.104763440184264</v>
      </c>
      <c r="BK50" s="29">
        <v>38.223399224308444</v>
      </c>
      <c r="BL50" s="29">
        <v>38.39244331367216</v>
      </c>
      <c r="BM50" s="29">
        <v>38.535277026408757</v>
      </c>
      <c r="BN50" s="29">
        <v>38.68129337204433</v>
      </c>
      <c r="BO50" s="29">
        <v>38.80464732118466</v>
      </c>
      <c r="BP50" s="29">
        <v>38.940685612908034</v>
      </c>
      <c r="BQ50" s="29">
        <v>39.07086581406449</v>
      </c>
      <c r="BR50" s="29">
        <v>39.212257464248829</v>
      </c>
      <c r="BS50" s="29">
        <v>39.338072451306296</v>
      </c>
      <c r="BT50" s="29">
        <v>39.472012660419452</v>
      </c>
      <c r="BU50" s="29">
        <v>39.599723056414966</v>
      </c>
      <c r="BV50" s="29">
        <v>39.731503949269595</v>
      </c>
      <c r="BW50" s="29">
        <v>39.864123476273299</v>
      </c>
      <c r="BX50" s="29">
        <v>40.000893720534108</v>
      </c>
      <c r="BY50" s="29">
        <v>40.132600038322785</v>
      </c>
      <c r="BZ50" s="29">
        <v>40.263476827980604</v>
      </c>
      <c r="CA50" s="29">
        <v>40.393523584164058</v>
      </c>
      <c r="CB50" s="29">
        <v>40.522738955323213</v>
      </c>
      <c r="CC50" s="29">
        <v>40.651120882366087</v>
      </c>
      <c r="CD50" s="29">
        <v>40.778666740688571</v>
      </c>
      <c r="CE50" s="29">
        <v>40.905373483428413</v>
      </c>
      <c r="CF50" s="29">
        <v>41.031237788076247</v>
      </c>
      <c r="CG50" s="29">
        <v>41.156256208988331</v>
      </c>
      <c r="CH50" s="29">
        <v>41.280425335631662</v>
      </c>
      <c r="CI50" s="29">
        <v>41.403741929026701</v>
      </c>
      <c r="CJ50" s="29">
        <v>41.526203023103136</v>
      </c>
      <c r="CK50" s="29">
        <v>41.647805987641036</v>
      </c>
      <c r="CL50" s="29">
        <v>41.76853141476051</v>
      </c>
      <c r="CM50" s="29">
        <v>41.888380745400305</v>
      </c>
      <c r="CN50" s="29">
        <v>42.007355511371543</v>
      </c>
      <c r="CO50" s="29">
        <v>42.125457333493138</v>
      </c>
      <c r="CP50" s="29">
        <v>42.242687919759867</v>
      </c>
      <c r="CQ50" s="29">
        <v>42.359049063540454</v>
      </c>
      <c r="CR50" s="29">
        <v>42.474542641804817</v>
      </c>
      <c r="CS50" s="29">
        <v>42.589170613379665</v>
      </c>
      <c r="CT50" s="29">
        <v>42.702935017232086</v>
      </c>
      <c r="CU50" s="29">
        <v>42.815837970778183</v>
      </c>
      <c r="CV50" s="29">
        <v>42.92788166821947</v>
      </c>
      <c r="CW50" s="29">
        <v>43.039068378902186</v>
      </c>
      <c r="CX50" s="29">
        <v>43.149400445700842</v>
      </c>
      <c r="CY50" s="29">
        <v>43.258880283425597</v>
      </c>
      <c r="CZ50" s="29">
        <v>43.367510377251037</v>
      </c>
      <c r="DA50" s="29">
        <v>43.475293281166614</v>
      </c>
      <c r="DB50" s="29">
        <v>43.582231616448297</v>
      </c>
      <c r="DC50" s="29">
        <v>43.688328070150007</v>
      </c>
      <c r="DD50" s="29">
        <v>43.793585393614244</v>
      </c>
      <c r="DE50" s="29">
        <v>43.898006401002228</v>
      </c>
      <c r="DF50" s="29">
        <v>44.001593967841188</v>
      </c>
      <c r="DG50" s="29">
        <v>44.104351029590639</v>
      </c>
      <c r="DH50" s="29">
        <v>44.206280580224188</v>
      </c>
      <c r="DI50" s="29">
        <v>44.307385670829781</v>
      </c>
      <c r="DJ50" s="29">
        <v>44.407669408223938</v>
      </c>
      <c r="DK50" s="29">
        <v>44.507134953583403</v>
      </c>
      <c r="DL50" s="29">
        <v>44.60578552109147</v>
      </c>
      <c r="DM50" s="29">
        <v>44.70362437659827</v>
      </c>
      <c r="DN50" s="29">
        <v>44.800654836297362</v>
      </c>
      <c r="DO50" s="29">
        <v>44.896880265414495</v>
      </c>
      <c r="DP50" s="29">
        <v>44.992304076911282</v>
      </c>
      <c r="DQ50" s="29">
        <v>45.08692973020252</v>
      </c>
      <c r="DR50" s="29">
        <v>45.180760729885776</v>
      </c>
      <c r="DS50">
        <v>45.273800624484778</v>
      </c>
      <c r="DT50">
        <v>45.366053005205629</v>
      </c>
      <c r="DU50">
        <v>45.457521504704609</v>
      </c>
    </row>
    <row r="51" spans="1:125">
      <c r="A51" s="34">
        <v>49</v>
      </c>
      <c r="B51" s="35"/>
      <c r="C51" s="35"/>
      <c r="D51" s="35"/>
      <c r="E51" s="35"/>
      <c r="F51" s="35"/>
      <c r="G51" s="35"/>
      <c r="H51" s="35"/>
      <c r="I51" s="35"/>
      <c r="J51" s="35"/>
      <c r="K51" s="35"/>
      <c r="L51" s="35"/>
      <c r="M51" s="35"/>
      <c r="N51" s="35"/>
      <c r="O51" s="35"/>
      <c r="P51" s="35"/>
      <c r="Q51" s="35"/>
      <c r="R51" s="35"/>
      <c r="S51" s="35"/>
      <c r="T51" s="35"/>
      <c r="U51" s="35"/>
      <c r="V51" s="29"/>
      <c r="W51" s="29">
        <v>32.200000000000003</v>
      </c>
      <c r="X51" s="29">
        <v>32.4</v>
      </c>
      <c r="Y51" s="29">
        <v>32.582917187560703</v>
      </c>
      <c r="Z51" s="29">
        <v>32.797671751911757</v>
      </c>
      <c r="AA51" s="29">
        <v>32.93665309974002</v>
      </c>
      <c r="AB51" s="29">
        <v>33.109626460856788</v>
      </c>
      <c r="AC51" s="29">
        <v>33.308786717219895</v>
      </c>
      <c r="AD51" s="29">
        <v>33.40930040399725</v>
      </c>
      <c r="AE51" s="29">
        <v>33.62208455755453</v>
      </c>
      <c r="AF51" s="29">
        <v>33.779219236846494</v>
      </c>
      <c r="AG51" s="29">
        <v>33.932871959371553</v>
      </c>
      <c r="AH51" s="29">
        <v>34.089921915853779</v>
      </c>
      <c r="AI51" s="29">
        <v>34.240781133845218</v>
      </c>
      <c r="AJ51" s="29">
        <v>34.475916278234862</v>
      </c>
      <c r="AK51" s="29">
        <v>34.683795875272963</v>
      </c>
      <c r="AL51" s="29">
        <v>34.919036743421358</v>
      </c>
      <c r="AM51" s="29">
        <v>35.141734991412356</v>
      </c>
      <c r="AN51" s="29">
        <v>35.330249792626375</v>
      </c>
      <c r="AO51" s="29">
        <v>35.451083557115126</v>
      </c>
      <c r="AP51" s="29">
        <v>35.544527666322189</v>
      </c>
      <c r="AQ51" s="29">
        <v>35.580288257323033</v>
      </c>
      <c r="AR51" s="29">
        <v>35.617889271236272</v>
      </c>
      <c r="AS51" s="29">
        <v>35.627710026082489</v>
      </c>
      <c r="AT51" s="29">
        <v>35.586388986335216</v>
      </c>
      <c r="AU51" s="29">
        <v>35.604258398760805</v>
      </c>
      <c r="AV51" s="29">
        <v>35.631494398025445</v>
      </c>
      <c r="AW51" s="29">
        <v>35.833483815542429</v>
      </c>
      <c r="AX51" s="29">
        <v>35.857782985644576</v>
      </c>
      <c r="AY51" s="29">
        <v>35.993779557694992</v>
      </c>
      <c r="AZ51" s="29">
        <v>36.09478062679532</v>
      </c>
      <c r="BA51" s="29">
        <v>36.186756775572427</v>
      </c>
      <c r="BB51" s="29">
        <v>36.28849793856736</v>
      </c>
      <c r="BC51" s="29">
        <v>36.38940123798524</v>
      </c>
      <c r="BD51" s="29">
        <v>36.456853762764055</v>
      </c>
      <c r="BE51" s="29">
        <v>36.565250025428909</v>
      </c>
      <c r="BF51" s="29">
        <v>36.66343129801178</v>
      </c>
      <c r="BG51" s="29">
        <v>36.792414353247509</v>
      </c>
      <c r="BH51" s="29">
        <v>36.936964599418246</v>
      </c>
      <c r="BI51" s="29">
        <v>37.05045121161745</v>
      </c>
      <c r="BJ51" s="29">
        <v>37.172902902609742</v>
      </c>
      <c r="BK51" s="29">
        <v>37.292014200933295</v>
      </c>
      <c r="BL51" s="29">
        <v>37.458396392880829</v>
      </c>
      <c r="BM51" s="29">
        <v>37.60082387813187</v>
      </c>
      <c r="BN51" s="29">
        <v>37.745643194756049</v>
      </c>
      <c r="BO51" s="29">
        <v>37.865117880931962</v>
      </c>
      <c r="BP51" s="29">
        <v>37.999516435187125</v>
      </c>
      <c r="BQ51" s="29">
        <v>38.135493782759475</v>
      </c>
      <c r="BR51" s="29">
        <v>38.273966844534435</v>
      </c>
      <c r="BS51" s="29">
        <v>38.397315310865785</v>
      </c>
      <c r="BT51" s="29">
        <v>38.529112730923913</v>
      </c>
      <c r="BU51" s="29">
        <v>38.659566045646272</v>
      </c>
      <c r="BV51" s="29">
        <v>38.793289550787044</v>
      </c>
      <c r="BW51" s="29">
        <v>38.927018429840224</v>
      </c>
      <c r="BX51" s="29">
        <v>39.058615263995534</v>
      </c>
      <c r="BY51" s="29">
        <v>39.189395333991129</v>
      </c>
      <c r="BZ51" s="29">
        <v>39.319358986677798</v>
      </c>
      <c r="CA51" s="29">
        <v>39.448505576760375</v>
      </c>
      <c r="CB51" s="29">
        <v>39.576833611722634</v>
      </c>
      <c r="CC51" s="29">
        <v>39.704340890840292</v>
      </c>
      <c r="CD51" s="29">
        <v>39.831024647533987</v>
      </c>
      <c r="CE51" s="29">
        <v>39.95688169291909</v>
      </c>
      <c r="CF51" s="29">
        <v>40.081908562689726</v>
      </c>
      <c r="CG51" s="29">
        <v>40.20610166988569</v>
      </c>
      <c r="CH51" s="29">
        <v>40.329457463373593</v>
      </c>
      <c r="CI51" s="29">
        <v>40.451972564475469</v>
      </c>
      <c r="CJ51" s="29">
        <v>40.573643868450105</v>
      </c>
      <c r="CK51" s="29">
        <v>40.694448512132702</v>
      </c>
      <c r="CL51" s="29">
        <v>40.814387697339356</v>
      </c>
      <c r="CM51" s="29">
        <v>40.933462719342195</v>
      </c>
      <c r="CN51" s="29">
        <v>41.051674965004175</v>
      </c>
      <c r="CO51" s="29">
        <v>41.169025910944079</v>
      </c>
      <c r="CP51" s="29">
        <v>41.28551712173293</v>
      </c>
      <c r="CQ51" s="29">
        <v>41.401150248119222</v>
      </c>
      <c r="CR51" s="29">
        <v>41.515927025282153</v>
      </c>
      <c r="CS51" s="29">
        <v>41.629849271112057</v>
      </c>
      <c r="CT51" s="29">
        <v>41.742918884517579</v>
      </c>
      <c r="CU51" s="29">
        <v>41.855137843757021</v>
      </c>
      <c r="CV51" s="29">
        <v>41.966508204796071</v>
      </c>
      <c r="CW51" s="29">
        <v>42.077032099687642</v>
      </c>
      <c r="CX51" s="29">
        <v>42.186711734974736</v>
      </c>
      <c r="CY51" s="29">
        <v>42.295549390116179</v>
      </c>
      <c r="CZ51" s="29">
        <v>42.403547415932735</v>
      </c>
      <c r="DA51" s="29">
        <v>42.510708233074013</v>
      </c>
      <c r="DB51" s="29">
        <v>42.617034330505426</v>
      </c>
      <c r="DC51" s="29">
        <v>42.72252826401423</v>
      </c>
      <c r="DD51" s="29">
        <v>42.827192654733722</v>
      </c>
      <c r="DE51" s="29">
        <v>42.931030187686069</v>
      </c>
      <c r="DF51" s="29">
        <v>43.034043610341577</v>
      </c>
      <c r="DG51" s="29">
        <v>43.136235731195839</v>
      </c>
      <c r="DH51" s="29">
        <v>43.237609418361892</v>
      </c>
      <c r="DI51" s="29">
        <v>43.338167598179822</v>
      </c>
      <c r="DJ51" s="29">
        <v>43.437913253839696</v>
      </c>
      <c r="DK51" s="29">
        <v>43.536849424021078</v>
      </c>
      <c r="DL51" s="29">
        <v>43.634979201546621</v>
      </c>
      <c r="DM51" s="29">
        <v>43.732305732048694</v>
      </c>
      <c r="DN51" s="29">
        <v>43.82883221265196</v>
      </c>
      <c r="DO51" s="29">
        <v>43.924561890667086</v>
      </c>
      <c r="DP51" s="29">
        <v>44.019498062299093</v>
      </c>
      <c r="DQ51" s="29">
        <v>44.113644071368334</v>
      </c>
      <c r="DR51" s="29">
        <v>44.207003308043511</v>
      </c>
      <c r="DS51">
        <v>44.299579207587712</v>
      </c>
      <c r="DT51">
        <v>44.391375249116642</v>
      </c>
      <c r="DU51">
        <v>44.482394954368132</v>
      </c>
    </row>
    <row r="52" spans="1:125">
      <c r="A52" s="34">
        <v>50</v>
      </c>
      <c r="B52" s="35"/>
      <c r="C52" s="35"/>
      <c r="D52" s="35"/>
      <c r="E52" s="35"/>
      <c r="F52" s="35"/>
      <c r="G52" s="35"/>
      <c r="H52" s="35"/>
      <c r="I52" s="35"/>
      <c r="J52" s="35"/>
      <c r="K52" s="35"/>
      <c r="L52" s="35"/>
      <c r="M52" s="35"/>
      <c r="N52" s="35"/>
      <c r="O52" s="35"/>
      <c r="P52" s="35"/>
      <c r="Q52" s="35"/>
      <c r="R52" s="35"/>
      <c r="S52" s="35"/>
      <c r="T52" s="35"/>
      <c r="U52" s="35"/>
      <c r="V52" s="29"/>
      <c r="W52" s="29">
        <v>31.33</v>
      </c>
      <c r="X52" s="29">
        <v>31.53</v>
      </c>
      <c r="Y52" s="29">
        <v>31.71058245229689</v>
      </c>
      <c r="Z52" s="29">
        <v>31.920101663703406</v>
      </c>
      <c r="AA52" s="29">
        <v>32.06201941434017</v>
      </c>
      <c r="AB52" s="29">
        <v>32.231674866449303</v>
      </c>
      <c r="AC52" s="29">
        <v>32.431430945727072</v>
      </c>
      <c r="AD52" s="29">
        <v>32.529393984445498</v>
      </c>
      <c r="AE52" s="29">
        <v>32.74405592016295</v>
      </c>
      <c r="AF52" s="29">
        <v>32.892787196593986</v>
      </c>
      <c r="AG52" s="29">
        <v>33.048914680638099</v>
      </c>
      <c r="AH52" s="29">
        <v>33.202295635538078</v>
      </c>
      <c r="AI52" s="29">
        <v>33.350433480065668</v>
      </c>
      <c r="AJ52" s="29">
        <v>33.582028740112278</v>
      </c>
      <c r="AK52" s="29">
        <v>33.783760418258161</v>
      </c>
      <c r="AL52" s="29">
        <v>34.021957466679645</v>
      </c>
      <c r="AM52" s="29">
        <v>34.241447664745401</v>
      </c>
      <c r="AN52" s="29">
        <v>34.427551420236234</v>
      </c>
      <c r="AO52" s="29">
        <v>34.547577506584453</v>
      </c>
      <c r="AP52" s="29">
        <v>34.641047995450243</v>
      </c>
      <c r="AQ52" s="29">
        <v>34.676112198763718</v>
      </c>
      <c r="AR52" s="29">
        <v>34.712908530793484</v>
      </c>
      <c r="AS52" s="29">
        <v>34.724634230021479</v>
      </c>
      <c r="AT52" s="29">
        <v>34.678982092029713</v>
      </c>
      <c r="AU52" s="29">
        <v>34.699959270200623</v>
      </c>
      <c r="AV52" s="29">
        <v>34.728103159385213</v>
      </c>
      <c r="AW52" s="29">
        <v>34.924336129758004</v>
      </c>
      <c r="AX52" s="29">
        <v>34.946828705509716</v>
      </c>
      <c r="AY52" s="29">
        <v>35.079597605947427</v>
      </c>
      <c r="AZ52" s="29">
        <v>35.181491653188324</v>
      </c>
      <c r="BA52" s="29">
        <v>35.272031102670539</v>
      </c>
      <c r="BB52" s="29">
        <v>35.375164306954176</v>
      </c>
      <c r="BC52" s="29">
        <v>35.478066143149974</v>
      </c>
      <c r="BD52" s="29">
        <v>35.542330626215943</v>
      </c>
      <c r="BE52" s="29">
        <v>35.648504225576652</v>
      </c>
      <c r="BF52" s="29">
        <v>35.747090058673066</v>
      </c>
      <c r="BG52" s="29">
        <v>35.868314894375999</v>
      </c>
      <c r="BH52" s="29">
        <v>36.012661269359938</v>
      </c>
      <c r="BI52" s="29">
        <v>36.129087646804003</v>
      </c>
      <c r="BJ52" s="29">
        <v>36.247407633945699</v>
      </c>
      <c r="BK52" s="29">
        <v>36.369462091467135</v>
      </c>
      <c r="BL52" s="29">
        <v>36.532128121206682</v>
      </c>
      <c r="BM52" s="29">
        <v>36.667792154769842</v>
      </c>
      <c r="BN52" s="29">
        <v>36.812525433998751</v>
      </c>
      <c r="BO52" s="29">
        <v>36.934799660882547</v>
      </c>
      <c r="BP52" s="29">
        <v>37.067103223364271</v>
      </c>
      <c r="BQ52" s="29">
        <v>37.20002103833378</v>
      </c>
      <c r="BR52" s="29">
        <v>37.342732971550873</v>
      </c>
      <c r="BS52" s="29">
        <v>37.45882771238977</v>
      </c>
      <c r="BT52" s="29">
        <v>37.593383913620876</v>
      </c>
      <c r="BU52" s="29">
        <v>37.72484509461102</v>
      </c>
      <c r="BV52" s="29">
        <v>37.857681350609589</v>
      </c>
      <c r="BW52" s="29">
        <v>37.989106254643353</v>
      </c>
      <c r="BX52" s="29">
        <v>38.119726441156551</v>
      </c>
      <c r="BY52" s="29">
        <v>38.249543291239476</v>
      </c>
      <c r="BZ52" s="29">
        <v>38.378557018760254</v>
      </c>
      <c r="CA52" s="29">
        <v>38.506766843682648</v>
      </c>
      <c r="CB52" s="29">
        <v>38.634171137413048</v>
      </c>
      <c r="CC52" s="29">
        <v>38.760767562192022</v>
      </c>
      <c r="CD52" s="29">
        <v>38.886553213798379</v>
      </c>
      <c r="CE52" s="29">
        <v>39.011524765421058</v>
      </c>
      <c r="CF52" s="29">
        <v>39.135678614840643</v>
      </c>
      <c r="CG52" s="29">
        <v>39.259011037473819</v>
      </c>
      <c r="CH52" s="29">
        <v>39.381518345112511</v>
      </c>
      <c r="CI52" s="29">
        <v>39.503197022756403</v>
      </c>
      <c r="CJ52" s="29">
        <v>39.624020606839473</v>
      </c>
      <c r="CK52" s="29">
        <v>39.743990058951127</v>
      </c>
      <c r="CL52" s="29">
        <v>39.8631064365239</v>
      </c>
      <c r="CM52" s="29">
        <v>39.981370890972414</v>
      </c>
      <c r="CN52" s="29">
        <v>40.098784665863349</v>
      </c>
      <c r="CO52" s="29">
        <v>40.215349095114156</v>
      </c>
      <c r="CP52" s="29">
        <v>40.331065601221937</v>
      </c>
      <c r="CQ52" s="29">
        <v>40.445935693519921</v>
      </c>
      <c r="CR52" s="29">
        <v>40.559960966460636</v>
      </c>
      <c r="CS52" s="29">
        <v>40.673143097925099</v>
      </c>
      <c r="CT52" s="29">
        <v>40.785483847557558</v>
      </c>
      <c r="CU52" s="29">
        <v>40.896985055123203</v>
      </c>
      <c r="CV52" s="29">
        <v>41.007648638891148</v>
      </c>
      <c r="CW52" s="29">
        <v>41.117476594038308</v>
      </c>
      <c r="CX52" s="29">
        <v>41.226470991075331</v>
      </c>
      <c r="CY52" s="29">
        <v>41.334633974294199</v>
      </c>
      <c r="CZ52" s="29">
        <v>41.441967760235222</v>
      </c>
      <c r="DA52" s="29">
        <v>41.548474636173744</v>
      </c>
      <c r="DB52" s="29">
        <v>41.654156958625904</v>
      </c>
      <c r="DC52" s="29">
        <v>41.759017151872534</v>
      </c>
      <c r="DD52" s="29">
        <v>41.863057706500179</v>
      </c>
      <c r="DE52" s="29">
        <v>41.966281177959843</v>
      </c>
      <c r="DF52" s="29">
        <v>42.068690185141229</v>
      </c>
      <c r="DG52" s="29">
        <v>42.170287408964064</v>
      </c>
      <c r="DH52" s="29">
        <v>42.271075590983372</v>
      </c>
      <c r="DI52" s="29">
        <v>42.371057532011555</v>
      </c>
      <c r="DJ52" s="29">
        <v>42.470236090752806</v>
      </c>
      <c r="DK52" s="29">
        <v>42.568614182453381</v>
      </c>
      <c r="DL52" s="29">
        <v>42.666194777565146</v>
      </c>
      <c r="DM52" s="29">
        <v>42.762980900421447</v>
      </c>
      <c r="DN52" s="29">
        <v>42.858975627928032</v>
      </c>
      <c r="DO52" s="29">
        <v>42.954182088264631</v>
      </c>
      <c r="DP52" s="29">
        <v>43.048603459600216</v>
      </c>
      <c r="DQ52" s="29">
        <v>43.142242968820405</v>
      </c>
      <c r="DR52" s="29">
        <v>43.23510389026616</v>
      </c>
      <c r="DS52">
        <v>43.327189544484867</v>
      </c>
      <c r="DT52">
        <v>43.418503296993002</v>
      </c>
      <c r="DU52">
        <v>43.50904855704951</v>
      </c>
    </row>
    <row r="53" spans="1:125">
      <c r="A53" s="34">
        <v>51</v>
      </c>
      <c r="B53" s="35"/>
      <c r="C53" s="35"/>
      <c r="D53" s="35"/>
      <c r="E53" s="35"/>
      <c r="F53" s="35"/>
      <c r="G53" s="35"/>
      <c r="H53" s="35"/>
      <c r="I53" s="35"/>
      <c r="J53" s="35"/>
      <c r="K53" s="35"/>
      <c r="L53" s="35"/>
      <c r="M53" s="35"/>
      <c r="N53" s="35"/>
      <c r="O53" s="35"/>
      <c r="P53" s="35"/>
      <c r="Q53" s="35"/>
      <c r="R53" s="35"/>
      <c r="S53" s="35"/>
      <c r="T53" s="35"/>
      <c r="U53" s="35"/>
      <c r="V53" s="29"/>
      <c r="W53" s="29">
        <v>30.47</v>
      </c>
      <c r="X53" s="29">
        <v>30.66</v>
      </c>
      <c r="Y53" s="29">
        <v>30.841540435306644</v>
      </c>
      <c r="Z53" s="29">
        <v>31.048177043240209</v>
      </c>
      <c r="AA53" s="29">
        <v>31.1953552691933</v>
      </c>
      <c r="AB53" s="29">
        <v>31.361820926878092</v>
      </c>
      <c r="AC53" s="29">
        <v>31.556937556986725</v>
      </c>
      <c r="AD53" s="29">
        <v>31.654666674764545</v>
      </c>
      <c r="AE53" s="29">
        <v>31.864865970811614</v>
      </c>
      <c r="AF53" s="29">
        <v>32.008858961439245</v>
      </c>
      <c r="AG53" s="29">
        <v>32.167031334684424</v>
      </c>
      <c r="AH53" s="29">
        <v>32.319921257645603</v>
      </c>
      <c r="AI53" s="29">
        <v>32.469260178077171</v>
      </c>
      <c r="AJ53" s="29">
        <v>32.691819524817355</v>
      </c>
      <c r="AK53" s="29">
        <v>32.889955732598338</v>
      </c>
      <c r="AL53" s="29">
        <v>33.133438515400861</v>
      </c>
      <c r="AM53" s="29">
        <v>33.344785902300025</v>
      </c>
      <c r="AN53" s="29">
        <v>33.530799059316728</v>
      </c>
      <c r="AO53" s="29">
        <v>33.648358188455056</v>
      </c>
      <c r="AP53" s="29">
        <v>33.742810179805666</v>
      </c>
      <c r="AQ53" s="29">
        <v>33.77370981206932</v>
      </c>
      <c r="AR53" s="29">
        <v>33.811102432015694</v>
      </c>
      <c r="AS53" s="29">
        <v>33.82926087047241</v>
      </c>
      <c r="AT53" s="29">
        <v>33.781659273450245</v>
      </c>
      <c r="AU53" s="29">
        <v>33.799440188905486</v>
      </c>
      <c r="AV53" s="29">
        <v>33.826907145418126</v>
      </c>
      <c r="AW53" s="29">
        <v>34.018169683456328</v>
      </c>
      <c r="AX53" s="29">
        <v>34.041077919083101</v>
      </c>
      <c r="AY53" s="29">
        <v>34.170795371481347</v>
      </c>
      <c r="AZ53" s="29">
        <v>34.270609522866565</v>
      </c>
      <c r="BA53" s="29">
        <v>34.362755787628004</v>
      </c>
      <c r="BB53" s="29">
        <v>34.463695326478287</v>
      </c>
      <c r="BC53" s="29">
        <v>34.567423717363695</v>
      </c>
      <c r="BD53" s="29">
        <v>34.626495861632478</v>
      </c>
      <c r="BE53" s="29">
        <v>34.733815832379186</v>
      </c>
      <c r="BF53" s="29">
        <v>34.835166404414117</v>
      </c>
      <c r="BG53" s="29">
        <v>34.950293538760981</v>
      </c>
      <c r="BH53" s="29">
        <v>35.096963250975691</v>
      </c>
      <c r="BI53" s="29">
        <v>35.207442588795395</v>
      </c>
      <c r="BJ53" s="29">
        <v>35.32536683135266</v>
      </c>
      <c r="BK53" s="29">
        <v>35.449841509542878</v>
      </c>
      <c r="BL53" s="29">
        <v>35.608448049969532</v>
      </c>
      <c r="BM53" s="29">
        <v>35.741462456364893</v>
      </c>
      <c r="BN53" s="29">
        <v>35.884065605287276</v>
      </c>
      <c r="BO53" s="29">
        <v>36.007770976194159</v>
      </c>
      <c r="BP53" s="29">
        <v>36.132528267307585</v>
      </c>
      <c r="BQ53" s="29">
        <v>36.267240747343614</v>
      </c>
      <c r="BR53" s="29">
        <v>36.411344478645873</v>
      </c>
      <c r="BS53" s="29">
        <v>36.529473397548657</v>
      </c>
      <c r="BT53" s="29">
        <v>36.660029129133065</v>
      </c>
      <c r="BU53" s="29">
        <v>36.793354107522887</v>
      </c>
      <c r="BV53" s="29">
        <v>36.924540324514687</v>
      </c>
      <c r="BW53" s="29">
        <v>37.054933028018816</v>
      </c>
      <c r="BX53" s="29">
        <v>37.18453480810436</v>
      </c>
      <c r="BY53" s="29">
        <v>37.313346920434363</v>
      </c>
      <c r="BZ53" s="29">
        <v>37.441369450774779</v>
      </c>
      <c r="CA53" s="29">
        <v>37.568601488861056</v>
      </c>
      <c r="CB53" s="29">
        <v>37.695041274203845</v>
      </c>
      <c r="CC53" s="29">
        <v>37.820686335892226</v>
      </c>
      <c r="CD53" s="29">
        <v>37.945533635679936</v>
      </c>
      <c r="CE53" s="29">
        <v>38.06957971220826</v>
      </c>
      <c r="CF53" s="29">
        <v>38.192820828512112</v>
      </c>
      <c r="CG53" s="29">
        <v>38.315253125367697</v>
      </c>
      <c r="CH53" s="29">
        <v>38.436872780313884</v>
      </c>
      <c r="CI53" s="29">
        <v>38.557649649813271</v>
      </c>
      <c r="CJ53" s="29">
        <v>38.677584454103233</v>
      </c>
      <c r="CK53" s="29">
        <v>38.796678011442097</v>
      </c>
      <c r="CL53" s="29">
        <v>38.914931236257374</v>
      </c>
      <c r="CM53" s="29">
        <v>39.032345137325656</v>
      </c>
      <c r="CN53" s="29">
        <v>39.148920815981953</v>
      </c>
      <c r="CO53" s="29">
        <v>39.264659464356498</v>
      </c>
      <c r="CP53" s="29">
        <v>39.379562363640389</v>
      </c>
      <c r="CQ53" s="29">
        <v>39.493630882377374</v>
      </c>
      <c r="CR53" s="29">
        <v>39.606866474781178</v>
      </c>
      <c r="CS53" s="29">
        <v>39.719270679077454</v>
      </c>
      <c r="CT53" s="29">
        <v>39.830845115870048</v>
      </c>
      <c r="CU53" s="29">
        <v>39.941591486529028</v>
      </c>
      <c r="CV53" s="29">
        <v>40.051511571602695</v>
      </c>
      <c r="CW53" s="29">
        <v>40.160607229249401</v>
      </c>
      <c r="CX53" s="29">
        <v>40.268880393690075</v>
      </c>
      <c r="CY53" s="29">
        <v>40.376333073681479</v>
      </c>
      <c r="CZ53" s="29">
        <v>40.482967351007574</v>
      </c>
      <c r="DA53" s="29">
        <v>40.58878537898957</v>
      </c>
      <c r="DB53" s="29">
        <v>40.693789381013936</v>
      </c>
      <c r="DC53" s="29">
        <v>40.797981649077464</v>
      </c>
      <c r="DD53" s="29">
        <v>40.901364542348496</v>
      </c>
      <c r="DE53" s="29">
        <v>41.003940485744778</v>
      </c>
      <c r="DF53" s="29">
        <v>41.105711968525917</v>
      </c>
      <c r="DG53" s="29">
        <v>41.20668154290189</v>
      </c>
      <c r="DH53" s="29">
        <v>41.306851822654608</v>
      </c>
      <c r="DI53" s="29">
        <v>41.406225481775351</v>
      </c>
      <c r="DJ53" s="29">
        <v>41.504805253113645</v>
      </c>
      <c r="DK53" s="29">
        <v>41.602593927041148</v>
      </c>
      <c r="DL53" s="29">
        <v>41.699594350127995</v>
      </c>
      <c r="DM53" s="29">
        <v>41.795809423830512</v>
      </c>
      <c r="DN53" s="29">
        <v>41.891242103193356</v>
      </c>
      <c r="DO53" s="29">
        <v>41.985895395561407</v>
      </c>
      <c r="DP53" s="29">
        <v>42.079772359304627</v>
      </c>
      <c r="DQ53" s="29">
        <v>42.172876102554362</v>
      </c>
      <c r="DR53" s="29">
        <v>42.265209781950112</v>
      </c>
      <c r="DS53">
        <v>42.356776601398138</v>
      </c>
      <c r="DT53">
        <v>42.447579810840857</v>
      </c>
      <c r="DU53">
        <v>42.537622705036355</v>
      </c>
    </row>
    <row r="54" spans="1:125">
      <c r="A54" s="34">
        <v>52</v>
      </c>
      <c r="B54" s="35"/>
      <c r="C54" s="35"/>
      <c r="D54" s="35"/>
      <c r="E54" s="35"/>
      <c r="F54" s="35"/>
      <c r="G54" s="35"/>
      <c r="H54" s="35"/>
      <c r="I54" s="35"/>
      <c r="J54" s="35"/>
      <c r="K54" s="35"/>
      <c r="L54" s="35"/>
      <c r="M54" s="35"/>
      <c r="N54" s="35"/>
      <c r="O54" s="35"/>
      <c r="P54" s="35"/>
      <c r="Q54" s="35"/>
      <c r="R54" s="35"/>
      <c r="S54" s="35"/>
      <c r="T54" s="35"/>
      <c r="U54" s="35"/>
      <c r="V54" s="29"/>
      <c r="W54" s="29">
        <v>29.62</v>
      </c>
      <c r="X54" s="29">
        <v>29.8</v>
      </c>
      <c r="Y54" s="29">
        <v>29.98253143464035</v>
      </c>
      <c r="Z54" s="29">
        <v>30.184182062471773</v>
      </c>
      <c r="AA54" s="29">
        <v>30.331224286625424</v>
      </c>
      <c r="AB54" s="29">
        <v>30.489461461375093</v>
      </c>
      <c r="AC54" s="29">
        <v>30.682557743687255</v>
      </c>
      <c r="AD54" s="29">
        <v>30.784417209764587</v>
      </c>
      <c r="AE54" s="29">
        <v>30.98798774611944</v>
      </c>
      <c r="AF54" s="29">
        <v>31.141343841090933</v>
      </c>
      <c r="AG54" s="29">
        <v>31.287963476382096</v>
      </c>
      <c r="AH54" s="29">
        <v>31.436081901303314</v>
      </c>
      <c r="AI54" s="29">
        <v>31.585612407193526</v>
      </c>
      <c r="AJ54" s="29">
        <v>31.808691421634688</v>
      </c>
      <c r="AK54" s="29">
        <v>32.001452669681193</v>
      </c>
      <c r="AL54" s="29">
        <v>32.242902955743162</v>
      </c>
      <c r="AM54" s="29">
        <v>32.451233252911635</v>
      </c>
      <c r="AN54" s="29">
        <v>32.638010837113647</v>
      </c>
      <c r="AO54" s="29">
        <v>32.757657086223659</v>
      </c>
      <c r="AP54" s="29">
        <v>32.850058002087025</v>
      </c>
      <c r="AQ54" s="29">
        <v>32.878685052013928</v>
      </c>
      <c r="AR54" s="29">
        <v>32.916903198334587</v>
      </c>
      <c r="AS54" s="29">
        <v>32.938090309685876</v>
      </c>
      <c r="AT54" s="29">
        <v>32.890561082538078</v>
      </c>
      <c r="AU54" s="29">
        <v>32.897416556763375</v>
      </c>
      <c r="AV54" s="29">
        <v>32.929734235723281</v>
      </c>
      <c r="AW54" s="29">
        <v>33.114130283736152</v>
      </c>
      <c r="AX54" s="29">
        <v>33.138733262273654</v>
      </c>
      <c r="AY54" s="29">
        <v>33.264882958253175</v>
      </c>
      <c r="AZ54" s="29">
        <v>33.366908351181593</v>
      </c>
      <c r="BA54" s="29">
        <v>33.459106141296836</v>
      </c>
      <c r="BB54" s="29">
        <v>33.555198839708396</v>
      </c>
      <c r="BC54" s="29">
        <v>33.655167966566474</v>
      </c>
      <c r="BD54" s="29">
        <v>33.714911625666723</v>
      </c>
      <c r="BE54" s="29">
        <v>33.823909335507636</v>
      </c>
      <c r="BF54" s="29">
        <v>33.923735845271402</v>
      </c>
      <c r="BG54" s="29">
        <v>34.033717151264021</v>
      </c>
      <c r="BH54" s="29">
        <v>34.180576783699287</v>
      </c>
      <c r="BI54" s="29">
        <v>34.293717317579301</v>
      </c>
      <c r="BJ54" s="29">
        <v>34.410661311588122</v>
      </c>
      <c r="BK54" s="29">
        <v>34.532485702565971</v>
      </c>
      <c r="BL54" s="29">
        <v>34.691291627623443</v>
      </c>
      <c r="BM54" s="29">
        <v>34.821528980768989</v>
      </c>
      <c r="BN54" s="29">
        <v>34.960328351672878</v>
      </c>
      <c r="BO54" s="29">
        <v>35.082517508567065</v>
      </c>
      <c r="BP54" s="29">
        <v>35.209407528996827</v>
      </c>
      <c r="BQ54" s="29">
        <v>35.342737699983878</v>
      </c>
      <c r="BR54" s="29">
        <v>35.48333044010996</v>
      </c>
      <c r="BS54" s="29">
        <v>35.602200924697328</v>
      </c>
      <c r="BT54" s="29">
        <v>35.734514858427794</v>
      </c>
      <c r="BU54" s="29">
        <v>35.865391248367686</v>
      </c>
      <c r="BV54" s="29">
        <v>35.99548438722131</v>
      </c>
      <c r="BW54" s="29">
        <v>36.124798224379184</v>
      </c>
      <c r="BX54" s="29">
        <v>36.253335232838644</v>
      </c>
      <c r="BY54" s="29">
        <v>36.381096547454284</v>
      </c>
      <c r="BZ54" s="29">
        <v>36.508082130077419</v>
      </c>
      <c r="CA54" s="29">
        <v>36.634290944019767</v>
      </c>
      <c r="CB54" s="29">
        <v>36.759721100358391</v>
      </c>
      <c r="CC54" s="29">
        <v>36.884369998187161</v>
      </c>
      <c r="CD54" s="29">
        <v>37.008234468119625</v>
      </c>
      <c r="CE54" s="29">
        <v>37.131310916894698</v>
      </c>
      <c r="CF54" s="29">
        <v>37.253595475237162</v>
      </c>
      <c r="CG54" s="29">
        <v>37.375084151536619</v>
      </c>
      <c r="CH54" s="29">
        <v>37.495743144978448</v>
      </c>
      <c r="CI54" s="29">
        <v>37.615572933326504</v>
      </c>
      <c r="CJ54" s="29">
        <v>37.734574094316251</v>
      </c>
      <c r="CK54" s="29">
        <v>37.852747303821225</v>
      </c>
      <c r="CL54" s="29">
        <v>37.970093334048293</v>
      </c>
      <c r="CM54" s="29">
        <v>38.086613051762917</v>
      </c>
      <c r="CN54" s="29">
        <v>38.202307416542553</v>
      </c>
      <c r="CO54" s="29">
        <v>38.317177479055928</v>
      </c>
      <c r="CP54" s="29">
        <v>38.431224379369837</v>
      </c>
      <c r="CQ54" s="29">
        <v>38.544449345280661</v>
      </c>
      <c r="CR54" s="29">
        <v>38.656853690669969</v>
      </c>
      <c r="CS54" s="29">
        <v>38.768438813883485</v>
      </c>
      <c r="CT54" s="29">
        <v>38.879206196132984</v>
      </c>
      <c r="CU54" s="29">
        <v>38.989157399918618</v>
      </c>
      <c r="CV54" s="29">
        <v>39.098294067473944</v>
      </c>
      <c r="CW54" s="29">
        <v>39.206617919229551</v>
      </c>
      <c r="CX54" s="29">
        <v>39.314130752296037</v>
      </c>
      <c r="CY54" s="29">
        <v>39.420834438966601</v>
      </c>
      <c r="CZ54" s="29">
        <v>39.526730925236471</v>
      </c>
      <c r="DA54" s="29">
        <v>39.631822229339882</v>
      </c>
      <c r="DB54" s="29">
        <v>39.736110440303868</v>
      </c>
      <c r="DC54" s="29">
        <v>39.839597716517986</v>
      </c>
      <c r="DD54" s="29">
        <v>39.94228628431901</v>
      </c>
      <c r="DE54" s="29">
        <v>40.044178436591366</v>
      </c>
      <c r="DF54" s="29">
        <v>40.145276531380951</v>
      </c>
      <c r="DG54" s="29">
        <v>40.245582990523978</v>
      </c>
      <c r="DH54" s="29">
        <v>40.34510029828806</v>
      </c>
      <c r="DI54" s="29">
        <v>40.443831000027892</v>
      </c>
      <c r="DJ54" s="29">
        <v>40.541777700851704</v>
      </c>
      <c r="DK54" s="29">
        <v>40.6389430643016</v>
      </c>
      <c r="DL54" s="29">
        <v>40.735329811045496</v>
      </c>
      <c r="DM54" s="29">
        <v>40.830940717579594</v>
      </c>
      <c r="DN54" s="29">
        <v>40.925778614944328</v>
      </c>
      <c r="DO54" s="29">
        <v>41.019846387449341</v>
      </c>
      <c r="DP54" s="29">
        <v>41.11314697141043</v>
      </c>
      <c r="DQ54" s="29">
        <v>41.205683353897321</v>
      </c>
      <c r="DR54" s="29">
        <v>41.297458571491021</v>
      </c>
      <c r="DS54">
        <v>41.388475709052315</v>
      </c>
      <c r="DT54">
        <v>41.478737898500263</v>
      </c>
      <c r="DU54">
        <v>41.568248317600109</v>
      </c>
    </row>
    <row r="55" spans="1:125">
      <c r="A55" s="34">
        <v>53</v>
      </c>
      <c r="B55" s="35"/>
      <c r="C55" s="35"/>
      <c r="D55" s="35"/>
      <c r="E55" s="35"/>
      <c r="F55" s="35"/>
      <c r="G55" s="35"/>
      <c r="H55" s="35"/>
      <c r="I55" s="35"/>
      <c r="J55" s="35"/>
      <c r="K55" s="35"/>
      <c r="L55" s="35"/>
      <c r="M55" s="35"/>
      <c r="N55" s="35"/>
      <c r="O55" s="35"/>
      <c r="P55" s="35"/>
      <c r="Q55" s="35"/>
      <c r="R55" s="35"/>
      <c r="S55" s="35"/>
      <c r="T55" s="35"/>
      <c r="U55" s="35"/>
      <c r="V55" s="29"/>
      <c r="W55" s="29">
        <v>28.76</v>
      </c>
      <c r="X55" s="29">
        <v>28.95</v>
      </c>
      <c r="Y55" s="29">
        <v>29.127848920329583</v>
      </c>
      <c r="Z55" s="29">
        <v>29.328441112331369</v>
      </c>
      <c r="AA55" s="29">
        <v>29.469892877253276</v>
      </c>
      <c r="AB55" s="29">
        <v>29.622300743220222</v>
      </c>
      <c r="AC55" s="29">
        <v>29.817255187690101</v>
      </c>
      <c r="AD55" s="29">
        <v>29.916732826432188</v>
      </c>
      <c r="AE55" s="29">
        <v>30.120718230507538</v>
      </c>
      <c r="AF55" s="29">
        <v>30.267015906613324</v>
      </c>
      <c r="AG55" s="29">
        <v>30.413694490206812</v>
      </c>
      <c r="AH55" s="29">
        <v>30.561340531563303</v>
      </c>
      <c r="AI55" s="29">
        <v>30.709200451760406</v>
      </c>
      <c r="AJ55" s="29">
        <v>30.924038759582732</v>
      </c>
      <c r="AK55" s="29">
        <v>31.118929067990855</v>
      </c>
      <c r="AL55" s="29">
        <v>31.357440420124135</v>
      </c>
      <c r="AM55" s="29">
        <v>31.562776334218874</v>
      </c>
      <c r="AN55" s="29">
        <v>31.752435928698077</v>
      </c>
      <c r="AO55" s="29">
        <v>31.865350239064661</v>
      </c>
      <c r="AP55" s="29">
        <v>31.959148930990676</v>
      </c>
      <c r="AQ55" s="29">
        <v>31.993634023913167</v>
      </c>
      <c r="AR55" s="29">
        <v>32.024694514636437</v>
      </c>
      <c r="AS55" s="29">
        <v>32.047096347187455</v>
      </c>
      <c r="AT55" s="29">
        <v>31.998564385886176</v>
      </c>
      <c r="AU55" s="29">
        <v>32.003412775537306</v>
      </c>
      <c r="AV55" s="29">
        <v>32.031214415319361</v>
      </c>
      <c r="AW55" s="29">
        <v>32.216832106597735</v>
      </c>
      <c r="AX55" s="29">
        <v>32.240901384061637</v>
      </c>
      <c r="AY55" s="29">
        <v>32.365689518318398</v>
      </c>
      <c r="AZ55" s="29">
        <v>32.467970710946922</v>
      </c>
      <c r="BA55" s="29">
        <v>32.559050491488236</v>
      </c>
      <c r="BB55" s="29">
        <v>32.651669249811441</v>
      </c>
      <c r="BC55" s="29">
        <v>32.749009007395927</v>
      </c>
      <c r="BD55" s="29">
        <v>32.805158116656671</v>
      </c>
      <c r="BE55" s="29">
        <v>32.920112065342835</v>
      </c>
      <c r="BF55" s="29">
        <v>33.015551957302065</v>
      </c>
      <c r="BG55" s="29">
        <v>33.127509142034533</v>
      </c>
      <c r="BH55" s="29">
        <v>33.273905600107817</v>
      </c>
      <c r="BI55" s="29">
        <v>33.384462910045364</v>
      </c>
      <c r="BJ55" s="29">
        <v>33.500532007622496</v>
      </c>
      <c r="BK55" s="29">
        <v>33.619512856148113</v>
      </c>
      <c r="BL55" s="29">
        <v>33.775934556336338</v>
      </c>
      <c r="BM55" s="29">
        <v>33.904894419438257</v>
      </c>
      <c r="BN55" s="29">
        <v>34.040023753081712</v>
      </c>
      <c r="BO55" s="29">
        <v>34.162755135216734</v>
      </c>
      <c r="BP55" s="29">
        <v>34.289761470720244</v>
      </c>
      <c r="BQ55" s="29">
        <v>34.419178864679949</v>
      </c>
      <c r="BR55" s="29">
        <v>34.555990224938235</v>
      </c>
      <c r="BS55" s="29">
        <v>34.681640595274352</v>
      </c>
      <c r="BT55" s="29">
        <v>34.81213152006719</v>
      </c>
      <c r="BU55" s="29">
        <v>34.941848468587885</v>
      </c>
      <c r="BV55" s="29">
        <v>35.070796849672774</v>
      </c>
      <c r="BW55" s="29">
        <v>35.198980504982913</v>
      </c>
      <c r="BX55" s="29">
        <v>35.326401794855705</v>
      </c>
      <c r="BY55" s="29">
        <v>35.453061737240056</v>
      </c>
      <c r="BZ55" s="29">
        <v>35.578960173522375</v>
      </c>
      <c r="CA55" s="29">
        <v>35.704095943640681</v>
      </c>
      <c r="CB55" s="29">
        <v>35.828467032933524</v>
      </c>
      <c r="CC55" s="29">
        <v>35.952070712880236</v>
      </c>
      <c r="CD55" s="29">
        <v>36.074903685058118</v>
      </c>
      <c r="CE55" s="29">
        <v>36.196962226166058</v>
      </c>
      <c r="CF55" s="29">
        <v>36.318242336272029</v>
      </c>
      <c r="CG55" s="29">
        <v>36.438706715063233</v>
      </c>
      <c r="CH55" s="29">
        <v>36.558355596719032</v>
      </c>
      <c r="CI55" s="29">
        <v>36.677189317100286</v>
      </c>
      <c r="CJ55" s="29">
        <v>36.79520831193782</v>
      </c>
      <c r="CK55" s="29">
        <v>36.912413115052289</v>
      </c>
      <c r="CL55" s="29">
        <v>37.028804356601292</v>
      </c>
      <c r="CM55" s="29">
        <v>37.144382761354862</v>
      </c>
      <c r="CN55" s="29">
        <v>37.259149146997636</v>
      </c>
      <c r="CO55" s="29">
        <v>37.373104422455263</v>
      </c>
      <c r="CP55" s="29">
        <v>37.486249586246963</v>
      </c>
      <c r="CQ55" s="29">
        <v>37.598585724861152</v>
      </c>
      <c r="CR55" s="29">
        <v>37.710114011153891</v>
      </c>
      <c r="CS55" s="29">
        <v>37.820835702769074</v>
      </c>
      <c r="CT55" s="29">
        <v>37.930752140580239</v>
      </c>
      <c r="CU55" s="29">
        <v>38.039864747151363</v>
      </c>
      <c r="CV55" s="29">
        <v>38.148175025219025</v>
      </c>
      <c r="CW55" s="29">
        <v>38.25568455619176</v>
      </c>
      <c r="CX55" s="29">
        <v>38.362394998667504</v>
      </c>
      <c r="CY55" s="29">
        <v>38.468308086969351</v>
      </c>
      <c r="CZ55" s="29">
        <v>38.573425629696757</v>
      </c>
      <c r="DA55" s="29">
        <v>38.67774950829326</v>
      </c>
      <c r="DB55" s="29">
        <v>38.781281675629543</v>
      </c>
      <c r="DC55" s="29">
        <v>38.884024154601413</v>
      </c>
      <c r="DD55" s="29">
        <v>38.985979036741526</v>
      </c>
      <c r="DE55" s="29">
        <v>39.087148480845599</v>
      </c>
      <c r="DF55" s="29">
        <v>39.187534711611043</v>
      </c>
      <c r="DG55" s="29">
        <v>39.287140018289456</v>
      </c>
      <c r="DH55" s="29">
        <v>39.385966753350168</v>
      </c>
      <c r="DI55" s="29">
        <v>39.484017331157546</v>
      </c>
      <c r="DJ55" s="29">
        <v>39.581294226657853</v>
      </c>
      <c r="DK55" s="29">
        <v>39.677799974079086</v>
      </c>
      <c r="DL55" s="29">
        <v>39.773537165641436</v>
      </c>
      <c r="DM55" s="29">
        <v>39.868508450277268</v>
      </c>
      <c r="DN55" s="29">
        <v>39.962716532363693</v>
      </c>
      <c r="DO55" s="29">
        <v>40.056164170463262</v>
      </c>
      <c r="DP55" s="29">
        <v>40.148854176075716</v>
      </c>
      <c r="DQ55" s="29">
        <v>40.240789412399742</v>
      </c>
      <c r="DR55" s="29">
        <v>40.33197279310339</v>
      </c>
      <c r="DS55">
        <v>40.422407281104945</v>
      </c>
      <c r="DT55">
        <v>40.512095887362875</v>
      </c>
      <c r="DU55">
        <v>40.601041669674487</v>
      </c>
    </row>
    <row r="56" spans="1:125">
      <c r="A56" s="34">
        <v>54</v>
      </c>
      <c r="B56" s="35"/>
      <c r="C56" s="35"/>
      <c r="D56" s="35"/>
      <c r="E56" s="35"/>
      <c r="F56" s="35"/>
      <c r="G56" s="35"/>
      <c r="H56" s="35"/>
      <c r="I56" s="35"/>
      <c r="J56" s="35"/>
      <c r="K56" s="35"/>
      <c r="L56" s="35"/>
      <c r="M56" s="35"/>
      <c r="N56" s="35"/>
      <c r="O56" s="35"/>
      <c r="P56" s="35"/>
      <c r="Q56" s="35"/>
      <c r="R56" s="35"/>
      <c r="S56" s="35"/>
      <c r="T56" s="35"/>
      <c r="U56" s="35"/>
      <c r="V56" s="29"/>
      <c r="W56" s="29">
        <v>27.91</v>
      </c>
      <c r="X56" s="29">
        <v>28.1</v>
      </c>
      <c r="Y56" s="29">
        <v>28.275976791523831</v>
      </c>
      <c r="Z56" s="29">
        <v>28.46923828158555</v>
      </c>
      <c r="AA56" s="29">
        <v>28.615256434834723</v>
      </c>
      <c r="AB56" s="29">
        <v>28.767292442656156</v>
      </c>
      <c r="AC56" s="29">
        <v>28.953533236417602</v>
      </c>
      <c r="AD56" s="29">
        <v>29.058287736938922</v>
      </c>
      <c r="AE56" s="29">
        <v>29.259655265138345</v>
      </c>
      <c r="AF56" s="29">
        <v>29.401643488597848</v>
      </c>
      <c r="AG56" s="29">
        <v>29.545626852420398</v>
      </c>
      <c r="AH56" s="29">
        <v>29.689981454161298</v>
      </c>
      <c r="AI56" s="29">
        <v>29.827567201277642</v>
      </c>
      <c r="AJ56" s="29">
        <v>30.04982539120628</v>
      </c>
      <c r="AK56" s="29">
        <v>30.242016757023734</v>
      </c>
      <c r="AL56" s="29">
        <v>30.47475446339379</v>
      </c>
      <c r="AM56" s="29">
        <v>30.68303193354048</v>
      </c>
      <c r="AN56" s="29">
        <v>30.87099552529515</v>
      </c>
      <c r="AO56" s="29">
        <v>30.981321088671514</v>
      </c>
      <c r="AP56" s="29">
        <v>31.065892609836318</v>
      </c>
      <c r="AQ56" s="29">
        <v>31.106079934174424</v>
      </c>
      <c r="AR56" s="29">
        <v>31.138406696472309</v>
      </c>
      <c r="AS56" s="29">
        <v>31.1568303032556</v>
      </c>
      <c r="AT56" s="29">
        <v>31.109780003789623</v>
      </c>
      <c r="AU56" s="29">
        <v>31.111702936896929</v>
      </c>
      <c r="AV56" s="29">
        <v>31.143088762853122</v>
      </c>
      <c r="AW56" s="29">
        <v>31.322906654666252</v>
      </c>
      <c r="AX56" s="29">
        <v>31.347358286081004</v>
      </c>
      <c r="AY56" s="29">
        <v>31.466717259850473</v>
      </c>
      <c r="AZ56" s="29">
        <v>31.56711135756753</v>
      </c>
      <c r="BA56" s="29">
        <v>31.659315364717425</v>
      </c>
      <c r="BB56" s="29">
        <v>31.750021266767163</v>
      </c>
      <c r="BC56" s="29">
        <v>31.844567104763343</v>
      </c>
      <c r="BD56" s="29">
        <v>31.905653474802907</v>
      </c>
      <c r="BE56" s="29">
        <v>32.017260217876469</v>
      </c>
      <c r="BF56" s="29">
        <v>32.114269672991107</v>
      </c>
      <c r="BG56" s="29">
        <v>32.226101936608053</v>
      </c>
      <c r="BH56" s="29">
        <v>32.369737652692699</v>
      </c>
      <c r="BI56" s="29">
        <v>32.482264589650988</v>
      </c>
      <c r="BJ56" s="29">
        <v>32.595970915485175</v>
      </c>
      <c r="BK56" s="29">
        <v>32.71401195280049</v>
      </c>
      <c r="BL56" s="29">
        <v>32.866183300373365</v>
      </c>
      <c r="BM56" s="29">
        <v>32.991272696790077</v>
      </c>
      <c r="BN56" s="29">
        <v>33.126354660883266</v>
      </c>
      <c r="BO56" s="29">
        <v>33.245120407102803</v>
      </c>
      <c r="BP56" s="29">
        <v>33.375211772464418</v>
      </c>
      <c r="BQ56" s="29">
        <v>33.503038959557017</v>
      </c>
      <c r="BR56" s="29">
        <v>33.635197478160016</v>
      </c>
      <c r="BS56" s="29">
        <v>33.765222654294597</v>
      </c>
      <c r="BT56" s="29">
        <v>33.894482188780451</v>
      </c>
      <c r="BU56" s="29">
        <v>34.022982959537941</v>
      </c>
      <c r="BV56" s="29">
        <v>34.150730278138681</v>
      </c>
      <c r="BW56" s="29">
        <v>34.277727882774499</v>
      </c>
      <c r="BX56" s="29">
        <v>34.403978024784031</v>
      </c>
      <c r="BY56" s="29">
        <v>34.529481608333811</v>
      </c>
      <c r="BZ56" s="29">
        <v>34.654238356992742</v>
      </c>
      <c r="CA56" s="29">
        <v>34.778246989555456</v>
      </c>
      <c r="CB56" s="29">
        <v>34.901505367484468</v>
      </c>
      <c r="CC56" s="29">
        <v>35.024010636183569</v>
      </c>
      <c r="CD56" s="29">
        <v>35.145759369450936</v>
      </c>
      <c r="CE56" s="29">
        <v>35.266747714958832</v>
      </c>
      <c r="CF56" s="29">
        <v>35.386935184884223</v>
      </c>
      <c r="CG56" s="29">
        <v>35.506321768733628</v>
      </c>
      <c r="CH56" s="29">
        <v>35.62490755914191</v>
      </c>
      <c r="CI56" s="29">
        <v>35.742692750094363</v>
      </c>
      <c r="CJ56" s="29">
        <v>35.859677635175515</v>
      </c>
      <c r="CK56" s="29">
        <v>35.975862605847567</v>
      </c>
      <c r="CL56" s="29">
        <v>36.091248149754485</v>
      </c>
      <c r="CM56" s="29">
        <v>36.205834849052771</v>
      </c>
      <c r="CN56" s="29">
        <v>36.319623378767297</v>
      </c>
      <c r="CO56" s="29">
        <v>36.432614505169759</v>
      </c>
      <c r="CP56" s="29">
        <v>36.544809084181615</v>
      </c>
      <c r="CQ56" s="29">
        <v>36.656208059798715</v>
      </c>
      <c r="CR56" s="29">
        <v>36.76681246253694</v>
      </c>
      <c r="CS56" s="29">
        <v>36.876623407898251</v>
      </c>
      <c r="CT56" s="29">
        <v>36.985642094856736</v>
      </c>
      <c r="CU56" s="29">
        <v>37.093869804362249</v>
      </c>
      <c r="CV56" s="29">
        <v>37.201307897863884</v>
      </c>
      <c r="CW56" s="29">
        <v>37.307957815849235</v>
      </c>
      <c r="CX56" s="29">
        <v>37.413821076400346</v>
      </c>
      <c r="CY56" s="29">
        <v>37.518899273766564</v>
      </c>
      <c r="CZ56" s="29">
        <v>37.623194076951506</v>
      </c>
      <c r="DA56" s="29">
        <v>37.726707228315192</v>
      </c>
      <c r="DB56" s="29">
        <v>37.829440542190206</v>
      </c>
      <c r="DC56" s="29">
        <v>37.931395903511543</v>
      </c>
      <c r="DD56" s="29">
        <v>38.032575266458814</v>
      </c>
      <c r="DE56" s="29">
        <v>38.132980653111936</v>
      </c>
      <c r="DF56" s="29">
        <v>38.232614152117741</v>
      </c>
      <c r="DG56" s="29">
        <v>38.331477917369554</v>
      </c>
      <c r="DH56" s="29">
        <v>38.429574166696469</v>
      </c>
      <c r="DI56" s="29">
        <v>38.52690518056535</v>
      </c>
      <c r="DJ56" s="29">
        <v>38.623473300791289</v>
      </c>
      <c r="DK56" s="29">
        <v>38.719280929259874</v>
      </c>
      <c r="DL56" s="29">
        <v>38.814330526659141</v>
      </c>
      <c r="DM56" s="29">
        <v>38.90862461121997</v>
      </c>
      <c r="DN56" s="29">
        <v>39.00216575746807</v>
      </c>
      <c r="DO56" s="29">
        <v>39.094956594983081</v>
      </c>
      <c r="DP56" s="29">
        <v>39.186999807167815</v>
      </c>
      <c r="DQ56" s="29">
        <v>39.278298130026627</v>
      </c>
      <c r="DR56" s="29">
        <v>39.368854350951374</v>
      </c>
      <c r="DS56">
        <v>39.458671307517143</v>
      </c>
      <c r="DT56">
        <v>39.547751886286044</v>
      </c>
      <c r="DU56">
        <v>39.636099021618968</v>
      </c>
    </row>
    <row r="57" spans="1:125">
      <c r="A57" s="34">
        <v>55</v>
      </c>
      <c r="B57" s="35"/>
      <c r="C57" s="35"/>
      <c r="D57" s="35"/>
      <c r="E57" s="35"/>
      <c r="F57" s="35"/>
      <c r="G57" s="35"/>
      <c r="H57" s="35"/>
      <c r="I57" s="35"/>
      <c r="J57" s="35"/>
      <c r="K57" s="35"/>
      <c r="L57" s="35"/>
      <c r="M57" s="35"/>
      <c r="N57" s="35"/>
      <c r="O57" s="35"/>
      <c r="P57" s="35"/>
      <c r="Q57" s="35"/>
      <c r="R57" s="35"/>
      <c r="S57" s="35"/>
      <c r="T57" s="35"/>
      <c r="U57" s="35"/>
      <c r="V57" s="29"/>
      <c r="W57" s="29">
        <v>27.07</v>
      </c>
      <c r="X57" s="29">
        <v>27.25</v>
      </c>
      <c r="Y57" s="29">
        <v>27.423921658471933</v>
      </c>
      <c r="Z57" s="29">
        <v>27.616943237325621</v>
      </c>
      <c r="AA57" s="29">
        <v>27.760357559445055</v>
      </c>
      <c r="AB57" s="29">
        <v>27.915743108174066</v>
      </c>
      <c r="AC57" s="29">
        <v>28.101150602295284</v>
      </c>
      <c r="AD57" s="29">
        <v>28.200770472833934</v>
      </c>
      <c r="AE57" s="29">
        <v>28.393583258203694</v>
      </c>
      <c r="AF57" s="29">
        <v>28.534820954929536</v>
      </c>
      <c r="AG57" s="29">
        <v>28.681810446378915</v>
      </c>
      <c r="AH57" s="29">
        <v>28.821678092440031</v>
      </c>
      <c r="AI57" s="29">
        <v>28.962040956070222</v>
      </c>
      <c r="AJ57" s="29">
        <v>29.183889055199479</v>
      </c>
      <c r="AK57" s="29">
        <v>29.369347165770066</v>
      </c>
      <c r="AL57" s="29">
        <v>29.603588004201246</v>
      </c>
      <c r="AM57" s="29">
        <v>29.811419347768076</v>
      </c>
      <c r="AN57" s="29">
        <v>29.987801835109916</v>
      </c>
      <c r="AO57" s="29">
        <v>30.102394341526992</v>
      </c>
      <c r="AP57" s="29">
        <v>30.184364464144025</v>
      </c>
      <c r="AQ57" s="29">
        <v>30.222284523521605</v>
      </c>
      <c r="AR57" s="29">
        <v>30.254845873643578</v>
      </c>
      <c r="AS57" s="29">
        <v>30.266706544387048</v>
      </c>
      <c r="AT57" s="29">
        <v>30.223944893414942</v>
      </c>
      <c r="AU57" s="29">
        <v>30.226061175551315</v>
      </c>
      <c r="AV57" s="29">
        <v>30.254519190892591</v>
      </c>
      <c r="AW57" s="29">
        <v>30.434634454048819</v>
      </c>
      <c r="AX57" s="29">
        <v>30.459310575448082</v>
      </c>
      <c r="AY57" s="29">
        <v>30.570683523921158</v>
      </c>
      <c r="AZ57" s="29">
        <v>30.672291587021654</v>
      </c>
      <c r="BA57" s="29">
        <v>30.763490927958216</v>
      </c>
      <c r="BB57" s="29">
        <v>30.851284169240333</v>
      </c>
      <c r="BC57" s="29">
        <v>30.941359137747209</v>
      </c>
      <c r="BD57" s="29">
        <v>31.006199072328357</v>
      </c>
      <c r="BE57" s="29">
        <v>31.119487099026518</v>
      </c>
      <c r="BF57" s="29">
        <v>31.219413695396621</v>
      </c>
      <c r="BG57" s="29">
        <v>31.325187831007884</v>
      </c>
      <c r="BH57" s="29">
        <v>31.469379704523963</v>
      </c>
      <c r="BI57" s="29">
        <v>31.579905166354589</v>
      </c>
      <c r="BJ57" s="29">
        <v>31.695095820647204</v>
      </c>
      <c r="BK57" s="29">
        <v>31.811762359508787</v>
      </c>
      <c r="BL57" s="29">
        <v>31.959677606495362</v>
      </c>
      <c r="BM57" s="29">
        <v>32.084974862641886</v>
      </c>
      <c r="BN57" s="29">
        <v>32.215462802985904</v>
      </c>
      <c r="BO57" s="29">
        <v>32.335378439503017</v>
      </c>
      <c r="BP57" s="29">
        <v>32.465058851417417</v>
      </c>
      <c r="BQ57" s="29">
        <v>32.595643666227545</v>
      </c>
      <c r="BR57" s="29">
        <v>32.725117817868878</v>
      </c>
      <c r="BS57" s="29">
        <v>32.853833863790769</v>
      </c>
      <c r="BT57" s="29">
        <v>32.981800071431721</v>
      </c>
      <c r="BU57" s="29">
        <v>33.109023233029653</v>
      </c>
      <c r="BV57" s="29">
        <v>33.235508567039304</v>
      </c>
      <c r="BW57" s="29">
        <v>33.361259711634659</v>
      </c>
      <c r="BX57" s="29">
        <v>33.486278811971438</v>
      </c>
      <c r="BY57" s="29">
        <v>33.610566660681982</v>
      </c>
      <c r="BZ57" s="29">
        <v>33.734122865266286</v>
      </c>
      <c r="CA57" s="29">
        <v>33.856946024689123</v>
      </c>
      <c r="CB57" s="29">
        <v>33.979033877469611</v>
      </c>
      <c r="CC57" s="29">
        <v>34.100383443536352</v>
      </c>
      <c r="CD57" s="29">
        <v>34.220991169221683</v>
      </c>
      <c r="CE57" s="29">
        <v>34.340813836760134</v>
      </c>
      <c r="CF57" s="29">
        <v>34.45985118989946</v>
      </c>
      <c r="CG57" s="29">
        <v>34.578103076685188</v>
      </c>
      <c r="CH57" s="29">
        <v>34.695569447719613</v>
      </c>
      <c r="CI57" s="29">
        <v>34.812250354451479</v>
      </c>
      <c r="CJ57" s="29">
        <v>34.928145947490698</v>
      </c>
      <c r="CK57" s="29">
        <v>35.043256474950844</v>
      </c>
      <c r="CL57" s="29">
        <v>35.157582280815539</v>
      </c>
      <c r="CM57" s="29">
        <v>35.271123803329807</v>
      </c>
      <c r="CN57" s="29">
        <v>35.383881573414683</v>
      </c>
      <c r="CO57" s="29">
        <v>35.495856213102776</v>
      </c>
      <c r="CP57" s="29">
        <v>35.607048433996624</v>
      </c>
      <c r="CQ57" s="29">
        <v>35.717459035747034</v>
      </c>
      <c r="CR57" s="29">
        <v>35.827088904550784</v>
      </c>
      <c r="CS57" s="29">
        <v>35.935939011667166</v>
      </c>
      <c r="CT57" s="29">
        <v>36.044010411952826</v>
      </c>
      <c r="CU57" s="29">
        <v>36.151304242412706</v>
      </c>
      <c r="CV57" s="29">
        <v>36.257821720769194</v>
      </c>
      <c r="CW57" s="29">
        <v>36.363564144045618</v>
      </c>
      <c r="CX57" s="29">
        <v>36.468532887164834</v>
      </c>
      <c r="CY57" s="29">
        <v>36.572729401563272</v>
      </c>
      <c r="CZ57" s="29">
        <v>36.676155213817687</v>
      </c>
      <c r="DA57" s="29">
        <v>36.77881192428562</v>
      </c>
      <c r="DB57" s="29">
        <v>36.880701205758463</v>
      </c>
      <c r="DC57" s="29">
        <v>36.98182480212688</v>
      </c>
      <c r="DD57" s="29">
        <v>37.082184527057208</v>
      </c>
      <c r="DE57" s="29">
        <v>37.181782262680088</v>
      </c>
      <c r="DF57" s="29">
        <v>37.280619958288682</v>
      </c>
      <c r="DG57" s="29">
        <v>37.378699629048519</v>
      </c>
      <c r="DH57" s="29">
        <v>37.476023354715984</v>
      </c>
      <c r="DI57" s="29">
        <v>37.572593278368196</v>
      </c>
      <c r="DJ57" s="29">
        <v>37.668411605140115</v>
      </c>
      <c r="DK57" s="29">
        <v>37.763480600972485</v>
      </c>
      <c r="DL57" s="29">
        <v>37.857802591368134</v>
      </c>
      <c r="DM57" s="29">
        <v>37.951379960155741</v>
      </c>
      <c r="DN57" s="29">
        <v>38.04421514826408</v>
      </c>
      <c r="DO57" s="29">
        <v>38.136310652502317</v>
      </c>
      <c r="DP57" s="29">
        <v>38.22766902434941</v>
      </c>
      <c r="DQ57" s="29">
        <v>38.318292868751669</v>
      </c>
      <c r="DR57" s="29">
        <v>38.408184842926929</v>
      </c>
      <c r="DS57">
        <v>38.497347655177499</v>
      </c>
      <c r="DT57">
        <v>38.585784063710285</v>
      </c>
      <c r="DU57">
        <v>38.673496875463975</v>
      </c>
    </row>
    <row r="58" spans="1:125">
      <c r="A58" s="34">
        <v>56</v>
      </c>
      <c r="B58" s="35"/>
      <c r="C58" s="35"/>
      <c r="D58" s="35"/>
      <c r="E58" s="35"/>
      <c r="F58" s="35"/>
      <c r="G58" s="35"/>
      <c r="H58" s="35"/>
      <c r="I58" s="35"/>
      <c r="J58" s="35"/>
      <c r="K58" s="35"/>
      <c r="L58" s="35"/>
      <c r="M58" s="35"/>
      <c r="N58" s="35"/>
      <c r="O58" s="35"/>
      <c r="P58" s="35"/>
      <c r="Q58" s="35"/>
      <c r="R58" s="35"/>
      <c r="S58" s="35"/>
      <c r="T58" s="35"/>
      <c r="U58" s="35"/>
      <c r="V58" s="29"/>
      <c r="W58" s="29">
        <v>26.23</v>
      </c>
      <c r="X58" s="29">
        <v>26.4</v>
      </c>
      <c r="Y58" s="29">
        <v>26.578558000484396</v>
      </c>
      <c r="Z58" s="29">
        <v>26.773154798760327</v>
      </c>
      <c r="AA58" s="29">
        <v>26.910076605139743</v>
      </c>
      <c r="AB58" s="29">
        <v>27.068502656953164</v>
      </c>
      <c r="AC58" s="29">
        <v>27.246640904043794</v>
      </c>
      <c r="AD58" s="29">
        <v>27.344909207636267</v>
      </c>
      <c r="AE58" s="29">
        <v>27.533596537404126</v>
      </c>
      <c r="AF58" s="29">
        <v>27.678724549022185</v>
      </c>
      <c r="AG58" s="29">
        <v>27.817104562847156</v>
      </c>
      <c r="AH58" s="29">
        <v>27.95864721679234</v>
      </c>
      <c r="AI58" s="29">
        <v>28.098011484431584</v>
      </c>
      <c r="AJ58" s="29">
        <v>28.317841922769613</v>
      </c>
      <c r="AK58" s="29">
        <v>28.505530897436888</v>
      </c>
      <c r="AL58" s="29">
        <v>28.73627475721775</v>
      </c>
      <c r="AM58" s="29">
        <v>28.943343480709004</v>
      </c>
      <c r="AN58" s="29">
        <v>29.110249394659686</v>
      </c>
      <c r="AO58" s="29">
        <v>29.223266057597762</v>
      </c>
      <c r="AP58" s="29">
        <v>29.305852092411378</v>
      </c>
      <c r="AQ58" s="29">
        <v>29.340718349897919</v>
      </c>
      <c r="AR58" s="29">
        <v>29.369094400406976</v>
      </c>
      <c r="AS58" s="29">
        <v>29.383098632982581</v>
      </c>
      <c r="AT58" s="29">
        <v>29.340368585778972</v>
      </c>
      <c r="AU58" s="29">
        <v>29.338615976869296</v>
      </c>
      <c r="AV58" s="29">
        <v>29.372616183565455</v>
      </c>
      <c r="AW58" s="29">
        <v>29.548095398488393</v>
      </c>
      <c r="AX58" s="29">
        <v>29.570381526154932</v>
      </c>
      <c r="AY58" s="29">
        <v>29.684874991194263</v>
      </c>
      <c r="AZ58" s="29">
        <v>29.778499311030117</v>
      </c>
      <c r="BA58" s="29">
        <v>29.872599977219565</v>
      </c>
      <c r="BB58" s="29">
        <v>29.962654167528257</v>
      </c>
      <c r="BC58" s="29">
        <v>30.047032641874516</v>
      </c>
      <c r="BD58" s="29">
        <v>30.115981550845497</v>
      </c>
      <c r="BE58" s="29">
        <v>30.228521217068348</v>
      </c>
      <c r="BF58" s="29">
        <v>30.328654564439997</v>
      </c>
      <c r="BG58" s="29">
        <v>30.433394351137199</v>
      </c>
      <c r="BH58" s="29">
        <v>30.571670709078649</v>
      </c>
      <c r="BI58" s="29">
        <v>30.681199359893387</v>
      </c>
      <c r="BJ58" s="29">
        <v>30.80267064009568</v>
      </c>
      <c r="BK58" s="29">
        <v>30.913605720311445</v>
      </c>
      <c r="BL58" s="29">
        <v>31.061086101334894</v>
      </c>
      <c r="BM58" s="29">
        <v>31.18218515453227</v>
      </c>
      <c r="BN58" s="29">
        <v>31.31292568248719</v>
      </c>
      <c r="BO58" s="29">
        <v>31.431807051184705</v>
      </c>
      <c r="BP58" s="29">
        <v>31.563464265949232</v>
      </c>
      <c r="BQ58" s="29">
        <v>31.692296198535832</v>
      </c>
      <c r="BR58" s="29">
        <v>31.820376954689589</v>
      </c>
      <c r="BS58" s="29">
        <v>31.947716072863134</v>
      </c>
      <c r="BT58" s="29">
        <v>32.074321747403431</v>
      </c>
      <c r="BU58" s="29">
        <v>32.200200688896558</v>
      </c>
      <c r="BV58" s="29">
        <v>32.325358025918455</v>
      </c>
      <c r="BW58" s="29">
        <v>32.449797299120043</v>
      </c>
      <c r="BX58" s="29">
        <v>32.573520549293384</v>
      </c>
      <c r="BY58" s="29">
        <v>32.696528458755374</v>
      </c>
      <c r="BZ58" s="29">
        <v>32.818820519630236</v>
      </c>
      <c r="CA58" s="29">
        <v>32.940395211291737</v>
      </c>
      <c r="CB58" s="29">
        <v>33.061250149159342</v>
      </c>
      <c r="CC58" s="29">
        <v>33.181382227188529</v>
      </c>
      <c r="CD58" s="29">
        <v>33.300746092616095</v>
      </c>
      <c r="CE58" s="29">
        <v>33.41934124227221</v>
      </c>
      <c r="CF58" s="29">
        <v>33.53716727815101</v>
      </c>
      <c r="CG58" s="29">
        <v>33.654223905720521</v>
      </c>
      <c r="CH58" s="29">
        <v>33.770510932257224</v>
      </c>
      <c r="CI58" s="29">
        <v>33.886028265209397</v>
      </c>
      <c r="CJ58" s="29">
        <v>34.000775910583499</v>
      </c>
      <c r="CK58" s="29">
        <v>34.114753971356571</v>
      </c>
      <c r="CL58" s="29">
        <v>34.227962645910495</v>
      </c>
      <c r="CM58" s="29">
        <v>34.340402226489395</v>
      </c>
      <c r="CN58" s="29">
        <v>34.452073097678493</v>
      </c>
      <c r="CO58" s="29">
        <v>34.562975734902061</v>
      </c>
      <c r="CP58" s="29">
        <v>34.673110702942331</v>
      </c>
      <c r="CQ58" s="29">
        <v>34.782478654476655</v>
      </c>
      <c r="CR58" s="29">
        <v>34.891080328632214</v>
      </c>
      <c r="CS58" s="29">
        <v>34.99891654955789</v>
      </c>
      <c r="CT58" s="29">
        <v>35.105988225012666</v>
      </c>
      <c r="CU58" s="29">
        <v>35.212296344968522</v>
      </c>
      <c r="CV58" s="29">
        <v>35.317841980229773</v>
      </c>
      <c r="CW58" s="29">
        <v>35.422626281065213</v>
      </c>
      <c r="CX58" s="29">
        <v>35.526650475853678</v>
      </c>
      <c r="CY58" s="29">
        <v>35.629915869743584</v>
      </c>
      <c r="CZ58" s="29">
        <v>35.732423843323488</v>
      </c>
      <c r="DA58" s="29">
        <v>35.834175851304948</v>
      </c>
      <c r="DB58" s="29">
        <v>35.93517342121644</v>
      </c>
      <c r="DC58" s="29">
        <v>36.035418152108178</v>
      </c>
      <c r="DD58" s="29">
        <v>36.134911713266483</v>
      </c>
      <c r="DE58" s="29">
        <v>36.233655842938965</v>
      </c>
      <c r="DF58" s="29">
        <v>36.331652347067894</v>
      </c>
      <c r="DG58" s="29">
        <v>36.428903098033864</v>
      </c>
      <c r="DH58" s="29">
        <v>36.525410033406814</v>
      </c>
      <c r="DI58" s="29">
        <v>36.621175154707053</v>
      </c>
      <c r="DJ58" s="29">
        <v>36.716200526172337</v>
      </c>
      <c r="DK58" s="29">
        <v>36.810488273534467</v>
      </c>
      <c r="DL58" s="29">
        <v>36.904040582803091</v>
      </c>
      <c r="DM58" s="29">
        <v>36.996859699055761</v>
      </c>
      <c r="DN58" s="29">
        <v>37.088947925237299</v>
      </c>
      <c r="DO58" s="29">
        <v>37.180307620964101</v>
      </c>
      <c r="DP58" s="29">
        <v>37.270941201336434</v>
      </c>
      <c r="DQ58" s="29">
        <v>37.360851135757834</v>
      </c>
      <c r="DR58" s="29">
        <v>37.45003994676005</v>
      </c>
      <c r="DS58">
        <v>37.538510208835696</v>
      </c>
      <c r="DT58">
        <v>37.626264547277181</v>
      </c>
      <c r="DU58">
        <v>37.713305637021634</v>
      </c>
    </row>
    <row r="59" spans="1:125">
      <c r="A59" s="34">
        <v>57</v>
      </c>
      <c r="B59" s="35"/>
      <c r="C59" s="35"/>
      <c r="D59" s="35"/>
      <c r="E59" s="35"/>
      <c r="F59" s="35"/>
      <c r="G59" s="35"/>
      <c r="H59" s="35"/>
      <c r="I59" s="35"/>
      <c r="J59" s="35"/>
      <c r="K59" s="35"/>
      <c r="L59" s="35"/>
      <c r="M59" s="35"/>
      <c r="N59" s="35"/>
      <c r="O59" s="35"/>
      <c r="P59" s="35"/>
      <c r="Q59" s="35"/>
      <c r="R59" s="35"/>
      <c r="S59" s="35"/>
      <c r="T59" s="35"/>
      <c r="U59" s="35"/>
      <c r="V59" s="29"/>
      <c r="W59" s="29">
        <v>25.39</v>
      </c>
      <c r="X59" s="29">
        <v>25.57</v>
      </c>
      <c r="Y59" s="29">
        <v>25.740308091604238</v>
      </c>
      <c r="Z59" s="29">
        <v>25.936509521968855</v>
      </c>
      <c r="AA59" s="29">
        <v>26.071311979005873</v>
      </c>
      <c r="AB59" s="29">
        <v>26.221551685739922</v>
      </c>
      <c r="AC59" s="29">
        <v>26.405398869159917</v>
      </c>
      <c r="AD59" s="29">
        <v>26.500638395881271</v>
      </c>
      <c r="AE59" s="29">
        <v>26.679551417284337</v>
      </c>
      <c r="AF59" s="29">
        <v>26.830960734849253</v>
      </c>
      <c r="AG59" s="29">
        <v>26.962704037874083</v>
      </c>
      <c r="AH59" s="29">
        <v>27.107537139251395</v>
      </c>
      <c r="AI59" s="29">
        <v>27.2423631837333</v>
      </c>
      <c r="AJ59" s="29">
        <v>27.458811801798866</v>
      </c>
      <c r="AK59" s="29">
        <v>27.642722335863429</v>
      </c>
      <c r="AL59" s="29">
        <v>27.870090469419093</v>
      </c>
      <c r="AM59" s="29">
        <v>28.073801437802295</v>
      </c>
      <c r="AN59" s="29">
        <v>28.235401375830023</v>
      </c>
      <c r="AO59" s="29">
        <v>28.348829006619344</v>
      </c>
      <c r="AP59" s="29">
        <v>28.428414277022313</v>
      </c>
      <c r="AQ59" s="29">
        <v>28.464707401101723</v>
      </c>
      <c r="AR59" s="29">
        <v>28.489253207325898</v>
      </c>
      <c r="AS59" s="29">
        <v>28.504238916544093</v>
      </c>
      <c r="AT59" s="29">
        <v>28.459325644537259</v>
      </c>
      <c r="AU59" s="29">
        <v>28.460031084778482</v>
      </c>
      <c r="AV59" s="29">
        <v>28.491671824878157</v>
      </c>
      <c r="AW59" s="29">
        <v>28.664875059676056</v>
      </c>
      <c r="AX59" s="29">
        <v>28.686112852200235</v>
      </c>
      <c r="AY59" s="29">
        <v>28.799970552076051</v>
      </c>
      <c r="AZ59" s="29">
        <v>28.893351227202235</v>
      </c>
      <c r="BA59" s="29">
        <v>28.981974082839681</v>
      </c>
      <c r="BB59" s="29">
        <v>29.076260935515393</v>
      </c>
      <c r="BC59" s="29">
        <v>29.156143374640273</v>
      </c>
      <c r="BD59" s="29">
        <v>29.230186157077789</v>
      </c>
      <c r="BE59" s="29">
        <v>29.339534196265472</v>
      </c>
      <c r="BF59" s="29">
        <v>29.443006656638243</v>
      </c>
      <c r="BG59" s="29">
        <v>29.544090506117296</v>
      </c>
      <c r="BH59" s="29">
        <v>29.680183046267189</v>
      </c>
      <c r="BI59" s="29">
        <v>29.792069296918477</v>
      </c>
      <c r="BJ59" s="29">
        <v>29.911384275073399</v>
      </c>
      <c r="BK59" s="29">
        <v>30.025295095708358</v>
      </c>
      <c r="BL59" s="29">
        <v>30.166822763547568</v>
      </c>
      <c r="BM59" s="29">
        <v>30.285155436221189</v>
      </c>
      <c r="BN59" s="29">
        <v>30.411516959964434</v>
      </c>
      <c r="BO59" s="29">
        <v>30.539182230608066</v>
      </c>
      <c r="BP59" s="29">
        <v>30.667273764651149</v>
      </c>
      <c r="BQ59" s="29">
        <v>30.794620651555899</v>
      </c>
      <c r="BR59" s="29">
        <v>30.921233580292849</v>
      </c>
      <c r="BS59" s="29">
        <v>31.047122029803432</v>
      </c>
      <c r="BT59" s="29">
        <v>31.172294125254602</v>
      </c>
      <c r="BU59" s="29">
        <v>31.296756498609035</v>
      </c>
      <c r="BV59" s="29">
        <v>31.420514190741745</v>
      </c>
      <c r="BW59" s="29">
        <v>31.54357064616315</v>
      </c>
      <c r="BX59" s="29">
        <v>31.665927801964472</v>
      </c>
      <c r="BY59" s="29">
        <v>31.78758623017308</v>
      </c>
      <c r="BZ59" s="29">
        <v>31.908545307009557</v>
      </c>
      <c r="CA59" s="29">
        <v>32.028803391253156</v>
      </c>
      <c r="CB59" s="29">
        <v>32.148357973810135</v>
      </c>
      <c r="CC59" s="29">
        <v>32.267162294252529</v>
      </c>
      <c r="CD59" s="29">
        <v>32.385215601166443</v>
      </c>
      <c r="CE59" s="29">
        <v>32.50251724884815</v>
      </c>
      <c r="CF59" s="29">
        <v>32.61906669566941</v>
      </c>
      <c r="CG59" s="29">
        <v>32.734863502471491</v>
      </c>
      <c r="CH59" s="29">
        <v>32.849907330981708</v>
      </c>
      <c r="CI59" s="29">
        <v>32.964197942256789</v>
      </c>
      <c r="CJ59" s="29">
        <v>33.077735195147149</v>
      </c>
      <c r="CK59" s="29">
        <v>33.190519044785084</v>
      </c>
      <c r="CL59" s="29">
        <v>33.302549541092986</v>
      </c>
      <c r="CM59" s="29">
        <v>33.413826827312562</v>
      </c>
      <c r="CN59" s="29">
        <v>33.524351138553548</v>
      </c>
      <c r="CO59" s="29">
        <v>33.634122800359641</v>
      </c>
      <c r="CP59" s="29">
        <v>33.743142227293383</v>
      </c>
      <c r="CQ59" s="29">
        <v>33.85140992153741</v>
      </c>
      <c r="CR59" s="29">
        <v>33.958926471511425</v>
      </c>
      <c r="CS59" s="29">
        <v>34.06569255050438</v>
      </c>
      <c r="CT59" s="29">
        <v>34.171708915321396</v>
      </c>
      <c r="CU59" s="29">
        <v>34.276976404943468</v>
      </c>
      <c r="CV59" s="29">
        <v>34.381495939201663</v>
      </c>
      <c r="CW59" s="29">
        <v>34.485268517462544</v>
      </c>
      <c r="CX59" s="29">
        <v>34.588295217325204</v>
      </c>
      <c r="CY59" s="29">
        <v>34.690577193330597</v>
      </c>
      <c r="CZ59" s="29">
        <v>34.792115675680272</v>
      </c>
      <c r="DA59" s="29">
        <v>34.892911968965727</v>
      </c>
      <c r="DB59" s="29">
        <v>34.992967450907251</v>
      </c>
      <c r="DC59" s="29">
        <v>35.092283571102108</v>
      </c>
      <c r="DD59" s="29">
        <v>35.19086184978071</v>
      </c>
      <c r="DE59" s="29">
        <v>35.288703876572072</v>
      </c>
      <c r="DF59" s="29">
        <v>35.385811309276022</v>
      </c>
      <c r="DG59" s="29">
        <v>35.48218587264428</v>
      </c>
      <c r="DH59" s="29">
        <v>35.577829357167332</v>
      </c>
      <c r="DI59" s="29">
        <v>35.672743617870104</v>
      </c>
      <c r="DJ59" s="29">
        <v>35.766930573112191</v>
      </c>
      <c r="DK59" s="29">
        <v>35.860392203396366</v>
      </c>
      <c r="DL59" s="29">
        <v>35.953130550182891</v>
      </c>
      <c r="DM59" s="29">
        <v>36.045147714708939</v>
      </c>
      <c r="DN59" s="29">
        <v>36.136445856815932</v>
      </c>
      <c r="DO59" s="29">
        <v>36.227027193780778</v>
      </c>
      <c r="DP59" s="29">
        <v>36.316893999153756</v>
      </c>
      <c r="DQ59" s="29">
        <v>36.406048601602414</v>
      </c>
      <c r="DR59" s="29">
        <v>36.494493383759881</v>
      </c>
      <c r="DS59">
        <v>36.582230781079815</v>
      </c>
      <c r="DT59">
        <v>36.669263280696441</v>
      </c>
      <c r="DU59">
        <v>36.755593420289685</v>
      </c>
    </row>
    <row r="60" spans="1:125">
      <c r="A60" s="34">
        <v>58</v>
      </c>
      <c r="B60" s="35"/>
      <c r="C60" s="35"/>
      <c r="D60" s="35"/>
      <c r="E60" s="35"/>
      <c r="F60" s="35"/>
      <c r="G60" s="35"/>
      <c r="H60" s="35"/>
      <c r="I60" s="35"/>
      <c r="J60" s="35"/>
      <c r="K60" s="35"/>
      <c r="L60" s="35"/>
      <c r="M60" s="35"/>
      <c r="N60" s="35"/>
      <c r="O60" s="35"/>
      <c r="P60" s="35"/>
      <c r="Q60" s="35"/>
      <c r="R60" s="35"/>
      <c r="S60" s="35"/>
      <c r="T60" s="35"/>
      <c r="U60" s="35"/>
      <c r="V60" s="29"/>
      <c r="W60" s="29">
        <v>24.56</v>
      </c>
      <c r="X60" s="29">
        <v>24.74</v>
      </c>
      <c r="Y60" s="29">
        <v>24.907405600753446</v>
      </c>
      <c r="Z60" s="29">
        <v>25.103773469833438</v>
      </c>
      <c r="AA60" s="29">
        <v>25.236498116573394</v>
      </c>
      <c r="AB60" s="29">
        <v>25.37873545954174</v>
      </c>
      <c r="AC60" s="29">
        <v>25.563814093923519</v>
      </c>
      <c r="AD60" s="29">
        <v>25.655818082681254</v>
      </c>
      <c r="AE60" s="29">
        <v>25.83491872241116</v>
      </c>
      <c r="AF60" s="29">
        <v>25.977780141766011</v>
      </c>
      <c r="AG60" s="29">
        <v>26.110943123937751</v>
      </c>
      <c r="AH60" s="29">
        <v>26.259788957518097</v>
      </c>
      <c r="AI60" s="29">
        <v>26.395810263871855</v>
      </c>
      <c r="AJ60" s="29">
        <v>26.602626693204861</v>
      </c>
      <c r="AK60" s="29">
        <v>26.783630857796858</v>
      </c>
      <c r="AL60" s="29">
        <v>27.012944549193826</v>
      </c>
      <c r="AM60" s="29">
        <v>27.206856667932747</v>
      </c>
      <c r="AN60" s="29">
        <v>27.368807585996802</v>
      </c>
      <c r="AO60" s="29">
        <v>27.479476858952047</v>
      </c>
      <c r="AP60" s="29">
        <v>27.55625036890676</v>
      </c>
      <c r="AQ60" s="29">
        <v>27.594082300162221</v>
      </c>
      <c r="AR60" s="29">
        <v>27.615172905157483</v>
      </c>
      <c r="AS60" s="29">
        <v>27.629007565328614</v>
      </c>
      <c r="AT60" s="29">
        <v>27.588727536181953</v>
      </c>
      <c r="AU60" s="29">
        <v>27.587404421925385</v>
      </c>
      <c r="AV60" s="29">
        <v>27.616219396990932</v>
      </c>
      <c r="AW60" s="29">
        <v>27.787252698056133</v>
      </c>
      <c r="AX60" s="29">
        <v>27.807327612512829</v>
      </c>
      <c r="AY60" s="29">
        <v>27.918512098749051</v>
      </c>
      <c r="AZ60" s="29">
        <v>28.014328304467444</v>
      </c>
      <c r="BA60" s="29">
        <v>28.100202641835804</v>
      </c>
      <c r="BB60" s="29">
        <v>28.191553149310259</v>
      </c>
      <c r="BC60" s="29">
        <v>28.270203374998985</v>
      </c>
      <c r="BD60" s="29">
        <v>28.345751932053179</v>
      </c>
      <c r="BE60" s="29">
        <v>28.456731860555298</v>
      </c>
      <c r="BF60" s="29">
        <v>28.556411944352927</v>
      </c>
      <c r="BG60" s="29">
        <v>28.662496922031394</v>
      </c>
      <c r="BH60" s="29">
        <v>28.796505631275217</v>
      </c>
      <c r="BI60" s="29">
        <v>28.910893925911719</v>
      </c>
      <c r="BJ60" s="29">
        <v>29.024144174287677</v>
      </c>
      <c r="BK60" s="29">
        <v>29.137786215028314</v>
      </c>
      <c r="BL60" s="29">
        <v>29.2761556947606</v>
      </c>
      <c r="BM60" s="29">
        <v>29.394638804314813</v>
      </c>
      <c r="BN60" s="29">
        <v>29.523363637797988</v>
      </c>
      <c r="BO60" s="29">
        <v>29.650608545695285</v>
      </c>
      <c r="BP60" s="29">
        <v>29.777115121402577</v>
      </c>
      <c r="BQ60" s="29">
        <v>29.902895116920888</v>
      </c>
      <c r="BR60" s="29">
        <v>30.027959176379785</v>
      </c>
      <c r="BS60" s="29">
        <v>30.152316723020043</v>
      </c>
      <c r="BT60" s="29">
        <v>30.275975815662331</v>
      </c>
      <c r="BU60" s="29">
        <v>30.398943009527461</v>
      </c>
      <c r="BV60" s="29">
        <v>30.521223258756201</v>
      </c>
      <c r="BW60" s="29">
        <v>30.642819911832646</v>
      </c>
      <c r="BX60" s="29">
        <v>30.763734801492905</v>
      </c>
      <c r="BY60" s="29">
        <v>30.883968388144229</v>
      </c>
      <c r="BZ60" s="29">
        <v>31.003519930188354</v>
      </c>
      <c r="CA60" s="29">
        <v>31.122387663396761</v>
      </c>
      <c r="CB60" s="29">
        <v>31.240524277167626</v>
      </c>
      <c r="CC60" s="29">
        <v>31.35792877027049</v>
      </c>
      <c r="CD60" s="29">
        <v>31.474600247383705</v>
      </c>
      <c r="CE60" s="29">
        <v>31.590537917529765</v>
      </c>
      <c r="CF60" s="29">
        <v>31.70574109253392</v>
      </c>
      <c r="CG60" s="29">
        <v>31.820209185509274</v>
      </c>
      <c r="CH60" s="29">
        <v>31.933941709362188</v>
      </c>
      <c r="CI60" s="29">
        <v>32.046938275322212</v>
      </c>
      <c r="CJ60" s="29">
        <v>32.159198591490842</v>
      </c>
      <c r="CK60" s="29">
        <v>32.27072246141195</v>
      </c>
      <c r="CL60" s="29">
        <v>32.381509782660061</v>
      </c>
      <c r="CM60" s="29">
        <v>32.49156054544757</v>
      </c>
      <c r="CN60" s="29">
        <v>32.600874831249264</v>
      </c>
      <c r="CO60" s="29">
        <v>32.709452811442006</v>
      </c>
      <c r="CP60" s="29">
        <v>32.817294745961306</v>
      </c>
      <c r="CQ60" s="29">
        <v>32.924400981972212</v>
      </c>
      <c r="CR60" s="29">
        <v>33.030771952553856</v>
      </c>
      <c r="CS60" s="29">
        <v>33.136408175397357</v>
      </c>
      <c r="CT60" s="29">
        <v>33.241310251516332</v>
      </c>
      <c r="CU60" s="29">
        <v>33.34547886396841</v>
      </c>
      <c r="CV60" s="29">
        <v>33.448914776589262</v>
      </c>
      <c r="CW60" s="29">
        <v>33.551618832735969</v>
      </c>
      <c r="CX60" s="29">
        <v>33.65359195404023</v>
      </c>
      <c r="CY60" s="29">
        <v>33.754835139172023</v>
      </c>
      <c r="CZ60" s="29">
        <v>33.855349462610896</v>
      </c>
      <c r="DA60" s="29">
        <v>33.955136073426083</v>
      </c>
      <c r="DB60" s="29">
        <v>34.054196194064495</v>
      </c>
      <c r="DC60" s="29">
        <v>34.152531119146303</v>
      </c>
      <c r="DD60" s="29">
        <v>34.25014221426683</v>
      </c>
      <c r="DE60" s="29">
        <v>34.347030914806226</v>
      </c>
      <c r="DF60" s="29">
        <v>34.443198724744171</v>
      </c>
      <c r="DG60" s="29">
        <v>34.538647215481973</v>
      </c>
      <c r="DH60" s="29">
        <v>34.63337802466895</v>
      </c>
      <c r="DI60" s="29">
        <v>34.727392855036058</v>
      </c>
      <c r="DJ60" s="29">
        <v>34.82069347323268</v>
      </c>
      <c r="DK60" s="29">
        <v>34.913281708670198</v>
      </c>
      <c r="DL60" s="29">
        <v>35.00515945237008</v>
      </c>
      <c r="DM60" s="29">
        <v>35.096328655815569</v>
      </c>
      <c r="DN60" s="29">
        <v>35.18679132981007</v>
      </c>
      <c r="DO60" s="29">
        <v>35.276549543338099</v>
      </c>
      <c r="DP60" s="29">
        <v>35.365605422431507</v>
      </c>
      <c r="DQ60" s="29">
        <v>35.45396114904073</v>
      </c>
      <c r="DR60" s="29">
        <v>35.541618959908881</v>
      </c>
      <c r="DS60">
        <v>35.628581145451619</v>
      </c>
      <c r="DT60">
        <v>35.714850048640749</v>
      </c>
      <c r="DU60">
        <v>35.800428063891871</v>
      </c>
    </row>
    <row r="61" spans="1:125">
      <c r="A61" s="34">
        <v>59</v>
      </c>
      <c r="B61" s="35"/>
      <c r="C61" s="35"/>
      <c r="D61" s="35"/>
      <c r="E61" s="35"/>
      <c r="F61" s="35"/>
      <c r="G61" s="35"/>
      <c r="H61" s="35"/>
      <c r="I61" s="35"/>
      <c r="J61" s="35"/>
      <c r="K61" s="35"/>
      <c r="L61" s="35"/>
      <c r="M61" s="35"/>
      <c r="N61" s="35"/>
      <c r="O61" s="35"/>
      <c r="P61" s="35"/>
      <c r="Q61" s="35"/>
      <c r="R61" s="35"/>
      <c r="S61" s="35"/>
      <c r="T61" s="35"/>
      <c r="U61" s="35"/>
      <c r="V61" s="29"/>
      <c r="W61" s="29">
        <v>23.74</v>
      </c>
      <c r="X61" s="29">
        <v>23.91</v>
      </c>
      <c r="Y61" s="29">
        <v>24.085347142560064</v>
      </c>
      <c r="Z61" s="29">
        <v>24.272153741017984</v>
      </c>
      <c r="AA61" s="29">
        <v>24.401723880294373</v>
      </c>
      <c r="AB61" s="29">
        <v>24.553978192783571</v>
      </c>
      <c r="AC61" s="29">
        <v>24.727186466628762</v>
      </c>
      <c r="AD61" s="29">
        <v>24.818475569957201</v>
      </c>
      <c r="AE61" s="29">
        <v>24.99796005492373</v>
      </c>
      <c r="AF61" s="29">
        <v>25.141645733749684</v>
      </c>
      <c r="AG61" s="29">
        <v>25.272446612246487</v>
      </c>
      <c r="AH61" s="29">
        <v>25.418284000265448</v>
      </c>
      <c r="AI61" s="29">
        <v>25.552912525290804</v>
      </c>
      <c r="AJ61" s="29">
        <v>25.756776867268734</v>
      </c>
      <c r="AK61" s="29">
        <v>25.934772429779969</v>
      </c>
      <c r="AL61" s="29">
        <v>26.152513726522784</v>
      </c>
      <c r="AM61" s="29">
        <v>26.350781364479133</v>
      </c>
      <c r="AN61" s="29">
        <v>26.50080497537947</v>
      </c>
      <c r="AO61" s="29">
        <v>26.61343463067546</v>
      </c>
      <c r="AP61" s="29">
        <v>26.682475738834832</v>
      </c>
      <c r="AQ61" s="29">
        <v>26.724566830577945</v>
      </c>
      <c r="AR61" s="29">
        <v>26.745841253777758</v>
      </c>
      <c r="AS61" s="29">
        <v>26.756859216547866</v>
      </c>
      <c r="AT61" s="29">
        <v>26.722981122862983</v>
      </c>
      <c r="AU61" s="29">
        <v>26.721038058481103</v>
      </c>
      <c r="AV61" s="29">
        <v>26.751052092259588</v>
      </c>
      <c r="AW61" s="29">
        <v>26.909544486241735</v>
      </c>
      <c r="AX61" s="29">
        <v>26.935234025041193</v>
      </c>
      <c r="AY61" s="29">
        <v>27.042791303521735</v>
      </c>
      <c r="AZ61" s="29">
        <v>27.137442056445021</v>
      </c>
      <c r="BA61" s="29">
        <v>27.223700833607701</v>
      </c>
      <c r="BB61" s="29">
        <v>27.314462771055499</v>
      </c>
      <c r="BC61" s="29">
        <v>27.392374692244342</v>
      </c>
      <c r="BD61" s="29">
        <v>27.468110015678299</v>
      </c>
      <c r="BE61" s="29">
        <v>27.577672065054522</v>
      </c>
      <c r="BF61" s="29">
        <v>27.679923877612897</v>
      </c>
      <c r="BG61" s="29">
        <v>27.790740131331269</v>
      </c>
      <c r="BH61" s="29">
        <v>27.917830502718687</v>
      </c>
      <c r="BI61" s="29">
        <v>28.035396420905631</v>
      </c>
      <c r="BJ61" s="29">
        <v>28.142099196761453</v>
      </c>
      <c r="BK61" s="29">
        <v>28.258406076441791</v>
      </c>
      <c r="BL61" s="29">
        <v>28.392668729167834</v>
      </c>
      <c r="BM61" s="29">
        <v>28.516623533442665</v>
      </c>
      <c r="BN61" s="29">
        <v>28.642906510611454</v>
      </c>
      <c r="BO61" s="29">
        <v>28.768457389375662</v>
      </c>
      <c r="BP61" s="29">
        <v>28.893288961070478</v>
      </c>
      <c r="BQ61" s="29">
        <v>29.017412948888825</v>
      </c>
      <c r="BR61" s="29">
        <v>29.140839955869282</v>
      </c>
      <c r="BS61" s="29">
        <v>29.263579352218624</v>
      </c>
      <c r="BT61" s="29">
        <v>29.385639132020636</v>
      </c>
      <c r="BU61" s="29">
        <v>29.507025774335514</v>
      </c>
      <c r="BV61" s="29">
        <v>29.627744146165938</v>
      </c>
      <c r="BW61" s="29">
        <v>29.747797498650829</v>
      </c>
      <c r="BX61" s="29">
        <v>29.86718755803118</v>
      </c>
      <c r="BY61" s="29">
        <v>29.985914670235292</v>
      </c>
      <c r="BZ61" s="29">
        <v>30.103977972370032</v>
      </c>
      <c r="CA61" s="29">
        <v>30.221330587497633</v>
      </c>
      <c r="CB61" s="29">
        <v>30.337971262671179</v>
      </c>
      <c r="CC61" s="29">
        <v>30.453898850681611</v>
      </c>
      <c r="CD61" s="29">
        <v>30.569112308571874</v>
      </c>
      <c r="CE61" s="29">
        <v>30.683610696175531</v>
      </c>
      <c r="CF61" s="29">
        <v>30.797393174676159</v>
      </c>
      <c r="CG61" s="29">
        <v>30.91045900519094</v>
      </c>
      <c r="CH61" s="29">
        <v>31.022807547372015</v>
      </c>
      <c r="CI61" s="29">
        <v>31.13443825803013</v>
      </c>
      <c r="CJ61" s="29">
        <v>31.245350689774646</v>
      </c>
      <c r="CK61" s="29">
        <v>31.355544489672962</v>
      </c>
      <c r="CL61" s="29">
        <v>31.465019397925353</v>
      </c>
      <c r="CM61" s="29">
        <v>31.573775246556586</v>
      </c>
      <c r="CN61" s="29">
        <v>31.681811958122481</v>
      </c>
      <c r="CO61" s="29">
        <v>31.789129544429397</v>
      </c>
      <c r="CP61" s="29">
        <v>31.895728105268439</v>
      </c>
      <c r="CQ61" s="29">
        <v>32.001607827161713</v>
      </c>
      <c r="CR61" s="29">
        <v>32.106768982120172</v>
      </c>
      <c r="CS61" s="29">
        <v>32.211211926412574</v>
      </c>
      <c r="CT61" s="29">
        <v>32.314937099345066</v>
      </c>
      <c r="CU61" s="29">
        <v>32.417945022049587</v>
      </c>
      <c r="CV61" s="29">
        <v>32.520236296282874</v>
      </c>
      <c r="CW61" s="29">
        <v>32.621811603232672</v>
      </c>
      <c r="CX61" s="29">
        <v>32.722671702331922</v>
      </c>
      <c r="CY61" s="29">
        <v>32.822817430081365</v>
      </c>
      <c r="CZ61" s="29">
        <v>32.922249698877962</v>
      </c>
      <c r="DA61" s="29">
        <v>33.020969495850217</v>
      </c>
      <c r="DB61" s="29">
        <v>33.118977881699536</v>
      </c>
      <c r="DC61" s="29">
        <v>33.216275989547405</v>
      </c>
      <c r="DD61" s="29">
        <v>33.312865023787076</v>
      </c>
      <c r="DE61" s="29">
        <v>33.408746258941278</v>
      </c>
      <c r="DF61" s="29">
        <v>33.503921038523394</v>
      </c>
      <c r="DG61" s="29">
        <v>33.59839077390415</v>
      </c>
      <c r="DH61" s="29">
        <v>33.692156943181153</v>
      </c>
      <c r="DI61" s="29">
        <v>33.785221090053923</v>
      </c>
      <c r="DJ61" s="29">
        <v>33.877584822700676</v>
      </c>
      <c r="DK61" s="29">
        <v>33.969249812660195</v>
      </c>
      <c r="DL61" s="29">
        <v>34.060217793716831</v>
      </c>
      <c r="DM61" s="29">
        <v>34.150490560787624</v>
      </c>
      <c r="DN61" s="29">
        <v>34.240069968814645</v>
      </c>
      <c r="DO61" s="29">
        <v>34.328957931658529</v>
      </c>
      <c r="DP61" s="29">
        <v>34.417156420995966</v>
      </c>
      <c r="DQ61" s="29">
        <v>34.504667465220741</v>
      </c>
      <c r="DR61" s="29">
        <v>34.591493148346501</v>
      </c>
      <c r="DS61">
        <v>34.677635608913846</v>
      </c>
      <c r="DT61">
        <v>34.763097038900064</v>
      </c>
      <c r="DU61">
        <v>34.847879682631564</v>
      </c>
    </row>
    <row r="62" spans="1:125">
      <c r="A62" s="34">
        <v>60</v>
      </c>
      <c r="B62" s="35"/>
      <c r="C62" s="35"/>
      <c r="D62" s="35"/>
      <c r="E62" s="35"/>
      <c r="F62" s="35"/>
      <c r="G62" s="35"/>
      <c r="H62" s="35"/>
      <c r="I62" s="35"/>
      <c r="J62" s="35"/>
      <c r="K62" s="35"/>
      <c r="L62" s="35"/>
      <c r="M62" s="35"/>
      <c r="N62" s="35"/>
      <c r="O62" s="35"/>
      <c r="P62" s="35"/>
      <c r="Q62" s="35"/>
      <c r="R62" s="35"/>
      <c r="S62" s="35"/>
      <c r="T62" s="35"/>
      <c r="U62" s="35"/>
      <c r="V62" s="29"/>
      <c r="W62" s="29">
        <v>22.93</v>
      </c>
      <c r="X62" s="29">
        <v>23.1</v>
      </c>
      <c r="Y62" s="29">
        <v>23.267736154173161</v>
      </c>
      <c r="Z62" s="29">
        <v>23.44850095075471</v>
      </c>
      <c r="AA62" s="29">
        <v>23.579899025938168</v>
      </c>
      <c r="AB62" s="29">
        <v>23.726561438257729</v>
      </c>
      <c r="AC62" s="29">
        <v>23.89221685036814</v>
      </c>
      <c r="AD62" s="29">
        <v>23.988878492090155</v>
      </c>
      <c r="AE62" s="29">
        <v>24.164150462187056</v>
      </c>
      <c r="AF62" s="29">
        <v>24.310581772325222</v>
      </c>
      <c r="AG62" s="29">
        <v>24.436757000151484</v>
      </c>
      <c r="AH62" s="29">
        <v>24.58185807140536</v>
      </c>
      <c r="AI62" s="29">
        <v>24.7177734135207</v>
      </c>
      <c r="AJ62" s="29">
        <v>24.911042503749734</v>
      </c>
      <c r="AK62" s="29">
        <v>25.09415416381389</v>
      </c>
      <c r="AL62" s="29">
        <v>25.302010902368664</v>
      </c>
      <c r="AM62" s="29">
        <v>25.497312126283305</v>
      </c>
      <c r="AN62" s="29">
        <v>25.639438086208383</v>
      </c>
      <c r="AO62" s="29">
        <v>25.750738701907729</v>
      </c>
      <c r="AP62" s="29">
        <v>25.816620799089328</v>
      </c>
      <c r="AQ62" s="29">
        <v>25.857000105490656</v>
      </c>
      <c r="AR62" s="29">
        <v>25.875914509156747</v>
      </c>
      <c r="AS62" s="29">
        <v>25.890333550349535</v>
      </c>
      <c r="AT62" s="29">
        <v>25.854756055970061</v>
      </c>
      <c r="AU62" s="29">
        <v>25.858048432023686</v>
      </c>
      <c r="AV62" s="29">
        <v>25.885278628296746</v>
      </c>
      <c r="AW62" s="29">
        <v>26.035610012702879</v>
      </c>
      <c r="AX62" s="29">
        <v>26.061727333607216</v>
      </c>
      <c r="AY62" s="29">
        <v>26.172422701645718</v>
      </c>
      <c r="AZ62" s="29">
        <v>26.260983506716496</v>
      </c>
      <c r="BA62" s="29">
        <v>26.350311880057614</v>
      </c>
      <c r="BB62" s="29">
        <v>26.445601229499491</v>
      </c>
      <c r="BC62" s="29">
        <v>26.524444062822145</v>
      </c>
      <c r="BD62" s="29">
        <v>26.597829870794921</v>
      </c>
      <c r="BE62" s="29">
        <v>26.713385214735393</v>
      </c>
      <c r="BF62" s="29">
        <v>26.806824973851118</v>
      </c>
      <c r="BG62" s="29">
        <v>26.920258113401299</v>
      </c>
      <c r="BH62" s="29">
        <v>27.047507309425665</v>
      </c>
      <c r="BI62" s="29">
        <v>27.161831223371948</v>
      </c>
      <c r="BJ62" s="29">
        <v>27.267199493430756</v>
      </c>
      <c r="BK62" s="29">
        <v>27.390102898359697</v>
      </c>
      <c r="BL62" s="29">
        <v>27.519631824633567</v>
      </c>
      <c r="BM62" s="29">
        <v>27.644827075382931</v>
      </c>
      <c r="BN62" s="29">
        <v>27.769296908628558</v>
      </c>
      <c r="BO62" s="29">
        <v>27.89305474615476</v>
      </c>
      <c r="BP62" s="29">
        <v>28.016113368399449</v>
      </c>
      <c r="BQ62" s="29">
        <v>28.138484473515447</v>
      </c>
      <c r="BR62" s="29">
        <v>28.260178626001675</v>
      </c>
      <c r="BS62" s="29">
        <v>28.381205144406451</v>
      </c>
      <c r="BT62" s="29">
        <v>28.501571958307419</v>
      </c>
      <c r="BU62" s="29">
        <v>28.621285469724228</v>
      </c>
      <c r="BV62" s="29">
        <v>28.740350456580288</v>
      </c>
      <c r="BW62" s="29">
        <v>28.858770069745869</v>
      </c>
      <c r="BX62" s="29">
        <v>28.976545925165883</v>
      </c>
      <c r="BY62" s="29">
        <v>29.093678249724977</v>
      </c>
      <c r="BZ62" s="29">
        <v>29.210121716788485</v>
      </c>
      <c r="CA62" s="29">
        <v>29.325874819392347</v>
      </c>
      <c r="CB62" s="29">
        <v>29.440936155743916</v>
      </c>
      <c r="CC62" s="29">
        <v>29.555304427827878</v>
      </c>
      <c r="CD62" s="29">
        <v>29.66897844003433</v>
      </c>
      <c r="CE62" s="29">
        <v>29.781957097808789</v>
      </c>
      <c r="CF62" s="29">
        <v>29.894239406320274</v>
      </c>
      <c r="CG62" s="29">
        <v>30.005824469151062</v>
      </c>
      <c r="CH62" s="29">
        <v>30.11671148700157</v>
      </c>
      <c r="CI62" s="29">
        <v>30.226899756415033</v>
      </c>
      <c r="CJ62" s="29">
        <v>30.336388668515923</v>
      </c>
      <c r="CK62" s="29">
        <v>30.445177707765335</v>
      </c>
      <c r="CL62" s="29">
        <v>30.553266450729232</v>
      </c>
      <c r="CM62" s="29">
        <v>30.660654564861069</v>
      </c>
      <c r="CN62" s="29">
        <v>30.767341807296834</v>
      </c>
      <c r="CO62" s="29">
        <v>30.873328023660687</v>
      </c>
      <c r="CP62" s="29">
        <v>30.978613146882871</v>
      </c>
      <c r="CQ62" s="29">
        <v>31.083197196027363</v>
      </c>
      <c r="CR62" s="29">
        <v>31.187080275128753</v>
      </c>
      <c r="CS62" s="29">
        <v>31.290262572038017</v>
      </c>
      <c r="CT62" s="29">
        <v>31.392744357276545</v>
      </c>
      <c r="CU62" s="29">
        <v>31.494525982896928</v>
      </c>
      <c r="CV62" s="29">
        <v>31.595607881351988</v>
      </c>
      <c r="CW62" s="29">
        <v>31.695990564369012</v>
      </c>
      <c r="CX62" s="29">
        <v>31.795674621829736</v>
      </c>
      <c r="CY62" s="29">
        <v>31.894660720656763</v>
      </c>
      <c r="CZ62" s="29">
        <v>31.992949603703657</v>
      </c>
      <c r="DA62" s="29">
        <v>32.090542088650032</v>
      </c>
      <c r="DB62" s="29">
        <v>32.187439066900609</v>
      </c>
      <c r="DC62" s="29">
        <v>32.283641502488258</v>
      </c>
      <c r="DD62" s="29">
        <v>32.379150430979578</v>
      </c>
      <c r="DE62" s="29">
        <v>32.473966958384665</v>
      </c>
      <c r="DF62" s="29">
        <v>32.568092260068546</v>
      </c>
      <c r="DG62" s="29">
        <v>32.661527579666313</v>
      </c>
      <c r="DH62" s="29">
        <v>32.75427422799936</v>
      </c>
      <c r="DI62" s="29">
        <v>32.84633358199541</v>
      </c>
      <c r="DJ62" s="29">
        <v>32.937707083608601</v>
      </c>
      <c r="DK62" s="29">
        <v>33.028396238743085</v>
      </c>
      <c r="DL62" s="29">
        <v>33.118402616178031</v>
      </c>
      <c r="DM62" s="29">
        <v>33.207727846493263</v>
      </c>
      <c r="DN62" s="29">
        <v>33.296373620998587</v>
      </c>
      <c r="DO62" s="29">
        <v>33.384341690662808</v>
      </c>
      <c r="DP62" s="29">
        <v>33.471633865045149</v>
      </c>
      <c r="DQ62" s="29">
        <v>33.55825201122893</v>
      </c>
      <c r="DR62" s="29">
        <v>33.644198052755478</v>
      </c>
      <c r="DS62">
        <v>33.729473968561024</v>
      </c>
      <c r="DT62">
        <v>33.814081791914901</v>
      </c>
      <c r="DU62">
        <v>33.898023609359207</v>
      </c>
    </row>
    <row r="63" spans="1:125">
      <c r="A63" s="34">
        <v>61</v>
      </c>
      <c r="B63" s="35"/>
      <c r="C63" s="35"/>
      <c r="D63" s="35"/>
      <c r="E63" s="35"/>
      <c r="F63" s="35"/>
      <c r="G63" s="35"/>
      <c r="H63" s="35"/>
      <c r="I63" s="35"/>
      <c r="J63" s="35"/>
      <c r="K63" s="35"/>
      <c r="L63" s="35"/>
      <c r="M63" s="35"/>
      <c r="N63" s="35"/>
      <c r="O63" s="35"/>
      <c r="P63" s="35"/>
      <c r="Q63" s="35"/>
      <c r="R63" s="35"/>
      <c r="S63" s="35"/>
      <c r="T63" s="35"/>
      <c r="U63" s="35"/>
      <c r="V63" s="29"/>
      <c r="W63" s="29">
        <v>22.12</v>
      </c>
      <c r="X63" s="29">
        <v>22.29</v>
      </c>
      <c r="Y63" s="29">
        <v>22.456419228007061</v>
      </c>
      <c r="Z63" s="29">
        <v>22.638844005020783</v>
      </c>
      <c r="AA63" s="29">
        <v>22.766405898621663</v>
      </c>
      <c r="AB63" s="29">
        <v>22.907975529725519</v>
      </c>
      <c r="AC63" s="29">
        <v>23.069715593795546</v>
      </c>
      <c r="AD63" s="29">
        <v>23.167162294837937</v>
      </c>
      <c r="AE63" s="29">
        <v>23.33894648262855</v>
      </c>
      <c r="AF63" s="29">
        <v>23.489213814542225</v>
      </c>
      <c r="AG63" s="29">
        <v>23.60913350344812</v>
      </c>
      <c r="AH63" s="29">
        <v>23.753264944362549</v>
      </c>
      <c r="AI63" s="29">
        <v>23.883277624151212</v>
      </c>
      <c r="AJ63" s="29">
        <v>24.075473359920036</v>
      </c>
      <c r="AK63" s="29">
        <v>24.255640547430183</v>
      </c>
      <c r="AL63" s="29">
        <v>24.4556792676659</v>
      </c>
      <c r="AM63" s="29">
        <v>24.648779543754657</v>
      </c>
      <c r="AN63" s="29">
        <v>24.785569093048487</v>
      </c>
      <c r="AO63" s="29">
        <v>24.895321283566986</v>
      </c>
      <c r="AP63" s="29">
        <v>24.956111526985783</v>
      </c>
      <c r="AQ63" s="29">
        <v>24.992857732559123</v>
      </c>
      <c r="AR63" s="29">
        <v>25.015768865492721</v>
      </c>
      <c r="AS63" s="29">
        <v>25.024892506899139</v>
      </c>
      <c r="AT63" s="29">
        <v>25.000981746250183</v>
      </c>
      <c r="AU63" s="29">
        <v>24.995306634785791</v>
      </c>
      <c r="AV63" s="29">
        <v>25.027189795351411</v>
      </c>
      <c r="AW63" s="29">
        <v>25.17097974156399</v>
      </c>
      <c r="AX63" s="29">
        <v>25.204108596269009</v>
      </c>
      <c r="AY63" s="29">
        <v>25.306835623662945</v>
      </c>
      <c r="AZ63" s="29">
        <v>25.401141144332289</v>
      </c>
      <c r="BA63" s="29">
        <v>25.492269262418866</v>
      </c>
      <c r="BB63" s="29">
        <v>25.58125873861556</v>
      </c>
      <c r="BC63" s="29">
        <v>25.65916550589856</v>
      </c>
      <c r="BD63" s="29">
        <v>25.743053583657758</v>
      </c>
      <c r="BE63" s="29">
        <v>25.855343710199772</v>
      </c>
      <c r="BF63" s="29">
        <v>25.947534628275292</v>
      </c>
      <c r="BG63" s="29">
        <v>26.05882874842478</v>
      </c>
      <c r="BH63" s="29">
        <v>26.182717916786281</v>
      </c>
      <c r="BI63" s="29">
        <v>26.296958005011618</v>
      </c>
      <c r="BJ63" s="29">
        <v>26.40651972319505</v>
      </c>
      <c r="BK63" s="29">
        <v>26.533061840228275</v>
      </c>
      <c r="BL63" s="29">
        <v>26.657031556636611</v>
      </c>
      <c r="BM63" s="29">
        <v>26.780284490815081</v>
      </c>
      <c r="BN63" s="29">
        <v>26.902833307389525</v>
      </c>
      <c r="BO63" s="29">
        <v>27.024691435479927</v>
      </c>
      <c r="BP63" s="29">
        <v>27.145871648574822</v>
      </c>
      <c r="BQ63" s="29">
        <v>27.266385622344526</v>
      </c>
      <c r="BR63" s="29">
        <v>27.386243883988747</v>
      </c>
      <c r="BS63" s="29">
        <v>27.505455700367968</v>
      </c>
      <c r="BT63" s="29">
        <v>27.624028935290742</v>
      </c>
      <c r="BU63" s="29">
        <v>27.741969911279512</v>
      </c>
      <c r="BV63" s="29">
        <v>27.859283313584207</v>
      </c>
      <c r="BW63" s="29">
        <v>27.975972188163212</v>
      </c>
      <c r="BX63" s="29">
        <v>28.092038035089562</v>
      </c>
      <c r="BY63" s="29">
        <v>28.207438357643628</v>
      </c>
      <c r="BZ63" s="29">
        <v>28.3221713921494</v>
      </c>
      <c r="CA63" s="29">
        <v>28.436235479115499</v>
      </c>
      <c r="CB63" s="29">
        <v>28.549629061946632</v>
      </c>
      <c r="CC63" s="29">
        <v>28.66235068567487</v>
      </c>
      <c r="CD63" s="29">
        <v>28.774398995710293</v>
      </c>
      <c r="CE63" s="29">
        <v>28.885772736610637</v>
      </c>
      <c r="CF63" s="29">
        <v>28.99647075086629</v>
      </c>
      <c r="CG63" s="29">
        <v>29.106491977704088</v>
      </c>
      <c r="CH63" s="29">
        <v>29.215835451903526</v>
      </c>
      <c r="CI63" s="29">
        <v>29.324500302629897</v>
      </c>
      <c r="CJ63" s="29">
        <v>29.432485752278573</v>
      </c>
      <c r="CK63" s="29">
        <v>29.539791115333429</v>
      </c>
      <c r="CL63" s="29">
        <v>29.646415797235505</v>
      </c>
      <c r="CM63" s="29">
        <v>29.75235929326336</v>
      </c>
      <c r="CN63" s="29">
        <v>29.857621187423259</v>
      </c>
      <c r="CO63" s="29">
        <v>29.962201151347319</v>
      </c>
      <c r="CP63" s="29">
        <v>30.066098943201389</v>
      </c>
      <c r="CQ63" s="29">
        <v>30.169314406600169</v>
      </c>
      <c r="CR63" s="29">
        <v>30.271847469529046</v>
      </c>
      <c r="CS63" s="29">
        <v>30.373698143272325</v>
      </c>
      <c r="CT63" s="29">
        <v>30.474866521347419</v>
      </c>
      <c r="CU63" s="29">
        <v>30.575352778443289</v>
      </c>
      <c r="CV63" s="29">
        <v>30.675157169364862</v>
      </c>
      <c r="CW63" s="29">
        <v>30.774280027980314</v>
      </c>
      <c r="CX63" s="29">
        <v>30.872721766171878</v>
      </c>
      <c r="CY63" s="29">
        <v>30.970482872790811</v>
      </c>
      <c r="CZ63" s="29">
        <v>31.067563912613881</v>
      </c>
      <c r="DA63" s="29">
        <v>31.163965525302704</v>
      </c>
      <c r="DB63" s="29">
        <v>31.259688424364928</v>
      </c>
      <c r="DC63" s="29">
        <v>31.354733396117336</v>
      </c>
      <c r="DD63" s="29">
        <v>31.449101298649467</v>
      </c>
      <c r="DE63" s="29">
        <v>31.542793060789435</v>
      </c>
      <c r="DF63" s="29">
        <v>31.63580968106946</v>
      </c>
      <c r="DG63" s="29">
        <v>31.72815222669319</v>
      </c>
      <c r="DH63" s="29">
        <v>31.819821832502257</v>
      </c>
      <c r="DI63" s="29">
        <v>31.91081969994482</v>
      </c>
      <c r="DJ63" s="29">
        <v>32.001147096042288</v>
      </c>
      <c r="DK63" s="29">
        <v>32.090805352357911</v>
      </c>
      <c r="DL63" s="29">
        <v>32.179795863965005</v>
      </c>
      <c r="DM63" s="29">
        <v>32.268120088414108</v>
      </c>
      <c r="DN63" s="29">
        <v>32.355779544702251</v>
      </c>
      <c r="DO63" s="29">
        <v>32.442775812240249</v>
      </c>
      <c r="DP63" s="29">
        <v>32.529110529820905</v>
      </c>
      <c r="DQ63" s="29">
        <v>32.61478539458782</v>
      </c>
      <c r="DR63" s="29">
        <v>32.699802161003092</v>
      </c>
      <c r="DS63">
        <v>32.784162639816422</v>
      </c>
      <c r="DT63">
        <v>32.867868697034204</v>
      </c>
      <c r="DU63">
        <v>32.950922252888518</v>
      </c>
    </row>
    <row r="64" spans="1:125">
      <c r="A64" s="34">
        <v>62</v>
      </c>
      <c r="B64" s="35"/>
      <c r="C64" s="35"/>
      <c r="D64" s="35"/>
      <c r="E64" s="35"/>
      <c r="F64" s="35"/>
      <c r="G64" s="35"/>
      <c r="H64" s="35"/>
      <c r="I64" s="35"/>
      <c r="J64" s="35"/>
      <c r="K64" s="35"/>
      <c r="L64" s="35"/>
      <c r="M64" s="35"/>
      <c r="N64" s="35"/>
      <c r="O64" s="35"/>
      <c r="P64" s="35"/>
      <c r="Q64" s="35"/>
      <c r="R64" s="35"/>
      <c r="S64" s="35"/>
      <c r="T64" s="35"/>
      <c r="U64" s="35"/>
      <c r="V64" s="29"/>
      <c r="W64" s="29">
        <v>21.32</v>
      </c>
      <c r="X64" s="29">
        <v>21.48</v>
      </c>
      <c r="Y64" s="29">
        <v>21.651334343781958</v>
      </c>
      <c r="Z64" s="29">
        <v>21.834762927522547</v>
      </c>
      <c r="AA64" s="29">
        <v>21.959533814201251</v>
      </c>
      <c r="AB64" s="29">
        <v>22.09754417755093</v>
      </c>
      <c r="AC64" s="29">
        <v>22.253753474877161</v>
      </c>
      <c r="AD64" s="29">
        <v>22.360205795808486</v>
      </c>
      <c r="AE64" s="29">
        <v>22.528550662784259</v>
      </c>
      <c r="AF64" s="29">
        <v>22.674107907497049</v>
      </c>
      <c r="AG64" s="29">
        <v>22.787215337651894</v>
      </c>
      <c r="AH64" s="29">
        <v>22.934511897176971</v>
      </c>
      <c r="AI64" s="29">
        <v>23.061456407391621</v>
      </c>
      <c r="AJ64" s="29">
        <v>23.250140932232533</v>
      </c>
      <c r="AK64" s="29">
        <v>23.41981253966032</v>
      </c>
      <c r="AL64" s="29">
        <v>23.61312138004422</v>
      </c>
      <c r="AM64" s="29">
        <v>23.79996908816117</v>
      </c>
      <c r="AN64" s="29">
        <v>23.937582422722258</v>
      </c>
      <c r="AO64" s="29">
        <v>24.04257406892139</v>
      </c>
      <c r="AP64" s="29">
        <v>24.100173889417245</v>
      </c>
      <c r="AQ64" s="29">
        <v>24.134667352741424</v>
      </c>
      <c r="AR64" s="29">
        <v>24.154458912984797</v>
      </c>
      <c r="AS64" s="29">
        <v>24.166342102207533</v>
      </c>
      <c r="AT64" s="29">
        <v>24.148795915214155</v>
      </c>
      <c r="AU64" s="29">
        <v>24.145384651353471</v>
      </c>
      <c r="AV64" s="29">
        <v>24.173378211151306</v>
      </c>
      <c r="AW64" s="29">
        <v>24.314943838295957</v>
      </c>
      <c r="AX64" s="29">
        <v>24.344973486632604</v>
      </c>
      <c r="AY64" s="29">
        <v>24.452521064583546</v>
      </c>
      <c r="AZ64" s="29">
        <v>24.543470685460512</v>
      </c>
      <c r="BA64" s="29">
        <v>24.634316886536912</v>
      </c>
      <c r="BB64" s="29">
        <v>24.717444203696058</v>
      </c>
      <c r="BC64" s="29">
        <v>24.805253360691914</v>
      </c>
      <c r="BD64" s="29">
        <v>24.889188153203275</v>
      </c>
      <c r="BE64" s="29">
        <v>24.999014724613414</v>
      </c>
      <c r="BF64" s="29">
        <v>25.096261189122103</v>
      </c>
      <c r="BG64" s="29">
        <v>25.203209552218016</v>
      </c>
      <c r="BH64" s="29">
        <v>25.323274739280681</v>
      </c>
      <c r="BI64" s="29">
        <v>25.437262274102903</v>
      </c>
      <c r="BJ64" s="29">
        <v>25.557485446699857</v>
      </c>
      <c r="BK64" s="29">
        <v>25.680081543936517</v>
      </c>
      <c r="BL64" s="29">
        <v>25.801971282871865</v>
      </c>
      <c r="BM64" s="29">
        <v>25.923166843826515</v>
      </c>
      <c r="BN64" s="29">
        <v>26.043680911470311</v>
      </c>
      <c r="BO64" s="29">
        <v>26.163526926400309</v>
      </c>
      <c r="BP64" s="29">
        <v>26.282717657910769</v>
      </c>
      <c r="BQ64" s="29">
        <v>26.401264760454978</v>
      </c>
      <c r="BR64" s="29">
        <v>26.519178723791477</v>
      </c>
      <c r="BS64" s="29">
        <v>26.636468761597552</v>
      </c>
      <c r="BT64" s="29">
        <v>26.753142669105774</v>
      </c>
      <c r="BU64" s="29">
        <v>26.869206685268303</v>
      </c>
      <c r="BV64" s="29">
        <v>26.984665397385545</v>
      </c>
      <c r="BW64" s="29">
        <v>27.099521740122928</v>
      </c>
      <c r="BX64" s="29">
        <v>27.213737482071043</v>
      </c>
      <c r="BY64" s="29">
        <v>27.327310599888666</v>
      </c>
      <c r="BZ64" s="29">
        <v>27.440239172992825</v>
      </c>
      <c r="CA64" s="29">
        <v>27.552521382388797</v>
      </c>
      <c r="CB64" s="29">
        <v>27.664155509518729</v>
      </c>
      <c r="CC64" s="29">
        <v>27.775139935127115</v>
      </c>
      <c r="CD64" s="29">
        <v>27.885473138142487</v>
      </c>
      <c r="CE64" s="29">
        <v>27.995153694575073</v>
      </c>
      <c r="CF64" s="29">
        <v>28.10418027642682</v>
      </c>
      <c r="CG64" s="29">
        <v>28.212551650617119</v>
      </c>
      <c r="CH64" s="29">
        <v>28.320266677918035</v>
      </c>
      <c r="CI64" s="29">
        <v>28.427324311903437</v>
      </c>
      <c r="CJ64" s="29">
        <v>28.533723597906349</v>
      </c>
      <c r="CK64" s="29">
        <v>28.639463671987563</v>
      </c>
      <c r="CL64" s="29">
        <v>28.744543759911597</v>
      </c>
      <c r="CM64" s="29">
        <v>28.848963176131463</v>
      </c>
      <c r="CN64" s="29">
        <v>28.95272132278054</v>
      </c>
      <c r="CO64" s="29">
        <v>29.055817688669535</v>
      </c>
      <c r="CP64" s="29">
        <v>29.158251848290515</v>
      </c>
      <c r="CQ64" s="29">
        <v>29.260023460825447</v>
      </c>
      <c r="CR64" s="29">
        <v>29.361132269158794</v>
      </c>
      <c r="CS64" s="29">
        <v>29.461578098893888</v>
      </c>
      <c r="CT64" s="29">
        <v>29.561360857372673</v>
      </c>
      <c r="CU64" s="29">
        <v>29.660480532697175</v>
      </c>
      <c r="CV64" s="29">
        <v>29.75893719275442</v>
      </c>
      <c r="CW64" s="29">
        <v>29.8567309842418</v>
      </c>
      <c r="CX64" s="29">
        <v>29.953862131693487</v>
      </c>
      <c r="CY64" s="29">
        <v>30.050330936508711</v>
      </c>
      <c r="CZ64" s="29">
        <v>30.14613777597916</v>
      </c>
      <c r="DA64" s="29">
        <v>30.241283102316938</v>
      </c>
      <c r="DB64" s="29">
        <v>30.335767441682211</v>
      </c>
      <c r="DC64" s="29">
        <v>30.429591393210462</v>
      </c>
      <c r="DD64" s="29">
        <v>30.522755628038155</v>
      </c>
      <c r="DE64" s="29">
        <v>30.615260888328489</v>
      </c>
      <c r="DF64" s="29">
        <v>30.707107986294737</v>
      </c>
      <c r="DG64" s="29">
        <v>30.798297803223416</v>
      </c>
      <c r="DH64" s="29">
        <v>30.888831288494639</v>
      </c>
      <c r="DI64" s="29">
        <v>30.978709458602527</v>
      </c>
      <c r="DJ64" s="29">
        <v>31.067933396171874</v>
      </c>
      <c r="DK64" s="29">
        <v>31.156504248974844</v>
      </c>
      <c r="DL64" s="29">
        <v>31.244423228945475</v>
      </c>
      <c r="DM64" s="29">
        <v>31.331691611191278</v>
      </c>
      <c r="DN64" s="29">
        <v>31.418310733005274</v>
      </c>
      <c r="DO64" s="29">
        <v>31.504281992874272</v>
      </c>
      <c r="DP64" s="29">
        <v>31.589606849486465</v>
      </c>
      <c r="DQ64" s="29">
        <v>31.674286820737969</v>
      </c>
      <c r="DR64" s="29">
        <v>31.758323482736639</v>
      </c>
      <c r="DS64">
        <v>31.841718468805755</v>
      </c>
      <c r="DT64">
        <v>31.924473468486223</v>
      </c>
      <c r="DU64">
        <v>32.006590226537163</v>
      </c>
    </row>
    <row r="65" spans="1:125">
      <c r="A65" s="34">
        <v>63</v>
      </c>
      <c r="B65" s="35"/>
      <c r="C65" s="35"/>
      <c r="D65" s="35"/>
      <c r="E65" s="35"/>
      <c r="F65" s="35"/>
      <c r="G65" s="35"/>
      <c r="H65" s="35"/>
      <c r="I65" s="35"/>
      <c r="J65" s="35"/>
      <c r="K65" s="35"/>
      <c r="L65" s="35"/>
      <c r="M65" s="35"/>
      <c r="N65" s="35"/>
      <c r="O65" s="35"/>
      <c r="P65" s="35"/>
      <c r="Q65" s="35"/>
      <c r="R65" s="35"/>
      <c r="S65" s="35"/>
      <c r="T65" s="35"/>
      <c r="U65" s="35"/>
      <c r="V65" s="29"/>
      <c r="W65" s="29">
        <v>20.54</v>
      </c>
      <c r="X65" s="29">
        <v>20.69</v>
      </c>
      <c r="Y65" s="29">
        <v>20.854658559028916</v>
      </c>
      <c r="Z65" s="29">
        <v>21.036262062563225</v>
      </c>
      <c r="AA65" s="29">
        <v>21.162570202481763</v>
      </c>
      <c r="AB65" s="29">
        <v>21.294560220077447</v>
      </c>
      <c r="AC65" s="29">
        <v>21.453290365642314</v>
      </c>
      <c r="AD65" s="29">
        <v>21.558740887545206</v>
      </c>
      <c r="AE65" s="29">
        <v>21.722554415115741</v>
      </c>
      <c r="AF65" s="29">
        <v>21.867956250850163</v>
      </c>
      <c r="AG65" s="29">
        <v>21.972461362289209</v>
      </c>
      <c r="AH65" s="29">
        <v>22.118725894394053</v>
      </c>
      <c r="AI65" s="29">
        <v>22.244841318434325</v>
      </c>
      <c r="AJ65" s="29">
        <v>22.423258441172841</v>
      </c>
      <c r="AK65" s="29">
        <v>22.585964613206663</v>
      </c>
      <c r="AL65" s="29">
        <v>22.775225509445654</v>
      </c>
      <c r="AM65" s="29">
        <v>22.956837241860882</v>
      </c>
      <c r="AN65" s="29">
        <v>23.091999745894583</v>
      </c>
      <c r="AO65" s="29">
        <v>23.190694076591797</v>
      </c>
      <c r="AP65" s="29">
        <v>23.2543331991548</v>
      </c>
      <c r="AQ65" s="29">
        <v>23.281121754606577</v>
      </c>
      <c r="AR65" s="29">
        <v>23.303053533115438</v>
      </c>
      <c r="AS65" s="29">
        <v>23.315036383273021</v>
      </c>
      <c r="AT65" s="29">
        <v>23.294101653448848</v>
      </c>
      <c r="AU65" s="29">
        <v>23.296024738191242</v>
      </c>
      <c r="AV65" s="29">
        <v>23.330348528037458</v>
      </c>
      <c r="AW65" s="29">
        <v>23.463469560957655</v>
      </c>
      <c r="AX65" s="29">
        <v>23.497201502938047</v>
      </c>
      <c r="AY65" s="29">
        <v>23.597688001599991</v>
      </c>
      <c r="AZ65" s="29">
        <v>23.698432575667752</v>
      </c>
      <c r="BA65" s="29">
        <v>23.776592639154938</v>
      </c>
      <c r="BB65" s="29">
        <v>23.865448122973373</v>
      </c>
      <c r="BC65" s="29">
        <v>23.957379178660357</v>
      </c>
      <c r="BD65" s="29">
        <v>24.034782527345293</v>
      </c>
      <c r="BE65" s="29">
        <v>24.153362244520292</v>
      </c>
      <c r="BF65" s="29">
        <v>24.247477939272574</v>
      </c>
      <c r="BG65" s="29">
        <v>24.355088986636151</v>
      </c>
      <c r="BH65" s="29">
        <v>24.474743421961882</v>
      </c>
      <c r="BI65" s="29">
        <v>24.59332437804165</v>
      </c>
      <c r="BJ65" s="29">
        <v>24.714391278562353</v>
      </c>
      <c r="BK65" s="29">
        <v>24.834763638057243</v>
      </c>
      <c r="BL65" s="29">
        <v>24.954453624949544</v>
      </c>
      <c r="BM65" s="29">
        <v>25.07347345454528</v>
      </c>
      <c r="BN65" s="29">
        <v>25.191835835334903</v>
      </c>
      <c r="BO65" s="29">
        <v>25.309554222356454</v>
      </c>
      <c r="BP65" s="29">
        <v>25.426641382210629</v>
      </c>
      <c r="BQ65" s="29">
        <v>25.543108948062759</v>
      </c>
      <c r="BR65" s="29">
        <v>25.658967370678802</v>
      </c>
      <c r="BS65" s="29">
        <v>25.774225807581516</v>
      </c>
      <c r="BT65" s="29">
        <v>25.888891981083457</v>
      </c>
      <c r="BU65" s="29">
        <v>26.002972040900879</v>
      </c>
      <c r="BV65" s="29">
        <v>26.116470469467153</v>
      </c>
      <c r="BW65" s="29">
        <v>26.229354868213179</v>
      </c>
      <c r="BX65" s="29">
        <v>26.341622951120836</v>
      </c>
      <c r="BY65" s="29">
        <v>26.453272533049972</v>
      </c>
      <c r="BZ65" s="29">
        <v>26.564301528701844</v>
      </c>
      <c r="CA65" s="29">
        <v>26.6747079515983</v>
      </c>
      <c r="CB65" s="29">
        <v>26.784489913076271</v>
      </c>
      <c r="CC65" s="29">
        <v>26.893645621295789</v>
      </c>
      <c r="CD65" s="29">
        <v>27.002173380260945</v>
      </c>
      <c r="CE65" s="29">
        <v>27.11007158885354</v>
      </c>
      <c r="CF65" s="29">
        <v>27.217338739875782</v>
      </c>
      <c r="CG65" s="29">
        <v>27.323973419105617</v>
      </c>
      <c r="CH65" s="29">
        <v>27.429974304358179</v>
      </c>
      <c r="CI65" s="29">
        <v>27.535340164558086</v>
      </c>
      <c r="CJ65" s="29">
        <v>27.640069858816801</v>
      </c>
      <c r="CK65" s="29">
        <v>27.744162335518137</v>
      </c>
      <c r="CL65" s="29">
        <v>27.847616631408048</v>
      </c>
      <c r="CM65" s="29">
        <v>27.950431870690178</v>
      </c>
      <c r="CN65" s="29">
        <v>28.052607264125555</v>
      </c>
      <c r="CO65" s="29">
        <v>28.154142108134401</v>
      </c>
      <c r="CP65" s="29">
        <v>28.255035783902098</v>
      </c>
      <c r="CQ65" s="29">
        <v>28.355287756486796</v>
      </c>
      <c r="CR65" s="29">
        <v>28.45489757392826</v>
      </c>
      <c r="CS65" s="29">
        <v>28.553864866357667</v>
      </c>
      <c r="CT65" s="29">
        <v>28.652189345108077</v>
      </c>
      <c r="CU65" s="29">
        <v>28.749870801823917</v>
      </c>
      <c r="CV65" s="29">
        <v>28.846909107571236</v>
      </c>
      <c r="CW65" s="29">
        <v>28.943304211945833</v>
      </c>
      <c r="CX65" s="29">
        <v>29.03905614217987</v>
      </c>
      <c r="CY65" s="29">
        <v>29.134165002247791</v>
      </c>
      <c r="CZ65" s="29">
        <v>29.228630971968943</v>
      </c>
      <c r="DA65" s="29">
        <v>29.322454306108288</v>
      </c>
      <c r="DB65" s="29">
        <v>29.415635333474444</v>
      </c>
      <c r="DC65" s="29">
        <v>29.508174456015006</v>
      </c>
      <c r="DD65" s="29">
        <v>29.600072147907976</v>
      </c>
      <c r="DE65" s="29">
        <v>29.691328954651034</v>
      </c>
      <c r="DF65" s="29">
        <v>29.781945492146214</v>
      </c>
      <c r="DG65" s="29">
        <v>29.871922445782236</v>
      </c>
      <c r="DH65" s="29">
        <v>29.961260569511936</v>
      </c>
      <c r="DI65" s="29">
        <v>30.049960684927694</v>
      </c>
      <c r="DJ65" s="29">
        <v>30.138023680331045</v>
      </c>
      <c r="DK65" s="29">
        <v>30.225450509800435</v>
      </c>
      <c r="DL65" s="29">
        <v>30.312242192254761</v>
      </c>
      <c r="DM65" s="29">
        <v>30.398399810512174</v>
      </c>
      <c r="DN65" s="29">
        <v>30.483924510347467</v>
      </c>
      <c r="DO65" s="29">
        <v>30.568817499543872</v>
      </c>
      <c r="DP65" s="29">
        <v>30.653080046942438</v>
      </c>
      <c r="DQ65" s="29">
        <v>30.736713481488636</v>
      </c>
      <c r="DR65" s="29">
        <v>30.819719191274494</v>
      </c>
      <c r="DS65">
        <v>30.902098622579096</v>
      </c>
      <c r="DT65">
        <v>30.983853278905837</v>
      </c>
      <c r="DU65">
        <v>31.064984720016596</v>
      </c>
    </row>
    <row r="66" spans="1:125">
      <c r="A66" s="34">
        <v>64</v>
      </c>
      <c r="B66" s="35"/>
      <c r="C66" s="35"/>
      <c r="D66" s="35"/>
      <c r="E66" s="35"/>
      <c r="F66" s="35"/>
      <c r="G66" s="35"/>
      <c r="H66" s="35"/>
      <c r="I66" s="35"/>
      <c r="J66" s="35"/>
      <c r="K66" s="35"/>
      <c r="L66" s="35"/>
      <c r="M66" s="35"/>
      <c r="N66" s="35"/>
      <c r="O66" s="35"/>
      <c r="P66" s="35"/>
      <c r="Q66" s="35"/>
      <c r="R66" s="35"/>
      <c r="S66" s="35"/>
      <c r="T66" s="35"/>
      <c r="U66" s="35"/>
      <c r="V66" s="29"/>
      <c r="W66" s="29">
        <v>19.760000000000002</v>
      </c>
      <c r="X66" s="29">
        <v>19.91</v>
      </c>
      <c r="Y66" s="29">
        <v>20.071678807410713</v>
      </c>
      <c r="Z66" s="29">
        <v>20.24643283425138</v>
      </c>
      <c r="AA66" s="29">
        <v>20.365548484574671</v>
      </c>
      <c r="AB66" s="29">
        <v>20.504096374930352</v>
      </c>
      <c r="AC66" s="29">
        <v>20.658013285822435</v>
      </c>
      <c r="AD66" s="29">
        <v>20.766134521331576</v>
      </c>
      <c r="AE66" s="29">
        <v>20.921870199334947</v>
      </c>
      <c r="AF66" s="29">
        <v>21.068670612534856</v>
      </c>
      <c r="AG66" s="29">
        <v>21.164427699805994</v>
      </c>
      <c r="AH66" s="29">
        <v>21.312339767852762</v>
      </c>
      <c r="AI66" s="29">
        <v>21.428196564724768</v>
      </c>
      <c r="AJ66" s="29">
        <v>21.605110543071181</v>
      </c>
      <c r="AK66" s="29">
        <v>21.757690546755732</v>
      </c>
      <c r="AL66" s="29">
        <v>21.942689069790315</v>
      </c>
      <c r="AM66" s="29">
        <v>22.114452372430051</v>
      </c>
      <c r="AN66" s="29">
        <v>22.253024888038041</v>
      </c>
      <c r="AO66" s="29">
        <v>22.348759474551269</v>
      </c>
      <c r="AP66" s="29">
        <v>22.406832721566325</v>
      </c>
      <c r="AQ66" s="29">
        <v>22.434292006092665</v>
      </c>
      <c r="AR66" s="29">
        <v>22.451309733288625</v>
      </c>
      <c r="AS66" s="29">
        <v>22.46513179355329</v>
      </c>
      <c r="AT66" s="29">
        <v>22.449116168794639</v>
      </c>
      <c r="AU66" s="29">
        <v>22.455348574550282</v>
      </c>
      <c r="AV66" s="29">
        <v>22.487099085470994</v>
      </c>
      <c r="AW66" s="29">
        <v>22.621412307127716</v>
      </c>
      <c r="AX66" s="29">
        <v>22.657198433566329</v>
      </c>
      <c r="AY66" s="29">
        <v>22.75555323232382</v>
      </c>
      <c r="AZ66" s="29">
        <v>22.849179386915104</v>
      </c>
      <c r="BA66" s="29">
        <v>22.9327599110349</v>
      </c>
      <c r="BB66" s="29">
        <v>23.022892164397252</v>
      </c>
      <c r="BC66" s="29">
        <v>23.113475075855618</v>
      </c>
      <c r="BD66" s="29">
        <v>23.1979690613339</v>
      </c>
      <c r="BE66" s="29">
        <v>23.3130248421534</v>
      </c>
      <c r="BF66" s="29">
        <v>23.406461399206126</v>
      </c>
      <c r="BG66" s="29">
        <v>23.518539759505661</v>
      </c>
      <c r="BH66" s="29">
        <v>23.640802827686578</v>
      </c>
      <c r="BI66" s="29">
        <v>23.760180843711677</v>
      </c>
      <c r="BJ66" s="29">
        <v>23.878877356659</v>
      </c>
      <c r="BK66" s="29">
        <v>23.996904729901136</v>
      </c>
      <c r="BL66" s="29">
        <v>24.11427518608668</v>
      </c>
      <c r="BM66" s="29">
        <v>24.231000979092787</v>
      </c>
      <c r="BN66" s="29">
        <v>24.34709484381785</v>
      </c>
      <c r="BO66" s="29">
        <v>24.462570251500622</v>
      </c>
      <c r="BP66" s="29">
        <v>24.577439966291017</v>
      </c>
      <c r="BQ66" s="29">
        <v>24.69171559867992</v>
      </c>
      <c r="BR66" s="29">
        <v>24.805407557524376</v>
      </c>
      <c r="BS66" s="29">
        <v>24.918524939813015</v>
      </c>
      <c r="BT66" s="29">
        <v>25.031075389148032</v>
      </c>
      <c r="BU66" s="29">
        <v>25.143064958864677</v>
      </c>
      <c r="BV66" s="29">
        <v>25.254468733899166</v>
      </c>
      <c r="BW66" s="29">
        <v>25.365284162748964</v>
      </c>
      <c r="BX66" s="29">
        <v>25.475508792451695</v>
      </c>
      <c r="BY66" s="29">
        <v>25.585140267695351</v>
      </c>
      <c r="BZ66" s="29">
        <v>25.694176329942547</v>
      </c>
      <c r="CA66" s="29">
        <v>25.802614816566916</v>
      </c>
      <c r="CB66" s="29">
        <v>25.910453660001245</v>
      </c>
      <c r="CC66" s="29">
        <v>26.017690886895654</v>
      </c>
      <c r="CD66" s="29">
        <v>26.124324617285197</v>
      </c>
      <c r="CE66" s="29">
        <v>26.230353063766643</v>
      </c>
      <c r="CF66" s="29">
        <v>26.335774530680901</v>
      </c>
      <c r="CG66" s="29">
        <v>26.440587413304577</v>
      </c>
      <c r="CH66" s="29">
        <v>26.544790197044371</v>
      </c>
      <c r="CI66" s="29">
        <v>26.648381456638862</v>
      </c>
      <c r="CJ66" s="29">
        <v>26.751359855362075</v>
      </c>
      <c r="CK66" s="29">
        <v>26.853724144231897</v>
      </c>
      <c r="CL66" s="29">
        <v>26.955473161219587</v>
      </c>
      <c r="CM66" s="29">
        <v>27.056605830461734</v>
      </c>
      <c r="CN66" s="29">
        <v>27.157121161473317</v>
      </c>
      <c r="CO66" s="29">
        <v>27.257018248359671</v>
      </c>
      <c r="CP66" s="29">
        <v>27.35629626902961</v>
      </c>
      <c r="CQ66" s="29">
        <v>27.454954484407089</v>
      </c>
      <c r="CR66" s="29">
        <v>27.552992237641181</v>
      </c>
      <c r="CS66" s="29">
        <v>27.650408953314052</v>
      </c>
      <c r="CT66" s="29">
        <v>27.747204136646708</v>
      </c>
      <c r="CU66" s="29">
        <v>27.843377372700946</v>
      </c>
      <c r="CV66" s="29">
        <v>27.93892832557923</v>
      </c>
      <c r="CW66" s="29">
        <v>28.033856737619761</v>
      </c>
      <c r="CX66" s="29">
        <v>28.128162428587284</v>
      </c>
      <c r="CY66" s="29">
        <v>28.221845294860582</v>
      </c>
      <c r="CZ66" s="29">
        <v>28.314905308614097</v>
      </c>
      <c r="DA66" s="29">
        <v>28.407342516994998</v>
      </c>
      <c r="DB66" s="29">
        <v>28.499157041295216</v>
      </c>
      <c r="DC66" s="29">
        <v>28.590349076118187</v>
      </c>
      <c r="DD66" s="29">
        <v>28.680918888539395</v>
      </c>
      <c r="DE66" s="29">
        <v>28.770866817262284</v>
      </c>
      <c r="DF66" s="29">
        <v>28.860193271767418</v>
      </c>
      <c r="DG66" s="29">
        <v>28.948898731456925</v>
      </c>
      <c r="DH66" s="29">
        <v>29.036983744791847</v>
      </c>
      <c r="DI66" s="29">
        <v>29.124448928425366</v>
      </c>
      <c r="DJ66" s="29">
        <v>29.211294966328062</v>
      </c>
      <c r="DK66" s="29">
        <v>29.29752260890924</v>
      </c>
      <c r="DL66" s="29">
        <v>29.38313267213201</v>
      </c>
      <c r="DM66" s="29">
        <v>29.468126036621697</v>
      </c>
      <c r="DN66" s="29">
        <v>29.552503646770852</v>
      </c>
      <c r="DO66" s="29">
        <v>29.636266509836773</v>
      </c>
      <c r="DP66" s="29">
        <v>29.719415695034797</v>
      </c>
      <c r="DQ66" s="29">
        <v>29.801952332626975</v>
      </c>
      <c r="DR66" s="29">
        <v>29.883877613004582</v>
      </c>
      <c r="DS66">
        <v>29.965192785767126</v>
      </c>
      <c r="DT66">
        <v>30.04589915879664</v>
      </c>
      <c r="DU66">
        <v>30.125998097327049</v>
      </c>
    </row>
    <row r="67" spans="1:125">
      <c r="A67" s="34">
        <v>65</v>
      </c>
      <c r="B67" s="35"/>
      <c r="C67" s="35"/>
      <c r="D67" s="35"/>
      <c r="E67" s="35"/>
      <c r="F67" s="35"/>
      <c r="G67" s="35"/>
      <c r="H67" s="35"/>
      <c r="I67" s="35"/>
      <c r="J67" s="35"/>
      <c r="K67" s="35"/>
      <c r="L67" s="35"/>
      <c r="M67" s="35"/>
      <c r="N67" s="35"/>
      <c r="O67" s="35"/>
      <c r="P67" s="35"/>
      <c r="Q67" s="35"/>
      <c r="R67" s="35"/>
      <c r="S67" s="35"/>
      <c r="T67" s="35"/>
      <c r="U67" s="35"/>
      <c r="V67" s="29"/>
      <c r="W67" s="29">
        <v>18.98</v>
      </c>
      <c r="X67" s="29">
        <v>19.13</v>
      </c>
      <c r="Y67" s="29">
        <v>19.296193933966098</v>
      </c>
      <c r="Z67" s="29">
        <v>19.457925422067348</v>
      </c>
      <c r="AA67" s="29">
        <v>19.585959313416929</v>
      </c>
      <c r="AB67" s="29">
        <v>19.724281972721741</v>
      </c>
      <c r="AC67" s="29">
        <v>19.872627070175611</v>
      </c>
      <c r="AD67" s="29">
        <v>19.977825259156951</v>
      </c>
      <c r="AE67" s="29">
        <v>20.129597756165911</v>
      </c>
      <c r="AF67" s="29">
        <v>20.272013706205229</v>
      </c>
      <c r="AG67" s="29">
        <v>20.369111297157023</v>
      </c>
      <c r="AH67" s="29">
        <v>20.506952858388058</v>
      </c>
      <c r="AI67" s="29">
        <v>20.619804180562969</v>
      </c>
      <c r="AJ67" s="29">
        <v>20.786123818470067</v>
      </c>
      <c r="AK67" s="29">
        <v>20.93976656214096</v>
      </c>
      <c r="AL67" s="29">
        <v>21.114124509179817</v>
      </c>
      <c r="AM67" s="29">
        <v>21.280688503029953</v>
      </c>
      <c r="AN67" s="29">
        <v>21.4178244146539</v>
      </c>
      <c r="AO67" s="29">
        <v>21.506046228602539</v>
      </c>
      <c r="AP67" s="29">
        <v>21.561263280424395</v>
      </c>
      <c r="AQ67" s="29">
        <v>21.586429172852366</v>
      </c>
      <c r="AR67" s="29">
        <v>21.604771935634332</v>
      </c>
      <c r="AS67" s="29">
        <v>21.619082480074951</v>
      </c>
      <c r="AT67" s="29">
        <v>21.61173795170922</v>
      </c>
      <c r="AU67" s="29">
        <v>21.621388946542773</v>
      </c>
      <c r="AV67" s="29">
        <v>21.654902791677358</v>
      </c>
      <c r="AW67" s="29">
        <v>21.782660005814744</v>
      </c>
      <c r="AX67" s="29">
        <v>21.829657242639232</v>
      </c>
      <c r="AY67" s="29">
        <v>21.91637552093917</v>
      </c>
      <c r="AZ67" s="29">
        <v>22.0145622399302</v>
      </c>
      <c r="BA67" s="29">
        <v>22.097869129257116</v>
      </c>
      <c r="BB67" s="29">
        <v>22.18851672203823</v>
      </c>
      <c r="BC67" s="29">
        <v>22.284648671365254</v>
      </c>
      <c r="BD67" s="29">
        <v>22.367367379839632</v>
      </c>
      <c r="BE67" s="29">
        <v>22.477360091513262</v>
      </c>
      <c r="BF67" s="29">
        <v>22.580267206132316</v>
      </c>
      <c r="BG67" s="29">
        <v>22.699897055719042</v>
      </c>
      <c r="BH67" s="29">
        <v>22.817426502824279</v>
      </c>
      <c r="BI67" s="29">
        <v>22.934288731480027</v>
      </c>
      <c r="BJ67" s="29">
        <v>23.050496252242716</v>
      </c>
      <c r="BK67" s="29">
        <v>23.166061505564549</v>
      </c>
      <c r="BL67" s="29">
        <v>23.280996772104938</v>
      </c>
      <c r="BM67" s="29">
        <v>23.395314346778136</v>
      </c>
      <c r="BN67" s="29">
        <v>23.50902699235591</v>
      </c>
      <c r="BO67" s="29">
        <v>23.62214819692197</v>
      </c>
      <c r="BP67" s="29">
        <v>23.734690721278614</v>
      </c>
      <c r="BQ67" s="29">
        <v>23.84666615068949</v>
      </c>
      <c r="BR67" s="29">
        <v>23.958084848000468</v>
      </c>
      <c r="BS67" s="29">
        <v>24.068955844086243</v>
      </c>
      <c r="BT67" s="29">
        <v>24.179286696838009</v>
      </c>
      <c r="BU67" s="29">
        <v>24.289061618975676</v>
      </c>
      <c r="BV67" s="29">
        <v>24.398277791271997</v>
      </c>
      <c r="BW67" s="29">
        <v>24.506932490249529</v>
      </c>
      <c r="BX67" s="29">
        <v>24.615023087452787</v>
      </c>
      <c r="BY67" s="29">
        <v>24.722547048729833</v>
      </c>
      <c r="BZ67" s="29">
        <v>24.829501933524163</v>
      </c>
      <c r="CA67" s="29">
        <v>24.935885394175013</v>
      </c>
      <c r="CB67" s="29">
        <v>25.041695175225605</v>
      </c>
      <c r="CC67" s="29">
        <v>25.146929112737766</v>
      </c>
      <c r="CD67" s="29">
        <v>25.251585133612256</v>
      </c>
      <c r="CE67" s="29">
        <v>25.355661254914612</v>
      </c>
      <c r="CF67" s="29">
        <v>25.459155583203042</v>
      </c>
      <c r="CG67" s="29">
        <v>25.562066313861816</v>
      </c>
      <c r="CH67" s="29">
        <v>25.664391730433962</v>
      </c>
      <c r="CI67" s="29">
        <v>25.766130203957832</v>
      </c>
      <c r="CJ67" s="29">
        <v>25.867280192301955</v>
      </c>
      <c r="CK67" s="29">
        <v>25.967840239501346</v>
      </c>
      <c r="CL67" s="29">
        <v>26.067808975091452</v>
      </c>
      <c r="CM67" s="29">
        <v>26.16718511344126</v>
      </c>
      <c r="CN67" s="29">
        <v>26.265967453084176</v>
      </c>
      <c r="CO67" s="29">
        <v>26.364154876044537</v>
      </c>
      <c r="CP67" s="29">
        <v>26.461746347162137</v>
      </c>
      <c r="CQ67" s="29">
        <v>26.558740913412052</v>
      </c>
      <c r="CR67" s="29">
        <v>26.655137703219747</v>
      </c>
      <c r="CS67" s="29">
        <v>26.75093592577106</v>
      </c>
      <c r="CT67" s="29">
        <v>26.846134870317005</v>
      </c>
      <c r="CU67" s="29">
        <v>26.940733905471767</v>
      </c>
      <c r="CV67" s="29">
        <v>27.034732478505791</v>
      </c>
      <c r="CW67" s="29">
        <v>27.128130114631109</v>
      </c>
      <c r="CX67" s="29">
        <v>27.220926416279706</v>
      </c>
      <c r="CY67" s="29">
        <v>27.313121062375714</v>
      </c>
      <c r="CZ67" s="29">
        <v>27.404713807599169</v>
      </c>
      <c r="DA67" s="29">
        <v>27.495704481642409</v>
      </c>
      <c r="DB67" s="29">
        <v>27.586092988458962</v>
      </c>
      <c r="DC67" s="29">
        <v>27.675879305504548</v>
      </c>
      <c r="DD67" s="29">
        <v>27.765063482969353</v>
      </c>
      <c r="DE67" s="29">
        <v>27.85364564300335</v>
      </c>
      <c r="DF67" s="29">
        <v>27.941625978932272</v>
      </c>
      <c r="DG67" s="29">
        <v>28.029004754466705</v>
      </c>
      <c r="DH67" s="29">
        <v>28.115782302901717</v>
      </c>
      <c r="DI67" s="29">
        <v>28.201959026310107</v>
      </c>
      <c r="DJ67" s="29">
        <v>28.287535394725502</v>
      </c>
      <c r="DK67" s="29">
        <v>28.372511945319374</v>
      </c>
      <c r="DL67" s="29">
        <v>28.456889281569698</v>
      </c>
      <c r="DM67" s="29">
        <v>28.54066807242091</v>
      </c>
      <c r="DN67" s="29">
        <v>28.623849051438395</v>
      </c>
      <c r="DO67" s="29">
        <v>28.706433015953611</v>
      </c>
      <c r="DP67" s="29">
        <v>28.788420826202977</v>
      </c>
      <c r="DQ67" s="29">
        <v>28.869813404460334</v>
      </c>
      <c r="DR67" s="29">
        <v>28.950611734161367</v>
      </c>
      <c r="DS67">
        <v>29.030816859022774</v>
      </c>
      <c r="DT67">
        <v>29.110429882154946</v>
      </c>
      <c r="DU67">
        <v>29.189451965168047</v>
      </c>
    </row>
    <row r="68" spans="1:125">
      <c r="A68" s="34">
        <v>66</v>
      </c>
      <c r="B68" s="35"/>
      <c r="C68" s="35"/>
      <c r="D68" s="35"/>
      <c r="E68" s="35"/>
      <c r="F68" s="35"/>
      <c r="G68" s="35"/>
      <c r="H68" s="35"/>
      <c r="I68" s="35"/>
      <c r="J68" s="35"/>
      <c r="K68" s="35"/>
      <c r="L68" s="35"/>
      <c r="M68" s="35"/>
      <c r="N68" s="35"/>
      <c r="O68" s="35"/>
      <c r="P68" s="35"/>
      <c r="Q68" s="35"/>
      <c r="R68" s="35"/>
      <c r="S68" s="35"/>
      <c r="T68" s="35"/>
      <c r="U68" s="35"/>
      <c r="V68" s="29"/>
      <c r="W68" s="29">
        <v>18.23</v>
      </c>
      <c r="X68" s="29">
        <v>18.37</v>
      </c>
      <c r="Y68" s="29">
        <v>18.524969506187009</v>
      </c>
      <c r="Z68" s="29">
        <v>18.691842279041726</v>
      </c>
      <c r="AA68" s="29">
        <v>18.818890520388301</v>
      </c>
      <c r="AB68" s="29">
        <v>18.947824344586994</v>
      </c>
      <c r="AC68" s="29">
        <v>19.091611814424809</v>
      </c>
      <c r="AD68" s="29">
        <v>19.196908139697346</v>
      </c>
      <c r="AE68" s="29">
        <v>19.34376200719683</v>
      </c>
      <c r="AF68" s="29">
        <v>19.490121132431494</v>
      </c>
      <c r="AG68" s="29">
        <v>19.578339177659529</v>
      </c>
      <c r="AH68" s="29">
        <v>19.704061440019895</v>
      </c>
      <c r="AI68" s="29">
        <v>19.818305389478564</v>
      </c>
      <c r="AJ68" s="29">
        <v>19.975894523442342</v>
      </c>
      <c r="AK68" s="29">
        <v>20.12012789970543</v>
      </c>
      <c r="AL68" s="29">
        <v>20.293393242729902</v>
      </c>
      <c r="AM68" s="29">
        <v>20.458605771032712</v>
      </c>
      <c r="AN68" s="29">
        <v>20.586076372619956</v>
      </c>
      <c r="AO68" s="29">
        <v>20.668147896479834</v>
      </c>
      <c r="AP68" s="29">
        <v>20.717897022895574</v>
      </c>
      <c r="AQ68" s="29">
        <v>20.748661231158941</v>
      </c>
      <c r="AR68" s="29">
        <v>20.763297720618731</v>
      </c>
      <c r="AS68" s="29">
        <v>20.789595224284351</v>
      </c>
      <c r="AT68" s="29">
        <v>20.775936374202988</v>
      </c>
      <c r="AU68" s="29">
        <v>20.788634411490833</v>
      </c>
      <c r="AV68" s="29">
        <v>20.828123994634716</v>
      </c>
      <c r="AW68" s="29">
        <v>20.954821099493589</v>
      </c>
      <c r="AX68" s="29">
        <v>21.000780698845091</v>
      </c>
      <c r="AY68" s="29">
        <v>21.091140001467487</v>
      </c>
      <c r="AZ68" s="29">
        <v>21.187323478261305</v>
      </c>
      <c r="BA68" s="29">
        <v>21.269249799846953</v>
      </c>
      <c r="BB68" s="29">
        <v>21.362802865139216</v>
      </c>
      <c r="BC68" s="29">
        <v>21.458048304870555</v>
      </c>
      <c r="BD68" s="29">
        <v>21.546323327258083</v>
      </c>
      <c r="BE68" s="29">
        <v>21.654712613100418</v>
      </c>
      <c r="BF68" s="29">
        <v>21.770301029330245</v>
      </c>
      <c r="BG68" s="29">
        <v>21.885827074498401</v>
      </c>
      <c r="BH68" s="29">
        <v>22.000701489847859</v>
      </c>
      <c r="BI68" s="29">
        <v>22.114936785806414</v>
      </c>
      <c r="BJ68" s="29">
        <v>22.228545575245004</v>
      </c>
      <c r="BK68" s="29">
        <v>22.341540380079508</v>
      </c>
      <c r="BL68" s="29">
        <v>22.453933541863567</v>
      </c>
      <c r="BM68" s="29">
        <v>22.565737398124902</v>
      </c>
      <c r="BN68" s="29">
        <v>22.676964740107856</v>
      </c>
      <c r="BO68" s="29">
        <v>22.787629072548221</v>
      </c>
      <c r="BP68" s="29">
        <v>22.897743151175419</v>
      </c>
      <c r="BQ68" s="29">
        <v>23.007318532652235</v>
      </c>
      <c r="BR68" s="29">
        <v>23.116365528903287</v>
      </c>
      <c r="BS68" s="29">
        <v>23.22489309831867</v>
      </c>
      <c r="BT68" s="29">
        <v>23.332896132575605</v>
      </c>
      <c r="BU68" s="29">
        <v>23.440371543522438</v>
      </c>
      <c r="BV68" s="29">
        <v>23.547316335535918</v>
      </c>
      <c r="BW68" s="29">
        <v>23.653727604964022</v>
      </c>
      <c r="BX68" s="29">
        <v>23.759602539578594</v>
      </c>
      <c r="BY68" s="29">
        <v>23.864938418033436</v>
      </c>
      <c r="BZ68" s="29">
        <v>23.969732609328801</v>
      </c>
      <c r="CA68" s="29">
        <v>24.073982572280329</v>
      </c>
      <c r="CB68" s="29">
        <v>24.177685854992092</v>
      </c>
      <c r="CC68" s="29">
        <v>24.280840094332142</v>
      </c>
      <c r="CD68" s="29">
        <v>24.383443015409892</v>
      </c>
      <c r="CE68" s="29">
        <v>24.485492431055302</v>
      </c>
      <c r="CF68" s="29">
        <v>24.586986241296302</v>
      </c>
      <c r="CG68" s="29">
        <v>24.68792243283799</v>
      </c>
      <c r="CH68" s="29">
        <v>24.788299078537502</v>
      </c>
      <c r="CI68" s="29">
        <v>24.88811433687907</v>
      </c>
      <c r="CJ68" s="29">
        <v>24.987366451443801</v>
      </c>
      <c r="CK68" s="29">
        <v>25.086053750377385</v>
      </c>
      <c r="CL68" s="29">
        <v>25.18417464585189</v>
      </c>
      <c r="CM68" s="29">
        <v>25.281727633523314</v>
      </c>
      <c r="CN68" s="29">
        <v>25.378711291983485</v>
      </c>
      <c r="CO68" s="29">
        <v>25.475124282204284</v>
      </c>
      <c r="CP68" s="29">
        <v>25.570965346976497</v>
      </c>
      <c r="CQ68" s="29">
        <v>25.666233310340825</v>
      </c>
      <c r="CR68" s="29">
        <v>25.760927077010859</v>
      </c>
      <c r="CS68" s="29">
        <v>25.855045631787949</v>
      </c>
      <c r="CT68" s="29">
        <v>25.948588038967614</v>
      </c>
      <c r="CU68" s="29">
        <v>26.041553441736255</v>
      </c>
      <c r="CV68" s="29">
        <v>26.133941061559916</v>
      </c>
      <c r="CW68" s="29">
        <v>26.225750197562338</v>
      </c>
      <c r="CX68" s="29">
        <v>26.316980225893229</v>
      </c>
      <c r="CY68" s="29">
        <v>26.407630599087469</v>
      </c>
      <c r="CZ68" s="29">
        <v>26.497700845413181</v>
      </c>
      <c r="DA68" s="29">
        <v>26.587190568209646</v>
      </c>
      <c r="DB68" s="29">
        <v>26.676099445215115</v>
      </c>
      <c r="DC68" s="29">
        <v>26.764427227884099</v>
      </c>
      <c r="DD68" s="29">
        <v>26.852173740693356</v>
      </c>
      <c r="DE68" s="29">
        <v>26.939338880438388</v>
      </c>
      <c r="DF68" s="29">
        <v>27.025922615518262</v>
      </c>
      <c r="DG68" s="29">
        <v>27.111924985210965</v>
      </c>
      <c r="DH68" s="29">
        <v>27.197346098937121</v>
      </c>
      <c r="DI68" s="29">
        <v>27.282186135514849</v>
      </c>
      <c r="DJ68" s="29">
        <v>27.366445342402372</v>
      </c>
      <c r="DK68" s="29">
        <v>27.450124034932252</v>
      </c>
      <c r="DL68" s="29">
        <v>27.533222595535126</v>
      </c>
      <c r="DM68" s="29">
        <v>27.615741472952628</v>
      </c>
      <c r="DN68" s="29">
        <v>27.697681181442821</v>
      </c>
      <c r="DO68" s="29">
        <v>27.779042299974208</v>
      </c>
      <c r="DP68" s="29">
        <v>27.859825471411543</v>
      </c>
      <c r="DQ68" s="29">
        <v>27.940031401693325</v>
      </c>
      <c r="DR68" s="29">
        <v>28.01966085899933</v>
      </c>
      <c r="DS68">
        <v>28.098714672911129</v>
      </c>
      <c r="DT68">
        <v>28.177193733564216</v>
      </c>
      <c r="DU68">
        <v>28.255098990791925</v>
      </c>
    </row>
    <row r="69" spans="1:125">
      <c r="A69" s="34">
        <v>67</v>
      </c>
      <c r="B69" s="35"/>
      <c r="C69" s="35"/>
      <c r="D69" s="35"/>
      <c r="E69" s="35"/>
      <c r="F69" s="35"/>
      <c r="G69" s="35"/>
      <c r="H69" s="35"/>
      <c r="I69" s="35"/>
      <c r="J69" s="35"/>
      <c r="K69" s="35"/>
      <c r="L69" s="35"/>
      <c r="M69" s="35"/>
      <c r="N69" s="35"/>
      <c r="O69" s="35"/>
      <c r="P69" s="35"/>
      <c r="Q69" s="35"/>
      <c r="R69" s="35"/>
      <c r="S69" s="35"/>
      <c r="T69" s="35"/>
      <c r="U69" s="35"/>
      <c r="V69" s="29"/>
      <c r="W69" s="29">
        <v>17.47</v>
      </c>
      <c r="X69" s="29">
        <v>17.61</v>
      </c>
      <c r="Y69" s="29">
        <v>17.767989050943466</v>
      </c>
      <c r="Z69" s="29">
        <v>17.93472064060045</v>
      </c>
      <c r="AA69" s="29">
        <v>18.058160881659919</v>
      </c>
      <c r="AB69" s="29">
        <v>18.179347325304541</v>
      </c>
      <c r="AC69" s="29">
        <v>18.316567551713252</v>
      </c>
      <c r="AD69" s="29">
        <v>18.423731421979486</v>
      </c>
      <c r="AE69" s="29">
        <v>18.572061917584126</v>
      </c>
      <c r="AF69" s="29">
        <v>18.702671159711002</v>
      </c>
      <c r="AG69" s="29">
        <v>18.792328866649111</v>
      </c>
      <c r="AH69" s="29">
        <v>18.916287674166991</v>
      </c>
      <c r="AI69" s="29">
        <v>19.019064179936091</v>
      </c>
      <c r="AJ69" s="29">
        <v>19.166320530020929</v>
      </c>
      <c r="AK69" s="29">
        <v>19.317056129022269</v>
      </c>
      <c r="AL69" s="29">
        <v>19.479647371374583</v>
      </c>
      <c r="AM69" s="29">
        <v>19.6358380095221</v>
      </c>
      <c r="AN69" s="29">
        <v>19.759137192875698</v>
      </c>
      <c r="AO69" s="29">
        <v>19.83565412268123</v>
      </c>
      <c r="AP69" s="29">
        <v>19.882543122113887</v>
      </c>
      <c r="AQ69" s="29">
        <v>19.917365413602159</v>
      </c>
      <c r="AR69" s="29">
        <v>19.934153835839357</v>
      </c>
      <c r="AS69" s="29">
        <v>19.960329775959995</v>
      </c>
      <c r="AT69" s="29">
        <v>19.953856773029084</v>
      </c>
      <c r="AU69" s="29">
        <v>19.963233022534254</v>
      </c>
      <c r="AV69" s="29">
        <v>20.016388329880204</v>
      </c>
      <c r="AW69" s="29">
        <v>20.13543572824392</v>
      </c>
      <c r="AX69" s="29">
        <v>20.183447135121096</v>
      </c>
      <c r="AY69" s="29">
        <v>20.273457174842768</v>
      </c>
      <c r="AZ69" s="29">
        <v>20.367203427317627</v>
      </c>
      <c r="BA69" s="29">
        <v>20.452184052486878</v>
      </c>
      <c r="BB69" s="29">
        <v>20.547210745688254</v>
      </c>
      <c r="BC69" s="29">
        <v>20.637403552798272</v>
      </c>
      <c r="BD69" s="29">
        <v>20.738565039661427</v>
      </c>
      <c r="BE69" s="29">
        <v>20.851653646970998</v>
      </c>
      <c r="BF69" s="29">
        <v>20.965028426066034</v>
      </c>
      <c r="BG69" s="29">
        <v>21.077768268442348</v>
      </c>
      <c r="BH69" s="29">
        <v>21.189885753489587</v>
      </c>
      <c r="BI69" s="29">
        <v>21.301393521105172</v>
      </c>
      <c r="BJ69" s="29">
        <v>21.412304291922617</v>
      </c>
      <c r="BK69" s="29">
        <v>21.522630673236478</v>
      </c>
      <c r="BL69" s="29">
        <v>21.632385069921224</v>
      </c>
      <c r="BM69" s="29">
        <v>21.741579863257368</v>
      </c>
      <c r="BN69" s="29">
        <v>21.85022787315468</v>
      </c>
      <c r="BO69" s="29">
        <v>21.958342620437982</v>
      </c>
      <c r="BP69" s="29">
        <v>22.065936853682274</v>
      </c>
      <c r="BQ69" s="29">
        <v>22.173022097231602</v>
      </c>
      <c r="BR69" s="29">
        <v>22.279608606851848</v>
      </c>
      <c r="BS69" s="29">
        <v>22.385703378365083</v>
      </c>
      <c r="BT69" s="29">
        <v>22.491303054874717</v>
      </c>
      <c r="BU69" s="29">
        <v>22.59640436838135</v>
      </c>
      <c r="BV69" s="29">
        <v>22.701004139410333</v>
      </c>
      <c r="BW69" s="29">
        <v>22.80509927664211</v>
      </c>
      <c r="BX69" s="29">
        <v>22.908686776548262</v>
      </c>
      <c r="BY69" s="29">
        <v>23.011763723028977</v>
      </c>
      <c r="BZ69" s="29">
        <v>23.114327287052848</v>
      </c>
      <c r="CA69" s="29">
        <v>23.21637472629714</v>
      </c>
      <c r="CB69" s="29">
        <v>23.317903384788206</v>
      </c>
      <c r="CC69" s="29">
        <v>23.418910692540397</v>
      </c>
      <c r="CD69" s="29">
        <v>23.519394165192963</v>
      </c>
      <c r="CE69" s="29">
        <v>23.619351403644878</v>
      </c>
      <c r="CF69" s="29">
        <v>23.718780093684025</v>
      </c>
      <c r="CG69" s="29">
        <v>23.817678005614443</v>
      </c>
      <c r="CH69" s="29">
        <v>23.91604299387544</v>
      </c>
      <c r="CI69" s="29">
        <v>24.013872996657231</v>
      </c>
      <c r="CJ69" s="29">
        <v>24.111166035507633</v>
      </c>
      <c r="CK69" s="29">
        <v>24.207920214933097</v>
      </c>
      <c r="CL69" s="29">
        <v>24.304133721990269</v>
      </c>
      <c r="CM69" s="29">
        <v>24.399804825869804</v>
      </c>
      <c r="CN69" s="29">
        <v>24.494931877471096</v>
      </c>
      <c r="CO69" s="29">
        <v>24.589513308965881</v>
      </c>
      <c r="CP69" s="29">
        <v>24.683547633353204</v>
      </c>
      <c r="CQ69" s="29">
        <v>24.77703344400318</v>
      </c>
      <c r="CR69" s="29">
        <v>24.869969414189526</v>
      </c>
      <c r="CS69" s="29">
        <v>24.96235429661078</v>
      </c>
      <c r="CT69" s="29">
        <v>25.054186922899934</v>
      </c>
      <c r="CU69" s="29">
        <v>25.14546620312132</v>
      </c>
      <c r="CV69" s="29">
        <v>25.236191125256472</v>
      </c>
      <c r="CW69" s="29">
        <v>25.326360754676376</v>
      </c>
      <c r="CX69" s="29">
        <v>25.415974233600988</v>
      </c>
      <c r="CY69" s="29">
        <v>25.505030780546821</v>
      </c>
      <c r="CZ69" s="29">
        <v>25.593529689760622</v>
      </c>
      <c r="DA69" s="29">
        <v>25.681470330640142</v>
      </c>
      <c r="DB69" s="29">
        <v>25.768852147142081</v>
      </c>
      <c r="DC69" s="29">
        <v>25.855674657176902</v>
      </c>
      <c r="DD69" s="29">
        <v>25.941937451989727</v>
      </c>
      <c r="DE69" s="29">
        <v>26.027640195529241</v>
      </c>
      <c r="DF69" s="29">
        <v>26.112782623802374</v>
      </c>
      <c r="DG69" s="29">
        <v>26.197364544217169</v>
      </c>
      <c r="DH69" s="29">
        <v>26.281385834911539</v>
      </c>
      <c r="DI69" s="29">
        <v>26.364846444070938</v>
      </c>
      <c r="DJ69" s="29">
        <v>26.447746389231398</v>
      </c>
      <c r="DK69" s="29">
        <v>26.530085756572035</v>
      </c>
      <c r="DL69" s="29">
        <v>26.611864700194829</v>
      </c>
      <c r="DM69" s="29">
        <v>26.693083441391511</v>
      </c>
      <c r="DN69" s="29">
        <v>26.773742267900815</v>
      </c>
      <c r="DO69" s="29">
        <v>26.853841533152284</v>
      </c>
      <c r="DP69" s="29">
        <v>26.933381655499932</v>
      </c>
      <c r="DQ69" s="29">
        <v>27.012363117445592</v>
      </c>
      <c r="DR69" s="29">
        <v>27.090786464850392</v>
      </c>
      <c r="DS69">
        <v>27.168652306137432</v>
      </c>
      <c r="DT69">
        <v>27.245961311484169</v>
      </c>
      <c r="DU69">
        <v>27.322714212004897</v>
      </c>
    </row>
    <row r="70" spans="1:125">
      <c r="A70" s="34">
        <v>68</v>
      </c>
      <c r="B70" s="35"/>
      <c r="C70" s="35"/>
      <c r="D70" s="35"/>
      <c r="E70" s="35"/>
      <c r="F70" s="35"/>
      <c r="G70" s="35"/>
      <c r="H70" s="35"/>
      <c r="I70" s="35"/>
      <c r="J70" s="35"/>
      <c r="K70" s="35"/>
      <c r="L70" s="35"/>
      <c r="M70" s="35"/>
      <c r="N70" s="35"/>
      <c r="O70" s="35"/>
      <c r="P70" s="35"/>
      <c r="Q70" s="35"/>
      <c r="R70" s="35"/>
      <c r="S70" s="35"/>
      <c r="T70" s="35"/>
      <c r="U70" s="35"/>
      <c r="V70" s="29"/>
      <c r="W70" s="29">
        <v>16.73</v>
      </c>
      <c r="X70" s="29">
        <v>16.87</v>
      </c>
      <c r="Y70" s="29">
        <v>17.025375710916386</v>
      </c>
      <c r="Z70" s="29">
        <v>17.185669743179439</v>
      </c>
      <c r="AA70" s="29">
        <v>17.301435472622035</v>
      </c>
      <c r="AB70" s="29">
        <v>17.420511087675816</v>
      </c>
      <c r="AC70" s="29">
        <v>17.555987723306551</v>
      </c>
      <c r="AD70" s="29">
        <v>17.662800769741672</v>
      </c>
      <c r="AE70" s="29">
        <v>17.797070784274439</v>
      </c>
      <c r="AF70" s="29">
        <v>17.927444984879958</v>
      </c>
      <c r="AG70" s="29">
        <v>18.011941706081544</v>
      </c>
      <c r="AH70" s="29">
        <v>18.127730919941385</v>
      </c>
      <c r="AI70" s="29">
        <v>18.225497201098211</v>
      </c>
      <c r="AJ70" s="29">
        <v>18.369873445612804</v>
      </c>
      <c r="AK70" s="29">
        <v>18.514272090501333</v>
      </c>
      <c r="AL70" s="29">
        <v>18.668312402286887</v>
      </c>
      <c r="AM70" s="29">
        <v>18.823432694092297</v>
      </c>
      <c r="AN70" s="29">
        <v>18.935440593520294</v>
      </c>
      <c r="AO70" s="29">
        <v>19.007210322316475</v>
      </c>
      <c r="AP70" s="29">
        <v>19.058712130517893</v>
      </c>
      <c r="AQ70" s="29">
        <v>19.095542141630411</v>
      </c>
      <c r="AR70" s="29">
        <v>19.11093751186166</v>
      </c>
      <c r="AS70" s="29">
        <v>19.138341999858714</v>
      </c>
      <c r="AT70" s="29">
        <v>19.135309965368336</v>
      </c>
      <c r="AU70" s="29">
        <v>19.151152390783313</v>
      </c>
      <c r="AV70" s="29">
        <v>19.200960063700226</v>
      </c>
      <c r="AW70" s="29">
        <v>19.32637168876569</v>
      </c>
      <c r="AX70" s="29">
        <v>19.376627213692995</v>
      </c>
      <c r="AY70" s="29">
        <v>19.460512886269754</v>
      </c>
      <c r="AZ70" s="29">
        <v>19.558662012662936</v>
      </c>
      <c r="BA70" s="29">
        <v>19.63965655138616</v>
      </c>
      <c r="BB70" s="29">
        <v>19.734891042304209</v>
      </c>
      <c r="BC70" s="29">
        <v>19.831473775023358</v>
      </c>
      <c r="BD70" s="29">
        <v>19.943776300277026</v>
      </c>
      <c r="BE70" s="29">
        <v>20.054857961433044</v>
      </c>
      <c r="BF70" s="29">
        <v>20.165322172306539</v>
      </c>
      <c r="BG70" s="29">
        <v>20.275181749055864</v>
      </c>
      <c r="BH70" s="29">
        <v>20.384449432174044</v>
      </c>
      <c r="BI70" s="29">
        <v>20.493137998190154</v>
      </c>
      <c r="BJ70" s="29">
        <v>20.601260281147663</v>
      </c>
      <c r="BK70" s="29">
        <v>20.708828977822346</v>
      </c>
      <c r="BL70" s="29">
        <v>20.815856559014705</v>
      </c>
      <c r="BM70" s="29">
        <v>20.922355451077404</v>
      </c>
      <c r="BN70" s="29">
        <v>21.028338502976681</v>
      </c>
      <c r="BO70" s="29">
        <v>21.133819251288095</v>
      </c>
      <c r="BP70" s="29">
        <v>21.238810435563806</v>
      </c>
      <c r="BQ70" s="29">
        <v>21.343323544307392</v>
      </c>
      <c r="BR70" s="29">
        <v>21.447378983879638</v>
      </c>
      <c r="BS70" s="29">
        <v>21.550973130355327</v>
      </c>
      <c r="BT70" s="29">
        <v>21.654102444696829</v>
      </c>
      <c r="BU70" s="29">
        <v>21.756763472570487</v>
      </c>
      <c r="BV70" s="29">
        <v>21.858952844166435</v>
      </c>
      <c r="BW70" s="29">
        <v>21.96066727401708</v>
      </c>
      <c r="BX70" s="29">
        <v>22.061903560817125</v>
      </c>
      <c r="BY70" s="29">
        <v>22.162658587241005</v>
      </c>
      <c r="BZ70" s="29">
        <v>22.262929319758484</v>
      </c>
      <c r="CA70" s="29">
        <v>22.362712808446783</v>
      </c>
      <c r="CB70" s="29">
        <v>22.462006186798817</v>
      </c>
      <c r="CC70" s="29">
        <v>22.560806671525953</v>
      </c>
      <c r="CD70" s="29">
        <v>22.659111562354862</v>
      </c>
      <c r="CE70" s="29">
        <v>22.756918241818422</v>
      </c>
      <c r="CF70" s="29">
        <v>22.854224175037068</v>
      </c>
      <c r="CG70" s="29">
        <v>22.951026909494555</v>
      </c>
      <c r="CH70" s="29">
        <v>23.047324074801665</v>
      </c>
      <c r="CI70" s="29">
        <v>23.143113382452864</v>
      </c>
      <c r="CJ70" s="29">
        <v>23.238392625570334</v>
      </c>
      <c r="CK70" s="29">
        <v>23.333159678638715</v>
      </c>
      <c r="CL70" s="29">
        <v>23.427412497226822</v>
      </c>
      <c r="CM70" s="29">
        <v>23.521149117698194</v>
      </c>
      <c r="CN70" s="29">
        <v>23.614367656908975</v>
      </c>
      <c r="CO70" s="29">
        <v>23.707066311891431</v>
      </c>
      <c r="CP70" s="29">
        <v>23.799243359525356</v>
      </c>
      <c r="CQ70" s="29">
        <v>23.890897156195091</v>
      </c>
      <c r="CR70" s="29">
        <v>23.98202613743198</v>
      </c>
      <c r="CS70" s="29">
        <v>24.072628817542462</v>
      </c>
      <c r="CT70" s="29">
        <v>24.162703789221322</v>
      </c>
      <c r="CU70" s="29">
        <v>24.252249723149227</v>
      </c>
      <c r="CV70" s="29">
        <v>24.341265367576181</v>
      </c>
      <c r="CW70" s="29">
        <v>24.429749547888409</v>
      </c>
      <c r="CX70" s="29">
        <v>24.517701166159618</v>
      </c>
      <c r="CY70" s="29">
        <v>24.605119200687476</v>
      </c>
      <c r="CZ70" s="29">
        <v>24.692002705513392</v>
      </c>
      <c r="DA70" s="29">
        <v>24.778350809926604</v>
      </c>
      <c r="DB70" s="29">
        <v>24.864162717952823</v>
      </c>
      <c r="DC70" s="29">
        <v>24.949437707827069</v>
      </c>
      <c r="DD70" s="29">
        <v>25.034175131449988</v>
      </c>
      <c r="DE70" s="29">
        <v>25.118374413829695</v>
      </c>
      <c r="DF70" s="29">
        <v>25.202035052506883</v>
      </c>
      <c r="DG70" s="29">
        <v>25.28515661696569</v>
      </c>
      <c r="DH70" s="29">
        <v>25.367738748028103</v>
      </c>
      <c r="DI70" s="29">
        <v>25.449781157234927</v>
      </c>
      <c r="DJ70" s="29">
        <v>25.531283626209849</v>
      </c>
      <c r="DK70" s="29">
        <v>25.612246006010722</v>
      </c>
      <c r="DL70" s="29">
        <v>25.692668216465997</v>
      </c>
      <c r="DM70" s="29">
        <v>25.772550245496067</v>
      </c>
      <c r="DN70" s="29">
        <v>25.851892148422934</v>
      </c>
      <c r="DO70" s="29">
        <v>25.930694047264364</v>
      </c>
      <c r="DP70" s="29">
        <v>26.008956130015939</v>
      </c>
      <c r="DQ70" s="29">
        <v>26.086678649920799</v>
      </c>
      <c r="DR70" s="29">
        <v>26.163861924725676</v>
      </c>
      <c r="DS70">
        <v>26.24050633592617</v>
      </c>
      <c r="DT70">
        <v>26.316612328000044</v>
      </c>
      <c r="DU70">
        <v>26.392180407628718</v>
      </c>
    </row>
    <row r="71" spans="1:125">
      <c r="A71" s="34">
        <v>69</v>
      </c>
      <c r="B71" s="35"/>
      <c r="C71" s="35"/>
      <c r="D71" s="35"/>
      <c r="E71" s="35"/>
      <c r="F71" s="35"/>
      <c r="G71" s="35"/>
      <c r="H71" s="35"/>
      <c r="I71" s="35"/>
      <c r="J71" s="35"/>
      <c r="K71" s="35"/>
      <c r="L71" s="35"/>
      <c r="M71" s="35"/>
      <c r="N71" s="35"/>
      <c r="O71" s="35"/>
      <c r="P71" s="35"/>
      <c r="Q71" s="35"/>
      <c r="R71" s="35"/>
      <c r="S71" s="35"/>
      <c r="T71" s="35"/>
      <c r="U71" s="35"/>
      <c r="V71" s="29"/>
      <c r="W71" s="29">
        <v>16.010000000000002</v>
      </c>
      <c r="X71" s="29">
        <v>16.14</v>
      </c>
      <c r="Y71" s="29">
        <v>16.292434742447547</v>
      </c>
      <c r="Z71" s="29">
        <v>16.441325285770542</v>
      </c>
      <c r="AA71" s="29">
        <v>16.557134909788747</v>
      </c>
      <c r="AB71" s="29">
        <v>16.669235908636967</v>
      </c>
      <c r="AC71" s="29">
        <v>16.807474219125353</v>
      </c>
      <c r="AD71" s="29">
        <v>16.904216468135058</v>
      </c>
      <c r="AE71" s="29">
        <v>17.035274134149198</v>
      </c>
      <c r="AF71" s="29">
        <v>17.158617040822087</v>
      </c>
      <c r="AG71" s="29">
        <v>17.241287137020702</v>
      </c>
      <c r="AH71" s="29">
        <v>17.342696531277671</v>
      </c>
      <c r="AI71" s="29">
        <v>17.443608897330371</v>
      </c>
      <c r="AJ71" s="29">
        <v>17.586892855012326</v>
      </c>
      <c r="AK71" s="29">
        <v>17.714670221133169</v>
      </c>
      <c r="AL71" s="29">
        <v>17.86101633407603</v>
      </c>
      <c r="AM71" s="29">
        <v>18.012108400291904</v>
      </c>
      <c r="AN71" s="29">
        <v>18.116823302153986</v>
      </c>
      <c r="AO71" s="29">
        <v>18.194243494089992</v>
      </c>
      <c r="AP71" s="29">
        <v>18.242508952662913</v>
      </c>
      <c r="AQ71" s="29">
        <v>18.274725834250638</v>
      </c>
      <c r="AR71" s="29">
        <v>18.300751881303469</v>
      </c>
      <c r="AS71" s="29">
        <v>18.319977912721367</v>
      </c>
      <c r="AT71" s="29">
        <v>18.331862472901747</v>
      </c>
      <c r="AU71" s="29">
        <v>18.341684381588955</v>
      </c>
      <c r="AV71" s="29">
        <v>18.403401396389786</v>
      </c>
      <c r="AW71" s="29">
        <v>18.518555352947086</v>
      </c>
      <c r="AX71" s="29">
        <v>18.576826032317339</v>
      </c>
      <c r="AY71" s="29">
        <v>18.664808406122269</v>
      </c>
      <c r="AZ71" s="29">
        <v>18.752095014335747</v>
      </c>
      <c r="BA71" s="29">
        <v>18.834361831553874</v>
      </c>
      <c r="BB71" s="29">
        <v>18.936751688375086</v>
      </c>
      <c r="BC71" s="29">
        <v>19.046732026225428</v>
      </c>
      <c r="BD71" s="29">
        <v>19.155383167548983</v>
      </c>
      <c r="BE71" s="29">
        <v>19.263434758546001</v>
      </c>
      <c r="BF71" s="29">
        <v>19.370900077221833</v>
      </c>
      <c r="BG71" s="29">
        <v>19.477792139277295</v>
      </c>
      <c r="BH71" s="29">
        <v>19.584123856177225</v>
      </c>
      <c r="BI71" s="29">
        <v>19.689908149274327</v>
      </c>
      <c r="BJ71" s="29">
        <v>19.795157972658423</v>
      </c>
      <c r="BK71" s="29">
        <v>19.899886117634505</v>
      </c>
      <c r="BL71" s="29">
        <v>20.004105124438954</v>
      </c>
      <c r="BM71" s="29">
        <v>20.107827466694435</v>
      </c>
      <c r="BN71" s="29">
        <v>20.211066023691856</v>
      </c>
      <c r="BO71" s="29">
        <v>20.313834348307857</v>
      </c>
      <c r="BP71" s="29">
        <v>20.416145170043425</v>
      </c>
      <c r="BQ71" s="29">
        <v>20.518033539645941</v>
      </c>
      <c r="BR71" s="29">
        <v>20.619495569544075</v>
      </c>
      <c r="BS71" s="29">
        <v>20.720527452693528</v>
      </c>
      <c r="BT71" s="29">
        <v>20.821125462590448</v>
      </c>
      <c r="BU71" s="29">
        <v>20.921285953282389</v>
      </c>
      <c r="BV71" s="29">
        <v>21.021005359378474</v>
      </c>
      <c r="BW71" s="29">
        <v>21.120280196054203</v>
      </c>
      <c r="BX71" s="29">
        <v>21.219107059053691</v>
      </c>
      <c r="BY71" s="29">
        <v>21.317482624685269</v>
      </c>
      <c r="BZ71" s="29">
        <v>21.415403649811257</v>
      </c>
      <c r="CA71" s="29">
        <v>21.512866971830238</v>
      </c>
      <c r="CB71" s="29">
        <v>21.609869508651563</v>
      </c>
      <c r="CC71" s="29">
        <v>21.706408258660414</v>
      </c>
      <c r="CD71" s="29">
        <v>21.802480300673114</v>
      </c>
      <c r="CE71" s="29">
        <v>21.898082793882672</v>
      </c>
      <c r="CF71" s="29">
        <v>21.993212977790968</v>
      </c>
      <c r="CG71" s="29">
        <v>22.087868172131664</v>
      </c>
      <c r="CH71" s="29">
        <v>22.182045776777315</v>
      </c>
      <c r="CI71" s="29">
        <v>22.275743271635832</v>
      </c>
      <c r="CJ71" s="29">
        <v>22.368958216530714</v>
      </c>
      <c r="CK71" s="29">
        <v>22.461688251068438</v>
      </c>
      <c r="CL71" s="29">
        <v>22.553931094489382</v>
      </c>
      <c r="CM71" s="29">
        <v>22.645684545504057</v>
      </c>
      <c r="CN71" s="29">
        <v>22.736946482113378</v>
      </c>
      <c r="CO71" s="29">
        <v>22.827714861411181</v>
      </c>
      <c r="CP71" s="29">
        <v>22.917987719371354</v>
      </c>
      <c r="CQ71" s="29">
        <v>23.007763170617373</v>
      </c>
      <c r="CR71" s="29">
        <v>23.097039408174101</v>
      </c>
      <c r="CS71" s="29">
        <v>23.185814703202066</v>
      </c>
      <c r="CT71" s="29">
        <v>23.274087404713892</v>
      </c>
      <c r="CU71" s="29">
        <v>23.361855939271933</v>
      </c>
      <c r="CV71" s="29">
        <v>23.449118810668939</v>
      </c>
      <c r="CW71" s="29">
        <v>23.535874599589182</v>
      </c>
      <c r="CX71" s="29">
        <v>23.622121963251132</v>
      </c>
      <c r="CY71" s="29">
        <v>23.707859635032573</v>
      </c>
      <c r="CZ71" s="29">
        <v>23.793086424076222</v>
      </c>
      <c r="DA71" s="29">
        <v>23.87780121487701</v>
      </c>
      <c r="DB71" s="29">
        <v>23.962002966851248</v>
      </c>
      <c r="DC71" s="29">
        <v>24.045690713887364</v>
      </c>
      <c r="DD71" s="29">
        <v>24.12886356387768</v>
      </c>
      <c r="DE71" s="29">
        <v>24.211520698233119</v>
      </c>
      <c r="DF71" s="29">
        <v>24.29366137137875</v>
      </c>
      <c r="DG71" s="29">
        <v>24.375284910232789</v>
      </c>
      <c r="DH71" s="29">
        <v>24.456390713666693</v>
      </c>
      <c r="DI71" s="29">
        <v>24.536978251949563</v>
      </c>
      <c r="DJ71" s="29">
        <v>24.617047066173424</v>
      </c>
      <c r="DK71" s="29">
        <v>24.696596767663468</v>
      </c>
      <c r="DL71" s="29">
        <v>24.775627037371365</v>
      </c>
      <c r="DM71" s="29">
        <v>24.854137625251308</v>
      </c>
      <c r="DN71" s="29">
        <v>24.932128349622385</v>
      </c>
      <c r="DO71" s="29">
        <v>25.009599096513387</v>
      </c>
      <c r="DP71" s="29">
        <v>25.086549818993522</v>
      </c>
      <c r="DQ71" s="29">
        <v>25.162980536488973</v>
      </c>
      <c r="DR71" s="29">
        <v>25.238891334083778</v>
      </c>
      <c r="DS71">
        <v>25.314282361808154</v>
      </c>
      <c r="DT71">
        <v>25.389153833913042</v>
      </c>
      <c r="DU71">
        <v>25.463506028131064</v>
      </c>
    </row>
    <row r="72" spans="1:125">
      <c r="A72" s="34">
        <v>70</v>
      </c>
      <c r="B72" s="35"/>
      <c r="C72" s="35"/>
      <c r="D72" s="35"/>
      <c r="E72" s="35"/>
      <c r="F72" s="35"/>
      <c r="G72" s="35"/>
      <c r="H72" s="35"/>
      <c r="I72" s="35"/>
      <c r="J72" s="35"/>
      <c r="K72" s="35"/>
      <c r="L72" s="35"/>
      <c r="M72" s="35"/>
      <c r="N72" s="35"/>
      <c r="O72" s="35"/>
      <c r="P72" s="35"/>
      <c r="Q72" s="35"/>
      <c r="R72" s="35"/>
      <c r="S72" s="35"/>
      <c r="T72" s="35"/>
      <c r="U72" s="35"/>
      <c r="V72" s="29"/>
      <c r="W72" s="29">
        <v>15.3</v>
      </c>
      <c r="X72" s="29">
        <v>15.42</v>
      </c>
      <c r="Y72" s="29">
        <v>15.564656814944017</v>
      </c>
      <c r="Z72" s="29">
        <v>15.714266297397192</v>
      </c>
      <c r="AA72" s="29">
        <v>15.822673573269281</v>
      </c>
      <c r="AB72" s="29">
        <v>15.939183016057651</v>
      </c>
      <c r="AC72" s="29">
        <v>16.067248456044499</v>
      </c>
      <c r="AD72" s="29">
        <v>16.154037528950052</v>
      </c>
      <c r="AE72" s="29">
        <v>16.276937952216105</v>
      </c>
      <c r="AF72" s="29">
        <v>16.39615964694984</v>
      </c>
      <c r="AG72" s="29">
        <v>16.471997406501934</v>
      </c>
      <c r="AH72" s="29">
        <v>16.570606054296086</v>
      </c>
      <c r="AI72" s="29">
        <v>16.667739375963389</v>
      </c>
      <c r="AJ72" s="29">
        <v>16.804594747198333</v>
      </c>
      <c r="AK72" s="29">
        <v>16.928912015068825</v>
      </c>
      <c r="AL72" s="29">
        <v>17.062460511535097</v>
      </c>
      <c r="AM72" s="29">
        <v>17.206359328624007</v>
      </c>
      <c r="AN72" s="29">
        <v>17.315230146256106</v>
      </c>
      <c r="AO72" s="29">
        <v>17.388546740821393</v>
      </c>
      <c r="AP72" s="29">
        <v>17.431207181807881</v>
      </c>
      <c r="AQ72" s="29">
        <v>17.463011996588403</v>
      </c>
      <c r="AR72" s="29">
        <v>17.49346580843838</v>
      </c>
      <c r="AS72" s="29">
        <v>17.515952142495571</v>
      </c>
      <c r="AT72" s="29">
        <v>17.530241993581843</v>
      </c>
      <c r="AU72" s="29">
        <v>17.543076531770335</v>
      </c>
      <c r="AV72" s="29">
        <v>17.610874118568415</v>
      </c>
      <c r="AW72" s="29">
        <v>17.725084160629056</v>
      </c>
      <c r="AX72" s="29">
        <v>17.790179473022317</v>
      </c>
      <c r="AY72" s="29">
        <v>17.874422519115363</v>
      </c>
      <c r="AZ72" s="29">
        <v>17.957457119830799</v>
      </c>
      <c r="BA72" s="29">
        <v>18.052698981189796</v>
      </c>
      <c r="BB72" s="29">
        <v>18.16087806664078</v>
      </c>
      <c r="BC72" s="29">
        <v>18.266963653736585</v>
      </c>
      <c r="BD72" s="29">
        <v>18.372467552108382</v>
      </c>
      <c r="BE72" s="29">
        <v>18.477403788404708</v>
      </c>
      <c r="BF72" s="29">
        <v>18.581785887978473</v>
      </c>
      <c r="BG72" s="29">
        <v>18.685627079941504</v>
      </c>
      <c r="BH72" s="29">
        <v>18.78894045861048</v>
      </c>
      <c r="BI72" s="29">
        <v>18.891739100273796</v>
      </c>
      <c r="BJ72" s="29">
        <v>18.994036087543254</v>
      </c>
      <c r="BK72" s="29">
        <v>19.095844313054194</v>
      </c>
      <c r="BL72" s="29">
        <v>19.197176391658918</v>
      </c>
      <c r="BM72" s="29">
        <v>19.298044848055667</v>
      </c>
      <c r="BN72" s="29">
        <v>19.398462594709276</v>
      </c>
      <c r="BO72" s="29">
        <v>19.498443202920729</v>
      </c>
      <c r="BP72" s="29">
        <v>19.598037611192868</v>
      </c>
      <c r="BQ72" s="29">
        <v>19.697241673418336</v>
      </c>
      <c r="BR72" s="29">
        <v>19.796051319342109</v>
      </c>
      <c r="BS72" s="29">
        <v>19.894462554772556</v>
      </c>
      <c r="BT72" s="29">
        <v>19.992471461788899</v>
      </c>
      <c r="BU72" s="29">
        <v>20.090074198942037</v>
      </c>
      <c r="BV72" s="29">
        <v>20.187267001450742</v>
      </c>
      <c r="BW72" s="29">
        <v>20.284046181388391</v>
      </c>
      <c r="BX72" s="29">
        <v>20.380408127863276</v>
      </c>
      <c r="BY72" s="29">
        <v>20.476349307188297</v>
      </c>
      <c r="BZ72" s="29">
        <v>20.571866263040977</v>
      </c>
      <c r="CA72" s="29">
        <v>20.666955616612128</v>
      </c>
      <c r="CB72" s="29">
        <v>20.761614066742926</v>
      </c>
      <c r="CC72" s="29">
        <v>20.855838390048756</v>
      </c>
      <c r="CD72" s="29">
        <v>20.949625441029614</v>
      </c>
      <c r="CE72" s="29">
        <v>21.042972152166993</v>
      </c>
      <c r="CF72" s="29">
        <v>21.135875534003826</v>
      </c>
      <c r="CG72" s="29">
        <v>21.228332675211487</v>
      </c>
      <c r="CH72" s="29">
        <v>21.320340742637484</v>
      </c>
      <c r="CI72" s="29">
        <v>21.41189698133898</v>
      </c>
      <c r="CJ72" s="29">
        <v>21.502998714596583</v>
      </c>
      <c r="CK72" s="29">
        <v>21.59364334391196</v>
      </c>
      <c r="CL72" s="29">
        <v>21.683828348985543</v>
      </c>
      <c r="CM72" s="29">
        <v>21.773551287676241</v>
      </c>
      <c r="CN72" s="29">
        <v>21.862809795941974</v>
      </c>
      <c r="CO72" s="29">
        <v>21.951601587759189</v>
      </c>
      <c r="CP72" s="29">
        <v>22.039924455023829</v>
      </c>
      <c r="CQ72" s="29">
        <v>22.127776267431624</v>
      </c>
      <c r="CR72" s="29">
        <v>22.215154972337558</v>
      </c>
      <c r="CS72" s="29">
        <v>22.302058594594801</v>
      </c>
      <c r="CT72" s="29">
        <v>22.388485236372844</v>
      </c>
      <c r="CU72" s="29">
        <v>22.474433076953936</v>
      </c>
      <c r="CV72" s="29">
        <v>22.559900372509667</v>
      </c>
      <c r="CW72" s="29">
        <v>22.644885455855221</v>
      </c>
      <c r="CX72" s="29">
        <v>22.729386736182427</v>
      </c>
      <c r="CY72" s="29">
        <v>22.81340269877251</v>
      </c>
      <c r="CZ72" s="29">
        <v>22.896931904686738</v>
      </c>
      <c r="DA72" s="29">
        <v>22.979972990436075</v>
      </c>
      <c r="DB72" s="29">
        <v>23.062524667630171</v>
      </c>
      <c r="DC72" s="29">
        <v>23.144585722605434</v>
      </c>
      <c r="DD72" s="29">
        <v>23.226155016031647</v>
      </c>
      <c r="DE72" s="29">
        <v>23.307231482499116</v>
      </c>
      <c r="DF72" s="29">
        <v>23.387814130084287</v>
      </c>
      <c r="DG72" s="29">
        <v>23.467902039896522</v>
      </c>
      <c r="DH72" s="29">
        <v>23.547494365603608</v>
      </c>
      <c r="DI72" s="29">
        <v>23.626590332939454</v>
      </c>
      <c r="DJ72" s="29">
        <v>23.705189239190418</v>
      </c>
      <c r="DK72" s="29">
        <v>23.783290452664463</v>
      </c>
      <c r="DL72" s="29">
        <v>23.860893412141294</v>
      </c>
      <c r="DM72" s="29">
        <v>23.937997626303176</v>
      </c>
      <c r="DN72" s="29">
        <v>24.014602673150062</v>
      </c>
      <c r="DO72" s="29">
        <v>24.09070819939522</v>
      </c>
      <c r="DP72" s="29">
        <v>24.166313919844782</v>
      </c>
      <c r="DQ72" s="29">
        <v>24.24141961676132</v>
      </c>
      <c r="DR72" s="29">
        <v>24.316025139209863</v>
      </c>
      <c r="DS72">
        <v>24.390130402389552</v>
      </c>
      <c r="DT72">
        <v>24.463735386949782</v>
      </c>
      <c r="DU72">
        <v>24.536840138290994</v>
      </c>
    </row>
    <row r="73" spans="1:125">
      <c r="A73" s="34">
        <v>71</v>
      </c>
      <c r="B73" s="35"/>
      <c r="C73" s="35"/>
      <c r="D73" s="35"/>
      <c r="E73" s="35"/>
      <c r="F73" s="35"/>
      <c r="G73" s="35"/>
      <c r="H73" s="35"/>
      <c r="I73" s="35"/>
      <c r="J73" s="35"/>
      <c r="K73" s="35"/>
      <c r="L73" s="35"/>
      <c r="M73" s="35"/>
      <c r="N73" s="35"/>
      <c r="O73" s="35"/>
      <c r="P73" s="35"/>
      <c r="Q73" s="35"/>
      <c r="R73" s="35"/>
      <c r="S73" s="35"/>
      <c r="T73" s="35"/>
      <c r="U73" s="35"/>
      <c r="V73" s="29"/>
      <c r="W73" s="29">
        <v>14.59</v>
      </c>
      <c r="X73" s="29">
        <v>14.71</v>
      </c>
      <c r="Y73" s="29">
        <v>14.852183656736967</v>
      </c>
      <c r="Z73" s="29">
        <v>14.99883259753822</v>
      </c>
      <c r="AA73" s="29">
        <v>15.102837768860084</v>
      </c>
      <c r="AB73" s="29">
        <v>15.210607418690737</v>
      </c>
      <c r="AC73" s="29">
        <v>15.330598572371168</v>
      </c>
      <c r="AD73" s="29">
        <v>15.41265519978908</v>
      </c>
      <c r="AE73" s="29">
        <v>15.526987137557388</v>
      </c>
      <c r="AF73" s="29">
        <v>15.645204702606769</v>
      </c>
      <c r="AG73" s="29">
        <v>15.71405554336533</v>
      </c>
      <c r="AH73" s="29">
        <v>15.814600112504435</v>
      </c>
      <c r="AI73" s="29">
        <v>15.897918020222193</v>
      </c>
      <c r="AJ73" s="29">
        <v>16.028825982357503</v>
      </c>
      <c r="AK73" s="29">
        <v>16.141081050857665</v>
      </c>
      <c r="AL73" s="29">
        <v>16.270665638373657</v>
      </c>
      <c r="AM73" s="29">
        <v>16.410749470613446</v>
      </c>
      <c r="AN73" s="29">
        <v>16.518291700071874</v>
      </c>
      <c r="AO73" s="29">
        <v>16.585348299748841</v>
      </c>
      <c r="AP73" s="29">
        <v>16.631932359117059</v>
      </c>
      <c r="AQ73" s="29">
        <v>16.665987506042303</v>
      </c>
      <c r="AR73" s="29">
        <v>16.702829125735263</v>
      </c>
      <c r="AS73" s="29">
        <v>16.715684536761888</v>
      </c>
      <c r="AT73" s="29">
        <v>16.741377178110852</v>
      </c>
      <c r="AU73" s="29">
        <v>16.761923503522823</v>
      </c>
      <c r="AV73" s="29">
        <v>16.839344974495958</v>
      </c>
      <c r="AW73" s="29">
        <v>16.944979610978862</v>
      </c>
      <c r="AX73" s="29">
        <v>17.008493512761302</v>
      </c>
      <c r="AY73" s="29">
        <v>17.091148981148567</v>
      </c>
      <c r="AZ73" s="29">
        <v>17.183198782417421</v>
      </c>
      <c r="BA73" s="29">
        <v>17.28692106584797</v>
      </c>
      <c r="BB73" s="29">
        <v>17.390305784161029</v>
      </c>
      <c r="BC73" s="29">
        <v>17.49312611630625</v>
      </c>
      <c r="BD73" s="29">
        <v>17.595397184497312</v>
      </c>
      <c r="BE73" s="29">
        <v>17.697133323204646</v>
      </c>
      <c r="BF73" s="29">
        <v>17.798348324612142</v>
      </c>
      <c r="BG73" s="29">
        <v>17.899055648250993</v>
      </c>
      <c r="BH73" s="29">
        <v>17.999268586138395</v>
      </c>
      <c r="BI73" s="29">
        <v>18.099000382433502</v>
      </c>
      <c r="BJ73" s="29">
        <v>18.198264259437121</v>
      </c>
      <c r="BK73" s="29">
        <v>18.297073220467983</v>
      </c>
      <c r="BL73" s="29">
        <v>18.395439962590483</v>
      </c>
      <c r="BM73" s="29">
        <v>18.493377067692592</v>
      </c>
      <c r="BN73" s="29">
        <v>18.590897486513704</v>
      </c>
      <c r="BO73" s="29">
        <v>18.688068896217541</v>
      </c>
      <c r="BP73" s="29">
        <v>18.784886898943185</v>
      </c>
      <c r="BQ73" s="29">
        <v>18.88134716773591</v>
      </c>
      <c r="BR73" s="29">
        <v>18.97744544695605</v>
      </c>
      <c r="BS73" s="29">
        <v>19.073177552680281</v>
      </c>
      <c r="BT73" s="29">
        <v>19.168539373095474</v>
      </c>
      <c r="BU73" s="29">
        <v>19.263526868882117</v>
      </c>
      <c r="BV73" s="29">
        <v>19.358136073589346</v>
      </c>
      <c r="BW73" s="29">
        <v>19.452363093996766</v>
      </c>
      <c r="BX73" s="29">
        <v>19.546204110466146</v>
      </c>
      <c r="BY73" s="29">
        <v>19.639655377278746</v>
      </c>
      <c r="BZ73" s="29">
        <v>19.732713222959404</v>
      </c>
      <c r="CA73" s="29">
        <v>19.825374050585545</v>
      </c>
      <c r="CB73" s="29">
        <v>19.917634338081058</v>
      </c>
      <c r="CC73" s="29">
        <v>20.009490638493428</v>
      </c>
      <c r="CD73" s="29">
        <v>20.100939580253801</v>
      </c>
      <c r="CE73" s="29">
        <v>20.191977867420182</v>
      </c>
      <c r="CF73" s="29">
        <v>20.282602279900129</v>
      </c>
      <c r="CG73" s="29">
        <v>20.372809673657212</v>
      </c>
      <c r="CH73" s="29">
        <v>20.462596980894766</v>
      </c>
      <c r="CI73" s="29">
        <v>20.551961210222167</v>
      </c>
      <c r="CJ73" s="29">
        <v>20.640899446798091</v>
      </c>
      <c r="CK73" s="29">
        <v>20.729408852454455</v>
      </c>
      <c r="CL73" s="29">
        <v>20.817486665797162</v>
      </c>
      <c r="CM73" s="29">
        <v>20.905130202285836</v>
      </c>
      <c r="CN73" s="29">
        <v>20.99233685429121</v>
      </c>
      <c r="CO73" s="29">
        <v>21.079104091128531</v>
      </c>
      <c r="CP73" s="29">
        <v>21.165429459069351</v>
      </c>
      <c r="CQ73" s="29">
        <v>21.25131058132979</v>
      </c>
      <c r="CR73" s="29">
        <v>21.336745158035001</v>
      </c>
      <c r="CS73" s="29">
        <v>21.421730966160275</v>
      </c>
      <c r="CT73" s="29">
        <v>21.506265859448607</v>
      </c>
      <c r="CU73" s="29">
        <v>21.590347768303673</v>
      </c>
      <c r="CV73" s="29">
        <v>21.673974699660388</v>
      </c>
      <c r="CW73" s="29">
        <v>21.757144736830401</v>
      </c>
      <c r="CX73" s="29">
        <v>21.83985603932376</v>
      </c>
      <c r="CY73" s="29">
        <v>21.922106842647736</v>
      </c>
      <c r="CZ73" s="29">
        <v>22.003895458081004</v>
      </c>
      <c r="DA73" s="29">
        <v>22.085220272424355</v>
      </c>
      <c r="DB73" s="29">
        <v>22.166079747728304</v>
      </c>
      <c r="DC73" s="29">
        <v>22.246472420997389</v>
      </c>
      <c r="DD73" s="29">
        <v>22.326396903870666</v>
      </c>
      <c r="DE73" s="29">
        <v>22.405851882280434</v>
      </c>
      <c r="DF73" s="29">
        <v>22.484836116087177</v>
      </c>
      <c r="DG73" s="29">
        <v>22.563348438693406</v>
      </c>
      <c r="DH73" s="29">
        <v>22.641387756634135</v>
      </c>
      <c r="DI73" s="29">
        <v>22.718953049147306</v>
      </c>
      <c r="DJ73" s="29">
        <v>22.796043367720856</v>
      </c>
      <c r="DK73" s="29">
        <v>22.872657835620487</v>
      </c>
      <c r="DL73" s="29">
        <v>22.948795647396448</v>
      </c>
      <c r="DM73" s="29">
        <v>23.024456068368966</v>
      </c>
      <c r="DN73" s="29">
        <v>23.099638434096164</v>
      </c>
      <c r="DO73" s="29">
        <v>23.174342149820443</v>
      </c>
      <c r="DP73" s="29">
        <v>23.248566689897054</v>
      </c>
      <c r="DQ73" s="29">
        <v>23.322311597204799</v>
      </c>
      <c r="DR73" s="29">
        <v>23.395576482537432</v>
      </c>
      <c r="DS73">
        <v>23.468361023978954</v>
      </c>
      <c r="DT73">
        <v>23.540664966261648</v>
      </c>
      <c r="DU73">
        <v>23.612488120107137</v>
      </c>
    </row>
    <row r="74" spans="1:125">
      <c r="A74" s="34">
        <v>72</v>
      </c>
      <c r="B74" s="35"/>
      <c r="C74" s="35"/>
      <c r="D74" s="35"/>
      <c r="E74" s="35"/>
      <c r="F74" s="35"/>
      <c r="G74" s="35"/>
      <c r="H74" s="35"/>
      <c r="I74" s="35"/>
      <c r="J74" s="35"/>
      <c r="K74" s="35"/>
      <c r="L74" s="35"/>
      <c r="M74" s="35"/>
      <c r="N74" s="35"/>
      <c r="O74" s="35"/>
      <c r="P74" s="35"/>
      <c r="Q74" s="35"/>
      <c r="R74" s="35"/>
      <c r="S74" s="35"/>
      <c r="T74" s="35"/>
      <c r="U74" s="35"/>
      <c r="V74" s="29"/>
      <c r="W74" s="29">
        <v>13.9</v>
      </c>
      <c r="X74" s="29">
        <v>14.01</v>
      </c>
      <c r="Y74" s="29">
        <v>14.14626704803293</v>
      </c>
      <c r="Z74" s="29">
        <v>14.293084408786255</v>
      </c>
      <c r="AA74" s="29">
        <v>14.388963947025665</v>
      </c>
      <c r="AB74" s="29">
        <v>14.491789664200253</v>
      </c>
      <c r="AC74" s="29">
        <v>14.608083939112564</v>
      </c>
      <c r="AD74" s="29">
        <v>14.675701344097071</v>
      </c>
      <c r="AE74" s="29">
        <v>14.782115860443195</v>
      </c>
      <c r="AF74" s="29">
        <v>14.90423823268662</v>
      </c>
      <c r="AG74" s="29">
        <v>14.970450716729001</v>
      </c>
      <c r="AH74" s="29">
        <v>15.062213726579948</v>
      </c>
      <c r="AI74" s="29">
        <v>15.138508377364385</v>
      </c>
      <c r="AJ74" s="29">
        <v>15.260434910891078</v>
      </c>
      <c r="AK74" s="29">
        <v>15.363938379701654</v>
      </c>
      <c r="AL74" s="29">
        <v>15.487744514166664</v>
      </c>
      <c r="AM74" s="29">
        <v>15.623707339610432</v>
      </c>
      <c r="AN74" s="29">
        <v>15.727120415707867</v>
      </c>
      <c r="AO74" s="29">
        <v>15.789967621940145</v>
      </c>
      <c r="AP74" s="29">
        <v>15.842351508140823</v>
      </c>
      <c r="AQ74" s="29">
        <v>15.876764036076299</v>
      </c>
      <c r="AR74" s="29">
        <v>15.909439908239696</v>
      </c>
      <c r="AS74" s="29">
        <v>15.936769389929434</v>
      </c>
      <c r="AT74" s="29">
        <v>15.959311931004285</v>
      </c>
      <c r="AU74" s="29">
        <v>15.995248055936406</v>
      </c>
      <c r="AV74" s="29">
        <v>16.073099731767662</v>
      </c>
      <c r="AW74" s="29">
        <v>16.1663791599787</v>
      </c>
      <c r="AX74" s="29">
        <v>16.237074758671874</v>
      </c>
      <c r="AY74" s="29">
        <v>16.326072650561155</v>
      </c>
      <c r="AZ74" s="29">
        <v>16.425925605302595</v>
      </c>
      <c r="BA74" s="29">
        <v>16.526512899932371</v>
      </c>
      <c r="BB74" s="29">
        <v>16.626551222292658</v>
      </c>
      <c r="BC74" s="29">
        <v>16.726056745509304</v>
      </c>
      <c r="BD74" s="29">
        <v>16.825044995723324</v>
      </c>
      <c r="BE74" s="29">
        <v>16.923530661295427</v>
      </c>
      <c r="BF74" s="29">
        <v>17.021527844221847</v>
      </c>
      <c r="BG74" s="29">
        <v>17.119050274766902</v>
      </c>
      <c r="BH74" s="29">
        <v>17.216111480627966</v>
      </c>
      <c r="BI74" s="29">
        <v>17.312724909737106</v>
      </c>
      <c r="BJ74" s="29">
        <v>17.408903958050189</v>
      </c>
      <c r="BK74" s="29">
        <v>17.504661771516769</v>
      </c>
      <c r="BL74" s="29">
        <v>17.600011159380092</v>
      </c>
      <c r="BM74" s="29">
        <v>17.694964789000824</v>
      </c>
      <c r="BN74" s="29">
        <v>17.789606524107914</v>
      </c>
      <c r="BO74" s="29">
        <v>17.883931740878488</v>
      </c>
      <c r="BP74" s="29">
        <v>17.977935881067275</v>
      </c>
      <c r="BQ74" s="29">
        <v>18.0716144526052</v>
      </c>
      <c r="BR74" s="29">
        <v>18.164963030189188</v>
      </c>
      <c r="BS74" s="29">
        <v>18.257977255861103</v>
      </c>
      <c r="BT74" s="29">
        <v>18.350652839575837</v>
      </c>
      <c r="BU74" s="29">
        <v>18.442985559755673</v>
      </c>
      <c r="BV74" s="29">
        <v>18.534971263832912</v>
      </c>
      <c r="BW74" s="29">
        <v>18.626605868775986</v>
      </c>
      <c r="BX74" s="29">
        <v>18.717885361602203</v>
      </c>
      <c r="BY74" s="29">
        <v>18.808805799872822</v>
      </c>
      <c r="BZ74" s="29">
        <v>18.899363312171651</v>
      </c>
      <c r="CA74" s="29">
        <v>18.989554098565407</v>
      </c>
      <c r="CB74" s="29">
        <v>19.079374431045743</v>
      </c>
      <c r="CC74" s="29">
        <v>19.16882065395135</v>
      </c>
      <c r="CD74" s="29">
        <v>19.257889184369926</v>
      </c>
      <c r="CE74" s="29">
        <v>19.346576512520155</v>
      </c>
      <c r="CF74" s="29">
        <v>19.434879202110157</v>
      </c>
      <c r="CG74" s="29">
        <v>19.522793890676667</v>
      </c>
      <c r="CH74" s="29">
        <v>19.610317289898525</v>
      </c>
      <c r="CI74" s="29">
        <v>19.697446185889753</v>
      </c>
      <c r="CJ74" s="29">
        <v>19.784177439466717</v>
      </c>
      <c r="CK74" s="29">
        <v>19.87050798639304</v>
      </c>
      <c r="CL74" s="29">
        <v>19.956434837598568</v>
      </c>
      <c r="CM74" s="29">
        <v>20.04195507937445</v>
      </c>
      <c r="CN74" s="29">
        <v>20.12706587354316</v>
      </c>
      <c r="CO74" s="29">
        <v>20.211764457601763</v>
      </c>
      <c r="CP74" s="29">
        <v>20.296048144840981</v>
      </c>
      <c r="CQ74" s="29">
        <v>20.379914324437941</v>
      </c>
      <c r="CR74" s="29">
        <v>20.463360461522662</v>
      </c>
      <c r="CS74" s="29">
        <v>20.5463840972185</v>
      </c>
      <c r="CT74" s="29">
        <v>20.628982848656619</v>
      </c>
      <c r="CU74" s="29">
        <v>20.711154408963282</v>
      </c>
      <c r="CV74" s="29">
        <v>20.792896547222384</v>
      </c>
      <c r="CW74" s="29">
        <v>20.874207108410385</v>
      </c>
      <c r="CX74" s="29">
        <v>20.955084013305147</v>
      </c>
      <c r="CY74" s="29">
        <v>21.035525258369514</v>
      </c>
      <c r="CZ74" s="29">
        <v>21.115528915607992</v>
      </c>
      <c r="DA74" s="29">
        <v>21.195093132397663</v>
      </c>
      <c r="DB74" s="29">
        <v>21.274216131293816</v>
      </c>
      <c r="DC74" s="29">
        <v>21.352896209810012</v>
      </c>
      <c r="DD74" s="29">
        <v>21.431131740172251</v>
      </c>
      <c r="DE74" s="29">
        <v>21.508921169049234</v>
      </c>
      <c r="DF74" s="29">
        <v>21.586263017256758</v>
      </c>
      <c r="DG74" s="29">
        <v>21.663155879438939</v>
      </c>
      <c r="DH74" s="29">
        <v>21.739598423724107</v>
      </c>
      <c r="DI74" s="29">
        <v>21.815589391358674</v>
      </c>
      <c r="DJ74" s="29">
        <v>21.891127596315634</v>
      </c>
      <c r="DK74" s="29">
        <v>21.966211924881939</v>
      </c>
      <c r="DL74" s="29">
        <v>22.040841335222996</v>
      </c>
      <c r="DM74" s="29">
        <v>22.115014856923928</v>
      </c>
      <c r="DN74" s="29">
        <v>22.188731590511573</v>
      </c>
      <c r="DO74" s="29">
        <v>22.261990706953153</v>
      </c>
      <c r="DP74" s="29">
        <v>22.334791447135377</v>
      </c>
      <c r="DQ74" s="29">
        <v>22.407133121323987</v>
      </c>
      <c r="DR74" s="29">
        <v>22.479015108602326</v>
      </c>
      <c r="DS74">
        <v>22.550436856292141</v>
      </c>
      <c r="DT74">
        <v>22.621397879355492</v>
      </c>
      <c r="DU74">
        <v>22.691897759778183</v>
      </c>
    </row>
    <row r="75" spans="1:125">
      <c r="A75" s="34">
        <v>73</v>
      </c>
      <c r="B75" s="35"/>
      <c r="C75" s="35"/>
      <c r="D75" s="35"/>
      <c r="E75" s="35"/>
      <c r="F75" s="35"/>
      <c r="G75" s="35"/>
      <c r="H75" s="35"/>
      <c r="I75" s="35"/>
      <c r="J75" s="35"/>
      <c r="K75" s="35"/>
      <c r="L75" s="35"/>
      <c r="M75" s="35"/>
      <c r="N75" s="35"/>
      <c r="O75" s="35"/>
      <c r="P75" s="35"/>
      <c r="Q75" s="35"/>
      <c r="R75" s="35"/>
      <c r="S75" s="35"/>
      <c r="T75" s="35"/>
      <c r="U75" s="35"/>
      <c r="V75" s="29"/>
      <c r="W75" s="29">
        <v>13.23</v>
      </c>
      <c r="X75" s="29">
        <v>13.32</v>
      </c>
      <c r="Y75" s="29">
        <v>13.464532326124568</v>
      </c>
      <c r="Z75" s="29">
        <v>13.595638830820063</v>
      </c>
      <c r="AA75" s="29">
        <v>13.691569099994203</v>
      </c>
      <c r="AB75" s="29">
        <v>13.787708367853755</v>
      </c>
      <c r="AC75" s="29">
        <v>13.891366353948507</v>
      </c>
      <c r="AD75" s="29">
        <v>13.951997551683979</v>
      </c>
      <c r="AE75" s="29">
        <v>14.052044571216435</v>
      </c>
      <c r="AF75" s="29">
        <v>14.176144205620909</v>
      </c>
      <c r="AG75" s="29">
        <v>14.231315221693396</v>
      </c>
      <c r="AH75" s="29">
        <v>14.313697613130776</v>
      </c>
      <c r="AI75" s="29">
        <v>14.388375977007627</v>
      </c>
      <c r="AJ75" s="29">
        <v>14.496749839272074</v>
      </c>
      <c r="AK75" s="29">
        <v>14.603385069182387</v>
      </c>
      <c r="AL75" s="29">
        <v>14.719678484386455</v>
      </c>
      <c r="AM75" s="29">
        <v>14.847092291857257</v>
      </c>
      <c r="AN75" s="29">
        <v>14.946526333417594</v>
      </c>
      <c r="AO75" s="29">
        <v>15.01043313736502</v>
      </c>
      <c r="AP75" s="29">
        <v>15.062827185001156</v>
      </c>
      <c r="AQ75" s="29">
        <v>15.091361710486296</v>
      </c>
      <c r="AR75" s="29">
        <v>15.137384681553053</v>
      </c>
      <c r="AS75" s="29">
        <v>15.159580127686022</v>
      </c>
      <c r="AT75" s="29">
        <v>15.195572289235962</v>
      </c>
      <c r="AU75" s="29">
        <v>15.234034293815579</v>
      </c>
      <c r="AV75" s="29">
        <v>15.311777299987682</v>
      </c>
      <c r="AW75" s="29">
        <v>15.403984157597556</v>
      </c>
      <c r="AX75" s="29">
        <v>15.482253651658617</v>
      </c>
      <c r="AY75" s="29">
        <v>15.578941429843066</v>
      </c>
      <c r="AZ75" s="29">
        <v>15.676649659810639</v>
      </c>
      <c r="BA75" s="29">
        <v>15.773822792500605</v>
      </c>
      <c r="BB75" s="29">
        <v>15.870477014716959</v>
      </c>
      <c r="BC75" s="29">
        <v>15.966629020648348</v>
      </c>
      <c r="BD75" s="29">
        <v>16.06229480322769</v>
      </c>
      <c r="BE75" s="29">
        <v>16.157489463501989</v>
      </c>
      <c r="BF75" s="29">
        <v>16.252227468582802</v>
      </c>
      <c r="BG75" s="29">
        <v>16.346522871754438</v>
      </c>
      <c r="BH75" s="29">
        <v>16.440389486043827</v>
      </c>
      <c r="BI75" s="29">
        <v>16.53384101045782</v>
      </c>
      <c r="BJ75" s="29">
        <v>16.626891059718325</v>
      </c>
      <c r="BK75" s="29">
        <v>16.719552965221141</v>
      </c>
      <c r="BL75" s="29">
        <v>16.811839688943991</v>
      </c>
      <c r="BM75" s="29">
        <v>16.90385114564808</v>
      </c>
      <c r="BN75" s="29">
        <v>16.995582518006501</v>
      </c>
      <c r="BO75" s="29">
        <v>17.087029048570493</v>
      </c>
      <c r="BP75" s="29">
        <v>17.178186040548876</v>
      </c>
      <c r="BQ75" s="29">
        <v>17.26904885857536</v>
      </c>
      <c r="BR75" s="29">
        <v>17.359612929464259</v>
      </c>
      <c r="BS75" s="29">
        <v>17.449873742952466</v>
      </c>
      <c r="BT75" s="29">
        <v>17.539826852427794</v>
      </c>
      <c r="BU75" s="29">
        <v>17.629467875640703</v>
      </c>
      <c r="BV75" s="29">
        <v>17.718792495401569</v>
      </c>
      <c r="BW75" s="29">
        <v>17.807796460258558</v>
      </c>
      <c r="BX75" s="29">
        <v>17.896475585159386</v>
      </c>
      <c r="BY75" s="29">
        <v>17.984825752092664</v>
      </c>
      <c r="BZ75" s="29">
        <v>18.072842910709973</v>
      </c>
      <c r="CA75" s="29">
        <v>18.160523078926992</v>
      </c>
      <c r="CB75" s="29">
        <v>18.247862343503595</v>
      </c>
      <c r="CC75" s="29">
        <v>18.33485686060132</v>
      </c>
      <c r="CD75" s="29">
        <v>18.421502856318039</v>
      </c>
      <c r="CE75" s="29">
        <v>18.507796627200026</v>
      </c>
      <c r="CF75" s="29">
        <v>18.593734540727851</v>
      </c>
      <c r="CG75" s="29">
        <v>18.679313035780432</v>
      </c>
      <c r="CH75" s="29">
        <v>18.76452862307082</v>
      </c>
      <c r="CI75" s="29">
        <v>18.849377885559075</v>
      </c>
      <c r="CJ75" s="29">
        <v>18.933857478836643</v>
      </c>
      <c r="CK75" s="29">
        <v>19.017964131486121</v>
      </c>
      <c r="CL75" s="29">
        <v>19.101694645412504</v>
      </c>
      <c r="CM75" s="29">
        <v>19.185045896148193</v>
      </c>
      <c r="CN75" s="29">
        <v>19.268014833130561</v>
      </c>
      <c r="CO75" s="29">
        <v>19.35059847995036</v>
      </c>
      <c r="CP75" s="29">
        <v>19.432793934573596</v>
      </c>
      <c r="CQ75" s="29">
        <v>19.514598369534824</v>
      </c>
      <c r="CR75" s="29">
        <v>19.596009032101875</v>
      </c>
      <c r="CS75" s="29">
        <v>19.677023244412293</v>
      </c>
      <c r="CT75" s="29">
        <v>19.757638403581598</v>
      </c>
      <c r="CU75" s="29">
        <v>19.837851981782183</v>
      </c>
      <c r="CV75" s="29">
        <v>19.917661526295287</v>
      </c>
      <c r="CW75" s="29">
        <v>19.997064659533251</v>
      </c>
      <c r="CX75" s="29">
        <v>20.076059079033566</v>
      </c>
      <c r="CY75" s="29">
        <v>20.154642557425639</v>
      </c>
      <c r="CZ75" s="29">
        <v>20.232812942368543</v>
      </c>
      <c r="DA75" s="29">
        <v>20.310568156461077</v>
      </c>
      <c r="DB75" s="29">
        <v>20.387906197124511</v>
      </c>
      <c r="DC75" s="29">
        <v>20.464825136457826</v>
      </c>
      <c r="DD75" s="29">
        <v>20.541323121065126</v>
      </c>
      <c r="DE75" s="29">
        <v>20.61739837185727</v>
      </c>
      <c r="DF75" s="29">
        <v>20.693049183825732</v>
      </c>
      <c r="DG75" s="29">
        <v>20.768273925791512</v>
      </c>
      <c r="DH75" s="29">
        <v>20.84307104012683</v>
      </c>
      <c r="DI75" s="29">
        <v>20.917439042453054</v>
      </c>
      <c r="DJ75" s="29">
        <v>20.991376521311512</v>
      </c>
      <c r="DK75" s="29">
        <v>21.064882137811423</v>
      </c>
      <c r="DL75" s="29">
        <v>21.137954625253247</v>
      </c>
      <c r="DM75" s="29">
        <v>21.210592788727133</v>
      </c>
      <c r="DN75" s="29">
        <v>21.282795504690455</v>
      </c>
      <c r="DO75" s="29">
        <v>21.354561720520376</v>
      </c>
      <c r="DP75" s="29">
        <v>21.425890454045263</v>
      </c>
      <c r="DQ75" s="29">
        <v>21.49678079305496</v>
      </c>
      <c r="DR75" s="29">
        <v>21.567231894788538</v>
      </c>
      <c r="DS75">
        <v>21.637242985402768</v>
      </c>
      <c r="DT75">
        <v>21.70681335942016</v>
      </c>
      <c r="DU75">
        <v>21.775942379157119</v>
      </c>
    </row>
    <row r="76" spans="1:125">
      <c r="A76" s="34">
        <v>74</v>
      </c>
      <c r="B76" s="35"/>
      <c r="C76" s="35"/>
      <c r="D76" s="35"/>
      <c r="E76" s="35"/>
      <c r="F76" s="35"/>
      <c r="G76" s="35"/>
      <c r="H76" s="35"/>
      <c r="I76" s="35"/>
      <c r="J76" s="35"/>
      <c r="K76" s="35"/>
      <c r="L76" s="35"/>
      <c r="M76" s="35"/>
      <c r="N76" s="35"/>
      <c r="O76" s="35"/>
      <c r="P76" s="35"/>
      <c r="Q76" s="35"/>
      <c r="R76" s="35"/>
      <c r="S76" s="35"/>
      <c r="T76" s="35"/>
      <c r="U76" s="35"/>
      <c r="V76" s="29"/>
      <c r="W76" s="29">
        <v>12.56</v>
      </c>
      <c r="X76" s="29">
        <v>12.66</v>
      </c>
      <c r="Y76" s="29">
        <v>12.781760755633769</v>
      </c>
      <c r="Z76" s="29">
        <v>12.902368936427964</v>
      </c>
      <c r="AA76" s="29">
        <v>13.003960964397246</v>
      </c>
      <c r="AB76" s="29">
        <v>13.083642157792831</v>
      </c>
      <c r="AC76" s="29">
        <v>13.182031430708971</v>
      </c>
      <c r="AD76" s="29">
        <v>13.23855040517503</v>
      </c>
      <c r="AE76" s="29">
        <v>13.340418260690926</v>
      </c>
      <c r="AF76" s="29">
        <v>13.450860154480914</v>
      </c>
      <c r="AG76" s="29">
        <v>13.504090329552419</v>
      </c>
      <c r="AH76" s="29">
        <v>13.573361652392586</v>
      </c>
      <c r="AI76" s="29">
        <v>13.641399948006919</v>
      </c>
      <c r="AJ76" s="29">
        <v>13.747789692096577</v>
      </c>
      <c r="AK76" s="29">
        <v>13.855544559715433</v>
      </c>
      <c r="AL76" s="29">
        <v>13.957092820094919</v>
      </c>
      <c r="AM76" s="29">
        <v>14.080199616155227</v>
      </c>
      <c r="AN76" s="29">
        <v>14.178116156698257</v>
      </c>
      <c r="AO76" s="29">
        <v>14.24124387823332</v>
      </c>
      <c r="AP76" s="29">
        <v>14.287609706306426</v>
      </c>
      <c r="AQ76" s="29">
        <v>14.322760075116401</v>
      </c>
      <c r="AR76" s="29">
        <v>14.373635948194551</v>
      </c>
      <c r="AS76" s="29">
        <v>14.397685297478349</v>
      </c>
      <c r="AT76" s="29">
        <v>14.443400479746979</v>
      </c>
      <c r="AU76" s="29">
        <v>14.489628133012078</v>
      </c>
      <c r="AV76" s="29">
        <v>14.562055768899986</v>
      </c>
      <c r="AW76" s="29">
        <v>14.656305680796452</v>
      </c>
      <c r="AX76" s="29">
        <v>14.746851044309137</v>
      </c>
      <c r="AY76" s="29">
        <v>14.841610567849036</v>
      </c>
      <c r="AZ76" s="29">
        <v>14.935848320674239</v>
      </c>
      <c r="BA76" s="29">
        <v>15.029578944145639</v>
      </c>
      <c r="BB76" s="29">
        <v>15.12281926577152</v>
      </c>
      <c r="BC76" s="29">
        <v>15.215586579282737</v>
      </c>
      <c r="BD76" s="29">
        <v>15.307897418219492</v>
      </c>
      <c r="BE76" s="29">
        <v>15.39976736548684</v>
      </c>
      <c r="BF76" s="29">
        <v>15.491211318502472</v>
      </c>
      <c r="BG76" s="29">
        <v>15.582243715329762</v>
      </c>
      <c r="BH76" s="29">
        <v>15.672878713088219</v>
      </c>
      <c r="BI76" s="29">
        <v>15.763130317960035</v>
      </c>
      <c r="BJ76" s="29">
        <v>15.853012417050428</v>
      </c>
      <c r="BK76" s="29">
        <v>15.942538578211632</v>
      </c>
      <c r="BL76" s="29">
        <v>16.031825286533657</v>
      </c>
      <c r="BM76" s="29">
        <v>16.120867567563145</v>
      </c>
      <c r="BN76" s="29">
        <v>16.209660500711585</v>
      </c>
      <c r="BO76" s="29">
        <v>16.298199220199557</v>
      </c>
      <c r="BP76" s="29">
        <v>16.386478915990129</v>
      </c>
      <c r="BQ76" s="29">
        <v>16.47449483470783</v>
      </c>
      <c r="BR76" s="29">
        <v>16.562242280543728</v>
      </c>
      <c r="BS76" s="29">
        <v>16.649716616144495</v>
      </c>
      <c r="BT76" s="29">
        <v>16.736913263485519</v>
      </c>
      <c r="BU76" s="29">
        <v>16.823827704725154</v>
      </c>
      <c r="BV76" s="29">
        <v>16.910455483042181</v>
      </c>
      <c r="BW76" s="29">
        <v>16.996792203451626</v>
      </c>
      <c r="BX76" s="29">
        <v>17.08283353360223</v>
      </c>
      <c r="BY76" s="29">
        <v>17.168575204551161</v>
      </c>
      <c r="BZ76" s="29">
        <v>17.254013011517312</v>
      </c>
      <c r="CA76" s="29">
        <v>17.339142814611339</v>
      </c>
      <c r="CB76" s="29">
        <v>17.423960539542506</v>
      </c>
      <c r="CC76" s="29">
        <v>17.508462178300679</v>
      </c>
      <c r="CD76" s="29">
        <v>17.592643789813319</v>
      </c>
      <c r="CE76" s="29">
        <v>17.676501500577729</v>
      </c>
      <c r="CF76" s="29">
        <v>17.760031505264958</v>
      </c>
      <c r="CG76" s="29">
        <v>17.843230067299736</v>
      </c>
      <c r="CH76" s="29">
        <v>17.926093519410021</v>
      </c>
      <c r="CI76" s="29">
        <v>18.008618264151529</v>
      </c>
      <c r="CJ76" s="29">
        <v>18.090800774401714</v>
      </c>
      <c r="CK76" s="29">
        <v>18.172637593827051</v>
      </c>
      <c r="CL76" s="29">
        <v>18.254125337319774</v>
      </c>
      <c r="CM76" s="29">
        <v>18.335260691406337</v>
      </c>
      <c r="CN76" s="29">
        <v>18.416040414626487</v>
      </c>
      <c r="CO76" s="29">
        <v>18.496461337881126</v>
      </c>
      <c r="CP76" s="29">
        <v>18.576520364751737</v>
      </c>
      <c r="CQ76" s="29">
        <v>18.656214471789305</v>
      </c>
      <c r="CR76" s="29">
        <v>18.735540708772682</v>
      </c>
      <c r="CS76" s="29">
        <v>18.814496198936844</v>
      </c>
      <c r="CT76" s="29">
        <v>18.893078139171081</v>
      </c>
      <c r="CU76" s="29">
        <v>18.971283800185923</v>
      </c>
      <c r="CV76" s="29">
        <v>19.049110526651365</v>
      </c>
      <c r="CW76" s="29">
        <v>19.126555737303566</v>
      </c>
      <c r="CX76" s="29">
        <v>19.203616925021503</v>
      </c>
      <c r="CY76" s="29">
        <v>19.280291656874581</v>
      </c>
      <c r="CZ76" s="29">
        <v>19.35657757413955</v>
      </c>
      <c r="DA76" s="29">
        <v>19.432472392287913</v>
      </c>
      <c r="DB76" s="29">
        <v>19.507973900944332</v>
      </c>
      <c r="DC76" s="29">
        <v>19.583079963815905</v>
      </c>
      <c r="DD76" s="29">
        <v>19.657788518591857</v>
      </c>
      <c r="DE76" s="29">
        <v>19.73209757681586</v>
      </c>
      <c r="DF76" s="29">
        <v>19.806005223728945</v>
      </c>
      <c r="DG76" s="29">
        <v>19.87950961808583</v>
      </c>
      <c r="DH76" s="29">
        <v>19.952608991942473</v>
      </c>
      <c r="DI76" s="29">
        <v>20.025301650418296</v>
      </c>
      <c r="DJ76" s="29">
        <v>20.097585971429684</v>
      </c>
      <c r="DK76" s="29">
        <v>20.169460405399136</v>
      </c>
      <c r="DL76" s="29">
        <v>20.240923474938334</v>
      </c>
      <c r="DM76" s="29">
        <v>20.311973774504722</v>
      </c>
      <c r="DN76" s="29">
        <v>20.382609970035805</v>
      </c>
      <c r="DO76" s="29">
        <v>20.452830798556963</v>
      </c>
      <c r="DP76" s="29">
        <v>20.522635067766707</v>
      </c>
      <c r="DQ76" s="29">
        <v>20.592021655599357</v>
      </c>
      <c r="DR76" s="29">
        <v>20.660989509763795</v>
      </c>
      <c r="DS76">
        <v>20.729537647261573</v>
      </c>
      <c r="DT76">
        <v>20.797665153883248</v>
      </c>
      <c r="DU76">
        <v>20.865371183683408</v>
      </c>
    </row>
    <row r="77" spans="1:125">
      <c r="A77" s="34">
        <v>75</v>
      </c>
      <c r="B77" s="35"/>
      <c r="C77" s="35"/>
      <c r="D77" s="35"/>
      <c r="E77" s="35"/>
      <c r="F77" s="35"/>
      <c r="G77" s="35"/>
      <c r="H77" s="35"/>
      <c r="I77" s="35"/>
      <c r="J77" s="35"/>
      <c r="K77" s="35"/>
      <c r="L77" s="35"/>
      <c r="M77" s="35"/>
      <c r="N77" s="35"/>
      <c r="O77" s="35"/>
      <c r="P77" s="35"/>
      <c r="Q77" s="35"/>
      <c r="R77" s="35"/>
      <c r="S77" s="35"/>
      <c r="T77" s="35"/>
      <c r="U77" s="35"/>
      <c r="V77" s="29"/>
      <c r="W77" s="29">
        <v>11.92</v>
      </c>
      <c r="X77" s="29">
        <v>12.01</v>
      </c>
      <c r="Y77" s="29">
        <v>12.112245013834738</v>
      </c>
      <c r="Z77" s="29">
        <v>12.231393243985963</v>
      </c>
      <c r="AA77" s="29">
        <v>12.31454074717738</v>
      </c>
      <c r="AB77" s="29">
        <v>12.389680293988356</v>
      </c>
      <c r="AC77" s="29">
        <v>12.481873589317612</v>
      </c>
      <c r="AD77" s="29">
        <v>12.545613306957137</v>
      </c>
      <c r="AE77" s="29">
        <v>12.632158616541643</v>
      </c>
      <c r="AF77" s="29">
        <v>12.735858675469421</v>
      </c>
      <c r="AG77" s="29">
        <v>12.780001575671315</v>
      </c>
      <c r="AH77" s="29">
        <v>12.842239146220916</v>
      </c>
      <c r="AI77" s="29">
        <v>12.904762914700257</v>
      </c>
      <c r="AJ77" s="29">
        <v>13.008884303658439</v>
      </c>
      <c r="AK77" s="29">
        <v>13.108304421356486</v>
      </c>
      <c r="AL77" s="29">
        <v>13.211220152986852</v>
      </c>
      <c r="AM77" s="29">
        <v>13.328280696657876</v>
      </c>
      <c r="AN77" s="29">
        <v>13.422139473635909</v>
      </c>
      <c r="AO77" s="29">
        <v>13.475213599493731</v>
      </c>
      <c r="AP77" s="29">
        <v>13.530529901817555</v>
      </c>
      <c r="AQ77" s="29">
        <v>13.563893785273549</v>
      </c>
      <c r="AR77" s="29">
        <v>13.621332798431064</v>
      </c>
      <c r="AS77" s="29">
        <v>13.652150966315718</v>
      </c>
      <c r="AT77" s="29">
        <v>13.698211124940054</v>
      </c>
      <c r="AU77" s="29">
        <v>13.755002031757643</v>
      </c>
      <c r="AV77" s="29">
        <v>13.831603290808967</v>
      </c>
      <c r="AW77" s="29">
        <v>13.930330442005843</v>
      </c>
      <c r="AX77" s="29">
        <v>14.022080007634836</v>
      </c>
      <c r="AY77" s="29">
        <v>14.113322174042924</v>
      </c>
      <c r="AZ77" s="29">
        <v>14.204068009815126</v>
      </c>
      <c r="BA77" s="29">
        <v>14.29433290157106</v>
      </c>
      <c r="BB77" s="29">
        <v>14.384134409185798</v>
      </c>
      <c r="BC77" s="29">
        <v>14.473490514104533</v>
      </c>
      <c r="BD77" s="29">
        <v>14.562418373280458</v>
      </c>
      <c r="BE77" s="29">
        <v>14.650934128946639</v>
      </c>
      <c r="BF77" s="29">
        <v>14.73905318173018</v>
      </c>
      <c r="BG77" s="29">
        <v>14.826790423447871</v>
      </c>
      <c r="BH77" s="29">
        <v>14.914160420863684</v>
      </c>
      <c r="BI77" s="29">
        <v>15.0011775498528</v>
      </c>
      <c r="BJ77" s="29">
        <v>15.087856029597289</v>
      </c>
      <c r="BK77" s="29">
        <v>15.174329815220442</v>
      </c>
      <c r="BL77" s="29">
        <v>15.26059381292292</v>
      </c>
      <c r="BM77" s="29">
        <v>15.346642976526768</v>
      </c>
      <c r="BN77" s="29">
        <v>15.432472308571914</v>
      </c>
      <c r="BO77" s="29">
        <v>15.518076861397553</v>
      </c>
      <c r="BP77" s="29">
        <v>15.603451738210941</v>
      </c>
      <c r="BQ77" s="29">
        <v>15.688592094140011</v>
      </c>
      <c r="BR77" s="29">
        <v>15.773493137270302</v>
      </c>
      <c r="BS77" s="29">
        <v>15.858150129664159</v>
      </c>
      <c r="BT77" s="29">
        <v>15.942558388362151</v>
      </c>
      <c r="BU77" s="29">
        <v>16.026713286363925</v>
      </c>
      <c r="BV77" s="29">
        <v>16.110610253590472</v>
      </c>
      <c r="BW77" s="29">
        <v>16.19424477782297</v>
      </c>
      <c r="BX77" s="29">
        <v>16.277612405621561</v>
      </c>
      <c r="BY77" s="29">
        <v>16.360708743219604</v>
      </c>
      <c r="BZ77" s="29">
        <v>16.443529457394767</v>
      </c>
      <c r="CA77" s="29">
        <v>16.526070276315107</v>
      </c>
      <c r="CB77" s="29">
        <v>16.608326990360272</v>
      </c>
      <c r="CC77" s="29">
        <v>16.690295452916068</v>
      </c>
      <c r="CD77" s="29">
        <v>16.771971581142363</v>
      </c>
      <c r="CE77" s="29">
        <v>16.853351356714548</v>
      </c>
      <c r="CF77" s="29">
        <v>16.934430826534889</v>
      </c>
      <c r="CG77" s="29">
        <v>17.015206103418354</v>
      </c>
      <c r="CH77" s="29">
        <v>17.095673366746276</v>
      </c>
      <c r="CI77" s="29">
        <v>17.175828863093386</v>
      </c>
      <c r="CJ77" s="29">
        <v>17.25566890682266</v>
      </c>
      <c r="CK77" s="29">
        <v>17.3351898806518</v>
      </c>
      <c r="CL77" s="29">
        <v>17.414388236187619</v>
      </c>
      <c r="CM77" s="29">
        <v>17.493260494430452</v>
      </c>
      <c r="CN77" s="29">
        <v>17.571803246247661</v>
      </c>
      <c r="CO77" s="29">
        <v>17.650013152814292</v>
      </c>
      <c r="CP77" s="29">
        <v>17.727886946023766</v>
      </c>
      <c r="CQ77" s="29">
        <v>17.805421428866477</v>
      </c>
      <c r="CR77" s="29">
        <v>17.882613475776328</v>
      </c>
      <c r="CS77" s="29">
        <v>17.959460032945582</v>
      </c>
      <c r="CT77" s="29">
        <v>18.035958118608153</v>
      </c>
      <c r="CU77" s="29">
        <v>18.112104823290149</v>
      </c>
      <c r="CV77" s="29">
        <v>18.187897310030163</v>
      </c>
      <c r="CW77" s="29">
        <v>18.263332814566599</v>
      </c>
      <c r="CX77" s="29">
        <v>18.338408645493509</v>
      </c>
      <c r="CY77" s="29">
        <v>18.413122184385859</v>
      </c>
      <c r="CZ77" s="29">
        <v>18.487470885892723</v>
      </c>
      <c r="DA77" s="29">
        <v>18.561452277799493</v>
      </c>
      <c r="DB77" s="29">
        <v>18.635063961059714</v>
      </c>
      <c r="DC77" s="29">
        <v>18.708303609796346</v>
      </c>
      <c r="DD77" s="29">
        <v>18.781168971272052</v>
      </c>
      <c r="DE77" s="29">
        <v>18.853657865830755</v>
      </c>
      <c r="DF77" s="29">
        <v>18.92576818680838</v>
      </c>
      <c r="DG77" s="29">
        <v>18.997497900415709</v>
      </c>
      <c r="DH77" s="29">
        <v>19.068845045591047</v>
      </c>
      <c r="DI77" s="29">
        <v>19.139807733826277</v>
      </c>
      <c r="DJ77" s="29">
        <v>19.210384148962852</v>
      </c>
      <c r="DK77" s="29">
        <v>19.280572546962105</v>
      </c>
      <c r="DL77" s="29">
        <v>19.350371255648223</v>
      </c>
      <c r="DM77" s="29">
        <v>19.419778674423394</v>
      </c>
      <c r="DN77" s="29">
        <v>19.488793273959448</v>
      </c>
      <c r="DO77" s="29">
        <v>19.557413595861696</v>
      </c>
      <c r="DP77" s="29">
        <v>19.625638252309006</v>
      </c>
      <c r="DQ77" s="29">
        <v>19.693465925670012</v>
      </c>
      <c r="DR77" s="29">
        <v>19.760895368094232</v>
      </c>
      <c r="DS77">
        <v>19.827925401081242</v>
      </c>
      <c r="DT77">
        <v>19.894554915026951</v>
      </c>
      <c r="DU77">
        <v>19.960782868747323</v>
      </c>
    </row>
    <row r="78" spans="1:125">
      <c r="A78" s="34">
        <v>76</v>
      </c>
      <c r="B78" s="35"/>
      <c r="C78" s="35"/>
      <c r="D78" s="35"/>
      <c r="E78" s="35"/>
      <c r="F78" s="35"/>
      <c r="G78" s="35"/>
      <c r="H78" s="35"/>
      <c r="I78" s="35"/>
      <c r="J78" s="35"/>
      <c r="K78" s="35"/>
      <c r="L78" s="35"/>
      <c r="M78" s="35"/>
      <c r="N78" s="35"/>
      <c r="O78" s="35"/>
      <c r="P78" s="35"/>
      <c r="Q78" s="35"/>
      <c r="R78" s="35"/>
      <c r="S78" s="35"/>
      <c r="T78" s="35"/>
      <c r="U78" s="35"/>
      <c r="V78" s="29"/>
      <c r="W78" s="29">
        <v>11.28</v>
      </c>
      <c r="X78" s="29">
        <v>11.35</v>
      </c>
      <c r="Y78" s="29">
        <v>11.461077836916095</v>
      </c>
      <c r="Z78" s="29">
        <v>11.563736974096527</v>
      </c>
      <c r="AA78" s="29">
        <v>11.639847568263404</v>
      </c>
      <c r="AB78" s="29">
        <v>11.707187291319615</v>
      </c>
      <c r="AC78" s="29">
        <v>11.815985799387166</v>
      </c>
      <c r="AD78" s="29">
        <v>11.864039575207356</v>
      </c>
      <c r="AE78" s="29">
        <v>11.928982750822636</v>
      </c>
      <c r="AF78" s="29">
        <v>12.031260236185531</v>
      </c>
      <c r="AG78" s="29">
        <v>12.068968738930453</v>
      </c>
      <c r="AH78" s="29">
        <v>12.132200858003134</v>
      </c>
      <c r="AI78" s="29">
        <v>12.192146898325214</v>
      </c>
      <c r="AJ78" s="29">
        <v>12.28547160644808</v>
      </c>
      <c r="AK78" s="29">
        <v>12.381090188542478</v>
      </c>
      <c r="AL78" s="29">
        <v>12.481537663278619</v>
      </c>
      <c r="AM78" s="29">
        <v>12.592674776425747</v>
      </c>
      <c r="AN78" s="29">
        <v>12.672310001319664</v>
      </c>
      <c r="AO78" s="29">
        <v>12.73240724945707</v>
      </c>
      <c r="AP78" s="29">
        <v>12.779157065224007</v>
      </c>
      <c r="AQ78" s="29">
        <v>12.821813846214079</v>
      </c>
      <c r="AR78" s="29">
        <v>12.883490159495881</v>
      </c>
      <c r="AS78" s="29">
        <v>12.917206749983976</v>
      </c>
      <c r="AT78" s="29">
        <v>12.9654717605033</v>
      </c>
      <c r="AU78" s="29">
        <v>13.035945321575189</v>
      </c>
      <c r="AV78" s="29">
        <v>13.129801579147971</v>
      </c>
      <c r="AW78" s="29">
        <v>13.218487542667912</v>
      </c>
      <c r="AX78" s="29">
        <v>13.306683568700322</v>
      </c>
      <c r="AY78" s="29">
        <v>13.394394739159004</v>
      </c>
      <c r="AZ78" s="29">
        <v>13.481632935685894</v>
      </c>
      <c r="BA78" s="29">
        <v>13.56841439240427</v>
      </c>
      <c r="BB78" s="29">
        <v>13.654757503218264</v>
      </c>
      <c r="BC78" s="29">
        <v>13.740681034889578</v>
      </c>
      <c r="BD78" s="29">
        <v>13.826202859190156</v>
      </c>
      <c r="BE78" s="29">
        <v>13.911339762939866</v>
      </c>
      <c r="BF78" s="29">
        <v>13.996107729981238</v>
      </c>
      <c r="BG78" s="29">
        <v>14.080522181379575</v>
      </c>
      <c r="BH78" s="29">
        <v>14.164598165117566</v>
      </c>
      <c r="BI78" s="29">
        <v>14.248350494870266</v>
      </c>
      <c r="BJ78" s="29">
        <v>14.331931615483152</v>
      </c>
      <c r="BK78" s="29">
        <v>14.415336351695521</v>
      </c>
      <c r="BL78" s="29">
        <v>14.498559569504156</v>
      </c>
      <c r="BM78" s="29">
        <v>14.581596177388652</v>
      </c>
      <c r="BN78" s="29">
        <v>14.664441127526539</v>
      </c>
      <c r="BO78" s="29">
        <v>14.747089416992102</v>
      </c>
      <c r="BP78" s="29">
        <v>14.829536088941309</v>
      </c>
      <c r="BQ78" s="29">
        <v>14.911776233779316</v>
      </c>
      <c r="BR78" s="29">
        <v>14.993804990311034</v>
      </c>
      <c r="BS78" s="29">
        <v>15.075617546872699</v>
      </c>
      <c r="BT78" s="29">
        <v>15.15720914244438</v>
      </c>
      <c r="BU78" s="29">
        <v>15.238575067740655</v>
      </c>
      <c r="BV78" s="29">
        <v>15.319710666281452</v>
      </c>
      <c r="BW78" s="29">
        <v>15.400611335438136</v>
      </c>
      <c r="BX78" s="29">
        <v>15.481272527458357</v>
      </c>
      <c r="BY78" s="29">
        <v>15.561689750465016</v>
      </c>
      <c r="BZ78" s="29">
        <v>15.641858569430854</v>
      </c>
      <c r="CA78" s="29">
        <v>15.721774607126751</v>
      </c>
      <c r="CB78" s="29">
        <v>15.801433545043922</v>
      </c>
      <c r="CC78" s="29">
        <v>15.880831124288177</v>
      </c>
      <c r="CD78" s="29">
        <v>15.959963146446302</v>
      </c>
      <c r="CE78" s="29">
        <v>16.038825474424755</v>
      </c>
      <c r="CF78" s="29">
        <v>16.117414033256999</v>
      </c>
      <c r="CG78" s="29">
        <v>16.195724810884098</v>
      </c>
      <c r="CH78" s="29">
        <v>16.273753858901898</v>
      </c>
      <c r="CI78" s="29">
        <v>16.351497293280389</v>
      </c>
      <c r="CJ78" s="29">
        <v>16.428951295049622</v>
      </c>
      <c r="CK78" s="29">
        <v>16.506112110956121</v>
      </c>
      <c r="CL78" s="29">
        <v>16.582976054085893</v>
      </c>
      <c r="CM78" s="29">
        <v>16.659539504456383</v>
      </c>
      <c r="CN78" s="29">
        <v>16.735798909576257</v>
      </c>
      <c r="CO78" s="29">
        <v>16.811750784971142</v>
      </c>
      <c r="CP78" s="29">
        <v>16.887391714678284</v>
      </c>
      <c r="CQ78" s="29">
        <v>16.962718351707895</v>
      </c>
      <c r="CR78" s="29">
        <v>17.037727418471256</v>
      </c>
      <c r="CS78" s="29">
        <v>17.112415707176027</v>
      </c>
      <c r="CT78" s="29">
        <v>17.186780080188793</v>
      </c>
      <c r="CU78" s="29">
        <v>17.260817470363701</v>
      </c>
      <c r="CV78" s="29">
        <v>17.334524881339767</v>
      </c>
      <c r="CW78" s="29">
        <v>17.407899387804008</v>
      </c>
      <c r="CX78" s="29">
        <v>17.480938135721956</v>
      </c>
      <c r="CY78" s="29">
        <v>17.553638342536523</v>
      </c>
      <c r="CZ78" s="29">
        <v>17.625997297333598</v>
      </c>
      <c r="DA78" s="29">
        <v>17.698012360975596</v>
      </c>
      <c r="DB78" s="29">
        <v>17.769680966203484</v>
      </c>
      <c r="DC78" s="29">
        <v>17.841000617707113</v>
      </c>
      <c r="DD78" s="29">
        <v>17.911968892163529</v>
      </c>
      <c r="DE78" s="29">
        <v>17.982583438245346</v>
      </c>
      <c r="DF78" s="29">
        <v>18.052841976597328</v>
      </c>
      <c r="DG78" s="29">
        <v>18.122742299783894</v>
      </c>
      <c r="DH78" s="29">
        <v>18.192282272205372</v>
      </c>
      <c r="DI78" s="29">
        <v>18.26145982998662</v>
      </c>
      <c r="DJ78" s="29">
        <v>18.330272980834376</v>
      </c>
      <c r="DK78" s="29">
        <v>18.398719803868001</v>
      </c>
      <c r="DL78" s="29">
        <v>18.466798449421667</v>
      </c>
      <c r="DM78" s="29">
        <v>18.534507138817787</v>
      </c>
      <c r="DN78" s="29">
        <v>18.601844164115782</v>
      </c>
      <c r="DO78" s="29">
        <v>18.66880788783202</v>
      </c>
      <c r="DP78" s="29">
        <v>18.735396742634954</v>
      </c>
      <c r="DQ78" s="29">
        <v>18.801609231015323</v>
      </c>
      <c r="DR78" s="29">
        <v>18.867443924930242</v>
      </c>
      <c r="DS78">
        <v>18.932899465424285</v>
      </c>
      <c r="DT78">
        <v>18.997974562226652</v>
      </c>
      <c r="DU78">
        <v>19.062667993324748</v>
      </c>
    </row>
    <row r="79" spans="1:125">
      <c r="A79" s="34">
        <v>77</v>
      </c>
      <c r="B79" s="35"/>
      <c r="C79" s="35"/>
      <c r="D79" s="35"/>
      <c r="E79" s="35"/>
      <c r="F79" s="35"/>
      <c r="G79" s="35"/>
      <c r="H79" s="35"/>
      <c r="I79" s="35"/>
      <c r="J79" s="35"/>
      <c r="K79" s="35"/>
      <c r="L79" s="35"/>
      <c r="M79" s="35"/>
      <c r="N79" s="35"/>
      <c r="O79" s="35"/>
      <c r="P79" s="35"/>
      <c r="Q79" s="35"/>
      <c r="R79" s="35"/>
      <c r="S79" s="35"/>
      <c r="T79" s="35"/>
      <c r="U79" s="35"/>
      <c r="V79" s="29"/>
      <c r="W79" s="29">
        <v>10.65</v>
      </c>
      <c r="X79" s="29">
        <v>10.73</v>
      </c>
      <c r="Y79" s="29">
        <v>10.817760833674022</v>
      </c>
      <c r="Z79" s="29">
        <v>10.910827303530112</v>
      </c>
      <c r="AA79" s="29">
        <v>10.981490050790741</v>
      </c>
      <c r="AB79" s="29">
        <v>11.050918253911204</v>
      </c>
      <c r="AC79" s="29">
        <v>11.148817426253355</v>
      </c>
      <c r="AD79" s="29">
        <v>11.190015441126377</v>
      </c>
      <c r="AE79" s="29">
        <v>11.246505047925309</v>
      </c>
      <c r="AF79" s="29">
        <v>11.333658526186099</v>
      </c>
      <c r="AG79" s="29">
        <v>11.378504261488857</v>
      </c>
      <c r="AH79" s="29">
        <v>11.432152073469402</v>
      </c>
      <c r="AI79" s="29">
        <v>11.49265404273155</v>
      </c>
      <c r="AJ79" s="29">
        <v>11.578527370935422</v>
      </c>
      <c r="AK79" s="29">
        <v>11.668288774234826</v>
      </c>
      <c r="AL79" s="29">
        <v>11.767569388138538</v>
      </c>
      <c r="AM79" s="29">
        <v>11.861047278671464</v>
      </c>
      <c r="AN79" s="29">
        <v>11.950573610419323</v>
      </c>
      <c r="AO79" s="29">
        <v>12.000164885033312</v>
      </c>
      <c r="AP79" s="29">
        <v>12.049675735466687</v>
      </c>
      <c r="AQ79" s="29">
        <v>12.096588412906083</v>
      </c>
      <c r="AR79" s="29">
        <v>12.14886194035725</v>
      </c>
      <c r="AS79" s="29">
        <v>12.194007090551992</v>
      </c>
      <c r="AT79" s="29">
        <v>12.258587554370472</v>
      </c>
      <c r="AU79" s="29">
        <v>12.345372473613985</v>
      </c>
      <c r="AV79" s="29">
        <v>12.430950178435651</v>
      </c>
      <c r="AW79" s="29">
        <v>12.516060724134626</v>
      </c>
      <c r="AX79" s="29">
        <v>12.600700647466466</v>
      </c>
      <c r="AY79" s="29">
        <v>12.684875847519169</v>
      </c>
      <c r="AZ79" s="29">
        <v>12.768599127658831</v>
      </c>
      <c r="BA79" s="29">
        <v>12.851887682810363</v>
      </c>
      <c r="BB79" s="29">
        <v>12.934760853417117</v>
      </c>
      <c r="BC79" s="29">
        <v>13.017238299324926</v>
      </c>
      <c r="BD79" s="29">
        <v>13.099338707730393</v>
      </c>
      <c r="BE79" s="29">
        <v>13.181079603560807</v>
      </c>
      <c r="BF79" s="29">
        <v>13.262477641347759</v>
      </c>
      <c r="BG79" s="29">
        <v>13.34354885369374</v>
      </c>
      <c r="BH79" s="29">
        <v>13.42430884759059</v>
      </c>
      <c r="BI79" s="29">
        <v>13.504929612206542</v>
      </c>
      <c r="BJ79" s="29">
        <v>13.585405928243942</v>
      </c>
      <c r="BK79" s="29">
        <v>13.665732611283936</v>
      </c>
      <c r="BL79" s="29">
        <v>13.745904513126256</v>
      </c>
      <c r="BM79" s="29">
        <v>13.825916523113339</v>
      </c>
      <c r="BN79" s="29">
        <v>13.905763569443481</v>
      </c>
      <c r="BO79" s="29">
        <v>13.985440620466898</v>
      </c>
      <c r="BP79" s="29">
        <v>14.064942685967113</v>
      </c>
      <c r="BQ79" s="29">
        <v>14.144264818424091</v>
      </c>
      <c r="BR79" s="29">
        <v>14.2234021142597</v>
      </c>
      <c r="BS79" s="29">
        <v>14.302349715063311</v>
      </c>
      <c r="BT79" s="29">
        <v>14.381102808797554</v>
      </c>
      <c r="BU79" s="29">
        <v>14.459656630981453</v>
      </c>
      <c r="BV79" s="29">
        <v>14.53800646585289</v>
      </c>
      <c r="BW79" s="29">
        <v>14.616147647505516</v>
      </c>
      <c r="BX79" s="29">
        <v>14.694075561003634</v>
      </c>
      <c r="BY79" s="29">
        <v>14.77178564347035</v>
      </c>
      <c r="BZ79" s="29">
        <v>14.849273385150587</v>
      </c>
      <c r="CA79" s="29">
        <v>14.926534330446961</v>
      </c>
      <c r="CB79" s="29">
        <v>15.003564078928784</v>
      </c>
      <c r="CC79" s="29">
        <v>15.08035828631229</v>
      </c>
      <c r="CD79" s="29">
        <v>15.156912665412221</v>
      </c>
      <c r="CE79" s="29">
        <v>15.233222987064883</v>
      </c>
      <c r="CF79" s="29">
        <v>15.309285081019057</v>
      </c>
      <c r="CG79" s="29">
        <v>15.385094836799396</v>
      </c>
      <c r="CH79" s="29">
        <v>15.460648204535566</v>
      </c>
      <c r="CI79" s="29">
        <v>15.535941195762788</v>
      </c>
      <c r="CJ79" s="29">
        <v>15.610969884188171</v>
      </c>
      <c r="CK79" s="29">
        <v>15.68573040642667</v>
      </c>
      <c r="CL79" s="29">
        <v>15.760218962702943</v>
      </c>
      <c r="CM79" s="29">
        <v>15.834431817521274</v>
      </c>
      <c r="CN79" s="29">
        <v>15.908365300302565</v>
      </c>
      <c r="CO79" s="29">
        <v>15.982015805986526</v>
      </c>
      <c r="CP79" s="29">
        <v>16.055379795601894</v>
      </c>
      <c r="CQ79" s="29">
        <v>16.128453796802678</v>
      </c>
      <c r="CR79" s="29">
        <v>16.201234404370236</v>
      </c>
      <c r="CS79" s="29">
        <v>16.273718280681873</v>
      </c>
      <c r="CT79" s="29">
        <v>16.345902156145772</v>
      </c>
      <c r="CU79" s="29">
        <v>16.417782829601336</v>
      </c>
      <c r="CV79" s="29">
        <v>16.489357168687327</v>
      </c>
      <c r="CW79" s="29">
        <v>16.560622110175014</v>
      </c>
      <c r="CX79" s="29">
        <v>16.63157466026799</v>
      </c>
      <c r="CY79" s="29">
        <v>16.702211894869446</v>
      </c>
      <c r="CZ79" s="29">
        <v>16.772530959815441</v>
      </c>
      <c r="DA79" s="29">
        <v>16.842529071075273</v>
      </c>
      <c r="DB79" s="29">
        <v>16.912203514919543</v>
      </c>
      <c r="DC79" s="29">
        <v>16.98155164805571</v>
      </c>
      <c r="DD79" s="29">
        <v>17.050570897730829</v>
      </c>
      <c r="DE79" s="29">
        <v>17.119258761803497</v>
      </c>
      <c r="DF79" s="29">
        <v>17.187612808783243</v>
      </c>
      <c r="DG79" s="29">
        <v>17.255630677839978</v>
      </c>
      <c r="DH79" s="29">
        <v>17.323310078781418</v>
      </c>
      <c r="DI79" s="29">
        <v>17.390648792002011</v>
      </c>
      <c r="DJ79" s="29">
        <v>17.457644668399777</v>
      </c>
      <c r="DK79" s="29">
        <v>17.524295629265758</v>
      </c>
      <c r="DL79" s="29">
        <v>17.590599666144012</v>
      </c>
      <c r="DM79" s="29">
        <v>17.656554840662086</v>
      </c>
      <c r="DN79" s="29">
        <v>17.72215928433592</v>
      </c>
      <c r="DO79" s="29">
        <v>17.787411198345179</v>
      </c>
      <c r="DP79" s="29">
        <v>17.852308853282864</v>
      </c>
      <c r="DQ79" s="29">
        <v>17.916850588879196</v>
      </c>
      <c r="DR79" s="29">
        <v>17.981034813698532</v>
      </c>
      <c r="DS79">
        <v>18.044860004812421</v>
      </c>
      <c r="DT79">
        <v>18.108324707447938</v>
      </c>
      <c r="DU79">
        <v>18.171427534611553</v>
      </c>
    </row>
    <row r="80" spans="1:125">
      <c r="A80" s="34">
        <v>78</v>
      </c>
      <c r="B80" s="35"/>
      <c r="C80" s="35"/>
      <c r="D80" s="35"/>
      <c r="E80" s="35"/>
      <c r="F80" s="35"/>
      <c r="G80" s="35"/>
      <c r="H80" s="35"/>
      <c r="I80" s="35"/>
      <c r="J80" s="35"/>
      <c r="K80" s="35"/>
      <c r="L80" s="35"/>
      <c r="M80" s="35"/>
      <c r="N80" s="35"/>
      <c r="O80" s="35"/>
      <c r="P80" s="35"/>
      <c r="Q80" s="35"/>
      <c r="R80" s="35"/>
      <c r="S80" s="35"/>
      <c r="T80" s="35"/>
      <c r="U80" s="35"/>
      <c r="V80" s="29"/>
      <c r="W80" s="29">
        <v>10.039999999999999</v>
      </c>
      <c r="X80" s="29">
        <v>10.1</v>
      </c>
      <c r="Y80" s="29">
        <v>10.182368744936012</v>
      </c>
      <c r="Z80" s="29">
        <v>10.270720322377862</v>
      </c>
      <c r="AA80" s="29">
        <v>10.344100875431641</v>
      </c>
      <c r="AB80" s="29">
        <v>10.401007633333801</v>
      </c>
      <c r="AC80" s="29">
        <v>10.484598577020103</v>
      </c>
      <c r="AD80" s="29">
        <v>10.524383185928974</v>
      </c>
      <c r="AE80" s="29">
        <v>10.57306893102858</v>
      </c>
      <c r="AF80" s="29">
        <v>10.658195861752843</v>
      </c>
      <c r="AG80" s="29">
        <v>10.703594614734358</v>
      </c>
      <c r="AH80" s="29">
        <v>10.752674541126421</v>
      </c>
      <c r="AI80" s="29">
        <v>10.802227282147063</v>
      </c>
      <c r="AJ80" s="29">
        <v>10.88484131022474</v>
      </c>
      <c r="AK80" s="29">
        <v>10.978490869554118</v>
      </c>
      <c r="AL80" s="29">
        <v>11.058000084906364</v>
      </c>
      <c r="AM80" s="29">
        <v>11.155220268776441</v>
      </c>
      <c r="AN80" s="29">
        <v>11.231466121704139</v>
      </c>
      <c r="AO80" s="29">
        <v>11.280786175644954</v>
      </c>
      <c r="AP80" s="29">
        <v>11.334392747929071</v>
      </c>
      <c r="AQ80" s="29">
        <v>11.377112206504837</v>
      </c>
      <c r="AR80" s="29">
        <v>11.429087116044581</v>
      </c>
      <c r="AS80" s="29">
        <v>11.500297812250244</v>
      </c>
      <c r="AT80" s="29">
        <v>11.576954352365798</v>
      </c>
      <c r="AU80" s="29">
        <v>11.659389476751723</v>
      </c>
      <c r="AV80" s="29">
        <v>11.741386980630978</v>
      </c>
      <c r="AW80" s="29">
        <v>11.82293313457934</v>
      </c>
      <c r="AX80" s="29">
        <v>11.904025204187045</v>
      </c>
      <c r="AY80" s="29">
        <v>11.984670014274098</v>
      </c>
      <c r="AZ80" s="29">
        <v>12.06488141125285</v>
      </c>
      <c r="BA80" s="29">
        <v>12.144677677275636</v>
      </c>
      <c r="BB80" s="29">
        <v>12.224079224666832</v>
      </c>
      <c r="BC80" s="29">
        <v>12.303106726111107</v>
      </c>
      <c r="BD80" s="29">
        <v>12.381779795656207</v>
      </c>
      <c r="BE80" s="29">
        <v>12.46011679954805</v>
      </c>
      <c r="BF80" s="29">
        <v>12.538135159212761</v>
      </c>
      <c r="BG80" s="29">
        <v>12.615851608994685</v>
      </c>
      <c r="BH80" s="29">
        <v>12.693459059421636</v>
      </c>
      <c r="BI80" s="29">
        <v>12.770952283876312</v>
      </c>
      <c r="BJ80" s="29">
        <v>12.848326084340465</v>
      </c>
      <c r="BK80" s="29">
        <v>12.925575292821696</v>
      </c>
      <c r="BL80" s="29">
        <v>13.002694772771367</v>
      </c>
      <c r="BM80" s="29">
        <v>13.07967942048648</v>
      </c>
      <c r="BN80" s="29">
        <v>13.1565241665002</v>
      </c>
      <c r="BO80" s="29">
        <v>13.233223976954932</v>
      </c>
      <c r="BP80" s="29">
        <v>13.309773854960365</v>
      </c>
      <c r="BQ80" s="29">
        <v>13.386168841932831</v>
      </c>
      <c r="BR80" s="29">
        <v>13.462404018916658</v>
      </c>
      <c r="BS80" s="29">
        <v>13.538474507885265</v>
      </c>
      <c r="BT80" s="29">
        <v>13.614375473022024</v>
      </c>
      <c r="BU80" s="29">
        <v>13.690102121978127</v>
      </c>
      <c r="BV80" s="29">
        <v>13.76564970710939</v>
      </c>
      <c r="BW80" s="29">
        <v>13.841013526687123</v>
      </c>
      <c r="BX80" s="29">
        <v>13.916188926086596</v>
      </c>
      <c r="BY80" s="29">
        <v>13.991171298948375</v>
      </c>
      <c r="BZ80" s="29">
        <v>14.065956088314151</v>
      </c>
      <c r="CA80" s="29">
        <v>14.14053878773502</v>
      </c>
      <c r="CB80" s="29">
        <v>14.214914942352552</v>
      </c>
      <c r="CC80" s="29">
        <v>14.28908014995063</v>
      </c>
      <c r="CD80" s="29">
        <v>14.363030061978339</v>
      </c>
      <c r="CE80" s="29">
        <v>14.436760384543883</v>
      </c>
      <c r="CF80" s="29">
        <v>14.510266879375969</v>
      </c>
      <c r="CG80" s="29">
        <v>14.583545364757333</v>
      </c>
      <c r="CH80" s="29">
        <v>14.656591716423556</v>
      </c>
      <c r="CI80" s="29">
        <v>14.729401868432952</v>
      </c>
      <c r="CJ80" s="29">
        <v>14.801971814001776</v>
      </c>
      <c r="CK80" s="29">
        <v>14.87429760630874</v>
      </c>
      <c r="CL80" s="29">
        <v>14.946375359264954</v>
      </c>
      <c r="CM80" s="29">
        <v>15.018201248251561</v>
      </c>
      <c r="CN80" s="29">
        <v>15.089771510824047</v>
      </c>
      <c r="CO80" s="29">
        <v>15.161082447381293</v>
      </c>
      <c r="CP80" s="29">
        <v>15.232130421802264</v>
      </c>
      <c r="CQ80" s="29">
        <v>15.302911862048294</v>
      </c>
      <c r="CR80" s="29">
        <v>15.373423260730798</v>
      </c>
      <c r="CS80" s="29">
        <v>15.443661175645003</v>
      </c>
      <c r="CT80" s="29">
        <v>15.513622230269679</v>
      </c>
      <c r="CU80" s="29">
        <v>15.583303114231713</v>
      </c>
      <c r="CV80" s="29">
        <v>15.652700583738126</v>
      </c>
      <c r="CW80" s="29">
        <v>15.721811461972596</v>
      </c>
      <c r="CX80" s="29">
        <v>15.790632639458178</v>
      </c>
      <c r="CY80" s="29">
        <v>15.859161074387034</v>
      </c>
      <c r="CZ80" s="29">
        <v>15.927393792915653</v>
      </c>
      <c r="DA80" s="29">
        <v>15.995327889426695</v>
      </c>
      <c r="DB80" s="29">
        <v>16.062960526758044</v>
      </c>
      <c r="DC80" s="29">
        <v>16.13028893639882</v>
      </c>
      <c r="DD80" s="29">
        <v>16.19731041865208</v>
      </c>
      <c r="DE80" s="29">
        <v>16.264022342766221</v>
      </c>
      <c r="DF80" s="29">
        <v>16.330422147033257</v>
      </c>
      <c r="DG80" s="29">
        <v>16.396507338856669</v>
      </c>
      <c r="DH80" s="29">
        <v>16.462275494786638</v>
      </c>
      <c r="DI80" s="29">
        <v>16.52772426052627</v>
      </c>
      <c r="DJ80" s="29">
        <v>16.592851350905139</v>
      </c>
      <c r="DK80" s="29">
        <v>16.657654549824883</v>
      </c>
      <c r="DL80" s="29">
        <v>16.722131710174786</v>
      </c>
      <c r="DM80" s="29">
        <v>16.786280753717193</v>
      </c>
      <c r="DN80" s="29">
        <v>16.850099670946861</v>
      </c>
      <c r="DO80" s="29">
        <v>16.913586520920017</v>
      </c>
      <c r="DP80" s="29">
        <v>16.976739431057176</v>
      </c>
      <c r="DQ80" s="29">
        <v>17.039556596919589</v>
      </c>
      <c r="DR80" s="29">
        <v>17.102036281958068</v>
      </c>
      <c r="DS80">
        <v>17.164176817237351</v>
      </c>
      <c r="DT80">
        <v>17.225976601135109</v>
      </c>
      <c r="DU80">
        <v>17.287434099015787</v>
      </c>
    </row>
    <row r="81" spans="1:125">
      <c r="A81" s="34">
        <v>79</v>
      </c>
      <c r="B81" s="35"/>
      <c r="C81" s="35"/>
      <c r="D81" s="35"/>
      <c r="E81" s="35"/>
      <c r="F81" s="35"/>
      <c r="G81" s="35"/>
      <c r="H81" s="35"/>
      <c r="I81" s="35"/>
      <c r="J81" s="35"/>
      <c r="K81" s="35"/>
      <c r="L81" s="35"/>
      <c r="M81" s="35"/>
      <c r="N81" s="35"/>
      <c r="O81" s="35"/>
      <c r="P81" s="35"/>
      <c r="Q81" s="35"/>
      <c r="R81" s="35"/>
      <c r="S81" s="35"/>
      <c r="T81" s="35"/>
      <c r="U81" s="35"/>
      <c r="V81" s="29"/>
      <c r="W81" s="29">
        <v>9.44</v>
      </c>
      <c r="X81" s="29">
        <v>9.48</v>
      </c>
      <c r="Y81" s="29">
        <v>9.5674862938763514</v>
      </c>
      <c r="Z81" s="29">
        <v>9.6621600056604358</v>
      </c>
      <c r="AA81" s="29">
        <v>9.7160627942571463</v>
      </c>
      <c r="AB81" s="29">
        <v>9.7651233782793216</v>
      </c>
      <c r="AC81" s="29">
        <v>9.8364576582885768</v>
      </c>
      <c r="AD81" s="29">
        <v>9.8691778853399903</v>
      </c>
      <c r="AE81" s="29">
        <v>9.9247165103888531</v>
      </c>
      <c r="AF81" s="29">
        <v>10.007775333833706</v>
      </c>
      <c r="AG81" s="29">
        <v>10.042735585918319</v>
      </c>
      <c r="AH81" s="29">
        <v>10.088018053287662</v>
      </c>
      <c r="AI81" s="29">
        <v>10.137514727465483</v>
      </c>
      <c r="AJ81" s="29">
        <v>10.219010377089106</v>
      </c>
      <c r="AK81" s="29">
        <v>10.287322869275163</v>
      </c>
      <c r="AL81" s="29">
        <v>10.377191013313208</v>
      </c>
      <c r="AM81" s="29">
        <v>10.457893282932027</v>
      </c>
      <c r="AN81" s="29">
        <v>10.53781224401582</v>
      </c>
      <c r="AO81" s="29">
        <v>10.582491451954413</v>
      </c>
      <c r="AP81" s="29">
        <v>10.631834974676707</v>
      </c>
      <c r="AQ81" s="29">
        <v>10.673530500002448</v>
      </c>
      <c r="AR81" s="29">
        <v>10.748618524849263</v>
      </c>
      <c r="AS81" s="29">
        <v>10.824876419938562</v>
      </c>
      <c r="AT81" s="29">
        <v>10.904140726448471</v>
      </c>
      <c r="AU81" s="29">
        <v>10.983004102365582</v>
      </c>
      <c r="AV81" s="29">
        <v>11.061441972352176</v>
      </c>
      <c r="AW81" s="29">
        <v>11.139441148061026</v>
      </c>
      <c r="AX81" s="29">
        <v>11.216999723570048</v>
      </c>
      <c r="AY81" s="29">
        <v>11.294125573560132</v>
      </c>
      <c r="AZ81" s="29">
        <v>11.370833726252988</v>
      </c>
      <c r="BA81" s="29">
        <v>11.447143695476361</v>
      </c>
      <c r="BB81" s="29">
        <v>11.523077108357263</v>
      </c>
      <c r="BC81" s="29">
        <v>11.598655786582555</v>
      </c>
      <c r="BD81" s="29">
        <v>11.673900397288071</v>
      </c>
      <c r="BE81" s="29">
        <v>11.74883026451174</v>
      </c>
      <c r="BF81" s="29">
        <v>11.823463684722846</v>
      </c>
      <c r="BG81" s="29">
        <v>11.898016371677974</v>
      </c>
      <c r="BH81" s="29">
        <v>11.972483127341793</v>
      </c>
      <c r="BI81" s="29">
        <v>12.046858776185244</v>
      </c>
      <c r="BJ81" s="29">
        <v>12.121138166682268</v>
      </c>
      <c r="BK81" s="29">
        <v>12.19531617279382</v>
      </c>
      <c r="BL81" s="29">
        <v>12.269387695443024</v>
      </c>
      <c r="BM81" s="29">
        <v>12.343347663974198</v>
      </c>
      <c r="BN81" s="29">
        <v>12.417191037600597</v>
      </c>
      <c r="BO81" s="29">
        <v>12.49091280683461</v>
      </c>
      <c r="BP81" s="29">
        <v>12.564507994902959</v>
      </c>
      <c r="BQ81" s="29">
        <v>12.637971659143187</v>
      </c>
      <c r="BR81" s="29">
        <v>12.711298892382109</v>
      </c>
      <c r="BS81" s="29">
        <v>12.784484824294031</v>
      </c>
      <c r="BT81" s="29">
        <v>12.857524622738696</v>
      </c>
      <c r="BU81" s="29">
        <v>12.930413495076229</v>
      </c>
      <c r="BV81" s="29">
        <v>13.003146689461047</v>
      </c>
      <c r="BW81" s="29">
        <v>13.075719496109789</v>
      </c>
      <c r="BX81" s="29">
        <v>13.148127248546855</v>
      </c>
      <c r="BY81" s="29">
        <v>13.220365324822826</v>
      </c>
      <c r="BZ81" s="29">
        <v>13.292429148707365</v>
      </c>
      <c r="CA81" s="29">
        <v>13.364314190854552</v>
      </c>
      <c r="CB81" s="29">
        <v>13.436015969941044</v>
      </c>
      <c r="CC81" s="29">
        <v>13.507530053774959</v>
      </c>
      <c r="CD81" s="29">
        <v>13.578852060375841</v>
      </c>
      <c r="CE81" s="29">
        <v>13.64997765902562</v>
      </c>
      <c r="CF81" s="29">
        <v>13.72090257128705</v>
      </c>
      <c r="CG81" s="29">
        <v>13.791622571994285</v>
      </c>
      <c r="CH81" s="29">
        <v>13.862133490208684</v>
      </c>
      <c r="CI81" s="29">
        <v>13.932431210145738</v>
      </c>
      <c r="CJ81" s="29">
        <v>14.002511672067239</v>
      </c>
      <c r="CK81" s="29">
        <v>14.072370873142756</v>
      </c>
      <c r="CL81" s="29">
        <v>14.142004868276496</v>
      </c>
      <c r="CM81" s="29">
        <v>14.211409770901811</v>
      </c>
      <c r="CN81" s="29">
        <v>14.28058175374237</v>
      </c>
      <c r="CO81" s="29">
        <v>14.349517049537944</v>
      </c>
      <c r="CP81" s="29">
        <v>14.41821195173786</v>
      </c>
      <c r="CQ81" s="29">
        <v>14.486662815159912</v>
      </c>
      <c r="CR81" s="29">
        <v>14.554866056614644</v>
      </c>
      <c r="CS81" s="29">
        <v>14.622818155495578</v>
      </c>
      <c r="CT81" s="29">
        <v>14.690515654335309</v>
      </c>
      <c r="CU81" s="29">
        <v>14.757955159326384</v>
      </c>
      <c r="CV81" s="29">
        <v>14.825133340809451</v>
      </c>
      <c r="CW81" s="29">
        <v>14.892046933725837</v>
      </c>
      <c r="CX81" s="29">
        <v>14.958692738036136</v>
      </c>
      <c r="CY81" s="29">
        <v>15.025067619105707</v>
      </c>
      <c r="CZ81" s="29">
        <v>15.091168508055436</v>
      </c>
      <c r="DA81" s="29">
        <v>15.156992402078989</v>
      </c>
      <c r="DB81" s="29">
        <v>15.22253636472708</v>
      </c>
      <c r="DC81" s="29">
        <v>15.287797526158494</v>
      </c>
      <c r="DD81" s="29">
        <v>15.352773083357558</v>
      </c>
      <c r="DE81" s="29">
        <v>15.417460300320124</v>
      </c>
      <c r="DF81" s="29">
        <v>15.481856508206169</v>
      </c>
      <c r="DG81" s="29">
        <v>15.545959105461707</v>
      </c>
      <c r="DH81" s="29">
        <v>15.609765557907821</v>
      </c>
      <c r="DI81" s="29">
        <v>15.673273398800399</v>
      </c>
      <c r="DJ81" s="29">
        <v>15.736480228856932</v>
      </c>
      <c r="DK81" s="29">
        <v>15.799383716254962</v>
      </c>
      <c r="DL81" s="29">
        <v>15.861981596600312</v>
      </c>
      <c r="DM81" s="29">
        <v>15.92427167286472</v>
      </c>
      <c r="DN81" s="29">
        <v>15.986251815297098</v>
      </c>
      <c r="DO81" s="29">
        <v>16.047919961304142</v>
      </c>
      <c r="DP81" s="29">
        <v>16.109274115304277</v>
      </c>
      <c r="DQ81" s="29">
        <v>16.170312348554926</v>
      </c>
      <c r="DR81" s="29">
        <v>16.231032798951652</v>
      </c>
      <c r="DS81">
        <v>16.291433670802505</v>
      </c>
      <c r="DT81">
        <v>16.351513234576529</v>
      </c>
      <c r="DU81">
        <v>16.411269826626718</v>
      </c>
    </row>
    <row r="82" spans="1:125">
      <c r="A82" s="34">
        <v>80</v>
      </c>
      <c r="B82" s="35"/>
      <c r="C82" s="35"/>
      <c r="D82" s="35"/>
      <c r="E82" s="35"/>
      <c r="F82" s="35"/>
      <c r="G82" s="35"/>
      <c r="H82" s="35"/>
      <c r="I82" s="35"/>
      <c r="J82" s="35"/>
      <c r="K82" s="35"/>
      <c r="L82" s="35"/>
      <c r="M82" s="35"/>
      <c r="N82" s="35"/>
      <c r="O82" s="35"/>
      <c r="P82" s="35"/>
      <c r="Q82" s="35"/>
      <c r="R82" s="35"/>
      <c r="S82" s="35"/>
      <c r="T82" s="35"/>
      <c r="U82" s="35"/>
      <c r="V82" s="29"/>
      <c r="W82" s="29">
        <v>8.85</v>
      </c>
      <c r="X82" s="29">
        <v>8.89</v>
      </c>
      <c r="Y82" s="29">
        <v>8.9767967879951307</v>
      </c>
      <c r="Z82" s="29">
        <v>9.0571874101886003</v>
      </c>
      <c r="AA82" s="29">
        <v>9.1075325067059616</v>
      </c>
      <c r="AB82" s="29">
        <v>9.1456312535037387</v>
      </c>
      <c r="AC82" s="29">
        <v>9.2029048847557373</v>
      </c>
      <c r="AD82" s="29">
        <v>9.2379658189060034</v>
      </c>
      <c r="AE82" s="29">
        <v>9.2935434603233418</v>
      </c>
      <c r="AF82" s="29">
        <v>9.3674956630418933</v>
      </c>
      <c r="AG82" s="29">
        <v>9.3990866142996534</v>
      </c>
      <c r="AH82" s="29">
        <v>9.4392623181439088</v>
      </c>
      <c r="AI82" s="29">
        <v>9.4999005273891211</v>
      </c>
      <c r="AJ82" s="29">
        <v>9.5549762653962329</v>
      </c>
      <c r="AK82" s="29">
        <v>9.6297591462918852</v>
      </c>
      <c r="AL82" s="29">
        <v>9.7091274494387658</v>
      </c>
      <c r="AM82" s="29">
        <v>9.7864416807640549</v>
      </c>
      <c r="AN82" s="29">
        <v>9.8606699798544124</v>
      </c>
      <c r="AO82" s="29">
        <v>9.8987435841521343</v>
      </c>
      <c r="AP82" s="29">
        <v>9.9475015876744504</v>
      </c>
      <c r="AQ82" s="29">
        <v>10.007654307079454</v>
      </c>
      <c r="AR82" s="29">
        <v>10.090108246028208</v>
      </c>
      <c r="AS82" s="29">
        <v>10.166174556937909</v>
      </c>
      <c r="AT82" s="29">
        <v>10.241883541981283</v>
      </c>
      <c r="AU82" s="29">
        <v>10.317199899796593</v>
      </c>
      <c r="AV82" s="29">
        <v>10.392099314394208</v>
      </c>
      <c r="AW82" s="29">
        <v>10.46656921768443</v>
      </c>
      <c r="AX82" s="29">
        <v>10.540608649280868</v>
      </c>
      <c r="AY82" s="29">
        <v>10.614226679738938</v>
      </c>
      <c r="AZ82" s="29">
        <v>10.687439682257322</v>
      </c>
      <c r="BA82" s="29">
        <v>10.760268571945574</v>
      </c>
      <c r="BB82" s="29">
        <v>10.832736358166034</v>
      </c>
      <c r="BC82" s="29">
        <v>10.904866170638137</v>
      </c>
      <c r="BD82" s="29">
        <v>10.97667987646267</v>
      </c>
      <c r="BE82" s="29">
        <v>11.048197892425922</v>
      </c>
      <c r="BF82" s="29">
        <v>11.119661294219789</v>
      </c>
      <c r="BG82" s="29">
        <v>11.191064947502909</v>
      </c>
      <c r="BH82" s="29">
        <v>11.262403734616909</v>
      </c>
      <c r="BI82" s="29">
        <v>11.333672556126789</v>
      </c>
      <c r="BJ82" s="29">
        <v>11.404866332354315</v>
      </c>
      <c r="BK82" s="29">
        <v>11.475980004898897</v>
      </c>
      <c r="BL82" s="29">
        <v>11.547008538149925</v>
      </c>
      <c r="BM82" s="29">
        <v>11.617946920783192</v>
      </c>
      <c r="BN82" s="29">
        <v>11.688790167246342</v>
      </c>
      <c r="BO82" s="29">
        <v>11.759533319227044</v>
      </c>
      <c r="BP82" s="29">
        <v>11.830171447106464</v>
      </c>
      <c r="BQ82" s="29">
        <v>11.900699651394284</v>
      </c>
      <c r="BR82" s="29">
        <v>11.971113064146047</v>
      </c>
      <c r="BS82" s="29">
        <v>12.041406850360527</v>
      </c>
      <c r="BT82" s="29">
        <v>12.111576209357166</v>
      </c>
      <c r="BU82" s="29">
        <v>12.181616376130801</v>
      </c>
      <c r="BV82" s="29">
        <v>12.251522622685732</v>
      </c>
      <c r="BW82" s="29">
        <v>12.321290259344059</v>
      </c>
      <c r="BX82" s="29">
        <v>12.390914636032045</v>
      </c>
      <c r="BY82" s="29">
        <v>12.460391143539635</v>
      </c>
      <c r="BZ82" s="29">
        <v>12.529715214754816</v>
      </c>
      <c r="CA82" s="29">
        <v>12.598882325870738</v>
      </c>
      <c r="CB82" s="29">
        <v>12.667887997566018</v>
      </c>
      <c r="CC82" s="29">
        <v>12.736727796156101</v>
      </c>
      <c r="CD82" s="29">
        <v>12.805397334716028</v>
      </c>
      <c r="CE82" s="29">
        <v>12.873892274174558</v>
      </c>
      <c r="CF82" s="29">
        <v>12.942208324376095</v>
      </c>
      <c r="CG82" s="29">
        <v>13.010341245115089</v>
      </c>
      <c r="CH82" s="29">
        <v>13.078286847135987</v>
      </c>
      <c r="CI82" s="29">
        <v>13.146040993104654</v>
      </c>
      <c r="CJ82" s="29">
        <v>13.213599598545327</v>
      </c>
      <c r="CK82" s="29">
        <v>13.280958632747236</v>
      </c>
      <c r="CL82" s="29">
        <v>13.348114119636854</v>
      </c>
      <c r="CM82" s="29">
        <v>13.415062138618151</v>
      </c>
      <c r="CN82" s="29">
        <v>13.481798825379789</v>
      </c>
      <c r="CO82" s="29">
        <v>13.548320372667197</v>
      </c>
      <c r="CP82" s="29">
        <v>13.614623031022601</v>
      </c>
      <c r="CQ82" s="29">
        <v>13.680703109490775</v>
      </c>
      <c r="CR82" s="29">
        <v>13.746556976290421</v>
      </c>
      <c r="CS82" s="29">
        <v>13.812181059451733</v>
      </c>
      <c r="CT82" s="29">
        <v>13.877571847420032</v>
      </c>
      <c r="CU82" s="29">
        <v>13.942725889624441</v>
      </c>
      <c r="CV82" s="29">
        <v>14.007639797014001</v>
      </c>
      <c r="CW82" s="29">
        <v>14.072310242558418</v>
      </c>
      <c r="CX82" s="29">
        <v>14.136733961714979</v>
      </c>
      <c r="CY82" s="29">
        <v>14.200907752862561</v>
      </c>
      <c r="CZ82" s="29">
        <v>14.264828477701021</v>
      </c>
      <c r="DA82" s="29">
        <v>14.328493061617211</v>
      </c>
      <c r="DB82" s="29">
        <v>14.391898494018129</v>
      </c>
      <c r="DC82" s="29">
        <v>14.455041828630895</v>
      </c>
      <c r="DD82" s="29">
        <v>14.517920183769284</v>
      </c>
      <c r="DE82" s="29">
        <v>14.580530742568802</v>
      </c>
      <c r="DF82" s="29">
        <v>14.642870753188424</v>
      </c>
      <c r="DG82" s="29">
        <v>14.704937528981686</v>
      </c>
      <c r="DH82" s="29">
        <v>14.766728448634876</v>
      </c>
      <c r="DI82" s="29">
        <v>14.828240956275955</v>
      </c>
      <c r="DJ82" s="29">
        <v>14.88947256155045</v>
      </c>
      <c r="DK82" s="29">
        <v>14.950420839669031</v>
      </c>
      <c r="DL82" s="29">
        <v>15.011083431424698</v>
      </c>
      <c r="DM82" s="29">
        <v>15.071458043179398</v>
      </c>
      <c r="DN82" s="29">
        <v>15.131542446824069</v>
      </c>
      <c r="DO82" s="29">
        <v>15.191334479707974</v>
      </c>
      <c r="DP82" s="29">
        <v>15.250832044541209</v>
      </c>
      <c r="DQ82" s="29">
        <v>15.310033109270353</v>
      </c>
      <c r="DR82" s="29">
        <v>15.368935706925862</v>
      </c>
      <c r="DS82">
        <v>15.427537935444432</v>
      </c>
      <c r="DT82">
        <v>15.485837957465344</v>
      </c>
      <c r="DU82">
        <v>15.543834000100963</v>
      </c>
    </row>
    <row r="83" spans="1:125">
      <c r="A83" s="34">
        <v>81</v>
      </c>
      <c r="B83" s="35"/>
      <c r="C83" s="35"/>
      <c r="D83" s="35"/>
      <c r="E83" s="35"/>
      <c r="F83" s="35"/>
      <c r="G83" s="35"/>
      <c r="H83" s="35"/>
      <c r="I83" s="35"/>
      <c r="J83" s="35"/>
      <c r="K83" s="35"/>
      <c r="L83" s="35"/>
      <c r="M83" s="35"/>
      <c r="N83" s="35"/>
      <c r="O83" s="35"/>
      <c r="P83" s="35"/>
      <c r="Q83" s="35"/>
      <c r="R83" s="35"/>
      <c r="S83" s="35"/>
      <c r="T83" s="35"/>
      <c r="U83" s="35"/>
      <c r="V83" s="29"/>
      <c r="W83" s="29">
        <v>8.2899999999999991</v>
      </c>
      <c r="X83" s="29">
        <v>8.34</v>
      </c>
      <c r="Y83" s="29">
        <v>8.3993076501400132</v>
      </c>
      <c r="Z83" s="29">
        <v>8.4710154895279342</v>
      </c>
      <c r="AA83" s="29">
        <v>8.5155657205415753</v>
      </c>
      <c r="AB83" s="29">
        <v>8.5508511965497505</v>
      </c>
      <c r="AC83" s="29">
        <v>8.6017386485504854</v>
      </c>
      <c r="AD83" s="29">
        <v>8.6348295290874457</v>
      </c>
      <c r="AE83" s="29">
        <v>8.6780532853284011</v>
      </c>
      <c r="AF83" s="29">
        <v>8.7462727819551027</v>
      </c>
      <c r="AG83" s="29">
        <v>8.7764250853676486</v>
      </c>
      <c r="AH83" s="29">
        <v>8.822093782165183</v>
      </c>
      <c r="AI83" s="29">
        <v>8.8611597537650564</v>
      </c>
      <c r="AJ83" s="29">
        <v>8.9274804041136822</v>
      </c>
      <c r="AK83" s="29">
        <v>8.990372150273986</v>
      </c>
      <c r="AL83" s="29">
        <v>9.0683032565238335</v>
      </c>
      <c r="AM83" s="29">
        <v>9.1351268452111416</v>
      </c>
      <c r="AN83" s="29">
        <v>9.1975461594181276</v>
      </c>
      <c r="AO83" s="29">
        <v>9.2317265138861089</v>
      </c>
      <c r="AP83" s="29">
        <v>9.303015127562638</v>
      </c>
      <c r="AQ83" s="29">
        <v>9.3743820318961681</v>
      </c>
      <c r="AR83" s="29">
        <v>9.4472198336321007</v>
      </c>
      <c r="AS83" s="29">
        <v>9.5197499220101243</v>
      </c>
      <c r="AT83" s="29">
        <v>9.5919271174321032</v>
      </c>
      <c r="AU83" s="29">
        <v>9.6637159988296784</v>
      </c>
      <c r="AV83" s="29">
        <v>9.7350925532655275</v>
      </c>
      <c r="AW83" s="29">
        <v>9.8060449282736659</v>
      </c>
      <c r="AX83" s="29">
        <v>9.8765732504675459</v>
      </c>
      <c r="AY83" s="29">
        <v>9.9466879628436775</v>
      </c>
      <c r="AZ83" s="29">
        <v>10.016406980716393</v>
      </c>
      <c r="BA83" s="29">
        <v>10.085752825039457</v>
      </c>
      <c r="BB83" s="29">
        <v>10.154750088856401</v>
      </c>
      <c r="BC83" s="29">
        <v>10.223423400651509</v>
      </c>
      <c r="BD83" s="29">
        <v>10.291796002960389</v>
      </c>
      <c r="BE83" s="29">
        <v>10.360137800881395</v>
      </c>
      <c r="BF83" s="29">
        <v>10.428443758194193</v>
      </c>
      <c r="BG83" s="29">
        <v>10.496708849871727</v>
      </c>
      <c r="BH83" s="29">
        <v>10.564928063645995</v>
      </c>
      <c r="BI83" s="29">
        <v>10.633096401565089</v>
      </c>
      <c r="BJ83" s="29">
        <v>10.701208881543769</v>
      </c>
      <c r="BK83" s="29">
        <v>10.769260538901918</v>
      </c>
      <c r="BL83" s="29">
        <v>10.837246427895014</v>
      </c>
      <c r="BM83" s="29">
        <v>10.905161623229082</v>
      </c>
      <c r="BN83" s="29">
        <v>10.973001221565282</v>
      </c>
      <c r="BO83" s="29">
        <v>11.040760343007651</v>
      </c>
      <c r="BP83" s="29">
        <v>11.108434132576749</v>
      </c>
      <c r="BQ83" s="29">
        <v>11.176017761665358</v>
      </c>
      <c r="BR83" s="29">
        <v>11.243506429477078</v>
      </c>
      <c r="BS83" s="29">
        <v>11.310895364445507</v>
      </c>
      <c r="BT83" s="29">
        <v>11.378179825634099</v>
      </c>
      <c r="BU83" s="29">
        <v>11.445355104113872</v>
      </c>
      <c r="BV83" s="29">
        <v>11.512416524321086</v>
      </c>
      <c r="BW83" s="29">
        <v>11.579359445389754</v>
      </c>
      <c r="BX83" s="29">
        <v>11.646179262462857</v>
      </c>
      <c r="BY83" s="29">
        <v>11.712871407977309</v>
      </c>
      <c r="BZ83" s="29">
        <v>11.779431352924371</v>
      </c>
      <c r="CA83" s="29">
        <v>11.845854608083499</v>
      </c>
      <c r="CB83" s="29">
        <v>11.91213672523001</v>
      </c>
      <c r="CC83" s="29">
        <v>11.978273298314411</v>
      </c>
      <c r="CD83" s="29">
        <v>12.044259964613818</v>
      </c>
      <c r="CE83" s="29">
        <v>12.110092405855374</v>
      </c>
      <c r="CF83" s="29">
        <v>12.175766349308056</v>
      </c>
      <c r="CG83" s="29">
        <v>12.241277568847705</v>
      </c>
      <c r="CH83" s="29">
        <v>12.306621885988131</v>
      </c>
      <c r="CI83" s="29">
        <v>12.37179517088442</v>
      </c>
      <c r="CJ83" s="29">
        <v>12.436793343302345</v>
      </c>
      <c r="CK83" s="29">
        <v>12.5016123735581</v>
      </c>
      <c r="CL83" s="29">
        <v>12.566248283424287</v>
      </c>
      <c r="CM83" s="29">
        <v>12.630697147004494</v>
      </c>
      <c r="CN83" s="29">
        <v>12.694955091575464</v>
      </c>
      <c r="CO83" s="29">
        <v>12.759018298394675</v>
      </c>
      <c r="CP83" s="29">
        <v>12.822883003476541</v>
      </c>
      <c r="CQ83" s="29">
        <v>12.886545498334815</v>
      </c>
      <c r="CR83" s="29">
        <v>12.950002130691294</v>
      </c>
      <c r="CS83" s="29">
        <v>13.013249305151136</v>
      </c>
      <c r="CT83" s="29">
        <v>13.076283483844891</v>
      </c>
      <c r="CU83" s="29">
        <v>13.139101187036024</v>
      </c>
      <c r="CV83" s="29">
        <v>13.201698993696397</v>
      </c>
      <c r="CW83" s="29">
        <v>13.264073542046903</v>
      </c>
      <c r="CX83" s="29">
        <v>13.326221530064712</v>
      </c>
      <c r="CY83" s="29">
        <v>13.388139715958056</v>
      </c>
      <c r="CZ83" s="29">
        <v>13.449824918606879</v>
      </c>
      <c r="DA83" s="29">
        <v>13.511274017970461</v>
      </c>
      <c r="DB83" s="29">
        <v>13.572483955462655</v>
      </c>
      <c r="DC83" s="29">
        <v>13.633451734294272</v>
      </c>
      <c r="DD83" s="29">
        <v>13.694174419782406</v>
      </c>
      <c r="DE83" s="29">
        <v>13.754649139628638</v>
      </c>
      <c r="DF83" s="29">
        <v>13.814873084164207</v>
      </c>
      <c r="DG83" s="29">
        <v>13.874843506564874</v>
      </c>
      <c r="DH83" s="29">
        <v>13.934557723033107</v>
      </c>
      <c r="DI83" s="29">
        <v>13.994013112951299</v>
      </c>
      <c r="DJ83" s="29">
        <v>14.05320711900214</v>
      </c>
      <c r="DK83" s="29">
        <v>14.112137247260931</v>
      </c>
      <c r="DL83" s="29">
        <v>14.17080106725769</v>
      </c>
      <c r="DM83" s="29">
        <v>14.229196212008793</v>
      </c>
      <c r="DN83" s="29">
        <v>14.287320378022283</v>
      </c>
      <c r="DO83" s="29">
        <v>14.345171325272515</v>
      </c>
      <c r="DP83" s="29">
        <v>14.402746877148092</v>
      </c>
      <c r="DQ83" s="29">
        <v>14.460044920373049</v>
      </c>
      <c r="DR83" s="29">
        <v>14.51706340489978</v>
      </c>
      <c r="DS83">
        <v>14.573800343777014</v>
      </c>
      <c r="DT83">
        <v>14.63025381299177</v>
      </c>
      <c r="DU83">
        <v>14.686421951285425</v>
      </c>
    </row>
    <row r="84" spans="1:125">
      <c r="A84" s="34">
        <v>82</v>
      </c>
      <c r="B84" s="35"/>
      <c r="C84" s="35"/>
      <c r="D84" s="35"/>
      <c r="E84" s="35"/>
      <c r="F84" s="35"/>
      <c r="G84" s="35"/>
      <c r="H84" s="35"/>
      <c r="I84" s="35"/>
      <c r="J84" s="35"/>
      <c r="K84" s="35"/>
      <c r="L84" s="35"/>
      <c r="M84" s="35"/>
      <c r="N84" s="35"/>
      <c r="O84" s="35"/>
      <c r="P84" s="35"/>
      <c r="Q84" s="35"/>
      <c r="R84" s="35"/>
      <c r="S84" s="35"/>
      <c r="T84" s="35"/>
      <c r="U84" s="35"/>
      <c r="V84" s="29"/>
      <c r="W84" s="29">
        <v>7.76</v>
      </c>
      <c r="X84" s="29">
        <v>7.79</v>
      </c>
      <c r="Y84" s="29">
        <v>7.839169803228387</v>
      </c>
      <c r="Z84" s="29">
        <v>7.9030841606324005</v>
      </c>
      <c r="AA84" s="29">
        <v>7.9418319864701976</v>
      </c>
      <c r="AB84" s="29">
        <v>7.9745871801587702</v>
      </c>
      <c r="AC84" s="29">
        <v>8.0217029086651515</v>
      </c>
      <c r="AD84" s="29">
        <v>8.0452891202345143</v>
      </c>
      <c r="AE84" s="29">
        <v>8.0827562086659768</v>
      </c>
      <c r="AF84" s="29">
        <v>8.1493591825731606</v>
      </c>
      <c r="AG84" s="29">
        <v>8.1859213320364219</v>
      </c>
      <c r="AH84" s="29">
        <v>8.204356246896694</v>
      </c>
      <c r="AI84" s="29">
        <v>8.2631298170592871</v>
      </c>
      <c r="AJ84" s="29">
        <v>8.3137175234762779</v>
      </c>
      <c r="AK84" s="29">
        <v>8.3755197041492799</v>
      </c>
      <c r="AL84" s="29">
        <v>8.4436751592699633</v>
      </c>
      <c r="AM84" s="29">
        <v>8.4995732873790946</v>
      </c>
      <c r="AN84" s="29">
        <v>8.5496864886844808</v>
      </c>
      <c r="AO84" s="29">
        <v>8.6087374845865998</v>
      </c>
      <c r="AP84" s="29">
        <v>8.680354038411112</v>
      </c>
      <c r="AQ84" s="29">
        <v>8.7499254218441926</v>
      </c>
      <c r="AR84" s="29">
        <v>8.8192431526869175</v>
      </c>
      <c r="AS84" s="29">
        <v>8.8882537184981807</v>
      </c>
      <c r="AT84" s="29">
        <v>8.9569113430822487</v>
      </c>
      <c r="AU84" s="29">
        <v>9.0251804722805655</v>
      </c>
      <c r="AV84" s="29">
        <v>9.0930374498403932</v>
      </c>
      <c r="AW84" s="29">
        <v>9.1604712571655043</v>
      </c>
      <c r="AX84" s="29">
        <v>9.2274832835996481</v>
      </c>
      <c r="AY84" s="29">
        <v>9.2940855638698814</v>
      </c>
      <c r="AZ84" s="29">
        <v>9.3602977999347772</v>
      </c>
      <c r="BA84" s="29">
        <v>9.4261443718280322</v>
      </c>
      <c r="BB84" s="29">
        <v>9.4916517050026954</v>
      </c>
      <c r="BC84" s="29">
        <v>9.5568461614391715</v>
      </c>
      <c r="BD84" s="29">
        <v>9.6220311662920075</v>
      </c>
      <c r="BE84" s="29">
        <v>9.6872018152739088</v>
      </c>
      <c r="BF84" s="29">
        <v>9.7523532101984838</v>
      </c>
      <c r="BG84" s="29">
        <v>9.8174804605483299</v>
      </c>
      <c r="BH84" s="29">
        <v>9.8825786850384336</v>
      </c>
      <c r="BI84" s="29">
        <v>9.9476430131713762</v>
      </c>
      <c r="BJ84" s="29">
        <v>10.012668586786701</v>
      </c>
      <c r="BK84" s="29">
        <v>10.077650561598713</v>
      </c>
      <c r="BL84" s="29">
        <v>10.142584108727013</v>
      </c>
      <c r="BM84" s="29">
        <v>10.207464416212058</v>
      </c>
      <c r="BN84" s="29">
        <v>10.27228669052116</v>
      </c>
      <c r="BO84" s="29">
        <v>10.33704615803822</v>
      </c>
      <c r="BP84" s="29">
        <v>10.401738066540183</v>
      </c>
      <c r="BQ84" s="29">
        <v>10.466357686656229</v>
      </c>
      <c r="BR84" s="29">
        <v>10.530900313310635</v>
      </c>
      <c r="BS84" s="29">
        <v>10.595361267147005</v>
      </c>
      <c r="BT84" s="29">
        <v>10.659735895933993</v>
      </c>
      <c r="BU84" s="29">
        <v>10.724019575949628</v>
      </c>
      <c r="BV84" s="29">
        <v>10.788207713346521</v>
      </c>
      <c r="BW84" s="29">
        <v>10.852295745492667</v>
      </c>
      <c r="BX84" s="29">
        <v>10.916279142291856</v>
      </c>
      <c r="BY84" s="29">
        <v>10.980153407478701</v>
      </c>
      <c r="BZ84" s="29">
        <v>11.04391407988995</v>
      </c>
      <c r="CA84" s="29">
        <v>11.107556734710155</v>
      </c>
      <c r="CB84" s="29">
        <v>11.171076984692068</v>
      </c>
      <c r="CC84" s="29">
        <v>11.234470481349549</v>
      </c>
      <c r="CD84" s="29">
        <v>11.297732916123524</v>
      </c>
      <c r="CE84" s="29">
        <v>11.360860021520825</v>
      </c>
      <c r="CF84" s="29">
        <v>11.423847572222341</v>
      </c>
      <c r="CG84" s="29">
        <v>11.486691386165315</v>
      </c>
      <c r="CH84" s="29">
        <v>11.54938732559261</v>
      </c>
      <c r="CI84" s="29">
        <v>11.611931298075127</v>
      </c>
      <c r="CJ84" s="29">
        <v>11.674319257501216</v>
      </c>
      <c r="CK84" s="29">
        <v>11.736547205037319</v>
      </c>
      <c r="CL84" s="29">
        <v>11.798611190055787</v>
      </c>
      <c r="CM84" s="29">
        <v>11.860507311032181</v>
      </c>
      <c r="CN84" s="29">
        <v>11.922231716411053</v>
      </c>
      <c r="CO84" s="29">
        <v>11.983780605438008</v>
      </c>
      <c r="CP84" s="29">
        <v>12.045150228961283</v>
      </c>
      <c r="CQ84" s="29">
        <v>12.106336890200398</v>
      </c>
      <c r="CR84" s="29">
        <v>12.167336945481916</v>
      </c>
      <c r="CS84" s="29">
        <v>12.228146804942712</v>
      </c>
      <c r="CT84" s="29">
        <v>12.288762933200731</v>
      </c>
      <c r="CU84" s="29">
        <v>12.349181849992059</v>
      </c>
      <c r="CV84" s="29">
        <v>12.409400130776788</v>
      </c>
      <c r="CW84" s="29">
        <v>12.469414407310747</v>
      </c>
      <c r="CX84" s="29">
        <v>12.529221368184634</v>
      </c>
      <c r="CY84" s="29">
        <v>12.588817759331443</v>
      </c>
      <c r="CZ84" s="29">
        <v>12.648200384500448</v>
      </c>
      <c r="DA84" s="29">
        <v>12.707366105698878</v>
      </c>
      <c r="DB84" s="29">
        <v>12.766311843601873</v>
      </c>
      <c r="DC84" s="29">
        <v>12.825034577930282</v>
      </c>
      <c r="DD84" s="29">
        <v>12.883531347795982</v>
      </c>
      <c r="DE84" s="29">
        <v>12.941799252016725</v>
      </c>
      <c r="DF84" s="29">
        <v>12.999835449398544</v>
      </c>
      <c r="DG84" s="29">
        <v>13.05763715898842</v>
      </c>
      <c r="DH84" s="29">
        <v>13.115201660294783</v>
      </c>
      <c r="DI84" s="29">
        <v>13.172526293479613</v>
      </c>
      <c r="DJ84" s="29">
        <v>13.229608459518138</v>
      </c>
      <c r="DK84" s="29">
        <v>13.286445620330984</v>
      </c>
      <c r="DL84" s="29">
        <v>13.343035298886548</v>
      </c>
      <c r="DM84" s="29">
        <v>13.3993750792733</v>
      </c>
      <c r="DN84" s="29">
        <v>13.455462606746188</v>
      </c>
      <c r="DO84" s="29">
        <v>13.511295587742715</v>
      </c>
      <c r="DP84" s="29">
        <v>13.566871789872636</v>
      </c>
      <c r="DQ84" s="29">
        <v>13.622189041881262</v>
      </c>
      <c r="DR84" s="29">
        <v>13.677245233584758</v>
      </c>
      <c r="DS84">
        <v>13.732038315780757</v>
      </c>
      <c r="DT84">
        <v>13.786566300133197</v>
      </c>
      <c r="DU84">
        <v>13.840827259031482</v>
      </c>
    </row>
    <row r="85" spans="1:125">
      <c r="A85" s="34">
        <v>83</v>
      </c>
      <c r="B85" s="35"/>
      <c r="C85" s="35"/>
      <c r="D85" s="35"/>
      <c r="E85" s="35"/>
      <c r="F85" s="35"/>
      <c r="G85" s="35"/>
      <c r="H85" s="35"/>
      <c r="I85" s="35"/>
      <c r="J85" s="35"/>
      <c r="K85" s="35"/>
      <c r="L85" s="35"/>
      <c r="M85" s="35"/>
      <c r="N85" s="35"/>
      <c r="O85" s="35"/>
      <c r="P85" s="35"/>
      <c r="Q85" s="35"/>
      <c r="R85" s="35"/>
      <c r="S85" s="35"/>
      <c r="T85" s="35"/>
      <c r="U85" s="35"/>
      <c r="V85" s="29"/>
      <c r="W85" s="29">
        <v>7.24</v>
      </c>
      <c r="X85" s="29">
        <v>7.25</v>
      </c>
      <c r="Y85" s="29">
        <v>7.3012901856733237</v>
      </c>
      <c r="Z85" s="29">
        <v>7.3493874557542354</v>
      </c>
      <c r="AA85" s="29">
        <v>7.3924370832275734</v>
      </c>
      <c r="AB85" s="29">
        <v>7.4315844249688405</v>
      </c>
      <c r="AC85" s="29">
        <v>7.457196966376241</v>
      </c>
      <c r="AD85" s="29">
        <v>7.4839085702739672</v>
      </c>
      <c r="AE85" s="29">
        <v>7.5163236987888222</v>
      </c>
      <c r="AF85" s="29">
        <v>7.5904318466734884</v>
      </c>
      <c r="AG85" s="29">
        <v>7.5998560594468199</v>
      </c>
      <c r="AH85" s="29">
        <v>7.6326545798326695</v>
      </c>
      <c r="AI85" s="29">
        <v>7.6697629458587047</v>
      </c>
      <c r="AJ85" s="29">
        <v>7.7334109999593172</v>
      </c>
      <c r="AK85" s="29">
        <v>7.7811105284398527</v>
      </c>
      <c r="AL85" s="29">
        <v>7.8367923697433053</v>
      </c>
      <c r="AM85" s="29">
        <v>7.8807038379826917</v>
      </c>
      <c r="AN85" s="29">
        <v>7.945033770545356</v>
      </c>
      <c r="AO85" s="29">
        <v>8.0112089994485363</v>
      </c>
      <c r="AP85" s="29">
        <v>8.0780842188080673</v>
      </c>
      <c r="AQ85" s="29">
        <v>8.1441422366910015</v>
      </c>
      <c r="AR85" s="29">
        <v>8.2099432923363924</v>
      </c>
      <c r="AS85" s="29">
        <v>8.275432704325814</v>
      </c>
      <c r="AT85" s="29">
        <v>8.3405639989973093</v>
      </c>
      <c r="AU85" s="29">
        <v>8.4053014709423515</v>
      </c>
      <c r="AV85" s="29">
        <v>8.469621888550483</v>
      </c>
      <c r="AW85" s="29">
        <v>8.5335152178526634</v>
      </c>
      <c r="AX85" s="29">
        <v>8.5969843350987141</v>
      </c>
      <c r="AY85" s="29">
        <v>8.660043146254166</v>
      </c>
      <c r="AZ85" s="29">
        <v>8.7227134510887296</v>
      </c>
      <c r="BA85" s="29">
        <v>8.7850218102451372</v>
      </c>
      <c r="BB85" s="29">
        <v>8.8469967965093659</v>
      </c>
      <c r="BC85" s="29">
        <v>8.908981095062277</v>
      </c>
      <c r="BD85" s="29">
        <v>8.9709699666215279</v>
      </c>
      <c r="BE85" s="29">
        <v>9.0329586733736456</v>
      </c>
      <c r="BF85" s="29">
        <v>9.0949424805251819</v>
      </c>
      <c r="BG85" s="29">
        <v>9.1569166578502355</v>
      </c>
      <c r="BH85" s="29">
        <v>9.2188764812339414</v>
      </c>
      <c r="BI85" s="29">
        <v>9.2808172342082873</v>
      </c>
      <c r="BJ85" s="29">
        <v>9.342734209482872</v>
      </c>
      <c r="BK85" s="29">
        <v>9.4046227104646718</v>
      </c>
      <c r="BL85" s="29">
        <v>9.4664780527713805</v>
      </c>
      <c r="BM85" s="29">
        <v>9.5282955657304367</v>
      </c>
      <c r="BN85" s="29">
        <v>9.5900705938693438</v>
      </c>
      <c r="BO85" s="29">
        <v>9.651798498390523</v>
      </c>
      <c r="BP85" s="29">
        <v>9.7134746586337375</v>
      </c>
      <c r="BQ85" s="29">
        <v>9.775094473522115</v>
      </c>
      <c r="BR85" s="29">
        <v>9.836653362992795</v>
      </c>
      <c r="BS85" s="29">
        <v>9.8981467694098288</v>
      </c>
      <c r="BT85" s="29">
        <v>9.9595701589595578</v>
      </c>
      <c r="BU85" s="29">
        <v>10.020919023025561</v>
      </c>
      <c r="BV85" s="29">
        <v>10.082188879545518</v>
      </c>
      <c r="BW85" s="29">
        <v>10.143375274344622</v>
      </c>
      <c r="BX85" s="29">
        <v>10.204473782449769</v>
      </c>
      <c r="BY85" s="29">
        <v>10.26548000937929</v>
      </c>
      <c r="BZ85" s="29">
        <v>10.326389592410157</v>
      </c>
      <c r="CA85" s="29">
        <v>10.387198201820585</v>
      </c>
      <c r="CB85" s="29">
        <v>10.447901542108486</v>
      </c>
      <c r="CC85" s="29">
        <v>10.508495353183562</v>
      </c>
      <c r="CD85" s="29">
        <v>10.568975411533573</v>
      </c>
      <c r="CE85" s="29">
        <v>10.629337531364655</v>
      </c>
      <c r="CF85" s="29">
        <v>10.689577565712042</v>
      </c>
      <c r="CG85" s="29">
        <v>10.749691407526162</v>
      </c>
      <c r="CH85" s="29">
        <v>10.809674990726796</v>
      </c>
      <c r="CI85" s="29">
        <v>10.869524291231622</v>
      </c>
      <c r="CJ85" s="29">
        <v>10.92923532795283</v>
      </c>
      <c r="CK85" s="29">
        <v>10.988804163766218</v>
      </c>
      <c r="CL85" s="29">
        <v>11.048226906448576</v>
      </c>
      <c r="CM85" s="29">
        <v>11.107499709585719</v>
      </c>
      <c r="CN85" s="29">
        <v>11.166618773450182</v>
      </c>
      <c r="CO85" s="29">
        <v>11.225580345846296</v>
      </c>
      <c r="CP85" s="29">
        <v>11.284380722925963</v>
      </c>
      <c r="CQ85" s="29">
        <v>11.343016249972621</v>
      </c>
      <c r="CR85" s="29">
        <v>11.40148332215345</v>
      </c>
      <c r="CS85" s="29">
        <v>11.459778385240167</v>
      </c>
      <c r="CT85" s="29">
        <v>11.517897936298443</v>
      </c>
      <c r="CU85" s="29">
        <v>11.575838524344695</v>
      </c>
      <c r="CV85" s="29">
        <v>11.633596750972744</v>
      </c>
      <c r="CW85" s="29">
        <v>11.691169270947405</v>
      </c>
      <c r="CX85" s="29">
        <v>11.748552792766475</v>
      </c>
      <c r="CY85" s="29">
        <v>11.805744079192078</v>
      </c>
      <c r="CZ85" s="29">
        <v>11.86273994774953</v>
      </c>
      <c r="DA85" s="29">
        <v>11.919537271194878</v>
      </c>
      <c r="DB85" s="29">
        <v>11.976132977951684</v>
      </c>
      <c r="DC85" s="29">
        <v>12.032524052516571</v>
      </c>
      <c r="DD85" s="29">
        <v>12.088707535833192</v>
      </c>
      <c r="DE85" s="29">
        <v>12.14468052563665</v>
      </c>
      <c r="DF85" s="29">
        <v>12.200440176766266</v>
      </c>
      <c r="DG85" s="29">
        <v>12.255983701449532</v>
      </c>
      <c r="DH85" s="29">
        <v>12.311308369554615</v>
      </c>
      <c r="DI85" s="29">
        <v>12.366411508815332</v>
      </c>
      <c r="DJ85" s="29">
        <v>12.421290505024402</v>
      </c>
      <c r="DK85" s="29">
        <v>12.475942802199926</v>
      </c>
      <c r="DL85" s="29">
        <v>12.53036590272278</v>
      </c>
      <c r="DM85" s="29">
        <v>12.58455736744458</v>
      </c>
      <c r="DN85" s="29">
        <v>12.63851481577046</v>
      </c>
      <c r="DO85" s="29">
        <v>12.692235925712056</v>
      </c>
      <c r="DP85" s="29">
        <v>12.745718433914762</v>
      </c>
      <c r="DQ85" s="29">
        <v>12.798960135659117</v>
      </c>
      <c r="DR85" s="29">
        <v>12.851958884834724</v>
      </c>
      <c r="DS85">
        <v>12.904712593889979</v>
      </c>
      <c r="DT85">
        <v>12.957219233756504</v>
      </c>
      <c r="DU85">
        <v>13.009476833748318</v>
      </c>
    </row>
    <row r="86" spans="1:125">
      <c r="A86" s="34">
        <v>84</v>
      </c>
      <c r="B86" s="35"/>
      <c r="C86" s="35"/>
      <c r="D86" s="35"/>
      <c r="E86" s="35"/>
      <c r="F86" s="35"/>
      <c r="G86" s="35"/>
      <c r="H86" s="35"/>
      <c r="I86" s="35"/>
      <c r="J86" s="35"/>
      <c r="K86" s="35"/>
      <c r="L86" s="35"/>
      <c r="M86" s="35"/>
      <c r="N86" s="35"/>
      <c r="O86" s="35"/>
      <c r="P86" s="35"/>
      <c r="Q86" s="35"/>
      <c r="R86" s="35"/>
      <c r="S86" s="35"/>
      <c r="T86" s="35"/>
      <c r="U86" s="35"/>
      <c r="V86" s="29"/>
      <c r="W86" s="29">
        <v>6.74</v>
      </c>
      <c r="X86" s="29">
        <v>6.74</v>
      </c>
      <c r="Y86" s="29">
        <v>6.7807505247870319</v>
      </c>
      <c r="Z86" s="29">
        <v>6.8271642185723618</v>
      </c>
      <c r="AA86" s="29">
        <v>6.8779622878497833</v>
      </c>
      <c r="AB86" s="29">
        <v>6.8984832687796809</v>
      </c>
      <c r="AC86" s="29">
        <v>6.9229365698999539</v>
      </c>
      <c r="AD86" s="29">
        <v>6.9425537013695315</v>
      </c>
      <c r="AE86" s="29">
        <v>6.984419027528153</v>
      </c>
      <c r="AF86" s="29">
        <v>7.0283869097614486</v>
      </c>
      <c r="AG86" s="29">
        <v>7.0533582667987424</v>
      </c>
      <c r="AH86" s="29">
        <v>7.0691078943119461</v>
      </c>
      <c r="AI86" s="29">
        <v>7.1129306411034543</v>
      </c>
      <c r="AJ86" s="29">
        <v>7.1676845766186092</v>
      </c>
      <c r="AK86" s="29">
        <v>7.2014970979658131</v>
      </c>
      <c r="AL86" s="29">
        <v>7.2479586084274388</v>
      </c>
      <c r="AM86" s="29">
        <v>7.3104940505770353</v>
      </c>
      <c r="AN86" s="29">
        <v>7.3722755376118325</v>
      </c>
      <c r="AO86" s="29">
        <v>7.4355508760210194</v>
      </c>
      <c r="AP86" s="29">
        <v>7.4989433610559297</v>
      </c>
      <c r="AQ86" s="29">
        <v>7.5614765265585726</v>
      </c>
      <c r="AR86" s="29">
        <v>7.6237438069878669</v>
      </c>
      <c r="AS86" s="29">
        <v>7.685689124713134</v>
      </c>
      <c r="AT86" s="29">
        <v>7.7472651765490488</v>
      </c>
      <c r="AU86" s="29">
        <v>7.8084360819166916</v>
      </c>
      <c r="AV86" s="29">
        <v>7.8691791221569911</v>
      </c>
      <c r="AW86" s="29">
        <v>7.9294854437795781</v>
      </c>
      <c r="AX86" s="29">
        <v>7.9893597007714563</v>
      </c>
      <c r="AY86" s="29">
        <v>8.0488180322974685</v>
      </c>
      <c r="AZ86" s="29">
        <v>8.1078847380005215</v>
      </c>
      <c r="BA86" s="29">
        <v>8.1665889734853145</v>
      </c>
      <c r="BB86" s="29">
        <v>8.2253185617133511</v>
      </c>
      <c r="BC86" s="29">
        <v>8.2840689601050777</v>
      </c>
      <c r="BD86" s="29">
        <v>8.342835623455251</v>
      </c>
      <c r="BE86" s="29">
        <v>8.4016140054478399</v>
      </c>
      <c r="BF86" s="29">
        <v>8.4603995601693676</v>
      </c>
      <c r="BG86" s="29">
        <v>8.5191877436191668</v>
      </c>
      <c r="BH86" s="29">
        <v>8.5779740152161743</v>
      </c>
      <c r="BI86" s="29">
        <v>8.63675383929864</v>
      </c>
      <c r="BJ86" s="29">
        <v>8.6955226866195261</v>
      </c>
      <c r="BK86" s="29">
        <v>8.7542760358315128</v>
      </c>
      <c r="BL86" s="29">
        <v>8.8130093749664891</v>
      </c>
      <c r="BM86" s="29">
        <v>8.8717182029013699</v>
      </c>
      <c r="BN86" s="29">
        <v>8.9303980308161695</v>
      </c>
      <c r="BO86" s="29">
        <v>8.9890443836374434</v>
      </c>
      <c r="BP86" s="29">
        <v>9.0476528014702193</v>
      </c>
      <c r="BQ86" s="29">
        <v>9.106218841014508</v>
      </c>
      <c r="BR86" s="29">
        <v>9.1647380769674207</v>
      </c>
      <c r="BS86" s="29">
        <v>9.2232061034085984</v>
      </c>
      <c r="BT86" s="29">
        <v>9.2816185351691676</v>
      </c>
      <c r="BU86" s="29">
        <v>9.339971009181367</v>
      </c>
      <c r="BV86" s="29">
        <v>9.398259185811261</v>
      </c>
      <c r="BW86" s="29">
        <v>9.4564787501690866</v>
      </c>
      <c r="BX86" s="29">
        <v>9.514625413401669</v>
      </c>
      <c r="BY86" s="29">
        <v>9.5726949139615254</v>
      </c>
      <c r="BZ86" s="29">
        <v>9.6306830188547021</v>
      </c>
      <c r="CA86" s="29">
        <v>9.6885855248652817</v>
      </c>
      <c r="CB86" s="29">
        <v>9.7463982597570347</v>
      </c>
      <c r="CC86" s="29">
        <v>9.804117083449988</v>
      </c>
      <c r="CD86" s="29">
        <v>9.861737889172506</v>
      </c>
      <c r="CE86" s="29">
        <v>9.9192566045887904</v>
      </c>
      <c r="CF86" s="29">
        <v>9.9766691928980613</v>
      </c>
      <c r="CG86" s="29">
        <v>10.033971653910559</v>
      </c>
      <c r="CH86" s="29">
        <v>10.091160025092906</v>
      </c>
      <c r="CI86" s="29">
        <v>10.148230382589308</v>
      </c>
      <c r="CJ86" s="29">
        <v>10.205178842212144</v>
      </c>
      <c r="CK86" s="29">
        <v>10.26200156040648</v>
      </c>
      <c r="CL86" s="29">
        <v>10.318694735184252</v>
      </c>
      <c r="CM86" s="29">
        <v>10.375254607030465</v>
      </c>
      <c r="CN86" s="29">
        <v>10.431677459780513</v>
      </c>
      <c r="CO86" s="29">
        <v>10.487959621466182</v>
      </c>
      <c r="CP86" s="29">
        <v>10.544097465133817</v>
      </c>
      <c r="CQ86" s="29">
        <v>10.600087409632039</v>
      </c>
      <c r="CR86" s="29">
        <v>10.655925920369066</v>
      </c>
      <c r="CS86" s="29">
        <v>10.711609510039979</v>
      </c>
      <c r="CT86" s="29">
        <v>10.767134739324005</v>
      </c>
      <c r="CU86" s="29">
        <v>10.822498217550475</v>
      </c>
      <c r="CV86" s="29">
        <v>10.877696603336007</v>
      </c>
      <c r="CW86" s="29">
        <v>10.932726605189924</v>
      </c>
      <c r="CX86" s="29">
        <v>10.987584982089357</v>
      </c>
      <c r="CY86" s="29">
        <v>11.042268544025024</v>
      </c>
      <c r="CZ86" s="29">
        <v>11.09677415251574</v>
      </c>
      <c r="DA86" s="29">
        <v>11.151098721092888</v>
      </c>
      <c r="DB86" s="29">
        <v>11.205239215755316</v>
      </c>
      <c r="DC86" s="29">
        <v>11.259192655394251</v>
      </c>
      <c r="DD86" s="29">
        <v>11.312956112187749</v>
      </c>
      <c r="DE86" s="29">
        <v>11.366526711966788</v>
      </c>
      <c r="DF86" s="29">
        <v>11.419901634550826</v>
      </c>
      <c r="DG86" s="29">
        <v>11.473078114055651</v>
      </c>
      <c r="DH86" s="29">
        <v>11.526053439170836</v>
      </c>
      <c r="DI86" s="29">
        <v>11.57882495341075</v>
      </c>
      <c r="DJ86" s="29">
        <v>11.631390055334817</v>
      </c>
      <c r="DK86" s="29">
        <v>11.683746198742028</v>
      </c>
      <c r="DL86" s="29">
        <v>11.735890892837338</v>
      </c>
      <c r="DM86" s="29">
        <v>11.787821702369504</v>
      </c>
      <c r="DN86" s="29">
        <v>11.839536247744718</v>
      </c>
      <c r="DO86" s="29">
        <v>11.891032205111268</v>
      </c>
      <c r="DP86" s="29">
        <v>11.94230730641929</v>
      </c>
      <c r="DQ86" s="29">
        <v>11.993359339455528</v>
      </c>
      <c r="DR86" s="29">
        <v>12.04418614785134</v>
      </c>
      <c r="DS86">
        <v>12.094785631067278</v>
      </c>
      <c r="DT86">
        <v>12.145155744353092</v>
      </c>
      <c r="DU86">
        <v>12.195294498683134</v>
      </c>
    </row>
    <row r="87" spans="1:125">
      <c r="A87" s="34">
        <v>85</v>
      </c>
      <c r="B87" s="35"/>
      <c r="C87" s="35"/>
      <c r="D87" s="35"/>
      <c r="E87" s="35"/>
      <c r="F87" s="35"/>
      <c r="G87" s="35"/>
      <c r="H87" s="35"/>
      <c r="I87" s="35"/>
      <c r="J87" s="35"/>
      <c r="K87" s="35"/>
      <c r="L87" s="35"/>
      <c r="M87" s="35"/>
      <c r="N87" s="35"/>
      <c r="O87" s="35"/>
      <c r="P87" s="35"/>
      <c r="Q87" s="35"/>
      <c r="R87" s="35"/>
      <c r="S87" s="35"/>
      <c r="T87" s="35"/>
      <c r="U87" s="35"/>
      <c r="V87" s="29"/>
      <c r="W87" s="29">
        <v>6.25</v>
      </c>
      <c r="X87" s="29">
        <v>6.24</v>
      </c>
      <c r="Y87" s="29">
        <v>6.2823724671849694</v>
      </c>
      <c r="Z87" s="29">
        <v>6.3411033764208593</v>
      </c>
      <c r="AA87" s="29">
        <v>6.3777320629930241</v>
      </c>
      <c r="AB87" s="29">
        <v>6.3918653648046737</v>
      </c>
      <c r="AC87" s="29">
        <v>6.4090330020994122</v>
      </c>
      <c r="AD87" s="29">
        <v>6.4458625052049081</v>
      </c>
      <c r="AE87" s="29">
        <v>6.4526115040626895</v>
      </c>
      <c r="AF87" s="29">
        <v>6.5137577359631997</v>
      </c>
      <c r="AG87" s="29">
        <v>6.5171548325827731</v>
      </c>
      <c r="AH87" s="29">
        <v>6.5399497929035757</v>
      </c>
      <c r="AI87" s="29">
        <v>6.5810838578597126</v>
      </c>
      <c r="AJ87" s="29">
        <v>6.6189334050159685</v>
      </c>
      <c r="AK87" s="29">
        <v>6.6441546063763841</v>
      </c>
      <c r="AL87" s="29">
        <v>6.7096648610437306</v>
      </c>
      <c r="AM87" s="29">
        <v>6.7675678603323268</v>
      </c>
      <c r="AN87" s="29">
        <v>6.8272174770428258</v>
      </c>
      <c r="AO87" s="29">
        <v>6.8869946104388449</v>
      </c>
      <c r="AP87" s="29">
        <v>6.946893796146143</v>
      </c>
      <c r="AQ87" s="29">
        <v>7.0058777480713426</v>
      </c>
      <c r="AR87" s="29">
        <v>7.0645803117693609</v>
      </c>
      <c r="AS87" s="29">
        <v>7.122943718124005</v>
      </c>
      <c r="AT87" s="29">
        <v>7.1809196640369697</v>
      </c>
      <c r="AU87" s="29">
        <v>7.2384720646110319</v>
      </c>
      <c r="AV87" s="29">
        <v>7.2955788309756127</v>
      </c>
      <c r="AW87" s="29">
        <v>7.3522325462521092</v>
      </c>
      <c r="AX87" s="29">
        <v>7.4084400207140515</v>
      </c>
      <c r="AY87" s="29">
        <v>7.4642200962356107</v>
      </c>
      <c r="AZ87" s="29">
        <v>7.51960009218545</v>
      </c>
      <c r="BA87" s="29">
        <v>7.575018600140929</v>
      </c>
      <c r="BB87" s="29">
        <v>7.630471303258525</v>
      </c>
      <c r="BC87" s="29">
        <v>7.6859538786033825</v>
      </c>
      <c r="BD87" s="29">
        <v>7.741461998610534</v>
      </c>
      <c r="BE87" s="29">
        <v>7.7969913325458355</v>
      </c>
      <c r="BF87" s="29">
        <v>7.8525375479657527</v>
      </c>
      <c r="BG87" s="29">
        <v>7.9080963121744787</v>
      </c>
      <c r="BH87" s="29">
        <v>7.963663293678148</v>
      </c>
      <c r="BI87" s="29">
        <v>8.0192341636324294</v>
      </c>
      <c r="BJ87" s="29">
        <v>8.0748045972865317</v>
      </c>
      <c r="BK87" s="29">
        <v>8.1303702754173788</v>
      </c>
      <c r="BL87" s="29">
        <v>8.185926885759141</v>
      </c>
      <c r="BM87" s="29">
        <v>8.2414701244197026</v>
      </c>
      <c r="BN87" s="29">
        <v>8.2969956972904004</v>
      </c>
      <c r="BO87" s="29">
        <v>8.3524993214418615</v>
      </c>
      <c r="BP87" s="29">
        <v>8.4079767265093999</v>
      </c>
      <c r="BQ87" s="29">
        <v>8.4634236560638865</v>
      </c>
      <c r="BR87" s="29">
        <v>8.5188358689693295</v>
      </c>
      <c r="BS87" s="29">
        <v>8.5742091407247916</v>
      </c>
      <c r="BT87" s="29">
        <v>8.6295392647910401</v>
      </c>
      <c r="BU87" s="29">
        <v>8.6848220538989409</v>
      </c>
      <c r="BV87" s="29">
        <v>8.7400533413422536</v>
      </c>
      <c r="BW87" s="29">
        <v>8.7952289822492098</v>
      </c>
      <c r="BX87" s="29">
        <v>8.8503448548375463</v>
      </c>
      <c r="BY87" s="29">
        <v>8.9053968616474748</v>
      </c>
      <c r="BZ87" s="29">
        <v>8.9603809307547877</v>
      </c>
      <c r="CA87" s="29">
        <v>9.015293016961996</v>
      </c>
      <c r="CB87" s="29">
        <v>9.0701291029680515</v>
      </c>
      <c r="CC87" s="29">
        <v>9.1248852005144148</v>
      </c>
      <c r="CD87" s="29">
        <v>9.1795573515081017</v>
      </c>
      <c r="CE87" s="29">
        <v>9.2341416291216873</v>
      </c>
      <c r="CF87" s="29">
        <v>9.2886341388664224</v>
      </c>
      <c r="CG87" s="29">
        <v>9.3430310196438029</v>
      </c>
      <c r="CH87" s="29">
        <v>9.3973284447679468</v>
      </c>
      <c r="CI87" s="29">
        <v>9.4515226229654772</v>
      </c>
      <c r="CJ87" s="29">
        <v>9.5056097993462778</v>
      </c>
      <c r="CK87" s="29">
        <v>9.5595862563498439</v>
      </c>
      <c r="CL87" s="29">
        <v>9.6134483146628131</v>
      </c>
      <c r="CM87" s="29">
        <v>9.6671923341101991</v>
      </c>
      <c r="CN87" s="29">
        <v>9.7208147145193049</v>
      </c>
      <c r="CO87" s="29">
        <v>9.7743118965539075</v>
      </c>
      <c r="CP87" s="29">
        <v>9.8276803625222833</v>
      </c>
      <c r="CQ87" s="29">
        <v>9.8809166371563215</v>
      </c>
      <c r="CR87" s="29">
        <v>9.934017288361904</v>
      </c>
      <c r="CS87" s="29">
        <v>9.986978927940795</v>
      </c>
      <c r="CT87" s="29">
        <v>10.039798212284142</v>
      </c>
      <c r="CU87" s="29">
        <v>10.092471843036238</v>
      </c>
      <c r="CV87" s="29">
        <v>10.144996567731109</v>
      </c>
      <c r="CW87" s="29">
        <v>10.197369180398859</v>
      </c>
      <c r="CX87" s="29">
        <v>10.24958652214327</v>
      </c>
      <c r="CY87" s="29">
        <v>10.301645481691589</v>
      </c>
      <c r="CZ87" s="29">
        <v>10.353542995914612</v>
      </c>
      <c r="DA87" s="29">
        <v>10.405276050318154</v>
      </c>
      <c r="DB87" s="29">
        <v>10.456841679506489</v>
      </c>
      <c r="DC87" s="29">
        <v>10.508236967617224</v>
      </c>
      <c r="DD87" s="29">
        <v>10.559459048727161</v>
      </c>
      <c r="DE87" s="29">
        <v>10.610505107231221</v>
      </c>
      <c r="DF87" s="29">
        <v>10.661372378192183</v>
      </c>
      <c r="DG87" s="29">
        <v>10.712058147664141</v>
      </c>
      <c r="DH87" s="29">
        <v>10.762559752986837</v>
      </c>
      <c r="DI87" s="29">
        <v>10.812874583054901</v>
      </c>
      <c r="DJ87" s="29">
        <v>10.863000078557613</v>
      </c>
      <c r="DK87" s="29">
        <v>10.91293373219413</v>
      </c>
      <c r="DL87" s="29">
        <v>10.962673088861898</v>
      </c>
      <c r="DM87" s="29">
        <v>11.012215745817594</v>
      </c>
      <c r="DN87" s="29">
        <v>11.061559352815124</v>
      </c>
      <c r="DO87" s="29">
        <v>11.110701612215694</v>
      </c>
      <c r="DP87" s="29">
        <v>11.159640279074114</v>
      </c>
      <c r="DQ87" s="29">
        <v>11.208373161201152</v>
      </c>
      <c r="DR87" s="29">
        <v>11.256898119200164</v>
      </c>
      <c r="DS87">
        <v>11.305213066481301</v>
      </c>
      <c r="DT87">
        <v>11.353315969252094</v>
      </c>
      <c r="DU87">
        <v>11.401204846484349</v>
      </c>
    </row>
    <row r="88" spans="1:125">
      <c r="A88" s="34">
        <v>86</v>
      </c>
      <c r="B88" s="35"/>
      <c r="C88" s="35"/>
      <c r="D88" s="35"/>
      <c r="E88" s="35"/>
      <c r="F88" s="35"/>
      <c r="G88" s="35"/>
      <c r="H88" s="35"/>
      <c r="I88" s="35"/>
      <c r="J88" s="35"/>
      <c r="K88" s="35"/>
      <c r="L88" s="35"/>
      <c r="M88" s="35"/>
      <c r="N88" s="35"/>
      <c r="O88" s="35"/>
      <c r="P88" s="35"/>
      <c r="Q88" s="35"/>
      <c r="R88" s="35"/>
      <c r="S88" s="35"/>
      <c r="T88" s="35"/>
      <c r="U88" s="35"/>
      <c r="V88" s="29"/>
      <c r="W88" s="29">
        <v>5.78</v>
      </c>
      <c r="X88" s="29">
        <v>5.78</v>
      </c>
      <c r="Y88" s="29">
        <v>5.8303207958812768</v>
      </c>
      <c r="Z88" s="29">
        <v>5.8671698629544204</v>
      </c>
      <c r="AA88" s="29">
        <v>5.9005022551455255</v>
      </c>
      <c r="AB88" s="29">
        <v>5.9145776658881646</v>
      </c>
      <c r="AC88" s="29">
        <v>5.9382590627346836</v>
      </c>
      <c r="AD88" s="29">
        <v>5.9422113230050648</v>
      </c>
      <c r="AE88" s="29">
        <v>5.9656273761521632</v>
      </c>
      <c r="AF88" s="29">
        <v>6.0063319968946445</v>
      </c>
      <c r="AG88" s="29">
        <v>6.026740871895341</v>
      </c>
      <c r="AH88" s="29">
        <v>6.0419482182007247</v>
      </c>
      <c r="AI88" s="29">
        <v>6.0588163304658194</v>
      </c>
      <c r="AJ88" s="29">
        <v>6.0882829488178887</v>
      </c>
      <c r="AK88" s="29">
        <v>6.1437078484144996</v>
      </c>
      <c r="AL88" s="29">
        <v>6.2003184620216079</v>
      </c>
      <c r="AM88" s="29">
        <v>6.2563239512992226</v>
      </c>
      <c r="AN88" s="29">
        <v>6.3124636306095434</v>
      </c>
      <c r="AO88" s="29">
        <v>6.3687323679830756</v>
      </c>
      <c r="AP88" s="29">
        <v>6.4251249833168558</v>
      </c>
      <c r="AQ88" s="29">
        <v>6.4805292001573394</v>
      </c>
      <c r="AR88" s="29">
        <v>6.5356287492777163</v>
      </c>
      <c r="AS88" s="29">
        <v>6.5903637902249379</v>
      </c>
      <c r="AT88" s="29">
        <v>6.6446848040727762</v>
      </c>
      <c r="AU88" s="29">
        <v>6.6985554700658874</v>
      </c>
      <c r="AV88" s="29">
        <v>6.7519544871894368</v>
      </c>
      <c r="AW88" s="29">
        <v>6.804876213224512</v>
      </c>
      <c r="AX88" s="29">
        <v>6.8573301099904285</v>
      </c>
      <c r="AY88" s="29">
        <v>6.9093383330177787</v>
      </c>
      <c r="AZ88" s="29">
        <v>6.9613952011068676</v>
      </c>
      <c r="BA88" s="29">
        <v>7.0134966479784966</v>
      </c>
      <c r="BB88" s="29">
        <v>7.0656385985190315</v>
      </c>
      <c r="BC88" s="29">
        <v>7.1178169701729344</v>
      </c>
      <c r="BD88" s="29">
        <v>7.1700276743354809</v>
      </c>
      <c r="BE88" s="29">
        <v>7.2222666177452881</v>
      </c>
      <c r="BF88" s="29">
        <v>7.2745297038759649</v>
      </c>
      <c r="BG88" s="29">
        <v>7.3268128343253691</v>
      </c>
      <c r="BH88" s="29">
        <v>7.3791119102023695</v>
      </c>
      <c r="BI88" s="29">
        <v>7.431422833507324</v>
      </c>
      <c r="BJ88" s="29">
        <v>7.4837415085096053</v>
      </c>
      <c r="BK88" s="29">
        <v>7.5360638431157296</v>
      </c>
      <c r="BL88" s="29">
        <v>7.5883857502336447</v>
      </c>
      <c r="BM88" s="29">
        <v>7.6407031491245023</v>
      </c>
      <c r="BN88" s="29">
        <v>7.693011966748605</v>
      </c>
      <c r="BO88" s="29">
        <v>7.7453081390982073</v>
      </c>
      <c r="BP88" s="29">
        <v>7.7975876125208323</v>
      </c>
      <c r="BQ88" s="29">
        <v>7.8498463450289702</v>
      </c>
      <c r="BR88" s="29">
        <v>7.9020803075975516</v>
      </c>
      <c r="BS88" s="29">
        <v>7.9542854854468201</v>
      </c>
      <c r="BT88" s="29">
        <v>8.0064578793110854</v>
      </c>
      <c r="BU88" s="29">
        <v>8.0585935066903502</v>
      </c>
      <c r="BV88" s="29">
        <v>8.1106884030876891</v>
      </c>
      <c r="BW88" s="29">
        <v>8.1627386232265557</v>
      </c>
      <c r="BX88" s="29">
        <v>8.2147402422530149</v>
      </c>
      <c r="BY88" s="29">
        <v>8.2666893569171993</v>
      </c>
      <c r="BZ88" s="29">
        <v>8.3185820867363809</v>
      </c>
      <c r="CA88" s="29">
        <v>8.370414575137481</v>
      </c>
      <c r="CB88" s="29">
        <v>8.4221829905797652</v>
      </c>
      <c r="CC88" s="29">
        <v>8.4738835276553015</v>
      </c>
      <c r="CD88" s="29">
        <v>8.5255124081680567</v>
      </c>
      <c r="CE88" s="29">
        <v>8.5770658821915582</v>
      </c>
      <c r="CF88" s="29">
        <v>8.6285402291012065</v>
      </c>
      <c r="CG88" s="29">
        <v>8.6799317585868501</v>
      </c>
      <c r="CH88" s="29">
        <v>8.7312368116376966</v>
      </c>
      <c r="CI88" s="29">
        <v>8.7824517615065609</v>
      </c>
      <c r="CJ88" s="29">
        <v>8.8335730146466442</v>
      </c>
      <c r="CK88" s="29">
        <v>8.8845970116256883</v>
      </c>
      <c r="CL88" s="29">
        <v>8.935520228013031</v>
      </c>
      <c r="CM88" s="29">
        <v>8.9863391752421808</v>
      </c>
      <c r="CN88" s="29">
        <v>9.0370504014478481</v>
      </c>
      <c r="CO88" s="29">
        <v>9.0876504922749817</v>
      </c>
      <c r="CP88" s="29">
        <v>9.1381360716635189</v>
      </c>
      <c r="CQ88" s="29">
        <v>9.1885038026059984</v>
      </c>
      <c r="CR88" s="29">
        <v>9.2387503878782198</v>
      </c>
      <c r="CS88" s="29">
        <v>9.2888725707432513</v>
      </c>
      <c r="CT88" s="29">
        <v>9.3388671356288331</v>
      </c>
      <c r="CU88" s="29">
        <v>9.3887309087768251</v>
      </c>
      <c r="CV88" s="29">
        <v>9.438460758867306</v>
      </c>
      <c r="CW88" s="29">
        <v>9.4880535976141829</v>
      </c>
      <c r="CX88" s="29">
        <v>9.5375063803338236</v>
      </c>
      <c r="CY88" s="29">
        <v>9.5868161064876816</v>
      </c>
      <c r="CZ88" s="29">
        <v>9.635979820196912</v>
      </c>
      <c r="DA88" s="29">
        <v>9.6849946107301204</v>
      </c>
      <c r="DB88" s="29">
        <v>9.7338576129648242</v>
      </c>
      <c r="DC88" s="29">
        <v>9.7825660078220213</v>
      </c>
      <c r="DD88" s="29">
        <v>9.8311170226734124</v>
      </c>
      <c r="DE88" s="29">
        <v>9.8795079317233707</v>
      </c>
      <c r="DF88" s="29">
        <v>9.9277360563633312</v>
      </c>
      <c r="DG88" s="29">
        <v>9.9757987655015423</v>
      </c>
      <c r="DH88" s="29">
        <v>10.023693475865219</v>
      </c>
      <c r="DI88" s="29">
        <v>10.071417652279242</v>
      </c>
      <c r="DJ88" s="29">
        <v>10.11896880791682</v>
      </c>
      <c r="DK88" s="29">
        <v>10.166344504527187</v>
      </c>
      <c r="DL88" s="29">
        <v>10.213542352637925</v>
      </c>
      <c r="DM88" s="29">
        <v>10.260560011731254</v>
      </c>
      <c r="DN88" s="29">
        <v>10.307395190398806</v>
      </c>
      <c r="DO88" s="29">
        <v>10.354045646469848</v>
      </c>
      <c r="DP88" s="29">
        <v>10.40050918711704</v>
      </c>
      <c r="DQ88" s="29">
        <v>10.446783668939631</v>
      </c>
      <c r="DR88" s="29">
        <v>10.492866998022141</v>
      </c>
      <c r="DS88">
        <v>10.538757129971875</v>
      </c>
      <c r="DT88">
        <v>10.584452069934068</v>
      </c>
      <c r="DU88">
        <v>10.629949872584431</v>
      </c>
    </row>
    <row r="89" spans="1:125">
      <c r="A89" s="34">
        <v>87</v>
      </c>
      <c r="B89" s="35"/>
      <c r="C89" s="35"/>
      <c r="D89" s="35"/>
      <c r="E89" s="35"/>
      <c r="F89" s="35"/>
      <c r="G89" s="35"/>
      <c r="H89" s="35"/>
      <c r="I89" s="35"/>
      <c r="J89" s="35"/>
      <c r="K89" s="35"/>
      <c r="L89" s="35"/>
      <c r="M89" s="35"/>
      <c r="N89" s="35"/>
      <c r="O89" s="35"/>
      <c r="P89" s="35"/>
      <c r="Q89" s="35"/>
      <c r="R89" s="35"/>
      <c r="S89" s="35"/>
      <c r="T89" s="35"/>
      <c r="U89" s="35"/>
      <c r="V89" s="29"/>
      <c r="W89" s="29">
        <v>5.35</v>
      </c>
      <c r="X89" s="29">
        <v>5.36</v>
      </c>
      <c r="Y89" s="29">
        <v>5.3882090945537637</v>
      </c>
      <c r="Z89" s="29">
        <v>5.4202123004880889</v>
      </c>
      <c r="AA89" s="29">
        <v>5.4541038378069651</v>
      </c>
      <c r="AB89" s="29">
        <v>5.4752493584044934</v>
      </c>
      <c r="AC89" s="29">
        <v>5.4699376851554504</v>
      </c>
      <c r="AD89" s="29">
        <v>5.4940529699923442</v>
      </c>
      <c r="AE89" s="29">
        <v>5.4914331137610057</v>
      </c>
      <c r="AF89" s="29">
        <v>5.5371382492764596</v>
      </c>
      <c r="AG89" s="29">
        <v>5.5562719577166462</v>
      </c>
      <c r="AH89" s="29">
        <v>5.5576949425735416</v>
      </c>
      <c r="AI89" s="29">
        <v>5.5652533087289866</v>
      </c>
      <c r="AJ89" s="29">
        <v>5.6172185210313081</v>
      </c>
      <c r="AK89" s="29">
        <v>5.6727050916662645</v>
      </c>
      <c r="AL89" s="29">
        <v>5.7250623094425075</v>
      </c>
      <c r="AM89" s="29">
        <v>5.7775566168404096</v>
      </c>
      <c r="AN89" s="29">
        <v>5.8301832244819307</v>
      </c>
      <c r="AO89" s="29">
        <v>5.8829372948497367</v>
      </c>
      <c r="AP89" s="29">
        <v>5.9358139443530238</v>
      </c>
      <c r="AQ89" s="29">
        <v>5.9876073302320325</v>
      </c>
      <c r="AR89" s="29">
        <v>6.0390635289350572</v>
      </c>
      <c r="AS89" s="29">
        <v>6.0901201452344038</v>
      </c>
      <c r="AT89" s="29">
        <v>6.140726176449621</v>
      </c>
      <c r="AU89" s="29">
        <v>6.1908450388176322</v>
      </c>
      <c r="AV89" s="29">
        <v>6.240456438151516</v>
      </c>
      <c r="AW89" s="29">
        <v>6.2895569580365107</v>
      </c>
      <c r="AX89" s="29">
        <v>6.3381593642954526</v>
      </c>
      <c r="AY89" s="29">
        <v>6.3868174302629592</v>
      </c>
      <c r="AZ89" s="29">
        <v>6.4355273593009388</v>
      </c>
      <c r="BA89" s="29">
        <v>6.4842853440023092</v>
      </c>
      <c r="BB89" s="29">
        <v>6.5330875674984519</v>
      </c>
      <c r="BC89" s="29">
        <v>6.581930204770762</v>
      </c>
      <c r="BD89" s="29">
        <v>6.6308094239621349</v>
      </c>
      <c r="BE89" s="29">
        <v>6.679721387688212</v>
      </c>
      <c r="BF89" s="29">
        <v>6.7286622543477721</v>
      </c>
      <c r="BG89" s="29">
        <v>6.7776281794308311</v>
      </c>
      <c r="BH89" s="29">
        <v>6.8266153168244683</v>
      </c>
      <c r="BI89" s="29">
        <v>6.8756198201125436</v>
      </c>
      <c r="BJ89" s="29">
        <v>6.924637843872941</v>
      </c>
      <c r="BK89" s="29">
        <v>6.973665544965673</v>
      </c>
      <c r="BL89" s="29">
        <v>7.0226990838178862</v>
      </c>
      <c r="BM89" s="29">
        <v>7.0717346256966875</v>
      </c>
      <c r="BN89" s="29">
        <v>7.1207683419770254</v>
      </c>
      <c r="BO89" s="29">
        <v>7.1697964113970043</v>
      </c>
      <c r="BP89" s="29">
        <v>7.2188150213046507</v>
      </c>
      <c r="BQ89" s="29">
        <v>7.2678203688918481</v>
      </c>
      <c r="BR89" s="29">
        <v>7.3168086624170767</v>
      </c>
      <c r="BS89" s="29">
        <v>7.3657761224145313</v>
      </c>
      <c r="BT89" s="29">
        <v>7.414718982890256</v>
      </c>
      <c r="BU89" s="29">
        <v>7.4636334925022325</v>
      </c>
      <c r="BV89" s="29">
        <v>7.5125159157275458</v>
      </c>
      <c r="BW89" s="29">
        <v>7.5613625340106241</v>
      </c>
      <c r="BX89" s="29">
        <v>7.6101696468978615</v>
      </c>
      <c r="BY89" s="29">
        <v>7.6589335731527761</v>
      </c>
      <c r="BZ89" s="29">
        <v>7.7076506518542578</v>
      </c>
      <c r="CA89" s="29">
        <v>7.7563172434757188</v>
      </c>
      <c r="CB89" s="29">
        <v>7.8049297309460171</v>
      </c>
      <c r="CC89" s="29">
        <v>7.853484520689678</v>
      </c>
      <c r="CD89" s="29">
        <v>7.9019780436474081</v>
      </c>
      <c r="CE89" s="29">
        <v>7.9504067562768732</v>
      </c>
      <c r="CF89" s="29">
        <v>7.9987671415297266</v>
      </c>
      <c r="CG89" s="29">
        <v>8.0470557098108095</v>
      </c>
      <c r="CH89" s="29">
        <v>8.0952689999112835</v>
      </c>
      <c r="CI89" s="29">
        <v>8.1434035799230529</v>
      </c>
      <c r="CJ89" s="29">
        <v>8.191456048127435</v>
      </c>
      <c r="CK89" s="29">
        <v>8.2394230338631615</v>
      </c>
      <c r="CL89" s="29">
        <v>8.2873011983690823</v>
      </c>
      <c r="CM89" s="29">
        <v>8.3350872356043162</v>
      </c>
      <c r="CN89" s="29">
        <v>8.382777873044839</v>
      </c>
      <c r="CO89" s="29">
        <v>8.4303698724538503</v>
      </c>
      <c r="CP89" s="29">
        <v>8.4778600306299658</v>
      </c>
      <c r="CQ89" s="29">
        <v>8.5252451801301472</v>
      </c>
      <c r="CR89" s="29">
        <v>8.5725221899676338</v>
      </c>
      <c r="CS89" s="29">
        <v>8.6196879662852393</v>
      </c>
      <c r="CT89" s="29">
        <v>8.6667394530039505</v>
      </c>
      <c r="CU89" s="29">
        <v>8.7136736324455928</v>
      </c>
      <c r="CV89" s="29">
        <v>8.7604875259321133</v>
      </c>
      <c r="CW89" s="29">
        <v>8.8071781943583147</v>
      </c>
      <c r="CX89" s="29">
        <v>8.8537427387395979</v>
      </c>
      <c r="CY89" s="29">
        <v>8.9001783007356448</v>
      </c>
      <c r="CZ89" s="29">
        <v>8.9464820631480393</v>
      </c>
      <c r="DA89" s="29">
        <v>8.9926512503929441</v>
      </c>
      <c r="DB89" s="29">
        <v>9.0386831289494314</v>
      </c>
      <c r="DC89" s="29">
        <v>9.0845750077828153</v>
      </c>
      <c r="DD89" s="29">
        <v>9.1303242387425172</v>
      </c>
      <c r="DE89" s="29">
        <v>9.1759282169365743</v>
      </c>
      <c r="DF89" s="29">
        <v>9.2213843810803837</v>
      </c>
      <c r="DG89" s="29">
        <v>9.266690213822681</v>
      </c>
      <c r="DH89" s="29">
        <v>9.3118432420456738</v>
      </c>
      <c r="DI89" s="29">
        <v>9.35684103714358</v>
      </c>
      <c r="DJ89" s="29">
        <v>9.4016812152747828</v>
      </c>
      <c r="DK89" s="29">
        <v>9.4463614375928433</v>
      </c>
      <c r="DL89" s="29">
        <v>9.4908794104538057</v>
      </c>
      <c r="DM89" s="29">
        <v>9.5352328855990951</v>
      </c>
      <c r="DN89" s="29">
        <v>9.579419660318635</v>
      </c>
      <c r="DO89" s="29">
        <v>9.6234375775889411</v>
      </c>
      <c r="DP89" s="29">
        <v>9.6672845261903628</v>
      </c>
      <c r="DQ89" s="29">
        <v>9.7109584408033172</v>
      </c>
      <c r="DR89" s="29">
        <v>9.7544573020814767</v>
      </c>
      <c r="DS89">
        <v>9.7977791367053193</v>
      </c>
      <c r="DT89">
        <v>9.8409220174147194</v>
      </c>
      <c r="DU89">
        <v>9.8838840630203286</v>
      </c>
    </row>
    <row r="90" spans="1:125">
      <c r="A90" s="34">
        <v>88</v>
      </c>
      <c r="B90" s="35"/>
      <c r="C90" s="35"/>
      <c r="D90" s="35"/>
      <c r="E90" s="35"/>
      <c r="F90" s="35"/>
      <c r="G90" s="35"/>
      <c r="H90" s="35"/>
      <c r="I90" s="35"/>
      <c r="J90" s="35"/>
      <c r="K90" s="35"/>
      <c r="L90" s="35"/>
      <c r="M90" s="35"/>
      <c r="N90" s="35"/>
      <c r="O90" s="35"/>
      <c r="P90" s="35"/>
      <c r="Q90" s="35"/>
      <c r="R90" s="35"/>
      <c r="S90" s="35"/>
      <c r="T90" s="35"/>
      <c r="U90" s="35"/>
      <c r="V90" s="29"/>
      <c r="W90" s="29">
        <v>4.97</v>
      </c>
      <c r="X90" s="29">
        <v>4.95</v>
      </c>
      <c r="Y90" s="29">
        <v>4.9721195963142542</v>
      </c>
      <c r="Z90" s="29">
        <v>5.0051560090124241</v>
      </c>
      <c r="AA90" s="29">
        <v>5.0518897132500884</v>
      </c>
      <c r="AB90" s="29">
        <v>5.0315541102646897</v>
      </c>
      <c r="AC90" s="29">
        <v>5.0508004939173734</v>
      </c>
      <c r="AD90" s="29">
        <v>5.0495428126111888</v>
      </c>
      <c r="AE90" s="29">
        <v>5.0513959016783989</v>
      </c>
      <c r="AF90" s="29">
        <v>5.0920462458937239</v>
      </c>
      <c r="AG90" s="29">
        <v>5.101763098372305</v>
      </c>
      <c r="AH90" s="29">
        <v>5.0983183814033524</v>
      </c>
      <c r="AI90" s="29">
        <v>5.1372540954195527</v>
      </c>
      <c r="AJ90" s="29">
        <v>5.1855039355411927</v>
      </c>
      <c r="AK90" s="29">
        <v>5.2342288406138389</v>
      </c>
      <c r="AL90" s="29">
        <v>5.283089991487401</v>
      </c>
      <c r="AM90" s="29">
        <v>5.3320829437212662</v>
      </c>
      <c r="AN90" s="29">
        <v>5.3812032060614534</v>
      </c>
      <c r="AO90" s="29">
        <v>5.4304462423684319</v>
      </c>
      <c r="AP90" s="29">
        <v>5.4798074735748354</v>
      </c>
      <c r="AQ90" s="29">
        <v>5.5279631123080071</v>
      </c>
      <c r="AR90" s="29">
        <v>5.5757380035829565</v>
      </c>
      <c r="AS90" s="29">
        <v>5.6230665895663874</v>
      </c>
      <c r="AT90" s="29">
        <v>5.6698960597510855</v>
      </c>
      <c r="AU90" s="29">
        <v>5.7161895578929984</v>
      </c>
      <c r="AV90" s="29">
        <v>5.7619281064880008</v>
      </c>
      <c r="AW90" s="29">
        <v>5.8071111238010742</v>
      </c>
      <c r="AX90" s="29">
        <v>5.8523536876308366</v>
      </c>
      <c r="AY90" s="29">
        <v>5.8976522830981857</v>
      </c>
      <c r="AZ90" s="29">
        <v>5.943003383481547</v>
      </c>
      <c r="BA90" s="29">
        <v>5.9884034514331974</v>
      </c>
      <c r="BB90" s="29">
        <v>6.0338489401954014</v>
      </c>
      <c r="BC90" s="29">
        <v>6.0793362948203145</v>
      </c>
      <c r="BD90" s="29">
        <v>6.1248619533893631</v>
      </c>
      <c r="BE90" s="29">
        <v>6.1704223482320621</v>
      </c>
      <c r="BF90" s="29">
        <v>6.216013907143811</v>
      </c>
      <c r="BG90" s="29">
        <v>6.2616330546012593</v>
      </c>
      <c r="BH90" s="29">
        <v>6.307276212975478</v>
      </c>
      <c r="BI90" s="29">
        <v>6.3529398037389093</v>
      </c>
      <c r="BJ90" s="29">
        <v>6.3986202486702517</v>
      </c>
      <c r="BK90" s="29">
        <v>6.4443139710502066</v>
      </c>
      <c r="BL90" s="29">
        <v>6.490017396854781</v>
      </c>
      <c r="BM90" s="29">
        <v>6.5357269559365321</v>
      </c>
      <c r="BN90" s="29">
        <v>6.5814390832016656</v>
      </c>
      <c r="BO90" s="29">
        <v>6.627150219774995</v>
      </c>
      <c r="BP90" s="29">
        <v>6.6728568141571589</v>
      </c>
      <c r="BQ90" s="29">
        <v>6.7185553233697188</v>
      </c>
      <c r="BR90" s="29">
        <v>6.7642422140899612</v>
      </c>
      <c r="BS90" s="29">
        <v>6.8099139637729893</v>
      </c>
      <c r="BT90" s="29">
        <v>6.8555670617618869</v>
      </c>
      <c r="BU90" s="29">
        <v>6.9011980103828323</v>
      </c>
      <c r="BV90" s="29">
        <v>6.9468033260285837</v>
      </c>
      <c r="BW90" s="29">
        <v>6.9923795402240936</v>
      </c>
      <c r="BX90" s="29">
        <v>7.0379232006799723</v>
      </c>
      <c r="BY90" s="29">
        <v>7.0834308723277255</v>
      </c>
      <c r="BZ90" s="29">
        <v>7.1288991383395413</v>
      </c>
      <c r="CA90" s="29">
        <v>7.1743246011304516</v>
      </c>
      <c r="CB90" s="29">
        <v>7.2197038833438238</v>
      </c>
      <c r="CC90" s="29">
        <v>7.2650336288177018</v>
      </c>
      <c r="CD90" s="29">
        <v>7.3103105035330911</v>
      </c>
      <c r="CE90" s="29">
        <v>7.3555311965442511</v>
      </c>
      <c r="CF90" s="29">
        <v>7.4006924208868297</v>
      </c>
      <c r="CG90" s="29">
        <v>7.4457909144701597</v>
      </c>
      <c r="CH90" s="29">
        <v>7.490823440945066</v>
      </c>
      <c r="CI90" s="29">
        <v>7.5357867905550409</v>
      </c>
      <c r="CJ90" s="29">
        <v>7.5806777809633656</v>
      </c>
      <c r="CK90" s="29">
        <v>7.6254932580616517</v>
      </c>
      <c r="CL90" s="29">
        <v>7.6702300967549064</v>
      </c>
      <c r="CM90" s="29">
        <v>7.7148852017261031</v>
      </c>
      <c r="CN90" s="29">
        <v>7.7594555081791841</v>
      </c>
      <c r="CO90" s="29">
        <v>7.8039379825578008</v>
      </c>
      <c r="CP90" s="29">
        <v>7.8483296232440143</v>
      </c>
      <c r="CQ90" s="29">
        <v>7.8926274612337419</v>
      </c>
      <c r="CR90" s="29">
        <v>7.9368285607893014</v>
      </c>
      <c r="CS90" s="29">
        <v>7.9809300200693842</v>
      </c>
      <c r="CT90" s="29">
        <v>8.0249289717364523</v>
      </c>
      <c r="CU90" s="29">
        <v>8.0688225835402623</v>
      </c>
      <c r="CV90" s="29">
        <v>8.1126080588801806</v>
      </c>
      <c r="CW90" s="29">
        <v>8.15628263734299</v>
      </c>
      <c r="CX90" s="29">
        <v>8.1998435952178355</v>
      </c>
      <c r="CY90" s="29">
        <v>8.2432882459892465</v>
      </c>
      <c r="CZ90" s="29">
        <v>8.2866139408061397</v>
      </c>
      <c r="DA90" s="29">
        <v>8.3298180689280059</v>
      </c>
      <c r="DB90" s="29">
        <v>8.3728980581488397</v>
      </c>
      <c r="DC90" s="29">
        <v>8.4158513751981197</v>
      </c>
      <c r="DD90" s="29">
        <v>8.4586755261184052</v>
      </c>
      <c r="DE90" s="29">
        <v>8.5013680566216046</v>
      </c>
      <c r="DF90" s="29">
        <v>8.5439265524215031</v>
      </c>
      <c r="DG90" s="29">
        <v>8.586348639545573</v>
      </c>
      <c r="DH90" s="29">
        <v>8.6286319846228672</v>
      </c>
      <c r="DI90" s="29">
        <v>8.6707742951523681</v>
      </c>
      <c r="DJ90" s="29">
        <v>8.7127733197468089</v>
      </c>
      <c r="DK90" s="29">
        <v>8.7546268483573364</v>
      </c>
      <c r="DL90" s="29">
        <v>8.7963327124763655</v>
      </c>
      <c r="DM90" s="29">
        <v>8.8378887853178281</v>
      </c>
      <c r="DN90" s="29">
        <v>8.8792929819795798</v>
      </c>
      <c r="DO90" s="29">
        <v>8.9205432595825087</v>
      </c>
      <c r="DP90" s="29">
        <v>8.9616376173906023</v>
      </c>
      <c r="DQ90" s="29">
        <v>9.0025740969117791</v>
      </c>
      <c r="DR90" s="29">
        <v>9.043350781977356</v>
      </c>
      <c r="DS90">
        <v>9.0839657988035576</v>
      </c>
      <c r="DT90">
        <v>9.1244173160337514</v>
      </c>
      <c r="DU90">
        <v>9.1647035447610392</v>
      </c>
    </row>
    <row r="91" spans="1:125">
      <c r="A91" s="34">
        <v>89</v>
      </c>
      <c r="B91" s="35"/>
      <c r="C91" s="35"/>
      <c r="D91" s="35"/>
      <c r="E91" s="35"/>
      <c r="F91" s="35"/>
      <c r="G91" s="35"/>
      <c r="H91" s="35"/>
      <c r="I91" s="35"/>
      <c r="J91" s="35"/>
      <c r="K91" s="35"/>
      <c r="L91" s="35"/>
      <c r="M91" s="35"/>
      <c r="N91" s="35"/>
      <c r="O91" s="35"/>
      <c r="P91" s="35"/>
      <c r="Q91" s="35"/>
      <c r="R91" s="35"/>
      <c r="S91" s="35"/>
      <c r="T91" s="35"/>
      <c r="U91" s="35"/>
      <c r="V91" s="29"/>
      <c r="W91" s="29">
        <v>4.59</v>
      </c>
      <c r="X91" s="29">
        <v>4.5599999999999996</v>
      </c>
      <c r="Y91" s="29">
        <v>4.5811591573872947</v>
      </c>
      <c r="Z91" s="29">
        <v>4.642404004186532</v>
      </c>
      <c r="AA91" s="29">
        <v>4.6423196723920999</v>
      </c>
      <c r="AB91" s="29">
        <v>4.6417036509278899</v>
      </c>
      <c r="AC91" s="29">
        <v>4.6279777628910486</v>
      </c>
      <c r="AD91" s="29">
        <v>4.6455134564475102</v>
      </c>
      <c r="AE91" s="29">
        <v>4.6439168556024901</v>
      </c>
      <c r="AF91" s="29">
        <v>4.6679057019784889</v>
      </c>
      <c r="AG91" s="29">
        <v>4.6629528478617788</v>
      </c>
      <c r="AH91" s="29">
        <v>4.6944166405032588</v>
      </c>
      <c r="AI91" s="29">
        <v>4.737718030106242</v>
      </c>
      <c r="AJ91" s="29">
        <v>4.782852165417026</v>
      </c>
      <c r="AK91" s="29">
        <v>4.8281180939054869</v>
      </c>
      <c r="AL91" s="29">
        <v>4.8735117109582395</v>
      </c>
      <c r="AM91" s="29">
        <v>4.9190288677967313</v>
      </c>
      <c r="AN91" s="29">
        <v>4.9646653732584491</v>
      </c>
      <c r="AO91" s="29">
        <v>5.0104169956089448</v>
      </c>
      <c r="AP91" s="29">
        <v>5.056279464378072</v>
      </c>
      <c r="AQ91" s="29">
        <v>5.1007790173475032</v>
      </c>
      <c r="AR91" s="29">
        <v>5.1448409605917185</v>
      </c>
      <c r="AS91" s="29">
        <v>5.1883958200283447</v>
      </c>
      <c r="AT91" s="29">
        <v>5.231388597802348</v>
      </c>
      <c r="AU91" s="29">
        <v>5.2737821968664518</v>
      </c>
      <c r="AV91" s="29">
        <v>5.3155594021079162</v>
      </c>
      <c r="AW91" s="29">
        <v>5.3573969918052455</v>
      </c>
      <c r="AX91" s="29">
        <v>5.3992917376471752</v>
      </c>
      <c r="AY91" s="29">
        <v>5.441240399286321</v>
      </c>
      <c r="AZ91" s="29">
        <v>5.4832397254512957</v>
      </c>
      <c r="BA91" s="29">
        <v>5.5252864550642968</v>
      </c>
      <c r="BB91" s="29">
        <v>5.5673773183574182</v>
      </c>
      <c r="BC91" s="29">
        <v>5.6095090379922627</v>
      </c>
      <c r="BD91" s="29">
        <v>5.6516783301782976</v>
      </c>
      <c r="BE91" s="29">
        <v>5.6938819057901169</v>
      </c>
      <c r="BF91" s="29">
        <v>5.7361164714833359</v>
      </c>
      <c r="BG91" s="29">
        <v>5.7783787308077024</v>
      </c>
      <c r="BH91" s="29">
        <v>5.8206653853179242</v>
      </c>
      <c r="BI91" s="29">
        <v>5.8629731356779606</v>
      </c>
      <c r="BJ91" s="29">
        <v>5.9052986827635117</v>
      </c>
      <c r="BK91" s="29">
        <v>5.9476387287551757</v>
      </c>
      <c r="BL91" s="29">
        <v>5.9899899782297155</v>
      </c>
      <c r="BM91" s="29">
        <v>6.0323491392391704</v>
      </c>
      <c r="BN91" s="29">
        <v>6.0747129243865494</v>
      </c>
      <c r="BO91" s="29">
        <v>6.1170780518896279</v>
      </c>
      <c r="BP91" s="29">
        <v>6.1594412466377255</v>
      </c>
      <c r="BQ91" s="29">
        <v>6.2017992412369205</v>
      </c>
      <c r="BR91" s="29">
        <v>6.2441487770457904</v>
      </c>
      <c r="BS91" s="29">
        <v>6.2864866051992259</v>
      </c>
      <c r="BT91" s="29">
        <v>6.3288094876213181</v>
      </c>
      <c r="BU91" s="29">
        <v>6.3711141980240349</v>
      </c>
      <c r="BV91" s="29">
        <v>6.4133975228955693</v>
      </c>
      <c r="BW91" s="29">
        <v>6.4556562624717104</v>
      </c>
      <c r="BX91" s="29">
        <v>6.4978872316965415</v>
      </c>
      <c r="BY91" s="29">
        <v>6.5400872611660334</v>
      </c>
      <c r="BZ91" s="29">
        <v>6.5822531980576358</v>
      </c>
      <c r="CA91" s="29">
        <v>6.6243819070436318</v>
      </c>
      <c r="CB91" s="29">
        <v>6.6664702711893797</v>
      </c>
      <c r="CC91" s="29">
        <v>6.7085151928339002</v>
      </c>
      <c r="CD91" s="29">
        <v>6.7505135944540244</v>
      </c>
      <c r="CE91" s="29">
        <v>6.7924624195123258</v>
      </c>
      <c r="CF91" s="29">
        <v>6.8343586332844017</v>
      </c>
      <c r="CG91" s="29">
        <v>6.8761992236723604</v>
      </c>
      <c r="CH91" s="29">
        <v>6.9179812019953673</v>
      </c>
      <c r="CI91" s="29">
        <v>6.9597016037656614</v>
      </c>
      <c r="CJ91" s="29">
        <v>7.0013574894422268</v>
      </c>
      <c r="CK91" s="29">
        <v>7.042945945167979</v>
      </c>
      <c r="CL91" s="29">
        <v>7.084464083485349</v>
      </c>
      <c r="CM91" s="29">
        <v>7.1259090440334276</v>
      </c>
      <c r="CN91" s="29">
        <v>7.1672779942256435</v>
      </c>
      <c r="CO91" s="29">
        <v>7.2085681299050801</v>
      </c>
      <c r="CP91" s="29">
        <v>7.2497766759820212</v>
      </c>
      <c r="CQ91" s="29">
        <v>7.2909008870502845</v>
      </c>
      <c r="CR91" s="29">
        <v>7.3319380479827911</v>
      </c>
      <c r="CS91" s="29">
        <v>7.3728854745067149</v>
      </c>
      <c r="CT91" s="29">
        <v>7.4137405137582455</v>
      </c>
      <c r="CU91" s="29">
        <v>7.4545005448156063</v>
      </c>
      <c r="CV91" s="29">
        <v>7.4951629792131271</v>
      </c>
      <c r="CW91" s="29">
        <v>7.535725261432952</v>
      </c>
      <c r="CX91" s="29">
        <v>7.5761848693760703</v>
      </c>
      <c r="CY91" s="29">
        <v>7.6165393148136893</v>
      </c>
      <c r="CZ91" s="29">
        <v>7.6567861438167375</v>
      </c>
      <c r="DA91" s="29">
        <v>7.6969229371647518</v>
      </c>
      <c r="DB91" s="29">
        <v>7.7369473107347275</v>
      </c>
      <c r="DC91" s="29">
        <v>7.7768569158692182</v>
      </c>
      <c r="DD91" s="29">
        <v>7.8166494397231547</v>
      </c>
      <c r="DE91" s="29">
        <v>7.8563226055916049</v>
      </c>
      <c r="DF91" s="29">
        <v>7.8958741732158719</v>
      </c>
      <c r="DG91" s="29">
        <v>7.9353019390710662</v>
      </c>
      <c r="DH91" s="29">
        <v>7.9746037366318276</v>
      </c>
      <c r="DI91" s="29">
        <v>8.0137774366207051</v>
      </c>
      <c r="DJ91" s="29">
        <v>8.05282094723397</v>
      </c>
      <c r="DK91" s="29">
        <v>8.0917322143504382</v>
      </c>
      <c r="DL91" s="29">
        <v>8.1305092217204997</v>
      </c>
      <c r="DM91" s="29">
        <v>8.1691499911345034</v>
      </c>
      <c r="DN91" s="29">
        <v>8.2076525825754025</v>
      </c>
      <c r="DO91" s="29">
        <v>8.2460150943499659</v>
      </c>
      <c r="DP91" s="29">
        <v>8.2842356632029084</v>
      </c>
      <c r="DQ91" s="29">
        <v>8.3223124644137609</v>
      </c>
      <c r="DR91" s="29">
        <v>8.3602437118741424</v>
      </c>
      <c r="DS91">
        <v>8.3980276581490099</v>
      </c>
      <c r="DT91">
        <v>8.4356625945204069</v>
      </c>
      <c r="DU91">
        <v>8.4731468510133343</v>
      </c>
    </row>
    <row r="92" spans="1:125">
      <c r="A92" s="34">
        <v>90</v>
      </c>
      <c r="B92" s="35"/>
      <c r="C92" s="35"/>
      <c r="D92" s="35"/>
      <c r="E92" s="35"/>
      <c r="F92" s="35"/>
      <c r="G92" s="35"/>
      <c r="H92" s="35"/>
      <c r="I92" s="35"/>
      <c r="J92" s="35"/>
      <c r="K92" s="35"/>
      <c r="L92" s="35"/>
      <c r="M92" s="35"/>
      <c r="N92" s="35"/>
      <c r="O92" s="35"/>
      <c r="P92" s="35"/>
      <c r="Q92" s="35"/>
      <c r="R92" s="35"/>
      <c r="S92" s="35"/>
      <c r="T92" s="35"/>
      <c r="U92" s="35"/>
      <c r="V92" s="29"/>
      <c r="W92" s="29">
        <v>4.24</v>
      </c>
      <c r="X92" s="29">
        <v>4.21</v>
      </c>
      <c r="Y92" s="29">
        <v>4.2463917752761935</v>
      </c>
      <c r="Z92" s="29">
        <v>4.2578546285444991</v>
      </c>
      <c r="AA92" s="29">
        <v>4.2926253508805798</v>
      </c>
      <c r="AB92" s="29">
        <v>4.254711871261355</v>
      </c>
      <c r="AC92" s="29">
        <v>4.2478689071662652</v>
      </c>
      <c r="AD92" s="29">
        <v>4.2635139989782624</v>
      </c>
      <c r="AE92" s="29">
        <v>4.254095860037399</v>
      </c>
      <c r="AF92" s="29">
        <v>4.2580617629598505</v>
      </c>
      <c r="AG92" s="29">
        <v>4.2866334904247765</v>
      </c>
      <c r="AH92" s="29">
        <v>4.3272661281861211</v>
      </c>
      <c r="AI92" s="29">
        <v>4.3688756469075587</v>
      </c>
      <c r="AJ92" s="29">
        <v>4.4106091095442537</v>
      </c>
      <c r="AK92" s="29">
        <v>4.4524627409894268</v>
      </c>
      <c r="AL92" s="29">
        <v>4.4944327258549182</v>
      </c>
      <c r="AM92" s="29">
        <v>4.5365152101020447</v>
      </c>
      <c r="AN92" s="29">
        <v>4.578706302699139</v>
      </c>
      <c r="AO92" s="29">
        <v>4.6210020773043272</v>
      </c>
      <c r="AP92" s="29">
        <v>4.6633985739664867</v>
      </c>
      <c r="AQ92" s="29">
        <v>4.7042296083055817</v>
      </c>
      <c r="AR92" s="29">
        <v>4.7445498725828132</v>
      </c>
      <c r="AS92" s="29">
        <v>4.7842850484761454</v>
      </c>
      <c r="AT92" s="29">
        <v>4.8233775202192914</v>
      </c>
      <c r="AU92" s="29">
        <v>4.8617900609655598</v>
      </c>
      <c r="AV92" s="29">
        <v>4.9002609350523976</v>
      </c>
      <c r="AW92" s="29">
        <v>4.9387871992749304</v>
      </c>
      <c r="AX92" s="29">
        <v>4.9773658990298904</v>
      </c>
      <c r="AY92" s="29">
        <v>5.01599406932666</v>
      </c>
      <c r="AZ92" s="29">
        <v>5.0546687357950297</v>
      </c>
      <c r="BA92" s="29">
        <v>5.0933869156976961</v>
      </c>
      <c r="BB92" s="29">
        <v>5.1321456189401564</v>
      </c>
      <c r="BC92" s="29">
        <v>5.1709418490833272</v>
      </c>
      <c r="BD92" s="29">
        <v>5.2097726043539883</v>
      </c>
      <c r="BE92" s="29">
        <v>5.2486348786534709</v>
      </c>
      <c r="BF92" s="29">
        <v>5.2875256625644438</v>
      </c>
      <c r="BG92" s="29">
        <v>5.3264419443544719</v>
      </c>
      <c r="BH92" s="29">
        <v>5.3653807109770284</v>
      </c>
      <c r="BI92" s="29">
        <v>5.4043389490655134</v>
      </c>
      <c r="BJ92" s="29">
        <v>5.4433136459256533</v>
      </c>
      <c r="BK92" s="29">
        <v>5.482301790518167</v>
      </c>
      <c r="BL92" s="29">
        <v>5.5213003744400639</v>
      </c>
      <c r="BM92" s="29">
        <v>5.5603063928934855</v>
      </c>
      <c r="BN92" s="29">
        <v>5.5993168456518241</v>
      </c>
      <c r="BO92" s="29">
        <v>5.6383287380140006</v>
      </c>
      <c r="BP92" s="29">
        <v>5.6773390817524056</v>
      </c>
      <c r="BQ92" s="29">
        <v>5.7163448960496819</v>
      </c>
      <c r="BR92" s="29">
        <v>5.7553432084267966</v>
      </c>
      <c r="BS92" s="29">
        <v>5.7943310556598524</v>
      </c>
      <c r="BT92" s="29">
        <v>5.8333054846868908</v>
      </c>
      <c r="BU92" s="29">
        <v>5.8722635535012406</v>
      </c>
      <c r="BV92" s="29">
        <v>5.9112023320357654</v>
      </c>
      <c r="BW92" s="29">
        <v>5.9501189030309227</v>
      </c>
      <c r="BX92" s="29">
        <v>5.9890103628935965</v>
      </c>
      <c r="BY92" s="29">
        <v>6.0278738225398421</v>
      </c>
      <c r="BZ92" s="29">
        <v>6.066706408225035</v>
      </c>
      <c r="CA92" s="29">
        <v>6.1055052623590971</v>
      </c>
      <c r="CB92" s="29">
        <v>6.1442675443081338</v>
      </c>
      <c r="CC92" s="29">
        <v>6.1829904311798218</v>
      </c>
      <c r="CD92" s="29">
        <v>6.2216711185939806</v>
      </c>
      <c r="CE92" s="29">
        <v>6.2603068214386122</v>
      </c>
      <c r="CF92" s="29">
        <v>6.2988947746067812</v>
      </c>
      <c r="CG92" s="29">
        <v>6.3374322337217261</v>
      </c>
      <c r="CH92" s="29">
        <v>6.3759164758405076</v>
      </c>
      <c r="CI92" s="29">
        <v>6.4143448001452406</v>
      </c>
      <c r="CJ92" s="29">
        <v>6.4527145286136429</v>
      </c>
      <c r="CK92" s="29">
        <v>6.4910230066752153</v>
      </c>
      <c r="CL92" s="29">
        <v>6.5292676038476154</v>
      </c>
      <c r="CM92" s="29">
        <v>6.5674457143567144</v>
      </c>
      <c r="CN92" s="29">
        <v>6.6055547577392248</v>
      </c>
      <c r="CO92" s="29">
        <v>6.6435921794249051</v>
      </c>
      <c r="CP92" s="29">
        <v>6.6815554513032414</v>
      </c>
      <c r="CQ92" s="29">
        <v>6.7194420722709953</v>
      </c>
      <c r="CR92" s="29">
        <v>6.757249568761118</v>
      </c>
      <c r="CS92" s="29">
        <v>6.7949754952534178</v>
      </c>
      <c r="CT92" s="29">
        <v>6.8326174347670641</v>
      </c>
      <c r="CU92" s="29">
        <v>6.870172999333473</v>
      </c>
      <c r="CV92" s="29">
        <v>6.9076398304525908</v>
      </c>
      <c r="CW92" s="29">
        <v>6.9450155995289382</v>
      </c>
      <c r="CX92" s="29">
        <v>6.9822980082892281</v>
      </c>
      <c r="CY92" s="29">
        <v>7.0194847891826333</v>
      </c>
      <c r="CZ92" s="29">
        <v>7.0565737057613784</v>
      </c>
      <c r="DA92" s="29">
        <v>7.0935625530429576</v>
      </c>
      <c r="DB92" s="29">
        <v>7.1304491578546081</v>
      </c>
      <c r="DC92" s="29">
        <v>7.1672313791592677</v>
      </c>
      <c r="DD92" s="29">
        <v>7.2039071083624533</v>
      </c>
      <c r="DE92" s="29">
        <v>7.2404742696023758</v>
      </c>
      <c r="DF92" s="29">
        <v>7.2769308200205556</v>
      </c>
      <c r="DG92" s="29">
        <v>7.3132747500161992</v>
      </c>
      <c r="DH92" s="29">
        <v>7.3495040834808423</v>
      </c>
      <c r="DI92" s="29">
        <v>7.3856168780179434</v>
      </c>
      <c r="DJ92" s="29">
        <v>7.4216112251419561</v>
      </c>
      <c r="DK92" s="29">
        <v>7.4574852504626623</v>
      </c>
      <c r="DL92" s="29">
        <v>7.4932371138518343</v>
      </c>
      <c r="DM92" s="29">
        <v>7.5288650095912768</v>
      </c>
      <c r="DN92" s="29">
        <v>7.564367166507366</v>
      </c>
      <c r="DO92" s="29">
        <v>7.5997418480860697</v>
      </c>
      <c r="DP92" s="29">
        <v>7.634987352573015</v>
      </c>
      <c r="DQ92" s="29">
        <v>7.6701020130583117</v>
      </c>
      <c r="DR92" s="29">
        <v>7.7050841975436946</v>
      </c>
      <c r="DS92">
        <v>7.7399323089956598</v>
      </c>
      <c r="DT92">
        <v>7.7746447853830185</v>
      </c>
      <c r="DU92">
        <v>7.8092200996984245</v>
      </c>
    </row>
    <row r="93" spans="1:125">
      <c r="A93" s="34">
        <v>91</v>
      </c>
      <c r="B93" s="35"/>
      <c r="C93" s="35"/>
      <c r="D93" s="35"/>
      <c r="E93" s="35"/>
      <c r="F93" s="35"/>
      <c r="G93" s="35"/>
      <c r="H93" s="35"/>
      <c r="I93" s="35"/>
      <c r="J93" s="35"/>
      <c r="K93" s="35"/>
      <c r="L93" s="35"/>
      <c r="M93" s="35"/>
      <c r="N93" s="35"/>
      <c r="O93" s="35"/>
      <c r="P93" s="35"/>
      <c r="Q93" s="35"/>
      <c r="R93" s="35"/>
      <c r="S93" s="35"/>
      <c r="T93" s="35"/>
      <c r="U93" s="35"/>
      <c r="V93" s="29"/>
      <c r="W93" s="29">
        <v>3.93</v>
      </c>
      <c r="X93" s="29">
        <v>3.9</v>
      </c>
      <c r="Y93" s="29">
        <v>3.8848813470990504</v>
      </c>
      <c r="Z93" s="29">
        <v>3.9456498543081699</v>
      </c>
      <c r="AA93" s="29">
        <v>3.9460627379008764</v>
      </c>
      <c r="AB93" s="29">
        <v>3.9140583658214116</v>
      </c>
      <c r="AC93" s="29">
        <v>3.9012464126595066</v>
      </c>
      <c r="AD93" s="29">
        <v>3.9007478348897804</v>
      </c>
      <c r="AE93" s="29">
        <v>3.8815888605718798</v>
      </c>
      <c r="AF93" s="29">
        <v>3.9183583600436598</v>
      </c>
      <c r="AG93" s="29">
        <v>3.9519241628660025</v>
      </c>
      <c r="AH93" s="29">
        <v>3.9900917969333882</v>
      </c>
      <c r="AI93" s="29">
        <v>4.0283723929962347</v>
      </c>
      <c r="AJ93" s="29">
        <v>4.0667624934673077</v>
      </c>
      <c r="AK93" s="29">
        <v>4.1052586054266094</v>
      </c>
      <c r="AL93" s="29">
        <v>4.1438572021048374</v>
      </c>
      <c r="AM93" s="29">
        <v>4.1825547243818368</v>
      </c>
      <c r="AN93" s="29">
        <v>4.2213475823060662</v>
      </c>
      <c r="AO93" s="29">
        <v>4.2602321566338635</v>
      </c>
      <c r="AP93" s="29">
        <v>4.2992048003808128</v>
      </c>
      <c r="AQ93" s="29">
        <v>4.3363497315839448</v>
      </c>
      <c r="AR93" s="29">
        <v>4.372890255715193</v>
      </c>
      <c r="AS93" s="29">
        <v>4.4087460661703819</v>
      </c>
      <c r="AT93" s="29">
        <v>4.4438564570855394</v>
      </c>
      <c r="AU93" s="29">
        <v>4.4790204671528606</v>
      </c>
      <c r="AV93" s="29">
        <v>4.5142354325741207</v>
      </c>
      <c r="AW93" s="29">
        <v>4.5494986795405641</v>
      </c>
      <c r="AX93" s="29">
        <v>4.5848075251269602</v>
      </c>
      <c r="AY93" s="29">
        <v>4.6201592781955707</v>
      </c>
      <c r="AZ93" s="29">
        <v>4.6555512402948045</v>
      </c>
      <c r="BA93" s="29">
        <v>4.6909807065619198</v>
      </c>
      <c r="BB93" s="29">
        <v>4.7264449666216244</v>
      </c>
      <c r="BC93" s="29">
        <v>4.7619413054868431</v>
      </c>
      <c r="BD93" s="29">
        <v>4.7974670044562995</v>
      </c>
      <c r="BE93" s="29">
        <v>4.8330193420095844</v>
      </c>
      <c r="BF93" s="29">
        <v>4.868595594699757</v>
      </c>
      <c r="BG93" s="29">
        <v>4.9041930380421812</v>
      </c>
      <c r="BH93" s="29">
        <v>4.9398089474005431</v>
      </c>
      <c r="BI93" s="29">
        <v>4.9754405988652586</v>
      </c>
      <c r="BJ93" s="29">
        <v>5.0110852701304749</v>
      </c>
      <c r="BK93" s="29">
        <v>5.0467402413607809</v>
      </c>
      <c r="BL93" s="29">
        <v>5.0824027960571181</v>
      </c>
      <c r="BM93" s="29">
        <v>5.1180702219097469</v>
      </c>
      <c r="BN93" s="29">
        <v>5.1537398116492188</v>
      </c>
      <c r="BO93" s="29">
        <v>5.1894088638854363</v>
      </c>
      <c r="BP93" s="29">
        <v>5.2250746839410329</v>
      </c>
      <c r="BQ93" s="29">
        <v>5.2607345846739086</v>
      </c>
      <c r="BR93" s="29">
        <v>5.2963858872917635</v>
      </c>
      <c r="BS93" s="29">
        <v>5.3320259221559736</v>
      </c>
      <c r="BT93" s="29">
        <v>5.3676520295763321</v>
      </c>
      <c r="BU93" s="29">
        <v>5.4032615605929779</v>
      </c>
      <c r="BV93" s="29">
        <v>5.4388518777504604</v>
      </c>
      <c r="BW93" s="29">
        <v>5.474420355856263</v>
      </c>
      <c r="BX93" s="29">
        <v>5.5099643827315594</v>
      </c>
      <c r="BY93" s="29">
        <v>5.5454813599467938</v>
      </c>
      <c r="BZ93" s="29">
        <v>5.5809687035460183</v>
      </c>
      <c r="CA93" s="29">
        <v>5.6164238447575761</v>
      </c>
      <c r="CB93" s="29">
        <v>5.6518442306926637</v>
      </c>
      <c r="CC93" s="29">
        <v>5.6872273250289718</v>
      </c>
      <c r="CD93" s="29">
        <v>5.7225706086810861</v>
      </c>
      <c r="CE93" s="29">
        <v>5.7578715804580325</v>
      </c>
      <c r="CF93" s="29">
        <v>5.7931277577030036</v>
      </c>
      <c r="CG93" s="29">
        <v>5.8283366769234117</v>
      </c>
      <c r="CH93" s="29">
        <v>5.8634958944007911</v>
      </c>
      <c r="CI93" s="29">
        <v>5.898602986790463</v>
      </c>
      <c r="CJ93" s="29">
        <v>5.9336555517020306</v>
      </c>
      <c r="CK93" s="29">
        <v>5.9686512082676604</v>
      </c>
      <c r="CL93" s="29">
        <v>6.0035875976922668</v>
      </c>
      <c r="CM93" s="29">
        <v>6.0384623837894766</v>
      </c>
      <c r="CN93" s="29">
        <v>6.0732732535021903</v>
      </c>
      <c r="CO93" s="29">
        <v>6.1080179174045632</v>
      </c>
      <c r="CP93" s="29">
        <v>6.1426941101907442</v>
      </c>
      <c r="CQ93" s="29">
        <v>6.1772995911465038</v>
      </c>
      <c r="CR93" s="29">
        <v>6.2118321446043261</v>
      </c>
      <c r="CS93" s="29">
        <v>6.2462895803824185</v>
      </c>
      <c r="CT93" s="29">
        <v>6.2806697342077547</v>
      </c>
      <c r="CU93" s="29">
        <v>6.3149704681215955</v>
      </c>
      <c r="CV93" s="29">
        <v>6.3491896708707598</v>
      </c>
      <c r="CW93" s="29">
        <v>6.3833252582807525</v>
      </c>
      <c r="CX93" s="29">
        <v>6.4173751736127045</v>
      </c>
      <c r="CY93" s="29">
        <v>6.4513373879052871</v>
      </c>
      <c r="CZ93" s="29">
        <v>6.4852099002991057</v>
      </c>
      <c r="DA93" s="29">
        <v>6.5189907383449919</v>
      </c>
      <c r="DB93" s="29">
        <v>6.5526779582968313</v>
      </c>
      <c r="DC93" s="29">
        <v>6.5862696453881266</v>
      </c>
      <c r="DD93" s="29">
        <v>6.6197639140916653</v>
      </c>
      <c r="DE93" s="29">
        <v>6.653158908364774</v>
      </c>
      <c r="DF93" s="29">
        <v>6.6864528018772047</v>
      </c>
      <c r="DG93" s="29">
        <v>6.7196437982251327</v>
      </c>
      <c r="DH93" s="29">
        <v>6.7527301311275103</v>
      </c>
      <c r="DI93" s="29">
        <v>6.7857100646097397</v>
      </c>
      <c r="DJ93" s="29">
        <v>6.8185818931688456</v>
      </c>
      <c r="DK93" s="29">
        <v>6.8513439419262339</v>
      </c>
      <c r="DL93" s="29">
        <v>6.8839945667649163</v>
      </c>
      <c r="DM93" s="29">
        <v>6.9165321544501568</v>
      </c>
      <c r="DN93" s="29">
        <v>6.9489551227389272</v>
      </c>
      <c r="DO93" s="29">
        <v>6.9812619204717956</v>
      </c>
      <c r="DP93" s="29">
        <v>7.0134510276519926</v>
      </c>
      <c r="DQ93" s="29">
        <v>7.0455209555113507</v>
      </c>
      <c r="DR93" s="29">
        <v>7.0774702465605097</v>
      </c>
      <c r="DS93">
        <v>7.109297474627172</v>
      </c>
      <c r="DT93">
        <v>7.1410012448807905</v>
      </c>
      <c r="DU93">
        <v>7.1725801938430784</v>
      </c>
    </row>
    <row r="94" spans="1:125">
      <c r="A94" s="34">
        <v>92</v>
      </c>
      <c r="B94" s="35"/>
      <c r="C94" s="35"/>
      <c r="D94" s="35"/>
      <c r="E94" s="35"/>
      <c r="F94" s="35"/>
      <c r="G94" s="35"/>
      <c r="H94" s="35"/>
      <c r="I94" s="35"/>
      <c r="J94" s="35"/>
      <c r="K94" s="35"/>
      <c r="L94" s="35"/>
      <c r="M94" s="35"/>
      <c r="N94" s="35"/>
      <c r="O94" s="35"/>
      <c r="P94" s="35"/>
      <c r="Q94" s="35"/>
      <c r="R94" s="35"/>
      <c r="S94" s="35"/>
      <c r="T94" s="35"/>
      <c r="U94" s="35"/>
      <c r="V94" s="29"/>
      <c r="W94" s="29">
        <v>3.66</v>
      </c>
      <c r="X94" s="29">
        <v>3.58</v>
      </c>
      <c r="Y94" s="29">
        <v>3.6000735881867367</v>
      </c>
      <c r="Z94" s="29">
        <v>3.6243353685405557</v>
      </c>
      <c r="AA94" s="29">
        <v>3.6542541200505085</v>
      </c>
      <c r="AB94" s="29">
        <v>3.6048386054484647</v>
      </c>
      <c r="AC94" s="29">
        <v>3.5615076672813237</v>
      </c>
      <c r="AD94" s="29">
        <v>3.5531480220392671</v>
      </c>
      <c r="AE94" s="29">
        <v>3.567289034005702</v>
      </c>
      <c r="AF94" s="29">
        <v>3.6094702787298396</v>
      </c>
      <c r="AG94" s="29">
        <v>3.6442851677247639</v>
      </c>
      <c r="AH94" s="29">
        <v>3.6791992132563269</v>
      </c>
      <c r="AI94" s="29">
        <v>3.7142092656767751</v>
      </c>
      <c r="AJ94" s="29">
        <v>3.7493121457716052</v>
      </c>
      <c r="AK94" s="29">
        <v>3.7845046460796876</v>
      </c>
      <c r="AL94" s="29">
        <v>3.8197835322361988</v>
      </c>
      <c r="AM94" s="29">
        <v>3.8551455443237157</v>
      </c>
      <c r="AN94" s="29">
        <v>3.8905873982391692</v>
      </c>
      <c r="AO94" s="29">
        <v>3.9261057870756719</v>
      </c>
      <c r="AP94" s="29">
        <v>3.9616973825106059</v>
      </c>
      <c r="AQ94" s="29">
        <v>3.9951183847225464</v>
      </c>
      <c r="AR94" s="29">
        <v>4.0278149094479394</v>
      </c>
      <c r="AS94" s="29">
        <v>4.0596992484118122</v>
      </c>
      <c r="AT94" s="29">
        <v>4.0916301071219427</v>
      </c>
      <c r="AU94" s="29">
        <v>4.1236050937118334</v>
      </c>
      <c r="AV94" s="29">
        <v>4.155621808282441</v>
      </c>
      <c r="AW94" s="29">
        <v>4.1876778436935798</v>
      </c>
      <c r="AX94" s="29">
        <v>4.2197707863478566</v>
      </c>
      <c r="AY94" s="29">
        <v>4.2518982169845501</v>
      </c>
      <c r="AZ94" s="29">
        <v>4.2840577114659677</v>
      </c>
      <c r="BA94" s="29">
        <v>4.3162468415673576</v>
      </c>
      <c r="BB94" s="29">
        <v>4.3484631757611201</v>
      </c>
      <c r="BC94" s="29">
        <v>4.3807042800028109</v>
      </c>
      <c r="BD94" s="29">
        <v>4.4129677185128937</v>
      </c>
      <c r="BE94" s="29">
        <v>4.4452510545552828</v>
      </c>
      <c r="BF94" s="29">
        <v>4.477551851212886</v>
      </c>
      <c r="BG94" s="29">
        <v>4.5098676721588475</v>
      </c>
      <c r="BH94" s="29">
        <v>4.5421960824247769</v>
      </c>
      <c r="BI94" s="29">
        <v>4.5745346491606709</v>
      </c>
      <c r="BJ94" s="29">
        <v>4.6068809423937678</v>
      </c>
      <c r="BK94" s="29">
        <v>4.6392325357764177</v>
      </c>
      <c r="BL94" s="29">
        <v>4.6715870073339198</v>
      </c>
      <c r="BM94" s="29">
        <v>4.7039419401986908</v>
      </c>
      <c r="BN94" s="29">
        <v>4.7362949233433902</v>
      </c>
      <c r="BO94" s="29">
        <v>4.7686435523018709</v>
      </c>
      <c r="BP94" s="29">
        <v>4.8009854298852215</v>
      </c>
      <c r="BQ94" s="29">
        <v>4.8333181668871665</v>
      </c>
      <c r="BR94" s="29">
        <v>4.8656393827822271</v>
      </c>
      <c r="BS94" s="29">
        <v>4.8979467064137507</v>
      </c>
      <c r="BT94" s="29">
        <v>4.9302377766736942</v>
      </c>
      <c r="BU94" s="29">
        <v>4.962510243170148</v>
      </c>
      <c r="BV94" s="29">
        <v>4.9947617668882822</v>
      </c>
      <c r="BW94" s="29">
        <v>5.0269900208362612</v>
      </c>
      <c r="BX94" s="29">
        <v>5.059192690684915</v>
      </c>
      <c r="BY94" s="29">
        <v>5.0913674753930174</v>
      </c>
      <c r="BZ94" s="29">
        <v>5.1235120878226876</v>
      </c>
      <c r="CA94" s="29">
        <v>5.1556242553423228</v>
      </c>
      <c r="CB94" s="29">
        <v>5.1877017204188505</v>
      </c>
      <c r="CC94" s="29">
        <v>5.2197422411963315</v>
      </c>
      <c r="CD94" s="29">
        <v>5.2517435920628355</v>
      </c>
      <c r="CE94" s="29">
        <v>5.2837035642061148</v>
      </c>
      <c r="CF94" s="29">
        <v>5.3156199661526804</v>
      </c>
      <c r="CG94" s="29">
        <v>5.347490624299339</v>
      </c>
      <c r="CH94" s="29">
        <v>5.3793133834257292</v>
      </c>
      <c r="CI94" s="29">
        <v>5.411086107198825</v>
      </c>
      <c r="CJ94" s="29">
        <v>5.4428066786596672</v>
      </c>
      <c r="CK94" s="29">
        <v>5.4744730007000149</v>
      </c>
      <c r="CL94" s="29">
        <v>5.5060829965225286</v>
      </c>
      <c r="CM94" s="29">
        <v>5.5376346100887677</v>
      </c>
      <c r="CN94" s="29">
        <v>5.5691258065537745</v>
      </c>
      <c r="CO94" s="29">
        <v>5.6005545726838184</v>
      </c>
      <c r="CP94" s="29">
        <v>5.631918917263163</v>
      </c>
      <c r="CQ94" s="29">
        <v>5.6632168714856608</v>
      </c>
      <c r="CR94" s="29">
        <v>5.6944464893318623</v>
      </c>
      <c r="CS94" s="29">
        <v>5.7256058479321403</v>
      </c>
      <c r="CT94" s="29">
        <v>5.7566930479159897</v>
      </c>
      <c r="CU94" s="29">
        <v>5.7877062137458459</v>
      </c>
      <c r="CV94" s="29">
        <v>5.8186434940389606</v>
      </c>
      <c r="CW94" s="29">
        <v>5.8495030618731665</v>
      </c>
      <c r="CX94" s="29">
        <v>5.8802831150786359</v>
      </c>
      <c r="CY94" s="29">
        <v>5.910981876516904</v>
      </c>
      <c r="CZ94" s="29">
        <v>5.9415975943444694</v>
      </c>
      <c r="DA94" s="29">
        <v>5.9721285422625119</v>
      </c>
      <c r="DB94" s="29">
        <v>6.0025730197533909</v>
      </c>
      <c r="DC94" s="29">
        <v>6.0329293523030874</v>
      </c>
      <c r="DD94" s="29">
        <v>6.0631958916088902</v>
      </c>
      <c r="DE94" s="29">
        <v>6.0933710157749763</v>
      </c>
      <c r="DF94" s="29">
        <v>6.123453129492721</v>
      </c>
      <c r="DG94" s="29">
        <v>6.1534406642094446</v>
      </c>
      <c r="DH94" s="29">
        <v>6.1833320782815484</v>
      </c>
      <c r="DI94" s="29">
        <v>6.2131258571173529</v>
      </c>
      <c r="DJ94" s="29">
        <v>6.2428205133033714</v>
      </c>
      <c r="DK94" s="29">
        <v>6.2724145867205179</v>
      </c>
      <c r="DL94" s="29">
        <v>6.3019066446468752</v>
      </c>
      <c r="DM94" s="29">
        <v>6.3312952818459074</v>
      </c>
      <c r="DN94" s="29">
        <v>6.3605791206457996</v>
      </c>
      <c r="DO94" s="29">
        <v>6.389756811003112</v>
      </c>
      <c r="DP94" s="29">
        <v>6.4188270305558008</v>
      </c>
      <c r="DQ94" s="29">
        <v>6.4477884846651801</v>
      </c>
      <c r="DR94" s="29">
        <v>6.4766399064440803</v>
      </c>
      <c r="DS94">
        <v>6.5053800567751612</v>
      </c>
      <c r="DT94">
        <v>6.5340077243176005</v>
      </c>
      <c r="DU94">
        <v>6.5625217255015249</v>
      </c>
    </row>
    <row r="95" spans="1:125">
      <c r="A95" s="34">
        <v>93</v>
      </c>
      <c r="B95" s="35"/>
      <c r="C95" s="35"/>
      <c r="D95" s="35"/>
      <c r="E95" s="35"/>
      <c r="F95" s="35"/>
      <c r="G95" s="35"/>
      <c r="H95" s="35"/>
      <c r="I95" s="35"/>
      <c r="J95" s="35"/>
      <c r="K95" s="35"/>
      <c r="L95" s="35"/>
      <c r="M95" s="35"/>
      <c r="N95" s="35"/>
      <c r="O95" s="35"/>
      <c r="P95" s="35"/>
      <c r="Q95" s="35"/>
      <c r="R95" s="35"/>
      <c r="S95" s="35"/>
      <c r="T95" s="35"/>
      <c r="U95" s="35"/>
      <c r="V95" s="29"/>
      <c r="W95" s="29">
        <v>3.38</v>
      </c>
      <c r="X95" s="29">
        <v>3.32</v>
      </c>
      <c r="Y95" s="29">
        <v>3.2973836590533137</v>
      </c>
      <c r="Z95" s="29">
        <v>3.3611320423816498</v>
      </c>
      <c r="AA95" s="29">
        <v>3.3898356545946555</v>
      </c>
      <c r="AB95" s="29">
        <v>3.3041483402725915</v>
      </c>
      <c r="AC95" s="29">
        <v>3.2519229168104822</v>
      </c>
      <c r="AD95" s="29">
        <v>3.2700728781348443</v>
      </c>
      <c r="AE95" s="29">
        <v>3.2978051060771221</v>
      </c>
      <c r="AF95" s="29">
        <v>3.329349462667023</v>
      </c>
      <c r="AG95" s="29">
        <v>3.3609767335394203</v>
      </c>
      <c r="AH95" s="29">
        <v>3.3926840736999924</v>
      </c>
      <c r="AI95" s="29">
        <v>3.4244686147892982</v>
      </c>
      <c r="AJ95" s="29">
        <v>3.4563274662447485</v>
      </c>
      <c r="AK95" s="29">
        <v>3.4882577164714235</v>
      </c>
      <c r="AL95" s="29">
        <v>3.5202564340319538</v>
      </c>
      <c r="AM95" s="29">
        <v>3.552320668838064</v>
      </c>
      <c r="AN95" s="29">
        <v>3.5844474533536594</v>
      </c>
      <c r="AO95" s="29">
        <v>3.6166338038086665</v>
      </c>
      <c r="AP95" s="29">
        <v>3.6488767214137261</v>
      </c>
      <c r="AQ95" s="29">
        <v>3.6784946821344562</v>
      </c>
      <c r="AR95" s="29">
        <v>3.707233019235086</v>
      </c>
      <c r="AS95" s="29">
        <v>3.7360087220315981</v>
      </c>
      <c r="AT95" s="29">
        <v>3.7648196638512128</v>
      </c>
      <c r="AU95" s="29">
        <v>3.7936637123671408</v>
      </c>
      <c r="AV95" s="29">
        <v>3.8225387302778948</v>
      </c>
      <c r="AW95" s="29">
        <v>3.8514425759897737</v>
      </c>
      <c r="AX95" s="29">
        <v>3.8803731042891423</v>
      </c>
      <c r="AY95" s="29">
        <v>3.9093281670252957</v>
      </c>
      <c r="AZ95" s="29">
        <v>3.9383056137834314</v>
      </c>
      <c r="BA95" s="29">
        <v>3.9673032925610197</v>
      </c>
      <c r="BB95" s="29">
        <v>3.9963190504368691</v>
      </c>
      <c r="BC95" s="29">
        <v>4.0253507342418535</v>
      </c>
      <c r="BD95" s="29">
        <v>4.0543961912244297</v>
      </c>
      <c r="BE95" s="29">
        <v>4.0834532697123187</v>
      </c>
      <c r="BF95" s="29">
        <v>4.1125198197707995</v>
      </c>
      <c r="BG95" s="29">
        <v>4.1415936938562643</v>
      </c>
      <c r="BH95" s="29">
        <v>4.1706727474666918</v>
      </c>
      <c r="BI95" s="29">
        <v>4.1997548397830942</v>
      </c>
      <c r="BJ95" s="29">
        <v>4.228837834310462</v>
      </c>
      <c r="BK95" s="29">
        <v>4.2579195995069297</v>
      </c>
      <c r="BL95" s="29">
        <v>4.2869980094139244</v>
      </c>
      <c r="BM95" s="29">
        <v>4.3160709442717815</v>
      </c>
      <c r="BN95" s="29">
        <v>4.3451362911354821</v>
      </c>
      <c r="BO95" s="29">
        <v>4.3741919444778574</v>
      </c>
      <c r="BP95" s="29">
        <v>4.4032358067887811</v>
      </c>
      <c r="BQ95" s="29">
        <v>4.4322657891638846</v>
      </c>
      <c r="BR95" s="29">
        <v>4.4612798118868406</v>
      </c>
      <c r="BS95" s="29">
        <v>4.4902758050020344</v>
      </c>
      <c r="BT95" s="29">
        <v>4.5192517088799171</v>
      </c>
      <c r="BU95" s="29">
        <v>4.5482054747705769</v>
      </c>
      <c r="BV95" s="29">
        <v>4.5771350653521026</v>
      </c>
      <c r="BW95" s="29">
        <v>4.6060384552643017</v>
      </c>
      <c r="BX95" s="29">
        <v>4.6349136316377795</v>
      </c>
      <c r="BY95" s="29">
        <v>4.6637585946093161</v>
      </c>
      <c r="BZ95" s="29">
        <v>4.6925713578287196</v>
      </c>
      <c r="CA95" s="29">
        <v>4.7213499489543462</v>
      </c>
      <c r="CB95" s="29">
        <v>4.7500924101393753</v>
      </c>
      <c r="CC95" s="29">
        <v>4.7787967985056081</v>
      </c>
      <c r="CD95" s="29">
        <v>4.8074611866070276</v>
      </c>
      <c r="CE95" s="29">
        <v>4.8360836628837864</v>
      </c>
      <c r="CF95" s="29">
        <v>4.8646623321006599</v>
      </c>
      <c r="CG95" s="29">
        <v>4.8931953157801713</v>
      </c>
      <c r="CH95" s="29">
        <v>4.9216807526176476</v>
      </c>
      <c r="CI95" s="29">
        <v>4.9501167988905239</v>
      </c>
      <c r="CJ95" s="29">
        <v>4.9785016288510748</v>
      </c>
      <c r="CK95" s="29">
        <v>5.0068334351112203</v>
      </c>
      <c r="CL95" s="29">
        <v>5.0351104290123452</v>
      </c>
      <c r="CM95" s="29">
        <v>5.0633308409849276</v>
      </c>
      <c r="CN95" s="29">
        <v>5.0914929208966768</v>
      </c>
      <c r="CO95" s="29">
        <v>5.1195949383854087</v>
      </c>
      <c r="CP95" s="29">
        <v>5.1476351831832048</v>
      </c>
      <c r="CQ95" s="29">
        <v>5.1756119654272306</v>
      </c>
      <c r="CR95" s="29">
        <v>5.2035236159580114</v>
      </c>
      <c r="CS95" s="29">
        <v>5.2313684866057448</v>
      </c>
      <c r="CT95" s="29">
        <v>5.2591449504648473</v>
      </c>
      <c r="CU95" s="29">
        <v>5.2868514021549391</v>
      </c>
      <c r="CV95" s="29">
        <v>5.3144862580721659</v>
      </c>
      <c r="CW95" s="29">
        <v>5.3420479566262857</v>
      </c>
      <c r="CX95" s="29">
        <v>5.36953495846587</v>
      </c>
      <c r="CY95" s="29">
        <v>5.3969457466929809</v>
      </c>
      <c r="CZ95" s="29">
        <v>5.4242788270644189</v>
      </c>
      <c r="DA95" s="29">
        <v>5.4515327281811983</v>
      </c>
      <c r="DB95" s="29">
        <v>5.4787060016670104</v>
      </c>
      <c r="DC95" s="29">
        <v>5.5057972223347127</v>
      </c>
      <c r="DD95" s="29">
        <v>5.5328049883401089</v>
      </c>
      <c r="DE95" s="29">
        <v>5.5597279213258872</v>
      </c>
      <c r="DF95" s="29">
        <v>5.5865646665522544</v>
      </c>
      <c r="DG95" s="29">
        <v>5.6133138930182813</v>
      </c>
      <c r="DH95" s="29">
        <v>5.6399742935695727</v>
      </c>
      <c r="DI95" s="29">
        <v>5.666544584997963</v>
      </c>
      <c r="DJ95" s="29">
        <v>5.69302350812647</v>
      </c>
      <c r="DK95" s="29">
        <v>5.7194098278864915</v>
      </c>
      <c r="DL95" s="29">
        <v>5.7457023333835737</v>
      </c>
      <c r="DM95" s="29">
        <v>5.7718998379505457</v>
      </c>
      <c r="DN95" s="29">
        <v>5.7980011791940766</v>
      </c>
      <c r="DO95" s="29">
        <v>5.8240052190273346</v>
      </c>
      <c r="DP95" s="29">
        <v>5.8499108436941176</v>
      </c>
      <c r="DQ95" s="29">
        <v>5.8757169637839821</v>
      </c>
      <c r="DR95" s="29">
        <v>5.9014225142353895</v>
      </c>
      <c r="DS95">
        <v>5.9270264543310702</v>
      </c>
      <c r="DT95">
        <v>5.9525277676836739</v>
      </c>
      <c r="DU95">
        <v>5.9779254622109841</v>
      </c>
    </row>
    <row r="96" spans="1:125">
      <c r="A96" s="34">
        <v>94</v>
      </c>
      <c r="B96" s="35"/>
      <c r="C96" s="35"/>
      <c r="D96" s="35"/>
      <c r="E96" s="35"/>
      <c r="F96" s="35"/>
      <c r="G96" s="35"/>
      <c r="H96" s="35"/>
      <c r="I96" s="35"/>
      <c r="J96" s="35"/>
      <c r="K96" s="35"/>
      <c r="L96" s="35"/>
      <c r="M96" s="35"/>
      <c r="N96" s="35"/>
      <c r="O96" s="35"/>
      <c r="P96" s="35"/>
      <c r="Q96" s="35"/>
      <c r="R96" s="35"/>
      <c r="S96" s="35"/>
      <c r="T96" s="35"/>
      <c r="U96" s="35"/>
      <c r="V96" s="29"/>
      <c r="W96" s="29">
        <v>3.17</v>
      </c>
      <c r="X96" s="29">
        <v>3.05</v>
      </c>
      <c r="Y96" s="29">
        <v>3.0505342250368241</v>
      </c>
      <c r="Z96" s="29">
        <v>3.121291179224857</v>
      </c>
      <c r="AA96" s="29">
        <v>3.1448233156308762</v>
      </c>
      <c r="AB96" s="29">
        <v>3.0109384815744722</v>
      </c>
      <c r="AC96" s="29">
        <v>2.9945379460467274</v>
      </c>
      <c r="AD96" s="29">
        <v>3.0150975097273722</v>
      </c>
      <c r="AE96" s="29">
        <v>3.0434274419223457</v>
      </c>
      <c r="AF96" s="29">
        <v>3.0718221946345659</v>
      </c>
      <c r="AG96" s="29">
        <v>3.100279232005219</v>
      </c>
      <c r="AH96" s="29">
        <v>3.1287960009698028</v>
      </c>
      <c r="AI96" s="29">
        <v>3.157369932264618</v>
      </c>
      <c r="AJ96" s="29">
        <v>3.1859984414383202</v>
      </c>
      <c r="AK96" s="29">
        <v>3.2146789298669951</v>
      </c>
      <c r="AL96" s="29">
        <v>3.2434087857859044</v>
      </c>
      <c r="AM96" s="29">
        <v>3.2721853853166438</v>
      </c>
      <c r="AN96" s="29">
        <v>3.3010060935024828</v>
      </c>
      <c r="AO96" s="29">
        <v>3.3298682653513083</v>
      </c>
      <c r="AP96" s="29">
        <v>3.3587692468743531</v>
      </c>
      <c r="AQ96" s="29">
        <v>3.3844329718219708</v>
      </c>
      <c r="AR96" s="29">
        <v>3.4101232709693194</v>
      </c>
      <c r="AS96" s="29">
        <v>3.4358382787480721</v>
      </c>
      <c r="AT96" s="29">
        <v>3.4615761264660252</v>
      </c>
      <c r="AU96" s="29">
        <v>3.4873349428789013</v>
      </c>
      <c r="AV96" s="29">
        <v>3.5131128547629662</v>
      </c>
      <c r="AW96" s="29">
        <v>3.5389079874903735</v>
      </c>
      <c r="AX96" s="29">
        <v>3.5647184655912931</v>
      </c>
      <c r="AY96" s="29">
        <v>3.5905424133281043</v>
      </c>
      <c r="AZ96" s="29">
        <v>3.6163779552570912</v>
      </c>
      <c r="BA96" s="29">
        <v>3.6422232167938584</v>
      </c>
      <c r="BB96" s="29">
        <v>3.6680763247697721</v>
      </c>
      <c r="BC96" s="29">
        <v>3.6939354079903399</v>
      </c>
      <c r="BD96" s="29">
        <v>3.7197985977874803</v>
      </c>
      <c r="BE96" s="29">
        <v>3.7456640285674738</v>
      </c>
      <c r="BF96" s="29">
        <v>3.7715298383553204</v>
      </c>
      <c r="BG96" s="29">
        <v>3.7973941693340323</v>
      </c>
      <c r="BH96" s="29">
        <v>3.8232551683809857</v>
      </c>
      <c r="BI96" s="29">
        <v>3.849110987594452</v>
      </c>
      <c r="BJ96" s="29">
        <v>3.874959784820533</v>
      </c>
      <c r="BK96" s="29">
        <v>3.9007997241673458</v>
      </c>
      <c r="BL96" s="29">
        <v>3.9266289765216187</v>
      </c>
      <c r="BM96" s="29">
        <v>3.952445720049603</v>
      </c>
      <c r="BN96" s="29">
        <v>3.9782481406996419</v>
      </c>
      <c r="BO96" s="29">
        <v>4.0040344326916948</v>
      </c>
      <c r="BP96" s="29">
        <v>4.0298027990039147</v>
      </c>
      <c r="BQ96" s="29">
        <v>4.05555145184886</v>
      </c>
      <c r="BR96" s="29">
        <v>4.0812786131441712</v>
      </c>
      <c r="BS96" s="29">
        <v>4.106982514974141</v>
      </c>
      <c r="BT96" s="29">
        <v>4.1326614000449355</v>
      </c>
      <c r="BU96" s="29">
        <v>4.1583135221284255</v>
      </c>
      <c r="BV96" s="29">
        <v>4.1839371465023341</v>
      </c>
      <c r="BW96" s="29">
        <v>4.2095305503758889</v>
      </c>
      <c r="BX96" s="29">
        <v>4.2350920233126459</v>
      </c>
      <c r="BY96" s="29">
        <v>4.260619867640103</v>
      </c>
      <c r="BZ96" s="29">
        <v>4.286112398852195</v>
      </c>
      <c r="CA96" s="29">
        <v>4.3115679460014888</v>
      </c>
      <c r="CB96" s="29">
        <v>4.3369848520835976</v>
      </c>
      <c r="CC96" s="29">
        <v>4.3623614744101493</v>
      </c>
      <c r="CD96" s="29">
        <v>4.3876961849729899</v>
      </c>
      <c r="CE96" s="29">
        <v>4.4129873708003986</v>
      </c>
      <c r="CF96" s="29">
        <v>4.4382334342986649</v>
      </c>
      <c r="CG96" s="29">
        <v>4.4634327935906226</v>
      </c>
      <c r="CH96" s="29">
        <v>4.4885838828367772</v>
      </c>
      <c r="CI96" s="29">
        <v>4.5136851525530508</v>
      </c>
      <c r="CJ96" s="29">
        <v>4.5387350699129225</v>
      </c>
      <c r="CK96" s="29">
        <v>4.5637321190438147</v>
      </c>
      <c r="CL96" s="29">
        <v>4.5886748013097751</v>
      </c>
      <c r="CM96" s="29">
        <v>4.6135616355859277</v>
      </c>
      <c r="CN96" s="29">
        <v>4.6383911585232491</v>
      </c>
      <c r="CO96" s="29">
        <v>4.6631619247994758</v>
      </c>
      <c r="CP96" s="29">
        <v>4.6878725073635232</v>
      </c>
      <c r="CQ96" s="29">
        <v>4.7125214976682583</v>
      </c>
      <c r="CR96" s="29">
        <v>4.7371075058925394</v>
      </c>
      <c r="CS96" s="29">
        <v>4.7616291611532047</v>
      </c>
      <c r="CT96" s="29">
        <v>4.7860851117072363</v>
      </c>
      <c r="CU96" s="29">
        <v>4.8104740251421356</v>
      </c>
      <c r="CV96" s="29">
        <v>4.8347945885588368</v>
      </c>
      <c r="CW96" s="29">
        <v>4.8590455087420921</v>
      </c>
      <c r="CX96" s="29">
        <v>4.8832255123209736</v>
      </c>
      <c r="CY96" s="29">
        <v>4.9073333459209616</v>
      </c>
      <c r="CZ96" s="29">
        <v>4.9313677763044357</v>
      </c>
      <c r="DA96" s="29">
        <v>4.9553275905013949</v>
      </c>
      <c r="DB96" s="29">
        <v>4.9792115959312344</v>
      </c>
      <c r="DC96" s="29">
        <v>5.0030186205145215</v>
      </c>
      <c r="DD96" s="29">
        <v>5.0267475127739445</v>
      </c>
      <c r="DE96" s="29">
        <v>5.050397141927597</v>
      </c>
      <c r="DF96" s="29">
        <v>5.0739663979707563</v>
      </c>
      <c r="DG96" s="29">
        <v>5.0974541917505736</v>
      </c>
      <c r="DH96" s="29">
        <v>5.12085945502883</v>
      </c>
      <c r="DI96" s="29">
        <v>5.1441811405389961</v>
      </c>
      <c r="DJ96" s="29">
        <v>5.1674182220301592</v>
      </c>
      <c r="DK96" s="29">
        <v>5.1905696943054638</v>
      </c>
      <c r="DL96" s="29">
        <v>5.2136345732509772</v>
      </c>
      <c r="DM96" s="29">
        <v>5.2366118958536836</v>
      </c>
      <c r="DN96" s="29">
        <v>5.25950072021518</v>
      </c>
      <c r="DO96" s="29">
        <v>5.2823001255530393</v>
      </c>
      <c r="DP96" s="29">
        <v>5.3050092121956958</v>
      </c>
      <c r="DQ96" s="29">
        <v>5.3276271015702701</v>
      </c>
      <c r="DR96" s="29">
        <v>5.3501529361800948</v>
      </c>
      <c r="DS96">
        <v>5.3725858795764445</v>
      </c>
      <c r="DT96">
        <v>5.3949251163223426</v>
      </c>
      <c r="DU96">
        <v>5.4171698519476417</v>
      </c>
    </row>
    <row r="97" spans="1:125">
      <c r="A97" s="34">
        <v>95</v>
      </c>
      <c r="B97" s="35"/>
      <c r="C97" s="35"/>
      <c r="D97" s="35"/>
      <c r="E97" s="35"/>
      <c r="F97" s="35"/>
      <c r="G97" s="35"/>
      <c r="H97" s="35"/>
      <c r="I97" s="35"/>
      <c r="J97" s="35"/>
      <c r="K97" s="35"/>
      <c r="L97" s="35"/>
      <c r="M97" s="35"/>
      <c r="N97" s="35"/>
      <c r="O97" s="35"/>
      <c r="P97" s="35"/>
      <c r="Q97" s="35"/>
      <c r="R97" s="35"/>
      <c r="S97" s="35"/>
      <c r="T97" s="35"/>
      <c r="U97" s="35"/>
      <c r="V97" s="29"/>
      <c r="W97" s="29">
        <v>2.94</v>
      </c>
      <c r="X97" s="29">
        <v>2.83</v>
      </c>
      <c r="Y97" s="29">
        <v>2.8163772609005093</v>
      </c>
      <c r="Z97" s="29">
        <v>2.8791546412773159</v>
      </c>
      <c r="AA97" s="29">
        <v>2.9000142391178261</v>
      </c>
      <c r="AB97" s="29">
        <v>2.7812095818769809</v>
      </c>
      <c r="AC97" s="29">
        <v>2.7666352096419704</v>
      </c>
      <c r="AD97" s="29">
        <v>2.7849047698230391</v>
      </c>
      <c r="AE97" s="29">
        <v>2.8100672289981259</v>
      </c>
      <c r="AF97" s="29">
        <v>2.8352734358378004</v>
      </c>
      <c r="AG97" s="29">
        <v>2.8605211572585389</v>
      </c>
      <c r="AH97" s="29">
        <v>2.8858081495760035</v>
      </c>
      <c r="AI97" s="29">
        <v>2.9111321593663186</v>
      </c>
      <c r="AJ97" s="29">
        <v>2.9364909243275181</v>
      </c>
      <c r="AK97" s="29">
        <v>2.9618821741396686</v>
      </c>
      <c r="AL97" s="29">
        <v>2.9873036313409047</v>
      </c>
      <c r="AM97" s="29">
        <v>3.0127530121925075</v>
      </c>
      <c r="AN97" s="29">
        <v>3.0382280275498581</v>
      </c>
      <c r="AO97" s="29">
        <v>3.0637263837388264</v>
      </c>
      <c r="AP97" s="29">
        <v>3.0892457834230411</v>
      </c>
      <c r="AQ97" s="29">
        <v>3.1118956778528153</v>
      </c>
      <c r="AR97" s="29">
        <v>3.1345587108304338</v>
      </c>
      <c r="AS97" s="29">
        <v>3.1572332755079571</v>
      </c>
      <c r="AT97" s="29">
        <v>3.1799177648022448</v>
      </c>
      <c r="AU97" s="29">
        <v>3.202610571866312</v>
      </c>
      <c r="AV97" s="29">
        <v>3.22531009056096</v>
      </c>
      <c r="AW97" s="29">
        <v>3.2480147159291661</v>
      </c>
      <c r="AX97" s="29">
        <v>3.2707228446536947</v>
      </c>
      <c r="AY97" s="29">
        <v>3.2934328755293509</v>
      </c>
      <c r="AZ97" s="29">
        <v>3.3161432099196753</v>
      </c>
      <c r="BA97" s="29">
        <v>3.3388522522182331</v>
      </c>
      <c r="BB97" s="29">
        <v>3.3615584102990721</v>
      </c>
      <c r="BC97" s="29">
        <v>3.3842600959698679</v>
      </c>
      <c r="BD97" s="29">
        <v>3.4069557254180336</v>
      </c>
      <c r="BE97" s="29">
        <v>3.4296437196521699</v>
      </c>
      <c r="BF97" s="29">
        <v>3.4523225049398563</v>
      </c>
      <c r="BG97" s="29">
        <v>3.4749905132401446</v>
      </c>
      <c r="BH97" s="29">
        <v>3.4976461826334564</v>
      </c>
      <c r="BI97" s="29">
        <v>3.5202879577407113</v>
      </c>
      <c r="BJ97" s="29">
        <v>3.5429142901441613</v>
      </c>
      <c r="BK97" s="29">
        <v>3.5655236387942097</v>
      </c>
      <c r="BL97" s="29">
        <v>3.5881144704205536</v>
      </c>
      <c r="BM97" s="29">
        <v>3.6106852599260923</v>
      </c>
      <c r="BN97" s="29">
        <v>3.6332344907844574</v>
      </c>
      <c r="BO97" s="29">
        <v>3.655760655423733</v>
      </c>
      <c r="BP97" s="29">
        <v>3.6782622556084998</v>
      </c>
      <c r="BQ97" s="29">
        <v>3.7007378028115125</v>
      </c>
      <c r="BR97" s="29">
        <v>3.7231858185808306</v>
      </c>
      <c r="BS97" s="29">
        <v>3.7456048348982787</v>
      </c>
      <c r="BT97" s="29">
        <v>3.7679933945325921</v>
      </c>
      <c r="BU97" s="29">
        <v>3.7903500513814188</v>
      </c>
      <c r="BV97" s="29">
        <v>3.8126733708113014</v>
      </c>
      <c r="BW97" s="29">
        <v>3.834961929983066</v>
      </c>
      <c r="BX97" s="29">
        <v>3.8572143181763652</v>
      </c>
      <c r="BY97" s="29">
        <v>3.879429137101297</v>
      </c>
      <c r="BZ97" s="29">
        <v>3.9016050012043082</v>
      </c>
      <c r="CA97" s="29">
        <v>3.9237405379647545</v>
      </c>
      <c r="CB97" s="29">
        <v>3.9458343881850921</v>
      </c>
      <c r="CC97" s="29">
        <v>3.9678852062705379</v>
      </c>
      <c r="CD97" s="29">
        <v>3.9898916605013581</v>
      </c>
      <c r="CE97" s="29">
        <v>4.0118524332987553</v>
      </c>
      <c r="CF97" s="29">
        <v>4.0337662214766938</v>
      </c>
      <c r="CG97" s="29">
        <v>4.0556317364931589</v>
      </c>
      <c r="CH97" s="29">
        <v>4.0774477046842854</v>
      </c>
      <c r="CI97" s="29">
        <v>4.0992128674975765</v>
      </c>
      <c r="CJ97" s="29">
        <v>4.1209259817102089</v>
      </c>
      <c r="CK97" s="29">
        <v>4.1425858196437595</v>
      </c>
      <c r="CL97" s="29">
        <v>4.1641911693662879</v>
      </c>
      <c r="CM97" s="29">
        <v>4.185740834888068</v>
      </c>
      <c r="CN97" s="29">
        <v>4.2072336363493523</v>
      </c>
      <c r="CO97" s="29">
        <v>4.2286684101954144</v>
      </c>
      <c r="CP97" s="29">
        <v>4.2500440093473069</v>
      </c>
      <c r="CQ97" s="29">
        <v>4.2713593033624875</v>
      </c>
      <c r="CR97" s="29">
        <v>4.2926131785863451</v>
      </c>
      <c r="CS97" s="29">
        <v>4.3138045382954795</v>
      </c>
      <c r="CT97" s="29">
        <v>4.3349323028329199</v>
      </c>
      <c r="CU97" s="29">
        <v>4.355995409733155</v>
      </c>
      <c r="CV97" s="29">
        <v>4.3769928138418219</v>
      </c>
      <c r="CW97" s="29">
        <v>4.3979234874243494</v>
      </c>
      <c r="CX97" s="29">
        <v>4.4187864202665565</v>
      </c>
      <c r="CY97" s="29">
        <v>4.439580619768849</v>
      </c>
      <c r="CZ97" s="29">
        <v>4.4603051110304452</v>
      </c>
      <c r="DA97" s="29">
        <v>4.4809589369256564</v>
      </c>
      <c r="DB97" s="29">
        <v>4.5015411581731781</v>
      </c>
      <c r="DC97" s="29">
        <v>4.5220508533971655</v>
      </c>
      <c r="DD97" s="29">
        <v>4.5424871191791878</v>
      </c>
      <c r="DE97" s="29">
        <v>4.5628490701045603</v>
      </c>
      <c r="DF97" s="29">
        <v>4.5831358387987793</v>
      </c>
      <c r="DG97" s="29">
        <v>4.6033465759589367</v>
      </c>
      <c r="DH97" s="29">
        <v>4.6234804503747302</v>
      </c>
      <c r="DI97" s="29">
        <v>4.6435366489459753</v>
      </c>
      <c r="DJ97" s="29">
        <v>4.6635143766883385</v>
      </c>
      <c r="DK97" s="29">
        <v>4.6834128567357478</v>
      </c>
      <c r="DL97" s="29">
        <v>4.7032313303349387</v>
      </c>
      <c r="DM97" s="29">
        <v>4.7229690568306708</v>
      </c>
      <c r="DN97" s="29">
        <v>4.7426253136488441</v>
      </c>
      <c r="DO97" s="29">
        <v>4.7621993962686311</v>
      </c>
      <c r="DP97" s="29">
        <v>4.7816906181900469</v>
      </c>
      <c r="DQ97" s="29">
        <v>4.8010983108962835</v>
      </c>
      <c r="DR97" s="29">
        <v>4.8204218238072167</v>
      </c>
      <c r="DS97">
        <v>4.8396605242289992</v>
      </c>
      <c r="DT97">
        <v>4.8588137972973762</v>
      </c>
      <c r="DU97">
        <v>4.8778810459138038</v>
      </c>
    </row>
    <row r="98" spans="1:125">
      <c r="A98" s="34">
        <v>96</v>
      </c>
      <c r="B98" s="35"/>
      <c r="C98" s="35"/>
      <c r="D98" s="35"/>
      <c r="E98" s="35"/>
      <c r="F98" s="35"/>
      <c r="G98" s="35"/>
      <c r="H98" s="35"/>
      <c r="I98" s="35"/>
      <c r="J98" s="35"/>
      <c r="K98" s="35"/>
      <c r="L98" s="35"/>
      <c r="M98" s="35"/>
      <c r="N98" s="35"/>
      <c r="O98" s="35"/>
      <c r="P98" s="35"/>
      <c r="Q98" s="35"/>
      <c r="R98" s="35"/>
      <c r="S98" s="35"/>
      <c r="T98" s="35"/>
      <c r="U98" s="35"/>
      <c r="V98" s="29"/>
      <c r="W98" s="29">
        <v>2.74</v>
      </c>
      <c r="X98" s="29">
        <v>2.64</v>
      </c>
      <c r="Y98" s="29">
        <v>2.6070867537734319</v>
      </c>
      <c r="Z98" s="29">
        <v>2.663072352515309</v>
      </c>
      <c r="AA98" s="29">
        <v>2.6816597910522484</v>
      </c>
      <c r="AB98" s="29">
        <v>2.5756930635271638</v>
      </c>
      <c r="AC98" s="29">
        <v>2.5626761850965996</v>
      </c>
      <c r="AD98" s="29">
        <v>2.5789927532140045</v>
      </c>
      <c r="AE98" s="29">
        <v>2.6014555137011093</v>
      </c>
      <c r="AF98" s="29">
        <v>2.623945944764265</v>
      </c>
      <c r="AG98" s="29">
        <v>2.6464620799595084</v>
      </c>
      <c r="AH98" s="29">
        <v>2.6690019470393138</v>
      </c>
      <c r="AI98" s="29">
        <v>2.6915635686890673</v>
      </c>
      <c r="AJ98" s="29">
        <v>2.7141449632597339</v>
      </c>
      <c r="AK98" s="29">
        <v>2.7367441454952055</v>
      </c>
      <c r="AL98" s="29">
        <v>2.7593591272774214</v>
      </c>
      <c r="AM98" s="29">
        <v>2.7819879183540817</v>
      </c>
      <c r="AN98" s="29">
        <v>2.8046285270716327</v>
      </c>
      <c r="AO98" s="29">
        <v>2.8272789611131239</v>
      </c>
      <c r="AP98" s="29">
        <v>2.8499372282223172</v>
      </c>
      <c r="AQ98" s="29">
        <v>2.8700386680917545</v>
      </c>
      <c r="AR98" s="29">
        <v>2.8901433147836451</v>
      </c>
      <c r="AS98" s="29">
        <v>2.9102497811201991</v>
      </c>
      <c r="AT98" s="29">
        <v>2.930356681653107</v>
      </c>
      <c r="AU98" s="29">
        <v>2.9504626330526844</v>
      </c>
      <c r="AV98" s="29">
        <v>2.9705662544973821</v>
      </c>
      <c r="AW98" s="29">
        <v>2.9906661680669218</v>
      </c>
      <c r="AX98" s="29">
        <v>3.010760999114293</v>
      </c>
      <c r="AY98" s="29">
        <v>3.030849376656795</v>
      </c>
      <c r="AZ98" s="29">
        <v>3.0509299337477827</v>
      </c>
      <c r="BA98" s="29">
        <v>3.0710013078548699</v>
      </c>
      <c r="BB98" s="29">
        <v>3.091062141225176</v>
      </c>
      <c r="BC98" s="29">
        <v>3.1111110812548342</v>
      </c>
      <c r="BD98" s="29">
        <v>3.131146780850584</v>
      </c>
      <c r="BE98" s="29">
        <v>3.1511678987865981</v>
      </c>
      <c r="BF98" s="29">
        <v>3.1711731000579055</v>
      </c>
      <c r="BG98" s="29">
        <v>3.1911610562284687</v>
      </c>
      <c r="BH98" s="29">
        <v>3.211130445777385</v>
      </c>
      <c r="BI98" s="29">
        <v>3.2310799544331683</v>
      </c>
      <c r="BJ98" s="29">
        <v>3.25100827551171</v>
      </c>
      <c r="BK98" s="29">
        <v>3.2709141102385284</v>
      </c>
      <c r="BL98" s="29">
        <v>3.2907961680780877</v>
      </c>
      <c r="BM98" s="29">
        <v>3.3106531670436778</v>
      </c>
      <c r="BN98" s="29">
        <v>3.3304838340136498</v>
      </c>
      <c r="BO98" s="29">
        <v>3.3502869050326534</v>
      </c>
      <c r="BP98" s="29">
        <v>3.3700611256128505</v>
      </c>
      <c r="BQ98" s="29">
        <v>3.3898052510245749</v>
      </c>
      <c r="BR98" s="29">
        <v>3.4095180465836012</v>
      </c>
      <c r="BS98" s="29">
        <v>3.4291982879300962</v>
      </c>
      <c r="BT98" s="29">
        <v>3.4488447613033877</v>
      </c>
      <c r="BU98" s="29">
        <v>3.468456263805574</v>
      </c>
      <c r="BV98" s="29">
        <v>3.4880316036650791</v>
      </c>
      <c r="BW98" s="29">
        <v>3.5075696004850232</v>
      </c>
      <c r="BX98" s="29">
        <v>3.5270690854930731</v>
      </c>
      <c r="BY98" s="29">
        <v>3.5465289017782564</v>
      </c>
      <c r="BZ98" s="29">
        <v>3.565947904523493</v>
      </c>
      <c r="CA98" s="29">
        <v>3.5853249612295377</v>
      </c>
      <c r="CB98" s="29">
        <v>3.6046589519339327</v>
      </c>
      <c r="CC98" s="29">
        <v>3.6239487694200609</v>
      </c>
      <c r="CD98" s="29">
        <v>3.6431933194201092</v>
      </c>
      <c r="CE98" s="29">
        <v>3.6623915208131326</v>
      </c>
      <c r="CF98" s="29">
        <v>3.681542305809161</v>
      </c>
      <c r="CG98" s="29">
        <v>3.7006446201354048</v>
      </c>
      <c r="CH98" s="29">
        <v>3.7196974232049516</v>
      </c>
      <c r="CI98" s="29">
        <v>3.7386996882871881</v>
      </c>
      <c r="CJ98" s="29">
        <v>3.757650402663439</v>
      </c>
      <c r="CK98" s="29">
        <v>3.776548567781195</v>
      </c>
      <c r="CL98" s="29">
        <v>3.7953931993962988</v>
      </c>
      <c r="CM98" s="29">
        <v>3.8141833277104951</v>
      </c>
      <c r="CN98" s="29">
        <v>3.8329179975024816</v>
      </c>
      <c r="CO98" s="29">
        <v>3.8515962682468712</v>
      </c>
      <c r="CP98" s="29">
        <v>3.8702172142310034</v>
      </c>
      <c r="CQ98" s="29">
        <v>3.8887799246627375</v>
      </c>
      <c r="CR98" s="29">
        <v>3.9072835037704507</v>
      </c>
      <c r="CS98" s="29">
        <v>3.9257270708962499</v>
      </c>
      <c r="CT98" s="29">
        <v>3.9441097605826205</v>
      </c>
      <c r="CU98" s="29">
        <v>3.9624307226500268</v>
      </c>
      <c r="CV98" s="29">
        <v>3.9806891222710954</v>
      </c>
      <c r="CW98" s="29">
        <v>3.9988841400347699</v>
      </c>
      <c r="CX98" s="29">
        <v>4.0170149720039019</v>
      </c>
      <c r="CY98" s="29">
        <v>4.0350808297681731</v>
      </c>
      <c r="CZ98" s="29">
        <v>4.0530809404882175</v>
      </c>
      <c r="DA98" s="29">
        <v>4.0710145469332657</v>
      </c>
      <c r="DB98" s="29">
        <v>4.088880907513416</v>
      </c>
      <c r="DC98" s="29">
        <v>4.1066792963050833</v>
      </c>
      <c r="DD98" s="29">
        <v>4.1244090030685818</v>
      </c>
      <c r="DE98" s="29">
        <v>4.1420693332618539</v>
      </c>
      <c r="DF98" s="29">
        <v>4.1596596080453985</v>
      </c>
      <c r="DG98" s="29">
        <v>4.17717916428398</v>
      </c>
      <c r="DH98" s="29">
        <v>4.1946273545389419</v>
      </c>
      <c r="DI98" s="29">
        <v>4.2120035470589778</v>
      </c>
      <c r="DJ98" s="29">
        <v>4.2293071257598918</v>
      </c>
      <c r="DK98" s="29">
        <v>4.2465374902029751</v>
      </c>
      <c r="DL98" s="29">
        <v>4.2636940555667779</v>
      </c>
      <c r="DM98" s="29">
        <v>4.2807762526106021</v>
      </c>
      <c r="DN98" s="29">
        <v>4.2977835276378835</v>
      </c>
      <c r="DO98" s="29">
        <v>4.3147153424493734</v>
      </c>
      <c r="DP98" s="29">
        <v>4.3315711742933427</v>
      </c>
      <c r="DQ98" s="29">
        <v>4.348350515812033</v>
      </c>
      <c r="DR98" s="29">
        <v>4.3650528749802602</v>
      </c>
      <c r="DS98">
        <v>4.3816777750416751</v>
      </c>
      <c r="DT98">
        <v>4.3982247544399913</v>
      </c>
      <c r="DU98">
        <v>4.4146933667441139</v>
      </c>
    </row>
    <row r="99" spans="1:125">
      <c r="A99" s="34">
        <v>97</v>
      </c>
      <c r="B99" s="35"/>
      <c r="C99" s="35"/>
      <c r="D99" s="35"/>
      <c r="E99" s="35"/>
      <c r="F99" s="35"/>
      <c r="G99" s="35"/>
      <c r="H99" s="35"/>
      <c r="I99" s="35"/>
      <c r="J99" s="35"/>
      <c r="K99" s="35"/>
      <c r="L99" s="35"/>
      <c r="M99" s="35"/>
      <c r="N99" s="35"/>
      <c r="O99" s="35"/>
      <c r="P99" s="35"/>
      <c r="Q99" s="35"/>
      <c r="R99" s="35"/>
      <c r="S99" s="35"/>
      <c r="T99" s="35"/>
      <c r="U99" s="35"/>
      <c r="V99" s="29"/>
      <c r="W99" s="29">
        <v>2.5499999999999998</v>
      </c>
      <c r="X99" s="29">
        <v>2.46</v>
      </c>
      <c r="Y99" s="29">
        <v>2.4206850375424351</v>
      </c>
      <c r="Z99" s="29">
        <v>2.4708967698366671</v>
      </c>
      <c r="AA99" s="29">
        <v>2.487554567143496</v>
      </c>
      <c r="AB99" s="29">
        <v>2.3925036310887755</v>
      </c>
      <c r="AC99" s="29">
        <v>2.3808132696057815</v>
      </c>
      <c r="AD99" s="29">
        <v>2.3954665531040065</v>
      </c>
      <c r="AE99" s="29">
        <v>2.4156313514271699</v>
      </c>
      <c r="AF99" s="29">
        <v>2.435811594315811</v>
      </c>
      <c r="AG99" s="29">
        <v>2.4560055466897874</v>
      </c>
      <c r="AH99" s="29">
        <v>2.4762114711139014</v>
      </c>
      <c r="AI99" s="29">
        <v>2.4964276284301343</v>
      </c>
      <c r="AJ99" s="29">
        <v>2.516652278382336</v>
      </c>
      <c r="AK99" s="29">
        <v>2.5368836802317798</v>
      </c>
      <c r="AL99" s="29">
        <v>2.5571200933953424</v>
      </c>
      <c r="AM99" s="29">
        <v>2.5773597780585971</v>
      </c>
      <c r="AN99" s="29">
        <v>2.5976009957951294</v>
      </c>
      <c r="AO99" s="29">
        <v>2.61784201019166</v>
      </c>
      <c r="AP99" s="29">
        <v>2.6380810874541898</v>
      </c>
      <c r="AQ99" s="29">
        <v>2.6560288891202157</v>
      </c>
      <c r="AR99" s="29">
        <v>2.673972600567637</v>
      </c>
      <c r="AS99" s="29">
        <v>2.6919110195654419</v>
      </c>
      <c r="AT99" s="29">
        <v>2.7098429469208356</v>
      </c>
      <c r="AU99" s="29">
        <v>2.7277671868018047</v>
      </c>
      <c r="AV99" s="29">
        <v>2.7456825470607313</v>
      </c>
      <c r="AW99" s="29">
        <v>2.7635878395633315</v>
      </c>
      <c r="AX99" s="29">
        <v>2.7814818804905572</v>
      </c>
      <c r="AY99" s="29">
        <v>2.799363490666356</v>
      </c>
      <c r="AZ99" s="29">
        <v>2.8172314958610301</v>
      </c>
      <c r="BA99" s="29">
        <v>2.8350847271040829</v>
      </c>
      <c r="BB99" s="29">
        <v>2.8529220209812922</v>
      </c>
      <c r="BC99" s="29">
        <v>2.8707422199385566</v>
      </c>
      <c r="BD99" s="29">
        <v>2.8885441725767382</v>
      </c>
      <c r="BE99" s="29">
        <v>2.9063267339417318</v>
      </c>
      <c r="BF99" s="29">
        <v>2.9240887658116193</v>
      </c>
      <c r="BG99" s="29">
        <v>2.9418291369784724</v>
      </c>
      <c r="BH99" s="29">
        <v>2.9595467235293516</v>
      </c>
      <c r="BI99" s="29">
        <v>2.9772404091137243</v>
      </c>
      <c r="BJ99" s="29">
        <v>2.9949090852173552</v>
      </c>
      <c r="BK99" s="29">
        <v>3.0125516514179829</v>
      </c>
      <c r="BL99" s="29">
        <v>3.0301670156518759</v>
      </c>
      <c r="BM99" s="29">
        <v>3.0477540944576558</v>
      </c>
      <c r="BN99" s="29">
        <v>3.0653118132301982</v>
      </c>
      <c r="BO99" s="29">
        <v>3.0828391064576164</v>
      </c>
      <c r="BP99" s="29">
        <v>3.1003349179603523</v>
      </c>
      <c r="BQ99" s="29">
        <v>3.1177982011191441</v>
      </c>
      <c r="BR99" s="29">
        <v>3.1352279191009478</v>
      </c>
      <c r="BS99" s="29">
        <v>3.1526230450767025</v>
      </c>
      <c r="BT99" s="29">
        <v>3.1699825624361515</v>
      </c>
      <c r="BU99" s="29">
        <v>3.187305464991077</v>
      </c>
      <c r="BV99" s="29">
        <v>3.204590757180847</v>
      </c>
      <c r="BW99" s="29">
        <v>3.2218374542614807</v>
      </c>
      <c r="BX99" s="29">
        <v>3.2390445824990084</v>
      </c>
      <c r="BY99" s="29">
        <v>3.2562111793491293</v>
      </c>
      <c r="BZ99" s="29">
        <v>3.273336293634082</v>
      </c>
      <c r="CA99" s="29">
        <v>3.2904189857114288</v>
      </c>
      <c r="CB99" s="29">
        <v>3.3074583276392349</v>
      </c>
      <c r="CC99" s="29">
        <v>3.3244534033316251</v>
      </c>
      <c r="CD99" s="29">
        <v>3.3414033087094399</v>
      </c>
      <c r="CE99" s="29">
        <v>3.3583071518474714</v>
      </c>
      <c r="CF99" s="29">
        <v>3.3751640531072251</v>
      </c>
      <c r="CG99" s="29">
        <v>3.3919731452748465</v>
      </c>
      <c r="CH99" s="29">
        <v>3.4087335736803168</v>
      </c>
      <c r="CI99" s="29">
        <v>3.4254444963213668</v>
      </c>
      <c r="CJ99" s="29">
        <v>3.4421050839720353</v>
      </c>
      <c r="CK99" s="29">
        <v>3.4587145202921512</v>
      </c>
      <c r="CL99" s="29">
        <v>3.4752720019248278</v>
      </c>
      <c r="CM99" s="29">
        <v>3.4917767385909819</v>
      </c>
      <c r="CN99" s="29">
        <v>3.5082279531785874</v>
      </c>
      <c r="CO99" s="29">
        <v>3.5246248818199772</v>
      </c>
      <c r="CP99" s="29">
        <v>3.5409667739691337</v>
      </c>
      <c r="CQ99" s="29">
        <v>3.5572528924707263</v>
      </c>
      <c r="CR99" s="29">
        <v>3.573482513622344</v>
      </c>
      <c r="CS99" s="29">
        <v>3.5896549272311504</v>
      </c>
      <c r="CT99" s="29">
        <v>3.6057694366652266</v>
      </c>
      <c r="CU99" s="29">
        <v>3.6218253588966034</v>
      </c>
      <c r="CV99" s="29">
        <v>3.6378220245427286</v>
      </c>
      <c r="CW99" s="29">
        <v>3.6537587778984375</v>
      </c>
      <c r="CX99" s="29">
        <v>3.6696349769625871</v>
      </c>
      <c r="CY99" s="29">
        <v>3.6854499934615541</v>
      </c>
      <c r="CZ99" s="29">
        <v>3.7012032128647063</v>
      </c>
      <c r="DA99" s="29">
        <v>3.7168940343945658</v>
      </c>
      <c r="DB99" s="29">
        <v>3.7325218710329735</v>
      </c>
      <c r="DC99" s="29">
        <v>3.7480861495215034</v>
      </c>
      <c r="DD99" s="29">
        <v>3.7635863103548846</v>
      </c>
      <c r="DE99" s="29">
        <v>3.7790218077721502</v>
      </c>
      <c r="DF99" s="29">
        <v>3.7943921097396509</v>
      </c>
      <c r="DG99" s="29">
        <v>3.8096966979324791</v>
      </c>
      <c r="DH99" s="29">
        <v>3.8249350677070355</v>
      </c>
      <c r="DI99" s="29">
        <v>3.8401067280739003</v>
      </c>
      <c r="DJ99" s="29">
        <v>3.8552112016599174</v>
      </c>
      <c r="DK99" s="29">
        <v>3.870248024670726</v>
      </c>
      <c r="DL99" s="29">
        <v>3.8852167468475849</v>
      </c>
      <c r="DM99" s="29">
        <v>3.9001169314165289</v>
      </c>
      <c r="DN99" s="29">
        <v>3.9149481550393648</v>
      </c>
      <c r="DO99" s="29">
        <v>3.929710007754676</v>
      </c>
      <c r="DP99" s="29">
        <v>3.9444020929172683</v>
      </c>
      <c r="DQ99" s="29">
        <v>3.9590240271350901</v>
      </c>
      <c r="DR99" s="29">
        <v>3.9735754401988324</v>
      </c>
      <c r="DS99">
        <v>3.9880559750106044</v>
      </c>
      <c r="DT99">
        <v>4.0024652875084747</v>
      </c>
      <c r="DU99">
        <v>4.0168030465856761</v>
      </c>
    </row>
    <row r="100" spans="1:125">
      <c r="A100" s="34">
        <v>98</v>
      </c>
      <c r="B100" s="35"/>
      <c r="C100" s="35"/>
      <c r="D100" s="35"/>
      <c r="E100" s="35"/>
      <c r="F100" s="35"/>
      <c r="G100" s="35"/>
      <c r="H100" s="35"/>
      <c r="I100" s="35"/>
      <c r="J100" s="35"/>
      <c r="K100" s="35"/>
      <c r="L100" s="35"/>
      <c r="M100" s="35"/>
      <c r="N100" s="35"/>
      <c r="O100" s="35"/>
      <c r="P100" s="35"/>
      <c r="Q100" s="35"/>
      <c r="R100" s="35"/>
      <c r="S100" s="35"/>
      <c r="T100" s="35"/>
      <c r="U100" s="35"/>
      <c r="V100" s="29"/>
      <c r="W100" s="29">
        <v>2.39</v>
      </c>
      <c r="X100" s="29">
        <v>2.31</v>
      </c>
      <c r="Y100" s="29">
        <v>2.2552326312486262</v>
      </c>
      <c r="Z100" s="29">
        <v>2.3005397736378916</v>
      </c>
      <c r="AA100" s="29">
        <v>2.3155599551605457</v>
      </c>
      <c r="AB100" s="29">
        <v>2.2297828877393782</v>
      </c>
      <c r="AC100" s="29">
        <v>2.2192212093578787</v>
      </c>
      <c r="AD100" s="29">
        <v>2.232459326701612</v>
      </c>
      <c r="AE100" s="29">
        <v>2.2506699254336895</v>
      </c>
      <c r="AF100" s="29">
        <v>2.2688866878039535</v>
      </c>
      <c r="AG100" s="29">
        <v>2.2871080770317334</v>
      </c>
      <c r="AH100" s="29">
        <v>2.3053325564375911</v>
      </c>
      <c r="AI100" s="29">
        <v>2.3235585899911797</v>
      </c>
      <c r="AJ100" s="29">
        <v>2.3417846428472808</v>
      </c>
      <c r="AK100" s="29">
        <v>2.3600091818683513</v>
      </c>
      <c r="AL100" s="29">
        <v>2.3782306761785241</v>
      </c>
      <c r="AM100" s="29">
        <v>2.3964475976820085</v>
      </c>
      <c r="AN100" s="29">
        <v>2.414658421590433</v>
      </c>
      <c r="AO100" s="29">
        <v>2.4328616269585206</v>
      </c>
      <c r="AP100" s="29">
        <v>2.4510556971938771</v>
      </c>
      <c r="AQ100" s="29">
        <v>2.4671838563595747</v>
      </c>
      <c r="AR100" s="29">
        <v>2.4833025887767897</v>
      </c>
      <c r="AS100" s="29">
        <v>2.4994108468328387</v>
      </c>
      <c r="AT100" s="29">
        <v>2.515507586807368</v>
      </c>
      <c r="AU100" s="29">
        <v>2.5315917691413965</v>
      </c>
      <c r="AV100" s="29">
        <v>2.5476623587087013</v>
      </c>
      <c r="AW100" s="29">
        <v>2.5637183250953335</v>
      </c>
      <c r="AX100" s="29">
        <v>2.5797586428434869</v>
      </c>
      <c r="AY100" s="29">
        <v>2.595782291731604</v>
      </c>
      <c r="AZ100" s="29">
        <v>2.6117882570226074</v>
      </c>
      <c r="BA100" s="29">
        <v>2.6277755297262511</v>
      </c>
      <c r="BB100" s="29">
        <v>2.643743106841602</v>
      </c>
      <c r="BC100" s="29">
        <v>2.6596899916100876</v>
      </c>
      <c r="BD100" s="29">
        <v>2.6756151937579515</v>
      </c>
      <c r="BE100" s="29">
        <v>2.6915177297339188</v>
      </c>
      <c r="BF100" s="29">
        <v>2.7073966229446387</v>
      </c>
      <c r="BG100" s="29">
        <v>2.723250903984705</v>
      </c>
      <c r="BH100" s="29">
        <v>2.7390796108673556</v>
      </c>
      <c r="BI100" s="29">
        <v>2.7548817892390511</v>
      </c>
      <c r="BJ100" s="29">
        <v>2.7706564926044441</v>
      </c>
      <c r="BK100" s="29">
        <v>2.7864027825293256</v>
      </c>
      <c r="BL100" s="29">
        <v>2.8021197288598207</v>
      </c>
      <c r="BM100" s="29">
        <v>2.8178064099137985</v>
      </c>
      <c r="BN100" s="29">
        <v>2.8334619126875542</v>
      </c>
      <c r="BO100" s="29">
        <v>2.8490853330425057</v>
      </c>
      <c r="BP100" s="29">
        <v>2.8646757758967913</v>
      </c>
      <c r="BQ100" s="29">
        <v>2.8802323554045905</v>
      </c>
      <c r="BR100" s="29">
        <v>2.8957541951350305</v>
      </c>
      <c r="BS100" s="29">
        <v>2.9112404282427775</v>
      </c>
      <c r="BT100" s="29">
        <v>2.9266901976371011</v>
      </c>
      <c r="BU100" s="29">
        <v>2.9421026561383288</v>
      </c>
      <c r="BV100" s="29">
        <v>2.9574769666396006</v>
      </c>
      <c r="BW100" s="29">
        <v>2.9728123022498254</v>
      </c>
      <c r="BX100" s="29">
        <v>2.9881078464445192</v>
      </c>
      <c r="BY100" s="29">
        <v>3.003362793201505</v>
      </c>
      <c r="BZ100" s="29">
        <v>3.0185763471354714</v>
      </c>
      <c r="CA100" s="29">
        <v>3.0337477236246575</v>
      </c>
      <c r="CB100" s="29">
        <v>3.0488761489353773</v>
      </c>
      <c r="CC100" s="29">
        <v>3.0639608603367754</v>
      </c>
      <c r="CD100" s="29">
        <v>3.0790011062118321</v>
      </c>
      <c r="CE100" s="29">
        <v>3.0939961461664791</v>
      </c>
      <c r="CF100" s="29">
        <v>3.1089452511229094</v>
      </c>
      <c r="CG100" s="29">
        <v>3.1238477034218564</v>
      </c>
      <c r="CH100" s="29">
        <v>3.1387027969037478</v>
      </c>
      <c r="CI100" s="29">
        <v>3.1535098369982562</v>
      </c>
      <c r="CJ100" s="29">
        <v>3.168268140797029</v>
      </c>
      <c r="CK100" s="29">
        <v>3.182977037130025</v>
      </c>
      <c r="CL100" s="29">
        <v>3.1976358666292883</v>
      </c>
      <c r="CM100" s="29">
        <v>3.2122439817914503</v>
      </c>
      <c r="CN100" s="29">
        <v>3.2268007470360534</v>
      </c>
      <c r="CO100" s="29">
        <v>3.2413055387514271</v>
      </c>
      <c r="CP100" s="29">
        <v>3.2557577453429372</v>
      </c>
      <c r="CQ100" s="29">
        <v>3.2701567672733498</v>
      </c>
      <c r="CR100" s="29">
        <v>3.2845020170971164</v>
      </c>
      <c r="CS100" s="29">
        <v>3.2987929194901042</v>
      </c>
      <c r="CT100" s="29">
        <v>3.3130289112750653</v>
      </c>
      <c r="CU100" s="29">
        <v>3.3272094414391558</v>
      </c>
      <c r="CV100" s="29">
        <v>3.3413339711517858</v>
      </c>
      <c r="CW100" s="29">
        <v>3.3554019737730369</v>
      </c>
      <c r="CX100" s="29">
        <v>3.3694129348577424</v>
      </c>
      <c r="CY100" s="29">
        <v>3.3833663521579145</v>
      </c>
      <c r="CZ100" s="29">
        <v>3.397261735617497</v>
      </c>
      <c r="DA100" s="29">
        <v>3.4110986073627725</v>
      </c>
      <c r="DB100" s="29">
        <v>3.4248765016899867</v>
      </c>
      <c r="DC100" s="29">
        <v>3.4385949650480256</v>
      </c>
      <c r="DD100" s="29">
        <v>3.4522535560146412</v>
      </c>
      <c r="DE100" s="29">
        <v>3.4658518452719003</v>
      </c>
      <c r="DF100" s="29">
        <v>3.4793894155737521</v>
      </c>
      <c r="DG100" s="29">
        <v>3.4928658617135993</v>
      </c>
      <c r="DH100" s="29">
        <v>3.5062807904830633</v>
      </c>
      <c r="DI100" s="29">
        <v>3.5196338206329814</v>
      </c>
      <c r="DJ100" s="29">
        <v>3.5329245828232283</v>
      </c>
      <c r="DK100" s="29">
        <v>3.5461527195748777</v>
      </c>
      <c r="DL100" s="29">
        <v>3.5593178852172538</v>
      </c>
      <c r="DM100" s="29">
        <v>3.5724197458275047</v>
      </c>
      <c r="DN100" s="29">
        <v>3.5854579791740635</v>
      </c>
      <c r="DO100" s="29">
        <v>3.5984322746497992</v>
      </c>
      <c r="DP100" s="29">
        <v>3.6113423332049064</v>
      </c>
      <c r="DQ100" s="29">
        <v>3.6241878672783745</v>
      </c>
      <c r="DR100" s="29">
        <v>3.6369686007222386</v>
      </c>
      <c r="DS100">
        <v>3.6496842687262485</v>
      </c>
      <c r="DT100">
        <v>3.6623346177390763</v>
      </c>
      <c r="DU100">
        <v>3.674919405384609</v>
      </c>
    </row>
    <row r="101" spans="1:125">
      <c r="A101" s="34">
        <v>99</v>
      </c>
      <c r="B101" s="35"/>
      <c r="C101" s="35"/>
      <c r="D101" s="35"/>
      <c r="E101" s="35"/>
      <c r="F101" s="35"/>
      <c r="G101" s="35"/>
      <c r="H101" s="35"/>
      <c r="I101" s="35"/>
      <c r="J101" s="35"/>
      <c r="K101" s="35"/>
      <c r="L101" s="35"/>
      <c r="M101" s="35"/>
      <c r="N101" s="35"/>
      <c r="O101" s="35"/>
      <c r="P101" s="35"/>
      <c r="Q101" s="35"/>
      <c r="R101" s="35"/>
      <c r="S101" s="35"/>
      <c r="T101" s="35"/>
      <c r="U101" s="35"/>
      <c r="V101" s="29"/>
      <c r="W101" s="29">
        <v>2.2400000000000002</v>
      </c>
      <c r="X101" s="29">
        <v>2.17</v>
      </c>
      <c r="Y101" s="29">
        <v>2.1088468957688571</v>
      </c>
      <c r="Z101" s="29">
        <v>2.149989299136335</v>
      </c>
      <c r="AA101" s="29">
        <v>2.1636200285317333</v>
      </c>
      <c r="AB101" s="29">
        <v>2.0857190009469955</v>
      </c>
      <c r="AC101" s="29">
        <v>2.0761171573816073</v>
      </c>
      <c r="AD101" s="29">
        <v>2.0881518590584083</v>
      </c>
      <c r="AE101" s="29">
        <v>2.1047013911328172</v>
      </c>
      <c r="AF101" s="29">
        <v>2.1212500364742786</v>
      </c>
      <c r="AG101" s="29">
        <v>2.1377964264046176</v>
      </c>
      <c r="AH101" s="29">
        <v>2.1543391940875227</v>
      </c>
      <c r="AI101" s="29">
        <v>2.1708769750110481</v>
      </c>
      <c r="AJ101" s="29">
        <v>2.1874084074524691</v>
      </c>
      <c r="AK101" s="29">
        <v>2.2039321329237147</v>
      </c>
      <c r="AL101" s="29">
        <v>2.2204467966631252</v>
      </c>
      <c r="AM101" s="29">
        <v>2.2369510480757575</v>
      </c>
      <c r="AN101" s="29">
        <v>2.2534435411877265</v>
      </c>
      <c r="AO101" s="29">
        <v>2.269922935113498</v>
      </c>
      <c r="AP101" s="29">
        <v>2.2863878944870719</v>
      </c>
      <c r="AQ101" s="29">
        <v>2.3009781509475409</v>
      </c>
      <c r="AR101" s="29">
        <v>2.3155550831144902</v>
      </c>
      <c r="AS101" s="29">
        <v>2.3301177718500123</v>
      </c>
      <c r="AT101" s="29">
        <v>2.3446653024596134</v>
      </c>
      <c r="AU101" s="29">
        <v>2.3591967649182584</v>
      </c>
      <c r="AV101" s="29">
        <v>2.3737112541009373</v>
      </c>
      <c r="AW101" s="29">
        <v>2.3882078700257257</v>
      </c>
      <c r="AX101" s="29">
        <v>2.4026857180480747</v>
      </c>
      <c r="AY101" s="29">
        <v>2.4171439091073084</v>
      </c>
      <c r="AZ101" s="29">
        <v>2.4315815599298176</v>
      </c>
      <c r="BA101" s="29">
        <v>2.4459977932534476</v>
      </c>
      <c r="BB101" s="29">
        <v>2.4603917380257663</v>
      </c>
      <c r="BC101" s="29">
        <v>2.4747625296186104</v>
      </c>
      <c r="BD101" s="29">
        <v>2.4891093100295532</v>
      </c>
      <c r="BE101" s="29">
        <v>2.5034312280784805</v>
      </c>
      <c r="BF101" s="29">
        <v>2.5177274396028602</v>
      </c>
      <c r="BG101" s="29">
        <v>2.5319971076473675</v>
      </c>
      <c r="BH101" s="29">
        <v>2.5462394026562429</v>
      </c>
      <c r="BI101" s="29">
        <v>2.5604535026455419</v>
      </c>
      <c r="BJ101" s="29">
        <v>2.5746385933914664</v>
      </c>
      <c r="BK101" s="29">
        <v>2.5887938685907419</v>
      </c>
      <c r="BL101" s="29">
        <v>2.6029185300450335</v>
      </c>
      <c r="BM101" s="29">
        <v>2.6170117878097883</v>
      </c>
      <c r="BN101" s="29">
        <v>2.6310728603658098</v>
      </c>
      <c r="BO101" s="29">
        <v>2.6451009747659904</v>
      </c>
      <c r="BP101" s="29">
        <v>2.6590953667907926</v>
      </c>
      <c r="BQ101" s="29">
        <v>2.6730552810894102</v>
      </c>
      <c r="BR101" s="29">
        <v>2.6869799713226015</v>
      </c>
      <c r="BS101" s="29">
        <v>2.700868700296597</v>
      </c>
      <c r="BT101" s="29">
        <v>2.7147207400972206</v>
      </c>
      <c r="BU101" s="29">
        <v>2.7285353722094978</v>
      </c>
      <c r="BV101" s="29">
        <v>2.7423118876465549</v>
      </c>
      <c r="BW101" s="29">
        <v>2.7560495870559096</v>
      </c>
      <c r="BX101" s="29">
        <v>2.7697477808384896</v>
      </c>
      <c r="BY101" s="29">
        <v>2.7834057892499469</v>
      </c>
      <c r="BZ101" s="29">
        <v>2.7970229425028079</v>
      </c>
      <c r="CA101" s="29">
        <v>2.810598580860598</v>
      </c>
      <c r="CB101" s="29">
        <v>2.8241320547314319</v>
      </c>
      <c r="CC101" s="29">
        <v>2.8376227247511498</v>
      </c>
      <c r="CD101" s="29">
        <v>2.8510699618638813</v>
      </c>
      <c r="CE101" s="29">
        <v>2.8644731474024412</v>
      </c>
      <c r="CF101" s="29">
        <v>2.8778316731504856</v>
      </c>
      <c r="CG101" s="29">
        <v>2.8911449414186312</v>
      </c>
      <c r="CH101" s="29">
        <v>2.904412365095459</v>
      </c>
      <c r="CI101" s="29">
        <v>2.9176333677117054</v>
      </c>
      <c r="CJ101" s="29">
        <v>2.9308073834849817</v>
      </c>
      <c r="CK101" s="29">
        <v>2.94393385737142</v>
      </c>
      <c r="CL101" s="29">
        <v>2.957012245103396</v>
      </c>
      <c r="CM101" s="29">
        <v>2.9700420132278627</v>
      </c>
      <c r="CN101" s="29">
        <v>2.9830226391415269</v>
      </c>
      <c r="CO101" s="29">
        <v>2.995953611112296</v>
      </c>
      <c r="CP101" s="29">
        <v>3.008834428305958</v>
      </c>
      <c r="CQ101" s="29">
        <v>3.0216646008049501</v>
      </c>
      <c r="CR101" s="29">
        <v>3.0344436496215019</v>
      </c>
      <c r="CS101" s="29">
        <v>3.0471711067071237</v>
      </c>
      <c r="CT101" s="29">
        <v>3.0598465149587741</v>
      </c>
      <c r="CU101" s="29">
        <v>3.0724694282170111</v>
      </c>
      <c r="CV101" s="29">
        <v>3.0850394112666093</v>
      </c>
      <c r="CW101" s="29">
        <v>3.0975560398272628</v>
      </c>
      <c r="CX101" s="29">
        <v>3.1100189005408048</v>
      </c>
      <c r="CY101" s="29">
        <v>3.1224275909583121</v>
      </c>
      <c r="CZ101" s="29">
        <v>3.13478171951947</v>
      </c>
      <c r="DA101" s="29">
        <v>3.1470809055283855</v>
      </c>
      <c r="DB101" s="29">
        <v>3.1593247791277825</v>
      </c>
      <c r="DC101" s="29">
        <v>3.171512981268831</v>
      </c>
      <c r="DD101" s="29">
        <v>3.1836451636747118</v>
      </c>
      <c r="DE101" s="29">
        <v>3.195720988804998</v>
      </c>
      <c r="DF101" s="29">
        <v>3.207740129811929</v>
      </c>
      <c r="DG101" s="29">
        <v>3.2197022704984128</v>
      </c>
      <c r="DH101" s="29">
        <v>3.2316071052667441</v>
      </c>
      <c r="DI101" s="29">
        <v>3.2434543390717345</v>
      </c>
      <c r="DJ101" s="29">
        <v>3.2552436873615807</v>
      </c>
      <c r="DK101" s="29">
        <v>3.2669748760232165</v>
      </c>
      <c r="DL101" s="29">
        <v>3.2786476413228725</v>
      </c>
      <c r="DM101" s="29">
        <v>3.2902617298388876</v>
      </c>
      <c r="DN101" s="29">
        <v>3.3018168984008178</v>
      </c>
      <c r="DO101" s="29">
        <v>3.3133129140172226</v>
      </c>
      <c r="DP101" s="29">
        <v>3.3247495538045695</v>
      </c>
      <c r="DQ101" s="29">
        <v>3.3361266049157328</v>
      </c>
      <c r="DR101" s="29">
        <v>3.3474438644609545</v>
      </c>
      <c r="DS101">
        <v>3.3587011394306221</v>
      </c>
      <c r="DT101">
        <v>3.369898246615052</v>
      </c>
      <c r="DU101">
        <v>3.3810350125194768</v>
      </c>
    </row>
    <row r="102" spans="1:125">
      <c r="A102" s="34">
        <v>100</v>
      </c>
      <c r="B102" s="35"/>
      <c r="C102" s="35"/>
      <c r="D102" s="35"/>
      <c r="E102" s="35"/>
      <c r="F102" s="35"/>
      <c r="G102" s="35"/>
      <c r="H102" s="35"/>
      <c r="I102" s="35"/>
      <c r="J102" s="35"/>
      <c r="K102" s="35"/>
      <c r="L102" s="35"/>
      <c r="M102" s="35"/>
      <c r="N102" s="35"/>
      <c r="O102" s="35"/>
      <c r="P102" s="35"/>
      <c r="Q102" s="35"/>
      <c r="R102" s="35"/>
      <c r="S102" s="35"/>
      <c r="T102" s="35"/>
      <c r="U102" s="35"/>
      <c r="V102" s="29"/>
      <c r="W102" s="29">
        <v>2.11</v>
      </c>
      <c r="X102" s="29">
        <v>2.04</v>
      </c>
      <c r="Y102" s="29">
        <v>1.979717439255861</v>
      </c>
      <c r="Z102" s="29">
        <v>2.0173225892485971</v>
      </c>
      <c r="AA102" s="29">
        <v>2.0297740279966843</v>
      </c>
      <c r="AB102" s="29">
        <v>1.9585632046254127</v>
      </c>
      <c r="AC102" s="29">
        <v>1.9497776075211992</v>
      </c>
      <c r="AD102" s="29">
        <v>1.9607889536356442</v>
      </c>
      <c r="AE102" s="29">
        <v>1.9759264840384294</v>
      </c>
      <c r="AF102" s="29">
        <v>1.9910577434461489</v>
      </c>
      <c r="AG102" s="29">
        <v>2.0061815041479512</v>
      </c>
      <c r="AH102" s="29">
        <v>2.0212965415172723</v>
      </c>
      <c r="AI102" s="29">
        <v>2.0364016344476141</v>
      </c>
      <c r="AJ102" s="29">
        <v>2.051495565761646</v>
      </c>
      <c r="AK102" s="29">
        <v>2.0665771225918461</v>
      </c>
      <c r="AL102" s="29">
        <v>2.0816450968322155</v>
      </c>
      <c r="AM102" s="29">
        <v>2.0966982855131393</v>
      </c>
      <c r="AN102" s="29">
        <v>2.11173549119906</v>
      </c>
      <c r="AO102" s="29">
        <v>2.126755522406873</v>
      </c>
      <c r="AP102" s="29">
        <v>2.1417571939720466</v>
      </c>
      <c r="AQ102" s="29">
        <v>2.1550464412010673</v>
      </c>
      <c r="AR102" s="29">
        <v>2.1683195009349947</v>
      </c>
      <c r="AS102" s="29">
        <v>2.181575560203739</v>
      </c>
      <c r="AT102" s="29">
        <v>2.1948138108448352</v>
      </c>
      <c r="AU102" s="29">
        <v>2.208033449694554</v>
      </c>
      <c r="AV102" s="29">
        <v>2.2212336787870002</v>
      </c>
      <c r="AW102" s="29">
        <v>2.234413705572583</v>
      </c>
      <c r="AX102" s="29">
        <v>2.2475727430670305</v>
      </c>
      <c r="AY102" s="29">
        <v>2.2607100100777338</v>
      </c>
      <c r="AZ102" s="29">
        <v>2.2738247313687561</v>
      </c>
      <c r="BA102" s="29">
        <v>2.2869161378580491</v>
      </c>
      <c r="BB102" s="29">
        <v>2.299983466778726</v>
      </c>
      <c r="BC102" s="29">
        <v>2.3130259618654048</v>
      </c>
      <c r="BD102" s="29">
        <v>2.3260428735234888</v>
      </c>
      <c r="BE102" s="29">
        <v>2.339033458993248</v>
      </c>
      <c r="BF102" s="29">
        <v>2.3519969825138984</v>
      </c>
      <c r="BG102" s="29">
        <v>2.3649327154814972</v>
      </c>
      <c r="BH102" s="29">
        <v>2.3778399366125726</v>
      </c>
      <c r="BI102" s="29">
        <v>2.3907179320812904</v>
      </c>
      <c r="BJ102" s="29">
        <v>2.4035659956812676</v>
      </c>
      <c r="BK102" s="29">
        <v>2.4163834289500881</v>
      </c>
      <c r="BL102" s="29">
        <v>2.4291695413295478</v>
      </c>
      <c r="BM102" s="29">
        <v>2.4419236502781709</v>
      </c>
      <c r="BN102" s="29">
        <v>2.4546450814175804</v>
      </c>
      <c r="BO102" s="29">
        <v>2.4673331686463387</v>
      </c>
      <c r="BP102" s="29">
        <v>2.4799872542681034</v>
      </c>
      <c r="BQ102" s="29">
        <v>2.4926066891020633</v>
      </c>
      <c r="BR102" s="29">
        <v>2.5051908325978793</v>
      </c>
      <c r="BS102" s="29">
        <v>2.5177390529404704</v>
      </c>
      <c r="BT102" s="29">
        <v>2.5302507271572834</v>
      </c>
      <c r="BU102" s="29">
        <v>2.5427252412078434</v>
      </c>
      <c r="BV102" s="29">
        <v>2.5551619900882483</v>
      </c>
      <c r="BW102" s="29">
        <v>2.5675603779069549</v>
      </c>
      <c r="BX102" s="29">
        <v>2.5799198179801919</v>
      </c>
      <c r="BY102" s="29">
        <v>2.5922397329054396</v>
      </c>
      <c r="BZ102" s="29">
        <v>2.6045195546383137</v>
      </c>
      <c r="CA102" s="29">
        <v>2.6167587245607828</v>
      </c>
      <c r="CB102" s="29">
        <v>2.6289566935508901</v>
      </c>
      <c r="CC102" s="29">
        <v>2.6411129220405614</v>
      </c>
      <c r="CD102" s="29">
        <v>2.6532268800721943</v>
      </c>
      <c r="CE102" s="29">
        <v>2.665298047357191</v>
      </c>
      <c r="CF102" s="29">
        <v>2.6773259133122154</v>
      </c>
      <c r="CG102" s="29">
        <v>2.6893099771163635</v>
      </c>
      <c r="CH102" s="29">
        <v>2.7012497477368891</v>
      </c>
      <c r="CI102" s="29">
        <v>2.7131447439747243</v>
      </c>
      <c r="CJ102" s="29">
        <v>2.7249944944861797</v>
      </c>
      <c r="CK102" s="29">
        <v>2.7367985378160045</v>
      </c>
      <c r="CL102" s="29">
        <v>2.7485564224140533</v>
      </c>
      <c r="CM102" s="29">
        <v>2.7602677066548771</v>
      </c>
      <c r="CN102" s="29">
        <v>2.7719319588551921</v>
      </c>
      <c r="CO102" s="29">
        <v>2.783548757275268</v>
      </c>
      <c r="CP102" s="29">
        <v>2.7951176901292709</v>
      </c>
      <c r="CQ102" s="29">
        <v>2.8066383555871841</v>
      </c>
      <c r="CR102" s="29">
        <v>2.8181103617713146</v>
      </c>
      <c r="CS102" s="29">
        <v>2.8295333267499516</v>
      </c>
      <c r="CT102" s="29">
        <v>2.8409068785286369</v>
      </c>
      <c r="CU102" s="29">
        <v>2.8522306550328342</v>
      </c>
      <c r="CV102" s="29">
        <v>2.8635043040957124</v>
      </c>
      <c r="CW102" s="29">
        <v>2.8747274834348233</v>
      </c>
      <c r="CX102" s="29">
        <v>2.8858998606260968</v>
      </c>
      <c r="CY102" s="29">
        <v>2.8970211130794623</v>
      </c>
      <c r="CZ102" s="29">
        <v>2.9080909280061791</v>
      </c>
      <c r="DA102" s="29">
        <v>2.9191090023832995</v>
      </c>
      <c r="DB102" s="29">
        <v>2.9300750429177467</v>
      </c>
      <c r="DC102" s="29">
        <v>2.9409887660063965</v>
      </c>
      <c r="DD102" s="29">
        <v>2.951849897689713</v>
      </c>
      <c r="DE102" s="29">
        <v>2.9626581736080553</v>
      </c>
      <c r="DF102" s="29">
        <v>2.9734133389490962</v>
      </c>
      <c r="DG102" s="29">
        <v>2.984115148399014</v>
      </c>
      <c r="DH102" s="29">
        <v>2.994763366083264</v>
      </c>
      <c r="DI102" s="29">
        <v>3.0053577655144665</v>
      </c>
      <c r="DJ102" s="29">
        <v>3.0158981295260396</v>
      </c>
      <c r="DK102" s="29">
        <v>3.0263842502129714</v>
      </c>
      <c r="DL102" s="29">
        <v>3.0368159288678225</v>
      </c>
      <c r="DM102" s="29">
        <v>3.0471929759081928</v>
      </c>
      <c r="DN102" s="29">
        <v>3.0575152108135004</v>
      </c>
      <c r="DO102" s="29">
        <v>3.0677824620486205</v>
      </c>
      <c r="DP102" s="29">
        <v>3.0779945669901738</v>
      </c>
      <c r="DQ102" s="29">
        <v>3.088151371853507</v>
      </c>
      <c r="DR102" s="29">
        <v>3.0982527316112503</v>
      </c>
      <c r="DS102">
        <v>3.1082985099153388</v>
      </c>
      <c r="DT102">
        <v>3.1182885790163097</v>
      </c>
      <c r="DU102">
        <v>3.128222819677617</v>
      </c>
    </row>
    <row r="103" spans="1:125">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row>
    <row r="104" spans="1:125">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row>
    <row r="105" spans="1:125">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row>
    <row r="106" spans="1:125">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row>
    <row r="107" spans="1:125">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row>
    <row r="108" spans="1:125">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row>
    <row r="109" spans="1:125">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row>
    <row r="110" spans="1:125">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row>
    <row r="111" spans="1:125">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row>
    <row r="112" spans="1:125">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row>
    <row r="113" spans="2:119">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row>
    <row r="114" spans="2:119">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row>
    <row r="115" spans="2:119">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row>
    <row r="117" spans="2:119">
      <c r="N117" t="e">
        <v>#NAME?</v>
      </c>
    </row>
  </sheetData>
  <sheetProtection formatColumns="0" autoFilter="0"/>
  <hyperlinks>
    <hyperlink ref="A1" r:id="rId1" display="https://view.officeapps.live.com/op/view.aspx?src=https%3A%2F%2Fwww.destatis.de%2FDE%2FThemen%2FGesellschaft-Umwelt%2FBevoelkerung%2FSterbefaelle-Lebenserwartung%2FPublikationen%2FDownloads-Sterbefaelle%2Fkohortensterbetafeln-5126101209005.xlsx%3F__blob%3DpublicationFile&amp;wdOrigin=BROWSELINK" xr:uid="{B64B5BD6-2B96-425D-8613-68015760AC72}"/>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9534B-85D2-45E3-9166-2F808192CF18}">
  <sheetPr codeName="Tabelle44"/>
  <dimension ref="A2: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8.75" customHeight="1">
      <c r="A2" s="46" t="s">
        <v>2156</v>
      </c>
      <c r="B2" s="47" t="s">
        <v>1519</v>
      </c>
      <c r="C2" s="48" t="s">
        <v>2129</v>
      </c>
      <c r="D2" s="48" t="s">
        <v>2130</v>
      </c>
      <c r="E2" s="48" t="s">
        <v>2131</v>
      </c>
      <c r="F2" s="48" t="s">
        <v>2132</v>
      </c>
      <c r="G2" s="48" t="s">
        <v>2133</v>
      </c>
      <c r="H2" s="960" t="s">
        <v>2157</v>
      </c>
      <c r="I2" s="961"/>
      <c r="J2" s="962"/>
      <c r="K2" s="49"/>
      <c r="L2" s="50" t="s">
        <v>2129</v>
      </c>
      <c r="M2" s="50" t="s">
        <v>2130</v>
      </c>
      <c r="N2" s="50" t="s">
        <v>2131</v>
      </c>
      <c r="O2" s="50" t="s">
        <v>2132</v>
      </c>
      <c r="P2" s="50" t="str">
        <f>+G2</f>
        <v>Anwartschafts-barwert
Altersrente</v>
      </c>
      <c r="Q2" s="963" t="s">
        <v>2158</v>
      </c>
      <c r="R2" s="964"/>
      <c r="S2" s="965"/>
      <c r="T2" s="51"/>
      <c r="U2" s="52" t="s">
        <v>2129</v>
      </c>
      <c r="V2" s="52" t="s">
        <v>2130</v>
      </c>
      <c r="W2" s="52" t="s">
        <v>2131</v>
      </c>
      <c r="X2" s="52" t="s">
        <v>2132</v>
      </c>
      <c r="Y2" s="52" t="str">
        <f>+P2</f>
        <v>Anwartschafts-barwert
Altersrente</v>
      </c>
      <c r="Z2" s="966" t="s">
        <v>2159</v>
      </c>
      <c r="AA2" s="967"/>
      <c r="AB2" s="968"/>
    </row>
    <row r="3" spans="1:28" s="64" customFormat="1" ht="13.5">
      <c r="A3" s="53">
        <v>43111</v>
      </c>
      <c r="B3" s="54"/>
      <c r="C3" s="55" t="s">
        <v>2146</v>
      </c>
      <c r="D3" s="55" t="s">
        <v>2147</v>
      </c>
      <c r="E3" s="55" t="s">
        <v>2148</v>
      </c>
      <c r="F3" s="55" t="s">
        <v>2148</v>
      </c>
      <c r="G3" s="55"/>
      <c r="H3" s="56" t="s">
        <v>2139</v>
      </c>
      <c r="I3" s="56" t="s">
        <v>2140</v>
      </c>
      <c r="J3" s="57" t="s">
        <v>2141</v>
      </c>
      <c r="K3" s="58" t="s">
        <v>1519</v>
      </c>
      <c r="L3" s="59" t="s">
        <v>2150</v>
      </c>
      <c r="M3" s="59" t="s">
        <v>2151</v>
      </c>
      <c r="N3" s="59" t="s">
        <v>2144</v>
      </c>
      <c r="O3" s="59"/>
      <c r="P3" s="59"/>
      <c r="Q3" s="59" t="s">
        <v>2139</v>
      </c>
      <c r="R3" s="59" t="s">
        <v>2140</v>
      </c>
      <c r="S3" s="60" t="s">
        <v>2141</v>
      </c>
      <c r="T3" s="61" t="s">
        <v>1519</v>
      </c>
      <c r="U3" s="62" t="s">
        <v>2142</v>
      </c>
      <c r="V3" s="62" t="s">
        <v>2143</v>
      </c>
      <c r="W3" s="62" t="s">
        <v>2144</v>
      </c>
      <c r="X3" s="62"/>
      <c r="Y3" s="62"/>
      <c r="Z3" s="62" t="s">
        <v>2139</v>
      </c>
      <c r="AA3" s="62" t="s">
        <v>2140</v>
      </c>
      <c r="AB3" s="63" t="s">
        <v>2141</v>
      </c>
    </row>
    <row r="4" spans="1:28">
      <c r="B4" s="65">
        <v>20</v>
      </c>
      <c r="C4" s="66">
        <v>0.28299999999999997</v>
      </c>
      <c r="D4" s="66">
        <v>4.6829999999999998</v>
      </c>
      <c r="E4" s="66">
        <v>0.53400000000000003</v>
      </c>
      <c r="F4" s="66">
        <v>0.53400000000000003</v>
      </c>
      <c r="G4" s="66">
        <v>4.3999999999999995</v>
      </c>
      <c r="H4" s="67">
        <v>6.4318181818181816E-2</v>
      </c>
      <c r="I4" s="67">
        <v>0.12136363636363638</v>
      </c>
      <c r="J4" s="68">
        <v>0.1856818181818182</v>
      </c>
      <c r="K4" s="65">
        <v>20</v>
      </c>
      <c r="L4" s="66">
        <v>0.29499999999999998</v>
      </c>
      <c r="M4" s="66">
        <v>5.4459999999999997</v>
      </c>
      <c r="N4" s="69">
        <v>0.13300000000000001</v>
      </c>
      <c r="O4" s="66">
        <v>0.13300000000000001</v>
      </c>
      <c r="P4" s="66">
        <v>5.1509999999999998</v>
      </c>
      <c r="Q4" s="67">
        <v>5.7270432925645508E-2</v>
      </c>
      <c r="R4" s="67">
        <v>2.5820229081731705E-2</v>
      </c>
      <c r="S4" s="68">
        <v>8.309066200737722E-2</v>
      </c>
      <c r="T4" s="65">
        <v>20</v>
      </c>
      <c r="U4" s="70">
        <v>0.28899999999999998</v>
      </c>
      <c r="V4" s="70">
        <v>5.0644999999999998</v>
      </c>
      <c r="W4" s="70">
        <v>0.33350000000000002</v>
      </c>
      <c r="X4" s="70">
        <v>0.33350000000000002</v>
      </c>
      <c r="Y4" s="70">
        <v>4.7754999999999992</v>
      </c>
      <c r="Z4" s="71">
        <v>6.0794307371913658E-2</v>
      </c>
      <c r="AA4" s="71">
        <v>7.359193272268405E-2</v>
      </c>
      <c r="AB4" s="72">
        <v>0.13438624009459771</v>
      </c>
    </row>
    <row r="5" spans="1:28">
      <c r="B5" s="73">
        <v>21</v>
      </c>
      <c r="C5" s="74">
        <v>0.32600000000000001</v>
      </c>
      <c r="D5" s="74">
        <v>4.8250000000000002</v>
      </c>
      <c r="E5" s="74">
        <v>0.621</v>
      </c>
      <c r="F5" s="74">
        <v>0.621</v>
      </c>
      <c r="G5" s="74">
        <v>4.4990000000000006</v>
      </c>
      <c r="H5" s="75">
        <v>7.2460546788175137E-2</v>
      </c>
      <c r="I5" s="75">
        <v>0.13803067348299619</v>
      </c>
      <c r="J5" s="77">
        <v>0.21049122027117134</v>
      </c>
      <c r="K5" s="73">
        <v>21</v>
      </c>
      <c r="L5" s="74">
        <v>0.35399999999999998</v>
      </c>
      <c r="M5" s="74">
        <v>5.609</v>
      </c>
      <c r="N5" s="76">
        <v>0.16</v>
      </c>
      <c r="O5" s="74">
        <v>0.16</v>
      </c>
      <c r="P5" s="74">
        <v>5.2549999999999999</v>
      </c>
      <c r="Q5" s="75">
        <v>6.7364414843006662E-2</v>
      </c>
      <c r="R5" s="75">
        <v>3.0447193149381543E-2</v>
      </c>
      <c r="S5" s="77">
        <v>9.7811607992388208E-2</v>
      </c>
      <c r="T5" s="73">
        <v>21</v>
      </c>
      <c r="U5" s="78">
        <v>0.33999999999999997</v>
      </c>
      <c r="V5" s="78">
        <v>5.2170000000000005</v>
      </c>
      <c r="W5" s="78">
        <v>0.39050000000000001</v>
      </c>
      <c r="X5" s="78">
        <v>0.39050000000000001</v>
      </c>
      <c r="Y5" s="78">
        <v>4.8770000000000007</v>
      </c>
      <c r="Z5" s="19">
        <v>6.9912480815590899E-2</v>
      </c>
      <c r="AA5" s="19">
        <v>8.4238933316188869E-2</v>
      </c>
      <c r="AB5" s="79">
        <v>0.15415141413177977</v>
      </c>
    </row>
    <row r="6" spans="1:28">
      <c r="B6" s="65">
        <v>22</v>
      </c>
      <c r="C6" s="66">
        <v>0.371</v>
      </c>
      <c r="D6" s="66">
        <v>4.97</v>
      </c>
      <c r="E6" s="66">
        <v>0.71299999999999997</v>
      </c>
      <c r="F6" s="66">
        <v>0.71299999999999997</v>
      </c>
      <c r="G6" s="66">
        <v>4.5990000000000002</v>
      </c>
      <c r="H6" s="67">
        <v>8.0669710806697104E-2</v>
      </c>
      <c r="I6" s="67">
        <v>0.15503370297890845</v>
      </c>
      <c r="J6" s="68">
        <v>0.23570341378560555</v>
      </c>
      <c r="K6" s="65">
        <v>22</v>
      </c>
      <c r="L6" s="66">
        <v>0.40899999999999997</v>
      </c>
      <c r="M6" s="66">
        <v>5.7750000000000004</v>
      </c>
      <c r="N6" s="69">
        <v>0.186</v>
      </c>
      <c r="O6" s="66">
        <v>0.186</v>
      </c>
      <c r="P6" s="66">
        <v>5.3660000000000005</v>
      </c>
      <c r="Q6" s="67">
        <v>7.6220648527767415E-2</v>
      </c>
      <c r="R6" s="67">
        <v>3.4662691017517698E-2</v>
      </c>
      <c r="S6" s="68">
        <v>0.11088333954528512</v>
      </c>
      <c r="T6" s="65">
        <v>22</v>
      </c>
      <c r="U6" s="70">
        <v>0.39</v>
      </c>
      <c r="V6" s="70">
        <v>5.3725000000000005</v>
      </c>
      <c r="W6" s="70">
        <v>0.44950000000000001</v>
      </c>
      <c r="X6" s="70">
        <v>0.44950000000000001</v>
      </c>
      <c r="Y6" s="70">
        <v>4.9824999999999999</v>
      </c>
      <c r="Z6" s="71">
        <v>7.8445179667232259E-2</v>
      </c>
      <c r="AA6" s="71">
        <v>9.4848196998213077E-2</v>
      </c>
      <c r="AB6" s="72">
        <v>0.17329337666544534</v>
      </c>
    </row>
    <row r="7" spans="1:28">
      <c r="B7" s="73">
        <v>23</v>
      </c>
      <c r="C7" s="74">
        <v>0.41699999999999998</v>
      </c>
      <c r="D7" s="74">
        <v>5.1189999999999998</v>
      </c>
      <c r="E7" s="74">
        <v>0.81</v>
      </c>
      <c r="F7" s="74">
        <v>0.81</v>
      </c>
      <c r="G7" s="74">
        <v>4.702</v>
      </c>
      <c r="H7" s="75">
        <v>8.8685665674181194E-2</v>
      </c>
      <c r="I7" s="75">
        <v>0.17226712037430883</v>
      </c>
      <c r="J7" s="77">
        <v>0.26095278604849004</v>
      </c>
      <c r="K7" s="73">
        <v>23</v>
      </c>
      <c r="L7" s="74">
        <v>0.45500000000000002</v>
      </c>
      <c r="M7" s="74">
        <v>5.9470000000000001</v>
      </c>
      <c r="N7" s="76">
        <v>0.20799999999999999</v>
      </c>
      <c r="O7" s="74">
        <v>0.20799999999999999</v>
      </c>
      <c r="P7" s="74">
        <v>5.492</v>
      </c>
      <c r="Q7" s="75">
        <v>8.2847778587035695E-2</v>
      </c>
      <c r="R7" s="75">
        <v>3.7873270211216316E-2</v>
      </c>
      <c r="S7" s="77">
        <v>0.12072104879825202</v>
      </c>
      <c r="T7" s="73">
        <v>23</v>
      </c>
      <c r="U7" s="78">
        <v>0.436</v>
      </c>
      <c r="V7" s="78">
        <v>5.5329999999999995</v>
      </c>
      <c r="W7" s="78">
        <v>0.50900000000000001</v>
      </c>
      <c r="X7" s="78">
        <v>0.50900000000000001</v>
      </c>
      <c r="Y7" s="78">
        <v>5.0969999999999995</v>
      </c>
      <c r="Z7" s="19">
        <v>8.5766722130608444E-2</v>
      </c>
      <c r="AA7" s="19">
        <v>0.10507019529276257</v>
      </c>
      <c r="AB7" s="79">
        <v>0.19083691742337103</v>
      </c>
    </row>
    <row r="8" spans="1:28">
      <c r="B8" s="65">
        <v>24</v>
      </c>
      <c r="C8" s="66">
        <v>0.45700000000000002</v>
      </c>
      <c r="D8" s="66">
        <v>5.2720000000000002</v>
      </c>
      <c r="E8" s="66">
        <v>0.89900000000000002</v>
      </c>
      <c r="F8" s="66">
        <v>0.89900000000000002</v>
      </c>
      <c r="G8" s="66">
        <v>4.8150000000000004</v>
      </c>
      <c r="H8" s="67">
        <v>9.4911734164070602E-2</v>
      </c>
      <c r="I8" s="67">
        <v>0.18670820353063342</v>
      </c>
      <c r="J8" s="68">
        <v>0.281619937694704</v>
      </c>
      <c r="K8" s="65">
        <v>24</v>
      </c>
      <c r="L8" s="66">
        <v>0.496</v>
      </c>
      <c r="M8" s="66">
        <v>6.1219999999999999</v>
      </c>
      <c r="N8" s="69">
        <v>0.22800000000000001</v>
      </c>
      <c r="O8" s="66">
        <v>0.22800000000000001</v>
      </c>
      <c r="P8" s="66">
        <v>5.6259999999999994</v>
      </c>
      <c r="Q8" s="67">
        <v>8.816210451475294E-2</v>
      </c>
      <c r="R8" s="67">
        <v>4.0526128688233208E-2</v>
      </c>
      <c r="S8" s="68">
        <v>0.12868823320298614</v>
      </c>
      <c r="T8" s="65">
        <v>24</v>
      </c>
      <c r="U8" s="70">
        <v>0.47650000000000003</v>
      </c>
      <c r="V8" s="70">
        <v>5.6970000000000001</v>
      </c>
      <c r="W8" s="70">
        <v>0.5635</v>
      </c>
      <c r="X8" s="70">
        <v>0.5635</v>
      </c>
      <c r="Y8" s="70">
        <v>5.2204999999999995</v>
      </c>
      <c r="Z8" s="71">
        <v>9.1536919339411771E-2</v>
      </c>
      <c r="AA8" s="71">
        <v>0.11361716610943332</v>
      </c>
      <c r="AB8" s="72">
        <v>0.20515408544884506</v>
      </c>
    </row>
    <row r="9" spans="1:28">
      <c r="B9" s="73">
        <v>25</v>
      </c>
      <c r="C9" s="74">
        <v>0.49399999999999999</v>
      </c>
      <c r="D9" s="74">
        <v>5.4279999999999999</v>
      </c>
      <c r="E9" s="74">
        <v>0.98099999999999998</v>
      </c>
      <c r="F9" s="74">
        <v>0.98099999999999998</v>
      </c>
      <c r="G9" s="74">
        <v>4.9340000000000002</v>
      </c>
      <c r="H9" s="75">
        <v>0.10012160518848803</v>
      </c>
      <c r="I9" s="75">
        <v>0.19882448317794893</v>
      </c>
      <c r="J9" s="77">
        <v>0.29894608836643699</v>
      </c>
      <c r="K9" s="73">
        <v>25</v>
      </c>
      <c r="L9" s="74">
        <v>0.53700000000000003</v>
      </c>
      <c r="M9" s="74">
        <v>6.3010000000000002</v>
      </c>
      <c r="N9" s="76">
        <v>0.248</v>
      </c>
      <c r="O9" s="74">
        <v>0.248</v>
      </c>
      <c r="P9" s="74">
        <v>5.7640000000000002</v>
      </c>
      <c r="Q9" s="75">
        <v>9.3164469118667589E-2</v>
      </c>
      <c r="R9" s="75">
        <v>4.302567661346287E-2</v>
      </c>
      <c r="S9" s="77">
        <v>0.13619014573213045</v>
      </c>
      <c r="T9" s="73">
        <v>25</v>
      </c>
      <c r="U9" s="78">
        <v>0.51550000000000007</v>
      </c>
      <c r="V9" s="78">
        <v>5.8644999999999996</v>
      </c>
      <c r="W9" s="78">
        <v>0.61450000000000005</v>
      </c>
      <c r="X9" s="78">
        <v>0.61450000000000005</v>
      </c>
      <c r="Y9" s="78">
        <v>5.3490000000000002</v>
      </c>
      <c r="Z9" s="19">
        <v>9.6643037153577804E-2</v>
      </c>
      <c r="AA9" s="19">
        <v>0.1209250798957059</v>
      </c>
      <c r="AB9" s="79">
        <v>0.21756811704928372</v>
      </c>
    </row>
    <row r="10" spans="1:28">
      <c r="B10" s="65">
        <v>26</v>
      </c>
      <c r="C10" s="66">
        <v>0.52600000000000002</v>
      </c>
      <c r="D10" s="66">
        <v>5.5869999999999997</v>
      </c>
      <c r="E10" s="66">
        <v>1.06</v>
      </c>
      <c r="F10" s="66">
        <v>1.06</v>
      </c>
      <c r="G10" s="66">
        <v>5.0609999999999999</v>
      </c>
      <c r="H10" s="67">
        <v>0.10393202924323257</v>
      </c>
      <c r="I10" s="67">
        <v>0.20944477376012646</v>
      </c>
      <c r="J10" s="68">
        <v>0.31337680300335902</v>
      </c>
      <c r="K10" s="65">
        <v>26</v>
      </c>
      <c r="L10" s="66">
        <v>0.57799999999999996</v>
      </c>
      <c r="M10" s="66">
        <v>6.4829999999999997</v>
      </c>
      <c r="N10" s="69">
        <v>0.26900000000000002</v>
      </c>
      <c r="O10" s="66">
        <v>0.26900000000000002</v>
      </c>
      <c r="P10" s="66">
        <v>5.9049999999999994</v>
      </c>
      <c r="Q10" s="67">
        <v>9.7883149872988989E-2</v>
      </c>
      <c r="R10" s="67">
        <v>4.5554614733276891E-2</v>
      </c>
      <c r="S10" s="68">
        <v>0.14343776460626589</v>
      </c>
      <c r="T10" s="65">
        <v>26</v>
      </c>
      <c r="U10" s="70">
        <v>0.55200000000000005</v>
      </c>
      <c r="V10" s="70">
        <v>6.0350000000000001</v>
      </c>
      <c r="W10" s="70">
        <v>0.66450000000000009</v>
      </c>
      <c r="X10" s="70">
        <v>0.66450000000000009</v>
      </c>
      <c r="Y10" s="70">
        <v>5.4829999999999997</v>
      </c>
      <c r="Z10" s="71">
        <v>0.10090758955811077</v>
      </c>
      <c r="AA10" s="71">
        <v>0.12749969424670168</v>
      </c>
      <c r="AB10" s="72">
        <v>0.22840728380481246</v>
      </c>
    </row>
    <row r="11" spans="1:28">
      <c r="B11" s="73">
        <v>27</v>
      </c>
      <c r="C11" s="74">
        <v>0.55600000000000005</v>
      </c>
      <c r="D11" s="74">
        <v>5.75</v>
      </c>
      <c r="E11" s="74">
        <v>1.1359999999999999</v>
      </c>
      <c r="F11" s="74">
        <v>1.1359999999999999</v>
      </c>
      <c r="G11" s="74">
        <v>5.194</v>
      </c>
      <c r="H11" s="75">
        <v>0.10704659222179438</v>
      </c>
      <c r="I11" s="75">
        <v>0.21871390065460145</v>
      </c>
      <c r="J11" s="77">
        <v>0.32576049287639586</v>
      </c>
      <c r="K11" s="73">
        <v>27</v>
      </c>
      <c r="L11" s="74">
        <v>0.61699999999999999</v>
      </c>
      <c r="M11" s="74">
        <v>6.67</v>
      </c>
      <c r="N11" s="76">
        <v>0.28899999999999998</v>
      </c>
      <c r="O11" s="74">
        <v>0.28899999999999998</v>
      </c>
      <c r="P11" s="74">
        <v>6.0529999999999999</v>
      </c>
      <c r="Q11" s="75">
        <v>0.10193292582190649</v>
      </c>
      <c r="R11" s="75">
        <v>4.7744919874442425E-2</v>
      </c>
      <c r="S11" s="77">
        <v>0.14967784569634893</v>
      </c>
      <c r="T11" s="73">
        <v>27</v>
      </c>
      <c r="U11" s="78">
        <v>0.58650000000000002</v>
      </c>
      <c r="V11" s="78">
        <v>6.21</v>
      </c>
      <c r="W11" s="78">
        <v>0.71249999999999991</v>
      </c>
      <c r="X11" s="78">
        <v>0.71249999999999991</v>
      </c>
      <c r="Y11" s="78">
        <v>5.6234999999999999</v>
      </c>
      <c r="Z11" s="19">
        <v>0.10448975902185044</v>
      </c>
      <c r="AA11" s="19">
        <v>0.13322941026452192</v>
      </c>
      <c r="AB11" s="79">
        <v>0.23771916928637238</v>
      </c>
    </row>
    <row r="12" spans="1:28">
      <c r="B12" s="65">
        <v>28</v>
      </c>
      <c r="C12" s="66">
        <v>0.58399999999999996</v>
      </c>
      <c r="D12" s="66">
        <v>5.9169999999999998</v>
      </c>
      <c r="E12" s="66">
        <v>1.21</v>
      </c>
      <c r="F12" s="66">
        <v>1.21</v>
      </c>
      <c r="G12" s="66">
        <v>5.3330000000000002</v>
      </c>
      <c r="H12" s="67">
        <v>0.1095068441777611</v>
      </c>
      <c r="I12" s="67">
        <v>0.22688918057378585</v>
      </c>
      <c r="J12" s="68">
        <v>0.33639602475154695</v>
      </c>
      <c r="K12" s="65">
        <v>28</v>
      </c>
      <c r="L12" s="66">
        <v>0.65400000000000003</v>
      </c>
      <c r="M12" s="66">
        <v>6.86</v>
      </c>
      <c r="N12" s="69">
        <v>0.309</v>
      </c>
      <c r="O12" s="66">
        <v>0.309</v>
      </c>
      <c r="P12" s="66">
        <v>6.2060000000000004</v>
      </c>
      <c r="Q12" s="67">
        <v>0.10538188849500484</v>
      </c>
      <c r="R12" s="67">
        <v>4.979052529809861E-2</v>
      </c>
      <c r="S12" s="68">
        <v>0.15517241379310345</v>
      </c>
      <c r="T12" s="65">
        <v>28</v>
      </c>
      <c r="U12" s="70">
        <v>0.61899999999999999</v>
      </c>
      <c r="V12" s="70">
        <v>6.3885000000000005</v>
      </c>
      <c r="W12" s="70">
        <v>0.75949999999999995</v>
      </c>
      <c r="X12" s="70">
        <v>0.75949999999999995</v>
      </c>
      <c r="Y12" s="70">
        <v>5.7695000000000007</v>
      </c>
      <c r="Z12" s="71">
        <v>0.10744436633638296</v>
      </c>
      <c r="AA12" s="71">
        <v>0.13833985293594223</v>
      </c>
      <c r="AB12" s="72">
        <v>0.24578421927232519</v>
      </c>
    </row>
    <row r="13" spans="1:28">
      <c r="B13" s="73">
        <v>29</v>
      </c>
      <c r="C13" s="74">
        <v>0.60899999999999999</v>
      </c>
      <c r="D13" s="74">
        <v>6.0869999999999997</v>
      </c>
      <c r="E13" s="74">
        <v>1.2829999999999999</v>
      </c>
      <c r="F13" s="74">
        <v>1.2829999999999999</v>
      </c>
      <c r="G13" s="74">
        <v>5.4779999999999998</v>
      </c>
      <c r="H13" s="75">
        <v>0.11117196056955093</v>
      </c>
      <c r="I13" s="75">
        <v>0.23420956553486674</v>
      </c>
      <c r="J13" s="77">
        <v>0.34538152610441769</v>
      </c>
      <c r="K13" s="73">
        <v>29</v>
      </c>
      <c r="L13" s="74">
        <v>0.68899999999999995</v>
      </c>
      <c r="M13" s="74">
        <v>7.0540000000000003</v>
      </c>
      <c r="N13" s="76">
        <v>0.32900000000000001</v>
      </c>
      <c r="O13" s="74">
        <v>0.32900000000000001</v>
      </c>
      <c r="P13" s="74">
        <v>6.3650000000000002</v>
      </c>
      <c r="Q13" s="75">
        <v>0.1082482325216025</v>
      </c>
      <c r="R13" s="75">
        <v>5.1688923802042423E-2</v>
      </c>
      <c r="S13" s="77">
        <v>0.15993715632364491</v>
      </c>
      <c r="T13" s="73">
        <v>29</v>
      </c>
      <c r="U13" s="78">
        <v>0.64900000000000002</v>
      </c>
      <c r="V13" s="78">
        <v>6.5705</v>
      </c>
      <c r="W13" s="78">
        <v>0.80599999999999994</v>
      </c>
      <c r="X13" s="78">
        <v>0.80599999999999994</v>
      </c>
      <c r="Y13" s="78">
        <v>5.9215</v>
      </c>
      <c r="Z13" s="19">
        <v>0.10971009654557672</v>
      </c>
      <c r="AA13" s="19">
        <v>0.14294924466845457</v>
      </c>
      <c r="AB13" s="79">
        <v>0.25265934121403133</v>
      </c>
    </row>
    <row r="14" spans="1:28">
      <c r="B14" s="65">
        <v>30</v>
      </c>
      <c r="C14" s="66">
        <v>0.63300000000000001</v>
      </c>
      <c r="D14" s="66">
        <v>6.2619999999999996</v>
      </c>
      <c r="E14" s="66">
        <v>1.355</v>
      </c>
      <c r="F14" s="66">
        <v>1.355</v>
      </c>
      <c r="G14" s="66">
        <v>5.6289999999999996</v>
      </c>
      <c r="H14" s="67">
        <v>0.11245336649493694</v>
      </c>
      <c r="I14" s="67">
        <v>0.24071771184935159</v>
      </c>
      <c r="J14" s="68">
        <v>0.35317107834428851</v>
      </c>
      <c r="K14" s="65">
        <v>30</v>
      </c>
      <c r="L14" s="66">
        <v>0.72299999999999998</v>
      </c>
      <c r="M14" s="66">
        <v>7.2510000000000003</v>
      </c>
      <c r="N14" s="69">
        <v>0.34799999999999998</v>
      </c>
      <c r="O14" s="66">
        <v>0.34799999999999998</v>
      </c>
      <c r="P14" s="66">
        <v>6.5280000000000005</v>
      </c>
      <c r="Q14" s="67">
        <v>0.11075367647058823</v>
      </c>
      <c r="R14" s="67">
        <v>5.3308823529411756E-2</v>
      </c>
      <c r="S14" s="68">
        <v>0.1640625</v>
      </c>
      <c r="T14" s="65">
        <v>30</v>
      </c>
      <c r="U14" s="70">
        <v>0.67799999999999994</v>
      </c>
      <c r="V14" s="70">
        <v>6.7565</v>
      </c>
      <c r="W14" s="70">
        <v>0.85149999999999992</v>
      </c>
      <c r="X14" s="70">
        <v>0.85149999999999992</v>
      </c>
      <c r="Y14" s="70">
        <v>6.0785</v>
      </c>
      <c r="Z14" s="71">
        <v>0.11160352148276259</v>
      </c>
      <c r="AA14" s="71">
        <v>0.14701326768938167</v>
      </c>
      <c r="AB14" s="72">
        <v>0.25861678917214426</v>
      </c>
    </row>
    <row r="15" spans="1:28">
      <c r="B15" s="73">
        <v>31</v>
      </c>
      <c r="C15" s="74">
        <v>0.65500000000000003</v>
      </c>
      <c r="D15" s="74">
        <v>6.4420000000000002</v>
      </c>
      <c r="E15" s="74">
        <v>1.427</v>
      </c>
      <c r="F15" s="74">
        <v>1.427</v>
      </c>
      <c r="G15" s="74">
        <v>5.7869999999999999</v>
      </c>
      <c r="H15" s="75">
        <v>0.11318472438223605</v>
      </c>
      <c r="I15" s="75">
        <v>0.24658717815794023</v>
      </c>
      <c r="J15" s="77">
        <v>0.35977190254017627</v>
      </c>
      <c r="K15" s="73">
        <v>31</v>
      </c>
      <c r="L15" s="74">
        <v>0.753</v>
      </c>
      <c r="M15" s="74">
        <v>7.4530000000000003</v>
      </c>
      <c r="N15" s="76">
        <v>0.36699999999999999</v>
      </c>
      <c r="O15" s="74">
        <v>0.36699999999999999</v>
      </c>
      <c r="P15" s="74">
        <v>6.7</v>
      </c>
      <c r="Q15" s="75">
        <v>0.11238805970149253</v>
      </c>
      <c r="R15" s="75">
        <v>5.4776119402985074E-2</v>
      </c>
      <c r="S15" s="77">
        <v>0.16716417910447762</v>
      </c>
      <c r="T15" s="73">
        <v>31</v>
      </c>
      <c r="U15" s="78">
        <v>0.70399999999999996</v>
      </c>
      <c r="V15" s="78">
        <v>6.9474999999999998</v>
      </c>
      <c r="W15" s="78">
        <v>0.89700000000000002</v>
      </c>
      <c r="X15" s="78">
        <v>0.89700000000000002</v>
      </c>
      <c r="Y15" s="78">
        <v>6.2435</v>
      </c>
      <c r="Z15" s="19">
        <v>0.11278639204186429</v>
      </c>
      <c r="AA15" s="19">
        <v>0.15068164878046264</v>
      </c>
      <c r="AB15" s="79">
        <v>0.26346804082232694</v>
      </c>
    </row>
    <row r="16" spans="1:28">
      <c r="B16" s="65">
        <v>32</v>
      </c>
      <c r="C16" s="66">
        <v>0.67600000000000005</v>
      </c>
      <c r="D16" s="66">
        <v>6.625</v>
      </c>
      <c r="E16" s="66">
        <v>1.498</v>
      </c>
      <c r="F16" s="66">
        <v>1.498</v>
      </c>
      <c r="G16" s="66">
        <v>5.9489999999999998</v>
      </c>
      <c r="H16" s="67">
        <v>0.11363254328458565</v>
      </c>
      <c r="I16" s="67">
        <v>0.25180702639099006</v>
      </c>
      <c r="J16" s="68">
        <v>0.36543956967557573</v>
      </c>
      <c r="K16" s="65">
        <v>32</v>
      </c>
      <c r="L16" s="66">
        <v>0.78200000000000003</v>
      </c>
      <c r="M16" s="66">
        <v>7.6589999999999998</v>
      </c>
      <c r="N16" s="69">
        <v>0.38600000000000001</v>
      </c>
      <c r="O16" s="66">
        <v>0.38600000000000001</v>
      </c>
      <c r="P16" s="66">
        <v>6.8769999999999998</v>
      </c>
      <c r="Q16" s="67">
        <v>0.11371237458193981</v>
      </c>
      <c r="R16" s="67">
        <v>5.6129126072415297E-2</v>
      </c>
      <c r="S16" s="68">
        <v>0.1698415006543551</v>
      </c>
      <c r="T16" s="65">
        <v>32</v>
      </c>
      <c r="U16" s="70">
        <v>0.72900000000000009</v>
      </c>
      <c r="V16" s="70">
        <v>7.1419999999999995</v>
      </c>
      <c r="W16" s="70">
        <v>0.94199999999999995</v>
      </c>
      <c r="X16" s="70">
        <v>0.94199999999999995</v>
      </c>
      <c r="Y16" s="70">
        <v>6.4130000000000003</v>
      </c>
      <c r="Z16" s="71">
        <v>0.11367245893326272</v>
      </c>
      <c r="AA16" s="71">
        <v>0.15396807623170267</v>
      </c>
      <c r="AB16" s="72">
        <v>0.26764053516496544</v>
      </c>
    </row>
    <row r="17" spans="2:28">
      <c r="B17" s="73">
        <v>33</v>
      </c>
      <c r="C17" s="74">
        <v>0.69599999999999995</v>
      </c>
      <c r="D17" s="74">
        <v>6.8140000000000001</v>
      </c>
      <c r="E17" s="74">
        <v>1.57</v>
      </c>
      <c r="F17" s="74">
        <v>1.57</v>
      </c>
      <c r="G17" s="74">
        <v>6.1180000000000003</v>
      </c>
      <c r="H17" s="75">
        <v>0.11376266753841123</v>
      </c>
      <c r="I17" s="75">
        <v>0.25661981039555409</v>
      </c>
      <c r="J17" s="77">
        <v>0.37038247793396534</v>
      </c>
      <c r="K17" s="73">
        <v>33</v>
      </c>
      <c r="L17" s="74">
        <v>0.80700000000000005</v>
      </c>
      <c r="M17" s="74">
        <v>7.8689999999999998</v>
      </c>
      <c r="N17" s="76">
        <v>0.40300000000000002</v>
      </c>
      <c r="O17" s="74">
        <v>0.40300000000000002</v>
      </c>
      <c r="P17" s="74">
        <v>7.0619999999999994</v>
      </c>
      <c r="Q17" s="75">
        <v>0.11427357689039934</v>
      </c>
      <c r="R17" s="75">
        <v>5.7065986972529036E-2</v>
      </c>
      <c r="S17" s="77">
        <v>0.17133956386292837</v>
      </c>
      <c r="T17" s="73">
        <v>33</v>
      </c>
      <c r="U17" s="78">
        <v>0.75150000000000006</v>
      </c>
      <c r="V17" s="78">
        <v>7.3414999999999999</v>
      </c>
      <c r="W17" s="78">
        <v>0.98650000000000004</v>
      </c>
      <c r="X17" s="78">
        <v>0.98650000000000004</v>
      </c>
      <c r="Y17" s="78">
        <v>6.59</v>
      </c>
      <c r="Z17" s="19">
        <v>0.11401812221440528</v>
      </c>
      <c r="AA17" s="19">
        <v>0.15684289868404155</v>
      </c>
      <c r="AB17" s="79">
        <v>0.27086102089844688</v>
      </c>
    </row>
    <row r="18" spans="2:28">
      <c r="B18" s="65">
        <v>34</v>
      </c>
      <c r="C18" s="66">
        <v>0.71399999999999997</v>
      </c>
      <c r="D18" s="66">
        <v>7.0069999999999997</v>
      </c>
      <c r="E18" s="66">
        <v>1.641</v>
      </c>
      <c r="F18" s="66">
        <v>1.641</v>
      </c>
      <c r="G18" s="66">
        <v>6.2929999999999993</v>
      </c>
      <c r="H18" s="67">
        <v>0.11345939933259178</v>
      </c>
      <c r="I18" s="67">
        <v>0.26076593039885593</v>
      </c>
      <c r="J18" s="68">
        <v>0.37422532973144773</v>
      </c>
      <c r="K18" s="65">
        <v>34</v>
      </c>
      <c r="L18" s="66">
        <v>0.83</v>
      </c>
      <c r="M18" s="66">
        <v>8.0830000000000002</v>
      </c>
      <c r="N18" s="69">
        <v>0.42099999999999999</v>
      </c>
      <c r="O18" s="66">
        <v>0.42099999999999999</v>
      </c>
      <c r="P18" s="66">
        <v>7.2530000000000001</v>
      </c>
      <c r="Q18" s="67">
        <v>0.11443540603888046</v>
      </c>
      <c r="R18" s="67">
        <v>5.8044946918516471E-2</v>
      </c>
      <c r="S18" s="68">
        <v>0.17248035295739694</v>
      </c>
      <c r="T18" s="65">
        <v>34</v>
      </c>
      <c r="U18" s="70">
        <v>0.77200000000000002</v>
      </c>
      <c r="V18" s="70">
        <v>7.5449999999999999</v>
      </c>
      <c r="W18" s="70">
        <v>1.0309999999999999</v>
      </c>
      <c r="X18" s="70">
        <v>1.0309999999999999</v>
      </c>
      <c r="Y18" s="70">
        <v>6.7729999999999997</v>
      </c>
      <c r="Z18" s="71">
        <v>0.11394740268573611</v>
      </c>
      <c r="AA18" s="71">
        <v>0.1594054386586862</v>
      </c>
      <c r="AB18" s="72">
        <v>0.27335284134442234</v>
      </c>
    </row>
    <row r="19" spans="2:28">
      <c r="B19" s="73">
        <v>35</v>
      </c>
      <c r="C19" s="74">
        <v>0.73</v>
      </c>
      <c r="D19" s="74">
        <v>7.2050000000000001</v>
      </c>
      <c r="E19" s="74">
        <v>1.7130000000000001</v>
      </c>
      <c r="F19" s="74">
        <v>1.7130000000000001</v>
      </c>
      <c r="G19" s="74">
        <v>6.4749999999999996</v>
      </c>
      <c r="H19" s="75">
        <v>0.11274131274131274</v>
      </c>
      <c r="I19" s="75">
        <v>0.26455598455598456</v>
      </c>
      <c r="J19" s="77">
        <v>0.37729729729729733</v>
      </c>
      <c r="K19" s="73">
        <v>35</v>
      </c>
      <c r="L19" s="74">
        <v>0.84899999999999998</v>
      </c>
      <c r="M19" s="74">
        <v>8.3010000000000002</v>
      </c>
      <c r="N19" s="76">
        <v>0.438</v>
      </c>
      <c r="O19" s="74">
        <v>0.438</v>
      </c>
      <c r="P19" s="74">
        <v>7.452</v>
      </c>
      <c r="Q19" s="75">
        <v>0.11392914653784218</v>
      </c>
      <c r="R19" s="75">
        <v>5.8776167471819643E-2</v>
      </c>
      <c r="S19" s="77">
        <v>0.17270531400966183</v>
      </c>
      <c r="T19" s="73">
        <v>35</v>
      </c>
      <c r="U19" s="78">
        <v>0.78949999999999998</v>
      </c>
      <c r="V19" s="78">
        <v>7.7530000000000001</v>
      </c>
      <c r="W19" s="78">
        <v>1.0755000000000001</v>
      </c>
      <c r="X19" s="78">
        <v>1.0755000000000001</v>
      </c>
      <c r="Y19" s="78">
        <v>6.9634999999999998</v>
      </c>
      <c r="Z19" s="19">
        <v>0.11333522963957746</v>
      </c>
      <c r="AA19" s="19">
        <v>0.16166607601390209</v>
      </c>
      <c r="AB19" s="79">
        <v>0.27500130565347958</v>
      </c>
    </row>
    <row r="20" spans="2:28">
      <c r="B20" s="65">
        <v>36</v>
      </c>
      <c r="C20" s="66">
        <v>0.74299999999999999</v>
      </c>
      <c r="D20" s="66">
        <v>7.4059999999999997</v>
      </c>
      <c r="E20" s="66">
        <v>1.7849999999999999</v>
      </c>
      <c r="F20" s="66">
        <v>1.7849999999999999</v>
      </c>
      <c r="G20" s="66">
        <v>6.6629999999999994</v>
      </c>
      <c r="H20" s="67">
        <v>0.11151133123217771</v>
      </c>
      <c r="I20" s="67">
        <v>0.26789734353894645</v>
      </c>
      <c r="J20" s="68">
        <v>0.37940867477112417</v>
      </c>
      <c r="K20" s="65">
        <v>36</v>
      </c>
      <c r="L20" s="66">
        <v>0.86299999999999999</v>
      </c>
      <c r="M20" s="66">
        <v>8.5220000000000002</v>
      </c>
      <c r="N20" s="69">
        <v>0.45400000000000001</v>
      </c>
      <c r="O20" s="66">
        <v>0.45400000000000001</v>
      </c>
      <c r="P20" s="66">
        <v>7.6590000000000007</v>
      </c>
      <c r="Q20" s="67">
        <v>0.11267789528659093</v>
      </c>
      <c r="R20" s="67">
        <v>5.9276667972320146E-2</v>
      </c>
      <c r="S20" s="68">
        <v>0.17195456325891106</v>
      </c>
      <c r="T20" s="65">
        <v>36</v>
      </c>
      <c r="U20" s="70">
        <v>0.80299999999999994</v>
      </c>
      <c r="V20" s="70">
        <v>7.9640000000000004</v>
      </c>
      <c r="W20" s="70">
        <v>1.1194999999999999</v>
      </c>
      <c r="X20" s="70">
        <v>1.1194999999999999</v>
      </c>
      <c r="Y20" s="70">
        <v>7.1609999999999996</v>
      </c>
      <c r="Z20" s="71">
        <v>0.11209461325938433</v>
      </c>
      <c r="AA20" s="71">
        <v>0.16358700575563329</v>
      </c>
      <c r="AB20" s="72">
        <v>0.27568161901501764</v>
      </c>
    </row>
    <row r="21" spans="2:28">
      <c r="B21" s="73">
        <v>37</v>
      </c>
      <c r="C21" s="74">
        <v>0.751</v>
      </c>
      <c r="D21" s="74">
        <v>7.61</v>
      </c>
      <c r="E21" s="74">
        <v>1.8580000000000001</v>
      </c>
      <c r="F21" s="74">
        <v>1.8580000000000001</v>
      </c>
      <c r="G21" s="74">
        <v>6.859</v>
      </c>
      <c r="H21" s="75">
        <v>0.10949117947222627</v>
      </c>
      <c r="I21" s="75">
        <v>0.27088496865432282</v>
      </c>
      <c r="J21" s="77">
        <v>0.38037614812654907</v>
      </c>
      <c r="K21" s="73">
        <v>37</v>
      </c>
      <c r="L21" s="74">
        <v>0.871</v>
      </c>
      <c r="M21" s="74">
        <v>8.7460000000000004</v>
      </c>
      <c r="N21" s="76">
        <v>0.47</v>
      </c>
      <c r="O21" s="74">
        <v>0.47</v>
      </c>
      <c r="P21" s="74">
        <v>7.875</v>
      </c>
      <c r="Q21" s="75">
        <v>0.11060317460317461</v>
      </c>
      <c r="R21" s="75">
        <v>5.9682539682539677E-2</v>
      </c>
      <c r="S21" s="77">
        <v>0.17028571428571429</v>
      </c>
      <c r="T21" s="73">
        <v>37</v>
      </c>
      <c r="U21" s="78">
        <v>0.81099999999999994</v>
      </c>
      <c r="V21" s="78">
        <v>8.1780000000000008</v>
      </c>
      <c r="W21" s="78">
        <v>1.1640000000000001</v>
      </c>
      <c r="X21" s="78">
        <v>1.1640000000000001</v>
      </c>
      <c r="Y21" s="78">
        <v>7.367</v>
      </c>
      <c r="Z21" s="19">
        <v>0.11004717703770044</v>
      </c>
      <c r="AA21" s="19">
        <v>0.16528375416843125</v>
      </c>
      <c r="AB21" s="79">
        <v>0.27533093120613167</v>
      </c>
    </row>
    <row r="22" spans="2:28">
      <c r="B22" s="65">
        <v>38</v>
      </c>
      <c r="C22" s="66">
        <v>0.753</v>
      </c>
      <c r="D22" s="66">
        <v>7.8159999999999998</v>
      </c>
      <c r="E22" s="66">
        <v>1.929</v>
      </c>
      <c r="F22" s="66">
        <v>1.929</v>
      </c>
      <c r="G22" s="66">
        <v>7.0629999999999997</v>
      </c>
      <c r="H22" s="67">
        <v>0.10661192127990939</v>
      </c>
      <c r="I22" s="67">
        <v>0.27311340790032568</v>
      </c>
      <c r="J22" s="68">
        <v>0.37972532918023505</v>
      </c>
      <c r="K22" s="65">
        <v>38</v>
      </c>
      <c r="L22" s="66">
        <v>0.873</v>
      </c>
      <c r="M22" s="66">
        <v>8.9730000000000008</v>
      </c>
      <c r="N22" s="69">
        <v>0.48399999999999999</v>
      </c>
      <c r="O22" s="66">
        <v>0.48399999999999999</v>
      </c>
      <c r="P22" s="66">
        <v>8.1000000000000014</v>
      </c>
      <c r="Q22" s="67">
        <v>0.10777777777777776</v>
      </c>
      <c r="R22" s="67">
        <v>5.9753086419753076E-2</v>
      </c>
      <c r="S22" s="68">
        <v>0.16753086419753083</v>
      </c>
      <c r="T22" s="65">
        <v>38</v>
      </c>
      <c r="U22" s="70">
        <v>0.81299999999999994</v>
      </c>
      <c r="V22" s="70">
        <v>8.3945000000000007</v>
      </c>
      <c r="W22" s="70">
        <v>1.2065000000000001</v>
      </c>
      <c r="X22" s="70">
        <v>1.2065000000000001</v>
      </c>
      <c r="Y22" s="70">
        <v>7.5815000000000001</v>
      </c>
      <c r="Z22" s="71">
        <v>0.10719484952884357</v>
      </c>
      <c r="AA22" s="71">
        <v>0.16643324716003938</v>
      </c>
      <c r="AB22" s="72">
        <v>0.27362809668888294</v>
      </c>
    </row>
    <row r="23" spans="2:28">
      <c r="B23" s="73">
        <v>39</v>
      </c>
      <c r="C23" s="74">
        <v>0.751</v>
      </c>
      <c r="D23" s="74">
        <v>8.0250000000000004</v>
      </c>
      <c r="E23" s="74">
        <v>2.0019999999999998</v>
      </c>
      <c r="F23" s="74">
        <v>2.0019999999999998</v>
      </c>
      <c r="G23" s="74">
        <v>7.274</v>
      </c>
      <c r="H23" s="75">
        <v>0.10324443222436074</v>
      </c>
      <c r="I23" s="75">
        <v>0.2752268353038218</v>
      </c>
      <c r="J23" s="77">
        <v>0.37847126752818255</v>
      </c>
      <c r="K23" s="73">
        <v>39</v>
      </c>
      <c r="L23" s="74">
        <v>0.86899999999999999</v>
      </c>
      <c r="M23" s="74">
        <v>9.202</v>
      </c>
      <c r="N23" s="76">
        <v>0.498</v>
      </c>
      <c r="O23" s="74">
        <v>0.498</v>
      </c>
      <c r="P23" s="74">
        <v>8.3330000000000002</v>
      </c>
      <c r="Q23" s="75">
        <v>0.10428417136685467</v>
      </c>
      <c r="R23" s="75">
        <v>5.9762390495619822E-2</v>
      </c>
      <c r="S23" s="77">
        <v>0.16404656186247449</v>
      </c>
      <c r="T23" s="73">
        <v>39</v>
      </c>
      <c r="U23" s="78">
        <v>0.81</v>
      </c>
      <c r="V23" s="78">
        <v>8.6135000000000002</v>
      </c>
      <c r="W23" s="78">
        <v>1.25</v>
      </c>
      <c r="X23" s="78">
        <v>1.25</v>
      </c>
      <c r="Y23" s="78">
        <v>7.8034999999999997</v>
      </c>
      <c r="Z23" s="19">
        <v>0.10376430179560769</v>
      </c>
      <c r="AA23" s="19">
        <v>0.16749461289972081</v>
      </c>
      <c r="AB23" s="79">
        <v>0.27125891469532853</v>
      </c>
    </row>
    <row r="24" spans="2:28">
      <c r="B24" s="65">
        <v>40</v>
      </c>
      <c r="C24" s="66">
        <v>0.74399999999999999</v>
      </c>
      <c r="D24" s="66">
        <v>8.2390000000000008</v>
      </c>
      <c r="E24" s="66">
        <v>2.0739999999999998</v>
      </c>
      <c r="F24" s="66">
        <v>2.0739999999999998</v>
      </c>
      <c r="G24" s="66">
        <v>7.495000000000001</v>
      </c>
      <c r="H24" s="67">
        <v>9.9266177451634408E-2</v>
      </c>
      <c r="I24" s="67">
        <v>0.276717811874583</v>
      </c>
      <c r="J24" s="68">
        <v>0.3759839893262174</v>
      </c>
      <c r="K24" s="65">
        <v>40</v>
      </c>
      <c r="L24" s="66">
        <v>0.86</v>
      </c>
      <c r="M24" s="66">
        <v>9.4350000000000005</v>
      </c>
      <c r="N24" s="69">
        <v>0.51200000000000001</v>
      </c>
      <c r="O24" s="66">
        <v>0.51200000000000001</v>
      </c>
      <c r="P24" s="66">
        <v>8.5750000000000011</v>
      </c>
      <c r="Q24" s="67">
        <v>0.10029154518950435</v>
      </c>
      <c r="R24" s="67">
        <v>5.9708454810495623E-2</v>
      </c>
      <c r="S24" s="68">
        <v>0.15999999999999998</v>
      </c>
      <c r="T24" s="65">
        <v>40</v>
      </c>
      <c r="U24" s="70">
        <v>0.80200000000000005</v>
      </c>
      <c r="V24" s="70">
        <v>8.8369999999999997</v>
      </c>
      <c r="W24" s="70">
        <v>1.2929999999999999</v>
      </c>
      <c r="X24" s="70">
        <v>1.2929999999999999</v>
      </c>
      <c r="Y24" s="70">
        <v>8.0350000000000001</v>
      </c>
      <c r="Z24" s="71">
        <v>9.9778861320569373E-2</v>
      </c>
      <c r="AA24" s="71">
        <v>0.16821313334253932</v>
      </c>
      <c r="AB24" s="72">
        <v>0.26799199466310869</v>
      </c>
    </row>
    <row r="25" spans="2:28">
      <c r="B25" s="73">
        <v>41</v>
      </c>
      <c r="C25" s="74">
        <v>0.73499999999999999</v>
      </c>
      <c r="D25" s="74">
        <v>8.4589999999999996</v>
      </c>
      <c r="E25" s="74">
        <v>2.1480000000000001</v>
      </c>
      <c r="F25" s="74">
        <v>2.1480000000000001</v>
      </c>
      <c r="G25" s="74">
        <v>7.7239999999999993</v>
      </c>
      <c r="H25" s="75">
        <v>9.5157949249093737E-2</v>
      </c>
      <c r="I25" s="75">
        <v>0.27809425168306579</v>
      </c>
      <c r="J25" s="77">
        <v>0.37325220093215949</v>
      </c>
      <c r="K25" s="73">
        <v>41</v>
      </c>
      <c r="L25" s="74">
        <v>0.84599999999999997</v>
      </c>
      <c r="M25" s="74">
        <v>9.6739999999999995</v>
      </c>
      <c r="N25" s="76">
        <v>0.52500000000000002</v>
      </c>
      <c r="O25" s="74">
        <v>0.52500000000000002</v>
      </c>
      <c r="P25" s="74">
        <v>8.8279999999999994</v>
      </c>
      <c r="Q25" s="75">
        <v>9.5831445400996834E-2</v>
      </c>
      <c r="R25" s="75">
        <v>5.9469868599909388E-2</v>
      </c>
      <c r="S25" s="77">
        <v>0.15530131400090622</v>
      </c>
      <c r="T25" s="73">
        <v>41</v>
      </c>
      <c r="U25" s="78">
        <v>0.79049999999999998</v>
      </c>
      <c r="V25" s="78">
        <v>9.0664999999999996</v>
      </c>
      <c r="W25" s="78">
        <v>1.3365</v>
      </c>
      <c r="X25" s="78">
        <v>1.3365</v>
      </c>
      <c r="Y25" s="78">
        <v>8.2759999999999998</v>
      </c>
      <c r="Z25" s="19">
        <v>9.5494697325045286E-2</v>
      </c>
      <c r="AA25" s="19">
        <v>0.16878206014148758</v>
      </c>
      <c r="AB25" s="79">
        <v>0.26427675746653284</v>
      </c>
    </row>
    <row r="26" spans="2:28">
      <c r="B26" s="65">
        <v>42</v>
      </c>
      <c r="C26" s="66">
        <v>0.72499999999999998</v>
      </c>
      <c r="D26" s="66">
        <v>8.6859999999999999</v>
      </c>
      <c r="E26" s="66">
        <v>2.222</v>
      </c>
      <c r="F26" s="66">
        <v>2.222</v>
      </c>
      <c r="G26" s="66">
        <v>7.9610000000000003</v>
      </c>
      <c r="H26" s="67">
        <v>9.1068961185780672E-2</v>
      </c>
      <c r="I26" s="67">
        <v>0.27911066448938576</v>
      </c>
      <c r="J26" s="68">
        <v>0.37017962567516643</v>
      </c>
      <c r="K26" s="65">
        <v>42</v>
      </c>
      <c r="L26" s="66">
        <v>0.83</v>
      </c>
      <c r="M26" s="66">
        <v>9.9190000000000005</v>
      </c>
      <c r="N26" s="69">
        <v>0.53700000000000003</v>
      </c>
      <c r="O26" s="66">
        <v>0.53700000000000003</v>
      </c>
      <c r="P26" s="66">
        <v>9.0890000000000004</v>
      </c>
      <c r="Q26" s="67">
        <v>9.1319177027175694E-2</v>
      </c>
      <c r="R26" s="67">
        <v>5.9082407305534164E-2</v>
      </c>
      <c r="S26" s="68">
        <v>0.15040158433270986</v>
      </c>
      <c r="T26" s="65">
        <v>42</v>
      </c>
      <c r="U26" s="70">
        <v>0.77749999999999997</v>
      </c>
      <c r="V26" s="70">
        <v>9.3025000000000002</v>
      </c>
      <c r="W26" s="70">
        <v>1.3794999999999999</v>
      </c>
      <c r="X26" s="70">
        <v>1.3794999999999999</v>
      </c>
      <c r="Y26" s="70">
        <v>8.5250000000000004</v>
      </c>
      <c r="Z26" s="71">
        <v>9.1194069106478176E-2</v>
      </c>
      <c r="AA26" s="71">
        <v>0.16909653589745996</v>
      </c>
      <c r="AB26" s="72">
        <v>0.26029060500393814</v>
      </c>
    </row>
    <row r="27" spans="2:28">
      <c r="B27" s="73">
        <v>43</v>
      </c>
      <c r="C27" s="74">
        <v>0.71499999999999997</v>
      </c>
      <c r="D27" s="74">
        <v>8.9209999999999994</v>
      </c>
      <c r="E27" s="74">
        <v>2.298</v>
      </c>
      <c r="F27" s="74">
        <v>2.298</v>
      </c>
      <c r="G27" s="74">
        <v>8.2059999999999995</v>
      </c>
      <c r="H27" s="75">
        <v>8.7131367292225204E-2</v>
      </c>
      <c r="I27" s="75">
        <v>0.28003899585669023</v>
      </c>
      <c r="J27" s="77">
        <v>0.36717036314891544</v>
      </c>
      <c r="K27" s="73">
        <v>43</v>
      </c>
      <c r="L27" s="74">
        <v>0.81100000000000005</v>
      </c>
      <c r="M27" s="74">
        <v>10.172000000000001</v>
      </c>
      <c r="N27" s="76">
        <v>0.55000000000000004</v>
      </c>
      <c r="O27" s="74">
        <v>0.55000000000000004</v>
      </c>
      <c r="P27" s="74">
        <v>9.3610000000000007</v>
      </c>
      <c r="Q27" s="75">
        <v>8.6636043157782283E-2</v>
      </c>
      <c r="R27" s="75">
        <v>5.8754406580493537E-2</v>
      </c>
      <c r="S27" s="77">
        <v>0.14539044973827581</v>
      </c>
      <c r="T27" s="73">
        <v>43</v>
      </c>
      <c r="U27" s="78">
        <v>0.76300000000000001</v>
      </c>
      <c r="V27" s="78">
        <v>9.5465</v>
      </c>
      <c r="W27" s="78">
        <v>1.4239999999999999</v>
      </c>
      <c r="X27" s="78">
        <v>1.4239999999999999</v>
      </c>
      <c r="Y27" s="78">
        <v>8.7835000000000001</v>
      </c>
      <c r="Z27" s="19">
        <v>8.6883705225003743E-2</v>
      </c>
      <c r="AA27" s="19">
        <v>0.16939670121859188</v>
      </c>
      <c r="AB27" s="79">
        <v>0.25628040644359562</v>
      </c>
    </row>
    <row r="28" spans="2:28">
      <c r="B28" s="65">
        <v>44</v>
      </c>
      <c r="C28" s="66">
        <v>0.70399999999999996</v>
      </c>
      <c r="D28" s="66">
        <v>9.1649999999999991</v>
      </c>
      <c r="E28" s="66">
        <v>2.375</v>
      </c>
      <c r="F28" s="66">
        <v>2.375</v>
      </c>
      <c r="G28" s="66">
        <v>8.4609999999999985</v>
      </c>
      <c r="H28" s="67">
        <v>8.3205294882401623E-2</v>
      </c>
      <c r="I28" s="67">
        <v>0.28069968088878389</v>
      </c>
      <c r="J28" s="68">
        <v>0.36390497577118552</v>
      </c>
      <c r="K28" s="65">
        <v>44</v>
      </c>
      <c r="L28" s="66">
        <v>0.79100000000000004</v>
      </c>
      <c r="M28" s="66">
        <v>10.433</v>
      </c>
      <c r="N28" s="69">
        <v>0.56200000000000006</v>
      </c>
      <c r="O28" s="66">
        <v>0.56200000000000006</v>
      </c>
      <c r="P28" s="66">
        <v>9.6419999999999995</v>
      </c>
      <c r="Q28" s="67">
        <v>8.2036921800456339E-2</v>
      </c>
      <c r="R28" s="67">
        <v>5.8286662518149769E-2</v>
      </c>
      <c r="S28" s="68">
        <v>0.14032358431860611</v>
      </c>
      <c r="T28" s="65">
        <v>44</v>
      </c>
      <c r="U28" s="70">
        <v>0.74750000000000005</v>
      </c>
      <c r="V28" s="70">
        <v>9.7989999999999995</v>
      </c>
      <c r="W28" s="70">
        <v>1.4685000000000001</v>
      </c>
      <c r="X28" s="70">
        <v>1.4685000000000001</v>
      </c>
      <c r="Y28" s="70">
        <v>9.051499999999999</v>
      </c>
      <c r="Z28" s="71">
        <v>8.2621108341428981E-2</v>
      </c>
      <c r="AA28" s="71">
        <v>0.16949317170346684</v>
      </c>
      <c r="AB28" s="72">
        <v>0.25211428004489583</v>
      </c>
    </row>
    <row r="29" spans="2:28">
      <c r="B29" s="73">
        <v>45</v>
      </c>
      <c r="C29" s="74">
        <v>0.69199999999999995</v>
      </c>
      <c r="D29" s="74">
        <v>9.4179999999999993</v>
      </c>
      <c r="E29" s="74">
        <v>2.452</v>
      </c>
      <c r="F29" s="74">
        <v>2.452</v>
      </c>
      <c r="G29" s="74">
        <v>8.7259999999999991</v>
      </c>
      <c r="H29" s="75">
        <v>7.9303231721292694E-2</v>
      </c>
      <c r="I29" s="75">
        <v>0.28099931239972498</v>
      </c>
      <c r="J29" s="77">
        <v>0.3603025441210177</v>
      </c>
      <c r="K29" s="73">
        <v>45</v>
      </c>
      <c r="L29" s="74">
        <v>0.76900000000000002</v>
      </c>
      <c r="M29" s="74">
        <v>10.702</v>
      </c>
      <c r="N29" s="76">
        <v>0.57399999999999995</v>
      </c>
      <c r="O29" s="74">
        <v>0.57399999999999995</v>
      </c>
      <c r="P29" s="74">
        <v>9.9329999999999998</v>
      </c>
      <c r="Q29" s="75">
        <v>7.7418705325682069E-2</v>
      </c>
      <c r="R29" s="75">
        <v>5.7787174066243834E-2</v>
      </c>
      <c r="S29" s="77">
        <v>0.13520587939192591</v>
      </c>
      <c r="T29" s="73">
        <v>45</v>
      </c>
      <c r="U29" s="78">
        <v>0.73049999999999993</v>
      </c>
      <c r="V29" s="78">
        <v>10.059999999999999</v>
      </c>
      <c r="W29" s="78">
        <v>1.5129999999999999</v>
      </c>
      <c r="X29" s="78">
        <v>1.5129999999999999</v>
      </c>
      <c r="Y29" s="78">
        <v>9.3294999999999995</v>
      </c>
      <c r="Z29" s="19">
        <v>7.8360968523487382E-2</v>
      </c>
      <c r="AA29" s="19">
        <v>0.16939324323298441</v>
      </c>
      <c r="AB29" s="79">
        <v>0.2477542117564718</v>
      </c>
    </row>
    <row r="30" spans="2:28">
      <c r="B30" s="65">
        <v>46</v>
      </c>
      <c r="C30" s="66">
        <v>0.67900000000000005</v>
      </c>
      <c r="D30" s="66">
        <v>9.6790000000000003</v>
      </c>
      <c r="E30" s="66">
        <v>2.528</v>
      </c>
      <c r="F30" s="66">
        <v>2.528</v>
      </c>
      <c r="G30" s="66">
        <v>9</v>
      </c>
      <c r="H30" s="67">
        <v>7.5444444444444453E-2</v>
      </c>
      <c r="I30" s="67">
        <v>0.28088888888888891</v>
      </c>
      <c r="J30" s="68">
        <v>0.35633333333333339</v>
      </c>
      <c r="K30" s="65">
        <v>46</v>
      </c>
      <c r="L30" s="66">
        <v>0.745</v>
      </c>
      <c r="M30" s="66">
        <v>10.98</v>
      </c>
      <c r="N30" s="69">
        <v>0.58499999999999996</v>
      </c>
      <c r="O30" s="66">
        <v>0.58499999999999996</v>
      </c>
      <c r="P30" s="66">
        <v>10.235000000000001</v>
      </c>
      <c r="Q30" s="67">
        <v>7.2789447972642876E-2</v>
      </c>
      <c r="R30" s="67">
        <v>5.7156814851001457E-2</v>
      </c>
      <c r="S30" s="68">
        <v>0.12994626282364433</v>
      </c>
      <c r="T30" s="65">
        <v>46</v>
      </c>
      <c r="U30" s="70">
        <v>0.71199999999999997</v>
      </c>
      <c r="V30" s="70">
        <v>10.329499999999999</v>
      </c>
      <c r="W30" s="70">
        <v>1.5565</v>
      </c>
      <c r="X30" s="70">
        <v>1.5565</v>
      </c>
      <c r="Y30" s="70">
        <v>9.6174999999999997</v>
      </c>
      <c r="Z30" s="71">
        <v>7.4116946208543671E-2</v>
      </c>
      <c r="AA30" s="71">
        <v>0.16902285186994517</v>
      </c>
      <c r="AB30" s="72">
        <v>0.24313979807848884</v>
      </c>
    </row>
    <row r="31" spans="2:28">
      <c r="B31" s="73">
        <v>47</v>
      </c>
      <c r="C31" s="74">
        <v>0.66200000000000003</v>
      </c>
      <c r="D31" s="74">
        <v>9.9489999999999998</v>
      </c>
      <c r="E31" s="74">
        <v>2.6040000000000001</v>
      </c>
      <c r="F31" s="74">
        <v>2.6040000000000001</v>
      </c>
      <c r="G31" s="74">
        <v>9.286999999999999</v>
      </c>
      <c r="H31" s="75">
        <v>7.1282437816302363E-2</v>
      </c>
      <c r="I31" s="75">
        <v>0.28039194573059117</v>
      </c>
      <c r="J31" s="77">
        <v>0.35167438354689351</v>
      </c>
      <c r="K31" s="73">
        <v>47</v>
      </c>
      <c r="L31" s="74">
        <v>0.71799999999999997</v>
      </c>
      <c r="M31" s="74">
        <v>11.266</v>
      </c>
      <c r="N31" s="76">
        <v>0.59599999999999997</v>
      </c>
      <c r="O31" s="74">
        <v>0.59599999999999997</v>
      </c>
      <c r="P31" s="74">
        <v>10.548</v>
      </c>
      <c r="Q31" s="75">
        <v>6.8069776260902534E-2</v>
      </c>
      <c r="R31" s="75">
        <v>5.6503602578687903E-2</v>
      </c>
      <c r="S31" s="77">
        <v>0.12457337883959044</v>
      </c>
      <c r="T31" s="73">
        <v>47</v>
      </c>
      <c r="U31" s="78">
        <v>0.69</v>
      </c>
      <c r="V31" s="78">
        <v>10.6075</v>
      </c>
      <c r="W31" s="78">
        <v>1.6</v>
      </c>
      <c r="X31" s="78">
        <v>1.6</v>
      </c>
      <c r="Y31" s="78">
        <v>9.9175000000000004</v>
      </c>
      <c r="Z31" s="19">
        <v>6.9676107038602442E-2</v>
      </c>
      <c r="AA31" s="19">
        <v>0.16844777415463955</v>
      </c>
      <c r="AB31" s="79">
        <v>0.23812388119324196</v>
      </c>
    </row>
    <row r="32" spans="2:28">
      <c r="B32" s="65">
        <v>48</v>
      </c>
      <c r="C32" s="66">
        <v>0.64300000000000002</v>
      </c>
      <c r="D32" s="66">
        <v>10.227</v>
      </c>
      <c r="E32" s="66">
        <v>2.6789999999999998</v>
      </c>
      <c r="F32" s="66">
        <v>2.6789999999999998</v>
      </c>
      <c r="G32" s="66">
        <v>9.5839999999999996</v>
      </c>
      <c r="H32" s="67">
        <v>6.7090984974958273E-2</v>
      </c>
      <c r="I32" s="67">
        <v>0.27952838063439062</v>
      </c>
      <c r="J32" s="68">
        <v>0.34661936560934892</v>
      </c>
      <c r="K32" s="65">
        <v>48</v>
      </c>
      <c r="L32" s="66">
        <v>0.68799999999999994</v>
      </c>
      <c r="M32" s="66">
        <v>11.561</v>
      </c>
      <c r="N32" s="69">
        <v>0.60699999999999998</v>
      </c>
      <c r="O32" s="66">
        <v>0.60699999999999998</v>
      </c>
      <c r="P32" s="66">
        <v>10.872999999999999</v>
      </c>
      <c r="Q32" s="67">
        <v>6.3276004782488737E-2</v>
      </c>
      <c r="R32" s="67">
        <v>5.5826358870596893E-2</v>
      </c>
      <c r="S32" s="68">
        <v>0.11910236365308563</v>
      </c>
      <c r="T32" s="65">
        <v>48</v>
      </c>
      <c r="U32" s="70">
        <v>0.66549999999999998</v>
      </c>
      <c r="V32" s="70">
        <v>10.894</v>
      </c>
      <c r="W32" s="70">
        <v>1.6429999999999998</v>
      </c>
      <c r="X32" s="70">
        <v>1.6429999999999998</v>
      </c>
      <c r="Y32" s="70">
        <v>10.2285</v>
      </c>
      <c r="Z32" s="71">
        <v>6.5183494878723505E-2</v>
      </c>
      <c r="AA32" s="71">
        <v>0.16767736975249375</v>
      </c>
      <c r="AB32" s="72">
        <v>0.23286086463121727</v>
      </c>
    </row>
    <row r="33" spans="2:28">
      <c r="B33" s="73">
        <v>49</v>
      </c>
      <c r="C33" s="74">
        <v>0.61899999999999999</v>
      </c>
      <c r="D33" s="74">
        <v>10.513999999999999</v>
      </c>
      <c r="E33" s="74">
        <v>2.7519999999999998</v>
      </c>
      <c r="F33" s="74">
        <v>2.7519999999999998</v>
      </c>
      <c r="G33" s="74">
        <v>9.8949999999999996</v>
      </c>
      <c r="H33" s="75">
        <v>6.2556846892369886E-2</v>
      </c>
      <c r="I33" s="75">
        <v>0.27812026275896917</v>
      </c>
      <c r="J33" s="77">
        <v>0.34067710965133907</v>
      </c>
      <c r="K33" s="73">
        <v>49</v>
      </c>
      <c r="L33" s="74">
        <v>0.65500000000000003</v>
      </c>
      <c r="M33" s="74">
        <v>11.865</v>
      </c>
      <c r="N33" s="76">
        <v>0.61599999999999999</v>
      </c>
      <c r="O33" s="74">
        <v>0.61599999999999999</v>
      </c>
      <c r="P33" s="74">
        <v>11.21</v>
      </c>
      <c r="Q33" s="75">
        <v>5.8429973238180194E-2</v>
      </c>
      <c r="R33" s="75">
        <v>5.4950936663693127E-2</v>
      </c>
      <c r="S33" s="77">
        <v>0.11338090990187333</v>
      </c>
      <c r="T33" s="73">
        <v>49</v>
      </c>
      <c r="U33" s="78">
        <v>0.63700000000000001</v>
      </c>
      <c r="V33" s="78">
        <v>11.189499999999999</v>
      </c>
      <c r="W33" s="78">
        <v>1.6839999999999999</v>
      </c>
      <c r="X33" s="78">
        <v>1.6839999999999999</v>
      </c>
      <c r="Y33" s="78">
        <v>10.5525</v>
      </c>
      <c r="Z33" s="19">
        <v>6.049341006527504E-2</v>
      </c>
      <c r="AA33" s="19">
        <v>0.16653559971133114</v>
      </c>
      <c r="AB33" s="79">
        <v>0.2270290097766062</v>
      </c>
    </row>
    <row r="34" spans="2:28">
      <c r="B34" s="65">
        <v>50</v>
      </c>
      <c r="C34" s="66">
        <v>0.59099999999999997</v>
      </c>
      <c r="D34" s="66">
        <v>10.808999999999999</v>
      </c>
      <c r="E34" s="66">
        <v>2.8239999999999998</v>
      </c>
      <c r="F34" s="66">
        <v>2.8239999999999998</v>
      </c>
      <c r="G34" s="66">
        <v>10.218</v>
      </c>
      <c r="H34" s="67">
        <v>5.7839107457428068E-2</v>
      </c>
      <c r="I34" s="67">
        <v>0.27637502446662748</v>
      </c>
      <c r="J34" s="68">
        <v>0.33421413192405558</v>
      </c>
      <c r="K34" s="65">
        <v>50</v>
      </c>
      <c r="L34" s="66">
        <v>0.61899999999999999</v>
      </c>
      <c r="M34" s="66">
        <v>12.178000000000001</v>
      </c>
      <c r="N34" s="69">
        <v>0.625</v>
      </c>
      <c r="O34" s="66">
        <v>0.625</v>
      </c>
      <c r="P34" s="66">
        <v>11.559000000000001</v>
      </c>
      <c r="Q34" s="67">
        <v>5.3551345272082357E-2</v>
      </c>
      <c r="R34" s="67">
        <v>5.4070421316722898E-2</v>
      </c>
      <c r="S34" s="68">
        <v>0.10762176658880526</v>
      </c>
      <c r="T34" s="65">
        <v>50</v>
      </c>
      <c r="U34" s="70">
        <v>0.60499999999999998</v>
      </c>
      <c r="V34" s="70">
        <v>11.493500000000001</v>
      </c>
      <c r="W34" s="70">
        <v>1.7244999999999999</v>
      </c>
      <c r="X34" s="70">
        <v>1.7244999999999999</v>
      </c>
      <c r="Y34" s="70">
        <v>10.888500000000001</v>
      </c>
      <c r="Z34" s="71">
        <v>5.5695226364755213E-2</v>
      </c>
      <c r="AA34" s="71">
        <v>0.16522272289167519</v>
      </c>
      <c r="AB34" s="72">
        <v>0.22091794925643043</v>
      </c>
    </row>
    <row r="35" spans="2:28">
      <c r="B35" s="73">
        <v>51</v>
      </c>
      <c r="C35" s="74">
        <v>0.55700000000000005</v>
      </c>
      <c r="D35" s="74">
        <v>11.115</v>
      </c>
      <c r="E35" s="74">
        <v>2.8929999999999998</v>
      </c>
      <c r="F35" s="74">
        <v>2.8929999999999998</v>
      </c>
      <c r="G35" s="74">
        <v>10.558</v>
      </c>
      <c r="H35" s="75">
        <v>5.2756203826482294E-2</v>
      </c>
      <c r="I35" s="75">
        <v>0.27401022921007767</v>
      </c>
      <c r="J35" s="77">
        <v>0.32676643303655994</v>
      </c>
      <c r="K35" s="73">
        <v>51</v>
      </c>
      <c r="L35" s="74">
        <v>0.57699999999999996</v>
      </c>
      <c r="M35" s="74">
        <v>12.499000000000001</v>
      </c>
      <c r="N35" s="76">
        <v>0.63200000000000001</v>
      </c>
      <c r="O35" s="74">
        <v>0.63200000000000001</v>
      </c>
      <c r="P35" s="74">
        <v>11.922000000000001</v>
      </c>
      <c r="Q35" s="75">
        <v>4.8397919812112056E-2</v>
      </c>
      <c r="R35" s="75">
        <v>5.3011239724878374E-2</v>
      </c>
      <c r="S35" s="77">
        <v>0.10140915953699042</v>
      </c>
      <c r="T35" s="73">
        <v>51</v>
      </c>
      <c r="U35" s="78">
        <v>0.56699999999999995</v>
      </c>
      <c r="V35" s="78">
        <v>11.807</v>
      </c>
      <c r="W35" s="78">
        <v>1.7625</v>
      </c>
      <c r="X35" s="78">
        <v>1.7625</v>
      </c>
      <c r="Y35" s="78">
        <v>11.24</v>
      </c>
      <c r="Z35" s="19">
        <v>5.0577061819297178E-2</v>
      </c>
      <c r="AA35" s="19">
        <v>0.16351073446747802</v>
      </c>
      <c r="AB35" s="79">
        <v>0.21408779628677518</v>
      </c>
    </row>
    <row r="36" spans="2:28">
      <c r="B36" s="65">
        <v>52</v>
      </c>
      <c r="C36" s="66">
        <v>0.51900000000000002</v>
      </c>
      <c r="D36" s="66">
        <v>11.43</v>
      </c>
      <c r="E36" s="66">
        <v>2.96</v>
      </c>
      <c r="F36" s="66">
        <v>2.96</v>
      </c>
      <c r="G36" s="66">
        <v>10.911</v>
      </c>
      <c r="H36" s="67">
        <v>4.7566675831729452E-2</v>
      </c>
      <c r="I36" s="67">
        <v>0.2712858583081294</v>
      </c>
      <c r="J36" s="68">
        <v>0.31885253413985887</v>
      </c>
      <c r="K36" s="65">
        <v>52</v>
      </c>
      <c r="L36" s="66">
        <v>0.53200000000000003</v>
      </c>
      <c r="M36" s="66">
        <v>12.829000000000001</v>
      </c>
      <c r="N36" s="69">
        <v>0.63800000000000001</v>
      </c>
      <c r="O36" s="66">
        <v>0.63800000000000001</v>
      </c>
      <c r="P36" s="66">
        <v>12.297000000000001</v>
      </c>
      <c r="Q36" s="67">
        <v>4.3262584370171588E-2</v>
      </c>
      <c r="R36" s="67">
        <v>5.1882572985280963E-2</v>
      </c>
      <c r="S36" s="68">
        <v>9.514515735545255E-2</v>
      </c>
      <c r="T36" s="65">
        <v>52</v>
      </c>
      <c r="U36" s="70">
        <v>0.52550000000000008</v>
      </c>
      <c r="V36" s="70">
        <v>12.1295</v>
      </c>
      <c r="W36" s="70">
        <v>1.7989999999999999</v>
      </c>
      <c r="X36" s="70">
        <v>1.7989999999999999</v>
      </c>
      <c r="Y36" s="70">
        <v>11.603999999999999</v>
      </c>
      <c r="Z36" s="71">
        <v>4.5414630100950523E-2</v>
      </c>
      <c r="AA36" s="71">
        <v>0.16158421564670519</v>
      </c>
      <c r="AB36" s="72">
        <v>0.2069988457476557</v>
      </c>
    </row>
    <row r="37" spans="2:28">
      <c r="B37" s="73">
        <v>53</v>
      </c>
      <c r="C37" s="74">
        <v>0.47599999999999998</v>
      </c>
      <c r="D37" s="74">
        <v>11.757</v>
      </c>
      <c r="E37" s="74">
        <v>3.024</v>
      </c>
      <c r="F37" s="74">
        <v>3.024</v>
      </c>
      <c r="G37" s="74">
        <v>11.280999999999999</v>
      </c>
      <c r="H37" s="75">
        <v>4.2194840882900451E-2</v>
      </c>
      <c r="I37" s="75">
        <v>0.26806134207960292</v>
      </c>
      <c r="J37" s="77">
        <v>0.31025618296250335</v>
      </c>
      <c r="K37" s="73">
        <v>53</v>
      </c>
      <c r="L37" s="74">
        <v>0.48199999999999998</v>
      </c>
      <c r="M37" s="74">
        <v>13.169</v>
      </c>
      <c r="N37" s="76">
        <v>0.64300000000000002</v>
      </c>
      <c r="O37" s="74">
        <v>0.64300000000000002</v>
      </c>
      <c r="P37" s="74">
        <v>12.687000000000001</v>
      </c>
      <c r="Q37" s="75">
        <v>3.7991644990935595E-2</v>
      </c>
      <c r="R37" s="75">
        <v>5.0681800267990851E-2</v>
      </c>
      <c r="S37" s="77">
        <v>8.8673445258926453E-2</v>
      </c>
      <c r="T37" s="73">
        <v>53</v>
      </c>
      <c r="U37" s="78">
        <v>0.47899999999999998</v>
      </c>
      <c r="V37" s="78">
        <v>12.463000000000001</v>
      </c>
      <c r="W37" s="78">
        <v>1.8334999999999999</v>
      </c>
      <c r="X37" s="78">
        <v>1.8334999999999999</v>
      </c>
      <c r="Y37" s="78">
        <v>11.984</v>
      </c>
      <c r="Z37" s="19">
        <v>4.0093242936918023E-2</v>
      </c>
      <c r="AA37" s="19">
        <v>0.15937157117379688</v>
      </c>
      <c r="AB37" s="79">
        <v>0.1994648141107149</v>
      </c>
    </row>
    <row r="38" spans="2:28">
      <c r="B38" s="65">
        <v>54</v>
      </c>
      <c r="C38" s="66">
        <v>0.42799999999999999</v>
      </c>
      <c r="D38" s="66">
        <v>12.093999999999999</v>
      </c>
      <c r="E38" s="66">
        <v>3.0859999999999999</v>
      </c>
      <c r="F38" s="66">
        <v>3.0859999999999999</v>
      </c>
      <c r="G38" s="66">
        <v>11.665999999999999</v>
      </c>
      <c r="H38" s="67">
        <v>3.6687810732041838E-2</v>
      </c>
      <c r="I38" s="67">
        <v>0.26452940168009603</v>
      </c>
      <c r="J38" s="68">
        <v>0.30121721241213789</v>
      </c>
      <c r="K38" s="65">
        <v>54</v>
      </c>
      <c r="L38" s="66">
        <v>0.42699999999999999</v>
      </c>
      <c r="M38" s="66">
        <v>13.519</v>
      </c>
      <c r="N38" s="69">
        <v>0.64700000000000002</v>
      </c>
      <c r="O38" s="66">
        <v>0.64700000000000002</v>
      </c>
      <c r="P38" s="66">
        <v>13.092000000000001</v>
      </c>
      <c r="Q38" s="67">
        <v>3.2615337610754656E-2</v>
      </c>
      <c r="R38" s="67">
        <v>4.9419492820042772E-2</v>
      </c>
      <c r="S38" s="68">
        <v>8.2034830430797429E-2</v>
      </c>
      <c r="T38" s="65">
        <v>54</v>
      </c>
      <c r="U38" s="70">
        <v>0.42749999999999999</v>
      </c>
      <c r="V38" s="70">
        <v>12.8065</v>
      </c>
      <c r="W38" s="70">
        <v>1.8664999999999998</v>
      </c>
      <c r="X38" s="70">
        <v>1.8664999999999998</v>
      </c>
      <c r="Y38" s="70">
        <v>12.379</v>
      </c>
      <c r="Z38" s="71">
        <v>3.4651574171398247E-2</v>
      </c>
      <c r="AA38" s="71">
        <v>0.1569744472500694</v>
      </c>
      <c r="AB38" s="72">
        <v>0.19162602142146767</v>
      </c>
    </row>
    <row r="39" spans="2:28">
      <c r="B39" s="73">
        <v>55</v>
      </c>
      <c r="C39" s="74">
        <v>0.375</v>
      </c>
      <c r="D39" s="74">
        <v>12.444000000000001</v>
      </c>
      <c r="E39" s="74">
        <v>3.1459999999999999</v>
      </c>
      <c r="F39" s="74">
        <v>3.1459999999999999</v>
      </c>
      <c r="G39" s="74">
        <v>12.069000000000001</v>
      </c>
      <c r="H39" s="75">
        <v>3.107133979617201E-2</v>
      </c>
      <c r="I39" s="75">
        <v>0.26066782666335236</v>
      </c>
      <c r="J39" s="77">
        <v>0.29173916645952436</v>
      </c>
      <c r="K39" s="73">
        <v>55</v>
      </c>
      <c r="L39" s="74">
        <v>0.36799999999999999</v>
      </c>
      <c r="M39" s="74">
        <v>13.88</v>
      </c>
      <c r="N39" s="76">
        <v>0.64900000000000002</v>
      </c>
      <c r="O39" s="74">
        <v>0.64900000000000002</v>
      </c>
      <c r="P39" s="74">
        <v>13.512</v>
      </c>
      <c r="Q39" s="75">
        <v>2.7235050325636469E-2</v>
      </c>
      <c r="R39" s="75">
        <v>4.8031379514505625E-2</v>
      </c>
      <c r="S39" s="77">
        <v>7.5266429840142091E-2</v>
      </c>
      <c r="T39" s="73">
        <v>55</v>
      </c>
      <c r="U39" s="78">
        <v>0.3715</v>
      </c>
      <c r="V39" s="78">
        <v>13.162000000000001</v>
      </c>
      <c r="W39" s="78">
        <v>1.8975</v>
      </c>
      <c r="X39" s="78">
        <v>1.8975</v>
      </c>
      <c r="Y39" s="78">
        <v>12.790500000000002</v>
      </c>
      <c r="Z39" s="19">
        <v>2.915319506090424E-2</v>
      </c>
      <c r="AA39" s="19">
        <v>0.154349603088929</v>
      </c>
      <c r="AB39" s="79">
        <v>0.18350279814983322</v>
      </c>
    </row>
    <row r="40" spans="2:28">
      <c r="B40" s="65">
        <v>56</v>
      </c>
      <c r="C40" s="66">
        <v>0.317</v>
      </c>
      <c r="D40" s="66">
        <v>12.805999999999999</v>
      </c>
      <c r="E40" s="66">
        <v>3.2050000000000001</v>
      </c>
      <c r="F40" s="66">
        <v>3.2050000000000001</v>
      </c>
      <c r="G40" s="66">
        <v>12.488999999999999</v>
      </c>
      <c r="H40" s="67">
        <v>2.5382336456081355E-2</v>
      </c>
      <c r="I40" s="67">
        <v>0.25662583073104334</v>
      </c>
      <c r="J40" s="68">
        <v>0.28200816718712468</v>
      </c>
      <c r="K40" s="65">
        <v>56</v>
      </c>
      <c r="L40" s="66">
        <v>0.30499999999999999</v>
      </c>
      <c r="M40" s="66">
        <v>14.252000000000001</v>
      </c>
      <c r="N40" s="69">
        <v>0.65100000000000002</v>
      </c>
      <c r="O40" s="66">
        <v>0.65100000000000002</v>
      </c>
      <c r="P40" s="66">
        <v>13.947000000000001</v>
      </c>
      <c r="Q40" s="67">
        <v>2.1868502186850217E-2</v>
      </c>
      <c r="R40" s="67">
        <v>4.6676704667670467E-2</v>
      </c>
      <c r="S40" s="68">
        <v>6.8545206854520688E-2</v>
      </c>
      <c r="T40" s="65">
        <v>56</v>
      </c>
      <c r="U40" s="70">
        <v>0.311</v>
      </c>
      <c r="V40" s="70">
        <v>13.529</v>
      </c>
      <c r="W40" s="70">
        <v>1.9279999999999999</v>
      </c>
      <c r="X40" s="70">
        <v>1.9279999999999999</v>
      </c>
      <c r="Y40" s="70">
        <v>13.218</v>
      </c>
      <c r="Z40" s="71">
        <v>2.3625419321465786E-2</v>
      </c>
      <c r="AA40" s="71">
        <v>0.15165126769935691</v>
      </c>
      <c r="AB40" s="72">
        <v>0.17527668702082269</v>
      </c>
    </row>
    <row r="41" spans="2:28">
      <c r="B41" s="73">
        <v>57</v>
      </c>
      <c r="C41" s="74">
        <v>0.25600000000000001</v>
      </c>
      <c r="D41" s="74">
        <v>13.180999999999999</v>
      </c>
      <c r="E41" s="74">
        <v>3.262</v>
      </c>
      <c r="F41" s="74">
        <v>3.262</v>
      </c>
      <c r="G41" s="74">
        <v>12.924999999999999</v>
      </c>
      <c r="H41" s="75">
        <v>1.9806576402321086E-2</v>
      </c>
      <c r="I41" s="75">
        <v>0.25237911025145071</v>
      </c>
      <c r="J41" s="77">
        <v>0.2721856866537718</v>
      </c>
      <c r="K41" s="73">
        <v>57</v>
      </c>
      <c r="L41" s="74">
        <v>0.24</v>
      </c>
      <c r="M41" s="74">
        <v>14.638</v>
      </c>
      <c r="N41" s="76">
        <v>0.65100000000000002</v>
      </c>
      <c r="O41" s="74">
        <v>0.65100000000000002</v>
      </c>
      <c r="P41" s="74">
        <v>14.398</v>
      </c>
      <c r="Q41" s="75">
        <v>1.6668981803028199E-2</v>
      </c>
      <c r="R41" s="75">
        <v>4.521461314071399E-2</v>
      </c>
      <c r="S41" s="77">
        <v>6.1883594943742189E-2</v>
      </c>
      <c r="T41" s="73">
        <v>57</v>
      </c>
      <c r="U41" s="78">
        <v>0.248</v>
      </c>
      <c r="V41" s="78">
        <v>13.9095</v>
      </c>
      <c r="W41" s="78">
        <v>1.9565000000000001</v>
      </c>
      <c r="X41" s="78">
        <v>1.9565000000000001</v>
      </c>
      <c r="Y41" s="78">
        <v>13.6615</v>
      </c>
      <c r="Z41" s="19">
        <v>1.8237779102674642E-2</v>
      </c>
      <c r="AA41" s="19">
        <v>0.14879686169608236</v>
      </c>
      <c r="AB41" s="79">
        <v>0.16703464079875699</v>
      </c>
    </row>
    <row r="42" spans="2:28">
      <c r="B42" s="65">
        <v>58</v>
      </c>
      <c r="C42" s="66">
        <v>0.19500000000000001</v>
      </c>
      <c r="D42" s="66">
        <v>13.573</v>
      </c>
      <c r="E42" s="66">
        <v>3.3210000000000002</v>
      </c>
      <c r="F42" s="66">
        <v>3.3210000000000002</v>
      </c>
      <c r="G42" s="66">
        <v>13.378</v>
      </c>
      <c r="H42" s="67">
        <v>1.457616983106593E-2</v>
      </c>
      <c r="I42" s="67">
        <v>0.24824338466138438</v>
      </c>
      <c r="J42" s="68">
        <v>0.26281955449245031</v>
      </c>
      <c r="K42" s="65">
        <v>58</v>
      </c>
      <c r="L42" s="66">
        <v>0.17699999999999999</v>
      </c>
      <c r="M42" s="66">
        <v>15.04</v>
      </c>
      <c r="N42" s="69">
        <v>0.65200000000000002</v>
      </c>
      <c r="O42" s="66">
        <v>0.65200000000000002</v>
      </c>
      <c r="P42" s="66">
        <v>14.863</v>
      </c>
      <c r="Q42" s="67">
        <v>1.190876673619054E-2</v>
      </c>
      <c r="R42" s="67">
        <v>4.3867321536701878E-2</v>
      </c>
      <c r="S42" s="68">
        <v>5.5776088272892418E-2</v>
      </c>
      <c r="T42" s="65">
        <v>58</v>
      </c>
      <c r="U42" s="70">
        <v>0.186</v>
      </c>
      <c r="V42" s="70">
        <v>14.3065</v>
      </c>
      <c r="W42" s="70">
        <v>1.9865000000000002</v>
      </c>
      <c r="X42" s="70">
        <v>1.9865000000000002</v>
      </c>
      <c r="Y42" s="70">
        <v>14.1205</v>
      </c>
      <c r="Z42" s="71">
        <v>1.3242468283628236E-2</v>
      </c>
      <c r="AA42" s="71">
        <v>0.14605535309904313</v>
      </c>
      <c r="AB42" s="72">
        <v>0.15929782138267137</v>
      </c>
    </row>
    <row r="43" spans="2:28">
      <c r="B43" s="73">
        <v>59</v>
      </c>
      <c r="C43" s="74">
        <v>0.13600000000000001</v>
      </c>
      <c r="D43" s="74">
        <v>13.983000000000001</v>
      </c>
      <c r="E43" s="74">
        <v>3.38</v>
      </c>
      <c r="F43" s="74">
        <v>3.38</v>
      </c>
      <c r="G43" s="74">
        <v>13.847000000000001</v>
      </c>
      <c r="H43" s="75">
        <v>9.8216220119881556E-3</v>
      </c>
      <c r="I43" s="75">
        <v>0.24409619412147032</v>
      </c>
      <c r="J43" s="77">
        <v>0.25391781613345848</v>
      </c>
      <c r="K43" s="73">
        <v>59</v>
      </c>
      <c r="L43" s="74">
        <v>0.12</v>
      </c>
      <c r="M43" s="74">
        <v>15.464</v>
      </c>
      <c r="N43" s="76">
        <v>0.65200000000000002</v>
      </c>
      <c r="O43" s="74">
        <v>0.65200000000000002</v>
      </c>
      <c r="P43" s="74">
        <v>15.344000000000001</v>
      </c>
      <c r="Q43" s="75">
        <v>7.8206465067778928E-3</v>
      </c>
      <c r="R43" s="75">
        <v>4.2492179353493219E-2</v>
      </c>
      <c r="S43" s="77">
        <v>5.031282586027111E-2</v>
      </c>
      <c r="T43" s="73">
        <v>59</v>
      </c>
      <c r="U43" s="78">
        <v>0.128</v>
      </c>
      <c r="V43" s="78">
        <v>14.723500000000001</v>
      </c>
      <c r="W43" s="78">
        <v>2.016</v>
      </c>
      <c r="X43" s="78">
        <v>2.016</v>
      </c>
      <c r="Y43" s="78">
        <v>14.595500000000001</v>
      </c>
      <c r="Z43" s="19">
        <v>8.8211342593830233E-3</v>
      </c>
      <c r="AA43" s="19">
        <v>0.14329418673748176</v>
      </c>
      <c r="AB43" s="79">
        <v>0.15211532099686481</v>
      </c>
    </row>
    <row r="44" spans="2:28">
      <c r="B44" s="65">
        <v>60</v>
      </c>
      <c r="C44" s="66">
        <v>8.5000000000000006E-2</v>
      </c>
      <c r="D44" s="66">
        <v>14.414999999999999</v>
      </c>
      <c r="E44" s="66">
        <v>3.4420000000000002</v>
      </c>
      <c r="F44" s="66">
        <v>3.4420000000000002</v>
      </c>
      <c r="G44" s="66">
        <v>14.329999999999998</v>
      </c>
      <c r="H44" s="67">
        <v>5.9316120027913481E-3</v>
      </c>
      <c r="I44" s="67">
        <v>0.24019539427773906</v>
      </c>
      <c r="J44" s="68">
        <v>0.24612700628053041</v>
      </c>
      <c r="K44" s="65">
        <v>60</v>
      </c>
      <c r="L44" s="66">
        <v>7.1999999999999995E-2</v>
      </c>
      <c r="M44" s="66">
        <v>15.912000000000001</v>
      </c>
      <c r="N44" s="69">
        <v>0.65200000000000002</v>
      </c>
      <c r="O44" s="66">
        <v>0.65200000000000002</v>
      </c>
      <c r="P44" s="66">
        <v>15.840000000000002</v>
      </c>
      <c r="Q44" s="67">
        <v>4.5454545454545444E-3</v>
      </c>
      <c r="R44" s="67">
        <v>4.1161616161616156E-2</v>
      </c>
      <c r="S44" s="68">
        <v>4.5707070707070703E-2</v>
      </c>
      <c r="T44" s="65">
        <v>60</v>
      </c>
      <c r="U44" s="70">
        <v>7.85E-2</v>
      </c>
      <c r="V44" s="70">
        <v>15.163499999999999</v>
      </c>
      <c r="W44" s="70">
        <v>2.0470000000000002</v>
      </c>
      <c r="X44" s="70">
        <v>2.0470000000000002</v>
      </c>
      <c r="Y44" s="70">
        <v>15.085000000000001</v>
      </c>
      <c r="Z44" s="71">
        <v>5.2385332741229466E-3</v>
      </c>
      <c r="AA44" s="71">
        <v>0.14067850521967762</v>
      </c>
      <c r="AB44" s="72">
        <v>0.14591703849380055</v>
      </c>
    </row>
    <row r="45" spans="2:28">
      <c r="B45" s="73">
        <v>61</v>
      </c>
      <c r="C45" s="74">
        <v>4.4999999999999998E-2</v>
      </c>
      <c r="D45" s="74">
        <v>14.874000000000001</v>
      </c>
      <c r="E45" s="74">
        <v>3.5070000000000001</v>
      </c>
      <c r="F45" s="74">
        <v>3.5070000000000001</v>
      </c>
      <c r="G45" s="74">
        <v>14.829000000000001</v>
      </c>
      <c r="H45" s="75">
        <v>3.0345943758850898E-3</v>
      </c>
      <c r="I45" s="75">
        <v>0.23649605502731136</v>
      </c>
      <c r="J45" s="77">
        <v>0.23953064940319646</v>
      </c>
      <c r="K45" s="73">
        <v>61</v>
      </c>
      <c r="L45" s="74">
        <v>3.5999999999999997E-2</v>
      </c>
      <c r="M45" s="74">
        <v>16.39</v>
      </c>
      <c r="N45" s="76">
        <v>0.65200000000000002</v>
      </c>
      <c r="O45" s="74">
        <v>0.65200000000000002</v>
      </c>
      <c r="P45" s="74">
        <v>16.353999999999999</v>
      </c>
      <c r="Q45" s="75">
        <v>2.2012963189433775E-3</v>
      </c>
      <c r="R45" s="75">
        <v>3.9867922220863404E-2</v>
      </c>
      <c r="S45" s="77">
        <v>4.2069218539806781E-2</v>
      </c>
      <c r="T45" s="73">
        <v>61</v>
      </c>
      <c r="U45" s="78">
        <v>4.0499999999999994E-2</v>
      </c>
      <c r="V45" s="78">
        <v>15.632000000000001</v>
      </c>
      <c r="W45" s="78">
        <v>2.0794999999999999</v>
      </c>
      <c r="X45" s="78">
        <v>2.0794999999999999</v>
      </c>
      <c r="Y45" s="78">
        <v>15.5915</v>
      </c>
      <c r="Z45" s="19">
        <v>2.6179453474142337E-3</v>
      </c>
      <c r="AA45" s="19">
        <v>0.13818198862408737</v>
      </c>
      <c r="AB45" s="79">
        <v>0.14079993397150162</v>
      </c>
    </row>
    <row r="46" spans="2:28">
      <c r="B46" s="65">
        <v>62</v>
      </c>
      <c r="C46" s="66">
        <v>1.7999999999999999E-2</v>
      </c>
      <c r="D46" s="66">
        <v>15.363</v>
      </c>
      <c r="E46" s="66">
        <v>3.5579999999999998</v>
      </c>
      <c r="F46" s="66">
        <v>3.5579999999999998</v>
      </c>
      <c r="G46" s="66">
        <v>15.344999999999999</v>
      </c>
      <c r="H46" s="67">
        <v>1.1730205278592375E-3</v>
      </c>
      <c r="I46" s="67">
        <v>0.23186705767350929</v>
      </c>
      <c r="J46" s="68">
        <v>0.23304007820136852</v>
      </c>
      <c r="K46" s="65">
        <v>62</v>
      </c>
      <c r="L46" s="66">
        <v>1.4E-2</v>
      </c>
      <c r="M46" s="66">
        <v>16.899000000000001</v>
      </c>
      <c r="N46" s="69">
        <v>0.64900000000000002</v>
      </c>
      <c r="O46" s="66">
        <v>0.64900000000000002</v>
      </c>
      <c r="P46" s="66">
        <v>16.885000000000002</v>
      </c>
      <c r="Q46" s="67">
        <v>8.2913828842167596E-4</v>
      </c>
      <c r="R46" s="67">
        <v>3.8436482084690554E-2</v>
      </c>
      <c r="S46" s="68">
        <v>3.926562037311223E-2</v>
      </c>
      <c r="T46" s="65">
        <v>62</v>
      </c>
      <c r="U46" s="70">
        <v>1.6E-2</v>
      </c>
      <c r="V46" s="70">
        <v>16.131</v>
      </c>
      <c r="W46" s="70">
        <v>2.1034999999999999</v>
      </c>
      <c r="X46" s="70">
        <v>2.1034999999999999</v>
      </c>
      <c r="Y46" s="70">
        <v>16.115000000000002</v>
      </c>
      <c r="Z46" s="71">
        <v>1.0010794081404567E-3</v>
      </c>
      <c r="AA46" s="71">
        <v>0.13515176987909994</v>
      </c>
      <c r="AB46" s="72">
        <v>0.13615284928724036</v>
      </c>
    </row>
    <row r="47" spans="2:28">
      <c r="B47" s="73">
        <v>63</v>
      </c>
      <c r="C47" s="74">
        <v>4.0000000000000001E-3</v>
      </c>
      <c r="D47" s="74">
        <v>15.882999999999999</v>
      </c>
      <c r="E47" s="74">
        <v>3.609</v>
      </c>
      <c r="F47" s="74">
        <v>3.609</v>
      </c>
      <c r="G47" s="74">
        <v>15.879</v>
      </c>
      <c r="H47" s="75">
        <v>2.5190503180301028E-4</v>
      </c>
      <c r="I47" s="75">
        <v>0.22728131494426601</v>
      </c>
      <c r="J47" s="77">
        <v>0.22753321997606901</v>
      </c>
      <c r="K47" s="73">
        <v>63</v>
      </c>
      <c r="L47" s="74">
        <v>3.0000000000000001E-3</v>
      </c>
      <c r="M47" s="74">
        <v>17.439</v>
      </c>
      <c r="N47" s="76">
        <v>0.64600000000000002</v>
      </c>
      <c r="O47" s="74">
        <v>0.64600000000000002</v>
      </c>
      <c r="P47" s="74">
        <v>17.436</v>
      </c>
      <c r="Q47" s="75">
        <v>1.7205781142463867E-4</v>
      </c>
      <c r="R47" s="75">
        <v>3.7049782060105528E-2</v>
      </c>
      <c r="S47" s="77">
        <v>3.7221839871530167E-2</v>
      </c>
      <c r="T47" s="73">
        <v>63</v>
      </c>
      <c r="U47" s="78">
        <v>3.5000000000000001E-3</v>
      </c>
      <c r="V47" s="78">
        <v>16.661000000000001</v>
      </c>
      <c r="W47" s="78">
        <v>2.1274999999999999</v>
      </c>
      <c r="X47" s="78">
        <v>2.1274999999999999</v>
      </c>
      <c r="Y47" s="78">
        <v>16.657499999999999</v>
      </c>
      <c r="Z47" s="19">
        <v>2.1198142161382448E-4</v>
      </c>
      <c r="AA47" s="19">
        <v>0.13216554850218576</v>
      </c>
      <c r="AB47" s="79">
        <v>0.13237752992379959</v>
      </c>
    </row>
    <row r="48" spans="2:28" s="33" customFormat="1">
      <c r="B48" s="80">
        <v>64</v>
      </c>
      <c r="C48" s="81">
        <v>0</v>
      </c>
      <c r="D48" s="81">
        <v>16.437999999999999</v>
      </c>
      <c r="E48" s="81">
        <v>3.6579999999999999</v>
      </c>
      <c r="F48" s="81">
        <v>3.6579999999999999</v>
      </c>
      <c r="G48" s="81">
        <v>16.437999999999999</v>
      </c>
      <c r="H48" s="82">
        <v>0</v>
      </c>
      <c r="I48" s="82">
        <v>0.22253315488502251</v>
      </c>
      <c r="J48" s="83">
        <v>0.22253315488502251</v>
      </c>
      <c r="K48" s="80">
        <v>64</v>
      </c>
      <c r="L48" s="81">
        <v>0</v>
      </c>
      <c r="M48" s="81">
        <v>18.010999999999999</v>
      </c>
      <c r="N48" s="84">
        <v>0.64100000000000001</v>
      </c>
      <c r="O48" s="81">
        <v>0.64100000000000001</v>
      </c>
      <c r="P48" s="81">
        <v>18.010999999999999</v>
      </c>
      <c r="Q48" s="82">
        <v>0</v>
      </c>
      <c r="R48" s="82">
        <v>3.5589362056521016E-2</v>
      </c>
      <c r="S48" s="83">
        <v>3.5589362056521016E-2</v>
      </c>
      <c r="T48" s="80">
        <v>64</v>
      </c>
      <c r="U48" s="85">
        <v>0</v>
      </c>
      <c r="V48" s="85">
        <v>17.224499999999999</v>
      </c>
      <c r="W48" s="85">
        <v>2.1494999999999997</v>
      </c>
      <c r="X48" s="85">
        <v>2.1494999999999997</v>
      </c>
      <c r="Y48" s="85">
        <v>17.224499999999999</v>
      </c>
      <c r="Z48" s="86">
        <v>0</v>
      </c>
      <c r="AA48" s="86">
        <v>0.12906125847077177</v>
      </c>
      <c r="AB48" s="87">
        <v>0.12906125847077177</v>
      </c>
    </row>
    <row r="49" spans="2:28">
      <c r="B49" s="73">
        <v>65</v>
      </c>
      <c r="C49" s="74">
        <v>0</v>
      </c>
      <c r="D49" s="74">
        <v>16.053000000000001</v>
      </c>
      <c r="E49" s="74">
        <v>3.6680000000000001</v>
      </c>
      <c r="F49" s="74">
        <v>3.6680000000000001</v>
      </c>
      <c r="G49" s="74">
        <v>16.053000000000001</v>
      </c>
      <c r="H49" s="75">
        <v>0</v>
      </c>
      <c r="I49" s="75">
        <v>0.2284931165514234</v>
      </c>
      <c r="J49" s="77">
        <v>0.2284931165514234</v>
      </c>
      <c r="K49" s="73">
        <v>65</v>
      </c>
      <c r="L49" s="74">
        <v>0</v>
      </c>
      <c r="M49" s="74">
        <v>17.669</v>
      </c>
      <c r="N49" s="76">
        <v>0.64900000000000002</v>
      </c>
      <c r="O49" s="74">
        <v>0.64900000000000002</v>
      </c>
      <c r="P49" s="74">
        <v>17.669</v>
      </c>
      <c r="Q49" s="75">
        <v>0</v>
      </c>
      <c r="R49" s="75">
        <v>3.6730997792744358E-2</v>
      </c>
      <c r="S49" s="77">
        <v>3.6730997792744358E-2</v>
      </c>
      <c r="T49" s="73">
        <v>65</v>
      </c>
      <c r="U49" s="78">
        <v>0</v>
      </c>
      <c r="V49" s="78">
        <v>16.861000000000001</v>
      </c>
      <c r="W49" s="78">
        <v>2.1585000000000001</v>
      </c>
      <c r="X49" s="78">
        <v>2.1585000000000001</v>
      </c>
      <c r="Y49" s="78">
        <v>16.861000000000001</v>
      </c>
      <c r="Z49" s="88">
        <v>0</v>
      </c>
      <c r="AA49" s="88">
        <v>0.13261205717208388</v>
      </c>
      <c r="AB49" s="89">
        <v>0.13261205717208388</v>
      </c>
    </row>
    <row r="50" spans="2:28">
      <c r="B50" s="65">
        <v>66</v>
      </c>
      <c r="C50" s="66"/>
      <c r="D50" s="66">
        <v>15.661</v>
      </c>
      <c r="E50" s="66">
        <v>3.6739999999999999</v>
      </c>
      <c r="F50" s="66">
        <v>3.6739999999999999</v>
      </c>
      <c r="G50" s="66">
        <v>15.661</v>
      </c>
      <c r="H50" s="67">
        <v>0</v>
      </c>
      <c r="I50" s="67">
        <v>0.23459549198646318</v>
      </c>
      <c r="J50" s="68">
        <v>0.23459549198646318</v>
      </c>
      <c r="K50" s="65">
        <v>66</v>
      </c>
      <c r="L50" s="66">
        <v>0</v>
      </c>
      <c r="M50" s="66">
        <v>17.274000000000001</v>
      </c>
      <c r="N50" s="69">
        <v>0.63</v>
      </c>
      <c r="O50" s="66">
        <v>0.63</v>
      </c>
      <c r="P50" s="66">
        <v>17.274000000000001</v>
      </c>
      <c r="Q50" s="67">
        <v>0</v>
      </c>
      <c r="R50" s="67">
        <v>3.647099687391455E-2</v>
      </c>
      <c r="S50" s="68">
        <v>3.647099687391455E-2</v>
      </c>
      <c r="T50" s="65">
        <v>66</v>
      </c>
      <c r="U50" s="70">
        <v>0</v>
      </c>
      <c r="V50" s="70">
        <v>16.467500000000001</v>
      </c>
      <c r="W50" s="70">
        <v>2.1520000000000001</v>
      </c>
      <c r="X50" s="70">
        <v>2.1520000000000001</v>
      </c>
      <c r="Y50" s="70">
        <v>16.467500000000001</v>
      </c>
      <c r="Z50" s="71">
        <v>0</v>
      </c>
      <c r="AA50" s="71">
        <v>0.13553324443018885</v>
      </c>
      <c r="AB50" s="72">
        <v>0.13553324443018885</v>
      </c>
    </row>
    <row r="51" spans="2:28">
      <c r="B51" s="73">
        <v>67</v>
      </c>
      <c r="C51" s="74"/>
      <c r="D51" s="74">
        <v>15.260999999999999</v>
      </c>
      <c r="E51" s="74">
        <v>3.6779999999999999</v>
      </c>
      <c r="F51" s="74">
        <v>3.6779999999999999</v>
      </c>
      <c r="G51" s="74">
        <v>15.260999999999999</v>
      </c>
      <c r="H51" s="75">
        <v>0</v>
      </c>
      <c r="I51" s="75">
        <v>0.24100648712404169</v>
      </c>
      <c r="J51" s="77">
        <v>0.24100648712404169</v>
      </c>
      <c r="K51" s="73">
        <v>67</v>
      </c>
      <c r="L51" s="74">
        <v>0</v>
      </c>
      <c r="M51" s="74">
        <v>16.867000000000001</v>
      </c>
      <c r="N51" s="76">
        <v>0.61</v>
      </c>
      <c r="O51" s="74">
        <v>0.61</v>
      </c>
      <c r="P51" s="74">
        <v>16.867000000000001</v>
      </c>
      <c r="Q51" s="75">
        <v>0</v>
      </c>
      <c r="R51" s="75">
        <v>3.6165293176024189E-2</v>
      </c>
      <c r="S51" s="77">
        <v>3.6165293176024189E-2</v>
      </c>
      <c r="T51" s="73">
        <v>67</v>
      </c>
      <c r="U51" s="78">
        <v>0</v>
      </c>
      <c r="V51" s="78">
        <v>16.064</v>
      </c>
      <c r="W51" s="78">
        <v>2.1440000000000001</v>
      </c>
      <c r="X51" s="78">
        <v>2.1440000000000001</v>
      </c>
      <c r="Y51" s="78">
        <v>16.064</v>
      </c>
      <c r="Z51" s="19">
        <v>0</v>
      </c>
      <c r="AA51" s="19">
        <v>0.13858589015003295</v>
      </c>
      <c r="AB51" s="79">
        <v>0.13858589015003295</v>
      </c>
    </row>
    <row r="52" spans="2:28">
      <c r="B52" s="65">
        <v>68</v>
      </c>
      <c r="C52" s="66"/>
      <c r="D52" s="66">
        <v>14.851000000000001</v>
      </c>
      <c r="E52" s="66">
        <v>3.68</v>
      </c>
      <c r="F52" s="66">
        <v>3.68</v>
      </c>
      <c r="G52" s="66">
        <v>14.851000000000001</v>
      </c>
      <c r="H52" s="67">
        <v>0</v>
      </c>
      <c r="I52" s="67">
        <v>0.24779476129553565</v>
      </c>
      <c r="J52" s="68">
        <v>0.24779476129553565</v>
      </c>
      <c r="K52" s="65">
        <v>68</v>
      </c>
      <c r="L52" s="66">
        <v>0</v>
      </c>
      <c r="M52" s="66">
        <v>16.448</v>
      </c>
      <c r="N52" s="69">
        <v>0.59099999999999997</v>
      </c>
      <c r="O52" s="66">
        <v>0.59099999999999997</v>
      </c>
      <c r="P52" s="66">
        <v>16.448</v>
      </c>
      <c r="Q52" s="67">
        <v>0</v>
      </c>
      <c r="R52" s="67">
        <v>3.5931420233463032E-2</v>
      </c>
      <c r="S52" s="68">
        <v>3.5931420233463032E-2</v>
      </c>
      <c r="T52" s="65">
        <v>68</v>
      </c>
      <c r="U52" s="70">
        <v>0</v>
      </c>
      <c r="V52" s="70">
        <v>15.6495</v>
      </c>
      <c r="W52" s="70">
        <v>2.1355</v>
      </c>
      <c r="X52" s="70">
        <v>2.1355</v>
      </c>
      <c r="Y52" s="70">
        <v>15.6495</v>
      </c>
      <c r="Z52" s="71">
        <v>0</v>
      </c>
      <c r="AA52" s="71">
        <v>0.14186309076449935</v>
      </c>
      <c r="AB52" s="72">
        <v>0.14186309076449935</v>
      </c>
    </row>
    <row r="53" spans="2:28">
      <c r="B53" s="73">
        <v>69</v>
      </c>
      <c r="C53" s="74"/>
      <c r="D53" s="74">
        <v>14.432</v>
      </c>
      <c r="E53" s="74">
        <v>3.681</v>
      </c>
      <c r="F53" s="74">
        <v>3.681</v>
      </c>
      <c r="G53" s="74">
        <v>14.432</v>
      </c>
      <c r="H53" s="75">
        <v>0</v>
      </c>
      <c r="I53" s="75">
        <v>0.25505820399113083</v>
      </c>
      <c r="J53" s="77">
        <v>0.25505820399113083</v>
      </c>
      <c r="K53" s="73">
        <v>69</v>
      </c>
      <c r="L53" s="74">
        <v>0</v>
      </c>
      <c r="M53" s="74">
        <v>16.016999999999999</v>
      </c>
      <c r="N53" s="76">
        <v>0.57199999999999995</v>
      </c>
      <c r="O53" s="74">
        <v>0.57199999999999995</v>
      </c>
      <c r="P53" s="74">
        <v>16.016999999999999</v>
      </c>
      <c r="Q53" s="75">
        <v>0</v>
      </c>
      <c r="R53" s="75">
        <v>3.5712055940563148E-2</v>
      </c>
      <c r="S53" s="77">
        <v>3.5712055940563148E-2</v>
      </c>
      <c r="T53" s="73">
        <v>69</v>
      </c>
      <c r="U53" s="78">
        <v>0</v>
      </c>
      <c r="V53" s="78">
        <v>15.224499999999999</v>
      </c>
      <c r="W53" s="78">
        <v>2.1265000000000001</v>
      </c>
      <c r="X53" s="78">
        <v>2.1265000000000001</v>
      </c>
      <c r="Y53" s="78">
        <v>15.224499999999999</v>
      </c>
      <c r="Z53" s="19">
        <v>0</v>
      </c>
      <c r="AA53" s="19">
        <v>0.14538512996584699</v>
      </c>
      <c r="AB53" s="79">
        <v>0.14538512996584699</v>
      </c>
    </row>
    <row r="54" spans="2:28">
      <c r="B54" s="65">
        <v>70</v>
      </c>
      <c r="C54" s="66"/>
      <c r="D54" s="66">
        <v>14.002000000000001</v>
      </c>
      <c r="E54" s="66">
        <v>3.6789999999999998</v>
      </c>
      <c r="F54" s="66">
        <v>3.6789999999999998</v>
      </c>
      <c r="G54" s="66">
        <v>14.002000000000001</v>
      </c>
      <c r="H54" s="67">
        <v>0</v>
      </c>
      <c r="I54" s="67">
        <v>0.26274817883159546</v>
      </c>
      <c r="J54" s="68">
        <v>0.26274817883159546</v>
      </c>
      <c r="K54" s="65">
        <v>70</v>
      </c>
      <c r="L54" s="66">
        <v>0</v>
      </c>
      <c r="M54" s="66">
        <v>15.574</v>
      </c>
      <c r="N54" s="69">
        <v>0.55100000000000005</v>
      </c>
      <c r="O54" s="66">
        <v>0.55100000000000005</v>
      </c>
      <c r="P54" s="66">
        <v>15.574</v>
      </c>
      <c r="Q54" s="67">
        <v>0</v>
      </c>
      <c r="R54" s="67">
        <v>3.5379478618209843E-2</v>
      </c>
      <c r="S54" s="68">
        <v>3.5379478618209843E-2</v>
      </c>
      <c r="T54" s="65">
        <v>70</v>
      </c>
      <c r="U54" s="70">
        <v>0</v>
      </c>
      <c r="V54" s="70">
        <v>14.788</v>
      </c>
      <c r="W54" s="70">
        <v>2.1149999999999998</v>
      </c>
      <c r="X54" s="70">
        <v>2.1149999999999998</v>
      </c>
      <c r="Y54" s="70">
        <v>14.788</v>
      </c>
      <c r="Z54" s="71">
        <v>0</v>
      </c>
      <c r="AA54" s="71">
        <v>0.14906382872490265</v>
      </c>
      <c r="AB54" s="72">
        <v>0.14906382872490265</v>
      </c>
    </row>
    <row r="55" spans="2:28">
      <c r="B55" s="73">
        <v>71</v>
      </c>
      <c r="C55" s="74"/>
      <c r="D55" s="74">
        <v>13.561999999999999</v>
      </c>
      <c r="E55" s="74">
        <v>3.6749999999999998</v>
      </c>
      <c r="F55" s="74">
        <v>3.6749999999999998</v>
      </c>
      <c r="G55" s="74">
        <v>13.561999999999999</v>
      </c>
      <c r="H55" s="75">
        <v>0</v>
      </c>
      <c r="I55" s="75">
        <v>0.27097773189795016</v>
      </c>
      <c r="J55" s="77">
        <v>0.27097773189795016</v>
      </c>
      <c r="K55" s="73">
        <v>71</v>
      </c>
      <c r="L55" s="74">
        <v>0</v>
      </c>
      <c r="M55" s="74">
        <v>15.118</v>
      </c>
      <c r="N55" s="76">
        <v>0.53100000000000003</v>
      </c>
      <c r="O55" s="74">
        <v>0.53100000000000003</v>
      </c>
      <c r="P55" s="74">
        <v>15.118</v>
      </c>
      <c r="Q55" s="75">
        <v>0</v>
      </c>
      <c r="R55" s="75">
        <v>3.5123693610265912E-2</v>
      </c>
      <c r="S55" s="77">
        <v>3.5123693610265912E-2</v>
      </c>
      <c r="T55" s="73">
        <v>71</v>
      </c>
      <c r="U55" s="78">
        <v>0</v>
      </c>
      <c r="V55" s="78">
        <v>14.34</v>
      </c>
      <c r="W55" s="78">
        <v>2.1029999999999998</v>
      </c>
      <c r="X55" s="78">
        <v>2.1029999999999998</v>
      </c>
      <c r="Y55" s="78">
        <v>14.34</v>
      </c>
      <c r="Z55" s="19">
        <v>0</v>
      </c>
      <c r="AA55" s="19">
        <v>0.15305071275410803</v>
      </c>
      <c r="AB55" s="79">
        <v>0.15305071275410803</v>
      </c>
    </row>
    <row r="56" spans="2:28">
      <c r="B56" s="65">
        <v>72</v>
      </c>
      <c r="C56" s="66"/>
      <c r="D56" s="66">
        <v>13.111000000000001</v>
      </c>
      <c r="E56" s="66">
        <v>3.669</v>
      </c>
      <c r="F56" s="66">
        <v>3.669</v>
      </c>
      <c r="G56" s="66">
        <v>13.111000000000001</v>
      </c>
      <c r="H56" s="67">
        <v>0</v>
      </c>
      <c r="I56" s="67">
        <v>0.27984135458775072</v>
      </c>
      <c r="J56" s="68">
        <v>0.27984135458775072</v>
      </c>
      <c r="K56" s="65">
        <v>72</v>
      </c>
      <c r="L56" s="66">
        <v>0</v>
      </c>
      <c r="M56" s="66">
        <v>14.648999999999999</v>
      </c>
      <c r="N56" s="69">
        <v>0.51</v>
      </c>
      <c r="O56" s="66">
        <v>0.51</v>
      </c>
      <c r="P56" s="66">
        <v>14.648999999999999</v>
      </c>
      <c r="Q56" s="67">
        <v>0</v>
      </c>
      <c r="R56" s="67">
        <v>3.481466311693631E-2</v>
      </c>
      <c r="S56" s="68">
        <v>3.481466311693631E-2</v>
      </c>
      <c r="T56" s="65">
        <v>72</v>
      </c>
      <c r="U56" s="70">
        <v>0</v>
      </c>
      <c r="V56" s="70">
        <v>13.879999999999999</v>
      </c>
      <c r="W56" s="70">
        <v>2.0895000000000001</v>
      </c>
      <c r="X56" s="70">
        <v>2.0895000000000001</v>
      </c>
      <c r="Y56" s="70">
        <v>13.879999999999999</v>
      </c>
      <c r="Z56" s="71">
        <v>0</v>
      </c>
      <c r="AA56" s="71">
        <v>0.15732800885234352</v>
      </c>
      <c r="AB56" s="72">
        <v>0.15732800885234352</v>
      </c>
    </row>
    <row r="57" spans="2:28">
      <c r="B57" s="73">
        <v>73</v>
      </c>
      <c r="C57" s="74"/>
      <c r="D57" s="74">
        <v>12.65</v>
      </c>
      <c r="E57" s="74">
        <v>3.6669999999999998</v>
      </c>
      <c r="F57" s="74">
        <v>3.6669999999999998</v>
      </c>
      <c r="G57" s="74">
        <v>12.65</v>
      </c>
      <c r="H57" s="75">
        <v>0</v>
      </c>
      <c r="I57" s="75">
        <v>0.28988142292490116</v>
      </c>
      <c r="J57" s="77">
        <v>0.28988142292490116</v>
      </c>
      <c r="K57" s="73">
        <v>73</v>
      </c>
      <c r="L57" s="74">
        <v>0</v>
      </c>
      <c r="M57" s="74">
        <v>14.167999999999999</v>
      </c>
      <c r="N57" s="76">
        <v>0.48899999999999999</v>
      </c>
      <c r="O57" s="74">
        <v>0.48899999999999999</v>
      </c>
      <c r="P57" s="74">
        <v>14.167999999999999</v>
      </c>
      <c r="Q57" s="75">
        <v>0</v>
      </c>
      <c r="R57" s="75">
        <v>3.4514398644833431E-2</v>
      </c>
      <c r="S57" s="77">
        <v>3.4514398644833431E-2</v>
      </c>
      <c r="T57" s="73">
        <v>73</v>
      </c>
      <c r="U57" s="78">
        <v>0</v>
      </c>
      <c r="V57" s="78">
        <v>13.408999999999999</v>
      </c>
      <c r="W57" s="78">
        <v>2.0779999999999998</v>
      </c>
      <c r="X57" s="78">
        <v>2.0779999999999998</v>
      </c>
      <c r="Y57" s="78">
        <v>13.408999999999999</v>
      </c>
      <c r="Z57" s="19">
        <v>0</v>
      </c>
      <c r="AA57" s="19">
        <v>0.16219791078486728</v>
      </c>
      <c r="AB57" s="79">
        <v>0.16219791078486728</v>
      </c>
    </row>
    <row r="58" spans="2:28">
      <c r="B58" s="65">
        <v>74</v>
      </c>
      <c r="C58" s="66"/>
      <c r="D58" s="66">
        <v>12.18</v>
      </c>
      <c r="E58" s="66">
        <v>3.6619999999999999</v>
      </c>
      <c r="F58" s="66">
        <v>3.6619999999999999</v>
      </c>
      <c r="G58" s="66">
        <v>12.18</v>
      </c>
      <c r="H58" s="67">
        <v>0</v>
      </c>
      <c r="I58" s="67">
        <v>0.30065681444991788</v>
      </c>
      <c r="J58" s="68">
        <v>0.30065681444991788</v>
      </c>
      <c r="K58" s="65">
        <v>74</v>
      </c>
      <c r="L58" s="66">
        <v>0</v>
      </c>
      <c r="M58" s="66">
        <v>13.676</v>
      </c>
      <c r="N58" s="69">
        <v>0.46899999999999997</v>
      </c>
      <c r="O58" s="66">
        <v>0.46899999999999997</v>
      </c>
      <c r="P58" s="66">
        <v>13.676</v>
      </c>
      <c r="Q58" s="67">
        <v>0</v>
      </c>
      <c r="R58" s="67">
        <v>3.4293653114945886E-2</v>
      </c>
      <c r="S58" s="68">
        <v>3.4293653114945886E-2</v>
      </c>
      <c r="T58" s="65">
        <v>74</v>
      </c>
      <c r="U58" s="70">
        <v>0</v>
      </c>
      <c r="V58" s="70">
        <v>12.928000000000001</v>
      </c>
      <c r="W58" s="70">
        <v>2.0655000000000001</v>
      </c>
      <c r="X58" s="70">
        <v>2.0655000000000001</v>
      </c>
      <c r="Y58" s="70">
        <v>12.928000000000001</v>
      </c>
      <c r="Z58" s="71">
        <v>0</v>
      </c>
      <c r="AA58" s="71">
        <v>0.16747523378243187</v>
      </c>
      <c r="AB58" s="72">
        <v>0.16747523378243187</v>
      </c>
    </row>
    <row r="59" spans="2:28">
      <c r="B59" s="73">
        <v>75</v>
      </c>
      <c r="C59" s="74"/>
      <c r="D59" s="74">
        <v>11.701000000000001</v>
      </c>
      <c r="E59" s="74">
        <v>3.6549999999999998</v>
      </c>
      <c r="F59" s="74">
        <v>3.6549999999999998</v>
      </c>
      <c r="G59" s="74">
        <v>11.701000000000001</v>
      </c>
      <c r="H59" s="75">
        <v>0</v>
      </c>
      <c r="I59" s="75">
        <v>0.31236646440475169</v>
      </c>
      <c r="J59" s="77">
        <v>0.31236646440475169</v>
      </c>
      <c r="K59" s="73">
        <v>75</v>
      </c>
      <c r="L59" s="74">
        <v>0</v>
      </c>
      <c r="M59" s="74">
        <v>13.173999999999999</v>
      </c>
      <c r="N59" s="76">
        <v>0.44800000000000001</v>
      </c>
      <c r="O59" s="74">
        <v>0.44800000000000001</v>
      </c>
      <c r="P59" s="74">
        <v>13.173999999999999</v>
      </c>
      <c r="Q59" s="75">
        <v>0</v>
      </c>
      <c r="R59" s="75">
        <v>3.4006376195536668E-2</v>
      </c>
      <c r="S59" s="77">
        <v>3.4006376195536668E-2</v>
      </c>
      <c r="T59" s="73">
        <v>75</v>
      </c>
      <c r="U59" s="78">
        <v>0</v>
      </c>
      <c r="V59" s="78">
        <v>12.4375</v>
      </c>
      <c r="W59" s="78">
        <v>2.0514999999999999</v>
      </c>
      <c r="X59" s="78">
        <v>2.0514999999999999</v>
      </c>
      <c r="Y59" s="78">
        <v>12.4375</v>
      </c>
      <c r="Z59" s="19">
        <v>0</v>
      </c>
      <c r="AA59" s="19">
        <v>0.17318642030014417</v>
      </c>
      <c r="AB59" s="79">
        <v>0.17318642030014417</v>
      </c>
    </row>
    <row r="60" spans="2:28">
      <c r="B60" s="65">
        <v>76</v>
      </c>
      <c r="C60" s="66"/>
      <c r="D60" s="66">
        <v>11.215</v>
      </c>
      <c r="E60" s="66">
        <v>3.6429999999999998</v>
      </c>
      <c r="F60" s="66">
        <v>3.6429999999999998</v>
      </c>
      <c r="G60" s="66">
        <v>11.215</v>
      </c>
      <c r="H60" s="67">
        <v>0</v>
      </c>
      <c r="I60" s="67">
        <v>0.32483281319661167</v>
      </c>
      <c r="J60" s="68">
        <v>0.32483281319661167</v>
      </c>
      <c r="K60" s="65">
        <v>76</v>
      </c>
      <c r="L60" s="66">
        <v>0</v>
      </c>
      <c r="M60" s="66">
        <v>12.663</v>
      </c>
      <c r="N60" s="69">
        <v>0.42699999999999999</v>
      </c>
      <c r="O60" s="66">
        <v>0.42699999999999999</v>
      </c>
      <c r="P60" s="66">
        <v>12.663</v>
      </c>
      <c r="Q60" s="67">
        <v>0</v>
      </c>
      <c r="R60" s="67">
        <v>3.3720287451630734E-2</v>
      </c>
      <c r="S60" s="68">
        <v>3.3720287451630734E-2</v>
      </c>
      <c r="T60" s="65">
        <v>76</v>
      </c>
      <c r="U60" s="70">
        <v>0</v>
      </c>
      <c r="V60" s="70">
        <v>11.939</v>
      </c>
      <c r="W60" s="70">
        <v>2.0349999999999997</v>
      </c>
      <c r="X60" s="70">
        <v>2.0349999999999997</v>
      </c>
      <c r="Y60" s="70">
        <v>11.939</v>
      </c>
      <c r="Z60" s="71">
        <v>0</v>
      </c>
      <c r="AA60" s="71">
        <v>0.17927655032412121</v>
      </c>
      <c r="AB60" s="72">
        <v>0.17927655032412121</v>
      </c>
    </row>
    <row r="61" spans="2:28">
      <c r="B61" s="73">
        <v>77</v>
      </c>
      <c r="C61" s="74"/>
      <c r="D61" s="74">
        <v>10.724</v>
      </c>
      <c r="E61" s="74">
        <v>3.625</v>
      </c>
      <c r="F61" s="74">
        <v>3.625</v>
      </c>
      <c r="G61" s="74">
        <v>10.724</v>
      </c>
      <c r="H61" s="75">
        <v>0</v>
      </c>
      <c r="I61" s="75">
        <v>0.33802685565087653</v>
      </c>
      <c r="J61" s="77">
        <v>0.33802685565087653</v>
      </c>
      <c r="K61" s="73">
        <v>77</v>
      </c>
      <c r="L61" s="74">
        <v>0</v>
      </c>
      <c r="M61" s="74">
        <v>12.143000000000001</v>
      </c>
      <c r="N61" s="76">
        <v>0.40400000000000003</v>
      </c>
      <c r="O61" s="74">
        <v>0.40400000000000003</v>
      </c>
      <c r="P61" s="74">
        <v>12.143000000000001</v>
      </c>
      <c r="Q61" s="75">
        <v>0</v>
      </c>
      <c r="R61" s="75">
        <v>3.327019682121387E-2</v>
      </c>
      <c r="S61" s="77">
        <v>3.327019682121387E-2</v>
      </c>
      <c r="T61" s="73">
        <v>77</v>
      </c>
      <c r="U61" s="78">
        <v>0</v>
      </c>
      <c r="V61" s="78">
        <v>11.4335</v>
      </c>
      <c r="W61" s="78">
        <v>2.0145</v>
      </c>
      <c r="X61" s="78">
        <v>2.0145</v>
      </c>
      <c r="Y61" s="78">
        <v>11.4335</v>
      </c>
      <c r="Z61" s="19">
        <v>0</v>
      </c>
      <c r="AA61" s="19">
        <v>0.18564852623604519</v>
      </c>
      <c r="AB61" s="79">
        <v>0.18564852623604519</v>
      </c>
    </row>
    <row r="62" spans="2:28">
      <c r="B62" s="65">
        <v>78</v>
      </c>
      <c r="C62" s="66"/>
      <c r="D62" s="66">
        <v>10.228999999999999</v>
      </c>
      <c r="E62" s="66">
        <v>3.601</v>
      </c>
      <c r="F62" s="66">
        <v>3.601</v>
      </c>
      <c r="G62" s="66">
        <v>10.228999999999999</v>
      </c>
      <c r="H62" s="67">
        <v>0</v>
      </c>
      <c r="I62" s="67">
        <v>0.35203832241665856</v>
      </c>
      <c r="J62" s="68">
        <v>0.35203832241665856</v>
      </c>
      <c r="K62" s="65">
        <v>78</v>
      </c>
      <c r="L62" s="66">
        <v>0</v>
      </c>
      <c r="M62" s="66">
        <v>11.618</v>
      </c>
      <c r="N62" s="69">
        <v>0.38100000000000001</v>
      </c>
      <c r="O62" s="66">
        <v>0.38100000000000001</v>
      </c>
      <c r="P62" s="66">
        <v>11.618</v>
      </c>
      <c r="Q62" s="67">
        <v>0</v>
      </c>
      <c r="R62" s="67">
        <v>3.279394043725254E-2</v>
      </c>
      <c r="S62" s="68">
        <v>3.279394043725254E-2</v>
      </c>
      <c r="T62" s="65">
        <v>78</v>
      </c>
      <c r="U62" s="70">
        <v>0</v>
      </c>
      <c r="V62" s="70">
        <v>10.923500000000001</v>
      </c>
      <c r="W62" s="70">
        <v>1.9910000000000001</v>
      </c>
      <c r="X62" s="70">
        <v>1.9910000000000001</v>
      </c>
      <c r="Y62" s="70">
        <v>10.923500000000001</v>
      </c>
      <c r="Z62" s="71">
        <v>0</v>
      </c>
      <c r="AA62" s="71">
        <v>0.19241613142695554</v>
      </c>
      <c r="AB62" s="72">
        <v>0.19241613142695554</v>
      </c>
    </row>
    <row r="63" spans="2:28">
      <c r="B63" s="73">
        <v>79</v>
      </c>
      <c r="C63" s="74"/>
      <c r="D63" s="74">
        <v>9.7330000000000005</v>
      </c>
      <c r="E63" s="74">
        <v>3.57</v>
      </c>
      <c r="F63" s="74">
        <v>3.57</v>
      </c>
      <c r="G63" s="74">
        <v>9.7330000000000005</v>
      </c>
      <c r="H63" s="75">
        <v>0</v>
      </c>
      <c r="I63" s="75">
        <v>0.36679338333504569</v>
      </c>
      <c r="J63" s="77">
        <v>0.36679338333504569</v>
      </c>
      <c r="K63" s="73">
        <v>79</v>
      </c>
      <c r="L63" s="74">
        <v>0</v>
      </c>
      <c r="M63" s="74">
        <v>11.087999999999999</v>
      </c>
      <c r="N63" s="76">
        <v>0.35699999999999998</v>
      </c>
      <c r="O63" s="74">
        <v>0.35699999999999998</v>
      </c>
      <c r="P63" s="74">
        <v>11.087999999999999</v>
      </c>
      <c r="Q63" s="75">
        <v>0</v>
      </c>
      <c r="R63" s="75">
        <v>3.2196969696969696E-2</v>
      </c>
      <c r="S63" s="77">
        <v>3.2196969696969696E-2</v>
      </c>
      <c r="T63" s="73">
        <v>79</v>
      </c>
      <c r="U63" s="78">
        <v>0</v>
      </c>
      <c r="V63" s="78">
        <v>10.410499999999999</v>
      </c>
      <c r="W63" s="78">
        <v>1.9634999999999998</v>
      </c>
      <c r="X63" s="78">
        <v>1.9634999999999998</v>
      </c>
      <c r="Y63" s="78">
        <v>10.410499999999999</v>
      </c>
      <c r="Z63" s="19">
        <v>0</v>
      </c>
      <c r="AA63" s="19">
        <v>0.19949517651600768</v>
      </c>
      <c r="AB63" s="79">
        <v>0.19949517651600768</v>
      </c>
    </row>
    <row r="64" spans="2:28">
      <c r="B64" s="65">
        <v>80</v>
      </c>
      <c r="C64" s="66"/>
      <c r="D64" s="66">
        <v>9.2379999999999995</v>
      </c>
      <c r="E64" s="66">
        <v>3.5310000000000001</v>
      </c>
      <c r="F64" s="66">
        <v>3.5310000000000001</v>
      </c>
      <c r="G64" s="66">
        <v>9.2379999999999995</v>
      </c>
      <c r="H64" s="67">
        <v>0</v>
      </c>
      <c r="I64" s="67">
        <v>0.38222558995453565</v>
      </c>
      <c r="J64" s="68">
        <v>0.38222558995453565</v>
      </c>
      <c r="K64" s="65">
        <v>80</v>
      </c>
      <c r="L64" s="66">
        <v>0</v>
      </c>
      <c r="M64" s="66">
        <v>10.555</v>
      </c>
      <c r="N64" s="69">
        <v>0.33300000000000002</v>
      </c>
      <c r="O64" s="66">
        <v>0.33300000000000002</v>
      </c>
      <c r="P64" s="66">
        <v>10.555</v>
      </c>
      <c r="Q64" s="67">
        <v>0</v>
      </c>
      <c r="R64" s="67">
        <v>3.15490288962577E-2</v>
      </c>
      <c r="S64" s="68">
        <v>3.15490288962577E-2</v>
      </c>
      <c r="T64" s="65">
        <v>80</v>
      </c>
      <c r="U64" s="70">
        <v>0</v>
      </c>
      <c r="V64" s="70">
        <v>9.8964999999999996</v>
      </c>
      <c r="W64" s="70">
        <v>1.9320000000000002</v>
      </c>
      <c r="X64" s="70">
        <v>1.9320000000000002</v>
      </c>
      <c r="Y64" s="70">
        <v>9.8964999999999996</v>
      </c>
      <c r="Z64" s="71">
        <v>0</v>
      </c>
      <c r="AA64" s="71">
        <v>0.20688730942539668</v>
      </c>
      <c r="AB64" s="72">
        <v>0.20688730942539668</v>
      </c>
    </row>
    <row r="65" spans="2:28">
      <c r="B65" s="73">
        <v>81</v>
      </c>
      <c r="C65" s="74"/>
      <c r="D65" s="74">
        <v>8.7469999999999999</v>
      </c>
      <c r="E65" s="74">
        <v>3.4820000000000002</v>
      </c>
      <c r="F65" s="74">
        <v>3.4820000000000002</v>
      </c>
      <c r="G65" s="74">
        <v>8.7469999999999999</v>
      </c>
      <c r="H65" s="75">
        <v>0</v>
      </c>
      <c r="I65" s="75">
        <v>0.39807934148851037</v>
      </c>
      <c r="J65" s="77">
        <v>0.39807934148851037</v>
      </c>
      <c r="K65" s="73">
        <v>81</v>
      </c>
      <c r="L65" s="74">
        <v>0</v>
      </c>
      <c r="M65" s="74">
        <v>10.023</v>
      </c>
      <c r="N65" s="76">
        <v>0.309</v>
      </c>
      <c r="O65" s="74">
        <v>0.309</v>
      </c>
      <c r="P65" s="74">
        <v>10.023</v>
      </c>
      <c r="Q65" s="75">
        <v>0</v>
      </c>
      <c r="R65" s="75">
        <v>3.0829093085902426E-2</v>
      </c>
      <c r="S65" s="77">
        <v>3.0829093085902426E-2</v>
      </c>
      <c r="T65" s="73">
        <v>81</v>
      </c>
      <c r="U65" s="78">
        <v>0</v>
      </c>
      <c r="V65" s="78">
        <v>9.3849999999999998</v>
      </c>
      <c r="W65" s="78">
        <v>1.8955000000000002</v>
      </c>
      <c r="X65" s="78">
        <v>1.8955000000000002</v>
      </c>
      <c r="Y65" s="78">
        <v>9.3849999999999998</v>
      </c>
      <c r="Z65" s="19">
        <v>0</v>
      </c>
      <c r="AA65" s="19">
        <v>0.2144542172872064</v>
      </c>
      <c r="AB65" s="79">
        <v>0.2144542172872064</v>
      </c>
    </row>
    <row r="66" spans="2:28">
      <c r="B66" s="65">
        <v>82</v>
      </c>
      <c r="C66" s="66"/>
      <c r="D66" s="66">
        <v>8.2629999999999999</v>
      </c>
      <c r="E66" s="66">
        <v>3.4089999999999998</v>
      </c>
      <c r="F66" s="66">
        <v>3.4089999999999998</v>
      </c>
      <c r="G66" s="66">
        <v>8.2629999999999999</v>
      </c>
      <c r="H66" s="67">
        <v>0</v>
      </c>
      <c r="I66" s="67">
        <v>0.41256202347815563</v>
      </c>
      <c r="J66" s="68">
        <v>0.41256202347815563</v>
      </c>
      <c r="K66" s="65">
        <v>82</v>
      </c>
      <c r="L66" s="66">
        <v>0</v>
      </c>
      <c r="M66" s="66">
        <v>9.4920000000000009</v>
      </c>
      <c r="N66" s="69">
        <v>0.28499999999999998</v>
      </c>
      <c r="O66" s="66">
        <v>0.28499999999999998</v>
      </c>
      <c r="P66" s="66">
        <v>9.4920000000000009</v>
      </c>
      <c r="Q66" s="67">
        <v>0</v>
      </c>
      <c r="R66" s="67">
        <v>3.0025284450063205E-2</v>
      </c>
      <c r="S66" s="68">
        <v>3.0025284450063205E-2</v>
      </c>
      <c r="T66" s="65">
        <v>82</v>
      </c>
      <c r="U66" s="70">
        <v>0</v>
      </c>
      <c r="V66" s="70">
        <v>8.8775000000000013</v>
      </c>
      <c r="W66" s="70">
        <v>1.847</v>
      </c>
      <c r="X66" s="70">
        <v>1.847</v>
      </c>
      <c r="Y66" s="70">
        <v>8.8775000000000013</v>
      </c>
      <c r="Z66" s="71">
        <v>0</v>
      </c>
      <c r="AA66" s="71">
        <v>0.22129365396410941</v>
      </c>
      <c r="AB66" s="72">
        <v>0.22129365396410941</v>
      </c>
    </row>
    <row r="67" spans="2:28">
      <c r="B67" s="73">
        <v>83</v>
      </c>
      <c r="C67" s="74"/>
      <c r="D67" s="74">
        <v>7.7880000000000003</v>
      </c>
      <c r="E67" s="74">
        <v>3.3220000000000001</v>
      </c>
      <c r="F67" s="74">
        <v>3.3220000000000001</v>
      </c>
      <c r="G67" s="74">
        <v>7.7880000000000003</v>
      </c>
      <c r="H67" s="75">
        <v>0</v>
      </c>
      <c r="I67" s="75">
        <v>0.42655367231638419</v>
      </c>
      <c r="J67" s="77">
        <v>0.42655367231638419</v>
      </c>
      <c r="K67" s="73">
        <v>83</v>
      </c>
      <c r="L67" s="74">
        <v>0</v>
      </c>
      <c r="M67" s="74">
        <v>8.9670000000000005</v>
      </c>
      <c r="N67" s="76">
        <v>0.26100000000000001</v>
      </c>
      <c r="O67" s="74">
        <v>0.26100000000000001</v>
      </c>
      <c r="P67" s="74">
        <v>8.9670000000000005</v>
      </c>
      <c r="Q67" s="75">
        <v>0</v>
      </c>
      <c r="R67" s="75">
        <v>2.9106724657075946E-2</v>
      </c>
      <c r="S67" s="77">
        <v>2.9106724657075946E-2</v>
      </c>
      <c r="T67" s="73">
        <v>83</v>
      </c>
      <c r="U67" s="78">
        <v>0</v>
      </c>
      <c r="V67" s="78">
        <v>8.3775000000000013</v>
      </c>
      <c r="W67" s="78">
        <v>1.7915000000000001</v>
      </c>
      <c r="X67" s="78">
        <v>1.7915000000000001</v>
      </c>
      <c r="Y67" s="78">
        <v>8.3775000000000013</v>
      </c>
      <c r="Z67" s="19">
        <v>0</v>
      </c>
      <c r="AA67" s="19">
        <v>0.22783019848673006</v>
      </c>
      <c r="AB67" s="79">
        <v>0.22783019848673006</v>
      </c>
    </row>
    <row r="68" spans="2:28">
      <c r="B68" s="65">
        <v>84</v>
      </c>
      <c r="C68" s="66"/>
      <c r="D68" s="66">
        <v>7.327</v>
      </c>
      <c r="E68" s="66">
        <v>3.2229999999999999</v>
      </c>
      <c r="F68" s="66">
        <v>3.2229999999999999</v>
      </c>
      <c r="G68" s="66">
        <v>7.327</v>
      </c>
      <c r="H68" s="67">
        <v>0</v>
      </c>
      <c r="I68" s="67">
        <v>0.43987989627405483</v>
      </c>
      <c r="J68" s="68">
        <v>0.43987989627405483</v>
      </c>
      <c r="K68" s="65">
        <v>84</v>
      </c>
      <c r="L68" s="66">
        <v>0</v>
      </c>
      <c r="M68" s="66">
        <v>8.4499999999999993</v>
      </c>
      <c r="N68" s="69">
        <v>0.23799999999999999</v>
      </c>
      <c r="O68" s="66">
        <v>0.23799999999999999</v>
      </c>
      <c r="P68" s="66">
        <v>8.4499999999999993</v>
      </c>
      <c r="Q68" s="67">
        <v>0</v>
      </c>
      <c r="R68" s="67">
        <v>2.816568047337278E-2</v>
      </c>
      <c r="S68" s="68">
        <v>2.816568047337278E-2</v>
      </c>
      <c r="T68" s="65">
        <v>84</v>
      </c>
      <c r="U68" s="70">
        <v>0</v>
      </c>
      <c r="V68" s="70">
        <v>7.8884999999999996</v>
      </c>
      <c r="W68" s="70">
        <v>1.7304999999999999</v>
      </c>
      <c r="X68" s="70">
        <v>1.7304999999999999</v>
      </c>
      <c r="Y68" s="70">
        <v>7.8884999999999996</v>
      </c>
      <c r="Z68" s="71">
        <v>0</v>
      </c>
      <c r="AA68" s="71">
        <v>0.23402278837371379</v>
      </c>
      <c r="AB68" s="72">
        <v>0.23402278837371379</v>
      </c>
    </row>
    <row r="69" spans="2:28">
      <c r="B69" s="73">
        <v>85</v>
      </c>
      <c r="C69" s="74"/>
      <c r="D69" s="74">
        <v>6.883</v>
      </c>
      <c r="E69" s="74">
        <v>3.1139999999999999</v>
      </c>
      <c r="F69" s="74">
        <v>3.1139999999999999</v>
      </c>
      <c r="G69" s="74">
        <v>6.883</v>
      </c>
      <c r="H69" s="75">
        <v>0</v>
      </c>
      <c r="I69" s="75">
        <v>0.45241900334156615</v>
      </c>
      <c r="J69" s="77">
        <v>0.45241900334156615</v>
      </c>
      <c r="K69" s="73">
        <v>85</v>
      </c>
      <c r="L69" s="74">
        <v>0</v>
      </c>
      <c r="M69" s="74">
        <v>7.944</v>
      </c>
      <c r="N69" s="76">
        <v>0.21199999999999999</v>
      </c>
      <c r="O69" s="74">
        <v>0.21199999999999999</v>
      </c>
      <c r="P69" s="74">
        <v>7.944</v>
      </c>
      <c r="Q69" s="75">
        <v>0</v>
      </c>
      <c r="R69" s="75">
        <v>2.6686807653575024E-2</v>
      </c>
      <c r="S69" s="77">
        <v>2.6686807653575024E-2</v>
      </c>
      <c r="T69" s="73">
        <v>85</v>
      </c>
      <c r="U69" s="78">
        <v>0</v>
      </c>
      <c r="V69" s="78">
        <v>7.4135</v>
      </c>
      <c r="W69" s="78">
        <v>1.663</v>
      </c>
      <c r="X69" s="78">
        <v>1.663</v>
      </c>
      <c r="Y69" s="78">
        <v>7.4135</v>
      </c>
      <c r="Z69" s="19">
        <v>0</v>
      </c>
      <c r="AA69" s="19">
        <v>0.23955290549757058</v>
      </c>
      <c r="AB69" s="79">
        <v>0.23955290549757058</v>
      </c>
    </row>
    <row r="70" spans="2:28">
      <c r="B70" s="65">
        <v>86</v>
      </c>
      <c r="C70" s="66"/>
      <c r="D70" s="66">
        <v>6.4619999999999997</v>
      </c>
      <c r="E70" s="66">
        <v>2.9969999999999999</v>
      </c>
      <c r="F70" s="66">
        <v>2.9969999999999999</v>
      </c>
      <c r="G70" s="66">
        <v>6.4619999999999997</v>
      </c>
      <c r="H70" s="67">
        <v>0</v>
      </c>
      <c r="I70" s="67">
        <v>0.46378830083565459</v>
      </c>
      <c r="J70" s="68">
        <v>0.46378830083565459</v>
      </c>
      <c r="K70" s="65">
        <v>86</v>
      </c>
      <c r="L70" s="66">
        <v>0</v>
      </c>
      <c r="M70" s="66">
        <v>7.452</v>
      </c>
      <c r="N70" s="69">
        <v>0.186</v>
      </c>
      <c r="O70" s="66">
        <v>0.186</v>
      </c>
      <c r="P70" s="66">
        <v>7.452</v>
      </c>
      <c r="Q70" s="67">
        <v>0</v>
      </c>
      <c r="R70" s="67">
        <v>2.4959742351046699E-2</v>
      </c>
      <c r="S70" s="68">
        <v>2.4959742351046699E-2</v>
      </c>
      <c r="T70" s="65">
        <v>86</v>
      </c>
      <c r="U70" s="70">
        <v>0</v>
      </c>
      <c r="V70" s="70">
        <v>6.9569999999999999</v>
      </c>
      <c r="W70" s="70">
        <v>1.5914999999999999</v>
      </c>
      <c r="X70" s="70">
        <v>1.5914999999999999</v>
      </c>
      <c r="Y70" s="70">
        <v>6.9569999999999999</v>
      </c>
      <c r="Z70" s="71">
        <v>0</v>
      </c>
      <c r="AA70" s="71">
        <v>0.24437402159335064</v>
      </c>
      <c r="AB70" s="72">
        <v>0.24437402159335064</v>
      </c>
    </row>
    <row r="71" spans="2:28">
      <c r="B71" s="73">
        <v>87</v>
      </c>
      <c r="C71" s="74"/>
      <c r="D71" s="74">
        <v>6.069</v>
      </c>
      <c r="E71" s="74">
        <v>2.8730000000000002</v>
      </c>
      <c r="F71" s="74">
        <v>2.8730000000000002</v>
      </c>
      <c r="G71" s="74">
        <v>6.069</v>
      </c>
      <c r="H71" s="75">
        <v>0</v>
      </c>
      <c r="I71" s="75">
        <v>0.47338935574229696</v>
      </c>
      <c r="J71" s="77">
        <v>0.47338935574229696</v>
      </c>
      <c r="K71" s="73">
        <v>87</v>
      </c>
      <c r="L71" s="74">
        <v>0</v>
      </c>
      <c r="M71" s="74">
        <v>6.9770000000000003</v>
      </c>
      <c r="N71" s="76">
        <v>0.16200000000000001</v>
      </c>
      <c r="O71" s="74">
        <v>0.16200000000000001</v>
      </c>
      <c r="P71" s="74">
        <v>6.9770000000000003</v>
      </c>
      <c r="Q71" s="75">
        <v>0</v>
      </c>
      <c r="R71" s="75">
        <v>2.3219148631216855E-2</v>
      </c>
      <c r="S71" s="77">
        <v>2.3219148631216855E-2</v>
      </c>
      <c r="T71" s="73">
        <v>87</v>
      </c>
      <c r="U71" s="78">
        <v>0</v>
      </c>
      <c r="V71" s="78">
        <v>6.5229999999999997</v>
      </c>
      <c r="W71" s="78">
        <v>1.5175000000000001</v>
      </c>
      <c r="X71" s="78">
        <v>1.5175000000000001</v>
      </c>
      <c r="Y71" s="78">
        <v>6.5229999999999997</v>
      </c>
      <c r="Z71" s="19">
        <v>0</v>
      </c>
      <c r="AA71" s="19">
        <v>0.24830425218675692</v>
      </c>
      <c r="AB71" s="79">
        <v>0.24830425218675692</v>
      </c>
    </row>
    <row r="72" spans="2:28">
      <c r="B72" s="65">
        <v>88</v>
      </c>
      <c r="C72" s="66"/>
      <c r="D72" s="66">
        <v>5.7119999999999997</v>
      </c>
      <c r="E72" s="66">
        <v>2.7149999999999999</v>
      </c>
      <c r="F72" s="66">
        <v>2.7149999999999999</v>
      </c>
      <c r="G72" s="66">
        <v>5.7119999999999997</v>
      </c>
      <c r="H72" s="67">
        <v>0</v>
      </c>
      <c r="I72" s="67">
        <v>0.47531512605042014</v>
      </c>
      <c r="J72" s="68">
        <v>0.47531512605042014</v>
      </c>
      <c r="K72" s="65">
        <v>88</v>
      </c>
      <c r="L72" s="66">
        <v>0</v>
      </c>
      <c r="M72" s="66">
        <v>6.5209999999999999</v>
      </c>
      <c r="N72" s="69">
        <v>0.14000000000000001</v>
      </c>
      <c r="O72" s="66">
        <v>0.14000000000000001</v>
      </c>
      <c r="P72" s="66">
        <v>6.5209999999999999</v>
      </c>
      <c r="Q72" s="67">
        <v>0</v>
      </c>
      <c r="R72" s="67">
        <v>2.1469099831314217E-2</v>
      </c>
      <c r="S72" s="68">
        <v>2.1469099831314217E-2</v>
      </c>
      <c r="T72" s="65">
        <v>88</v>
      </c>
      <c r="U72" s="70">
        <v>0</v>
      </c>
      <c r="V72" s="70">
        <v>6.1165000000000003</v>
      </c>
      <c r="W72" s="70">
        <v>1.4275</v>
      </c>
      <c r="X72" s="70">
        <v>1.4275</v>
      </c>
      <c r="Y72" s="70">
        <v>6.1165000000000003</v>
      </c>
      <c r="Z72" s="71">
        <v>0</v>
      </c>
      <c r="AA72" s="71">
        <v>0.24839211294086719</v>
      </c>
      <c r="AB72" s="72">
        <v>0.24839211294086719</v>
      </c>
    </row>
    <row r="73" spans="2:28">
      <c r="B73" s="73">
        <v>89</v>
      </c>
      <c r="C73" s="74"/>
      <c r="D73" s="74">
        <v>5.3979999999999997</v>
      </c>
      <c r="E73" s="74">
        <v>2.5489999999999999</v>
      </c>
      <c r="F73" s="74">
        <v>2.5489999999999999</v>
      </c>
      <c r="G73" s="74">
        <v>5.3979999999999997</v>
      </c>
      <c r="H73" s="75">
        <v>0</v>
      </c>
      <c r="I73" s="75">
        <v>0.4722119303445721</v>
      </c>
      <c r="J73" s="77">
        <v>0.4722119303445721</v>
      </c>
      <c r="K73" s="73">
        <v>89</v>
      </c>
      <c r="L73" s="74">
        <v>0</v>
      </c>
      <c r="M73" s="74">
        <v>6.093</v>
      </c>
      <c r="N73" s="76">
        <v>0.11700000000000001</v>
      </c>
      <c r="O73" s="74">
        <v>0.11700000000000001</v>
      </c>
      <c r="P73" s="74">
        <v>6.093</v>
      </c>
      <c r="Q73" s="75">
        <v>0</v>
      </c>
      <c r="R73" s="75">
        <v>1.9202363367799114E-2</v>
      </c>
      <c r="S73" s="77">
        <v>1.9202363367799114E-2</v>
      </c>
      <c r="T73" s="73">
        <v>89</v>
      </c>
      <c r="U73" s="78">
        <v>0</v>
      </c>
      <c r="V73" s="78">
        <v>5.7454999999999998</v>
      </c>
      <c r="W73" s="78">
        <v>1.333</v>
      </c>
      <c r="X73" s="78">
        <v>1.333</v>
      </c>
      <c r="Y73" s="78">
        <v>5.7454999999999998</v>
      </c>
      <c r="Z73" s="19">
        <v>0</v>
      </c>
      <c r="AA73" s="19">
        <v>0.24570714685618561</v>
      </c>
      <c r="AB73" s="79">
        <v>0.24570714685618561</v>
      </c>
    </row>
    <row r="74" spans="2:28">
      <c r="B74" s="65">
        <v>90</v>
      </c>
      <c r="C74" s="66"/>
      <c r="D74" s="66">
        <v>5.1150000000000002</v>
      </c>
      <c r="E74" s="66">
        <v>2.387</v>
      </c>
      <c r="F74" s="66">
        <v>2.387</v>
      </c>
      <c r="G74" s="66">
        <v>5.1150000000000002</v>
      </c>
      <c r="H74" s="67">
        <v>0</v>
      </c>
      <c r="I74" s="67">
        <v>0.46666666666666667</v>
      </c>
      <c r="J74" s="68">
        <v>0.46666666666666667</v>
      </c>
      <c r="K74" s="65">
        <v>90</v>
      </c>
      <c r="L74" s="66">
        <v>0</v>
      </c>
      <c r="M74" s="66">
        <v>5.694</v>
      </c>
      <c r="N74" s="69">
        <v>9.7000000000000003E-2</v>
      </c>
      <c r="O74" s="66">
        <v>9.7000000000000003E-2</v>
      </c>
      <c r="P74" s="66">
        <v>5.694</v>
      </c>
      <c r="Q74" s="67">
        <v>0</v>
      </c>
      <c r="R74" s="67">
        <v>1.7035475939585529E-2</v>
      </c>
      <c r="S74" s="68">
        <v>1.7035475939585529E-2</v>
      </c>
      <c r="T74" s="65">
        <v>90</v>
      </c>
      <c r="U74" s="70">
        <v>0</v>
      </c>
      <c r="V74" s="70">
        <v>5.4045000000000005</v>
      </c>
      <c r="W74" s="70">
        <v>1.242</v>
      </c>
      <c r="X74" s="70">
        <v>1.242</v>
      </c>
      <c r="Y74" s="70">
        <v>5.4045000000000005</v>
      </c>
      <c r="Z74" s="71">
        <v>0</v>
      </c>
      <c r="AA74" s="71">
        <v>0.24185107130312611</v>
      </c>
      <c r="AB74" s="72">
        <v>0.24185107130312611</v>
      </c>
    </row>
    <row r="75" spans="2:28">
      <c r="B75" s="73">
        <v>91</v>
      </c>
      <c r="C75" s="74"/>
      <c r="D75" s="74">
        <v>4.8499999999999996</v>
      </c>
      <c r="E75" s="74">
        <v>2.2040000000000002</v>
      </c>
      <c r="F75" s="74">
        <v>2.2040000000000002</v>
      </c>
      <c r="G75" s="74">
        <v>4.8499999999999996</v>
      </c>
      <c r="H75" s="75">
        <v>0</v>
      </c>
      <c r="I75" s="75">
        <v>0.45443298969072171</v>
      </c>
      <c r="J75" s="77">
        <v>0.45443298969072171</v>
      </c>
      <c r="K75" s="73">
        <v>91</v>
      </c>
      <c r="L75" s="74">
        <v>0</v>
      </c>
      <c r="M75" s="74">
        <v>5.3259999999999996</v>
      </c>
      <c r="N75" s="76">
        <v>0.08</v>
      </c>
      <c r="O75" s="74">
        <v>0.08</v>
      </c>
      <c r="P75" s="74">
        <v>5.3259999999999996</v>
      </c>
      <c r="Q75" s="75">
        <v>0</v>
      </c>
      <c r="R75" s="75">
        <v>1.5020653398422833E-2</v>
      </c>
      <c r="S75" s="77">
        <v>1.5020653398422833E-2</v>
      </c>
      <c r="T75" s="73">
        <v>91</v>
      </c>
      <c r="U75" s="78">
        <v>0</v>
      </c>
      <c r="V75" s="78">
        <v>5.0879999999999992</v>
      </c>
      <c r="W75" s="78">
        <v>1.1420000000000001</v>
      </c>
      <c r="X75" s="78">
        <v>1.1420000000000001</v>
      </c>
      <c r="Y75" s="78">
        <v>5.0879999999999992</v>
      </c>
      <c r="Z75" s="19">
        <v>0</v>
      </c>
      <c r="AA75" s="19">
        <v>0.23472682154457228</v>
      </c>
      <c r="AB75" s="79">
        <v>0.23472682154457228</v>
      </c>
    </row>
    <row r="76" spans="2:28">
      <c r="B76" s="65">
        <v>92</v>
      </c>
      <c r="C76" s="66"/>
      <c r="D76" s="66">
        <v>4.6040000000000001</v>
      </c>
      <c r="E76" s="66">
        <v>2.0350000000000001</v>
      </c>
      <c r="F76" s="66">
        <v>2.0350000000000001</v>
      </c>
      <c r="G76" s="66">
        <v>4.6040000000000001</v>
      </c>
      <c r="H76" s="67">
        <v>0</v>
      </c>
      <c r="I76" s="67">
        <v>0.44200695047784538</v>
      </c>
      <c r="J76" s="68">
        <v>0.44200695047784538</v>
      </c>
      <c r="K76" s="65">
        <v>92</v>
      </c>
      <c r="L76" s="66">
        <v>0</v>
      </c>
      <c r="M76" s="66">
        <v>4.99</v>
      </c>
      <c r="N76" s="69">
        <v>6.4000000000000001E-2</v>
      </c>
      <c r="O76" s="66">
        <v>6.4000000000000001E-2</v>
      </c>
      <c r="P76" s="66">
        <v>4.99</v>
      </c>
      <c r="Q76" s="67">
        <v>0</v>
      </c>
      <c r="R76" s="67">
        <v>1.282565130260521E-2</v>
      </c>
      <c r="S76" s="68">
        <v>1.282565130260521E-2</v>
      </c>
      <c r="T76" s="65">
        <v>92</v>
      </c>
      <c r="U76" s="70">
        <v>0</v>
      </c>
      <c r="V76" s="70">
        <v>4.7970000000000006</v>
      </c>
      <c r="W76" s="70">
        <v>1.0495000000000001</v>
      </c>
      <c r="X76" s="70">
        <v>1.0495000000000001</v>
      </c>
      <c r="Y76" s="70">
        <v>4.7970000000000006</v>
      </c>
      <c r="Z76" s="71">
        <v>0</v>
      </c>
      <c r="AA76" s="71">
        <v>0.2274163008902253</v>
      </c>
      <c r="AB76" s="72">
        <v>0.2274163008902253</v>
      </c>
    </row>
    <row r="77" spans="2:28">
      <c r="B77" s="73">
        <v>93</v>
      </c>
      <c r="C77" s="74"/>
      <c r="D77" s="74">
        <v>4.3760000000000003</v>
      </c>
      <c r="E77" s="74">
        <v>1.85</v>
      </c>
      <c r="F77" s="74">
        <v>1.85</v>
      </c>
      <c r="G77" s="74">
        <v>4.3760000000000003</v>
      </c>
      <c r="H77" s="75">
        <v>0</v>
      </c>
      <c r="I77" s="75">
        <v>0.42276051188299818</v>
      </c>
      <c r="J77" s="77">
        <v>0.42276051188299818</v>
      </c>
      <c r="K77" s="73">
        <v>93</v>
      </c>
      <c r="L77" s="74">
        <v>0</v>
      </c>
      <c r="M77" s="74">
        <v>4.6840000000000002</v>
      </c>
      <c r="N77" s="76">
        <v>5.1999999999999998E-2</v>
      </c>
      <c r="O77" s="74">
        <v>5.1999999999999998E-2</v>
      </c>
      <c r="P77" s="74">
        <v>4.6840000000000002</v>
      </c>
      <c r="Q77" s="75">
        <v>0</v>
      </c>
      <c r="R77" s="75">
        <v>1.1101622544833475E-2</v>
      </c>
      <c r="S77" s="77">
        <v>1.1101622544833475E-2</v>
      </c>
      <c r="T77" s="73">
        <v>93</v>
      </c>
      <c r="U77" s="78">
        <v>0</v>
      </c>
      <c r="V77" s="78">
        <v>4.53</v>
      </c>
      <c r="W77" s="78">
        <v>0.95100000000000007</v>
      </c>
      <c r="X77" s="78">
        <v>0.95100000000000007</v>
      </c>
      <c r="Y77" s="78">
        <v>4.53</v>
      </c>
      <c r="Z77" s="19">
        <v>0</v>
      </c>
      <c r="AA77" s="19">
        <v>0.21693106721391583</v>
      </c>
      <c r="AB77" s="79">
        <v>0.21693106721391583</v>
      </c>
    </row>
    <row r="78" spans="2:28">
      <c r="B78" s="65">
        <v>94</v>
      </c>
      <c r="C78" s="66"/>
      <c r="D78" s="66">
        <v>4.1660000000000004</v>
      </c>
      <c r="E78" s="66">
        <v>1.6830000000000001</v>
      </c>
      <c r="F78" s="66">
        <v>1.6830000000000001</v>
      </c>
      <c r="G78" s="66">
        <v>4.1660000000000004</v>
      </c>
      <c r="H78" s="67">
        <v>0</v>
      </c>
      <c r="I78" s="67">
        <v>0.4039846375420067</v>
      </c>
      <c r="J78" s="68">
        <v>0.4039846375420067</v>
      </c>
      <c r="K78" s="65">
        <v>94</v>
      </c>
      <c r="L78" s="66">
        <v>0</v>
      </c>
      <c r="M78" s="66">
        <v>4.4039999999999999</v>
      </c>
      <c r="N78" s="69">
        <v>4.2000000000000003E-2</v>
      </c>
      <c r="O78" s="66">
        <v>4.2000000000000003E-2</v>
      </c>
      <c r="P78" s="66">
        <v>4.4039999999999999</v>
      </c>
      <c r="Q78" s="67">
        <v>0</v>
      </c>
      <c r="R78" s="67">
        <v>9.5367847411444145E-3</v>
      </c>
      <c r="S78" s="68">
        <v>9.5367847411444145E-3</v>
      </c>
      <c r="T78" s="65">
        <v>94</v>
      </c>
      <c r="U78" s="70">
        <v>0</v>
      </c>
      <c r="V78" s="70">
        <v>4.2850000000000001</v>
      </c>
      <c r="W78" s="70">
        <v>0.86250000000000004</v>
      </c>
      <c r="X78" s="70">
        <v>0.86250000000000004</v>
      </c>
      <c r="Y78" s="70">
        <v>4.2850000000000001</v>
      </c>
      <c r="Z78" s="71">
        <v>0</v>
      </c>
      <c r="AA78" s="71">
        <v>0.20676071114157554</v>
      </c>
      <c r="AB78" s="72">
        <v>0.20676071114157554</v>
      </c>
    </row>
    <row r="79" spans="2:28">
      <c r="B79" s="73">
        <v>95</v>
      </c>
      <c r="C79" s="74"/>
      <c r="D79" s="74">
        <v>3.9740000000000002</v>
      </c>
      <c r="E79" s="74">
        <v>1.5349999999999999</v>
      </c>
      <c r="F79" s="74">
        <v>1.5349999999999999</v>
      </c>
      <c r="G79" s="74">
        <v>3.9740000000000002</v>
      </c>
      <c r="H79" s="75">
        <v>0</v>
      </c>
      <c r="I79" s="75">
        <v>0.38626069451434319</v>
      </c>
      <c r="J79" s="77">
        <v>0.38626069451434319</v>
      </c>
      <c r="K79" s="73">
        <v>95</v>
      </c>
      <c r="L79" s="74">
        <v>0</v>
      </c>
      <c r="M79" s="74">
        <v>4.149</v>
      </c>
      <c r="N79" s="76">
        <v>3.4000000000000002E-2</v>
      </c>
      <c r="O79" s="74">
        <v>3.4000000000000002E-2</v>
      </c>
      <c r="P79" s="74">
        <v>4.149</v>
      </c>
      <c r="Q79" s="75">
        <v>0</v>
      </c>
      <c r="R79" s="75">
        <v>8.1947457218606891E-3</v>
      </c>
      <c r="S79" s="77">
        <v>8.1947457218606891E-3</v>
      </c>
      <c r="T79" s="73">
        <v>95</v>
      </c>
      <c r="U79" s="78">
        <v>0</v>
      </c>
      <c r="V79" s="78">
        <v>4.0615000000000006</v>
      </c>
      <c r="W79" s="78">
        <v>0.78449999999999998</v>
      </c>
      <c r="X79" s="78">
        <v>0.78449999999999998</v>
      </c>
      <c r="Y79" s="78">
        <v>4.0615000000000006</v>
      </c>
      <c r="Z79" s="19">
        <v>0</v>
      </c>
      <c r="AA79" s="19">
        <v>0.19722772011810194</v>
      </c>
      <c r="AB79" s="79">
        <v>0.19722772011810194</v>
      </c>
    </row>
    <row r="80" spans="2:28">
      <c r="B80" s="65">
        <v>96</v>
      </c>
      <c r="C80" s="66"/>
      <c r="D80" s="66">
        <v>3.798</v>
      </c>
      <c r="E80" s="66">
        <v>1.371</v>
      </c>
      <c r="F80" s="66">
        <v>1.371</v>
      </c>
      <c r="G80" s="66">
        <v>3.798</v>
      </c>
      <c r="H80" s="67">
        <v>0</v>
      </c>
      <c r="I80" s="67">
        <v>0.36097946287519744</v>
      </c>
      <c r="J80" s="68">
        <v>0.36097946287519744</v>
      </c>
      <c r="K80" s="65">
        <v>96</v>
      </c>
      <c r="L80" s="66">
        <v>0</v>
      </c>
      <c r="M80" s="66">
        <v>3.919</v>
      </c>
      <c r="N80" s="69">
        <v>2.7E-2</v>
      </c>
      <c r="O80" s="66">
        <v>2.7E-2</v>
      </c>
      <c r="P80" s="66">
        <v>3.919</v>
      </c>
      <c r="Q80" s="67">
        <v>0</v>
      </c>
      <c r="R80" s="67">
        <v>6.8895126307731563E-3</v>
      </c>
      <c r="S80" s="68">
        <v>6.8895126307731563E-3</v>
      </c>
      <c r="T80" s="65">
        <v>96</v>
      </c>
      <c r="U80" s="70">
        <v>0</v>
      </c>
      <c r="V80" s="70">
        <v>3.8585000000000003</v>
      </c>
      <c r="W80" s="70">
        <v>0.69899999999999995</v>
      </c>
      <c r="X80" s="70">
        <v>0.69899999999999995</v>
      </c>
      <c r="Y80" s="70">
        <v>3.8585000000000003</v>
      </c>
      <c r="Z80" s="71">
        <v>0</v>
      </c>
      <c r="AA80" s="71">
        <v>0.18393448775298529</v>
      </c>
      <c r="AB80" s="72">
        <v>0.18393448775298529</v>
      </c>
    </row>
    <row r="81" spans="2:28">
      <c r="B81" s="73">
        <v>97</v>
      </c>
      <c r="C81" s="74"/>
      <c r="D81" s="74">
        <v>3.6389999999999998</v>
      </c>
      <c r="E81" s="74">
        <v>1.216</v>
      </c>
      <c r="F81" s="74">
        <v>1.216</v>
      </c>
      <c r="G81" s="74">
        <v>3.6389999999999998</v>
      </c>
      <c r="H81" s="75">
        <v>0</v>
      </c>
      <c r="I81" s="75">
        <v>0.33415773564165979</v>
      </c>
      <c r="J81" s="77">
        <v>0.33415773564165979</v>
      </c>
      <c r="K81" s="73">
        <v>97</v>
      </c>
      <c r="L81" s="74">
        <v>0</v>
      </c>
      <c r="M81" s="74">
        <v>3.7130000000000001</v>
      </c>
      <c r="N81" s="76">
        <v>2.1000000000000001E-2</v>
      </c>
      <c r="O81" s="74">
        <v>2.1000000000000001E-2</v>
      </c>
      <c r="P81" s="74">
        <v>3.7130000000000001</v>
      </c>
      <c r="Q81" s="75">
        <v>0</v>
      </c>
      <c r="R81" s="75">
        <v>5.655803932130353E-3</v>
      </c>
      <c r="S81" s="77">
        <v>5.655803932130353E-3</v>
      </c>
      <c r="T81" s="73">
        <v>97</v>
      </c>
      <c r="U81" s="78">
        <v>0</v>
      </c>
      <c r="V81" s="78">
        <v>3.6760000000000002</v>
      </c>
      <c r="W81" s="78">
        <v>0.61849999999999994</v>
      </c>
      <c r="X81" s="78">
        <v>0.61849999999999994</v>
      </c>
      <c r="Y81" s="78">
        <v>3.6760000000000002</v>
      </c>
      <c r="Z81" s="19">
        <v>0</v>
      </c>
      <c r="AA81" s="19">
        <v>0.16990676978689506</v>
      </c>
      <c r="AB81" s="79">
        <v>0.16990676978689506</v>
      </c>
    </row>
    <row r="82" spans="2:28">
      <c r="B82" s="65">
        <v>98</v>
      </c>
      <c r="C82" s="66"/>
      <c r="D82" s="66">
        <v>3.4950000000000001</v>
      </c>
      <c r="E82" s="66">
        <v>1.0409999999999999</v>
      </c>
      <c r="F82" s="66">
        <v>1.0409999999999999</v>
      </c>
      <c r="G82" s="66">
        <v>3.4950000000000001</v>
      </c>
      <c r="H82" s="67">
        <v>0</v>
      </c>
      <c r="I82" s="67">
        <v>0.29785407725321883</v>
      </c>
      <c r="J82" s="68">
        <v>0.29785407725321883</v>
      </c>
      <c r="K82" s="65">
        <v>98</v>
      </c>
      <c r="L82" s="66">
        <v>0</v>
      </c>
      <c r="M82" s="66">
        <v>3.53</v>
      </c>
      <c r="N82" s="69">
        <v>1.6E-2</v>
      </c>
      <c r="O82" s="66">
        <v>1.6E-2</v>
      </c>
      <c r="P82" s="66">
        <v>3.53</v>
      </c>
      <c r="Q82" s="67">
        <v>0</v>
      </c>
      <c r="R82" s="67">
        <v>4.5325779036827201E-3</v>
      </c>
      <c r="S82" s="68">
        <v>4.5325779036827201E-3</v>
      </c>
      <c r="T82" s="65">
        <v>98</v>
      </c>
      <c r="U82" s="70">
        <v>0</v>
      </c>
      <c r="V82" s="70">
        <v>3.5125000000000002</v>
      </c>
      <c r="W82" s="70">
        <v>0.52849999999999997</v>
      </c>
      <c r="X82" s="70">
        <v>0.52849999999999997</v>
      </c>
      <c r="Y82" s="70">
        <v>3.5125000000000002</v>
      </c>
      <c r="Z82" s="71">
        <v>0</v>
      </c>
      <c r="AA82" s="71">
        <v>0.15119332757845078</v>
      </c>
      <c r="AB82" s="72">
        <v>0.15119332757845078</v>
      </c>
    </row>
    <row r="83" spans="2:28">
      <c r="B83" s="73">
        <v>99</v>
      </c>
      <c r="C83" s="74"/>
      <c r="D83" s="74">
        <v>3.3639999999999999</v>
      </c>
      <c r="E83" s="74">
        <v>0.84799999999999998</v>
      </c>
      <c r="F83" s="74">
        <v>0.84799999999999998</v>
      </c>
      <c r="G83" s="74">
        <v>3.3639999999999999</v>
      </c>
      <c r="H83" s="75">
        <v>0</v>
      </c>
      <c r="I83" s="75">
        <v>0.25208085612366232</v>
      </c>
      <c r="J83" s="77">
        <v>0.25208085612366232</v>
      </c>
      <c r="K83" s="73">
        <v>99</v>
      </c>
      <c r="L83" s="74">
        <v>0</v>
      </c>
      <c r="M83" s="74">
        <v>3.3690000000000002</v>
      </c>
      <c r="N83" s="76">
        <v>1.2999999999999999E-2</v>
      </c>
      <c r="O83" s="74">
        <v>1.2999999999999999E-2</v>
      </c>
      <c r="P83" s="74">
        <v>3.3690000000000002</v>
      </c>
      <c r="Q83" s="75">
        <v>0</v>
      </c>
      <c r="R83" s="75">
        <v>3.8587117839121395E-3</v>
      </c>
      <c r="S83" s="77">
        <v>3.8587117839121395E-3</v>
      </c>
      <c r="T83" s="73">
        <v>99</v>
      </c>
      <c r="U83" s="78">
        <v>0</v>
      </c>
      <c r="V83" s="78">
        <v>3.3665000000000003</v>
      </c>
      <c r="W83" s="78">
        <v>0.43049999999999999</v>
      </c>
      <c r="X83" s="78">
        <v>0.43049999999999999</v>
      </c>
      <c r="Y83" s="78">
        <v>3.3665000000000003</v>
      </c>
      <c r="Z83" s="19">
        <v>0</v>
      </c>
      <c r="AA83" s="19">
        <v>0.12796978395378722</v>
      </c>
      <c r="AB83" s="79">
        <v>0.12796978395378722</v>
      </c>
    </row>
    <row r="84" spans="2:28" ht="15.75" thickBot="1">
      <c r="B84" s="90">
        <v>100</v>
      </c>
      <c r="C84" s="91"/>
      <c r="D84" s="91">
        <v>3.2450000000000001</v>
      </c>
      <c r="E84" s="91">
        <v>0.67200000000000004</v>
      </c>
      <c r="F84" s="91">
        <v>0.67200000000000004</v>
      </c>
      <c r="G84" s="91">
        <v>3.2450000000000001</v>
      </c>
      <c r="H84" s="92">
        <v>0</v>
      </c>
      <c r="I84" s="92">
        <v>0.20708782742681048</v>
      </c>
      <c r="J84" s="94">
        <v>0.20708782742681048</v>
      </c>
      <c r="K84" s="90">
        <v>100</v>
      </c>
      <c r="L84" s="91">
        <v>0</v>
      </c>
      <c r="M84" s="91">
        <v>3.2309999999999999</v>
      </c>
      <c r="N84" s="93">
        <v>0.01</v>
      </c>
      <c r="O84" s="91">
        <v>0.01</v>
      </c>
      <c r="P84" s="91">
        <v>3.2309999999999999</v>
      </c>
      <c r="Q84" s="92">
        <v>0</v>
      </c>
      <c r="R84" s="92">
        <v>3.0950170225936243E-3</v>
      </c>
      <c r="S84" s="94">
        <v>3.0950170225936243E-3</v>
      </c>
      <c r="T84" s="90">
        <v>100</v>
      </c>
      <c r="U84" s="95">
        <v>0</v>
      </c>
      <c r="V84" s="95">
        <v>3.238</v>
      </c>
      <c r="W84" s="95">
        <v>0.34100000000000003</v>
      </c>
      <c r="X84" s="95">
        <v>0.34100000000000003</v>
      </c>
      <c r="Y84" s="95">
        <v>3.238</v>
      </c>
      <c r="Z84" s="96">
        <v>0</v>
      </c>
      <c r="AA84" s="96">
        <v>0.10509142222470205</v>
      </c>
      <c r="AB84" s="97">
        <v>0.10509142222470205</v>
      </c>
    </row>
  </sheetData>
  <sheetProtection algorithmName="SHA-512" hashValue="/PUMq/DFBXcyEszQE87yasHbe2oBSBy9RFVuiAPOpCUlCVKxZWtU6ZrIozAiCPkiMxF8cp4P9J+Y1w+H7g3Zfg==" saltValue="fF8rt9jYZ0lEajmoDgmgMA==" spinCount="100000" sheet="1" objects="1" scenarios="1" formatColumns="0" autoFilter="0"/>
  <mergeCells count="3">
    <mergeCell ref="H2:J2"/>
    <mergeCell ref="Q2:S2"/>
    <mergeCell ref="Z2:AB2"/>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3189-6607-40F2-A37B-D2BD55179751}">
  <sheetPr codeName="Tabelle45"/>
  <dimension ref="A1: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1" spans="1:28" ht="15.75" thickBot="1">
      <c r="B1" s="5">
        <v>1</v>
      </c>
      <c r="C1" s="5">
        <v>2</v>
      </c>
      <c r="D1" s="5">
        <v>3</v>
      </c>
      <c r="E1" s="5">
        <v>4</v>
      </c>
      <c r="F1" s="5">
        <v>5</v>
      </c>
      <c r="G1" s="5">
        <v>6</v>
      </c>
      <c r="H1" s="5">
        <v>7</v>
      </c>
      <c r="I1" s="5">
        <v>8</v>
      </c>
      <c r="J1" s="5">
        <v>9</v>
      </c>
      <c r="K1" s="5">
        <v>10</v>
      </c>
      <c r="L1" s="5">
        <v>11</v>
      </c>
      <c r="M1" s="5">
        <v>12</v>
      </c>
      <c r="N1" s="5">
        <v>13</v>
      </c>
      <c r="O1" s="5">
        <v>14</v>
      </c>
      <c r="P1" s="5">
        <v>15</v>
      </c>
      <c r="Q1" s="5">
        <v>16</v>
      </c>
      <c r="R1" s="5">
        <v>17</v>
      </c>
      <c r="S1" s="5">
        <v>18</v>
      </c>
      <c r="T1" s="5">
        <v>19</v>
      </c>
      <c r="U1" s="5">
        <v>20</v>
      </c>
      <c r="V1" s="5">
        <v>21</v>
      </c>
      <c r="W1" s="5">
        <v>22</v>
      </c>
      <c r="X1" s="5">
        <v>23</v>
      </c>
      <c r="Y1" s="5">
        <v>24</v>
      </c>
      <c r="Z1" s="5">
        <v>25</v>
      </c>
      <c r="AA1" s="5">
        <v>26</v>
      </c>
      <c r="AB1" s="5">
        <v>27</v>
      </c>
    </row>
    <row r="2" spans="1:28" s="46" customFormat="1" ht="72" customHeight="1">
      <c r="A2" s="46" t="s">
        <v>2160</v>
      </c>
      <c r="B2" s="952" t="s">
        <v>1519</v>
      </c>
      <c r="C2" s="48" t="s">
        <v>2129</v>
      </c>
      <c r="D2" s="48" t="s">
        <v>2130</v>
      </c>
      <c r="E2" s="48" t="s">
        <v>2131</v>
      </c>
      <c r="F2" s="48" t="s">
        <v>2132</v>
      </c>
      <c r="G2" s="48" t="s">
        <v>2133</v>
      </c>
      <c r="H2" s="954" t="s">
        <v>2157</v>
      </c>
      <c r="I2" s="954"/>
      <c r="J2" s="955"/>
      <c r="K2" s="49"/>
      <c r="L2" s="50" t="s">
        <v>2129</v>
      </c>
      <c r="M2" s="50" t="s">
        <v>2130</v>
      </c>
      <c r="N2" s="50" t="s">
        <v>2131</v>
      </c>
      <c r="O2" s="50" t="s">
        <v>2132</v>
      </c>
      <c r="P2" s="50" t="str">
        <f>+G2</f>
        <v>Anwartschafts-barwert
Altersrente</v>
      </c>
      <c r="Q2" s="956" t="s">
        <v>2158</v>
      </c>
      <c r="R2" s="956"/>
      <c r="S2" s="957"/>
      <c r="T2" s="51"/>
      <c r="U2" s="52" t="s">
        <v>2129</v>
      </c>
      <c r="V2" s="52" t="s">
        <v>2130</v>
      </c>
      <c r="W2" s="52" t="s">
        <v>2131</v>
      </c>
      <c r="X2" s="52" t="s">
        <v>2132</v>
      </c>
      <c r="Y2" s="52" t="str">
        <f>+P2</f>
        <v>Anwartschafts-barwert
Altersrente</v>
      </c>
      <c r="Z2" s="958" t="s">
        <v>2161</v>
      </c>
      <c r="AA2" s="958"/>
      <c r="AB2" s="959"/>
    </row>
    <row r="3" spans="1:28" s="64" customFormat="1" ht="13.5">
      <c r="A3" s="53">
        <v>43463</v>
      </c>
      <c r="B3" s="953"/>
      <c r="C3" s="55" t="s">
        <v>2162</v>
      </c>
      <c r="D3" s="55" t="s">
        <v>2147</v>
      </c>
      <c r="E3" s="55" t="s">
        <v>2148</v>
      </c>
      <c r="F3" s="55"/>
      <c r="G3" s="55"/>
      <c r="H3" s="56" t="s">
        <v>2139</v>
      </c>
      <c r="I3" s="56" t="s">
        <v>2140</v>
      </c>
      <c r="J3" s="57" t="s">
        <v>2141</v>
      </c>
      <c r="K3" s="58" t="s">
        <v>1519</v>
      </c>
      <c r="L3" s="59" t="s">
        <v>2163</v>
      </c>
      <c r="M3" s="59" t="s">
        <v>2151</v>
      </c>
      <c r="N3" s="59" t="s">
        <v>2144</v>
      </c>
      <c r="O3" s="59" t="s">
        <v>2152</v>
      </c>
      <c r="P3" s="59"/>
      <c r="Q3" s="59" t="s">
        <v>2139</v>
      </c>
      <c r="R3" s="59" t="s">
        <v>2140</v>
      </c>
      <c r="S3" s="60" t="s">
        <v>2141</v>
      </c>
      <c r="T3" s="98" t="s">
        <v>1519</v>
      </c>
      <c r="U3" s="99" t="s">
        <v>2164</v>
      </c>
      <c r="V3" s="99" t="s">
        <v>2165</v>
      </c>
      <c r="W3" s="99" t="s">
        <v>2166</v>
      </c>
      <c r="X3" s="99" t="s">
        <v>2167</v>
      </c>
      <c r="Y3" s="99"/>
      <c r="Z3" s="99" t="s">
        <v>2139</v>
      </c>
      <c r="AA3" s="99" t="s">
        <v>2140</v>
      </c>
      <c r="AB3" s="100" t="s">
        <v>2141</v>
      </c>
    </row>
    <row r="4" spans="1:28">
      <c r="B4" s="65">
        <v>20</v>
      </c>
      <c r="C4" s="66">
        <v>0.29599999999999999</v>
      </c>
      <c r="D4" s="66">
        <v>4.476</v>
      </c>
      <c r="E4" s="66">
        <v>0.53500000000000003</v>
      </c>
      <c r="F4" s="66">
        <v>0.53500000000000003</v>
      </c>
      <c r="G4" s="66">
        <v>4.18</v>
      </c>
      <c r="H4" s="67">
        <v>7.0813397129186606E-2</v>
      </c>
      <c r="I4" s="67">
        <v>0.1279904306220096</v>
      </c>
      <c r="J4" s="68">
        <v>0.1988038277511962</v>
      </c>
      <c r="K4" s="65">
        <v>20</v>
      </c>
      <c r="L4" s="66">
        <v>0.308</v>
      </c>
      <c r="M4" s="66">
        <v>5.2350000000000003</v>
      </c>
      <c r="N4" s="69">
        <v>0.14000000000000001</v>
      </c>
      <c r="O4" s="66">
        <v>0.14000000000000001</v>
      </c>
      <c r="P4" s="66">
        <v>4.9270000000000005</v>
      </c>
      <c r="Q4" s="67">
        <v>6.2512685203978069E-2</v>
      </c>
      <c r="R4" s="67">
        <v>2.8414856910899126E-2</v>
      </c>
      <c r="S4" s="68">
        <v>9.0927542114877191E-2</v>
      </c>
      <c r="T4" s="65">
        <v>20</v>
      </c>
      <c r="U4" s="70">
        <v>0.30199999999999999</v>
      </c>
      <c r="V4" s="70">
        <v>4.8555000000000001</v>
      </c>
      <c r="W4" s="70">
        <v>0.33750000000000002</v>
      </c>
      <c r="X4" s="70">
        <v>0.33750000000000002</v>
      </c>
      <c r="Y4" s="70">
        <v>4.5534999999999997</v>
      </c>
      <c r="Z4" s="71">
        <v>6.6663041166582337E-2</v>
      </c>
      <c r="AA4" s="71">
        <v>7.8202643766454361E-2</v>
      </c>
      <c r="AB4" s="72">
        <v>0.1448656849330367</v>
      </c>
    </row>
    <row r="5" spans="1:28">
      <c r="B5" s="73">
        <v>21</v>
      </c>
      <c r="C5" s="74">
        <v>0.34200000000000003</v>
      </c>
      <c r="D5" s="74">
        <v>4.6120000000000001</v>
      </c>
      <c r="E5" s="74">
        <v>0.623</v>
      </c>
      <c r="F5" s="74">
        <v>0.623</v>
      </c>
      <c r="G5" s="74">
        <v>4.2700000000000005</v>
      </c>
      <c r="H5" s="75">
        <v>8.0093676814988288E-2</v>
      </c>
      <c r="I5" s="75">
        <v>0.14590163934426228</v>
      </c>
      <c r="J5" s="77">
        <v>0.22599531615925056</v>
      </c>
      <c r="K5" s="73">
        <v>21</v>
      </c>
      <c r="L5" s="74">
        <v>0.37</v>
      </c>
      <c r="M5" s="74">
        <v>5.391</v>
      </c>
      <c r="N5" s="76">
        <v>0.16900000000000001</v>
      </c>
      <c r="O5" s="74">
        <v>0.16900000000000001</v>
      </c>
      <c r="P5" s="74">
        <v>5.0209999999999999</v>
      </c>
      <c r="Q5" s="75">
        <v>7.3690499900418246E-2</v>
      </c>
      <c r="R5" s="75">
        <v>3.3658633738299144E-2</v>
      </c>
      <c r="S5" s="77">
        <v>0.1073491336387174</v>
      </c>
      <c r="T5" s="73">
        <v>21</v>
      </c>
      <c r="U5" s="78">
        <v>0.35599999999999998</v>
      </c>
      <c r="V5" s="78">
        <v>5.0015000000000001</v>
      </c>
      <c r="W5" s="78">
        <v>0.39600000000000002</v>
      </c>
      <c r="X5" s="78">
        <v>0.39600000000000002</v>
      </c>
      <c r="Y5" s="78">
        <v>4.6455000000000002</v>
      </c>
      <c r="Z5" s="19">
        <v>7.6892088357703267E-2</v>
      </c>
      <c r="AA5" s="19">
        <v>8.9780136541280711E-2</v>
      </c>
      <c r="AB5" s="79">
        <v>0.16667222489898398</v>
      </c>
    </row>
    <row r="6" spans="1:28">
      <c r="B6" s="65">
        <v>22</v>
      </c>
      <c r="C6" s="66">
        <v>0.38900000000000001</v>
      </c>
      <c r="D6" s="66">
        <v>4.7510000000000003</v>
      </c>
      <c r="E6" s="66">
        <v>0.71499999999999997</v>
      </c>
      <c r="F6" s="66">
        <v>0.71499999999999997</v>
      </c>
      <c r="G6" s="66">
        <v>4.3620000000000001</v>
      </c>
      <c r="H6" s="67">
        <v>8.9179275561668964E-2</v>
      </c>
      <c r="I6" s="67">
        <v>0.16391563502980283</v>
      </c>
      <c r="J6" s="68">
        <v>0.25309491059147182</v>
      </c>
      <c r="K6" s="65">
        <v>22</v>
      </c>
      <c r="L6" s="66">
        <v>0.42799999999999999</v>
      </c>
      <c r="M6" s="66">
        <v>5.5519999999999996</v>
      </c>
      <c r="N6" s="69">
        <v>0.19600000000000001</v>
      </c>
      <c r="O6" s="66">
        <v>0.19600000000000001</v>
      </c>
      <c r="P6" s="66">
        <v>5.1239999999999997</v>
      </c>
      <c r="Q6" s="67">
        <v>8.3528493364558948E-2</v>
      </c>
      <c r="R6" s="67">
        <v>3.825136612021858E-2</v>
      </c>
      <c r="S6" s="68">
        <v>0.12177985948477753</v>
      </c>
      <c r="T6" s="65">
        <v>22</v>
      </c>
      <c r="U6" s="70">
        <v>0.40849999999999997</v>
      </c>
      <c r="V6" s="70">
        <v>5.1515000000000004</v>
      </c>
      <c r="W6" s="70">
        <v>0.45550000000000002</v>
      </c>
      <c r="X6" s="70">
        <v>0.45550000000000002</v>
      </c>
      <c r="Y6" s="70">
        <v>4.7430000000000003</v>
      </c>
      <c r="Z6" s="71">
        <v>8.6353884463113956E-2</v>
      </c>
      <c r="AA6" s="71">
        <v>0.1010835005750107</v>
      </c>
      <c r="AB6" s="72">
        <v>0.18743738503812468</v>
      </c>
    </row>
    <row r="7" spans="1:28">
      <c r="B7" s="73">
        <v>23</v>
      </c>
      <c r="C7" s="74">
        <v>0.437</v>
      </c>
      <c r="D7" s="74">
        <v>4.8929999999999998</v>
      </c>
      <c r="E7" s="74">
        <v>0.81200000000000006</v>
      </c>
      <c r="F7" s="74">
        <v>0.81200000000000006</v>
      </c>
      <c r="G7" s="74">
        <v>4.4559999999999995</v>
      </c>
      <c r="H7" s="75">
        <v>9.8070017953321376E-2</v>
      </c>
      <c r="I7" s="75">
        <v>0.18222621184919213</v>
      </c>
      <c r="J7" s="77">
        <v>0.28029622980251351</v>
      </c>
      <c r="K7" s="73">
        <v>23</v>
      </c>
      <c r="L7" s="74">
        <v>0.47599999999999998</v>
      </c>
      <c r="M7" s="74">
        <v>5.7160000000000002</v>
      </c>
      <c r="N7" s="76">
        <v>0.219</v>
      </c>
      <c r="O7" s="74">
        <v>0.219</v>
      </c>
      <c r="P7" s="74">
        <v>5.24</v>
      </c>
      <c r="Q7" s="75">
        <v>9.0839694656488543E-2</v>
      </c>
      <c r="R7" s="75">
        <v>4.1793893129770991E-2</v>
      </c>
      <c r="S7" s="77">
        <v>0.13263358778625953</v>
      </c>
      <c r="T7" s="73">
        <v>23</v>
      </c>
      <c r="U7" s="78">
        <v>0.45650000000000002</v>
      </c>
      <c r="V7" s="78">
        <v>5.3045</v>
      </c>
      <c r="W7" s="78">
        <v>0.51550000000000007</v>
      </c>
      <c r="X7" s="78">
        <v>0.51550000000000007</v>
      </c>
      <c r="Y7" s="78">
        <v>4.8479999999999999</v>
      </c>
      <c r="Z7" s="19">
        <v>9.4454856304904966E-2</v>
      </c>
      <c r="AA7" s="19">
        <v>0.11201005248948157</v>
      </c>
      <c r="AB7" s="79">
        <v>0.2064649087943865</v>
      </c>
    </row>
    <row r="8" spans="1:28">
      <c r="B8" s="65">
        <v>24</v>
      </c>
      <c r="C8" s="66">
        <v>0.48</v>
      </c>
      <c r="D8" s="66">
        <v>5.0380000000000003</v>
      </c>
      <c r="E8" s="66">
        <v>0.90100000000000002</v>
      </c>
      <c r="F8" s="66">
        <v>0.90100000000000002</v>
      </c>
      <c r="G8" s="66">
        <v>4.5579999999999998</v>
      </c>
      <c r="H8" s="67">
        <v>0.10530934620447564</v>
      </c>
      <c r="I8" s="67">
        <v>0.19767441860465118</v>
      </c>
      <c r="J8" s="68">
        <v>0.30298376480912681</v>
      </c>
      <c r="K8" s="65">
        <v>24</v>
      </c>
      <c r="L8" s="66">
        <v>0.52</v>
      </c>
      <c r="M8" s="66">
        <v>5.8840000000000003</v>
      </c>
      <c r="N8" s="69">
        <v>0.24099999999999999</v>
      </c>
      <c r="O8" s="66">
        <v>0.24099999999999999</v>
      </c>
      <c r="P8" s="66">
        <v>5.3640000000000008</v>
      </c>
      <c r="Q8" s="67">
        <v>9.6942580164056658E-2</v>
      </c>
      <c r="R8" s="67">
        <v>4.4929157345264717E-2</v>
      </c>
      <c r="S8" s="68">
        <v>0.14187173750932136</v>
      </c>
      <c r="T8" s="65">
        <v>24</v>
      </c>
      <c r="U8" s="70">
        <v>0.5</v>
      </c>
      <c r="V8" s="70">
        <v>5.4610000000000003</v>
      </c>
      <c r="W8" s="70">
        <v>0.57099999999999995</v>
      </c>
      <c r="X8" s="70">
        <v>0.57099999999999995</v>
      </c>
      <c r="Y8" s="70">
        <v>4.9610000000000003</v>
      </c>
      <c r="Z8" s="71">
        <v>0.10112596318426614</v>
      </c>
      <c r="AA8" s="71">
        <v>0.12130178797495794</v>
      </c>
      <c r="AB8" s="72">
        <v>0.22242775115922409</v>
      </c>
    </row>
    <row r="9" spans="1:28">
      <c r="B9" s="73">
        <v>25</v>
      </c>
      <c r="C9" s="74">
        <v>0.51900000000000002</v>
      </c>
      <c r="D9" s="74">
        <v>5.1870000000000003</v>
      </c>
      <c r="E9" s="74">
        <v>0.98399999999999999</v>
      </c>
      <c r="F9" s="74">
        <v>0.98399999999999999</v>
      </c>
      <c r="G9" s="74">
        <v>4.6680000000000001</v>
      </c>
      <c r="H9" s="75">
        <v>0.11118251928020566</v>
      </c>
      <c r="I9" s="75">
        <v>0.21079691516709512</v>
      </c>
      <c r="J9" s="77">
        <v>0.32197943444730076</v>
      </c>
      <c r="K9" s="73">
        <v>25</v>
      </c>
      <c r="L9" s="74">
        <v>0.56299999999999994</v>
      </c>
      <c r="M9" s="74">
        <v>6.056</v>
      </c>
      <c r="N9" s="76">
        <v>0.26200000000000001</v>
      </c>
      <c r="O9" s="74">
        <v>0.26200000000000001</v>
      </c>
      <c r="P9" s="74">
        <v>5.4930000000000003</v>
      </c>
      <c r="Q9" s="75">
        <v>0.10249408337884579</v>
      </c>
      <c r="R9" s="75">
        <v>4.7697068996905151E-2</v>
      </c>
      <c r="S9" s="77">
        <v>0.15019115237575092</v>
      </c>
      <c r="T9" s="73">
        <v>25</v>
      </c>
      <c r="U9" s="78">
        <v>0.54099999999999993</v>
      </c>
      <c r="V9" s="78">
        <v>5.6215000000000002</v>
      </c>
      <c r="W9" s="78">
        <v>0.623</v>
      </c>
      <c r="X9" s="78">
        <v>0.623</v>
      </c>
      <c r="Y9" s="78">
        <v>5.0805000000000007</v>
      </c>
      <c r="Z9" s="19">
        <v>0.10683830132952572</v>
      </c>
      <c r="AA9" s="19">
        <v>0.12924699208200013</v>
      </c>
      <c r="AB9" s="79">
        <v>0.23608529341152584</v>
      </c>
    </row>
    <row r="10" spans="1:28">
      <c r="B10" s="65">
        <v>26</v>
      </c>
      <c r="C10" s="66">
        <v>0.55400000000000005</v>
      </c>
      <c r="D10" s="66">
        <v>5.3390000000000004</v>
      </c>
      <c r="E10" s="66">
        <v>1.0629999999999999</v>
      </c>
      <c r="F10" s="66">
        <v>1.0629999999999999</v>
      </c>
      <c r="G10" s="66">
        <v>4.7850000000000001</v>
      </c>
      <c r="H10" s="67">
        <v>0.11577847439916406</v>
      </c>
      <c r="I10" s="67">
        <v>0.22215256008359455</v>
      </c>
      <c r="J10" s="68">
        <v>0.33793103448275863</v>
      </c>
      <c r="K10" s="65">
        <v>26</v>
      </c>
      <c r="L10" s="66">
        <v>0.60499999999999998</v>
      </c>
      <c r="M10" s="66">
        <v>6.2309999999999999</v>
      </c>
      <c r="N10" s="69">
        <v>0.28299999999999997</v>
      </c>
      <c r="O10" s="66">
        <v>0.28299999999999997</v>
      </c>
      <c r="P10" s="66">
        <v>5.6259999999999994</v>
      </c>
      <c r="Q10" s="67">
        <v>0.10753643796658373</v>
      </c>
      <c r="R10" s="67">
        <v>5.0302168503377175E-2</v>
      </c>
      <c r="S10" s="68">
        <v>0.1578386064699609</v>
      </c>
      <c r="T10" s="65">
        <v>26</v>
      </c>
      <c r="U10" s="70">
        <v>0.57950000000000002</v>
      </c>
      <c r="V10" s="70">
        <v>5.7850000000000001</v>
      </c>
      <c r="W10" s="70">
        <v>0.67299999999999993</v>
      </c>
      <c r="X10" s="70">
        <v>0.67299999999999993</v>
      </c>
      <c r="Y10" s="70">
        <v>5.2054999999999998</v>
      </c>
      <c r="Z10" s="71">
        <v>0.1116574561828739</v>
      </c>
      <c r="AA10" s="71">
        <v>0.13622736429348586</v>
      </c>
      <c r="AB10" s="72">
        <v>0.24788482047635976</v>
      </c>
    </row>
    <row r="11" spans="1:28">
      <c r="B11" s="73">
        <v>27</v>
      </c>
      <c r="C11" s="74">
        <v>0.58499999999999996</v>
      </c>
      <c r="D11" s="74">
        <v>5.4939999999999998</v>
      </c>
      <c r="E11" s="74">
        <v>1.139</v>
      </c>
      <c r="F11" s="74">
        <v>1.139</v>
      </c>
      <c r="G11" s="74">
        <v>4.9089999999999998</v>
      </c>
      <c r="H11" s="75">
        <v>0.11916887349765737</v>
      </c>
      <c r="I11" s="75">
        <v>0.23202281523731921</v>
      </c>
      <c r="J11" s="77">
        <v>0.35119168873497658</v>
      </c>
      <c r="K11" s="73">
        <v>27</v>
      </c>
      <c r="L11" s="74">
        <v>0.64700000000000002</v>
      </c>
      <c r="M11" s="74">
        <v>6.4089999999999998</v>
      </c>
      <c r="N11" s="76">
        <v>0.30499999999999999</v>
      </c>
      <c r="O11" s="74">
        <v>0.30499999999999999</v>
      </c>
      <c r="P11" s="74">
        <v>5.7619999999999996</v>
      </c>
      <c r="Q11" s="75">
        <v>0.11228740020826103</v>
      </c>
      <c r="R11" s="75">
        <v>5.2933009371745922E-2</v>
      </c>
      <c r="S11" s="77">
        <v>0.16522040958000694</v>
      </c>
      <c r="T11" s="73">
        <v>27</v>
      </c>
      <c r="U11" s="78">
        <v>0.61599999999999999</v>
      </c>
      <c r="V11" s="78">
        <v>5.9514999999999993</v>
      </c>
      <c r="W11" s="78">
        <v>0.72199999999999998</v>
      </c>
      <c r="X11" s="78">
        <v>0.72199999999999998</v>
      </c>
      <c r="Y11" s="78">
        <v>5.3354999999999997</v>
      </c>
      <c r="Z11" s="19">
        <v>0.1157281368529592</v>
      </c>
      <c r="AA11" s="19">
        <v>0.14247791230453258</v>
      </c>
      <c r="AB11" s="79">
        <v>0.25820604915749179</v>
      </c>
    </row>
    <row r="12" spans="1:28">
      <c r="B12" s="65">
        <v>28</v>
      </c>
      <c r="C12" s="66">
        <v>0.61499999999999999</v>
      </c>
      <c r="D12" s="66">
        <v>5.6529999999999996</v>
      </c>
      <c r="E12" s="66">
        <v>1.214</v>
      </c>
      <c r="F12" s="66">
        <v>1.214</v>
      </c>
      <c r="G12" s="66">
        <v>5.0379999999999994</v>
      </c>
      <c r="H12" s="67">
        <v>0.12207225089321161</v>
      </c>
      <c r="I12" s="67">
        <v>0.24096863834855103</v>
      </c>
      <c r="J12" s="68">
        <v>0.36304088924176264</v>
      </c>
      <c r="K12" s="65">
        <v>28</v>
      </c>
      <c r="L12" s="66">
        <v>0.68600000000000005</v>
      </c>
      <c r="M12" s="66">
        <v>6.5910000000000002</v>
      </c>
      <c r="N12" s="69">
        <v>0.32600000000000001</v>
      </c>
      <c r="O12" s="66">
        <v>0.32600000000000001</v>
      </c>
      <c r="P12" s="66">
        <v>5.9050000000000002</v>
      </c>
      <c r="Q12" s="67">
        <v>0.11617273497036411</v>
      </c>
      <c r="R12" s="67">
        <v>5.520745131244708E-2</v>
      </c>
      <c r="S12" s="68">
        <v>0.17138018628281118</v>
      </c>
      <c r="T12" s="65">
        <v>28</v>
      </c>
      <c r="U12" s="70">
        <v>0.65050000000000008</v>
      </c>
      <c r="V12" s="70">
        <v>6.1219999999999999</v>
      </c>
      <c r="W12" s="70">
        <v>0.77</v>
      </c>
      <c r="X12" s="70">
        <v>0.77</v>
      </c>
      <c r="Y12" s="70">
        <v>5.4714999999999998</v>
      </c>
      <c r="Z12" s="71">
        <v>0.11912249293178787</v>
      </c>
      <c r="AA12" s="71">
        <v>0.14808804483049906</v>
      </c>
      <c r="AB12" s="72">
        <v>0.26721053776228693</v>
      </c>
    </row>
    <row r="13" spans="1:28">
      <c r="B13" s="73">
        <v>29</v>
      </c>
      <c r="C13" s="74">
        <v>0.64200000000000002</v>
      </c>
      <c r="D13" s="74">
        <v>5.8150000000000004</v>
      </c>
      <c r="E13" s="74">
        <v>1.2869999999999999</v>
      </c>
      <c r="F13" s="74">
        <v>1.2869999999999999</v>
      </c>
      <c r="G13" s="74">
        <v>5.173</v>
      </c>
      <c r="H13" s="75">
        <v>0.12410593466073845</v>
      </c>
      <c r="I13" s="75">
        <v>0.24879180359559247</v>
      </c>
      <c r="J13" s="77">
        <v>0.37289773825633094</v>
      </c>
      <c r="K13" s="73">
        <v>29</v>
      </c>
      <c r="L13" s="74">
        <v>0.72399999999999998</v>
      </c>
      <c r="M13" s="74">
        <v>6.7770000000000001</v>
      </c>
      <c r="N13" s="76">
        <v>0.34599999999999997</v>
      </c>
      <c r="O13" s="74">
        <v>0.34599999999999997</v>
      </c>
      <c r="P13" s="74">
        <v>6.0529999999999999</v>
      </c>
      <c r="Q13" s="75">
        <v>0.11961011068891458</v>
      </c>
      <c r="R13" s="75">
        <v>5.7161737981166361E-2</v>
      </c>
      <c r="S13" s="77">
        <v>0.17677184867008094</v>
      </c>
      <c r="T13" s="73">
        <v>29</v>
      </c>
      <c r="U13" s="78">
        <v>0.68300000000000005</v>
      </c>
      <c r="V13" s="78">
        <v>6.2960000000000003</v>
      </c>
      <c r="W13" s="78">
        <v>0.8165</v>
      </c>
      <c r="X13" s="78">
        <v>0.8165</v>
      </c>
      <c r="Y13" s="78">
        <v>5.6129999999999995</v>
      </c>
      <c r="Z13" s="19">
        <v>0.12185802267482651</v>
      </c>
      <c r="AA13" s="19">
        <v>0.1529767707883794</v>
      </c>
      <c r="AB13" s="79">
        <v>0.27483479346320594</v>
      </c>
    </row>
    <row r="14" spans="1:28">
      <c r="B14" s="65">
        <v>30</v>
      </c>
      <c r="C14" s="66">
        <v>0.66800000000000004</v>
      </c>
      <c r="D14" s="66">
        <v>5.9820000000000002</v>
      </c>
      <c r="E14" s="66">
        <v>1.359</v>
      </c>
      <c r="F14" s="66">
        <v>1.359</v>
      </c>
      <c r="G14" s="66">
        <v>5.3140000000000001</v>
      </c>
      <c r="H14" s="67">
        <v>0.125705683101242</v>
      </c>
      <c r="I14" s="67">
        <v>0.25573955589010161</v>
      </c>
      <c r="J14" s="68">
        <v>0.38144523899134364</v>
      </c>
      <c r="K14" s="65">
        <v>30</v>
      </c>
      <c r="L14" s="66">
        <v>0.76</v>
      </c>
      <c r="M14" s="66">
        <v>6.9660000000000002</v>
      </c>
      <c r="N14" s="69">
        <v>0.36599999999999999</v>
      </c>
      <c r="O14" s="66">
        <v>0.36599999999999999</v>
      </c>
      <c r="P14" s="66">
        <v>6.2060000000000004</v>
      </c>
      <c r="Q14" s="67">
        <v>0.12246213341927166</v>
      </c>
      <c r="R14" s="67">
        <v>5.8975185304543987E-2</v>
      </c>
      <c r="S14" s="68">
        <v>0.18143731872381563</v>
      </c>
      <c r="T14" s="65">
        <v>30</v>
      </c>
      <c r="U14" s="70">
        <v>0.71399999999999997</v>
      </c>
      <c r="V14" s="70">
        <v>6.4740000000000002</v>
      </c>
      <c r="W14" s="70">
        <v>0.86250000000000004</v>
      </c>
      <c r="X14" s="70">
        <v>0.86250000000000004</v>
      </c>
      <c r="Y14" s="70">
        <v>5.76</v>
      </c>
      <c r="Z14" s="71">
        <v>0.12408390826025684</v>
      </c>
      <c r="AA14" s="71">
        <v>0.1573573705973228</v>
      </c>
      <c r="AB14" s="72">
        <v>0.28144127885757964</v>
      </c>
    </row>
    <row r="15" spans="1:28">
      <c r="B15" s="73">
        <v>31</v>
      </c>
      <c r="C15" s="74">
        <v>0.69199999999999995</v>
      </c>
      <c r="D15" s="74">
        <v>6.1520000000000001</v>
      </c>
      <c r="E15" s="74">
        <v>1.431</v>
      </c>
      <c r="F15" s="74">
        <v>1.431</v>
      </c>
      <c r="G15" s="74">
        <v>5.46</v>
      </c>
      <c r="H15" s="75">
        <v>0.12673992673992673</v>
      </c>
      <c r="I15" s="75">
        <v>0.2620879120879121</v>
      </c>
      <c r="J15" s="77">
        <v>0.38882783882783883</v>
      </c>
      <c r="K15" s="73">
        <v>31</v>
      </c>
      <c r="L15" s="74">
        <v>0.79300000000000004</v>
      </c>
      <c r="M15" s="74">
        <v>7.1589999999999998</v>
      </c>
      <c r="N15" s="76">
        <v>0.38600000000000001</v>
      </c>
      <c r="O15" s="74">
        <v>0.38600000000000001</v>
      </c>
      <c r="P15" s="74">
        <v>6.3659999999999997</v>
      </c>
      <c r="Q15" s="75">
        <v>0.12456801759346529</v>
      </c>
      <c r="R15" s="75">
        <v>6.0634621426327369E-2</v>
      </c>
      <c r="S15" s="77">
        <v>0.18520263901979267</v>
      </c>
      <c r="T15" s="73">
        <v>31</v>
      </c>
      <c r="U15" s="78">
        <v>0.74249999999999994</v>
      </c>
      <c r="V15" s="78">
        <v>6.6555</v>
      </c>
      <c r="W15" s="78">
        <v>0.90850000000000009</v>
      </c>
      <c r="X15" s="78">
        <v>0.90850000000000009</v>
      </c>
      <c r="Y15" s="78">
        <v>5.9130000000000003</v>
      </c>
      <c r="Z15" s="19">
        <v>0.12565397216669602</v>
      </c>
      <c r="AA15" s="19">
        <v>0.16136126675711973</v>
      </c>
      <c r="AB15" s="79">
        <v>0.28701523892381575</v>
      </c>
    </row>
    <row r="16" spans="1:28">
      <c r="B16" s="65">
        <v>32</v>
      </c>
      <c r="C16" s="66">
        <v>0.71499999999999997</v>
      </c>
      <c r="D16" s="66">
        <v>6.327</v>
      </c>
      <c r="E16" s="66">
        <v>1.502</v>
      </c>
      <c r="F16" s="66">
        <v>1.502</v>
      </c>
      <c r="G16" s="66">
        <v>5.6120000000000001</v>
      </c>
      <c r="H16" s="67">
        <v>0.12740555951532428</v>
      </c>
      <c r="I16" s="67">
        <v>0.26764076977904488</v>
      </c>
      <c r="J16" s="68">
        <v>0.39504632929436917</v>
      </c>
      <c r="K16" s="65">
        <v>32</v>
      </c>
      <c r="L16" s="66">
        <v>0.82399999999999995</v>
      </c>
      <c r="M16" s="66">
        <v>7.3550000000000004</v>
      </c>
      <c r="N16" s="69">
        <v>0.40500000000000003</v>
      </c>
      <c r="O16" s="66">
        <v>0.40500000000000003</v>
      </c>
      <c r="P16" s="66">
        <v>6.5310000000000006</v>
      </c>
      <c r="Q16" s="67">
        <v>0.12616750880416475</v>
      </c>
      <c r="R16" s="67">
        <v>6.2011943040881944E-2</v>
      </c>
      <c r="S16" s="68">
        <v>0.1881794518450467</v>
      </c>
      <c r="T16" s="65">
        <v>32</v>
      </c>
      <c r="U16" s="70">
        <v>0.76949999999999996</v>
      </c>
      <c r="V16" s="70">
        <v>6.8410000000000002</v>
      </c>
      <c r="W16" s="70">
        <v>0.95350000000000001</v>
      </c>
      <c r="X16" s="70">
        <v>0.95350000000000001</v>
      </c>
      <c r="Y16" s="70">
        <v>6.0715000000000003</v>
      </c>
      <c r="Z16" s="71">
        <v>0.1267865341597445</v>
      </c>
      <c r="AA16" s="71">
        <v>0.1648263564099634</v>
      </c>
      <c r="AB16" s="72">
        <v>0.29161289056970796</v>
      </c>
    </row>
    <row r="17" spans="2:28">
      <c r="B17" s="73">
        <v>33</v>
      </c>
      <c r="C17" s="74">
        <v>0.73699999999999999</v>
      </c>
      <c r="D17" s="74">
        <v>6.5060000000000002</v>
      </c>
      <c r="E17" s="74">
        <v>1.5740000000000001</v>
      </c>
      <c r="F17" s="74">
        <v>1.5740000000000001</v>
      </c>
      <c r="G17" s="74">
        <v>5.7690000000000001</v>
      </c>
      <c r="H17" s="75">
        <v>0.12775177673773616</v>
      </c>
      <c r="I17" s="75">
        <v>0.27283758016987347</v>
      </c>
      <c r="J17" s="77">
        <v>0.40058935690760966</v>
      </c>
      <c r="K17" s="73">
        <v>33</v>
      </c>
      <c r="L17" s="74">
        <v>0.85199999999999998</v>
      </c>
      <c r="M17" s="74">
        <v>7.556</v>
      </c>
      <c r="N17" s="76">
        <v>0.42299999999999999</v>
      </c>
      <c r="O17" s="74">
        <v>0.42299999999999999</v>
      </c>
      <c r="P17" s="74">
        <v>6.7039999999999997</v>
      </c>
      <c r="Q17" s="75">
        <v>0.12708830548926014</v>
      </c>
      <c r="R17" s="75">
        <v>6.3096658711217182E-2</v>
      </c>
      <c r="S17" s="77">
        <v>0.19018496420047731</v>
      </c>
      <c r="T17" s="73">
        <v>33</v>
      </c>
      <c r="U17" s="78">
        <v>0.79449999999999998</v>
      </c>
      <c r="V17" s="78">
        <v>7.0310000000000006</v>
      </c>
      <c r="W17" s="78">
        <v>0.99850000000000005</v>
      </c>
      <c r="X17" s="78">
        <v>0.99850000000000005</v>
      </c>
      <c r="Y17" s="78">
        <v>6.2364999999999995</v>
      </c>
      <c r="Z17" s="19">
        <v>0.12742004111349814</v>
      </c>
      <c r="AA17" s="19">
        <v>0.16796711944054532</v>
      </c>
      <c r="AB17" s="79">
        <v>0.29538716055404346</v>
      </c>
    </row>
    <row r="18" spans="2:28">
      <c r="B18" s="65">
        <v>34</v>
      </c>
      <c r="C18" s="66">
        <v>0.75700000000000001</v>
      </c>
      <c r="D18" s="66">
        <v>6.6890000000000001</v>
      </c>
      <c r="E18" s="66">
        <v>1.6459999999999999</v>
      </c>
      <c r="F18" s="66">
        <v>1.6459999999999999</v>
      </c>
      <c r="G18" s="66">
        <v>5.9320000000000004</v>
      </c>
      <c r="H18" s="67">
        <v>0.12761294672960216</v>
      </c>
      <c r="I18" s="67">
        <v>0.27747808496291299</v>
      </c>
      <c r="J18" s="68">
        <v>0.40509103169251515</v>
      </c>
      <c r="K18" s="65">
        <v>34</v>
      </c>
      <c r="L18" s="66">
        <v>0.877</v>
      </c>
      <c r="M18" s="66">
        <v>7.76</v>
      </c>
      <c r="N18" s="69">
        <v>0.441</v>
      </c>
      <c r="O18" s="66">
        <v>0.441</v>
      </c>
      <c r="P18" s="66">
        <v>6.883</v>
      </c>
      <c r="Q18" s="67">
        <v>0.12741537120441668</v>
      </c>
      <c r="R18" s="67">
        <v>6.4070899317158217E-2</v>
      </c>
      <c r="S18" s="68">
        <v>0.19148627052157491</v>
      </c>
      <c r="T18" s="65">
        <v>34</v>
      </c>
      <c r="U18" s="70">
        <v>0.81699999999999995</v>
      </c>
      <c r="V18" s="70">
        <v>7.2244999999999999</v>
      </c>
      <c r="W18" s="70">
        <v>1.0434999999999999</v>
      </c>
      <c r="X18" s="70">
        <v>1.0434999999999999</v>
      </c>
      <c r="Y18" s="70">
        <v>6.4075000000000006</v>
      </c>
      <c r="Z18" s="71">
        <v>0.12751415896700941</v>
      </c>
      <c r="AA18" s="71">
        <v>0.17077449214003559</v>
      </c>
      <c r="AB18" s="72">
        <v>0.29828865110704506</v>
      </c>
    </row>
    <row r="19" spans="2:28">
      <c r="B19" s="73">
        <v>35</v>
      </c>
      <c r="C19" s="74">
        <v>0.77500000000000002</v>
      </c>
      <c r="D19" s="74">
        <v>6.8769999999999998</v>
      </c>
      <c r="E19" s="74">
        <v>1.718</v>
      </c>
      <c r="F19" s="74">
        <v>1.718</v>
      </c>
      <c r="G19" s="74">
        <v>6.1019999999999994</v>
      </c>
      <c r="H19" s="75">
        <v>0.12700753851196331</v>
      </c>
      <c r="I19" s="75">
        <v>0.28154703375942314</v>
      </c>
      <c r="J19" s="77">
        <v>0.40855457227138647</v>
      </c>
      <c r="K19" s="73">
        <v>35</v>
      </c>
      <c r="L19" s="74">
        <v>0.89800000000000002</v>
      </c>
      <c r="M19" s="74">
        <v>7.968</v>
      </c>
      <c r="N19" s="76">
        <v>0.45800000000000002</v>
      </c>
      <c r="O19" s="74">
        <v>0.45800000000000002</v>
      </c>
      <c r="P19" s="74">
        <v>7.07</v>
      </c>
      <c r="Q19" s="75">
        <v>0.12701555869872702</v>
      </c>
      <c r="R19" s="75">
        <v>6.4780763790664775E-2</v>
      </c>
      <c r="S19" s="77">
        <v>0.1917963224893918</v>
      </c>
      <c r="T19" s="73">
        <v>35</v>
      </c>
      <c r="U19" s="78">
        <v>0.83650000000000002</v>
      </c>
      <c r="V19" s="78">
        <v>7.4224999999999994</v>
      </c>
      <c r="W19" s="78">
        <v>1.0880000000000001</v>
      </c>
      <c r="X19" s="78">
        <v>1.0880000000000001</v>
      </c>
      <c r="Y19" s="78">
        <v>6.5860000000000003</v>
      </c>
      <c r="Z19" s="19">
        <v>0.12701154860534516</v>
      </c>
      <c r="AA19" s="19">
        <v>0.17316389877504396</v>
      </c>
      <c r="AB19" s="79">
        <v>0.30017544738038915</v>
      </c>
    </row>
    <row r="20" spans="2:28">
      <c r="B20" s="65">
        <v>36</v>
      </c>
      <c r="C20" s="66">
        <v>0.79</v>
      </c>
      <c r="D20" s="66">
        <v>7.0670000000000002</v>
      </c>
      <c r="E20" s="66">
        <v>1.79</v>
      </c>
      <c r="F20" s="66">
        <v>1.79</v>
      </c>
      <c r="G20" s="66">
        <v>6.2770000000000001</v>
      </c>
      <c r="H20" s="67">
        <v>0.12585630078062768</v>
      </c>
      <c r="I20" s="67">
        <v>0.28516807392066273</v>
      </c>
      <c r="J20" s="68">
        <v>0.41102437470129038</v>
      </c>
      <c r="K20" s="65">
        <v>36</v>
      </c>
      <c r="L20" s="66">
        <v>0.91400000000000003</v>
      </c>
      <c r="M20" s="66">
        <v>8.1780000000000008</v>
      </c>
      <c r="N20" s="69">
        <v>0.47499999999999998</v>
      </c>
      <c r="O20" s="66">
        <v>0.47499999999999998</v>
      </c>
      <c r="P20" s="66">
        <v>7.2640000000000011</v>
      </c>
      <c r="Q20" s="67">
        <v>0.12582599118942731</v>
      </c>
      <c r="R20" s="67">
        <v>6.5390969162995582E-2</v>
      </c>
      <c r="S20" s="68">
        <v>0.19121696035242289</v>
      </c>
      <c r="T20" s="65">
        <v>36</v>
      </c>
      <c r="U20" s="70">
        <v>0.85200000000000009</v>
      </c>
      <c r="V20" s="70">
        <v>7.6225000000000005</v>
      </c>
      <c r="W20" s="70">
        <v>1.1325000000000001</v>
      </c>
      <c r="X20" s="70">
        <v>1.1325000000000001</v>
      </c>
      <c r="Y20" s="70">
        <v>6.7705000000000002</v>
      </c>
      <c r="Z20" s="71">
        <v>0.12584114598502749</v>
      </c>
      <c r="AA20" s="71">
        <v>0.17527952154182916</v>
      </c>
      <c r="AB20" s="72">
        <v>0.30112066752685662</v>
      </c>
    </row>
    <row r="21" spans="2:28">
      <c r="B21" s="73">
        <v>37</v>
      </c>
      <c r="C21" s="74">
        <v>0.8</v>
      </c>
      <c r="D21" s="74">
        <v>7.26</v>
      </c>
      <c r="E21" s="74">
        <v>1.8620000000000001</v>
      </c>
      <c r="F21" s="74">
        <v>1.8620000000000001</v>
      </c>
      <c r="G21" s="74">
        <v>6.46</v>
      </c>
      <c r="H21" s="75">
        <v>0.12383900928792571</v>
      </c>
      <c r="I21" s="75">
        <v>0.28823529411764709</v>
      </c>
      <c r="J21" s="77">
        <v>0.41207430340557283</v>
      </c>
      <c r="K21" s="73">
        <v>37</v>
      </c>
      <c r="L21" s="74">
        <v>0.92500000000000004</v>
      </c>
      <c r="M21" s="74">
        <v>8.391</v>
      </c>
      <c r="N21" s="76">
        <v>0.49</v>
      </c>
      <c r="O21" s="74">
        <v>0.49</v>
      </c>
      <c r="P21" s="74">
        <v>7.4660000000000002</v>
      </c>
      <c r="Q21" s="75">
        <v>0.12389499062416287</v>
      </c>
      <c r="R21" s="75">
        <v>6.5630859898205191E-2</v>
      </c>
      <c r="S21" s="77">
        <v>0.18952585052236806</v>
      </c>
      <c r="T21" s="73">
        <v>37</v>
      </c>
      <c r="U21" s="78">
        <v>0.86250000000000004</v>
      </c>
      <c r="V21" s="78">
        <v>7.8254999999999999</v>
      </c>
      <c r="W21" s="78">
        <v>1.1760000000000002</v>
      </c>
      <c r="X21" s="78">
        <v>1.1760000000000002</v>
      </c>
      <c r="Y21" s="78">
        <v>6.9630000000000001</v>
      </c>
      <c r="Z21" s="19">
        <v>0.12386699995604429</v>
      </c>
      <c r="AA21" s="19">
        <v>0.17693307700792615</v>
      </c>
      <c r="AB21" s="79">
        <v>0.30080007696397043</v>
      </c>
    </row>
    <row r="22" spans="2:28">
      <c r="B22" s="65">
        <v>38</v>
      </c>
      <c r="C22" s="66">
        <v>0.80400000000000005</v>
      </c>
      <c r="D22" s="66">
        <v>7.4550000000000001</v>
      </c>
      <c r="E22" s="66">
        <v>1.9339999999999999</v>
      </c>
      <c r="F22" s="66">
        <v>1.9339999999999999</v>
      </c>
      <c r="G22" s="66">
        <v>6.6509999999999998</v>
      </c>
      <c r="H22" s="67">
        <v>0.12088407758231846</v>
      </c>
      <c r="I22" s="67">
        <v>0.29078334085099983</v>
      </c>
      <c r="J22" s="68">
        <v>0.41166741843331828</v>
      </c>
      <c r="K22" s="65">
        <v>38</v>
      </c>
      <c r="L22" s="66">
        <v>0.92900000000000005</v>
      </c>
      <c r="M22" s="66">
        <v>8.6050000000000004</v>
      </c>
      <c r="N22" s="69">
        <v>0.505</v>
      </c>
      <c r="O22" s="66">
        <v>0.505</v>
      </c>
      <c r="P22" s="66">
        <v>7.6760000000000002</v>
      </c>
      <c r="Q22" s="67">
        <v>0.12102657634184472</v>
      </c>
      <c r="R22" s="67">
        <v>6.5789473684210523E-2</v>
      </c>
      <c r="S22" s="68">
        <v>0.18681605002605522</v>
      </c>
      <c r="T22" s="65">
        <v>38</v>
      </c>
      <c r="U22" s="70">
        <v>0.86650000000000005</v>
      </c>
      <c r="V22" s="70">
        <v>8.0300000000000011</v>
      </c>
      <c r="W22" s="70">
        <v>1.2195</v>
      </c>
      <c r="X22" s="70">
        <v>1.2195</v>
      </c>
      <c r="Y22" s="70">
        <v>7.1635</v>
      </c>
      <c r="Z22" s="71">
        <v>0.12095532696208158</v>
      </c>
      <c r="AA22" s="71">
        <v>0.17828640726760517</v>
      </c>
      <c r="AB22" s="72">
        <v>0.29924173422968675</v>
      </c>
    </row>
    <row r="23" spans="2:28">
      <c r="B23" s="73">
        <v>39</v>
      </c>
      <c r="C23" s="74">
        <v>0.80400000000000005</v>
      </c>
      <c r="D23" s="74">
        <v>7.6529999999999996</v>
      </c>
      <c r="E23" s="74">
        <v>2.0059999999999998</v>
      </c>
      <c r="F23" s="74">
        <v>2.0059999999999998</v>
      </c>
      <c r="G23" s="74">
        <v>6.8489999999999993</v>
      </c>
      <c r="H23" s="75">
        <v>0.11738939991239598</v>
      </c>
      <c r="I23" s="75">
        <v>0.29288947291575412</v>
      </c>
      <c r="J23" s="77">
        <v>0.41027887282815012</v>
      </c>
      <c r="K23" s="73">
        <v>39</v>
      </c>
      <c r="L23" s="74">
        <v>0.92700000000000005</v>
      </c>
      <c r="M23" s="74">
        <v>8.8230000000000004</v>
      </c>
      <c r="N23" s="76">
        <v>0.51900000000000002</v>
      </c>
      <c r="O23" s="74">
        <v>0.51900000000000002</v>
      </c>
      <c r="P23" s="74">
        <v>7.8960000000000008</v>
      </c>
      <c r="Q23" s="75">
        <v>0.11740121580547112</v>
      </c>
      <c r="R23" s="75">
        <v>6.5729483282674764E-2</v>
      </c>
      <c r="S23" s="77">
        <v>0.18313069908814589</v>
      </c>
      <c r="T23" s="73">
        <v>39</v>
      </c>
      <c r="U23" s="78">
        <v>0.86550000000000005</v>
      </c>
      <c r="V23" s="78">
        <v>8.2379999999999995</v>
      </c>
      <c r="W23" s="78">
        <v>1.2625</v>
      </c>
      <c r="X23" s="78">
        <v>1.2625</v>
      </c>
      <c r="Y23" s="78">
        <v>7.3725000000000005</v>
      </c>
      <c r="Z23" s="19">
        <v>0.11739530785893355</v>
      </c>
      <c r="AA23" s="19">
        <v>0.17930947809921444</v>
      </c>
      <c r="AB23" s="79">
        <v>0.29670478595814798</v>
      </c>
    </row>
    <row r="24" spans="2:28">
      <c r="B24" s="65">
        <v>40</v>
      </c>
      <c r="C24" s="66">
        <v>0.79900000000000004</v>
      </c>
      <c r="D24" s="66">
        <v>7.8540000000000001</v>
      </c>
      <c r="E24" s="66">
        <v>2.0790000000000002</v>
      </c>
      <c r="F24" s="66">
        <v>2.0790000000000002</v>
      </c>
      <c r="G24" s="66">
        <v>7.0549999999999997</v>
      </c>
      <c r="H24" s="67">
        <v>0.11325301204819278</v>
      </c>
      <c r="I24" s="67">
        <v>0.29468462083628638</v>
      </c>
      <c r="J24" s="68">
        <v>0.40793763288447915</v>
      </c>
      <c r="K24" s="65">
        <v>40</v>
      </c>
      <c r="L24" s="66">
        <v>0.92</v>
      </c>
      <c r="M24" s="66">
        <v>9.0429999999999993</v>
      </c>
      <c r="N24" s="69">
        <v>0.53300000000000003</v>
      </c>
      <c r="O24" s="66">
        <v>0.53300000000000003</v>
      </c>
      <c r="P24" s="66">
        <v>8.1229999999999993</v>
      </c>
      <c r="Q24" s="67">
        <v>0.11325864828265421</v>
      </c>
      <c r="R24" s="67">
        <v>6.5616151668102932E-2</v>
      </c>
      <c r="S24" s="68">
        <v>0.17887479995075714</v>
      </c>
      <c r="T24" s="65">
        <v>40</v>
      </c>
      <c r="U24" s="70">
        <v>0.85950000000000004</v>
      </c>
      <c r="V24" s="70">
        <v>8.4484999999999992</v>
      </c>
      <c r="W24" s="70">
        <v>1.306</v>
      </c>
      <c r="X24" s="70">
        <v>1.306</v>
      </c>
      <c r="Y24" s="70">
        <v>7.5889999999999995</v>
      </c>
      <c r="Z24" s="71">
        <v>0.1132558301654235</v>
      </c>
      <c r="AA24" s="71">
        <v>0.18015038625219465</v>
      </c>
      <c r="AB24" s="72">
        <v>0.29340621641761816</v>
      </c>
    </row>
    <row r="25" spans="2:28">
      <c r="B25" s="73">
        <v>41</v>
      </c>
      <c r="C25" s="74">
        <v>0.79200000000000004</v>
      </c>
      <c r="D25" s="74">
        <v>8.0609999999999999</v>
      </c>
      <c r="E25" s="74">
        <v>2.153</v>
      </c>
      <c r="F25" s="74">
        <v>2.153</v>
      </c>
      <c r="G25" s="74">
        <v>7.2690000000000001</v>
      </c>
      <c r="H25" s="75">
        <v>0.10895583986793232</v>
      </c>
      <c r="I25" s="75">
        <v>0.29618929701472002</v>
      </c>
      <c r="J25" s="77">
        <v>0.40514513688265236</v>
      </c>
      <c r="K25" s="73">
        <v>41</v>
      </c>
      <c r="L25" s="74">
        <v>0.90900000000000003</v>
      </c>
      <c r="M25" s="74">
        <v>9.2690000000000001</v>
      </c>
      <c r="N25" s="76">
        <v>0.54500000000000004</v>
      </c>
      <c r="O25" s="74">
        <v>0.54500000000000004</v>
      </c>
      <c r="P25" s="74">
        <v>8.36</v>
      </c>
      <c r="Q25" s="75">
        <v>0.10873205741626796</v>
      </c>
      <c r="R25" s="75">
        <v>6.519138755980862E-2</v>
      </c>
      <c r="S25" s="77">
        <v>0.17392344497607659</v>
      </c>
      <c r="T25" s="73">
        <v>41</v>
      </c>
      <c r="U25" s="78">
        <v>0.85050000000000003</v>
      </c>
      <c r="V25" s="78">
        <v>8.6649999999999991</v>
      </c>
      <c r="W25" s="78">
        <v>1.349</v>
      </c>
      <c r="X25" s="78">
        <v>1.349</v>
      </c>
      <c r="Y25" s="78">
        <v>7.8144999999999998</v>
      </c>
      <c r="Z25" s="19">
        <v>0.10884394864210015</v>
      </c>
      <c r="AA25" s="19">
        <v>0.18069034228726433</v>
      </c>
      <c r="AB25" s="79">
        <v>0.28953429092936445</v>
      </c>
    </row>
    <row r="26" spans="2:28">
      <c r="B26" s="65">
        <v>42</v>
      </c>
      <c r="C26" s="66">
        <v>0.78400000000000003</v>
      </c>
      <c r="D26" s="66">
        <v>8.2739999999999991</v>
      </c>
      <c r="E26" s="66">
        <v>2.2269999999999999</v>
      </c>
      <c r="F26" s="66">
        <v>2.2269999999999999</v>
      </c>
      <c r="G26" s="66">
        <v>7.4899999999999993</v>
      </c>
      <c r="H26" s="67">
        <v>0.1046728971962617</v>
      </c>
      <c r="I26" s="67">
        <v>0.29732977303070762</v>
      </c>
      <c r="J26" s="68">
        <v>0.40200267022696934</v>
      </c>
      <c r="K26" s="65">
        <v>42</v>
      </c>
      <c r="L26" s="66">
        <v>0.89400000000000002</v>
      </c>
      <c r="M26" s="66">
        <v>9.5</v>
      </c>
      <c r="N26" s="69">
        <v>0.55800000000000005</v>
      </c>
      <c r="O26" s="66">
        <v>0.55800000000000005</v>
      </c>
      <c r="P26" s="66">
        <v>8.6059999999999999</v>
      </c>
      <c r="Q26" s="67">
        <v>0.10388101324657216</v>
      </c>
      <c r="R26" s="67">
        <v>6.4838484778061825E-2</v>
      </c>
      <c r="S26" s="68">
        <v>0.16871949802463398</v>
      </c>
      <c r="T26" s="65">
        <v>42</v>
      </c>
      <c r="U26" s="70">
        <v>0.83899999999999997</v>
      </c>
      <c r="V26" s="70">
        <v>8.8870000000000005</v>
      </c>
      <c r="W26" s="70">
        <v>1.3925000000000001</v>
      </c>
      <c r="X26" s="70">
        <v>1.3925000000000001</v>
      </c>
      <c r="Y26" s="70">
        <v>8.048</v>
      </c>
      <c r="Z26" s="71">
        <v>0.10427695522141693</v>
      </c>
      <c r="AA26" s="71">
        <v>0.18108412890438472</v>
      </c>
      <c r="AB26" s="72">
        <v>0.28536108412580163</v>
      </c>
    </row>
    <row r="27" spans="2:28">
      <c r="B27" s="73">
        <v>43</v>
      </c>
      <c r="C27" s="74">
        <v>0.77500000000000002</v>
      </c>
      <c r="D27" s="74">
        <v>8.4960000000000004</v>
      </c>
      <c r="E27" s="74">
        <v>2.3029999999999999</v>
      </c>
      <c r="F27" s="74">
        <v>2.3029999999999999</v>
      </c>
      <c r="G27" s="74">
        <v>7.7210000000000001</v>
      </c>
      <c r="H27" s="75">
        <v>0.10037559901567154</v>
      </c>
      <c r="I27" s="75">
        <v>0.29827742520398909</v>
      </c>
      <c r="J27" s="77">
        <v>0.39865302421966065</v>
      </c>
      <c r="K27" s="73">
        <v>43</v>
      </c>
      <c r="L27" s="74">
        <v>0.877</v>
      </c>
      <c r="M27" s="74">
        <v>9.7379999999999995</v>
      </c>
      <c r="N27" s="76">
        <v>0.56999999999999995</v>
      </c>
      <c r="O27" s="74">
        <v>0.56999999999999995</v>
      </c>
      <c r="P27" s="74">
        <v>8.8609999999999989</v>
      </c>
      <c r="Q27" s="75">
        <v>9.8973027874957695E-2</v>
      </c>
      <c r="R27" s="75">
        <v>6.4326825414738747E-2</v>
      </c>
      <c r="S27" s="77">
        <v>0.16329985328969643</v>
      </c>
      <c r="T27" s="73">
        <v>43</v>
      </c>
      <c r="U27" s="78">
        <v>0.82600000000000007</v>
      </c>
      <c r="V27" s="78">
        <v>9.1170000000000009</v>
      </c>
      <c r="W27" s="78">
        <v>1.4364999999999999</v>
      </c>
      <c r="X27" s="78">
        <v>1.4364999999999999</v>
      </c>
      <c r="Y27" s="78">
        <v>8.2910000000000004</v>
      </c>
      <c r="Z27" s="19">
        <v>9.9674313445314619E-2</v>
      </c>
      <c r="AA27" s="19">
        <v>0.1813021253093639</v>
      </c>
      <c r="AB27" s="79">
        <v>0.28097643875467854</v>
      </c>
    </row>
    <row r="28" spans="2:28">
      <c r="B28" s="65">
        <v>44</v>
      </c>
      <c r="C28" s="66">
        <v>0.76600000000000001</v>
      </c>
      <c r="D28" s="66">
        <v>8.7260000000000009</v>
      </c>
      <c r="E28" s="66">
        <v>2.38</v>
      </c>
      <c r="F28" s="66">
        <v>2.38</v>
      </c>
      <c r="G28" s="66">
        <v>7.9600000000000009</v>
      </c>
      <c r="H28" s="67">
        <v>9.6231155778894462E-2</v>
      </c>
      <c r="I28" s="67">
        <v>0.29899497487437182</v>
      </c>
      <c r="J28" s="68">
        <v>0.39522613065326628</v>
      </c>
      <c r="K28" s="65">
        <v>44</v>
      </c>
      <c r="L28" s="66">
        <v>0.85799999999999998</v>
      </c>
      <c r="M28" s="66">
        <v>9.984</v>
      </c>
      <c r="N28" s="69">
        <v>0.58199999999999996</v>
      </c>
      <c r="O28" s="66">
        <v>0.58199999999999996</v>
      </c>
      <c r="P28" s="66">
        <v>9.1259999999999994</v>
      </c>
      <c r="Q28" s="67">
        <v>9.4017094017094016E-2</v>
      </c>
      <c r="R28" s="67">
        <v>6.3773833004602237E-2</v>
      </c>
      <c r="S28" s="68">
        <v>0.15779092702169625</v>
      </c>
      <c r="T28" s="65">
        <v>44</v>
      </c>
      <c r="U28" s="70">
        <v>0.81200000000000006</v>
      </c>
      <c r="V28" s="70">
        <v>9.3550000000000004</v>
      </c>
      <c r="W28" s="70">
        <v>1.4809999999999999</v>
      </c>
      <c r="X28" s="70">
        <v>1.4809999999999999</v>
      </c>
      <c r="Y28" s="70">
        <v>8.5429999999999993</v>
      </c>
      <c r="Z28" s="71">
        <v>9.5124124897994239E-2</v>
      </c>
      <c r="AA28" s="71">
        <v>0.18138440393948702</v>
      </c>
      <c r="AB28" s="72">
        <v>0.27650852883748128</v>
      </c>
    </row>
    <row r="29" spans="2:28">
      <c r="B29" s="73">
        <v>45</v>
      </c>
      <c r="C29" s="74">
        <v>0.75600000000000001</v>
      </c>
      <c r="D29" s="74">
        <v>8.9640000000000004</v>
      </c>
      <c r="E29" s="74">
        <v>2.456</v>
      </c>
      <c r="F29" s="74">
        <v>2.456</v>
      </c>
      <c r="G29" s="74">
        <v>8.2080000000000002</v>
      </c>
      <c r="H29" s="75">
        <v>9.2105263157894732E-2</v>
      </c>
      <c r="I29" s="75">
        <v>0.29922027290448344</v>
      </c>
      <c r="J29" s="77">
        <v>0.39132553606237819</v>
      </c>
      <c r="K29" s="73">
        <v>45</v>
      </c>
      <c r="L29" s="74">
        <v>0.83799999999999997</v>
      </c>
      <c r="M29" s="74">
        <v>10.238</v>
      </c>
      <c r="N29" s="76">
        <v>0.59399999999999997</v>
      </c>
      <c r="O29" s="74">
        <v>0.59399999999999997</v>
      </c>
      <c r="P29" s="74">
        <v>9.4</v>
      </c>
      <c r="Q29" s="75">
        <v>8.9148936170212759E-2</v>
      </c>
      <c r="R29" s="75">
        <v>6.3191489361702116E-2</v>
      </c>
      <c r="S29" s="77">
        <v>0.15234042553191487</v>
      </c>
      <c r="T29" s="73">
        <v>45</v>
      </c>
      <c r="U29" s="78">
        <v>0.79699999999999993</v>
      </c>
      <c r="V29" s="78">
        <v>9.6009999999999991</v>
      </c>
      <c r="W29" s="78">
        <v>1.5249999999999999</v>
      </c>
      <c r="X29" s="78">
        <v>1.5249999999999999</v>
      </c>
      <c r="Y29" s="78">
        <v>8.8040000000000003</v>
      </c>
      <c r="Z29" s="19">
        <v>9.0627099664053745E-2</v>
      </c>
      <c r="AA29" s="19">
        <v>0.18120588113309277</v>
      </c>
      <c r="AB29" s="79">
        <v>0.27183298079714652</v>
      </c>
    </row>
    <row r="30" spans="2:28">
      <c r="B30" s="65">
        <v>46</v>
      </c>
      <c r="C30" s="66">
        <v>0.74399999999999999</v>
      </c>
      <c r="D30" s="66">
        <v>9.2089999999999996</v>
      </c>
      <c r="E30" s="66">
        <v>2.5329999999999999</v>
      </c>
      <c r="F30" s="66">
        <v>2.5329999999999999</v>
      </c>
      <c r="G30" s="66">
        <v>8.4649999999999999</v>
      </c>
      <c r="H30" s="67">
        <v>8.7891317188422913E-2</v>
      </c>
      <c r="I30" s="67">
        <v>0.29923213230950974</v>
      </c>
      <c r="J30" s="68">
        <v>0.38712344949793265</v>
      </c>
      <c r="K30" s="65">
        <v>46</v>
      </c>
      <c r="L30" s="66">
        <v>0.81499999999999995</v>
      </c>
      <c r="M30" s="66">
        <v>10.5</v>
      </c>
      <c r="N30" s="69">
        <v>0.60599999999999998</v>
      </c>
      <c r="O30" s="66">
        <v>0.60599999999999998</v>
      </c>
      <c r="P30" s="66">
        <v>9.6850000000000005</v>
      </c>
      <c r="Q30" s="67">
        <v>8.4150748580278767E-2</v>
      </c>
      <c r="R30" s="67">
        <v>6.2570986060918946E-2</v>
      </c>
      <c r="S30" s="68">
        <v>0.1467217346411977</v>
      </c>
      <c r="T30" s="65">
        <v>46</v>
      </c>
      <c r="U30" s="70">
        <v>0.77949999999999997</v>
      </c>
      <c r="V30" s="70">
        <v>9.8544999999999998</v>
      </c>
      <c r="W30" s="70">
        <v>1.5694999999999999</v>
      </c>
      <c r="X30" s="70">
        <v>1.5694999999999999</v>
      </c>
      <c r="Y30" s="70">
        <v>9.0749999999999993</v>
      </c>
      <c r="Z30" s="71">
        <v>8.602103288435084E-2</v>
      </c>
      <c r="AA30" s="71">
        <v>0.18090155918521433</v>
      </c>
      <c r="AB30" s="72">
        <v>0.26692259206956515</v>
      </c>
    </row>
    <row r="31" spans="2:28">
      <c r="B31" s="73">
        <v>47</v>
      </c>
      <c r="C31" s="74">
        <v>0.73</v>
      </c>
      <c r="D31" s="74">
        <v>9.4629999999999992</v>
      </c>
      <c r="E31" s="74">
        <v>2.6080000000000001</v>
      </c>
      <c r="F31" s="74">
        <v>2.6080000000000001</v>
      </c>
      <c r="G31" s="74">
        <v>8.7329999999999988</v>
      </c>
      <c r="H31" s="75">
        <v>8.3590976754837981E-2</v>
      </c>
      <c r="I31" s="75">
        <v>0.29863735257070884</v>
      </c>
      <c r="J31" s="77">
        <v>0.38222832932554685</v>
      </c>
      <c r="K31" s="73">
        <v>47</v>
      </c>
      <c r="L31" s="74">
        <v>0.78900000000000003</v>
      </c>
      <c r="M31" s="74">
        <v>10.769</v>
      </c>
      <c r="N31" s="76">
        <v>0.61699999999999999</v>
      </c>
      <c r="O31" s="74">
        <v>0.61699999999999999</v>
      </c>
      <c r="P31" s="74">
        <v>9.98</v>
      </c>
      <c r="Q31" s="75">
        <v>7.9058116232464934E-2</v>
      </c>
      <c r="R31" s="75">
        <v>6.1823647294589175E-2</v>
      </c>
      <c r="S31" s="77">
        <v>0.14088176352705412</v>
      </c>
      <c r="T31" s="73">
        <v>47</v>
      </c>
      <c r="U31" s="78">
        <v>0.75950000000000006</v>
      </c>
      <c r="V31" s="78">
        <v>10.116</v>
      </c>
      <c r="W31" s="78">
        <v>1.6125</v>
      </c>
      <c r="X31" s="78">
        <v>1.6125</v>
      </c>
      <c r="Y31" s="78">
        <v>9.3565000000000005</v>
      </c>
      <c r="Z31" s="19">
        <v>8.1324546493651451E-2</v>
      </c>
      <c r="AA31" s="19">
        <v>0.180230499932649</v>
      </c>
      <c r="AB31" s="79">
        <v>0.26155504642630045</v>
      </c>
    </row>
    <row r="32" spans="2:28">
      <c r="B32" s="65">
        <v>48</v>
      </c>
      <c r="C32" s="66">
        <v>0.71199999999999997</v>
      </c>
      <c r="D32" s="66">
        <v>9.7240000000000002</v>
      </c>
      <c r="E32" s="66">
        <v>2.6829999999999998</v>
      </c>
      <c r="F32" s="66">
        <v>2.6829999999999998</v>
      </c>
      <c r="G32" s="66">
        <v>9.0120000000000005</v>
      </c>
      <c r="H32" s="67">
        <v>7.9005770084331989E-2</v>
      </c>
      <c r="I32" s="67">
        <v>0.29771415889924541</v>
      </c>
      <c r="J32" s="68">
        <v>0.37671992898357742</v>
      </c>
      <c r="K32" s="65">
        <v>48</v>
      </c>
      <c r="L32" s="66">
        <v>0.76100000000000001</v>
      </c>
      <c r="M32" s="66">
        <v>11.047000000000001</v>
      </c>
      <c r="N32" s="69">
        <v>0.627</v>
      </c>
      <c r="O32" s="66">
        <v>0.627</v>
      </c>
      <c r="P32" s="66">
        <v>10.286000000000001</v>
      </c>
      <c r="Q32" s="67">
        <v>7.3984055998444473E-2</v>
      </c>
      <c r="R32" s="67">
        <v>6.0956640093330731E-2</v>
      </c>
      <c r="S32" s="68">
        <v>0.1349406960917752</v>
      </c>
      <c r="T32" s="65">
        <v>48</v>
      </c>
      <c r="U32" s="70">
        <v>0.73649999999999993</v>
      </c>
      <c r="V32" s="70">
        <v>10.3855</v>
      </c>
      <c r="W32" s="70">
        <v>1.6549999999999998</v>
      </c>
      <c r="X32" s="70">
        <v>1.6549999999999998</v>
      </c>
      <c r="Y32" s="70">
        <v>9.6490000000000009</v>
      </c>
      <c r="Z32" s="71">
        <v>7.6494913041388224E-2</v>
      </c>
      <c r="AA32" s="71">
        <v>0.17933539949628807</v>
      </c>
      <c r="AB32" s="72">
        <v>0.2558303125376763</v>
      </c>
    </row>
    <row r="33" spans="2:28">
      <c r="B33" s="73">
        <v>49</v>
      </c>
      <c r="C33" s="74">
        <v>0.68899999999999995</v>
      </c>
      <c r="D33" s="74">
        <v>9.9939999999999998</v>
      </c>
      <c r="E33" s="74">
        <v>2.7559999999999998</v>
      </c>
      <c r="F33" s="74">
        <v>2.7559999999999998</v>
      </c>
      <c r="G33" s="74">
        <v>9.3049999999999997</v>
      </c>
      <c r="H33" s="75">
        <v>7.4046211714132185E-2</v>
      </c>
      <c r="I33" s="75">
        <v>0.29618484685652874</v>
      </c>
      <c r="J33" s="77">
        <v>0.37023105857066091</v>
      </c>
      <c r="K33" s="73">
        <v>49</v>
      </c>
      <c r="L33" s="74">
        <v>0.72799999999999998</v>
      </c>
      <c r="M33" s="74">
        <v>11.332000000000001</v>
      </c>
      <c r="N33" s="76">
        <v>0.63600000000000001</v>
      </c>
      <c r="O33" s="74">
        <v>0.63600000000000001</v>
      </c>
      <c r="P33" s="74">
        <v>10.604000000000001</v>
      </c>
      <c r="Q33" s="75">
        <v>6.8653338362881927E-2</v>
      </c>
      <c r="R33" s="75">
        <v>5.9977367031308938E-2</v>
      </c>
      <c r="S33" s="77">
        <v>0.12863070539419086</v>
      </c>
      <c r="T33" s="73">
        <v>49</v>
      </c>
      <c r="U33" s="78">
        <v>0.70849999999999991</v>
      </c>
      <c r="V33" s="78">
        <v>10.663</v>
      </c>
      <c r="W33" s="78">
        <v>1.696</v>
      </c>
      <c r="X33" s="78">
        <v>1.696</v>
      </c>
      <c r="Y33" s="78">
        <v>9.9544999999999995</v>
      </c>
      <c r="Z33" s="19">
        <v>7.1349775038507063E-2</v>
      </c>
      <c r="AA33" s="19">
        <v>0.17808110694391885</v>
      </c>
      <c r="AB33" s="79">
        <v>0.24943088198242588</v>
      </c>
    </row>
    <row r="34" spans="2:28">
      <c r="B34" s="65">
        <v>50</v>
      </c>
      <c r="C34" s="66">
        <v>0.66200000000000003</v>
      </c>
      <c r="D34" s="66">
        <v>10.271000000000001</v>
      </c>
      <c r="E34" s="66">
        <v>2.827</v>
      </c>
      <c r="F34" s="66">
        <v>2.827</v>
      </c>
      <c r="G34" s="66">
        <v>9.609</v>
      </c>
      <c r="H34" s="67">
        <v>6.8893745446976795E-2</v>
      </c>
      <c r="I34" s="67">
        <v>0.29420335102508066</v>
      </c>
      <c r="J34" s="68">
        <v>0.36309709647205746</v>
      </c>
      <c r="K34" s="65">
        <v>50</v>
      </c>
      <c r="L34" s="66">
        <v>0.69199999999999995</v>
      </c>
      <c r="M34" s="66">
        <v>11.625</v>
      </c>
      <c r="N34" s="69">
        <v>0.64500000000000002</v>
      </c>
      <c r="O34" s="66">
        <v>0.64500000000000002</v>
      </c>
      <c r="P34" s="66">
        <v>10.933</v>
      </c>
      <c r="Q34" s="67">
        <v>6.3294612640629286E-2</v>
      </c>
      <c r="R34" s="67">
        <v>5.8995701088447823E-2</v>
      </c>
      <c r="S34" s="68">
        <v>0.12229031372907712</v>
      </c>
      <c r="T34" s="65">
        <v>50</v>
      </c>
      <c r="U34" s="70">
        <v>0.67700000000000005</v>
      </c>
      <c r="V34" s="70">
        <v>10.948</v>
      </c>
      <c r="W34" s="70">
        <v>1.736</v>
      </c>
      <c r="X34" s="70">
        <v>1.736</v>
      </c>
      <c r="Y34" s="70">
        <v>10.271000000000001</v>
      </c>
      <c r="Z34" s="71">
        <v>6.6094179043803047E-2</v>
      </c>
      <c r="AA34" s="71">
        <v>0.17659952605676424</v>
      </c>
      <c r="AB34" s="72">
        <v>0.24269370510056729</v>
      </c>
    </row>
    <row r="35" spans="2:28">
      <c r="B35" s="73">
        <v>51</v>
      </c>
      <c r="C35" s="74">
        <v>0.629</v>
      </c>
      <c r="D35" s="74">
        <v>10.555999999999999</v>
      </c>
      <c r="E35" s="74">
        <v>2.895</v>
      </c>
      <c r="F35" s="74">
        <v>2.895</v>
      </c>
      <c r="G35" s="74">
        <v>9.9269999999999996</v>
      </c>
      <c r="H35" s="75">
        <v>6.3362546590107788E-2</v>
      </c>
      <c r="I35" s="75">
        <v>0.29162889090359628</v>
      </c>
      <c r="J35" s="77">
        <v>0.3549914374937041</v>
      </c>
      <c r="K35" s="73">
        <v>51</v>
      </c>
      <c r="L35" s="74">
        <v>0.65</v>
      </c>
      <c r="M35" s="74">
        <v>11.927</v>
      </c>
      <c r="N35" s="76">
        <v>0.65200000000000002</v>
      </c>
      <c r="O35" s="74">
        <v>0.65200000000000002</v>
      </c>
      <c r="P35" s="74">
        <v>11.276999999999999</v>
      </c>
      <c r="Q35" s="75">
        <v>5.7639443114303454E-2</v>
      </c>
      <c r="R35" s="75">
        <v>5.781679524696285E-2</v>
      </c>
      <c r="S35" s="77">
        <v>0.11545623836126631</v>
      </c>
      <c r="T35" s="73">
        <v>51</v>
      </c>
      <c r="U35" s="78">
        <v>0.63949999999999996</v>
      </c>
      <c r="V35" s="78">
        <v>11.241499999999998</v>
      </c>
      <c r="W35" s="78">
        <v>1.7735000000000001</v>
      </c>
      <c r="X35" s="78">
        <v>1.7735000000000001</v>
      </c>
      <c r="Y35" s="78">
        <v>10.602</v>
      </c>
      <c r="Z35" s="19">
        <v>6.0500994852205621E-2</v>
      </c>
      <c r="AA35" s="19">
        <v>0.17472284307527958</v>
      </c>
      <c r="AB35" s="79">
        <v>0.23522383792748519</v>
      </c>
    </row>
    <row r="36" spans="2:28">
      <c r="B36" s="65">
        <v>52</v>
      </c>
      <c r="C36" s="66">
        <v>0.59099999999999997</v>
      </c>
      <c r="D36" s="66">
        <v>10.851000000000001</v>
      </c>
      <c r="E36" s="66">
        <v>2.9609999999999999</v>
      </c>
      <c r="F36" s="66">
        <v>2.9609999999999999</v>
      </c>
      <c r="G36" s="66">
        <v>10.260000000000002</v>
      </c>
      <c r="H36" s="67">
        <v>5.7602339181286537E-2</v>
      </c>
      <c r="I36" s="67">
        <v>0.28859649122807013</v>
      </c>
      <c r="J36" s="68">
        <v>0.34619883040935667</v>
      </c>
      <c r="K36" s="65">
        <v>52</v>
      </c>
      <c r="L36" s="66">
        <v>0.60399999999999998</v>
      </c>
      <c r="M36" s="66">
        <v>12.236000000000001</v>
      </c>
      <c r="N36" s="69">
        <v>0.65800000000000003</v>
      </c>
      <c r="O36" s="66">
        <v>0.65800000000000003</v>
      </c>
      <c r="P36" s="66">
        <v>11.632000000000001</v>
      </c>
      <c r="Q36" s="67">
        <v>5.1925722145804667E-2</v>
      </c>
      <c r="R36" s="67">
        <v>5.6568088033012373E-2</v>
      </c>
      <c r="S36" s="68">
        <v>0.10849381017881704</v>
      </c>
      <c r="T36" s="65">
        <v>52</v>
      </c>
      <c r="U36" s="70">
        <v>0.59749999999999992</v>
      </c>
      <c r="V36" s="70">
        <v>11.543500000000002</v>
      </c>
      <c r="W36" s="70">
        <v>1.8094999999999999</v>
      </c>
      <c r="X36" s="70">
        <v>1.8094999999999999</v>
      </c>
      <c r="Y36" s="70">
        <v>10.946000000000002</v>
      </c>
      <c r="Z36" s="71">
        <v>5.4764030663545599E-2</v>
      </c>
      <c r="AA36" s="71">
        <v>0.17258228963054126</v>
      </c>
      <c r="AB36" s="72">
        <v>0.22734632029408686</v>
      </c>
    </row>
    <row r="37" spans="2:28">
      <c r="B37" s="73">
        <v>53</v>
      </c>
      <c r="C37" s="74">
        <v>0.54700000000000004</v>
      </c>
      <c r="D37" s="74">
        <v>11.156000000000001</v>
      </c>
      <c r="E37" s="74">
        <v>3.0249999999999999</v>
      </c>
      <c r="F37" s="74">
        <v>3.0249999999999999</v>
      </c>
      <c r="G37" s="74">
        <v>10.609</v>
      </c>
      <c r="H37" s="75">
        <v>5.1559996229616364E-2</v>
      </c>
      <c r="I37" s="75">
        <v>0.28513526251296067</v>
      </c>
      <c r="J37" s="77">
        <v>0.33669525874257705</v>
      </c>
      <c r="K37" s="73">
        <v>53</v>
      </c>
      <c r="L37" s="74">
        <v>0.55200000000000005</v>
      </c>
      <c r="M37" s="74">
        <v>12.553000000000001</v>
      </c>
      <c r="N37" s="76">
        <v>0.66300000000000003</v>
      </c>
      <c r="O37" s="74">
        <v>0.66300000000000003</v>
      </c>
      <c r="P37" s="74">
        <v>12.001000000000001</v>
      </c>
      <c r="Q37" s="75">
        <v>4.599616698608449E-2</v>
      </c>
      <c r="R37" s="75">
        <v>5.5245396216981914E-2</v>
      </c>
      <c r="S37" s="77">
        <v>0.1012415632030664</v>
      </c>
      <c r="T37" s="73">
        <v>53</v>
      </c>
      <c r="U37" s="78">
        <v>0.5495000000000001</v>
      </c>
      <c r="V37" s="78">
        <v>11.854500000000002</v>
      </c>
      <c r="W37" s="78">
        <v>1.8439999999999999</v>
      </c>
      <c r="X37" s="78">
        <v>1.8439999999999999</v>
      </c>
      <c r="Y37" s="78">
        <v>11.305</v>
      </c>
      <c r="Z37" s="19">
        <v>4.8778081607850424E-2</v>
      </c>
      <c r="AA37" s="19">
        <v>0.1701903293649713</v>
      </c>
      <c r="AB37" s="79">
        <v>0.21896841097282171</v>
      </c>
    </row>
    <row r="38" spans="2:28">
      <c r="B38" s="65">
        <v>54</v>
      </c>
      <c r="C38" s="66">
        <v>0.498</v>
      </c>
      <c r="D38" s="66">
        <v>11.47</v>
      </c>
      <c r="E38" s="66">
        <v>3.0859999999999999</v>
      </c>
      <c r="F38" s="66">
        <v>3.0859999999999999</v>
      </c>
      <c r="G38" s="66">
        <v>10.972000000000001</v>
      </c>
      <c r="H38" s="67">
        <v>4.5388261028071447E-2</v>
      </c>
      <c r="I38" s="67">
        <v>0.28126139263580019</v>
      </c>
      <c r="J38" s="68">
        <v>0.32664965366387166</v>
      </c>
      <c r="K38" s="65">
        <v>54</v>
      </c>
      <c r="L38" s="66">
        <v>0.495</v>
      </c>
      <c r="M38" s="66">
        <v>12.879</v>
      </c>
      <c r="N38" s="69">
        <v>0.66600000000000004</v>
      </c>
      <c r="O38" s="66">
        <v>0.66600000000000004</v>
      </c>
      <c r="P38" s="66">
        <v>12.384</v>
      </c>
      <c r="Q38" s="67">
        <v>3.9970930232558141E-2</v>
      </c>
      <c r="R38" s="67">
        <v>5.3779069767441859E-2</v>
      </c>
      <c r="S38" s="68">
        <v>9.375E-2</v>
      </c>
      <c r="T38" s="65">
        <v>54</v>
      </c>
      <c r="U38" s="70">
        <v>0.4965</v>
      </c>
      <c r="V38" s="70">
        <v>12.1745</v>
      </c>
      <c r="W38" s="70">
        <v>1.8759999999999999</v>
      </c>
      <c r="X38" s="70">
        <v>1.8759999999999999</v>
      </c>
      <c r="Y38" s="70">
        <v>11.678000000000001</v>
      </c>
      <c r="Z38" s="71">
        <v>4.2679595630314794E-2</v>
      </c>
      <c r="AA38" s="71">
        <v>0.16752023120162102</v>
      </c>
      <c r="AB38" s="72">
        <v>0.21019982683193583</v>
      </c>
    </row>
    <row r="39" spans="2:28">
      <c r="B39" s="73">
        <v>55</v>
      </c>
      <c r="C39" s="74">
        <v>0.443</v>
      </c>
      <c r="D39" s="74">
        <v>11.795</v>
      </c>
      <c r="E39" s="74">
        <v>3.1440000000000001</v>
      </c>
      <c r="F39" s="74">
        <v>3.1440000000000001</v>
      </c>
      <c r="G39" s="74">
        <v>11.352</v>
      </c>
      <c r="H39" s="75">
        <v>3.9023960535588445E-2</v>
      </c>
      <c r="I39" s="75">
        <v>0.27695560253699791</v>
      </c>
      <c r="J39" s="77">
        <v>0.31597956307258634</v>
      </c>
      <c r="K39" s="73">
        <v>55</v>
      </c>
      <c r="L39" s="74">
        <v>0.433</v>
      </c>
      <c r="M39" s="74">
        <v>13.214</v>
      </c>
      <c r="N39" s="76">
        <v>0.66900000000000004</v>
      </c>
      <c r="O39" s="74">
        <v>0.66900000000000004</v>
      </c>
      <c r="P39" s="74">
        <v>12.781000000000001</v>
      </c>
      <c r="Q39" s="75">
        <v>3.3878413269697205E-2</v>
      </c>
      <c r="R39" s="75">
        <v>5.2343322118770047E-2</v>
      </c>
      <c r="S39" s="77">
        <v>8.6221735388467252E-2</v>
      </c>
      <c r="T39" s="73">
        <v>55</v>
      </c>
      <c r="U39" s="78">
        <v>0.438</v>
      </c>
      <c r="V39" s="78">
        <v>12.5045</v>
      </c>
      <c r="W39" s="78">
        <v>1.9065000000000001</v>
      </c>
      <c r="X39" s="78">
        <v>1.9065000000000001</v>
      </c>
      <c r="Y39" s="78">
        <v>12.066500000000001</v>
      </c>
      <c r="Z39" s="19">
        <v>3.6451186902642825E-2</v>
      </c>
      <c r="AA39" s="19">
        <v>0.16464946232788397</v>
      </c>
      <c r="AB39" s="79">
        <v>0.20110064923052678</v>
      </c>
    </row>
    <row r="40" spans="2:28">
      <c r="B40" s="65">
        <v>56</v>
      </c>
      <c r="C40" s="66">
        <v>0.38200000000000001</v>
      </c>
      <c r="D40" s="66">
        <v>12.131</v>
      </c>
      <c r="E40" s="66">
        <v>3.2</v>
      </c>
      <c r="F40" s="66">
        <v>3.2</v>
      </c>
      <c r="G40" s="66">
        <v>11.749000000000001</v>
      </c>
      <c r="H40" s="67">
        <v>3.2513405396203933E-2</v>
      </c>
      <c r="I40" s="67">
        <v>0.27236360541322668</v>
      </c>
      <c r="J40" s="68">
        <v>0.30487701080943064</v>
      </c>
      <c r="K40" s="65">
        <v>56</v>
      </c>
      <c r="L40" s="66">
        <v>0.36599999999999999</v>
      </c>
      <c r="M40" s="66">
        <v>13.558999999999999</v>
      </c>
      <c r="N40" s="69">
        <v>0.67</v>
      </c>
      <c r="O40" s="66">
        <v>0.67</v>
      </c>
      <c r="P40" s="66">
        <v>13.193</v>
      </c>
      <c r="Q40" s="67">
        <v>2.7741984385659061E-2</v>
      </c>
      <c r="R40" s="67">
        <v>5.0784506935496104E-2</v>
      </c>
      <c r="S40" s="68">
        <v>7.8526491321155162E-2</v>
      </c>
      <c r="T40" s="65">
        <v>56</v>
      </c>
      <c r="U40" s="70">
        <v>0.374</v>
      </c>
      <c r="V40" s="70">
        <v>12.844999999999999</v>
      </c>
      <c r="W40" s="70">
        <v>1.9350000000000001</v>
      </c>
      <c r="X40" s="70">
        <v>1.9350000000000001</v>
      </c>
      <c r="Y40" s="70">
        <v>12.471</v>
      </c>
      <c r="Z40" s="71">
        <v>3.0127694890931499E-2</v>
      </c>
      <c r="AA40" s="71">
        <v>0.16157405617436138</v>
      </c>
      <c r="AB40" s="72">
        <v>0.19170175106529291</v>
      </c>
    </row>
    <row r="41" spans="2:28">
      <c r="B41" s="73">
        <v>57</v>
      </c>
      <c r="C41" s="74">
        <v>0.316</v>
      </c>
      <c r="D41" s="74">
        <v>12.478999999999999</v>
      </c>
      <c r="E41" s="74">
        <v>3.2559999999999998</v>
      </c>
      <c r="F41" s="74">
        <v>3.2559999999999998</v>
      </c>
      <c r="G41" s="74">
        <v>12.162999999999998</v>
      </c>
      <c r="H41" s="75">
        <v>2.5980432459097265E-2</v>
      </c>
      <c r="I41" s="75">
        <v>0.26769711419879966</v>
      </c>
      <c r="J41" s="77">
        <v>0.29367754665789692</v>
      </c>
      <c r="K41" s="73">
        <v>57</v>
      </c>
      <c r="L41" s="74">
        <v>0.29499999999999998</v>
      </c>
      <c r="M41" s="74">
        <v>13.916</v>
      </c>
      <c r="N41" s="76">
        <v>0.67</v>
      </c>
      <c r="O41" s="74">
        <v>0.67</v>
      </c>
      <c r="P41" s="74">
        <v>13.621</v>
      </c>
      <c r="Q41" s="75">
        <v>2.1657734380735628E-2</v>
      </c>
      <c r="R41" s="75">
        <v>4.9188752661331769E-2</v>
      </c>
      <c r="S41" s="77">
        <v>7.0846487042067391E-2</v>
      </c>
      <c r="T41" s="73">
        <v>57</v>
      </c>
      <c r="U41" s="78">
        <v>0.30549999999999999</v>
      </c>
      <c r="V41" s="78">
        <v>13.1975</v>
      </c>
      <c r="W41" s="78">
        <v>1.9629999999999999</v>
      </c>
      <c r="X41" s="78">
        <v>1.9629999999999999</v>
      </c>
      <c r="Y41" s="78">
        <v>12.891999999999999</v>
      </c>
      <c r="Z41" s="19">
        <v>2.3819083419916447E-2</v>
      </c>
      <c r="AA41" s="19">
        <v>0.15844293343006571</v>
      </c>
      <c r="AB41" s="79">
        <v>0.18226201684998217</v>
      </c>
    </row>
    <row r="42" spans="2:28">
      <c r="B42" s="65">
        <v>58</v>
      </c>
      <c r="C42" s="66">
        <v>0.249</v>
      </c>
      <c r="D42" s="66">
        <v>12.840999999999999</v>
      </c>
      <c r="E42" s="66">
        <v>3.3109999999999999</v>
      </c>
      <c r="F42" s="66">
        <v>3.3109999999999999</v>
      </c>
      <c r="G42" s="66">
        <v>12.591999999999999</v>
      </c>
      <c r="H42" s="67">
        <v>1.9774459974587041E-2</v>
      </c>
      <c r="I42" s="67">
        <v>0.26294472681067349</v>
      </c>
      <c r="J42" s="68">
        <v>0.28271918678526053</v>
      </c>
      <c r="K42" s="65">
        <v>58</v>
      </c>
      <c r="L42" s="66">
        <v>0.22500000000000001</v>
      </c>
      <c r="M42" s="66">
        <v>14.288</v>
      </c>
      <c r="N42" s="69">
        <v>0.67</v>
      </c>
      <c r="O42" s="66">
        <v>0.67</v>
      </c>
      <c r="P42" s="66">
        <v>14.063000000000001</v>
      </c>
      <c r="Q42" s="67">
        <v>1.5999431131337553E-2</v>
      </c>
      <c r="R42" s="67">
        <v>4.7642750479982933E-2</v>
      </c>
      <c r="S42" s="68">
        <v>6.3642181611320486E-2</v>
      </c>
      <c r="T42" s="65">
        <v>58</v>
      </c>
      <c r="U42" s="70">
        <v>0.23699999999999999</v>
      </c>
      <c r="V42" s="70">
        <v>13.564499999999999</v>
      </c>
      <c r="W42" s="70">
        <v>1.9904999999999999</v>
      </c>
      <c r="X42" s="70">
        <v>1.9904999999999999</v>
      </c>
      <c r="Y42" s="70">
        <v>13.327500000000001</v>
      </c>
      <c r="Z42" s="71">
        <v>1.7886945552962295E-2</v>
      </c>
      <c r="AA42" s="71">
        <v>0.15529373864532822</v>
      </c>
      <c r="AB42" s="72">
        <v>0.17318068419829052</v>
      </c>
    </row>
    <row r="43" spans="2:28">
      <c r="B43" s="73">
        <v>59</v>
      </c>
      <c r="C43" s="74">
        <v>0.183</v>
      </c>
      <c r="D43" s="74">
        <v>13.22</v>
      </c>
      <c r="E43" s="74">
        <v>3.367</v>
      </c>
      <c r="F43" s="74">
        <v>3.367</v>
      </c>
      <c r="G43" s="74">
        <v>13.037000000000001</v>
      </c>
      <c r="H43" s="75">
        <v>1.4036971695942316E-2</v>
      </c>
      <c r="I43" s="75">
        <v>0.2582649382526655</v>
      </c>
      <c r="J43" s="77">
        <v>0.27230190994860781</v>
      </c>
      <c r="K43" s="73">
        <v>59</v>
      </c>
      <c r="L43" s="74">
        <v>0.16</v>
      </c>
      <c r="M43" s="74">
        <v>14.679</v>
      </c>
      <c r="N43" s="76">
        <v>0.67</v>
      </c>
      <c r="O43" s="74">
        <v>0.67</v>
      </c>
      <c r="P43" s="74">
        <v>14.519</v>
      </c>
      <c r="Q43" s="75">
        <v>1.1020042702665473E-2</v>
      </c>
      <c r="R43" s="75">
        <v>4.6146428817411669E-2</v>
      </c>
      <c r="S43" s="77">
        <v>5.7166471520077144E-2</v>
      </c>
      <c r="T43" s="73">
        <v>59</v>
      </c>
      <c r="U43" s="78">
        <v>0.17149999999999999</v>
      </c>
      <c r="V43" s="78">
        <v>13.9495</v>
      </c>
      <c r="W43" s="78">
        <v>2.0185</v>
      </c>
      <c r="X43" s="78">
        <v>2.0185</v>
      </c>
      <c r="Y43" s="78">
        <v>13.778</v>
      </c>
      <c r="Z43" s="19">
        <v>1.2528507199303894E-2</v>
      </c>
      <c r="AA43" s="19">
        <v>0.15220568353503858</v>
      </c>
      <c r="AB43" s="79">
        <v>0.16473419073434248</v>
      </c>
    </row>
    <row r="44" spans="2:28">
      <c r="B44" s="65">
        <v>60</v>
      </c>
      <c r="C44" s="66">
        <v>0.123</v>
      </c>
      <c r="D44" s="66">
        <v>13.619</v>
      </c>
      <c r="E44" s="66">
        <v>3.4249999999999998</v>
      </c>
      <c r="F44" s="66">
        <v>3.4249999999999998</v>
      </c>
      <c r="G44" s="66">
        <v>13.496</v>
      </c>
      <c r="H44" s="67">
        <v>9.1138114997036147E-3</v>
      </c>
      <c r="I44" s="67">
        <v>0.25377889745109661</v>
      </c>
      <c r="J44" s="68">
        <v>0.26289270895080025</v>
      </c>
      <c r="K44" s="65">
        <v>60</v>
      </c>
      <c r="L44" s="66">
        <v>0.10299999999999999</v>
      </c>
      <c r="M44" s="66">
        <v>15.093999999999999</v>
      </c>
      <c r="N44" s="69">
        <v>0.66900000000000004</v>
      </c>
      <c r="O44" s="66">
        <v>0.66900000000000004</v>
      </c>
      <c r="P44" s="66">
        <v>14.991</v>
      </c>
      <c r="Q44" s="67">
        <v>6.8707891401507569E-3</v>
      </c>
      <c r="R44" s="67">
        <v>4.462677606563939E-2</v>
      </c>
      <c r="S44" s="68">
        <v>5.1497565205790144E-2</v>
      </c>
      <c r="T44" s="65">
        <v>60</v>
      </c>
      <c r="U44" s="70">
        <v>0.11299999999999999</v>
      </c>
      <c r="V44" s="70">
        <v>14.3565</v>
      </c>
      <c r="W44" s="70">
        <v>2.0469999999999997</v>
      </c>
      <c r="X44" s="70">
        <v>2.0469999999999997</v>
      </c>
      <c r="Y44" s="70">
        <v>14.243500000000001</v>
      </c>
      <c r="Z44" s="71">
        <v>7.9923003199271862E-3</v>
      </c>
      <c r="AA44" s="71">
        <v>0.14920283675836798</v>
      </c>
      <c r="AB44" s="72">
        <v>0.15719513707829519</v>
      </c>
    </row>
    <row r="45" spans="2:28">
      <c r="B45" s="73">
        <v>61</v>
      </c>
      <c r="C45" s="74">
        <v>7.3999999999999996E-2</v>
      </c>
      <c r="D45" s="74">
        <v>14.044</v>
      </c>
      <c r="E45" s="74">
        <v>3.4860000000000002</v>
      </c>
      <c r="F45" s="74">
        <v>3.4860000000000002</v>
      </c>
      <c r="G45" s="74">
        <v>13.97</v>
      </c>
      <c r="H45" s="75">
        <v>5.2970651395848238E-3</v>
      </c>
      <c r="I45" s="75">
        <v>0.24953471725125267</v>
      </c>
      <c r="J45" s="77">
        <v>0.25483178239083748</v>
      </c>
      <c r="K45" s="73">
        <v>61</v>
      </c>
      <c r="L45" s="74">
        <v>5.8999999999999997E-2</v>
      </c>
      <c r="M45" s="74">
        <v>15.537000000000001</v>
      </c>
      <c r="N45" s="76">
        <v>0.66800000000000004</v>
      </c>
      <c r="O45" s="74">
        <v>0.66800000000000004</v>
      </c>
      <c r="P45" s="74">
        <v>15.478000000000002</v>
      </c>
      <c r="Q45" s="75">
        <v>3.8118619976741175E-3</v>
      </c>
      <c r="R45" s="75">
        <v>4.3158030753327303E-2</v>
      </c>
      <c r="S45" s="77">
        <v>4.696989275100142E-2</v>
      </c>
      <c r="T45" s="73">
        <v>61</v>
      </c>
      <c r="U45" s="78">
        <v>6.6500000000000004E-2</v>
      </c>
      <c r="V45" s="78">
        <v>14.790500000000002</v>
      </c>
      <c r="W45" s="78">
        <v>2.077</v>
      </c>
      <c r="X45" s="78">
        <v>2.077</v>
      </c>
      <c r="Y45" s="78">
        <v>14.724</v>
      </c>
      <c r="Z45" s="19">
        <v>4.5544635686294707E-3</v>
      </c>
      <c r="AA45" s="19">
        <v>0.14634637400229</v>
      </c>
      <c r="AB45" s="79">
        <v>0.15090083757091946</v>
      </c>
    </row>
    <row r="46" spans="2:28">
      <c r="B46" s="65">
        <v>62</v>
      </c>
      <c r="C46" s="66">
        <v>3.6999999999999998E-2</v>
      </c>
      <c r="D46" s="66">
        <v>14.497999999999999</v>
      </c>
      <c r="E46" s="66">
        <v>3.5329999999999999</v>
      </c>
      <c r="F46" s="66">
        <v>3.5329999999999999</v>
      </c>
      <c r="G46" s="66">
        <v>14.460999999999999</v>
      </c>
      <c r="H46" s="67">
        <v>2.5586059055390364E-3</v>
      </c>
      <c r="I46" s="67">
        <v>0.24431228822349771</v>
      </c>
      <c r="J46" s="68">
        <v>0.24687089412903673</v>
      </c>
      <c r="K46" s="65">
        <v>62</v>
      </c>
      <c r="L46" s="66">
        <v>2.8000000000000001E-2</v>
      </c>
      <c r="M46" s="66">
        <v>16.010999999999999</v>
      </c>
      <c r="N46" s="69">
        <v>0.66500000000000004</v>
      </c>
      <c r="O46" s="66">
        <v>0.66500000000000004</v>
      </c>
      <c r="P46" s="66">
        <v>15.982999999999999</v>
      </c>
      <c r="Q46" s="67">
        <v>1.7518613526872303E-3</v>
      </c>
      <c r="R46" s="67">
        <v>4.1606707126321724E-2</v>
      </c>
      <c r="S46" s="68">
        <v>4.3358568479008951E-2</v>
      </c>
      <c r="T46" s="65">
        <v>62</v>
      </c>
      <c r="U46" s="70">
        <v>3.2500000000000001E-2</v>
      </c>
      <c r="V46" s="70">
        <v>15.2545</v>
      </c>
      <c r="W46" s="70">
        <v>2.0990000000000002</v>
      </c>
      <c r="X46" s="70">
        <v>2.0990000000000002</v>
      </c>
      <c r="Y46" s="70">
        <v>15.221999999999998</v>
      </c>
      <c r="Z46" s="71">
        <v>2.1552336291131334E-3</v>
      </c>
      <c r="AA46" s="71">
        <v>0.14295949767490973</v>
      </c>
      <c r="AB46" s="72">
        <v>0.14511473130402283</v>
      </c>
    </row>
    <row r="47" spans="2:28">
      <c r="B47" s="73">
        <v>63</v>
      </c>
      <c r="C47" s="74">
        <v>1.4E-2</v>
      </c>
      <c r="D47" s="74">
        <v>14.983000000000001</v>
      </c>
      <c r="E47" s="74">
        <v>3.58</v>
      </c>
      <c r="F47" s="74">
        <v>3.58</v>
      </c>
      <c r="G47" s="74">
        <v>14.969000000000001</v>
      </c>
      <c r="H47" s="75">
        <v>9.3526621684815274E-4</v>
      </c>
      <c r="I47" s="75">
        <v>0.23916093259402765</v>
      </c>
      <c r="J47" s="77">
        <v>0.24009619881087579</v>
      </c>
      <c r="K47" s="73">
        <v>63</v>
      </c>
      <c r="L47" s="74">
        <v>0.01</v>
      </c>
      <c r="M47" s="74">
        <v>16.516999999999999</v>
      </c>
      <c r="N47" s="76">
        <v>0.66100000000000003</v>
      </c>
      <c r="O47" s="74">
        <v>0.66100000000000003</v>
      </c>
      <c r="P47" s="74">
        <v>16.506999999999998</v>
      </c>
      <c r="Q47" s="75">
        <v>6.0580359847337505E-4</v>
      </c>
      <c r="R47" s="75">
        <v>4.0043617859090087E-2</v>
      </c>
      <c r="S47" s="77">
        <v>4.0649421457563464E-2</v>
      </c>
      <c r="T47" s="73">
        <v>63</v>
      </c>
      <c r="U47" s="78">
        <v>1.2E-2</v>
      </c>
      <c r="V47" s="78">
        <v>15.75</v>
      </c>
      <c r="W47" s="78">
        <v>2.1204999999999998</v>
      </c>
      <c r="X47" s="78">
        <v>2.1204999999999998</v>
      </c>
      <c r="Y47" s="78">
        <v>15.738</v>
      </c>
      <c r="Z47" s="19">
        <v>7.7053490766076384E-4</v>
      </c>
      <c r="AA47" s="19">
        <v>0.13960227522655888</v>
      </c>
      <c r="AB47" s="79">
        <v>0.14037281013421962</v>
      </c>
    </row>
    <row r="48" spans="2:28">
      <c r="B48" s="65">
        <v>64</v>
      </c>
      <c r="C48" s="66">
        <v>3.0000000000000001E-3</v>
      </c>
      <c r="D48" s="66">
        <v>15.500999999999999</v>
      </c>
      <c r="E48" s="66">
        <v>3.6259999999999999</v>
      </c>
      <c r="F48" s="66">
        <v>3.6259999999999999</v>
      </c>
      <c r="G48" s="66">
        <v>15.497999999999999</v>
      </c>
      <c r="H48" s="67">
        <v>1.9357336430507162E-4</v>
      </c>
      <c r="I48" s="67">
        <v>0.23396567299006324</v>
      </c>
      <c r="J48" s="68">
        <v>0.2341592463543683</v>
      </c>
      <c r="K48" s="65">
        <v>64</v>
      </c>
      <c r="L48" s="66">
        <v>2E-3</v>
      </c>
      <c r="M48" s="66">
        <v>17.053000000000001</v>
      </c>
      <c r="N48" s="69">
        <v>0.65600000000000003</v>
      </c>
      <c r="O48" s="66">
        <v>0.65600000000000003</v>
      </c>
      <c r="P48" s="66">
        <v>17.051000000000002</v>
      </c>
      <c r="Q48" s="67">
        <v>1.1729517330361855E-4</v>
      </c>
      <c r="R48" s="67">
        <v>3.8472816843586881E-2</v>
      </c>
      <c r="S48" s="68">
        <v>3.8590112016890499E-2</v>
      </c>
      <c r="T48" s="65">
        <v>64</v>
      </c>
      <c r="U48" s="70">
        <v>2.5000000000000001E-3</v>
      </c>
      <c r="V48" s="70">
        <v>16.277000000000001</v>
      </c>
      <c r="W48" s="70">
        <v>2.141</v>
      </c>
      <c r="X48" s="70">
        <v>2.141</v>
      </c>
      <c r="Y48" s="70">
        <v>16.2745</v>
      </c>
      <c r="Z48" s="71">
        <v>1.5543426880434508E-4</v>
      </c>
      <c r="AA48" s="71">
        <v>0.13621924491682505</v>
      </c>
      <c r="AB48" s="72">
        <v>0.1363746791856294</v>
      </c>
    </row>
    <row r="49" spans="2:28">
      <c r="B49" s="80">
        <v>65</v>
      </c>
      <c r="C49" s="81">
        <v>0</v>
      </c>
      <c r="D49" s="81">
        <v>16.053000000000001</v>
      </c>
      <c r="E49" s="81">
        <v>3.6680000000000001</v>
      </c>
      <c r="F49" s="81">
        <v>3.6680000000000001</v>
      </c>
      <c r="G49" s="81">
        <v>16.053000000000001</v>
      </c>
      <c r="H49" s="82">
        <v>0</v>
      </c>
      <c r="I49" s="82">
        <v>0.2284931165514234</v>
      </c>
      <c r="J49" s="83">
        <v>0.2284931165514234</v>
      </c>
      <c r="K49" s="80">
        <v>65</v>
      </c>
      <c r="L49" s="81">
        <v>0</v>
      </c>
      <c r="M49" s="81">
        <v>17.619</v>
      </c>
      <c r="N49" s="84">
        <v>0.623</v>
      </c>
      <c r="O49" s="81">
        <v>0.623</v>
      </c>
      <c r="P49" s="81">
        <v>17.619</v>
      </c>
      <c r="Q49" s="82">
        <v>0</v>
      </c>
      <c r="R49" s="82">
        <v>3.5359555025824392E-2</v>
      </c>
      <c r="S49" s="83">
        <v>3.5359555025824392E-2</v>
      </c>
      <c r="T49" s="80">
        <v>65</v>
      </c>
      <c r="U49" s="85">
        <v>0</v>
      </c>
      <c r="V49" s="85">
        <v>16.835999999999999</v>
      </c>
      <c r="W49" s="85">
        <v>2.1455000000000002</v>
      </c>
      <c r="X49" s="85">
        <v>2.1455000000000002</v>
      </c>
      <c r="Y49" s="85">
        <v>16.835999999999999</v>
      </c>
      <c r="Z49" s="86">
        <v>0</v>
      </c>
      <c r="AA49" s="86">
        <v>0.13192633578862389</v>
      </c>
      <c r="AB49" s="87">
        <v>0.13192633578862389</v>
      </c>
    </row>
    <row r="50" spans="2:28">
      <c r="B50" s="65">
        <v>66</v>
      </c>
      <c r="C50" s="66"/>
      <c r="D50" s="66">
        <v>15.661</v>
      </c>
      <c r="E50" s="66">
        <v>3.6739999999999999</v>
      </c>
      <c r="F50" s="66">
        <v>3.6739999999999999</v>
      </c>
      <c r="G50" s="66">
        <v>15.661</v>
      </c>
      <c r="H50" s="67">
        <v>0</v>
      </c>
      <c r="I50" s="67">
        <v>0.23459549198646318</v>
      </c>
      <c r="J50" s="68">
        <v>0.23459549198646318</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16.439</v>
      </c>
      <c r="W50" s="70">
        <v>2.1389999999999998</v>
      </c>
      <c r="X50" s="70">
        <v>2.1389999999999998</v>
      </c>
      <c r="Y50" s="70">
        <v>16.439</v>
      </c>
      <c r="Z50" s="71">
        <v>0</v>
      </c>
      <c r="AA50" s="71">
        <v>0.13483854868824233</v>
      </c>
      <c r="AB50" s="72">
        <v>0.13483854868824233</v>
      </c>
    </row>
    <row r="51" spans="2:28">
      <c r="B51" s="73">
        <v>67</v>
      </c>
      <c r="C51" s="74"/>
      <c r="D51" s="74">
        <v>15.260999999999999</v>
      </c>
      <c r="E51" s="74">
        <v>3.6779999999999999</v>
      </c>
      <c r="F51" s="74">
        <v>3.6779999999999999</v>
      </c>
      <c r="G51" s="74">
        <v>15.260999999999999</v>
      </c>
      <c r="H51" s="75">
        <v>0</v>
      </c>
      <c r="I51" s="75">
        <v>0.24100648712404169</v>
      </c>
      <c r="J51" s="77">
        <v>0.24100648712404169</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16.032</v>
      </c>
      <c r="W51" s="78">
        <v>2.1320000000000001</v>
      </c>
      <c r="X51" s="78">
        <v>2.1320000000000001</v>
      </c>
      <c r="Y51" s="78">
        <v>16.032</v>
      </c>
      <c r="Z51" s="19">
        <v>0</v>
      </c>
      <c r="AA51" s="19">
        <v>0.13794060593778706</v>
      </c>
      <c r="AB51" s="79">
        <v>0.13794060593778706</v>
      </c>
    </row>
    <row r="52" spans="2:28">
      <c r="B52" s="65">
        <v>68</v>
      </c>
      <c r="C52" s="66"/>
      <c r="D52" s="66">
        <v>14.851000000000001</v>
      </c>
      <c r="E52" s="66">
        <v>3.68</v>
      </c>
      <c r="F52" s="66">
        <v>3.68</v>
      </c>
      <c r="G52" s="66">
        <v>14.851000000000001</v>
      </c>
      <c r="H52" s="67">
        <v>0</v>
      </c>
      <c r="I52" s="67">
        <v>0.24779476129553565</v>
      </c>
      <c r="J52" s="68">
        <v>0.24779476129553565</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15.6145</v>
      </c>
      <c r="W52" s="70">
        <v>2.1234999999999999</v>
      </c>
      <c r="X52" s="70">
        <v>2.1234999999999999</v>
      </c>
      <c r="Y52" s="70">
        <v>15.6145</v>
      </c>
      <c r="Z52" s="71">
        <v>0</v>
      </c>
      <c r="AA52" s="71">
        <v>0.14120718648486638</v>
      </c>
      <c r="AB52" s="72">
        <v>0.14120718648486638</v>
      </c>
    </row>
    <row r="53" spans="2:28">
      <c r="B53" s="73">
        <v>69</v>
      </c>
      <c r="C53" s="74"/>
      <c r="D53" s="74">
        <v>14.432</v>
      </c>
      <c r="E53" s="74">
        <v>3.681</v>
      </c>
      <c r="F53" s="74">
        <v>3.681</v>
      </c>
      <c r="G53" s="74">
        <v>14.432</v>
      </c>
      <c r="H53" s="75">
        <v>0</v>
      </c>
      <c r="I53" s="75">
        <v>0.25505820399113083</v>
      </c>
      <c r="J53" s="77">
        <v>0.25505820399113083</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15.186</v>
      </c>
      <c r="W53" s="78">
        <v>2.1150000000000002</v>
      </c>
      <c r="X53" s="78">
        <v>2.1150000000000002</v>
      </c>
      <c r="Y53" s="78">
        <v>15.186</v>
      </c>
      <c r="Z53" s="19">
        <v>0</v>
      </c>
      <c r="AA53" s="19">
        <v>0.14474993010096066</v>
      </c>
      <c r="AB53" s="79">
        <v>0.14474993010096066</v>
      </c>
    </row>
    <row r="54" spans="2:28">
      <c r="B54" s="65">
        <v>70</v>
      </c>
      <c r="C54" s="66"/>
      <c r="D54" s="66">
        <v>14.002000000000001</v>
      </c>
      <c r="E54" s="66">
        <v>3.6789999999999998</v>
      </c>
      <c r="F54" s="66">
        <v>3.6789999999999998</v>
      </c>
      <c r="G54" s="66">
        <v>14.002000000000001</v>
      </c>
      <c r="H54" s="67">
        <v>0</v>
      </c>
      <c r="I54" s="67">
        <v>0.26274817883159546</v>
      </c>
      <c r="J54" s="68">
        <v>0.26274817883159546</v>
      </c>
      <c r="K54" s="65">
        <v>70</v>
      </c>
      <c r="L54" s="66">
        <v>0</v>
      </c>
      <c r="M54" s="66">
        <v>15.49</v>
      </c>
      <c r="N54" s="69">
        <v>0.53</v>
      </c>
      <c r="O54" s="66">
        <v>0.53</v>
      </c>
      <c r="P54" s="66">
        <v>15.49</v>
      </c>
      <c r="Q54" s="67">
        <v>0</v>
      </c>
      <c r="R54" s="67">
        <v>3.4215622982569402E-2</v>
      </c>
      <c r="S54" s="68">
        <v>3.4215622982569402E-2</v>
      </c>
      <c r="T54" s="65">
        <v>70</v>
      </c>
      <c r="U54" s="70">
        <v>0</v>
      </c>
      <c r="V54" s="70">
        <v>14.746</v>
      </c>
      <c r="W54" s="70">
        <v>2.1044999999999998</v>
      </c>
      <c r="X54" s="70">
        <v>2.1044999999999998</v>
      </c>
      <c r="Y54" s="70">
        <v>14.746</v>
      </c>
      <c r="Z54" s="71">
        <v>0</v>
      </c>
      <c r="AA54" s="71">
        <v>0.14848190090708244</v>
      </c>
      <c r="AB54" s="72">
        <v>0.14848190090708244</v>
      </c>
    </row>
    <row r="55" spans="2:28">
      <c r="B55" s="73">
        <v>71</v>
      </c>
      <c r="C55" s="74"/>
      <c r="D55" s="74">
        <v>13.561999999999999</v>
      </c>
      <c r="E55" s="74">
        <v>3.6749999999999998</v>
      </c>
      <c r="F55" s="74">
        <v>3.6749999999999998</v>
      </c>
      <c r="G55" s="74">
        <v>13.561999999999999</v>
      </c>
      <c r="H55" s="75">
        <v>0</v>
      </c>
      <c r="I55" s="75">
        <v>0.27097773189795016</v>
      </c>
      <c r="J55" s="77">
        <v>0.27097773189795016</v>
      </c>
      <c r="K55" s="73">
        <v>71</v>
      </c>
      <c r="L55" s="74">
        <v>0</v>
      </c>
      <c r="M55" s="74">
        <v>15.026</v>
      </c>
      <c r="N55" s="76">
        <v>0.51</v>
      </c>
      <c r="O55" s="74">
        <v>0.51</v>
      </c>
      <c r="P55" s="74">
        <v>15.026</v>
      </c>
      <c r="Q55" s="75">
        <v>0</v>
      </c>
      <c r="R55" s="75">
        <v>3.3941168641022229E-2</v>
      </c>
      <c r="S55" s="77">
        <v>3.3941168641022229E-2</v>
      </c>
      <c r="T55" s="73">
        <v>71</v>
      </c>
      <c r="U55" s="78">
        <v>0</v>
      </c>
      <c r="V55" s="78">
        <v>14.294</v>
      </c>
      <c r="W55" s="78">
        <v>2.0924999999999998</v>
      </c>
      <c r="X55" s="78">
        <v>2.0924999999999998</v>
      </c>
      <c r="Y55" s="78">
        <v>14.294</v>
      </c>
      <c r="Z55" s="19">
        <v>0</v>
      </c>
      <c r="AA55" s="19">
        <v>0.15245945026948621</v>
      </c>
      <c r="AB55" s="79">
        <v>0.15245945026948621</v>
      </c>
    </row>
    <row r="56" spans="2:28">
      <c r="B56" s="65">
        <v>72</v>
      </c>
      <c r="C56" s="66"/>
      <c r="D56" s="66">
        <v>13.111000000000001</v>
      </c>
      <c r="E56" s="66">
        <v>3.669</v>
      </c>
      <c r="F56" s="66">
        <v>3.669</v>
      </c>
      <c r="G56" s="66">
        <v>13.111000000000001</v>
      </c>
      <c r="H56" s="67">
        <v>0</v>
      </c>
      <c r="I56" s="67">
        <v>0.27984135458775072</v>
      </c>
      <c r="J56" s="68">
        <v>0.27984135458775072</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13.830500000000001</v>
      </c>
      <c r="W56" s="70">
        <v>2.08</v>
      </c>
      <c r="X56" s="70">
        <v>2.08</v>
      </c>
      <c r="Y56" s="70">
        <v>13.830500000000001</v>
      </c>
      <c r="Z56" s="71">
        <v>0</v>
      </c>
      <c r="AA56" s="71">
        <v>0.15679352952755232</v>
      </c>
      <c r="AB56" s="72">
        <v>0.15679352952755232</v>
      </c>
    </row>
    <row r="57" spans="2:28">
      <c r="B57" s="73">
        <v>73</v>
      </c>
      <c r="C57" s="74"/>
      <c r="D57" s="74">
        <v>12.65</v>
      </c>
      <c r="E57" s="74">
        <v>3.6669999999999998</v>
      </c>
      <c r="F57" s="74">
        <v>3.6669999999999998</v>
      </c>
      <c r="G57" s="74">
        <v>12.65</v>
      </c>
      <c r="H57" s="75">
        <v>0</v>
      </c>
      <c r="I57" s="75">
        <v>0.28988142292490116</v>
      </c>
      <c r="J57" s="77">
        <v>0.28988142292490116</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13.356</v>
      </c>
      <c r="W57" s="78">
        <v>2.0694999999999997</v>
      </c>
      <c r="X57" s="78">
        <v>2.0694999999999997</v>
      </c>
      <c r="Y57" s="78">
        <v>13.356</v>
      </c>
      <c r="Z57" s="19">
        <v>0</v>
      </c>
      <c r="AA57" s="19">
        <v>0.16172353040712417</v>
      </c>
      <c r="AB57" s="79">
        <v>0.16172353040712417</v>
      </c>
    </row>
    <row r="58" spans="2:28">
      <c r="B58" s="65">
        <v>74</v>
      </c>
      <c r="C58" s="66"/>
      <c r="D58" s="66">
        <v>12.18</v>
      </c>
      <c r="E58" s="66">
        <v>3.6619999999999999</v>
      </c>
      <c r="F58" s="66">
        <v>3.6619999999999999</v>
      </c>
      <c r="G58" s="66">
        <v>12.18</v>
      </c>
      <c r="H58" s="67">
        <v>0</v>
      </c>
      <c r="I58" s="67">
        <v>0.30065681444991788</v>
      </c>
      <c r="J58" s="68">
        <v>0.30065681444991788</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12.870999999999999</v>
      </c>
      <c r="W58" s="70">
        <v>2.0575000000000001</v>
      </c>
      <c r="X58" s="70">
        <v>2.0575000000000001</v>
      </c>
      <c r="Y58" s="70">
        <v>12.870999999999999</v>
      </c>
      <c r="Z58" s="71">
        <v>0</v>
      </c>
      <c r="AA58" s="71">
        <v>0.16702948376234281</v>
      </c>
      <c r="AB58" s="72">
        <v>0.16702948376234281</v>
      </c>
    </row>
    <row r="59" spans="2:28">
      <c r="B59" s="73">
        <v>75</v>
      </c>
      <c r="C59" s="74"/>
      <c r="D59" s="74">
        <v>11.701000000000001</v>
      </c>
      <c r="E59" s="74">
        <v>3.6549999999999998</v>
      </c>
      <c r="F59" s="74">
        <v>3.6549999999999998</v>
      </c>
      <c r="G59" s="74">
        <v>11.701000000000001</v>
      </c>
      <c r="H59" s="75">
        <v>0</v>
      </c>
      <c r="I59" s="75">
        <v>0.31236646440475169</v>
      </c>
      <c r="J59" s="77">
        <v>0.31236646440475169</v>
      </c>
      <c r="K59" s="73">
        <v>75</v>
      </c>
      <c r="L59" s="74">
        <v>0</v>
      </c>
      <c r="M59" s="74">
        <v>13.051</v>
      </c>
      <c r="N59" s="76">
        <v>0.434</v>
      </c>
      <c r="O59" s="74">
        <v>0.434</v>
      </c>
      <c r="P59" s="74">
        <v>13.051</v>
      </c>
      <c r="Q59" s="75">
        <v>0</v>
      </c>
      <c r="R59" s="75">
        <v>3.3254156769596199E-2</v>
      </c>
      <c r="S59" s="77">
        <v>3.3254156769596199E-2</v>
      </c>
      <c r="T59" s="73">
        <v>75</v>
      </c>
      <c r="U59" s="78">
        <v>0</v>
      </c>
      <c r="V59" s="78">
        <v>12.376000000000001</v>
      </c>
      <c r="W59" s="78">
        <v>2.0444999999999998</v>
      </c>
      <c r="X59" s="78">
        <v>2.0444999999999998</v>
      </c>
      <c r="Y59" s="78">
        <v>12.376000000000001</v>
      </c>
      <c r="Z59" s="19">
        <v>0</v>
      </c>
      <c r="AA59" s="19">
        <v>0.17281031058717394</v>
      </c>
      <c r="AB59" s="79">
        <v>0.17281031058717394</v>
      </c>
    </row>
    <row r="60" spans="2:28">
      <c r="B60" s="65">
        <v>76</v>
      </c>
      <c r="C60" s="66"/>
      <c r="D60" s="66">
        <v>11.215</v>
      </c>
      <c r="E60" s="66">
        <v>3.6429999999999998</v>
      </c>
      <c r="F60" s="66">
        <v>3.6429999999999998</v>
      </c>
      <c r="G60" s="66">
        <v>11.215</v>
      </c>
      <c r="H60" s="67">
        <v>0</v>
      </c>
      <c r="I60" s="67">
        <v>0.32483281319661167</v>
      </c>
      <c r="J60" s="68">
        <v>0.32483281319661167</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11.873000000000001</v>
      </c>
      <c r="W60" s="70">
        <v>2.0284999999999997</v>
      </c>
      <c r="X60" s="70">
        <v>2.0284999999999997</v>
      </c>
      <c r="Y60" s="70">
        <v>11.873000000000001</v>
      </c>
      <c r="Z60" s="71">
        <v>0</v>
      </c>
      <c r="AA60" s="71">
        <v>0.17893543939696516</v>
      </c>
      <c r="AB60" s="72">
        <v>0.17893543939696516</v>
      </c>
    </row>
    <row r="61" spans="2:28">
      <c r="B61" s="73">
        <v>77</v>
      </c>
      <c r="C61" s="74"/>
      <c r="D61" s="74">
        <v>10.724</v>
      </c>
      <c r="E61" s="74">
        <v>3.625</v>
      </c>
      <c r="F61" s="74">
        <v>3.625</v>
      </c>
      <c r="G61" s="74">
        <v>10.724</v>
      </c>
      <c r="H61" s="75">
        <v>0</v>
      </c>
      <c r="I61" s="75">
        <v>0.33802685565087653</v>
      </c>
      <c r="J61" s="77">
        <v>0.33802685565087653</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11.3635</v>
      </c>
      <c r="W61" s="78">
        <v>2.0089999999999999</v>
      </c>
      <c r="X61" s="78">
        <v>2.0089999999999999</v>
      </c>
      <c r="Y61" s="78">
        <v>11.3635</v>
      </c>
      <c r="Z61" s="19">
        <v>0</v>
      </c>
      <c r="AA61" s="19">
        <v>0.18538433509861996</v>
      </c>
      <c r="AB61" s="79">
        <v>0.18538433509861996</v>
      </c>
    </row>
    <row r="62" spans="2:28">
      <c r="B62" s="65">
        <v>78</v>
      </c>
      <c r="C62" s="66"/>
      <c r="D62" s="66">
        <v>10.228999999999999</v>
      </c>
      <c r="E62" s="66">
        <v>3.601</v>
      </c>
      <c r="F62" s="66">
        <v>3.601</v>
      </c>
      <c r="G62" s="66">
        <v>10.228999999999999</v>
      </c>
      <c r="H62" s="67">
        <v>0</v>
      </c>
      <c r="I62" s="67">
        <v>0.35203832241665856</v>
      </c>
      <c r="J62" s="68">
        <v>0.35203832241665856</v>
      </c>
      <c r="K62" s="65">
        <v>78</v>
      </c>
      <c r="L62" s="66">
        <v>0</v>
      </c>
      <c r="M62" s="66">
        <v>11.47</v>
      </c>
      <c r="N62" s="69">
        <v>0.371</v>
      </c>
      <c r="O62" s="66">
        <v>0.371</v>
      </c>
      <c r="P62" s="66">
        <v>11.47</v>
      </c>
      <c r="Q62" s="67">
        <v>0</v>
      </c>
      <c r="R62" s="67">
        <v>3.2345248474280733E-2</v>
      </c>
      <c r="S62" s="68">
        <v>3.2345248474280733E-2</v>
      </c>
      <c r="T62" s="65">
        <v>78</v>
      </c>
      <c r="U62" s="70">
        <v>0</v>
      </c>
      <c r="V62" s="70">
        <v>10.849499999999999</v>
      </c>
      <c r="W62" s="70">
        <v>1.986</v>
      </c>
      <c r="X62" s="70">
        <v>1.986</v>
      </c>
      <c r="Y62" s="70">
        <v>10.849499999999999</v>
      </c>
      <c r="Z62" s="71">
        <v>0</v>
      </c>
      <c r="AA62" s="71">
        <v>0.19219178544546964</v>
      </c>
      <c r="AB62" s="72">
        <v>0.19219178544546964</v>
      </c>
    </row>
    <row r="63" spans="2:28">
      <c r="B63" s="73">
        <v>79</v>
      </c>
      <c r="C63" s="74"/>
      <c r="D63" s="74">
        <v>9.7330000000000005</v>
      </c>
      <c r="E63" s="74">
        <v>3.57</v>
      </c>
      <c r="F63" s="74">
        <v>3.57</v>
      </c>
      <c r="G63" s="74">
        <v>9.7330000000000005</v>
      </c>
      <c r="H63" s="75">
        <v>0</v>
      </c>
      <c r="I63" s="75">
        <v>0.36679338333504569</v>
      </c>
      <c r="J63" s="77">
        <v>0.36679338333504569</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10.3325</v>
      </c>
      <c r="W63" s="78">
        <v>1.9594999999999998</v>
      </c>
      <c r="X63" s="78">
        <v>1.9594999999999998</v>
      </c>
      <c r="Y63" s="78">
        <v>10.3325</v>
      </c>
      <c r="Z63" s="19">
        <v>0</v>
      </c>
      <c r="AA63" s="19">
        <v>0.19935900414465418</v>
      </c>
      <c r="AB63" s="79">
        <v>0.19935900414465418</v>
      </c>
    </row>
    <row r="64" spans="2:28">
      <c r="B64" s="65">
        <v>80</v>
      </c>
      <c r="C64" s="66"/>
      <c r="D64" s="66">
        <v>9.2379999999999995</v>
      </c>
      <c r="E64" s="66">
        <v>3.5310000000000001</v>
      </c>
      <c r="F64" s="66">
        <v>3.5310000000000001</v>
      </c>
      <c r="G64" s="66">
        <v>9.2379999999999995</v>
      </c>
      <c r="H64" s="67">
        <v>0</v>
      </c>
      <c r="I64" s="67">
        <v>0.38222558995453565</v>
      </c>
      <c r="J64" s="68">
        <v>0.38222558995453565</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9.8149999999999995</v>
      </c>
      <c r="W64" s="70">
        <v>1.929</v>
      </c>
      <c r="X64" s="70">
        <v>1.929</v>
      </c>
      <c r="Y64" s="70">
        <v>9.8149999999999995</v>
      </c>
      <c r="Z64" s="71">
        <v>0</v>
      </c>
      <c r="AA64" s="71">
        <v>0.20684605132830708</v>
      </c>
      <c r="AB64" s="72">
        <v>0.20684605132830708</v>
      </c>
    </row>
    <row r="65" spans="2:28">
      <c r="B65" s="73">
        <v>81</v>
      </c>
      <c r="C65" s="74"/>
      <c r="D65" s="74">
        <v>8.7469999999999999</v>
      </c>
      <c r="E65" s="74">
        <v>3.4820000000000002</v>
      </c>
      <c r="F65" s="74">
        <v>3.4820000000000002</v>
      </c>
      <c r="G65" s="74">
        <v>8.7469999999999999</v>
      </c>
      <c r="H65" s="75">
        <v>0</v>
      </c>
      <c r="I65" s="75">
        <v>0.39807934148851037</v>
      </c>
      <c r="J65" s="77">
        <v>0.39807934148851037</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9.3000000000000007</v>
      </c>
      <c r="W65" s="78">
        <v>1.893</v>
      </c>
      <c r="X65" s="78">
        <v>1.893</v>
      </c>
      <c r="Y65" s="78">
        <v>9.3000000000000007</v>
      </c>
      <c r="Z65" s="19">
        <v>0</v>
      </c>
      <c r="AA65" s="19">
        <v>0.21446644431575626</v>
      </c>
      <c r="AB65" s="79">
        <v>0.21446644431575626</v>
      </c>
    </row>
    <row r="66" spans="2:28">
      <c r="B66" s="65">
        <v>82</v>
      </c>
      <c r="C66" s="66"/>
      <c r="D66" s="66">
        <v>8.2629999999999999</v>
      </c>
      <c r="E66" s="66">
        <v>3.4089999999999998</v>
      </c>
      <c r="F66" s="66">
        <v>3.4089999999999998</v>
      </c>
      <c r="G66" s="66">
        <v>8.2629999999999999</v>
      </c>
      <c r="H66" s="67">
        <v>0</v>
      </c>
      <c r="I66" s="67">
        <v>0.41256202347815563</v>
      </c>
      <c r="J66" s="68">
        <v>0.41256202347815563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8.7904999999999998</v>
      </c>
      <c r="W66" s="70">
        <v>1.845</v>
      </c>
      <c r="X66" s="70">
        <v>1.845</v>
      </c>
      <c r="Y66" s="70">
        <v>8.7904999999999998</v>
      </c>
      <c r="Z66" s="71">
        <v>0</v>
      </c>
      <c r="AA66" s="71">
        <v>0.22135935473113619</v>
      </c>
      <c r="AB66" s="72">
        <v>0.22135935473113619</v>
      </c>
    </row>
    <row r="67" spans="2:28">
      <c r="B67" s="73">
        <v>83</v>
      </c>
      <c r="C67" s="74"/>
      <c r="D67" s="74">
        <v>7.7880000000000003</v>
      </c>
      <c r="E67" s="74">
        <v>3.3220000000000001</v>
      </c>
      <c r="F67" s="74">
        <v>3.3220000000000001</v>
      </c>
      <c r="G67" s="74">
        <v>7.7880000000000003</v>
      </c>
      <c r="H67" s="75">
        <v>0</v>
      </c>
      <c r="I67" s="75">
        <v>0.42655367231638419</v>
      </c>
      <c r="J67" s="77">
        <v>0.42655367231638419</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8.2884999999999991</v>
      </c>
      <c r="W67" s="78">
        <v>1.79</v>
      </c>
      <c r="X67" s="78">
        <v>1.79</v>
      </c>
      <c r="Y67" s="78">
        <v>8.2884999999999991</v>
      </c>
      <c r="Z67" s="19">
        <v>0</v>
      </c>
      <c r="AA67" s="19">
        <v>0.22795427386441577</v>
      </c>
      <c r="AB67" s="79">
        <v>0.22795427386441577</v>
      </c>
    </row>
    <row r="68" spans="2:28">
      <c r="B68" s="65">
        <v>84</v>
      </c>
      <c r="C68" s="66"/>
      <c r="D68" s="66">
        <v>7.327</v>
      </c>
      <c r="E68" s="66">
        <v>3.2229999999999999</v>
      </c>
      <c r="F68" s="66">
        <v>3.2229999999999999</v>
      </c>
      <c r="G68" s="66">
        <v>7.327</v>
      </c>
      <c r="H68" s="67">
        <v>0</v>
      </c>
      <c r="I68" s="67">
        <v>0.43987989627405483</v>
      </c>
      <c r="J68" s="68">
        <v>0.43987989627405483</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7.7990000000000004</v>
      </c>
      <c r="W68" s="70">
        <v>1.7289999999999999</v>
      </c>
      <c r="X68" s="70">
        <v>1.7289999999999999</v>
      </c>
      <c r="Y68" s="70">
        <v>7.7990000000000004</v>
      </c>
      <c r="Z68" s="71">
        <v>0</v>
      </c>
      <c r="AA68" s="71">
        <v>0.23414621098311617</v>
      </c>
      <c r="AB68" s="72">
        <v>0.23414621098311617</v>
      </c>
    </row>
    <row r="69" spans="2:28">
      <c r="B69" s="73">
        <v>85</v>
      </c>
      <c r="C69" s="74"/>
      <c r="D69" s="74">
        <v>6.883</v>
      </c>
      <c r="E69" s="74">
        <v>3.1139999999999999</v>
      </c>
      <c r="F69" s="74">
        <v>3.1139999999999999</v>
      </c>
      <c r="G69" s="74">
        <v>6.883</v>
      </c>
      <c r="H69" s="75">
        <v>0</v>
      </c>
      <c r="I69" s="75">
        <v>0.45241900334156615</v>
      </c>
      <c r="J69" s="77">
        <v>0.45241900334156615</v>
      </c>
      <c r="K69" s="73">
        <v>85</v>
      </c>
      <c r="L69" s="74">
        <v>0</v>
      </c>
      <c r="M69" s="74">
        <v>7.7679999999999998</v>
      </c>
      <c r="N69" s="76">
        <v>0.21</v>
      </c>
      <c r="O69" s="74">
        <v>0.21</v>
      </c>
      <c r="P69" s="74">
        <v>7.7679999999999998</v>
      </c>
      <c r="Q69" s="75">
        <v>0</v>
      </c>
      <c r="R69" s="75">
        <v>2.7033985581874358E-2</v>
      </c>
      <c r="S69" s="77">
        <v>2.7033985581874358E-2</v>
      </c>
      <c r="T69" s="73">
        <v>85</v>
      </c>
      <c r="U69" s="78">
        <v>0</v>
      </c>
      <c r="V69" s="78">
        <v>7.3254999999999999</v>
      </c>
      <c r="W69" s="78">
        <v>1.6619999999999999</v>
      </c>
      <c r="X69" s="78">
        <v>1.6619999999999999</v>
      </c>
      <c r="Y69" s="78">
        <v>7.3254999999999999</v>
      </c>
      <c r="Z69" s="19">
        <v>0</v>
      </c>
      <c r="AA69" s="19">
        <v>0.23972649446172026</v>
      </c>
      <c r="AB69" s="79">
        <v>0.23972649446172026</v>
      </c>
    </row>
    <row r="70" spans="2:28">
      <c r="B70" s="65">
        <v>86</v>
      </c>
      <c r="C70" s="66"/>
      <c r="D70" s="66">
        <v>6.4619999999999997</v>
      </c>
      <c r="E70" s="66">
        <v>2.9969999999999999</v>
      </c>
      <c r="F70" s="66">
        <v>2.9969999999999999</v>
      </c>
      <c r="G70" s="66">
        <v>6.4619999999999997</v>
      </c>
      <c r="H70" s="67">
        <v>0</v>
      </c>
      <c r="I70" s="67">
        <v>0.46378830083565459</v>
      </c>
      <c r="J70" s="68">
        <v>0.46378830083565459</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1.5914999999999999</v>
      </c>
      <c r="X70" s="70">
        <v>1.5914999999999999</v>
      </c>
      <c r="Y70" s="70">
        <v>6.8734999999999999</v>
      </c>
      <c r="Z70" s="71">
        <v>0</v>
      </c>
      <c r="AA70" s="71">
        <v>0.2446601078646358</v>
      </c>
      <c r="AB70" s="72">
        <v>0.2446601078646358</v>
      </c>
    </row>
    <row r="71" spans="2:28">
      <c r="B71" s="73">
        <v>87</v>
      </c>
      <c r="C71" s="74"/>
      <c r="D71" s="74">
        <v>6.069</v>
      </c>
      <c r="E71" s="74">
        <v>2.8730000000000002</v>
      </c>
      <c r="F71" s="74">
        <v>2.8730000000000002</v>
      </c>
      <c r="G71" s="74">
        <v>6.069</v>
      </c>
      <c r="H71" s="75">
        <v>0</v>
      </c>
      <c r="I71" s="75">
        <v>0.47338935574229696</v>
      </c>
      <c r="J71" s="77">
        <v>0.47338935574229696</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1.5175000000000001</v>
      </c>
      <c r="X71" s="78">
        <v>1.5175000000000001</v>
      </c>
      <c r="Y71" s="78">
        <v>6.4474999999999998</v>
      </c>
      <c r="Z71" s="19">
        <v>0</v>
      </c>
      <c r="AA71" s="19">
        <v>0.24856107107360967</v>
      </c>
      <c r="AB71" s="79">
        <v>0.24856107107360967</v>
      </c>
    </row>
    <row r="72" spans="2:28">
      <c r="B72" s="65">
        <v>88</v>
      </c>
      <c r="C72" s="66"/>
      <c r="D72" s="66">
        <v>5.7119999999999997</v>
      </c>
      <c r="E72" s="66">
        <v>2.7149999999999999</v>
      </c>
      <c r="F72" s="66">
        <v>2.7149999999999999</v>
      </c>
      <c r="G72" s="66">
        <v>5.7119999999999997</v>
      </c>
      <c r="H72" s="67">
        <v>0</v>
      </c>
      <c r="I72" s="67">
        <v>0.47531512605042014</v>
      </c>
      <c r="J72" s="68">
        <v>0.47531512605042014</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1.4275</v>
      </c>
      <c r="X72" s="70">
        <v>1.4275</v>
      </c>
      <c r="Y72" s="70">
        <v>6.0549999999999997</v>
      </c>
      <c r="Z72" s="71">
        <v>0</v>
      </c>
      <c r="AA72" s="71">
        <v>0.2485984820624092</v>
      </c>
      <c r="AB72" s="72">
        <v>0.2485984820624092</v>
      </c>
    </row>
    <row r="73" spans="2:28">
      <c r="B73" s="73">
        <v>89</v>
      </c>
      <c r="C73" s="74"/>
      <c r="D73" s="74">
        <v>5.3979999999999997</v>
      </c>
      <c r="E73" s="74">
        <v>2.5489999999999999</v>
      </c>
      <c r="F73" s="74">
        <v>2.5489999999999999</v>
      </c>
      <c r="G73" s="74">
        <v>5.3979999999999997</v>
      </c>
      <c r="H73" s="75">
        <v>0</v>
      </c>
      <c r="I73" s="75">
        <v>0.4722119303445721</v>
      </c>
      <c r="J73" s="77">
        <v>0.4722119303445721</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1.333</v>
      </c>
      <c r="X73" s="78">
        <v>1.333</v>
      </c>
      <c r="Y73" s="78">
        <v>5.7024999999999997</v>
      </c>
      <c r="Z73" s="19">
        <v>0</v>
      </c>
      <c r="AA73" s="19">
        <v>0.2458446034276548</v>
      </c>
      <c r="AB73" s="79">
        <v>0.2458446034276548</v>
      </c>
    </row>
    <row r="74" spans="2:28">
      <c r="B74" s="65">
        <v>90</v>
      </c>
      <c r="C74" s="66"/>
      <c r="D74" s="66">
        <v>5.1150000000000002</v>
      </c>
      <c r="E74" s="66">
        <v>2.387</v>
      </c>
      <c r="F74" s="66">
        <v>2.387</v>
      </c>
      <c r="G74" s="66">
        <v>5.1150000000000002</v>
      </c>
      <c r="H74" s="67">
        <v>0</v>
      </c>
      <c r="I74" s="67">
        <v>0.46666666666666667</v>
      </c>
      <c r="J74" s="68">
        <v>0.46666666666666667</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1.242</v>
      </c>
      <c r="X74" s="70">
        <v>1.242</v>
      </c>
      <c r="Y74" s="70">
        <v>5.3849999999999998</v>
      </c>
      <c r="Z74" s="71">
        <v>0</v>
      </c>
      <c r="AA74" s="71">
        <v>0.24190981432360742</v>
      </c>
      <c r="AB74" s="72">
        <v>0.24190981432360742</v>
      </c>
    </row>
    <row r="75" spans="2:28">
      <c r="B75" s="73">
        <v>91</v>
      </c>
      <c r="C75" s="74"/>
      <c r="D75" s="74">
        <v>4.8499999999999996</v>
      </c>
      <c r="E75" s="74">
        <v>2.2040000000000002</v>
      </c>
      <c r="F75" s="74">
        <v>2.2040000000000002</v>
      </c>
      <c r="G75" s="74">
        <v>4.8499999999999996</v>
      </c>
      <c r="H75" s="75">
        <v>0</v>
      </c>
      <c r="I75" s="75">
        <v>0.45443298969072171</v>
      </c>
      <c r="J75" s="77">
        <v>0.45443298969072171</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1.1420000000000001</v>
      </c>
      <c r="X75" s="78">
        <v>1.1420000000000001</v>
      </c>
      <c r="Y75" s="78">
        <v>5.0909999999999993</v>
      </c>
      <c r="Z75" s="19">
        <v>0</v>
      </c>
      <c r="AA75" s="19">
        <v>0.23471837031422807</v>
      </c>
      <c r="AB75" s="79">
        <v>0.23471837031422807</v>
      </c>
    </row>
    <row r="76" spans="2:28">
      <c r="B76" s="65">
        <v>92</v>
      </c>
      <c r="C76" s="66"/>
      <c r="D76" s="66">
        <v>4.6040000000000001</v>
      </c>
      <c r="E76" s="66">
        <v>2.0350000000000001</v>
      </c>
      <c r="F76" s="66">
        <v>2.0350000000000001</v>
      </c>
      <c r="G76" s="66">
        <v>4.6040000000000001</v>
      </c>
      <c r="H76" s="67">
        <v>0</v>
      </c>
      <c r="I76" s="67">
        <v>0.44200695047784538</v>
      </c>
      <c r="J76" s="68">
        <v>0.44200695047784538</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4.8164999999999996</v>
      </c>
      <c r="W76" s="70">
        <v>1.05</v>
      </c>
      <c r="X76" s="70">
        <v>1.05</v>
      </c>
      <c r="Y76" s="70">
        <v>4.8164999999999996</v>
      </c>
      <c r="Z76" s="71">
        <v>0</v>
      </c>
      <c r="AA76" s="71">
        <v>0.22746599263800799</v>
      </c>
      <c r="AB76" s="72">
        <v>0.22746599263800799</v>
      </c>
    </row>
    <row r="77" spans="2:28">
      <c r="B77" s="73">
        <v>93</v>
      </c>
      <c r="C77" s="74"/>
      <c r="D77" s="74">
        <v>4.3760000000000003</v>
      </c>
      <c r="E77" s="74">
        <v>1.85</v>
      </c>
      <c r="F77" s="74">
        <v>1.85</v>
      </c>
      <c r="G77" s="74">
        <v>4.3760000000000003</v>
      </c>
      <c r="H77" s="75">
        <v>0</v>
      </c>
      <c r="I77" s="75">
        <v>0.42276051188299818</v>
      </c>
      <c r="J77" s="77">
        <v>0.42276051188299818</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4.5615000000000006</v>
      </c>
      <c r="W77" s="78">
        <v>0.95150000000000001</v>
      </c>
      <c r="X77" s="78">
        <v>0.95150000000000001</v>
      </c>
      <c r="Y77" s="78">
        <v>4.5615000000000006</v>
      </c>
      <c r="Z77" s="19">
        <v>0</v>
      </c>
      <c r="AA77" s="19">
        <v>0.21696272908243019</v>
      </c>
      <c r="AB77" s="79">
        <v>0.21696272908243019</v>
      </c>
    </row>
    <row r="78" spans="2:28">
      <c r="B78" s="65">
        <v>94</v>
      </c>
      <c r="C78" s="66"/>
      <c r="D78" s="66">
        <v>4.1660000000000004</v>
      </c>
      <c r="E78" s="66">
        <v>1.6830000000000001</v>
      </c>
      <c r="F78" s="66">
        <v>1.6830000000000001</v>
      </c>
      <c r="G78" s="66">
        <v>4.1660000000000004</v>
      </c>
      <c r="H78" s="67">
        <v>0</v>
      </c>
      <c r="I78" s="67">
        <v>0.4039846375420067</v>
      </c>
      <c r="J78" s="68">
        <v>0.4039846375420067</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0.86250000000000004</v>
      </c>
      <c r="X78" s="70">
        <v>0.86250000000000004</v>
      </c>
      <c r="Y78" s="70">
        <v>4.3254999999999999</v>
      </c>
      <c r="Z78" s="71">
        <v>0</v>
      </c>
      <c r="AA78" s="71">
        <v>0.206674593018495</v>
      </c>
      <c r="AB78" s="72">
        <v>0.206674593018495</v>
      </c>
    </row>
    <row r="79" spans="2:28">
      <c r="B79" s="73">
        <v>95</v>
      </c>
      <c r="C79" s="74"/>
      <c r="D79" s="74">
        <v>3.9740000000000002</v>
      </c>
      <c r="E79" s="74">
        <v>1.5349999999999999</v>
      </c>
      <c r="F79" s="74">
        <v>1.5349999999999999</v>
      </c>
      <c r="G79" s="74">
        <v>3.9740000000000002</v>
      </c>
      <c r="H79" s="75">
        <v>0</v>
      </c>
      <c r="I79" s="75">
        <v>0.38626069451434319</v>
      </c>
      <c r="J79" s="77">
        <v>0.38626069451434319</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0.78449999999999998</v>
      </c>
      <c r="X79" s="78">
        <v>0.78449999999999998</v>
      </c>
      <c r="Y79" s="78">
        <v>4.1095000000000006</v>
      </c>
      <c r="Z79" s="19">
        <v>0</v>
      </c>
      <c r="AA79" s="19">
        <v>0.19713505868237771</v>
      </c>
      <c r="AB79" s="79">
        <v>0.19713505868237771</v>
      </c>
    </row>
    <row r="80" spans="2:28">
      <c r="B80" s="65">
        <v>96</v>
      </c>
      <c r="C80" s="66"/>
      <c r="D80" s="66">
        <v>3.798</v>
      </c>
      <c r="E80" s="66">
        <v>1.371</v>
      </c>
      <c r="F80" s="66">
        <v>1.371</v>
      </c>
      <c r="G80" s="66">
        <v>3.798</v>
      </c>
      <c r="H80" s="67">
        <v>0</v>
      </c>
      <c r="I80" s="67">
        <v>0.36097946287519744</v>
      </c>
      <c r="J80" s="68">
        <v>0.36097946287519744</v>
      </c>
      <c r="K80" s="65">
        <v>96</v>
      </c>
      <c r="L80" s="66">
        <v>0</v>
      </c>
      <c r="M80" s="66">
        <v>4.024</v>
      </c>
      <c r="N80" s="69">
        <v>2.7E-2</v>
      </c>
      <c r="O80" s="66">
        <v>2.7E-2</v>
      </c>
      <c r="P80" s="66">
        <v>4.024</v>
      </c>
      <c r="Q80" s="67">
        <v>0</v>
      </c>
      <c r="R80" s="67">
        <v>6.7097415506958248E-3</v>
      </c>
      <c r="S80" s="68">
        <v>6.7097415506958248E-3</v>
      </c>
      <c r="T80" s="65">
        <v>96</v>
      </c>
      <c r="U80" s="70">
        <v>0</v>
      </c>
      <c r="V80" s="70">
        <v>3.911</v>
      </c>
      <c r="W80" s="70">
        <v>0.69899999999999995</v>
      </c>
      <c r="X80" s="70">
        <v>0.69899999999999995</v>
      </c>
      <c r="Y80" s="70">
        <v>3.911</v>
      </c>
      <c r="Z80" s="71">
        <v>0</v>
      </c>
      <c r="AA80" s="71">
        <v>0.18384460221294663</v>
      </c>
      <c r="AB80" s="72">
        <v>0.18384460221294663</v>
      </c>
    </row>
    <row r="81" spans="2:28">
      <c r="B81" s="73">
        <v>97</v>
      </c>
      <c r="C81" s="74"/>
      <c r="D81" s="74">
        <v>3.6389999999999998</v>
      </c>
      <c r="E81" s="74">
        <v>1.216</v>
      </c>
      <c r="F81" s="74">
        <v>1.216</v>
      </c>
      <c r="G81" s="74">
        <v>3.6389999999999998</v>
      </c>
      <c r="H81" s="75">
        <v>0</v>
      </c>
      <c r="I81" s="75">
        <v>0.33415773564165979</v>
      </c>
      <c r="J81" s="77">
        <v>0.33415773564165979</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0.61849999999999994</v>
      </c>
      <c r="X81" s="78">
        <v>0.61849999999999994</v>
      </c>
      <c r="Y81" s="78">
        <v>3.7314999999999996</v>
      </c>
      <c r="Z81" s="19">
        <v>0</v>
      </c>
      <c r="AA81" s="19">
        <v>0.16982468372041148</v>
      </c>
      <c r="AB81" s="79">
        <v>0.16982468372041148</v>
      </c>
    </row>
    <row r="82" spans="2:28">
      <c r="B82" s="65">
        <v>98</v>
      </c>
      <c r="C82" s="66"/>
      <c r="D82" s="66">
        <v>3.4950000000000001</v>
      </c>
      <c r="E82" s="66">
        <v>1.0409999999999999</v>
      </c>
      <c r="F82" s="66">
        <v>1.0409999999999999</v>
      </c>
      <c r="G82" s="66">
        <v>3.4950000000000001</v>
      </c>
      <c r="H82" s="67">
        <v>0</v>
      </c>
      <c r="I82" s="67">
        <v>0.29785407725321883</v>
      </c>
      <c r="J82" s="68">
        <v>0.29785407725321883</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3.569</v>
      </c>
      <c r="W82" s="70">
        <v>0.52899999999999991</v>
      </c>
      <c r="X82" s="70">
        <v>0.52899999999999991</v>
      </c>
      <c r="Y82" s="70">
        <v>3.569</v>
      </c>
      <c r="Z82" s="71">
        <v>0</v>
      </c>
      <c r="AA82" s="71">
        <v>0.15126028046026299</v>
      </c>
      <c r="AB82" s="72">
        <v>0.15126028046026299</v>
      </c>
    </row>
    <row r="83" spans="2:28">
      <c r="B83" s="73">
        <v>99</v>
      </c>
      <c r="C83" s="74"/>
      <c r="D83" s="74">
        <v>3.3639999999999999</v>
      </c>
      <c r="E83" s="74">
        <v>0.84799999999999998</v>
      </c>
      <c r="F83" s="74">
        <v>0.84799999999999998</v>
      </c>
      <c r="G83" s="74">
        <v>3.3639999999999999</v>
      </c>
      <c r="H83" s="75">
        <v>0</v>
      </c>
      <c r="I83" s="75">
        <v>0.25208085612366232</v>
      </c>
      <c r="J83" s="77">
        <v>0.25208085612366232</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0.43049999999999999</v>
      </c>
      <c r="X83" s="78">
        <v>0.43049999999999999</v>
      </c>
      <c r="Y83" s="78">
        <v>3.4219999999999997</v>
      </c>
      <c r="Z83" s="19">
        <v>0</v>
      </c>
      <c r="AA83" s="19">
        <v>0.12790824415378518</v>
      </c>
      <c r="AB83" s="79">
        <v>0.12790824415378518</v>
      </c>
    </row>
    <row r="84" spans="2:28" ht="15.75" thickBot="1">
      <c r="B84" s="90">
        <v>100</v>
      </c>
      <c r="C84" s="91"/>
      <c r="D84" s="91">
        <v>3.2450000000000001</v>
      </c>
      <c r="E84" s="91">
        <v>0.67200000000000004</v>
      </c>
      <c r="F84" s="91">
        <v>0.67200000000000004</v>
      </c>
      <c r="G84" s="91">
        <v>3.2450000000000001</v>
      </c>
      <c r="H84" s="92">
        <v>0</v>
      </c>
      <c r="I84" s="92">
        <v>0.20708782742681048</v>
      </c>
      <c r="J84" s="94">
        <v>0.20708782742681048</v>
      </c>
      <c r="K84" s="90">
        <v>100</v>
      </c>
      <c r="L84" s="91">
        <v>0</v>
      </c>
      <c r="M84" s="91">
        <v>3.335</v>
      </c>
      <c r="N84" s="93">
        <v>0.01</v>
      </c>
      <c r="O84" s="91">
        <v>0.01</v>
      </c>
      <c r="P84" s="91">
        <v>3.335</v>
      </c>
      <c r="Q84" s="92">
        <v>0</v>
      </c>
      <c r="R84" s="92">
        <v>2.9985007496251873E-3</v>
      </c>
      <c r="S84" s="94">
        <v>2.9985007496251873E-3</v>
      </c>
      <c r="T84" s="90">
        <v>100</v>
      </c>
      <c r="U84" s="95">
        <v>0</v>
      </c>
      <c r="V84" s="95">
        <v>3.29</v>
      </c>
      <c r="W84" s="95">
        <v>0.34100000000000003</v>
      </c>
      <c r="X84" s="95">
        <v>0.34100000000000003</v>
      </c>
      <c r="Y84" s="95">
        <v>3.29</v>
      </c>
      <c r="Z84" s="96">
        <v>0</v>
      </c>
      <c r="AA84" s="96">
        <v>0.10504316408821783</v>
      </c>
      <c r="AB84" s="97">
        <v>0.10504316408821783</v>
      </c>
    </row>
  </sheetData>
  <sheetProtection algorithmName="SHA-512" hashValue="PYGKN5vI4YaZL8QuNipaQGoqMcKq50PMalCQwbiJ/gOBeEBgIDrh6nkbIULlb/9DhJi1PazyQKOTveffLnMk5g==" saltValue="wPNj2KnAfIcUKv4f0zDYRw=="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DB370-A211-4669-832E-D34BF250C35D}">
  <sheetPr codeName="Tabelle46"/>
  <dimension ref="A1:AB84"/>
  <sheetViews>
    <sheetView topLeftCell="B1" workbookViewId="0">
      <selection activeCell="B4" sqref="B4:AB84"/>
    </sheetView>
  </sheetViews>
  <sheetFormatPr baseColWidth="10" defaultColWidth="12.7109375" defaultRowHeight="15"/>
  <cols>
    <col min="1" max="1" width="21.7109375" hidden="1" customWidth="1"/>
    <col min="2" max="2" width="7" customWidth="1"/>
    <col min="3" max="10" width="12.5703125" customWidth="1"/>
    <col min="11" max="11" width="7" customWidth="1"/>
    <col min="12" max="21" width="12.5703125" customWidth="1"/>
    <col min="24" max="24" width="13.28515625" bestFit="1" customWidth="1"/>
    <col min="27" max="28" width="12.5703125" customWidth="1"/>
  </cols>
  <sheetData>
    <row r="1" spans="1:28">
      <c r="B1" s="969" t="s">
        <v>2168</v>
      </c>
      <c r="C1" s="969"/>
      <c r="D1" s="969"/>
      <c r="E1" s="969"/>
      <c r="F1" s="969"/>
      <c r="G1" s="969"/>
      <c r="H1" s="969"/>
      <c r="I1" s="969"/>
      <c r="J1" s="969"/>
      <c r="K1" s="970" t="s">
        <v>2169</v>
      </c>
      <c r="L1" s="970"/>
      <c r="M1" s="970"/>
      <c r="N1" s="970"/>
      <c r="O1" s="970"/>
      <c r="P1" s="970"/>
      <c r="Q1" s="970"/>
      <c r="R1" s="970"/>
      <c r="S1" s="970"/>
      <c r="T1" s="971" t="s">
        <v>2170</v>
      </c>
      <c r="U1" s="971"/>
      <c r="V1" s="971"/>
      <c r="W1" s="971"/>
      <c r="X1" s="971"/>
      <c r="Y1" s="971"/>
      <c r="Z1" s="971"/>
      <c r="AA1" s="971"/>
      <c r="AB1" s="971"/>
    </row>
    <row r="2" spans="1:28" ht="65.25" customHeight="1">
      <c r="A2" t="s">
        <v>2171</v>
      </c>
      <c r="B2" s="972" t="s">
        <v>2172</v>
      </c>
      <c r="C2" s="101" t="s">
        <v>2129</v>
      </c>
      <c r="D2" s="101" t="s">
        <v>2130</v>
      </c>
      <c r="E2" s="101" t="s">
        <v>2131</v>
      </c>
      <c r="F2" s="101" t="s">
        <v>2173</v>
      </c>
      <c r="G2" s="101" t="s">
        <v>2133</v>
      </c>
      <c r="H2" s="973" t="s">
        <v>2134</v>
      </c>
      <c r="I2" s="973"/>
      <c r="J2" s="973"/>
      <c r="K2" s="102"/>
      <c r="L2" s="103" t="s">
        <v>2129</v>
      </c>
      <c r="M2" s="103" t="s">
        <v>2130</v>
      </c>
      <c r="N2" s="103" t="s">
        <v>2131</v>
      </c>
      <c r="O2" s="103" t="s">
        <v>2173</v>
      </c>
      <c r="P2" s="103" t="str">
        <f>+G2</f>
        <v>Anwartschafts-barwert
Altersrente</v>
      </c>
      <c r="Q2" s="974" t="s">
        <v>2174</v>
      </c>
      <c r="R2" s="974"/>
      <c r="S2" s="974"/>
      <c r="T2" s="104"/>
      <c r="U2" s="105" t="s">
        <v>2129</v>
      </c>
      <c r="V2" s="105" t="s">
        <v>2130</v>
      </c>
      <c r="W2" s="105" t="s">
        <v>2131</v>
      </c>
      <c r="X2" s="105" t="s">
        <v>2173</v>
      </c>
      <c r="Y2" s="105" t="s">
        <v>2175</v>
      </c>
      <c r="Z2" s="975" t="s">
        <v>2135</v>
      </c>
      <c r="AA2" s="975"/>
      <c r="AB2" s="975"/>
    </row>
    <row r="3" spans="1:28" s="64" customFormat="1" ht="13.5">
      <c r="A3" s="53">
        <v>43111</v>
      </c>
      <c r="B3" s="972" t="s">
        <v>2176</v>
      </c>
      <c r="C3" s="106" t="s">
        <v>2177</v>
      </c>
      <c r="D3" s="106" t="s">
        <v>2178</v>
      </c>
      <c r="E3" s="106" t="s">
        <v>2179</v>
      </c>
      <c r="F3" s="106" t="s">
        <v>2180</v>
      </c>
      <c r="G3" s="106"/>
      <c r="H3" s="106" t="s">
        <v>2139</v>
      </c>
      <c r="I3" s="106" t="s">
        <v>2140</v>
      </c>
      <c r="J3" s="106" t="s">
        <v>2141</v>
      </c>
      <c r="K3" s="107" t="s">
        <v>2176</v>
      </c>
      <c r="L3" s="107" t="s">
        <v>2177</v>
      </c>
      <c r="M3" s="107" t="s">
        <v>2178</v>
      </c>
      <c r="N3" s="107" t="s">
        <v>2181</v>
      </c>
      <c r="O3" s="107" t="s">
        <v>2180</v>
      </c>
      <c r="P3" s="107"/>
      <c r="Q3" s="107" t="s">
        <v>2139</v>
      </c>
      <c r="R3" s="107" t="s">
        <v>2140</v>
      </c>
      <c r="S3" s="107" t="s">
        <v>2141</v>
      </c>
      <c r="T3" s="108" t="s">
        <v>2182</v>
      </c>
      <c r="U3" s="108" t="s">
        <v>2183</v>
      </c>
      <c r="V3" s="108" t="s">
        <v>2184</v>
      </c>
      <c r="W3" s="108" t="s">
        <v>2185</v>
      </c>
      <c r="X3" s="108"/>
      <c r="Y3" s="108"/>
      <c r="Z3" s="108" t="s">
        <v>2139</v>
      </c>
      <c r="AA3" s="108" t="s">
        <v>2140</v>
      </c>
      <c r="AB3" s="108" t="s">
        <v>2141</v>
      </c>
    </row>
    <row r="4" spans="1:28">
      <c r="B4" s="5">
        <v>20</v>
      </c>
      <c r="C4" s="109">
        <v>0.309</v>
      </c>
      <c r="D4" s="109">
        <v>4.2779999999999996</v>
      </c>
      <c r="E4" s="109">
        <v>0.55800000000000005</v>
      </c>
      <c r="F4" s="109">
        <v>0.55800000000000005</v>
      </c>
      <c r="G4" s="109">
        <v>3.9689999999999994</v>
      </c>
      <c r="H4" s="110">
        <v>7.7853363567649297E-2</v>
      </c>
      <c r="I4" s="110">
        <v>0.14058956916099777</v>
      </c>
      <c r="J4" s="110">
        <v>0.21844293272864707</v>
      </c>
      <c r="K4" s="5">
        <v>20</v>
      </c>
      <c r="L4" s="111">
        <v>0.32100000000000001</v>
      </c>
      <c r="M4" s="109">
        <v>5.032</v>
      </c>
      <c r="N4" s="109">
        <v>0.13300000000000001</v>
      </c>
      <c r="O4" s="109">
        <v>0.13300000000000001</v>
      </c>
      <c r="P4" s="109">
        <v>5.0859999999999994</v>
      </c>
      <c r="Q4" s="110">
        <v>6.3114431773495877E-2</v>
      </c>
      <c r="R4" s="110">
        <v>2.6150216279984276E-2</v>
      </c>
      <c r="S4" s="110">
        <v>8.9264648053480153E-2</v>
      </c>
      <c r="T4" s="5">
        <v>20</v>
      </c>
      <c r="U4" s="112">
        <v>0.315</v>
      </c>
      <c r="V4" s="112">
        <v>4.6549999999999994</v>
      </c>
      <c r="W4" s="112">
        <v>0.34550000000000003</v>
      </c>
      <c r="X4" s="112">
        <v>0.34550000000000003</v>
      </c>
      <c r="Y4" s="112">
        <v>4.5274999999999999</v>
      </c>
      <c r="Z4" s="113">
        <v>7.0483897670572587E-2</v>
      </c>
      <c r="AA4" s="113">
        <v>8.3369892720491029E-2</v>
      </c>
      <c r="AB4" s="113">
        <v>0.15385379039106362</v>
      </c>
    </row>
    <row r="5" spans="1:28">
      <c r="B5" s="5">
        <v>21</v>
      </c>
      <c r="C5" s="109">
        <v>0.35699999999999998</v>
      </c>
      <c r="D5" s="109">
        <v>4.407</v>
      </c>
      <c r="E5" s="109">
        <v>0.64800000000000002</v>
      </c>
      <c r="F5" s="109">
        <v>0.64800000000000002</v>
      </c>
      <c r="G5" s="109">
        <v>4.05</v>
      </c>
      <c r="H5" s="110">
        <v>8.8148148148148142E-2</v>
      </c>
      <c r="I5" s="110">
        <v>0.16</v>
      </c>
      <c r="J5" s="110">
        <v>0.24814814814814815</v>
      </c>
      <c r="K5" s="5">
        <v>21</v>
      </c>
      <c r="L5" s="111">
        <v>0.38600000000000001</v>
      </c>
      <c r="M5" s="109">
        <v>5.1820000000000004</v>
      </c>
      <c r="N5" s="109">
        <v>0.161</v>
      </c>
      <c r="O5" s="109">
        <v>0.161</v>
      </c>
      <c r="P5" s="109">
        <v>5.2629999999999999</v>
      </c>
      <c r="Q5" s="110">
        <v>7.334220026600799E-2</v>
      </c>
      <c r="R5" s="110">
        <v>3.0590917727531829E-2</v>
      </c>
      <c r="S5" s="110">
        <v>0.10393311799353983</v>
      </c>
      <c r="T5" s="5">
        <v>21</v>
      </c>
      <c r="U5" s="112">
        <v>0.3715</v>
      </c>
      <c r="V5" s="112">
        <v>4.7945000000000002</v>
      </c>
      <c r="W5" s="112">
        <v>0.40450000000000003</v>
      </c>
      <c r="X5" s="112">
        <v>0.40450000000000003</v>
      </c>
      <c r="Y5" s="112">
        <v>4.6564999999999994</v>
      </c>
      <c r="Z5" s="113">
        <v>8.0745174207078066E-2</v>
      </c>
      <c r="AA5" s="113">
        <v>9.5295458863765919E-2</v>
      </c>
      <c r="AB5" s="113">
        <v>0.176040633070844</v>
      </c>
    </row>
    <row r="6" spans="1:28">
      <c r="B6" s="5">
        <v>22</v>
      </c>
      <c r="C6" s="109">
        <v>0.40600000000000003</v>
      </c>
      <c r="D6" s="109">
        <v>4.5389999999999997</v>
      </c>
      <c r="E6" s="109">
        <v>0.745</v>
      </c>
      <c r="F6" s="109">
        <v>0.745</v>
      </c>
      <c r="G6" s="109">
        <v>4.133</v>
      </c>
      <c r="H6" s="110">
        <v>9.8233728526494077E-2</v>
      </c>
      <c r="I6" s="110">
        <v>0.18025647229615291</v>
      </c>
      <c r="J6" s="110">
        <v>0.27849020082264697</v>
      </c>
      <c r="K6" s="5">
        <v>22</v>
      </c>
      <c r="L6" s="111">
        <v>0.44600000000000001</v>
      </c>
      <c r="M6" s="109">
        <v>5.3360000000000003</v>
      </c>
      <c r="N6" s="109">
        <v>0.187</v>
      </c>
      <c r="O6" s="109">
        <v>0.187</v>
      </c>
      <c r="P6" s="109">
        <v>5.4420000000000002</v>
      </c>
      <c r="Q6" s="110">
        <v>8.1955163542815138E-2</v>
      </c>
      <c r="R6" s="110">
        <v>3.4362366776920249E-2</v>
      </c>
      <c r="S6" s="110">
        <v>0.11631753031973538</v>
      </c>
      <c r="T6" s="5">
        <v>22</v>
      </c>
      <c r="U6" s="112">
        <v>0.42600000000000005</v>
      </c>
      <c r="V6" s="112">
        <v>4.9375</v>
      </c>
      <c r="W6" s="112">
        <v>0.46599999999999997</v>
      </c>
      <c r="X6" s="112">
        <v>0.46599999999999997</v>
      </c>
      <c r="Y6" s="112">
        <v>4.7874999999999996</v>
      </c>
      <c r="Z6" s="113">
        <v>9.0094446034654607E-2</v>
      </c>
      <c r="AA6" s="113">
        <v>0.10730941953653658</v>
      </c>
      <c r="AB6" s="113">
        <v>0.19740386557119116</v>
      </c>
    </row>
    <row r="7" spans="1:28">
      <c r="B7" s="5">
        <v>23</v>
      </c>
      <c r="C7" s="109">
        <v>0.45700000000000002</v>
      </c>
      <c r="D7" s="109">
        <v>4.6749999999999998</v>
      </c>
      <c r="E7" s="109">
        <v>0.84599999999999997</v>
      </c>
      <c r="F7" s="109">
        <v>0.84599999999999997</v>
      </c>
      <c r="G7" s="109">
        <v>4.218</v>
      </c>
      <c r="H7" s="110">
        <v>0.10834518729255573</v>
      </c>
      <c r="I7" s="110">
        <v>0.20056899004267426</v>
      </c>
      <c r="J7" s="110">
        <v>0.30891417733522997</v>
      </c>
      <c r="K7" s="5">
        <v>23</v>
      </c>
      <c r="L7" s="111">
        <v>0.496</v>
      </c>
      <c r="M7" s="109">
        <v>5.4930000000000003</v>
      </c>
      <c r="N7" s="109">
        <v>0.20899999999999999</v>
      </c>
      <c r="O7" s="109">
        <v>0.20899999999999999</v>
      </c>
      <c r="P7" s="109">
        <v>5.6209999999999996</v>
      </c>
      <c r="Q7" s="110">
        <v>8.8240526596690988E-2</v>
      </c>
      <c r="R7" s="110">
        <v>3.718199608610568E-2</v>
      </c>
      <c r="S7" s="110">
        <v>0.12542252268279666</v>
      </c>
      <c r="T7" s="5">
        <v>23</v>
      </c>
      <c r="U7" s="112">
        <v>0.47650000000000003</v>
      </c>
      <c r="V7" s="112">
        <v>5.0839999999999996</v>
      </c>
      <c r="W7" s="112">
        <v>0.52749999999999997</v>
      </c>
      <c r="X7" s="112">
        <v>0.52749999999999997</v>
      </c>
      <c r="Y7" s="112">
        <v>4.9194999999999993</v>
      </c>
      <c r="Z7" s="113">
        <v>9.8292856944623364E-2</v>
      </c>
      <c r="AA7" s="113">
        <v>0.11887549306438996</v>
      </c>
      <c r="AB7" s="113">
        <v>0.2171683500090133</v>
      </c>
    </row>
    <row r="8" spans="1:28">
      <c r="B8" s="5">
        <v>24</v>
      </c>
      <c r="C8" s="109">
        <v>0.502</v>
      </c>
      <c r="D8" s="109">
        <v>4.8140000000000001</v>
      </c>
      <c r="E8" s="109">
        <v>0.93899999999999995</v>
      </c>
      <c r="F8" s="109">
        <v>0.93899999999999995</v>
      </c>
      <c r="G8" s="109">
        <v>4.3120000000000003</v>
      </c>
      <c r="H8" s="110">
        <v>0.11641929499072355</v>
      </c>
      <c r="I8" s="110">
        <v>0.21776437847866417</v>
      </c>
      <c r="J8" s="110">
        <v>0.33418367346938771</v>
      </c>
      <c r="K8" s="5">
        <v>24</v>
      </c>
      <c r="L8" s="111">
        <v>0.54200000000000004</v>
      </c>
      <c r="M8" s="109">
        <v>5.6550000000000002</v>
      </c>
      <c r="N8" s="109">
        <v>0.22900000000000001</v>
      </c>
      <c r="O8" s="109">
        <v>0.22900000000000001</v>
      </c>
      <c r="P8" s="109">
        <v>5.8009999999999993</v>
      </c>
      <c r="Q8" s="110">
        <v>9.3432166867781441E-2</v>
      </c>
      <c r="R8" s="110">
        <v>3.9475952421996217E-2</v>
      </c>
      <c r="S8" s="110">
        <v>0.13290811928977767</v>
      </c>
      <c r="T8" s="5">
        <v>24</v>
      </c>
      <c r="U8" s="112">
        <v>0.52200000000000002</v>
      </c>
      <c r="V8" s="112">
        <v>5.2345000000000006</v>
      </c>
      <c r="W8" s="112">
        <v>0.58399999999999996</v>
      </c>
      <c r="X8" s="112">
        <v>0.58399999999999996</v>
      </c>
      <c r="Y8" s="112">
        <v>5.0564999999999998</v>
      </c>
      <c r="Z8" s="113">
        <v>0.1049257309292525</v>
      </c>
      <c r="AA8" s="113">
        <v>0.1286201654503302</v>
      </c>
      <c r="AB8" s="113">
        <v>0.23354589637958267</v>
      </c>
    </row>
    <row r="9" spans="1:28">
      <c r="B9" s="5">
        <v>25</v>
      </c>
      <c r="C9" s="109">
        <v>0.54300000000000004</v>
      </c>
      <c r="D9" s="109">
        <v>4.9550000000000001</v>
      </c>
      <c r="E9" s="109">
        <v>1.0249999999999999</v>
      </c>
      <c r="F9" s="109">
        <v>1.0249999999999999</v>
      </c>
      <c r="G9" s="109">
        <v>4.4119999999999999</v>
      </c>
      <c r="H9" s="110">
        <v>0.1230734360834089</v>
      </c>
      <c r="I9" s="110">
        <v>0.23232094288304622</v>
      </c>
      <c r="J9" s="110">
        <v>0.35539437896645509</v>
      </c>
      <c r="K9" s="5">
        <v>25</v>
      </c>
      <c r="L9" s="111">
        <v>0.58699999999999997</v>
      </c>
      <c r="M9" s="109">
        <v>5.819</v>
      </c>
      <c r="N9" s="109">
        <v>0.249</v>
      </c>
      <c r="O9" s="109">
        <v>0.249</v>
      </c>
      <c r="P9" s="109">
        <v>5.9849999999999994</v>
      </c>
      <c r="Q9" s="110">
        <v>9.8078529657477029E-2</v>
      </c>
      <c r="R9" s="110">
        <v>4.1604010025062657E-2</v>
      </c>
      <c r="S9" s="110">
        <v>0.13968253968253969</v>
      </c>
      <c r="T9" s="5">
        <v>25</v>
      </c>
      <c r="U9" s="112">
        <v>0.56499999999999995</v>
      </c>
      <c r="V9" s="112">
        <v>5.3870000000000005</v>
      </c>
      <c r="W9" s="112">
        <v>0.63700000000000001</v>
      </c>
      <c r="X9" s="112">
        <v>0.63700000000000001</v>
      </c>
      <c r="Y9" s="112">
        <v>5.1984999999999992</v>
      </c>
      <c r="Z9" s="113">
        <v>0.11057598287044296</v>
      </c>
      <c r="AA9" s="113">
        <v>0.13696247645405443</v>
      </c>
      <c r="AB9" s="113">
        <v>0.24753845932449739</v>
      </c>
    </row>
    <row r="10" spans="1:28">
      <c r="B10" s="5">
        <v>26</v>
      </c>
      <c r="C10" s="109">
        <v>0.57999999999999996</v>
      </c>
      <c r="D10" s="109">
        <v>5.0999999999999996</v>
      </c>
      <c r="E10" s="109">
        <v>1.107</v>
      </c>
      <c r="F10" s="109">
        <v>1.107</v>
      </c>
      <c r="G10" s="109">
        <v>4.5199999999999996</v>
      </c>
      <c r="H10" s="110">
        <v>0.12831858407079647</v>
      </c>
      <c r="I10" s="110">
        <v>0.24491150442477877</v>
      </c>
      <c r="J10" s="110">
        <v>0.37323008849557526</v>
      </c>
      <c r="K10" s="5">
        <v>26</v>
      </c>
      <c r="L10" s="111">
        <v>0.63200000000000001</v>
      </c>
      <c r="M10" s="109">
        <v>5.9870000000000001</v>
      </c>
      <c r="N10" s="109">
        <v>0.27</v>
      </c>
      <c r="O10" s="109">
        <v>0.27</v>
      </c>
      <c r="P10" s="109">
        <v>6.173</v>
      </c>
      <c r="Q10" s="110">
        <v>0.10238133808520979</v>
      </c>
      <c r="R10" s="110">
        <v>4.3738862789567477E-2</v>
      </c>
      <c r="S10" s="110">
        <v>0.14612020087477726</v>
      </c>
      <c r="T10" s="5">
        <v>26</v>
      </c>
      <c r="U10" s="112">
        <v>0.60599999999999998</v>
      </c>
      <c r="V10" s="112">
        <v>5.5434999999999999</v>
      </c>
      <c r="W10" s="112">
        <v>0.6885</v>
      </c>
      <c r="X10" s="112">
        <v>0.6885</v>
      </c>
      <c r="Y10" s="112">
        <v>5.3464999999999998</v>
      </c>
      <c r="Z10" s="113">
        <v>0.11534996107800313</v>
      </c>
      <c r="AA10" s="113">
        <v>0.14432518360717311</v>
      </c>
      <c r="AB10" s="113">
        <v>0.25967514468517627</v>
      </c>
    </row>
    <row r="11" spans="1:28">
      <c r="B11" s="5">
        <v>27</v>
      </c>
      <c r="C11" s="109">
        <v>0.61399999999999999</v>
      </c>
      <c r="D11" s="109">
        <v>5.2480000000000002</v>
      </c>
      <c r="E11" s="109">
        <v>1.1859999999999999</v>
      </c>
      <c r="F11" s="109">
        <v>1.1859999999999999</v>
      </c>
      <c r="G11" s="109">
        <v>4.6340000000000003</v>
      </c>
      <c r="H11" s="110">
        <v>0.13249892101855848</v>
      </c>
      <c r="I11" s="110">
        <v>0.25593439792835559</v>
      </c>
      <c r="J11" s="110">
        <v>0.38843331894691407</v>
      </c>
      <c r="K11" s="5">
        <v>27</v>
      </c>
      <c r="L11" s="111">
        <v>0.67600000000000005</v>
      </c>
      <c r="M11" s="109">
        <v>6.1580000000000004</v>
      </c>
      <c r="N11" s="109">
        <v>0.28999999999999998</v>
      </c>
      <c r="O11" s="109">
        <v>0.28999999999999998</v>
      </c>
      <c r="P11" s="109">
        <v>6.3629999999999995</v>
      </c>
      <c r="Q11" s="110">
        <v>0.10623919534810626</v>
      </c>
      <c r="R11" s="110">
        <v>4.5575986170045574E-2</v>
      </c>
      <c r="S11" s="110">
        <v>0.15181518151815182</v>
      </c>
      <c r="T11" s="5">
        <v>27</v>
      </c>
      <c r="U11" s="112">
        <v>0.64500000000000002</v>
      </c>
      <c r="V11" s="112">
        <v>5.7030000000000003</v>
      </c>
      <c r="W11" s="112">
        <v>0.73799999999999999</v>
      </c>
      <c r="X11" s="112">
        <v>0.73799999999999999</v>
      </c>
      <c r="Y11" s="112">
        <v>5.4984999999999999</v>
      </c>
      <c r="Z11" s="113">
        <v>0.11936905818333238</v>
      </c>
      <c r="AA11" s="113">
        <v>0.15075519204920057</v>
      </c>
      <c r="AB11" s="113">
        <v>0.27012425023253295</v>
      </c>
    </row>
    <row r="12" spans="1:28">
      <c r="B12" s="5">
        <v>28</v>
      </c>
      <c r="C12" s="109">
        <v>0.64500000000000002</v>
      </c>
      <c r="D12" s="109">
        <v>5.399</v>
      </c>
      <c r="E12" s="109">
        <v>1.264</v>
      </c>
      <c r="F12" s="109">
        <v>1.264</v>
      </c>
      <c r="G12" s="109">
        <v>4.7539999999999996</v>
      </c>
      <c r="H12" s="110">
        <v>0.13567522086663864</v>
      </c>
      <c r="I12" s="110">
        <v>0.26588136306268406</v>
      </c>
      <c r="J12" s="110">
        <v>0.4015565839293227</v>
      </c>
      <c r="K12" s="5">
        <v>28</v>
      </c>
      <c r="L12" s="111">
        <v>0.71799999999999997</v>
      </c>
      <c r="M12" s="109">
        <v>6.3319999999999999</v>
      </c>
      <c r="N12" s="109">
        <v>0.311</v>
      </c>
      <c r="O12" s="109">
        <v>0.311</v>
      </c>
      <c r="P12" s="109">
        <v>6.556</v>
      </c>
      <c r="Q12" s="110">
        <v>0.10951799877974375</v>
      </c>
      <c r="R12" s="110">
        <v>4.7437461866992069E-2</v>
      </c>
      <c r="S12" s="110">
        <v>0.15695546064673582</v>
      </c>
      <c r="T12" s="5">
        <v>28</v>
      </c>
      <c r="U12" s="112">
        <v>0.68149999999999999</v>
      </c>
      <c r="V12" s="112">
        <v>5.8654999999999999</v>
      </c>
      <c r="W12" s="112">
        <v>0.78749999999999998</v>
      </c>
      <c r="X12" s="112">
        <v>0.78749999999999998</v>
      </c>
      <c r="Y12" s="112">
        <v>5.6549999999999994</v>
      </c>
      <c r="Z12" s="113">
        <v>0.12259660982319119</v>
      </c>
      <c r="AA12" s="113">
        <v>0.15665941246483805</v>
      </c>
      <c r="AB12" s="113">
        <v>0.27925602228802926</v>
      </c>
    </row>
    <row r="13" spans="1:28">
      <c r="B13" s="5">
        <v>29</v>
      </c>
      <c r="C13" s="109">
        <v>0.67400000000000004</v>
      </c>
      <c r="D13" s="109">
        <v>5.5529999999999999</v>
      </c>
      <c r="E13" s="109">
        <v>1.339</v>
      </c>
      <c r="F13" s="109">
        <v>1.339</v>
      </c>
      <c r="G13" s="109">
        <v>4.8789999999999996</v>
      </c>
      <c r="H13" s="110">
        <v>0.13814306210288996</v>
      </c>
      <c r="I13" s="110">
        <v>0.27444148391063744</v>
      </c>
      <c r="J13" s="110">
        <v>0.4125845460135274</v>
      </c>
      <c r="K13" s="5">
        <v>29</v>
      </c>
      <c r="L13" s="111">
        <v>0.75800000000000001</v>
      </c>
      <c r="M13" s="109">
        <v>6.51</v>
      </c>
      <c r="N13" s="109">
        <v>0.33100000000000002</v>
      </c>
      <c r="O13" s="109">
        <v>0.33100000000000002</v>
      </c>
      <c r="P13" s="109">
        <v>6.7520000000000007</v>
      </c>
      <c r="Q13" s="110">
        <v>0.11226303317535544</v>
      </c>
      <c r="R13" s="110">
        <v>4.9022511848341228E-2</v>
      </c>
      <c r="S13" s="110">
        <v>0.16128554502369666</v>
      </c>
      <c r="T13" s="5">
        <v>29</v>
      </c>
      <c r="U13" s="112">
        <v>0.71599999999999997</v>
      </c>
      <c r="V13" s="112">
        <v>6.0314999999999994</v>
      </c>
      <c r="W13" s="112">
        <v>0.83499999999999996</v>
      </c>
      <c r="X13" s="112">
        <v>0.83499999999999996</v>
      </c>
      <c r="Y13" s="112">
        <v>5.8155000000000001</v>
      </c>
      <c r="Z13" s="113">
        <v>0.12520304763912271</v>
      </c>
      <c r="AA13" s="113">
        <v>0.16173199787948933</v>
      </c>
      <c r="AB13" s="113">
        <v>0.28693504551861204</v>
      </c>
    </row>
    <row r="14" spans="1:28">
      <c r="B14" s="5">
        <v>30</v>
      </c>
      <c r="C14" s="109">
        <v>0.70199999999999996</v>
      </c>
      <c r="D14" s="109">
        <v>5.7119999999999997</v>
      </c>
      <c r="E14" s="109">
        <v>1.4139999999999999</v>
      </c>
      <c r="F14" s="109">
        <v>1.4139999999999999</v>
      </c>
      <c r="G14" s="109">
        <v>5.01</v>
      </c>
      <c r="H14" s="110">
        <v>0.14011976047904193</v>
      </c>
      <c r="I14" s="110">
        <v>0.28223552894211579</v>
      </c>
      <c r="J14" s="110">
        <v>0.42235528942115774</v>
      </c>
      <c r="K14" s="5">
        <v>30</v>
      </c>
      <c r="L14" s="111">
        <v>0.79600000000000004</v>
      </c>
      <c r="M14" s="109">
        <v>6.6909999999999998</v>
      </c>
      <c r="N14" s="109">
        <v>0.35</v>
      </c>
      <c r="O14" s="109">
        <v>0.35</v>
      </c>
      <c r="P14" s="109">
        <v>6.9509999999999996</v>
      </c>
      <c r="Q14" s="110">
        <v>0.1145158969932384</v>
      </c>
      <c r="R14" s="110">
        <v>5.0352467270896276E-2</v>
      </c>
      <c r="S14" s="110">
        <v>0.16486836426413468</v>
      </c>
      <c r="T14" s="5">
        <v>30</v>
      </c>
      <c r="U14" s="112">
        <v>0.749</v>
      </c>
      <c r="V14" s="112">
        <v>6.2014999999999993</v>
      </c>
      <c r="W14" s="112">
        <v>0.8819999999999999</v>
      </c>
      <c r="X14" s="112">
        <v>0.8819999999999999</v>
      </c>
      <c r="Y14" s="112">
        <v>5.9804999999999993</v>
      </c>
      <c r="Z14" s="113">
        <v>0.12731782873614017</v>
      </c>
      <c r="AA14" s="113">
        <v>0.16629399810650602</v>
      </c>
      <c r="AB14" s="113">
        <v>0.2936118268426462</v>
      </c>
    </row>
    <row r="15" spans="1:28">
      <c r="B15" s="5">
        <v>31</v>
      </c>
      <c r="C15" s="109">
        <v>0.72799999999999998</v>
      </c>
      <c r="D15" s="109">
        <v>5.8739999999999997</v>
      </c>
      <c r="E15" s="109">
        <v>1.4890000000000001</v>
      </c>
      <c r="F15" s="109">
        <v>1.4890000000000001</v>
      </c>
      <c r="G15" s="109">
        <v>5.1459999999999999</v>
      </c>
      <c r="H15" s="110">
        <v>0.14146910221531286</v>
      </c>
      <c r="I15" s="110">
        <v>0.28935095219588031</v>
      </c>
      <c r="J15" s="110">
        <v>0.4308200544111932</v>
      </c>
      <c r="K15" s="5">
        <v>31</v>
      </c>
      <c r="L15" s="111">
        <v>0.83099999999999996</v>
      </c>
      <c r="M15" s="109">
        <v>6.875</v>
      </c>
      <c r="N15" s="109">
        <v>0.36899999999999999</v>
      </c>
      <c r="O15" s="109">
        <v>0.36899999999999999</v>
      </c>
      <c r="P15" s="109">
        <v>7.1530000000000005</v>
      </c>
      <c r="Q15" s="110">
        <v>0.11617503145533341</v>
      </c>
      <c r="R15" s="110">
        <v>5.1586746819516284E-2</v>
      </c>
      <c r="S15" s="110">
        <v>0.1677617782748497</v>
      </c>
      <c r="T15" s="5">
        <v>31</v>
      </c>
      <c r="U15" s="112">
        <v>0.77949999999999997</v>
      </c>
      <c r="V15" s="112">
        <v>6.3744999999999994</v>
      </c>
      <c r="W15" s="112">
        <v>0.92900000000000005</v>
      </c>
      <c r="X15" s="112">
        <v>0.92900000000000005</v>
      </c>
      <c r="Y15" s="112">
        <v>6.1494999999999997</v>
      </c>
      <c r="Z15" s="113">
        <v>0.12882206683532313</v>
      </c>
      <c r="AA15" s="113">
        <v>0.17046884950769831</v>
      </c>
      <c r="AB15" s="113">
        <v>0.29929091634302146</v>
      </c>
    </row>
    <row r="16" spans="1:28">
      <c r="B16" s="5">
        <v>32</v>
      </c>
      <c r="C16" s="109">
        <v>0.753</v>
      </c>
      <c r="D16" s="109">
        <v>6.04</v>
      </c>
      <c r="E16" s="109">
        <v>1.5629999999999999</v>
      </c>
      <c r="F16" s="109">
        <v>1.5629999999999999</v>
      </c>
      <c r="G16" s="109">
        <v>5.2869999999999999</v>
      </c>
      <c r="H16" s="110">
        <v>0.14242481558539816</v>
      </c>
      <c r="I16" s="110">
        <v>0.29563079250993002</v>
      </c>
      <c r="J16" s="110">
        <v>0.43805560809532818</v>
      </c>
      <c r="K16" s="5">
        <v>32</v>
      </c>
      <c r="L16" s="111">
        <v>0.86399999999999999</v>
      </c>
      <c r="M16" s="109">
        <v>7.0620000000000003</v>
      </c>
      <c r="N16" s="109">
        <v>0.38700000000000001</v>
      </c>
      <c r="O16" s="109">
        <v>0.38700000000000001</v>
      </c>
      <c r="P16" s="109">
        <v>7.3579999999999997</v>
      </c>
      <c r="Q16" s="110">
        <v>0.11742321282957326</v>
      </c>
      <c r="R16" s="110">
        <v>5.2595814079913025E-2</v>
      </c>
      <c r="S16" s="110">
        <v>0.17001902690948628</v>
      </c>
      <c r="T16" s="5">
        <v>32</v>
      </c>
      <c r="U16" s="112">
        <v>0.8085</v>
      </c>
      <c r="V16" s="112">
        <v>6.5510000000000002</v>
      </c>
      <c r="W16" s="112">
        <v>0.97499999999999998</v>
      </c>
      <c r="X16" s="112">
        <v>0.97499999999999998</v>
      </c>
      <c r="Y16" s="112">
        <v>6.3224999999999998</v>
      </c>
      <c r="Z16" s="113">
        <v>0.1299240142074857</v>
      </c>
      <c r="AA16" s="113">
        <v>0.17411330329492153</v>
      </c>
      <c r="AB16" s="113">
        <v>0.30403731750240726</v>
      </c>
    </row>
    <row r="17" spans="2:28">
      <c r="B17" s="5">
        <v>33</v>
      </c>
      <c r="C17" s="109">
        <v>0.77700000000000002</v>
      </c>
      <c r="D17" s="109">
        <v>6.21</v>
      </c>
      <c r="E17" s="109">
        <v>1.637</v>
      </c>
      <c r="F17" s="109">
        <v>1.637</v>
      </c>
      <c r="G17" s="109">
        <v>5.4329999999999998</v>
      </c>
      <c r="H17" s="110">
        <v>0.14301490889011598</v>
      </c>
      <c r="I17" s="110">
        <v>0.30130682863979386</v>
      </c>
      <c r="J17" s="110">
        <v>0.44432173752990983</v>
      </c>
      <c r="K17" s="5">
        <v>33</v>
      </c>
      <c r="L17" s="111">
        <v>0.89500000000000002</v>
      </c>
      <c r="M17" s="109">
        <v>7.2539999999999996</v>
      </c>
      <c r="N17" s="109">
        <v>0.40500000000000003</v>
      </c>
      <c r="O17" s="109">
        <v>0.40500000000000003</v>
      </c>
      <c r="P17" s="109">
        <v>7.5650000000000004</v>
      </c>
      <c r="Q17" s="110">
        <v>0.11830799735624586</v>
      </c>
      <c r="R17" s="110">
        <v>5.3536021150033045E-2</v>
      </c>
      <c r="S17" s="110">
        <v>0.17184401850627889</v>
      </c>
      <c r="T17" s="5">
        <v>33</v>
      </c>
      <c r="U17" s="112">
        <v>0.83600000000000008</v>
      </c>
      <c r="V17" s="112">
        <v>6.7319999999999993</v>
      </c>
      <c r="W17" s="112">
        <v>1.0209999999999999</v>
      </c>
      <c r="X17" s="112">
        <v>1.0209999999999999</v>
      </c>
      <c r="Y17" s="112">
        <v>6.4990000000000006</v>
      </c>
      <c r="Z17" s="113">
        <v>0.13066145312318092</v>
      </c>
      <c r="AA17" s="113">
        <v>0.17742142489491344</v>
      </c>
      <c r="AB17" s="113">
        <v>0.30808287801809436</v>
      </c>
    </row>
    <row r="18" spans="2:28">
      <c r="B18" s="5">
        <v>34</v>
      </c>
      <c r="C18" s="109">
        <v>0.79900000000000004</v>
      </c>
      <c r="D18" s="109">
        <v>6.3840000000000003</v>
      </c>
      <c r="E18" s="109">
        <v>1.7110000000000001</v>
      </c>
      <c r="F18" s="109">
        <v>1.7110000000000001</v>
      </c>
      <c r="G18" s="109">
        <v>5.585</v>
      </c>
      <c r="H18" s="110">
        <v>0.14306177260519248</v>
      </c>
      <c r="I18" s="110">
        <v>0.30635631154879139</v>
      </c>
      <c r="J18" s="110">
        <v>0.44941808415398388</v>
      </c>
      <c r="K18" s="5">
        <v>34</v>
      </c>
      <c r="L18" s="111">
        <v>0.92200000000000004</v>
      </c>
      <c r="M18" s="109">
        <v>7.4480000000000004</v>
      </c>
      <c r="N18" s="109">
        <v>0.42299999999999999</v>
      </c>
      <c r="O18" s="109">
        <v>0.42299999999999999</v>
      </c>
      <c r="P18" s="109">
        <v>7.7759999999999998</v>
      </c>
      <c r="Q18" s="110">
        <v>0.11856995884773663</v>
      </c>
      <c r="R18" s="110">
        <v>5.4398148148148147E-2</v>
      </c>
      <c r="S18" s="110">
        <v>0.17296810699588477</v>
      </c>
      <c r="T18" s="5">
        <v>34</v>
      </c>
      <c r="U18" s="112">
        <v>0.86050000000000004</v>
      </c>
      <c r="V18" s="112">
        <v>6.9160000000000004</v>
      </c>
      <c r="W18" s="112">
        <v>1.0669999999999999</v>
      </c>
      <c r="X18" s="112">
        <v>1.0669999999999999</v>
      </c>
      <c r="Y18" s="112">
        <v>6.6805000000000003</v>
      </c>
      <c r="Z18" s="113">
        <v>0.13081586572646456</v>
      </c>
      <c r="AA18" s="113">
        <v>0.18037722984846977</v>
      </c>
      <c r="AB18" s="113">
        <v>0.31119309557493435</v>
      </c>
    </row>
    <row r="19" spans="2:28">
      <c r="B19" s="5">
        <v>35</v>
      </c>
      <c r="C19" s="109">
        <v>0.81899999999999995</v>
      </c>
      <c r="D19" s="109">
        <v>6.5609999999999999</v>
      </c>
      <c r="E19" s="109">
        <v>1.786</v>
      </c>
      <c r="F19" s="109">
        <v>1.786</v>
      </c>
      <c r="G19" s="109">
        <v>5.742</v>
      </c>
      <c r="H19" s="110">
        <v>0.14263322884012539</v>
      </c>
      <c r="I19" s="110">
        <v>0.31104144897248348</v>
      </c>
      <c r="J19" s="110">
        <v>0.45367467781260884</v>
      </c>
      <c r="K19" s="5">
        <v>35</v>
      </c>
      <c r="L19" s="111">
        <v>0.94599999999999995</v>
      </c>
      <c r="M19" s="109">
        <v>7.6459999999999999</v>
      </c>
      <c r="N19" s="109">
        <v>0.44</v>
      </c>
      <c r="O19" s="109">
        <v>0.44</v>
      </c>
      <c r="P19" s="109">
        <v>7.9879999999999995</v>
      </c>
      <c r="Q19" s="110">
        <v>0.11842764146219328</v>
      </c>
      <c r="R19" s="110">
        <v>5.5082623935903859E-2</v>
      </c>
      <c r="S19" s="110">
        <v>0.17351026539809714</v>
      </c>
      <c r="T19" s="5">
        <v>35</v>
      </c>
      <c r="U19" s="112">
        <v>0.88249999999999995</v>
      </c>
      <c r="V19" s="112">
        <v>7.1035000000000004</v>
      </c>
      <c r="W19" s="112">
        <v>1.113</v>
      </c>
      <c r="X19" s="112">
        <v>1.113</v>
      </c>
      <c r="Y19" s="112">
        <v>6.8650000000000002</v>
      </c>
      <c r="Z19" s="113">
        <v>0.13053043515115934</v>
      </c>
      <c r="AA19" s="113">
        <v>0.18306203645419367</v>
      </c>
      <c r="AB19" s="113">
        <v>0.31359247160535297</v>
      </c>
    </row>
    <row r="20" spans="2:28">
      <c r="B20" s="5">
        <v>36</v>
      </c>
      <c r="C20" s="109">
        <v>0.83499999999999996</v>
      </c>
      <c r="D20" s="109">
        <v>6.742</v>
      </c>
      <c r="E20" s="109">
        <v>1.86</v>
      </c>
      <c r="F20" s="109">
        <v>1.86</v>
      </c>
      <c r="G20" s="109">
        <v>5.907</v>
      </c>
      <c r="H20" s="110">
        <v>0.14135771119011342</v>
      </c>
      <c r="I20" s="110">
        <v>0.31488065007618082</v>
      </c>
      <c r="J20" s="110">
        <v>0.45623836126629425</v>
      </c>
      <c r="K20" s="5">
        <v>36</v>
      </c>
      <c r="L20" s="111">
        <v>0.96399999999999997</v>
      </c>
      <c r="M20" s="109">
        <v>7.8460000000000001</v>
      </c>
      <c r="N20" s="109">
        <v>0.45600000000000002</v>
      </c>
      <c r="O20" s="109">
        <v>0.45600000000000002</v>
      </c>
      <c r="P20" s="109">
        <v>8.2029999999999994</v>
      </c>
      <c r="Q20" s="110">
        <v>0.1175179812263806</v>
      </c>
      <c r="R20" s="110">
        <v>5.5589418505424849E-2</v>
      </c>
      <c r="S20" s="110">
        <v>0.17310739973180544</v>
      </c>
      <c r="T20" s="5">
        <v>36</v>
      </c>
      <c r="U20" s="112">
        <v>0.89949999999999997</v>
      </c>
      <c r="V20" s="112">
        <v>7.2940000000000005</v>
      </c>
      <c r="W20" s="112">
        <v>1.1580000000000001</v>
      </c>
      <c r="X20" s="112">
        <v>1.1580000000000001</v>
      </c>
      <c r="Y20" s="112">
        <v>7.0549999999999997</v>
      </c>
      <c r="Z20" s="113">
        <v>0.129437846208247</v>
      </c>
      <c r="AA20" s="113">
        <v>0.18523503429080285</v>
      </c>
      <c r="AB20" s="113">
        <v>0.31467288049904985</v>
      </c>
    </row>
    <row r="21" spans="2:28">
      <c r="B21" s="5">
        <v>37</v>
      </c>
      <c r="C21" s="109">
        <v>0.84699999999999998</v>
      </c>
      <c r="D21" s="109">
        <v>6.9240000000000004</v>
      </c>
      <c r="E21" s="109">
        <v>1.9339999999999999</v>
      </c>
      <c r="F21" s="109">
        <v>1.9339999999999999</v>
      </c>
      <c r="G21" s="109">
        <v>6.077</v>
      </c>
      <c r="H21" s="110">
        <v>0.13937798255718281</v>
      </c>
      <c r="I21" s="110">
        <v>0.31824913608688499</v>
      </c>
      <c r="J21" s="110">
        <v>0.4576271186440678</v>
      </c>
      <c r="K21" s="5">
        <v>37</v>
      </c>
      <c r="L21" s="111">
        <v>0.97699999999999998</v>
      </c>
      <c r="M21" s="109">
        <v>8.0470000000000006</v>
      </c>
      <c r="N21" s="109">
        <v>0.47199999999999998</v>
      </c>
      <c r="O21" s="109">
        <v>0.47199999999999998</v>
      </c>
      <c r="P21" s="109">
        <v>8.4179999999999993</v>
      </c>
      <c r="Q21" s="110">
        <v>0.11606082204799241</v>
      </c>
      <c r="R21" s="110">
        <v>5.6070325492991215E-2</v>
      </c>
      <c r="S21" s="110">
        <v>0.17213114754098363</v>
      </c>
      <c r="T21" s="5">
        <v>37</v>
      </c>
      <c r="U21" s="112">
        <v>0.91199999999999992</v>
      </c>
      <c r="V21" s="112">
        <v>7.4855</v>
      </c>
      <c r="W21" s="112">
        <v>1.2029999999999998</v>
      </c>
      <c r="X21" s="112">
        <v>1.2029999999999998</v>
      </c>
      <c r="Y21" s="112">
        <v>7.2474999999999996</v>
      </c>
      <c r="Z21" s="113">
        <v>0.1277194023025876</v>
      </c>
      <c r="AA21" s="113">
        <v>0.18715973078993811</v>
      </c>
      <c r="AB21" s="113">
        <v>0.31487913309252569</v>
      </c>
    </row>
    <row r="22" spans="2:28">
      <c r="B22" s="5">
        <v>38</v>
      </c>
      <c r="C22" s="109">
        <v>0.85399999999999998</v>
      </c>
      <c r="D22" s="109">
        <v>7.1079999999999997</v>
      </c>
      <c r="E22" s="109">
        <v>2.008</v>
      </c>
      <c r="F22" s="109">
        <v>2.008</v>
      </c>
      <c r="G22" s="109">
        <v>6.2539999999999996</v>
      </c>
      <c r="H22" s="110">
        <v>0.13655260633194757</v>
      </c>
      <c r="I22" s="110">
        <v>0.32107451231212025</v>
      </c>
      <c r="J22" s="110">
        <v>0.4576271186440678</v>
      </c>
      <c r="K22" s="5">
        <v>38</v>
      </c>
      <c r="L22" s="111">
        <v>0.98399999999999999</v>
      </c>
      <c r="M22" s="109">
        <v>8.2509999999999994</v>
      </c>
      <c r="N22" s="109">
        <v>0.48599999999999999</v>
      </c>
      <c r="O22" s="109">
        <v>0.48599999999999999</v>
      </c>
      <c r="P22" s="109">
        <v>8.6349999999999998</v>
      </c>
      <c r="Q22" s="110">
        <v>0.11395483497394325</v>
      </c>
      <c r="R22" s="110">
        <v>5.628257093225246E-2</v>
      </c>
      <c r="S22" s="110">
        <v>0.17023740590619571</v>
      </c>
      <c r="T22" s="5">
        <v>38</v>
      </c>
      <c r="U22" s="112">
        <v>0.91900000000000004</v>
      </c>
      <c r="V22" s="112">
        <v>7.6794999999999991</v>
      </c>
      <c r="W22" s="112">
        <v>1.2469999999999999</v>
      </c>
      <c r="X22" s="112">
        <v>1.2469999999999999</v>
      </c>
      <c r="Y22" s="112">
        <v>7.4444999999999997</v>
      </c>
      <c r="Z22" s="113">
        <v>0.12525372065294541</v>
      </c>
      <c r="AA22" s="113">
        <v>0.18867854162218636</v>
      </c>
      <c r="AB22" s="113">
        <v>0.31393226227513177</v>
      </c>
    </row>
    <row r="23" spans="2:28">
      <c r="B23" s="5">
        <v>39</v>
      </c>
      <c r="C23" s="109">
        <v>0.85499999999999998</v>
      </c>
      <c r="D23" s="109">
        <v>7.2939999999999996</v>
      </c>
      <c r="E23" s="109">
        <v>2.0819999999999999</v>
      </c>
      <c r="F23" s="109">
        <v>2.0819999999999999</v>
      </c>
      <c r="G23" s="109">
        <v>6.4390000000000001</v>
      </c>
      <c r="H23" s="110">
        <v>0.13278459388103742</v>
      </c>
      <c r="I23" s="110">
        <v>0.32334213387171917</v>
      </c>
      <c r="J23" s="110">
        <v>0.45612672775275659</v>
      </c>
      <c r="K23" s="5">
        <v>39</v>
      </c>
      <c r="L23" s="111">
        <v>0.98399999999999999</v>
      </c>
      <c r="M23" s="109">
        <v>8.4559999999999995</v>
      </c>
      <c r="N23" s="109">
        <v>0.5</v>
      </c>
      <c r="O23" s="109">
        <v>0.5</v>
      </c>
      <c r="P23" s="109">
        <v>8.8520000000000003</v>
      </c>
      <c r="Q23" s="110">
        <v>0.11116131947582467</v>
      </c>
      <c r="R23" s="110">
        <v>5.6484410302756437E-2</v>
      </c>
      <c r="S23" s="110">
        <v>0.16764572977858111</v>
      </c>
      <c r="T23" s="5">
        <v>39</v>
      </c>
      <c r="U23" s="112">
        <v>0.91949999999999998</v>
      </c>
      <c r="V23" s="112">
        <v>7.875</v>
      </c>
      <c r="W23" s="112">
        <v>1.2909999999999999</v>
      </c>
      <c r="X23" s="112">
        <v>1.2909999999999999</v>
      </c>
      <c r="Y23" s="112">
        <v>7.6455000000000002</v>
      </c>
      <c r="Z23" s="113">
        <v>0.12197295667843104</v>
      </c>
      <c r="AA23" s="113">
        <v>0.18991327208723779</v>
      </c>
      <c r="AB23" s="113">
        <v>0.31188622876566885</v>
      </c>
    </row>
    <row r="24" spans="2:28">
      <c r="B24" s="5">
        <v>40</v>
      </c>
      <c r="C24" s="109">
        <v>0.85199999999999998</v>
      </c>
      <c r="D24" s="109">
        <v>7.484</v>
      </c>
      <c r="E24" s="109">
        <v>2.1560000000000001</v>
      </c>
      <c r="F24" s="109">
        <v>2.1560000000000001</v>
      </c>
      <c r="G24" s="109">
        <v>6.6319999999999997</v>
      </c>
      <c r="H24" s="110">
        <v>0.12846803377563329</v>
      </c>
      <c r="I24" s="110">
        <v>0.32509047044632089</v>
      </c>
      <c r="J24" s="110">
        <v>0.45355850422195421</v>
      </c>
      <c r="K24" s="5">
        <v>40</v>
      </c>
      <c r="L24" s="111">
        <v>0.97899999999999998</v>
      </c>
      <c r="M24" s="109">
        <v>8.6639999999999997</v>
      </c>
      <c r="N24" s="109">
        <v>0.51400000000000001</v>
      </c>
      <c r="O24" s="109">
        <v>0.51400000000000001</v>
      </c>
      <c r="P24" s="109">
        <v>9.0719999999999992</v>
      </c>
      <c r="Q24" s="110">
        <v>0.10791446208112876</v>
      </c>
      <c r="R24" s="110">
        <v>5.6657848324514995E-2</v>
      </c>
      <c r="S24" s="110">
        <v>0.16457231040564374</v>
      </c>
      <c r="T24" s="5">
        <v>40</v>
      </c>
      <c r="U24" s="112">
        <v>0.91549999999999998</v>
      </c>
      <c r="V24" s="112">
        <v>8.0739999999999998</v>
      </c>
      <c r="W24" s="112">
        <v>1.335</v>
      </c>
      <c r="X24" s="112">
        <v>1.335</v>
      </c>
      <c r="Y24" s="112">
        <v>7.8519999999999994</v>
      </c>
      <c r="Z24" s="113">
        <v>0.11819124792838102</v>
      </c>
      <c r="AA24" s="113">
        <v>0.19087415938541794</v>
      </c>
      <c r="AB24" s="113">
        <v>0.30906540731379895</v>
      </c>
    </row>
    <row r="25" spans="2:28">
      <c r="B25" s="5">
        <v>41</v>
      </c>
      <c r="C25" s="109">
        <v>0.84699999999999998</v>
      </c>
      <c r="D25" s="109">
        <v>7.6779999999999999</v>
      </c>
      <c r="E25" s="109">
        <v>2.2320000000000002</v>
      </c>
      <c r="F25" s="109">
        <v>2.2320000000000002</v>
      </c>
      <c r="G25" s="109">
        <v>6.8309999999999995</v>
      </c>
      <c r="H25" s="110">
        <v>0.12399355877616748</v>
      </c>
      <c r="I25" s="110">
        <v>0.32674571805006591</v>
      </c>
      <c r="J25" s="110">
        <v>0.45073927682623338</v>
      </c>
      <c r="K25" s="5">
        <v>41</v>
      </c>
      <c r="L25" s="111">
        <v>0.96899999999999997</v>
      </c>
      <c r="M25" s="109">
        <v>8.8770000000000007</v>
      </c>
      <c r="N25" s="109">
        <v>0.52600000000000002</v>
      </c>
      <c r="O25" s="109">
        <v>0.52600000000000002</v>
      </c>
      <c r="P25" s="109">
        <v>9.2959999999999994</v>
      </c>
      <c r="Q25" s="110">
        <v>0.10423838209982789</v>
      </c>
      <c r="R25" s="110">
        <v>5.6583476764199662E-2</v>
      </c>
      <c r="S25" s="110">
        <v>0.16082185886402756</v>
      </c>
      <c r="T25" s="5">
        <v>41</v>
      </c>
      <c r="U25" s="112">
        <v>0.90799999999999992</v>
      </c>
      <c r="V25" s="112">
        <v>8.2774999999999999</v>
      </c>
      <c r="W25" s="112">
        <v>1.379</v>
      </c>
      <c r="X25" s="112">
        <v>1.379</v>
      </c>
      <c r="Y25" s="112">
        <v>8.0634999999999994</v>
      </c>
      <c r="Z25" s="113">
        <v>0.11411597043799768</v>
      </c>
      <c r="AA25" s="113">
        <v>0.19166459740713279</v>
      </c>
      <c r="AB25" s="113">
        <v>0.30578056784513047</v>
      </c>
    </row>
    <row r="26" spans="2:28">
      <c r="B26" s="5">
        <v>42</v>
      </c>
      <c r="C26" s="109">
        <v>0.84</v>
      </c>
      <c r="D26" s="109">
        <v>7.8789999999999996</v>
      </c>
      <c r="E26" s="109">
        <v>2.3079999999999998</v>
      </c>
      <c r="F26" s="109">
        <v>2.3079999999999998</v>
      </c>
      <c r="G26" s="109">
        <v>7.0389999999999997</v>
      </c>
      <c r="H26" s="110">
        <v>0.1193351328313681</v>
      </c>
      <c r="I26" s="110">
        <v>0.32788748401761614</v>
      </c>
      <c r="J26" s="110">
        <v>0.44722261684898423</v>
      </c>
      <c r="K26" s="5">
        <v>42</v>
      </c>
      <c r="L26" s="111">
        <v>0.95599999999999996</v>
      </c>
      <c r="M26" s="109">
        <v>9.0950000000000006</v>
      </c>
      <c r="N26" s="109">
        <v>0.53900000000000003</v>
      </c>
      <c r="O26" s="109">
        <v>0.53900000000000003</v>
      </c>
      <c r="P26" s="109">
        <v>9.5249999999999986</v>
      </c>
      <c r="Q26" s="110">
        <v>0.10036745406824148</v>
      </c>
      <c r="R26" s="110">
        <v>5.6587926509186363E-2</v>
      </c>
      <c r="S26" s="110">
        <v>0.15695538057742783</v>
      </c>
      <c r="T26" s="5">
        <v>42</v>
      </c>
      <c r="U26" s="112">
        <v>0.89799999999999991</v>
      </c>
      <c r="V26" s="112">
        <v>8.4870000000000001</v>
      </c>
      <c r="W26" s="112">
        <v>1.4235</v>
      </c>
      <c r="X26" s="112">
        <v>1.4235</v>
      </c>
      <c r="Y26" s="112">
        <v>8.282</v>
      </c>
      <c r="Z26" s="113">
        <v>0.10985129344980479</v>
      </c>
      <c r="AA26" s="113">
        <v>0.19223770526340125</v>
      </c>
      <c r="AB26" s="113">
        <v>0.30208899871320605</v>
      </c>
    </row>
    <row r="27" spans="2:28">
      <c r="B27" s="5">
        <v>43</v>
      </c>
      <c r="C27" s="109">
        <v>0.83399999999999996</v>
      </c>
      <c r="D27" s="109">
        <v>8.0869999999999997</v>
      </c>
      <c r="E27" s="109">
        <v>2.3849999999999998</v>
      </c>
      <c r="F27" s="109">
        <v>2.3849999999999998</v>
      </c>
      <c r="G27" s="109">
        <v>7.2530000000000001</v>
      </c>
      <c r="H27" s="110">
        <v>0.11498690197159796</v>
      </c>
      <c r="I27" s="110">
        <v>0.3288294498828071</v>
      </c>
      <c r="J27" s="110">
        <v>0.44381635185440504</v>
      </c>
      <c r="K27" s="5">
        <v>43</v>
      </c>
      <c r="L27" s="111">
        <v>0.94099999999999995</v>
      </c>
      <c r="M27" s="109">
        <v>9.32</v>
      </c>
      <c r="N27" s="109">
        <v>0.55100000000000005</v>
      </c>
      <c r="O27" s="109">
        <v>0.55100000000000005</v>
      </c>
      <c r="P27" s="109">
        <v>9.7590000000000003</v>
      </c>
      <c r="Q27" s="110">
        <v>9.6423813915360174E-2</v>
      </c>
      <c r="R27" s="110">
        <v>5.6460702940875095E-2</v>
      </c>
      <c r="S27" s="110">
        <v>0.15288451685623528</v>
      </c>
      <c r="T27" s="5">
        <v>43</v>
      </c>
      <c r="U27" s="112">
        <v>0.88749999999999996</v>
      </c>
      <c r="V27" s="112">
        <v>8.7035</v>
      </c>
      <c r="W27" s="112">
        <v>1.468</v>
      </c>
      <c r="X27" s="112">
        <v>1.468</v>
      </c>
      <c r="Y27" s="112">
        <v>8.5060000000000002</v>
      </c>
      <c r="Z27" s="113">
        <v>0.10570535794347907</v>
      </c>
      <c r="AA27" s="113">
        <v>0.19264507641184109</v>
      </c>
      <c r="AB27" s="113">
        <v>0.29835043435532016</v>
      </c>
    </row>
    <row r="28" spans="2:28">
      <c r="B28" s="5">
        <v>44</v>
      </c>
      <c r="C28" s="109">
        <v>0.82699999999999996</v>
      </c>
      <c r="D28" s="109">
        <v>8.3030000000000008</v>
      </c>
      <c r="E28" s="109">
        <v>2.4630000000000001</v>
      </c>
      <c r="F28" s="109">
        <v>2.4630000000000001</v>
      </c>
      <c r="G28" s="109">
        <v>7.4760000000000009</v>
      </c>
      <c r="H28" s="110">
        <v>0.1106206527554842</v>
      </c>
      <c r="I28" s="110">
        <v>0.32945425361155695</v>
      </c>
      <c r="J28" s="110">
        <v>0.44007490636704116</v>
      </c>
      <c r="K28" s="5">
        <v>44</v>
      </c>
      <c r="L28" s="111">
        <v>0.92400000000000004</v>
      </c>
      <c r="M28" s="109">
        <v>9.5510000000000002</v>
      </c>
      <c r="N28" s="109">
        <v>0.56299999999999994</v>
      </c>
      <c r="O28" s="109">
        <v>0.56299999999999994</v>
      </c>
      <c r="P28" s="109">
        <v>10</v>
      </c>
      <c r="Q28" s="110">
        <v>9.240000000000001E-2</v>
      </c>
      <c r="R28" s="110">
        <v>5.6299999999999996E-2</v>
      </c>
      <c r="S28" s="110">
        <v>0.1487</v>
      </c>
      <c r="T28" s="5">
        <v>44</v>
      </c>
      <c r="U28" s="112">
        <v>0.87549999999999994</v>
      </c>
      <c r="V28" s="112">
        <v>8.9269999999999996</v>
      </c>
      <c r="W28" s="112">
        <v>1.5129999999999999</v>
      </c>
      <c r="X28" s="112">
        <v>1.5129999999999999</v>
      </c>
      <c r="Y28" s="112">
        <v>8.7379999999999995</v>
      </c>
      <c r="Z28" s="113">
        <v>0.1015103263777421</v>
      </c>
      <c r="AA28" s="113">
        <v>0.19287712680577848</v>
      </c>
      <c r="AB28" s="113">
        <v>0.29438745318352055</v>
      </c>
    </row>
    <row r="29" spans="2:28">
      <c r="B29" s="5">
        <v>45</v>
      </c>
      <c r="C29" s="109">
        <v>0.81799999999999995</v>
      </c>
      <c r="D29" s="109">
        <v>8.5269999999999992</v>
      </c>
      <c r="E29" s="109">
        <v>2.5419999999999998</v>
      </c>
      <c r="F29" s="109">
        <v>2.5419999999999998</v>
      </c>
      <c r="G29" s="109">
        <v>7.7089999999999996</v>
      </c>
      <c r="H29" s="110">
        <v>0.10610974186016345</v>
      </c>
      <c r="I29" s="110">
        <v>0.32974445453366197</v>
      </c>
      <c r="J29" s="110">
        <v>0.43585419639382539</v>
      </c>
      <c r="K29" s="5">
        <v>45</v>
      </c>
      <c r="L29" s="111">
        <v>0.90500000000000003</v>
      </c>
      <c r="M29" s="109">
        <v>9.7899999999999991</v>
      </c>
      <c r="N29" s="109">
        <v>0.57499999999999996</v>
      </c>
      <c r="O29" s="109">
        <v>0.57499999999999996</v>
      </c>
      <c r="P29" s="109">
        <v>10.249000000000001</v>
      </c>
      <c r="Q29" s="110">
        <v>8.8301297687579272E-2</v>
      </c>
      <c r="R29" s="110">
        <v>5.6103034442384618E-2</v>
      </c>
      <c r="S29" s="110">
        <v>0.1444043321299639</v>
      </c>
      <c r="T29" s="5">
        <v>45</v>
      </c>
      <c r="U29" s="112">
        <v>0.86149999999999993</v>
      </c>
      <c r="V29" s="112">
        <v>9.1585000000000001</v>
      </c>
      <c r="W29" s="112">
        <v>1.5585</v>
      </c>
      <c r="X29" s="112">
        <v>1.5585</v>
      </c>
      <c r="Y29" s="112">
        <v>8.9789999999999992</v>
      </c>
      <c r="Z29" s="113">
        <v>9.720551977387136E-2</v>
      </c>
      <c r="AA29" s="113">
        <v>0.1929237444880233</v>
      </c>
      <c r="AB29" s="113">
        <v>0.29012926426189467</v>
      </c>
    </row>
    <row r="30" spans="2:28">
      <c r="B30" s="5">
        <v>46</v>
      </c>
      <c r="C30" s="109">
        <v>0.80800000000000005</v>
      </c>
      <c r="D30" s="109">
        <v>8.7579999999999991</v>
      </c>
      <c r="E30" s="109">
        <v>2.6190000000000002</v>
      </c>
      <c r="F30" s="109">
        <v>2.6190000000000002</v>
      </c>
      <c r="G30" s="109">
        <v>7.9499999999999993</v>
      </c>
      <c r="H30" s="110">
        <v>0.10163522012578619</v>
      </c>
      <c r="I30" s="110">
        <v>0.329433962264151</v>
      </c>
      <c r="J30" s="110">
        <v>0.43106918238993719</v>
      </c>
      <c r="K30" s="5">
        <v>46</v>
      </c>
      <c r="L30" s="111">
        <v>0.88300000000000001</v>
      </c>
      <c r="M30" s="109">
        <v>10.036</v>
      </c>
      <c r="N30" s="109">
        <v>0.58599999999999997</v>
      </c>
      <c r="O30" s="109">
        <v>0.58599999999999997</v>
      </c>
      <c r="P30" s="109">
        <v>10.504</v>
      </c>
      <c r="Q30" s="110">
        <v>8.4063214013709073E-2</v>
      </c>
      <c r="R30" s="110">
        <v>5.5788271134805785E-2</v>
      </c>
      <c r="S30" s="110">
        <v>0.13985148514851486</v>
      </c>
      <c r="T30" s="5">
        <v>46</v>
      </c>
      <c r="U30" s="112">
        <v>0.84550000000000003</v>
      </c>
      <c r="V30" s="112">
        <v>9.3969999999999985</v>
      </c>
      <c r="W30" s="112">
        <v>1.6025</v>
      </c>
      <c r="X30" s="112">
        <v>1.6025</v>
      </c>
      <c r="Y30" s="112">
        <v>9.2270000000000003</v>
      </c>
      <c r="Z30" s="113">
        <v>9.2849217069747636E-2</v>
      </c>
      <c r="AA30" s="113">
        <v>0.19261111669947839</v>
      </c>
      <c r="AB30" s="113">
        <v>0.28546033376922603</v>
      </c>
    </row>
    <row r="31" spans="2:28">
      <c r="B31" s="5">
        <v>47</v>
      </c>
      <c r="C31" s="109">
        <v>0.79500000000000004</v>
      </c>
      <c r="D31" s="109">
        <v>8.9960000000000004</v>
      </c>
      <c r="E31" s="109">
        <v>2.6970000000000001</v>
      </c>
      <c r="F31" s="109">
        <v>2.6970000000000001</v>
      </c>
      <c r="G31" s="109">
        <v>8.2010000000000005</v>
      </c>
      <c r="H31" s="110">
        <v>9.6939397634434821E-2</v>
      </c>
      <c r="I31" s="110">
        <v>0.32886233386172414</v>
      </c>
      <c r="J31" s="110">
        <v>0.42580173149615896</v>
      </c>
      <c r="K31" s="5">
        <v>47</v>
      </c>
      <c r="L31" s="111">
        <v>0.85899999999999999</v>
      </c>
      <c r="M31" s="109">
        <v>10.289</v>
      </c>
      <c r="N31" s="109">
        <v>0.59699999999999998</v>
      </c>
      <c r="O31" s="109">
        <v>0.59699999999999998</v>
      </c>
      <c r="P31" s="109">
        <v>10.765000000000001</v>
      </c>
      <c r="Q31" s="110">
        <v>7.9795633999071053E-2</v>
      </c>
      <c r="R31" s="110">
        <v>5.5457501161170451E-2</v>
      </c>
      <c r="S31" s="110">
        <v>0.13525313516024151</v>
      </c>
      <c r="T31" s="5">
        <v>47</v>
      </c>
      <c r="U31" s="112">
        <v>0.82699999999999996</v>
      </c>
      <c r="V31" s="112">
        <v>9.6425000000000001</v>
      </c>
      <c r="W31" s="112">
        <v>1.647</v>
      </c>
      <c r="X31" s="112">
        <v>1.647</v>
      </c>
      <c r="Y31" s="112">
        <v>9.4830000000000005</v>
      </c>
      <c r="Z31" s="113">
        <v>8.8367515816752937E-2</v>
      </c>
      <c r="AA31" s="113">
        <v>0.19215991751144729</v>
      </c>
      <c r="AB31" s="113">
        <v>0.28052743332820024</v>
      </c>
    </row>
    <row r="32" spans="2:28">
      <c r="B32" s="5">
        <v>48</v>
      </c>
      <c r="C32" s="109">
        <v>0.77900000000000003</v>
      </c>
      <c r="D32" s="109">
        <v>9.2409999999999997</v>
      </c>
      <c r="E32" s="109">
        <v>2.7719999999999998</v>
      </c>
      <c r="F32" s="109">
        <v>2.7719999999999998</v>
      </c>
      <c r="G32" s="109">
        <v>8.4619999999999997</v>
      </c>
      <c r="H32" s="110">
        <v>9.2058614984637202E-2</v>
      </c>
      <c r="I32" s="110">
        <v>0.32758213188371543</v>
      </c>
      <c r="J32" s="110">
        <v>0.41964074686835262</v>
      </c>
      <c r="K32" s="5">
        <v>48</v>
      </c>
      <c r="L32" s="111">
        <v>0.83099999999999996</v>
      </c>
      <c r="M32" s="109">
        <v>10.55</v>
      </c>
      <c r="N32" s="109">
        <v>0.60699999999999998</v>
      </c>
      <c r="O32" s="109">
        <v>0.60699999999999998</v>
      </c>
      <c r="P32" s="109">
        <v>11.033000000000001</v>
      </c>
      <c r="Q32" s="110">
        <v>7.5319496057282692E-2</v>
      </c>
      <c r="R32" s="110">
        <v>5.5016767878183624E-2</v>
      </c>
      <c r="S32" s="110">
        <v>0.13033626393546632</v>
      </c>
      <c r="T32" s="5">
        <v>48</v>
      </c>
      <c r="U32" s="112">
        <v>0.80499999999999994</v>
      </c>
      <c r="V32" s="112">
        <v>9.8955000000000002</v>
      </c>
      <c r="W32" s="112">
        <v>1.6894999999999998</v>
      </c>
      <c r="X32" s="112">
        <v>1.6894999999999998</v>
      </c>
      <c r="Y32" s="112">
        <v>9.7475000000000005</v>
      </c>
      <c r="Z32" s="113">
        <v>8.3689055520959954E-2</v>
      </c>
      <c r="AA32" s="113">
        <v>0.19129944988094952</v>
      </c>
      <c r="AB32" s="113">
        <v>0.27498850540190944</v>
      </c>
    </row>
    <row r="33" spans="2:28">
      <c r="B33" s="5">
        <v>49</v>
      </c>
      <c r="C33" s="109">
        <v>0.75700000000000001</v>
      </c>
      <c r="D33" s="109">
        <v>9.4930000000000003</v>
      </c>
      <c r="E33" s="109">
        <v>2.8460000000000001</v>
      </c>
      <c r="F33" s="109">
        <v>2.8460000000000001</v>
      </c>
      <c r="G33" s="109">
        <v>8.7360000000000007</v>
      </c>
      <c r="H33" s="110">
        <v>8.66529304029304E-2</v>
      </c>
      <c r="I33" s="110">
        <v>0.32577838827838829</v>
      </c>
      <c r="J33" s="110">
        <v>0.41243131868131866</v>
      </c>
      <c r="K33" s="5">
        <v>49</v>
      </c>
      <c r="L33" s="111">
        <v>0.8</v>
      </c>
      <c r="M33" s="109">
        <v>10.818</v>
      </c>
      <c r="N33" s="109">
        <v>0.61599999999999999</v>
      </c>
      <c r="O33" s="109">
        <v>0.61599999999999999</v>
      </c>
      <c r="P33" s="109">
        <v>11.306999999999999</v>
      </c>
      <c r="Q33" s="110">
        <v>7.075263111346955E-2</v>
      </c>
      <c r="R33" s="110">
        <v>5.4479525957371544E-2</v>
      </c>
      <c r="S33" s="110">
        <v>0.12523215707084109</v>
      </c>
      <c r="T33" s="5">
        <v>49</v>
      </c>
      <c r="U33" s="112">
        <v>0.77849999999999997</v>
      </c>
      <c r="V33" s="112">
        <v>10.1555</v>
      </c>
      <c r="W33" s="112">
        <v>1.7310000000000001</v>
      </c>
      <c r="X33" s="112">
        <v>1.7310000000000001</v>
      </c>
      <c r="Y33" s="112">
        <v>10.0215</v>
      </c>
      <c r="Z33" s="113">
        <v>7.8702780758199975E-2</v>
      </c>
      <c r="AA33" s="113">
        <v>0.19012895711787992</v>
      </c>
      <c r="AB33" s="113">
        <v>0.26883173787607989</v>
      </c>
    </row>
    <row r="34" spans="2:28">
      <c r="B34" s="5">
        <v>50</v>
      </c>
      <c r="C34" s="109">
        <v>0.73099999999999998</v>
      </c>
      <c r="D34" s="109">
        <v>9.7520000000000007</v>
      </c>
      <c r="E34" s="109">
        <v>2.9180000000000001</v>
      </c>
      <c r="F34" s="109">
        <v>2.9180000000000001</v>
      </c>
      <c r="G34" s="109">
        <v>9.0210000000000008</v>
      </c>
      <c r="H34" s="110">
        <v>8.1033144884159178E-2</v>
      </c>
      <c r="I34" s="110">
        <v>0.32346746480434541</v>
      </c>
      <c r="J34" s="110">
        <v>0.4045006096885046</v>
      </c>
      <c r="K34" s="5">
        <v>50</v>
      </c>
      <c r="L34" s="111">
        <v>0.76300000000000001</v>
      </c>
      <c r="M34" s="109">
        <v>11.092000000000001</v>
      </c>
      <c r="N34" s="109">
        <v>0.624</v>
      </c>
      <c r="O34" s="109">
        <v>0.624</v>
      </c>
      <c r="P34" s="109">
        <v>11.587</v>
      </c>
      <c r="Q34" s="110">
        <v>6.5849659100716329E-2</v>
      </c>
      <c r="R34" s="110">
        <v>5.3853456459825665E-2</v>
      </c>
      <c r="S34" s="110">
        <v>0.119703115560542</v>
      </c>
      <c r="T34" s="5">
        <v>50</v>
      </c>
      <c r="U34" s="112">
        <v>0.747</v>
      </c>
      <c r="V34" s="112">
        <v>10.422000000000001</v>
      </c>
      <c r="W34" s="112">
        <v>1.7710000000000001</v>
      </c>
      <c r="X34" s="112">
        <v>1.7710000000000001</v>
      </c>
      <c r="Y34" s="112">
        <v>10.304</v>
      </c>
      <c r="Z34" s="113">
        <v>7.344140199243776E-2</v>
      </c>
      <c r="AA34" s="113">
        <v>0.18866046063208552</v>
      </c>
      <c r="AB34" s="113">
        <v>0.26210186262452329</v>
      </c>
    </row>
    <row r="35" spans="2:28">
      <c r="B35" s="5">
        <v>51</v>
      </c>
      <c r="C35" s="109">
        <v>0.69799999999999995</v>
      </c>
      <c r="D35" s="109">
        <v>10.019</v>
      </c>
      <c r="E35" s="109">
        <v>2.9870000000000001</v>
      </c>
      <c r="F35" s="109">
        <v>2.9870000000000001</v>
      </c>
      <c r="G35" s="109">
        <v>9.3209999999999997</v>
      </c>
      <c r="H35" s="110">
        <v>7.4884669026928433E-2</v>
      </c>
      <c r="I35" s="110">
        <v>0.32045917819976399</v>
      </c>
      <c r="J35" s="110">
        <v>0.39534384722669241</v>
      </c>
      <c r="K35" s="5">
        <v>51</v>
      </c>
      <c r="L35" s="111">
        <v>0.72199999999999998</v>
      </c>
      <c r="M35" s="109">
        <v>11.374000000000001</v>
      </c>
      <c r="N35" s="109">
        <v>0.63100000000000001</v>
      </c>
      <c r="O35" s="109">
        <v>0.63100000000000001</v>
      </c>
      <c r="P35" s="109">
        <v>11.872</v>
      </c>
      <c r="Q35" s="110">
        <v>6.0815363881401616E-2</v>
      </c>
      <c r="R35" s="110">
        <v>5.3150269541778976E-2</v>
      </c>
      <c r="S35" s="110">
        <v>0.11396563342318058</v>
      </c>
      <c r="T35" s="5">
        <v>51</v>
      </c>
      <c r="U35" s="112">
        <v>0.71</v>
      </c>
      <c r="V35" s="112">
        <v>10.6965</v>
      </c>
      <c r="W35" s="112">
        <v>1.8090000000000002</v>
      </c>
      <c r="X35" s="112">
        <v>1.8090000000000002</v>
      </c>
      <c r="Y35" s="112">
        <v>10.596499999999999</v>
      </c>
      <c r="Z35" s="113">
        <v>6.7850016454165024E-2</v>
      </c>
      <c r="AA35" s="113">
        <v>0.18680472387077149</v>
      </c>
      <c r="AB35" s="113">
        <v>0.25465474032493651</v>
      </c>
    </row>
    <row r="36" spans="2:28">
      <c r="B36" s="5">
        <v>52</v>
      </c>
      <c r="C36" s="109">
        <v>0.66</v>
      </c>
      <c r="D36" s="109">
        <v>10.294</v>
      </c>
      <c r="E36" s="109">
        <v>3.0539999999999998</v>
      </c>
      <c r="F36" s="109">
        <v>3.0539999999999998</v>
      </c>
      <c r="G36" s="109">
        <v>9.6340000000000003</v>
      </c>
      <c r="H36" s="110">
        <v>6.8507369732198467E-2</v>
      </c>
      <c r="I36" s="110">
        <v>0.31700228357899102</v>
      </c>
      <c r="J36" s="110">
        <v>0.38550965331118947</v>
      </c>
      <c r="K36" s="5">
        <v>52</v>
      </c>
      <c r="L36" s="111">
        <v>0.67500000000000004</v>
      </c>
      <c r="M36" s="109">
        <v>11.662000000000001</v>
      </c>
      <c r="N36" s="109">
        <v>0.63600000000000001</v>
      </c>
      <c r="O36" s="109">
        <v>0.63600000000000001</v>
      </c>
      <c r="P36" s="109">
        <v>12.163</v>
      </c>
      <c r="Q36" s="110">
        <v>5.5496176930033711E-2</v>
      </c>
      <c r="R36" s="110">
        <v>5.228973115185398E-2</v>
      </c>
      <c r="S36" s="110">
        <v>0.10778590808188769</v>
      </c>
      <c r="T36" s="5">
        <v>52</v>
      </c>
      <c r="U36" s="112">
        <v>0.66749999999999998</v>
      </c>
      <c r="V36" s="112">
        <v>10.978000000000002</v>
      </c>
      <c r="W36" s="112">
        <v>1.845</v>
      </c>
      <c r="X36" s="112">
        <v>1.845</v>
      </c>
      <c r="Y36" s="112">
        <v>10.8985</v>
      </c>
      <c r="Z36" s="113">
        <v>6.2001773331116089E-2</v>
      </c>
      <c r="AA36" s="113">
        <v>0.1846460073654225</v>
      </c>
      <c r="AB36" s="113">
        <v>0.24664778069653859</v>
      </c>
    </row>
    <row r="37" spans="2:28">
      <c r="B37" s="5">
        <v>53</v>
      </c>
      <c r="C37" s="109">
        <v>0.61699999999999999</v>
      </c>
      <c r="D37" s="109">
        <v>10.577</v>
      </c>
      <c r="E37" s="109">
        <v>3.1179999999999999</v>
      </c>
      <c r="F37" s="109">
        <v>3.1179999999999999</v>
      </c>
      <c r="G37" s="109">
        <v>9.9600000000000009</v>
      </c>
      <c r="H37" s="110">
        <v>6.1947791164658629E-2</v>
      </c>
      <c r="I37" s="110">
        <v>0.31305220883534135</v>
      </c>
      <c r="J37" s="110">
        <v>0.375</v>
      </c>
      <c r="K37" s="5">
        <v>53</v>
      </c>
      <c r="L37" s="111">
        <v>0.622</v>
      </c>
      <c r="M37" s="109">
        <v>11.958</v>
      </c>
      <c r="N37" s="109">
        <v>0.64</v>
      </c>
      <c r="O37" s="109">
        <v>0.64</v>
      </c>
      <c r="P37" s="109">
        <v>12.459</v>
      </c>
      <c r="Q37" s="110">
        <v>4.9923749899670924E-2</v>
      </c>
      <c r="R37" s="110">
        <v>5.136848864274822E-2</v>
      </c>
      <c r="S37" s="110">
        <v>0.10129223854241914</v>
      </c>
      <c r="T37" s="5">
        <v>53</v>
      </c>
      <c r="U37" s="112">
        <v>0.61949999999999994</v>
      </c>
      <c r="V37" s="112">
        <v>11.2675</v>
      </c>
      <c r="W37" s="112">
        <v>1.879</v>
      </c>
      <c r="X37" s="112">
        <v>1.879</v>
      </c>
      <c r="Y37" s="112">
        <v>11.2095</v>
      </c>
      <c r="Z37" s="113">
        <v>5.593577053216478E-2</v>
      </c>
      <c r="AA37" s="113">
        <v>0.18221034873904479</v>
      </c>
      <c r="AB37" s="113">
        <v>0.23814611927120957</v>
      </c>
    </row>
    <row r="38" spans="2:28">
      <c r="B38" s="5">
        <v>54</v>
      </c>
      <c r="C38" s="109">
        <v>0.56599999999999995</v>
      </c>
      <c r="D38" s="109">
        <v>10.869</v>
      </c>
      <c r="E38" s="109">
        <v>3.1789999999999998</v>
      </c>
      <c r="F38" s="109">
        <v>3.1789999999999998</v>
      </c>
      <c r="G38" s="109">
        <v>10.302999999999999</v>
      </c>
      <c r="H38" s="110">
        <v>5.4935455692516739E-2</v>
      </c>
      <c r="I38" s="110">
        <v>0.30855090750266911</v>
      </c>
      <c r="J38" s="110">
        <v>0.36348636319518585</v>
      </c>
      <c r="K38" s="5">
        <v>54</v>
      </c>
      <c r="L38" s="111">
        <v>0.56299999999999994</v>
      </c>
      <c r="M38" s="109">
        <v>12.260999999999999</v>
      </c>
      <c r="N38" s="109">
        <v>0.64300000000000002</v>
      </c>
      <c r="O38" s="109">
        <v>0.64300000000000002</v>
      </c>
      <c r="P38" s="109">
        <v>12.760999999999999</v>
      </c>
      <c r="Q38" s="110">
        <v>4.41187994671264E-2</v>
      </c>
      <c r="R38" s="110">
        <v>5.0387900634746498E-2</v>
      </c>
      <c r="S38" s="110">
        <v>9.4506700101872898E-2</v>
      </c>
      <c r="T38" s="5">
        <v>54</v>
      </c>
      <c r="U38" s="112">
        <v>0.5645</v>
      </c>
      <c r="V38" s="112">
        <v>11.565</v>
      </c>
      <c r="W38" s="112">
        <v>1.911</v>
      </c>
      <c r="X38" s="112">
        <v>1.911</v>
      </c>
      <c r="Y38" s="112">
        <v>11.532</v>
      </c>
      <c r="Z38" s="113">
        <v>4.952712757982157E-2</v>
      </c>
      <c r="AA38" s="113">
        <v>0.17946940406870782</v>
      </c>
      <c r="AB38" s="113">
        <v>0.22899653164852937</v>
      </c>
    </row>
    <row r="39" spans="2:28">
      <c r="B39" s="5">
        <v>55</v>
      </c>
      <c r="C39" s="109">
        <v>0.50900000000000001</v>
      </c>
      <c r="D39" s="109">
        <v>11.17</v>
      </c>
      <c r="E39" s="109">
        <v>3.2370000000000001</v>
      </c>
      <c r="F39" s="109">
        <v>3.2370000000000001</v>
      </c>
      <c r="G39" s="109">
        <v>10.661</v>
      </c>
      <c r="H39" s="110">
        <v>4.7744114060594693E-2</v>
      </c>
      <c r="I39" s="110">
        <v>0.30363005346590377</v>
      </c>
      <c r="J39" s="110">
        <v>0.35137416752649847</v>
      </c>
      <c r="K39" s="5">
        <v>55</v>
      </c>
      <c r="L39" s="111">
        <v>0.497</v>
      </c>
      <c r="M39" s="109">
        <v>12.571</v>
      </c>
      <c r="N39" s="109">
        <v>0.64400000000000002</v>
      </c>
      <c r="O39" s="109">
        <v>0.64400000000000002</v>
      </c>
      <c r="P39" s="109">
        <v>13.07</v>
      </c>
      <c r="Q39" s="110">
        <v>3.8026013771996936E-2</v>
      </c>
      <c r="R39" s="110">
        <v>4.9273144605967864E-2</v>
      </c>
      <c r="S39" s="110">
        <v>8.72991583779648E-2</v>
      </c>
      <c r="T39" s="5">
        <v>55</v>
      </c>
      <c r="U39" s="112">
        <v>0.503</v>
      </c>
      <c r="V39" s="112">
        <v>11.8705</v>
      </c>
      <c r="W39" s="112">
        <v>1.9405000000000001</v>
      </c>
      <c r="X39" s="112">
        <v>1.9405000000000001</v>
      </c>
      <c r="Y39" s="112">
        <v>11.865500000000001</v>
      </c>
      <c r="Z39" s="113">
        <v>4.2885063916295818E-2</v>
      </c>
      <c r="AA39" s="113">
        <v>0.17645159903593582</v>
      </c>
      <c r="AB39" s="113">
        <v>0.21933666295223164</v>
      </c>
    </row>
    <row r="40" spans="2:28">
      <c r="B40" s="5">
        <v>56</v>
      </c>
      <c r="C40" s="109">
        <v>0.44500000000000001</v>
      </c>
      <c r="D40" s="109">
        <v>11.481</v>
      </c>
      <c r="E40" s="109">
        <v>3.294</v>
      </c>
      <c r="F40" s="109">
        <v>3.294</v>
      </c>
      <c r="G40" s="109">
        <v>11.036</v>
      </c>
      <c r="H40" s="110">
        <v>4.0322580645161289E-2</v>
      </c>
      <c r="I40" s="110">
        <v>0.2984777093149692</v>
      </c>
      <c r="J40" s="110">
        <v>0.33880028996013051</v>
      </c>
      <c r="K40" s="5">
        <v>56</v>
      </c>
      <c r="L40" s="111">
        <v>0.42599999999999999</v>
      </c>
      <c r="M40" s="109">
        <v>12.89</v>
      </c>
      <c r="N40" s="109">
        <v>0.64500000000000002</v>
      </c>
      <c r="O40" s="109">
        <v>0.64500000000000002</v>
      </c>
      <c r="P40" s="109">
        <v>13.385</v>
      </c>
      <c r="Q40" s="110">
        <v>3.1826671647366453E-2</v>
      </c>
      <c r="R40" s="110">
        <v>4.8188270451998506E-2</v>
      </c>
      <c r="S40" s="110">
        <v>8.0014942099364966E-2</v>
      </c>
      <c r="T40" s="5">
        <v>56</v>
      </c>
      <c r="U40" s="112">
        <v>0.4355</v>
      </c>
      <c r="V40" s="112">
        <v>12.185500000000001</v>
      </c>
      <c r="W40" s="112">
        <v>1.9695</v>
      </c>
      <c r="X40" s="112">
        <v>1.9695</v>
      </c>
      <c r="Y40" s="112">
        <v>12.2105</v>
      </c>
      <c r="Z40" s="113">
        <v>3.6074626146263875E-2</v>
      </c>
      <c r="AA40" s="113">
        <v>0.17333298988348386</v>
      </c>
      <c r="AB40" s="113">
        <v>0.20940761602974772</v>
      </c>
    </row>
    <row r="41" spans="2:28">
      <c r="B41" s="5">
        <v>57</v>
      </c>
      <c r="C41" s="109">
        <v>0.376</v>
      </c>
      <c r="D41" s="109">
        <v>11.802</v>
      </c>
      <c r="E41" s="109">
        <v>3.3479999999999999</v>
      </c>
      <c r="F41" s="109">
        <v>3.3479999999999999</v>
      </c>
      <c r="G41" s="109">
        <v>11.426</v>
      </c>
      <c r="H41" s="110">
        <v>3.2907404165937335E-2</v>
      </c>
      <c r="I41" s="110">
        <v>0.29301592858393138</v>
      </c>
      <c r="J41" s="110">
        <v>0.32592333274986873</v>
      </c>
      <c r="K41" s="5">
        <v>57</v>
      </c>
      <c r="L41" s="111">
        <v>0.35</v>
      </c>
      <c r="M41" s="109">
        <v>13.218999999999999</v>
      </c>
      <c r="N41" s="109">
        <v>0.64400000000000002</v>
      </c>
      <c r="O41" s="109">
        <v>0.64400000000000002</v>
      </c>
      <c r="P41" s="109">
        <v>13.709999999999999</v>
      </c>
      <c r="Q41" s="110">
        <v>2.5528811086797956E-2</v>
      </c>
      <c r="R41" s="110">
        <v>4.6973012399708247E-2</v>
      </c>
      <c r="S41" s="110">
        <v>7.2501823486506203E-2</v>
      </c>
      <c r="T41" s="5">
        <v>57</v>
      </c>
      <c r="U41" s="112">
        <v>0.36299999999999999</v>
      </c>
      <c r="V41" s="112">
        <v>12.5105</v>
      </c>
      <c r="W41" s="112">
        <v>1.996</v>
      </c>
      <c r="X41" s="112">
        <v>1.996</v>
      </c>
      <c r="Y41" s="112">
        <v>12.568</v>
      </c>
      <c r="Z41" s="113">
        <v>2.9218107626367645E-2</v>
      </c>
      <c r="AA41" s="113">
        <v>0.16999447049181982</v>
      </c>
      <c r="AB41" s="113">
        <v>0.19921257811818746</v>
      </c>
    </row>
    <row r="42" spans="2:28">
      <c r="B42" s="5">
        <v>58</v>
      </c>
      <c r="C42" s="109">
        <v>0.30299999999999999</v>
      </c>
      <c r="D42" s="109">
        <v>12.135</v>
      </c>
      <c r="E42" s="109">
        <v>3.403</v>
      </c>
      <c r="F42" s="109">
        <v>3.403</v>
      </c>
      <c r="G42" s="109">
        <v>11.831999999999999</v>
      </c>
      <c r="H42" s="110">
        <v>2.5608519269776878E-2</v>
      </c>
      <c r="I42" s="110">
        <v>0.28760987153482087</v>
      </c>
      <c r="J42" s="110">
        <v>0.31321839080459773</v>
      </c>
      <c r="K42" s="5">
        <v>58</v>
      </c>
      <c r="L42" s="111">
        <v>0.27400000000000002</v>
      </c>
      <c r="M42" s="109">
        <v>13.561</v>
      </c>
      <c r="N42" s="109">
        <v>0.64200000000000002</v>
      </c>
      <c r="O42" s="109">
        <v>0.64200000000000002</v>
      </c>
      <c r="P42" s="109">
        <v>14.047000000000001</v>
      </c>
      <c r="Q42" s="110">
        <v>1.9505944329750124E-2</v>
      </c>
      <c r="R42" s="110">
        <v>4.5703708977005764E-2</v>
      </c>
      <c r="S42" s="110">
        <v>6.5209653306755891E-2</v>
      </c>
      <c r="T42" s="5">
        <v>58</v>
      </c>
      <c r="U42" s="112">
        <v>0.28849999999999998</v>
      </c>
      <c r="V42" s="112">
        <v>12.847999999999999</v>
      </c>
      <c r="W42" s="112">
        <v>2.0225</v>
      </c>
      <c r="X42" s="112">
        <v>2.0225</v>
      </c>
      <c r="Y42" s="112">
        <v>12.939499999999999</v>
      </c>
      <c r="Z42" s="113">
        <v>2.2557231799763502E-2</v>
      </c>
      <c r="AA42" s="113">
        <v>0.16665679025591332</v>
      </c>
      <c r="AB42" s="113">
        <v>0.18921402205567681</v>
      </c>
    </row>
    <row r="43" spans="2:28">
      <c r="B43" s="5">
        <v>59</v>
      </c>
      <c r="C43" s="109">
        <v>0.23</v>
      </c>
      <c r="D43" s="109">
        <v>12.483000000000001</v>
      </c>
      <c r="E43" s="109">
        <v>3.4580000000000002</v>
      </c>
      <c r="F43" s="109">
        <v>3.4580000000000002</v>
      </c>
      <c r="G43" s="109">
        <v>12.253</v>
      </c>
      <c r="H43" s="110">
        <v>1.8770913245735737E-2</v>
      </c>
      <c r="I43" s="110">
        <v>0.28221660001632254</v>
      </c>
      <c r="J43" s="110">
        <v>0.3009875132620583</v>
      </c>
      <c r="K43" s="5">
        <v>59</v>
      </c>
      <c r="L43" s="111">
        <v>0.2</v>
      </c>
      <c r="M43" s="109">
        <v>13.92</v>
      </c>
      <c r="N43" s="109">
        <v>0.64</v>
      </c>
      <c r="O43" s="109">
        <v>0.64</v>
      </c>
      <c r="P43" s="109">
        <v>14.4</v>
      </c>
      <c r="Q43" s="110">
        <v>1.388888888888889E-2</v>
      </c>
      <c r="R43" s="110">
        <v>4.4444444444444446E-2</v>
      </c>
      <c r="S43" s="110">
        <v>5.8333333333333334E-2</v>
      </c>
      <c r="T43" s="5">
        <v>59</v>
      </c>
      <c r="U43" s="112">
        <v>0.21500000000000002</v>
      </c>
      <c r="V43" s="112">
        <v>13.201499999999999</v>
      </c>
      <c r="W43" s="112">
        <v>2.0489999999999999</v>
      </c>
      <c r="X43" s="112">
        <v>2.0489999999999999</v>
      </c>
      <c r="Y43" s="112">
        <v>13.326499999999999</v>
      </c>
      <c r="Z43" s="113">
        <v>1.6329901067312313E-2</v>
      </c>
      <c r="AA43" s="113">
        <v>0.1633305222303835</v>
      </c>
      <c r="AB43" s="113">
        <v>0.17966042329769583</v>
      </c>
    </row>
    <row r="44" spans="2:28">
      <c r="B44" s="5">
        <v>60</v>
      </c>
      <c r="C44" s="109">
        <v>0.16300000000000001</v>
      </c>
      <c r="D44" s="109">
        <v>12.851000000000001</v>
      </c>
      <c r="E44" s="109">
        <v>3.5139999999999998</v>
      </c>
      <c r="F44" s="109">
        <v>3.5139999999999998</v>
      </c>
      <c r="G44" s="109">
        <v>12.688000000000001</v>
      </c>
      <c r="H44" s="110">
        <v>1.2846784363177806E-2</v>
      </c>
      <c r="I44" s="110">
        <v>0.27695460277427486</v>
      </c>
      <c r="J44" s="110">
        <v>0.28980138713745268</v>
      </c>
      <c r="K44" s="5">
        <v>60</v>
      </c>
      <c r="L44" s="111">
        <v>0.13500000000000001</v>
      </c>
      <c r="M44" s="109">
        <v>14.303000000000001</v>
      </c>
      <c r="N44" s="109">
        <v>0.63800000000000001</v>
      </c>
      <c r="O44" s="109">
        <v>0.63800000000000001</v>
      </c>
      <c r="P44" s="109">
        <v>14.777000000000001</v>
      </c>
      <c r="Q44" s="110">
        <v>9.1358191784530005E-3</v>
      </c>
      <c r="R44" s="110">
        <v>4.3175204710022327E-2</v>
      </c>
      <c r="S44" s="110">
        <v>5.2311023888475326E-2</v>
      </c>
      <c r="T44" s="5">
        <v>60</v>
      </c>
      <c r="U44" s="112">
        <v>0.14900000000000002</v>
      </c>
      <c r="V44" s="112">
        <v>13.577000000000002</v>
      </c>
      <c r="W44" s="112">
        <v>2.0760000000000001</v>
      </c>
      <c r="X44" s="112">
        <v>2.0760000000000001</v>
      </c>
      <c r="Y44" s="112">
        <v>13.732500000000002</v>
      </c>
      <c r="Z44" s="113">
        <v>1.0991301770815403E-2</v>
      </c>
      <c r="AA44" s="113">
        <v>0.1600649037421486</v>
      </c>
      <c r="AB44" s="113">
        <v>0.17105620551296399</v>
      </c>
    </row>
    <row r="45" spans="2:28">
      <c r="B45" s="5">
        <v>61</v>
      </c>
      <c r="C45" s="109">
        <v>0.105</v>
      </c>
      <c r="D45" s="109">
        <v>13.243</v>
      </c>
      <c r="E45" s="109">
        <v>3.573</v>
      </c>
      <c r="F45" s="109">
        <v>3.573</v>
      </c>
      <c r="G45" s="109">
        <v>13.138</v>
      </c>
      <c r="H45" s="110">
        <v>7.9920840310549555E-3</v>
      </c>
      <c r="I45" s="110">
        <v>0.27195920231389864</v>
      </c>
      <c r="J45" s="110">
        <v>0.27995128634495359</v>
      </c>
      <c r="K45" s="5">
        <v>61</v>
      </c>
      <c r="L45" s="111">
        <v>8.3000000000000004E-2</v>
      </c>
      <c r="M45" s="109">
        <v>14.712</v>
      </c>
      <c r="N45" s="109">
        <v>0.63600000000000001</v>
      </c>
      <c r="O45" s="109">
        <v>0.63600000000000001</v>
      </c>
      <c r="P45" s="109">
        <v>15.18</v>
      </c>
      <c r="Q45" s="110">
        <v>5.4677206851119903E-3</v>
      </c>
      <c r="R45" s="110">
        <v>4.1897233201581029E-2</v>
      </c>
      <c r="S45" s="110">
        <v>4.7364953886693019E-2</v>
      </c>
      <c r="T45" s="5">
        <v>61</v>
      </c>
      <c r="U45" s="112">
        <v>9.4E-2</v>
      </c>
      <c r="V45" s="112">
        <v>13.977499999999999</v>
      </c>
      <c r="W45" s="112">
        <v>2.1044999999999998</v>
      </c>
      <c r="X45" s="112">
        <v>2.1044999999999998</v>
      </c>
      <c r="Y45" s="112">
        <v>14.158999999999999</v>
      </c>
      <c r="Z45" s="113">
        <v>6.7299023580834729E-3</v>
      </c>
      <c r="AA45" s="113">
        <v>0.15692821775773982</v>
      </c>
      <c r="AB45" s="113">
        <v>0.16365812011582331</v>
      </c>
    </row>
    <row r="46" spans="2:28">
      <c r="B46" s="5">
        <v>62</v>
      </c>
      <c r="C46" s="109">
        <v>0.06</v>
      </c>
      <c r="D46" s="109">
        <v>13.663</v>
      </c>
      <c r="E46" s="109">
        <v>3.617</v>
      </c>
      <c r="F46" s="109">
        <v>3.617</v>
      </c>
      <c r="G46" s="109">
        <v>13.603</v>
      </c>
      <c r="H46" s="110">
        <v>4.4107917371168127E-3</v>
      </c>
      <c r="I46" s="110">
        <v>0.26589722855252518</v>
      </c>
      <c r="J46" s="110">
        <v>0.27030802028964201</v>
      </c>
      <c r="K46" s="5">
        <v>62</v>
      </c>
      <c r="L46" s="111">
        <v>4.4999999999999998E-2</v>
      </c>
      <c r="M46" s="109">
        <v>15.151999999999999</v>
      </c>
      <c r="N46" s="109">
        <v>0.63200000000000001</v>
      </c>
      <c r="O46" s="109">
        <v>0.63200000000000001</v>
      </c>
      <c r="P46" s="109">
        <v>15.612</v>
      </c>
      <c r="Q46" s="110">
        <v>2.8823981552651805E-3</v>
      </c>
      <c r="R46" s="110">
        <v>4.0481680758390981E-2</v>
      </c>
      <c r="S46" s="110">
        <v>4.3364078913656165E-2</v>
      </c>
      <c r="T46" s="5">
        <v>62</v>
      </c>
      <c r="U46" s="112">
        <v>5.2499999999999998E-2</v>
      </c>
      <c r="V46" s="112">
        <v>14.407499999999999</v>
      </c>
      <c r="W46" s="112">
        <v>2.1244999999999998</v>
      </c>
      <c r="X46" s="112">
        <v>2.1244999999999998</v>
      </c>
      <c r="Y46" s="112">
        <v>14.6075</v>
      </c>
      <c r="Z46" s="113">
        <v>3.6465949461909966E-3</v>
      </c>
      <c r="AA46" s="113">
        <v>0.15318945465545808</v>
      </c>
      <c r="AB46" s="113">
        <v>0.1568360496016491</v>
      </c>
    </row>
    <row r="47" spans="2:28">
      <c r="B47" s="5">
        <v>63</v>
      </c>
      <c r="C47" s="109">
        <v>2.8000000000000001E-2</v>
      </c>
      <c r="D47" s="109">
        <v>14.113</v>
      </c>
      <c r="E47" s="109">
        <v>3.661</v>
      </c>
      <c r="F47" s="109">
        <v>3.661</v>
      </c>
      <c r="G47" s="109">
        <v>14.084999999999999</v>
      </c>
      <c r="H47" s="110">
        <v>1.987930422435215E-3</v>
      </c>
      <c r="I47" s="110">
        <v>0.25992190273340438</v>
      </c>
      <c r="J47" s="110">
        <v>0.2619098331558396</v>
      </c>
      <c r="K47" s="5">
        <v>63</v>
      </c>
      <c r="L47" s="111">
        <v>0.02</v>
      </c>
      <c r="M47" s="109">
        <v>15.624000000000001</v>
      </c>
      <c r="N47" s="109">
        <v>0.627</v>
      </c>
      <c r="O47" s="109">
        <v>0.627</v>
      </c>
      <c r="P47" s="109">
        <v>16.074000000000002</v>
      </c>
      <c r="Q47" s="110">
        <v>1.2442453651860146E-3</v>
      </c>
      <c r="R47" s="110">
        <v>3.9007092198581554E-2</v>
      </c>
      <c r="S47" s="110">
        <v>4.0251337563767565E-2</v>
      </c>
      <c r="T47" s="5">
        <v>63</v>
      </c>
      <c r="U47" s="112">
        <v>2.4E-2</v>
      </c>
      <c r="V47" s="112">
        <v>14.868500000000001</v>
      </c>
      <c r="W47" s="112">
        <v>2.1440000000000001</v>
      </c>
      <c r="X47" s="112">
        <v>2.1440000000000001</v>
      </c>
      <c r="Y47" s="112">
        <v>15.079499999999999</v>
      </c>
      <c r="Z47" s="113">
        <v>1.6160878938106149E-3</v>
      </c>
      <c r="AA47" s="113">
        <v>0.14946449746599297</v>
      </c>
      <c r="AB47" s="113">
        <v>0.15108058535980359</v>
      </c>
    </row>
    <row r="48" spans="2:28">
      <c r="B48" s="5">
        <v>64</v>
      </c>
      <c r="C48" s="109">
        <v>0.01</v>
      </c>
      <c r="D48" s="109">
        <v>14.596</v>
      </c>
      <c r="E48" s="109">
        <v>3.7040000000000002</v>
      </c>
      <c r="F48" s="109">
        <v>3.7040000000000002</v>
      </c>
      <c r="G48" s="109">
        <v>14.586</v>
      </c>
      <c r="H48" s="110">
        <v>6.8558892088303855E-4</v>
      </c>
      <c r="I48" s="110">
        <v>0.2539421362950775</v>
      </c>
      <c r="J48" s="110">
        <v>0.25462772521596055</v>
      </c>
      <c r="K48" s="5">
        <v>64</v>
      </c>
      <c r="L48" s="111">
        <v>7.0000000000000001E-3</v>
      </c>
      <c r="M48" s="109">
        <v>16.126999999999999</v>
      </c>
      <c r="N48" s="109">
        <v>0.62</v>
      </c>
      <c r="O48" s="109">
        <v>0.62</v>
      </c>
      <c r="P48" s="109">
        <v>16.567</v>
      </c>
      <c r="Q48" s="110">
        <v>4.2252670972415043E-4</v>
      </c>
      <c r="R48" s="110">
        <v>3.7423794289853325E-2</v>
      </c>
      <c r="S48" s="110">
        <v>3.7846320999577479E-2</v>
      </c>
      <c r="T48" s="5">
        <v>64</v>
      </c>
      <c r="U48" s="112">
        <v>8.5000000000000006E-3</v>
      </c>
      <c r="V48" s="112">
        <v>15.361499999999999</v>
      </c>
      <c r="W48" s="112">
        <v>2.1619999999999999</v>
      </c>
      <c r="X48" s="112">
        <v>2.1619999999999999</v>
      </c>
      <c r="Y48" s="112">
        <v>15.576499999999999</v>
      </c>
      <c r="Z48" s="113">
        <v>5.5405781530359455E-4</v>
      </c>
      <c r="AA48" s="113">
        <v>0.14568296529246541</v>
      </c>
      <c r="AB48" s="113">
        <v>0.14623702310776901</v>
      </c>
    </row>
    <row r="49" spans="2:28">
      <c r="B49" s="5">
        <v>65</v>
      </c>
      <c r="C49" s="109">
        <v>2E-3</v>
      </c>
      <c r="D49" s="109">
        <v>15.112</v>
      </c>
      <c r="E49" s="109">
        <v>3.7429999999999999</v>
      </c>
      <c r="F49" s="109">
        <v>3.7429999999999999</v>
      </c>
      <c r="G49" s="109">
        <v>15.11</v>
      </c>
      <c r="H49" s="110">
        <v>1.3236267372600927E-4</v>
      </c>
      <c r="I49" s="110">
        <v>0.24771674387822634</v>
      </c>
      <c r="J49" s="110">
        <v>0.24784910655195236</v>
      </c>
      <c r="K49" s="5">
        <v>65</v>
      </c>
      <c r="L49" s="111">
        <v>1E-3</v>
      </c>
      <c r="M49" s="109">
        <v>16.658000000000001</v>
      </c>
      <c r="N49" s="109">
        <v>0.61299999999999999</v>
      </c>
      <c r="O49" s="109">
        <v>0.61299999999999999</v>
      </c>
      <c r="P49" s="109">
        <v>17.087000000000003</v>
      </c>
      <c r="Q49" s="110">
        <v>5.8524024111897921E-5</v>
      </c>
      <c r="R49" s="110">
        <v>3.5875226780593426E-2</v>
      </c>
      <c r="S49" s="110">
        <v>3.5933750804705324E-2</v>
      </c>
      <c r="T49" s="5">
        <v>65</v>
      </c>
      <c r="U49" s="112">
        <v>1.5E-3</v>
      </c>
      <c r="V49" s="112">
        <v>15.885000000000002</v>
      </c>
      <c r="W49" s="112">
        <v>2.1779999999999999</v>
      </c>
      <c r="X49" s="112">
        <v>2.1779999999999999</v>
      </c>
      <c r="Y49" s="112">
        <v>16.098500000000001</v>
      </c>
      <c r="Z49" s="113">
        <v>9.5443348918953599E-5</v>
      </c>
      <c r="AA49" s="113">
        <v>0.14179598532940987</v>
      </c>
      <c r="AB49" s="113">
        <v>0.14189142867832885</v>
      </c>
    </row>
    <row r="50" spans="2:28" s="33" customFormat="1">
      <c r="B50" s="114">
        <v>66</v>
      </c>
      <c r="C50" s="115">
        <v>0</v>
      </c>
      <c r="D50" s="115">
        <v>15.661</v>
      </c>
      <c r="E50" s="115">
        <v>3.6739999999999999</v>
      </c>
      <c r="F50" s="115">
        <v>3.6739999999999999</v>
      </c>
      <c r="G50" s="109">
        <v>15.661</v>
      </c>
      <c r="H50" s="110">
        <v>0</v>
      </c>
      <c r="I50" s="110">
        <v>0.23459549198646318</v>
      </c>
      <c r="J50" s="110">
        <v>0.23459549198646318</v>
      </c>
      <c r="K50" s="114">
        <v>66</v>
      </c>
      <c r="L50" s="116">
        <v>0</v>
      </c>
      <c r="M50" s="115">
        <v>17.216999999999999</v>
      </c>
      <c r="N50" s="115">
        <v>0.60399999999999998</v>
      </c>
      <c r="O50" s="109">
        <v>0.60399999999999998</v>
      </c>
      <c r="P50" s="115">
        <v>17.634</v>
      </c>
      <c r="Q50" s="110">
        <v>0</v>
      </c>
      <c r="R50" s="110">
        <v>3.4252013156402403E-2</v>
      </c>
      <c r="S50" s="110">
        <v>3.4252013156402403E-2</v>
      </c>
      <c r="T50" s="114">
        <v>66</v>
      </c>
      <c r="U50" s="112">
        <v>0</v>
      </c>
      <c r="V50" s="112">
        <v>16.439</v>
      </c>
      <c r="W50" s="112">
        <v>2.1389999999999998</v>
      </c>
      <c r="X50" s="112">
        <v>2.1389999999999998</v>
      </c>
      <c r="Y50" s="112">
        <v>16.647500000000001</v>
      </c>
      <c r="Z50" s="113">
        <v>0</v>
      </c>
      <c r="AA50" s="113">
        <v>0.1344237525714328</v>
      </c>
      <c r="AB50" s="113">
        <v>0.1344237525714328</v>
      </c>
    </row>
    <row r="51" spans="2:28">
      <c r="B51" s="5">
        <v>67</v>
      </c>
      <c r="C51" s="109">
        <v>0</v>
      </c>
      <c r="D51" s="109">
        <v>15.260999999999999</v>
      </c>
      <c r="E51" s="109">
        <v>3.6779999999999999</v>
      </c>
      <c r="F51" s="109">
        <v>3.6779999999999999</v>
      </c>
      <c r="G51" s="109">
        <v>15.260999999999999</v>
      </c>
      <c r="H51" s="110">
        <v>0</v>
      </c>
      <c r="I51" s="110">
        <v>0.24100648712404169</v>
      </c>
      <c r="J51" s="110">
        <v>0.24100648712404169</v>
      </c>
      <c r="K51" s="5">
        <v>67</v>
      </c>
      <c r="L51" s="109">
        <v>0</v>
      </c>
      <c r="M51" s="109">
        <v>16.803000000000001</v>
      </c>
      <c r="N51" s="109">
        <v>0.58599999999999997</v>
      </c>
      <c r="O51" s="109">
        <v>0.58599999999999997</v>
      </c>
      <c r="P51" s="109">
        <v>17.477</v>
      </c>
      <c r="Q51" s="110">
        <v>0</v>
      </c>
      <c r="R51" s="110">
        <v>3.3529781999198947E-2</v>
      </c>
      <c r="S51" s="110">
        <v>3.3529781999198947E-2</v>
      </c>
      <c r="T51" s="5">
        <v>67</v>
      </c>
      <c r="U51" s="112">
        <v>0</v>
      </c>
      <c r="V51" s="112">
        <v>16.032</v>
      </c>
      <c r="W51" s="112">
        <v>2.1320000000000001</v>
      </c>
      <c r="X51" s="112">
        <v>2.1320000000000001</v>
      </c>
      <c r="Y51" s="112">
        <v>16.369</v>
      </c>
      <c r="Z51" s="113">
        <v>0</v>
      </c>
      <c r="AA51" s="113">
        <v>0.13726813456162032</v>
      </c>
      <c r="AB51" s="113">
        <v>0.13726813456162032</v>
      </c>
    </row>
    <row r="52" spans="2:28">
      <c r="B52" s="5">
        <v>68</v>
      </c>
      <c r="C52" s="109">
        <v>0</v>
      </c>
      <c r="D52" s="109">
        <v>14.851000000000001</v>
      </c>
      <c r="E52" s="109">
        <v>3.68</v>
      </c>
      <c r="F52" s="109">
        <v>3.68</v>
      </c>
      <c r="G52" s="109">
        <v>14.851000000000001</v>
      </c>
      <c r="H52" s="110">
        <v>0</v>
      </c>
      <c r="I52" s="110">
        <v>0.24779476129553565</v>
      </c>
      <c r="J52" s="110">
        <v>0.24779476129553565</v>
      </c>
      <c r="K52" s="5">
        <v>68</v>
      </c>
      <c r="L52" s="109">
        <v>0</v>
      </c>
      <c r="M52" s="109">
        <v>16.378</v>
      </c>
      <c r="N52" s="109">
        <v>0.56699999999999995</v>
      </c>
      <c r="O52" s="109">
        <v>0.56699999999999995</v>
      </c>
      <c r="P52" s="109">
        <v>17.039000000000001</v>
      </c>
      <c r="Q52" s="110">
        <v>0</v>
      </c>
      <c r="R52" s="110">
        <v>3.3276600739480008E-2</v>
      </c>
      <c r="S52" s="110">
        <v>3.3276600739480008E-2</v>
      </c>
      <c r="T52" s="5">
        <v>68</v>
      </c>
      <c r="U52" s="112">
        <v>0</v>
      </c>
      <c r="V52" s="112">
        <v>15.6145</v>
      </c>
      <c r="W52" s="112">
        <v>2.1234999999999999</v>
      </c>
      <c r="X52" s="112">
        <v>2.1234999999999999</v>
      </c>
      <c r="Y52" s="112">
        <v>15.945</v>
      </c>
      <c r="Z52" s="113">
        <v>0</v>
      </c>
      <c r="AA52" s="113">
        <v>0.14053568101750782</v>
      </c>
      <c r="AB52" s="113">
        <v>0.14053568101750782</v>
      </c>
    </row>
    <row r="53" spans="2:28">
      <c r="B53" s="5">
        <v>69</v>
      </c>
      <c r="C53" s="109">
        <v>0</v>
      </c>
      <c r="D53" s="109">
        <v>14.432</v>
      </c>
      <c r="E53" s="109">
        <v>3.681</v>
      </c>
      <c r="F53" s="109">
        <v>3.681</v>
      </c>
      <c r="G53" s="109">
        <v>14.432</v>
      </c>
      <c r="H53" s="110">
        <v>0</v>
      </c>
      <c r="I53" s="110">
        <v>0.25505820399113083</v>
      </c>
      <c r="J53" s="110">
        <v>0.25505820399113083</v>
      </c>
      <c r="K53" s="5">
        <v>69</v>
      </c>
      <c r="L53" s="109">
        <v>0</v>
      </c>
      <c r="M53" s="109">
        <v>15.94</v>
      </c>
      <c r="N53" s="109">
        <v>0.54900000000000004</v>
      </c>
      <c r="O53" s="109">
        <v>0.54900000000000004</v>
      </c>
      <c r="P53" s="109">
        <v>16.588999999999999</v>
      </c>
      <c r="Q53" s="110">
        <v>0</v>
      </c>
      <c r="R53" s="110">
        <v>3.3094219060823445E-2</v>
      </c>
      <c r="S53" s="110">
        <v>3.3094219060823445E-2</v>
      </c>
      <c r="T53" s="5">
        <v>69</v>
      </c>
      <c r="U53" s="112">
        <v>0</v>
      </c>
      <c r="V53" s="112">
        <v>15.186</v>
      </c>
      <c r="W53" s="112">
        <v>2.1150000000000002</v>
      </c>
      <c r="X53" s="112">
        <v>2.1150000000000002</v>
      </c>
      <c r="Y53" s="112">
        <v>15.5105</v>
      </c>
      <c r="Z53" s="113">
        <v>0</v>
      </c>
      <c r="AA53" s="113">
        <v>0.14407621152597713</v>
      </c>
      <c r="AB53" s="113">
        <v>0.14407621152597713</v>
      </c>
    </row>
    <row r="54" spans="2:28">
      <c r="B54" s="5">
        <v>70</v>
      </c>
      <c r="C54" s="109">
        <v>0</v>
      </c>
      <c r="D54" s="109">
        <v>14.002000000000001</v>
      </c>
      <c r="E54" s="109">
        <v>3.6789999999999998</v>
      </c>
      <c r="F54" s="109">
        <v>3.6789999999999998</v>
      </c>
      <c r="G54" s="109">
        <v>14.002000000000001</v>
      </c>
      <c r="H54" s="110">
        <v>0</v>
      </c>
      <c r="I54" s="110">
        <v>0.26274817883159546</v>
      </c>
      <c r="J54" s="110">
        <v>0.26274817883159546</v>
      </c>
      <c r="K54" s="5">
        <v>70</v>
      </c>
      <c r="L54" s="109">
        <v>0</v>
      </c>
      <c r="M54" s="109">
        <v>15.49</v>
      </c>
      <c r="N54" s="109">
        <v>0.53</v>
      </c>
      <c r="O54" s="109">
        <v>0.53</v>
      </c>
      <c r="P54" s="109">
        <v>16.125</v>
      </c>
      <c r="Q54" s="110">
        <v>0</v>
      </c>
      <c r="R54" s="110">
        <v>3.2868217054263571E-2</v>
      </c>
      <c r="S54" s="110">
        <v>3.2868217054263571E-2</v>
      </c>
      <c r="T54" s="5">
        <v>70</v>
      </c>
      <c r="U54" s="112">
        <v>0</v>
      </c>
      <c r="V54" s="112">
        <v>14.746</v>
      </c>
      <c r="W54" s="112">
        <v>2.1044999999999998</v>
      </c>
      <c r="X54" s="112">
        <v>2.1044999999999998</v>
      </c>
      <c r="Y54" s="112">
        <v>15.063500000000001</v>
      </c>
      <c r="Z54" s="113">
        <v>0</v>
      </c>
      <c r="AA54" s="113">
        <v>0.14780819794292951</v>
      </c>
      <c r="AB54" s="113">
        <v>0.14780819794292951</v>
      </c>
    </row>
    <row r="55" spans="2:28">
      <c r="B55" s="5">
        <v>71</v>
      </c>
      <c r="C55" s="109">
        <v>0</v>
      </c>
      <c r="D55" s="109">
        <v>13.561999999999999</v>
      </c>
      <c r="E55" s="109">
        <v>3.6749999999999998</v>
      </c>
      <c r="F55" s="109">
        <v>3.6749999999999998</v>
      </c>
      <c r="G55" s="109">
        <v>13.561999999999999</v>
      </c>
      <c r="H55" s="110">
        <v>0</v>
      </c>
      <c r="I55" s="110">
        <v>0.27097773189795016</v>
      </c>
      <c r="J55" s="110">
        <v>0.27097773189795016</v>
      </c>
      <c r="K55" s="5">
        <v>71</v>
      </c>
      <c r="L55" s="109">
        <v>0</v>
      </c>
      <c r="M55" s="109">
        <v>15.026</v>
      </c>
      <c r="N55" s="109">
        <v>0.51</v>
      </c>
      <c r="O55" s="109">
        <v>0.51</v>
      </c>
      <c r="P55" s="109">
        <v>15.649000000000001</v>
      </c>
      <c r="Q55" s="110">
        <v>0</v>
      </c>
      <c r="R55" s="110">
        <v>3.2589941849319445E-2</v>
      </c>
      <c r="S55" s="110">
        <v>3.2589941849319445E-2</v>
      </c>
      <c r="T55" s="5">
        <v>71</v>
      </c>
      <c r="U55" s="112">
        <v>0</v>
      </c>
      <c r="V55" s="112">
        <v>14.294</v>
      </c>
      <c r="W55" s="112">
        <v>2.0924999999999998</v>
      </c>
      <c r="X55" s="112">
        <v>2.0924999999999998</v>
      </c>
      <c r="Y55" s="112">
        <v>14.605499999999999</v>
      </c>
      <c r="Z55" s="113">
        <v>0</v>
      </c>
      <c r="AA55" s="113">
        <v>0.15178383687363481</v>
      </c>
      <c r="AB55" s="113">
        <v>0.15178383687363481</v>
      </c>
    </row>
    <row r="56" spans="2:28">
      <c r="B56" s="5">
        <v>72</v>
      </c>
      <c r="C56" s="109">
        <v>0</v>
      </c>
      <c r="D56" s="109">
        <v>13.111000000000001</v>
      </c>
      <c r="E56" s="109">
        <v>3.669</v>
      </c>
      <c r="F56" s="109">
        <v>3.669</v>
      </c>
      <c r="G56" s="109">
        <v>13.111000000000001</v>
      </c>
      <c r="H56" s="110">
        <v>0</v>
      </c>
      <c r="I56" s="110">
        <v>0.27984135458775072</v>
      </c>
      <c r="J56" s="110">
        <v>0.27984135458775072</v>
      </c>
      <c r="K56" s="5">
        <v>72</v>
      </c>
      <c r="L56" s="109">
        <v>0</v>
      </c>
      <c r="M56" s="109">
        <v>14.55</v>
      </c>
      <c r="N56" s="109">
        <v>0.49099999999999999</v>
      </c>
      <c r="O56" s="109">
        <v>0.49099999999999999</v>
      </c>
      <c r="P56" s="109">
        <v>15.158999999999999</v>
      </c>
      <c r="Q56" s="110">
        <v>0</v>
      </c>
      <c r="R56" s="110">
        <v>3.2389999340325881E-2</v>
      </c>
      <c r="S56" s="110">
        <v>3.2389999340325881E-2</v>
      </c>
      <c r="T56" s="5">
        <v>72</v>
      </c>
      <c r="U56" s="112">
        <v>0</v>
      </c>
      <c r="V56" s="112">
        <v>13.830500000000001</v>
      </c>
      <c r="W56" s="112">
        <v>2.08</v>
      </c>
      <c r="X56" s="112">
        <v>2.08</v>
      </c>
      <c r="Y56" s="112">
        <v>14.135</v>
      </c>
      <c r="Z56" s="113">
        <v>0</v>
      </c>
      <c r="AA56" s="113">
        <v>0.1561156769640383</v>
      </c>
      <c r="AB56" s="113">
        <v>0.1561156769640383</v>
      </c>
    </row>
    <row r="57" spans="2:28">
      <c r="B57" s="5">
        <v>73</v>
      </c>
      <c r="C57" s="109">
        <v>0</v>
      </c>
      <c r="D57" s="109">
        <v>12.65</v>
      </c>
      <c r="E57" s="109">
        <v>3.6669999999999998</v>
      </c>
      <c r="F57" s="109">
        <v>3.6669999999999998</v>
      </c>
      <c r="G57" s="109">
        <v>12.65</v>
      </c>
      <c r="H57" s="110">
        <v>0</v>
      </c>
      <c r="I57" s="110">
        <v>0.28988142292490116</v>
      </c>
      <c r="J57" s="110">
        <v>0.28988142292490116</v>
      </c>
      <c r="K57" s="5">
        <v>73</v>
      </c>
      <c r="L57" s="109">
        <v>0</v>
      </c>
      <c r="M57" s="109">
        <v>14.061999999999999</v>
      </c>
      <c r="N57" s="109">
        <v>0.47199999999999998</v>
      </c>
      <c r="O57" s="109">
        <v>0.47199999999999998</v>
      </c>
      <c r="P57" s="109">
        <v>14.657</v>
      </c>
      <c r="Q57" s="110">
        <v>0</v>
      </c>
      <c r="R57" s="110">
        <v>3.2203042914648289E-2</v>
      </c>
      <c r="S57" s="110">
        <v>3.2203042914648289E-2</v>
      </c>
      <c r="T57" s="5">
        <v>73</v>
      </c>
      <c r="U57" s="112">
        <v>0</v>
      </c>
      <c r="V57" s="112">
        <v>13.356</v>
      </c>
      <c r="W57" s="112">
        <v>2.0694999999999997</v>
      </c>
      <c r="X57" s="112">
        <v>2.0694999999999997</v>
      </c>
      <c r="Y57" s="112">
        <v>13.653500000000001</v>
      </c>
      <c r="Z57" s="113">
        <v>0</v>
      </c>
      <c r="AA57" s="113">
        <v>0.16104223291977471</v>
      </c>
      <c r="AB57" s="113">
        <v>0.16104223291977471</v>
      </c>
    </row>
    <row r="58" spans="2:28">
      <c r="B58" s="5">
        <v>74</v>
      </c>
      <c r="C58" s="109">
        <v>0</v>
      </c>
      <c r="D58" s="109">
        <v>12.18</v>
      </c>
      <c r="E58" s="109">
        <v>3.6619999999999999</v>
      </c>
      <c r="F58" s="109">
        <v>3.6619999999999999</v>
      </c>
      <c r="G58" s="109">
        <v>12.18</v>
      </c>
      <c r="H58" s="110">
        <v>0</v>
      </c>
      <c r="I58" s="110">
        <v>0.30065681444991788</v>
      </c>
      <c r="J58" s="110">
        <v>0.30065681444991788</v>
      </c>
      <c r="K58" s="5">
        <v>74</v>
      </c>
      <c r="L58" s="109">
        <v>0</v>
      </c>
      <c r="M58" s="109">
        <v>13.561999999999999</v>
      </c>
      <c r="N58" s="109">
        <v>0.45300000000000001</v>
      </c>
      <c r="O58" s="109">
        <v>0.45300000000000001</v>
      </c>
      <c r="P58" s="109">
        <v>14.145</v>
      </c>
      <c r="Q58" s="110">
        <v>0</v>
      </c>
      <c r="R58" s="110">
        <v>3.2025450689289504E-2</v>
      </c>
      <c r="S58" s="110">
        <v>3.2025450689289504E-2</v>
      </c>
      <c r="T58" s="5">
        <v>74</v>
      </c>
      <c r="U58" s="112">
        <v>0</v>
      </c>
      <c r="V58" s="112">
        <v>12.870999999999999</v>
      </c>
      <c r="W58" s="112">
        <v>2.0575000000000001</v>
      </c>
      <c r="X58" s="112">
        <v>2.0575000000000001</v>
      </c>
      <c r="Y58" s="112">
        <v>13.1625</v>
      </c>
      <c r="Z58" s="113">
        <v>0</v>
      </c>
      <c r="AA58" s="113">
        <v>0.1663411325696037</v>
      </c>
      <c r="AB58" s="113">
        <v>0.1663411325696037</v>
      </c>
    </row>
    <row r="59" spans="2:28">
      <c r="B59" s="5">
        <v>75</v>
      </c>
      <c r="C59" s="109">
        <v>0</v>
      </c>
      <c r="D59" s="109">
        <v>11.701000000000001</v>
      </c>
      <c r="E59" s="109">
        <v>3.6549999999999998</v>
      </c>
      <c r="F59" s="109">
        <v>3.6549999999999998</v>
      </c>
      <c r="G59" s="109">
        <v>11.701000000000001</v>
      </c>
      <c r="H59" s="110">
        <v>0</v>
      </c>
      <c r="I59" s="110">
        <v>0.31236646440475169</v>
      </c>
      <c r="J59" s="110">
        <v>0.31236646440475169</v>
      </c>
      <c r="K59" s="5">
        <v>75</v>
      </c>
      <c r="L59" s="109">
        <v>0</v>
      </c>
      <c r="M59" s="109">
        <v>13.051</v>
      </c>
      <c r="N59" s="109">
        <v>0.434</v>
      </c>
      <c r="O59" s="109">
        <v>0.434</v>
      </c>
      <c r="P59" s="109">
        <v>13.622</v>
      </c>
      <c r="Q59" s="110">
        <v>0</v>
      </c>
      <c r="R59" s="110">
        <v>3.1860226104830421E-2</v>
      </c>
      <c r="S59" s="110">
        <v>3.1860226104830421E-2</v>
      </c>
      <c r="T59" s="5">
        <v>75</v>
      </c>
      <c r="U59" s="112">
        <v>0</v>
      </c>
      <c r="V59" s="112">
        <v>12.376000000000001</v>
      </c>
      <c r="W59" s="112">
        <v>2.0444999999999998</v>
      </c>
      <c r="X59" s="112">
        <v>2.0444999999999998</v>
      </c>
      <c r="Y59" s="112">
        <v>12.6615</v>
      </c>
      <c r="Z59" s="113">
        <v>0</v>
      </c>
      <c r="AA59" s="113">
        <v>0.17211334525479105</v>
      </c>
      <c r="AB59" s="113">
        <v>0.17211334525479105</v>
      </c>
    </row>
    <row r="60" spans="2:28">
      <c r="B60" s="5">
        <v>76</v>
      </c>
      <c r="C60" s="109">
        <v>0</v>
      </c>
      <c r="D60" s="109">
        <v>11.215</v>
      </c>
      <c r="E60" s="109">
        <v>3.6429999999999998</v>
      </c>
      <c r="F60" s="109">
        <v>3.6429999999999998</v>
      </c>
      <c r="G60" s="109">
        <v>11.215</v>
      </c>
      <c r="H60" s="110">
        <v>0</v>
      </c>
      <c r="I60" s="110">
        <v>0.32483281319661167</v>
      </c>
      <c r="J60" s="110">
        <v>0.32483281319661167</v>
      </c>
      <c r="K60" s="5">
        <v>76</v>
      </c>
      <c r="L60" s="109">
        <v>0</v>
      </c>
      <c r="M60" s="109">
        <v>12.531000000000001</v>
      </c>
      <c r="N60" s="109">
        <v>0.41399999999999998</v>
      </c>
      <c r="O60" s="109">
        <v>0.41399999999999998</v>
      </c>
      <c r="P60" s="109">
        <v>13.09</v>
      </c>
      <c r="Q60" s="110">
        <v>0</v>
      </c>
      <c r="R60" s="110">
        <v>3.1627196333078686E-2</v>
      </c>
      <c r="S60" s="110">
        <v>3.1627196333078686E-2</v>
      </c>
      <c r="T60" s="5">
        <v>76</v>
      </c>
      <c r="U60" s="112">
        <v>0</v>
      </c>
      <c r="V60" s="112">
        <v>11.873000000000001</v>
      </c>
      <c r="W60" s="112">
        <v>2.0284999999999997</v>
      </c>
      <c r="X60" s="112">
        <v>2.0284999999999997</v>
      </c>
      <c r="Y60" s="112">
        <v>12.1525</v>
      </c>
      <c r="Z60" s="113">
        <v>0</v>
      </c>
      <c r="AA60" s="113">
        <v>0.17823000476484518</v>
      </c>
      <c r="AB60" s="113">
        <v>0.17823000476484518</v>
      </c>
    </row>
    <row r="61" spans="2:28">
      <c r="B61" s="5">
        <v>77</v>
      </c>
      <c r="C61" s="109">
        <v>0</v>
      </c>
      <c r="D61" s="109">
        <v>10.724</v>
      </c>
      <c r="E61" s="109">
        <v>3.625</v>
      </c>
      <c r="F61" s="109">
        <v>3.625</v>
      </c>
      <c r="G61" s="109">
        <v>10.724</v>
      </c>
      <c r="H61" s="110">
        <v>0</v>
      </c>
      <c r="I61" s="110">
        <v>0.33802685565087653</v>
      </c>
      <c r="J61" s="110">
        <v>0.33802685565087653</v>
      </c>
      <c r="K61" s="5">
        <v>77</v>
      </c>
      <c r="L61" s="109">
        <v>0</v>
      </c>
      <c r="M61" s="109">
        <v>12.003</v>
      </c>
      <c r="N61" s="109">
        <v>0.39300000000000002</v>
      </c>
      <c r="O61" s="109">
        <v>0.39300000000000002</v>
      </c>
      <c r="P61" s="109">
        <v>12.547000000000001</v>
      </c>
      <c r="Q61" s="110">
        <v>0</v>
      </c>
      <c r="R61" s="110">
        <v>3.1322228421136529E-2</v>
      </c>
      <c r="S61" s="110">
        <v>3.1322228421136529E-2</v>
      </c>
      <c r="T61" s="5">
        <v>77</v>
      </c>
      <c r="U61" s="112">
        <v>0</v>
      </c>
      <c r="V61" s="112">
        <v>11.3635</v>
      </c>
      <c r="W61" s="112">
        <v>2.0089999999999999</v>
      </c>
      <c r="X61" s="112">
        <v>2.0089999999999999</v>
      </c>
      <c r="Y61" s="112">
        <v>11.6355</v>
      </c>
      <c r="Z61" s="113">
        <v>0</v>
      </c>
      <c r="AA61" s="113">
        <v>0.18467454203600653</v>
      </c>
      <c r="AB61" s="113">
        <v>0.18467454203600653</v>
      </c>
    </row>
    <row r="62" spans="2:28">
      <c r="B62" s="5">
        <v>78</v>
      </c>
      <c r="C62" s="109">
        <v>0</v>
      </c>
      <c r="D62" s="109">
        <v>10.228999999999999</v>
      </c>
      <c r="E62" s="109">
        <v>3.601</v>
      </c>
      <c r="F62" s="109">
        <v>3.601</v>
      </c>
      <c r="G62" s="109">
        <v>10.228999999999999</v>
      </c>
      <c r="H62" s="110">
        <v>0</v>
      </c>
      <c r="I62" s="110">
        <v>0.35203832241665856</v>
      </c>
      <c r="J62" s="110">
        <v>0.35203832241665856</v>
      </c>
      <c r="K62" s="5">
        <v>78</v>
      </c>
      <c r="L62" s="109">
        <v>0</v>
      </c>
      <c r="M62" s="109">
        <v>11.47</v>
      </c>
      <c r="N62" s="109">
        <v>0.371</v>
      </c>
      <c r="O62" s="109">
        <v>0.371</v>
      </c>
      <c r="P62" s="109">
        <v>11.999000000000001</v>
      </c>
      <c r="Q62" s="110">
        <v>0</v>
      </c>
      <c r="R62" s="110">
        <v>3.0919243270272522E-2</v>
      </c>
      <c r="S62" s="110">
        <v>3.0919243270272522E-2</v>
      </c>
      <c r="T62" s="5">
        <v>78</v>
      </c>
      <c r="U62" s="112">
        <v>0</v>
      </c>
      <c r="V62" s="112">
        <v>10.849499999999999</v>
      </c>
      <c r="W62" s="112">
        <v>1.986</v>
      </c>
      <c r="X62" s="112">
        <v>1.986</v>
      </c>
      <c r="Y62" s="112">
        <v>11.114000000000001</v>
      </c>
      <c r="Z62" s="113">
        <v>0</v>
      </c>
      <c r="AA62" s="113">
        <v>0.19147878284346553</v>
      </c>
      <c r="AB62" s="113">
        <v>0.19147878284346553</v>
      </c>
    </row>
    <row r="63" spans="2:28">
      <c r="B63" s="5">
        <v>79</v>
      </c>
      <c r="C63" s="109">
        <v>0</v>
      </c>
      <c r="D63" s="109">
        <v>9.7330000000000005</v>
      </c>
      <c r="E63" s="109">
        <v>3.57</v>
      </c>
      <c r="F63" s="109">
        <v>3.57</v>
      </c>
      <c r="G63" s="109">
        <v>9.7330000000000005</v>
      </c>
      <c r="H63" s="110">
        <v>0</v>
      </c>
      <c r="I63" s="110">
        <v>0.36679338333504569</v>
      </c>
      <c r="J63" s="110">
        <v>0.36679338333504569</v>
      </c>
      <c r="K63" s="5">
        <v>79</v>
      </c>
      <c r="L63" s="109">
        <v>0</v>
      </c>
      <c r="M63" s="109">
        <v>10.932</v>
      </c>
      <c r="N63" s="109">
        <v>0.34899999999999998</v>
      </c>
      <c r="O63" s="109">
        <v>0.34899999999999998</v>
      </c>
      <c r="P63" s="109">
        <v>11.444999999999999</v>
      </c>
      <c r="Q63" s="110">
        <v>0</v>
      </c>
      <c r="R63" s="110">
        <v>3.0493665356050678E-2</v>
      </c>
      <c r="S63" s="110">
        <v>3.0493665356050678E-2</v>
      </c>
      <c r="T63" s="5">
        <v>79</v>
      </c>
      <c r="U63" s="112">
        <v>0</v>
      </c>
      <c r="V63" s="112">
        <v>10.3325</v>
      </c>
      <c r="W63" s="112">
        <v>1.9594999999999998</v>
      </c>
      <c r="X63" s="112">
        <v>1.9594999999999998</v>
      </c>
      <c r="Y63" s="112">
        <v>10.588999999999999</v>
      </c>
      <c r="Z63" s="113">
        <v>0</v>
      </c>
      <c r="AA63" s="113">
        <v>0.19864352434554819</v>
      </c>
      <c r="AB63" s="113">
        <v>0.19864352434554819</v>
      </c>
    </row>
    <row r="64" spans="2:28">
      <c r="B64" s="5">
        <v>80</v>
      </c>
      <c r="C64" s="109">
        <v>0</v>
      </c>
      <c r="D64" s="109">
        <v>9.2379999999999995</v>
      </c>
      <c r="E64" s="109">
        <v>3.5310000000000001</v>
      </c>
      <c r="F64" s="109">
        <v>3.5310000000000001</v>
      </c>
      <c r="G64" s="109">
        <v>9.2379999999999995</v>
      </c>
      <c r="H64" s="110">
        <v>0</v>
      </c>
      <c r="I64" s="110">
        <v>0.38222558995453565</v>
      </c>
      <c r="J64" s="110">
        <v>0.38222558995453565</v>
      </c>
      <c r="K64" s="5">
        <v>80</v>
      </c>
      <c r="L64" s="109">
        <v>0</v>
      </c>
      <c r="M64" s="109">
        <v>10.391999999999999</v>
      </c>
      <c r="N64" s="109">
        <v>0.32700000000000001</v>
      </c>
      <c r="O64" s="109">
        <v>0.32700000000000001</v>
      </c>
      <c r="P64" s="109">
        <v>10.888</v>
      </c>
      <c r="Q64" s="110">
        <v>0</v>
      </c>
      <c r="R64" s="110">
        <v>3.0033063923585599E-2</v>
      </c>
      <c r="S64" s="110">
        <v>3.0033063923585599E-2</v>
      </c>
      <c r="T64" s="5">
        <v>80</v>
      </c>
      <c r="U64" s="112">
        <v>0</v>
      </c>
      <c r="V64" s="112">
        <v>9.8149999999999995</v>
      </c>
      <c r="W64" s="112">
        <v>1.929</v>
      </c>
      <c r="X64" s="112">
        <v>1.929</v>
      </c>
      <c r="Y64" s="112">
        <v>10.062999999999999</v>
      </c>
      <c r="Z64" s="113">
        <v>0</v>
      </c>
      <c r="AA64" s="113">
        <v>0.20612932693906064</v>
      </c>
      <c r="AB64" s="113">
        <v>0.20612932693906064</v>
      </c>
    </row>
    <row r="65" spans="2:28">
      <c r="B65" s="5">
        <v>81</v>
      </c>
      <c r="C65" s="109">
        <v>0</v>
      </c>
      <c r="D65" s="109">
        <v>8.7469999999999999</v>
      </c>
      <c r="E65" s="109">
        <v>3.4820000000000002</v>
      </c>
      <c r="F65" s="109">
        <v>3.4820000000000002</v>
      </c>
      <c r="G65" s="109">
        <v>8.7469999999999999</v>
      </c>
      <c r="H65" s="110">
        <v>0</v>
      </c>
      <c r="I65" s="110">
        <v>0.39807934148851037</v>
      </c>
      <c r="J65" s="110">
        <v>0.39807934148851037</v>
      </c>
      <c r="K65" s="5">
        <v>81</v>
      </c>
      <c r="L65" s="109">
        <v>0</v>
      </c>
      <c r="M65" s="109">
        <v>9.8529999999999998</v>
      </c>
      <c r="N65" s="109">
        <v>0.30399999999999999</v>
      </c>
      <c r="O65" s="109">
        <v>0.30399999999999999</v>
      </c>
      <c r="P65" s="109">
        <v>10.331999999999999</v>
      </c>
      <c r="Q65" s="110">
        <v>0</v>
      </c>
      <c r="R65" s="110">
        <v>2.942315137437089E-2</v>
      </c>
      <c r="S65" s="110">
        <v>2.942315137437089E-2</v>
      </c>
      <c r="T65" s="5">
        <v>81</v>
      </c>
      <c r="U65" s="112">
        <v>0</v>
      </c>
      <c r="V65" s="112">
        <v>9.3000000000000007</v>
      </c>
      <c r="W65" s="112">
        <v>1.893</v>
      </c>
      <c r="X65" s="112">
        <v>1.893</v>
      </c>
      <c r="Y65" s="112">
        <v>9.5395000000000003</v>
      </c>
      <c r="Z65" s="113">
        <v>0</v>
      </c>
      <c r="AA65" s="113">
        <v>0.21375124643144064</v>
      </c>
      <c r="AB65" s="113">
        <v>0.21375124643144064</v>
      </c>
    </row>
    <row r="66" spans="2:28">
      <c r="B66" s="5">
        <v>82</v>
      </c>
      <c r="C66" s="109">
        <v>0</v>
      </c>
      <c r="D66" s="109">
        <v>8.2629999999999999</v>
      </c>
      <c r="E66" s="109">
        <v>3.4089999999999998</v>
      </c>
      <c r="F66" s="109">
        <v>3.4089999999999998</v>
      </c>
      <c r="G66" s="109">
        <v>8.2629999999999999</v>
      </c>
      <c r="H66" s="110">
        <v>0</v>
      </c>
      <c r="I66" s="110">
        <v>0.41256202347815563</v>
      </c>
      <c r="J66" s="110">
        <v>0.41256202347815563</v>
      </c>
      <c r="K66" s="5">
        <v>82</v>
      </c>
      <c r="L66" s="109">
        <v>0</v>
      </c>
      <c r="M66" s="109">
        <v>9.3179999999999996</v>
      </c>
      <c r="N66" s="109">
        <v>0.28100000000000003</v>
      </c>
      <c r="O66" s="109">
        <v>0.28100000000000003</v>
      </c>
      <c r="P66" s="109">
        <v>9.777000000000001</v>
      </c>
      <c r="Q66" s="110">
        <v>0</v>
      </c>
      <c r="R66" s="110">
        <v>2.8740922573386521E-2</v>
      </c>
      <c r="S66" s="110">
        <v>2.8740922573386521E-2</v>
      </c>
      <c r="T66" s="5">
        <v>82</v>
      </c>
      <c r="U66" s="112">
        <v>0</v>
      </c>
      <c r="V66" s="112">
        <v>8.7904999999999998</v>
      </c>
      <c r="W66" s="112">
        <v>1.845</v>
      </c>
      <c r="X66" s="112">
        <v>1.845</v>
      </c>
      <c r="Y66" s="112">
        <v>9.02</v>
      </c>
      <c r="Z66" s="113">
        <v>0</v>
      </c>
      <c r="AA66" s="113">
        <v>0.22065147302577107</v>
      </c>
      <c r="AB66" s="113">
        <v>0.22065147302577107</v>
      </c>
    </row>
    <row r="67" spans="2:28">
      <c r="B67" s="5">
        <v>83</v>
      </c>
      <c r="C67" s="109">
        <v>0</v>
      </c>
      <c r="D67" s="109">
        <v>7.7880000000000003</v>
      </c>
      <c r="E67" s="109">
        <v>3.3220000000000001</v>
      </c>
      <c r="F67" s="109">
        <v>3.3220000000000001</v>
      </c>
      <c r="G67" s="109">
        <v>7.7880000000000003</v>
      </c>
      <c r="H67" s="110">
        <v>0</v>
      </c>
      <c r="I67" s="110">
        <v>0.42655367231638419</v>
      </c>
      <c r="J67" s="110">
        <v>0.42655367231638419</v>
      </c>
      <c r="K67" s="5">
        <v>83</v>
      </c>
      <c r="L67" s="109">
        <v>0</v>
      </c>
      <c r="M67" s="109">
        <v>8.7889999999999997</v>
      </c>
      <c r="N67" s="109">
        <v>0.25800000000000001</v>
      </c>
      <c r="O67" s="109">
        <v>0.25800000000000001</v>
      </c>
      <c r="P67" s="109">
        <v>9.2279999999999998</v>
      </c>
      <c r="Q67" s="110">
        <v>0</v>
      </c>
      <c r="R67" s="110">
        <v>2.7958387516254877E-2</v>
      </c>
      <c r="S67" s="110">
        <v>2.7958387516254877E-2</v>
      </c>
      <c r="T67" s="5">
        <v>83</v>
      </c>
      <c r="U67" s="112">
        <v>0</v>
      </c>
      <c r="V67" s="112">
        <v>8.2884999999999991</v>
      </c>
      <c r="W67" s="112">
        <v>1.79</v>
      </c>
      <c r="X67" s="112">
        <v>1.79</v>
      </c>
      <c r="Y67" s="112">
        <v>8.5079999999999991</v>
      </c>
      <c r="Z67" s="113">
        <v>0</v>
      </c>
      <c r="AA67" s="113">
        <v>0.22725602991631955</v>
      </c>
      <c r="AB67" s="113">
        <v>0.22725602991631955</v>
      </c>
    </row>
    <row r="68" spans="2:28">
      <c r="B68" s="5">
        <v>84</v>
      </c>
      <c r="C68" s="109">
        <v>0</v>
      </c>
      <c r="D68" s="109">
        <v>7.327</v>
      </c>
      <c r="E68" s="109">
        <v>3.2229999999999999</v>
      </c>
      <c r="F68" s="109">
        <v>3.2229999999999999</v>
      </c>
      <c r="G68" s="109">
        <v>7.327</v>
      </c>
      <c r="H68" s="110">
        <v>0</v>
      </c>
      <c r="I68" s="110">
        <v>0.43987989627405483</v>
      </c>
      <c r="J68" s="110">
        <v>0.43987989627405483</v>
      </c>
      <c r="K68" s="5">
        <v>84</v>
      </c>
      <c r="L68" s="109">
        <v>0</v>
      </c>
      <c r="M68" s="109">
        <v>8.2710000000000008</v>
      </c>
      <c r="N68" s="109">
        <v>0.23499999999999999</v>
      </c>
      <c r="O68" s="109">
        <v>0.23499999999999999</v>
      </c>
      <c r="P68" s="109">
        <v>8.6879999999999988</v>
      </c>
      <c r="Q68" s="110">
        <v>0</v>
      </c>
      <c r="R68" s="110">
        <v>2.7048802946593006E-2</v>
      </c>
      <c r="S68" s="110">
        <v>2.7048802946593006E-2</v>
      </c>
      <c r="T68" s="5">
        <v>84</v>
      </c>
      <c r="U68" s="112">
        <v>0</v>
      </c>
      <c r="V68" s="112">
        <v>7.7990000000000004</v>
      </c>
      <c r="W68" s="112">
        <v>1.7289999999999999</v>
      </c>
      <c r="X68" s="112">
        <v>1.7289999999999999</v>
      </c>
      <c r="Y68" s="112">
        <v>8.0075000000000003</v>
      </c>
      <c r="Z68" s="113">
        <v>0</v>
      </c>
      <c r="AA68" s="113">
        <v>0.23346434961032392</v>
      </c>
      <c r="AB68" s="113">
        <v>0.23346434961032392</v>
      </c>
    </row>
    <row r="69" spans="2:28">
      <c r="B69" s="5">
        <v>85</v>
      </c>
      <c r="C69" s="109">
        <v>0</v>
      </c>
      <c r="D69" s="109">
        <v>6.883</v>
      </c>
      <c r="E69" s="109">
        <v>3.1139999999999999</v>
      </c>
      <c r="F69" s="109">
        <v>3.1139999999999999</v>
      </c>
      <c r="G69" s="109">
        <v>6.883</v>
      </c>
      <c r="H69" s="110">
        <v>0</v>
      </c>
      <c r="I69" s="110">
        <v>0.45241900334156615</v>
      </c>
      <c r="J69" s="110">
        <v>0.45241900334156615</v>
      </c>
      <c r="K69" s="5">
        <v>85</v>
      </c>
      <c r="L69" s="109">
        <v>0</v>
      </c>
      <c r="M69" s="109">
        <v>7.7679999999999998</v>
      </c>
      <c r="N69" s="109">
        <v>0.21</v>
      </c>
      <c r="O69" s="109">
        <v>0.21</v>
      </c>
      <c r="P69" s="109">
        <v>8.1560000000000006</v>
      </c>
      <c r="Q69" s="110">
        <v>0</v>
      </c>
      <c r="R69" s="110">
        <v>2.5747915644923978E-2</v>
      </c>
      <c r="S69" s="110">
        <v>2.5747915644923978E-2</v>
      </c>
      <c r="T69" s="5">
        <v>85</v>
      </c>
      <c r="U69" s="112">
        <v>0</v>
      </c>
      <c r="V69" s="112">
        <v>7.3254999999999999</v>
      </c>
      <c r="W69" s="112">
        <v>1.6619999999999999</v>
      </c>
      <c r="X69" s="112">
        <v>1.6619999999999999</v>
      </c>
      <c r="Y69" s="112">
        <v>7.5195000000000007</v>
      </c>
      <c r="Z69" s="113">
        <v>0</v>
      </c>
      <c r="AA69" s="113">
        <v>0.23908345949324505</v>
      </c>
      <c r="AB69" s="113">
        <v>0.23908345949324505</v>
      </c>
    </row>
    <row r="70" spans="2:28">
      <c r="B70" s="5">
        <v>86</v>
      </c>
      <c r="C70" s="109">
        <v>0</v>
      </c>
      <c r="D70" s="109">
        <v>6.4619999999999997</v>
      </c>
      <c r="E70" s="109">
        <v>2.9969999999999999</v>
      </c>
      <c r="F70" s="109">
        <v>2.9969999999999999</v>
      </c>
      <c r="G70" s="109">
        <v>6.4619999999999997</v>
      </c>
      <c r="H70" s="110">
        <v>0</v>
      </c>
      <c r="I70" s="110">
        <v>0.46378830083565459</v>
      </c>
      <c r="J70" s="110">
        <v>0.46378830083565459</v>
      </c>
      <c r="K70" s="5">
        <v>86</v>
      </c>
      <c r="L70" s="109">
        <v>0</v>
      </c>
      <c r="M70" s="109">
        <v>7.2850000000000001</v>
      </c>
      <c r="N70" s="109">
        <v>0.186</v>
      </c>
      <c r="O70" s="109">
        <v>0.186</v>
      </c>
      <c r="P70" s="109">
        <v>7.6379999999999999</v>
      </c>
      <c r="Q70" s="110">
        <v>0</v>
      </c>
      <c r="R70" s="110">
        <v>2.4351924587588374E-2</v>
      </c>
      <c r="S70" s="110">
        <v>2.4351924587588374E-2</v>
      </c>
      <c r="T70" s="5">
        <v>86</v>
      </c>
      <c r="U70" s="112">
        <v>0</v>
      </c>
      <c r="V70" s="112">
        <v>6.8734999999999999</v>
      </c>
      <c r="W70" s="112">
        <v>1.5914999999999999</v>
      </c>
      <c r="X70" s="112">
        <v>1.5914999999999999</v>
      </c>
      <c r="Y70" s="112">
        <v>7.05</v>
      </c>
      <c r="Z70" s="113">
        <v>0</v>
      </c>
      <c r="AA70" s="113">
        <v>0.24407011271162149</v>
      </c>
      <c r="AB70" s="113">
        <v>0.24407011271162149</v>
      </c>
    </row>
    <row r="71" spans="2:28">
      <c r="B71" s="5">
        <v>87</v>
      </c>
      <c r="C71" s="109">
        <v>0</v>
      </c>
      <c r="D71" s="109">
        <v>6.069</v>
      </c>
      <c r="E71" s="109">
        <v>2.8730000000000002</v>
      </c>
      <c r="F71" s="109">
        <v>2.8730000000000002</v>
      </c>
      <c r="G71" s="109">
        <v>6.069</v>
      </c>
      <c r="H71" s="110">
        <v>0</v>
      </c>
      <c r="I71" s="110">
        <v>0.47338935574229696</v>
      </c>
      <c r="J71" s="110">
        <v>0.47338935574229696</v>
      </c>
      <c r="K71" s="5">
        <v>87</v>
      </c>
      <c r="L71" s="109">
        <v>0</v>
      </c>
      <c r="M71" s="109">
        <v>6.8259999999999996</v>
      </c>
      <c r="N71" s="109">
        <v>0.16200000000000001</v>
      </c>
      <c r="O71" s="109">
        <v>0.16200000000000001</v>
      </c>
      <c r="P71" s="109">
        <v>7.1390000000000002</v>
      </c>
      <c r="Q71" s="110">
        <v>0</v>
      </c>
      <c r="R71" s="110">
        <v>2.2692253817061213E-2</v>
      </c>
      <c r="S71" s="110">
        <v>2.2692253817061213E-2</v>
      </c>
      <c r="T71" s="5">
        <v>87</v>
      </c>
      <c r="U71" s="112">
        <v>0</v>
      </c>
      <c r="V71" s="112">
        <v>6.4474999999999998</v>
      </c>
      <c r="W71" s="112">
        <v>1.5175000000000001</v>
      </c>
      <c r="X71" s="112">
        <v>1.5175000000000001</v>
      </c>
      <c r="Y71" s="112">
        <v>6.6040000000000001</v>
      </c>
      <c r="Z71" s="113">
        <v>0</v>
      </c>
      <c r="AA71" s="113">
        <v>0.24804080477967907</v>
      </c>
      <c r="AB71" s="113">
        <v>0.24804080477967907</v>
      </c>
    </row>
    <row r="72" spans="2:28">
      <c r="B72" s="5">
        <v>88</v>
      </c>
      <c r="C72" s="109">
        <v>0</v>
      </c>
      <c r="D72" s="109">
        <v>5.7119999999999997</v>
      </c>
      <c r="E72" s="109">
        <v>2.7149999999999999</v>
      </c>
      <c r="F72" s="109">
        <v>2.7149999999999999</v>
      </c>
      <c r="G72" s="109">
        <v>5.7119999999999997</v>
      </c>
      <c r="H72" s="110">
        <v>0</v>
      </c>
      <c r="I72" s="110">
        <v>0.47531512605042014</v>
      </c>
      <c r="J72" s="110">
        <v>0.47531512605042014</v>
      </c>
      <c r="K72" s="5">
        <v>88</v>
      </c>
      <c r="L72" s="109">
        <v>0</v>
      </c>
      <c r="M72" s="109">
        <v>6.3979999999999997</v>
      </c>
      <c r="N72" s="109">
        <v>0.14000000000000001</v>
      </c>
      <c r="O72" s="109">
        <v>0.14000000000000001</v>
      </c>
      <c r="P72" s="109">
        <v>6.6609999999999996</v>
      </c>
      <c r="Q72" s="110">
        <v>0</v>
      </c>
      <c r="R72" s="110">
        <v>2.1017865185407599E-2</v>
      </c>
      <c r="S72" s="110">
        <v>2.1017865185407599E-2</v>
      </c>
      <c r="T72" s="5">
        <v>88</v>
      </c>
      <c r="U72" s="112">
        <v>0</v>
      </c>
      <c r="V72" s="112">
        <v>6.0549999999999997</v>
      </c>
      <c r="W72" s="112">
        <v>1.4275</v>
      </c>
      <c r="X72" s="112">
        <v>1.4275</v>
      </c>
      <c r="Y72" s="112">
        <v>6.1864999999999997</v>
      </c>
      <c r="Z72" s="113">
        <v>0</v>
      </c>
      <c r="AA72" s="113">
        <v>0.24816649561791387</v>
      </c>
      <c r="AB72" s="113">
        <v>0.24816649561791387</v>
      </c>
    </row>
    <row r="73" spans="2:28">
      <c r="B73" s="5">
        <v>89</v>
      </c>
      <c r="C73" s="109">
        <v>0</v>
      </c>
      <c r="D73" s="109">
        <v>5.3979999999999997</v>
      </c>
      <c r="E73" s="109">
        <v>2.5489999999999999</v>
      </c>
      <c r="F73" s="109">
        <v>2.5489999999999999</v>
      </c>
      <c r="G73" s="109">
        <v>5.3979999999999997</v>
      </c>
      <c r="H73" s="110">
        <v>0</v>
      </c>
      <c r="I73" s="110">
        <v>0.4722119303445721</v>
      </c>
      <c r="J73" s="110">
        <v>0.4722119303445721</v>
      </c>
      <c r="K73" s="5">
        <v>89</v>
      </c>
      <c r="L73" s="109">
        <v>0</v>
      </c>
      <c r="M73" s="109">
        <v>6.0069999999999997</v>
      </c>
      <c r="N73" s="109">
        <v>0.11700000000000001</v>
      </c>
      <c r="O73" s="109">
        <v>0.11700000000000001</v>
      </c>
      <c r="P73" s="109">
        <v>6.21</v>
      </c>
      <c r="Q73" s="110">
        <v>0</v>
      </c>
      <c r="R73" s="110">
        <v>1.8840579710144929E-2</v>
      </c>
      <c r="S73" s="110">
        <v>1.8840579710144929E-2</v>
      </c>
      <c r="T73" s="5">
        <v>89</v>
      </c>
      <c r="U73" s="112">
        <v>0</v>
      </c>
      <c r="V73" s="112">
        <v>5.7024999999999997</v>
      </c>
      <c r="W73" s="112">
        <v>1.333</v>
      </c>
      <c r="X73" s="112">
        <v>1.333</v>
      </c>
      <c r="Y73" s="112">
        <v>5.8040000000000003</v>
      </c>
      <c r="Z73" s="113">
        <v>0</v>
      </c>
      <c r="AA73" s="113">
        <v>0.2455262550273585</v>
      </c>
      <c r="AB73" s="113">
        <v>0.2455262550273585</v>
      </c>
    </row>
    <row r="74" spans="2:28">
      <c r="B74" s="5">
        <v>90</v>
      </c>
      <c r="C74" s="109">
        <v>0</v>
      </c>
      <c r="D74" s="109">
        <v>5.1150000000000002</v>
      </c>
      <c r="E74" s="109">
        <v>2.387</v>
      </c>
      <c r="F74" s="109">
        <v>2.387</v>
      </c>
      <c r="G74" s="109">
        <v>5.1150000000000002</v>
      </c>
      <c r="H74" s="110">
        <v>0</v>
      </c>
      <c r="I74" s="110">
        <v>0.46666666666666667</v>
      </c>
      <c r="J74" s="110">
        <v>0.46666666666666667</v>
      </c>
      <c r="K74" s="5">
        <v>90</v>
      </c>
      <c r="L74" s="109">
        <v>0</v>
      </c>
      <c r="M74" s="109">
        <v>5.6550000000000002</v>
      </c>
      <c r="N74" s="109">
        <v>9.7000000000000003E-2</v>
      </c>
      <c r="O74" s="109">
        <v>9.7000000000000003E-2</v>
      </c>
      <c r="P74" s="109">
        <v>5.7910000000000004</v>
      </c>
      <c r="Q74" s="110">
        <v>0</v>
      </c>
      <c r="R74" s="110">
        <v>1.6750129511310653E-2</v>
      </c>
      <c r="S74" s="110">
        <v>1.6750129511310653E-2</v>
      </c>
      <c r="T74" s="5">
        <v>90</v>
      </c>
      <c r="U74" s="112">
        <v>0</v>
      </c>
      <c r="V74" s="112">
        <v>5.3849999999999998</v>
      </c>
      <c r="W74" s="112">
        <v>1.242</v>
      </c>
      <c r="X74" s="112">
        <v>1.242</v>
      </c>
      <c r="Y74" s="112">
        <v>5.4530000000000003</v>
      </c>
      <c r="Z74" s="113">
        <v>0</v>
      </c>
      <c r="AA74" s="113">
        <v>0.24170839808898867</v>
      </c>
      <c r="AB74" s="113">
        <v>0.24170839808898867</v>
      </c>
    </row>
    <row r="75" spans="2:28">
      <c r="B75" s="5">
        <v>91</v>
      </c>
      <c r="C75" s="109">
        <v>0</v>
      </c>
      <c r="D75" s="109">
        <v>4.8499999999999996</v>
      </c>
      <c r="E75" s="109">
        <v>2.2040000000000002</v>
      </c>
      <c r="F75" s="109">
        <v>2.2040000000000002</v>
      </c>
      <c r="G75" s="109">
        <v>4.8499999999999996</v>
      </c>
      <c r="H75" s="110">
        <v>0</v>
      </c>
      <c r="I75" s="110">
        <v>0.45443298969072171</v>
      </c>
      <c r="J75" s="110">
        <v>0.45443298969072171</v>
      </c>
      <c r="K75" s="5">
        <v>91</v>
      </c>
      <c r="L75" s="109">
        <v>0</v>
      </c>
      <c r="M75" s="109">
        <v>5.3319999999999999</v>
      </c>
      <c r="N75" s="109">
        <v>0.08</v>
      </c>
      <c r="O75" s="109">
        <v>0.08</v>
      </c>
      <c r="P75" s="109">
        <v>5.4059999999999997</v>
      </c>
      <c r="Q75" s="110">
        <v>0</v>
      </c>
      <c r="R75" s="110">
        <v>1.4798372179060304E-2</v>
      </c>
      <c r="S75" s="110">
        <v>1.4798372179060304E-2</v>
      </c>
      <c r="T75" s="5">
        <v>91</v>
      </c>
      <c r="U75" s="112">
        <v>0</v>
      </c>
      <c r="V75" s="112">
        <v>5.0909999999999993</v>
      </c>
      <c r="W75" s="112">
        <v>1.1420000000000001</v>
      </c>
      <c r="X75" s="112">
        <v>1.1420000000000001</v>
      </c>
      <c r="Y75" s="112">
        <v>5.1280000000000001</v>
      </c>
      <c r="Z75" s="113">
        <v>0</v>
      </c>
      <c r="AA75" s="113">
        <v>0.23461568093489102</v>
      </c>
      <c r="AB75" s="113">
        <v>0.23461568093489102</v>
      </c>
    </row>
    <row r="76" spans="2:28">
      <c r="B76" s="5">
        <v>92</v>
      </c>
      <c r="C76" s="109">
        <v>0</v>
      </c>
      <c r="D76" s="109">
        <v>4.6040000000000001</v>
      </c>
      <c r="E76" s="109">
        <v>2.0350000000000001</v>
      </c>
      <c r="F76" s="109">
        <v>2.0350000000000001</v>
      </c>
      <c r="G76" s="109">
        <v>4.6040000000000001</v>
      </c>
      <c r="H76" s="110">
        <v>0</v>
      </c>
      <c r="I76" s="110">
        <v>0.44200695047784538</v>
      </c>
      <c r="J76" s="110">
        <v>0.44200695047784538</v>
      </c>
      <c r="K76" s="5">
        <v>92</v>
      </c>
      <c r="L76" s="109">
        <v>0</v>
      </c>
      <c r="M76" s="109">
        <v>5.0289999999999999</v>
      </c>
      <c r="N76" s="109">
        <v>6.5000000000000002E-2</v>
      </c>
      <c r="O76" s="109">
        <v>6.5000000000000002E-2</v>
      </c>
      <c r="P76" s="109">
        <v>5.0540000000000003</v>
      </c>
      <c r="Q76" s="110">
        <v>0</v>
      </c>
      <c r="R76" s="110">
        <v>1.2861100118717847E-2</v>
      </c>
      <c r="S76" s="110">
        <v>1.2861100118717847E-2</v>
      </c>
      <c r="T76" s="5">
        <v>92</v>
      </c>
      <c r="U76" s="112">
        <v>0</v>
      </c>
      <c r="V76" s="112">
        <v>4.8164999999999996</v>
      </c>
      <c r="W76" s="112">
        <v>1.05</v>
      </c>
      <c r="X76" s="112">
        <v>1.05</v>
      </c>
      <c r="Y76" s="112">
        <v>4.8290000000000006</v>
      </c>
      <c r="Z76" s="113">
        <v>0</v>
      </c>
      <c r="AA76" s="113">
        <v>0.22743402529828161</v>
      </c>
      <c r="AB76" s="113">
        <v>0.22743402529828161</v>
      </c>
    </row>
    <row r="77" spans="2:28">
      <c r="B77" s="5">
        <v>93</v>
      </c>
      <c r="C77" s="109">
        <v>0</v>
      </c>
      <c r="D77" s="109">
        <v>4.3760000000000003</v>
      </c>
      <c r="E77" s="109">
        <v>1.85</v>
      </c>
      <c r="F77" s="109">
        <v>1.85</v>
      </c>
      <c r="G77" s="109">
        <v>4.3760000000000003</v>
      </c>
      <c r="H77" s="110">
        <v>0</v>
      </c>
      <c r="I77" s="110">
        <v>0.42276051188299818</v>
      </c>
      <c r="J77" s="110">
        <v>0.42276051188299818</v>
      </c>
      <c r="K77" s="5">
        <v>93</v>
      </c>
      <c r="L77" s="109">
        <v>0</v>
      </c>
      <c r="M77" s="109">
        <v>4.7469999999999999</v>
      </c>
      <c r="N77" s="109">
        <v>5.2999999999999999E-2</v>
      </c>
      <c r="O77" s="109">
        <v>5.2999999999999999E-2</v>
      </c>
      <c r="P77" s="109">
        <v>4.7359999999999998</v>
      </c>
      <c r="Q77" s="110">
        <v>0</v>
      </c>
      <c r="R77" s="110">
        <v>1.1190878378378379E-2</v>
      </c>
      <c r="S77" s="110">
        <v>1.1190878378378379E-2</v>
      </c>
      <c r="T77" s="5">
        <v>93</v>
      </c>
      <c r="U77" s="112">
        <v>0</v>
      </c>
      <c r="V77" s="112">
        <v>4.5615000000000006</v>
      </c>
      <c r="W77" s="112">
        <v>0.95150000000000001</v>
      </c>
      <c r="X77" s="112">
        <v>0.95150000000000001</v>
      </c>
      <c r="Y77" s="112">
        <v>4.556</v>
      </c>
      <c r="Z77" s="113">
        <v>0</v>
      </c>
      <c r="AA77" s="113">
        <v>0.21697569513068829</v>
      </c>
      <c r="AB77" s="113">
        <v>0.21697569513068829</v>
      </c>
    </row>
    <row r="78" spans="2:28">
      <c r="B78" s="5">
        <v>94</v>
      </c>
      <c r="C78" s="109">
        <v>0</v>
      </c>
      <c r="D78" s="109">
        <v>4.1660000000000004</v>
      </c>
      <c r="E78" s="109">
        <v>1.6830000000000001</v>
      </c>
      <c r="F78" s="109">
        <v>1.6830000000000001</v>
      </c>
      <c r="G78" s="109">
        <v>4.1660000000000004</v>
      </c>
      <c r="H78" s="110">
        <v>0</v>
      </c>
      <c r="I78" s="110">
        <v>0.4039846375420067</v>
      </c>
      <c r="J78" s="110">
        <v>0.4039846375420067</v>
      </c>
      <c r="K78" s="5">
        <v>94</v>
      </c>
      <c r="L78" s="109">
        <v>0</v>
      </c>
      <c r="M78" s="109">
        <v>4.4850000000000003</v>
      </c>
      <c r="N78" s="109">
        <v>4.2000000000000003E-2</v>
      </c>
      <c r="O78" s="109">
        <v>4.2000000000000003E-2</v>
      </c>
      <c r="P78" s="109">
        <v>4.4459999999999997</v>
      </c>
      <c r="Q78" s="110">
        <v>0</v>
      </c>
      <c r="R78" s="110">
        <v>9.4466936572199737E-3</v>
      </c>
      <c r="S78" s="110">
        <v>9.4466936572199737E-3</v>
      </c>
      <c r="T78" s="5">
        <v>94</v>
      </c>
      <c r="U78" s="112">
        <v>0</v>
      </c>
      <c r="V78" s="112">
        <v>4.3254999999999999</v>
      </c>
      <c r="W78" s="112">
        <v>0.86250000000000004</v>
      </c>
      <c r="X78" s="112">
        <v>0.86250000000000004</v>
      </c>
      <c r="Y78" s="112">
        <v>4.306</v>
      </c>
      <c r="Z78" s="113">
        <v>0</v>
      </c>
      <c r="AA78" s="113">
        <v>0.20671566559961332</v>
      </c>
      <c r="AB78" s="113">
        <v>0.20671566559961332</v>
      </c>
    </row>
    <row r="79" spans="2:28">
      <c r="B79" s="5">
        <v>95</v>
      </c>
      <c r="C79" s="109">
        <v>0</v>
      </c>
      <c r="D79" s="109">
        <v>3.9740000000000002</v>
      </c>
      <c r="E79" s="109">
        <v>1.5349999999999999</v>
      </c>
      <c r="F79" s="109">
        <v>1.5349999999999999</v>
      </c>
      <c r="G79" s="109">
        <v>3.9740000000000002</v>
      </c>
      <c r="H79" s="110">
        <v>0</v>
      </c>
      <c r="I79" s="110">
        <v>0.38626069451434319</v>
      </c>
      <c r="J79" s="110">
        <v>0.38626069451434319</v>
      </c>
      <c r="K79" s="5">
        <v>95</v>
      </c>
      <c r="L79" s="109">
        <v>0</v>
      </c>
      <c r="M79" s="109">
        <v>4.2450000000000001</v>
      </c>
      <c r="N79" s="109">
        <v>3.4000000000000002E-2</v>
      </c>
      <c r="O79" s="109">
        <v>3.4000000000000002E-2</v>
      </c>
      <c r="P79" s="109">
        <v>4.1829999999999998</v>
      </c>
      <c r="Q79" s="110">
        <v>0</v>
      </c>
      <c r="R79" s="110">
        <v>8.1281377002151572E-3</v>
      </c>
      <c r="S79" s="110">
        <v>8.1281377002151572E-3</v>
      </c>
      <c r="T79" s="5">
        <v>95</v>
      </c>
      <c r="U79" s="112">
        <v>0</v>
      </c>
      <c r="V79" s="112">
        <v>4.1095000000000006</v>
      </c>
      <c r="W79" s="112">
        <v>0.78449999999999998</v>
      </c>
      <c r="X79" s="112">
        <v>0.78449999999999998</v>
      </c>
      <c r="Y79" s="112">
        <v>4.0785</v>
      </c>
      <c r="Z79" s="113">
        <v>0</v>
      </c>
      <c r="AA79" s="113">
        <v>0.19719441610727917</v>
      </c>
      <c r="AB79" s="113">
        <v>0.19719441610727917</v>
      </c>
    </row>
    <row r="80" spans="2:28">
      <c r="B80" s="5">
        <v>96</v>
      </c>
      <c r="C80" s="109">
        <v>0</v>
      </c>
      <c r="D80" s="109">
        <v>3.798</v>
      </c>
      <c r="E80" s="109">
        <v>1.371</v>
      </c>
      <c r="F80" s="109">
        <v>1.371</v>
      </c>
      <c r="G80" s="109">
        <v>3.798</v>
      </c>
      <c r="H80" s="110">
        <v>0</v>
      </c>
      <c r="I80" s="110">
        <v>0.36097946287519744</v>
      </c>
      <c r="J80" s="110">
        <v>0.36097946287519744</v>
      </c>
      <c r="K80" s="5">
        <v>96</v>
      </c>
      <c r="L80" s="109">
        <v>0</v>
      </c>
      <c r="M80" s="109">
        <v>4.024</v>
      </c>
      <c r="N80" s="109">
        <v>2.7E-2</v>
      </c>
      <c r="O80" s="109">
        <v>2.7E-2</v>
      </c>
      <c r="P80" s="109">
        <v>3.9460000000000002</v>
      </c>
      <c r="Q80" s="110">
        <v>0</v>
      </c>
      <c r="R80" s="110">
        <v>6.842372022301064E-3</v>
      </c>
      <c r="S80" s="110">
        <v>6.842372022301064E-3</v>
      </c>
      <c r="T80" s="5">
        <v>96</v>
      </c>
      <c r="U80" s="112">
        <v>0</v>
      </c>
      <c r="V80" s="112">
        <v>3.911</v>
      </c>
      <c r="W80" s="112">
        <v>0.69899999999999995</v>
      </c>
      <c r="X80" s="112">
        <v>0.69899999999999995</v>
      </c>
      <c r="Y80" s="112">
        <v>3.8719999999999999</v>
      </c>
      <c r="Z80" s="113">
        <v>0</v>
      </c>
      <c r="AA80" s="113">
        <v>0.18391091744874927</v>
      </c>
      <c r="AB80" s="113">
        <v>0.18391091744874927</v>
      </c>
    </row>
    <row r="81" spans="2:28">
      <c r="B81" s="5">
        <v>97</v>
      </c>
      <c r="C81" s="109">
        <v>0</v>
      </c>
      <c r="D81" s="109">
        <v>3.6389999999999998</v>
      </c>
      <c r="E81" s="109">
        <v>1.216</v>
      </c>
      <c r="F81" s="109">
        <v>1.216</v>
      </c>
      <c r="G81" s="109">
        <v>3.6389999999999998</v>
      </c>
      <c r="H81" s="110">
        <v>0</v>
      </c>
      <c r="I81" s="110">
        <v>0.33415773564165979</v>
      </c>
      <c r="J81" s="110">
        <v>0.33415773564165979</v>
      </c>
      <c r="K81" s="5">
        <v>97</v>
      </c>
      <c r="L81" s="109">
        <v>0</v>
      </c>
      <c r="M81" s="109">
        <v>3.8239999999999998</v>
      </c>
      <c r="N81" s="109">
        <v>2.1000000000000001E-2</v>
      </c>
      <c r="O81" s="109">
        <v>2.1000000000000001E-2</v>
      </c>
      <c r="P81" s="109">
        <v>3.734</v>
      </c>
      <c r="Q81" s="110">
        <v>0</v>
      </c>
      <c r="R81" s="110">
        <v>5.6239957150508845E-3</v>
      </c>
      <c r="S81" s="110">
        <v>5.6239957150508845E-3</v>
      </c>
      <c r="T81" s="5">
        <v>97</v>
      </c>
      <c r="U81" s="112">
        <v>0</v>
      </c>
      <c r="V81" s="112">
        <v>3.7314999999999996</v>
      </c>
      <c r="W81" s="112">
        <v>0.61849999999999994</v>
      </c>
      <c r="X81" s="112">
        <v>0.61849999999999994</v>
      </c>
      <c r="Y81" s="112">
        <v>3.6864999999999997</v>
      </c>
      <c r="Z81" s="113">
        <v>0</v>
      </c>
      <c r="AA81" s="113">
        <v>0.16989086567835535</v>
      </c>
      <c r="AB81" s="113">
        <v>0.16989086567835535</v>
      </c>
    </row>
    <row r="82" spans="2:28">
      <c r="B82" s="5">
        <v>98</v>
      </c>
      <c r="C82" s="109">
        <v>0</v>
      </c>
      <c r="D82" s="109">
        <v>3.4950000000000001</v>
      </c>
      <c r="E82" s="109">
        <v>1.0409999999999999</v>
      </c>
      <c r="F82" s="109">
        <v>1.0409999999999999</v>
      </c>
      <c r="G82" s="109">
        <v>3.4950000000000001</v>
      </c>
      <c r="H82" s="110">
        <v>0</v>
      </c>
      <c r="I82" s="110">
        <v>0.29785407725321883</v>
      </c>
      <c r="J82" s="110">
        <v>0.29785407725321883</v>
      </c>
      <c r="K82" s="5">
        <v>98</v>
      </c>
      <c r="L82" s="109">
        <v>0</v>
      </c>
      <c r="M82" s="109">
        <v>3.6429999999999998</v>
      </c>
      <c r="N82" s="109">
        <v>1.7000000000000001E-2</v>
      </c>
      <c r="O82" s="109">
        <v>1.7000000000000001E-2</v>
      </c>
      <c r="P82" s="109">
        <v>3.5459999999999998</v>
      </c>
      <c r="Q82" s="110">
        <v>0</v>
      </c>
      <c r="R82" s="110">
        <v>4.7941342357586021E-3</v>
      </c>
      <c r="S82" s="110">
        <v>4.7941342357586021E-3</v>
      </c>
      <c r="T82" s="5">
        <v>98</v>
      </c>
      <c r="U82" s="112">
        <v>0</v>
      </c>
      <c r="V82" s="112">
        <v>3.569</v>
      </c>
      <c r="W82" s="112">
        <v>0.52899999999999991</v>
      </c>
      <c r="X82" s="112">
        <v>0.52899999999999991</v>
      </c>
      <c r="Y82" s="112">
        <v>3.5205000000000002</v>
      </c>
      <c r="Z82" s="113">
        <v>0</v>
      </c>
      <c r="AA82" s="113">
        <v>0.15132410574448871</v>
      </c>
      <c r="AB82" s="113">
        <v>0.15132410574448871</v>
      </c>
    </row>
    <row r="83" spans="2:28">
      <c r="B83" s="5">
        <v>99</v>
      </c>
      <c r="C83" s="109">
        <v>0</v>
      </c>
      <c r="D83" s="109">
        <v>3.3639999999999999</v>
      </c>
      <c r="E83" s="109">
        <v>0.84799999999999998</v>
      </c>
      <c r="F83" s="109">
        <v>0.84799999999999998</v>
      </c>
      <c r="G83" s="109">
        <v>3.3639999999999999</v>
      </c>
      <c r="H83" s="110">
        <v>0</v>
      </c>
      <c r="I83" s="110">
        <v>0.25208085612366232</v>
      </c>
      <c r="J83" s="110">
        <v>0.25208085612366232</v>
      </c>
      <c r="K83" s="5">
        <v>99</v>
      </c>
      <c r="L83" s="109">
        <v>0</v>
      </c>
      <c r="M83" s="109">
        <v>3.48</v>
      </c>
      <c r="N83" s="109">
        <v>1.2999999999999999E-2</v>
      </c>
      <c r="O83" s="109">
        <v>1.2999999999999999E-2</v>
      </c>
      <c r="P83" s="109">
        <v>3.3820000000000001</v>
      </c>
      <c r="Q83" s="110">
        <v>0</v>
      </c>
      <c r="R83" s="110">
        <v>3.8438793613246596E-3</v>
      </c>
      <c r="S83" s="110">
        <v>3.8438793613246596E-3</v>
      </c>
      <c r="T83" s="5">
        <v>99</v>
      </c>
      <c r="U83" s="112">
        <v>0</v>
      </c>
      <c r="V83" s="112">
        <v>3.4219999999999997</v>
      </c>
      <c r="W83" s="112">
        <v>0.43049999999999999</v>
      </c>
      <c r="X83" s="112">
        <v>0.43049999999999999</v>
      </c>
      <c r="Y83" s="112">
        <v>3.3730000000000002</v>
      </c>
      <c r="Z83" s="113">
        <v>0</v>
      </c>
      <c r="AA83" s="113">
        <v>0.1279623677424935</v>
      </c>
      <c r="AB83" s="113">
        <v>0.1279623677424935</v>
      </c>
    </row>
    <row r="84" spans="2:28">
      <c r="B84" s="5">
        <v>100</v>
      </c>
      <c r="C84" s="109">
        <v>0</v>
      </c>
      <c r="D84" s="109">
        <v>3.2450000000000001</v>
      </c>
      <c r="E84" s="109">
        <v>0.67200000000000004</v>
      </c>
      <c r="F84" s="109">
        <v>0.67200000000000004</v>
      </c>
      <c r="G84" s="109">
        <v>3.2450000000000001</v>
      </c>
      <c r="H84" s="110">
        <v>0</v>
      </c>
      <c r="I84" s="110">
        <v>0.20708782742681048</v>
      </c>
      <c r="J84" s="110">
        <v>0.20708782742681048</v>
      </c>
      <c r="K84" s="5">
        <v>100</v>
      </c>
      <c r="L84" s="109">
        <v>0</v>
      </c>
      <c r="M84" s="109">
        <v>3.335</v>
      </c>
      <c r="N84" s="109">
        <v>0.01</v>
      </c>
      <c r="O84" s="109">
        <v>0.01</v>
      </c>
      <c r="P84" s="109">
        <v>3.2409999999999997</v>
      </c>
      <c r="Q84" s="110">
        <v>0</v>
      </c>
      <c r="R84" s="110">
        <v>3.0854674483184207E-3</v>
      </c>
      <c r="S84" s="110">
        <v>3.0854674483184207E-3</v>
      </c>
      <c r="T84" s="5">
        <v>100</v>
      </c>
      <c r="U84" s="112">
        <v>0</v>
      </c>
      <c r="V84" s="112">
        <v>3.29</v>
      </c>
      <c r="W84" s="112">
        <v>0.34100000000000003</v>
      </c>
      <c r="X84" s="112">
        <v>0.34100000000000003</v>
      </c>
      <c r="Y84" s="112">
        <v>3.2429999999999999</v>
      </c>
      <c r="Z84" s="113">
        <v>0</v>
      </c>
      <c r="AA84" s="113">
        <v>0.10508664743756445</v>
      </c>
      <c r="AB84" s="113">
        <v>0.10508664743756445</v>
      </c>
    </row>
  </sheetData>
  <sheetProtection algorithmName="SHA-512" hashValue="d6oE5K2nsHq19GiPetYlGfZWSTDtT9ZXiirNG7p0eYukBKdrNdZtgVWS6Qi1zBZSr8eOPEXG83icxPYbY3Clqg==" saltValue="LGES6XlBSRPk8YiFTgrMfQ==" spinCount="100000" sheet="1" objects="1" scenarios="1" formatColumns="0" autoFilter="0"/>
  <mergeCells count="7">
    <mergeCell ref="B1:J1"/>
    <mergeCell ref="K1:S1"/>
    <mergeCell ref="T1:AB1"/>
    <mergeCell ref="B2:B3"/>
    <mergeCell ref="H2:J2"/>
    <mergeCell ref="Q2:S2"/>
    <mergeCell ref="Z2:AB2"/>
  </mergeCell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ABDAA-CD79-43EA-BD11-DEBC2CA6415D}">
  <sheetPr codeName="Tabelle47"/>
  <dimension ref="A1:AB84"/>
  <sheetViews>
    <sheetView topLeftCell="G51" workbookViewId="0">
      <selection activeCell="B4" sqref="B4:AB84"/>
    </sheetView>
  </sheetViews>
  <sheetFormatPr baseColWidth="10" defaultColWidth="12.7109375" defaultRowHeight="15"/>
  <cols>
    <col min="1" max="1" width="4.42578125"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1" spans="1:28" ht="15.75" thickBot="1">
      <c r="B1" s="5">
        <v>1</v>
      </c>
      <c r="C1" s="5">
        <v>2</v>
      </c>
      <c r="D1" s="5">
        <v>3</v>
      </c>
      <c r="E1" s="5">
        <v>4</v>
      </c>
      <c r="F1" s="5">
        <v>5</v>
      </c>
      <c r="G1" s="5">
        <v>6</v>
      </c>
      <c r="H1" s="5">
        <v>7</v>
      </c>
      <c r="I1" s="5">
        <v>8</v>
      </c>
      <c r="J1" s="5">
        <v>9</v>
      </c>
      <c r="K1" s="5">
        <v>10</v>
      </c>
      <c r="L1" s="5">
        <v>11</v>
      </c>
      <c r="M1" s="5">
        <v>12</v>
      </c>
      <c r="N1" s="5">
        <v>13</v>
      </c>
      <c r="O1" s="5">
        <v>14</v>
      </c>
      <c r="P1" s="5">
        <v>15</v>
      </c>
      <c r="Q1" s="5">
        <v>16</v>
      </c>
      <c r="R1" s="5">
        <v>17</v>
      </c>
      <c r="S1" s="5">
        <v>18</v>
      </c>
      <c r="T1" s="5">
        <v>19</v>
      </c>
      <c r="U1" s="5">
        <v>20</v>
      </c>
      <c r="V1" s="5">
        <v>21</v>
      </c>
      <c r="W1" s="5">
        <v>22</v>
      </c>
      <c r="X1" s="5">
        <v>23</v>
      </c>
      <c r="Y1" s="5">
        <v>24</v>
      </c>
      <c r="Z1" s="5">
        <v>25</v>
      </c>
      <c r="AA1" s="5">
        <v>26</v>
      </c>
      <c r="AB1" s="5">
        <v>27</v>
      </c>
    </row>
    <row r="2" spans="1:28" s="46" customFormat="1" ht="72" customHeight="1">
      <c r="A2" s="46" t="s">
        <v>2186</v>
      </c>
      <c r="B2" s="952"/>
      <c r="C2" s="48" t="s">
        <v>2129</v>
      </c>
      <c r="D2" s="48" t="s">
        <v>2130</v>
      </c>
      <c r="E2" s="48" t="s">
        <v>2131</v>
      </c>
      <c r="F2" s="48" t="s">
        <v>2187</v>
      </c>
      <c r="G2" s="48" t="s">
        <v>2188</v>
      </c>
      <c r="H2" s="954" t="s">
        <v>2157</v>
      </c>
      <c r="I2" s="954"/>
      <c r="J2" s="955"/>
      <c r="K2" s="49"/>
      <c r="L2" s="50" t="s">
        <v>2129</v>
      </c>
      <c r="M2" s="50" t="s">
        <v>2130</v>
      </c>
      <c r="N2" s="50" t="s">
        <v>2131</v>
      </c>
      <c r="O2" s="50" t="s">
        <v>2189</v>
      </c>
      <c r="P2" s="50" t="str">
        <f>+G2</f>
        <v>Anwartschafts-barwert d. Altersrente</v>
      </c>
      <c r="Q2" s="956" t="s">
        <v>2158</v>
      </c>
      <c r="R2" s="956"/>
      <c r="S2" s="957"/>
      <c r="T2" s="51"/>
      <c r="U2" s="52" t="s">
        <v>2129</v>
      </c>
      <c r="V2" s="52" t="s">
        <v>2130</v>
      </c>
      <c r="W2" s="52" t="s">
        <v>2131</v>
      </c>
      <c r="X2" s="52" t="str">
        <f>+O2</f>
        <v>Witwenrente</v>
      </c>
      <c r="Y2" s="52" t="s">
        <v>2175</v>
      </c>
      <c r="Z2" s="958" t="s">
        <v>2161</v>
      </c>
      <c r="AA2" s="958"/>
      <c r="AB2" s="959"/>
    </row>
    <row r="3" spans="1:28" s="64" customFormat="1" ht="18.75">
      <c r="A3" s="53"/>
      <c r="B3" s="953"/>
      <c r="C3" s="55">
        <v>0.33100000000000002</v>
      </c>
      <c r="D3" s="55" t="s">
        <v>2178</v>
      </c>
      <c r="E3" s="55" t="s">
        <v>2190</v>
      </c>
      <c r="F3" s="55" t="s">
        <v>2191</v>
      </c>
      <c r="G3" s="55"/>
      <c r="H3" s="56" t="s">
        <v>2139</v>
      </c>
      <c r="I3" s="56" t="s">
        <v>2140</v>
      </c>
      <c r="J3" s="57" t="s">
        <v>2141</v>
      </c>
      <c r="K3" s="58" t="s">
        <v>2176</v>
      </c>
      <c r="L3" s="59" t="s">
        <v>2177</v>
      </c>
      <c r="M3" s="59" t="s">
        <v>2178</v>
      </c>
      <c r="N3" s="59" t="s">
        <v>2192</v>
      </c>
      <c r="O3" s="59"/>
      <c r="P3" s="59"/>
      <c r="Q3" s="59" t="s">
        <v>2139</v>
      </c>
      <c r="R3" s="59" t="s">
        <v>2140</v>
      </c>
      <c r="S3" s="60" t="s">
        <v>2141</v>
      </c>
      <c r="T3" s="61" t="s">
        <v>2176</v>
      </c>
      <c r="U3" s="62" t="s">
        <v>2177</v>
      </c>
      <c r="V3" s="62" t="s">
        <v>2178</v>
      </c>
      <c r="W3" s="62" t="s">
        <v>2192</v>
      </c>
      <c r="X3" s="62"/>
      <c r="Y3" s="62"/>
      <c r="Z3" s="62" t="s">
        <v>2139</v>
      </c>
      <c r="AA3" s="62" t="s">
        <v>2140</v>
      </c>
      <c r="AB3" s="63" t="s">
        <v>2141</v>
      </c>
    </row>
    <row r="4" spans="1:28">
      <c r="B4" s="65">
        <v>20</v>
      </c>
      <c r="C4" s="66">
        <v>0.32200000000000001</v>
      </c>
      <c r="D4" s="66">
        <v>4.0860000000000003</v>
      </c>
      <c r="E4" s="66">
        <v>0.53800000000000003</v>
      </c>
      <c r="F4" s="66">
        <v>0.53800000000000003</v>
      </c>
      <c r="G4" s="66">
        <v>3.7640000000000002</v>
      </c>
      <c r="H4" s="67">
        <v>8.5547290116896921E-2</v>
      </c>
      <c r="I4" s="67">
        <v>0.14293304994686504</v>
      </c>
      <c r="J4" s="68">
        <v>0.22848034006376194</v>
      </c>
      <c r="K4" s="65">
        <v>20</v>
      </c>
      <c r="L4" s="66">
        <v>0.33300000000000002</v>
      </c>
      <c r="M4" s="66">
        <v>4.835</v>
      </c>
      <c r="N4" s="69">
        <v>0.13400000000000001</v>
      </c>
      <c r="O4" s="66">
        <v>0.13400000000000001</v>
      </c>
      <c r="P4" s="66">
        <v>4.5019999999999998</v>
      </c>
      <c r="Q4" s="67">
        <v>7.3967125721901381E-2</v>
      </c>
      <c r="R4" s="67">
        <v>2.976454908929365E-2</v>
      </c>
      <c r="S4" s="68">
        <v>0.10373167481119502</v>
      </c>
      <c r="T4" s="65">
        <v>20</v>
      </c>
      <c r="U4" s="70">
        <v>0.32750000000000001</v>
      </c>
      <c r="V4" s="70">
        <v>4.4604999999999997</v>
      </c>
      <c r="W4" s="70">
        <v>0.33600000000000002</v>
      </c>
      <c r="X4" s="70">
        <v>0.33600000000000002</v>
      </c>
      <c r="Y4" s="70">
        <v>4.133</v>
      </c>
      <c r="Z4" s="71">
        <v>7.9757207919399151E-2</v>
      </c>
      <c r="AA4" s="71">
        <v>8.6348799518079347E-2</v>
      </c>
      <c r="AB4" s="72">
        <v>0.1661060074374785</v>
      </c>
    </row>
    <row r="5" spans="1:28">
      <c r="B5" s="73">
        <v>21</v>
      </c>
      <c r="C5" s="74">
        <v>0.371</v>
      </c>
      <c r="D5" s="74">
        <v>4.21</v>
      </c>
      <c r="E5" s="74">
        <v>0.626</v>
      </c>
      <c r="F5" s="74">
        <v>0.626</v>
      </c>
      <c r="G5" s="74">
        <v>3.839</v>
      </c>
      <c r="H5" s="75">
        <v>9.663974993487888E-2</v>
      </c>
      <c r="I5" s="75">
        <v>0.16306329773378483</v>
      </c>
      <c r="J5" s="77">
        <v>0.2597030476686637</v>
      </c>
      <c r="K5" s="73">
        <v>21</v>
      </c>
      <c r="L5" s="74">
        <v>0.40100000000000002</v>
      </c>
      <c r="M5" s="74">
        <v>4.9790000000000001</v>
      </c>
      <c r="N5" s="76">
        <v>0.161</v>
      </c>
      <c r="O5" s="74">
        <v>0.161</v>
      </c>
      <c r="P5" s="74">
        <v>4.5780000000000003</v>
      </c>
      <c r="Q5" s="75">
        <v>8.7592835299257321E-2</v>
      </c>
      <c r="R5" s="75">
        <v>3.5168195718654434E-2</v>
      </c>
      <c r="S5" s="77">
        <v>0.12276103101791175</v>
      </c>
      <c r="T5" s="73">
        <v>21</v>
      </c>
      <c r="U5" s="78">
        <v>0.38600000000000001</v>
      </c>
      <c r="V5" s="78">
        <v>4.5945</v>
      </c>
      <c r="W5" s="78">
        <v>0.39350000000000002</v>
      </c>
      <c r="X5" s="78">
        <v>0.39350000000000002</v>
      </c>
      <c r="Y5" s="78">
        <v>4.2084999999999999</v>
      </c>
      <c r="Z5" s="19">
        <v>9.2116292617068107E-2</v>
      </c>
      <c r="AA5" s="19">
        <v>9.9115746726219631E-2</v>
      </c>
      <c r="AB5" s="79">
        <v>0.19123203934328772</v>
      </c>
    </row>
    <row r="6" spans="1:28">
      <c r="B6" s="65">
        <v>22</v>
      </c>
      <c r="C6" s="66">
        <v>0.42299999999999999</v>
      </c>
      <c r="D6" s="66">
        <v>4.3360000000000003</v>
      </c>
      <c r="E6" s="66">
        <v>0.71899999999999997</v>
      </c>
      <c r="F6" s="66">
        <v>0.71899999999999997</v>
      </c>
      <c r="G6" s="66">
        <v>3.9130000000000003</v>
      </c>
      <c r="H6" s="67">
        <v>0.10810120112445692</v>
      </c>
      <c r="I6" s="67">
        <v>0.18374648607206745</v>
      </c>
      <c r="J6" s="68">
        <v>0.29184768719652437</v>
      </c>
      <c r="K6" s="65">
        <v>22</v>
      </c>
      <c r="L6" s="66">
        <v>0.46300000000000002</v>
      </c>
      <c r="M6" s="66">
        <v>5.1269999999999998</v>
      </c>
      <c r="N6" s="69">
        <v>0.187</v>
      </c>
      <c r="O6" s="66">
        <v>0.187</v>
      </c>
      <c r="P6" s="66">
        <v>4.6639999999999997</v>
      </c>
      <c r="Q6" s="67">
        <v>9.9271012006861073E-2</v>
      </c>
      <c r="R6" s="67">
        <v>4.0094339622641514E-2</v>
      </c>
      <c r="S6" s="68">
        <v>0.13936535162950259</v>
      </c>
      <c r="T6" s="65">
        <v>22</v>
      </c>
      <c r="U6" s="70">
        <v>0.443</v>
      </c>
      <c r="V6" s="70">
        <v>4.7315000000000005</v>
      </c>
      <c r="W6" s="70">
        <v>0.45299999999999996</v>
      </c>
      <c r="X6" s="70">
        <v>0.45299999999999996</v>
      </c>
      <c r="Y6" s="70">
        <v>4.2885</v>
      </c>
      <c r="Z6" s="71">
        <v>0.10368610656565899</v>
      </c>
      <c r="AA6" s="71">
        <v>0.11192041284735449</v>
      </c>
      <c r="AB6" s="72">
        <v>0.21560651941301348</v>
      </c>
    </row>
    <row r="7" spans="1:28">
      <c r="B7" s="73">
        <v>23</v>
      </c>
      <c r="C7" s="74">
        <v>0.47599999999999998</v>
      </c>
      <c r="D7" s="74">
        <v>4.4649999999999999</v>
      </c>
      <c r="E7" s="74">
        <v>0.81599999999999995</v>
      </c>
      <c r="F7" s="74">
        <v>0.81599999999999995</v>
      </c>
      <c r="G7" s="74">
        <v>3.9889999999999999</v>
      </c>
      <c r="H7" s="75">
        <v>0.11932815241915266</v>
      </c>
      <c r="I7" s="75">
        <v>0.20456254700426171</v>
      </c>
      <c r="J7" s="77">
        <v>0.32389069942341436</v>
      </c>
      <c r="K7" s="73">
        <v>23</v>
      </c>
      <c r="L7" s="74">
        <v>0.51600000000000001</v>
      </c>
      <c r="M7" s="74">
        <v>5.2779999999999996</v>
      </c>
      <c r="N7" s="76">
        <v>0.20899999999999999</v>
      </c>
      <c r="O7" s="74">
        <v>0.20899999999999999</v>
      </c>
      <c r="P7" s="74">
        <v>4.7619999999999996</v>
      </c>
      <c r="Q7" s="75">
        <v>0.10835783284334315</v>
      </c>
      <c r="R7" s="75">
        <v>4.388912221755565E-2</v>
      </c>
      <c r="S7" s="77">
        <v>0.1522469550608988</v>
      </c>
      <c r="T7" s="73">
        <v>23</v>
      </c>
      <c r="U7" s="78">
        <v>0.496</v>
      </c>
      <c r="V7" s="78">
        <v>4.8714999999999993</v>
      </c>
      <c r="W7" s="78">
        <v>0.51249999999999996</v>
      </c>
      <c r="X7" s="78">
        <v>0.51249999999999996</v>
      </c>
      <c r="Y7" s="78">
        <v>4.3754999999999997</v>
      </c>
      <c r="Z7" s="19">
        <v>0.11384299263124791</v>
      </c>
      <c r="AA7" s="19">
        <v>0.12422583461090868</v>
      </c>
      <c r="AB7" s="79">
        <v>0.23806882724215658</v>
      </c>
    </row>
    <row r="8" spans="1:28">
      <c r="B8" s="65">
        <v>24</v>
      </c>
      <c r="C8" s="66">
        <v>0.52400000000000002</v>
      </c>
      <c r="D8" s="66">
        <v>4.5979999999999999</v>
      </c>
      <c r="E8" s="66">
        <v>0.90600000000000003</v>
      </c>
      <c r="F8" s="66">
        <v>0.90600000000000003</v>
      </c>
      <c r="G8" s="66">
        <v>4.0739999999999998</v>
      </c>
      <c r="H8" s="67">
        <v>0.12862052037309771</v>
      </c>
      <c r="I8" s="67">
        <v>0.22238586156111931</v>
      </c>
      <c r="J8" s="68">
        <v>0.35100638193421702</v>
      </c>
      <c r="K8" s="65">
        <v>24</v>
      </c>
      <c r="L8" s="66">
        <v>0.56399999999999995</v>
      </c>
      <c r="M8" s="66">
        <v>5.4329999999999998</v>
      </c>
      <c r="N8" s="69">
        <v>0.22900000000000001</v>
      </c>
      <c r="O8" s="66">
        <v>0.22900000000000001</v>
      </c>
      <c r="P8" s="66">
        <v>4.8689999999999998</v>
      </c>
      <c r="Q8" s="67">
        <v>0.11583487369069624</v>
      </c>
      <c r="R8" s="67">
        <v>4.7032244814130215E-2</v>
      </c>
      <c r="S8" s="68">
        <v>0.16286711850482646</v>
      </c>
      <c r="T8" s="65">
        <v>24</v>
      </c>
      <c r="U8" s="70">
        <v>0.54400000000000004</v>
      </c>
      <c r="V8" s="70">
        <v>5.0154999999999994</v>
      </c>
      <c r="W8" s="70">
        <v>0.5675</v>
      </c>
      <c r="X8" s="70">
        <v>0.5675</v>
      </c>
      <c r="Y8" s="70">
        <v>4.4714999999999998</v>
      </c>
      <c r="Z8" s="71">
        <v>0.12222769703189698</v>
      </c>
      <c r="AA8" s="71">
        <v>0.13470905318762477</v>
      </c>
      <c r="AB8" s="72">
        <v>0.25693675021952173</v>
      </c>
    </row>
    <row r="9" spans="1:28">
      <c r="B9" s="73">
        <v>25</v>
      </c>
      <c r="C9" s="74">
        <v>0.56599999999999995</v>
      </c>
      <c r="D9" s="74">
        <v>4.7329999999999997</v>
      </c>
      <c r="E9" s="74">
        <v>0.99</v>
      </c>
      <c r="F9" s="74">
        <v>0.99</v>
      </c>
      <c r="G9" s="74">
        <v>4.1669999999999998</v>
      </c>
      <c r="H9" s="75">
        <v>0.13582913366930646</v>
      </c>
      <c r="I9" s="75">
        <v>0.23758099352051837</v>
      </c>
      <c r="J9" s="77">
        <v>0.3734101271898248</v>
      </c>
      <c r="K9" s="73">
        <v>25</v>
      </c>
      <c r="L9" s="74">
        <v>0.61099999999999999</v>
      </c>
      <c r="M9" s="74">
        <v>5.5910000000000002</v>
      </c>
      <c r="N9" s="76">
        <v>0.25</v>
      </c>
      <c r="O9" s="74">
        <v>0.25</v>
      </c>
      <c r="P9" s="74">
        <v>4.9800000000000004</v>
      </c>
      <c r="Q9" s="75">
        <v>0.12269076305220883</v>
      </c>
      <c r="R9" s="75">
        <v>5.0200803212851398E-2</v>
      </c>
      <c r="S9" s="77">
        <v>0.17289156626506022</v>
      </c>
      <c r="T9" s="73">
        <v>25</v>
      </c>
      <c r="U9" s="78">
        <v>0.58850000000000002</v>
      </c>
      <c r="V9" s="78">
        <v>5.1619999999999999</v>
      </c>
      <c r="W9" s="78">
        <v>0.62</v>
      </c>
      <c r="X9" s="78">
        <v>0.62</v>
      </c>
      <c r="Y9" s="78">
        <v>4.5735000000000001</v>
      </c>
      <c r="Z9" s="19">
        <v>0.12925994836075766</v>
      </c>
      <c r="AA9" s="19">
        <v>0.14389089836668489</v>
      </c>
      <c r="AB9" s="79">
        <v>0.2731508467274425</v>
      </c>
    </row>
    <row r="10" spans="1:28">
      <c r="B10" s="65">
        <v>26</v>
      </c>
      <c r="C10" s="66">
        <v>0.60499999999999998</v>
      </c>
      <c r="D10" s="66">
        <v>4.87</v>
      </c>
      <c r="E10" s="66">
        <v>1.069</v>
      </c>
      <c r="F10" s="66">
        <v>1.069</v>
      </c>
      <c r="G10" s="66">
        <v>4.2650000000000006</v>
      </c>
      <c r="H10" s="67">
        <v>0.14185228604923797</v>
      </c>
      <c r="I10" s="67">
        <v>0.2506447831184056</v>
      </c>
      <c r="J10" s="68">
        <v>0.3924970691676436</v>
      </c>
      <c r="K10" s="65">
        <v>26</v>
      </c>
      <c r="L10" s="66">
        <v>0.65800000000000003</v>
      </c>
      <c r="M10" s="66">
        <v>5.7519999999999998</v>
      </c>
      <c r="N10" s="69">
        <v>0.27100000000000002</v>
      </c>
      <c r="O10" s="66">
        <v>0.27100000000000002</v>
      </c>
      <c r="P10" s="66">
        <v>5.0939999999999994</v>
      </c>
      <c r="Q10" s="67">
        <v>0.1291715744012564</v>
      </c>
      <c r="R10" s="67">
        <v>5.3199842952493137E-2</v>
      </c>
      <c r="S10" s="68">
        <v>0.18237141735374954</v>
      </c>
      <c r="T10" s="65">
        <v>26</v>
      </c>
      <c r="U10" s="70">
        <v>0.63149999999999995</v>
      </c>
      <c r="V10" s="70">
        <v>5.3109999999999999</v>
      </c>
      <c r="W10" s="70">
        <v>0.66999999999999993</v>
      </c>
      <c r="X10" s="70">
        <v>0.66999999999999993</v>
      </c>
      <c r="Y10" s="70">
        <v>4.6795</v>
      </c>
      <c r="Z10" s="71">
        <v>0.13551193022524718</v>
      </c>
      <c r="AA10" s="71">
        <v>0.15192231303544937</v>
      </c>
      <c r="AB10" s="72">
        <v>0.28743424326069655</v>
      </c>
    </row>
    <row r="11" spans="1:28">
      <c r="B11" s="73">
        <v>27</v>
      </c>
      <c r="C11" s="74">
        <v>0.64</v>
      </c>
      <c r="D11" s="74">
        <v>5.0110000000000001</v>
      </c>
      <c r="E11" s="74">
        <v>1.145</v>
      </c>
      <c r="F11" s="74">
        <v>1.145</v>
      </c>
      <c r="G11" s="74">
        <v>4.3710000000000004</v>
      </c>
      <c r="H11" s="75">
        <v>0.14641958361930907</v>
      </c>
      <c r="I11" s="75">
        <v>0.26195378631892013</v>
      </c>
      <c r="J11" s="77">
        <v>0.4083733699382292</v>
      </c>
      <c r="K11" s="73">
        <v>27</v>
      </c>
      <c r="L11" s="74">
        <v>0.70399999999999996</v>
      </c>
      <c r="M11" s="74">
        <v>5.915</v>
      </c>
      <c r="N11" s="76">
        <v>0.29099999999999998</v>
      </c>
      <c r="O11" s="74">
        <v>0.29099999999999998</v>
      </c>
      <c r="P11" s="74">
        <v>5.2110000000000003</v>
      </c>
      <c r="Q11" s="75">
        <v>0.13509882939934753</v>
      </c>
      <c r="R11" s="75">
        <v>5.5843408175014389E-2</v>
      </c>
      <c r="S11" s="77">
        <v>0.19094223757436191</v>
      </c>
      <c r="T11" s="73">
        <v>27</v>
      </c>
      <c r="U11" s="78">
        <v>0.67199999999999993</v>
      </c>
      <c r="V11" s="78">
        <v>5.4630000000000001</v>
      </c>
      <c r="W11" s="78">
        <v>0.71799999999999997</v>
      </c>
      <c r="X11" s="78">
        <v>0.71799999999999997</v>
      </c>
      <c r="Y11" s="78">
        <v>4.7910000000000004</v>
      </c>
      <c r="Z11" s="19">
        <v>0.1407592065093283</v>
      </c>
      <c r="AA11" s="19">
        <v>0.15889859724696725</v>
      </c>
      <c r="AB11" s="79">
        <v>0.29965780375629558</v>
      </c>
    </row>
    <row r="12" spans="1:28">
      <c r="B12" s="65">
        <v>28</v>
      </c>
      <c r="C12" s="66">
        <v>0.67400000000000004</v>
      </c>
      <c r="D12" s="66">
        <v>5.1550000000000002</v>
      </c>
      <c r="E12" s="66">
        <v>1.22</v>
      </c>
      <c r="F12" s="66">
        <v>1.22</v>
      </c>
      <c r="G12" s="66">
        <v>4.4809999999999999</v>
      </c>
      <c r="H12" s="67">
        <v>0.15041285427359966</v>
      </c>
      <c r="I12" s="67">
        <v>0.27226065610354833</v>
      </c>
      <c r="J12" s="68">
        <v>0.42267351037714795</v>
      </c>
      <c r="K12" s="65">
        <v>28</v>
      </c>
      <c r="L12" s="66">
        <v>0.748</v>
      </c>
      <c r="M12" s="66">
        <v>6.0819999999999999</v>
      </c>
      <c r="N12" s="69">
        <v>0.311</v>
      </c>
      <c r="O12" s="66">
        <v>0.311</v>
      </c>
      <c r="P12" s="66">
        <v>5.3339999999999996</v>
      </c>
      <c r="Q12" s="67">
        <v>0.14023247094113236</v>
      </c>
      <c r="R12" s="67">
        <v>5.8305211848518938E-2</v>
      </c>
      <c r="S12" s="68">
        <v>0.19853768278965131</v>
      </c>
      <c r="T12" s="65">
        <v>28</v>
      </c>
      <c r="U12" s="70">
        <v>0.71100000000000008</v>
      </c>
      <c r="V12" s="70">
        <v>5.6185</v>
      </c>
      <c r="W12" s="70">
        <v>0.76549999999999996</v>
      </c>
      <c r="X12" s="70">
        <v>0.76549999999999996</v>
      </c>
      <c r="Y12" s="70">
        <v>4.9074999999999998</v>
      </c>
      <c r="Z12" s="71">
        <v>0.14532266260736601</v>
      </c>
      <c r="AA12" s="71">
        <v>0.16528293397603364</v>
      </c>
      <c r="AB12" s="72">
        <v>0.31060559658339965</v>
      </c>
    </row>
    <row r="13" spans="1:28">
      <c r="B13" s="73">
        <v>29</v>
      </c>
      <c r="C13" s="74">
        <v>0.70499999999999996</v>
      </c>
      <c r="D13" s="74">
        <v>5.3019999999999996</v>
      </c>
      <c r="E13" s="74">
        <v>1.294</v>
      </c>
      <c r="F13" s="74">
        <v>1.294</v>
      </c>
      <c r="G13" s="74">
        <v>4.5969999999999995</v>
      </c>
      <c r="H13" s="75">
        <v>0.15336088753534916</v>
      </c>
      <c r="I13" s="75">
        <v>0.28148792690885366</v>
      </c>
      <c r="J13" s="77">
        <v>0.43484881444420281</v>
      </c>
      <c r="K13" s="73">
        <v>29</v>
      </c>
      <c r="L13" s="74">
        <v>0.79</v>
      </c>
      <c r="M13" s="74">
        <v>6.2519999999999998</v>
      </c>
      <c r="N13" s="76">
        <v>0.33100000000000002</v>
      </c>
      <c r="O13" s="74">
        <v>0.33100000000000002</v>
      </c>
      <c r="P13" s="74">
        <v>5.4619999999999997</v>
      </c>
      <c r="Q13" s="75">
        <v>0.14463566459172467</v>
      </c>
      <c r="R13" s="75">
        <v>6.0600512632735269E-2</v>
      </c>
      <c r="S13" s="77">
        <v>0.20523617722445994</v>
      </c>
      <c r="T13" s="73">
        <v>29</v>
      </c>
      <c r="U13" s="78">
        <v>0.74750000000000005</v>
      </c>
      <c r="V13" s="78">
        <v>5.7769999999999992</v>
      </c>
      <c r="W13" s="78">
        <v>0.8125</v>
      </c>
      <c r="X13" s="78">
        <v>0.8125</v>
      </c>
      <c r="Y13" s="78">
        <v>5.0294999999999996</v>
      </c>
      <c r="Z13" s="19">
        <v>0.14899827606353691</v>
      </c>
      <c r="AA13" s="19">
        <v>0.17104421977079445</v>
      </c>
      <c r="AB13" s="79">
        <v>0.32004249583433136</v>
      </c>
    </row>
    <row r="14" spans="1:28">
      <c r="B14" s="65">
        <v>30</v>
      </c>
      <c r="C14" s="66">
        <v>0.73399999999999999</v>
      </c>
      <c r="D14" s="66">
        <v>5.452</v>
      </c>
      <c r="E14" s="66">
        <v>1.3660000000000001</v>
      </c>
      <c r="F14" s="66">
        <v>1.3660000000000001</v>
      </c>
      <c r="G14" s="66">
        <v>4.718</v>
      </c>
      <c r="H14" s="67">
        <v>0.155574395930479</v>
      </c>
      <c r="I14" s="67">
        <v>0.28952946163628657</v>
      </c>
      <c r="J14" s="68">
        <v>0.44510385756676557</v>
      </c>
      <c r="K14" s="65">
        <v>30</v>
      </c>
      <c r="L14" s="66">
        <v>0.83</v>
      </c>
      <c r="M14" s="66">
        <v>6.4240000000000004</v>
      </c>
      <c r="N14" s="69">
        <v>0.35099999999999998</v>
      </c>
      <c r="O14" s="66">
        <v>0.35099999999999998</v>
      </c>
      <c r="P14" s="66">
        <v>5.5940000000000003</v>
      </c>
      <c r="Q14" s="67">
        <v>0.14837325706113691</v>
      </c>
      <c r="R14" s="67">
        <v>6.2745799070432595E-2</v>
      </c>
      <c r="S14" s="68">
        <v>0.2111190561315695</v>
      </c>
      <c r="T14" s="65">
        <v>30</v>
      </c>
      <c r="U14" s="70">
        <v>0.78200000000000003</v>
      </c>
      <c r="V14" s="70">
        <v>5.9380000000000006</v>
      </c>
      <c r="W14" s="70">
        <v>0.85850000000000004</v>
      </c>
      <c r="X14" s="70">
        <v>0.85850000000000004</v>
      </c>
      <c r="Y14" s="70">
        <v>5.1560000000000006</v>
      </c>
      <c r="Z14" s="71">
        <v>0.15197382649580796</v>
      </c>
      <c r="AA14" s="71">
        <v>0.17613763035335958</v>
      </c>
      <c r="AB14" s="72">
        <v>0.32811145684916754</v>
      </c>
    </row>
    <row r="15" spans="1:28">
      <c r="B15" s="73">
        <v>31</v>
      </c>
      <c r="C15" s="74">
        <v>0.76200000000000001</v>
      </c>
      <c r="D15" s="74">
        <v>5.6059999999999999</v>
      </c>
      <c r="E15" s="74">
        <v>1.4379999999999999</v>
      </c>
      <c r="F15" s="74">
        <v>1.4379999999999999</v>
      </c>
      <c r="G15" s="74">
        <v>4.8439999999999994</v>
      </c>
      <c r="H15" s="75">
        <v>0.15730800990916599</v>
      </c>
      <c r="I15" s="75">
        <v>0.29686209744013214</v>
      </c>
      <c r="J15" s="77">
        <v>0.45417010734929814</v>
      </c>
      <c r="K15" s="73">
        <v>31</v>
      </c>
      <c r="L15" s="74">
        <v>0.86799999999999999</v>
      </c>
      <c r="M15" s="74">
        <v>6.6</v>
      </c>
      <c r="N15" s="76">
        <v>0.37</v>
      </c>
      <c r="O15" s="74">
        <v>0.37</v>
      </c>
      <c r="P15" s="74">
        <v>5.7319999999999993</v>
      </c>
      <c r="Q15" s="75">
        <v>0.15143056524773205</v>
      </c>
      <c r="R15" s="75">
        <v>6.454989532449408E-2</v>
      </c>
      <c r="S15" s="77">
        <v>0.21598046057222614</v>
      </c>
      <c r="T15" s="73">
        <v>31</v>
      </c>
      <c r="U15" s="78">
        <v>0.81499999999999995</v>
      </c>
      <c r="V15" s="78">
        <v>6.1029999999999998</v>
      </c>
      <c r="W15" s="78">
        <v>0.90399999999999991</v>
      </c>
      <c r="X15" s="78">
        <v>0.90399999999999991</v>
      </c>
      <c r="Y15" s="78">
        <v>5.2879999999999994</v>
      </c>
      <c r="Z15" s="19">
        <v>0.15436928757844903</v>
      </c>
      <c r="AA15" s="19">
        <v>0.18070599638231311</v>
      </c>
      <c r="AB15" s="79">
        <v>0.33507528396076214</v>
      </c>
    </row>
    <row r="16" spans="1:28">
      <c r="B16" s="65">
        <v>32</v>
      </c>
      <c r="C16" s="66">
        <v>0.78900000000000003</v>
      </c>
      <c r="D16" s="66">
        <v>5.7629999999999999</v>
      </c>
      <c r="E16" s="66">
        <v>1.51</v>
      </c>
      <c r="F16" s="66">
        <v>1.51</v>
      </c>
      <c r="G16" s="66">
        <v>4.9740000000000002</v>
      </c>
      <c r="H16" s="67">
        <v>0.15862484921592279</v>
      </c>
      <c r="I16" s="67">
        <v>0.30357860876558102</v>
      </c>
      <c r="J16" s="68">
        <v>0.46220345798150381</v>
      </c>
      <c r="K16" s="65">
        <v>32</v>
      </c>
      <c r="L16" s="66">
        <v>0.90400000000000003</v>
      </c>
      <c r="M16" s="66">
        <v>6.7789999999999999</v>
      </c>
      <c r="N16" s="69">
        <v>0.38800000000000001</v>
      </c>
      <c r="O16" s="66">
        <v>0.38800000000000001</v>
      </c>
      <c r="P16" s="66">
        <v>5.875</v>
      </c>
      <c r="Q16" s="67">
        <v>0.15387234042553191</v>
      </c>
      <c r="R16" s="67">
        <v>6.604255319148937E-2</v>
      </c>
      <c r="S16" s="68">
        <v>0.21991489361702127</v>
      </c>
      <c r="T16" s="65">
        <v>32</v>
      </c>
      <c r="U16" s="70">
        <v>0.84650000000000003</v>
      </c>
      <c r="V16" s="70">
        <v>6.2709999999999999</v>
      </c>
      <c r="W16" s="70">
        <v>0.94900000000000007</v>
      </c>
      <c r="X16" s="70">
        <v>0.94900000000000007</v>
      </c>
      <c r="Y16" s="70">
        <v>5.4245000000000001</v>
      </c>
      <c r="Z16" s="71">
        <v>0.15624859482072734</v>
      </c>
      <c r="AA16" s="71">
        <v>0.1848105809785352</v>
      </c>
      <c r="AB16" s="72">
        <v>0.34105917579926254</v>
      </c>
    </row>
    <row r="17" spans="2:28">
      <c r="B17" s="73">
        <v>33</v>
      </c>
      <c r="C17" s="74">
        <v>0.81399999999999995</v>
      </c>
      <c r="D17" s="74">
        <v>5.9249999999999998</v>
      </c>
      <c r="E17" s="74">
        <v>1.5820000000000001</v>
      </c>
      <c r="F17" s="74">
        <v>1.5820000000000001</v>
      </c>
      <c r="G17" s="74">
        <v>5.1109999999999998</v>
      </c>
      <c r="H17" s="75">
        <v>0.15926433183330072</v>
      </c>
      <c r="I17" s="75">
        <v>0.30952846801017414</v>
      </c>
      <c r="J17" s="77">
        <v>0.46879279984347488</v>
      </c>
      <c r="K17" s="73">
        <v>33</v>
      </c>
      <c r="L17" s="74">
        <v>0.93700000000000006</v>
      </c>
      <c r="M17" s="74">
        <v>6.9610000000000003</v>
      </c>
      <c r="N17" s="76">
        <v>0.40600000000000003</v>
      </c>
      <c r="O17" s="74">
        <v>0.40600000000000003</v>
      </c>
      <c r="P17" s="74">
        <v>6.024</v>
      </c>
      <c r="Q17" s="75">
        <v>0.15554448871181939</v>
      </c>
      <c r="R17" s="75">
        <v>6.7397078353253662E-2</v>
      </c>
      <c r="S17" s="77">
        <v>0.22294156706507307</v>
      </c>
      <c r="T17" s="73">
        <v>33</v>
      </c>
      <c r="U17" s="78">
        <v>0.87549999999999994</v>
      </c>
      <c r="V17" s="78">
        <v>6.4429999999999996</v>
      </c>
      <c r="W17" s="78">
        <v>0.99399999999999999</v>
      </c>
      <c r="X17" s="78">
        <v>0.99399999999999999</v>
      </c>
      <c r="Y17" s="78">
        <v>5.5674999999999999</v>
      </c>
      <c r="Z17" s="19">
        <v>0.15740441027256005</v>
      </c>
      <c r="AA17" s="19">
        <v>0.18846277318171389</v>
      </c>
      <c r="AB17" s="79">
        <v>0.34586718345427397</v>
      </c>
    </row>
    <row r="18" spans="2:28">
      <c r="B18" s="65">
        <v>34</v>
      </c>
      <c r="C18" s="66">
        <v>0.83799999999999997</v>
      </c>
      <c r="D18" s="66">
        <v>6.09</v>
      </c>
      <c r="E18" s="66">
        <v>1.655</v>
      </c>
      <c r="F18" s="66">
        <v>1.655</v>
      </c>
      <c r="G18" s="66">
        <v>5.2519999999999998</v>
      </c>
      <c r="H18" s="67">
        <v>0.15955826351865957</v>
      </c>
      <c r="I18" s="67">
        <v>0.31511805026656514</v>
      </c>
      <c r="J18" s="68">
        <v>0.47467631378522468</v>
      </c>
      <c r="K18" s="65">
        <v>34</v>
      </c>
      <c r="L18" s="66">
        <v>0.96599999999999997</v>
      </c>
      <c r="M18" s="66">
        <v>7.1470000000000002</v>
      </c>
      <c r="N18" s="69">
        <v>0.42399999999999999</v>
      </c>
      <c r="O18" s="66">
        <v>0.42399999999999999</v>
      </c>
      <c r="P18" s="66">
        <v>6.181</v>
      </c>
      <c r="Q18" s="67">
        <v>0.15628539071347677</v>
      </c>
      <c r="R18" s="67">
        <v>6.8597314350428734E-2</v>
      </c>
      <c r="S18" s="68">
        <v>0.22488270506390551</v>
      </c>
      <c r="T18" s="65">
        <v>34</v>
      </c>
      <c r="U18" s="70">
        <v>0.90199999999999991</v>
      </c>
      <c r="V18" s="70">
        <v>6.6185</v>
      </c>
      <c r="W18" s="70">
        <v>1.0395000000000001</v>
      </c>
      <c r="X18" s="70">
        <v>1.0395000000000001</v>
      </c>
      <c r="Y18" s="70">
        <v>5.7164999999999999</v>
      </c>
      <c r="Z18" s="71">
        <v>0.15792182711606817</v>
      </c>
      <c r="AA18" s="71">
        <v>0.19185768230849692</v>
      </c>
      <c r="AB18" s="72">
        <v>0.34977950942456509</v>
      </c>
    </row>
    <row r="19" spans="2:28">
      <c r="B19" s="73">
        <v>35</v>
      </c>
      <c r="C19" s="74">
        <v>0.86</v>
      </c>
      <c r="D19" s="74">
        <v>6.258</v>
      </c>
      <c r="E19" s="74">
        <v>1.7270000000000001</v>
      </c>
      <c r="F19" s="74">
        <v>1.7270000000000001</v>
      </c>
      <c r="G19" s="74">
        <v>5.3979999999999997</v>
      </c>
      <c r="H19" s="75">
        <v>0.15931826602445351</v>
      </c>
      <c r="I19" s="75">
        <v>0.31993330863282698</v>
      </c>
      <c r="J19" s="77">
        <v>0.47925157465728052</v>
      </c>
      <c r="K19" s="73">
        <v>35</v>
      </c>
      <c r="L19" s="74">
        <v>0.99199999999999999</v>
      </c>
      <c r="M19" s="74">
        <v>7.335</v>
      </c>
      <c r="N19" s="76">
        <v>0.441</v>
      </c>
      <c r="O19" s="74">
        <v>0.441</v>
      </c>
      <c r="P19" s="74">
        <v>6.343</v>
      </c>
      <c r="Q19" s="75">
        <v>0.15639287403436861</v>
      </c>
      <c r="R19" s="75">
        <v>6.9525461138262648E-2</v>
      </c>
      <c r="S19" s="77">
        <v>0.22591833517263127</v>
      </c>
      <c r="T19" s="73">
        <v>35</v>
      </c>
      <c r="U19" s="78">
        <v>0.92599999999999993</v>
      </c>
      <c r="V19" s="78">
        <v>6.7965</v>
      </c>
      <c r="W19" s="78">
        <v>1.0840000000000001</v>
      </c>
      <c r="X19" s="78">
        <v>1.0840000000000001</v>
      </c>
      <c r="Y19" s="78">
        <v>5.8704999999999998</v>
      </c>
      <c r="Z19" s="19">
        <v>0.15785557002941106</v>
      </c>
      <c r="AA19" s="19">
        <v>0.19472938488554481</v>
      </c>
      <c r="AB19" s="79">
        <v>0.35258495491495589</v>
      </c>
    </row>
    <row r="20" spans="2:28">
      <c r="B20" s="65">
        <v>36</v>
      </c>
      <c r="C20" s="66">
        <v>0.879</v>
      </c>
      <c r="D20" s="66">
        <v>6.4290000000000003</v>
      </c>
      <c r="E20" s="66">
        <v>1.8</v>
      </c>
      <c r="F20" s="66">
        <v>1.8</v>
      </c>
      <c r="G20" s="66">
        <v>5.5500000000000007</v>
      </c>
      <c r="H20" s="67">
        <v>0.15837837837837837</v>
      </c>
      <c r="I20" s="67">
        <v>0.32432432432432429</v>
      </c>
      <c r="J20" s="68">
        <v>0.48270270270270266</v>
      </c>
      <c r="K20" s="65">
        <v>36</v>
      </c>
      <c r="L20" s="66">
        <v>1.0129999999999999</v>
      </c>
      <c r="M20" s="66">
        <v>7.524</v>
      </c>
      <c r="N20" s="69">
        <v>0.45700000000000002</v>
      </c>
      <c r="O20" s="66">
        <v>0.45700000000000002</v>
      </c>
      <c r="P20" s="66">
        <v>6.5110000000000001</v>
      </c>
      <c r="Q20" s="67">
        <v>0.15558285977576408</v>
      </c>
      <c r="R20" s="67">
        <v>7.0188911073567811E-2</v>
      </c>
      <c r="S20" s="68">
        <v>0.22577177084933189</v>
      </c>
      <c r="T20" s="65">
        <v>36</v>
      </c>
      <c r="U20" s="70">
        <v>0.94599999999999995</v>
      </c>
      <c r="V20" s="70">
        <v>6.9764999999999997</v>
      </c>
      <c r="W20" s="70">
        <v>1.1285000000000001</v>
      </c>
      <c r="X20" s="70">
        <v>1.1285000000000001</v>
      </c>
      <c r="Y20" s="70">
        <v>6.0305</v>
      </c>
      <c r="Z20" s="71">
        <v>0.15698061907707123</v>
      </c>
      <c r="AA20" s="71">
        <v>0.19725661769894604</v>
      </c>
      <c r="AB20" s="72">
        <v>0.35423723677601726</v>
      </c>
    </row>
    <row r="21" spans="2:28">
      <c r="B21" s="73">
        <v>37</v>
      </c>
      <c r="C21" s="74">
        <v>0.89300000000000002</v>
      </c>
      <c r="D21" s="74">
        <v>6.601</v>
      </c>
      <c r="E21" s="74">
        <v>1.8720000000000001</v>
      </c>
      <c r="F21" s="74">
        <v>1.8720000000000001</v>
      </c>
      <c r="G21" s="74">
        <v>5.7080000000000002</v>
      </c>
      <c r="H21" s="75">
        <v>0.15644709180098107</v>
      </c>
      <c r="I21" s="75">
        <v>0.3279607568325158</v>
      </c>
      <c r="J21" s="77">
        <v>0.48440784863349684</v>
      </c>
      <c r="K21" s="73">
        <v>37</v>
      </c>
      <c r="L21" s="74">
        <v>1.028</v>
      </c>
      <c r="M21" s="74">
        <v>7.7160000000000002</v>
      </c>
      <c r="N21" s="76">
        <v>0.47299999999999998</v>
      </c>
      <c r="O21" s="74">
        <v>0.47299999999999998</v>
      </c>
      <c r="P21" s="74">
        <v>6.6880000000000006</v>
      </c>
      <c r="Q21" s="75">
        <v>0.15370813397129185</v>
      </c>
      <c r="R21" s="75">
        <v>7.07236842105263E-2</v>
      </c>
      <c r="S21" s="77">
        <v>0.22443181818181815</v>
      </c>
      <c r="T21" s="73">
        <v>37</v>
      </c>
      <c r="U21" s="78">
        <v>0.96050000000000002</v>
      </c>
      <c r="V21" s="78">
        <v>7.1585000000000001</v>
      </c>
      <c r="W21" s="78">
        <v>1.1725000000000001</v>
      </c>
      <c r="X21" s="78">
        <v>1.1725000000000001</v>
      </c>
      <c r="Y21" s="78">
        <v>6.1980000000000004</v>
      </c>
      <c r="Z21" s="19">
        <v>0.15507761288613647</v>
      </c>
      <c r="AA21" s="19">
        <v>0.19934222052152106</v>
      </c>
      <c r="AB21" s="79">
        <v>0.35441983340765748</v>
      </c>
    </row>
    <row r="22" spans="2:28">
      <c r="B22" s="65">
        <v>38</v>
      </c>
      <c r="C22" s="66">
        <v>0.90100000000000002</v>
      </c>
      <c r="D22" s="66">
        <v>6.774</v>
      </c>
      <c r="E22" s="66">
        <v>1.944</v>
      </c>
      <c r="F22" s="66">
        <v>1.944</v>
      </c>
      <c r="G22" s="66">
        <v>5.8730000000000002</v>
      </c>
      <c r="H22" s="67">
        <v>0.15341392814575175</v>
      </c>
      <c r="I22" s="67">
        <v>0.33100630001702708</v>
      </c>
      <c r="J22" s="68">
        <v>0.48442022816277885</v>
      </c>
      <c r="K22" s="65">
        <v>38</v>
      </c>
      <c r="L22" s="66">
        <v>1.0369999999999999</v>
      </c>
      <c r="M22" s="66">
        <v>7.9080000000000004</v>
      </c>
      <c r="N22" s="69">
        <v>0.48699999999999999</v>
      </c>
      <c r="O22" s="66">
        <v>0.48699999999999999</v>
      </c>
      <c r="P22" s="66">
        <v>6.8710000000000004</v>
      </c>
      <c r="Q22" s="67">
        <v>0.15092417406491046</v>
      </c>
      <c r="R22" s="67">
        <v>7.0877601513607905E-2</v>
      </c>
      <c r="S22" s="68">
        <v>0.22180177557851838</v>
      </c>
      <c r="T22" s="65">
        <v>38</v>
      </c>
      <c r="U22" s="70">
        <v>0.96899999999999997</v>
      </c>
      <c r="V22" s="70">
        <v>7.3410000000000002</v>
      </c>
      <c r="W22" s="70">
        <v>1.2155</v>
      </c>
      <c r="X22" s="70">
        <v>1.2155</v>
      </c>
      <c r="Y22" s="70">
        <v>6.3719999999999999</v>
      </c>
      <c r="Z22" s="71">
        <v>0.1521690511053311</v>
      </c>
      <c r="AA22" s="71">
        <v>0.20094195076531748</v>
      </c>
      <c r="AB22" s="72">
        <v>0.35311100187064859</v>
      </c>
    </row>
    <row r="23" spans="2:28">
      <c r="B23" s="73">
        <v>39</v>
      </c>
      <c r="C23" s="74">
        <v>0.90400000000000003</v>
      </c>
      <c r="D23" s="74">
        <v>6.9489999999999998</v>
      </c>
      <c r="E23" s="74">
        <v>2.016</v>
      </c>
      <c r="F23" s="74">
        <v>2.016</v>
      </c>
      <c r="G23" s="74">
        <v>6.0449999999999999</v>
      </c>
      <c r="H23" s="75">
        <v>0.14954507857733665</v>
      </c>
      <c r="I23" s="75">
        <v>0.33349875930521095</v>
      </c>
      <c r="J23" s="77">
        <v>0.48304383788254757</v>
      </c>
      <c r="K23" s="73">
        <v>39</v>
      </c>
      <c r="L23" s="74">
        <v>1.0389999999999999</v>
      </c>
      <c r="M23" s="74">
        <v>8.1020000000000003</v>
      </c>
      <c r="N23" s="76">
        <v>0.501</v>
      </c>
      <c r="O23" s="74">
        <v>0.501</v>
      </c>
      <c r="P23" s="74">
        <v>7.0630000000000006</v>
      </c>
      <c r="Q23" s="75">
        <v>0.14710462976072489</v>
      </c>
      <c r="R23" s="75">
        <v>7.0933031289820189E-2</v>
      </c>
      <c r="S23" s="77">
        <v>0.21803766105054506</v>
      </c>
      <c r="T23" s="73">
        <v>39</v>
      </c>
      <c r="U23" s="78">
        <v>0.97150000000000003</v>
      </c>
      <c r="V23" s="78">
        <v>7.5255000000000001</v>
      </c>
      <c r="W23" s="78">
        <v>1.2585</v>
      </c>
      <c r="X23" s="78">
        <v>1.2585</v>
      </c>
      <c r="Y23" s="78">
        <v>6.5540000000000003</v>
      </c>
      <c r="Z23" s="19">
        <v>0.14832485416903077</v>
      </c>
      <c r="AA23" s="19">
        <v>0.20221589529751557</v>
      </c>
      <c r="AB23" s="79">
        <v>0.35054074946654634</v>
      </c>
    </row>
    <row r="24" spans="2:28">
      <c r="B24" s="65">
        <v>40</v>
      </c>
      <c r="C24" s="66">
        <v>0.90300000000000002</v>
      </c>
      <c r="D24" s="66">
        <v>7.1269999999999998</v>
      </c>
      <c r="E24" s="66">
        <v>2.089</v>
      </c>
      <c r="F24" s="66">
        <v>2.089</v>
      </c>
      <c r="G24" s="66">
        <v>6.2240000000000002</v>
      </c>
      <c r="H24" s="67">
        <v>0.14508354755784061</v>
      </c>
      <c r="I24" s="67">
        <v>0.3356362467866324</v>
      </c>
      <c r="J24" s="68">
        <v>0.48071979434447298</v>
      </c>
      <c r="K24" s="65">
        <v>40</v>
      </c>
      <c r="L24" s="66">
        <v>1.0349999999999999</v>
      </c>
      <c r="M24" s="66">
        <v>8.2989999999999995</v>
      </c>
      <c r="N24" s="69">
        <v>0.51500000000000001</v>
      </c>
      <c r="O24" s="66">
        <v>0.51500000000000001</v>
      </c>
      <c r="P24" s="66">
        <v>7.2639999999999993</v>
      </c>
      <c r="Q24" s="67">
        <v>0.14248348017621146</v>
      </c>
      <c r="R24" s="67">
        <v>7.0897577092511016E-2</v>
      </c>
      <c r="S24" s="68">
        <v>0.21338105726872247</v>
      </c>
      <c r="T24" s="65">
        <v>40</v>
      </c>
      <c r="U24" s="70">
        <v>0.96899999999999997</v>
      </c>
      <c r="V24" s="70">
        <v>7.7129999999999992</v>
      </c>
      <c r="W24" s="70">
        <v>1.302</v>
      </c>
      <c r="X24" s="70">
        <v>1.302</v>
      </c>
      <c r="Y24" s="70">
        <v>6.7439999999999998</v>
      </c>
      <c r="Z24" s="71">
        <v>0.14378351386702604</v>
      </c>
      <c r="AA24" s="71">
        <v>0.20326691193957169</v>
      </c>
      <c r="AB24" s="72">
        <v>0.34705042580659773</v>
      </c>
    </row>
    <row r="25" spans="2:28">
      <c r="B25" s="73">
        <v>41</v>
      </c>
      <c r="C25" s="74">
        <v>0.89900000000000002</v>
      </c>
      <c r="D25" s="74">
        <v>7.31</v>
      </c>
      <c r="E25" s="74">
        <v>2.1629999999999998</v>
      </c>
      <c r="F25" s="74">
        <v>2.1629999999999998</v>
      </c>
      <c r="G25" s="74">
        <v>6.4109999999999996</v>
      </c>
      <c r="H25" s="75">
        <v>0.14022773358290438</v>
      </c>
      <c r="I25" s="75">
        <v>0.33738886289190451</v>
      </c>
      <c r="J25" s="77">
        <v>0.47761659647480892</v>
      </c>
      <c r="K25" s="73">
        <v>41</v>
      </c>
      <c r="L25" s="74">
        <v>1.028</v>
      </c>
      <c r="M25" s="74">
        <v>8.4990000000000006</v>
      </c>
      <c r="N25" s="76">
        <v>0.52700000000000002</v>
      </c>
      <c r="O25" s="74">
        <v>0.52700000000000002</v>
      </c>
      <c r="P25" s="74">
        <v>7.4710000000000001</v>
      </c>
      <c r="Q25" s="75">
        <v>0.13759871503145496</v>
      </c>
      <c r="R25" s="75">
        <v>7.0539419087136929E-2</v>
      </c>
      <c r="S25" s="77">
        <v>0.20813813411859189</v>
      </c>
      <c r="T25" s="73">
        <v>41</v>
      </c>
      <c r="U25" s="78">
        <v>0.96350000000000002</v>
      </c>
      <c r="V25" s="78">
        <v>7.9045000000000005</v>
      </c>
      <c r="W25" s="78">
        <v>1.345</v>
      </c>
      <c r="X25" s="78">
        <v>1.345</v>
      </c>
      <c r="Y25" s="78">
        <v>6.9409999999999998</v>
      </c>
      <c r="Z25" s="19">
        <v>0.13891322430717967</v>
      </c>
      <c r="AA25" s="19">
        <v>0.2039641409895207</v>
      </c>
      <c r="AB25" s="79">
        <v>0.34287736529670043</v>
      </c>
    </row>
    <row r="26" spans="2:28">
      <c r="B26" s="65">
        <v>42</v>
      </c>
      <c r="C26" s="66">
        <v>0.89500000000000002</v>
      </c>
      <c r="D26" s="66">
        <v>7.4980000000000002</v>
      </c>
      <c r="E26" s="66">
        <v>2.238</v>
      </c>
      <c r="F26" s="66">
        <v>2.238</v>
      </c>
      <c r="G26" s="66">
        <v>6.6029999999999998</v>
      </c>
      <c r="H26" s="67">
        <v>0.13554444949265487</v>
      </c>
      <c r="I26" s="67">
        <v>0.33893684688777831</v>
      </c>
      <c r="J26" s="68">
        <v>0.47448129638043318</v>
      </c>
      <c r="K26" s="65">
        <v>42</v>
      </c>
      <c r="L26" s="66">
        <v>1.0169999999999999</v>
      </c>
      <c r="M26" s="66">
        <v>8.7040000000000006</v>
      </c>
      <c r="N26" s="69">
        <v>0.54</v>
      </c>
      <c r="O26" s="66">
        <v>0.54</v>
      </c>
      <c r="P26" s="66">
        <v>7.6870000000000012</v>
      </c>
      <c r="Q26" s="67">
        <v>0.13230128788864312</v>
      </c>
      <c r="R26" s="67">
        <v>7.024847144529725E-2</v>
      </c>
      <c r="S26" s="68">
        <v>0.20254975933394037</v>
      </c>
      <c r="T26" s="65">
        <v>42</v>
      </c>
      <c r="U26" s="70">
        <v>0.95599999999999996</v>
      </c>
      <c r="V26" s="70">
        <v>8.1010000000000009</v>
      </c>
      <c r="W26" s="70">
        <v>1.389</v>
      </c>
      <c r="X26" s="70">
        <v>1.389</v>
      </c>
      <c r="Y26" s="70">
        <v>7.1450000000000005</v>
      </c>
      <c r="Z26" s="71">
        <v>0.13392286869064901</v>
      </c>
      <c r="AA26" s="71">
        <v>0.20459265916653779</v>
      </c>
      <c r="AB26" s="72">
        <v>0.33851552785718675</v>
      </c>
    </row>
    <row r="27" spans="2:28">
      <c r="B27" s="73">
        <v>43</v>
      </c>
      <c r="C27" s="74">
        <v>0.89</v>
      </c>
      <c r="D27" s="74">
        <v>7.694</v>
      </c>
      <c r="E27" s="74">
        <v>2.3130000000000002</v>
      </c>
      <c r="F27" s="74">
        <v>2.3130000000000002</v>
      </c>
      <c r="G27" s="74">
        <v>6.8040000000000003</v>
      </c>
      <c r="H27" s="75">
        <v>0.13080540858318634</v>
      </c>
      <c r="I27" s="75">
        <v>0.33994708994708994</v>
      </c>
      <c r="J27" s="77">
        <v>0.47075249853027629</v>
      </c>
      <c r="K27" s="73">
        <v>43</v>
      </c>
      <c r="L27" s="74">
        <v>1.0029999999999999</v>
      </c>
      <c r="M27" s="74">
        <v>8.9149999999999991</v>
      </c>
      <c r="N27" s="76">
        <v>0.55200000000000005</v>
      </c>
      <c r="O27" s="74">
        <v>0.55200000000000005</v>
      </c>
      <c r="P27" s="74">
        <v>7.911999999999999</v>
      </c>
      <c r="Q27" s="75">
        <v>0.12676946410515672</v>
      </c>
      <c r="R27" s="75">
        <v>6.9767441860465129E-2</v>
      </c>
      <c r="S27" s="77">
        <v>0.19653690596562184</v>
      </c>
      <c r="T27" s="73">
        <v>43</v>
      </c>
      <c r="U27" s="78">
        <v>0.9464999999999999</v>
      </c>
      <c r="V27" s="78">
        <v>8.3044999999999991</v>
      </c>
      <c r="W27" s="78">
        <v>1.4325000000000001</v>
      </c>
      <c r="X27" s="78">
        <v>1.4325000000000001</v>
      </c>
      <c r="Y27" s="78">
        <v>7.3579999999999997</v>
      </c>
      <c r="Z27" s="19">
        <v>0.12878743634417153</v>
      </c>
      <c r="AA27" s="19">
        <v>0.20485726590377754</v>
      </c>
      <c r="AB27" s="79">
        <v>0.33364470224794907</v>
      </c>
    </row>
    <row r="28" spans="2:28">
      <c r="B28" s="65">
        <v>44</v>
      </c>
      <c r="C28" s="66">
        <v>0.88500000000000001</v>
      </c>
      <c r="D28" s="66">
        <v>7.8970000000000002</v>
      </c>
      <c r="E28" s="66">
        <v>2.39</v>
      </c>
      <c r="F28" s="66">
        <v>2.39</v>
      </c>
      <c r="G28" s="66">
        <v>7.0120000000000005</v>
      </c>
      <c r="H28" s="67">
        <v>0.12621220764403879</v>
      </c>
      <c r="I28" s="67">
        <v>0.34084426697090703</v>
      </c>
      <c r="J28" s="68">
        <v>0.46705647461494582</v>
      </c>
      <c r="K28" s="65">
        <v>44</v>
      </c>
      <c r="L28" s="66">
        <v>0.98799999999999999</v>
      </c>
      <c r="M28" s="66">
        <v>9.1329999999999991</v>
      </c>
      <c r="N28" s="69">
        <v>0.56399999999999995</v>
      </c>
      <c r="O28" s="66">
        <v>0.56399999999999995</v>
      </c>
      <c r="P28" s="66">
        <v>8.1449999999999996</v>
      </c>
      <c r="Q28" s="67">
        <v>0.12130141190914671</v>
      </c>
      <c r="R28" s="67">
        <v>6.9244935543278083E-2</v>
      </c>
      <c r="S28" s="68">
        <v>0.1905463474524248</v>
      </c>
      <c r="T28" s="65">
        <v>44</v>
      </c>
      <c r="U28" s="70">
        <v>0.9365</v>
      </c>
      <c r="V28" s="70">
        <v>8.5150000000000006</v>
      </c>
      <c r="W28" s="70">
        <v>1.4770000000000001</v>
      </c>
      <c r="X28" s="70">
        <v>1.4770000000000001</v>
      </c>
      <c r="Y28" s="70">
        <v>7.5785</v>
      </c>
      <c r="Z28" s="71">
        <v>0.12375680977659276</v>
      </c>
      <c r="AA28" s="71">
        <v>0.20504460125709256</v>
      </c>
      <c r="AB28" s="72">
        <v>0.32880141103368532</v>
      </c>
    </row>
    <row r="29" spans="2:28">
      <c r="B29" s="73">
        <v>45</v>
      </c>
      <c r="C29" s="74">
        <v>0.878</v>
      </c>
      <c r="D29" s="74">
        <v>8.1059999999999999</v>
      </c>
      <c r="E29" s="74">
        <v>2.4660000000000002</v>
      </c>
      <c r="F29" s="74">
        <v>2.4660000000000002</v>
      </c>
      <c r="G29" s="74">
        <v>7.2279999999999998</v>
      </c>
      <c r="H29" s="75">
        <v>0.12147205312672939</v>
      </c>
      <c r="I29" s="75">
        <v>0.34117321527393474</v>
      </c>
      <c r="J29" s="77">
        <v>0.46264526840066411</v>
      </c>
      <c r="K29" s="73">
        <v>45</v>
      </c>
      <c r="L29" s="74">
        <v>0.97</v>
      </c>
      <c r="M29" s="74">
        <v>9.3569999999999993</v>
      </c>
      <c r="N29" s="76">
        <v>0.57599999999999996</v>
      </c>
      <c r="O29" s="74">
        <v>0.57599999999999996</v>
      </c>
      <c r="P29" s="74">
        <v>8.3869999999999987</v>
      </c>
      <c r="Q29" s="75">
        <v>0.11565518063669968</v>
      </c>
      <c r="R29" s="75">
        <v>6.8677715512102069E-2</v>
      </c>
      <c r="S29" s="77">
        <v>0.18433289614880174</v>
      </c>
      <c r="T29" s="73">
        <v>45</v>
      </c>
      <c r="U29" s="78">
        <v>0.92399999999999993</v>
      </c>
      <c r="V29" s="78">
        <v>8.7315000000000005</v>
      </c>
      <c r="W29" s="78">
        <v>1.5210000000000001</v>
      </c>
      <c r="X29" s="78">
        <v>1.5210000000000001</v>
      </c>
      <c r="Y29" s="78">
        <v>7.8074999999999992</v>
      </c>
      <c r="Z29" s="19">
        <v>0.11856361688171453</v>
      </c>
      <c r="AA29" s="19">
        <v>0.2049254653930184</v>
      </c>
      <c r="AB29" s="79">
        <v>0.32348908227473294</v>
      </c>
    </row>
    <row r="30" spans="2:28">
      <c r="B30" s="65">
        <v>46</v>
      </c>
      <c r="C30" s="66">
        <v>0.86899999999999999</v>
      </c>
      <c r="D30" s="66">
        <v>8.3230000000000004</v>
      </c>
      <c r="E30" s="66">
        <v>2.5430000000000001</v>
      </c>
      <c r="F30" s="66">
        <v>2.5430000000000001</v>
      </c>
      <c r="G30" s="66">
        <v>7.4540000000000006</v>
      </c>
      <c r="H30" s="67">
        <v>0.11658170110008048</v>
      </c>
      <c r="I30" s="67">
        <v>0.34115910920311243</v>
      </c>
      <c r="J30" s="68">
        <v>0.45774081030319291</v>
      </c>
      <c r="K30" s="65">
        <v>46</v>
      </c>
      <c r="L30" s="66">
        <v>0.95</v>
      </c>
      <c r="M30" s="66">
        <v>9.5879999999999992</v>
      </c>
      <c r="N30" s="69">
        <v>0.58699999999999997</v>
      </c>
      <c r="O30" s="66">
        <v>0.58699999999999997</v>
      </c>
      <c r="P30" s="66">
        <v>8.6379999999999999</v>
      </c>
      <c r="Q30" s="67">
        <v>0.10997916184301922</v>
      </c>
      <c r="R30" s="67">
        <v>6.7955545265107664E-2</v>
      </c>
      <c r="S30" s="68">
        <v>0.17793470710812687</v>
      </c>
      <c r="T30" s="65">
        <v>46</v>
      </c>
      <c r="U30" s="70">
        <v>0.90949999999999998</v>
      </c>
      <c r="V30" s="70">
        <v>8.9555000000000007</v>
      </c>
      <c r="W30" s="70">
        <v>1.5649999999999999</v>
      </c>
      <c r="X30" s="70">
        <v>1.5649999999999999</v>
      </c>
      <c r="Y30" s="70">
        <v>8.0459999999999994</v>
      </c>
      <c r="Z30" s="71">
        <v>0.11328043147154984</v>
      </c>
      <c r="AA30" s="71">
        <v>0.20455732723411005</v>
      </c>
      <c r="AB30" s="72">
        <v>0.31783775870565989</v>
      </c>
    </row>
    <row r="31" spans="2:28">
      <c r="B31" s="73">
        <v>47</v>
      </c>
      <c r="C31" s="74">
        <v>0.85799999999999998</v>
      </c>
      <c r="D31" s="74">
        <v>8.5459999999999994</v>
      </c>
      <c r="E31" s="74">
        <v>2.6179999999999999</v>
      </c>
      <c r="F31" s="74">
        <v>2.6179999999999999</v>
      </c>
      <c r="G31" s="74">
        <v>7.6879999999999997</v>
      </c>
      <c r="H31" s="75">
        <v>0.11160249739854318</v>
      </c>
      <c r="I31" s="75">
        <v>0.34053069719042661</v>
      </c>
      <c r="J31" s="77">
        <v>0.45213319458896978</v>
      </c>
      <c r="K31" s="73">
        <v>47</v>
      </c>
      <c r="L31" s="74">
        <v>0.92600000000000005</v>
      </c>
      <c r="M31" s="74">
        <v>9.8249999999999993</v>
      </c>
      <c r="N31" s="76">
        <v>0.59799999999999998</v>
      </c>
      <c r="O31" s="74">
        <v>0.59799999999999998</v>
      </c>
      <c r="P31" s="74">
        <v>8.8989999999999991</v>
      </c>
      <c r="Q31" s="75">
        <v>0.10405663557703114</v>
      </c>
      <c r="R31" s="75">
        <v>6.7198561636138895E-2</v>
      </c>
      <c r="S31" s="77">
        <v>0.17125519721317004</v>
      </c>
      <c r="T31" s="73">
        <v>47</v>
      </c>
      <c r="U31" s="78">
        <v>0.89200000000000002</v>
      </c>
      <c r="V31" s="78">
        <v>9.1854999999999993</v>
      </c>
      <c r="W31" s="78">
        <v>1.6079999999999999</v>
      </c>
      <c r="X31" s="78">
        <v>1.6079999999999999</v>
      </c>
      <c r="Y31" s="78">
        <v>8.2934999999999999</v>
      </c>
      <c r="Z31" s="19">
        <v>0.10782956648778716</v>
      </c>
      <c r="AA31" s="19">
        <v>0.20386462941328276</v>
      </c>
      <c r="AB31" s="79">
        <v>0.31169419590106989</v>
      </c>
    </row>
    <row r="32" spans="2:28">
      <c r="B32" s="65">
        <v>48</v>
      </c>
      <c r="C32" s="66">
        <v>0.84299999999999997</v>
      </c>
      <c r="D32" s="66">
        <v>8.7750000000000004</v>
      </c>
      <c r="E32" s="66">
        <v>2.6920000000000002</v>
      </c>
      <c r="F32" s="66">
        <v>2.6920000000000002</v>
      </c>
      <c r="G32" s="66">
        <v>7.9320000000000004</v>
      </c>
      <c r="H32" s="67">
        <v>0.10627836611195159</v>
      </c>
      <c r="I32" s="67">
        <v>0.3393847705496722</v>
      </c>
      <c r="J32" s="68">
        <v>0.44566313666162377</v>
      </c>
      <c r="K32" s="65">
        <v>48</v>
      </c>
      <c r="L32" s="66">
        <v>0.9</v>
      </c>
      <c r="M32" s="66">
        <v>10.07</v>
      </c>
      <c r="N32" s="69">
        <v>0.60799999999999998</v>
      </c>
      <c r="O32" s="66">
        <v>0.60799999999999998</v>
      </c>
      <c r="P32" s="66">
        <v>9.17</v>
      </c>
      <c r="Q32" s="67">
        <v>9.8146128680479824E-2</v>
      </c>
      <c r="R32" s="67">
        <v>6.6303162486368597E-2</v>
      </c>
      <c r="S32" s="68">
        <v>0.16444929116684842</v>
      </c>
      <c r="T32" s="65">
        <v>48</v>
      </c>
      <c r="U32" s="70">
        <v>0.87149999999999994</v>
      </c>
      <c r="V32" s="70">
        <v>9.4224999999999994</v>
      </c>
      <c r="W32" s="70">
        <v>1.6500000000000001</v>
      </c>
      <c r="X32" s="70">
        <v>1.6500000000000001</v>
      </c>
      <c r="Y32" s="70">
        <v>8.5510000000000002</v>
      </c>
      <c r="Z32" s="71">
        <v>0.10221224739621571</v>
      </c>
      <c r="AA32" s="71">
        <v>0.20284396651802039</v>
      </c>
      <c r="AB32" s="72">
        <v>0.3050562139142361</v>
      </c>
    </row>
    <row r="33" spans="2:28">
      <c r="B33" s="73">
        <v>49</v>
      </c>
      <c r="C33" s="74">
        <v>0.82299999999999995</v>
      </c>
      <c r="D33" s="74">
        <v>9.0109999999999992</v>
      </c>
      <c r="E33" s="74">
        <v>2.7650000000000001</v>
      </c>
      <c r="F33" s="74">
        <v>2.7650000000000001</v>
      </c>
      <c r="G33" s="74">
        <v>8.1879999999999988</v>
      </c>
      <c r="H33" s="75">
        <v>0.10051294577430386</v>
      </c>
      <c r="I33" s="75">
        <v>0.33768930141670744</v>
      </c>
      <c r="J33" s="77">
        <v>0.43820224719101131</v>
      </c>
      <c r="K33" s="73">
        <v>49</v>
      </c>
      <c r="L33" s="74">
        <v>0.86899999999999999</v>
      </c>
      <c r="M33" s="74">
        <v>10.32</v>
      </c>
      <c r="N33" s="76">
        <v>0.61599999999999999</v>
      </c>
      <c r="O33" s="74">
        <v>0.61599999999999999</v>
      </c>
      <c r="P33" s="74">
        <v>9.4510000000000005</v>
      </c>
      <c r="Q33" s="75">
        <v>9.1947942016717799E-2</v>
      </c>
      <c r="R33" s="75">
        <v>6.5178288011850591E-2</v>
      </c>
      <c r="S33" s="77">
        <v>0.1571262300285684</v>
      </c>
      <c r="T33" s="73">
        <v>49</v>
      </c>
      <c r="U33" s="78">
        <v>0.84599999999999997</v>
      </c>
      <c r="V33" s="78">
        <v>9.6654999999999998</v>
      </c>
      <c r="W33" s="78">
        <v>1.6905000000000001</v>
      </c>
      <c r="X33" s="78">
        <v>1.6905000000000001</v>
      </c>
      <c r="Y33" s="78">
        <v>8.8194999999999997</v>
      </c>
      <c r="Z33" s="19">
        <v>9.6230443895510831E-2</v>
      </c>
      <c r="AA33" s="19">
        <v>0.20143379471427902</v>
      </c>
      <c r="AB33" s="79">
        <v>0.29766423860978986</v>
      </c>
    </row>
    <row r="34" spans="2:28">
      <c r="B34" s="65">
        <v>50</v>
      </c>
      <c r="C34" s="66">
        <v>0.79700000000000004</v>
      </c>
      <c r="D34" s="66">
        <v>9.2530000000000001</v>
      </c>
      <c r="E34" s="66">
        <v>2.835</v>
      </c>
      <c r="F34" s="66">
        <v>2.835</v>
      </c>
      <c r="G34" s="66">
        <v>8.4559999999999995</v>
      </c>
      <c r="H34" s="67">
        <v>9.4252601702932842E-2</v>
      </c>
      <c r="I34" s="67">
        <v>0.33526490066225167</v>
      </c>
      <c r="J34" s="68">
        <v>0.42951750236518449</v>
      </c>
      <c r="K34" s="65">
        <v>50</v>
      </c>
      <c r="L34" s="66">
        <v>0.83299999999999996</v>
      </c>
      <c r="M34" s="66">
        <v>10.577</v>
      </c>
      <c r="N34" s="69">
        <v>0.624</v>
      </c>
      <c r="O34" s="66">
        <v>0.624</v>
      </c>
      <c r="P34" s="66">
        <v>9.7439999999999998</v>
      </c>
      <c r="Q34" s="67">
        <v>8.5488505747126436E-2</v>
      </c>
      <c r="R34" s="67">
        <v>6.4039408866995079E-2</v>
      </c>
      <c r="S34" s="68">
        <v>0.14952791461412152</v>
      </c>
      <c r="T34" s="65">
        <v>50</v>
      </c>
      <c r="U34" s="70">
        <v>0.81499999999999995</v>
      </c>
      <c r="V34" s="70">
        <v>9.9149999999999991</v>
      </c>
      <c r="W34" s="70">
        <v>1.7295</v>
      </c>
      <c r="X34" s="70">
        <v>1.7295</v>
      </c>
      <c r="Y34" s="70">
        <v>9.1</v>
      </c>
      <c r="Z34" s="71">
        <v>8.9870553725029639E-2</v>
      </c>
      <c r="AA34" s="71">
        <v>0.19965215476462339</v>
      </c>
      <c r="AB34" s="72">
        <v>0.289522708489653</v>
      </c>
    </row>
    <row r="35" spans="2:28">
      <c r="B35" s="73">
        <v>51</v>
      </c>
      <c r="C35" s="74">
        <v>0.76500000000000001</v>
      </c>
      <c r="D35" s="74">
        <v>9.5009999999999994</v>
      </c>
      <c r="E35" s="74">
        <v>2.9020000000000001</v>
      </c>
      <c r="F35" s="74">
        <v>2.9020000000000001</v>
      </c>
      <c r="G35" s="74">
        <v>8.7359999999999989</v>
      </c>
      <c r="H35" s="75">
        <v>8.7568681318681327E-2</v>
      </c>
      <c r="I35" s="75">
        <v>0.33218864468864473</v>
      </c>
      <c r="J35" s="77">
        <v>0.41975732600732607</v>
      </c>
      <c r="K35" s="73">
        <v>51</v>
      </c>
      <c r="L35" s="74">
        <v>0.79200000000000004</v>
      </c>
      <c r="M35" s="74">
        <v>10.839</v>
      </c>
      <c r="N35" s="76">
        <v>0.63100000000000001</v>
      </c>
      <c r="O35" s="74">
        <v>0.63100000000000001</v>
      </c>
      <c r="P35" s="74">
        <v>10.047000000000001</v>
      </c>
      <c r="Q35" s="75">
        <v>7.8829501343684674E-2</v>
      </c>
      <c r="R35" s="75">
        <v>6.2804817358415449E-2</v>
      </c>
      <c r="S35" s="77">
        <v>0.14163431870210014</v>
      </c>
      <c r="T35" s="73">
        <v>51</v>
      </c>
      <c r="U35" s="78">
        <v>0.77849999999999997</v>
      </c>
      <c r="V35" s="78">
        <v>10.17</v>
      </c>
      <c r="W35" s="78">
        <v>1.7665000000000002</v>
      </c>
      <c r="X35" s="78">
        <v>1.7665000000000002</v>
      </c>
      <c r="Y35" s="78">
        <v>9.3915000000000006</v>
      </c>
      <c r="Z35" s="19">
        <v>8.3199091331183E-2</v>
      </c>
      <c r="AA35" s="19">
        <v>0.1974967310235301</v>
      </c>
      <c r="AB35" s="79">
        <v>0.28069582235471313</v>
      </c>
    </row>
    <row r="36" spans="2:28">
      <c r="B36" s="65">
        <v>52</v>
      </c>
      <c r="C36" s="66">
        <v>0.72799999999999998</v>
      </c>
      <c r="D36" s="66">
        <v>9.7569999999999997</v>
      </c>
      <c r="E36" s="66">
        <v>2.9670000000000001</v>
      </c>
      <c r="F36" s="66">
        <v>2.9670000000000001</v>
      </c>
      <c r="G36" s="66">
        <v>9.0289999999999999</v>
      </c>
      <c r="H36" s="67">
        <v>8.0629084062465384E-2</v>
      </c>
      <c r="I36" s="67">
        <v>0.32860781924908627</v>
      </c>
      <c r="J36" s="68">
        <v>0.40923690331155166</v>
      </c>
      <c r="K36" s="65">
        <v>52</v>
      </c>
      <c r="L36" s="66">
        <v>0.74399999999999999</v>
      </c>
      <c r="M36" s="66">
        <v>11.108000000000001</v>
      </c>
      <c r="N36" s="69">
        <v>0.63600000000000001</v>
      </c>
      <c r="O36" s="66">
        <v>0.63600000000000001</v>
      </c>
      <c r="P36" s="66">
        <v>10.364000000000001</v>
      </c>
      <c r="Q36" s="67">
        <v>7.1786954843689688E-2</v>
      </c>
      <c r="R36" s="67">
        <v>6.1366267850250865E-2</v>
      </c>
      <c r="S36" s="68">
        <v>0.13315322269394056</v>
      </c>
      <c r="T36" s="65">
        <v>52</v>
      </c>
      <c r="U36" s="70">
        <v>0.73599999999999999</v>
      </c>
      <c r="V36" s="70">
        <v>10.432500000000001</v>
      </c>
      <c r="W36" s="70">
        <v>1.8015000000000001</v>
      </c>
      <c r="X36" s="70">
        <v>1.8015000000000001</v>
      </c>
      <c r="Y36" s="70">
        <v>9.6965000000000003</v>
      </c>
      <c r="Z36" s="71">
        <v>7.6208019453077536E-2</v>
      </c>
      <c r="AA36" s="71">
        <v>0.19498704354966856</v>
      </c>
      <c r="AB36" s="72">
        <v>0.2711950630027461</v>
      </c>
    </row>
    <row r="37" spans="2:28">
      <c r="B37" s="73">
        <v>53</v>
      </c>
      <c r="C37" s="74">
        <v>0.68400000000000005</v>
      </c>
      <c r="D37" s="74">
        <v>10.02</v>
      </c>
      <c r="E37" s="74">
        <v>3.0289999999999999</v>
      </c>
      <c r="F37" s="74">
        <v>3.0289999999999999</v>
      </c>
      <c r="G37" s="74">
        <v>9.3360000000000003</v>
      </c>
      <c r="H37" s="75">
        <v>7.3264781491002573E-2</v>
      </c>
      <c r="I37" s="75">
        <v>0.32444301628106254</v>
      </c>
      <c r="J37" s="77">
        <v>0.39770779777206511</v>
      </c>
      <c r="K37" s="73">
        <v>53</v>
      </c>
      <c r="L37" s="74">
        <v>0.69</v>
      </c>
      <c r="M37" s="74">
        <v>11.382</v>
      </c>
      <c r="N37" s="76">
        <v>0.64</v>
      </c>
      <c r="O37" s="74">
        <v>0.64</v>
      </c>
      <c r="P37" s="74">
        <v>10.692</v>
      </c>
      <c r="Q37" s="75">
        <v>6.4534231200897865E-2</v>
      </c>
      <c r="R37" s="75">
        <v>5.9857837635615412E-2</v>
      </c>
      <c r="S37" s="77">
        <v>0.12439206883651327</v>
      </c>
      <c r="T37" s="73">
        <v>53</v>
      </c>
      <c r="U37" s="78">
        <v>0.68700000000000006</v>
      </c>
      <c r="V37" s="78">
        <v>10.701000000000001</v>
      </c>
      <c r="W37" s="78">
        <v>1.8345</v>
      </c>
      <c r="X37" s="78">
        <v>1.8345</v>
      </c>
      <c r="Y37" s="78">
        <v>10.013999999999999</v>
      </c>
      <c r="Z37" s="19">
        <v>6.8899506345950212E-2</v>
      </c>
      <c r="AA37" s="19">
        <v>0.19215042695833898</v>
      </c>
      <c r="AB37" s="79">
        <v>0.26104993330428916</v>
      </c>
    </row>
    <row r="38" spans="2:28">
      <c r="B38" s="65">
        <v>54</v>
      </c>
      <c r="C38" s="66">
        <v>0.63200000000000001</v>
      </c>
      <c r="D38" s="66">
        <v>10.29</v>
      </c>
      <c r="E38" s="66">
        <v>3.0870000000000002</v>
      </c>
      <c r="F38" s="66">
        <v>3.0870000000000002</v>
      </c>
      <c r="G38" s="66">
        <v>9.6579999999999995</v>
      </c>
      <c r="H38" s="67">
        <v>6.5437978877614419E-2</v>
      </c>
      <c r="I38" s="67">
        <v>0.31963139366328436</v>
      </c>
      <c r="J38" s="68">
        <v>0.38506937254089879</v>
      </c>
      <c r="K38" s="65">
        <v>54</v>
      </c>
      <c r="L38" s="66">
        <v>0.629</v>
      </c>
      <c r="M38" s="66">
        <v>11.662000000000001</v>
      </c>
      <c r="N38" s="69">
        <v>0.64200000000000002</v>
      </c>
      <c r="O38" s="66">
        <v>0.64200000000000002</v>
      </c>
      <c r="P38" s="66">
        <v>11.033000000000001</v>
      </c>
      <c r="Q38" s="67">
        <v>5.7010785824345142E-2</v>
      </c>
      <c r="R38" s="67">
        <v>5.8189069156167852E-2</v>
      </c>
      <c r="S38" s="68">
        <v>0.11519985498051299</v>
      </c>
      <c r="T38" s="65">
        <v>54</v>
      </c>
      <c r="U38" s="70">
        <v>0.63050000000000006</v>
      </c>
      <c r="V38" s="70">
        <v>10.975999999999999</v>
      </c>
      <c r="W38" s="70">
        <v>1.8645</v>
      </c>
      <c r="X38" s="70">
        <v>1.8645</v>
      </c>
      <c r="Y38" s="70">
        <v>10.345500000000001</v>
      </c>
      <c r="Z38" s="71">
        <v>6.1224382350979781E-2</v>
      </c>
      <c r="AA38" s="71">
        <v>0.1889102314097261</v>
      </c>
      <c r="AB38" s="72">
        <v>0.25013461376070589</v>
      </c>
    </row>
    <row r="39" spans="2:28">
      <c r="B39" s="73">
        <v>55</v>
      </c>
      <c r="C39" s="74">
        <v>0.57399999999999995</v>
      </c>
      <c r="D39" s="74">
        <v>10.568</v>
      </c>
      <c r="E39" s="74">
        <v>3.1429999999999998</v>
      </c>
      <c r="F39" s="74">
        <v>3.1429999999999998</v>
      </c>
      <c r="G39" s="74">
        <v>9.9939999999999998</v>
      </c>
      <c r="H39" s="75">
        <v>5.7434460676405841E-2</v>
      </c>
      <c r="I39" s="75">
        <v>0.31448869321592954</v>
      </c>
      <c r="J39" s="77">
        <v>0.37192315389233538</v>
      </c>
      <c r="K39" s="73">
        <v>55</v>
      </c>
      <c r="L39" s="74">
        <v>0.56000000000000005</v>
      </c>
      <c r="M39" s="74">
        <v>11.949</v>
      </c>
      <c r="N39" s="76">
        <v>0.64300000000000002</v>
      </c>
      <c r="O39" s="74">
        <v>0.64300000000000002</v>
      </c>
      <c r="P39" s="74">
        <v>11.388999999999999</v>
      </c>
      <c r="Q39" s="75">
        <v>4.9170251997541492E-2</v>
      </c>
      <c r="R39" s="75">
        <v>5.6457985775748537E-2</v>
      </c>
      <c r="S39" s="77">
        <v>0.10562823777329003</v>
      </c>
      <c r="T39" s="73">
        <v>55</v>
      </c>
      <c r="U39" s="78">
        <v>0.56699999999999995</v>
      </c>
      <c r="V39" s="78">
        <v>11.2585</v>
      </c>
      <c r="W39" s="78">
        <v>1.8929999999999998</v>
      </c>
      <c r="X39" s="78">
        <v>1.8929999999999998</v>
      </c>
      <c r="Y39" s="78">
        <v>10.6915</v>
      </c>
      <c r="Z39" s="19">
        <v>5.3302356336973666E-2</v>
      </c>
      <c r="AA39" s="19">
        <v>0.18547333949583905</v>
      </c>
      <c r="AB39" s="79">
        <v>0.23877569583281272</v>
      </c>
    </row>
    <row r="40" spans="2:28">
      <c r="B40" s="65">
        <v>56</v>
      </c>
      <c r="C40" s="66">
        <v>0.50700000000000001</v>
      </c>
      <c r="D40" s="66">
        <v>10.853999999999999</v>
      </c>
      <c r="E40" s="66">
        <v>3.1960000000000002</v>
      </c>
      <c r="F40" s="66">
        <v>3.1960000000000002</v>
      </c>
      <c r="G40" s="66">
        <v>10.347</v>
      </c>
      <c r="H40" s="67">
        <v>4.8999710060887214E-2</v>
      </c>
      <c r="I40" s="67">
        <v>0.30888180148835415</v>
      </c>
      <c r="J40" s="68">
        <v>0.35788151154924136</v>
      </c>
      <c r="K40" s="65">
        <v>56</v>
      </c>
      <c r="L40" s="66">
        <v>0.48499999999999999</v>
      </c>
      <c r="M40" s="66">
        <v>12.242000000000001</v>
      </c>
      <c r="N40" s="69">
        <v>0.64300000000000002</v>
      </c>
      <c r="O40" s="66">
        <v>0.64300000000000002</v>
      </c>
      <c r="P40" s="66">
        <v>11.757000000000001</v>
      </c>
      <c r="Q40" s="67">
        <v>4.1252020073147905E-2</v>
      </c>
      <c r="R40" s="67">
        <v>5.4690822488730112E-2</v>
      </c>
      <c r="S40" s="68">
        <v>9.5942842561878017E-2</v>
      </c>
      <c r="T40" s="65">
        <v>56</v>
      </c>
      <c r="U40" s="70">
        <v>0.496</v>
      </c>
      <c r="V40" s="70">
        <v>11.548</v>
      </c>
      <c r="W40" s="70">
        <v>1.9195000000000002</v>
      </c>
      <c r="X40" s="70">
        <v>1.9195000000000002</v>
      </c>
      <c r="Y40" s="70">
        <v>11.052</v>
      </c>
      <c r="Z40" s="71">
        <v>4.5125865067017559E-2</v>
      </c>
      <c r="AA40" s="71">
        <v>0.18178631198854212</v>
      </c>
      <c r="AB40" s="72">
        <v>0.22691217705555969</v>
      </c>
    </row>
    <row r="41" spans="2:28">
      <c r="B41" s="73">
        <v>57</v>
      </c>
      <c r="C41" s="74">
        <v>0.434</v>
      </c>
      <c r="D41" s="74">
        <v>11.148999999999999</v>
      </c>
      <c r="E41" s="74">
        <v>3.2480000000000002</v>
      </c>
      <c r="F41" s="74">
        <v>3.2480000000000002</v>
      </c>
      <c r="G41" s="74">
        <v>10.715</v>
      </c>
      <c r="H41" s="75">
        <v>4.0503966402239848E-2</v>
      </c>
      <c r="I41" s="75">
        <v>0.30312645823611761</v>
      </c>
      <c r="J41" s="77">
        <v>0.34363042463835747</v>
      </c>
      <c r="K41" s="73">
        <v>57</v>
      </c>
      <c r="L41" s="74">
        <v>0.40500000000000003</v>
      </c>
      <c r="M41" s="74">
        <v>12.544</v>
      </c>
      <c r="N41" s="76">
        <v>0.64100000000000001</v>
      </c>
      <c r="O41" s="74">
        <v>0.64100000000000001</v>
      </c>
      <c r="P41" s="74">
        <v>12.139000000000001</v>
      </c>
      <c r="Q41" s="75">
        <v>3.3363539006507952E-2</v>
      </c>
      <c r="R41" s="75">
        <v>5.2805008649806404E-2</v>
      </c>
      <c r="S41" s="77">
        <v>8.6168547656314348E-2</v>
      </c>
      <c r="T41" s="73">
        <v>57</v>
      </c>
      <c r="U41" s="78">
        <v>0.41949999999999998</v>
      </c>
      <c r="V41" s="78">
        <v>11.846499999999999</v>
      </c>
      <c r="W41" s="78">
        <v>1.9445000000000001</v>
      </c>
      <c r="X41" s="78">
        <v>1.9445000000000001</v>
      </c>
      <c r="Y41" s="78">
        <v>11.427</v>
      </c>
      <c r="Z41" s="19">
        <v>3.69337527043739E-2</v>
      </c>
      <c r="AA41" s="19">
        <v>0.17796573344296202</v>
      </c>
      <c r="AB41" s="79">
        <v>0.21489948614733589</v>
      </c>
    </row>
    <row r="42" spans="2:28">
      <c r="B42" s="65">
        <v>58</v>
      </c>
      <c r="C42" s="66">
        <v>0.35599999999999998</v>
      </c>
      <c r="D42" s="66">
        <v>11.454000000000001</v>
      </c>
      <c r="E42" s="66">
        <v>3.298</v>
      </c>
      <c r="F42" s="66">
        <v>3.298</v>
      </c>
      <c r="G42" s="66">
        <v>11.098000000000001</v>
      </c>
      <c r="H42" s="67">
        <v>3.2077851865200936E-2</v>
      </c>
      <c r="I42" s="67">
        <v>0.29717066138042891</v>
      </c>
      <c r="J42" s="68">
        <v>0.32924851324562987</v>
      </c>
      <c r="K42" s="65">
        <v>58</v>
      </c>
      <c r="L42" s="66">
        <v>0.32200000000000001</v>
      </c>
      <c r="M42" s="66">
        <v>12.856999999999999</v>
      </c>
      <c r="N42" s="69">
        <v>0.63900000000000001</v>
      </c>
      <c r="O42" s="66">
        <v>0.63900000000000001</v>
      </c>
      <c r="P42" s="66">
        <v>12.535</v>
      </c>
      <c r="Q42" s="67">
        <v>2.5688073394495414E-2</v>
      </c>
      <c r="R42" s="67">
        <v>5.097726366174711E-2</v>
      </c>
      <c r="S42" s="68">
        <v>7.6665337056242525E-2</v>
      </c>
      <c r="T42" s="65">
        <v>58</v>
      </c>
      <c r="U42" s="70">
        <v>0.33899999999999997</v>
      </c>
      <c r="V42" s="70">
        <v>12.1555</v>
      </c>
      <c r="W42" s="70">
        <v>1.9685000000000001</v>
      </c>
      <c r="X42" s="70">
        <v>1.9685000000000001</v>
      </c>
      <c r="Y42" s="70">
        <v>11.816500000000001</v>
      </c>
      <c r="Z42" s="71">
        <v>2.8882962629848175E-2</v>
      </c>
      <c r="AA42" s="71">
        <v>0.174073962521088</v>
      </c>
      <c r="AB42" s="72">
        <v>0.20295692515093619</v>
      </c>
    </row>
    <row r="43" spans="2:28">
      <c r="B43" s="73">
        <v>59</v>
      </c>
      <c r="C43" s="74">
        <v>0.27700000000000002</v>
      </c>
      <c r="D43" s="74">
        <v>11.773</v>
      </c>
      <c r="E43" s="74">
        <v>3.3490000000000002</v>
      </c>
      <c r="F43" s="74">
        <v>3.3490000000000002</v>
      </c>
      <c r="G43" s="74">
        <v>11.496</v>
      </c>
      <c r="H43" s="75">
        <v>2.4095337508698678E-2</v>
      </c>
      <c r="I43" s="75">
        <v>0.29131871955462768</v>
      </c>
      <c r="J43" s="77">
        <v>0.31541405706332637</v>
      </c>
      <c r="K43" s="73">
        <v>59</v>
      </c>
      <c r="L43" s="74">
        <v>0.24099999999999999</v>
      </c>
      <c r="M43" s="74">
        <v>13.186</v>
      </c>
      <c r="N43" s="76">
        <v>0.63600000000000001</v>
      </c>
      <c r="O43" s="74">
        <v>0.63600000000000001</v>
      </c>
      <c r="P43" s="74">
        <v>12.945</v>
      </c>
      <c r="Q43" s="75">
        <v>1.861722672846659E-2</v>
      </c>
      <c r="R43" s="75">
        <v>4.9130938586326764E-2</v>
      </c>
      <c r="S43" s="77">
        <v>6.7748165314793357E-2</v>
      </c>
      <c r="T43" s="73">
        <v>59</v>
      </c>
      <c r="U43" s="78">
        <v>0.25900000000000001</v>
      </c>
      <c r="V43" s="78">
        <v>12.4795</v>
      </c>
      <c r="W43" s="78">
        <v>1.9925000000000002</v>
      </c>
      <c r="X43" s="78">
        <v>1.9925000000000002</v>
      </c>
      <c r="Y43" s="78">
        <v>12.220500000000001</v>
      </c>
      <c r="Z43" s="19">
        <v>2.1356282118582634E-2</v>
      </c>
      <c r="AA43" s="19">
        <v>0.17022482907047723</v>
      </c>
      <c r="AB43" s="79">
        <v>0.19158111118905985</v>
      </c>
    </row>
    <row r="44" spans="2:28">
      <c r="B44" s="65">
        <v>60</v>
      </c>
      <c r="C44" s="66">
        <v>0.20200000000000001</v>
      </c>
      <c r="D44" s="66">
        <v>12.11</v>
      </c>
      <c r="E44" s="66">
        <v>3.4009999999999998</v>
      </c>
      <c r="F44" s="66">
        <v>3.4009999999999998</v>
      </c>
      <c r="G44" s="66">
        <v>11.907999999999999</v>
      </c>
      <c r="H44" s="67">
        <v>1.696338595901915E-2</v>
      </c>
      <c r="I44" s="67">
        <v>0.28560631508229761</v>
      </c>
      <c r="J44" s="68">
        <v>0.30256970104131675</v>
      </c>
      <c r="K44" s="65">
        <v>60</v>
      </c>
      <c r="L44" s="66">
        <v>0.16800000000000001</v>
      </c>
      <c r="M44" s="66">
        <v>13.537000000000001</v>
      </c>
      <c r="N44" s="69">
        <v>0.63300000000000001</v>
      </c>
      <c r="O44" s="66">
        <v>0.63300000000000001</v>
      </c>
      <c r="P44" s="66">
        <v>13.369000000000002</v>
      </c>
      <c r="Q44" s="67">
        <v>1.2566384920338096E-2</v>
      </c>
      <c r="R44" s="67">
        <v>4.7348343181988176E-2</v>
      </c>
      <c r="S44" s="68">
        <v>5.9914728102326273E-2</v>
      </c>
      <c r="T44" s="65">
        <v>60</v>
      </c>
      <c r="U44" s="70">
        <v>0.185</v>
      </c>
      <c r="V44" s="70">
        <v>12.823499999999999</v>
      </c>
      <c r="W44" s="70">
        <v>2.0169999999999999</v>
      </c>
      <c r="X44" s="70">
        <v>2.0169999999999999</v>
      </c>
      <c r="Y44" s="70">
        <v>12.638500000000001</v>
      </c>
      <c r="Z44" s="71">
        <v>1.4764885439678622E-2</v>
      </c>
      <c r="AA44" s="71">
        <v>0.16647732913214289</v>
      </c>
      <c r="AB44" s="72">
        <v>0.18124221457182152</v>
      </c>
    </row>
    <row r="45" spans="2:28">
      <c r="B45" s="73">
        <v>61</v>
      </c>
      <c r="C45" s="74">
        <v>0.13700000000000001</v>
      </c>
      <c r="D45" s="74">
        <v>12.47</v>
      </c>
      <c r="E45" s="74">
        <v>3.4550000000000001</v>
      </c>
      <c r="F45" s="74">
        <v>3.4550000000000001</v>
      </c>
      <c r="G45" s="74">
        <v>12.333</v>
      </c>
      <c r="H45" s="75">
        <v>1.1108408335360417E-2</v>
      </c>
      <c r="I45" s="75">
        <v>0.28014270655963674</v>
      </c>
      <c r="J45" s="77">
        <v>0.29125111489499717</v>
      </c>
      <c r="K45" s="73">
        <v>61</v>
      </c>
      <c r="L45" s="74">
        <v>0.108</v>
      </c>
      <c r="M45" s="74">
        <v>13.914</v>
      </c>
      <c r="N45" s="76">
        <v>0.63</v>
      </c>
      <c r="O45" s="74">
        <v>0.63</v>
      </c>
      <c r="P45" s="74">
        <v>13.805999999999999</v>
      </c>
      <c r="Q45" s="75">
        <v>7.8226857887874843E-3</v>
      </c>
      <c r="R45" s="75">
        <v>4.563233376792699E-2</v>
      </c>
      <c r="S45" s="77">
        <v>5.3455019556714473E-2</v>
      </c>
      <c r="T45" s="73">
        <v>61</v>
      </c>
      <c r="U45" s="78">
        <v>0.1225</v>
      </c>
      <c r="V45" s="78">
        <v>13.192</v>
      </c>
      <c r="W45" s="78">
        <v>2.0425</v>
      </c>
      <c r="X45" s="78">
        <v>2.0425</v>
      </c>
      <c r="Y45" s="78">
        <v>13.0695</v>
      </c>
      <c r="Z45" s="19">
        <v>9.4655470620739514E-3</v>
      </c>
      <c r="AA45" s="19">
        <v>0.16288752016378186</v>
      </c>
      <c r="AB45" s="79">
        <v>0.1723530672258558</v>
      </c>
    </row>
    <row r="46" spans="2:28">
      <c r="B46" s="65">
        <v>62</v>
      </c>
      <c r="C46" s="66">
        <v>8.4000000000000005E-2</v>
      </c>
      <c r="D46" s="66">
        <v>12.856</v>
      </c>
      <c r="E46" s="66">
        <v>3.4950000000000001</v>
      </c>
      <c r="F46" s="66">
        <v>3.4950000000000001</v>
      </c>
      <c r="G46" s="66">
        <v>12.772</v>
      </c>
      <c r="H46" s="67">
        <v>6.5768869401816475E-3</v>
      </c>
      <c r="I46" s="67">
        <v>0.27364547447541498</v>
      </c>
      <c r="J46" s="68">
        <v>0.28022236141559664</v>
      </c>
      <c r="K46" s="65">
        <v>62</v>
      </c>
      <c r="L46" s="66">
        <v>6.2E-2</v>
      </c>
      <c r="M46" s="66">
        <v>14.321</v>
      </c>
      <c r="N46" s="69">
        <v>0.625</v>
      </c>
      <c r="O46" s="66">
        <v>0.625</v>
      </c>
      <c r="P46" s="66">
        <v>14.259</v>
      </c>
      <c r="Q46" s="67">
        <v>4.3481310049793111E-3</v>
      </c>
      <c r="R46" s="67">
        <v>4.3831965776001118E-2</v>
      </c>
      <c r="S46" s="68">
        <v>4.8180096780980432E-2</v>
      </c>
      <c r="T46" s="65">
        <v>62</v>
      </c>
      <c r="U46" s="70">
        <v>7.3000000000000009E-2</v>
      </c>
      <c r="V46" s="70">
        <v>13.5885</v>
      </c>
      <c r="W46" s="70">
        <v>2.06</v>
      </c>
      <c r="X46" s="70">
        <v>2.06</v>
      </c>
      <c r="Y46" s="70">
        <v>13.515499999999999</v>
      </c>
      <c r="Z46" s="71">
        <v>5.4625089725804793E-3</v>
      </c>
      <c r="AA46" s="71">
        <v>0.15873872012570805</v>
      </c>
      <c r="AB46" s="72">
        <v>0.16420122909828855</v>
      </c>
    </row>
    <row r="47" spans="2:28">
      <c r="B47" s="73">
        <v>63</v>
      </c>
      <c r="C47" s="74">
        <v>4.4999999999999998E-2</v>
      </c>
      <c r="D47" s="74">
        <v>13.273</v>
      </c>
      <c r="E47" s="74">
        <v>3.536</v>
      </c>
      <c r="F47" s="74">
        <v>3.536</v>
      </c>
      <c r="G47" s="74">
        <v>13.228</v>
      </c>
      <c r="H47" s="75">
        <v>3.4018748110069548E-3</v>
      </c>
      <c r="I47" s="75">
        <v>0.26731176292712427</v>
      </c>
      <c r="J47" s="77">
        <v>0.27071363773813123</v>
      </c>
      <c r="K47" s="73">
        <v>63</v>
      </c>
      <c r="L47" s="74">
        <v>3.2000000000000001E-2</v>
      </c>
      <c r="M47" s="74">
        <v>14.76</v>
      </c>
      <c r="N47" s="76">
        <v>0.61899999999999999</v>
      </c>
      <c r="O47" s="74">
        <v>0.61899999999999999</v>
      </c>
      <c r="P47" s="74">
        <v>14.728</v>
      </c>
      <c r="Q47" s="75">
        <v>2.1727322107550247E-3</v>
      </c>
      <c r="R47" s="75">
        <v>4.2028788701792504E-2</v>
      </c>
      <c r="S47" s="77">
        <v>4.4201520912547532E-2</v>
      </c>
      <c r="T47" s="73">
        <v>63</v>
      </c>
      <c r="U47" s="78">
        <v>3.85E-2</v>
      </c>
      <c r="V47" s="78">
        <v>14.016500000000001</v>
      </c>
      <c r="W47" s="78">
        <v>2.0775000000000001</v>
      </c>
      <c r="X47" s="78">
        <v>2.0775000000000001</v>
      </c>
      <c r="Y47" s="78">
        <v>13.978</v>
      </c>
      <c r="Z47" s="19">
        <v>2.7873035108809899E-3</v>
      </c>
      <c r="AA47" s="19">
        <v>0.15467027581445839</v>
      </c>
      <c r="AB47" s="79">
        <v>0.15745757932533938</v>
      </c>
    </row>
    <row r="48" spans="2:28">
      <c r="B48" s="65">
        <v>64</v>
      </c>
      <c r="C48" s="66">
        <v>1.9E-2</v>
      </c>
      <c r="D48" s="66">
        <v>13.721</v>
      </c>
      <c r="E48" s="66">
        <v>3.5760000000000001</v>
      </c>
      <c r="F48" s="66">
        <v>3.5760000000000001</v>
      </c>
      <c r="G48" s="66">
        <v>13.702</v>
      </c>
      <c r="H48" s="67">
        <v>1.3866588819150488E-3</v>
      </c>
      <c r="I48" s="67">
        <v>0.26098379798569554</v>
      </c>
      <c r="J48" s="68">
        <v>0.26237045686761057</v>
      </c>
      <c r="K48" s="65">
        <v>64</v>
      </c>
      <c r="L48" s="66">
        <v>1.2999999999999999E-2</v>
      </c>
      <c r="M48" s="66">
        <v>15.228999999999999</v>
      </c>
      <c r="N48" s="69">
        <v>0.61299999999999999</v>
      </c>
      <c r="O48" s="66">
        <v>0.61299999999999999</v>
      </c>
      <c r="P48" s="66">
        <v>15.215999999999999</v>
      </c>
      <c r="Q48" s="67">
        <v>8.5436382754994742E-4</v>
      </c>
      <c r="R48" s="67">
        <v>4.0286540483701366E-2</v>
      </c>
      <c r="S48" s="68">
        <v>4.1140904311251315E-2</v>
      </c>
      <c r="T48" s="65">
        <v>64</v>
      </c>
      <c r="U48" s="70">
        <v>1.6E-2</v>
      </c>
      <c r="V48" s="70">
        <v>14.475</v>
      </c>
      <c r="W48" s="70">
        <v>2.0945</v>
      </c>
      <c r="X48" s="70">
        <v>2.0945</v>
      </c>
      <c r="Y48" s="70">
        <v>14.459</v>
      </c>
      <c r="Z48" s="71">
        <v>1.1205113547324982E-3</v>
      </c>
      <c r="AA48" s="71">
        <v>0.15063516923469844</v>
      </c>
      <c r="AB48" s="72">
        <v>0.15175568058943095</v>
      </c>
    </row>
    <row r="49" spans="2:28">
      <c r="B49" s="73">
        <v>65</v>
      </c>
      <c r="C49" s="74">
        <v>7.0000000000000001E-3</v>
      </c>
      <c r="D49" s="74">
        <v>14.202999999999999</v>
      </c>
      <c r="E49" s="74">
        <v>3.613</v>
      </c>
      <c r="F49" s="74">
        <v>3.613</v>
      </c>
      <c r="G49" s="74">
        <v>14.196</v>
      </c>
      <c r="H49" s="75">
        <v>4.9309664694280081E-4</v>
      </c>
      <c r="I49" s="75">
        <v>0.25450831220061992</v>
      </c>
      <c r="J49" s="77">
        <v>0.25500140884756273</v>
      </c>
      <c r="K49" s="73">
        <v>65</v>
      </c>
      <c r="L49" s="74">
        <v>4.0000000000000001E-3</v>
      </c>
      <c r="M49" s="74">
        <v>15.728</v>
      </c>
      <c r="N49" s="76">
        <v>0.60499999999999998</v>
      </c>
      <c r="O49" s="74">
        <v>0.60499999999999998</v>
      </c>
      <c r="P49" s="74">
        <v>15.724</v>
      </c>
      <c r="Q49" s="75">
        <v>2.5438819638768761E-4</v>
      </c>
      <c r="R49" s="75">
        <v>3.8476214703637747E-2</v>
      </c>
      <c r="S49" s="77">
        <v>3.8730602900025432E-2</v>
      </c>
      <c r="T49" s="73">
        <v>65</v>
      </c>
      <c r="U49" s="78">
        <v>5.4999999999999997E-3</v>
      </c>
      <c r="V49" s="78">
        <v>14.965499999999999</v>
      </c>
      <c r="W49" s="78">
        <v>2.109</v>
      </c>
      <c r="X49" s="78">
        <v>2.109</v>
      </c>
      <c r="Y49" s="78">
        <v>14.96</v>
      </c>
      <c r="Z49" s="88">
        <v>3.7374242166524421E-4</v>
      </c>
      <c r="AA49" s="88">
        <v>0.14649226345212885</v>
      </c>
      <c r="AB49" s="89">
        <v>0.14686600587379409</v>
      </c>
    </row>
    <row r="50" spans="2:28">
      <c r="B50" s="65">
        <v>66</v>
      </c>
      <c r="C50" s="66">
        <v>1E-3</v>
      </c>
      <c r="D50" s="66">
        <v>14.717000000000001</v>
      </c>
      <c r="E50" s="66">
        <v>3.6469999999999998</v>
      </c>
      <c r="F50" s="66">
        <v>3.6469999999999998</v>
      </c>
      <c r="G50" s="66">
        <v>14.716000000000001</v>
      </c>
      <c r="H50" s="67">
        <v>6.7953248165262298E-5</v>
      </c>
      <c r="I50" s="67">
        <v>0.24782549605871157</v>
      </c>
      <c r="J50" s="68">
        <v>0.24789344930687685</v>
      </c>
      <c r="K50" s="65">
        <v>66</v>
      </c>
      <c r="L50" s="66">
        <v>1E-3</v>
      </c>
      <c r="M50" s="66">
        <v>16.253</v>
      </c>
      <c r="N50" s="69">
        <v>0.59599999999999997</v>
      </c>
      <c r="O50" s="66">
        <v>0.59599999999999997</v>
      </c>
      <c r="P50" s="66">
        <v>16.251999999999999</v>
      </c>
      <c r="Q50" s="67">
        <v>6.1530888506030037E-5</v>
      </c>
      <c r="R50" s="67">
        <v>3.6672409549593894E-2</v>
      </c>
      <c r="S50" s="68">
        <v>3.6733940438099924E-2</v>
      </c>
      <c r="T50" s="65">
        <v>66</v>
      </c>
      <c r="U50" s="70">
        <v>1E-3</v>
      </c>
      <c r="V50" s="70">
        <v>15.484999999999999</v>
      </c>
      <c r="W50" s="70">
        <v>2.1214999999999997</v>
      </c>
      <c r="X50" s="70">
        <v>2.1214999999999997</v>
      </c>
      <c r="Y50" s="70">
        <v>15.484</v>
      </c>
      <c r="Z50" s="71">
        <v>6.4742068335646167E-5</v>
      </c>
      <c r="AA50" s="71">
        <v>0.14224895280415273</v>
      </c>
      <c r="AB50" s="72">
        <v>0.14231369487248838</v>
      </c>
    </row>
    <row r="51" spans="2:28">
      <c r="B51" s="80">
        <v>67</v>
      </c>
      <c r="C51" s="81">
        <v>0</v>
      </c>
      <c r="D51" s="81">
        <v>15.260999999999999</v>
      </c>
      <c r="E51" s="81">
        <v>3.6779999999999999</v>
      </c>
      <c r="F51" s="81">
        <v>3.6779999999999999</v>
      </c>
      <c r="G51" s="81">
        <v>15.260999999999999</v>
      </c>
      <c r="H51" s="82">
        <v>0</v>
      </c>
      <c r="I51" s="82">
        <v>0.24100648712404169</v>
      </c>
      <c r="J51" s="83">
        <v>0.24100648712404169</v>
      </c>
      <c r="K51" s="80">
        <v>67</v>
      </c>
      <c r="L51" s="81">
        <v>0</v>
      </c>
      <c r="M51" s="81">
        <v>16.803000000000001</v>
      </c>
      <c r="N51" s="84">
        <v>0.58599999999999997</v>
      </c>
      <c r="O51" s="81">
        <v>0.58599999999999997</v>
      </c>
      <c r="P51" s="81">
        <v>16.803000000000001</v>
      </c>
      <c r="Q51" s="82">
        <v>0</v>
      </c>
      <c r="R51" s="82">
        <v>3.4874724751532464E-2</v>
      </c>
      <c r="S51" s="83">
        <v>3.4874724751532464E-2</v>
      </c>
      <c r="T51" s="80">
        <v>67</v>
      </c>
      <c r="U51" s="85">
        <v>0</v>
      </c>
      <c r="V51" s="85">
        <v>16.032</v>
      </c>
      <c r="W51" s="85">
        <v>2.1320000000000001</v>
      </c>
      <c r="X51" s="85">
        <v>2.1320000000000001</v>
      </c>
      <c r="Y51" s="85">
        <v>16.032</v>
      </c>
      <c r="Z51" s="86">
        <v>0</v>
      </c>
      <c r="AA51" s="86">
        <v>0.13794060593778706</v>
      </c>
      <c r="AB51" s="87">
        <v>0.13794060593778706</v>
      </c>
    </row>
    <row r="52" spans="2:28">
      <c r="B52" s="65">
        <v>68</v>
      </c>
      <c r="C52" s="66">
        <v>0</v>
      </c>
      <c r="D52" s="66">
        <v>14.851000000000001</v>
      </c>
      <c r="E52" s="66">
        <v>3.6779999999999999</v>
      </c>
      <c r="F52" s="66">
        <v>3.6779999999999999</v>
      </c>
      <c r="G52" s="66">
        <v>14.851000000000001</v>
      </c>
      <c r="H52" s="67">
        <v>0</v>
      </c>
      <c r="I52" s="66">
        <v>0.24766009022961416</v>
      </c>
      <c r="J52" s="67">
        <v>0.24766009022961416</v>
      </c>
      <c r="K52" s="65">
        <v>68</v>
      </c>
      <c r="L52" s="66">
        <v>0</v>
      </c>
      <c r="M52" s="66">
        <v>16.378</v>
      </c>
      <c r="N52" s="69">
        <v>0.59099999999999997</v>
      </c>
      <c r="O52" s="66">
        <v>0.56699999999999995</v>
      </c>
      <c r="P52" s="66">
        <v>16.378</v>
      </c>
      <c r="Q52" s="67">
        <v>0</v>
      </c>
      <c r="R52" s="67">
        <v>3.4619611674197089E-2</v>
      </c>
      <c r="S52" s="68">
        <v>3.4619611674197089E-2</v>
      </c>
      <c r="T52" s="65">
        <v>68</v>
      </c>
      <c r="U52" s="70">
        <v>0</v>
      </c>
      <c r="V52" s="70">
        <v>15.6145</v>
      </c>
      <c r="W52" s="70">
        <v>2.1345000000000001</v>
      </c>
      <c r="X52" s="70">
        <v>2.1225000000000001</v>
      </c>
      <c r="Y52" s="70">
        <v>15.6145</v>
      </c>
      <c r="Z52" s="71">
        <v>0</v>
      </c>
      <c r="AA52" s="71">
        <v>0.14113985095190562</v>
      </c>
      <c r="AB52" s="72">
        <v>0.14113985095190562</v>
      </c>
    </row>
    <row r="53" spans="2:28">
      <c r="B53" s="73">
        <v>69</v>
      </c>
      <c r="C53" s="74">
        <v>0</v>
      </c>
      <c r="D53" s="74">
        <v>14.432</v>
      </c>
      <c r="E53" s="74">
        <v>3.68</v>
      </c>
      <c r="F53" s="74">
        <v>3.68</v>
      </c>
      <c r="G53" s="74">
        <v>14.432</v>
      </c>
      <c r="H53" s="75">
        <v>0</v>
      </c>
      <c r="I53" s="74">
        <v>0.25498891352549891</v>
      </c>
      <c r="J53" s="75">
        <v>0.25498891352549891</v>
      </c>
      <c r="K53" s="73">
        <v>69</v>
      </c>
      <c r="L53" s="74">
        <v>0</v>
      </c>
      <c r="M53" s="74">
        <v>15.94</v>
      </c>
      <c r="N53" s="76">
        <v>0.57199999999999995</v>
      </c>
      <c r="O53" s="74">
        <v>0.54900000000000004</v>
      </c>
      <c r="P53" s="74">
        <v>15.94</v>
      </c>
      <c r="Q53" s="75">
        <v>0</v>
      </c>
      <c r="R53" s="75">
        <v>3.4441656210790469E-2</v>
      </c>
      <c r="S53" s="77">
        <v>3.4441656210790469E-2</v>
      </c>
      <c r="T53" s="73">
        <v>69</v>
      </c>
      <c r="U53" s="78">
        <v>0</v>
      </c>
      <c r="V53" s="78">
        <v>15.186</v>
      </c>
      <c r="W53" s="78">
        <v>2.1259999999999999</v>
      </c>
      <c r="X53" s="78">
        <v>2.1145</v>
      </c>
      <c r="Y53" s="78">
        <v>15.186</v>
      </c>
      <c r="Z53" s="19">
        <v>0</v>
      </c>
      <c r="AA53" s="19">
        <v>0.14471528486814469</v>
      </c>
      <c r="AB53" s="79">
        <v>0.14471528486814469</v>
      </c>
    </row>
    <row r="54" spans="2:28">
      <c r="B54" s="65">
        <v>70</v>
      </c>
      <c r="C54" s="66">
        <v>0</v>
      </c>
      <c r="D54" s="66">
        <v>14.002000000000001</v>
      </c>
      <c r="E54" s="66">
        <v>3.681</v>
      </c>
      <c r="F54" s="66">
        <v>3.681</v>
      </c>
      <c r="G54" s="66">
        <v>14.002000000000001</v>
      </c>
      <c r="H54" s="67">
        <v>0</v>
      </c>
      <c r="I54" s="66">
        <v>0.26289101556920441</v>
      </c>
      <c r="J54" s="67">
        <v>0.26289101556920441</v>
      </c>
      <c r="K54" s="65">
        <v>70</v>
      </c>
      <c r="L54" s="66">
        <v>0</v>
      </c>
      <c r="M54" s="66">
        <v>15.49</v>
      </c>
      <c r="N54" s="69">
        <v>0.55100000000000005</v>
      </c>
      <c r="O54" s="66">
        <v>0.53</v>
      </c>
      <c r="P54" s="66">
        <v>15.49</v>
      </c>
      <c r="Q54" s="67">
        <v>0</v>
      </c>
      <c r="R54" s="67">
        <v>3.4215622982569402E-2</v>
      </c>
      <c r="S54" s="68">
        <v>3.4215622982569402E-2</v>
      </c>
      <c r="T54" s="65">
        <v>70</v>
      </c>
      <c r="U54" s="70">
        <v>0</v>
      </c>
      <c r="V54" s="70">
        <v>14.746</v>
      </c>
      <c r="W54" s="70">
        <v>2.1160000000000001</v>
      </c>
      <c r="X54" s="70">
        <v>2.1055000000000001</v>
      </c>
      <c r="Y54" s="70">
        <v>14.746</v>
      </c>
      <c r="Z54" s="71">
        <v>0</v>
      </c>
      <c r="AA54" s="71">
        <v>0.14855331927588691</v>
      </c>
      <c r="AB54" s="72">
        <v>0.14855331927588691</v>
      </c>
    </row>
    <row r="55" spans="2:28">
      <c r="B55" s="73">
        <v>71</v>
      </c>
      <c r="C55" s="74">
        <v>0</v>
      </c>
      <c r="D55" s="74">
        <v>13.561999999999999</v>
      </c>
      <c r="E55" s="74">
        <v>3.6789999999999998</v>
      </c>
      <c r="F55" s="74">
        <v>3.6789999999999998</v>
      </c>
      <c r="G55" s="74">
        <v>13.561999999999999</v>
      </c>
      <c r="H55" s="75">
        <v>0</v>
      </c>
      <c r="I55" s="74">
        <v>0.27127267364695473</v>
      </c>
      <c r="J55" s="75">
        <v>0.27127267364695473</v>
      </c>
      <c r="K55" s="73">
        <v>71</v>
      </c>
      <c r="L55" s="74">
        <v>0</v>
      </c>
      <c r="M55" s="74">
        <v>15.026</v>
      </c>
      <c r="N55" s="76">
        <v>0.53100000000000003</v>
      </c>
      <c r="O55" s="74">
        <v>0.51</v>
      </c>
      <c r="P55" s="74">
        <v>15.026</v>
      </c>
      <c r="Q55" s="75">
        <v>0</v>
      </c>
      <c r="R55" s="75">
        <v>3.3941168641022229E-2</v>
      </c>
      <c r="S55" s="77">
        <v>3.3941168641022229E-2</v>
      </c>
      <c r="T55" s="73">
        <v>71</v>
      </c>
      <c r="U55" s="78">
        <v>0</v>
      </c>
      <c r="V55" s="78">
        <v>14.294</v>
      </c>
      <c r="W55" s="78">
        <v>2.105</v>
      </c>
      <c r="X55" s="78">
        <v>2.0945</v>
      </c>
      <c r="Y55" s="78">
        <v>14.294</v>
      </c>
      <c r="Z55" s="19">
        <v>0</v>
      </c>
      <c r="AA55" s="19">
        <v>0.15260692114398849</v>
      </c>
      <c r="AB55" s="79">
        <v>0.15260692114398849</v>
      </c>
    </row>
    <row r="56" spans="2:28">
      <c r="B56" s="65">
        <v>72</v>
      </c>
      <c r="C56" s="66">
        <v>0</v>
      </c>
      <c r="D56" s="66">
        <v>13.111000000000001</v>
      </c>
      <c r="E56" s="66">
        <v>3.6749999999999998</v>
      </c>
      <c r="F56" s="66">
        <v>3.6749999999999998</v>
      </c>
      <c r="G56" s="66">
        <v>13.111000000000001</v>
      </c>
      <c r="H56" s="67">
        <v>0</v>
      </c>
      <c r="I56" s="66">
        <v>0.28029898558462357</v>
      </c>
      <c r="J56" s="67">
        <v>0.28029898558462357</v>
      </c>
      <c r="K56" s="65">
        <v>72</v>
      </c>
      <c r="L56" s="66">
        <v>0</v>
      </c>
      <c r="M56" s="66">
        <v>14.55</v>
      </c>
      <c r="N56" s="69">
        <v>0.51</v>
      </c>
      <c r="O56" s="66">
        <v>0.49099999999999999</v>
      </c>
      <c r="P56" s="66">
        <v>14.55</v>
      </c>
      <c r="Q56" s="67">
        <v>0</v>
      </c>
      <c r="R56" s="67">
        <v>3.3745704467353949E-2</v>
      </c>
      <c r="S56" s="68">
        <v>3.3745704467353949E-2</v>
      </c>
      <c r="T56" s="65">
        <v>72</v>
      </c>
      <c r="U56" s="70">
        <v>0</v>
      </c>
      <c r="V56" s="70">
        <v>13.830500000000001</v>
      </c>
      <c r="W56" s="70">
        <v>2.0924999999999998</v>
      </c>
      <c r="X56" s="70">
        <v>2.0829999999999997</v>
      </c>
      <c r="Y56" s="70">
        <v>13.830500000000001</v>
      </c>
      <c r="Z56" s="71">
        <v>0</v>
      </c>
      <c r="AA56" s="71">
        <v>0.15702234502598877</v>
      </c>
      <c r="AB56" s="72">
        <v>0.15702234502598877</v>
      </c>
    </row>
    <row r="57" spans="2:28">
      <c r="B57" s="73">
        <v>73</v>
      </c>
      <c r="C57" s="74">
        <v>0</v>
      </c>
      <c r="D57" s="74">
        <v>12.65</v>
      </c>
      <c r="E57" s="74">
        <v>3.669</v>
      </c>
      <c r="F57" s="74">
        <v>3.669</v>
      </c>
      <c r="G57" s="74">
        <v>12.65</v>
      </c>
      <c r="H57" s="75">
        <v>0</v>
      </c>
      <c r="I57" s="74">
        <v>0.29003952569169961</v>
      </c>
      <c r="J57" s="75">
        <v>0.29003952569169961</v>
      </c>
      <c r="K57" s="73">
        <v>73</v>
      </c>
      <c r="L57" s="74">
        <v>0</v>
      </c>
      <c r="M57" s="74">
        <v>14.061999999999999</v>
      </c>
      <c r="N57" s="76">
        <v>0.48899999999999999</v>
      </c>
      <c r="O57" s="74">
        <v>0.47199999999999998</v>
      </c>
      <c r="P57" s="74">
        <v>14.061999999999999</v>
      </c>
      <c r="Q57" s="75">
        <v>0</v>
      </c>
      <c r="R57" s="75">
        <v>3.3565637889347175E-2</v>
      </c>
      <c r="S57" s="77">
        <v>3.3565637889347175E-2</v>
      </c>
      <c r="T57" s="73">
        <v>73</v>
      </c>
      <c r="U57" s="78">
        <v>0</v>
      </c>
      <c r="V57" s="78">
        <v>13.356</v>
      </c>
      <c r="W57" s="78">
        <v>2.0790000000000002</v>
      </c>
      <c r="X57" s="78">
        <v>2.0705</v>
      </c>
      <c r="Y57" s="78">
        <v>13.356</v>
      </c>
      <c r="Z57" s="19">
        <v>0</v>
      </c>
      <c r="AA57" s="19">
        <v>0.1618025817905234</v>
      </c>
      <c r="AB57" s="79">
        <v>0.1618025817905234</v>
      </c>
    </row>
    <row r="58" spans="2:28">
      <c r="B58" s="65">
        <v>74</v>
      </c>
      <c r="C58" s="66">
        <v>0</v>
      </c>
      <c r="D58" s="66">
        <v>12.18</v>
      </c>
      <c r="E58" s="66">
        <v>3.6669999999999998</v>
      </c>
      <c r="F58" s="66">
        <v>3.6669999999999998</v>
      </c>
      <c r="G58" s="66">
        <v>12.18</v>
      </c>
      <c r="H58" s="67">
        <v>0</v>
      </c>
      <c r="I58" s="66">
        <v>0.30106732348111659</v>
      </c>
      <c r="J58" s="67">
        <v>0.30106732348111659</v>
      </c>
      <c r="K58" s="65">
        <v>74</v>
      </c>
      <c r="L58" s="66">
        <v>0</v>
      </c>
      <c r="M58" s="66">
        <v>13.561999999999999</v>
      </c>
      <c r="N58" s="69">
        <v>0.46899999999999997</v>
      </c>
      <c r="O58" s="66">
        <v>0.45300000000000001</v>
      </c>
      <c r="P58" s="66">
        <v>13.561999999999999</v>
      </c>
      <c r="Q58" s="67">
        <v>0</v>
      </c>
      <c r="R58" s="67">
        <v>3.3402153074767738E-2</v>
      </c>
      <c r="S58" s="68">
        <v>3.3402153074767738E-2</v>
      </c>
      <c r="T58" s="65">
        <v>74</v>
      </c>
      <c r="U58" s="70">
        <v>0</v>
      </c>
      <c r="V58" s="70">
        <v>12.870999999999999</v>
      </c>
      <c r="W58" s="70">
        <v>2.0680000000000001</v>
      </c>
      <c r="X58" s="70">
        <v>2.06</v>
      </c>
      <c r="Y58" s="70">
        <v>12.870999999999999</v>
      </c>
      <c r="Z58" s="71">
        <v>0</v>
      </c>
      <c r="AA58" s="71">
        <v>0.16723473827794216</v>
      </c>
      <c r="AB58" s="72">
        <v>0.16723473827794216</v>
      </c>
    </row>
    <row r="59" spans="2:28">
      <c r="B59" s="73">
        <v>75</v>
      </c>
      <c r="C59" s="74">
        <v>0</v>
      </c>
      <c r="D59" s="74">
        <v>11.701000000000001</v>
      </c>
      <c r="E59" s="74">
        <v>3.6619999999999999</v>
      </c>
      <c r="F59" s="74">
        <v>3.6619999999999999</v>
      </c>
      <c r="G59" s="74">
        <v>11.701000000000001</v>
      </c>
      <c r="H59" s="75">
        <v>0</v>
      </c>
      <c r="I59" s="74">
        <v>0.31296470387146397</v>
      </c>
      <c r="J59" s="75">
        <v>0.31296470387146397</v>
      </c>
      <c r="K59" s="73">
        <v>75</v>
      </c>
      <c r="L59" s="74">
        <v>0</v>
      </c>
      <c r="M59" s="74">
        <v>13.051</v>
      </c>
      <c r="N59" s="76">
        <v>0.44800000000000001</v>
      </c>
      <c r="O59" s="74">
        <v>0.434</v>
      </c>
      <c r="P59" s="74">
        <v>13.051</v>
      </c>
      <c r="Q59" s="75">
        <v>0</v>
      </c>
      <c r="R59" s="75">
        <v>3.3254156769596199E-2</v>
      </c>
      <c r="S59" s="77">
        <v>3.3254156769596199E-2</v>
      </c>
      <c r="T59" s="73">
        <v>75</v>
      </c>
      <c r="U59" s="78">
        <v>0</v>
      </c>
      <c r="V59" s="78">
        <v>12.376000000000001</v>
      </c>
      <c r="W59" s="78">
        <v>2.0550000000000002</v>
      </c>
      <c r="X59" s="78">
        <v>2.048</v>
      </c>
      <c r="Y59" s="78">
        <v>12.376000000000001</v>
      </c>
      <c r="Z59" s="19">
        <v>0</v>
      </c>
      <c r="AA59" s="19">
        <v>0.17310943032053008</v>
      </c>
      <c r="AB59" s="79">
        <v>0.17310943032053008</v>
      </c>
    </row>
    <row r="60" spans="2:28">
      <c r="B60" s="65">
        <v>76</v>
      </c>
      <c r="C60" s="66">
        <v>0</v>
      </c>
      <c r="D60" s="66">
        <v>11.215</v>
      </c>
      <c r="E60" s="66">
        <v>3.6549999999999998</v>
      </c>
      <c r="F60" s="66">
        <v>3.6549999999999998</v>
      </c>
      <c r="G60" s="66">
        <v>11.215</v>
      </c>
      <c r="H60" s="67">
        <v>0</v>
      </c>
      <c r="I60" s="66">
        <v>0.32590280873829691</v>
      </c>
      <c r="J60" s="67">
        <v>0.32590280873829691</v>
      </c>
      <c r="K60" s="65">
        <v>76</v>
      </c>
      <c r="L60" s="66">
        <v>0</v>
      </c>
      <c r="M60" s="66">
        <v>12.531000000000001</v>
      </c>
      <c r="N60" s="69">
        <v>0.42699999999999999</v>
      </c>
      <c r="O60" s="66">
        <v>0.41399999999999998</v>
      </c>
      <c r="P60" s="66">
        <v>12.531000000000001</v>
      </c>
      <c r="Q60" s="67">
        <v>0</v>
      </c>
      <c r="R60" s="67">
        <v>3.3038065597318644E-2</v>
      </c>
      <c r="S60" s="68">
        <v>3.3038065597318644E-2</v>
      </c>
      <c r="T60" s="65">
        <v>76</v>
      </c>
      <c r="U60" s="70">
        <v>0</v>
      </c>
      <c r="V60" s="70">
        <v>11.873000000000001</v>
      </c>
      <c r="W60" s="70">
        <v>2.0409999999999999</v>
      </c>
      <c r="X60" s="70">
        <v>2.0345</v>
      </c>
      <c r="Y60" s="70">
        <v>11.873000000000001</v>
      </c>
      <c r="Z60" s="71">
        <v>0</v>
      </c>
      <c r="AA60" s="71">
        <v>0.17947043716780778</v>
      </c>
      <c r="AB60" s="72">
        <v>0.17947043716780778</v>
      </c>
    </row>
    <row r="61" spans="2:28">
      <c r="B61" s="73">
        <v>77</v>
      </c>
      <c r="C61" s="74">
        <v>0</v>
      </c>
      <c r="D61" s="74">
        <v>10.724</v>
      </c>
      <c r="E61" s="74">
        <v>3.6429999999999998</v>
      </c>
      <c r="F61" s="74">
        <v>3.6429999999999998</v>
      </c>
      <c r="G61" s="74">
        <v>10.724</v>
      </c>
      <c r="H61" s="75">
        <v>0</v>
      </c>
      <c r="I61" s="74">
        <v>0.33970533383066015</v>
      </c>
      <c r="J61" s="75">
        <v>0.33970533383066015</v>
      </c>
      <c r="K61" s="73">
        <v>77</v>
      </c>
      <c r="L61" s="74">
        <v>0</v>
      </c>
      <c r="M61" s="74">
        <v>12.003</v>
      </c>
      <c r="N61" s="76">
        <v>0.40400000000000003</v>
      </c>
      <c r="O61" s="74">
        <v>0.39300000000000002</v>
      </c>
      <c r="P61" s="74">
        <v>12.003</v>
      </c>
      <c r="Q61" s="75">
        <v>0</v>
      </c>
      <c r="R61" s="75">
        <v>3.2741814546363407E-2</v>
      </c>
      <c r="S61" s="77">
        <v>3.2741814546363407E-2</v>
      </c>
      <c r="T61" s="73">
        <v>77</v>
      </c>
      <c r="U61" s="78">
        <v>0</v>
      </c>
      <c r="V61" s="78">
        <v>11.3635</v>
      </c>
      <c r="W61" s="78">
        <v>2.0234999999999999</v>
      </c>
      <c r="X61" s="78">
        <v>2.0179999999999998</v>
      </c>
      <c r="Y61" s="78">
        <v>11.3635</v>
      </c>
      <c r="Z61" s="19">
        <v>0</v>
      </c>
      <c r="AA61" s="19">
        <v>0.18622357418851176</v>
      </c>
      <c r="AB61" s="79">
        <v>0.18622357418851176</v>
      </c>
    </row>
    <row r="62" spans="2:28">
      <c r="B62" s="65">
        <v>78</v>
      </c>
      <c r="C62" s="66">
        <v>0</v>
      </c>
      <c r="D62" s="66">
        <v>10.228999999999999</v>
      </c>
      <c r="E62" s="66">
        <v>3.625</v>
      </c>
      <c r="F62" s="66">
        <v>3.625</v>
      </c>
      <c r="G62" s="66">
        <v>10.228999999999999</v>
      </c>
      <c r="H62" s="67">
        <v>0</v>
      </c>
      <c r="I62" s="66">
        <v>0.35438459282432305</v>
      </c>
      <c r="J62" s="67">
        <v>0.35438459282432305</v>
      </c>
      <c r="K62" s="65">
        <v>78</v>
      </c>
      <c r="L62" s="66">
        <v>0</v>
      </c>
      <c r="M62" s="66">
        <v>11.47</v>
      </c>
      <c r="N62" s="69">
        <v>0.38100000000000001</v>
      </c>
      <c r="O62" s="66">
        <v>0.371</v>
      </c>
      <c r="P62" s="66">
        <v>11.47</v>
      </c>
      <c r="Q62" s="67">
        <v>0</v>
      </c>
      <c r="R62" s="67">
        <v>3.2345248474280733E-2</v>
      </c>
      <c r="S62" s="68">
        <v>3.2345248474280733E-2</v>
      </c>
      <c r="T62" s="65">
        <v>78</v>
      </c>
      <c r="U62" s="70">
        <v>0</v>
      </c>
      <c r="V62" s="70">
        <v>10.849499999999999</v>
      </c>
      <c r="W62" s="70">
        <v>2.0030000000000001</v>
      </c>
      <c r="X62" s="70">
        <v>1.998</v>
      </c>
      <c r="Y62" s="70">
        <v>10.849499999999999</v>
      </c>
      <c r="Z62" s="71">
        <v>0</v>
      </c>
      <c r="AA62" s="71">
        <v>0.19336492064930189</v>
      </c>
      <c r="AB62" s="72">
        <v>0.19336492064930189</v>
      </c>
    </row>
    <row r="63" spans="2:28">
      <c r="B63" s="73">
        <v>79</v>
      </c>
      <c r="C63" s="74">
        <v>0</v>
      </c>
      <c r="D63" s="74">
        <v>9.7330000000000005</v>
      </c>
      <c r="E63" s="74">
        <v>3.601</v>
      </c>
      <c r="F63" s="74">
        <v>3.601</v>
      </c>
      <c r="G63" s="74">
        <v>9.7330000000000005</v>
      </c>
      <c r="H63" s="75">
        <v>0</v>
      </c>
      <c r="I63" s="74">
        <v>0.36997842391862734</v>
      </c>
      <c r="J63" s="75">
        <v>0.36997842391862734</v>
      </c>
      <c r="K63" s="73">
        <v>79</v>
      </c>
      <c r="L63" s="74">
        <v>0</v>
      </c>
      <c r="M63" s="74">
        <v>10.932</v>
      </c>
      <c r="N63" s="76">
        <v>0.35699999999999998</v>
      </c>
      <c r="O63" s="74">
        <v>0.34899999999999998</v>
      </c>
      <c r="P63" s="74">
        <v>10.932</v>
      </c>
      <c r="Q63" s="75">
        <v>0</v>
      </c>
      <c r="R63" s="75">
        <v>3.1924624954262709E-2</v>
      </c>
      <c r="S63" s="77">
        <v>3.1924624954262709E-2</v>
      </c>
      <c r="T63" s="73">
        <v>79</v>
      </c>
      <c r="U63" s="78">
        <v>0</v>
      </c>
      <c r="V63" s="78">
        <v>10.3325</v>
      </c>
      <c r="W63" s="78">
        <v>1.9790000000000001</v>
      </c>
      <c r="X63" s="78">
        <v>1.9750000000000001</v>
      </c>
      <c r="Y63" s="78">
        <v>10.3325</v>
      </c>
      <c r="Z63" s="19">
        <v>0</v>
      </c>
      <c r="AA63" s="19">
        <v>0.20095152443644504</v>
      </c>
      <c r="AB63" s="79">
        <v>0.20095152443644504</v>
      </c>
    </row>
    <row r="64" spans="2:28">
      <c r="B64" s="65">
        <v>80</v>
      </c>
      <c r="C64" s="66">
        <v>0</v>
      </c>
      <c r="D64" s="66">
        <v>9.2379999999999995</v>
      </c>
      <c r="E64" s="66">
        <v>3.57</v>
      </c>
      <c r="F64" s="66">
        <v>3.57</v>
      </c>
      <c r="G64" s="66">
        <v>9.2379999999999995</v>
      </c>
      <c r="H64" s="67">
        <v>0</v>
      </c>
      <c r="I64" s="66">
        <v>0.38644728296168002</v>
      </c>
      <c r="J64" s="67">
        <v>0.38644728296168002</v>
      </c>
      <c r="K64" s="65">
        <v>80</v>
      </c>
      <c r="L64" s="66">
        <v>0</v>
      </c>
      <c r="M64" s="66">
        <v>10.391999999999999</v>
      </c>
      <c r="N64" s="69">
        <v>0.33300000000000002</v>
      </c>
      <c r="O64" s="66">
        <v>0.32700000000000001</v>
      </c>
      <c r="P64" s="66">
        <v>10.391999999999999</v>
      </c>
      <c r="Q64" s="67">
        <v>0</v>
      </c>
      <c r="R64" s="67">
        <v>3.1466512702078522E-2</v>
      </c>
      <c r="S64" s="68">
        <v>3.1466512702078522E-2</v>
      </c>
      <c r="T64" s="65">
        <v>80</v>
      </c>
      <c r="U64" s="70">
        <v>0</v>
      </c>
      <c r="V64" s="70">
        <v>9.8149999999999995</v>
      </c>
      <c r="W64" s="70">
        <v>1.9515</v>
      </c>
      <c r="X64" s="70">
        <v>1.9484999999999999</v>
      </c>
      <c r="Y64" s="70">
        <v>9.8149999999999995</v>
      </c>
      <c r="Z64" s="71">
        <v>0</v>
      </c>
      <c r="AA64" s="71">
        <v>0.20895689783187926</v>
      </c>
      <c r="AB64" s="72">
        <v>0.20895689783187926</v>
      </c>
    </row>
    <row r="65" spans="2:28">
      <c r="B65" s="73">
        <v>81</v>
      </c>
      <c r="C65" s="74">
        <v>0</v>
      </c>
      <c r="D65" s="74">
        <v>8.7469999999999999</v>
      </c>
      <c r="E65" s="74">
        <v>3.5310000000000001</v>
      </c>
      <c r="F65" s="74">
        <v>3.5310000000000001</v>
      </c>
      <c r="G65" s="74">
        <v>8.7469999999999999</v>
      </c>
      <c r="H65" s="75">
        <v>0</v>
      </c>
      <c r="I65" s="74">
        <v>0.40368126214702188</v>
      </c>
      <c r="J65" s="75">
        <v>0.40368126214702188</v>
      </c>
      <c r="K65" s="73">
        <v>81</v>
      </c>
      <c r="L65" s="74">
        <v>0</v>
      </c>
      <c r="M65" s="74">
        <v>9.8529999999999998</v>
      </c>
      <c r="N65" s="76">
        <v>0.309</v>
      </c>
      <c r="O65" s="74">
        <v>0.30399999999999999</v>
      </c>
      <c r="P65" s="74">
        <v>9.8529999999999998</v>
      </c>
      <c r="Q65" s="75">
        <v>0</v>
      </c>
      <c r="R65" s="75">
        <v>3.0853547143002133E-2</v>
      </c>
      <c r="S65" s="77">
        <v>3.0853547143002133E-2</v>
      </c>
      <c r="T65" s="73">
        <v>81</v>
      </c>
      <c r="U65" s="78">
        <v>0</v>
      </c>
      <c r="V65" s="78">
        <v>9.3000000000000007</v>
      </c>
      <c r="W65" s="78">
        <v>1.9200000000000002</v>
      </c>
      <c r="X65" s="78">
        <v>1.9175</v>
      </c>
      <c r="Y65" s="78">
        <v>9.3000000000000007</v>
      </c>
      <c r="Z65" s="19">
        <v>0</v>
      </c>
      <c r="AA65" s="19">
        <v>0.21726740464501201</v>
      </c>
      <c r="AB65" s="79">
        <v>0.21726740464501201</v>
      </c>
    </row>
    <row r="66" spans="2:28">
      <c r="B66" s="65">
        <v>82</v>
      </c>
      <c r="C66" s="66">
        <v>0</v>
      </c>
      <c r="D66" s="66">
        <v>8.2629999999999999</v>
      </c>
      <c r="E66" s="66">
        <v>3.4820000000000002</v>
      </c>
      <c r="F66" s="66">
        <v>3.4820000000000002</v>
      </c>
      <c r="G66" s="66">
        <v>8.2629999999999999</v>
      </c>
      <c r="H66" s="67">
        <v>0</v>
      </c>
      <c r="I66" s="66">
        <v>0.4213965871959337</v>
      </c>
      <c r="J66" s="67">
        <v>0.4213965871959337</v>
      </c>
      <c r="K66" s="65">
        <v>82</v>
      </c>
      <c r="L66" s="66">
        <v>0</v>
      </c>
      <c r="M66" s="66">
        <v>9.3179999999999996</v>
      </c>
      <c r="N66" s="69">
        <v>0.28499999999999998</v>
      </c>
      <c r="O66" s="66">
        <v>0.28100000000000003</v>
      </c>
      <c r="P66" s="66">
        <v>9.3179999999999996</v>
      </c>
      <c r="Q66" s="67">
        <v>0</v>
      </c>
      <c r="R66" s="67">
        <v>3.0156685984116766E-2</v>
      </c>
      <c r="S66" s="68">
        <v>3.0156685984116766E-2</v>
      </c>
      <c r="T66" s="65">
        <v>82</v>
      </c>
      <c r="U66" s="70">
        <v>0</v>
      </c>
      <c r="V66" s="70">
        <v>8.7904999999999998</v>
      </c>
      <c r="W66" s="70">
        <v>1.8835000000000002</v>
      </c>
      <c r="X66" s="70">
        <v>1.8815000000000002</v>
      </c>
      <c r="Y66" s="70">
        <v>8.7904999999999998</v>
      </c>
      <c r="Z66" s="71">
        <v>0</v>
      </c>
      <c r="AA66" s="71">
        <v>0.22577663659002523</v>
      </c>
      <c r="AB66" s="72">
        <v>0.22577663659002523</v>
      </c>
    </row>
    <row r="67" spans="2:28">
      <c r="B67" s="73">
        <v>83</v>
      </c>
      <c r="C67" s="74">
        <v>0</v>
      </c>
      <c r="D67" s="74">
        <v>7.7880000000000003</v>
      </c>
      <c r="E67" s="74">
        <v>3.4089999999999998</v>
      </c>
      <c r="F67" s="74">
        <v>3.4089999999999998</v>
      </c>
      <c r="G67" s="74">
        <v>7.7880000000000003</v>
      </c>
      <c r="H67" s="75">
        <v>0</v>
      </c>
      <c r="I67" s="74">
        <v>0.43772470467385716</v>
      </c>
      <c r="J67" s="75">
        <v>0.43772470467385716</v>
      </c>
      <c r="K67" s="73">
        <v>83</v>
      </c>
      <c r="L67" s="74">
        <v>0</v>
      </c>
      <c r="M67" s="74">
        <v>8.7889999999999997</v>
      </c>
      <c r="N67" s="76">
        <v>0.26100000000000001</v>
      </c>
      <c r="O67" s="74">
        <v>0.25800000000000001</v>
      </c>
      <c r="P67" s="74">
        <v>8.7889999999999997</v>
      </c>
      <c r="Q67" s="75">
        <v>0</v>
      </c>
      <c r="R67" s="75">
        <v>2.9354875412447381E-2</v>
      </c>
      <c r="S67" s="77">
        <v>2.9354875412447381E-2</v>
      </c>
      <c r="T67" s="73">
        <v>83</v>
      </c>
      <c r="U67" s="78">
        <v>0</v>
      </c>
      <c r="V67" s="78">
        <v>8.2884999999999991</v>
      </c>
      <c r="W67" s="78">
        <v>1.835</v>
      </c>
      <c r="X67" s="78">
        <v>1.8334999999999999</v>
      </c>
      <c r="Y67" s="78">
        <v>8.2884999999999991</v>
      </c>
      <c r="Z67" s="19">
        <v>0</v>
      </c>
      <c r="AA67" s="19">
        <v>0.23353979004315226</v>
      </c>
      <c r="AB67" s="79">
        <v>0.23353979004315226</v>
      </c>
    </row>
    <row r="68" spans="2:28">
      <c r="B68" s="65">
        <v>84</v>
      </c>
      <c r="C68" s="66">
        <v>0</v>
      </c>
      <c r="D68" s="66">
        <v>7.327</v>
      </c>
      <c r="E68" s="66">
        <v>3.3220000000000001</v>
      </c>
      <c r="F68" s="66">
        <v>3.3220000000000001</v>
      </c>
      <c r="G68" s="66">
        <v>7.327</v>
      </c>
      <c r="H68" s="67">
        <v>0</v>
      </c>
      <c r="I68" s="66">
        <v>0.4533915654428825</v>
      </c>
      <c r="J68" s="67">
        <v>0.4533915654428825</v>
      </c>
      <c r="K68" s="65">
        <v>84</v>
      </c>
      <c r="L68" s="66">
        <v>0</v>
      </c>
      <c r="M68" s="66">
        <v>8.2710000000000008</v>
      </c>
      <c r="N68" s="69">
        <v>0.23799999999999999</v>
      </c>
      <c r="O68" s="66">
        <v>0.23499999999999999</v>
      </c>
      <c r="P68" s="66">
        <v>8.2710000000000008</v>
      </c>
      <c r="Q68" s="67">
        <v>0</v>
      </c>
      <c r="R68" s="67">
        <v>2.8412525692177483E-2</v>
      </c>
      <c r="S68" s="68">
        <v>2.8412525692177483E-2</v>
      </c>
      <c r="T68" s="65">
        <v>84</v>
      </c>
      <c r="U68" s="70">
        <v>0</v>
      </c>
      <c r="V68" s="70">
        <v>7.7990000000000004</v>
      </c>
      <c r="W68" s="70">
        <v>1.78</v>
      </c>
      <c r="X68" s="70">
        <v>1.7785</v>
      </c>
      <c r="Y68" s="70">
        <v>7.7990000000000004</v>
      </c>
      <c r="Z68" s="71">
        <v>0</v>
      </c>
      <c r="AA68" s="71">
        <v>0.24090204556753</v>
      </c>
      <c r="AB68" s="72">
        <v>0.24090204556753</v>
      </c>
    </row>
    <row r="69" spans="2:28">
      <c r="B69" s="73">
        <v>85</v>
      </c>
      <c r="C69" s="74">
        <v>0</v>
      </c>
      <c r="D69" s="74">
        <v>6.883</v>
      </c>
      <c r="E69" s="74">
        <v>3.2229999999999999</v>
      </c>
      <c r="F69" s="74">
        <v>3.2229999999999999</v>
      </c>
      <c r="G69" s="74">
        <v>6.883</v>
      </c>
      <c r="H69" s="75">
        <v>0</v>
      </c>
      <c r="I69" s="74">
        <v>0.46825512131338076</v>
      </c>
      <c r="J69" s="75">
        <v>0.46825512131338076</v>
      </c>
      <c r="K69" s="73">
        <v>85</v>
      </c>
      <c r="L69" s="74">
        <v>0</v>
      </c>
      <c r="M69" s="74">
        <v>7.7679999999999998</v>
      </c>
      <c r="N69" s="76">
        <v>0.21199999999999999</v>
      </c>
      <c r="O69" s="74">
        <v>0.21</v>
      </c>
      <c r="P69" s="74">
        <v>7.7679999999999998</v>
      </c>
      <c r="Q69" s="75">
        <v>0</v>
      </c>
      <c r="R69" s="75">
        <v>2.7033985581874358E-2</v>
      </c>
      <c r="S69" s="77">
        <v>2.7033985581874358E-2</v>
      </c>
      <c r="T69" s="73">
        <v>85</v>
      </c>
      <c r="U69" s="78">
        <v>0</v>
      </c>
      <c r="V69" s="78">
        <v>7.3254999999999999</v>
      </c>
      <c r="W69" s="78">
        <v>1.7175</v>
      </c>
      <c r="X69" s="78">
        <v>1.7164999999999999</v>
      </c>
      <c r="Y69" s="78">
        <v>7.3254999999999999</v>
      </c>
      <c r="Z69" s="19">
        <v>0</v>
      </c>
      <c r="AA69" s="19">
        <v>0.24764455344762756</v>
      </c>
      <c r="AB69" s="79">
        <v>0.24764455344762756</v>
      </c>
    </row>
    <row r="70" spans="2:28">
      <c r="B70" s="65">
        <v>86</v>
      </c>
      <c r="C70" s="66">
        <v>0</v>
      </c>
      <c r="D70" s="66">
        <v>6.4619999999999997</v>
      </c>
      <c r="E70" s="66">
        <v>3.1139999999999999</v>
      </c>
      <c r="F70" s="66">
        <v>3.1139999999999999</v>
      </c>
      <c r="G70" s="66">
        <v>6.4619999999999997</v>
      </c>
      <c r="H70" s="67">
        <v>0</v>
      </c>
      <c r="I70" s="66">
        <v>0.48189415041782729</v>
      </c>
      <c r="J70" s="67">
        <v>0.48189415041782729</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1.65</v>
      </c>
      <c r="X70" s="70">
        <v>1.65</v>
      </c>
      <c r="Y70" s="70">
        <v>6.8734999999999999</v>
      </c>
      <c r="Z70" s="71">
        <v>0</v>
      </c>
      <c r="AA70" s="71">
        <v>0.25371303265572215</v>
      </c>
      <c r="AB70" s="72">
        <v>0.25371303265572215</v>
      </c>
    </row>
    <row r="71" spans="2:28">
      <c r="B71" s="73">
        <v>87</v>
      </c>
      <c r="C71" s="74">
        <v>0</v>
      </c>
      <c r="D71" s="74">
        <v>6.069</v>
      </c>
      <c r="E71" s="74">
        <v>2.9969999999999999</v>
      </c>
      <c r="F71" s="74">
        <v>2.9969999999999999</v>
      </c>
      <c r="G71" s="74">
        <v>6.069</v>
      </c>
      <c r="H71" s="75">
        <v>0</v>
      </c>
      <c r="I71" s="74">
        <v>0.49382105783489866</v>
      </c>
      <c r="J71" s="75">
        <v>0.49382105783489866</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1.5794999999999999</v>
      </c>
      <c r="X71" s="78">
        <v>1.5794999999999999</v>
      </c>
      <c r="Y71" s="78">
        <v>6.4474999999999998</v>
      </c>
      <c r="Z71" s="19">
        <v>0</v>
      </c>
      <c r="AA71" s="19">
        <v>0.25877692211991049</v>
      </c>
      <c r="AB71" s="79">
        <v>0.25877692211991049</v>
      </c>
    </row>
    <row r="72" spans="2:28">
      <c r="B72" s="65">
        <v>88</v>
      </c>
      <c r="C72" s="66">
        <v>0</v>
      </c>
      <c r="D72" s="66">
        <v>5.7119999999999997</v>
      </c>
      <c r="E72" s="66">
        <v>2.8730000000000002</v>
      </c>
      <c r="F72" s="66">
        <v>2.8730000000000002</v>
      </c>
      <c r="G72" s="66">
        <v>5.7119999999999997</v>
      </c>
      <c r="H72" s="67">
        <v>0</v>
      </c>
      <c r="I72" s="66">
        <v>0.50297619047619058</v>
      </c>
      <c r="J72" s="67">
        <v>0.50297619047619058</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1.5065000000000002</v>
      </c>
      <c r="X72" s="70">
        <v>1.5065000000000002</v>
      </c>
      <c r="Y72" s="70">
        <v>6.0549999999999997</v>
      </c>
      <c r="Z72" s="71">
        <v>0</v>
      </c>
      <c r="AA72" s="71">
        <v>0.26242901427529441</v>
      </c>
      <c r="AB72" s="72">
        <v>0.26242901427529441</v>
      </c>
    </row>
    <row r="73" spans="2:28">
      <c r="B73" s="73">
        <v>89</v>
      </c>
      <c r="C73" s="74">
        <v>0</v>
      </c>
      <c r="D73" s="74">
        <v>5.3979999999999997</v>
      </c>
      <c r="E73" s="74">
        <v>2.7149999999999999</v>
      </c>
      <c r="F73" s="74">
        <v>2.7149999999999999</v>
      </c>
      <c r="G73" s="74">
        <v>5.3979999999999997</v>
      </c>
      <c r="H73" s="75">
        <v>0</v>
      </c>
      <c r="I73" s="74">
        <v>0.50296406076324562</v>
      </c>
      <c r="J73" s="75">
        <v>0.50296406076324562</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1.4159999999999999</v>
      </c>
      <c r="X73" s="78">
        <v>1.4159999999999999</v>
      </c>
      <c r="Y73" s="78">
        <v>5.7024999999999997</v>
      </c>
      <c r="Z73" s="19">
        <v>0</v>
      </c>
      <c r="AA73" s="19">
        <v>0.26122066863699156</v>
      </c>
      <c r="AB73" s="79">
        <v>0.26122066863699156</v>
      </c>
    </row>
    <row r="74" spans="2:28">
      <c r="B74" s="65">
        <v>90</v>
      </c>
      <c r="C74" s="66">
        <v>0</v>
      </c>
      <c r="D74" s="66">
        <v>5.1150000000000002</v>
      </c>
      <c r="E74" s="66">
        <v>2.5489999999999999</v>
      </c>
      <c r="F74" s="66">
        <v>2.5489999999999999</v>
      </c>
      <c r="G74" s="66">
        <v>5.1150000000000002</v>
      </c>
      <c r="H74" s="67">
        <v>0</v>
      </c>
      <c r="I74" s="66">
        <v>0.49833822091886604</v>
      </c>
      <c r="J74" s="67">
        <v>0.49833822091886604</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1.323</v>
      </c>
      <c r="X74" s="70">
        <v>1.323</v>
      </c>
      <c r="Y74" s="70">
        <v>5.3849999999999998</v>
      </c>
      <c r="Z74" s="71">
        <v>0</v>
      </c>
      <c r="AA74" s="71">
        <v>0.2577455914497071</v>
      </c>
      <c r="AB74" s="72">
        <v>0.2577455914497071</v>
      </c>
    </row>
    <row r="75" spans="2:28">
      <c r="B75" s="73">
        <v>91</v>
      </c>
      <c r="C75" s="74">
        <v>0</v>
      </c>
      <c r="D75" s="74">
        <v>4.8499999999999996</v>
      </c>
      <c r="E75" s="74">
        <v>2.387</v>
      </c>
      <c r="F75" s="74">
        <v>2.387</v>
      </c>
      <c r="G75" s="74">
        <v>4.8499999999999996</v>
      </c>
      <c r="H75" s="75">
        <v>0</v>
      </c>
      <c r="I75" s="74">
        <v>0.49216494845360831</v>
      </c>
      <c r="J75" s="75">
        <v>0.49216494845360831</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1.2335</v>
      </c>
      <c r="X75" s="78">
        <v>1.2335</v>
      </c>
      <c r="Y75" s="78">
        <v>5.0909999999999993</v>
      </c>
      <c r="Z75" s="19">
        <v>0</v>
      </c>
      <c r="AA75" s="19">
        <v>0.2535843496956714</v>
      </c>
      <c r="AB75" s="79">
        <v>0.2535843496956714</v>
      </c>
    </row>
    <row r="76" spans="2:28">
      <c r="B76" s="65">
        <v>92</v>
      </c>
      <c r="C76" s="66">
        <v>0</v>
      </c>
      <c r="D76" s="66">
        <v>4.6040000000000001</v>
      </c>
      <c r="E76" s="66">
        <v>2.2040000000000002</v>
      </c>
      <c r="F76" s="66">
        <v>2.2040000000000002</v>
      </c>
      <c r="G76" s="66">
        <v>4.6040000000000001</v>
      </c>
      <c r="H76" s="67">
        <v>0</v>
      </c>
      <c r="I76" s="66">
        <v>0.47871416159860991</v>
      </c>
      <c r="J76" s="67">
        <v>0.47871416159860991</v>
      </c>
      <c r="K76" s="65">
        <v>92</v>
      </c>
      <c r="L76" s="66">
        <v>0</v>
      </c>
      <c r="M76" s="66">
        <v>5.0289999999999999</v>
      </c>
      <c r="N76" s="69">
        <v>6.4000000000000001E-2</v>
      </c>
      <c r="O76" s="66">
        <v>6.5000000000000002E-2</v>
      </c>
      <c r="P76" s="66">
        <v>5.0289999999999999</v>
      </c>
      <c r="Q76" s="67">
        <v>0</v>
      </c>
      <c r="R76" s="67">
        <v>1.2925034798170611E-2</v>
      </c>
      <c r="S76" s="68">
        <v>1.2925034798170611E-2</v>
      </c>
      <c r="T76" s="65">
        <v>92</v>
      </c>
      <c r="U76" s="70">
        <v>0</v>
      </c>
      <c r="V76" s="70">
        <v>4.8164999999999996</v>
      </c>
      <c r="W76" s="70">
        <v>1.1340000000000001</v>
      </c>
      <c r="X76" s="70">
        <v>1.1345000000000001</v>
      </c>
      <c r="Y76" s="70">
        <v>4.8164999999999996</v>
      </c>
      <c r="Z76" s="71">
        <v>0</v>
      </c>
      <c r="AA76" s="71">
        <v>0.24581959819839025</v>
      </c>
      <c r="AB76" s="72">
        <v>0.24581959819839025</v>
      </c>
    </row>
    <row r="77" spans="2:28">
      <c r="B77" s="73">
        <v>93</v>
      </c>
      <c r="C77" s="74">
        <v>0</v>
      </c>
      <c r="D77" s="74">
        <v>4.3760000000000003</v>
      </c>
      <c r="E77" s="74">
        <v>2.0350000000000001</v>
      </c>
      <c r="F77" s="74">
        <v>2.0350000000000001</v>
      </c>
      <c r="G77" s="74">
        <v>4.3760000000000003</v>
      </c>
      <c r="H77" s="75">
        <v>0</v>
      </c>
      <c r="I77" s="74">
        <v>0.46503656307129798</v>
      </c>
      <c r="J77" s="75">
        <v>0.46503656307129798</v>
      </c>
      <c r="K77" s="73">
        <v>93</v>
      </c>
      <c r="L77" s="74">
        <v>0</v>
      </c>
      <c r="M77" s="74">
        <v>4.7469999999999999</v>
      </c>
      <c r="N77" s="76">
        <v>5.1999999999999998E-2</v>
      </c>
      <c r="O77" s="74">
        <v>5.2999999999999999E-2</v>
      </c>
      <c r="P77" s="74">
        <v>4.7469999999999999</v>
      </c>
      <c r="Q77" s="75">
        <v>0</v>
      </c>
      <c r="R77" s="75">
        <v>1.1164946281862228E-2</v>
      </c>
      <c r="S77" s="77">
        <v>1.1164946281862228E-2</v>
      </c>
      <c r="T77" s="73">
        <v>93</v>
      </c>
      <c r="U77" s="78">
        <v>0</v>
      </c>
      <c r="V77" s="78">
        <v>4.5615000000000006</v>
      </c>
      <c r="W77" s="78">
        <v>1.0435000000000001</v>
      </c>
      <c r="X77" s="78">
        <v>1.044</v>
      </c>
      <c r="Y77" s="78">
        <v>4.5615000000000006</v>
      </c>
      <c r="Z77" s="19">
        <v>0</v>
      </c>
      <c r="AA77" s="19">
        <v>0.2381007546765801</v>
      </c>
      <c r="AB77" s="79">
        <v>0.2381007546765801</v>
      </c>
    </row>
    <row r="78" spans="2:28">
      <c r="B78" s="65">
        <v>94</v>
      </c>
      <c r="C78" s="66">
        <v>0</v>
      </c>
      <c r="D78" s="66">
        <v>4.1660000000000004</v>
      </c>
      <c r="E78" s="66">
        <v>1.85</v>
      </c>
      <c r="F78" s="66">
        <v>1.85</v>
      </c>
      <c r="G78" s="66">
        <v>4.1660000000000004</v>
      </c>
      <c r="H78" s="67">
        <v>0</v>
      </c>
      <c r="I78" s="66">
        <v>0.44407105136821889</v>
      </c>
      <c r="J78" s="67">
        <v>0.44407105136821889</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0.94600000000000006</v>
      </c>
      <c r="X78" s="70">
        <v>0.94600000000000006</v>
      </c>
      <c r="Y78" s="70">
        <v>4.3254999999999999</v>
      </c>
      <c r="Z78" s="71">
        <v>0</v>
      </c>
      <c r="AA78" s="71">
        <v>0.22671779993160107</v>
      </c>
      <c r="AB78" s="72">
        <v>0.22671779993160107</v>
      </c>
    </row>
    <row r="79" spans="2:28">
      <c r="B79" s="73">
        <v>95</v>
      </c>
      <c r="C79" s="74">
        <v>0</v>
      </c>
      <c r="D79" s="74">
        <v>3.9740000000000002</v>
      </c>
      <c r="E79" s="74">
        <v>1.6830000000000001</v>
      </c>
      <c r="F79" s="74">
        <v>1.6830000000000001</v>
      </c>
      <c r="G79" s="74">
        <v>3.9740000000000002</v>
      </c>
      <c r="H79" s="75">
        <v>0</v>
      </c>
      <c r="I79" s="74">
        <v>0.42350276799194764</v>
      </c>
      <c r="J79" s="75">
        <v>0.42350276799194764</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0.85850000000000004</v>
      </c>
      <c r="X79" s="78">
        <v>0.85850000000000004</v>
      </c>
      <c r="Y79" s="78">
        <v>4.1095000000000006</v>
      </c>
      <c r="Z79" s="19">
        <v>0</v>
      </c>
      <c r="AA79" s="19">
        <v>0.21575609542117993</v>
      </c>
      <c r="AB79" s="79">
        <v>0.21575609542117993</v>
      </c>
    </row>
    <row r="80" spans="2:28">
      <c r="B80" s="65">
        <v>96</v>
      </c>
      <c r="C80" s="66">
        <v>0</v>
      </c>
      <c r="D80" s="66">
        <v>3.798</v>
      </c>
      <c r="E80" s="66">
        <v>1.5349999999999999</v>
      </c>
      <c r="F80" s="66">
        <v>1.5349999999999999</v>
      </c>
      <c r="G80" s="66">
        <v>3.798</v>
      </c>
      <c r="H80" s="67">
        <v>0</v>
      </c>
      <c r="I80" s="66">
        <v>0.40416008425487093</v>
      </c>
      <c r="J80" s="67">
        <v>0.40416008425487093</v>
      </c>
      <c r="K80" s="65">
        <v>96</v>
      </c>
      <c r="L80" s="66">
        <v>0</v>
      </c>
      <c r="M80" s="66">
        <v>4.024</v>
      </c>
      <c r="N80" s="69">
        <v>2.7E-2</v>
      </c>
      <c r="O80" s="66">
        <v>2.7E-2</v>
      </c>
      <c r="P80" s="66">
        <v>4.024</v>
      </c>
      <c r="Q80" s="67">
        <v>0</v>
      </c>
      <c r="R80" s="67">
        <v>6.7097415506958248E-3</v>
      </c>
      <c r="S80" s="68">
        <v>6.7097415506958248E-3</v>
      </c>
      <c r="T80" s="65">
        <v>96</v>
      </c>
      <c r="U80" s="70">
        <v>0</v>
      </c>
      <c r="V80" s="70">
        <v>3.911</v>
      </c>
      <c r="W80" s="70">
        <v>0.78099999999999992</v>
      </c>
      <c r="X80" s="70">
        <v>0.78099999999999992</v>
      </c>
      <c r="Y80" s="70">
        <v>3.911</v>
      </c>
      <c r="Z80" s="71">
        <v>0</v>
      </c>
      <c r="AA80" s="71">
        <v>0.20543491290278337</v>
      </c>
      <c r="AB80" s="72">
        <v>0.20543491290278337</v>
      </c>
    </row>
    <row r="81" spans="2:28">
      <c r="B81" s="73">
        <v>97</v>
      </c>
      <c r="C81" s="74">
        <v>0</v>
      </c>
      <c r="D81" s="74">
        <v>3.6389999999999998</v>
      </c>
      <c r="E81" s="74">
        <v>1.371</v>
      </c>
      <c r="F81" s="74">
        <v>1.371</v>
      </c>
      <c r="G81" s="74">
        <v>3.6389999999999998</v>
      </c>
      <c r="H81" s="75">
        <v>0</v>
      </c>
      <c r="I81" s="74">
        <v>0.37675185490519375</v>
      </c>
      <c r="J81" s="75">
        <v>0.37675185490519375</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0.69599999999999995</v>
      </c>
      <c r="X81" s="78">
        <v>0.69599999999999995</v>
      </c>
      <c r="Y81" s="78">
        <v>3.7314999999999996</v>
      </c>
      <c r="Z81" s="19">
        <v>0</v>
      </c>
      <c r="AA81" s="19">
        <v>0.19112174335217846</v>
      </c>
      <c r="AB81" s="79">
        <v>0.19112174335217846</v>
      </c>
    </row>
    <row r="82" spans="2:28">
      <c r="B82" s="65">
        <v>98</v>
      </c>
      <c r="C82" s="66">
        <v>0</v>
      </c>
      <c r="D82" s="66">
        <v>3.4950000000000001</v>
      </c>
      <c r="E82" s="66">
        <v>1.216</v>
      </c>
      <c r="F82" s="66">
        <v>1.216</v>
      </c>
      <c r="G82" s="66">
        <v>3.4950000000000001</v>
      </c>
      <c r="H82" s="67">
        <v>0</v>
      </c>
      <c r="I82" s="66">
        <v>0.3479256080114449</v>
      </c>
      <c r="J82" s="67">
        <v>0.3479256080114449</v>
      </c>
      <c r="K82" s="65">
        <v>98</v>
      </c>
      <c r="L82" s="66">
        <v>0</v>
      </c>
      <c r="M82" s="66">
        <v>3.6429999999999998</v>
      </c>
      <c r="N82" s="69">
        <v>1.6E-2</v>
      </c>
      <c r="O82" s="66">
        <v>1.7000000000000001E-2</v>
      </c>
      <c r="P82" s="66">
        <v>3.6429999999999998</v>
      </c>
      <c r="Q82" s="67">
        <v>0</v>
      </c>
      <c r="R82" s="67">
        <v>4.6664836673071652E-3</v>
      </c>
      <c r="S82" s="68">
        <v>4.6664836673071652E-3</v>
      </c>
      <c r="T82" s="65">
        <v>98</v>
      </c>
      <c r="U82" s="70">
        <v>0</v>
      </c>
      <c r="V82" s="70">
        <v>3.569</v>
      </c>
      <c r="W82" s="70">
        <v>0.61599999999999999</v>
      </c>
      <c r="X82" s="70">
        <v>0.61649999999999994</v>
      </c>
      <c r="Y82" s="70">
        <v>3.569</v>
      </c>
      <c r="Z82" s="71">
        <v>0</v>
      </c>
      <c r="AA82" s="71">
        <v>0.17629604583937603</v>
      </c>
      <c r="AB82" s="72">
        <v>0.17629604583937603</v>
      </c>
    </row>
    <row r="83" spans="2:28">
      <c r="B83" s="73">
        <v>99</v>
      </c>
      <c r="C83" s="74">
        <v>0</v>
      </c>
      <c r="D83" s="74">
        <v>3.3639999999999999</v>
      </c>
      <c r="E83" s="74">
        <v>1.0409999999999999</v>
      </c>
      <c r="F83" s="74">
        <v>1.0409999999999999</v>
      </c>
      <c r="G83" s="74">
        <v>3.3639999999999999</v>
      </c>
      <c r="H83" s="75">
        <v>0</v>
      </c>
      <c r="I83" s="74">
        <v>0.30945303210463732</v>
      </c>
      <c r="J83" s="75">
        <v>0.30945303210463732</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0.52699999999999991</v>
      </c>
      <c r="X83" s="78">
        <v>0.52699999999999991</v>
      </c>
      <c r="Y83" s="78">
        <v>3.4219999999999997</v>
      </c>
      <c r="Z83" s="19">
        <v>0</v>
      </c>
      <c r="AA83" s="19">
        <v>0.15659433214427268</v>
      </c>
      <c r="AB83" s="79">
        <v>0.15659433214427268</v>
      </c>
    </row>
    <row r="84" spans="2:28" ht="15.75" thickBot="1">
      <c r="B84" s="90">
        <v>100</v>
      </c>
      <c r="C84" s="91">
        <v>0</v>
      </c>
      <c r="D84" s="91">
        <v>3.2450000000000001</v>
      </c>
      <c r="E84" s="91">
        <v>0.84799999999999998</v>
      </c>
      <c r="F84" s="91">
        <v>0.84799999999999998</v>
      </c>
      <c r="G84" s="91">
        <v>3.2450000000000001</v>
      </c>
      <c r="H84" s="92">
        <v>0</v>
      </c>
      <c r="I84" s="91">
        <v>0.26132511556240368</v>
      </c>
      <c r="J84" s="92">
        <v>0.26132511556240368</v>
      </c>
      <c r="K84" s="90">
        <v>100</v>
      </c>
      <c r="L84" s="91">
        <v>0</v>
      </c>
      <c r="M84" s="91">
        <v>3.335</v>
      </c>
      <c r="N84" s="93">
        <v>0.01</v>
      </c>
      <c r="O84" s="91">
        <v>0.01</v>
      </c>
      <c r="P84" s="91">
        <v>3.335</v>
      </c>
      <c r="Q84" s="92">
        <v>0</v>
      </c>
      <c r="R84" s="92">
        <v>2.9985007496251873E-3</v>
      </c>
      <c r="S84" s="94">
        <v>2.9985007496251873E-3</v>
      </c>
      <c r="T84" s="90">
        <v>100</v>
      </c>
      <c r="U84" s="95">
        <v>0</v>
      </c>
      <c r="V84" s="95">
        <v>3.29</v>
      </c>
      <c r="W84" s="95">
        <v>0.42899999999999999</v>
      </c>
      <c r="X84" s="95">
        <v>0.42899999999999999</v>
      </c>
      <c r="Y84" s="95">
        <v>3.29</v>
      </c>
      <c r="Z84" s="96">
        <v>0</v>
      </c>
      <c r="AA84" s="96">
        <v>0.13216180815601444</v>
      </c>
      <c r="AB84" s="97">
        <v>0.13216180815601444</v>
      </c>
    </row>
  </sheetData>
  <sheetProtection algorithmName="SHA-512" hashValue="mJHsHFFPDYj1/cKHOD2rUBCejC8wuY6wXxn3/5dcNqMizjLfwXiBd2UCnoBxq3O3C+C7ZV704hJhYUWs0HrHjQ==" saltValue="oOBgSzTirYEgmlW2LIeRyA=="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8951-6B96-412A-BFF8-CC09BA632DB1}">
  <sheetPr codeName="Tabelle57">
    <tabColor theme="0" tint="-0.249977111117893"/>
  </sheetPr>
  <dimension ref="A1:O47"/>
  <sheetViews>
    <sheetView showGridLines="0" showRowColHeaders="0" zoomScale="145" zoomScaleNormal="145" workbookViewId="0">
      <selection activeCell="H8" sqref="H8"/>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6.5703125" customWidth="1"/>
    <col min="2" max="2" width="48.42578125" customWidth="1"/>
    <col min="3" max="3" width="13.7109375" customWidth="1"/>
    <col min="4" max="7" width="13.42578125" customWidth="1"/>
    <col min="8" max="8" width="14" customWidth="1"/>
    <col min="9" max="9" width="13.140625" customWidth="1"/>
    <col min="10" max="10" width="15.28515625" customWidth="1"/>
    <col min="11" max="11" width="6.5703125" customWidth="1"/>
    <col min="12" max="13" width="12.5703125" hidden="1" customWidth="1"/>
    <col min="14" max="14" width="34.5703125" hidden="1" customWidth="1"/>
    <col min="15" max="16384" width="11.42578125" hidden="1"/>
  </cols>
  <sheetData>
    <row r="1" spans="1:11">
      <c r="A1" s="1003" t="e" vm="1">
        <f>VLOOKUP(Länderwahl,Länderkennzeichen,3,FALSE)</f>
        <v>#VALUE!</v>
      </c>
      <c r="B1" s="1010" t="s">
        <v>3891</v>
      </c>
      <c r="C1" s="1010"/>
      <c r="D1" s="1010"/>
      <c r="E1" s="1010"/>
      <c r="F1" s="1010"/>
      <c r="G1" s="1010"/>
      <c r="H1" s="1010"/>
      <c r="I1" s="1010"/>
      <c r="J1" s="1010"/>
      <c r="K1" s="1004" t="e" vm="1">
        <f>VLOOKUP(Länderwahl,Länderkennzeichen,3,FALSE)</f>
        <v>#VALUE!</v>
      </c>
    </row>
    <row r="2" spans="1:11" ht="18.75" customHeight="1">
      <c r="A2" s="1003"/>
      <c r="B2" s="1011"/>
      <c r="C2" s="1011"/>
      <c r="D2" s="1011"/>
      <c r="E2" s="1011"/>
      <c r="F2" s="1011"/>
      <c r="G2" s="1011"/>
      <c r="H2" s="1011"/>
      <c r="I2" s="1011"/>
      <c r="J2" s="1011"/>
      <c r="K2" s="1004"/>
    </row>
    <row r="3" spans="1:11" ht="15" customHeight="1">
      <c r="A3" s="364"/>
      <c r="B3" s="917" t="s">
        <v>2456</v>
      </c>
      <c r="C3" s="917"/>
      <c r="D3" s="917"/>
      <c r="E3" s="509"/>
      <c r="F3" s="516">
        <f>+Dat_Ber</f>
        <v>0</v>
      </c>
      <c r="G3" s="920" t="s">
        <v>3880</v>
      </c>
      <c r="H3" s="920" t="s">
        <v>3881</v>
      </c>
      <c r="I3" s="504" t="s">
        <v>3879</v>
      </c>
      <c r="J3" s="515"/>
      <c r="K3" s="646" t="s">
        <v>3908</v>
      </c>
    </row>
    <row r="4" spans="1:11">
      <c r="A4" s="364"/>
      <c r="B4" s="510" t="s">
        <v>3877</v>
      </c>
      <c r="C4" s="516">
        <f>+EzE</f>
        <v>0</v>
      </c>
      <c r="D4" s="511" t="s">
        <v>3892</v>
      </c>
      <c r="E4" s="511" t="s">
        <v>3893</v>
      </c>
      <c r="F4" s="511" t="s">
        <v>3876</v>
      </c>
      <c r="G4" s="920"/>
      <c r="H4" s="920"/>
      <c r="I4" s="505">
        <f>+Abfindungsberechnung!I5</f>
        <v>0</v>
      </c>
      <c r="J4" s="515"/>
      <c r="K4" s="646" t="s">
        <v>3907</v>
      </c>
    </row>
    <row r="5" spans="1:11" ht="15" customHeight="1">
      <c r="A5" s="364"/>
      <c r="B5" s="510" t="s">
        <v>3872</v>
      </c>
      <c r="C5" s="517">
        <f>+Dat_GebDat_Pfl</f>
        <v>0</v>
      </c>
      <c r="D5" s="512" t="str">
        <f>+Abfindungsberechnung!E6</f>
        <v/>
      </c>
      <c r="E5" s="512" t="str">
        <f>CHOOSE(GeschlechtsNr_Pfl,"m","w","d")</f>
        <v>m</v>
      </c>
      <c r="F5" s="506" t="str">
        <f>+Alter_Pfl</f>
        <v/>
      </c>
      <c r="G5" s="541">
        <f>+ReAlter_Pfl</f>
        <v>0</v>
      </c>
      <c r="H5" s="507" t="str">
        <f>+Leistungsbeginn_Pfl</f>
        <v/>
      </c>
      <c r="I5" s="932" t="s">
        <v>4057</v>
      </c>
      <c r="J5" s="508">
        <f>+sVA_Rente_Fälligkeit</f>
        <v>0</v>
      </c>
      <c r="K5" s="364"/>
    </row>
    <row r="6" spans="1:11">
      <c r="A6" s="364"/>
      <c r="B6" s="510" t="s">
        <v>2505</v>
      </c>
      <c r="C6" s="517">
        <f>+Dat_BebDat_Ber</f>
        <v>0</v>
      </c>
      <c r="D6" s="512" t="str">
        <f>+Geschlecht_Ber</f>
        <v/>
      </c>
      <c r="E6" s="512" t="str">
        <f>CHOOSE(GeschlechtsNr_Ber,"m","w","d")</f>
        <v>w</v>
      </c>
      <c r="F6" s="506" t="str">
        <f>+Alter_Ber</f>
        <v/>
      </c>
      <c r="G6" s="541">
        <f>+RentenalterBer</f>
        <v>0</v>
      </c>
      <c r="H6" s="507" t="str">
        <f>+Abfindungsberechnung!H7</f>
        <v/>
      </c>
      <c r="I6" s="933"/>
      <c r="J6" s="508">
        <f>+Abfindungsberechnung!I7</f>
        <v>0</v>
      </c>
      <c r="K6" s="364"/>
    </row>
    <row r="7" spans="1:11" ht="16.5" customHeight="1" thickBot="1">
      <c r="A7" s="364"/>
      <c r="B7" s="921" t="s">
        <v>3882</v>
      </c>
      <c r="C7" s="921"/>
      <c r="D7" s="922" t="str">
        <f>IFERROR(HYPERLINK(VLOOKUP(Länderwahl,EUEFTA_Rentenrechner,3,FALSE),"→ zum Rentenrechner"),"x Rentenrechner nicht verfügbar")</f>
        <v>→ zum Rentenrechner</v>
      </c>
      <c r="E7" s="923"/>
      <c r="F7" s="542">
        <f>+ReHöhe_EZE_Pfl</f>
        <v>0</v>
      </c>
      <c r="G7" s="924" t="s">
        <v>3132</v>
      </c>
      <c r="H7" s="924"/>
      <c r="I7" s="544">
        <f>+ReAnzahlproJahr</f>
        <v>12</v>
      </c>
      <c r="J7" s="518"/>
      <c r="K7" s="364"/>
    </row>
    <row r="8" spans="1:11" ht="15.75" thickBot="1">
      <c r="A8" s="364"/>
      <c r="B8" s="926" t="str">
        <f>+Abfindungsberechnung!C16</f>
        <v>Bitte Renteneintrittsalter eingeben (E10)</v>
      </c>
      <c r="C8" s="927"/>
      <c r="D8" s="927"/>
      <c r="E8" s="927"/>
      <c r="F8" s="545">
        <f>+ReHöhe_Berdat</f>
        <v>0</v>
      </c>
      <c r="G8" s="519" t="s">
        <v>3895</v>
      </c>
      <c r="H8" s="520" t="e">
        <f>IF(G5-D5&lt;0,0,G5-D5)</f>
        <v>#VALUE!</v>
      </c>
      <c r="I8" s="519" t="s">
        <v>3896</v>
      </c>
      <c r="J8" s="521">
        <f>IF(J5-G5&lt;0,0,J5-G5)</f>
        <v>0</v>
      </c>
      <c r="K8" s="364"/>
    </row>
    <row r="9" spans="1:11" ht="18.75">
      <c r="A9" s="364"/>
      <c r="B9" s="992" t="s">
        <v>3902</v>
      </c>
      <c r="C9" s="992"/>
      <c r="D9" s="992"/>
      <c r="E9" s="992"/>
      <c r="F9" s="992"/>
      <c r="G9" s="992"/>
      <c r="H9" s="992"/>
      <c r="I9" s="992"/>
      <c r="J9" s="992"/>
      <c r="K9" s="364"/>
    </row>
    <row r="10" spans="1:11" s="13" customFormat="1" ht="15" customHeight="1">
      <c r="A10" s="365"/>
      <c r="B10" s="846" t="s">
        <v>2474</v>
      </c>
      <c r="C10" s="846"/>
      <c r="D10" s="846"/>
      <c r="E10" s="846"/>
      <c r="F10" s="846"/>
      <c r="G10" s="846"/>
      <c r="H10" s="846"/>
      <c r="I10" s="846"/>
      <c r="J10" s="427" t="str">
        <f>IF(EzE=0,"",EzE)</f>
        <v/>
      </c>
      <c r="K10" s="365"/>
    </row>
    <row r="11" spans="1:11" s="13" customFormat="1" ht="15" customHeight="1">
      <c r="A11" s="365"/>
      <c r="B11" s="821" t="s">
        <v>3131</v>
      </c>
      <c r="C11" s="822"/>
      <c r="D11" s="822"/>
      <c r="E11" s="822"/>
      <c r="F11" s="822"/>
      <c r="G11" s="822"/>
      <c r="H11" s="822"/>
      <c r="I11" s="823"/>
      <c r="J11" s="543">
        <f>+ReHöhe_EZE_Pfl</f>
        <v>0</v>
      </c>
      <c r="K11" s="365"/>
    </row>
    <row r="12" spans="1:11" s="13" customFormat="1" ht="15" customHeight="1">
      <c r="A12" s="365"/>
      <c r="B12" s="821" t="s">
        <v>3248</v>
      </c>
      <c r="C12" s="822"/>
      <c r="D12" s="822"/>
      <c r="E12" s="822"/>
      <c r="F12" s="822"/>
      <c r="G12" s="822"/>
      <c r="H12" s="822"/>
      <c r="I12" s="823"/>
      <c r="J12" s="426">
        <f>+ReAlter_Pfl</f>
        <v>0</v>
      </c>
      <c r="K12" s="365"/>
    </row>
    <row r="13" spans="1:11" s="13" customFormat="1" ht="15" customHeight="1">
      <c r="A13" s="365"/>
      <c r="B13" s="821" t="s">
        <v>3249</v>
      </c>
      <c r="C13" s="822"/>
      <c r="D13" s="822"/>
      <c r="E13" s="822"/>
      <c r="F13" s="822"/>
      <c r="G13" s="822"/>
      <c r="H13" s="822"/>
      <c r="I13" s="823"/>
      <c r="J13" s="426" t="str">
        <f>IFERROR(ROUND(YEARFRAC(Dat_GebDat_Pfl,J10,3),2),"")</f>
        <v/>
      </c>
      <c r="K13" s="365"/>
    </row>
    <row r="14" spans="1:11" s="13" customFormat="1" ht="15" customHeight="1">
      <c r="A14" s="365"/>
      <c r="B14" s="821" t="str">
        <f>"Anwartschaftszeit bis Rentenbeginn: "&amp;TEXT(C4,"TT.MM.JJJJ")&amp;" bis "&amp;TEXT(H5,"TT.MM.JJJJ")</f>
        <v xml:space="preserve">Anwartschaftszeit bis Rentenbeginn: 00.01.1900 bis </v>
      </c>
      <c r="C14" s="822"/>
      <c r="D14" s="822"/>
      <c r="E14" s="822"/>
      <c r="F14" s="822"/>
      <c r="G14" s="822"/>
      <c r="H14" s="822"/>
      <c r="I14" s="823"/>
      <c r="J14" s="428" t="str">
        <f>IFERROR(ROUND(IF(J12-J13&lt;0,0,J12-J13),1),"")</f>
        <v/>
      </c>
      <c r="K14" s="365"/>
    </row>
    <row r="15" spans="1:11" s="13" customFormat="1" ht="15" customHeight="1">
      <c r="A15" s="365"/>
      <c r="B15" s="821" t="str">
        <f>"Rentenhöhe bei Rentenbeginn: "&amp;IF(Abfindungsberechnung!G15&gt;0,TEXT(J11,"#.##0,00")&amp;" x (1 + "&amp;TEXT(Abfindungsberechnung!G15,"#.##%")&amp;")^"&amp;TEXT(J14,"0,00"),"")</f>
        <v xml:space="preserve">Rentenhöhe bei Rentenbeginn: </v>
      </c>
      <c r="C15" s="822"/>
      <c r="D15" s="822"/>
      <c r="E15" s="822"/>
      <c r="F15" s="822"/>
      <c r="G15" s="822"/>
      <c r="H15" s="822"/>
      <c r="I15" s="823"/>
      <c r="J15" s="367" t="str">
        <f>IFERROR(+J11*(1+ReDyn_Anwartschaft)^'Abfindung Methode 3'!J14,"")</f>
        <v/>
      </c>
      <c r="K15" s="365"/>
    </row>
    <row r="16" spans="1:11" s="13" customFormat="1" ht="15" customHeight="1">
      <c r="A16" s="365"/>
      <c r="B16" s="336" t="str">
        <f>"Lebenserwartung der auglpfl.Person ab frühestmöglichem Rentenbeginn der ausglpfl. Person "&amp;TEXT(Abfindungsberechnung!H6,"TT.MM.JJJJ")</f>
        <v xml:space="preserve">Lebenserwartung der auglpfl.Person ab frühestmöglichem Rentenbeginn der ausglpfl. Person </v>
      </c>
      <c r="C16" s="493"/>
      <c r="D16" s="493"/>
      <c r="E16" s="493"/>
      <c r="F16" s="493"/>
      <c r="G16" s="493"/>
      <c r="H16" s="493"/>
      <c r="I16" s="337"/>
      <c r="J16" s="610">
        <f>IFERROR(ROUND(VLOOKUP(MAX(J13,J12),CHOOSE(GeschlechtsNr_Pfl,Lx,Ly,Ln),YEAR(Dat_GebDat_Pfl)+IF(MONTH(Dat_GebDat_Pfl)&gt;6,1,0)-1900+2)*IF(SterbeAnomalie,(1+L_DzuAuswahlland),1),1),1)</f>
        <v>0</v>
      </c>
      <c r="K16" s="365"/>
    </row>
    <row r="17" spans="1:13" s="13" customFormat="1" ht="15" customHeight="1">
      <c r="A17" s="365"/>
      <c r="B17" s="999" t="str">
        <f>"Barwert des ehezeitl. Versorgungserwerbs bezogen auf den Renteneintritt ("&amp;TEXT(C4,"TT.MM.JJJJ")&amp;") : "</f>
        <v xml:space="preserve">Barwert des ehezeitl. Versorgungserwerbs bezogen auf den Renteneintritt (00.01.1900) : </v>
      </c>
      <c r="C17" s="999"/>
      <c r="D17" s="999"/>
      <c r="E17" s="999"/>
      <c r="F17" s="999"/>
      <c r="G17" s="999"/>
      <c r="H17" s="999"/>
      <c r="I17" s="999"/>
      <c r="J17" s="368">
        <f>IFERROR(ROUND(-PV(Rechnungszins-ReDynamik_Leistung,'Abfindung Methode 3'!J16,'Abfindung Methode 3'!J11*12),0),"")</f>
        <v>0</v>
      </c>
      <c r="K17" s="365"/>
      <c r="L17" s="14" t="s">
        <v>3250</v>
      </c>
      <c r="M17" s="14" t="s">
        <v>3251</v>
      </c>
    </row>
    <row r="18" spans="1:13" s="13" customFormat="1" ht="15" customHeight="1">
      <c r="A18" s="365"/>
      <c r="B18" s="993" t="str">
        <f>"Abzinsung des Barwerts auf das Ehezeitende: "&amp;TEXT(J17,"#.##0")&amp;" x (1 + "&amp;TEXT(Abfindungsberechnung!I17,"0,00%")&amp;")^-"&amp;TEXT(J14,"0,0")</f>
        <v>Abzinsung des Barwerts auf das Ehezeitende: 0 x (1 + 0,00%)^-</v>
      </c>
      <c r="C18" s="994"/>
      <c r="D18" s="994"/>
      <c r="E18" s="994"/>
      <c r="F18" s="994"/>
      <c r="G18" s="994"/>
      <c r="H18" s="994"/>
      <c r="I18" s="995"/>
      <c r="J18" s="368" t="str">
        <f>IFERROR(ROUND(-PV(Rechnungszins-ReDyn_Anwartschaft,'Abfindung Methode 3'!J14,,'Abfindung Methode 3'!J17),0),"")</f>
        <v/>
      </c>
      <c r="K18" s="365"/>
      <c r="L18" s="14"/>
      <c r="M18" s="14"/>
    </row>
    <row r="19" spans="1:13" s="13" customFormat="1" ht="15" customHeight="1">
      <c r="A19" s="365"/>
      <c r="B19" s="993" t="e">
        <f>"Erlebenswahrscheinlichkeit zwischen Ehezeitende ("&amp;TEXT(C4,"t.M.JJ")&amp;") und Renteneintritt ("&amp;TEXT(Abfindungsberechnung!H6,"T.M.JJ")&amp;") nach Kohortensterbetafel DESTATIS V2: "&amp;IF(L20&lt;1,TEXT(L19,"#.##0")&amp;" / "&amp;TEXT(M19,"#.##0"),"")</f>
        <v>#N/A</v>
      </c>
      <c r="C19" s="994"/>
      <c r="D19" s="994"/>
      <c r="E19" s="994"/>
      <c r="F19" s="994"/>
      <c r="G19" s="994"/>
      <c r="H19" s="994"/>
      <c r="I19" s="995"/>
      <c r="J19" s="335" t="str">
        <f>IFERROR(L20,"")</f>
        <v/>
      </c>
      <c r="K19" s="365"/>
      <c r="L19" s="13">
        <f>VLOOKUP(J12,CHOOSE(GeschlechtsNr_Pfl,Kohorte_M,Kohorte_W,Kohorte_D),YEAR(Dat_GebDat_Pfl)+IF(MONTH(Dat_GebDat_Pfl)&gt;6,1,0)-1900+2)</f>
        <v>0</v>
      </c>
      <c r="M19" s="13" t="e">
        <f>VLOOKUP(J13,CHOOSE(GeschlechtsNr_Pfl,Kohorte_M,Kohorte_W,Kohorte_D),YEAR(Dat_GebDat_Pfl)+IF(MONTH(Dat_GebDat_Pfl)&gt;6,1,0)-1900+2)</f>
        <v>#N/A</v>
      </c>
    </row>
    <row r="20" spans="1:13" s="13" customFormat="1" ht="15" customHeight="1">
      <c r="A20" s="365"/>
      <c r="B20" s="996" t="str">
        <f>"korrigierter Barwert im Ehezeitende: "&amp;TEXT(J18,"#.##0")&amp;" x "&amp;TEXT(J19,"0,00%")&amp;" = "</f>
        <v xml:space="preserve">korrigierter Barwert im Ehezeitende:  x  = </v>
      </c>
      <c r="C20" s="997"/>
      <c r="D20" s="997"/>
      <c r="E20" s="997"/>
      <c r="F20" s="997"/>
      <c r="G20" s="997"/>
      <c r="H20" s="997"/>
      <c r="I20" s="998"/>
      <c r="J20" s="435" t="str">
        <f>IFERROR(ROUND(IF(J19&lt;1,J19*J18,J18),0),"")</f>
        <v/>
      </c>
      <c r="K20" s="365"/>
      <c r="L20" s="991" t="e">
        <f>ROUND(IF(L19/M19&gt;1,1,L19/M19),4)</f>
        <v>#N/A</v>
      </c>
      <c r="M20" s="991"/>
    </row>
    <row r="21" spans="1:13" s="13" customFormat="1" ht="15" customHeight="1">
      <c r="A21" s="365"/>
      <c r="B21" s="1005" t="s">
        <v>3130</v>
      </c>
      <c r="C21" s="1006"/>
      <c r="D21" s="1006"/>
      <c r="E21" s="1006"/>
      <c r="F21" s="1006"/>
      <c r="G21" s="1007"/>
      <c r="H21" s="433">
        <v>1</v>
      </c>
      <c r="I21" s="628">
        <f>+M21</f>
        <v>0</v>
      </c>
      <c r="J21" s="367" t="str">
        <f>IFERROR(IF(info_IRZuschlag,+J20*I21,0),"")</f>
        <v/>
      </c>
      <c r="K21" s="365"/>
      <c r="L21" s="323" t="b">
        <v>0</v>
      </c>
      <c r="M21" s="16">
        <f>IF(J12&gt;J13,ROUND(VLOOKUP(Alter_Pfl,CHOOSE(J12-59,HRIT60,HRIR61,HRIR62,HRIR63,HRIR64,HRIR65,HRIR66,HRIR67),CHOOSE(GeschlechtsNr_Pfl,7,16,25))*IR_Quote,4),0)</f>
        <v>0</v>
      </c>
    </row>
    <row r="22" spans="1:13" s="13" customFormat="1" ht="15" customHeight="1">
      <c r="A22" s="365"/>
      <c r="B22" s="1005" t="s">
        <v>3130</v>
      </c>
      <c r="C22" s="1006"/>
      <c r="D22" s="1006"/>
      <c r="E22" s="1006"/>
      <c r="F22" s="1006"/>
      <c r="G22" s="1007"/>
      <c r="H22" s="391">
        <v>0.6</v>
      </c>
      <c r="I22" s="628" t="str">
        <f>Hinterbliebenenzuschlag</f>
        <v/>
      </c>
      <c r="J22" s="367">
        <f>IFERROR(IF(info_HRZuschlag,J20*I22,0),"")</f>
        <v>0</v>
      </c>
      <c r="K22" s="365"/>
      <c r="L22" s="16"/>
      <c r="M22" s="16" t="e">
        <f>ROUND(VLOOKUP(J13,CHOOSE(ReAlter_Pfl-59,HRIR60,HRIR61,HRIR62,HRIR63,HRIR64,HRIR65,HRIR66,HRIR67),CHOOSE(GeschlechtsNr_Pfl,8,17,26))*HR_Quote,4)</f>
        <v>#VALUE!</v>
      </c>
    </row>
    <row r="23" spans="1:13" s="13" customFormat="1" ht="15" customHeight="1">
      <c r="A23" s="365"/>
      <c r="B23" s="1000" t="str">
        <f>"Zwischensumme: Barwert zum Ehezeitende = "&amp;TEXT(J20,"#.##0")&amp;IF(info_IRZuschlag," + "&amp;TEXT(J21,"#.##0"),"")&amp;IF(info_HRZuschlag," + "&amp;TEXT(J22,"#.##0"),"")&amp;" = "</f>
        <v xml:space="preserve">Zwischensumme: Barwert zum Ehezeitende =  +  = </v>
      </c>
      <c r="C23" s="1001"/>
      <c r="D23" s="1001"/>
      <c r="E23" s="1001"/>
      <c r="F23" s="1001"/>
      <c r="G23" s="1001"/>
      <c r="H23" s="1001"/>
      <c r="I23" s="1002"/>
      <c r="J23" s="435" t="str">
        <f>IFERROR(ROUND(+J22+J21+J20,0),"")</f>
        <v/>
      </c>
      <c r="K23" s="365"/>
      <c r="L23" s="16"/>
      <c r="M23" s="16"/>
    </row>
    <row r="24" spans="1:13" s="13" customFormat="1" ht="15" customHeight="1">
      <c r="A24" s="365"/>
      <c r="B24" s="985" t="s">
        <v>3901</v>
      </c>
      <c r="C24" s="986"/>
      <c r="D24" s="986"/>
      <c r="E24" s="986"/>
      <c r="F24" s="986"/>
      <c r="G24" s="1008" t="s">
        <v>3900</v>
      </c>
      <c r="H24" s="1009"/>
      <c r="I24" s="363"/>
      <c r="J24" s="299">
        <f>IF(I24&gt;0,I24,Rechnungszins)</f>
        <v>0</v>
      </c>
      <c r="K24" s="365"/>
    </row>
    <row r="25" spans="1:13" s="13" customFormat="1" ht="15" customHeight="1">
      <c r="A25" s="365"/>
      <c r="B25" s="985" t="str">
        <f>"Aufzinsungszeit vom Ehezeitende ("&amp;TEXT(C4,"TT.MM.JJJJ")&amp;") bis Berechnungstag ("&amp;TEXT(F3,"TT.MM.JJJJ")&amp;") in Jahren = "</f>
        <v xml:space="preserve">Aufzinsungszeit vom Ehezeitende (00.01.1900) bis Berechnungstag (00.01.1900) in Jahren = </v>
      </c>
      <c r="C25" s="986"/>
      <c r="D25" s="986"/>
      <c r="E25" s="986"/>
      <c r="F25" s="986"/>
      <c r="G25" s="986"/>
      <c r="H25" s="986"/>
      <c r="I25" s="987"/>
      <c r="J25" s="144" t="str">
        <f>IFERROR(ROUND(YEARFRAC(J10,F3,3),2),"")</f>
        <v/>
      </c>
      <c r="K25" s="365"/>
    </row>
    <row r="26" spans="1:13" s="13" customFormat="1" ht="15" customHeight="1">
      <c r="A26" s="365"/>
      <c r="B26" s="988" t="str">
        <f>"Zwischensumme des Abfindungsbetrages (Aufzinsung auf Berechnungsstichtag): "&amp;TEXT(J23,"#.##0,00")&amp;" x (1 + "&amp;TEXT(J24,"0,00%")&amp;")^"&amp;TEXT(J25,"0,00")</f>
        <v>Zwischensumme des Abfindungsbetrages (Aufzinsung auf Berechnungsstichtag):  x (1 + 0,00%)^</v>
      </c>
      <c r="C26" s="989"/>
      <c r="D26" s="989"/>
      <c r="E26" s="989"/>
      <c r="F26" s="989"/>
      <c r="G26" s="989"/>
      <c r="H26" s="989"/>
      <c r="I26" s="990"/>
      <c r="J26" s="435" t="str">
        <f>IFERROR(ROUND(-FV(J24,J25,,J23),0),"")</f>
        <v/>
      </c>
      <c r="K26" s="365"/>
    </row>
    <row r="27" spans="1:13" s="13" customFormat="1" ht="18.95" customHeight="1">
      <c r="A27" s="365"/>
      <c r="B27" s="821" t="s">
        <v>2480</v>
      </c>
      <c r="C27" s="822"/>
      <c r="D27" s="822"/>
      <c r="E27" s="822"/>
      <c r="F27" s="822"/>
      <c r="G27" s="822"/>
      <c r="H27" s="823"/>
      <c r="I27" s="550">
        <f>+Abfindungsberechnung!F21</f>
        <v>0</v>
      </c>
      <c r="J27" s="367">
        <f>IFERROR(IF(L27,IF(I27&lt;0,I27*J$26,-I27*J$26),0),"")</f>
        <v>0</v>
      </c>
      <c r="K27" s="365"/>
      <c r="L27" s="324" t="b">
        <v>0</v>
      </c>
    </row>
    <row r="28" spans="1:13" s="13" customFormat="1" ht="15" customHeight="1">
      <c r="A28" s="365"/>
      <c r="B28" s="821" t="s">
        <v>2481</v>
      </c>
      <c r="C28" s="822"/>
      <c r="D28" s="822"/>
      <c r="E28" s="822"/>
      <c r="F28" s="822"/>
      <c r="G28" s="822"/>
      <c r="H28" s="823"/>
      <c r="I28" s="550">
        <f>+Abfindungsberechnung!F22</f>
        <v>0</v>
      </c>
      <c r="J28" s="367">
        <f>IFERROR(IF(L28,IF(L28,IF(I28&lt;0,I28*J$26,-I28*J$26),0),0),"")</f>
        <v>0</v>
      </c>
      <c r="K28" s="365"/>
      <c r="L28" s="324" t="b">
        <v>0</v>
      </c>
    </row>
    <row r="29" spans="1:13" s="13" customFormat="1" ht="21" customHeight="1">
      <c r="A29" s="365"/>
      <c r="B29" s="976" t="s">
        <v>2482</v>
      </c>
      <c r="C29" s="977"/>
      <c r="D29" s="977"/>
      <c r="E29" s="977"/>
      <c r="F29" s="977"/>
      <c r="G29" s="977"/>
      <c r="H29" s="977"/>
      <c r="I29" s="978"/>
      <c r="J29" s="441">
        <f>ROUND(SUM(J26:J28),0)</f>
        <v>0</v>
      </c>
      <c r="K29" s="365"/>
    </row>
    <row r="30" spans="1:13" ht="15.75">
      <c r="A30" s="364"/>
      <c r="B30" s="979" t="s">
        <v>3252</v>
      </c>
      <c r="C30" s="980"/>
      <c r="D30" s="980"/>
      <c r="E30" s="980"/>
      <c r="F30" s="980"/>
      <c r="G30" s="980"/>
      <c r="H30" s="980"/>
      <c r="I30" s="981"/>
      <c r="J30" s="442">
        <f>AbfindungMethode1</f>
        <v>0</v>
      </c>
      <c r="K30" s="364"/>
    </row>
    <row r="31" spans="1:13" ht="15.75">
      <c r="A31" s="364"/>
      <c r="B31" s="982" t="s">
        <v>3253</v>
      </c>
      <c r="C31" s="983"/>
      <c r="D31" s="983"/>
      <c r="E31" s="983"/>
      <c r="F31" s="983"/>
      <c r="G31" s="983"/>
      <c r="H31" s="983"/>
      <c r="I31" s="984"/>
      <c r="J31" s="443">
        <f>AbfindungMethode2</f>
        <v>0</v>
      </c>
      <c r="K31" s="364"/>
    </row>
    <row r="32" spans="1:13" ht="15" customHeight="1">
      <c r="A32" s="364"/>
      <c r="B32" s="364"/>
      <c r="C32" s="364"/>
      <c r="D32" s="364"/>
      <c r="E32" s="364"/>
      <c r="F32" s="364"/>
      <c r="G32" s="364"/>
      <c r="H32" s="364"/>
      <c r="I32" s="364"/>
      <c r="J32" s="364"/>
      <c r="K32" s="364"/>
    </row>
    <row r="36" spans="14:15" hidden="1">
      <c r="N36" s="302" t="s">
        <v>1470</v>
      </c>
      <c r="O36" s="301">
        <f>+AbfindungMethode3</f>
        <v>0</v>
      </c>
    </row>
    <row r="37" spans="14:15" hidden="1">
      <c r="N37" s="302" t="s">
        <v>2977</v>
      </c>
      <c r="O37" t="e">
        <f>ROUND(O36*VLOOKUP(Abfindungsberechnung!D5,'Parameter DRV'!T5:V100,2),4)</f>
        <v>#N/A</v>
      </c>
    </row>
    <row r="38" spans="14:15" hidden="1">
      <c r="N38" s="302" t="s">
        <v>3117</v>
      </c>
      <c r="O38" t="e">
        <f>VLOOKUP(Abfindungsberechnung!D5,'Parameter DRV'!G5:I100,2)</f>
        <v>#N/A</v>
      </c>
    </row>
    <row r="39" spans="14:15" hidden="1">
      <c r="N39" s="302" t="s">
        <v>3118</v>
      </c>
      <c r="O39" s="242" t="e">
        <f>+O38*O37</f>
        <v>#N/A</v>
      </c>
    </row>
    <row r="40" spans="14:15" hidden="1">
      <c r="N40" s="302" t="s">
        <v>3124</v>
      </c>
      <c r="O40" s="304">
        <f>+Dat_GebDat_Ber</f>
        <v>0</v>
      </c>
    </row>
    <row r="41" spans="14:15" hidden="1">
      <c r="N41" s="302" t="s">
        <v>3125</v>
      </c>
      <c r="O41">
        <f>ROUND(YEARFRAC(Dat_GebDat_Ber,Dat_Ber,3),1)</f>
        <v>0</v>
      </c>
    </row>
    <row r="42" spans="14:15" hidden="1">
      <c r="N42" s="302" t="s">
        <v>3126</v>
      </c>
      <c r="O42" s="304" t="e">
        <f>+Abfindungsberechnung!#REF!</f>
        <v>#REF!</v>
      </c>
    </row>
    <row r="43" spans="14:15" hidden="1">
      <c r="N43" s="302" t="s">
        <v>3127</v>
      </c>
      <c r="O43" t="e">
        <f>ROUND(YEARFRAC(O40,O42,3),1)</f>
        <v>#REF!</v>
      </c>
    </row>
    <row r="44" spans="14:15" hidden="1">
      <c r="N44" s="302" t="s">
        <v>3119</v>
      </c>
      <c r="O44">
        <f>+AnwZeit_Ber_BerDatbusDRVRente</f>
        <v>65.099999999999994</v>
      </c>
    </row>
    <row r="45" spans="14:15" hidden="1">
      <c r="N45" s="302" t="s">
        <v>3123</v>
      </c>
      <c r="O45" s="242" t="e">
        <f>+O39*(1+'Abfindung Methode 1'!B18) ^AnwZeit_Ber_BerDatbusDRVRente</f>
        <v>#N/A</v>
      </c>
    </row>
    <row r="46" spans="14:15" hidden="1">
      <c r="N46" s="302" t="s">
        <v>3128</v>
      </c>
      <c r="O46" t="e">
        <f>ROUND(VLOOKUP(O43,CHOOSE(GeschlechtsNr_Ber,Lx,Ly,Ld),YEAR('Abfindung Methode 2'!#REF!)-1900+2),1)</f>
        <v>#REF!</v>
      </c>
    </row>
    <row r="47" spans="14:15" hidden="1">
      <c r="N47" s="302" t="s">
        <v>3129</v>
      </c>
      <c r="O47" s="242" t="e">
        <f>-PV(-'Abfindung Methode 1'!B18,'Abfindung Methode 2'!#REF!,'Abfindung Methode 2'!#REF!*12)</f>
        <v>#VALUE!</v>
      </c>
    </row>
  </sheetData>
  <sheetProtection algorithmName="SHA-512" hashValue="tmeQ9V3M85PEGvaUAvWMMir4pFAnJYcgRpK+rBf15o8q5e01A7YVOi3FbWOHwsshm54OFpzdazRuSg/0uJLoTQ==" saltValue="NLMISHvZtBVcvyMISOYMdg==" spinCount="100000" sheet="1" objects="1" scenarios="1" formatColumns="0" autoFilter="0"/>
  <mergeCells count="35">
    <mergeCell ref="B23:I23"/>
    <mergeCell ref="A1:A2"/>
    <mergeCell ref="K1:K2"/>
    <mergeCell ref="B22:G22"/>
    <mergeCell ref="G24:H24"/>
    <mergeCell ref="B24:F24"/>
    <mergeCell ref="B3:D3"/>
    <mergeCell ref="G3:G4"/>
    <mergeCell ref="H3:H4"/>
    <mergeCell ref="I5:I6"/>
    <mergeCell ref="B1:J2"/>
    <mergeCell ref="B7:C7"/>
    <mergeCell ref="D7:E7"/>
    <mergeCell ref="G7:H7"/>
    <mergeCell ref="B8:E8"/>
    <mergeCell ref="B21:G21"/>
    <mergeCell ref="L20:M20"/>
    <mergeCell ref="B9:J9"/>
    <mergeCell ref="B11:I11"/>
    <mergeCell ref="B12:I12"/>
    <mergeCell ref="B13:I13"/>
    <mergeCell ref="B14:I14"/>
    <mergeCell ref="B15:I15"/>
    <mergeCell ref="B18:I18"/>
    <mergeCell ref="B19:I19"/>
    <mergeCell ref="B20:I20"/>
    <mergeCell ref="B10:I10"/>
    <mergeCell ref="B17:I17"/>
    <mergeCell ref="B29:I29"/>
    <mergeCell ref="B30:I30"/>
    <mergeCell ref="B31:I31"/>
    <mergeCell ref="B25:I25"/>
    <mergeCell ref="B26:I26"/>
    <mergeCell ref="B28:H28"/>
    <mergeCell ref="B27:H27"/>
  </mergeCells>
  <conditionalFormatting sqref="I27:I28">
    <cfRule type="expression" dxfId="28" priority="5">
      <formula>I27=""</formula>
    </cfRule>
  </conditionalFormatting>
  <conditionalFormatting sqref="J24">
    <cfRule type="expression" dxfId="27" priority="3">
      <formula>J24=""</formula>
    </cfRule>
  </conditionalFormatting>
  <dataValidations disablePrompts="1" count="6">
    <dataValidation type="decimal" allowBlank="1" showInputMessage="1" showErrorMessage="1" errorTitle="Eingabefehler" error="Es sind nur Zahleneingaben &lt;100 zulässig" sqref="G6" xr:uid="{C4817404-5DDE-488F-A61F-00479D0625A6}">
      <formula1>1</formula1>
      <formula2>100</formula2>
    </dataValidation>
    <dataValidation type="date" operator="greaterThan" allowBlank="1" showInputMessage="1" showErrorMessage="1" errorTitle="Eingabefehler!" error="Es sind nur Datumseingaben ab 1.1.1920 zulässig" sqref="C4:C5 F3" xr:uid="{785D9FF1-9031-45DB-A6A0-7F37C90B23C0}">
      <formula1>7306</formula1>
    </dataValidation>
    <dataValidation allowBlank="1" showInputMessage="1" showErrorMessage="1" errorTitle="Eingabefehler" error="Es sind nur Zahleneingaben &lt; 10.000 zulässig" sqref="F7:F8" xr:uid="{7E7B77E1-E1A5-40BD-B57C-C6BA87A225FE}"/>
    <dataValidation allowBlank="1" showInputMessage="1" showErrorMessage="1" errorTitle="Eingabefehler!" error="Es sind nur Zahleneingaben &lt;18 zulässig_x000a_" sqref="I7" xr:uid="{D95D8875-7261-4D4A-B4A0-8C10B4A82B51}"/>
    <dataValidation type="decimal" allowBlank="1" showInputMessage="1" showErrorMessage="1" errorTitle="Eingabefehler!" error="Es sind nur Zahleneingaben &lt;100 zulässig!" sqref="G5" xr:uid="{7F79A1F0-5213-48D1-845B-FC98788BE6A5}">
      <formula1>1</formula1>
      <formula2>100</formula2>
    </dataValidation>
    <dataValidation type="date" operator="greaterThan" allowBlank="1" showInputMessage="1" showErrorMessage="1" errorTitle="Eingabefehler" error="Es sind nur Datumseingaben ab 1.1.1920 zulässig" sqref="C6" xr:uid="{8FA63F61-9B9B-4B06-8FEB-A4F47837FDA7}">
      <formula1>7306</formula1>
    </dataValidation>
  </dataValidations>
  <hyperlinks>
    <hyperlink ref="G5" location="ReAlter_Pfl" display="ReAlter_Pfl" xr:uid="{3F080656-BE7F-4105-91FE-939C46F854CF}"/>
    <hyperlink ref="G6" location="ReAlter_Ber" display="ReAlter_Ber" xr:uid="{D618A43A-9439-4BD4-899A-145D355417EE}"/>
    <hyperlink ref="F7" location="ReHöhe_EZE_Pfl" display="ReHöhe_EZE_Pfl" xr:uid="{8F150589-0DEA-4534-A18D-0C64B8AF1C84}"/>
    <hyperlink ref="F8" location="Rentenhöhe_Fälligkeit" display="Rentenhöhe_Fälligkeit" xr:uid="{82BBB146-75D1-4B06-8AD4-6A6717ED1F8F}"/>
    <hyperlink ref="I7" location="ReAnzahlproJahr" display="ReAnzahlproJahr" xr:uid="{C46F736C-4C4D-4F30-8535-05C10050AE40}"/>
    <hyperlink ref="J11" location="ReHöhe_EZE_Pfl" display="ReHöhe_EZE_Pfl" xr:uid="{33E9F051-6138-4B72-A27D-A1C1360820AB}"/>
    <hyperlink ref="I27" location="Sozialversicherungsabschlag" display="Sozialversicherungsabschlag" xr:uid="{C940645D-F319-4BF4-BD68-0024AD568122}"/>
    <hyperlink ref="I28" location="Steuerabschlag" display="Steuerabschlag" xr:uid="{F5CFAAD6-3025-43A1-9866-3FE00B059176}"/>
    <hyperlink ref="I21" location="Invaliditätssatz" display="Invaliditätssatz" xr:uid="{3EF3E167-0780-4EF3-83A1-E39437E7D433}"/>
    <hyperlink ref="I22" location="Hinterbliebenensatz" display="Hinterbliebenensatz" xr:uid="{71A09C89-065D-4BEC-A92E-6579DB4E7A71}"/>
  </hyperlink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9569" r:id="rId3" name="Check Box 1">
              <controlPr defaultSize="0" autoFill="0" autoLine="0" autoPict="0">
                <anchor moveWithCells="1">
                  <from>
                    <xdr:col>1</xdr:col>
                    <xdr:colOff>19050</xdr:colOff>
                    <xdr:row>26</xdr:row>
                    <xdr:rowOff>9525</xdr:rowOff>
                  </from>
                  <to>
                    <xdr:col>1</xdr:col>
                    <xdr:colOff>1590675</xdr:colOff>
                    <xdr:row>26</xdr:row>
                    <xdr:rowOff>200025</xdr:rowOff>
                  </to>
                </anchor>
              </controlPr>
            </control>
          </mc:Choice>
        </mc:AlternateContent>
        <mc:AlternateContent xmlns:mc="http://schemas.openxmlformats.org/markup-compatibility/2006">
          <mc:Choice Requires="x14">
            <control shapeId="109570" r:id="rId4" name="Check Box 2">
              <controlPr defaultSize="0" autoFill="0" autoLine="0" autoPict="0">
                <anchor moveWithCells="1">
                  <from>
                    <xdr:col>1</xdr:col>
                    <xdr:colOff>28575</xdr:colOff>
                    <xdr:row>26</xdr:row>
                    <xdr:rowOff>238125</xdr:rowOff>
                  </from>
                  <to>
                    <xdr:col>1</xdr:col>
                    <xdr:colOff>1600200</xdr:colOff>
                    <xdr:row>28</xdr:row>
                    <xdr:rowOff>9525</xdr:rowOff>
                  </to>
                </anchor>
              </controlPr>
            </control>
          </mc:Choice>
        </mc:AlternateContent>
        <mc:AlternateContent xmlns:mc="http://schemas.openxmlformats.org/markup-compatibility/2006">
          <mc:Choice Requires="x14">
            <control shapeId="109574" r:id="rId5" name="Check Box 6">
              <controlPr defaultSize="0" autoFill="0" autoLine="0" autoPict="0">
                <anchor moveWithCells="1">
                  <from>
                    <xdr:col>1</xdr:col>
                    <xdr:colOff>9525</xdr:colOff>
                    <xdr:row>20</xdr:row>
                    <xdr:rowOff>0</xdr:rowOff>
                  </from>
                  <to>
                    <xdr:col>1</xdr:col>
                    <xdr:colOff>2105025</xdr:colOff>
                    <xdr:row>20</xdr:row>
                    <xdr:rowOff>180975</xdr:rowOff>
                  </to>
                </anchor>
              </controlPr>
            </control>
          </mc:Choice>
        </mc:AlternateContent>
        <mc:AlternateContent xmlns:mc="http://schemas.openxmlformats.org/markup-compatibility/2006">
          <mc:Choice Requires="x14">
            <control shapeId="109575" r:id="rId6" name="Check Box 7">
              <controlPr defaultSize="0" autoFill="0" autoLine="0" autoPict="0">
                <anchor moveWithCells="1">
                  <from>
                    <xdr:col>1</xdr:col>
                    <xdr:colOff>9525</xdr:colOff>
                    <xdr:row>21</xdr:row>
                    <xdr:rowOff>0</xdr:rowOff>
                  </from>
                  <to>
                    <xdr:col>1</xdr:col>
                    <xdr:colOff>2876550</xdr:colOff>
                    <xdr:row>22</xdr:row>
                    <xdr:rowOff>0</xdr:rowOff>
                  </to>
                </anchor>
              </controlPr>
            </control>
          </mc:Choice>
        </mc:AlternateContent>
        <mc:AlternateContent xmlns:mc="http://schemas.openxmlformats.org/markup-compatibility/2006">
          <mc:Choice Requires="x14">
            <control shapeId="109576" r:id="rId7" name="Check Box 8">
              <controlPr defaultSize="0" autoFill="0" autoLine="0" autoPict="0">
                <anchor moveWithCells="1">
                  <from>
                    <xdr:col>5</xdr:col>
                    <xdr:colOff>657225</xdr:colOff>
                    <xdr:row>15</xdr:row>
                    <xdr:rowOff>0</xdr:rowOff>
                  </from>
                  <to>
                    <xdr:col>8</xdr:col>
                    <xdr:colOff>838200</xdr:colOff>
                    <xdr:row>15</xdr:row>
                    <xdr:rowOff>180975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52840-93A0-42F5-AB76-977E4547929D}">
  <dimension ref="C7:C37"/>
  <sheetViews>
    <sheetView workbookViewId="0">
      <selection activeCell="C7" sqref="C7"/>
    </sheetView>
  </sheetViews>
  <sheetFormatPr baseColWidth="10" defaultRowHeight="15"/>
  <cols>
    <col min="3" max="3" width="19.5703125" customWidth="1"/>
  </cols>
  <sheetData>
    <row r="7" spans="3:3" ht="18.75">
      <c r="C7" s="1139" t="s">
        <v>4667</v>
      </c>
    </row>
    <row r="8" spans="3:3" ht="18.75">
      <c r="C8" s="137" t="s">
        <v>4668</v>
      </c>
    </row>
    <row r="9" spans="3:3" ht="18.75">
      <c r="C9" s="137" t="s">
        <v>4669</v>
      </c>
    </row>
    <row r="10" spans="3:3" ht="18.75">
      <c r="C10" s="137" t="s">
        <v>2282</v>
      </c>
    </row>
    <row r="11" spans="3:3" ht="18.75">
      <c r="C11" s="137" t="s">
        <v>4670</v>
      </c>
    </row>
    <row r="12" spans="3:3" ht="18.75">
      <c r="C12" s="137" t="s">
        <v>3928</v>
      </c>
    </row>
    <row r="13" spans="3:3" ht="18.75">
      <c r="C13" s="137" t="s">
        <v>2292</v>
      </c>
    </row>
    <row r="14" spans="3:3" ht="18.75">
      <c r="C14" s="137" t="s">
        <v>4671</v>
      </c>
    </row>
    <row r="15" spans="3:3" ht="18.75">
      <c r="C15" s="137" t="s">
        <v>4672</v>
      </c>
    </row>
    <row r="16" spans="3:3" ht="18.75">
      <c r="C16" s="137" t="s">
        <v>2303</v>
      </c>
    </row>
    <row r="17" spans="3:3" ht="18.75">
      <c r="C17" s="137" t="s">
        <v>2319</v>
      </c>
    </row>
    <row r="18" spans="3:3" ht="18.75">
      <c r="C18" s="137" t="s">
        <v>4673</v>
      </c>
    </row>
    <row r="19" spans="3:3" ht="18.75">
      <c r="C19" s="137" t="s">
        <v>4674</v>
      </c>
    </row>
    <row r="20" spans="3:3" ht="18.75">
      <c r="C20" s="137" t="s">
        <v>2343</v>
      </c>
    </row>
    <row r="21" spans="3:3" ht="18.75">
      <c r="C21" s="137" t="s">
        <v>27</v>
      </c>
    </row>
    <row r="22" spans="3:3" ht="18.75">
      <c r="C22" s="137" t="s">
        <v>4675</v>
      </c>
    </row>
    <row r="23" spans="3:3" ht="18.75">
      <c r="C23" s="137" t="s">
        <v>4676</v>
      </c>
    </row>
    <row r="24" spans="3:3" ht="18.75">
      <c r="C24" s="137" t="s">
        <v>2240</v>
      </c>
    </row>
    <row r="25" spans="3:3" ht="18.75">
      <c r="C25" s="137" t="s">
        <v>2355</v>
      </c>
    </row>
    <row r="26" spans="3:3" ht="18.75">
      <c r="C26" s="137" t="s">
        <v>2357</v>
      </c>
    </row>
    <row r="27" spans="3:3" ht="18.75">
      <c r="C27" s="137" t="s">
        <v>2886</v>
      </c>
    </row>
    <row r="28" spans="3:3" ht="18.75">
      <c r="C28" s="137" t="s">
        <v>4677</v>
      </c>
    </row>
    <row r="29" spans="3:3" ht="18.75">
      <c r="C29" s="137" t="s">
        <v>4678</v>
      </c>
    </row>
    <row r="30" spans="3:3" ht="18.75">
      <c r="C30" s="137"/>
    </row>
    <row r="31" spans="3:3" ht="18.75">
      <c r="C31" s="137"/>
    </row>
    <row r="32" spans="3:3" ht="18.75">
      <c r="C32" s="137"/>
    </row>
    <row r="33" spans="3:3" ht="18.75">
      <c r="C33" s="137"/>
    </row>
    <row r="34" spans="3:3" ht="18.75">
      <c r="C34" s="137"/>
    </row>
    <row r="35" spans="3:3" ht="18.75">
      <c r="C35" s="137"/>
    </row>
    <row r="36" spans="3:3" ht="18.75">
      <c r="C36" s="137"/>
    </row>
    <row r="37" spans="3:3" ht="18.75">
      <c r="C37" s="137"/>
    </row>
  </sheetData>
  <hyperlinks>
    <hyperlink ref="C7" r:id="rId1" xr:uid="{BAD022C9-BF32-4C18-B01E-4C2F2F29238C}"/>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8ADE4-4085-4F31-A47A-ED2AEF2216E3}">
  <sheetPr codeName="Tabelle54">
    <tabColor rgb="FFFFFF00"/>
  </sheetPr>
  <dimension ref="A1:AM38"/>
  <sheetViews>
    <sheetView showGridLines="0" zoomScaleNormal="100" workbookViewId="0">
      <pane xSplit="3" ySplit="8" topLeftCell="AK9" activePane="bottomRight" state="frozen"/>
      <selection activeCell="B15" sqref="B15:I21"/>
      <selection pane="topRight" activeCell="B15" sqref="B15:I21"/>
      <selection pane="bottomLeft" activeCell="B15" sqref="B15:I21"/>
      <selection pane="bottomRight" activeCell="AM22" sqref="AM22"/>
      <extLst>
        <ext xmlns:xlsdti="http://schemas.microsoft.com/office/spreadsheetml/2023/showDataTypeIcons" uri="{77bfe23e-c014-4d31-8a63-9c772dbf06b6}">
          <xlsdti:showDataTypeIcons visible="0"/>
        </ext>
      </extLst>
    </sheetView>
  </sheetViews>
  <sheetFormatPr baseColWidth="10" defaultColWidth="11.42578125" defaultRowHeight="18.75" zeroHeight="1"/>
  <cols>
    <col min="1" max="1" width="11.140625" style="122" customWidth="1"/>
    <col min="2" max="2" width="21" style="137" customWidth="1"/>
    <col min="3" max="3" width="21" customWidth="1"/>
    <col min="4" max="11" width="55.5703125" customWidth="1"/>
    <col min="12" max="12" width="55.5703125" style="560" customWidth="1"/>
    <col min="13" max="39" width="55.5703125" customWidth="1"/>
    <col min="40" max="42" width="26.7109375" customWidth="1"/>
  </cols>
  <sheetData>
    <row r="1" spans="1:39" ht="21" customHeight="1">
      <c r="A1" s="26"/>
      <c r="B1" s="1018" t="s">
        <v>4660</v>
      </c>
      <c r="C1" s="1019"/>
      <c r="D1" s="1016" t="s">
        <v>2920</v>
      </c>
      <c r="E1" s="1016"/>
      <c r="F1" s="1016"/>
      <c r="G1" s="1016"/>
      <c r="H1" s="1016"/>
      <c r="I1" s="1016"/>
    </row>
    <row r="2" spans="1:39" s="13" customFormat="1" ht="15" customHeight="1">
      <c r="A2" s="701"/>
      <c r="B2" s="1019"/>
      <c r="C2" s="1019"/>
      <c r="D2" s="1016"/>
      <c r="E2" s="1016"/>
      <c r="F2" s="1016"/>
      <c r="G2" s="1016"/>
      <c r="H2" s="1016"/>
      <c r="I2" s="1016"/>
      <c r="J2"/>
      <c r="K2"/>
      <c r="L2" s="560"/>
    </row>
    <row r="3" spans="1:39" s="344" customFormat="1" ht="23.25" customHeight="1">
      <c r="A3" s="702"/>
      <c r="B3" s="789" t="str">
        <f>VLOOKUP(I$6,Sprungziele,2)</f>
        <v>USA</v>
      </c>
      <c r="C3" s="788" t="str">
        <f>VLOOKUP(I6,Sprungziele,5)</f>
        <v>K_USA</v>
      </c>
      <c r="D3" s="790"/>
      <c r="E3" s="791"/>
      <c r="F3" s="791"/>
      <c r="G3" s="791"/>
      <c r="H3" s="697"/>
      <c r="I3" s="5"/>
      <c r="J3"/>
      <c r="K3"/>
      <c r="L3" s="561"/>
    </row>
    <row r="4" spans="1:39" s="344" customFormat="1" ht="15" customHeight="1">
      <c r="A4" s="702"/>
      <c r="B4" s="1020" t="str" cm="1">
        <f t="array" aca="1" ref="B4" ca="1">HYPERLINK("#"&amp;CELL("Adresse",INDIRECT(C3)),"Zum ausgewählten Land "&amp;B3&amp;" springen")</f>
        <v>Zum ausgewählten Land USA springen</v>
      </c>
      <c r="C4" s="1021"/>
      <c r="D4" s="792"/>
      <c r="E4" s="793"/>
      <c r="F4" s="793"/>
      <c r="G4" s="793"/>
      <c r="H4" s="698"/>
      <c r="I4"/>
      <c r="J4"/>
      <c r="K4"/>
      <c r="L4" s="561"/>
    </row>
    <row r="5" spans="1:39" s="344" customFormat="1" ht="14.1" customHeight="1">
      <c r="A5" s="702"/>
      <c r="B5" s="1022"/>
      <c r="C5" s="1023"/>
      <c r="D5" s="792"/>
      <c r="E5" s="793"/>
      <c r="F5" s="793"/>
      <c r="G5" s="793"/>
      <c r="H5" s="698"/>
      <c r="I5"/>
      <c r="J5"/>
      <c r="K5"/>
      <c r="L5" s="561"/>
    </row>
    <row r="6" spans="1:39" s="344" customFormat="1" ht="14.1" customHeight="1">
      <c r="A6" s="702"/>
      <c r="B6" s="1024"/>
      <c r="C6" s="1025"/>
      <c r="D6" s="794"/>
      <c r="E6" s="795"/>
      <c r="F6" s="795"/>
      <c r="G6" s="795"/>
      <c r="H6" s="699"/>
      <c r="I6" s="323">
        <v>36</v>
      </c>
      <c r="J6"/>
      <c r="K6"/>
      <c r="L6" s="561"/>
    </row>
    <row r="7" spans="1:39" ht="15">
      <c r="B7" s="1017" t="s">
        <v>2980</v>
      </c>
      <c r="C7" s="1017"/>
      <c r="D7" s="240" t="str">
        <f>+B7</f>
        <v>Alle Felder sind verlinkt, auch wenn nicht unterstrichen!</v>
      </c>
      <c r="E7" s="240" t="str">
        <f>+D7</f>
        <v>Alle Felder sind verlinkt, auch wenn nicht unterstrichen!</v>
      </c>
      <c r="F7" s="240" t="str">
        <f t="shared" ref="F7:AI7" si="0">+E7</f>
        <v>Alle Felder sind verlinkt, auch wenn nicht unterstrichen!</v>
      </c>
      <c r="G7" s="240" t="str">
        <f t="shared" si="0"/>
        <v>Alle Felder sind verlinkt, auch wenn nicht unterstrichen!</v>
      </c>
      <c r="H7" s="240" t="str">
        <f t="shared" si="0"/>
        <v>Alle Felder sind verlinkt, auch wenn nicht unterstrichen!</v>
      </c>
      <c r="I7" s="240" t="str">
        <f t="shared" si="0"/>
        <v>Alle Felder sind verlinkt, auch wenn nicht unterstrichen!</v>
      </c>
      <c r="J7" s="240" t="str">
        <f t="shared" si="0"/>
        <v>Alle Felder sind verlinkt, auch wenn nicht unterstrichen!</v>
      </c>
      <c r="K7" s="240" t="str">
        <f t="shared" si="0"/>
        <v>Alle Felder sind verlinkt, auch wenn nicht unterstrichen!</v>
      </c>
      <c r="L7" s="562" t="str">
        <f>+K7</f>
        <v>Alle Felder sind verlinkt, auch wenn nicht unterstrichen!</v>
      </c>
      <c r="M7" s="240" t="str">
        <f>+K7</f>
        <v>Alle Felder sind verlinkt, auch wenn nicht unterstrichen!</v>
      </c>
      <c r="N7" s="240" t="str">
        <f t="shared" si="0"/>
        <v>Alle Felder sind verlinkt, auch wenn nicht unterstrichen!</v>
      </c>
      <c r="O7" s="240" t="str">
        <f t="shared" si="0"/>
        <v>Alle Felder sind verlinkt, auch wenn nicht unterstrichen!</v>
      </c>
      <c r="P7" s="240" t="str">
        <f t="shared" si="0"/>
        <v>Alle Felder sind verlinkt, auch wenn nicht unterstrichen!</v>
      </c>
      <c r="Q7" s="240" t="str">
        <f t="shared" si="0"/>
        <v>Alle Felder sind verlinkt, auch wenn nicht unterstrichen!</v>
      </c>
      <c r="R7" s="240" t="str">
        <f t="shared" si="0"/>
        <v>Alle Felder sind verlinkt, auch wenn nicht unterstrichen!</v>
      </c>
      <c r="S7" s="240" t="str">
        <f t="shared" si="0"/>
        <v>Alle Felder sind verlinkt, auch wenn nicht unterstrichen!</v>
      </c>
      <c r="T7" s="240" t="str">
        <f t="shared" si="0"/>
        <v>Alle Felder sind verlinkt, auch wenn nicht unterstrichen!</v>
      </c>
      <c r="U7" s="240" t="str">
        <f t="shared" si="0"/>
        <v>Alle Felder sind verlinkt, auch wenn nicht unterstrichen!</v>
      </c>
      <c r="V7" s="240" t="str">
        <f t="shared" si="0"/>
        <v>Alle Felder sind verlinkt, auch wenn nicht unterstrichen!</v>
      </c>
      <c r="W7" s="240" t="str">
        <f t="shared" si="0"/>
        <v>Alle Felder sind verlinkt, auch wenn nicht unterstrichen!</v>
      </c>
      <c r="X7" s="240" t="str">
        <f t="shared" si="0"/>
        <v>Alle Felder sind verlinkt, auch wenn nicht unterstrichen!</v>
      </c>
      <c r="Y7" s="240" t="str">
        <f t="shared" si="0"/>
        <v>Alle Felder sind verlinkt, auch wenn nicht unterstrichen!</v>
      </c>
      <c r="Z7" s="240" t="str">
        <f t="shared" si="0"/>
        <v>Alle Felder sind verlinkt, auch wenn nicht unterstrichen!</v>
      </c>
      <c r="AA7" s="240" t="str">
        <f t="shared" si="0"/>
        <v>Alle Felder sind verlinkt, auch wenn nicht unterstrichen!</v>
      </c>
      <c r="AB7" s="240" t="str">
        <f t="shared" si="0"/>
        <v>Alle Felder sind verlinkt, auch wenn nicht unterstrichen!</v>
      </c>
      <c r="AC7" s="240" t="str">
        <f t="shared" si="0"/>
        <v>Alle Felder sind verlinkt, auch wenn nicht unterstrichen!</v>
      </c>
      <c r="AD7" s="240" t="str">
        <f t="shared" si="0"/>
        <v>Alle Felder sind verlinkt, auch wenn nicht unterstrichen!</v>
      </c>
      <c r="AE7" s="240" t="str">
        <f t="shared" si="0"/>
        <v>Alle Felder sind verlinkt, auch wenn nicht unterstrichen!</v>
      </c>
      <c r="AF7" s="240" t="str">
        <f t="shared" si="0"/>
        <v>Alle Felder sind verlinkt, auch wenn nicht unterstrichen!</v>
      </c>
      <c r="AG7" s="240" t="str">
        <f t="shared" si="0"/>
        <v>Alle Felder sind verlinkt, auch wenn nicht unterstrichen!</v>
      </c>
      <c r="AH7" s="240" t="str">
        <f t="shared" si="0"/>
        <v>Alle Felder sind verlinkt, auch wenn nicht unterstrichen!</v>
      </c>
      <c r="AI7" s="240" t="str">
        <f t="shared" si="0"/>
        <v>Alle Felder sind verlinkt, auch wenn nicht unterstrichen!</v>
      </c>
      <c r="AJ7" s="240" t="str">
        <f t="shared" ref="AJ7" si="1">+AI7</f>
        <v>Alle Felder sind verlinkt, auch wenn nicht unterstrichen!</v>
      </c>
      <c r="AK7" s="240" t="str">
        <f t="shared" ref="AK7" si="2">+AJ7</f>
        <v>Alle Felder sind verlinkt, auch wenn nicht unterstrichen!</v>
      </c>
      <c r="AL7" s="240" t="str">
        <f t="shared" ref="AL7" si="3">+AK7</f>
        <v>Alle Felder sind verlinkt, auch wenn nicht unterstrichen!</v>
      </c>
      <c r="AM7" s="240"/>
    </row>
    <row r="8" spans="1:39" s="241" customFormat="1" ht="28.5" customHeight="1">
      <c r="B8" s="1015" t="s">
        <v>1621</v>
      </c>
      <c r="C8" s="1015"/>
      <c r="D8" s="709" t="s">
        <v>0</v>
      </c>
      <c r="E8" s="709" t="s">
        <v>1</v>
      </c>
      <c r="F8" s="709" t="s">
        <v>2</v>
      </c>
      <c r="G8" s="709" t="s">
        <v>3</v>
      </c>
      <c r="H8" s="709" t="s">
        <v>4</v>
      </c>
      <c r="I8" s="709" t="s">
        <v>5</v>
      </c>
      <c r="J8" s="709" t="s">
        <v>6</v>
      </c>
      <c r="K8" s="709" t="s">
        <v>7</v>
      </c>
      <c r="L8" s="709" t="s">
        <v>3928</v>
      </c>
      <c r="M8" s="709" t="s">
        <v>8</v>
      </c>
      <c r="N8" s="709" t="s">
        <v>9</v>
      </c>
      <c r="O8" s="709" t="s">
        <v>10</v>
      </c>
      <c r="P8" s="709" t="s">
        <v>11</v>
      </c>
      <c r="Q8" s="709" t="s">
        <v>12</v>
      </c>
      <c r="R8" s="709" t="s">
        <v>13</v>
      </c>
      <c r="S8" s="709" t="s">
        <v>14</v>
      </c>
      <c r="T8" s="709" t="s">
        <v>15</v>
      </c>
      <c r="U8" s="709" t="s">
        <v>16</v>
      </c>
      <c r="V8" s="709" t="s">
        <v>17</v>
      </c>
      <c r="W8" s="709" t="s">
        <v>18</v>
      </c>
      <c r="X8" s="709" t="s">
        <v>19</v>
      </c>
      <c r="Y8" s="709" t="s">
        <v>20</v>
      </c>
      <c r="Z8" s="709" t="s">
        <v>21</v>
      </c>
      <c r="AA8" s="709" t="s">
        <v>22</v>
      </c>
      <c r="AB8" s="709" t="s">
        <v>23</v>
      </c>
      <c r="AC8" s="709" t="s">
        <v>24</v>
      </c>
      <c r="AD8" s="709" t="s">
        <v>25</v>
      </c>
      <c r="AE8" s="709" t="s">
        <v>26</v>
      </c>
      <c r="AF8" s="709" t="s">
        <v>27</v>
      </c>
      <c r="AG8" s="709" t="s">
        <v>2240</v>
      </c>
      <c r="AH8" s="709" t="s">
        <v>29</v>
      </c>
      <c r="AI8" s="709" t="s">
        <v>30</v>
      </c>
      <c r="AJ8" s="709" t="s">
        <v>3930</v>
      </c>
      <c r="AK8" s="709" t="s">
        <v>2273</v>
      </c>
      <c r="AL8" s="709" t="s">
        <v>3931</v>
      </c>
      <c r="AM8" s="709" t="s">
        <v>2886</v>
      </c>
    </row>
    <row r="9" spans="1:39" ht="345">
      <c r="A9" s="609">
        <v>1</v>
      </c>
      <c r="B9" s="1014" t="s">
        <v>2506</v>
      </c>
      <c r="C9" s="1014"/>
      <c r="D9" s="165" t="s">
        <v>2922</v>
      </c>
      <c r="E9" s="165" t="s">
        <v>2924</v>
      </c>
      <c r="F9" s="165" t="s">
        <v>4613</v>
      </c>
      <c r="G9" s="165" t="s">
        <v>2510</v>
      </c>
      <c r="H9" s="165" t="s">
        <v>2511</v>
      </c>
      <c r="I9" s="165" t="s">
        <v>4614</v>
      </c>
      <c r="J9" s="165" t="s">
        <v>2512</v>
      </c>
      <c r="K9" s="165" t="s">
        <v>2552</v>
      </c>
      <c r="L9" s="611" t="s">
        <v>3918</v>
      </c>
      <c r="M9" s="165" t="s">
        <v>2553</v>
      </c>
      <c r="N9" s="165" t="s">
        <v>2554</v>
      </c>
      <c r="O9" s="165" t="s">
        <v>2555</v>
      </c>
      <c r="P9" s="165" t="s">
        <v>2556</v>
      </c>
      <c r="Q9" s="165" t="s">
        <v>2557</v>
      </c>
      <c r="R9" s="165" t="s">
        <v>2617</v>
      </c>
      <c r="S9" s="165" t="s">
        <v>2618</v>
      </c>
      <c r="T9" s="165" t="s">
        <v>2619</v>
      </c>
      <c r="U9" s="165" t="s">
        <v>2620</v>
      </c>
      <c r="V9" s="165" t="s">
        <v>4619</v>
      </c>
      <c r="W9" s="165" t="s">
        <v>4617</v>
      </c>
      <c r="X9" s="165" t="s">
        <v>2679</v>
      </c>
      <c r="Y9" s="165" t="s">
        <v>2680</v>
      </c>
      <c r="Z9" s="165" t="s">
        <v>2681</v>
      </c>
      <c r="AA9" s="165" t="s">
        <v>2682</v>
      </c>
      <c r="AB9" s="165" t="s">
        <v>4625</v>
      </c>
      <c r="AC9" s="165" t="s">
        <v>2732</v>
      </c>
      <c r="AD9" s="165" t="s">
        <v>2733</v>
      </c>
      <c r="AE9" s="165" t="s">
        <v>2734</v>
      </c>
      <c r="AF9" s="165" t="s">
        <v>2735</v>
      </c>
      <c r="AG9" s="165" t="s">
        <v>2736</v>
      </c>
      <c r="AH9" s="165" t="s">
        <v>2737</v>
      </c>
      <c r="AI9" s="165" t="s">
        <v>2738</v>
      </c>
      <c r="AJ9" s="650" t="s">
        <v>4612</v>
      </c>
      <c r="AK9" s="611" t="s">
        <v>4622</v>
      </c>
      <c r="AL9" s="611" t="s">
        <v>4623</v>
      </c>
      <c r="AM9" s="611" t="s">
        <v>4631</v>
      </c>
    </row>
    <row r="10" spans="1:39" ht="375">
      <c r="A10" s="609">
        <v>12</v>
      </c>
      <c r="B10" s="1014" t="s">
        <v>4021</v>
      </c>
      <c r="C10" s="1014"/>
      <c r="D10" s="166" t="s">
        <v>3932</v>
      </c>
      <c r="E10" s="167" t="s">
        <v>3934</v>
      </c>
      <c r="F10" s="167" t="s">
        <v>3937</v>
      </c>
      <c r="G10" s="167" t="s">
        <v>3940</v>
      </c>
      <c r="H10" s="167" t="s">
        <v>3942</v>
      </c>
      <c r="I10" s="167" t="s">
        <v>3945</v>
      </c>
      <c r="J10" s="167" t="s">
        <v>3948</v>
      </c>
      <c r="K10" s="167" t="s">
        <v>3950</v>
      </c>
      <c r="L10" s="167" t="s">
        <v>4004</v>
      </c>
      <c r="M10" s="166" t="s">
        <v>3953</v>
      </c>
      <c r="N10" s="166"/>
      <c r="O10" s="166" t="s">
        <v>3955</v>
      </c>
      <c r="P10" s="166" t="s">
        <v>3958</v>
      </c>
      <c r="Q10" s="166" t="s">
        <v>3960</v>
      </c>
      <c r="R10" s="166" t="s">
        <v>3997</v>
      </c>
      <c r="S10" s="166" t="s">
        <v>3942</v>
      </c>
      <c r="T10" s="166" t="s">
        <v>3963</v>
      </c>
      <c r="U10" s="166" t="s">
        <v>3965</v>
      </c>
      <c r="V10" s="166" t="s">
        <v>3967</v>
      </c>
      <c r="W10" s="166" t="s">
        <v>3999</v>
      </c>
      <c r="X10" s="166" t="s">
        <v>3970</v>
      </c>
      <c r="Y10" s="166" t="s">
        <v>3972</v>
      </c>
      <c r="Z10" s="166" t="s">
        <v>3974</v>
      </c>
      <c r="AA10" s="166" t="s">
        <v>3977</v>
      </c>
      <c r="AB10" s="166" t="s">
        <v>3980</v>
      </c>
      <c r="AC10" s="166" t="s">
        <v>4002</v>
      </c>
      <c r="AD10" s="166" t="s">
        <v>3983</v>
      </c>
      <c r="AE10" s="166" t="s">
        <v>3986</v>
      </c>
      <c r="AF10" s="166" t="s">
        <v>3988</v>
      </c>
      <c r="AG10" s="166" t="s">
        <v>3990</v>
      </c>
      <c r="AH10" s="166" t="s">
        <v>3963</v>
      </c>
      <c r="AI10" s="166" t="s">
        <v>3994</v>
      </c>
      <c r="AJ10" s="651" t="s">
        <v>4007</v>
      </c>
      <c r="AK10" s="651" t="s">
        <v>4009</v>
      </c>
      <c r="AL10" s="651" t="s">
        <v>4012</v>
      </c>
      <c r="AM10" s="654" t="s">
        <v>4632</v>
      </c>
    </row>
    <row r="11" spans="1:39" ht="45">
      <c r="A11" s="609">
        <v>13</v>
      </c>
      <c r="B11" s="1014" t="s">
        <v>4022</v>
      </c>
      <c r="C11" s="1014"/>
      <c r="D11" s="401" t="s">
        <v>2271</v>
      </c>
      <c r="E11" s="401" t="s">
        <v>3935</v>
      </c>
      <c r="F11" s="401" t="s">
        <v>3938</v>
      </c>
      <c r="G11" s="401" t="s">
        <v>2271</v>
      </c>
      <c r="H11" s="401" t="s">
        <v>3943</v>
      </c>
      <c r="I11" s="401" t="s">
        <v>3946</v>
      </c>
      <c r="J11" s="401" t="s">
        <v>2271</v>
      </c>
      <c r="K11" s="401" t="s">
        <v>3951</v>
      </c>
      <c r="L11" s="611" t="s">
        <v>4005</v>
      </c>
      <c r="M11" s="401" t="s">
        <v>2271</v>
      </c>
      <c r="N11" s="1"/>
      <c r="O11" s="401" t="s">
        <v>3956</v>
      </c>
      <c r="P11" s="401" t="s">
        <v>2271</v>
      </c>
      <c r="Q11" s="401" t="s">
        <v>2271</v>
      </c>
      <c r="R11" s="401" t="s">
        <v>2271</v>
      </c>
      <c r="S11" s="401" t="s">
        <v>2271</v>
      </c>
      <c r="T11" s="401" t="s">
        <v>2271</v>
      </c>
      <c r="U11" s="401" t="s">
        <v>2271</v>
      </c>
      <c r="V11" s="401" t="s">
        <v>3968</v>
      </c>
      <c r="W11" s="401" t="s">
        <v>4000</v>
      </c>
      <c r="X11" s="401" t="s">
        <v>2271</v>
      </c>
      <c r="Y11" s="401" t="s">
        <v>2271</v>
      </c>
      <c r="Z11" s="401" t="s">
        <v>3975</v>
      </c>
      <c r="AA11" s="401" t="s">
        <v>3978</v>
      </c>
      <c r="AB11" s="401" t="s">
        <v>3981</v>
      </c>
      <c r="AC11" s="401" t="s">
        <v>2271</v>
      </c>
      <c r="AD11" s="401" t="s">
        <v>3984</v>
      </c>
      <c r="AE11" s="401" t="s">
        <v>2271</v>
      </c>
      <c r="AF11" s="401" t="s">
        <v>2271</v>
      </c>
      <c r="AG11" s="401" t="s">
        <v>3991</v>
      </c>
      <c r="AH11" s="401" t="s">
        <v>2271</v>
      </c>
      <c r="AI11" s="401" t="s">
        <v>3995</v>
      </c>
      <c r="AJ11" s="652" t="s">
        <v>2271</v>
      </c>
      <c r="AK11" s="652" t="s">
        <v>4010</v>
      </c>
      <c r="AL11" s="652" t="s">
        <v>2271</v>
      </c>
      <c r="AM11" s="652" t="s">
        <v>2271</v>
      </c>
    </row>
    <row r="12" spans="1:39" ht="60">
      <c r="A12" s="609">
        <v>14</v>
      </c>
      <c r="B12" s="1014" t="s">
        <v>4023</v>
      </c>
      <c r="C12" s="1014"/>
      <c r="D12" s="166" t="s">
        <v>3933</v>
      </c>
      <c r="E12" s="167" t="s">
        <v>3936</v>
      </c>
      <c r="F12" s="167" t="s">
        <v>3939</v>
      </c>
      <c r="G12" s="167" t="s">
        <v>3941</v>
      </c>
      <c r="H12" s="167" t="s">
        <v>3944</v>
      </c>
      <c r="I12" s="167" t="s">
        <v>3947</v>
      </c>
      <c r="J12" s="167" t="s">
        <v>3949</v>
      </c>
      <c r="K12" s="167" t="s">
        <v>3952</v>
      </c>
      <c r="L12" s="167" t="s">
        <v>4006</v>
      </c>
      <c r="M12" s="166" t="s">
        <v>3954</v>
      </c>
      <c r="N12" s="166"/>
      <c r="O12" s="166" t="s">
        <v>3957</v>
      </c>
      <c r="P12" s="166" t="s">
        <v>3959</v>
      </c>
      <c r="Q12" s="166" t="s">
        <v>3961</v>
      </c>
      <c r="R12" s="166" t="s">
        <v>3998</v>
      </c>
      <c r="S12" s="166" t="s">
        <v>3962</v>
      </c>
      <c r="T12" s="166" t="s">
        <v>3964</v>
      </c>
      <c r="U12" s="166" t="s">
        <v>3966</v>
      </c>
      <c r="V12" s="166" t="s">
        <v>3969</v>
      </c>
      <c r="W12" s="166" t="s">
        <v>4001</v>
      </c>
      <c r="X12" s="166" t="s">
        <v>3971</v>
      </c>
      <c r="Y12" s="166" t="s">
        <v>3973</v>
      </c>
      <c r="Z12" s="166" t="s">
        <v>3976</v>
      </c>
      <c r="AA12" s="166" t="s">
        <v>3979</v>
      </c>
      <c r="AB12" s="166" t="s">
        <v>3982</v>
      </c>
      <c r="AC12" s="166" t="s">
        <v>4003</v>
      </c>
      <c r="AD12" s="166" t="s">
        <v>3985</v>
      </c>
      <c r="AE12" s="166" t="s">
        <v>3987</v>
      </c>
      <c r="AF12" s="166" t="s">
        <v>3989</v>
      </c>
      <c r="AG12" s="166" t="s">
        <v>3992</v>
      </c>
      <c r="AH12" s="166" t="s">
        <v>3993</v>
      </c>
      <c r="AI12" s="166" t="s">
        <v>3996</v>
      </c>
      <c r="AJ12" s="651" t="s">
        <v>4008</v>
      </c>
      <c r="AK12" s="651" t="s">
        <v>4011</v>
      </c>
      <c r="AL12" s="651" t="s">
        <v>4013</v>
      </c>
      <c r="AM12" s="654" t="s">
        <v>2278</v>
      </c>
    </row>
    <row r="13" spans="1:39" ht="390">
      <c r="A13" s="609">
        <v>2</v>
      </c>
      <c r="B13" s="1014" t="s">
        <v>2507</v>
      </c>
      <c r="C13" s="1014"/>
      <c r="D13" s="401" t="s">
        <v>2923</v>
      </c>
      <c r="E13" s="401" t="s">
        <v>2926</v>
      </c>
      <c r="F13" s="401" t="s">
        <v>4628</v>
      </c>
      <c r="G13" s="401" t="s">
        <v>2513</v>
      </c>
      <c r="H13" s="401" t="s">
        <v>2514</v>
      </c>
      <c r="I13" s="401" t="s">
        <v>4615</v>
      </c>
      <c r="J13" s="401" t="s">
        <v>2515</v>
      </c>
      <c r="K13" s="401" t="s">
        <v>2558</v>
      </c>
      <c r="L13" s="611" t="s">
        <v>4629</v>
      </c>
      <c r="M13" s="401" t="s">
        <v>4616</v>
      </c>
      <c r="N13" s="1" t="s">
        <v>2559</v>
      </c>
      <c r="O13" s="401" t="s">
        <v>2560</v>
      </c>
      <c r="P13" s="401" t="s">
        <v>2561</v>
      </c>
      <c r="Q13" s="401" t="s">
        <v>2562</v>
      </c>
      <c r="R13" s="401" t="s">
        <v>2621</v>
      </c>
      <c r="S13" s="401" t="s">
        <v>2622</v>
      </c>
      <c r="T13" s="401" t="s">
        <v>2623</v>
      </c>
      <c r="U13" s="401" t="s">
        <v>2624</v>
      </c>
      <c r="V13" s="401" t="s">
        <v>4620</v>
      </c>
      <c r="W13" s="401" t="s">
        <v>4618</v>
      </c>
      <c r="X13" s="401" t="s">
        <v>2683</v>
      </c>
      <c r="Y13" s="401" t="s">
        <v>2684</v>
      </c>
      <c r="Z13" s="401" t="s">
        <v>2685</v>
      </c>
      <c r="AA13" s="401" t="s">
        <v>2686</v>
      </c>
      <c r="AB13" s="401" t="s">
        <v>4626</v>
      </c>
      <c r="AC13" s="401" t="s">
        <v>2739</v>
      </c>
      <c r="AD13" s="401" t="s">
        <v>2740</v>
      </c>
      <c r="AE13" s="401" t="s">
        <v>2741</v>
      </c>
      <c r="AF13" s="401" t="s">
        <v>2742</v>
      </c>
      <c r="AG13" s="401" t="s">
        <v>2743</v>
      </c>
      <c r="AH13" s="401" t="s">
        <v>2744</v>
      </c>
      <c r="AI13" s="401" t="s">
        <v>2745</v>
      </c>
      <c r="AJ13" s="653" t="s">
        <v>4082</v>
      </c>
      <c r="AK13" s="653" t="s">
        <v>4621</v>
      </c>
      <c r="AL13" s="653" t="s">
        <v>4624</v>
      </c>
      <c r="AM13" s="653" t="s">
        <v>4633</v>
      </c>
    </row>
    <row r="14" spans="1:39" ht="165">
      <c r="A14" s="609">
        <v>3</v>
      </c>
      <c r="B14" s="1014" t="s">
        <v>3187</v>
      </c>
      <c r="C14" s="1014"/>
      <c r="D14" s="166" t="s">
        <v>2925</v>
      </c>
      <c r="E14" s="167" t="s">
        <v>2928</v>
      </c>
      <c r="F14" s="167" t="s">
        <v>2929</v>
      </c>
      <c r="G14" s="167" t="s">
        <v>2516</v>
      </c>
      <c r="H14" s="167" t="s">
        <v>2517</v>
      </c>
      <c r="I14" s="167" t="s">
        <v>2518</v>
      </c>
      <c r="J14" s="167" t="s">
        <v>2519</v>
      </c>
      <c r="K14" s="167" t="s">
        <v>2563</v>
      </c>
      <c r="L14" s="167" t="s">
        <v>3919</v>
      </c>
      <c r="M14" s="166" t="s">
        <v>2564</v>
      </c>
      <c r="N14" s="166" t="s">
        <v>2565</v>
      </c>
      <c r="O14" s="166" t="s">
        <v>2566</v>
      </c>
      <c r="P14" s="166" t="s">
        <v>2567</v>
      </c>
      <c r="Q14" s="166" t="s">
        <v>2568</v>
      </c>
      <c r="R14" s="166" t="s">
        <v>2625</v>
      </c>
      <c r="S14" s="166" t="s">
        <v>2626</v>
      </c>
      <c r="T14" s="166" t="s">
        <v>2627</v>
      </c>
      <c r="U14" s="166" t="s">
        <v>2628</v>
      </c>
      <c r="V14" s="166" t="s">
        <v>2629</v>
      </c>
      <c r="W14" s="166" t="s">
        <v>2630</v>
      </c>
      <c r="X14" s="166" t="s">
        <v>2687</v>
      </c>
      <c r="Y14" s="166" t="s">
        <v>2688</v>
      </c>
      <c r="Z14" s="166" t="s">
        <v>2689</v>
      </c>
      <c r="AA14" s="166" t="s">
        <v>2690</v>
      </c>
      <c r="AB14" s="166" t="s">
        <v>2691</v>
      </c>
      <c r="AC14" s="166" t="s">
        <v>2746</v>
      </c>
      <c r="AD14" s="166" t="s">
        <v>2747</v>
      </c>
      <c r="AE14" s="166" t="s">
        <v>2748</v>
      </c>
      <c r="AF14" s="166" t="s">
        <v>2749</v>
      </c>
      <c r="AG14" s="166" t="s">
        <v>2750</v>
      </c>
      <c r="AH14" s="166" t="s">
        <v>2751</v>
      </c>
      <c r="AI14" s="166" t="s">
        <v>2752</v>
      </c>
      <c r="AJ14" s="654" t="s">
        <v>4084</v>
      </c>
      <c r="AK14" s="654" t="s">
        <v>4093</v>
      </c>
      <c r="AL14" s="651" t="s">
        <v>4101</v>
      </c>
      <c r="AM14" s="651"/>
    </row>
    <row r="15" spans="1:39" ht="195">
      <c r="A15" s="609">
        <v>4</v>
      </c>
      <c r="B15" s="1014" t="s">
        <v>3184</v>
      </c>
      <c r="C15" s="1014"/>
      <c r="D15" s="401" t="s">
        <v>2927</v>
      </c>
      <c r="E15" s="401" t="s">
        <v>2931</v>
      </c>
      <c r="F15" s="401" t="s">
        <v>2932</v>
      </c>
      <c r="G15" s="401" t="s">
        <v>2550</v>
      </c>
      <c r="H15" s="401" t="s">
        <v>2520</v>
      </c>
      <c r="I15" s="401" t="s">
        <v>2521</v>
      </c>
      <c r="J15" s="401" t="s">
        <v>2551</v>
      </c>
      <c r="K15" s="401" t="s">
        <v>2569</v>
      </c>
      <c r="L15" s="611" t="s">
        <v>3920</v>
      </c>
      <c r="M15" s="401" t="s">
        <v>2570</v>
      </c>
      <c r="N15" s="1" t="s">
        <v>2571</v>
      </c>
      <c r="O15" s="401" t="s">
        <v>2572</v>
      </c>
      <c r="P15" s="401" t="s">
        <v>2573</v>
      </c>
      <c r="Q15" s="401" t="s">
        <v>2574</v>
      </c>
      <c r="R15" s="401" t="s">
        <v>2631</v>
      </c>
      <c r="S15" s="401" t="s">
        <v>2632</v>
      </c>
      <c r="T15" s="401" t="s">
        <v>2633</v>
      </c>
      <c r="U15" s="401" t="s">
        <v>2634</v>
      </c>
      <c r="V15" s="401" t="s">
        <v>2635</v>
      </c>
      <c r="W15" s="401" t="s">
        <v>2636</v>
      </c>
      <c r="X15" s="401" t="s">
        <v>2692</v>
      </c>
      <c r="Y15" s="401" t="s">
        <v>2693</v>
      </c>
      <c r="Z15" s="401" t="s">
        <v>2694</v>
      </c>
      <c r="AA15" s="401" t="s">
        <v>2695</v>
      </c>
      <c r="AB15" s="401" t="s">
        <v>2696</v>
      </c>
      <c r="AC15" s="401" t="s">
        <v>2753</v>
      </c>
      <c r="AD15" s="401" t="s">
        <v>2754</v>
      </c>
      <c r="AE15" s="401" t="s">
        <v>2755</v>
      </c>
      <c r="AF15" s="401" t="s">
        <v>2756</v>
      </c>
      <c r="AG15" s="401" t="s">
        <v>2757</v>
      </c>
      <c r="AH15" s="401" t="s">
        <v>2758</v>
      </c>
      <c r="AI15" s="401" t="s">
        <v>2759</v>
      </c>
      <c r="AJ15" s="653" t="s">
        <v>4083</v>
      </c>
      <c r="AK15" s="652"/>
      <c r="AL15" s="652" t="s">
        <v>4102</v>
      </c>
      <c r="AM15" s="653" t="s">
        <v>4634</v>
      </c>
    </row>
    <row r="16" spans="1:39" ht="180">
      <c r="A16" s="609">
        <v>5</v>
      </c>
      <c r="B16" s="1014" t="s">
        <v>2918</v>
      </c>
      <c r="C16" s="1014"/>
      <c r="D16" s="166" t="s">
        <v>2930</v>
      </c>
      <c r="E16" s="167" t="s">
        <v>2934</v>
      </c>
      <c r="F16" s="167" t="s">
        <v>2935</v>
      </c>
      <c r="G16" s="167" t="s">
        <v>2522</v>
      </c>
      <c r="H16" s="167" t="s">
        <v>2523</v>
      </c>
      <c r="I16" s="167" t="s">
        <v>2524</v>
      </c>
      <c r="J16" s="167" t="s">
        <v>2525</v>
      </c>
      <c r="K16" s="167" t="s">
        <v>2575</v>
      </c>
      <c r="L16" s="167" t="s">
        <v>3921</v>
      </c>
      <c r="M16" s="166" t="s">
        <v>2576</v>
      </c>
      <c r="N16" s="166" t="s">
        <v>2577</v>
      </c>
      <c r="O16" s="166" t="s">
        <v>2578</v>
      </c>
      <c r="P16" s="166" t="s">
        <v>2579</v>
      </c>
      <c r="Q16" s="166" t="s">
        <v>2580</v>
      </c>
      <c r="R16" s="166" t="s">
        <v>2637</v>
      </c>
      <c r="S16" s="166" t="s">
        <v>2638</v>
      </c>
      <c r="T16" s="166" t="s">
        <v>2639</v>
      </c>
      <c r="U16" s="166" t="s">
        <v>2640</v>
      </c>
      <c r="V16" s="166" t="s">
        <v>2641</v>
      </c>
      <c r="W16" s="166" t="s">
        <v>2642</v>
      </c>
      <c r="X16" s="166" t="s">
        <v>2697</v>
      </c>
      <c r="Y16" s="166" t="s">
        <v>2698</v>
      </c>
      <c r="Z16" s="166" t="s">
        <v>2699</v>
      </c>
      <c r="AA16" s="166" t="s">
        <v>2700</v>
      </c>
      <c r="AB16" s="166" t="s">
        <v>2701</v>
      </c>
      <c r="AC16" s="166" t="s">
        <v>2760</v>
      </c>
      <c r="AD16" s="166" t="s">
        <v>2761</v>
      </c>
      <c r="AE16" s="166" t="s">
        <v>2762</v>
      </c>
      <c r="AF16" s="166" t="s">
        <v>2763</v>
      </c>
      <c r="AG16" s="166" t="s">
        <v>2764</v>
      </c>
      <c r="AH16" s="166" t="s">
        <v>2765</v>
      </c>
      <c r="AI16" s="166" t="s">
        <v>2766</v>
      </c>
      <c r="AJ16" s="654" t="s">
        <v>4085</v>
      </c>
      <c r="AK16" s="651" t="s">
        <v>4095</v>
      </c>
      <c r="AL16" s="651" t="s">
        <v>4103</v>
      </c>
      <c r="AM16" s="654" t="s">
        <v>4635</v>
      </c>
    </row>
    <row r="17" spans="1:39" ht="150">
      <c r="A17" s="609">
        <v>6</v>
      </c>
      <c r="B17" s="1014" t="s">
        <v>2919</v>
      </c>
      <c r="C17" s="1014"/>
      <c r="D17" s="401" t="s">
        <v>2933</v>
      </c>
      <c r="E17" s="401" t="s">
        <v>2937</v>
      </c>
      <c r="F17" s="401" t="s">
        <v>2938</v>
      </c>
      <c r="G17" s="401" t="s">
        <v>2526</v>
      </c>
      <c r="H17" s="401" t="s">
        <v>2527</v>
      </c>
      <c r="I17" s="401" t="s">
        <v>2528</v>
      </c>
      <c r="J17" s="401" t="s">
        <v>2529</v>
      </c>
      <c r="K17" s="401" t="s">
        <v>2581</v>
      </c>
      <c r="L17" s="611" t="s">
        <v>3922</v>
      </c>
      <c r="M17" s="401" t="s">
        <v>2582</v>
      </c>
      <c r="N17" s="1" t="s">
        <v>2583</v>
      </c>
      <c r="O17" s="401" t="s">
        <v>2584</v>
      </c>
      <c r="P17" s="401" t="s">
        <v>2585</v>
      </c>
      <c r="Q17" s="401" t="s">
        <v>2586</v>
      </c>
      <c r="R17" s="401" t="s">
        <v>2643</v>
      </c>
      <c r="S17" s="401" t="s">
        <v>2644</v>
      </c>
      <c r="T17" s="401" t="s">
        <v>2645</v>
      </c>
      <c r="U17" s="401" t="s">
        <v>2646</v>
      </c>
      <c r="V17" s="401" t="s">
        <v>2647</v>
      </c>
      <c r="W17" s="401" t="s">
        <v>2648</v>
      </c>
      <c r="X17" s="401" t="s">
        <v>2702</v>
      </c>
      <c r="Y17" s="401" t="s">
        <v>2703</v>
      </c>
      <c r="Z17" s="401" t="s">
        <v>2704</v>
      </c>
      <c r="AA17" s="401" t="s">
        <v>2705</v>
      </c>
      <c r="AB17" s="401" t="s">
        <v>2706</v>
      </c>
      <c r="AC17" s="401" t="s">
        <v>2767</v>
      </c>
      <c r="AD17" s="401" t="s">
        <v>2768</v>
      </c>
      <c r="AE17" s="401" t="s">
        <v>2769</v>
      </c>
      <c r="AF17" s="401" t="s">
        <v>2770</v>
      </c>
      <c r="AG17" s="401" t="s">
        <v>2771</v>
      </c>
      <c r="AH17" s="401" t="s">
        <v>2772</v>
      </c>
      <c r="AI17" s="401" t="s">
        <v>2773</v>
      </c>
      <c r="AJ17" s="652" t="s">
        <v>4085</v>
      </c>
      <c r="AK17" s="653" t="s">
        <v>4094</v>
      </c>
      <c r="AL17" s="653" t="s">
        <v>4104</v>
      </c>
      <c r="AM17" s="653" t="s">
        <v>4636</v>
      </c>
    </row>
    <row r="18" spans="1:39" ht="225">
      <c r="A18" s="609">
        <v>7</v>
      </c>
      <c r="B18" s="1014" t="s">
        <v>3185</v>
      </c>
      <c r="C18" s="1014"/>
      <c r="D18" s="166" t="s">
        <v>2936</v>
      </c>
      <c r="E18" s="167" t="s">
        <v>2940</v>
      </c>
      <c r="F18" s="167" t="s">
        <v>2941</v>
      </c>
      <c r="G18" s="167" t="s">
        <v>2530</v>
      </c>
      <c r="H18" s="167" t="s">
        <v>2531</v>
      </c>
      <c r="I18" s="167" t="s">
        <v>2532</v>
      </c>
      <c r="J18" s="167" t="s">
        <v>2533</v>
      </c>
      <c r="K18" s="167" t="s">
        <v>2587</v>
      </c>
      <c r="L18" s="167" t="s">
        <v>3923</v>
      </c>
      <c r="M18" s="166" t="s">
        <v>2588</v>
      </c>
      <c r="N18" s="166" t="s">
        <v>2589</v>
      </c>
      <c r="O18" s="166" t="s">
        <v>2590</v>
      </c>
      <c r="P18" s="166" t="s">
        <v>2591</v>
      </c>
      <c r="Q18" s="166" t="s">
        <v>2592</v>
      </c>
      <c r="R18" s="166" t="s">
        <v>2649</v>
      </c>
      <c r="S18" s="166" t="s">
        <v>2650</v>
      </c>
      <c r="T18" s="166" t="s">
        <v>2651</v>
      </c>
      <c r="U18" s="166" t="s">
        <v>2652</v>
      </c>
      <c r="V18" s="166" t="s">
        <v>2653</v>
      </c>
      <c r="W18" s="166" t="s">
        <v>2654</v>
      </c>
      <c r="X18" s="166" t="s">
        <v>2707</v>
      </c>
      <c r="Y18" s="166" t="s">
        <v>2708</v>
      </c>
      <c r="Z18" s="166" t="s">
        <v>2709</v>
      </c>
      <c r="AA18" s="166" t="s">
        <v>2710</v>
      </c>
      <c r="AB18" s="166" t="s">
        <v>2711</v>
      </c>
      <c r="AC18" s="166" t="s">
        <v>2807</v>
      </c>
      <c r="AD18" s="166" t="s">
        <v>2774</v>
      </c>
      <c r="AE18" s="166" t="s">
        <v>2775</v>
      </c>
      <c r="AF18" s="166" t="s">
        <v>2776</v>
      </c>
      <c r="AG18" s="166" t="s">
        <v>2777</v>
      </c>
      <c r="AH18" s="166" t="s">
        <v>2778</v>
      </c>
      <c r="AI18" s="166" t="s">
        <v>2779</v>
      </c>
      <c r="AJ18" s="654" t="s">
        <v>4086</v>
      </c>
      <c r="AK18" s="654" t="s">
        <v>4096</v>
      </c>
      <c r="AL18" s="654" t="s">
        <v>4105</v>
      </c>
      <c r="AM18" s="654" t="s">
        <v>4637</v>
      </c>
    </row>
    <row r="19" spans="1:39" ht="225">
      <c r="A19" s="609">
        <v>8</v>
      </c>
      <c r="B19" s="1014" t="s">
        <v>3188</v>
      </c>
      <c r="C19" s="1014"/>
      <c r="D19" s="401" t="s">
        <v>2939</v>
      </c>
      <c r="E19" s="401" t="s">
        <v>2943</v>
      </c>
      <c r="F19" s="401" t="s">
        <v>2944</v>
      </c>
      <c r="G19" s="401" t="s">
        <v>2534</v>
      </c>
      <c r="H19" s="401" t="s">
        <v>2535</v>
      </c>
      <c r="I19" s="401" t="s">
        <v>2536</v>
      </c>
      <c r="J19" s="401" t="s">
        <v>2537</v>
      </c>
      <c r="K19" s="401" t="s">
        <v>2593</v>
      </c>
      <c r="L19" s="611" t="s">
        <v>3924</v>
      </c>
      <c r="M19" s="401" t="s">
        <v>2594</v>
      </c>
      <c r="N19" s="1" t="s">
        <v>2595</v>
      </c>
      <c r="O19" s="401" t="s">
        <v>2596</v>
      </c>
      <c r="P19" s="401" t="s">
        <v>2597</v>
      </c>
      <c r="Q19" s="401" t="s">
        <v>2598</v>
      </c>
      <c r="R19" s="401" t="s">
        <v>2655</v>
      </c>
      <c r="S19" s="401" t="s">
        <v>2656</v>
      </c>
      <c r="T19" s="401" t="s">
        <v>2657</v>
      </c>
      <c r="U19" s="401" t="s">
        <v>2658</v>
      </c>
      <c r="V19" s="401" t="s">
        <v>2659</v>
      </c>
      <c r="W19" s="401" t="s">
        <v>2660</v>
      </c>
      <c r="X19" s="401" t="s">
        <v>2712</v>
      </c>
      <c r="Y19" s="401" t="s">
        <v>2713</v>
      </c>
      <c r="Z19" s="401" t="s">
        <v>2714</v>
      </c>
      <c r="AA19" s="401" t="s">
        <v>2715</v>
      </c>
      <c r="AB19" s="401" t="s">
        <v>2716</v>
      </c>
      <c r="AC19" s="401" t="s">
        <v>2780</v>
      </c>
      <c r="AD19" s="401" t="s">
        <v>2781</v>
      </c>
      <c r="AE19" s="401" t="s">
        <v>2782</v>
      </c>
      <c r="AF19" s="401" t="s">
        <v>2783</v>
      </c>
      <c r="AG19" s="401" t="s">
        <v>2784</v>
      </c>
      <c r="AH19" s="401" t="s">
        <v>2785</v>
      </c>
      <c r="AI19" s="401" t="s">
        <v>2786</v>
      </c>
      <c r="AJ19" s="653" t="s">
        <v>4088</v>
      </c>
      <c r="AK19" s="653" t="s">
        <v>4097</v>
      </c>
      <c r="AL19" s="653" t="s">
        <v>4106</v>
      </c>
      <c r="AM19" s="653" t="s">
        <v>4638</v>
      </c>
    </row>
    <row r="20" spans="1:39" ht="270">
      <c r="A20" s="609">
        <v>9</v>
      </c>
      <c r="B20" s="1014" t="s">
        <v>3186</v>
      </c>
      <c r="C20" s="1014"/>
      <c r="D20" s="166" t="s">
        <v>2942</v>
      </c>
      <c r="E20" s="167" t="s">
        <v>2946</v>
      </c>
      <c r="F20" s="167" t="s">
        <v>2947</v>
      </c>
      <c r="G20" s="167" t="s">
        <v>2538</v>
      </c>
      <c r="H20" s="167" t="s">
        <v>2539</v>
      </c>
      <c r="I20" s="167" t="s">
        <v>2540</v>
      </c>
      <c r="J20" s="167" t="s">
        <v>3916</v>
      </c>
      <c r="K20" s="167" t="s">
        <v>2599</v>
      </c>
      <c r="L20" s="167" t="s">
        <v>3925</v>
      </c>
      <c r="M20" s="166" t="s">
        <v>2600</v>
      </c>
      <c r="N20" s="166" t="s">
        <v>2601</v>
      </c>
      <c r="O20" s="166" t="s">
        <v>2602</v>
      </c>
      <c r="P20" s="166" t="s">
        <v>2603</v>
      </c>
      <c r="Q20" s="166" t="s">
        <v>2604</v>
      </c>
      <c r="R20" s="166" t="s">
        <v>3915</v>
      </c>
      <c r="S20" s="166" t="s">
        <v>2662</v>
      </c>
      <c r="T20" s="166" t="s">
        <v>2663</v>
      </c>
      <c r="U20" s="166" t="s">
        <v>2664</v>
      </c>
      <c r="V20" s="166" t="s">
        <v>3914</v>
      </c>
      <c r="W20" s="166" t="s">
        <v>2666</v>
      </c>
      <c r="X20" s="166" t="s">
        <v>2717</v>
      </c>
      <c r="Y20" s="166" t="s">
        <v>2718</v>
      </c>
      <c r="Z20" s="166" t="s">
        <v>2719</v>
      </c>
      <c r="AA20" s="166" t="s">
        <v>2720</v>
      </c>
      <c r="AB20" s="166" t="s">
        <v>2721</v>
      </c>
      <c r="AC20" s="166" t="s">
        <v>3912</v>
      </c>
      <c r="AD20" s="166" t="s">
        <v>2788</v>
      </c>
      <c r="AE20" s="166" t="s">
        <v>2789</v>
      </c>
      <c r="AF20" s="166" t="s">
        <v>3913</v>
      </c>
      <c r="AG20" s="166" t="s">
        <v>2791</v>
      </c>
      <c r="AH20" s="166" t="s">
        <v>2792</v>
      </c>
      <c r="AI20" s="166" t="s">
        <v>2793</v>
      </c>
      <c r="AJ20" s="654" t="s">
        <v>4087</v>
      </c>
      <c r="AK20" s="654" t="s">
        <v>4098</v>
      </c>
      <c r="AL20" s="651" t="s">
        <v>4107</v>
      </c>
      <c r="AM20" s="654" t="s">
        <v>4639</v>
      </c>
    </row>
    <row r="21" spans="1:39" ht="195">
      <c r="A21" s="609">
        <v>10</v>
      </c>
      <c r="B21" s="1014" t="s">
        <v>2508</v>
      </c>
      <c r="C21" s="1014"/>
      <c r="D21" s="401" t="s">
        <v>2945</v>
      </c>
      <c r="E21" s="401" t="s">
        <v>2949</v>
      </c>
      <c r="F21" s="401" t="s">
        <v>2950</v>
      </c>
      <c r="G21" s="401" t="s">
        <v>2542</v>
      </c>
      <c r="H21" s="401" t="s">
        <v>2543</v>
      </c>
      <c r="I21" s="401" t="s">
        <v>2544</v>
      </c>
      <c r="J21" s="401" t="s">
        <v>2545</v>
      </c>
      <c r="K21" s="401" t="s">
        <v>2605</v>
      </c>
      <c r="L21" s="611" t="s">
        <v>3926</v>
      </c>
      <c r="M21" s="401" t="s">
        <v>2606</v>
      </c>
      <c r="N21" s="1" t="s">
        <v>2607</v>
      </c>
      <c r="O21" s="401" t="s">
        <v>2608</v>
      </c>
      <c r="P21" s="401" t="s">
        <v>2609</v>
      </c>
      <c r="Q21" s="401" t="s">
        <v>2610</v>
      </c>
      <c r="R21" s="401" t="s">
        <v>2667</v>
      </c>
      <c r="S21" s="401" t="s">
        <v>2668</v>
      </c>
      <c r="T21" s="401" t="s">
        <v>2669</v>
      </c>
      <c r="U21" s="401" t="s">
        <v>2670</v>
      </c>
      <c r="V21" s="401" t="s">
        <v>2671</v>
      </c>
      <c r="W21" s="401" t="s">
        <v>2672</v>
      </c>
      <c r="X21" s="401" t="s">
        <v>2722</v>
      </c>
      <c r="Y21" s="401" t="s">
        <v>2723</v>
      </c>
      <c r="Z21" s="401" t="s">
        <v>2724</v>
      </c>
      <c r="AA21" s="401" t="s">
        <v>2725</v>
      </c>
      <c r="AB21" s="401" t="s">
        <v>2726</v>
      </c>
      <c r="AC21" s="401" t="s">
        <v>2794</v>
      </c>
      <c r="AD21" s="401" t="s">
        <v>2795</v>
      </c>
      <c r="AE21" s="401" t="s">
        <v>2796</v>
      </c>
      <c r="AF21" s="401" t="s">
        <v>2797</v>
      </c>
      <c r="AG21" s="401" t="s">
        <v>2798</v>
      </c>
      <c r="AH21" s="401" t="s">
        <v>2799</v>
      </c>
      <c r="AI21" s="401" t="s">
        <v>2800</v>
      </c>
      <c r="AJ21" s="653" t="s">
        <v>4089</v>
      </c>
      <c r="AK21" s="653" t="s">
        <v>4099</v>
      </c>
      <c r="AL21" s="653" t="s">
        <v>4108</v>
      </c>
      <c r="AM21" s="653" t="s">
        <v>4640</v>
      </c>
    </row>
    <row r="22" spans="1:39" ht="255">
      <c r="A22" s="609">
        <v>11</v>
      </c>
      <c r="B22" s="1012" t="s">
        <v>2509</v>
      </c>
      <c r="C22" s="1013"/>
      <c r="D22" s="166" t="s">
        <v>2948</v>
      </c>
      <c r="E22" s="167" t="s">
        <v>2808</v>
      </c>
      <c r="F22" s="167" t="s">
        <v>2809</v>
      </c>
      <c r="G22" s="167" t="s">
        <v>2546</v>
      </c>
      <c r="H22" s="167" t="s">
        <v>2547</v>
      </c>
      <c r="I22" s="167" t="s">
        <v>2548</v>
      </c>
      <c r="J22" s="167" t="s">
        <v>2549</v>
      </c>
      <c r="K22" s="167" t="s">
        <v>2611</v>
      </c>
      <c r="L22" s="167" t="s">
        <v>3927</v>
      </c>
      <c r="M22" s="166" t="s">
        <v>2612</v>
      </c>
      <c r="N22" s="166" t="s">
        <v>2613</v>
      </c>
      <c r="O22" s="166" t="s">
        <v>2614</v>
      </c>
      <c r="P22" s="166" t="s">
        <v>2615</v>
      </c>
      <c r="Q22" s="166" t="s">
        <v>2616</v>
      </c>
      <c r="R22" s="166" t="s">
        <v>2673</v>
      </c>
      <c r="S22" s="166" t="s">
        <v>2674</v>
      </c>
      <c r="T22" s="166" t="s">
        <v>2675</v>
      </c>
      <c r="U22" s="166" t="s">
        <v>2676</v>
      </c>
      <c r="V22" s="166" t="s">
        <v>2677</v>
      </c>
      <c r="W22" s="166" t="s">
        <v>2678</v>
      </c>
      <c r="X22" s="166" t="s">
        <v>2727</v>
      </c>
      <c r="Y22" s="166" t="s">
        <v>2728</v>
      </c>
      <c r="Z22" s="166" t="s">
        <v>2729</v>
      </c>
      <c r="AA22" s="166" t="s">
        <v>2730</v>
      </c>
      <c r="AB22" s="166" t="s">
        <v>2731</v>
      </c>
      <c r="AC22" s="166" t="s">
        <v>2801</v>
      </c>
      <c r="AD22" s="166" t="s">
        <v>2802</v>
      </c>
      <c r="AE22" s="166" t="s">
        <v>2803</v>
      </c>
      <c r="AF22" s="166" t="s">
        <v>2804</v>
      </c>
      <c r="AG22" s="166" t="s">
        <v>2805</v>
      </c>
      <c r="AH22" s="166" t="s">
        <v>2802</v>
      </c>
      <c r="AI22" s="166" t="s">
        <v>2806</v>
      </c>
      <c r="AJ22" s="651" t="s">
        <v>4090</v>
      </c>
      <c r="AK22" s="654" t="s">
        <v>4100</v>
      </c>
      <c r="AL22" s="654" t="s">
        <v>4109</v>
      </c>
      <c r="AM22" s="654" t="s">
        <v>4641</v>
      </c>
    </row>
    <row r="23" spans="1:39" hidden="1">
      <c r="D23" s="11"/>
      <c r="K23" s="239"/>
      <c r="L23" s="563"/>
    </row>
    <row r="25" spans="1:39" hidden="1">
      <c r="D25" s="146"/>
      <c r="E25" s="146"/>
      <c r="F25" s="146"/>
      <c r="G25" s="146"/>
    </row>
    <row r="26" spans="1:39" hidden="1">
      <c r="D26" s="168"/>
      <c r="E26" s="159"/>
      <c r="F26" s="159"/>
      <c r="G26" s="159"/>
    </row>
    <row r="27" spans="1:39" hidden="1">
      <c r="D27" s="168"/>
      <c r="E27" s="159"/>
      <c r="F27" s="159"/>
      <c r="G27" s="159"/>
    </row>
    <row r="28" spans="1:39" hidden="1">
      <c r="D28" s="168"/>
      <c r="E28" s="147"/>
      <c r="F28" s="159"/>
      <c r="G28" s="159"/>
    </row>
    <row r="29" spans="1:39" hidden="1">
      <c r="D29" s="168"/>
      <c r="E29" s="159"/>
      <c r="F29" s="159"/>
      <c r="G29" s="159"/>
    </row>
    <row r="30" spans="1:39" hidden="1">
      <c r="D30" s="168"/>
      <c r="E30" s="147"/>
      <c r="F30" s="159"/>
      <c r="G30" s="159"/>
    </row>
    <row r="31" spans="1:39" hidden="1">
      <c r="D31" s="168"/>
      <c r="E31" s="147"/>
      <c r="F31" s="159"/>
      <c r="G31" s="159"/>
    </row>
    <row r="32" spans="1:39" hidden="1">
      <c r="D32" s="168"/>
      <c r="E32" s="159"/>
      <c r="F32" s="159"/>
      <c r="G32" s="159"/>
    </row>
    <row r="33" spans="4:7" hidden="1">
      <c r="D33" s="168"/>
      <c r="E33" s="159"/>
      <c r="F33" s="159"/>
      <c r="G33" s="159"/>
    </row>
    <row r="34" spans="4:7" hidden="1">
      <c r="D34" s="168"/>
      <c r="E34" s="159"/>
      <c r="F34" s="159"/>
      <c r="G34" s="159"/>
    </row>
    <row r="35" spans="4:7" hidden="1">
      <c r="D35" s="168"/>
      <c r="E35" s="147"/>
      <c r="F35" s="159"/>
      <c r="G35" s="159"/>
    </row>
    <row r="36" spans="4:7" hidden="1">
      <c r="D36" s="168"/>
      <c r="E36" s="147"/>
      <c r="F36" s="159"/>
      <c r="G36" s="159"/>
    </row>
    <row r="38" spans="4:7" hidden="1">
      <c r="D38" s="169"/>
    </row>
  </sheetData>
  <sheetProtection algorithmName="SHA-512" hashValue="WOIJg0/JkA8AILthAHcvLrFqyFe5J1MKYlUdf+8827UnB7hR/a8hNGpne5CIJQyeG5pSw1Durq7JpJ7I795Q1Q==" saltValue="0Ktr5v3RIT9twJKGBk1cLA==" spinCount="100000" sheet="1" objects="1" scenarios="1"/>
  <mergeCells count="20">
    <mergeCell ref="D1:E2"/>
    <mergeCell ref="B7:C7"/>
    <mergeCell ref="B1:C2"/>
    <mergeCell ref="B4:C6"/>
    <mergeCell ref="F1:I2"/>
    <mergeCell ref="B10:C10"/>
    <mergeCell ref="B11:C11"/>
    <mergeCell ref="B12:C12"/>
    <mergeCell ref="B9:C9"/>
    <mergeCell ref="B8:C8"/>
    <mergeCell ref="B22:C22"/>
    <mergeCell ref="B21:C21"/>
    <mergeCell ref="B13:C13"/>
    <mergeCell ref="B14:C14"/>
    <mergeCell ref="B15:C15"/>
    <mergeCell ref="B17:C17"/>
    <mergeCell ref="B18:C18"/>
    <mergeCell ref="B19:C19"/>
    <mergeCell ref="B20:C20"/>
    <mergeCell ref="B16:C16"/>
  </mergeCells>
  <conditionalFormatting sqref="B3:C3 B4">
    <cfRule type="expression" dxfId="26" priority="3">
      <formula>B3=Länderwahl</formula>
    </cfRule>
  </conditionalFormatting>
  <conditionalFormatting sqref="D8:AM8">
    <cfRule type="expression" dxfId="25" priority="1">
      <formula>D8=$B$3</formula>
    </cfRule>
  </conditionalFormatting>
  <hyperlinks>
    <hyperlink ref="J22" r:id="rId1" tooltip="The French Social Security System Introduction - France" display="https://www.cleiss.fr/docs/regimes/regime_france/an_0.html?utm_source=chatgpt.com" xr:uid="{9552435A-C4CD-4C4E-AF6E-9FD93902ED6B}"/>
    <hyperlink ref="I22" r:id="rId2" tooltip="Social insurance contributions" display="https://www.vero.fi/en/businesses-and-corporations/taxes-and-charges/being-an-employer/social-insurance-contributions/?utm_source=chatgpt.com" xr:uid="{79E11247-AEAB-41DE-9120-7278C81AC775}"/>
    <hyperlink ref="H22" r:id="rId3" tooltip="The old age pension — Pensionikeskus" display="https://www.pensionikeskus.ee/en/i-pillar/state-pension/old-age-pension/" xr:uid="{CA27E343-8CC4-4406-959C-F9B3DB11F76F}"/>
    <hyperlink ref="G22" r:id="rId4" tooltip="Kranken- und Pflegeversicherung der Rentner" display="https://www.deutsche-rentenversicherung.de/DRV/DE/Rente/In-der-Rente/Kranken-und-Pflegeversicherung-der-Rentner/kranken-und-pflegeversicherung-der-rentner_node.html?utm_source=chatgpt.com" xr:uid="{C73D8A54-B641-45DC-848C-BCB386B5121D}"/>
    <hyperlink ref="J21" r:id="rId5" tooltip="I am a non-resident. Declaration of wages, salaries and ..." display="https://www.impots.gouv.fr/international-particulier/questions/assessment-and-declaration-wages-salaries-and-pensions?utm_source=chatgpt.com" xr:uid="{D6EDB550-7A87-4C8F-A13B-C59280F24789}"/>
    <hyperlink ref="I21" r:id="rId6" tooltip="Current information on pensions and taxation - Finnish ..." display="https://www.etk.fi/en/finnish-pension-system/pensions/overview-of-pensions/current-information-on-pensions-and-taxation/?utm_source=chatgpt.com" xr:uid="{F82B8A55-1352-43E6-9D6B-423D0817D940}"/>
    <hyperlink ref="H21" r:id="rId7" tooltip="Basic exemption at pensionable age | Estonian Tax and Customs Board" display="https://www.emta.ee/en/private-client/taxes-and-payment/tax-incentives/basic-exemption-pensionable-age" xr:uid="{18C79CCA-E190-4F47-B4F2-256E90AB5767}"/>
    <hyperlink ref="G21" r:id="rId8" tooltip="Steueranteil für Neu-Rentner liegt 2026 bei 84 Prozent" display="https://www.deutsche-rentenversicherung.de/DRV/DE/Ueber-uns-und-Presse/Presse/Meldungen/2026/20260216-steueranteil-neurentner.html?utm_source=chatgpt.com" xr:uid="{835F04EE-857B-491E-B5AB-9808662A8B41}"/>
    <hyperlink ref="J20" r:id="rId9" tooltip="My rights" display="https://www.lassuranceretraite.fr/portail-info/hors-menu/traductions/english/my-rights.html" xr:uid="{1B9B6A69-D2A9-4398-AA9D-5B086EA91A4D}"/>
    <hyperlink ref="I20" r:id="rId10" tooltip="Survivors' Pension - Finnish Centre for Pensions" display="https://www.etk.fi/en/finnish-pension-system/pensions/earnings-related-pension-benefits/survivors-pension/?utm_source=chatgpt.com" xr:uid="{841AE059-24A2-44C3-9646-6D43A0EA7DA0}"/>
    <hyperlink ref="H20" r:id="rId11" tooltip="State Pension Insurance Act–Riigi Teataja" display="https://www.riigiteataja.ee/en/eli/504022019001/consolide" xr:uid="{C149878F-59D8-4FC1-B92F-A08059A4E086}"/>
    <hyperlink ref="G20" r:id="rId12" tooltip="Geschiedenenrente" display="https://www.deutsche-rentenversicherung.de/SharedDocs/Glossareintraege/DE/G/geschiedenenrente.html?utm_source=chatgpt.com" xr:uid="{8B5AEA8D-A6A5-481B-9DA4-2F0AC81BB276}"/>
    <hyperlink ref="J19" r:id="rId13" tooltip="My rights" display="https://www.lassuranceretraite.fr/portail-info/hors-menu/traductions/english/my-rights.html" xr:uid="{38077EB5-5902-436E-BEB1-DFF35788931C}"/>
    <hyperlink ref="I19" r:id="rId14" tooltip="Survivors' pensions when you lose a family wage earner - Työeläke.fi" display="https://www.tyoelake.fi/en/different-pensions/survivors-pensions-when-you-lose-a-family-wage-earner/" xr:uid="{2B04FE80-42D3-4D03-8764-FFE7DD7D43DE}"/>
    <hyperlink ref="H19" r:id="rId15" tooltip="State Pension Insurance Act–Riigi Teataja" display="https://www.riigiteataja.ee/en/eli/504022019001/consolide" xr:uid="{57800AA1-5044-496C-BDF5-4C5D756A0EE4}"/>
    <hyperlink ref="G19" r:id="rId16" tooltip="Renten für Hinterbliebene" display="https://www.deutsche-rentenversicherung.de/DRV/DE/Rente/Allgemeine-Informationen/Rentenarten-und-Leistungen/Renten-an-Hinterbliebene/renten-an-hinterbliebene_node.html?utm_source=chatgpt.com" xr:uid="{ECCA8CA3-63F5-42C2-ADA3-9ABE8200C9A9}"/>
    <hyperlink ref="J18" r:id="rId17" tooltip="Social Security invalidity pension" display="https://www.service-public.gouv.fr/particuliers/vosdroits/F672?lang=en&amp;utm_source=chatgpt.com" xr:uid="{5C68B992-CF2A-4A7C-AB20-F63753EEC4AF}"/>
    <hyperlink ref="I18" r:id="rId18" tooltip="Disability pension if your working ability has been reduced - Työeläke.fi" display="https://www.tyoelake.fi/en/different-pensions/disability-pension-if-your-working-ability-has-been-reduced/" xr:uid="{FED22184-2D2E-48DC-BE54-636289CE8856}"/>
    <hyperlink ref="H18" r:id="rId19" tooltip="Work Ability Allowance Act–Riigi Teataja" display="https://www.riigiteataja.ee/en/eli/502012026001/consolide" xr:uid="{1F69265E-8BB9-442F-BE0F-BB217739BF9C}"/>
    <hyperlink ref="G18" r:id="rId20" tooltip="Erwerbsminderung" display="https://www.deutsche-rentenversicherung.de/SharedDocs/Glossareintraege/DE/E/erwerbsminderung.html?utm_source=chatgpt.com" xr:uid="{F7A64152-31BE-418D-B2C6-ED5D255CC782}"/>
    <hyperlink ref="J17" r:id="rId21" tooltip="Pensions de retraite de base : quelle revalorisation au 1er ..." display="https://www.service-public.gouv.fr/particuliers/actualites/A17919?utm_source=chatgpt.com" xr:uid="{D2F04A2C-AAFC-43E3-84A7-A9897DB32A9E}"/>
    <hyperlink ref="I17" r:id="rId22" tooltip="Pension indexes" display="https://www.tyoelake.fi/en/how-much-pension/pension-indexes/?utm_source=chatgpt.com" xr:uid="{D3AC61A4-C515-4014-8057-37313E1CC929}"/>
    <hyperlink ref="H17" r:id="rId23" tooltip="Pension indexation | Sotsiaalkindlustusamet" display="https://sotsiaalkindlustusamet.ee/en/pension-and-benefits/pension-amount/pension-indexation" xr:uid="{479FC2D1-9840-42EF-BC7A-3ADC34CF6088}"/>
    <hyperlink ref="G17" r:id="rId24" tooltip="Rentenanpassung" display="https://www.deutsche-rentenversicherung.de/SharedDocs/Glossareintraege/DE/R/rentenanpassung.html?utm_source=chatgpt.com" xr:uid="{6CA43AF2-9691-4B44-B44B-B984BF732673}"/>
    <hyperlink ref="J16" r:id="rId25" tooltip="The French social security system - Retirement" display="https://www.cleiss.fr/docs/regimes/regime_france/an_3.html" xr:uid="{B9D237D1-DDC3-4D68-B7E0-014A5D9029F9}"/>
    <hyperlink ref="I16" r:id="rId26" tooltip="Earnings-related Pension Indexes - Finnish Centre for ..." display="https://www.etk.fi/en/finnish-pension-system/pensions/pension-indexation/earnings-related-pension-indexes/?utm_source=chatgpt.com" xr:uid="{0A5D9C42-B5BA-4D9B-931F-1D9A44CBCACF}"/>
    <hyperlink ref="H16" r:id="rId27" tooltip="The old age pension — Pensionikeskus" display="https://www.pensionikeskus.ee/en/i-pillar/state-pension/old-age-pension/" xr:uid="{F3E24C56-DDB7-4CFD-BFE1-9ED8AB58F48D}"/>
    <hyperlink ref="G16" r:id="rId28" tooltip="Wie wird meine Rente berechnet" display="https://www.deutsche-rentenversicherung.de/DRV/DE/Rente/Allgemeine-Informationen/Wie-wird-meine-Rente-berechnet/wie-wird-meine-rente-berechnet_node.html?utm_source=chatgpt.com" xr:uid="{7CADCBF2-A3D1-446F-A176-8D3A7868DC0D}"/>
    <hyperlink ref="I15" r:id="rId29" tooltip="Old-age pension" display="https://www.kela.fi/old-age-pension?utm_source=chatgpt.com" xr:uid="{F2485A37-E917-4EAE-8347-AC078BA2BB00}"/>
    <hyperlink ref="H15" r:id="rId30" tooltip="State Pension Insurance Act–Riigi Teataja" display="https://www.riigiteataja.ee/en/eli/504022019001/consolide" xr:uid="{6F1C8F93-3DF1-4133-B9E5-B0D90E03FDFD}"/>
    <hyperlink ref="J14" r:id="rId31" tooltip="The French social security system - Rates and ceilings of Social Security and unemployment contributions" display="https://www.cleiss.fr/docs/regimes/regime_france/an_a2.html" xr:uid="{D21D8017-3DAE-4C68-9FB8-E6527B1C36D6}"/>
    <hyperlink ref="I14" r:id="rId32" tooltip="Pension Contributions - Finnish Centre for Pensions" display="https://www.etk.fi/en/finnish-pension-system/financing-and-investments/pension-contributions/?utm_source=chatgpt.com" xr:uid="{13BF9E55-05B2-4762-86AF-1E46FA51991E}"/>
    <hyperlink ref="H14" r:id="rId33" tooltip="The old age pension — Pensionikeskus" display="https://www.pensionikeskus.ee/en/i-pillar/state-pension/old-age-pension/" xr:uid="{6151255A-96A3-424C-8F9F-69516FE7776D}"/>
    <hyperlink ref="G14" r:id="rId34" tooltip="Die Sozialversicherungsrechengrößen 2026" display="https://www.deutsche-rentenversicherung.de/KnappschaftBahnSee/DE/Aktuelles/Meldungen/2026/2026_01_02_Sozialversicherungsrechengroessen2026.html?utm_source=chatgpt.com" xr:uid="{B458602A-317A-4490-BC6F-382D216C1A32}"/>
    <hyperlink ref="J13" r:id="rId35" tooltip="The French social security system - Retirement" display="https://www.cleiss.fr/docs/regimes/regime_france/an_3.html" xr:uid="{82B4C8B2-4E7A-4BC3-A4B9-9A9663ACEFA6}"/>
    <hyperlink ref="I13" r:id="rId36" tooltip="Pension Contributions - Finnish Centre for Pensions" display="https://www.etk.fi/en/finnish-pension-system/financing-and-investments/pension-contributions/?utm_source=chatgpt.com" xr:uid="{F632AC7B-C7B7-49A1-B7BF-35250D1C7332}"/>
    <hyperlink ref="H13" r:id="rId37" tooltip="Retirement age | Sotsiaalkindlustusamet" display="https://sotsiaalkindlustusamet.ee/en/pension-and-benefits/applying-pension/retirement-age" xr:uid="{2E493552-79B5-4B15-8D53-A347F0C78669}"/>
    <hyperlink ref="G13" r:id="rId38" tooltip="Die reguläre Altersrente" display="https://www.deutsche-rentenversicherung.de/DRV/DE/Rente/Allgemeine-Informationen/Rentenarten-und-Leistungen/Die-regulaere-Altersrente/die-regulaere-altersrente_node.html?utm_source=chatgpt.com" xr:uid="{27E16D6D-F950-41D1-9A9D-D9BB49513EAE}"/>
    <hyperlink ref="J9" r:id="rId39" tooltip="How many quarters does an employee need to have to benefit from a full pension? | Service Public" display="https://www.service-public.gouv.fr/particuliers/vosdroits/F35063?lang=en" xr:uid="{02FCD6F3-C081-474C-9B3B-8C44DD786413}"/>
    <hyperlink ref="I9" r:id="rId40" tooltip="Determining the retirement age for the old-age pension" display="https://www.etk.fi/en/finnish-pension-system/pensions/determining-the-life-expectancy-coefficient-and-retirement-age/determining-the-retirement-age-for-the-old-age-pension/?utm_source=chatgpt.com" xr:uid="{9E9BC220-F365-495D-BAD6-FC55A5F96E35}"/>
    <hyperlink ref="H9" r:id="rId41" tooltip="Retirement age | Sotsiaalkindlustusamet" display="Noch nicht endgültig bezifferbar. Das allgemeine Rentenalter liegt 2026 bei 65 Jahren und wird ab 2027 an die Lebenserwartung gekoppelt; Änderungen werden jeweils zwei Jahre vorher festgelegt und dürfen höchstens drei Monate pro Jahr betragen. Für Jahrgang 1976, der 2041 65 wird, ist daher das konkrete Regelalter heute nicht abschließend festgelegt. (Sotsiaalkindlustusamet)" xr:uid="{0365A16D-5814-41AF-9E5B-35E3545AD74E}"/>
    <hyperlink ref="G9" r:id="rId42" tooltip="Renten für langjährig und besonders langjährig Versicherte" display="https://www.deutsche-rentenversicherung.de/DRV/DE/Rente/Allgemeine-Informationen/Rentenarten-und-Leistungen/Altersrente-fuer-langjaehrig-Versicherte/Altersrente_fuer_langjaehrig_Versicherte.html?utm_source=chatgpt.com" xr:uid="{E05C8274-8C01-461D-A83C-0798884AB903}"/>
    <hyperlink ref="K9" r:id="rId43" tooltip="Primary pension - Ministry of Labour and Social Affairs" display="https://ypergasias.gov.gr/en/social-security/pensions/primary-pension/" xr:uid="{5D0B63A1-0658-4F29-9558-05E290FC56CA}"/>
    <hyperlink ref="M9" r:id="rId44" tooltip="_x000a_            _x000a_                _x000a_            _x000a_            _x000a_                _x000a_                    State Pension (Contributory)_x000a_                _x000a_            _x000a_            _x000a_                _x000a_            _x000a_        " display="https://www.gov.ie/en/department-of-social-protection/services/state-pension-contributory/" xr:uid="{F8675425-189C-4D54-A5C4-BA3A19405D1F}"/>
    <hyperlink ref="N9" r:id="rId45" tooltip="The Icelandic Pension System | Nordic cooperation" display="https://www.norden.org/en/info-norden/icelandic-pension-system" xr:uid="{929CEFD7-68F3-408F-8C27-41A827A944C7}"/>
    <hyperlink ref="O9" r:id="rId46" tooltip="Portale Inps - Old-age pension" display="https://www.inps.it/it/en/dettaglio-scheda.en.schede-servizio-strumento.schede-servizi.pensione-di-vecchiaia.html" xr:uid="{8B7A8151-E998-4045-85C2-D7F65476CE70}"/>
    <hyperlink ref="P9" r:id="rId47" tooltip="Old-age pension – Migracije" display="https://migracije.hr/old-age-pension/?lang=en" xr:uid="{CAF35428-BB04-4737-94D5-51BF8347AE52}"/>
    <hyperlink ref="Q9" r:id="rId48" tooltip="Granting and payment of an old-age pension | Valsts sociālās apdrošināšanas aģentūra" display="https://www.vsaa.gov.lv/en/services/granting-and-payment-old-age-pension" xr:uid="{0BC3B570-9643-46D0-AEE4-2A95197284D1}"/>
    <hyperlink ref="K13" r:id="rId49" tooltip="Primary pension - Ministry of Labour and Social Affairs" display="https://ypergasias.gov.gr/en/social-security/pensions/primary-pension/" xr:uid="{3B5B588A-1579-454A-B412-DE44CCB771FC}"/>
    <hyperlink ref="N13" r:id="rId50" tooltip="The Icelandic Pension System | Nordic cooperation" display="https://www.norden.org/en/info-norden/icelandic-pension-system" xr:uid="{82C110F9-87B7-433D-956D-C22D8DD205C3}"/>
    <hyperlink ref="O13" r:id="rId51" tooltip="Portale Inps - Old-age pension" display="https://www.inps.it/it/en/dettaglio-scheda.en.schede-servizio-strumento.schede-servizi.pensione-di-vecchiaia.html" xr:uid="{E6417AE3-E061-4142-ACC9-4325DD218063}"/>
    <hyperlink ref="P13" r:id="rId52" tooltip="How Is Your Pension Determined? | Hrvatski zavod za mirovinsko osiguranje" display="https://www.mirovinsko.hr/en/how-is-your-pension-determined/188" xr:uid="{DD4A0A18-6CF4-4065-A2B1-2E74BA9FEAFB}"/>
    <hyperlink ref="Q13" r:id="rId53" tooltip="Pension policy | Labklājības ministrija" display="https://www.lm.gov.lv/en/pension-policy" xr:uid="{A97C4E3A-9BEC-4A51-9DE6-0F4BF02D6B3D}"/>
    <hyperlink ref="K14" r:id="rId54" tooltip="Insurance contributions - Ministry of Labour and Social Affairs" display="https://ypergasias.gov.gr/en/social-security/insured-persons/insurance-contributions/?utm_source=chatgpt.com" xr:uid="{BEA1E6E9-0851-4F4E-A865-84FEE49E2D3F}"/>
    <hyperlink ref="M14" r:id="rId55" tooltip="Applying for the State Pension (Contributory)" display="https://www.citizensinformation.ie/en/social-welfare/older-and-retired-people/state-pension-contributory/" xr:uid="{64AE760F-E9C2-47D3-9006-31C13F8B1C7F}"/>
    <hyperlink ref="N14" r:id="rId56" tooltip="Iceland - Individual - Other taxes" display="https://taxsummaries.pwc.com/iceland/individual/other-taxes" xr:uid="{E0294C77-1F43-4D81-B500-0DCB8BE44D1C}"/>
    <hyperlink ref="O14" r:id="rId57" tooltip="Portale Inps - Old-age pension" display="https://www.inps.it/it/en/dettaglio-scheda.en.schede-servizio-strumento.schede-servizi.pensione-di-vecchiaia.html" xr:uid="{70DC8934-C9CF-4DF5-86F5-3CDDEDE36112}"/>
    <hyperlink ref="P14" r:id="rId58" tooltip="Contributions" display="https://migracije.hr/contributions/?lang=en&amp;utm_source=chatgpt.com" xr:uid="{B96A0C1C-BE16-49F1-AD37-F986DCB140DE}"/>
    <hyperlink ref="Q14" r:id="rId59" tooltip="Pension policy | Labklājības ministrija" display="https://www.lm.gov.lv/en/pension-policy" xr:uid="{2EC9B904-63CD-49BE-93FD-E4FBA1C09D68}"/>
    <hyperlink ref="K15" r:id="rId60" tooltip="Primary pension - Ministry of Labour and Social Affairs" display="https://ypergasias.gov.gr/en/social-security/pensions/primary-pension/" xr:uid="{25B26DC7-4176-43EA-9B51-8E796CD6E880}"/>
    <hyperlink ref="M15" r:id="rId61" tooltip="MyWelfare, Department of Social Protection - Online Services" display="https://services.mywelfare.ie/en/topics/pensions-and-older-people/state-pension/" xr:uid="{B43490CF-AC88-4206-B380-52648B06F0B9}"/>
    <hyperlink ref="N15" r:id="rId62" tooltip="The Icelandic Pension System | Nordic cooperation" display="https://www.norden.org/en/info-norden/icelandic-pension-system" xr:uid="{FFEB1CA7-4628-4446-8E8F-5A81C6FF31E6}"/>
    <hyperlink ref="O15" r:id="rId63" tooltip="Social Security Programs Throughout the World: Europe, 2018 - Italy" display="https://www.ssa.gov/policy/docs/progdesc/ssptw/2018-2019/europe/italy.html" xr:uid="{F5955F59-7FC0-43ED-910B-0C2A9BD7F4F3}"/>
    <hyperlink ref="P15" r:id="rId64" tooltip="National Benefit for the Elderly (National Pension)" display="https://www.mirovinsko.hr/en/national-benefit-for-the-elderly-national-pension-1911/1910?utm_source=chatgpt.com" xr:uid="{1B817B40-DF37-4E3B-8189-912CA42E2E43}"/>
    <hyperlink ref="Q15" r:id="rId65" tooltip="State pensions | Labklājības ministrija" display="https://www.lm.gov.lv/en/state-pensions-0" xr:uid="{BEEDB2B2-7BA8-4F83-92B7-278FF41A5233}"/>
    <hyperlink ref="K16" r:id="rId66" tooltip="Primary pension - Ministry of Labour and Social Affairs" display="https://ypergasias.gov.gr/en/social-security/pensions/primary-pension/" xr:uid="{C6E4085C-CE66-41EA-B645-9B625BA1A590}"/>
    <hyperlink ref="M16" r:id="rId67" tooltip="Applying for the State Pension (Contributory)" display="https://www.citizensinformation.ie/en/social-welfare/older-and-retired-people/state-pension-contributory/" xr:uid="{A5353F2E-9280-43AE-926D-F017F91E10D6}"/>
    <hyperlink ref="N16" r:id="rId68" tooltip="The Icelandic Pension System | Nordic cooperation" display="https://www.norden.org/en/info-norden/icelandic-pension-system" xr:uid="{D91AFD76-3065-4F28-A1D3-EEEC8442FEB4}"/>
    <hyperlink ref="O16" r:id="rId69" tooltip="Social Security Programs Throughout the World: Europe, 2018 - Italy" display="https://www.ssa.gov/policy/docs/progdesc/ssptw/2018-2019/europe/italy.html" xr:uid="{C83AE0D8-01A3-4E60-9CEF-F092270FE17D}"/>
    <hyperlink ref="P16" r:id="rId70" tooltip="How Is Your Pension Determined? | Hrvatski zavod za mirovinsko osiguranje" display="https://www.mirovinsko.hr/en/how-is-your-pension-determined/188" xr:uid="{5F3111D1-FA09-4587-BFF9-BA5657D93EE1}"/>
    <hyperlink ref="Q16" r:id="rId71" tooltip="Pension policy | Labklājības ministrija" display="https://www.lm.gov.lv/en/pension-policy" xr:uid="{E4946433-A383-41FA-AAA3-44A4ED3BDC23}"/>
    <hyperlink ref="K17" r:id="rId72" tooltip="Greece" display="https://www.issa.int/sites/default/files/documents/2024-12/Greece.pdf?utm_source=chatgpt.com" xr:uid="{014114DD-5210-4852-AFBC-7E5B819E37FD}"/>
    <hyperlink ref="M17" r:id="rId73" tooltip="Budget 2026" display="https://www.gov.ie/en/department-of-social-protection/publications/budget-2026/?utm_source=chatgpt.com" xr:uid="{1416A374-BA11-4E1F-A267-AB51B2C99B0F}"/>
    <hyperlink ref="N17" r:id="rId74" tooltip="The Icelandic Pension System | Nordic cooperation" display="https://www.norden.org/en/info-norden/icelandic-pension-system" xr:uid="{1517EAA3-F02C-4B8B-AB5A-002502087828}"/>
    <hyperlink ref="O17" r:id="rId75" tooltip="Social Security Programs Throughout the World: Europe, 2018 - Italy" display="https://www.ssa.gov/policy/docs/progdesc/ssptw/2018-2019/europe/italy.html" xr:uid="{AAD511A2-0D34-4F92-AD64-196F200571D7}"/>
    <hyperlink ref="P17" r:id="rId76" tooltip="HZMO confirms: Increased pensions are arriving ahead of ..." display="https://www.portal.hr/en/novosti/hr/104050-iz-hzmo-a-doznajemo-isplata-uvecanih-mirovina-planirana-i-prije-zakonskog-roka?utm_source=chatgpt.com" xr:uid="{47493E08-DA0A-485B-97C0-9B21670E6254}"/>
    <hyperlink ref="Q17" r:id="rId77" tooltip="Old-age pension | Labklājības ministrija" display="https://www.lm.gov.lv/en/old-age-pension" xr:uid="{7CC636D8-561F-4DAD-866D-C6E5F4C485FB}"/>
    <hyperlink ref="K18" r:id="rId78" tooltip="Primary pension - Ministry of Labour and Social Affairs" display="https://ypergasias.gov.gr/en/social-security/pensions/primary-pension/" xr:uid="{612583F7-3B2F-49F8-ADAD-3000533AF2A6}"/>
    <hyperlink ref="M18" r:id="rId79" tooltip="_x000a_            _x000a_                _x000a_            _x000a_            _x000a_                _x000a_                    Invalidity Pension_x000a_                _x000a_            _x000a_            _x000a_                _x000a_            _x000a_        " display="https://www.gov.ie/en/department-of-social-protection/services/invalidity-pension/" xr:uid="{D9079534-F6A4-45FC-8F32-85502613E8BD}"/>
    <hyperlink ref="N18" r:id="rId80" tooltip="Disability pension in Iceland | Nordic cooperation" display="https://www.norden.org/en/info-norden/disability-pension-iceland" xr:uid="{AB8ADDF9-6CC4-47E7-876D-62547B35955B}"/>
    <hyperlink ref="O18" r:id="rId81" tooltip="Pensions and social security – Ambasciata d'Italia Panama" display="https://ambpanama.esteri.it/en/servizi-consolari-e-visti/servizi-per-il-cittadino-italiano/pensioni-e-sicurezza-sociale/" xr:uid="{152F3EF9-1D6B-4204-8FFD-0C50CF9F4430}"/>
    <hyperlink ref="P18" r:id="rId82" tooltip="Ministarstvo Republike Hrvatske - Pensions" display="https://mss.gov.hr/pension/pensions/124" xr:uid="{8BD010DC-1A10-4961-B995-7E7FCBDCBDAC}"/>
    <hyperlink ref="Q18" r:id="rId83" tooltip="Disability pension | Labklājības ministrija" display="https://www.lm.gov.lv/en/disability-pension" xr:uid="{BE53F21B-E763-462D-B11D-5C8A5FD3008C}"/>
    <hyperlink ref="K19" r:id="rId84" tooltip="Primary pension - Ministry of Labour and Social Affairs" display="https://ypergasias.gov.gr/en/social-security/pensions/primary-pension/" xr:uid="{25013D95-90DB-48D1-AA2E-907E2B4F7182}"/>
    <hyperlink ref="M19" r:id="rId85" tooltip="_x000a_            _x000a_                _x000a_            _x000a_            _x000a_                _x000a_                    Operational Guidelines: Bereaved Partner’s (Contributory) Pension_x000a_                _x000a_            _x000a_            _x000a_                _x000a_            _x000a_        " display="https://www.gov.ie/en/department-of-social-protection/publications/operational-guidelines-bereaved-partners-contributory-pension/" xr:uid="{FCD0764D-A4F3-438B-AE15-36C6B9FF2E38}"/>
    <hyperlink ref="N19" r:id="rId86" tooltip="SSA - POMS: GN 01763.020 - Icelandic Benefits Eligibility Requirements - 04/25/2019" display="https://secure.ssa.gov/apps10/poms.nsf/lnx/0201763020" xr:uid="{C6BB8371-3B16-4DAC-9209-2B6006646D1A}"/>
    <hyperlink ref="O19" r:id="rId87" tooltip="Social Security Programs Throughout the World: Europe, 2018 - Italy" display="https://www.ssa.gov/policy/docs/progdesc/ssptw/2018-2019/europe/italy.html" xr:uid="{FDC109CE-4AF4-4519-B8FC-F3CDC416A333}"/>
    <hyperlink ref="P19" r:id="rId88" tooltip="Your social security rights in Croatia" display="https://employment-social-affairs.ec.europa.eu/document/download/3f43aab0-d0c5-4c70-a7d2-f56fa6ee565c_en?prefLang=lt&amp;utm_source=chatgpt.com" xr:uid="{EB1AC2F5-7B00-4E2E-820A-7C5AB200B06C}"/>
    <hyperlink ref="Q19" r:id="rId89" tooltip="State pensions | Labklājības ministrija" display="https://www.lm.gov.lv/en/state-pensions-0" xr:uid="{FC24CC25-7BAB-47B5-92AB-D39561A1C216}"/>
    <hyperlink ref="K20" r:id="rId90" tooltip="Primary pension - Ministry of Labour and Social Affairs" display="https://ypergasias.gov.gr/en/social-security/pensions/primary-pension/" xr:uid="{83B9372C-8BDF-48B3-B7BA-2D2F3E22E8F9}"/>
    <hyperlink ref="M20" r:id="rId91" tooltip="_x000a_            _x000a_                _x000a_            _x000a_            _x000a_                _x000a_                    Operational Guidelines: Bereaved Partner’s (Contributory) Pension_x000a_                _x000a_            _x000a_            _x000a_                _x000a_            _x000a_        " display="https://www.gov.ie/en/department-of-social-protection/publications/operational-guidelines-bereaved-partners-contributory-pension/" xr:uid="{418EF9F5-F31B-445C-AC45-C1562AAF4BA6}"/>
    <hyperlink ref="N20" r:id="rId92" tooltip="SSA - POMS: GN 01763.020 - Icelandic Benefits Eligibility Requirements - 04/25/2019" display="https://secure.ssa.gov/apps10/poms.nsf/lnx/0201763020" xr:uid="{0405FA16-C97E-44D3-AF8F-C68B7FEFA02B}"/>
    <hyperlink ref="O20" r:id="rId93" tooltip="Pensions and Social Security – Consolato Generale d'Italia a Edimburgo" display="https://consedimburgo.esteri.it/en/servizi-consolari-e-visti/servizi-per-il-cittadino-italiano/pensioni-e-sicurezza-sociale/" xr:uid="{8AD5A638-3F7A-46AA-8D50-E7C15E5C05C4}"/>
    <hyperlink ref="P20" r:id="rId94" tooltip="Ministarstvo Republike Hrvatske - Pensions" display="https://mss.gov.hr/pension/pensions/124" xr:uid="{95FEEDC3-2B59-4E35-A7C8-3E8EBF039A31}"/>
    <hyperlink ref="Q20" r:id="rId95" tooltip="Granting and payment of survivor's pension | Valsts sociālās apdrošināšanas aģentūra" display="https://www.vsaa.gov.lv/en/services/granting-and-payment-survivors-pension" xr:uid="{D70115C8-8673-4F51-A6D0-E706FC054448}"/>
    <hyperlink ref="K21" r:id="rId96" tooltip="Taxation of pensioners that live in Greece" display="https://www.gov.gr/en/sdg/work-and-retirement/taxation/pensioners-that-live-in-one-eu-country-but-receive-their-pension-from-another/pensioners-that-live-in-one-eu-country-but-receive-their-pension-from-another?utm_source=chatgpt.com" xr:uid="{F4B8B339-6A14-4CED-AE3E-4BAB350DD23D}"/>
    <hyperlink ref="M21" r:id="rId97" tooltip="_x000a_            _x000a_                _x000a_            _x000a_            _x000a_                _x000a_                    State Pension (Contributory)_x000a_                _x000a_            _x000a_            _x000a_                _x000a_            _x000a_        " display="https://www.gov.ie/en/department-of-social-protection/services/state-pension-contributory/" xr:uid="{997AA27F-EF47-40A5-A23F-6C1C1F4EDBA2}"/>
    <hyperlink ref="N21" r:id="rId98" tooltip="Taxation - LSR" display="https://www.lsr.is/en/pensions/division-a/taxation/" xr:uid="{3CF1771B-4069-48D1-B22D-A2D574F80916}"/>
    <hyperlink ref="O21" r:id="rId99" tooltip="Taxation of pensions received from other EU countries" display="https://www.agenziaentrate.gov.it/portale/web/english/taxation-of-pensions-received-from-other-eu-countries?utm_source=chatgpt.com" xr:uid="{26DF2CE8-7278-40F4-B345-2B93F708AE29}"/>
    <hyperlink ref="P21" r:id="rId100" tooltip="Pensioner" display="https://porezna-uprava.gov.hr/en/pensioner/7391?utm_source=chatgpt.com" xr:uid="{F4A01EB8-8FFE-4518-AE00-5D1410DD012F}"/>
    <hyperlink ref="Q21" r:id="rId101" tooltip="Granting and payment of an old-age pension | Valsts sociālās apdrošināšanas aģentūra" display="https://www.vsaa.gov.lv/en/services/granting-and-payment-old-age-pension" xr:uid="{8A6D3113-BA2D-483E-B0C9-D8B26613BA30}"/>
    <hyperlink ref="K22" r:id="rId102" tooltip="Statutory Old Age Pension Scheme" display="https://www.mpisoc.mpg.de/en/social-law/research/research-projects/pension-maps/project-website/griechenland/statutory-old-age-pension-scheme/?utm_source=chatgpt.com" xr:uid="{A862AFF5-8B36-40D7-9D57-A9D2EBA03597}"/>
    <hyperlink ref="M22" r:id="rId103" tooltip="Taxation of pensions" display="https://www.citizensinformation.ie/en/money-and-tax/personal-finance/pensions/taxation-of-pensions/?utm_source=chatgpt.com" xr:uid="{67A449CB-6DEB-4279-B0DE-21916C797953}"/>
    <hyperlink ref="N22" r:id="rId104" tooltip="Taxation - LSR" display="https://www.lsr.is/en/pensions/division-a/taxation/" xr:uid="{C5880C63-8500-48B8-9229-2236EA8AF962}"/>
    <hyperlink ref="O22" r:id="rId105" tooltip="Italy - Individual - Other taxes - Worldwide Tax Summaries" display="https://taxsummaries.pwc.com/italy/individual/other-taxes?utm_source=chatgpt.com" xr:uid="{5CAC0626-1564-409B-8F20-923303223BBB}"/>
    <hyperlink ref="P22" r:id="rId106" tooltip="Contributions" display="https://migracije.hr/contributions/?lang=en&amp;utm_source=chatgpt.com" xr:uid="{D449E3DA-B5E6-4122-8733-E716800D07A4}"/>
    <hyperlink ref="Q22" r:id="rId107" tooltip="Granting and payment of an old-age pension | Valsts sociālās apdrošināšanas aģentūra" display="https://www.vsaa.gov.lv/en/services/granting-and-payment-old-age-pension" xr:uid="{EE5555BB-EFF7-4735-A3B2-B397D3F4D8DB}"/>
    <hyperlink ref="R9" r:id="rId108" tooltip="Rentenalter | AHV - IV" display="https://www.ahv.li/leistungen/ahv/rentenalter?utm_source=chatgpt.com" xr:uid="{A6CE77BB-46EF-43C7-BA15-04D8BA6161FC}"/>
    <hyperlink ref="S9" r:id="rId109" tooltip="Pensions at a Glance 2023" display="https://www.oecd.org/content/dam/oecd/en/publications/reports/2024/10/pensions-at-a-glance-2023-country-notes_2e11a061/lithuania_1b66ebef/563e5d3f-en.pdf?utm_source=chatgpt.com" xr:uid="{DB2295D1-E8A1-4C65-93E0-A14FC615A2D1}"/>
    <hyperlink ref="T9" r:id="rId110" tooltip="Retirement in Luxembourg" display="https://www.bgl.lu/en/individuals/blog/life-plans/retirement-in-luxembourg.html?utm_source=chatgpt.com" xr:uid="{151ECC1C-A583-4C24-8E1C-EEA6CBFB12E3}"/>
    <hyperlink ref="U9" r:id="rId111" tooltip="Retirement Pension (DSS)" display="https://www.servizz.gov.mt/en/Pages/Inclusion_-Equality-and-Social-Welfare/Social-Solidarity/Benefits-and-Services/Contributory-Pensions/WEB-00641/default.aspx?utm_source=chatgpt.com" xr:uid="{711C9C6D-F34D-4B21-8812-A49F98CA86E2}"/>
    <hyperlink ref="V9" r:id="rId112" tooltip="Your AOW pension age" display="https://www.svb.nl/en/aow-pension/aow-pension-age/your-aow-pension-age?utm_source=chatgpt.com" xr:uid="{DE369828-6791-4771-BAFF-1657EFE6C7D4}"/>
    <hyperlink ref="W9" r:id="rId113" tooltip="Retirement pension" display="https://www.nav.no/alderspensjon/en?utm_source=chatgpt.com" xr:uid="{9F8405AA-EF15-43F7-BA43-DDC2D74916F8}"/>
    <hyperlink ref="R13" r:id="rId114" tooltip="Rentenberechnung | AHV - IV" display="https://www.ahv.li/leistungen/ahv/rentenberechnung?utm_source=chatgpt.com" xr:uid="{45F5C834-DD30-4F90-AA71-62002414E01C}"/>
    <hyperlink ref="S13" r:id="rId115" tooltip="Social insurance old-age pensions" display="https://socmin.lrv.lt/en/activities/social-insurance-1/social-insurance-benefits/social-insurance-old-age-pensions/?utm_source=chatgpt.com" xr:uid="{6FA9A137-B704-4856-B7E4-4BE5DA421DAC}"/>
    <hyperlink ref="T13" r:id="rId116" tooltip="Applying for an early old-age pension from the age of 57 or ..." display="https://guichet.public.lu/en/citoyens/travail/pension/assurance-pension/retraite-pension-anticipee.html?utm_source=chatgpt.com" xr:uid="{17671BBB-FCE5-4DB9-9F99-71437AB3BBE5}"/>
    <hyperlink ref="U13" r:id="rId117" tooltip="Your Social Security Pension" display="https://www.mfsa.mt/service-detail/your-social-security-pension/?utm_source=chatgpt.com" xr:uid="{DFEEA9C4-FC18-4F6E-B5C4-6A54086949B2}"/>
    <hyperlink ref="V13" r:id="rId118" tooltip="Pension schemes in the Netherlands" display="https://business.gov.nl/regulations/pension/?utm_source=chatgpt.com" xr:uid="{01458EC8-5BF1-4FDF-8B00-BF536C4ACB85}"/>
    <hyperlink ref="W13" r:id="rId119" tooltip="Retirement pension" display="https://www.nav.no/alderspensjon/en?utm_source=chatgpt.com" xr:uid="{B22C7E14-C40A-4507-A9A9-2CA72042E6AA}"/>
    <hyperlink ref="R14" r:id="rId120" tooltip="Europe, 2018 - Liechtenstein" display="https://www.ssa.gov/policy/docs/progdesc/ssptw/2018-2019/europe/liechtenstein.html?utm_source=chatgpt.com" xr:uid="{50BBAB69-8388-441F-AAE5-395485E1F53A}"/>
    <hyperlink ref="S14" r:id="rId121" tooltip="Social insurance contributions" display="https://socmin.lrv.lt/en/activities/social-insurance-1/social-insurance-contributions/?utm_source=chatgpt.com" xr:uid="{55975FB5-F6CC-4580-8FEE-3B88B9992F8B}"/>
    <hyperlink ref="T14" r:id="rId122" tooltip="Old age pensions" display="https://www.csl.lu/en/your-rights/social-security/pensions/old-age-pensions/?utm_source=chatgpt.com" xr:uid="{60B9AE6B-2924-4A66-BCE9-123DE4188601}"/>
    <hyperlink ref="U14" r:id="rId123" tooltip="Pension Income in Malta" display="https://mtca.gov.mt/personal-tax/pensioners/pension-income-in-malta?utm_source=chatgpt.com" xr:uid="{819A3B4E-065E-4FE0-979A-C0BE0935E19A}"/>
    <hyperlink ref="V14" r:id="rId124" tooltip="National and employee insurance schemes (social security)" display="https://business.gov.nl/regulations/employee-insurance-schemes-national-insurance/?utm_source=chatgpt.com" xr:uid="{1C4AC33E-F388-479C-925D-17F10B5447EA}"/>
    <hyperlink ref="W14" r:id="rId125" tooltip="Statutory Old Age Pension Scheme as Part of the National ..." display="https://www.mpisoc.mpg.de/en/social-law/research/research-projects/pension-maps/project-website/norwegen/statutory-old-age-pension-scheme-as-part-of-the-national-insurance-system/?utm_source=chatgpt.com" xr:uid="{0C91D627-C2D7-4B45-8F5E-6F8AA49ECD1D}"/>
    <hyperlink ref="R15" r:id="rId126" tooltip="Rentenberechnung | AHV - IV" display="https://www.ahv.li/leistungen/ahv/rentenberechnung?utm_source=chatgpt.com" xr:uid="{9B698A07-F02E-4DA9-A205-3FC013F36CCA}"/>
    <hyperlink ref="S15" r:id="rId127" tooltip="Social insurance old-age pensions" display="https://socmin.lrv.lt/en/activities/social-insurance-1/social-insurance-benefits/social-insurance-old-age-pensions/?utm_source=chatgpt.com" xr:uid="{7621F792-ACFA-44AD-B0FC-C693A6CFF465}"/>
    <hyperlink ref="T15" r:id="rId128" tooltip="Retirement in Luxembourg" display="https://www.bgl.lu/en/individuals/blog/life-plans/retirement-in-luxembourg.html?utm_source=chatgpt.com" xr:uid="{AE3E95F4-35C7-4323-B5A9-8FFF0CBF6802}"/>
    <hyperlink ref="U15" r:id="rId129" tooltip="Your Social Security Pension" display="https://www.mfsa.mt/service-detail/your-social-security-pension/?utm_source=chatgpt.com" xr:uid="{38A53183-5ABE-4A25-BF17-D37102C276DB}"/>
    <hyperlink ref="V15" r:id="rId130" tooltip="Pension schemes in the Netherlands" display="https://business.gov.nl/regulations/pension/?utm_source=chatgpt.com" xr:uid="{CD9AC1B3-030C-4F2E-B1D4-B22946453392}"/>
    <hyperlink ref="W15" r:id="rId131" tooltip="Retirement pension" display="https://www.nav.no/alderspensjon/en?utm_source=chatgpt.com" xr:uid="{D0BF52A2-2631-4E98-A7AD-F38D97449204}"/>
    <hyperlink ref="R16" r:id="rId132" tooltip="Rentenberechnung | AHV - IV" display="https://www.ahv.li/leistungen/ahv/rentenberechnung?utm_source=chatgpt.com" xr:uid="{716A057C-6D37-46DD-B350-4A3ED53D1226}"/>
    <hyperlink ref="S16" r:id="rId133" tooltip="Social insurance old-age pensions" display="https://socmin.lrv.lt/en/activities/social-insurance-1/social-insurance-benefits/social-insurance-old-age-pensions/?utm_source=chatgpt.com" xr:uid="{A87E9D67-3096-47A9-A44E-93880AD097C7}"/>
    <hyperlink ref="T16" r:id="rId134" tooltip="THE GENERAL PENSION INSURANCE SCHEME" display="https://www.csl.lu/app/uploads/2023/05/csl_pensions_en_2023.pdf?utm_source=chatgpt.com" xr:uid="{15DD2023-0EF6-4C0C-8227-478EE05E3765}"/>
    <hyperlink ref="U16" r:id="rId135" tooltip="Retirement Income and Inflation - Gemma - Know, Plan, Act." display="https://gemma.gov.mt/retirement-income-and-inflation/?utm_source=chatgpt.com" xr:uid="{AF452C7C-301E-4F8C-8572-8E9749346866}"/>
    <hyperlink ref="V16" r:id="rId136" tooltip="Voluntarily filling any gaps in state pension (AOW) ..." display="https://www.government.nl/themes/work/state-pension-aow/voluntarily-filling-any-gaps-in-state-pension-aow-qualifying-years?utm_source=chatgpt.com" xr:uid="{887CE747-15C3-4061-9908-E60A26FF9C97}"/>
    <hyperlink ref="W16" r:id="rId137" tooltip="Statutory Old Age Pension Scheme as Part of the National ..." display="https://www.mpisoc.mpg.de/en/social-law/research/research-projects/pension-maps/project-website/norwegen/statutory-old-age-pension-scheme-as-part-of-the-national-insurance-system/?utm_source=chatgpt.com" xr:uid="{4F247D09-7B17-4486-B591-FE8087A54E6A}"/>
    <hyperlink ref="R17" r:id="rId138" tooltip="Your social security rights in Liechtenstein" display="https://ec.europa.eu/social/BlobServlet?docId=13743&amp;langId=en&amp;utm_source=chatgpt.com" xr:uid="{43D5928B-7E20-4553-BF6C-DA14E0E94EF5}"/>
    <hyperlink ref="S17" r:id="rId139" tooltip="IOPS Country Profile: LITHUANIA" display="https://www.oecd.org/content/dam/iops/en/country-profiles/Lithuania-country-profile-IOPS.pdf?utm_source=chatgpt.com" xr:uid="{83782300-7E28-4FF8-8269-0921DC4656B2}"/>
    <hyperlink ref="T17" r:id="rId140" tooltip="Survivor's pension in case of the death of a spouse or partner" display="https://guichet.public.lu/en/citoyens/aides/sante/prestations-survivants/pension-survie.html?utm_source=chatgpt.com" xr:uid="{BC17A2DC-2C27-4EF9-913E-FFD961400EF1}"/>
    <hyperlink ref="U17" r:id="rId141" tooltip="Contributory Pensions" display="https://www.servizz.gov.mt/en/Pages/Inclusion_-Equality-and-Social-Welfare/Social-Solidarity/Benefits-and-Services/Contributory-Pensions/default.aspx?utm_source=chatgpt.com" xr:uid="{369B4AEE-D2F7-4A07-8492-A7DF07362184}"/>
    <hyperlink ref="V17" r:id="rId142" tooltip="AOW pension amounts | AOW | SVB" display="https://www.svb.nl/en/aow-pension/aow-pension-rates/aow-pension-rates?utm_source=chatgpt.com" xr:uid="{0D972500-764D-4C85-8FFF-926FC8AA682F}"/>
    <hyperlink ref="W17" r:id="rId143" tooltip="Statutory Old Age Pension Scheme as Part of the National ..." display="https://www.mpisoc.mpg.de/en/social-law/research/research-projects/pension-maps/project-website/norwegen/statutory-old-age-pension-scheme-as-part-of-the-national-insurance-system/?utm_source=chatgpt.com" xr:uid="{21269C33-664C-49D6-98BB-A230FBFDA4D0}"/>
    <hyperlink ref="R18" r:id="rId144" tooltip="Rentenhöhe | AHV - IV" display="https://www.ahv.li/leistungen/iv/rentenhoehe?utm_source=chatgpt.com" xr:uid="{54E25311-8D95-401C-B2C9-9ABFC9E47717}"/>
    <hyperlink ref="S18" r:id="rId145" tooltip="Social insurance disability pension" display="https://socmin.lrv.lt/en/activities/social-insurance-1/social-insurance-benefits/social-insurance-disability-pension/?utm_source=chatgpt.com" xr:uid="{3CF0F7F6-19CA-41FC-B0B5-26E5C767365F}"/>
    <hyperlink ref="T18" r:id="rId146" tooltip="General points" display="https://cnap.public.lu/en/pensions/generalites.html?utm_source=chatgpt.com" xr:uid="{D4902C41-6554-4173-A067-E92D6F201E8E}"/>
    <hyperlink ref="U18" r:id="rId147" tooltip="Invalidity Pension - Social Security" display="https://socialsecurity.gov.mt/en/information-and-applications-for-benefits-and-services/contributory-pensions/invalidity-pension/?utm_source=chatgpt.com" xr:uid="{067B2F1D-9E3C-42FD-BC73-02565F8412FB}"/>
    <hyperlink ref="V18" r:id="rId148" tooltip="The WIA benefit for your employee" display="https://business.gov.nl/staff/health-and-safety/the-wia-benefit-for-your-employee/?utm_source=chatgpt.com" xr:uid="{198E273E-4BD2-4288-9A07-C0CA6CC2FC34}"/>
    <hyperlink ref="W18" r:id="rId149" tooltip="Disability Benefits" display="https://www.regjeringen.no/en/topics/pensions-and-welfare/innsikt/the-social-security-system/disability-benefits/id2008615/?utm_source=chatgpt.com" xr:uid="{428BD4EF-134A-4CB5-8D67-3528E9CFDA22}"/>
    <hyperlink ref="R19" r:id="rId150" tooltip="Verwitwetenrente | AHV - IV - FAK" display="https://www.ahv.li/leistungen/ahv/verwitwetenrente?utm_source=chatgpt.com" xr:uid="{19ACDA6F-E491-4ABE-BD29-8754265B20D0}"/>
    <hyperlink ref="S19" r:id="rId151" tooltip="Social insurance pensions for widows ..." display="https://socmin.lrv.lt/en/activities/social-insurance-1/social-insurance-benefits/social-insurance-pensions-for-widows-widowers-and-orphans/?utm_source=chatgpt.com" xr:uid="{4C803C39-B535-489A-BE43-8FECE6B3E950}"/>
    <hyperlink ref="T19" r:id="rId152" tooltip="Survivor's pension in case of the death of a spouse or partner" display="https://guichet.public.lu/en/citoyens/aides/sante/prestations-survivants/pension-survie.html?utm_source=chatgpt.com" xr:uid="{6D76D078-96BF-4C0A-BF41-8E7EB30F530B}"/>
    <hyperlink ref="U19" r:id="rId153" tooltip="Widow/er's Pension - Social Security" display="https://socialsecurity.gov.mt/en/information-and-applications-for-benefits-and-services/contributory-pensions/contributory-widow-ers-pension/?utm_source=chatgpt.com" xr:uid="{5840B6DE-4D95-4F3B-9602-78944092EB42}"/>
    <hyperlink ref="V19" r:id="rId154" tooltip="Applying for an Anw survivor benefit" display="https://www.government.nl/themes/taxes-benefits-and-allowances/surviving-dependants-act/applying-for-surviving-dependants-benefit-anw-uitkering?utm_source=chatgpt.com" xr:uid="{F3A8B7DA-9559-40CE-A1DC-84701723FA41}"/>
    <hyperlink ref="W19" r:id="rId155" tooltip="Survivor's pension" display="https://www.nav.no/gjenlevendepensjon/en?utm_source=chatgpt.com" xr:uid="{EFA2AAB0-29C2-4DA6-8CC6-980525AF13D9}"/>
    <hyperlink ref="R20" r:id="rId156" tooltip="Verwitwetenrente | AHV - IV - FAK" display="https://www.ahv.li/leistungen/ahv/verwitwetenrente?utm_source=chatgpt.com" xr:uid="{8B500120-0A31-4D1E-A246-2B6CA52CD097}"/>
    <hyperlink ref="S20" r:id="rId157" tooltip="Social insurance pensions for widows ..." display="https://socmin.lrv.lt/en/activities/social-insurance-1/social-insurance-benefits/social-insurance-pensions-for-widows-widowers-and-orphans/?utm_source=chatgpt.com" xr:uid="{62CA657C-5437-4809-A84C-198218253816}"/>
    <hyperlink ref="T20" r:id="rId158" tooltip="Calculating the survival pension" display="https://cnap.public.lu/en/pensions/pension-survie/pension-survie1.html?utm_source=chatgpt.com" xr:uid="{EA08BD66-6FC3-4BDC-A568-EAAFFFB1C7DC}"/>
    <hyperlink ref="U20" r:id="rId159" tooltip="Widow/er's Pension CAN - Social Security" display="https://socialsecurity.gov.mt/en/information-and-applications-for-benefits-and-services/bilateral-agreements/widow-ers-pension-can/?utm_source=chatgpt.com" xr:uid="{290FD7D6-A7F9-4231-8309-5FF14F297418}"/>
    <hyperlink ref="V20" r:id="rId160" tooltip="Qualifying conditions if your partner or ex-partner has died" display="https://www.svb.nl/en/anw/what-are-the-conditions/read-more-about-the-the-qualifying-conditions-that-apply-if-your-partner-or-ex-partner-has-died?utm_source=chatgpt.com" xr:uid="{8814CFF0-629C-497F-AFF5-C9D55CBE75E0}"/>
    <hyperlink ref="W20" r:id="rId161" tooltip="Receiving a pension" display="https://www.nav.no/har-pensjon/en?utm_source=chatgpt.com" xr:uid="{9D3A1AD1-F533-44A9-AE09-0A3268CFB3F6}"/>
    <hyperlink ref="R21" r:id="rId162" tooltip="Translation of Liechtenstein Law" display="https://www.regierung.li/files/medienarchiv/640-0-22-09-2022-en.pdf?utm_source=chatgpt.com" xr:uid="{FF7F3499-598C-46EB-8272-32375FC03DC5}"/>
    <hyperlink ref="S21" r:id="rId163" tooltip="Lithuanian country fiche on pension projections 2021 Ageing ..." display="https://economy-finance.ec.europa.eu/system/files/2021-05/lt_-_ar_2021_final_pension_fiche.pdf?utm_source=chatgpt.com" xr:uid="{CA4EAA54-B4C8-428A-AEF6-9E9D9057E74D}"/>
    <hyperlink ref="T21" r:id="rId164" tooltip="General points" display="https://cnap.public.lu/en/pensions/generalites.html?utm_source=chatgpt.com" xr:uid="{5044935E-8FA3-4F1A-B0E6-FAA8D0CA7AE0}"/>
    <hyperlink ref="U21" r:id="rId165" tooltip="Tax Exemption on Pension Income Received after 61 years ..." display="https://mtca.gov.mt/personal-tax/pensioners/tax-exemption-on-pension-income-received-after-61-years-of-age?utm_source=chatgpt.com" xr:uid="{F56A3A73-56AD-48EF-9F69-9C3DDC53A908}"/>
    <hyperlink ref="V21" r:id="rId166" tooltip="Deductions | AOW | SVB" display="https://www.svb.nl/en/aow-pension/aow-pension-rates/what-is-deducted-from-your-aow-pension?utm_source=chatgpt.com" xr:uid="{0B2708E1-BDDB-4839-8F48-DC711F6C42A5}"/>
    <hyperlink ref="W21" r:id="rId167" tooltip="Statutory Old Age Pension Scheme as Part of the National ..." display="https://www.mpisoc.mpg.de/en/social-law/research/research-projects/pension-maps/project-website/norwegen/statutory-old-age-pension-scheme-as-part-of-the-national-insurance-system/?utm_source=chatgpt.com" xr:uid="{52713152-A274-4F0A-A0EC-B746B69AF8E3}"/>
    <hyperlink ref="R22" r:id="rId168" tooltip="Ende der Beitragspflicht - Liechtensteinische AHV-IV-FAK" display="https://www.ahv.li/beitraege/beitragspflicht/ende?utm_source=chatgpt.com" xr:uid="{3BAA4B20-6CCE-4A16-9A78-E62C86984DA0}"/>
    <hyperlink ref="S22" r:id="rId169" tooltip="Social insurance contributions" display="https://socmin.lrv.lt/en/activities/social-insurance-1/social-insurance-contributions/?utm_source=chatgpt.com" xr:uid="{88F15068-D944-44C4-9959-536E59A7BB6C}"/>
    <hyperlink ref="T22" r:id="rId170" tooltip="General points" display="https://cnap.public.lu/en/pensions/generalites.html?utm_source=chatgpt.com" xr:uid="{4E136637-89C6-4AD8-90EF-8DBD829D89C1}"/>
    <hyperlink ref="U22" r:id="rId171" tooltip="Social Security Contribution Rates" display="https://mtca.gov.mt/personal-tax/fss/social-security-contribution-rates/social-security-contribution-rates?utm_source=chatgpt.com" xr:uid="{D1A2CD2C-171C-4B0C-AB81-3C200E9843B2}"/>
    <hyperlink ref="V22" r:id="rId172" tooltip="Deductions | AOW | SVB" display="https://www.svb.nl/en/aow-pension/aow-pension-rates/what-is-deducted-from-your-aow-pension?utm_source=chatgpt.com" xr:uid="{20E8BE04-B3AA-4430-8A97-02F2536804C0}"/>
    <hyperlink ref="W22" r:id="rId173" tooltip="National Insurance contributions - The Norwegian Tax ..." display="https://www.skatteetaten.no/en/rates/national-insurance-contributions/?utm_source=chatgpt.com" xr:uid="{C94D29CA-79C8-42B0-B8F0-8D26FB5E3F67}"/>
    <hyperlink ref="X9" r:id="rId174" tooltip="Lebenslage: Ich gehe oder bin in Pension" display="https://www.oesterreich.gv.at/de/lebenslagen/Ich-gehe-oder-bin-in-Pension?utm_source=chatgpt.com" xr:uid="{05B0D820-A1B1-4FFC-99F4-ABE7C1C10EAD}"/>
    <hyperlink ref="Y9" r:id="rId175" tooltip="Old-age pensions operating under the new rules" display="https://lang.zus.pl/benefits/old-age-pensions/old-age-pensions-operating-under-the-new-rules?utm_source=chatgpt.com" xr:uid="{B71F8B46-E68F-4CF0-9EED-8A0022BCC2EE}"/>
    <hyperlink ref="Z9" r:id="rId176" tooltip="Request the old-age pension - gov.pt" display="https://www2.gov.pt/en/servicos/requerer-a-pensao-de-velhice" xr:uid="{C0BD068E-AAD7-4AA3-8BB6-9A18B587576A}"/>
    <hyperlink ref="AA9" r:id="rId177" tooltip="Your rights country by country" display="https://ec.europa.eu/social/BlobServlet?docId=13772&amp;langId=en&amp;utm_source=chatgpt.com" xr:uid="{13F7AB48-F58F-473B-81ED-747C9494595B}"/>
    <hyperlink ref="AB9" r:id="rId178" tooltip="Recommended retirement age – when can I start drawing my national public pension?  | Pensionsmyndigheten" display="https://www.pensionsmyndigheten.se/other-languages/english-engelska/english-engelska/recommended-retirement-age" xr:uid="{40E6B7E0-C2FA-468B-B79E-4116CA6DA943}"/>
    <hyperlink ref="X13" r:id="rId179" tooltip="Höhe der Alterspension" display="https://www.oesterreich.gv.at/de/themen/arbeit_beruf_und_pension/pension/2/1/Seite.270132?utm_source=chatgpt.com" xr:uid="{8F81D6CB-AAA3-4961-A4A0-EFD3BD46BB26}"/>
    <hyperlink ref="Y13" r:id="rId180" tooltip="Old-age pensions operating under the new rules" display="https://lang.zus.pl/benefits/old-age-pensions/old-age-pensions-operating-under-the-new-rules?utm_source=chatgpt.com" xr:uid="{6A128327-2B7E-49A8-87C2-CBE7D2FC4691}"/>
    <hyperlink ref="Z13" r:id="rId181" tooltip="Request the old-age pension - gov.pt" display="https://www2.gov.pt/en/servicos/requerer-a-pensao-de-velhice" xr:uid="{1B77C060-0264-43DD-8D9F-7012917F5012}"/>
    <hyperlink ref="AA13" r:id="rId182" tooltip="Your rights country by country" display="https://ec.europa.eu/social/BlobServlet?docId=13772&amp;langId=en" xr:uid="{BE2E5632-84A3-4201-9D82-5FBC51BC3529}"/>
    <hyperlink ref="AB13" r:id="rId183" tooltip="The Swedish pension system" display="https://www.pensionsmyndigheten.se/other-languages/english-engelska/english-engelska/pension-system-in-sweden?utm_source=chatgpt.com" xr:uid="{A4E7B807-0010-4E76-85DC-C4D20E3EEB81}"/>
    <hyperlink ref="X14" r:id="rId184" tooltip="Höhe der Alterspension" display="https://www.oesterreich.gv.at/de/themen/arbeit_beruf_und_pension/pension/2/1/Seite.270132?utm_source=chatgpt.com" xr:uid="{023D4506-CAFB-458F-8E18-561BC87BE192}"/>
    <hyperlink ref="Y14" r:id="rId185" tooltip="Wskaźniki waloryzacji rocznej" display="https://www.zus.pl/baza-wiedzy/skladki-wskazniki-odsetki/wskazniki/waloryzacja-skladki-i-kapitalu-poczatkowego/wskazniki-waloryzacji-rocznej?utm_source=chatgpt.com" xr:uid="{EC15944D-6382-4A91-8BB6-89A7E5B31A1B}"/>
    <hyperlink ref="Z14" r:id="rId186" tooltip="Request the old-age pension - gov.pt" display="https://www2.gov.pt/en/servicos/requerer-a-pensao-de-velhice" xr:uid="{41431969-AD1C-45D6-BFE6-685AA5F34DA9}"/>
    <hyperlink ref="AA14" r:id="rId187" tooltip="_x000a__x0009__x000a__x0009__x0009_Statutory Old Age Pension Scheme_x000a__x0009__x000a_ | Max-Planck-Institut für Sozialrecht und Sozialpolitik - MPISOC" display="https://www.mpisoc.mpg.de/en/social-law/research/research-projects/pension-maps/project-website/romania/statutory-old-age-pension-scheme/" xr:uid="{5C56B049-09CD-45CF-AD91-130534116A4E}"/>
    <hyperlink ref="AB14" r:id="rId188" tooltip="The Swedish pension system" display="https://www.pensionsmyndigheten.se/other-languages/english-engelska/english-engelska/pension-system-in-sweden?utm_source=chatgpt.com" xr:uid="{3FEDEC68-4058-4D5D-9C29-988DE80255DB}"/>
    <hyperlink ref="X15" r:id="rId189" tooltip="Höhe der Alterspension" display="https://www.oesterreich.gv.at/de/themen/arbeit_beruf_und_pension/pension/2/1/Seite.270132?utm_source=chatgpt.com" xr:uid="{82D663FC-B63F-4529-BB31-121761061E67}"/>
    <hyperlink ref="Y15" r:id="rId190" tooltip="Old-age pensions operating under the new rules" display="https://lang.zus.pl/benefits/old-age-pensions/old-age-pensions-operating-under-the-new-rules?utm_source=chatgpt.com" xr:uid="{4364EE98-90B2-41B1-B7B0-634023F20F3B}"/>
    <hyperlink ref="Z15" r:id="rId191" tooltip="Request the old-age pension - gov.pt" display="https://www2.gov.pt/en/servicos/requerer-a-pensao-de-velhice" xr:uid="{59342E41-22AD-4271-AC86-676DDA0448EA}"/>
    <hyperlink ref="AA15" r:id="rId192" tooltip="Your rights country by country" display="https://ec.europa.eu/social/BlobServlet?docId=13772&amp;langId=en&amp;utm_source=chatgpt.com" xr:uid="{6322C6E9-4EE5-4D18-A46B-476F5F38D3B7}"/>
    <hyperlink ref="AB15" r:id="rId193" tooltip="The Swedish pension system | Pensionsmyndigheten" display="https://www.pensionsmyndigheten.se/other-languages/english-engelska/english-engelska/pension-system-in-sweden" xr:uid="{0BD77F12-D4DC-4277-950A-F7736CA73498}"/>
    <hyperlink ref="X16" r:id="rId194" tooltip="Höhe der Alterspension" display="https://www.oesterreich.gv.at/de/themen/arbeit_beruf_und_pension/pension/2/1/Seite.270132?utm_source=chatgpt.com" xr:uid="{10F1B3A4-B0BB-487B-A749-9EDC7C65C40C}"/>
    <hyperlink ref="Y16" r:id="rId195" tooltip="Wskaźniki waloryzacji rocznej" display="https://www.zus.pl/baza-wiedzy/skladki-wskazniki-odsetki/wskazniki/waloryzacja-skladki-i-kapitalu-poczatkowego/wskazniki-waloryzacji-rocznej?utm_source=chatgpt.com" xr:uid="{25C54651-52F5-4D01-89E2-832B9CD20DAC}"/>
    <hyperlink ref="Z16" r:id="rId196" tooltip="INVALIDITY AND OLD-AGE Calculation of the pension, ..." display="https://www.dgaep.gov.pt/stap/EN/infoPage.cfm?KeepThis=true&amp;TB_iframe=true&amp;height=580&amp;objid=013242ea-f602-4aa6-aca4-003084601596&amp;width=520&amp;utm_source=chatgpt.com" xr:uid="{7B5E9822-0F27-4BFD-BA16-55214FF952C8}"/>
    <hyperlink ref="AA16" r:id="rId197" tooltip="_x000a__x0009__x000a__x0009__x0009_Statutory Old Age Pension Scheme_x000a__x0009__x000a_ | Max-Planck-Institut für Sozialrecht und Sozialpolitik - MPISOC" display="https://www.mpisoc.mpg.de/en/social-law/research/research-projects/pension-maps/project-website/romania/statutory-old-age-pension-scheme/" xr:uid="{9E5FB259-AC3C-4971-9A45-91D967B20ACD}"/>
    <hyperlink ref="AB16" r:id="rId198" tooltip="6. Changes in the Value of the Pension System" display="https://www.pensionsmyndigheten.se/statistik/publikationer/orange-report-2020/6-changes-in-the-value-of-the-pension-system.html?utm_source=chatgpt.com" xr:uid="{21125BB3-63D3-4A41-86AE-866C79E02D19}"/>
    <hyperlink ref="X17" r:id="rId199" tooltip="Informationen zur Pensionserhöhung in Österreich" display="https://www.sozialministerium.gv.at/Themen/Soziales/Sozialversicherung/Pensionsversicherung/Pensionserh%C3%B6hung.html?utm_source=chatgpt.com" xr:uid="{93F4873B-6270-4EEF-B2E3-A1F2BFA7D348}"/>
    <hyperlink ref="Y17" r:id="rId200" tooltip="Od marca emerytury i renty w górę" display="https://www.zus.pl/-/od-marca-emerytury-i-renty-w-g%C3%B3r%C4%99?utm_source=chatgpt.com" xr:uid="{72B14A16-4F75-4694-BE4D-D61F671DBF39}"/>
    <hyperlink ref="Z17" r:id="rId201" tooltip="General Social Security Scheme" display="https://www.mpisoc.mpg.de/en/social-law/research/research-projects/pension-maps/project-website/portugal/general-social-security-scheme/?utm_source=chatgpt.com" xr:uid="{8386881C-0D69-49C0-8E9C-C67780B58513}"/>
    <hyperlink ref="AA17" r:id="rId202" tooltip="_x000a__x0009__x000a__x0009__x0009_Statutory Old Age Pension Scheme_x000a__x0009__x000a_ | Max-Planck-Institut für Sozialrecht und Sozialpolitik - MPISOC" display="https://www.mpisoc.mpg.de/en/social-law/research/research-projects/pension-maps/project-website/romania/statutory-old-age-pension-scheme/" xr:uid="{567F00E3-A231-44F1-BB97-ECC449F04699}"/>
    <hyperlink ref="AB17" r:id="rId203" tooltip="6. Changes in the Value of the Pension System" display="https://www.pensionsmyndigheten.se/statistik/publikationer/orange-report-2020/6-changes-in-the-value-of-the-pension-system.html?utm_source=chatgpt.com" xr:uid="{A35AB9E8-7AA1-41C8-BC11-1CDE2FAC3012}"/>
    <hyperlink ref="X18" r:id="rId204" tooltip="Invaliditäts- bzw. Berufsunfähigkeitspension – Arbeiter und ..." display="https://www.oesterreich.gv.at/de/themen/menschen_mit_behinderungen/pension_und_behinderung/Seite.1280200?utm_source=chatgpt.com" xr:uid="{039249A1-E3BF-4C3C-9DA6-EC57FAD76D1F}"/>
    <hyperlink ref="Y18" r:id="rId205" tooltip="Disability pensions" display="https://lang.zus.pl/benefits/disability-pensions?utm_source=chatgpt.com" xr:uid="{2829BCA3-BFC8-4827-9162-6924384994CF}"/>
    <hyperlink ref="Z18" r:id="rId206" tooltip="Guia Prático Pensão de Invalidez" display="https://www.seg-social.pt/ptss/pssd/documento/cmc1zu99c00lykl2y7f0avytg?utm_source=chatgpt.com" xr:uid="{12937E83-1E32-41CE-99F9-C7E9E5AE9B1C}"/>
    <hyperlink ref="AA18" r:id="rId207" tooltip="Your rights country by country" display="https://ec.europa.eu/social/BlobServlet?docId=13772&amp;langId=en" xr:uid="{390258BC-97A5-48E2-B776-B2D2EB34A4A1}"/>
    <hyperlink ref="AB18" r:id="rId208" tooltip="Sickness compensation - Försäkringskassan" display="https://www.forsakringskassan.se/english/sick/sick-for-one-year-or-longer/sickness-compensation" xr:uid="{F6C6D38B-2C97-4A0A-BB67-F561F1D95AB1}"/>
    <hyperlink ref="X19" r:id="rId209" tooltip="Höhe der Witwerpension" display="https://www.oesterreich.gv.at/de/themen/arbeit_beruf_und_pension/pension/2/6/Seite.270412?utm_source=chatgpt.com" xr:uid="{0D6AE28E-F76A-48E1-A70E-4E94C956AF2A}"/>
    <hyperlink ref="Y19" r:id="rId210" tooltip="Survivor's pensions" display="https://lang.zus.pl/benefits/survivor-s-pensions?utm_source=chatgpt.com" xr:uid="{C4EEFB7C-BD19-488E-B024-AC4471722323}"/>
    <hyperlink ref="Z19" r:id="rId211" tooltip="Apply for a survivor's pension - gov.pt" display="https://www2.gov.pt/en/servicos/requerer-a-pensao-de-sobrevivencia" xr:uid="{1DA667B5-3D34-45BA-893D-73D26D1B995F}"/>
    <hyperlink ref="AA19" r:id="rId212" tooltip="Your rights country by country" display="https://ec.europa.eu/social/BlobServlet?docId=13772&amp;langId=en&amp;utm_source=chatgpt.com" xr:uid="{2E029C46-CB73-40EA-B6FB-88EA15DE4EA1}"/>
    <hyperlink ref="AB19" r:id="rId213" tooltip="Survivor's pension – financial support in the event of death | Pensionsmyndigheten" display="https://www.pensionsmyndigheten.se/other-languages/english-engelska/english-engelska/survivors-pension-financial-support-in-the-event-of-death" xr:uid="{AE4C8D8F-DC23-41BE-95E7-38DDDFB8CA99}"/>
    <hyperlink ref="X20" r:id="rId214" tooltip="Survivors' Pensions" display="https://www.sozialministerium.gv.at/en/Topics/Social-Affairs/Social-Insurance/Pension-Insurance/Types-of-Pension/Survivors%E2%80%99-Pensions.html?utm_source=chatgpt.com" xr:uid="{3D053FC7-5894-4934-B181-721C01217C29}"/>
    <hyperlink ref="Y20" r:id="rId215" tooltip="Uprawnieni członkowie rodziny spełniający określone ..." display="https://www.zus.pl/uprawnieni-czlonkowie-rodziny-spelniajacy-okreslone-warunki-do-renty-rodzinnej?utm_source=chatgpt.com" xr:uid="{BEB7ED24-F87C-4BAC-917C-54A29EB68BA6}"/>
    <hyperlink ref="Z20" r:id="rId216" tooltip="Apply for a survivor's pension - gov.pt" display="https://www2.gov.pt/en/servicos/requerer-a-pensao-de-sobrevivencia" xr:uid="{AA40B893-65BC-487B-8B21-06DCAFB3A608}"/>
    <hyperlink ref="AA20" r:id="rId217" tooltip="Your rights country by country" display="https://ec.europa.eu/social/BlobServlet?docId=13772&amp;langId=en&amp;utm_source=chatgpt.com" xr:uid="{E4CD87F7-065D-45B0-B634-FFBD907E674B}"/>
    <hyperlink ref="AB20" r:id="rId218" tooltip="Survivor's pension – financial support in the event of death | Pensionsmyndigheten" display="https://www.pensionsmyndigheten.se/other-languages/english-engelska/english-engelska/survivors-pension-financial-support-in-the-event-of-death" xr:uid="{09BF1884-FB87-450F-8D12-0F888F0EFED1}"/>
    <hyperlink ref="X21" r:id="rId219" tooltip="Lebenslage: Ich gehe oder bin in Pension" display="https://www.oesterreich.gv.at/de/lebenslagen/Ich-gehe-oder-bin-in-Pension?utm_source=chatgpt.com" xr:uid="{D5F13F38-A63E-45BB-87D1-59E8A7C87201}"/>
    <hyperlink ref="Y21" r:id="rId220" tooltip="Income tax rates for pensioners (SDG) - podatki.gov.pl" display="https://podatki-arch.mf.gov.pl/en/pensioners/income-tax-rates-for-pensioners/?utm_source=chatgpt.com" xr:uid="{ADE63E28-A40F-4BD3-9753-627F3CEE2F2E}"/>
    <hyperlink ref="Z21" r:id="rId221" tooltip="General Social Security Scheme" display="https://www.mpisoc.mpg.de/en/social-law/research/research-projects/pension-maps/project-website/portugal/general-social-security-scheme/?utm_source=chatgpt.com" xr:uid="{4A2E1892-0200-4DB3-88F4-F7CA9C0E0AB5}"/>
    <hyperlink ref="AA21" r:id="rId222" tooltip="Your rights country by country" display="https://ec.europa.eu/social/BlobServlet?docId=13772&amp;langId=en&amp;utm_source=chatgpt.com" xr:uid="{A37A02A7-646C-4417-A7C4-5CD043B9505D}"/>
    <hyperlink ref="X22" r:id="rId223" tooltip="Krankenversicherung in der Pension" display="https://www.bvaeb.at/cdscontent/?contentid=10007.860032&amp;portal=bvaebbportal&amp;utm_source=chatgpt.com" xr:uid="{E44E4CC5-8199-4C13-B324-1994DC19E088}"/>
    <hyperlink ref="Y22" r:id="rId224" tooltip="Social Security in Poland (2025)" display="https://www.zus.pl/documents/10182/167615/Social%2BSecurity%2Bin%2BPoland.pdf/71ffe1b1-c142-48fa-a67b-0c7e1cec6eb6?t=1690378989364" xr:uid="{8C3A8494-5668-4055-A0FE-7C56ADF9E8EF}"/>
    <hyperlink ref="Z22" r:id="rId225" tooltip="General Social Security Scheme" display="https://www.mpisoc.mpg.de/en/social-law/research/research-projects/pension-maps/project-website/portugal/general-social-security-scheme/?utm_source=chatgpt.com" xr:uid="{63787880-5B89-4255-AB65-DE3CA6DB7656}"/>
    <hyperlink ref="AA22" r:id="rId226" tooltip="_x000a__x0009__x000a__x0009__x0009_Statutory Old Age Pension Scheme_x000a__x0009__x000a_ | Max-Planck-Institut für Sozialrecht und Sozialpolitik - MPISOC" display="https://www.mpisoc.mpg.de/en/social-law/research/research-projects/pension-maps/project-website/romania/statutory-old-age-pension-scheme/" xr:uid="{E76A7D51-30AC-49F4-889C-FB07601787E0}"/>
    <hyperlink ref="AC9" r:id="rId227" tooltip="Flexible retirement" display="https://www.ahv-iv.ch/p/3.04.e?utm_source=chatgpt.com" xr:uid="{B711FEE4-31DD-49FF-A54A-D52B645E2FCE}"/>
    <hyperlink ref="AD9" r:id="rId228" tooltip="How to apply for an early old age pension" display="https://socpoist.sk/en/life-situations/pension/how-apply-early-old-age-pension?utm_source=chatgpt.com" xr:uid="{5C5050D8-76CB-4788-BDCC-431F3CC40787}"/>
    <hyperlink ref="AE9" r:id="rId229" tooltip="Recent pension reforms: Pensions at a Glance 2025" display="https://www.oecd.org/en/publications/pensions-at-a-glance-2025_e40274c1-en/full-report/recent-pension-reforms_146d2687.html?utm_source=chatgpt.com" xr:uid="{6908A7A7-0784-492D-AE3B-678C948CA9BD}"/>
    <hyperlink ref="AF9" r:id="rId230" tooltip="Totalization Agreement with Spain | International Programs" display="https://www.ssa.gov/international/Agreement_Pamphlets/spain.html?utm_source=chatgpt.com" xr:uid="{04B044D0-05AC-4827-BE95-A079E4FC9616}"/>
    <hyperlink ref="AG9" r:id="rId231" tooltip="Pensions at a Glance 2025: Czechia" display="https://www.oecd.org/en/publications/pensions-at-a-glance-2025-country-notes_8a53ef12-en/czechia_dd7aae9d-en.html?utm_source=chatgpt.com" xr:uid="{D006DC5F-218E-4414-BD46-291E2E3348CB}"/>
    <hyperlink ref="AH9" r:id="rId232" tooltip="Pensions at a Glance 2023" display="https://www.oecd.org/content/dam/oecd/en/publications/reports/2024/10/pensions-at-a-glance-2023-country-notes_2e11a061/hungary_606f6906/91bb0bca-en.pdf?utm_source=chatgpt.com" xr:uid="{3908D332-1212-407B-910E-0B4BDAF2FC7B}"/>
    <hyperlink ref="AI9" r:id="rId233" tooltip="Social Insurance Services - FAQ" display="https://www.mlsi.gov.cy/mlsi/sid/sidv2.nsf/2732b55311a819d1c2257a30001fbe29/f702d60872e9353cc2257a30001fd75d?OpenDocument=&amp;utm_source=chatgpt.com" xr:uid="{2DF33E8D-B458-4E89-804F-63EC69C4610B}"/>
    <hyperlink ref="AC13" r:id="rId234" tooltip="OASI contributions" display="https://www.ch.ch/en/retirement/old-age-pension/the-first-pillar/oasi-contributions?utm_source=chatgpt.com" xr:uid="{C0C18D8F-48A1-4D35-8CFB-578488D367D1}"/>
    <hyperlink ref="AD13" r:id="rId235" tooltip="How to apply for an old age pension" display="https://socpoist.sk/en/life-situations/pension/how-apply-old-age-pension?utm_source=chatgpt.com" xr:uid="{66D09ED1-8630-4687-BA39-83756673610F}"/>
    <hyperlink ref="AE13" r:id="rId236" tooltip="When can I retire? Icon your Europe" display="https://www.zpiz.si/content2020en/when-can-i-retire?utm_source=chatgpt.com" xr:uid="{AAC12E88-D7B2-4636-9C14-927AF1822018}"/>
    <hyperlink ref="AF13" r:id="rId237" tooltip="Totalization Agreement with Spain | International Programs" display="https://www.ssa.gov/international/Agreement_Pamphlets/spain.html?utm_source=chatgpt.com" xr:uid="{5C9F8A3E-C987-42D5-93EC-EE1C609BDC54}"/>
    <hyperlink ref="AG13" r:id="rId238" tooltip="Pension insurance - ČSSZ Web Other Languages" display="https://www.cssz.cz/web/lang/duchodove-pojisteni1?lang=en&amp;utm_source=chatgpt.com" xr:uid="{A48786AB-6F01-4397-9A63-F8A05A88034A}"/>
    <hyperlink ref="AH13" r:id="rId239" tooltip="Social Insurance Pension Scheme" display="https://www.mpisoc.mpg.de/en/social-law/research/research-projects/pension-maps/project-website/hungary/social-insurance-pension-scheme/?utm_source=chatgpt.com" xr:uid="{2DDD87B3-680D-436C-9431-DAD35F05986E}"/>
    <hyperlink ref="AI13" r:id="rId240" tooltip="Cyprus" display="https://www.issa.int/sites/default/files/documents/2024-12/Cyprus.pdf?utm_source=chatgpt.com" xr:uid="{8C6AEAAA-9C18-4D9B-870A-F3E4827EA3F5}"/>
    <hyperlink ref="AC14" r:id="rId241" tooltip="The Schweizer AHV System: What It is &amp; How It Works ..." display="https://relocation-genevoise.ch/en/blog/schweizer-ahv?utm_source=chatgpt.com" xr:uid="{FDF93B7A-A0BB-47C7-B22A-70EE9A5DE02D}"/>
    <hyperlink ref="AD14" r:id="rId242" tooltip="Comprehensive Overview of Slovakia's Pension System ..." display="https://cms.law/en/int/expert-guides/cms-expert-guide-to-pensions/slovakia?utm_source=chatgpt.com" xr:uid="{069BC79F-05AE-4495-B409-9ECA6D4FD3D0}"/>
    <hyperlink ref="AE14" r:id="rId243" tooltip="Social security and insurance" display="https://spot.gov.si/en/info/employees/social-security-and-insurance?utm_source=chatgpt.com" xr:uid="{0B3C6862-C8FC-4AC9-80EB-64639D70F82B}"/>
    <hyperlink ref="AF14" r:id="rId244" tooltip="Spain - Individual - Other taxes - Worldwide Tax Summaries" display="https://taxsummaries.pwc.com/spain/individual/other-taxes?utm_source=chatgpt.com" xr:uid="{5A59D695-5594-4173-8352-F4C67BB390B0}"/>
    <hyperlink ref="AG14" r:id="rId245" tooltip="FACT SHEET Czech Republic November 2025" display="https://ec.europa.eu/eurostat/documents/7158500/12335606/CZ_T2900_factsheet.pdf/bb5f356b-0894-1e24-42cd-db408cf310f2?t=1612348297319&amp;utm_source=chatgpt.com" xr:uid="{5E8C75C0-382F-4630-BAB2-DFDD5A223CCE}"/>
    <hyperlink ref="AH14" r:id="rId246" tooltip="Social Insurance Pension Scheme" display="https://www.mpisoc.mpg.de/en/social-law/research/research-projects/pension-maps/project-website/hungary/social-insurance-pension-scheme/?utm_source=chatgpt.com" xr:uid="{766AB4F2-AC1D-41ED-80DD-D5350DE18658}"/>
    <hyperlink ref="AI14" r:id="rId247" tooltip="Cyprus - Individual - Other taxes - Worldwide Tax Summaries" display="https://taxsummaries.pwc.com/cyprus/individual/other-taxes?utm_source=chatgpt.com" xr:uid="{8D630D8A-E12F-428F-9848-2ACF44DCC3D9}"/>
    <hyperlink ref="AC15" r:id="rId248" tooltip="OASI contributions" display="https://www.ch.ch/en/retirement/old-age-pension/the-first-pillar/oasi-contributions?utm_source=chatgpt.com" xr:uid="{DF200CE1-46D7-4E8C-B7B9-08F4C677A824}"/>
    <hyperlink ref="AD15" r:id="rId249" tooltip="Social insurance and security - Research In Slovakia - SAIA, n.o." display="https://www.researchinslovakia.saia.sk/en/main/work-and-daily-life/social-insurace-and-security/?utm_source=chatgpt.com" xr:uid="{ED25DF1F-1700-443C-BFF6-2E9B40D6ED0D}"/>
    <hyperlink ref="AE15" r:id="rId250" tooltip="When can I retire? Icon your Europe" display="https://www.zpiz.si/content2020en/when-can-i-retire?utm_source=chatgpt.com" xr:uid="{B9A967C8-171B-4D8A-A09F-0E9AA901BC93}"/>
    <hyperlink ref="AF15" r:id="rId251" tooltip="Pensions - EURAXESS Spain" display="https://www.euraxess.es/spain/information-assistance/spanish-social-security-and-pensions/pensions?utm_source=chatgpt.com" xr:uid="{BE7E3865-296D-4BF7-AD69-22B6597B4589}"/>
    <hyperlink ref="AG15" r:id="rId252" tooltip="Pension insurance - ČSSZ Web Other Languages" display="https://www.cssz.cz/web/lang/duchodove-pojisteni1?lang=en&amp;utm_source=chatgpt.com" xr:uid="{58876399-01BC-4581-94A9-AF18DF8F6E7D}"/>
    <hyperlink ref="AH15" r:id="rId253" tooltip="Pension ABC" display="https://www.findyourpension.eu/provider-list/pension-abc/default-b0809394c9?utm_source=chatgpt.com" xr:uid="{76DD6C2E-B5CF-430A-A35B-95B0A9A82964}"/>
    <hyperlink ref="AI15" r:id="rId254" tooltip="Social Insurance Services - FAQ" display="https://www.mlsi.gov.cy/mlsi/sid/sidv2.nsf/2732b55311a819d1c2257a30001fbe29/f702d60872e9353cc2257a30001fd75d?OpenDocument=&amp;utm_source=chatgpt.com" xr:uid="{4B11DF2F-E39E-456D-A156-27FC6AC99582}"/>
    <hyperlink ref="AC16" r:id="rId255" tooltip="Glossary | Social insurances | Information Center OASI/DI" display="https://www.ahv-iv.ch/en/Social-insurances/Glossary?utm_source=chatgpt.com" xr:uid="{97F95BE4-885C-43EB-9092-CB5BC29DB9A8}"/>
    <hyperlink ref="AD16" r:id="rId256" tooltip="Insuree's Electronic Account" display="https://www.socpoist.sk/en/top-topics/insurees-electronic-account?utm_source=chatgpt.com" xr:uid="{DE987180-94B2-4E93-96D0-06A642759BC4}"/>
    <hyperlink ref="AE16" r:id="rId257" tooltip="When can I retire? Icon your Europe" display="https://www.zpiz.si/content2020en/when-can-i-retire?utm_source=chatgpt.com" xr:uid="{F996722F-CDB1-4EEB-9350-B1C74182EC02}"/>
    <hyperlink ref="AF16" r:id="rId258" tooltip="Totalization Agreement with Spain | International Programs" display="https://www.ssa.gov/international/Agreement_Pamphlets/spain.html?utm_source=chatgpt.com" xr:uid="{4D9A6A8C-9D78-4B41-A2AB-68D939B20412}"/>
    <hyperlink ref="AG16" r:id="rId259" tooltip="Retirement age - ČSSZ Web Other Languages" display="https://www.cssz.cz/web/lang/duchodovy-vek?lang=en&amp;utm_source=chatgpt.com" xr:uid="{976E1947-469B-4849-9ECB-7C8F55E584C6}"/>
    <hyperlink ref="AH16" r:id="rId260" tooltip="Social Insurance Pension Scheme" display="https://www.mpisoc.mpg.de/en/social-law/research/research-projects/pension-maps/project-website/hungary/social-insurance-pension-scheme/?utm_source=chatgpt.com" xr:uid="{DC90BF13-4CF5-46D0-A992-A769D84A894D}"/>
    <hyperlink ref="AI16" r:id="rId261" tooltip="Pension Rights - EURAXESS Cyprus" display="https://www.euraxess.org.cy/cyprus/information-assistance/pension-rights?utm_source=chatgpt.com" xr:uid="{0C9D6DF9-E245-42D5-BC29-BEA757DCF28F}"/>
    <hyperlink ref="AC17" r:id="rId262" tooltip="Changes for employers on January 1, 2025" display="https://www.loyco.ch/en/actualites/changes-for-employers-on-january-1-2025/?utm_source=chatgpt.com" xr:uid="{902BF18D-1571-445C-9294-FF885AFFFCDC}"/>
    <hyperlink ref="AD17" r:id="rId263" tooltip="Europe, 2018 - Slovakia" display="https://www.ssa.gov/policy/docs/progdesc/ssptw/2018-2019/europe/slovakia.html?utm_source=chatgpt.com" xr:uid="{C0A0F106-4854-44B8-B0EA-4254D8062EFB}"/>
    <hyperlink ref="AE17" r:id="rId264" tooltip="Slovenia (EN)" display="https://www.oecd.org/content/dam/oecd/en/publications/reports/2025/11/pensions-at-a-glance-2025-country-notes_e320013d/slovenia_0588d6f3/7e509dba-en.pdf?utm_source=chatgpt.com" xr:uid="{948DF0A9-EA74-4C48-8470-82D8C241487D}"/>
    <hyperlink ref="AF17" r:id="rId265" tooltip="Pension increase and revaluation in 2026 - La Moncloa" display="https://www.lamoncloa.gob.es/lang/en/gobierno/news/paginas/2025/pension-increase-and-revaluation.aspx?utm_source=chatgpt.com" xr:uid="{69B6E835-FD97-4E94-A240-0611E775851E}"/>
    <hyperlink ref="AG17" r:id="rId266" tooltip="Retirement age - ČSSZ Web Other Languages" display="https://www.cssz.cz/web/lang/duchodovy-vek?lang=en&amp;utm_source=chatgpt.com" xr:uid="{CFD6DE91-2EA6-45E0-AA34-575E2DE63C8C}"/>
    <hyperlink ref="AH17" r:id="rId267" tooltip="Hungary" display="https://www.issa.int/sites/default/files/documents/2024-12/Hungary.pdf?utm_source=chatgpt.com" xr:uid="{62B4CA90-0898-4663-B04E-70B6B02B5760}"/>
    <hyperlink ref="AI17" r:id="rId268" tooltip="Cyprus" display="https://www.issa.int/sites/default/files/documents/2024-12/Cyprus.pdf?utm_source=chatgpt.com" xr:uid="{7AF6ED7B-7C54-4658-BE75-3A05BC4D1031}"/>
    <hyperlink ref="AD18" r:id="rId269" tooltip="How to apply for an invalidity pension" display="https://socpoist.sk/en/life-situations/pension/how-apply-invalidity-pension?utm_source=chatgpt.com" xr:uid="{E35E7C9E-4AEE-487D-A293-F34D9FC4DBF4}"/>
    <hyperlink ref="AE18" r:id="rId270" tooltip="Pension ABC" display="https://www.findyourpension.eu/provider-list/pension-abc/default-f4f85c47e1?utm_source=chatgpt.com" xr:uid="{5FA44A72-D528-457D-BE08-181E1C0572BC}"/>
    <hyperlink ref="AF18" r:id="rId271" tooltip="Social security benefits and pensions" display="https://administracion.gob.es/pag_Home/en/Tu-espacio-europeo/derechos-obligaciones/ciudadanos/trabajo-jubilacion/seguridad-social-pensiones/info-general.html?utm_source=chatgpt.com" xr:uid="{5A74254A-1851-4A79-A1B6-DEAB417073D8}"/>
    <hyperlink ref="AG18" r:id="rId272" tooltip="Disability pension - gov.cz" display="https://portal.gov.cz/en/sluzby-vs/disability-pension-S83?utm_source=chatgpt.com" xr:uid="{F567B6B3-E8B3-4914-9B6F-679C14A15AFF}"/>
    <hyperlink ref="AH18" r:id="rId273" tooltip="Your social security rights in Hungary - European Commission" display="https://ec.europa.eu/social/BlobServlet?docId=13766&amp;langId=en&amp;utm_source=chatgpt.com" xr:uid="{A29664EF-1BE1-4B4A-BBD5-7153DD00760C}"/>
    <hyperlink ref="AI18" r:id="rId274" tooltip="Cyprus" display="https://www.issa.int/sites/default/files/documents/2024-12/Cyprus.pdf?utm_source=chatgpt.com" xr:uid="{06A4A22B-0A27-4A8C-8B85-A7F6065FD808}"/>
    <hyperlink ref="AC19" r:id="rId275" tooltip="Glossary | Social insurances | Information Center OASI/DI" display="https://www.ahv-iv.ch/en/Social-insurances/Glossary?utm_source=chatgpt.com" xr:uid="{704EB4DD-978B-4882-9B2C-0795D59AF1E1}"/>
    <hyperlink ref="AD19" r:id="rId276" tooltip="How to apply for a widow's pension" display="https://socpoist.sk/en/life-situations/pension/how-apply-widows-pension?utm_source=chatgpt.com" xr:uid="{DE391E0F-03CC-4DEC-97D4-3F60886A667D}"/>
    <hyperlink ref="AE19" r:id="rId277" tooltip="Europe, 2018 - Slovenia" display="https://www.ssa.gov/policy/docs/progdesc/ssptw/2018-2019/europe/slovenia.html?utm_source=chatgpt.com" xr:uid="{3891C82C-B6EE-46F2-9401-8BDD91763087}"/>
    <hyperlink ref="AF19" r:id="rId278" tooltip="Seguridad Social: Benefits / Pensions for Workers" display="https://www.seg-social.es/wps/portal/wss/internet/Trabajadores/PrestacionesPensionesTrabajadores/42924/42925/42926?utm_source=chatgpt.com" xr:uid="{00448ECD-49A3-4582-92B6-C577F048697A}"/>
    <hyperlink ref="AG19" r:id="rId279" tooltip="the application is processed by the Czech Social Security ..." display="https://portal.gov.cz/en/sluzby-vs/widows-and-widowers-pension--the-application-is-processed-by-the-czech-social-security-administration-S84?utm_source=chatgpt.com" xr:uid="{F7D77723-7CAF-41EA-A02C-772AB38CC0A7}"/>
    <hyperlink ref="AH19" r:id="rId280" tooltip="The widow(er)'s pension" display="https://www.allamkincstar.gov.hu/en/Pension/survivors-benefits/the-widowers-pension?utm_source=chatgpt.com" xr:uid="{C0C90AA9-1D71-4C9B-B7D1-01BA989BDDC2}"/>
    <hyperlink ref="AI19" r:id="rId281" tooltip="Cyprus" display="https://www.issa.int/sites/default/files/documents/2024-12/Cyprus.pdf?utm_source=chatgpt.com" xr:uid="{BBB73D66-4811-441C-B672-5B2A924BD129}"/>
    <hyperlink ref="AC20" r:id="rId282" tooltip="3.03 - OASI Survivors' Pensions" display="https://www.ahv-iv.ch/p/3.03.e?utm_source=chatgpt.com" xr:uid="{270A533A-7CAA-4BBC-B915-F6C0D3256DF9}"/>
    <hyperlink ref="AD20" r:id="rId283" tooltip="How to apply for a widow's pension" display="https://socpoist.sk/en/life-situations/pension/how-apply-widows-pension?utm_source=chatgpt.com" xr:uid="{A343A432-8D87-4BF1-855D-6E590A178751}"/>
    <hyperlink ref="AE20" r:id="rId284" tooltip="How is the widow-er's pension assessed if a divorced ..." display="https://www.zpiz.si/content2020en/assessment-of-a-widow-ers-pension?utm_source=chatgpt.com" xr:uid="{D9D63E41-149A-4018-BA54-FAA4A0BC091D}"/>
    <hyperlink ref="AG20" r:id="rId285" tooltip="Widow's/widower's pension - ČSSZ Web Other Languages" display="https://www.cssz.cz/web/lang/vdovsky/vdovecky?lang=en&amp;utm_source=chatgpt.com" xr:uid="{52D0AEA5-9393-4C64-B32D-63AB795F7868}"/>
    <hyperlink ref="AH20" r:id="rId286" tooltip="Hungary" display="https://www.issa.int/sites/default/files/documents/2024-12/Hungary.pdf?utm_source=chatgpt.com" xr:uid="{77F3A49A-402C-4B63-ADB1-63D1D0383BB1}"/>
    <hyperlink ref="AI20" r:id="rId287" tooltip="Cyprus" display="https://www.issa.int/sites/default/files/documents/2024-12/Cyprus.pdf?utm_source=chatgpt.com" xr:uid="{AA002545-9348-41C4-AAC2-E5D46CBF3A77}"/>
    <hyperlink ref="AC21" r:id="rId288" tooltip="Pension Tax in Switzerland: What Expats &amp; Retirees Need ..." display="https://fiduciaire-genevoise.ch/en/blog/pension-tax-in-switzerland-what-expats-retirees-need-to-know?utm_source=chatgpt.com" xr:uid="{9B27A2C8-3F5A-4DFF-8322-33A2C97A6338}"/>
    <hyperlink ref="AD21" r:id="rId289" tooltip="Statutory Old Age Pension Scheme" display="https://www.mpisoc.mpg.de/en/social-law/research/research-projects/pension-maps/project-website/slovakia/statutory-old-age-pension-scheme/?utm_source=chatgpt.com" xr:uid="{FAB039F6-F862-40C0-ACC1-8150900EB0A4}"/>
    <hyperlink ref="AE21" r:id="rId290" tooltip="I reside in Slovenia and receive my pension from abroad" display="https://www.fu.gov.si/en/life_events_individuals/i_reside_in_slovenia_and_receive_my_pension_from_abroad?utm_source=chatgpt.com" xr:uid="{7D0664ED-96B3-4A11-A8B4-D138CDD47124}"/>
    <hyperlink ref="AF21" r:id="rId291" tooltip="Specific issues regarding taxation of other income without ..." display="https://sede.agenciatributaria.gob.es/Sede/en_gb/no-residentes/irnr-sin-establecimiento-permanente/cuestiones-especificas-sobre-tributacion-otras-convenio/pensiones-satisfechas-seguridad-social-espanola.html?utm_source=chatgpt.com" xr:uid="{076A98BA-F412-4334-B1B9-42EF8F41A4D8}"/>
    <hyperlink ref="AG21" r:id="rId292" tooltip="Comprehensive Overview of Czech Republic Pension ..." display="https://cms.law/en/int/expert-guides/cms-expert-guide-to-pensions/czech-republic?utm_source=chatgpt.com" xr:uid="{7E804B84-B493-4499-AE4F-E0581ACDD604}"/>
    <hyperlink ref="AH21" r:id="rId293" tooltip="Social Insurance Pension Scheme" display="https://www.mpisoc.mpg.de/en/social-law/research/research-projects/pension-maps/project-website/hungary/social-insurance-pension-scheme/?utm_source=chatgpt.com" xr:uid="{A80958F3-82A0-4099-A875-FDA4C01B70E6}"/>
    <hyperlink ref="AI21" r:id="rId294" tooltip="Guide to complete 2023 income tax return for individuals" display="https://www.mof.gov.cy/mof/tax/taxdep.nsf/All/63BFCDA304B95940C2258B2C002BE389/%24file/Guide for tax return 2023.pdf?OpenElement=&amp;utm_source=chatgpt.com" xr:uid="{BF91B9DF-4A2E-4511-A2A1-DAC037AD3F20}"/>
    <hyperlink ref="AC22" r:id="rId295" tooltip="Non-employed contributions to Old-Age and Survivors' ..." display="https://www.ahv-iv.ch/p/2.03.e?utm_source=chatgpt.com" xr:uid="{318AFFD8-07B9-441D-9DAB-92C1E82797A5}"/>
    <hyperlink ref="AD22" r:id="rId296" tooltip="Statutory Old Age Pension Scheme" display="https://www.mpisoc.mpg.de/en/social-law/research/research-projects/pension-maps/project-website/slovakia/statutory-old-age-pension-scheme/?utm_source=chatgpt.com" xr:uid="{0B38EF53-3B3E-43BB-9C28-00A281D6AA60}"/>
    <hyperlink ref="AE22" r:id="rId297" tooltip="I reside in Slovenia and receive my pension from abroad" display="https://www.fu.gov.si/en/life_events_individuals/i_reside_in_slovenia_and_receive_my_pension_from_abroad?utm_source=chatgpt.com" xr:uid="{A478B9CC-1DD7-4B50-B39E-6A4F2070E6E0}"/>
    <hyperlink ref="AF22" r:id="rId298" tooltip="Spain - Individual - Other taxes - Worldwide Tax Summaries" display="https://taxsummaries.pwc.com/spain/individual/other-taxes?utm_source=chatgpt.com" xr:uid="{0E79ED52-14F6-494D-B013-12DD8A0FCCF8}"/>
    <hyperlink ref="AG22" r:id="rId299" tooltip="Czech Republic - Individual - Other taxes" display="https://taxsummaries.pwc.com/czech-republic/individual/other-taxes?utm_source=chatgpt.com" xr:uid="{831D47B3-0C97-4464-94BB-92C80BCF1CEA}"/>
    <hyperlink ref="AH22" r:id="rId300" tooltip="Social Insurance Pension Scheme" display="https://www.mpisoc.mpg.de/en/social-law/research/research-projects/pension-maps/project-website/hungary/social-insurance-pension-scheme/?utm_source=chatgpt.com" xr:uid="{3F28023D-2809-4197-88AC-E59F3C1D327D}"/>
    <hyperlink ref="AI22" r:id="rId301" tooltip="Cyprus - Individual - Other taxes - Worldwide Tax Summaries" display="https://taxsummaries.pwc.com/cyprus/individual/other-taxes?utm_source=chatgpt.com" xr:uid="{C1047A29-5972-46E3-B7D8-C867DBF414DF}"/>
    <hyperlink ref="D9" r:id="rId302" tooltip="            Pension_x000a_     | Settling in Belgium" display="https://settlinginbelgium.be/en/work-and-retirement/retirement" xr:uid="{0AA3D5D5-9A5C-4FD4-BC4D-45E03BAD1BC0}"/>
    <hyperlink ref="D13" r:id="rId303" tooltip="When can I retire? | Federal Pensions Service" display="https://www.sfpd.fgov.be/en/retirement-age/when/?utm_source=chatgpt.com" xr:uid="{F0D26277-86F8-486D-9268-A2EB8D8A723B}"/>
    <hyperlink ref="D15" r:id="rId304" tooltip="            Pension_x000a_     | Settling in Belgium" display="https://settlinginbelgium.be/en/work-and-retirement/retirement" xr:uid="{7FF36458-E793-4887-ABA5-DA1FB5CA689B}"/>
    <hyperlink ref="D18" r:id="rId305" tooltip="Social Security Programs Throughout the World" display="https://www.ssa.gov/policy/docs/progdesc/ssptw/2018-2019/europe/belgium.html?utm_source=chatgpt.com" xr:uid="{4B5020BD-347B-463E-B68B-8FE29AFB819D}"/>
    <hyperlink ref="D19" r:id="rId306" tooltip="mentary table on pension schemes in social insurance ( ..." display="https://www.plan.be/sites/default/files/documents/REP_T29_12928_EN.pdf?utm_source=chatgpt.com" xr:uid="{182CB56E-6068-4B2D-975F-18D790E4AE6D}"/>
    <hyperlink ref="D20" r:id="rId307" tooltip="            Pension_x000a_     | Settling in Belgium" display="https://settlinginbelgium.be/en/work-and-retirement/retirement" xr:uid="{977BBDAF-28B2-4C4D-94E2-686A2D8B8851}"/>
    <hyperlink ref="E9" r:id="rId308" tooltip="OECD Economic Surveys: Bulgaria 2026 (EN)" display="https://www.oecd.org/content/dam/oecd/en/publications/reports/2026/02/oecd-economic-surveys-bulgaria-2026_4dccf790/08af497f-en.pdf" xr:uid="{0C17AD42-3934-44EC-AE6E-79B59B5A766F}"/>
    <hyperlink ref="E13" r:id="rId309" tooltip="OECD Economic Surveys: Bulgaria 2026 (EN)" display="https://www.oecd.org/content/dam/oecd/en/publications/reports/2026/02/oecd-economic-surveys-bulgaria-2026_4dccf790/08af497f-en.pdf" xr:uid="{DBBDB6B1-82E8-4748-BD0F-23E9E9B9ADBD}"/>
    <hyperlink ref="E14" r:id="rId310" tooltip="Your rights country by country" display="https://ec.europa.eu/social/BlobServlet?docId=13741&amp;langId=en" xr:uid="{187603E5-7F01-4EAE-A5A3-93286EDDFC24}"/>
    <hyperlink ref="E15" r:id="rId311" tooltip="OECD Economic Surveys: Bulgaria 2026 (EN)" display="https://www.oecd.org/content/dam/oecd/en/publications/reports/2026/02/oecd-economic-surveys-bulgaria-2026_4dccf790/08af497f-en.pdf" xr:uid="{8A908CC9-FE83-4777-A391-74CF073913DE}"/>
    <hyperlink ref="E16" r:id="rId312" tooltip="OECD Economic Surveys: Bulgaria 2026 (EN)" display="https://www.oecd.org/content/dam/oecd/en/publications/reports/2026/02/oecd-economic-surveys-bulgaria-2026_4dccf790/08af497f-en.pdf" xr:uid="{A0FB714C-F1AA-48E9-9A15-90C8C2296F3A}"/>
    <hyperlink ref="E17" r:id="rId313" tooltip="Your rights country by country" display="https://ec.europa.eu/social/BlobServlet?docId=13741&amp;langId=en" xr:uid="{62D459B3-0AEE-4D5E-9A01-9E33BAD9AF4A}"/>
    <hyperlink ref="E18" r:id="rId314" tooltip="Your rights country by country" display="https://ec.europa.eu/social/BlobServlet?docId=13741&amp;langId=en" xr:uid="{F9416A5F-811F-4334-9C65-36BBE01006B1}"/>
    <hyperlink ref="E19" r:id="rId315" tooltip="Your rights country by country" display="https://ec.europa.eu/social/BlobServlet?docId=13741&amp;langId=en" xr:uid="{1C7E24BA-3864-4DD9-A57B-9193C68574D3}"/>
    <hyperlink ref="E20" r:id="rId316" tooltip="Retiring from work - pfg.bg" display="https://pfg.bg/en/4/50/53/56?utm_source=chatgpt.com" xr:uid="{44168752-AAAF-4B77-9F1E-80AF5BAB92AA}"/>
    <hyperlink ref="E21" r:id="rId317" tooltip="OECD Economic Surveys: Bulgaria 2026 (EN)" display="https://www.oecd.org/content/dam/oecd/en/publications/reports/2026/02/oecd-economic-surveys-bulgaria-2026_4dccf790/08af497f-en.pdf" xr:uid="{95AB0AA9-93BA-4A66-82EE-238FC90134DA}"/>
    <hyperlink ref="F9" r:id="rId318" tooltip="_x000a__x000a_State Pension_x000a_" display="https://lifeindenmark.borger.dk/pension/state-pension" xr:uid="{1C34D0DF-49CE-4E94-A583-2ABEC4853A39}"/>
    <hyperlink ref="F13" r:id="rId319" tooltip="_x000a__x000a_State Pension_x000a_" display="https://lifeindenmark.borger.dk/pension/state-pension" xr:uid="{B7371E7C-BD15-40D0-B9B5-3C350C81C602}"/>
    <hyperlink ref="F14" r:id="rId320" tooltip="_x000a__x000a_State Pension_x000a_" display="https://lifeindenmark.borger.dk/pension/state-pension" xr:uid="{40A596FC-57DB-4219-81A7-50307C846378}"/>
    <hyperlink ref="F15" r:id="rId321" tooltip="_x000a__x000a_State Pension_x000a_" display="https://lifeindenmark.borger.dk/pension/state-pension" xr:uid="{8F4F46C5-A64E-42B6-AD1F-979A1567C208}"/>
    <hyperlink ref="F16" r:id="rId322" tooltip="Pensions at a Glance 2023" display="https://www.oecd.org/content/dam/oecd/en/publications/reports/2024/10/pensions-at-a-glance-2023-country-notes_2e11a061/denmark_3a2242da/c6cac6ed-en.pdf?utm_source=chatgpt.com" xr:uid="{55CA8652-9908-4883-BD27-E5EF1DBA1D0C}"/>
    <hyperlink ref="F17" r:id="rId323" tooltip="_x000a__x000a_Disability pension_x000a_" display="https://lifeindenmark.borger.dk/pension/disability-pension" xr:uid="{9F8A72A1-030E-4CF2-BB45-DD9CC15F3B8D}"/>
    <hyperlink ref="F18" r:id="rId324" tooltip="_x000a__x000a_Survivor benefits_x000a_" display="https://lifeindenmark.borger.dk/healthcare/death-and-funerals/survivor-benefits" xr:uid="{56D5C9F6-7673-48C9-A13B-1A615BC82CC1}"/>
    <hyperlink ref="F19" r:id="rId325" tooltip="_x000a__x000a_Survivor benefits_x000a_" display="https://lifeindenmark.borger.dk/healthcare/death-and-funerals/survivor-benefits" xr:uid="{5109AF9C-DABF-4506-B262-160FDBDCBD02}"/>
    <hyperlink ref="F20" r:id="rId326" tooltip="_x000a__x000a_Tax on Danish and non-Danish pensions_x000a_" display="https://lifeindenmark.borger.dk/pension/tax-on-danish-and-non-danish-pensions" xr:uid="{28324F72-5BC5-49FF-AF71-526B0A8C763F}"/>
    <hyperlink ref="F21" r:id="rId327" tooltip="_x000a__x000a_Tax on Danish and non-Danish pensions_x000a_" display="https://lifeindenmark.borger.dk/pension/tax-on-danish-and-non-danish-pensions" xr:uid="{67ED3B08-83A2-4EBB-AA34-0289FAF80937}"/>
    <hyperlink ref="B8:C8" location="Thema" display="Thema" xr:uid="{215706FE-3B1C-4013-89D0-CF1B4D842824}"/>
    <hyperlink ref="AF20" r:id="rId328" location="5151" display="https://www.seg-social.es/wps/portal/wss/internet/Trabajadores/PrestacionesPensionesTrabajadores/10964/10966/28489/28490?utm_source=chatgpt.com - 5151" xr:uid="{53B46D83-C3FD-43F4-B081-689BEDAB8CC9}"/>
    <hyperlink ref="L9" r:id="rId329" tooltip="Schedule 4 - Pensions Act 1995" display="https://www.legislation.gov.uk/ukpga/1995/26/schedule/4?utm_source=chatgpt.com" xr:uid="{BD2D852E-C1E8-4A8D-9EF7-36B066EA7D5A}"/>
    <hyperlink ref="L13" r:id="rId330" tooltip="  The new State Pension: Eligibility - GOV.UK_x000a_" display="https://www.gov.uk/new-state-pension" xr:uid="{037ECA48-C0AB-4E29-B7AC-1A83695A8EB8}"/>
    <hyperlink ref="L14" r:id="rId331" tooltip="  The new State Pension: Eligibility - GOV.UK_x000a_" display="https://www.gov.uk/new-state-pension" xr:uid="{0992F12A-6A04-404F-AAB6-991097425DFC}"/>
    <hyperlink ref="L15" r:id="rId332" tooltip="  The new State Pension: Eligibility - GOV.UK_x000a_" display="https://www.gov.uk/new-state-pension" xr:uid="{2B3AB5ED-6951-41A7-9308-17F7F9A1BEBC}"/>
    <hyperlink ref="L16" r:id="rId333" tooltip="  The new State Pension: What you'll get - GOV.UK_x000a_" display="https://www.gov.uk/new-state-pension/what-youll-get" xr:uid="{8DFD1357-BF8C-4E0A-8385-F7F3C43C7009}"/>
    <hyperlink ref="L17" r:id="rId334" tooltip="  The new State Pension: What you'll get - GOV.UK_x000a_" display="https://www.gov.uk/new-state-pension/what-youll-get" xr:uid="{EA8BCE56-7121-48FD-BFAA-BDBAB8AAB3A5}"/>
    <hyperlink ref="L18" r:id="rId335" tooltip="Employment and Support Allowance (ESA): Eligibility" display="https://www.gov.uk/employment-support-allowance/eligibility?utm_source=chatgpt.com" xr:uid="{0132AD4D-FABB-4870-866C-ED10FF96A90F}"/>
    <hyperlink ref="L19" r:id="rId336" tooltip="  The new State Pension: Inheriting or increasing State Pension from a spouse or civil partner - GOV.UK_x000a_" display="https://www.gov.uk/new-state-pension/inheriting-or-increasing-state-pension-from-a-spouse-or-civil-partner" xr:uid="{F08CCF0F-C7FA-4E01-8695-43A139CBE4B6}"/>
    <hyperlink ref="L20" r:id="rId337" tooltip="  The new State Pension: Inheriting or increasing State Pension from a spouse or civil partner - GOV.UK_x000a_" display="https://www.gov.uk/new-state-pension/inheriting-or-increasing-state-pension-from-a-spouse-or-civil-partner" xr:uid="{B01CF286-173B-40AE-BA2D-D366C09F8BCF}"/>
    <hyperlink ref="L22" r:id="rId338" tooltip="  National Insurance and tax after State Pension age: Overview - GOV.UK_x000a_" display="https://www.gov.uk/tax-national-insurance-after-state-pension-age" xr:uid="{2FB9B57A-F828-4F08-92DE-359AC560A9C2}"/>
    <hyperlink ref="E12" r:id="rId339" tooltip="EOOD Owner Social Security in Bulgaria 2026 - Innovires Legal" display="https://innovires.com/tax-residency/blog/eood-owner-social-security-bulgaria.html?utm_source=chatgpt.com" xr:uid="{244BE53E-48D8-45C5-9E39-950F20221F87}"/>
    <hyperlink ref="F12" r:id="rId340" tooltip="Retirement Ages - Finnish Centre for Pensions" display="https://www.etk.fi/en/international-affairs/international-comparisons/retirement-ages/" xr:uid="{7AE079B5-5826-4DD0-93D4-ECBCACF8CDF6}"/>
    <hyperlink ref="G12" r:id="rId341" tooltip="Retirement Ages - Finnish Centre for Pensions" display="https://www.etk.fi/en/international-affairs/international-comparisons/retirement-ages/" xr:uid="{803F622B-E0D9-4448-80BD-DFC4C6867967}"/>
    <hyperlink ref="H12" r:id="rId342" tooltip="Retirement Ages - Finnish Centre for Pensions" display="https://www.etk.fi/en/international-affairs/international-comparisons/retirement-ages/" xr:uid="{A4202617-A07E-4403-AD2A-3A422D4127BF}"/>
    <hyperlink ref="I12" r:id="rId343" tooltip="Retirement Ages - Finnish Centre for Pensions" display="https://www.etk.fi/en/international-affairs/international-comparisons/retirement-ages/" xr:uid="{FED045D0-80D7-441D-9F79-7496706D665A}"/>
    <hyperlink ref="J12" r:id="rId344" tooltip="The French Social Security System III - Retirement" display="https://www.cleiss.fr/docs/regimes/regime_france/an_3.html?utm_source=chatgpt.com" xr:uid="{36D560FE-5FCD-470D-A206-88E9486AECD7}"/>
    <hyperlink ref="K12" r:id="rId345" tooltip="Retirement Ages - Finnish Centre for Pensions" display="https://www.etk.fi/en/international-affairs/international-comparisons/retirement-ages/" xr:uid="{8D8876E1-FFBF-4DB1-8934-5C541F2E73E8}"/>
    <hyperlink ref="M12" r:id="rId346" tooltip="Retirement Ages - Finnish Centre for Pensions" display="https://www.etk.fi/en/international-affairs/international-comparisons/retirement-ages/" xr:uid="{D31762F3-2F59-4A90-AF06-7EF546EC1BC5}"/>
    <hyperlink ref="O12" r:id="rId347" tooltip="Retirement Ages - Finnish Centre for Pensions" display="https://www.etk.fi/en/international-affairs/international-comparisons/retirement-ages/" xr:uid="{D8D37D9A-8B43-47F0-B702-7CA6D8EF60BA}"/>
    <hyperlink ref="P12" r:id="rId348" tooltip="Retirement Ages - Finnish Centre for Pensions" display="https://www.etk.fi/en/international-affairs/international-comparisons/retirement-ages/" xr:uid="{14D2C0E5-7A21-4A58-BD9D-1B4C4D40BDE9}"/>
    <hyperlink ref="Q12" r:id="rId349" tooltip="Retirement Ages - Finnish Centre for Pensions" display="https://www.etk.fi/en/international-affairs/international-comparisons/retirement-ages/" xr:uid="{6694211B-E8F2-480C-9569-66A5A08B307E}"/>
    <hyperlink ref="S12" r:id="rId350" tooltip="Retirement Ages - Finnish Centre for Pensions" display="https://www.etk.fi/en/international-affairs/international-comparisons/retirement-ages/" xr:uid="{7A82FA41-67CF-4715-8CCF-43D50475A59B}"/>
    <hyperlink ref="T12" r:id="rId351" tooltip="Retirement Ages - Finnish Centre for Pensions" display="https://www.etk.fi/en/international-affairs/international-comparisons/retirement-ages/" xr:uid="{1A80D235-237F-4ACA-955F-7CBF71CC91D9}"/>
    <hyperlink ref="U12" r:id="rId352" tooltip="Retirement Pension - Social Security" display="https://socialsecurity.gov.mt/en/information-and-applications-for-benefits-and-services/contributory-pensions/retirement-pension/?utm_source=chatgpt.com" xr:uid="{566F4203-D424-45E5-B83F-18A54BB65E7C}"/>
    <hyperlink ref="V12" r:id="rId353" tooltip="Retirement Ages - Finnish Centre for Pensions" display="https://www.etk.fi/en/international-affairs/international-comparisons/retirement-ages/" xr:uid="{BA0335E0-5796-4A3D-8423-5F0573686A98}"/>
    <hyperlink ref="X12" r:id="rId354" tooltip="Retirement Ages - Finnish Centre for Pensions" display="https://www.etk.fi/en/international-affairs/international-comparisons/retirement-ages/" xr:uid="{B6C503A3-C1E1-42FE-B237-9F91E3CCE7F9}"/>
    <hyperlink ref="Y12" r:id="rId355" tooltip="Retirement Ages - Finnish Centre for Pensions" display="https://www.etk.fi/en/international-affairs/international-comparisons/retirement-ages/" xr:uid="{F00B9DA2-0E27-4B5C-8E8F-E81A46D52C28}"/>
    <hyperlink ref="Z12" r:id="rId356" tooltip="Retirement pension" display="https://www.cga.pt/en/pensao-de-aposentacao?utm_source=chatgpt.com" xr:uid="{23851A4C-A25C-49ED-8BF7-D17949E35BD2}"/>
    <hyperlink ref="AA12" r:id="rId357" tooltip="2024 Ageing Report Romania - Country Fiche" display="https://economy-finance.ec.europa.eu/document/download/a9702deb-0d2c-4540-a03c-65e2b4736c23_en?filename=2024-ageing-report-country-fiche-Romania.pdf&amp;utm_source=chatgpt.com" xr:uid="{2D2BBF96-3964-42C4-83C9-E7B631FAF738}"/>
    <hyperlink ref="AB12" r:id="rId358" tooltip="Retirement Ages - Finnish Centre for Pensions" display="https://www.etk.fi/en/international-affairs/international-comparisons/retirement-ages/" xr:uid="{85A84EDA-39D9-4DED-A60A-95C19761A41E}"/>
    <hyperlink ref="AD12" r:id="rId359" tooltip="2024 Ageing Report Slovak Republic - Country Fiche" display="https://economy-finance.ec.europa.eu/document/download/9d858e5d-9263-4055-a008-162bf459da4e_en?filename=2024-ageing-report-country-fiche-Slovakia.pdf&amp;utm_source=chatgpt.com" xr:uid="{CE04961A-F3DB-4C12-B6FD-B65656050F47}"/>
    <hyperlink ref="AE12" r:id="rId360" tooltip="Recent pension reforms: Pensions at a Glance 2025" display="https://www.oecd.org/en/publications/2025/11/pensions-at-a-glance-2025_76510fe4/full-report/recent-pension-reforms_146d2687.html?utm_source=chatgpt.com" xr:uid="{96E3DD96-0C40-44EA-83A8-2444D2CDD47E}"/>
    <hyperlink ref="AF12" r:id="rId361" tooltip="Seguridad Social: Benefits / Pensions for Workers" display="https://www.seg-social.es/wps/portal/wss/internet/Trabajadores/PrestacionesPensionesTrabajadores/10963/28393/28396/28472?utm_source=chatgpt.com" xr:uid="{A2CDEDFB-A298-4A68-8ED0-DDC81377ED0D}"/>
    <hyperlink ref="AG12" r:id="rId362" tooltip="Pensions at a Glance 2025" display="https://mzv.gov.cz/file/6065478/OECD_PAG_2025_country_profile_Czechia.pdf?utm_source=chatgpt.com" xr:uid="{774AB283-BF48-456B-97A5-C7ACFF1A06D6}"/>
    <hyperlink ref="AH12" r:id="rId363" tooltip="Retirement Ages - Finnish Centre for Pensions" display="https://www.etk.fi/en/international-affairs/international-comparisons/retirement-ages/" xr:uid="{F6D88A2A-6C10-428E-BC07-5FA1101EB83B}"/>
    <hyperlink ref="AI12" r:id="rId364" tooltip="Retirement Ages - Finnish Centre for Pensions" display="https://www.etk.fi/en/international-affairs/international-comparisons/retirement-ages/?utm_source=chatgpt.com" xr:uid="{D0BA9031-766D-499F-A8FF-E77397CF3B78}"/>
    <hyperlink ref="R12" r:id="rId365" tooltip="Your social security rights in Liechtenstein" display="https://ec.europa.eu/social/BlobServlet?docId=13743&amp;langId=en&amp;utm_source=chatgpt.com" xr:uid="{244EA63B-B2B7-49D7-9461-948065C03926}"/>
    <hyperlink ref="W12" r:id="rId366" tooltip="Retirement pension" display="https://www.nav.no/alderspensjon/en?utm_source=chatgpt.com" xr:uid="{F81B061A-B652-4A7F-ABE4-86A28EE2307D}"/>
    <hyperlink ref="AC12" r:id="rId367" tooltip="Flexible retirement" display="https://www.ahv-iv.ch/p/3.04.e?utm_source=chatgpt.com" xr:uid="{AF4630DB-7291-4ED4-9D9F-BA11B26650D8}"/>
    <hyperlink ref="L12" r:id="rId368" tooltip="GAD and the State Pension age review" display="https://www.gov.uk/government/news/gad-and-the-state-pension-age-review?utm_source=chatgpt.com" xr:uid="{4AC9B7DE-FBD6-48C6-8966-9A82128CA007}"/>
    <hyperlink ref="AJ12" r:id="rId369" tooltip="Canada Pension Plan retirement pension" display="https://www.canada.ca/en/services/benefits/publicpensions/cpp.html?utm_source=chatgpt.com" xr:uid="{486FC216-3473-4D3B-934F-91B85AADA5AB}"/>
    <hyperlink ref="AK12" r:id="rId370" tooltip="Who can get Age Pension" display="https://www.servicesaustralia.gov.au/who-can-get-age-pension?context=22526&amp;utm_source=chatgpt.com" xr:uid="{742B9DEC-78CD-47E3-80E8-642B33540803}"/>
    <hyperlink ref="AL12" r:id="rId371" tooltip="New Zealand Superannuation" display="https://www.workandincome.govt.nz/eligibility/seniors/superannuation/index.html?utm_source=chatgpt.com" xr:uid="{680981DA-70BB-472E-A8FC-8198D6E67FA7}"/>
    <hyperlink ref="AJ9" r:id="rId372" display="https://www.canada.ca/en/services/benefits/publicpensions/old-age-security.html?utm_source=chatgpt.com" xr:uid="{42166B2A-83C4-428F-89B6-17FC7A0B9405}"/>
    <hyperlink ref="AJ13" r:id="rId373" display="https://search.open.canada.ca/qpnotes/record/esdc-edsc%2CEF_005_20260105?utm_source=chatgpt.com" xr:uid="{BAD28CEC-BC67-4C59-9889-9F1EB694459C}"/>
    <hyperlink ref="AJ14" r:id="rId374" display="Der CPP ist dagegen beitragsbezogen: Wer außerhalb Québecs in Kanada arbeitet, über 18 ist und mehr als den Grundfreibetrag von 3.500 CAD verdient, muss grundsätzlich Beiträge leisten; Arbeitgeber und Arbeitnehmer tragen die Beiträge paritätisch. Für 2026 wird eine CPP-Beitragsrate von insgesamt 11,9 %, hälftig auf Arbeitgeber und Arbeitnehmer verteilt, bis zur Beitragsbemessungsgrenze genannt." xr:uid="{0895324D-F385-4347-9936-8EA460C3D2C7}"/>
    <hyperlink ref="AJ15" r:id="rId375" display="Die OAS hängt nicht von Beitragszahlungen ab, sondern von Alter, Status als kanadischer Staatsangehöriger oder legal resident und der Wohnsitzdauer nach Vollendung des 18. Lebensjahres. Für eine Teilrente sind regelmäßig mindestens 10 Jahre residence nach 18 erforderlich; die volle OAS setzt grundsätzlich 40 Jahre residence nach 18 voraus." xr:uid="{98313FA3-CB42-46B8-86D9-6C8713E85734}"/>
    <hyperlink ref="AJ16" r:id="rId376" display="OAS-Leistungen werden vierteljährlich angepasst. CPP-Leistungen werden jährlich zum Januar anhand des Verbraucherpreisindex angepasst. In der Anwartschaftsphase ist beim CPP die spätere Leistung an die beitragspflichtigen Verdienste und Beitragsjahre gebunden; die Beitragsbemessungsgrößen werden jährlich fortgeschrieben." xr:uid="{704A832A-D486-4EC8-AA52-C557D1A03373}"/>
    <hyperlink ref="AJ18" r:id="rId377" display="https://www.canada.ca/en/services/benefits/publicpensions/cpp/cpp-survivor-pension.html?utm_source=chatgpt.com" xr:uid="{F1B79787-1C90-4DB3-95C0-A546BE7F584D}"/>
    <hyperlink ref="AJ20" r:id="rId378" display="Eine geschiedene frühere Ehegattenperson erhält nach CPP-Systematik nicht schon wegen der früheren Ehe eine Survivor’s Pension; relevant ist bei Scheidung vielmehr das CPP credit splitting. Eine getrennt lebende, aber noch rechtlich verheiratete Person kann dagegen unter bestimmten Voraussetzungen anspruchsberechtigt sein, insbesondere wenn keine common-law partner-Person des Verstorbenen vorrangig ist." xr:uid="{D0EE660E-9C00-41E5-B186-3EFDB9D268FA}"/>
    <hyperlink ref="AJ19" r:id="rId379" display="https://www.canada.ca/content/dam/esdc-edsc/documents/programs/pensions/reports/annual-2024/2023-2024-CPP-Annual-Report-en.pdf?utm_source=chatgpt.com" xr:uid="{4FC5B932-AE2C-45DC-B6F9-96B5C152AF11}"/>
    <hyperlink ref="AJ21" r:id="rId380" display="OAS und CPP sind steuerpflichtiges Einkommen. Die OAS unterliegt zusätzlich einer einkommensabhängigen Rückforderung, dem OAS recovery tax, bei höheren Einkommen. Auf Rentenzahlungen selbst fallen grundsätzlich keine CPP-Beiträge an; wer während des Bezugs einer CPP-Rente weiter arbeitet, kann je nach Alter weiter beitragspflichtig sein bzw. ab 65 bis 70 die Beitragszahlung abwählen." xr:uid="{41A549DF-75BE-4808-A5A1-2F9279CA33FD}"/>
    <hyperlink ref="AK9" r:id="rId381" display="Die australische Age Pension kann nach aktuellem Recht ab 67 Jahren bezogen werden; Jahrgang 1976 erreicht dieses Alter im Jahr 2043. Die amtliche australische Lebenstafel 2022–2024 weist für Männer mit 65 Jahren eine weitere Lebenserwartung von 20,1 Jahren aus, also ein erwartetes Alter von 85,1 Jahren; für 67-Jährige ist der Wert naturgemäß etwas niedriger, überschlägig etwa 18–19 weitere Jahre." xr:uid="{6C0E5257-0B65-48EA-8A3E-98F82EE321B6}"/>
    <hyperlink ref="AK13" r:id="rId382" display="https://www.servicesaustralia.gov.au/age-pension?utm_source=chatgpt.com" xr:uid="{A5C6A75B-5B5C-4C59-AC18-9A9CCA08F184}"/>
    <hyperlink ref="AK14" r:id="rId383" display="Daneben besteht die Superannuation Guarantee: Arbeitgeber müssen seit 1. Juli 2025 grundsätzlich 12 % der ordinary time earnings in ein Superannuation-Konto einzahlen. Dieses System ist kapitalgedeckt und für die wirtschaftliche Altersversorgung wichtig, aber nicht identisch mit der staatlichen Age Pension." xr:uid="{94FFE554-6913-414E-867C-2CFBB4BFCDD5}"/>
    <hyperlink ref="AK17" r:id="rId384" display="In der Leistungsphase werden die Rentensätze regelmäßig angepasst; die australische Grundpension wird u.a. an Preisindizes und an den Lohnmaßstab MTAWE angebunden, wobei der Einzelsatz über den gesetzlichen Benchmark an den männlichen Durchschnittswochenverdienst gekoppelt ist." xr:uid="{0393A5AE-A632-4162-9AAF-660C8A9217BF}"/>
    <hyperlink ref="AK19" r:id="rId385" display="Eine allgemeine, lebenslange Hinterbliebenenrente als Quote der Altersrente besteht in der Age Pension nicht. Beim Tod eines Partners wird die Leistung des Überlebenden neu nach den Single-Regeln bemessen; besondere Bereavement-/Pension-Bonus-Regelungen sind eng begrenzt, und frühere Widow-/Bereavement-Leistungen sind für Neuzugänge entfallen. Eine Geschiedenenhinterbliebenenversorgung aus der staatlichen Age Pension besteht nicht." xr:uid="{F8FA959F-D40F-460B-8354-95ACFD9622C5}"/>
    <hyperlink ref="AK18" r:id="rId386" display="https://www.servicesaustralia.gov.au/who-can-get-disability-support-pension?context=22276&amp;utm_source=chatgpt.com" xr:uid="{475EB39D-8288-4D04-B890-E21034AA3194}"/>
    <hyperlink ref="AK20" r:id="rId387" xr:uid="{AA19E940-8818-4490-BEF1-926EEC31ECE0}"/>
    <hyperlink ref="AK22" r:id="rId388" display="Zusätzlich gibt es den Medicare Levy von grundsätzlich 2 % des taxable income, mit Einkommensgrenzen, Reduktionen und Ausnahmen. Klassische Sozialversicherungsbeiträge auf Rentenleistungen wie in Deutschland gibt es nicht; Australien finanziert die Age Pension steuerfinanziert." xr:uid="{9735A8AB-29E3-44DE-ADF6-3C5A50460531}"/>
    <hyperlink ref="AK21" r:id="rId389" xr:uid="{B47E36CF-FF0D-4194-A953-E71AF835C54B}"/>
    <hyperlink ref="AL9" r:id="rId390" display="Die staatliche New Zealand Superannuation, NZ Super, beginnt nach aktuellem Recht mit 65 Jahren. Jahrgang 1976 erreicht dieses Alter im Jahr 2041. Stats NZ weist für Männer mit 65 aktuell eine Lebenserwartung bis 84,7 Jahre, also weitere 19,7 Jahre, aus." xr:uid="{7A2608EE-5443-4E1F-8A71-8ADF10B0EDC2}"/>
    <hyperlink ref="AL13" r:id="rId391" display="https://www.workandincome.govt.nz/eligibility/seniors/nz-super-and-veterans-pension-residency-changes-2024.html" xr:uid="{64B32D79-66D1-4B89-A710-DD511B32BA23}"/>
    <hyperlink ref="AL17" r:id="rId392" display="In der Leistungsphase werden die Netto-Sätze jährlich angepasst: Die gesetzliche Anpassung berücksichtigt den Verbraucherpreisindex und stellt sicher, dass der Netto-Satz für ein verheiratetes Paar innerhalb der gesetzlichen Relation zum Netto-Durchschnittslohn bleibt, insbesondere nicht unter 66 % fällt." xr:uid="{B8B2F04A-2ECA-4453-BF24-0C9F5133FEDA}"/>
    <hyperlink ref="AL18" r:id="rId393" display="https://www.workandincome.govt.nz/on-a-benefit/payments/payments-when-a-client-dies.html?utm_source=chatgpt.com" xr:uid="{48EC19B0-2F6C-4A35-AE07-34CEC38FB372}"/>
    <hyperlink ref="AL19" r:id="rId394" display="Eine allgemeine Hinterbliebenenrente aus NZ Super als Quote der Altersrente besteht ebenfalls nicht. Stirbt der Partner, wird die eigene NZ-Super-Zahlung gegebenenfalls auf den Single-Satz umgestellt; daneben kommen zeitlich begrenzte Zahlungen nach dem Tod oder ein Funeral Grant in Betracht. Eine Geschiedenenhinterbliebenenversorgung aus NZ Super besteht nicht." xr:uid="{A9630FAC-D144-4A0A-8E4A-FF80C4444ABE}"/>
    <hyperlink ref="AL21" r:id="rId395" display="NZ Super ist steuerpflichtig; die Steuer wird über den zuständigen tax code durch Ministry of Social Development/Work and Income einbehalten. Neuseeland kennt keine klassischen Sozialversicherungsbeiträge in staatliche Rentenversicherungssysteme; ACC-Levies betreffen Erwerbseinkommen, nicht typischerweise die NZ-Super-Leistung selbst." xr:uid="{A757C173-7BE5-47A5-A112-CF34069930B9}"/>
    <hyperlink ref="AL22" r:id="rId396" xr:uid="{955F2FA0-B815-40FB-AC99-91B9E69C2DA6}"/>
    <hyperlink ref="M13" r:id="rId397" tooltip="_x000a_            _x000a_                _x000a_            _x000a_            _x000a_                _x000a_                    State Pension (Contributory)_x000a_                _x000a_            _x000a_            _x000a_                _x000a_            _x000a_        " display="https://www.gov.ie/en/department-of-social-protection/services/state-pension-contributory/" xr:uid="{1E1721C1-0E27-4107-8C42-1E0F88CAA6C7}"/>
    <hyperlink ref="AM10" r:id="rId398" display="https://www.ssa.gov/oact/ProgData/ar_drc.html" xr:uid="{164CD6B9-EFD8-4996-B5A5-4F15EE5456D5}"/>
    <hyperlink ref="AM12" r:id="rId399" xr:uid="{17964A7D-FB14-400B-B798-4A5C1D4B7247}"/>
    <hyperlink ref="AM15" r:id="rId400" display="https://www.ssa.gov/international/agreements_overview.html" xr:uid="{DD24B0BF-935E-4051-B9C4-3DFD620B397C}"/>
    <hyperlink ref="AM16" r:id="rId401" display="https://www.ssa.gov/oact/cola/awifactors.html" xr:uid="{9E757070-890A-4642-AB5D-87BDD7D1003A}"/>
    <hyperlink ref="AM17" r:id="rId402" display="https://www.ssa.gov/pubs/EN-05-10526.pdf" xr:uid="{744DD3AF-6958-4BC5-A6A7-5E4D68A444A4}"/>
    <hyperlink ref="AM18" r:id="rId403" display="https://www.ssa.gov/pubs/EN-05-10035.pdf" xr:uid="{C8AEBD68-E0D8-42F5-A250-E7E1F95D8F37}"/>
    <hyperlink ref="AM19" r:id="rId404" display="https://www.ssa.gov/survivor/amount" xr:uid="{5AAA68BF-AA04-4813-8F2C-B683A23786F7}"/>
    <hyperlink ref="AM20" r:id="rId405" display="https://www.ssa.gov/blog/en/posts/2026-03-12.html" xr:uid="{7989DFB0-8246-424D-A3B9-45EA5FED1E7B}"/>
    <hyperlink ref="AM21" r:id="rId406" display="https://www.irs.gov/newsroom/irs-reminds-taxpayers-their-social-security-benefits-may-be-taxable" xr:uid="{F3A975E0-15C5-4308-966A-1C2FC2175687}"/>
    <hyperlink ref="AM22" r:id="rId407" display="https://www.irs.gov/retirement-plans/plan-participant-employee/401k-resource-guide-plan-participants-401k-plan-overview" xr:uid="{137259F0-C43D-49B2-A89B-2FD62B49E464}"/>
  </hyperlinks>
  <pageMargins left="0.7" right="0.7" top="0.78740157499999996" bottom="0.78740157499999996" header="0.3" footer="0.3"/>
  <drawing r:id="rId408"/>
  <legacyDrawing r:id="rId409"/>
  <mc:AlternateContent xmlns:mc="http://schemas.openxmlformats.org/markup-compatibility/2006">
    <mc:Choice Requires="x14">
      <controls>
        <mc:AlternateContent xmlns:mc="http://schemas.openxmlformats.org/markup-compatibility/2006">
          <mc:Choice Requires="x14">
            <control shapeId="1026" r:id="rId410" name="Drop Down 2">
              <controlPr defaultSize="0" autoLine="0" autoPict="0">
                <anchor moveWithCells="1">
                  <from>
                    <xdr:col>1</xdr:col>
                    <xdr:colOff>19050</xdr:colOff>
                    <xdr:row>2</xdr:row>
                    <xdr:rowOff>0</xdr:rowOff>
                  </from>
                  <to>
                    <xdr:col>3</xdr:col>
                    <xdr:colOff>38100</xdr:colOff>
                    <xdr:row>3</xdr:row>
                    <xdr:rowOff>38100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6C474-8B4E-4E54-8CC4-DB9B56295F1E}">
  <sheetPr codeName="Tabelle2"/>
  <dimension ref="A1:F111"/>
  <sheetViews>
    <sheetView workbookViewId="0">
      <pane xSplit="5" ySplit="2" topLeftCell="F91" activePane="bottomRight" state="frozen"/>
      <selection activeCell="B15" sqref="B15:I21"/>
      <selection pane="topRight" activeCell="B15" sqref="B15:I21"/>
      <selection pane="bottomLeft" activeCell="B15" sqref="B15:I21"/>
      <selection pane="bottomRight" activeCell="B2" sqref="B2"/>
    </sheetView>
  </sheetViews>
  <sheetFormatPr baseColWidth="10" defaultColWidth="0" defaultRowHeight="15" zeroHeight="1"/>
  <cols>
    <col min="1" max="1" width="5" customWidth="1"/>
    <col min="2" max="2" width="5.140625" customWidth="1"/>
    <col min="3" max="3" width="5.140625" style="120" customWidth="1"/>
    <col min="4" max="4" width="6.5703125" style="120" customWidth="1"/>
    <col min="5" max="5" width="20.85546875" customWidth="1"/>
    <col min="6" max="6" width="120.7109375" customWidth="1"/>
    <col min="7" max="16384" width="29" hidden="1"/>
  </cols>
  <sheetData>
    <row r="1" spans="1:6" ht="64.5" customHeight="1">
      <c r="B1" s="125" t="s">
        <v>1474</v>
      </c>
      <c r="C1" s="125" t="s">
        <v>1478</v>
      </c>
      <c r="D1" s="125" t="s">
        <v>1475</v>
      </c>
      <c r="E1" s="118" t="s">
        <v>2245</v>
      </c>
      <c r="F1" s="6" t="s">
        <v>0</v>
      </c>
    </row>
    <row r="2" spans="1:6" ht="39.75" customHeight="1">
      <c r="A2" s="128"/>
      <c r="B2" s="126"/>
      <c r="C2" s="126"/>
      <c r="D2" s="126"/>
      <c r="E2" s="124"/>
      <c r="F2" s="162" t="str" cm="1">
        <f t="array" ref="F2">_xlfn.TEXTJOIN("; ", TRUE, IF(Entscheidungen!A2:A100=F1, Entscheidungen!B2:B100, ""))</f>
        <v/>
      </c>
    </row>
    <row r="3" spans="1:6" ht="195">
      <c r="A3" s="7">
        <f>ROW()</f>
        <v>3</v>
      </c>
      <c r="B3" s="8" t="s">
        <v>1479</v>
      </c>
      <c r="C3" s="9"/>
      <c r="D3" s="9" t="str">
        <f>+E3</f>
        <v>Geltende Rechtsgrundlage</v>
      </c>
      <c r="E3" s="21" t="s">
        <v>1472</v>
      </c>
      <c r="F3" s="2" t="s">
        <v>1480</v>
      </c>
    </row>
    <row r="4" spans="1:6" ht="110.25">
      <c r="A4" s="7">
        <f>ROW()</f>
        <v>4</v>
      </c>
      <c r="B4" s="8" t="s">
        <v>1479</v>
      </c>
      <c r="C4" s="119"/>
      <c r="D4" s="9" t="str">
        <f t="shared" ref="D4:D34" si="0">+E4</f>
        <v>Grundprinzipien</v>
      </c>
      <c r="E4" s="22" t="s">
        <v>1468</v>
      </c>
      <c r="F4" s="2" t="s">
        <v>1481</v>
      </c>
    </row>
    <row r="5" spans="1:6" ht="188.25">
      <c r="A5" s="7">
        <f>ROW()</f>
        <v>5</v>
      </c>
      <c r="B5" s="8" t="s">
        <v>1479</v>
      </c>
      <c r="C5" s="119"/>
      <c r="D5" s="9" t="str">
        <f t="shared" si="0"/>
        <v>Gedecktes Risiko: Definition</v>
      </c>
      <c r="E5" s="22" t="s">
        <v>1630</v>
      </c>
      <c r="F5" s="3" t="s">
        <v>2458</v>
      </c>
    </row>
    <row r="6" spans="1:6" ht="144">
      <c r="A6" s="7">
        <f>ROW()</f>
        <v>6</v>
      </c>
      <c r="B6" s="8" t="s">
        <v>1479</v>
      </c>
      <c r="C6" s="9" t="s">
        <v>1453</v>
      </c>
      <c r="D6" s="9" t="str">
        <f t="shared" si="0"/>
        <v>Versicherte Personen</v>
      </c>
      <c r="E6" s="23" t="s">
        <v>1453</v>
      </c>
      <c r="F6" s="2" t="s">
        <v>1482</v>
      </c>
    </row>
    <row r="7" spans="1:6" ht="273">
      <c r="A7" s="7">
        <f>ROW()</f>
        <v>7</v>
      </c>
      <c r="B7" s="8" t="s">
        <v>1479</v>
      </c>
      <c r="C7" s="9" t="str">
        <f>+E6</f>
        <v>Versicherte Personen</v>
      </c>
      <c r="D7" s="9" t="str">
        <f t="shared" si="0"/>
        <v>Ausnahmen von der Versicherungspflicht</v>
      </c>
      <c r="E7" s="23" t="s">
        <v>1458</v>
      </c>
      <c r="F7" s="2" t="s">
        <v>110</v>
      </c>
    </row>
    <row r="8" spans="1:6" ht="194.25">
      <c r="A8" s="7">
        <f>ROW()</f>
        <v>8</v>
      </c>
      <c r="B8" s="8" t="s">
        <v>1479</v>
      </c>
      <c r="C8" s="9" t="s">
        <v>128</v>
      </c>
      <c r="D8" s="9" t="str">
        <f t="shared" si="0"/>
        <v>1. Anwartschaftszeit</v>
      </c>
      <c r="E8" s="23" t="s">
        <v>1483</v>
      </c>
      <c r="F8" s="3" t="s">
        <v>2461</v>
      </c>
    </row>
    <row r="9" spans="1:6" ht="409.5">
      <c r="A9" s="7">
        <f>ROW()</f>
        <v>9</v>
      </c>
      <c r="B9" s="8" t="s">
        <v>1479</v>
      </c>
      <c r="C9" s="9" t="s">
        <v>128</v>
      </c>
      <c r="D9" s="9" t="str">
        <f t="shared" si="0"/>
        <v xml:space="preserve">2. Begutachtungskriterien und Kategorien der Arbeitsunfähigkeit/Arbeitsfähigkeit  </v>
      </c>
      <c r="E9" s="23" t="s">
        <v>1484</v>
      </c>
      <c r="F9" s="2" t="s">
        <v>1485</v>
      </c>
    </row>
    <row r="10" spans="1:6" ht="222">
      <c r="A10" s="7">
        <f>ROW()</f>
        <v>10</v>
      </c>
      <c r="B10" s="8" t="s">
        <v>1479</v>
      </c>
      <c r="C10" s="9" t="s">
        <v>128</v>
      </c>
      <c r="D10" s="9" t="str">
        <f t="shared" si="0"/>
        <v>3. Zeitraum der Leistungszahlung</v>
      </c>
      <c r="E10" s="23" t="s">
        <v>1486</v>
      </c>
      <c r="F10" s="2" t="s">
        <v>1487</v>
      </c>
    </row>
    <row r="11" spans="1:6" ht="120">
      <c r="A11" s="7">
        <f>ROW()</f>
        <v>11</v>
      </c>
      <c r="B11" s="8" t="s">
        <v>1479</v>
      </c>
      <c r="C11" s="9" t="s">
        <v>1488</v>
      </c>
      <c r="D11" s="9" t="str">
        <f t="shared" si="0"/>
        <v>1. Gutachter</v>
      </c>
      <c r="E11" s="23" t="s">
        <v>1489</v>
      </c>
      <c r="F11" s="3" t="s">
        <v>2459</v>
      </c>
    </row>
    <row r="12" spans="1:6" ht="104.25">
      <c r="A12" s="7">
        <f>ROW()</f>
        <v>12</v>
      </c>
      <c r="B12" s="8" t="s">
        <v>1479</v>
      </c>
      <c r="C12" s="9" t="s">
        <v>1488</v>
      </c>
      <c r="D12" s="9" t="str">
        <f t="shared" si="0"/>
        <v xml:space="preserve">2. Überprüfung  </v>
      </c>
      <c r="E12" s="23" t="s">
        <v>1490</v>
      </c>
      <c r="F12" s="2" t="s">
        <v>1491</v>
      </c>
    </row>
    <row r="13" spans="1:6" ht="291.75">
      <c r="A13" s="7">
        <f>ROW()</f>
        <v>13</v>
      </c>
      <c r="B13" s="8" t="s">
        <v>1479</v>
      </c>
      <c r="C13" s="9" t="s">
        <v>1459</v>
      </c>
      <c r="D13" s="9" t="str">
        <f t="shared" si="0"/>
        <v>1. Berechnungsmethode bzw. Rentenformel</v>
      </c>
      <c r="E13" s="23" t="s">
        <v>1492</v>
      </c>
      <c r="F13" s="3" t="s">
        <v>2460</v>
      </c>
    </row>
    <row r="14" spans="1:6" ht="343.5">
      <c r="A14" s="7">
        <f>ROW()</f>
        <v>14</v>
      </c>
      <c r="B14" s="8" t="s">
        <v>1479</v>
      </c>
      <c r="C14" s="9" t="s">
        <v>1459</v>
      </c>
      <c r="D14" s="9" t="str">
        <f t="shared" si="0"/>
        <v>2. Referenzeinkommen bzw. Berechnungsgrundlage</v>
      </c>
      <c r="E14" s="23" t="s">
        <v>1493</v>
      </c>
      <c r="F14" s="10" t="s">
        <v>1494</v>
      </c>
    </row>
    <row r="15" spans="1:6" ht="226.5">
      <c r="A15" s="7">
        <f>ROW()</f>
        <v>15</v>
      </c>
      <c r="B15" s="8" t="s">
        <v>1479</v>
      </c>
      <c r="C15" s="9" t="s">
        <v>1459</v>
      </c>
      <c r="D15" s="9" t="str">
        <f t="shared" si="0"/>
        <v>3. Mindest- und Höchstleistungen</v>
      </c>
      <c r="E15" s="23" t="s">
        <v>1495</v>
      </c>
      <c r="F15" s="2" t="s">
        <v>3285</v>
      </c>
    </row>
    <row r="16" spans="1:6" ht="405">
      <c r="A16" s="7">
        <f>ROW()</f>
        <v>16</v>
      </c>
      <c r="B16" s="8" t="s">
        <v>1479</v>
      </c>
      <c r="C16" s="9" t="s">
        <v>1459</v>
      </c>
      <c r="D16" s="9" t="str">
        <f t="shared" si="0"/>
        <v>4. Anrechenbare oder als Beitragszeiten gewertete Zeiträume</v>
      </c>
      <c r="E16" s="23" t="s">
        <v>1496</v>
      </c>
      <c r="F16" s="2" t="s">
        <v>1497</v>
      </c>
    </row>
    <row r="17" spans="1:6" ht="242.25">
      <c r="A17" s="7">
        <f>ROW()</f>
        <v>17</v>
      </c>
      <c r="B17" s="8" t="s">
        <v>1479</v>
      </c>
      <c r="C17" s="9" t="s">
        <v>1459</v>
      </c>
      <c r="D17" s="9" t="str">
        <f t="shared" si="0"/>
        <v xml:space="preserve">5. Zulagen für Unterhaltsberechtigte  </v>
      </c>
      <c r="E17" s="23" t="s">
        <v>1498</v>
      </c>
      <c r="F17" s="2" t="s">
        <v>1499</v>
      </c>
    </row>
    <row r="18" spans="1:6" ht="135">
      <c r="A18" s="7">
        <f>ROW()</f>
        <v>18</v>
      </c>
      <c r="B18" s="8" t="s">
        <v>1479</v>
      </c>
      <c r="C18" s="9" t="str">
        <f>+E18</f>
        <v>Sonstige Leistungen</v>
      </c>
      <c r="D18" s="9" t="str">
        <f>+E18</f>
        <v>Sonstige Leistungen</v>
      </c>
      <c r="E18" s="22" t="s">
        <v>1455</v>
      </c>
      <c r="F18" s="2" t="s">
        <v>3286</v>
      </c>
    </row>
    <row r="19" spans="1:6" ht="293.25">
      <c r="A19" s="7">
        <f>ROW()</f>
        <v>19</v>
      </c>
      <c r="B19" s="8" t="s">
        <v>1479</v>
      </c>
      <c r="C19" s="9" t="s">
        <v>1500</v>
      </c>
      <c r="D19" s="9" t="str">
        <f t="shared" si="0"/>
        <v>Umschulung, berufsbezogene Rehabilitation</v>
      </c>
      <c r="E19" s="23" t="s">
        <v>1501</v>
      </c>
      <c r="F19" s="2" t="s">
        <v>3287</v>
      </c>
    </row>
    <row r="20" spans="1:6" ht="409.5">
      <c r="A20" s="7">
        <f>ROW()</f>
        <v>20</v>
      </c>
      <c r="B20" s="8" t="s">
        <v>1479</v>
      </c>
      <c r="C20" s="9" t="s">
        <v>1500</v>
      </c>
      <c r="D20" s="9" t="str">
        <f t="shared" si="0"/>
        <v xml:space="preserve">Bevorzugte und reservierte Beschäftigung von Menschen mit Behinderungen  </v>
      </c>
      <c r="E20" s="23" t="s">
        <v>1502</v>
      </c>
      <c r="F20" s="2" t="s">
        <v>1503</v>
      </c>
    </row>
    <row r="21" spans="1:6" ht="171.75">
      <c r="A21" s="7">
        <f>ROW()</f>
        <v>21</v>
      </c>
      <c r="B21" s="8" t="s">
        <v>1479</v>
      </c>
      <c r="C21" s="9" t="s">
        <v>1504</v>
      </c>
      <c r="D21" s="9" t="str">
        <f t="shared" si="0"/>
        <v>Indexbindung/Anpassung</v>
      </c>
      <c r="E21" s="22" t="s">
        <v>1505</v>
      </c>
      <c r="F21" s="2" t="s">
        <v>1506</v>
      </c>
    </row>
    <row r="22" spans="1:6" ht="242.25">
      <c r="A22" s="7">
        <f>ROW()</f>
        <v>22</v>
      </c>
      <c r="B22" s="8" t="s">
        <v>1479</v>
      </c>
      <c r="C22" s="9" t="s">
        <v>1504</v>
      </c>
      <c r="D22" s="9" t="str">
        <f>+E22</f>
        <v>Kumulation mit Erwerbseinkommen</v>
      </c>
      <c r="E22" s="22" t="s">
        <v>1471</v>
      </c>
      <c r="F22" s="2" t="s">
        <v>1507</v>
      </c>
    </row>
    <row r="23" spans="1:6" ht="275.25">
      <c r="A23" s="7">
        <f>ROW()</f>
        <v>23</v>
      </c>
      <c r="B23" s="8" t="s">
        <v>1479</v>
      </c>
      <c r="C23" s="9" t="s">
        <v>1504</v>
      </c>
      <c r="D23" s="9" t="str">
        <f t="shared" si="0"/>
        <v>Kumulation mit anderen Sozialleistungen</v>
      </c>
      <c r="E23" s="22" t="s">
        <v>1460</v>
      </c>
      <c r="F23" s="2" t="s">
        <v>1508</v>
      </c>
    </row>
    <row r="24" spans="1:6" ht="232.5">
      <c r="A24" s="7">
        <f>ROW()</f>
        <v>24</v>
      </c>
      <c r="B24" s="8" t="s">
        <v>1479</v>
      </c>
      <c r="C24" s="9" t="s">
        <v>1465</v>
      </c>
      <c r="D24" s="9" t="str">
        <f t="shared" si="0"/>
        <v>1. Besteuerung von Geldleistungen</v>
      </c>
      <c r="E24" s="23" t="s">
        <v>1509</v>
      </c>
      <c r="F24" s="2" t="s">
        <v>1510</v>
      </c>
    </row>
    <row r="25" spans="1:6" ht="387">
      <c r="A25" s="7">
        <f>ROW()</f>
        <v>25</v>
      </c>
      <c r="B25" s="8" t="s">
        <v>1479</v>
      </c>
      <c r="C25" s="9" t="s">
        <v>1465</v>
      </c>
      <c r="D25" s="9" t="str">
        <f t="shared" si="0"/>
        <v>2. Einkommensgrenze für Besteuerung von Geldleistungen</v>
      </c>
      <c r="E25" s="23" t="s">
        <v>1511</v>
      </c>
      <c r="F25" s="2" t="s">
        <v>638</v>
      </c>
    </row>
    <row r="26" spans="1:6" ht="288.75">
      <c r="A26" s="7">
        <f>ROW()</f>
        <v>26</v>
      </c>
      <c r="B26" s="8" t="s">
        <v>1479</v>
      </c>
      <c r="C26" s="9" t="s">
        <v>1465</v>
      </c>
      <c r="D26" s="9" t="str">
        <f t="shared" si="0"/>
        <v>3. Auf Leistungen anfallende Sozialabgaben</v>
      </c>
      <c r="E26" s="23" t="s">
        <v>1512</v>
      </c>
      <c r="F26" s="2" t="s">
        <v>1513</v>
      </c>
    </row>
    <row r="27" spans="1:6" ht="138">
      <c r="A27" s="7">
        <f>ROW()</f>
        <v>27</v>
      </c>
      <c r="B27" s="8" t="s">
        <v>1479</v>
      </c>
      <c r="C27" s="9" t="s">
        <v>1514</v>
      </c>
      <c r="D27" s="9" t="str">
        <f t="shared" si="0"/>
        <v>Anwendungsbereich</v>
      </c>
      <c r="E27" s="23" t="s">
        <v>1467</v>
      </c>
      <c r="F27" s="2" t="s">
        <v>1515</v>
      </c>
    </row>
    <row r="28" spans="1:6" ht="110.25">
      <c r="A28" s="7">
        <f>ROW()</f>
        <v>28</v>
      </c>
      <c r="B28" s="8" t="s">
        <v>1479</v>
      </c>
      <c r="C28" s="9" t="s">
        <v>1514</v>
      </c>
      <c r="D28" s="9" t="str">
        <f t="shared" si="0"/>
        <v>Grundprinzipien</v>
      </c>
      <c r="E28" s="23" t="s">
        <v>1468</v>
      </c>
      <c r="F28" s="2" t="s">
        <v>1515</v>
      </c>
    </row>
    <row r="29" spans="1:6" ht="224.25">
      <c r="A29" s="7">
        <f>ROW()</f>
        <v>29</v>
      </c>
      <c r="B29" s="8" t="s">
        <v>1479</v>
      </c>
      <c r="C29" s="9" t="s">
        <v>1514</v>
      </c>
      <c r="D29" s="9" t="str">
        <f t="shared" si="0"/>
        <v>Voraussetzungen für die Deckung</v>
      </c>
      <c r="E29" s="23" t="s">
        <v>1469</v>
      </c>
      <c r="F29" s="2" t="s">
        <v>1515</v>
      </c>
    </row>
    <row r="30" spans="1:6" ht="409.5">
      <c r="A30" s="7">
        <f>ROW()</f>
        <v>30</v>
      </c>
      <c r="B30" s="8" t="s">
        <v>1479</v>
      </c>
      <c r="C30" s="9" t="s">
        <v>1514</v>
      </c>
      <c r="D30" s="9" t="str">
        <f t="shared" si="0"/>
        <v>Kombination von selbstständiger und unselbstständiger Tätigkeit</v>
      </c>
      <c r="E30" s="23" t="s">
        <v>1462</v>
      </c>
      <c r="F30" s="2" t="s">
        <v>1515</v>
      </c>
    </row>
    <row r="31" spans="1:6" ht="376.5">
      <c r="A31" s="7">
        <f>ROW()</f>
        <v>31</v>
      </c>
      <c r="B31" s="8" t="s">
        <v>1479</v>
      </c>
      <c r="C31" s="9" t="s">
        <v>1459</v>
      </c>
      <c r="D31" s="9" t="str">
        <f t="shared" si="0"/>
        <v xml:space="preserve">Voraussetzungen für den Zugang zu Diensten/Leistungen </v>
      </c>
      <c r="E31" s="23" t="s">
        <v>1463</v>
      </c>
      <c r="F31" s="2" t="s">
        <v>1516</v>
      </c>
    </row>
    <row r="32" spans="1:6" ht="253.5">
      <c r="A32" s="7">
        <f>ROW()</f>
        <v>32</v>
      </c>
      <c r="B32" s="8" t="s">
        <v>1479</v>
      </c>
      <c r="C32" s="9" t="s">
        <v>1459</v>
      </c>
      <c r="D32" s="9" t="str">
        <f t="shared" si="0"/>
        <v>Beträge, Dauer und Kostenbeteiligung</v>
      </c>
      <c r="E32" s="23" t="s">
        <v>1464</v>
      </c>
      <c r="F32" s="2" t="s">
        <v>1517</v>
      </c>
    </row>
    <row r="33" spans="1:6" ht="216">
      <c r="A33" s="7">
        <f>ROW()</f>
        <v>33</v>
      </c>
      <c r="B33" s="8" t="s">
        <v>1479</v>
      </c>
      <c r="C33" s="9" t="s">
        <v>1459</v>
      </c>
      <c r="D33" s="9" t="str">
        <f t="shared" si="0"/>
        <v>Besteuerung von Geldleistungen</v>
      </c>
      <c r="E33" s="23" t="s">
        <v>1456</v>
      </c>
      <c r="F33" s="2" t="s">
        <v>1515</v>
      </c>
    </row>
    <row r="34" spans="1:6" ht="276.75">
      <c r="A34" s="7">
        <f>ROW()</f>
        <v>34</v>
      </c>
      <c r="B34" s="8" t="s">
        <v>1479</v>
      </c>
      <c r="C34" s="9" t="s">
        <v>1459</v>
      </c>
      <c r="D34" s="9" t="str">
        <f t="shared" si="0"/>
        <v xml:space="preserve"> Auf Leistungen anfallende Sozialabgaben</v>
      </c>
      <c r="E34" s="23" t="s">
        <v>1518</v>
      </c>
      <c r="F34" s="2" t="s">
        <v>1515</v>
      </c>
    </row>
    <row r="35" spans="1:6" ht="285">
      <c r="A35" s="7">
        <f>ROW()</f>
        <v>35</v>
      </c>
      <c r="B35" s="8" t="s">
        <v>1519</v>
      </c>
      <c r="C35" s="9" t="str">
        <f>+D35</f>
        <v>Geltende Rechtsgrundlage</v>
      </c>
      <c r="D35" s="9" t="str">
        <f>+E35</f>
        <v>Geltende Rechtsgrundlage</v>
      </c>
      <c r="E35" s="22" t="s">
        <v>1472</v>
      </c>
      <c r="F35" s="2" t="s">
        <v>31</v>
      </c>
    </row>
    <row r="36" spans="1:6" ht="225">
      <c r="A36" s="7">
        <f>ROW()</f>
        <v>36</v>
      </c>
      <c r="B36" s="8" t="s">
        <v>1519</v>
      </c>
      <c r="C36" s="9" t="str">
        <f>+D36</f>
        <v>Grundprinzipien</v>
      </c>
      <c r="D36" s="9" t="str">
        <f>+E36</f>
        <v>Grundprinzipien</v>
      </c>
      <c r="E36" s="22" t="s">
        <v>1468</v>
      </c>
      <c r="F36" s="2" t="s">
        <v>61</v>
      </c>
    </row>
    <row r="37" spans="1:6" ht="159.75">
      <c r="A37" s="7">
        <f>ROW()</f>
        <v>37</v>
      </c>
      <c r="B37" s="8" t="s">
        <v>1519</v>
      </c>
      <c r="C37" s="9" t="s">
        <v>1467</v>
      </c>
      <c r="D37" s="9" t="str">
        <f>+E37</f>
        <v>1. Versicherte Personen</v>
      </c>
      <c r="E37" s="23" t="s">
        <v>1520</v>
      </c>
      <c r="F37" s="2" t="s">
        <v>85</v>
      </c>
    </row>
    <row r="38" spans="1:6" ht="371.25">
      <c r="A38" s="7">
        <f>ROW()</f>
        <v>38</v>
      </c>
      <c r="B38" s="8" t="s">
        <v>1519</v>
      </c>
      <c r="C38" s="9" t="s">
        <v>1467</v>
      </c>
      <c r="D38" s="9" t="str">
        <f t="shared" ref="D38:D58" si="1">+E38</f>
        <v>2. Ausnahmen von der Deckung  der Pflichtversicherung</v>
      </c>
      <c r="E38" s="23" t="s">
        <v>1521</v>
      </c>
      <c r="F38" s="2" t="s">
        <v>110</v>
      </c>
    </row>
    <row r="39" spans="1:6" ht="194.25">
      <c r="A39" s="7">
        <f>ROW()</f>
        <v>39</v>
      </c>
      <c r="B39" s="8" t="s">
        <v>1519</v>
      </c>
      <c r="C39" s="9" t="s">
        <v>128</v>
      </c>
      <c r="D39" s="9" t="str">
        <f t="shared" si="1"/>
        <v>1. Rentenalter</v>
      </c>
      <c r="E39" s="23" t="s">
        <v>1523</v>
      </c>
      <c r="F39" s="2" t="s">
        <v>3288</v>
      </c>
    </row>
    <row r="40" spans="1:6" ht="409.5">
      <c r="A40" s="7">
        <f>ROW()</f>
        <v>40</v>
      </c>
      <c r="B40" s="8" t="s">
        <v>1519</v>
      </c>
      <c r="C40" s="9" t="s">
        <v>128</v>
      </c>
      <c r="D40" s="9" t="str">
        <f t="shared" si="1"/>
        <v>2. Anwartschaftszeit und sonstige Anspruchsvoraussetzungen für den Bezug einer Altersrente</v>
      </c>
      <c r="E40" s="23" t="s">
        <v>1524</v>
      </c>
      <c r="F40" s="2" t="s">
        <v>150</v>
      </c>
    </row>
    <row r="41" spans="1:6" ht="194.25">
      <c r="A41" s="7">
        <f>ROW()</f>
        <v>41</v>
      </c>
      <c r="B41" s="8" t="s">
        <v>1519</v>
      </c>
      <c r="C41" s="9" t="s">
        <v>128</v>
      </c>
      <c r="D41" s="9" t="str">
        <f t="shared" si="1"/>
        <v>3. Vorruhestand</v>
      </c>
      <c r="E41" s="23" t="s">
        <v>1525</v>
      </c>
      <c r="F41" s="2" t="s">
        <v>3295</v>
      </c>
    </row>
    <row r="42" spans="1:6" ht="264">
      <c r="A42" s="7">
        <f>ROW()</f>
        <v>42</v>
      </c>
      <c r="B42" s="8" t="s">
        <v>1519</v>
      </c>
      <c r="C42" s="9" t="s">
        <v>128</v>
      </c>
      <c r="D42" s="9" t="str">
        <f t="shared" si="1"/>
        <v>4. Beschwerliche und gefährliche Arbeit</v>
      </c>
      <c r="E42" s="23" t="s">
        <v>1526</v>
      </c>
      <c r="F42" s="2" t="s">
        <v>190</v>
      </c>
    </row>
    <row r="43" spans="1:6" ht="194.25">
      <c r="A43" s="7">
        <f>ROW()</f>
        <v>43</v>
      </c>
      <c r="B43" s="8" t="s">
        <v>1519</v>
      </c>
      <c r="C43" s="9" t="s">
        <v>128</v>
      </c>
      <c r="D43" s="9" t="str">
        <f t="shared" si="1"/>
        <v>5. Rentenaufschub</v>
      </c>
      <c r="E43" s="23" t="s">
        <v>1527</v>
      </c>
      <c r="F43" s="2" t="s">
        <v>209</v>
      </c>
    </row>
    <row r="44" spans="1:6" ht="174">
      <c r="A44" s="7">
        <f>ROW()</f>
        <v>44</v>
      </c>
      <c r="B44" s="8" t="s">
        <v>1519</v>
      </c>
      <c r="C44" s="9" t="s">
        <v>1459</v>
      </c>
      <c r="D44" s="9" t="str">
        <f t="shared" si="1"/>
        <v>1. Bestimmende Faktoren</v>
      </c>
      <c r="E44" s="23" t="s">
        <v>1528</v>
      </c>
      <c r="F44" s="2" t="s">
        <v>233</v>
      </c>
    </row>
    <row r="45" spans="1:6" ht="349.5">
      <c r="A45" s="7">
        <f>ROW()</f>
        <v>45</v>
      </c>
      <c r="B45" s="8" t="s">
        <v>1519</v>
      </c>
      <c r="C45" s="9" t="s">
        <v>1459</v>
      </c>
      <c r="D45" s="9" t="str">
        <f t="shared" si="1"/>
        <v>2. Berechnungsmethode, Rentenformel bzw. Beträge</v>
      </c>
      <c r="E45" s="23" t="s">
        <v>1529</v>
      </c>
      <c r="F45" s="2" t="s">
        <v>255</v>
      </c>
    </row>
    <row r="46" spans="1:6" ht="343.5">
      <c r="A46" s="7">
        <f>ROW()</f>
        <v>46</v>
      </c>
      <c r="B46" s="8" t="s">
        <v>1519</v>
      </c>
      <c r="C46" s="9" t="s">
        <v>1459</v>
      </c>
      <c r="D46" s="9" t="str">
        <f t="shared" si="1"/>
        <v>3. Referenzeinkommen bzw. Berechnungsgrundlage</v>
      </c>
      <c r="E46" s="23" t="s">
        <v>1530</v>
      </c>
      <c r="F46" s="2" t="s">
        <v>3289</v>
      </c>
    </row>
    <row r="47" spans="1:6" ht="405">
      <c r="A47" s="7">
        <f>ROW()</f>
        <v>47</v>
      </c>
      <c r="B47" s="8" t="s">
        <v>1519</v>
      </c>
      <c r="C47" s="9" t="s">
        <v>1459</v>
      </c>
      <c r="D47" s="9" t="str">
        <f t="shared" si="1"/>
        <v>4. Anrechenbare oder als Beitragszeiten gewertete Zeiträume</v>
      </c>
      <c r="E47" s="23" t="s">
        <v>1496</v>
      </c>
      <c r="F47" s="2" t="s">
        <v>298</v>
      </c>
    </row>
    <row r="48" spans="1:6" ht="409.5">
      <c r="A48" s="7">
        <f>ROW()</f>
        <v>48</v>
      </c>
      <c r="B48" s="8" t="s">
        <v>1519</v>
      </c>
      <c r="C48" s="9" t="s">
        <v>1459</v>
      </c>
      <c r="D48" s="9" t="str">
        <f t="shared" si="1"/>
        <v>5. Rückkauf von Versicherungszeiten</v>
      </c>
      <c r="E48" s="23" t="s">
        <v>1531</v>
      </c>
      <c r="F48" s="2" t="s">
        <v>3290</v>
      </c>
    </row>
    <row r="49" spans="1:6" ht="246">
      <c r="A49" s="7">
        <f>ROW()</f>
        <v>49</v>
      </c>
      <c r="B49" s="8" t="s">
        <v>1519</v>
      </c>
      <c r="C49" s="9" t="s">
        <v>1459</v>
      </c>
      <c r="D49" s="9" t="str">
        <f t="shared" si="1"/>
        <v>6.  Zulagen für Unterhaltsberechtigte</v>
      </c>
      <c r="E49" s="23" t="s">
        <v>1631</v>
      </c>
      <c r="F49" s="2" t="s">
        <v>328</v>
      </c>
    </row>
    <row r="50" spans="1:6" ht="409.5">
      <c r="A50" s="7">
        <f>ROW()</f>
        <v>50</v>
      </c>
      <c r="B50" s="8" t="s">
        <v>1519</v>
      </c>
      <c r="C50" s="9" t="s">
        <v>1459</v>
      </c>
      <c r="D50" s="9" t="str">
        <f t="shared" si="1"/>
        <v>7. Besondere Zulagen</v>
      </c>
      <c r="E50" s="23" t="s">
        <v>1532</v>
      </c>
      <c r="F50" s="2" t="s">
        <v>3291</v>
      </c>
    </row>
    <row r="51" spans="1:6" ht="409.5">
      <c r="A51" s="7">
        <f>ROW()</f>
        <v>51</v>
      </c>
      <c r="B51" s="8" t="s">
        <v>1519</v>
      </c>
      <c r="C51" s="9" t="s">
        <v>1459</v>
      </c>
      <c r="D51" s="9" t="str">
        <f t="shared" si="1"/>
        <v>8. Mindestrente und bedürftigkeitsabhängige Leistung</v>
      </c>
      <c r="E51" s="23" t="s">
        <v>1533</v>
      </c>
      <c r="F51" s="3" t="s">
        <v>3292</v>
      </c>
    </row>
    <row r="52" spans="1:6" ht="101.25">
      <c r="A52" s="7">
        <f>ROW()</f>
        <v>52</v>
      </c>
      <c r="B52" s="8" t="s">
        <v>1519</v>
      </c>
      <c r="C52" s="9" t="s">
        <v>1459</v>
      </c>
      <c r="D52" s="9" t="str">
        <f t="shared" si="1"/>
        <v>9. Höchstrente</v>
      </c>
      <c r="E52" s="23" t="s">
        <v>1534</v>
      </c>
      <c r="F52" s="2" t="s">
        <v>395</v>
      </c>
    </row>
    <row r="53" spans="1:6" ht="119.25">
      <c r="A53" s="7">
        <f>ROW()</f>
        <v>53</v>
      </c>
      <c r="B53" s="8" t="s">
        <v>1519</v>
      </c>
      <c r="C53" s="9" t="s">
        <v>1459</v>
      </c>
      <c r="D53" s="9" t="str">
        <f t="shared" si="1"/>
        <v>10. Vorruhestand</v>
      </c>
      <c r="E53" s="23" t="s">
        <v>1535</v>
      </c>
      <c r="F53" s="2" t="s">
        <v>420</v>
      </c>
    </row>
    <row r="54" spans="1:6" ht="272.25">
      <c r="A54" s="7">
        <f>ROW()</f>
        <v>54</v>
      </c>
      <c r="B54" s="8" t="s">
        <v>1519</v>
      </c>
      <c r="C54" s="9" t="s">
        <v>1459</v>
      </c>
      <c r="D54" s="9" t="str">
        <f t="shared" si="1"/>
        <v>11. Beschwerliche und gefährliche Arbeit</v>
      </c>
      <c r="E54" s="23" t="s">
        <v>1536</v>
      </c>
      <c r="F54" s="2" t="s">
        <v>448</v>
      </c>
    </row>
    <row r="55" spans="1:6" ht="87.75">
      <c r="A55" s="7">
        <f>ROW()</f>
        <v>55</v>
      </c>
      <c r="B55" s="8" t="s">
        <v>1519</v>
      </c>
      <c r="C55" s="9" t="s">
        <v>1459</v>
      </c>
      <c r="D55" s="9" t="str">
        <f t="shared" si="1"/>
        <v>12. Teilrente</v>
      </c>
      <c r="E55" s="23" t="s">
        <v>1537</v>
      </c>
      <c r="F55" s="2" t="s">
        <v>472</v>
      </c>
    </row>
    <row r="56" spans="1:6" ht="171.75">
      <c r="A56" s="7">
        <f>ROW()</f>
        <v>56</v>
      </c>
      <c r="B56" s="8" t="s">
        <v>1519</v>
      </c>
      <c r="C56" s="9" t="s">
        <v>1459</v>
      </c>
      <c r="D56" s="9" t="str">
        <f t="shared" si="1"/>
        <v>13. Aufgeschobene Rente</v>
      </c>
      <c r="E56" s="23" t="s">
        <v>1632</v>
      </c>
      <c r="F56" s="2" t="s">
        <v>498</v>
      </c>
    </row>
    <row r="57" spans="1:6" ht="179.25">
      <c r="A57" s="7">
        <f>ROW()</f>
        <v>57</v>
      </c>
      <c r="B57" s="8" t="s">
        <v>1519</v>
      </c>
      <c r="C57" s="9" t="s">
        <v>1538</v>
      </c>
      <c r="D57" s="9" t="s">
        <v>1538</v>
      </c>
      <c r="E57" s="22" t="s">
        <v>1538</v>
      </c>
      <c r="F57" s="2" t="s">
        <v>527</v>
      </c>
    </row>
    <row r="58" spans="1:6" ht="409.5">
      <c r="A58" s="7">
        <f>ROW()</f>
        <v>58</v>
      </c>
      <c r="B58" s="8" t="s">
        <v>1519</v>
      </c>
      <c r="C58" s="9" t="s">
        <v>1538</v>
      </c>
      <c r="D58" s="9" t="str">
        <f t="shared" si="1"/>
        <v xml:space="preserve">Kumulation mit Erwerbseinkommen </v>
      </c>
      <c r="E58" s="22" t="s">
        <v>1461</v>
      </c>
      <c r="F58" s="2" t="s">
        <v>3293</v>
      </c>
    </row>
    <row r="59" spans="1:6" ht="286.5">
      <c r="A59" s="7">
        <f>ROW()</f>
        <v>59</v>
      </c>
      <c r="B59" s="8" t="s">
        <v>1519</v>
      </c>
      <c r="C59" s="9" t="s">
        <v>1538</v>
      </c>
      <c r="D59" s="9" t="s">
        <v>1539</v>
      </c>
      <c r="E59" s="22" t="s">
        <v>1460</v>
      </c>
      <c r="F59" s="2" t="s">
        <v>583</v>
      </c>
    </row>
    <row r="60" spans="1:6" ht="225.75">
      <c r="A60" s="7">
        <f>ROW()</f>
        <v>60</v>
      </c>
      <c r="B60" s="8" t="s">
        <v>1519</v>
      </c>
      <c r="C60" s="9" t="s">
        <v>612</v>
      </c>
      <c r="D60" s="9" t="str">
        <f t="shared" ref="D60:D70" si="2">+E60</f>
        <v>1. Besteuerung von Renten</v>
      </c>
      <c r="E60" s="23" t="s">
        <v>1540</v>
      </c>
      <c r="F60" s="2" t="s">
        <v>613</v>
      </c>
    </row>
    <row r="61" spans="1:6" ht="335.25">
      <c r="A61" s="7">
        <f>ROW()</f>
        <v>61</v>
      </c>
      <c r="B61" s="8" t="s">
        <v>1519</v>
      </c>
      <c r="C61" s="9" t="s">
        <v>612</v>
      </c>
      <c r="D61" s="9" t="str">
        <f t="shared" si="2"/>
        <v>2. Einkommensgrenze für Besteuerung von Renten</v>
      </c>
      <c r="E61" s="23" t="s">
        <v>1541</v>
      </c>
      <c r="F61" s="2" t="s">
        <v>638</v>
      </c>
    </row>
    <row r="62" spans="1:6" ht="264">
      <c r="A62" s="7">
        <f>ROW()</f>
        <v>62</v>
      </c>
      <c r="B62" s="8" t="s">
        <v>1519</v>
      </c>
      <c r="C62" s="9" t="s">
        <v>612</v>
      </c>
      <c r="D62" s="9" t="str">
        <f t="shared" si="2"/>
        <v>3. Auf Renten anfallende Sozialabgaben</v>
      </c>
      <c r="E62" s="23" t="s">
        <v>1542</v>
      </c>
      <c r="F62" s="2" t="s">
        <v>665</v>
      </c>
    </row>
    <row r="63" spans="1:6" ht="138">
      <c r="A63" s="7">
        <f>ROW()</f>
        <v>63</v>
      </c>
      <c r="B63" s="8" t="s">
        <v>1543</v>
      </c>
      <c r="C63" s="9" t="str">
        <f>+E63</f>
        <v>Anwendungsbereich</v>
      </c>
      <c r="D63" s="9" t="str">
        <f t="shared" si="2"/>
        <v>Anwendungsbereich</v>
      </c>
      <c r="E63" s="23" t="s">
        <v>1467</v>
      </c>
      <c r="F63" s="2" t="s">
        <v>685</v>
      </c>
    </row>
    <row r="64" spans="1:6" ht="132.75">
      <c r="A64" s="7">
        <f>ROW()</f>
        <v>64</v>
      </c>
      <c r="B64" s="8" t="s">
        <v>1543</v>
      </c>
      <c r="C64" s="9" t="s">
        <v>1514</v>
      </c>
      <c r="D64" s="9" t="str">
        <f t="shared" si="2"/>
        <v>Grundprinzipien</v>
      </c>
      <c r="E64" s="23" t="s">
        <v>1468</v>
      </c>
      <c r="F64" s="2" t="s">
        <v>710</v>
      </c>
    </row>
    <row r="65" spans="1:6" ht="224.25">
      <c r="A65" s="7">
        <f>ROW()</f>
        <v>65</v>
      </c>
      <c r="B65" s="8" t="s">
        <v>1543</v>
      </c>
      <c r="C65" s="9" t="s">
        <v>1514</v>
      </c>
      <c r="D65" s="9" t="str">
        <f t="shared" si="2"/>
        <v>Voraussetzungen für die Deckung</v>
      </c>
      <c r="E65" s="23" t="s">
        <v>1469</v>
      </c>
      <c r="F65" s="2" t="s">
        <v>737</v>
      </c>
    </row>
    <row r="66" spans="1:6" ht="409.5">
      <c r="A66" s="7">
        <f>ROW()</f>
        <v>66</v>
      </c>
      <c r="B66" s="8" t="s">
        <v>1543</v>
      </c>
      <c r="C66" s="9" t="s">
        <v>1514</v>
      </c>
      <c r="D66" s="9" t="str">
        <f t="shared" si="2"/>
        <v>Kombination von selbstständiger und unselbstständiger Tätigkeit</v>
      </c>
      <c r="E66" s="23" t="s">
        <v>1462</v>
      </c>
      <c r="F66" s="2" t="s">
        <v>763</v>
      </c>
    </row>
    <row r="67" spans="1:6" ht="376.5">
      <c r="A67" s="7">
        <f>ROW()</f>
        <v>67</v>
      </c>
      <c r="B67" s="8" t="s">
        <v>1543</v>
      </c>
      <c r="C67" s="9" t="s">
        <v>1459</v>
      </c>
      <c r="D67" s="9" t="str">
        <f t="shared" si="2"/>
        <v xml:space="preserve">Voraussetzungen für den Zugang zu Diensten/Leistungen </v>
      </c>
      <c r="E67" s="23" t="s">
        <v>1463</v>
      </c>
      <c r="F67" s="2" t="s">
        <v>784</v>
      </c>
    </row>
    <row r="68" spans="1:6" ht="253.5">
      <c r="A68" s="7">
        <f>ROW()</f>
        <v>68</v>
      </c>
      <c r="B68" s="8" t="s">
        <v>1543</v>
      </c>
      <c r="C68" s="9" t="s">
        <v>1459</v>
      </c>
      <c r="D68" s="9" t="str">
        <f t="shared" si="2"/>
        <v>Beträge, Dauer und Kostenbeteiligung</v>
      </c>
      <c r="E68" s="23" t="s">
        <v>1464</v>
      </c>
      <c r="F68" s="2" t="s">
        <v>796</v>
      </c>
    </row>
    <row r="69" spans="1:6" ht="216">
      <c r="A69" s="7">
        <f>ROW()</f>
        <v>69</v>
      </c>
      <c r="B69" s="8" t="s">
        <v>1543</v>
      </c>
      <c r="C69" s="9" t="s">
        <v>1459</v>
      </c>
      <c r="D69" s="9" t="str">
        <f t="shared" si="2"/>
        <v>Besteuerung von Geldleistungen</v>
      </c>
      <c r="E69" s="23" t="s">
        <v>1456</v>
      </c>
      <c r="F69" s="2" t="s">
        <v>808</v>
      </c>
    </row>
    <row r="70" spans="1:6" ht="272.25">
      <c r="A70" s="7">
        <f>ROW()</f>
        <v>70</v>
      </c>
      <c r="B70" s="8" t="s">
        <v>1543</v>
      </c>
      <c r="C70" s="9" t="s">
        <v>1459</v>
      </c>
      <c r="D70" s="9" t="str">
        <f t="shared" si="2"/>
        <v>Auf Leistungen anfallende Sozialabgaben</v>
      </c>
      <c r="E70" s="23" t="s">
        <v>1457</v>
      </c>
      <c r="F70" s="2" t="s">
        <v>822</v>
      </c>
    </row>
    <row r="71" spans="1:6" ht="285">
      <c r="A71" s="7">
        <f>ROW()</f>
        <v>71</v>
      </c>
      <c r="B71" s="153" t="s">
        <v>1466</v>
      </c>
      <c r="C71" s="153" t="str">
        <f t="shared" ref="C71:D75" si="3">+D71</f>
        <v>Geltende Rechtsgrundlage</v>
      </c>
      <c r="D71" s="153" t="str">
        <f t="shared" si="3"/>
        <v>Geltende Rechtsgrundlage</v>
      </c>
      <c r="E71" s="22" t="s">
        <v>1472</v>
      </c>
      <c r="F71" s="2" t="s">
        <v>833</v>
      </c>
    </row>
    <row r="72" spans="1:6" ht="81.75">
      <c r="A72" s="7">
        <f>ROW()</f>
        <v>72</v>
      </c>
      <c r="B72" s="153" t="s">
        <v>1466</v>
      </c>
      <c r="C72" s="153" t="str">
        <f t="shared" si="3"/>
        <v>Grundprinzipien</v>
      </c>
      <c r="D72" s="153" t="str">
        <f t="shared" si="3"/>
        <v>Grundprinzipien</v>
      </c>
      <c r="E72" s="22" t="s">
        <v>1468</v>
      </c>
      <c r="F72" s="2" t="s">
        <v>859</v>
      </c>
    </row>
    <row r="73" spans="1:6" ht="240.75">
      <c r="A73" s="7">
        <f>ROW()</f>
        <v>73</v>
      </c>
      <c r="B73" s="153" t="s">
        <v>1466</v>
      </c>
      <c r="C73" s="153" t="str">
        <f t="shared" si="3"/>
        <v>Anwendungsbereich (in Bezug auf Verstorbene)</v>
      </c>
      <c r="D73" s="153" t="str">
        <f t="shared" si="3"/>
        <v>Anwendungsbereich (in Bezug auf Verstorbene)</v>
      </c>
      <c r="E73" s="22" t="s">
        <v>1473</v>
      </c>
      <c r="F73" s="2" t="s">
        <v>886</v>
      </c>
    </row>
    <row r="74" spans="1:6" ht="402.75">
      <c r="A74" s="7">
        <f>ROW()</f>
        <v>74</v>
      </c>
      <c r="B74" s="153" t="s">
        <v>1466</v>
      </c>
      <c r="C74" s="153" t="str">
        <f t="shared" si="3"/>
        <v>Ausnahmen von der Deckung der Pflichtversicherung (in Bezug auf Verstorbene)</v>
      </c>
      <c r="D74" s="153" t="str">
        <f t="shared" si="3"/>
        <v>Ausnahmen von der Deckung der Pflichtversicherung (in Bezug auf Verstorbene)</v>
      </c>
      <c r="E74" s="22" t="s">
        <v>1476</v>
      </c>
      <c r="F74" s="2" t="s">
        <v>110</v>
      </c>
    </row>
    <row r="75" spans="1:6" ht="110.25">
      <c r="A75" s="7">
        <f>ROW()</f>
        <v>75</v>
      </c>
      <c r="B75" s="153" t="s">
        <v>1466</v>
      </c>
      <c r="C75" s="153" t="str">
        <f t="shared" si="3"/>
        <v>Berechtigte Personen</v>
      </c>
      <c r="D75" s="153" t="str">
        <f t="shared" si="3"/>
        <v>Berechtigte Personen</v>
      </c>
      <c r="E75" s="22" t="s">
        <v>1477</v>
      </c>
      <c r="F75" s="3" t="s">
        <v>2463</v>
      </c>
    </row>
    <row r="76" spans="1:6" ht="77.25">
      <c r="A76" s="7">
        <f>ROW()</f>
        <v>76</v>
      </c>
      <c r="B76" s="153" t="s">
        <v>1466</v>
      </c>
      <c r="C76" s="154"/>
      <c r="D76" s="154"/>
      <c r="E76" s="22" t="s">
        <v>1522</v>
      </c>
      <c r="F76" s="2"/>
    </row>
    <row r="77" spans="1:6" ht="144.75">
      <c r="A77" s="7">
        <f>ROW()</f>
        <v>77</v>
      </c>
      <c r="B77" s="153" t="s">
        <v>1466</v>
      </c>
      <c r="C77" s="153" t="s">
        <v>1544</v>
      </c>
      <c r="D77" s="153" t="str">
        <f t="shared" ref="D77:D90" si="4">+E77</f>
        <v>1. Verstorbener Versicherter</v>
      </c>
      <c r="E77" s="23" t="s">
        <v>1545</v>
      </c>
      <c r="F77" s="2" t="s">
        <v>942</v>
      </c>
    </row>
    <row r="78" spans="1:6" ht="141.75">
      <c r="A78" s="7">
        <f>ROW()</f>
        <v>78</v>
      </c>
      <c r="B78" s="153" t="s">
        <v>1466</v>
      </c>
      <c r="C78" s="153" t="s">
        <v>1544</v>
      </c>
      <c r="D78" s="153" t="str">
        <f t="shared" si="4"/>
        <v>2. Hinterbliebener Ehegatte</v>
      </c>
      <c r="E78" s="23" t="s">
        <v>1546</v>
      </c>
      <c r="F78" s="3" t="s">
        <v>2462</v>
      </c>
    </row>
    <row r="79" spans="1:6" ht="139.5">
      <c r="A79" s="7">
        <f>ROW()</f>
        <v>79</v>
      </c>
      <c r="B79" s="153" t="s">
        <v>1466</v>
      </c>
      <c r="C79" s="153" t="s">
        <v>1544</v>
      </c>
      <c r="D79" s="153" t="str">
        <f t="shared" si="4"/>
        <v>3. Geschiedener Ehegatte</v>
      </c>
      <c r="E79" s="23" t="s">
        <v>1547</v>
      </c>
      <c r="F79" s="2" t="s">
        <v>982</v>
      </c>
    </row>
    <row r="80" spans="1:6" ht="164.25">
      <c r="A80" s="7">
        <f>ROW()</f>
        <v>80</v>
      </c>
      <c r="B80" s="153" t="s">
        <v>1466</v>
      </c>
      <c r="C80" s="153" t="s">
        <v>1544</v>
      </c>
      <c r="D80" s="153" t="str">
        <f t="shared" si="4"/>
        <v>4. Hinterbliebene Lebenspartner</v>
      </c>
      <c r="E80" s="23" t="s">
        <v>1548</v>
      </c>
      <c r="F80" s="2" t="s">
        <v>989</v>
      </c>
    </row>
    <row r="81" spans="1:6" ht="139.5">
      <c r="A81" s="7">
        <f>ROW()</f>
        <v>81</v>
      </c>
      <c r="B81" s="153" t="s">
        <v>1466</v>
      </c>
      <c r="C81" s="153" t="s">
        <v>1544</v>
      </c>
      <c r="D81" s="153" t="str">
        <f t="shared" si="4"/>
        <v>5. Kinder</v>
      </c>
      <c r="E81" s="23" t="s">
        <v>1549</v>
      </c>
      <c r="F81" s="2" t="s">
        <v>1026</v>
      </c>
    </row>
    <row r="82" spans="1:6" ht="139.5">
      <c r="A82" s="7">
        <f>ROW()</f>
        <v>82</v>
      </c>
      <c r="B82" s="153" t="s">
        <v>1466</v>
      </c>
      <c r="C82" s="153" t="s">
        <v>1544</v>
      </c>
      <c r="D82" s="153" t="str">
        <f t="shared" si="4"/>
        <v>6. Andere Personen</v>
      </c>
      <c r="E82" s="23" t="s">
        <v>1550</v>
      </c>
      <c r="F82" s="2" t="s">
        <v>1050</v>
      </c>
    </row>
    <row r="83" spans="1:6" ht="409.5">
      <c r="A83" s="7">
        <f>ROW()</f>
        <v>83</v>
      </c>
      <c r="B83" s="153" t="s">
        <v>1466</v>
      </c>
      <c r="C83" s="153" t="s">
        <v>1459</v>
      </c>
      <c r="D83" s="153" t="str">
        <f t="shared" si="4"/>
        <v>1. Hinterbliebener Ehegatte, geschiedener Ehegatte, hinterbliebene Lebenspartner</v>
      </c>
      <c r="E83" s="23" t="s">
        <v>1551</v>
      </c>
      <c r="F83" s="3" t="s">
        <v>2464</v>
      </c>
    </row>
    <row r="84" spans="1:6" ht="213">
      <c r="A84" s="7">
        <f>ROW()</f>
        <v>84</v>
      </c>
      <c r="B84" s="153" t="s">
        <v>1466</v>
      </c>
      <c r="C84" s="153" t="s">
        <v>1459</v>
      </c>
      <c r="D84" s="153" t="str">
        <f t="shared" si="4"/>
        <v>2. Hinterbliebener Ehegatte: Wiederheirat</v>
      </c>
      <c r="E84" s="23" t="s">
        <v>1552</v>
      </c>
      <c r="F84" s="2" t="s">
        <v>1083</v>
      </c>
    </row>
    <row r="85" spans="1:6" ht="77.25">
      <c r="A85" s="7">
        <f>ROW()</f>
        <v>85</v>
      </c>
      <c r="B85" s="153" t="s">
        <v>1466</v>
      </c>
      <c r="C85" s="153" t="s">
        <v>1459</v>
      </c>
      <c r="D85" s="153" t="str">
        <f t="shared" si="4"/>
        <v>3. Kinder</v>
      </c>
      <c r="E85" s="23" t="s">
        <v>1553</v>
      </c>
      <c r="F85" s="2" t="s">
        <v>1110</v>
      </c>
    </row>
    <row r="86" spans="1:6" ht="112.5">
      <c r="A86" s="7">
        <f>ROW()</f>
        <v>86</v>
      </c>
      <c r="B86" s="153" t="s">
        <v>1466</v>
      </c>
      <c r="C86" s="153" t="s">
        <v>1459</v>
      </c>
      <c r="D86" s="153" t="str">
        <f t="shared" si="4"/>
        <v>4. Andere Berechtigte</v>
      </c>
      <c r="E86" s="23" t="s">
        <v>1554</v>
      </c>
      <c r="F86" s="2" t="s">
        <v>282</v>
      </c>
    </row>
    <row r="87" spans="1:6" ht="292.5">
      <c r="A87" s="7">
        <f>ROW()</f>
        <v>87</v>
      </c>
      <c r="B87" s="153" t="s">
        <v>1466</v>
      </c>
      <c r="C87" s="153" t="s">
        <v>1459</v>
      </c>
      <c r="D87" s="153" t="str">
        <f t="shared" si="4"/>
        <v xml:space="preserve"> 5. Höchster zahlbarer Gesamtbetrag für alle Berechtigten</v>
      </c>
      <c r="E87" s="23" t="s">
        <v>1555</v>
      </c>
      <c r="F87" s="2" t="s">
        <v>282</v>
      </c>
    </row>
    <row r="88" spans="1:6" ht="116.25">
      <c r="A88" s="7">
        <f>ROW()</f>
        <v>88</v>
      </c>
      <c r="B88" s="153" t="s">
        <v>1466</v>
      </c>
      <c r="C88" s="153" t="s">
        <v>1459</v>
      </c>
      <c r="D88" s="153" t="str">
        <f t="shared" si="4"/>
        <v>6. Sonstige Leistungen</v>
      </c>
      <c r="E88" s="23" t="s">
        <v>1556</v>
      </c>
      <c r="F88" s="2" t="s">
        <v>1167</v>
      </c>
    </row>
    <row r="89" spans="1:6" ht="96.75">
      <c r="A89" s="7">
        <f>ROW()</f>
        <v>89</v>
      </c>
      <c r="B89" s="153" t="s">
        <v>1466</v>
      </c>
      <c r="C89" s="153" t="s">
        <v>1459</v>
      </c>
      <c r="D89" s="153" t="str">
        <f>+E89</f>
        <v>7. Mindestleistung</v>
      </c>
      <c r="E89" s="23" t="s">
        <v>1557</v>
      </c>
      <c r="F89" s="2" t="s">
        <v>1189</v>
      </c>
    </row>
    <row r="90" spans="1:6" ht="93.75">
      <c r="A90" s="7">
        <f>ROW()</f>
        <v>90</v>
      </c>
      <c r="B90" s="153" t="s">
        <v>1466</v>
      </c>
      <c r="C90" s="153" t="s">
        <v>1459</v>
      </c>
      <c r="D90" s="153" t="str">
        <f t="shared" si="4"/>
        <v xml:space="preserve"> 8. Höchstleistung</v>
      </c>
      <c r="E90" s="23" t="s">
        <v>1558</v>
      </c>
      <c r="F90" s="2" t="s">
        <v>1213</v>
      </c>
    </row>
    <row r="91" spans="1:6" ht="135.75">
      <c r="A91" s="7">
        <f>ROW()</f>
        <v>91</v>
      </c>
      <c r="B91" s="153" t="s">
        <v>1466</v>
      </c>
      <c r="C91" s="153" t="s">
        <v>1538</v>
      </c>
      <c r="D91" s="153" t="str">
        <f>+C91</f>
        <v>Indexbindung / Anpassung</v>
      </c>
      <c r="E91" s="22" t="s">
        <v>1538</v>
      </c>
      <c r="F91" s="2" t="s">
        <v>1233</v>
      </c>
    </row>
    <row r="92" spans="1:6" ht="240">
      <c r="A92" s="7">
        <f>ROW()</f>
        <v>92</v>
      </c>
      <c r="B92" s="153" t="s">
        <v>1466</v>
      </c>
      <c r="C92" s="153" t="s">
        <v>1538</v>
      </c>
      <c r="D92" s="153" t="str">
        <f t="shared" ref="D92:D105" si="5">+E92</f>
        <v>Kumulation mit Erwerbseinkommen</v>
      </c>
      <c r="E92" s="22" t="s">
        <v>1471</v>
      </c>
      <c r="F92" s="2" t="s">
        <v>3294</v>
      </c>
    </row>
    <row r="93" spans="1:6" ht="207">
      <c r="A93" s="7">
        <f>ROW()</f>
        <v>93</v>
      </c>
      <c r="B93" s="153" t="s">
        <v>1466</v>
      </c>
      <c r="C93" s="153" t="s">
        <v>1538</v>
      </c>
      <c r="D93" s="153" t="str">
        <f t="shared" si="5"/>
        <v>Kumulation mit anderen Sozialleistungen</v>
      </c>
      <c r="E93" s="22" t="s">
        <v>1460</v>
      </c>
      <c r="F93" s="2" t="s">
        <v>1287</v>
      </c>
    </row>
    <row r="94" spans="1:6" ht="178.5">
      <c r="A94" s="7">
        <f>ROW()</f>
        <v>94</v>
      </c>
      <c r="B94" s="153" t="s">
        <v>1466</v>
      </c>
      <c r="C94" s="153" t="s">
        <v>1465</v>
      </c>
      <c r="D94" s="153" t="str">
        <f t="shared" si="5"/>
        <v>1. Besteuerung von Geldleistungen</v>
      </c>
      <c r="E94" s="23" t="s">
        <v>1509</v>
      </c>
      <c r="F94" s="2" t="s">
        <v>1316</v>
      </c>
    </row>
    <row r="95" spans="1:6" ht="294.75">
      <c r="A95" s="7">
        <f>ROW()</f>
        <v>95</v>
      </c>
      <c r="B95" s="153" t="s">
        <v>1466</v>
      </c>
      <c r="C95" s="153" t="s">
        <v>1465</v>
      </c>
      <c r="D95" s="153" t="str">
        <f t="shared" si="5"/>
        <v>2. Einkommensgrenze für Besteuerung von Geldleistungen</v>
      </c>
      <c r="E95" s="23" t="s">
        <v>1511</v>
      </c>
      <c r="F95" s="2" t="s">
        <v>638</v>
      </c>
    </row>
    <row r="96" spans="1:6" ht="222">
      <c r="A96" s="7">
        <f>ROW()</f>
        <v>96</v>
      </c>
      <c r="B96" s="153" t="s">
        <v>1466</v>
      </c>
      <c r="C96" s="153" t="s">
        <v>1465</v>
      </c>
      <c r="D96" s="153" t="str">
        <f t="shared" si="5"/>
        <v>3. Auf Leistungen anfallende Sozialabgaben</v>
      </c>
      <c r="E96" s="23" t="s">
        <v>1512</v>
      </c>
      <c r="F96" s="2" t="s">
        <v>1357</v>
      </c>
    </row>
    <row r="97" spans="1:6" ht="104.25">
      <c r="A97" s="7">
        <f>ROW()</f>
        <v>97</v>
      </c>
      <c r="B97" s="153" t="s">
        <v>1466</v>
      </c>
      <c r="C97" s="153" t="s">
        <v>1514</v>
      </c>
      <c r="D97" s="153" t="str">
        <f t="shared" si="5"/>
        <v>Anwendungsbereich</v>
      </c>
      <c r="E97" s="23" t="s">
        <v>1467</v>
      </c>
      <c r="F97" s="2" t="s">
        <v>1374</v>
      </c>
    </row>
    <row r="98" spans="1:6" ht="81.75">
      <c r="A98" s="7">
        <f>ROW()</f>
        <v>98</v>
      </c>
      <c r="B98" s="153" t="s">
        <v>1466</v>
      </c>
      <c r="C98" s="153" t="s">
        <v>1514</v>
      </c>
      <c r="D98" s="153" t="str">
        <f t="shared" si="5"/>
        <v>Grundprinzipien</v>
      </c>
      <c r="E98" s="23" t="s">
        <v>1468</v>
      </c>
      <c r="F98" s="2" t="s">
        <v>1388</v>
      </c>
    </row>
    <row r="99" spans="1:6" ht="171">
      <c r="A99" s="7">
        <f>ROW()</f>
        <v>99</v>
      </c>
      <c r="B99" s="153" t="s">
        <v>1466</v>
      </c>
      <c r="C99" s="153" t="s">
        <v>1514</v>
      </c>
      <c r="D99" s="153" t="str">
        <f t="shared" si="5"/>
        <v>Voraussetzungen für die Deckung</v>
      </c>
      <c r="E99" s="23" t="s">
        <v>1469</v>
      </c>
      <c r="F99" s="2" t="s">
        <v>1404</v>
      </c>
    </row>
    <row r="100" spans="1:6" ht="328.5">
      <c r="A100" s="7">
        <f>ROW()</f>
        <v>100</v>
      </c>
      <c r="B100" s="153" t="s">
        <v>1466</v>
      </c>
      <c r="C100" s="153" t="s">
        <v>1514</v>
      </c>
      <c r="D100" s="153" t="str">
        <f t="shared" si="5"/>
        <v>Kombination von selbstständiger und unselbstständiger Tätigkeit</v>
      </c>
      <c r="E100" s="23" t="s">
        <v>1462</v>
      </c>
      <c r="F100" s="2" t="s">
        <v>1413</v>
      </c>
    </row>
    <row r="101" spans="1:6" ht="288.75">
      <c r="A101" s="7">
        <f>ROW()</f>
        <v>101</v>
      </c>
      <c r="B101" s="153" t="s">
        <v>1466</v>
      </c>
      <c r="C101" s="153" t="s">
        <v>1514</v>
      </c>
      <c r="D101" s="153" t="str">
        <f t="shared" si="5"/>
        <v xml:space="preserve">Voraussetzungen für den Zugang zu Diensten/Leistungen </v>
      </c>
      <c r="E101" s="23" t="s">
        <v>1463</v>
      </c>
      <c r="F101" s="2" t="s">
        <v>1423</v>
      </c>
    </row>
    <row r="102" spans="1:6" ht="194.25">
      <c r="A102" s="7">
        <f>ROW()</f>
        <v>102</v>
      </c>
      <c r="B102" s="153" t="s">
        <v>1466</v>
      </c>
      <c r="C102" s="153" t="s">
        <v>1514</v>
      </c>
      <c r="D102" s="153" t="str">
        <f t="shared" si="5"/>
        <v>Beträge, Dauer und Kostenbeteiligung</v>
      </c>
      <c r="E102" s="23" t="s">
        <v>1464</v>
      </c>
      <c r="F102" s="2" t="s">
        <v>1429</v>
      </c>
    </row>
    <row r="103" spans="1:6" ht="162.75">
      <c r="A103" s="7">
        <f>ROW()</f>
        <v>103</v>
      </c>
      <c r="B103" s="153" t="s">
        <v>1466</v>
      </c>
      <c r="C103" s="153" t="s">
        <v>1514</v>
      </c>
      <c r="D103" s="153" t="str">
        <f t="shared" si="5"/>
        <v>Besteuerung und Sozialabgaben</v>
      </c>
      <c r="E103" s="23" t="s">
        <v>1465</v>
      </c>
      <c r="F103" s="2"/>
    </row>
    <row r="104" spans="1:6" ht="166.5">
      <c r="A104" s="7">
        <f>ROW()</f>
        <v>104</v>
      </c>
      <c r="B104" s="153" t="s">
        <v>1466</v>
      </c>
      <c r="C104" s="153" t="s">
        <v>1514</v>
      </c>
      <c r="D104" s="153" t="str">
        <f t="shared" si="5"/>
        <v>Besteuerung von Geldleistungen</v>
      </c>
      <c r="E104" s="23" t="s">
        <v>1456</v>
      </c>
      <c r="F104" s="2" t="s">
        <v>1432</v>
      </c>
    </row>
    <row r="105" spans="1:6" ht="209.25">
      <c r="A105" s="7">
        <f>ROW()</f>
        <v>105</v>
      </c>
      <c r="B105" s="153" t="s">
        <v>1466</v>
      </c>
      <c r="C105" s="153" t="s">
        <v>1514</v>
      </c>
      <c r="D105" s="153" t="str">
        <f t="shared" si="5"/>
        <v>Auf Leistungen anfallende Sozialabgaben</v>
      </c>
      <c r="E105" s="23" t="s">
        <v>1457</v>
      </c>
      <c r="F105" s="2" t="s">
        <v>1423</v>
      </c>
    </row>
    <row r="106" spans="1:6" ht="15.75">
      <c r="B106" s="155"/>
      <c r="C106" s="155"/>
      <c r="D106" s="155"/>
    </row>
    <row r="107" spans="1:6" ht="15.75">
      <c r="B107" s="155"/>
      <c r="C107" s="155"/>
      <c r="D107" s="155"/>
    </row>
    <row r="108" spans="1:6" ht="15.75">
      <c r="B108" s="155"/>
      <c r="C108" s="155"/>
      <c r="D108" s="155"/>
    </row>
    <row r="109" spans="1:6" ht="15.75">
      <c r="B109" s="155"/>
      <c r="C109" s="155"/>
      <c r="D109" s="155"/>
    </row>
    <row r="110" spans="1:6" ht="15.75">
      <c r="B110" s="155"/>
      <c r="C110" s="155"/>
      <c r="D110" s="155"/>
    </row>
    <row r="111" spans="1:6" ht="15.75">
      <c r="B111" s="155"/>
      <c r="C111" s="155"/>
      <c r="D111" s="155"/>
    </row>
  </sheetData>
  <sheetProtection algorithmName="SHA-512" hashValue="n+S73UcybYFe5lnBpltfMENky6cOasFt6S5C4mAGwDCZN+V140l7aLh37VjfaLtpEvn5+XY4027iqWdNpcyM2g==" saltValue="r+BuwzgByTyBU6yurEEhhA==" spinCount="100000" sheet="1" objects="1" scenarios="1" formatColumns="0" autoFilter="0"/>
  <autoFilter ref="A2:XFC105" xr:uid="{E3B6C474-8B4E-4E54-8CC4-DB9B56295F1E}"/>
  <pageMargins left="0.7" right="0.7" top="0.78740157499999996" bottom="0.78740157499999996"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685E8-5077-413D-816F-47E01BF4FA63}">
  <sheetPr codeName="Tabelle3" filterMode="1"/>
  <dimension ref="A1:F113"/>
  <sheetViews>
    <sheetView workbookViewId="0">
      <pane xSplit="5" ySplit="2" topLeftCell="F35"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style="120" customWidth="1"/>
    <col min="5" max="5" width="20.85546875" customWidth="1"/>
    <col min="6" max="6" width="120.7109375" customWidth="1"/>
    <col min="7" max="16384" width="26.5703125" hidden="1"/>
  </cols>
  <sheetData>
    <row r="1" spans="1:6" ht="64.5" customHeight="1">
      <c r="B1" s="1026" t="s">
        <v>1474</v>
      </c>
      <c r="C1" s="1028" t="s">
        <v>1478</v>
      </c>
      <c r="D1" s="1028" t="s">
        <v>1475</v>
      </c>
      <c r="E1" s="118" t="s">
        <v>2245</v>
      </c>
      <c r="F1" s="6" t="s">
        <v>1</v>
      </c>
    </row>
    <row r="2" spans="1:6" ht="39.75" customHeight="1">
      <c r="A2" s="128"/>
      <c r="B2" s="1027"/>
      <c r="C2" s="1029"/>
      <c r="D2" s="1029"/>
      <c r="E2" s="124"/>
      <c r="F2" s="162" t="str" cm="1">
        <f t="array" ref="F2">_xlfn.TEXTJOIN("; ", TRUE, IF(Entscheidungen!A2:A100=F1, Entscheidungen!B2:B100, ""))</f>
        <v/>
      </c>
    </row>
    <row r="3" spans="1:6" ht="90.75" hidden="1" customHeight="1">
      <c r="A3" s="7">
        <f>ROW()</f>
        <v>3</v>
      </c>
      <c r="B3" s="8" t="s">
        <v>1479</v>
      </c>
      <c r="C3" s="8"/>
      <c r="D3" s="9" t="str">
        <f>+E3</f>
        <v>Geltende Rechtsgrundlage</v>
      </c>
      <c r="E3" s="21" t="s">
        <v>1472</v>
      </c>
      <c r="F3" s="3" t="s">
        <v>1559</v>
      </c>
    </row>
    <row r="4" spans="1:6" ht="110.25" hidden="1">
      <c r="A4" s="7">
        <f>ROW()</f>
        <v>4</v>
      </c>
      <c r="B4" s="8" t="s">
        <v>1479</v>
      </c>
      <c r="C4" s="1"/>
      <c r="D4" s="9" t="str">
        <f t="shared" ref="D4:D34" si="0">+E4</f>
        <v>Grundprinzipien</v>
      </c>
      <c r="E4" s="22" t="s">
        <v>1468</v>
      </c>
      <c r="F4" s="2" t="s">
        <v>1560</v>
      </c>
    </row>
    <row r="5" spans="1:6" ht="405" hidden="1">
      <c r="A5" s="7">
        <f>ROW()</f>
        <v>5</v>
      </c>
      <c r="B5" s="8" t="s">
        <v>1479</v>
      </c>
      <c r="C5" s="1"/>
      <c r="D5" s="9" t="str">
        <f t="shared" si="0"/>
        <v>Gedecktes Risiko: Definition</v>
      </c>
      <c r="E5" s="22" t="s">
        <v>1630</v>
      </c>
      <c r="F5" s="3" t="s">
        <v>3266</v>
      </c>
    </row>
    <row r="6" spans="1:6" ht="409.5" hidden="1" customHeight="1">
      <c r="A6" s="7">
        <f>ROW()</f>
        <v>6</v>
      </c>
      <c r="B6" s="8" t="s">
        <v>1479</v>
      </c>
      <c r="C6" s="8" t="s">
        <v>1453</v>
      </c>
      <c r="D6" s="9" t="str">
        <f t="shared" si="0"/>
        <v>Versicherte Personen</v>
      </c>
      <c r="E6" s="23" t="s">
        <v>1453</v>
      </c>
      <c r="F6" s="2" t="s">
        <v>1561</v>
      </c>
    </row>
    <row r="7" spans="1:6" ht="273" hidden="1">
      <c r="A7" s="7">
        <f>ROW()</f>
        <v>7</v>
      </c>
      <c r="B7" s="8" t="s">
        <v>1479</v>
      </c>
      <c r="C7" s="8" t="str">
        <f>+E6</f>
        <v>Versicherte Personen</v>
      </c>
      <c r="D7" s="9" t="str">
        <f t="shared" si="0"/>
        <v>Ausnahmen von der Versicherungspflicht</v>
      </c>
      <c r="E7" s="23" t="s">
        <v>1458</v>
      </c>
      <c r="F7" s="3" t="s">
        <v>3267</v>
      </c>
    </row>
    <row r="8" spans="1:6" ht="225" hidden="1" customHeight="1">
      <c r="A8" s="7">
        <f>ROW()</f>
        <v>8</v>
      </c>
      <c r="B8" s="8" t="s">
        <v>1479</v>
      </c>
      <c r="C8" s="9" t="s">
        <v>128</v>
      </c>
      <c r="D8" s="9" t="str">
        <f t="shared" si="0"/>
        <v>1. Anwartschaftszeit</v>
      </c>
      <c r="E8" s="23" t="s">
        <v>1483</v>
      </c>
      <c r="F8" s="3" t="s">
        <v>3268</v>
      </c>
    </row>
    <row r="9" spans="1:6" ht="409.5" hidden="1">
      <c r="A9" s="7">
        <f>ROW()</f>
        <v>9</v>
      </c>
      <c r="B9" s="8" t="s">
        <v>1479</v>
      </c>
      <c r="C9" s="9" t="s">
        <v>128</v>
      </c>
      <c r="D9" s="9" t="str">
        <f t="shared" si="0"/>
        <v xml:space="preserve">2. Begutachtungskriterien und Kategorien der Arbeitsunfähigkeit/Arbeitsfähigkeit  </v>
      </c>
      <c r="E9" s="23" t="s">
        <v>1484</v>
      </c>
      <c r="F9" s="2" t="s">
        <v>1562</v>
      </c>
    </row>
    <row r="10" spans="1:6" ht="222" hidden="1">
      <c r="A10" s="7">
        <f>ROW()</f>
        <v>10</v>
      </c>
      <c r="B10" s="8" t="s">
        <v>1479</v>
      </c>
      <c r="C10" s="9" t="s">
        <v>128</v>
      </c>
      <c r="D10" s="9" t="str">
        <f t="shared" si="0"/>
        <v>3. Zeitraum der Leistungszahlung</v>
      </c>
      <c r="E10" s="23" t="s">
        <v>1486</v>
      </c>
      <c r="F10" s="2" t="s">
        <v>1563</v>
      </c>
    </row>
    <row r="11" spans="1:6" ht="225" hidden="1" customHeight="1">
      <c r="A11" s="7">
        <f>ROW()</f>
        <v>11</v>
      </c>
      <c r="B11" s="8" t="s">
        <v>1479</v>
      </c>
      <c r="C11" s="9" t="s">
        <v>1488</v>
      </c>
      <c r="D11" s="9" t="str">
        <f t="shared" si="0"/>
        <v>1. Gutachter</v>
      </c>
      <c r="E11" s="23" t="s">
        <v>1489</v>
      </c>
      <c r="F11" s="2" t="s">
        <v>1564</v>
      </c>
    </row>
    <row r="12" spans="1:6" ht="135" hidden="1" customHeight="1">
      <c r="A12" s="7">
        <f>ROW()</f>
        <v>12</v>
      </c>
      <c r="B12" s="8" t="s">
        <v>1479</v>
      </c>
      <c r="C12" s="9" t="s">
        <v>1488</v>
      </c>
      <c r="D12" s="9" t="str">
        <f t="shared" si="0"/>
        <v xml:space="preserve">2. Überprüfung  </v>
      </c>
      <c r="E12" s="23" t="s">
        <v>1490</v>
      </c>
      <c r="F12" s="2" t="s">
        <v>1565</v>
      </c>
    </row>
    <row r="13" spans="1:6" ht="330" hidden="1" customHeight="1">
      <c r="A13" s="7">
        <f>ROW()</f>
        <v>13</v>
      </c>
      <c r="B13" s="8" t="s">
        <v>1479</v>
      </c>
      <c r="C13" s="8" t="s">
        <v>1459</v>
      </c>
      <c r="D13" s="9" t="str">
        <f t="shared" si="0"/>
        <v>1. Berechnungsmethode bzw. Rentenformel</v>
      </c>
      <c r="E13" s="23" t="s">
        <v>1492</v>
      </c>
      <c r="F13" s="3" t="s">
        <v>3269</v>
      </c>
    </row>
    <row r="14" spans="1:6" ht="345" hidden="1" customHeight="1">
      <c r="A14" s="7">
        <f>ROW()</f>
        <v>14</v>
      </c>
      <c r="B14" s="8" t="s">
        <v>1479</v>
      </c>
      <c r="C14" s="8" t="s">
        <v>1459</v>
      </c>
      <c r="D14" s="9" t="str">
        <f t="shared" si="0"/>
        <v>2. Referenzeinkommen bzw. Berechnungsgrundlage</v>
      </c>
      <c r="E14" s="23" t="s">
        <v>1493</v>
      </c>
      <c r="F14" s="3" t="s">
        <v>3270</v>
      </c>
    </row>
    <row r="15" spans="1:6" ht="300" hidden="1" customHeight="1">
      <c r="A15" s="7">
        <f>ROW()</f>
        <v>15</v>
      </c>
      <c r="B15" s="8" t="s">
        <v>1479</v>
      </c>
      <c r="C15" s="8" t="s">
        <v>1459</v>
      </c>
      <c r="D15" s="9" t="str">
        <f t="shared" si="0"/>
        <v>3. Mindest- und Höchstleistungen</v>
      </c>
      <c r="E15" s="23" t="s">
        <v>1495</v>
      </c>
      <c r="F15" s="3" t="s">
        <v>3271</v>
      </c>
    </row>
    <row r="16" spans="1:6" ht="405" hidden="1">
      <c r="A16" s="7">
        <f>ROW()</f>
        <v>16</v>
      </c>
      <c r="B16" s="8" t="s">
        <v>1479</v>
      </c>
      <c r="C16" s="8" t="s">
        <v>1459</v>
      </c>
      <c r="D16" s="9" t="str">
        <f t="shared" si="0"/>
        <v>4. Anrechenbare oder als Beitragszeiten gewertete Zeiträume</v>
      </c>
      <c r="E16" s="23" t="s">
        <v>1496</v>
      </c>
      <c r="F16" s="3" t="s">
        <v>3272</v>
      </c>
    </row>
    <row r="17" spans="1:6" ht="242.25" hidden="1">
      <c r="A17" s="7">
        <f>ROW()</f>
        <v>17</v>
      </c>
      <c r="B17" s="8" t="s">
        <v>1479</v>
      </c>
      <c r="C17" s="8" t="s">
        <v>1459</v>
      </c>
      <c r="D17" s="9" t="str">
        <f t="shared" si="0"/>
        <v xml:space="preserve">5. Zulagen für Unterhaltsberechtigte  </v>
      </c>
      <c r="E17" s="23" t="s">
        <v>1498</v>
      </c>
      <c r="F17" s="2" t="s">
        <v>329</v>
      </c>
    </row>
    <row r="18" spans="1:6" ht="255" hidden="1" customHeight="1">
      <c r="A18" s="7">
        <f>ROW()</f>
        <v>18</v>
      </c>
      <c r="B18" s="8" t="s">
        <v>1479</v>
      </c>
      <c r="C18" s="8" t="str">
        <f>+E18</f>
        <v>Sonstige Leistungen</v>
      </c>
      <c r="D18" s="9" t="str">
        <f>+E18</f>
        <v>Sonstige Leistungen</v>
      </c>
      <c r="E18" s="22" t="s">
        <v>1455</v>
      </c>
      <c r="F18" s="3" t="s">
        <v>3273</v>
      </c>
    </row>
    <row r="19" spans="1:6" ht="409.5" hidden="1" customHeight="1">
      <c r="A19" s="7">
        <f>ROW()</f>
        <v>19</v>
      </c>
      <c r="B19" s="8" t="s">
        <v>1479</v>
      </c>
      <c r="C19" s="8" t="s">
        <v>1500</v>
      </c>
      <c r="D19" s="9" t="str">
        <f t="shared" si="0"/>
        <v>Umschulung, berufsbezogene Rehabilitation</v>
      </c>
      <c r="E19" s="23" t="s">
        <v>1501</v>
      </c>
      <c r="F19" s="3" t="s">
        <v>3274</v>
      </c>
    </row>
    <row r="20" spans="1:6" ht="409.5" hidden="1">
      <c r="A20" s="7">
        <f>ROW()</f>
        <v>20</v>
      </c>
      <c r="B20" s="8" t="s">
        <v>1479</v>
      </c>
      <c r="C20" s="8" t="s">
        <v>1500</v>
      </c>
      <c r="D20" s="9" t="str">
        <f t="shared" si="0"/>
        <v xml:space="preserve">Bevorzugte und reservierte Beschäftigung von Menschen mit Behinderungen  </v>
      </c>
      <c r="E20" s="23" t="s">
        <v>1502</v>
      </c>
      <c r="F20" s="2" t="s">
        <v>1566</v>
      </c>
    </row>
    <row r="21" spans="1:6" ht="171.75" hidden="1">
      <c r="A21" s="7">
        <f>ROW()</f>
        <v>21</v>
      </c>
      <c r="B21" s="8" t="s">
        <v>1479</v>
      </c>
      <c r="C21" s="8" t="s">
        <v>1504</v>
      </c>
      <c r="D21" s="9" t="str">
        <f t="shared" si="0"/>
        <v>Indexbindung/Anpassung</v>
      </c>
      <c r="E21" s="22" t="s">
        <v>1505</v>
      </c>
      <c r="F21" s="2" t="s">
        <v>1567</v>
      </c>
    </row>
    <row r="22" spans="1:6" ht="242.25" hidden="1">
      <c r="A22" s="7">
        <f>ROW()</f>
        <v>22</v>
      </c>
      <c r="B22" s="8" t="s">
        <v>1479</v>
      </c>
      <c r="C22" s="8" t="s">
        <v>1504</v>
      </c>
      <c r="D22" s="9" t="str">
        <f>+E22</f>
        <v>Kumulation mit Erwerbseinkommen</v>
      </c>
      <c r="E22" s="22" t="s">
        <v>1471</v>
      </c>
      <c r="F22" s="2" t="s">
        <v>1568</v>
      </c>
    </row>
    <row r="23" spans="1:6" ht="409.5" hidden="1" customHeight="1">
      <c r="A23" s="7">
        <f>ROW()</f>
        <v>23</v>
      </c>
      <c r="B23" s="8" t="s">
        <v>1479</v>
      </c>
      <c r="C23" s="8" t="s">
        <v>1504</v>
      </c>
      <c r="D23" s="9" t="str">
        <f t="shared" si="0"/>
        <v>Kumulation mit anderen Sozialleistungen</v>
      </c>
      <c r="E23" s="22" t="s">
        <v>1460</v>
      </c>
      <c r="F23" s="2" t="s">
        <v>3282</v>
      </c>
    </row>
    <row r="24" spans="1:6" ht="232.5" hidden="1">
      <c r="A24" s="7">
        <f>ROW()</f>
        <v>24</v>
      </c>
      <c r="B24" s="8" t="s">
        <v>1479</v>
      </c>
      <c r="C24" s="8" t="s">
        <v>1465</v>
      </c>
      <c r="D24" s="9" t="str">
        <f t="shared" si="0"/>
        <v>1. Besteuerung von Geldleistungen</v>
      </c>
      <c r="E24" s="23" t="s">
        <v>1509</v>
      </c>
      <c r="F24" s="2" t="s">
        <v>625</v>
      </c>
    </row>
    <row r="25" spans="1:6" ht="387" hidden="1">
      <c r="A25" s="7">
        <f>ROW()</f>
        <v>25</v>
      </c>
      <c r="B25" s="8" t="s">
        <v>1479</v>
      </c>
      <c r="C25" s="8" t="s">
        <v>1465</v>
      </c>
      <c r="D25" s="9" t="str">
        <f t="shared" si="0"/>
        <v>2. Einkommensgrenze für Besteuerung von Geldleistungen</v>
      </c>
      <c r="E25" s="23" t="s">
        <v>1511</v>
      </c>
      <c r="F25" s="2" t="s">
        <v>1569</v>
      </c>
    </row>
    <row r="26" spans="1:6" ht="288.75" hidden="1">
      <c r="A26" s="7">
        <f>ROW()</f>
        <v>26</v>
      </c>
      <c r="B26" s="8" t="s">
        <v>1479</v>
      </c>
      <c r="C26" s="8" t="s">
        <v>1465</v>
      </c>
      <c r="D26" s="9" t="str">
        <f t="shared" si="0"/>
        <v>3. Auf Leistungen anfallende Sozialabgaben</v>
      </c>
      <c r="E26" s="23" t="s">
        <v>1512</v>
      </c>
      <c r="F26" s="2" t="s">
        <v>666</v>
      </c>
    </row>
    <row r="27" spans="1:6" ht="138" hidden="1">
      <c r="A27" s="7">
        <f>ROW()</f>
        <v>27</v>
      </c>
      <c r="B27" s="8" t="s">
        <v>1479</v>
      </c>
      <c r="C27" s="8" t="s">
        <v>1514</v>
      </c>
      <c r="D27" s="9" t="str">
        <f t="shared" si="0"/>
        <v>Anwendungsbereich</v>
      </c>
      <c r="E27" s="23" t="s">
        <v>1467</v>
      </c>
      <c r="F27" s="2" t="s">
        <v>1570</v>
      </c>
    </row>
    <row r="28" spans="1:6" ht="110.25" hidden="1">
      <c r="A28" s="7">
        <f>ROW()</f>
        <v>28</v>
      </c>
      <c r="B28" s="8" t="s">
        <v>1479</v>
      </c>
      <c r="C28" s="8" t="s">
        <v>1514</v>
      </c>
      <c r="D28" s="9" t="str">
        <f t="shared" si="0"/>
        <v>Grundprinzipien</v>
      </c>
      <c r="E28" s="23" t="s">
        <v>1468</v>
      </c>
      <c r="F28" s="2" t="s">
        <v>711</v>
      </c>
    </row>
    <row r="29" spans="1:6" ht="224.25" hidden="1">
      <c r="A29" s="7">
        <f>ROW()</f>
        <v>29</v>
      </c>
      <c r="B29" s="8" t="s">
        <v>1479</v>
      </c>
      <c r="C29" s="8" t="s">
        <v>1514</v>
      </c>
      <c r="D29" s="9" t="str">
        <f t="shared" si="0"/>
        <v>Voraussetzungen für die Deckung</v>
      </c>
      <c r="E29" s="23" t="s">
        <v>1469</v>
      </c>
      <c r="F29" s="2" t="s">
        <v>1405</v>
      </c>
    </row>
    <row r="30" spans="1:6" ht="409.5" hidden="1">
      <c r="A30" s="7">
        <f>ROW()</f>
        <v>30</v>
      </c>
      <c r="B30" s="8" t="s">
        <v>1479</v>
      </c>
      <c r="C30" s="8" t="s">
        <v>1514</v>
      </c>
      <c r="D30" s="9" t="str">
        <f t="shared" si="0"/>
        <v>Kombination von selbstständiger und unselbstständiger Tätigkeit</v>
      </c>
      <c r="E30" s="23" t="s">
        <v>1462</v>
      </c>
      <c r="F30" s="2" t="s">
        <v>1571</v>
      </c>
    </row>
    <row r="31" spans="1:6" ht="376.5" hidden="1">
      <c r="A31" s="7">
        <f>ROW()</f>
        <v>31</v>
      </c>
      <c r="B31" s="8" t="s">
        <v>1479</v>
      </c>
      <c r="C31" s="8" t="s">
        <v>1459</v>
      </c>
      <c r="D31" s="9" t="str">
        <f t="shared" si="0"/>
        <v xml:space="preserve">Voraussetzungen für den Zugang zu Diensten/Leistungen </v>
      </c>
      <c r="E31" s="23" t="s">
        <v>1463</v>
      </c>
      <c r="F31" s="2" t="s">
        <v>3275</v>
      </c>
    </row>
    <row r="32" spans="1:6" ht="253.5" hidden="1">
      <c r="A32" s="7">
        <f>ROW()</f>
        <v>32</v>
      </c>
      <c r="B32" s="8" t="s">
        <v>1479</v>
      </c>
      <c r="C32" s="8" t="s">
        <v>1459</v>
      </c>
      <c r="D32" s="9" t="str">
        <f t="shared" si="0"/>
        <v>Beträge, Dauer und Kostenbeteiligung</v>
      </c>
      <c r="E32" s="23" t="s">
        <v>1464</v>
      </c>
      <c r="F32" s="2" t="s">
        <v>762</v>
      </c>
    </row>
    <row r="33" spans="1:6" ht="216" hidden="1">
      <c r="A33" s="7">
        <f>ROW()</f>
        <v>33</v>
      </c>
      <c r="B33" s="8" t="s">
        <v>1479</v>
      </c>
      <c r="C33" s="8" t="s">
        <v>1459</v>
      </c>
      <c r="D33" s="9" t="str">
        <f t="shared" si="0"/>
        <v>Besteuerung von Geldleistungen</v>
      </c>
      <c r="E33" s="23" t="s">
        <v>1456</v>
      </c>
      <c r="F33" s="2" t="s">
        <v>809</v>
      </c>
    </row>
    <row r="34" spans="1:6" ht="276.75" hidden="1">
      <c r="A34" s="7">
        <f>ROW()</f>
        <v>34</v>
      </c>
      <c r="B34" s="8" t="s">
        <v>1479</v>
      </c>
      <c r="C34" s="8" t="s">
        <v>1459</v>
      </c>
      <c r="D34" s="9" t="str">
        <f t="shared" si="0"/>
        <v xml:space="preserve"> Auf Leistungen anfallende Sozialabgaben</v>
      </c>
      <c r="E34" s="23" t="s">
        <v>1518</v>
      </c>
      <c r="F34" s="2" t="s">
        <v>823</v>
      </c>
    </row>
    <row r="35" spans="1:6" ht="177">
      <c r="A35" s="7">
        <f>ROW()</f>
        <v>35</v>
      </c>
      <c r="B35" s="8" t="s">
        <v>1519</v>
      </c>
      <c r="C35" s="8" t="str">
        <f>+D35</f>
        <v>Geltende Rechtsgrundlage</v>
      </c>
      <c r="D35" s="9" t="str">
        <f>+E35</f>
        <v>Geltende Rechtsgrundlage</v>
      </c>
      <c r="E35" s="22" t="s">
        <v>1472</v>
      </c>
      <c r="F35" s="2" t="s">
        <v>32</v>
      </c>
    </row>
    <row r="36" spans="1:6" ht="409.5" customHeight="1">
      <c r="A36" s="7">
        <f>ROW()</f>
        <v>36</v>
      </c>
      <c r="B36" s="8" t="s">
        <v>1519</v>
      </c>
      <c r="C36" s="8" t="str">
        <f>+D36</f>
        <v>Grundprinzipien</v>
      </c>
      <c r="D36" s="9" t="str">
        <f>+E36</f>
        <v>Grundprinzipien</v>
      </c>
      <c r="E36" s="22" t="s">
        <v>1468</v>
      </c>
      <c r="F36" s="2" t="s">
        <v>3276</v>
      </c>
    </row>
    <row r="37" spans="1:6" ht="159.75" hidden="1">
      <c r="A37" s="7">
        <f>ROW()</f>
        <v>37</v>
      </c>
      <c r="B37" s="8" t="s">
        <v>1519</v>
      </c>
      <c r="C37" s="8" t="s">
        <v>1467</v>
      </c>
      <c r="D37" s="9" t="str">
        <f>+E37</f>
        <v>1. Versicherte Personen</v>
      </c>
      <c r="E37" s="23" t="s">
        <v>1520</v>
      </c>
      <c r="F37" s="2" t="s">
        <v>86</v>
      </c>
    </row>
    <row r="38" spans="1:6" ht="371.25" hidden="1">
      <c r="A38" s="7">
        <f>ROW()</f>
        <v>38</v>
      </c>
      <c r="B38" s="8" t="s">
        <v>1519</v>
      </c>
      <c r="C38" s="8" t="s">
        <v>1467</v>
      </c>
      <c r="D38" s="9" t="str">
        <f t="shared" ref="D38:D58" si="1">+E38</f>
        <v>2. Ausnahmen von der Deckung  der Pflichtversicherung</v>
      </c>
      <c r="E38" s="23" t="s">
        <v>1521</v>
      </c>
      <c r="F38" s="2" t="s">
        <v>86</v>
      </c>
    </row>
    <row r="39" spans="1:6" ht="285" customHeight="1">
      <c r="A39" s="7">
        <f>ROW()</f>
        <v>39</v>
      </c>
      <c r="B39" s="8" t="s">
        <v>1519</v>
      </c>
      <c r="C39" s="8" t="s">
        <v>128</v>
      </c>
      <c r="D39" s="9" t="str">
        <f t="shared" si="1"/>
        <v>1. Rentenalter</v>
      </c>
      <c r="E39" s="23" t="s">
        <v>1523</v>
      </c>
      <c r="F39" s="2" t="s">
        <v>3277</v>
      </c>
    </row>
    <row r="40" spans="1:6" ht="285" customHeight="1">
      <c r="A40" s="7">
        <f>ROW()</f>
        <v>40</v>
      </c>
      <c r="B40" s="8" t="s">
        <v>1519</v>
      </c>
      <c r="C40" s="8" t="s">
        <v>128</v>
      </c>
      <c r="D40" s="9" t="str">
        <f t="shared" si="1"/>
        <v>2. Anwartschaftszeit und sonstige Anspruchsvoraussetzungen für den Bezug einer Altersrente</v>
      </c>
      <c r="E40" s="23" t="s">
        <v>1524</v>
      </c>
      <c r="F40" s="2" t="s">
        <v>151</v>
      </c>
    </row>
    <row r="41" spans="1:6" ht="194.25">
      <c r="A41" s="7">
        <f>ROW()</f>
        <v>41</v>
      </c>
      <c r="B41" s="8" t="s">
        <v>1519</v>
      </c>
      <c r="C41" s="8" t="s">
        <v>128</v>
      </c>
      <c r="D41" s="9" t="str">
        <f t="shared" si="1"/>
        <v>3. Vorruhestand</v>
      </c>
      <c r="E41" s="23" t="s">
        <v>1525</v>
      </c>
      <c r="F41" s="2" t="s">
        <v>173</v>
      </c>
    </row>
    <row r="42" spans="1:6" ht="409.5">
      <c r="A42" s="7">
        <f>ROW()</f>
        <v>42</v>
      </c>
      <c r="B42" s="8" t="s">
        <v>1519</v>
      </c>
      <c r="C42" s="8" t="s">
        <v>128</v>
      </c>
      <c r="D42" s="9" t="str">
        <f t="shared" si="1"/>
        <v>4. Beschwerliche und gefährliche Arbeit</v>
      </c>
      <c r="E42" s="23" t="s">
        <v>1526</v>
      </c>
      <c r="F42" s="2" t="s">
        <v>3278</v>
      </c>
    </row>
    <row r="43" spans="1:6" ht="194.25">
      <c r="A43" s="7">
        <f>ROW()</f>
        <v>43</v>
      </c>
      <c r="B43" s="8" t="s">
        <v>1519</v>
      </c>
      <c r="C43" s="8" t="s">
        <v>128</v>
      </c>
      <c r="D43" s="9" t="str">
        <f t="shared" si="1"/>
        <v>5. Rentenaufschub</v>
      </c>
      <c r="E43" s="23" t="s">
        <v>1527</v>
      </c>
      <c r="F43" s="2" t="s">
        <v>210</v>
      </c>
    </row>
    <row r="44" spans="1:6" ht="195" hidden="1" customHeight="1">
      <c r="A44" s="7">
        <f>ROW()</f>
        <v>44</v>
      </c>
      <c r="B44" s="8" t="s">
        <v>1519</v>
      </c>
      <c r="C44" s="8" t="s">
        <v>1459</v>
      </c>
      <c r="D44" s="9" t="str">
        <f t="shared" si="1"/>
        <v>1. Bestimmende Faktoren</v>
      </c>
      <c r="E44" s="23" t="s">
        <v>1528</v>
      </c>
      <c r="F44" s="2" t="s">
        <v>3279</v>
      </c>
    </row>
    <row r="45" spans="1:6" ht="195" hidden="1" customHeight="1">
      <c r="A45" s="7">
        <f>ROW()</f>
        <v>45</v>
      </c>
      <c r="B45" s="8" t="s">
        <v>1519</v>
      </c>
      <c r="C45" s="8" t="s">
        <v>1459</v>
      </c>
      <c r="D45" s="9" t="str">
        <f t="shared" si="1"/>
        <v>2. Berechnungsmethode, Rentenformel bzw. Beträge</v>
      </c>
      <c r="E45" s="23" t="s">
        <v>1529</v>
      </c>
      <c r="F45" s="2" t="s">
        <v>256</v>
      </c>
    </row>
    <row r="46" spans="1:6" ht="409.5" hidden="1" customHeight="1">
      <c r="A46" s="7">
        <f>ROW()</f>
        <v>46</v>
      </c>
      <c r="B46" s="8" t="s">
        <v>1519</v>
      </c>
      <c r="C46" s="8" t="s">
        <v>1459</v>
      </c>
      <c r="D46" s="9" t="str">
        <f t="shared" si="1"/>
        <v>3. Referenzeinkommen bzw. Berechnungsgrundlage</v>
      </c>
      <c r="E46" s="23" t="s">
        <v>1530</v>
      </c>
      <c r="F46" s="3" t="s">
        <v>3283</v>
      </c>
    </row>
    <row r="47" spans="1:6" ht="409.5" hidden="1" customHeight="1">
      <c r="A47" s="7">
        <f>ROW()</f>
        <v>47</v>
      </c>
      <c r="B47" s="8" t="s">
        <v>1519</v>
      </c>
      <c r="C47" s="8" t="s">
        <v>1459</v>
      </c>
      <c r="D47" s="9" t="str">
        <f t="shared" si="1"/>
        <v>4. Anrechenbare oder als Beitragszeiten gewertete Zeiträume</v>
      </c>
      <c r="E47" s="23" t="s">
        <v>1496</v>
      </c>
      <c r="F47" s="2" t="s">
        <v>3280</v>
      </c>
    </row>
    <row r="48" spans="1:6" ht="285" hidden="1" customHeight="1">
      <c r="A48" s="7">
        <f>ROW()</f>
        <v>48</v>
      </c>
      <c r="B48" s="8" t="s">
        <v>1519</v>
      </c>
      <c r="C48" s="8" t="s">
        <v>1459</v>
      </c>
      <c r="D48" s="9" t="str">
        <f t="shared" si="1"/>
        <v>5. Rückkauf von Versicherungszeiten</v>
      </c>
      <c r="E48" s="23" t="s">
        <v>1531</v>
      </c>
      <c r="F48" s="2" t="s">
        <v>3281</v>
      </c>
    </row>
    <row r="49" spans="1:6" ht="285" hidden="1" customHeight="1">
      <c r="A49" s="7">
        <f>ROW()</f>
        <v>49</v>
      </c>
      <c r="B49" s="8" t="s">
        <v>1519</v>
      </c>
      <c r="C49" s="8" t="s">
        <v>1459</v>
      </c>
      <c r="D49" s="9" t="str">
        <f t="shared" si="1"/>
        <v>6.  Zulagen für Unterhaltsberechtigte</v>
      </c>
      <c r="E49" s="23" t="s">
        <v>1631</v>
      </c>
      <c r="F49" s="2" t="s">
        <v>329</v>
      </c>
    </row>
    <row r="50" spans="1:6" ht="145.5" hidden="1">
      <c r="A50" s="7">
        <f>ROW()</f>
        <v>50</v>
      </c>
      <c r="B50" s="8" t="s">
        <v>1519</v>
      </c>
      <c r="C50" s="8" t="s">
        <v>1459</v>
      </c>
      <c r="D50" s="9" t="str">
        <f t="shared" si="1"/>
        <v>7. Besondere Zulagen</v>
      </c>
      <c r="E50" s="23" t="s">
        <v>1532</v>
      </c>
      <c r="F50" s="2" t="s">
        <v>350</v>
      </c>
    </row>
    <row r="51" spans="1:6" ht="360.75" hidden="1">
      <c r="A51" s="7">
        <f>ROW()</f>
        <v>51</v>
      </c>
      <c r="B51" s="8" t="s">
        <v>1519</v>
      </c>
      <c r="C51" s="8" t="s">
        <v>1459</v>
      </c>
      <c r="D51" s="9" t="str">
        <f t="shared" si="1"/>
        <v>8. Mindestrente und bedürftigkeitsabhängige Leistung</v>
      </c>
      <c r="E51" s="23" t="s">
        <v>1533</v>
      </c>
      <c r="F51" s="2" t="s">
        <v>370</v>
      </c>
    </row>
    <row r="52" spans="1:6" ht="101.25" hidden="1">
      <c r="A52" s="7">
        <f>ROW()</f>
        <v>52</v>
      </c>
      <c r="B52" s="8" t="s">
        <v>1519</v>
      </c>
      <c r="C52" s="8" t="s">
        <v>1459</v>
      </c>
      <c r="D52" s="9" t="str">
        <f t="shared" si="1"/>
        <v>9. Höchstrente</v>
      </c>
      <c r="E52" s="23" t="s">
        <v>1534</v>
      </c>
      <c r="F52" s="2" t="s">
        <v>86</v>
      </c>
    </row>
    <row r="53" spans="1:6" ht="119.25" hidden="1">
      <c r="A53" s="7">
        <f>ROW()</f>
        <v>53</v>
      </c>
      <c r="B53" s="8" t="s">
        <v>1519</v>
      </c>
      <c r="C53" s="8" t="s">
        <v>1459</v>
      </c>
      <c r="D53" s="9" t="str">
        <f t="shared" si="1"/>
        <v>10. Vorruhestand</v>
      </c>
      <c r="E53" s="23" t="s">
        <v>1535</v>
      </c>
      <c r="F53" s="2" t="s">
        <v>421</v>
      </c>
    </row>
    <row r="54" spans="1:6" ht="272.25" hidden="1">
      <c r="A54" s="7">
        <f>ROW()</f>
        <v>54</v>
      </c>
      <c r="B54" s="8" t="s">
        <v>1519</v>
      </c>
      <c r="C54" s="8" t="s">
        <v>1459</v>
      </c>
      <c r="D54" s="9" t="str">
        <f t="shared" si="1"/>
        <v>11. Beschwerliche und gefährliche Arbeit</v>
      </c>
      <c r="E54" s="23" t="s">
        <v>1536</v>
      </c>
      <c r="F54" s="2" t="s">
        <v>449</v>
      </c>
    </row>
    <row r="55" spans="1:6" ht="87.75" hidden="1">
      <c r="A55" s="7">
        <f>ROW()</f>
        <v>55</v>
      </c>
      <c r="B55" s="8" t="s">
        <v>1519</v>
      </c>
      <c r="C55" s="8" t="s">
        <v>1459</v>
      </c>
      <c r="D55" s="9" t="str">
        <f t="shared" si="1"/>
        <v>12. Teilrente</v>
      </c>
      <c r="E55" s="23" t="s">
        <v>1537</v>
      </c>
      <c r="F55" s="2" t="s">
        <v>473</v>
      </c>
    </row>
    <row r="56" spans="1:6" ht="171.75" hidden="1">
      <c r="A56" s="7">
        <f>ROW()</f>
        <v>56</v>
      </c>
      <c r="B56" s="8" t="s">
        <v>1519</v>
      </c>
      <c r="C56" s="8" t="s">
        <v>1459</v>
      </c>
      <c r="D56" s="9" t="str">
        <f t="shared" si="1"/>
        <v>13. Aufgeschobene Rente</v>
      </c>
      <c r="E56" s="23" t="s">
        <v>1632</v>
      </c>
      <c r="F56" s="2" t="s">
        <v>499</v>
      </c>
    </row>
    <row r="57" spans="1:6" ht="179.25">
      <c r="A57" s="7">
        <f>ROW()</f>
        <v>57</v>
      </c>
      <c r="B57" s="8" t="s">
        <v>1519</v>
      </c>
      <c r="C57" s="8" t="s">
        <v>1538</v>
      </c>
      <c r="D57" s="9" t="s">
        <v>1538</v>
      </c>
      <c r="E57" s="22" t="s">
        <v>1538</v>
      </c>
      <c r="F57" s="2" t="s">
        <v>528</v>
      </c>
    </row>
    <row r="58" spans="1:6" ht="242.25">
      <c r="A58" s="7">
        <f>ROW()</f>
        <v>58</v>
      </c>
      <c r="B58" s="8" t="s">
        <v>1519</v>
      </c>
      <c r="C58" s="8" t="s">
        <v>1538</v>
      </c>
      <c r="D58" s="9" t="str">
        <f t="shared" si="1"/>
        <v xml:space="preserve">Kumulation mit Erwerbseinkommen </v>
      </c>
      <c r="E58" s="22" t="s">
        <v>1461</v>
      </c>
      <c r="F58" s="2" t="s">
        <v>555</v>
      </c>
    </row>
    <row r="59" spans="1:6" ht="286.5">
      <c r="A59" s="7">
        <f>ROW()</f>
        <v>59</v>
      </c>
      <c r="B59" s="8" t="s">
        <v>1519</v>
      </c>
      <c r="C59" s="8" t="s">
        <v>1538</v>
      </c>
      <c r="D59" s="9" t="s">
        <v>1539</v>
      </c>
      <c r="E59" s="22" t="s">
        <v>1460</v>
      </c>
      <c r="F59" s="2" t="s">
        <v>584</v>
      </c>
    </row>
    <row r="60" spans="1:6" ht="225.75" hidden="1">
      <c r="A60" s="7">
        <f>ROW()</f>
        <v>60</v>
      </c>
      <c r="B60" s="8" t="s">
        <v>1519</v>
      </c>
      <c r="C60" s="8" t="s">
        <v>612</v>
      </c>
      <c r="D60" s="9" t="str">
        <f t="shared" ref="D60:D70" si="2">+E60</f>
        <v>1. Besteuerung von Renten</v>
      </c>
      <c r="E60" s="23" t="s">
        <v>1540</v>
      </c>
      <c r="F60" s="2" t="s">
        <v>614</v>
      </c>
    </row>
    <row r="61" spans="1:6" ht="335.25" hidden="1">
      <c r="A61" s="7">
        <f>ROW()</f>
        <v>61</v>
      </c>
      <c r="B61" s="8" t="s">
        <v>1519</v>
      </c>
      <c r="C61" s="8" t="s">
        <v>612</v>
      </c>
      <c r="D61" s="9" t="str">
        <f t="shared" si="2"/>
        <v>2. Einkommensgrenze für Besteuerung von Renten</v>
      </c>
      <c r="E61" s="23" t="s">
        <v>1541</v>
      </c>
      <c r="F61" s="2" t="s">
        <v>639</v>
      </c>
    </row>
    <row r="62" spans="1:6" ht="264" hidden="1">
      <c r="A62" s="7">
        <f>ROW()</f>
        <v>62</v>
      </c>
      <c r="B62" s="8" t="s">
        <v>1519</v>
      </c>
      <c r="C62" s="8" t="s">
        <v>612</v>
      </c>
      <c r="D62" s="9" t="str">
        <f t="shared" si="2"/>
        <v>3. Auf Renten anfallende Sozialabgaben</v>
      </c>
      <c r="E62" s="23" t="s">
        <v>1542</v>
      </c>
      <c r="F62" s="2" t="s">
        <v>666</v>
      </c>
    </row>
    <row r="63" spans="1:6" ht="138" hidden="1">
      <c r="A63" s="7">
        <f>ROW()</f>
        <v>63</v>
      </c>
      <c r="B63" s="8" t="s">
        <v>1543</v>
      </c>
      <c r="C63" s="8" t="str">
        <f>+E63</f>
        <v>Anwendungsbereich</v>
      </c>
      <c r="D63" s="9" t="str">
        <f t="shared" si="2"/>
        <v>Anwendungsbereich</v>
      </c>
      <c r="E63" s="23" t="s">
        <v>1467</v>
      </c>
      <c r="F63" s="2" t="s">
        <v>686</v>
      </c>
    </row>
    <row r="64" spans="1:6" ht="132.75" hidden="1">
      <c r="A64" s="7">
        <f>ROW()</f>
        <v>64</v>
      </c>
      <c r="B64" s="8" t="s">
        <v>1543</v>
      </c>
      <c r="C64" s="8" t="s">
        <v>1514</v>
      </c>
      <c r="D64" s="9" t="str">
        <f t="shared" si="2"/>
        <v>Grundprinzipien</v>
      </c>
      <c r="E64" s="23" t="s">
        <v>1468</v>
      </c>
      <c r="F64" s="2" t="s">
        <v>711</v>
      </c>
    </row>
    <row r="65" spans="1:6" ht="224.25" hidden="1">
      <c r="A65" s="7">
        <f>ROW()</f>
        <v>65</v>
      </c>
      <c r="B65" s="8" t="s">
        <v>1543</v>
      </c>
      <c r="C65" s="8" t="s">
        <v>1514</v>
      </c>
      <c r="D65" s="9" t="str">
        <f t="shared" si="2"/>
        <v>Voraussetzungen für die Deckung</v>
      </c>
      <c r="E65" s="23" t="s">
        <v>1469</v>
      </c>
      <c r="F65" s="2" t="s">
        <v>738</v>
      </c>
    </row>
    <row r="66" spans="1:6" ht="409.5" hidden="1">
      <c r="A66" s="7">
        <f>ROW()</f>
        <v>66</v>
      </c>
      <c r="B66" s="8" t="s">
        <v>1543</v>
      </c>
      <c r="C66" s="8" t="s">
        <v>1514</v>
      </c>
      <c r="D66" s="9" t="str">
        <f t="shared" si="2"/>
        <v>Kombination von selbstständiger und unselbstständiger Tätigkeit</v>
      </c>
      <c r="E66" s="23" t="s">
        <v>1462</v>
      </c>
      <c r="F66" s="2" t="s">
        <v>764</v>
      </c>
    </row>
    <row r="67" spans="1:6" ht="376.5" hidden="1">
      <c r="A67" s="7">
        <f>ROW()</f>
        <v>67</v>
      </c>
      <c r="B67" s="8" t="s">
        <v>1543</v>
      </c>
      <c r="C67" s="8" t="s">
        <v>1459</v>
      </c>
      <c r="D67" s="9" t="str">
        <f t="shared" si="2"/>
        <v xml:space="preserve">Voraussetzungen für den Zugang zu Diensten/Leistungen </v>
      </c>
      <c r="E67" s="23" t="s">
        <v>1463</v>
      </c>
      <c r="F67" s="2" t="s">
        <v>762</v>
      </c>
    </row>
    <row r="68" spans="1:6" ht="253.5" hidden="1">
      <c r="A68" s="7">
        <f>ROW()</f>
        <v>68</v>
      </c>
      <c r="B68" s="8" t="s">
        <v>1543</v>
      </c>
      <c r="C68" s="8" t="s">
        <v>1459</v>
      </c>
      <c r="D68" s="9" t="str">
        <f t="shared" si="2"/>
        <v>Beträge, Dauer und Kostenbeteiligung</v>
      </c>
      <c r="E68" s="23" t="s">
        <v>1464</v>
      </c>
      <c r="F68" s="2" t="s">
        <v>762</v>
      </c>
    </row>
    <row r="69" spans="1:6" ht="216" hidden="1">
      <c r="A69" s="7">
        <f>ROW()</f>
        <v>69</v>
      </c>
      <c r="B69" s="8" t="s">
        <v>1543</v>
      </c>
      <c r="C69" s="8" t="s">
        <v>1459</v>
      </c>
      <c r="D69" s="9" t="str">
        <f t="shared" si="2"/>
        <v>Besteuerung von Geldleistungen</v>
      </c>
      <c r="E69" s="23" t="s">
        <v>1456</v>
      </c>
      <c r="F69" s="2" t="s">
        <v>809</v>
      </c>
    </row>
    <row r="70" spans="1:6" ht="272.25" hidden="1">
      <c r="A70" s="7">
        <f>ROW()</f>
        <v>70</v>
      </c>
      <c r="B70" s="8" t="s">
        <v>1543</v>
      </c>
      <c r="C70" s="8" t="s">
        <v>1459</v>
      </c>
      <c r="D70" s="9" t="str">
        <f t="shared" si="2"/>
        <v>Auf Leistungen anfallende Sozialabgaben</v>
      </c>
      <c r="E70" s="23" t="s">
        <v>1457</v>
      </c>
      <c r="F70" s="2" t="s">
        <v>823</v>
      </c>
    </row>
    <row r="71" spans="1:6" ht="177" hidden="1">
      <c r="A71" s="7">
        <f>ROW()</f>
        <v>71</v>
      </c>
      <c r="B71" s="8" t="s">
        <v>1466</v>
      </c>
      <c r="C71" s="8" t="str">
        <f t="shared" ref="C71:D75" si="3">+D71</f>
        <v>Geltende Rechtsgrundlage</v>
      </c>
      <c r="D71" s="9" t="str">
        <f t="shared" si="3"/>
        <v>Geltende Rechtsgrundlage</v>
      </c>
      <c r="E71" s="22" t="s">
        <v>1472</v>
      </c>
      <c r="F71" s="2" t="s">
        <v>834</v>
      </c>
    </row>
    <row r="72" spans="1:6" ht="110.25" hidden="1">
      <c r="A72" s="7">
        <f>ROW()</f>
        <v>72</v>
      </c>
      <c r="B72" s="8" t="s">
        <v>1466</v>
      </c>
      <c r="C72" s="8" t="str">
        <f t="shared" si="3"/>
        <v>Grundprinzipien</v>
      </c>
      <c r="D72" s="9" t="str">
        <f t="shared" si="3"/>
        <v>Grundprinzipien</v>
      </c>
      <c r="E72" s="22" t="s">
        <v>1468</v>
      </c>
      <c r="F72" s="2" t="s">
        <v>860</v>
      </c>
    </row>
    <row r="73" spans="1:6" ht="315" hidden="1">
      <c r="A73" s="7">
        <f>ROW()</f>
        <v>73</v>
      </c>
      <c r="B73" s="8" t="s">
        <v>1466</v>
      </c>
      <c r="C73" s="9" t="str">
        <f t="shared" si="3"/>
        <v>Anwendungsbereich (in Bezug auf Verstorbene)</v>
      </c>
      <c r="D73" s="9" t="str">
        <f t="shared" si="3"/>
        <v>Anwendungsbereich (in Bezug auf Verstorbene)</v>
      </c>
      <c r="E73" s="22" t="s">
        <v>1473</v>
      </c>
      <c r="F73" s="2" t="s">
        <v>86</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86</v>
      </c>
    </row>
    <row r="75" spans="1:6" ht="144.75" hidden="1">
      <c r="A75" s="7">
        <f>ROW()</f>
        <v>75</v>
      </c>
      <c r="B75" s="8" t="s">
        <v>1466</v>
      </c>
      <c r="C75" s="9" t="str">
        <f t="shared" si="3"/>
        <v>Berechtigte Personen</v>
      </c>
      <c r="D75" s="9" t="str">
        <f t="shared" si="3"/>
        <v>Berechtigte Personen</v>
      </c>
      <c r="E75" s="22" t="s">
        <v>1477</v>
      </c>
      <c r="F75" s="2" t="s">
        <v>920</v>
      </c>
    </row>
    <row r="76" spans="1:6" ht="102" hidden="1">
      <c r="A76" s="7">
        <f>ROW()</f>
        <v>76</v>
      </c>
      <c r="B76" s="8" t="s">
        <v>1466</v>
      </c>
      <c r="C76" s="1"/>
      <c r="D76" s="119"/>
      <c r="E76" s="22" t="s">
        <v>1522</v>
      </c>
      <c r="F76" s="2"/>
    </row>
    <row r="77" spans="1:6" ht="189.75" hidden="1">
      <c r="A77" s="7">
        <f>ROW()</f>
        <v>77</v>
      </c>
      <c r="B77" s="8" t="s">
        <v>1466</v>
      </c>
      <c r="C77" s="8" t="s">
        <v>1544</v>
      </c>
      <c r="D77" s="9" t="str">
        <f t="shared" ref="D77:D90" si="4">+E77</f>
        <v>1. Verstorbener Versicherter</v>
      </c>
      <c r="E77" s="23" t="s">
        <v>1545</v>
      </c>
      <c r="F77" s="2" t="s">
        <v>943</v>
      </c>
    </row>
    <row r="78" spans="1:6" ht="185.25" hidden="1">
      <c r="A78" s="7">
        <f>ROW()</f>
        <v>78</v>
      </c>
      <c r="B78" s="8" t="s">
        <v>1466</v>
      </c>
      <c r="C78" s="8" t="s">
        <v>1544</v>
      </c>
      <c r="D78" s="9" t="str">
        <f t="shared" si="4"/>
        <v>2. Hinterbliebener Ehegatte</v>
      </c>
      <c r="E78" s="23" t="s">
        <v>1546</v>
      </c>
      <c r="F78" s="2" t="s">
        <v>966</v>
      </c>
    </row>
    <row r="79" spans="1:6" ht="181.5" hidden="1">
      <c r="A79" s="7">
        <f>ROW()</f>
        <v>79</v>
      </c>
      <c r="B79" s="8" t="s">
        <v>1466</v>
      </c>
      <c r="C79" s="8" t="s">
        <v>1544</v>
      </c>
      <c r="D79" s="9" t="str">
        <f t="shared" si="4"/>
        <v>3. Geschiedener Ehegatte</v>
      </c>
      <c r="E79" s="23" t="s">
        <v>1547</v>
      </c>
      <c r="F79" s="2" t="s">
        <v>282</v>
      </c>
    </row>
    <row r="80" spans="1:6" ht="216" hidden="1">
      <c r="A80" s="7">
        <f>ROW()</f>
        <v>80</v>
      </c>
      <c r="B80" s="8" t="s">
        <v>1466</v>
      </c>
      <c r="C80" s="8" t="s">
        <v>1544</v>
      </c>
      <c r="D80" s="9" t="str">
        <f t="shared" si="4"/>
        <v>4. Hinterbliebene Lebenspartner</v>
      </c>
      <c r="E80" s="23" t="s">
        <v>1548</v>
      </c>
      <c r="F80" s="2" t="s">
        <v>282</v>
      </c>
    </row>
    <row r="81" spans="1:6" ht="181.5" hidden="1">
      <c r="A81" s="7">
        <f>ROW()</f>
        <v>81</v>
      </c>
      <c r="B81" s="8" t="s">
        <v>1466</v>
      </c>
      <c r="C81" s="8" t="s">
        <v>1544</v>
      </c>
      <c r="D81" s="9" t="str">
        <f t="shared" si="4"/>
        <v>5. Kinder</v>
      </c>
      <c r="E81" s="23" t="s">
        <v>1549</v>
      </c>
      <c r="F81" s="2" t="s">
        <v>1027</v>
      </c>
    </row>
    <row r="82" spans="1:6" ht="181.5" hidden="1">
      <c r="A82" s="7">
        <f>ROW()</f>
        <v>82</v>
      </c>
      <c r="B82" s="8" t="s">
        <v>1466</v>
      </c>
      <c r="C82" s="8" t="s">
        <v>1544</v>
      </c>
      <c r="D82" s="9" t="str">
        <f t="shared" si="4"/>
        <v>6. Andere Personen</v>
      </c>
      <c r="E82" s="23" t="s">
        <v>1550</v>
      </c>
      <c r="F82" s="2" t="s">
        <v>1051</v>
      </c>
    </row>
    <row r="83" spans="1:6" ht="409.5" hidden="1">
      <c r="A83" s="7">
        <f>ROW()</f>
        <v>83</v>
      </c>
      <c r="B83" s="8" t="s">
        <v>1466</v>
      </c>
      <c r="C83" s="8" t="s">
        <v>1459</v>
      </c>
      <c r="D83" s="9" t="str">
        <f t="shared" si="4"/>
        <v>1. Hinterbliebener Ehegatte, geschiedener Ehegatte, hinterbliebene Lebenspartner</v>
      </c>
      <c r="E83" s="23" t="s">
        <v>1551</v>
      </c>
      <c r="F83" s="3" t="s">
        <v>3284</v>
      </c>
    </row>
    <row r="84" spans="1:6" ht="280.5" hidden="1">
      <c r="A84" s="7">
        <f>ROW()</f>
        <v>84</v>
      </c>
      <c r="B84" s="8" t="s">
        <v>1466</v>
      </c>
      <c r="C84" s="8" t="s">
        <v>1459</v>
      </c>
      <c r="D84" s="9" t="str">
        <f t="shared" si="4"/>
        <v>2. Hinterbliebener Ehegatte: Wiederheirat</v>
      </c>
      <c r="E84" s="23" t="s">
        <v>1552</v>
      </c>
      <c r="F84" s="2" t="s">
        <v>1084</v>
      </c>
    </row>
    <row r="85" spans="1:6" ht="102" hidden="1">
      <c r="A85" s="7">
        <f>ROW()</f>
        <v>85</v>
      </c>
      <c r="B85" s="8" t="s">
        <v>1466</v>
      </c>
      <c r="C85" s="8" t="s">
        <v>1459</v>
      </c>
      <c r="D85" s="9" t="str">
        <f t="shared" si="4"/>
        <v>3. Kinder</v>
      </c>
      <c r="E85" s="23" t="s">
        <v>1553</v>
      </c>
      <c r="F85" s="2" t="s">
        <v>1111</v>
      </c>
    </row>
    <row r="86" spans="1:6" ht="147" hidden="1">
      <c r="A86" s="7">
        <f>ROW()</f>
        <v>86</v>
      </c>
      <c r="B86" s="8" t="s">
        <v>1466</v>
      </c>
      <c r="C86" s="8" t="s">
        <v>1459</v>
      </c>
      <c r="D86" s="9" t="str">
        <f t="shared" si="4"/>
        <v>4. Andere Berechtigte</v>
      </c>
      <c r="E86" s="23" t="s">
        <v>1554</v>
      </c>
      <c r="F86" s="2" t="s">
        <v>1131</v>
      </c>
    </row>
    <row r="87" spans="1:6" ht="381" hidden="1">
      <c r="A87" s="7">
        <f>ROW()</f>
        <v>87</v>
      </c>
      <c r="B87" s="8" t="s">
        <v>1466</v>
      </c>
      <c r="C87" s="8" t="s">
        <v>1459</v>
      </c>
      <c r="D87" s="9" t="str">
        <f t="shared" si="4"/>
        <v xml:space="preserve"> 5. Höchster zahlbarer Gesamtbetrag für alle Berechtigten</v>
      </c>
      <c r="E87" s="23" t="s">
        <v>1555</v>
      </c>
      <c r="F87" s="2" t="s">
        <v>1144</v>
      </c>
    </row>
    <row r="88" spans="1:6" ht="151.5" hidden="1">
      <c r="A88" s="7">
        <f>ROW()</f>
        <v>88</v>
      </c>
      <c r="B88" s="8" t="s">
        <v>1466</v>
      </c>
      <c r="C88" s="8" t="s">
        <v>1459</v>
      </c>
      <c r="D88" s="9" t="str">
        <f t="shared" si="4"/>
        <v>6. Sonstige Leistungen</v>
      </c>
      <c r="E88" s="23" t="s">
        <v>1556</v>
      </c>
      <c r="F88" s="2" t="s">
        <v>1168</v>
      </c>
    </row>
    <row r="89" spans="1:6" ht="126.75" hidden="1">
      <c r="A89" s="7">
        <f>ROW()</f>
        <v>89</v>
      </c>
      <c r="B89" s="8" t="s">
        <v>1466</v>
      </c>
      <c r="C89" s="8" t="s">
        <v>1459</v>
      </c>
      <c r="D89" s="9" t="str">
        <f>+E89</f>
        <v>7. Mindestleistung</v>
      </c>
      <c r="E89" s="23" t="s">
        <v>1557</v>
      </c>
      <c r="F89" s="2" t="s">
        <v>1190</v>
      </c>
    </row>
    <row r="90" spans="1:6" ht="122.25" hidden="1">
      <c r="A90" s="7">
        <f>ROW()</f>
        <v>90</v>
      </c>
      <c r="B90" s="8" t="s">
        <v>1466</v>
      </c>
      <c r="C90" s="8" t="s">
        <v>1459</v>
      </c>
      <c r="D90" s="9" t="str">
        <f t="shared" si="4"/>
        <v xml:space="preserve"> 8. Höchstleistung</v>
      </c>
      <c r="E90" s="23" t="s">
        <v>1558</v>
      </c>
      <c r="F90" s="2" t="s">
        <v>1214</v>
      </c>
    </row>
    <row r="91" spans="1:6" ht="179.25" hidden="1">
      <c r="A91" s="7">
        <f>ROW()</f>
        <v>91</v>
      </c>
      <c r="B91" s="8" t="s">
        <v>1466</v>
      </c>
      <c r="C91" s="8" t="s">
        <v>1538</v>
      </c>
      <c r="D91" s="9" t="str">
        <f>+C91</f>
        <v>Indexbindung / Anpassung</v>
      </c>
      <c r="E91" s="22" t="s">
        <v>1538</v>
      </c>
      <c r="F91" s="2" t="s">
        <v>1234</v>
      </c>
    </row>
    <row r="92" spans="1:6" ht="242.25" hidden="1">
      <c r="A92" s="7">
        <f>ROW()</f>
        <v>92</v>
      </c>
      <c r="B92" s="8" t="s">
        <v>1466</v>
      </c>
      <c r="C92" s="8" t="s">
        <v>1538</v>
      </c>
      <c r="D92" s="9" t="str">
        <f t="shared" ref="D92:D105" si="5">+E92</f>
        <v>Kumulation mit Erwerbseinkommen</v>
      </c>
      <c r="E92" s="22" t="s">
        <v>1471</v>
      </c>
      <c r="F92" s="2" t="s">
        <v>1261</v>
      </c>
    </row>
    <row r="93" spans="1:6" ht="275.25" hidden="1">
      <c r="A93" s="7">
        <f>ROW()</f>
        <v>93</v>
      </c>
      <c r="B93" s="8" t="s">
        <v>1466</v>
      </c>
      <c r="C93" s="8" t="s">
        <v>1538</v>
      </c>
      <c r="D93" s="9" t="str">
        <f t="shared" si="5"/>
        <v>Kumulation mit anderen Sozialleistungen</v>
      </c>
      <c r="E93" s="22" t="s">
        <v>1460</v>
      </c>
      <c r="F93" s="2" t="s">
        <v>1288</v>
      </c>
    </row>
    <row r="94" spans="1:6" ht="232.5" hidden="1">
      <c r="A94" s="7">
        <f>ROW()</f>
        <v>94</v>
      </c>
      <c r="B94" s="8" t="s">
        <v>1466</v>
      </c>
      <c r="C94" s="9" t="s">
        <v>1465</v>
      </c>
      <c r="D94" s="9" t="str">
        <f t="shared" si="5"/>
        <v>1. Besteuerung von Geldleistungen</v>
      </c>
      <c r="E94" s="23" t="s">
        <v>1509</v>
      </c>
      <c r="F94" s="2" t="s">
        <v>1317</v>
      </c>
    </row>
    <row r="95" spans="1:6" ht="387" hidden="1">
      <c r="A95" s="7">
        <f>ROW()</f>
        <v>95</v>
      </c>
      <c r="B95" s="8" t="s">
        <v>1466</v>
      </c>
      <c r="C95" s="9" t="s">
        <v>1465</v>
      </c>
      <c r="D95" s="9" t="str">
        <f t="shared" si="5"/>
        <v>2. Einkommensgrenze für Besteuerung von Geldleistungen</v>
      </c>
      <c r="E95" s="23" t="s">
        <v>1511</v>
      </c>
      <c r="F95" s="2" t="s">
        <v>1335</v>
      </c>
    </row>
    <row r="96" spans="1:6" ht="288.75" hidden="1">
      <c r="A96" s="7">
        <f>ROW()</f>
        <v>96</v>
      </c>
      <c r="B96" s="8" t="s">
        <v>1466</v>
      </c>
      <c r="C96" s="9" t="s">
        <v>1465</v>
      </c>
      <c r="D96" s="9" t="str">
        <f t="shared" si="5"/>
        <v>3. Auf Leistungen anfallende Sozialabgaben</v>
      </c>
      <c r="E96" s="23" t="s">
        <v>1512</v>
      </c>
      <c r="F96" s="2" t="s">
        <v>675</v>
      </c>
    </row>
    <row r="97" spans="1:6" ht="138" hidden="1">
      <c r="A97" s="7">
        <f>ROW()</f>
        <v>97</v>
      </c>
      <c r="B97" s="8" t="s">
        <v>1466</v>
      </c>
      <c r="C97" s="9" t="s">
        <v>1514</v>
      </c>
      <c r="D97" s="9" t="str">
        <f t="shared" si="5"/>
        <v>Anwendungsbereich</v>
      </c>
      <c r="E97" s="23" t="s">
        <v>1467</v>
      </c>
      <c r="F97" s="2" t="s">
        <v>1375</v>
      </c>
    </row>
    <row r="98" spans="1:6" ht="110.25" hidden="1">
      <c r="A98" s="7">
        <f>ROW()</f>
        <v>98</v>
      </c>
      <c r="B98" s="8" t="s">
        <v>1466</v>
      </c>
      <c r="C98" s="9" t="s">
        <v>1514</v>
      </c>
      <c r="D98" s="9" t="str">
        <f t="shared" si="5"/>
        <v>Grundprinzipien</v>
      </c>
      <c r="E98" s="23" t="s">
        <v>1468</v>
      </c>
      <c r="F98" s="2" t="s">
        <v>711</v>
      </c>
    </row>
    <row r="99" spans="1:6" ht="224.25" hidden="1">
      <c r="A99" s="7">
        <f>ROW()</f>
        <v>99</v>
      </c>
      <c r="B99" s="8" t="s">
        <v>1466</v>
      </c>
      <c r="C99" s="9" t="s">
        <v>1514</v>
      </c>
      <c r="D99" s="9" t="str">
        <f t="shared" si="5"/>
        <v>Voraussetzungen für die Deckung</v>
      </c>
      <c r="E99" s="23" t="s">
        <v>1469</v>
      </c>
      <c r="F99" s="2" t="s">
        <v>1405</v>
      </c>
    </row>
    <row r="100" spans="1:6" ht="409.5" hidden="1">
      <c r="A100" s="7">
        <f>ROW()</f>
        <v>100</v>
      </c>
      <c r="B100" s="8" t="s">
        <v>1466</v>
      </c>
      <c r="C100" s="9" t="s">
        <v>1514</v>
      </c>
      <c r="D100" s="9" t="str">
        <f t="shared" si="5"/>
        <v>Kombination von selbstständiger und unselbstständiger Tätigkeit</v>
      </c>
      <c r="E100" s="23" t="s">
        <v>1462</v>
      </c>
      <c r="F100" s="2" t="s">
        <v>1414</v>
      </c>
    </row>
    <row r="101" spans="1:6" ht="376.5" hidden="1">
      <c r="A101" s="7">
        <f>ROW()</f>
        <v>101</v>
      </c>
      <c r="B101" s="8" t="s">
        <v>1466</v>
      </c>
      <c r="C101" s="9" t="s">
        <v>1514</v>
      </c>
      <c r="D101" s="9" t="str">
        <f t="shared" si="5"/>
        <v xml:space="preserve">Voraussetzungen für den Zugang zu Diensten/Leistungen </v>
      </c>
      <c r="E101" s="23" t="s">
        <v>1463</v>
      </c>
      <c r="F101" s="2" t="s">
        <v>1424</v>
      </c>
    </row>
    <row r="102" spans="1:6" ht="253.5" hidden="1">
      <c r="A102" s="7">
        <f>ROW()</f>
        <v>102</v>
      </c>
      <c r="B102" s="8" t="s">
        <v>1466</v>
      </c>
      <c r="C102" s="9" t="s">
        <v>1514</v>
      </c>
      <c r="D102" s="9" t="str">
        <f t="shared" si="5"/>
        <v>Beträge, Dauer und Kostenbeteiligung</v>
      </c>
      <c r="E102" s="23" t="s">
        <v>1464</v>
      </c>
      <c r="F102" s="2" t="s">
        <v>762</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809</v>
      </c>
    </row>
    <row r="105" spans="1:6" ht="272.25" hidden="1">
      <c r="A105" s="7">
        <f>ROW()</f>
        <v>105</v>
      </c>
      <c r="B105" s="8" t="s">
        <v>1466</v>
      </c>
      <c r="C105" s="9" t="s">
        <v>1514</v>
      </c>
      <c r="D105" s="9" t="str">
        <f t="shared" si="5"/>
        <v>Auf Leistungen anfallende Sozialabgaben</v>
      </c>
      <c r="E105" s="23" t="s">
        <v>1457</v>
      </c>
      <c r="F105" s="2" t="s">
        <v>823</v>
      </c>
    </row>
    <row r="106" spans="1:6"/>
    <row r="107" spans="1:6"/>
    <row r="108" spans="1:6"/>
    <row r="109" spans="1:6"/>
    <row r="110" spans="1:6"/>
    <row r="111" spans="1:6"/>
    <row r="112" spans="1:6"/>
    <row r="113"/>
  </sheetData>
  <sheetProtection algorithmName="SHA-512" hashValue="7aF+LHUl60utxG2V3n6sScU3yZRgWBMObF74wMkzwhlcD/eT8PUC4gYoO7wVBWVUQ3qKAAcltM5XIwMK5Dw7sA==" saltValue="73fjVoYUoWEuZ54QdBvVqQ==" spinCount="100000" sheet="1" objects="1" scenarios="1" formatColumns="0" autoFilter="0"/>
  <autoFilter ref="A2:XFD105" xr:uid="{F21685E8-5077-413D-816F-47E01BF4FA63}">
    <filterColumn colId="1">
      <filters>
        <filter val="Alter"/>
      </filters>
    </filterColumn>
    <filterColumn colId="2">
      <filters>
        <filter val="Anspruchsvoraussetzungen"/>
        <filter val="Geltende Rechtsgrundlage"/>
        <filter val="Grundprinzipien"/>
        <filter val="Indexbindung / Anpassung"/>
      </filters>
    </filterColumn>
  </autoFilter>
  <mergeCells count="3">
    <mergeCell ref="B1:B2"/>
    <mergeCell ref="C1:C2"/>
    <mergeCell ref="D1:D2"/>
  </mergeCells>
  <pageMargins left="0.7" right="0.7" top="0.78740157499999996" bottom="0.78740157499999996"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CD67-8A90-41FE-BD7E-971CC32A310F}">
  <sheetPr codeName="Tabelle4" filterMode="1"/>
  <dimension ref="A1:F113"/>
  <sheetViews>
    <sheetView workbookViewId="0">
      <pane xSplit="5" ySplit="2" topLeftCell="F50"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7" t="s">
        <v>1474</v>
      </c>
      <c r="C1" s="125" t="s">
        <v>1478</v>
      </c>
      <c r="D1" s="125" t="s">
        <v>1475</v>
      </c>
      <c r="E1" s="118" t="s">
        <v>2245</v>
      </c>
      <c r="F1" s="6" t="s">
        <v>2</v>
      </c>
    </row>
    <row r="2" spans="1:6" ht="39.75" customHeight="1">
      <c r="A2" s="128"/>
      <c r="B2" s="129"/>
      <c r="C2" s="126"/>
      <c r="D2" s="126"/>
      <c r="E2" s="124"/>
      <c r="F2" s="162" t="str" cm="1">
        <f t="array" ref="F2">_xlfn.TEXTJOIN("; ", TRUE, IF(Entscheidungen!A2:A100=F1, Entscheidungen!B2:B100, ""))</f>
        <v>OLG Schleswig, 26.07.2024 – 15 UF 85/24; OLG OLG Schleswig, 26.07.2024 – 15 UF 85/24; OLG OLG Schleswig, 26.07.2024 – 15 UF 85/24</v>
      </c>
    </row>
    <row r="3" spans="1:6" ht="177" hidden="1">
      <c r="A3" s="7">
        <f>ROW()</f>
        <v>3</v>
      </c>
      <c r="B3" s="8" t="s">
        <v>1479</v>
      </c>
      <c r="C3" s="8"/>
      <c r="D3" s="8" t="str">
        <f>+E3</f>
        <v>Geltende Rechtsgrundlage</v>
      </c>
      <c r="E3" s="21" t="s">
        <v>1472</v>
      </c>
      <c r="F3" s="2" t="s">
        <v>1572</v>
      </c>
    </row>
    <row r="4" spans="1:6" ht="110.25" hidden="1">
      <c r="A4" s="7">
        <f>ROW()</f>
        <v>4</v>
      </c>
      <c r="B4" s="8" t="s">
        <v>1479</v>
      </c>
      <c r="C4" s="1"/>
      <c r="D4" s="8" t="str">
        <f t="shared" ref="D4:D34" si="0">+E4</f>
        <v>Grundprinzipien</v>
      </c>
      <c r="E4" s="22" t="s">
        <v>1468</v>
      </c>
      <c r="F4" s="2" t="s">
        <v>1573</v>
      </c>
    </row>
    <row r="5" spans="1:6" ht="188.25" hidden="1">
      <c r="A5" s="7">
        <f>ROW()</f>
        <v>5</v>
      </c>
      <c r="B5" s="8" t="s">
        <v>1479</v>
      </c>
      <c r="C5" s="1"/>
      <c r="D5" s="8" t="str">
        <f t="shared" si="0"/>
        <v>Gedecktes Risiko: Definition</v>
      </c>
      <c r="E5" s="22" t="s">
        <v>1630</v>
      </c>
      <c r="F5" s="2" t="s">
        <v>1574</v>
      </c>
    </row>
    <row r="6" spans="1:6" ht="144" hidden="1">
      <c r="A6" s="7">
        <f>ROW()</f>
        <v>6</v>
      </c>
      <c r="B6" s="8" t="s">
        <v>1479</v>
      </c>
      <c r="C6" s="8" t="s">
        <v>1453</v>
      </c>
      <c r="D6" s="8" t="str">
        <f t="shared" si="0"/>
        <v>Versicherte Personen</v>
      </c>
      <c r="E6" s="23" t="s">
        <v>1453</v>
      </c>
      <c r="F6" s="2" t="s">
        <v>1575</v>
      </c>
    </row>
    <row r="7" spans="1:6" ht="273" hidden="1">
      <c r="A7" s="7">
        <f>ROW()</f>
        <v>7</v>
      </c>
      <c r="B7" s="8" t="s">
        <v>1479</v>
      </c>
      <c r="C7" s="8" t="str">
        <f>+E6</f>
        <v>Versicherte Personen</v>
      </c>
      <c r="D7" s="8" t="str">
        <f t="shared" si="0"/>
        <v>Ausnahmen von der Versicherungspflicht</v>
      </c>
      <c r="E7" s="23" t="s">
        <v>1458</v>
      </c>
      <c r="F7" s="2" t="s">
        <v>110</v>
      </c>
    </row>
    <row r="8" spans="1:6" ht="194.25" hidden="1">
      <c r="A8" s="7">
        <f>ROW()</f>
        <v>8</v>
      </c>
      <c r="B8" s="8" t="s">
        <v>1479</v>
      </c>
      <c r="C8" s="9" t="s">
        <v>128</v>
      </c>
      <c r="D8" s="8" t="str">
        <f t="shared" si="0"/>
        <v>1. Anwartschaftszeit</v>
      </c>
      <c r="E8" s="23" t="s">
        <v>1483</v>
      </c>
      <c r="F8" s="2" t="s">
        <v>1576</v>
      </c>
    </row>
    <row r="9" spans="1:6" ht="409.5" hidden="1">
      <c r="A9" s="7">
        <f>ROW()</f>
        <v>9</v>
      </c>
      <c r="B9" s="8" t="s">
        <v>1479</v>
      </c>
      <c r="C9" s="9" t="s">
        <v>128</v>
      </c>
      <c r="D9" s="8" t="str">
        <f t="shared" si="0"/>
        <v xml:space="preserve">2. Begutachtungskriterien und Kategorien der Arbeitsunfähigkeit/Arbeitsfähigkeit  </v>
      </c>
      <c r="E9" s="23" t="s">
        <v>1484</v>
      </c>
      <c r="F9" s="2" t="s">
        <v>1577</v>
      </c>
    </row>
    <row r="10" spans="1:6" ht="222" hidden="1">
      <c r="A10" s="7">
        <f>ROW()</f>
        <v>10</v>
      </c>
      <c r="B10" s="8" t="s">
        <v>1479</v>
      </c>
      <c r="C10" s="9" t="s">
        <v>128</v>
      </c>
      <c r="D10" s="8" t="str">
        <f t="shared" si="0"/>
        <v>3. Zeitraum der Leistungszahlung</v>
      </c>
      <c r="E10" s="23" t="s">
        <v>1486</v>
      </c>
      <c r="F10" s="2" t="s">
        <v>1578</v>
      </c>
    </row>
    <row r="11" spans="1:6" ht="150" hidden="1">
      <c r="A11" s="7">
        <f>ROW()</f>
        <v>11</v>
      </c>
      <c r="B11" s="8" t="s">
        <v>1479</v>
      </c>
      <c r="C11" s="9" t="s">
        <v>1488</v>
      </c>
      <c r="D11" s="8" t="str">
        <f t="shared" si="0"/>
        <v>1. Gutachter</v>
      </c>
      <c r="E11" s="23" t="s">
        <v>1489</v>
      </c>
      <c r="F11" s="2" t="s">
        <v>1579</v>
      </c>
    </row>
    <row r="12" spans="1:6" ht="111.75" hidden="1">
      <c r="A12" s="7">
        <f>ROW()</f>
        <v>12</v>
      </c>
      <c r="B12" s="8" t="s">
        <v>1479</v>
      </c>
      <c r="C12" s="9" t="s">
        <v>1488</v>
      </c>
      <c r="D12" s="8" t="str">
        <f t="shared" si="0"/>
        <v xml:space="preserve">2. Überprüfung  </v>
      </c>
      <c r="E12" s="23" t="s">
        <v>1490</v>
      </c>
      <c r="F12" s="2" t="s">
        <v>1580</v>
      </c>
    </row>
    <row r="13" spans="1:6" ht="291.75" hidden="1">
      <c r="A13" s="7">
        <f>ROW()</f>
        <v>13</v>
      </c>
      <c r="B13" s="8" t="s">
        <v>1479</v>
      </c>
      <c r="C13" s="8" t="s">
        <v>1459</v>
      </c>
      <c r="D13" s="8" t="str">
        <f t="shared" si="0"/>
        <v>1. Berechnungsmethode bzw. Rentenformel</v>
      </c>
      <c r="E13" s="23" t="s">
        <v>1492</v>
      </c>
      <c r="F13" s="2" t="s">
        <v>1581</v>
      </c>
    </row>
    <row r="14" spans="1:6" ht="343.5" hidden="1">
      <c r="A14" s="7">
        <f>ROW()</f>
        <v>14</v>
      </c>
      <c r="B14" s="8" t="s">
        <v>1479</v>
      </c>
      <c r="C14" s="8" t="s">
        <v>1459</v>
      </c>
      <c r="D14" s="8" t="str">
        <f t="shared" si="0"/>
        <v>2. Referenzeinkommen bzw. Berechnungsgrundlage</v>
      </c>
      <c r="E14" s="23" t="s">
        <v>1493</v>
      </c>
      <c r="F14" s="2" t="s">
        <v>1582</v>
      </c>
    </row>
    <row r="15" spans="1:6" ht="226.5" hidden="1">
      <c r="A15" s="7">
        <f>ROW()</f>
        <v>15</v>
      </c>
      <c r="B15" s="8" t="s">
        <v>1479</v>
      </c>
      <c r="C15" s="8" t="s">
        <v>1459</v>
      </c>
      <c r="D15" s="8" t="str">
        <f t="shared" si="0"/>
        <v>3. Mindest- und Höchstleistungen</v>
      </c>
      <c r="E15" s="23" t="s">
        <v>1495</v>
      </c>
      <c r="F15" s="2" t="s">
        <v>1583</v>
      </c>
    </row>
    <row r="16" spans="1:6" ht="405" hidden="1">
      <c r="A16" s="7">
        <f>ROW()</f>
        <v>16</v>
      </c>
      <c r="B16" s="8" t="s">
        <v>1479</v>
      </c>
      <c r="C16" s="8" t="s">
        <v>1459</v>
      </c>
      <c r="D16" s="8" t="str">
        <f t="shared" si="0"/>
        <v>4. Anrechenbare oder als Beitragszeiten gewertete Zeiträume</v>
      </c>
      <c r="E16" s="23" t="s">
        <v>1496</v>
      </c>
      <c r="F16" s="2" t="s">
        <v>1584</v>
      </c>
    </row>
    <row r="17" spans="1:6" ht="250.5" hidden="1">
      <c r="A17" s="7">
        <f>ROW()</f>
        <v>17</v>
      </c>
      <c r="B17" s="8" t="s">
        <v>1479</v>
      </c>
      <c r="C17" s="8" t="s">
        <v>1459</v>
      </c>
      <c r="D17" s="8" t="str">
        <f t="shared" si="0"/>
        <v xml:space="preserve">5. Zulagen für Unterhaltsberechtigte  </v>
      </c>
      <c r="E17" s="23" t="s">
        <v>1498</v>
      </c>
      <c r="F17" s="2" t="s">
        <v>1585</v>
      </c>
    </row>
    <row r="18" spans="1:6" ht="135" hidden="1">
      <c r="A18" s="7">
        <f>ROW()</f>
        <v>18</v>
      </c>
      <c r="B18" s="8" t="s">
        <v>1479</v>
      </c>
      <c r="C18" s="8" t="str">
        <f>+E18</f>
        <v>Sonstige Leistungen</v>
      </c>
      <c r="D18" s="8" t="str">
        <f>+E18</f>
        <v>Sonstige Leistungen</v>
      </c>
      <c r="E18" s="22" t="s">
        <v>1455</v>
      </c>
      <c r="F18" s="2" t="s">
        <v>1586</v>
      </c>
    </row>
    <row r="19" spans="1:6" ht="300.75" hidden="1">
      <c r="A19" s="7">
        <f>ROW()</f>
        <v>19</v>
      </c>
      <c r="B19" s="8" t="s">
        <v>1479</v>
      </c>
      <c r="C19" s="8" t="s">
        <v>1500</v>
      </c>
      <c r="D19" s="8" t="str">
        <f t="shared" si="0"/>
        <v>Umschulung, berufsbezogene Rehabilitation</v>
      </c>
      <c r="E19" s="23" t="s">
        <v>1501</v>
      </c>
      <c r="F19" s="2" t="s">
        <v>1587</v>
      </c>
    </row>
    <row r="20" spans="1:6" ht="409.5" hidden="1">
      <c r="A20" s="7">
        <f>ROW()</f>
        <v>20</v>
      </c>
      <c r="B20" s="8" t="s">
        <v>1479</v>
      </c>
      <c r="C20" s="8" t="s">
        <v>1500</v>
      </c>
      <c r="D20" s="8" t="str">
        <f t="shared" si="0"/>
        <v xml:space="preserve">Bevorzugte und reservierte Beschäftigung von Menschen mit Behinderungen  </v>
      </c>
      <c r="E20" s="23" t="s">
        <v>1502</v>
      </c>
      <c r="F20" s="2" t="s">
        <v>1588</v>
      </c>
    </row>
    <row r="21" spans="1:6" ht="171.75" hidden="1">
      <c r="A21" s="7">
        <f>ROW()</f>
        <v>21</v>
      </c>
      <c r="B21" s="8" t="s">
        <v>1479</v>
      </c>
      <c r="C21" s="8" t="s">
        <v>1504</v>
      </c>
      <c r="D21" s="8" t="str">
        <f t="shared" si="0"/>
        <v>Indexbindung/Anpassung</v>
      </c>
      <c r="E21" s="22" t="s">
        <v>1505</v>
      </c>
      <c r="F21" s="2" t="s">
        <v>1589</v>
      </c>
    </row>
    <row r="22" spans="1:6" ht="242.25" hidden="1">
      <c r="A22" s="7">
        <f>ROW()</f>
        <v>22</v>
      </c>
      <c r="B22" s="8" t="s">
        <v>1479</v>
      </c>
      <c r="C22" s="8" t="s">
        <v>1504</v>
      </c>
      <c r="D22" s="8" t="str">
        <f>+E22</f>
        <v>Kumulation mit Erwerbseinkommen</v>
      </c>
      <c r="E22" s="22" t="s">
        <v>1471</v>
      </c>
      <c r="F22" s="2" t="s">
        <v>1590</v>
      </c>
    </row>
    <row r="23" spans="1:6" ht="275.25" hidden="1">
      <c r="A23" s="7">
        <f>ROW()</f>
        <v>23</v>
      </c>
      <c r="B23" s="8" t="s">
        <v>1479</v>
      </c>
      <c r="C23" s="8" t="s">
        <v>1504</v>
      </c>
      <c r="D23" s="8" t="str">
        <f t="shared" si="0"/>
        <v>Kumulation mit anderen Sozialleistungen</v>
      </c>
      <c r="E23" s="22" t="s">
        <v>1460</v>
      </c>
      <c r="F23" s="2" t="s">
        <v>1591</v>
      </c>
    </row>
    <row r="24" spans="1:6" ht="232.5" hidden="1">
      <c r="A24" s="7">
        <f>ROW()</f>
        <v>24</v>
      </c>
      <c r="B24" s="8" t="s">
        <v>1479</v>
      </c>
      <c r="C24" s="8" t="s">
        <v>1465</v>
      </c>
      <c r="D24" s="8" t="str">
        <f t="shared" si="0"/>
        <v>1. Besteuerung von Geldleistungen</v>
      </c>
      <c r="E24" s="23" t="s">
        <v>1509</v>
      </c>
      <c r="F24" s="2" t="s">
        <v>622</v>
      </c>
    </row>
    <row r="25" spans="1:6" ht="387" hidden="1">
      <c r="A25" s="7">
        <f>ROW()</f>
        <v>25</v>
      </c>
      <c r="B25" s="8" t="s">
        <v>1479</v>
      </c>
      <c r="C25" s="8" t="s">
        <v>1465</v>
      </c>
      <c r="D25" s="8" t="str">
        <f t="shared" si="0"/>
        <v>2. Einkommensgrenze für Besteuerung von Geldleistungen</v>
      </c>
      <c r="E25" s="23" t="s">
        <v>1511</v>
      </c>
      <c r="F25" s="2" t="s">
        <v>653</v>
      </c>
    </row>
    <row r="26" spans="1:6" ht="288.75" hidden="1">
      <c r="A26" s="7">
        <f>ROW()</f>
        <v>26</v>
      </c>
      <c r="B26" s="8" t="s">
        <v>1479</v>
      </c>
      <c r="C26" s="8" t="s">
        <v>1465</v>
      </c>
      <c r="D26" s="8" t="str">
        <f t="shared" si="0"/>
        <v>3. Auf Leistungen anfallende Sozialabgaben</v>
      </c>
      <c r="E26" s="23" t="s">
        <v>1512</v>
      </c>
      <c r="F26" s="2" t="s">
        <v>1592</v>
      </c>
    </row>
    <row r="27" spans="1:6" ht="138" hidden="1">
      <c r="A27" s="7">
        <f>ROW()</f>
        <v>27</v>
      </c>
      <c r="B27" s="8" t="s">
        <v>1479</v>
      </c>
      <c r="C27" s="8" t="s">
        <v>1514</v>
      </c>
      <c r="D27" s="8" t="str">
        <f t="shared" si="0"/>
        <v>Anwendungsbereich</v>
      </c>
      <c r="E27" s="23" t="s">
        <v>1467</v>
      </c>
      <c r="F27" s="2" t="s">
        <v>687</v>
      </c>
    </row>
    <row r="28" spans="1:6" ht="110.25" hidden="1">
      <c r="A28" s="7">
        <f>ROW()</f>
        <v>28</v>
      </c>
      <c r="B28" s="8" t="s">
        <v>1479</v>
      </c>
      <c r="C28" s="8" t="s">
        <v>1514</v>
      </c>
      <c r="D28" s="8" t="str">
        <f t="shared" si="0"/>
        <v>Grundprinzipien</v>
      </c>
      <c r="E28" s="23" t="s">
        <v>1468</v>
      </c>
      <c r="F28" s="2" t="s">
        <v>1593</v>
      </c>
    </row>
    <row r="29" spans="1:6" ht="224.25" hidden="1">
      <c r="A29" s="7">
        <f>ROW()</f>
        <v>29</v>
      </c>
      <c r="B29" s="8" t="s">
        <v>1479</v>
      </c>
      <c r="C29" s="8" t="s">
        <v>1514</v>
      </c>
      <c r="D29" s="8" t="str">
        <f t="shared" si="0"/>
        <v>Voraussetzungen für die Deckung</v>
      </c>
      <c r="E29" s="23" t="s">
        <v>1469</v>
      </c>
      <c r="F29" s="2" t="s">
        <v>282</v>
      </c>
    </row>
    <row r="30" spans="1:6" ht="409.5" hidden="1">
      <c r="A30" s="7">
        <f>ROW()</f>
        <v>30</v>
      </c>
      <c r="B30" s="8" t="s">
        <v>1479</v>
      </c>
      <c r="C30" s="8" t="s">
        <v>1514</v>
      </c>
      <c r="D30" s="9" t="str">
        <f t="shared" si="0"/>
        <v>Kombination von selbstständiger und unselbstständiger Tätigkeit</v>
      </c>
      <c r="E30" s="23" t="s">
        <v>1462</v>
      </c>
      <c r="F30" s="2" t="s">
        <v>765</v>
      </c>
    </row>
    <row r="31" spans="1:6" ht="376.5" hidden="1">
      <c r="A31" s="7">
        <f>ROW()</f>
        <v>31</v>
      </c>
      <c r="B31" s="8" t="s">
        <v>1479</v>
      </c>
      <c r="C31" s="8" t="s">
        <v>1459</v>
      </c>
      <c r="D31" s="9" t="str">
        <f t="shared" si="0"/>
        <v xml:space="preserve">Voraussetzungen für den Zugang zu Diensten/Leistungen </v>
      </c>
      <c r="E31" s="23" t="s">
        <v>1463</v>
      </c>
      <c r="F31" s="2" t="s">
        <v>785</v>
      </c>
    </row>
    <row r="32" spans="1:6" ht="253.5" hidden="1">
      <c r="A32" s="7">
        <f>ROW()</f>
        <v>32</v>
      </c>
      <c r="B32" s="8" t="s">
        <v>1479</v>
      </c>
      <c r="C32" s="8" t="s">
        <v>1459</v>
      </c>
      <c r="D32" s="8" t="str">
        <f t="shared" si="0"/>
        <v>Beträge, Dauer und Kostenbeteiligung</v>
      </c>
      <c r="E32" s="23" t="s">
        <v>1464</v>
      </c>
      <c r="F32" s="2" t="s">
        <v>1594</v>
      </c>
    </row>
    <row r="33" spans="1:6" ht="216" hidden="1">
      <c r="A33" s="7">
        <f>ROW()</f>
        <v>33</v>
      </c>
      <c r="B33" s="8" t="s">
        <v>1479</v>
      </c>
      <c r="C33" s="8" t="s">
        <v>1459</v>
      </c>
      <c r="D33" s="8" t="str">
        <f t="shared" si="0"/>
        <v>Besteuerung von Geldleistungen</v>
      </c>
      <c r="E33" s="23" t="s">
        <v>1456</v>
      </c>
      <c r="F33" s="2" t="s">
        <v>785</v>
      </c>
    </row>
    <row r="34" spans="1:6" ht="276.75" hidden="1">
      <c r="A34" s="7">
        <f>ROW()</f>
        <v>34</v>
      </c>
      <c r="B34" s="8" t="s">
        <v>1479</v>
      </c>
      <c r="C34" s="8" t="s">
        <v>1459</v>
      </c>
      <c r="D34" s="8" t="str">
        <f t="shared" si="0"/>
        <v xml:space="preserve"> Auf Leistungen anfallende Sozialabgaben</v>
      </c>
      <c r="E34" s="23" t="s">
        <v>1518</v>
      </c>
      <c r="F34" s="2" t="s">
        <v>785</v>
      </c>
    </row>
    <row r="35" spans="1:6" ht="177" hidden="1">
      <c r="A35" s="7">
        <f>ROW()</f>
        <v>35</v>
      </c>
      <c r="B35" s="8" t="s">
        <v>1519</v>
      </c>
      <c r="C35" s="8" t="str">
        <f>+D35</f>
        <v>Geltende Rechtsgrundlage</v>
      </c>
      <c r="D35" s="8" t="str">
        <f>+E35</f>
        <v>Geltende Rechtsgrundlage</v>
      </c>
      <c r="E35" s="22" t="s">
        <v>1472</v>
      </c>
      <c r="F35" s="2" t="s">
        <v>33</v>
      </c>
    </row>
    <row r="36" spans="1:6" ht="360" hidden="1">
      <c r="A36" s="7">
        <f>ROW()</f>
        <v>36</v>
      </c>
      <c r="B36" s="8" t="s">
        <v>1519</v>
      </c>
      <c r="C36" s="8" t="str">
        <f>+D36</f>
        <v>Grundprinzipien</v>
      </c>
      <c r="D36" s="8" t="str">
        <f>+E36</f>
        <v>Grundprinzipien</v>
      </c>
      <c r="E36" s="22" t="s">
        <v>1468</v>
      </c>
      <c r="F36" s="2" t="s">
        <v>62</v>
      </c>
    </row>
    <row r="37" spans="1:6" ht="285" hidden="1">
      <c r="A37" s="7">
        <f>ROW()</f>
        <v>37</v>
      </c>
      <c r="B37" s="8" t="s">
        <v>1519</v>
      </c>
      <c r="C37" s="8" t="s">
        <v>1467</v>
      </c>
      <c r="D37" s="8" t="str">
        <f>+E37</f>
        <v>1. Versicherte Personen</v>
      </c>
      <c r="E37" s="23" t="s">
        <v>1520</v>
      </c>
      <c r="F37" s="2" t="s">
        <v>3296</v>
      </c>
    </row>
    <row r="38" spans="1:6" ht="371.25" hidden="1">
      <c r="A38" s="7">
        <f>ROW()</f>
        <v>38</v>
      </c>
      <c r="B38" s="8" t="s">
        <v>1519</v>
      </c>
      <c r="C38" s="8" t="s">
        <v>1467</v>
      </c>
      <c r="D38" s="8" t="str">
        <f t="shared" ref="D38:D58" si="1">+E38</f>
        <v>2. Ausnahmen von der Deckung  der Pflichtversicherung</v>
      </c>
      <c r="E38" s="23" t="s">
        <v>1521</v>
      </c>
      <c r="F38" s="2" t="s">
        <v>111</v>
      </c>
    </row>
    <row r="39" spans="1:6" ht="194.25" hidden="1">
      <c r="A39" s="7">
        <f>ROW()</f>
        <v>39</v>
      </c>
      <c r="B39" s="8" t="s">
        <v>1519</v>
      </c>
      <c r="C39" s="8" t="s">
        <v>128</v>
      </c>
      <c r="D39" s="8" t="str">
        <f t="shared" si="1"/>
        <v>1. Rentenalter</v>
      </c>
      <c r="E39" s="23" t="s">
        <v>1523</v>
      </c>
      <c r="F39" s="2" t="s">
        <v>129</v>
      </c>
    </row>
    <row r="40" spans="1:6" ht="409.5" hidden="1">
      <c r="A40" s="7">
        <f>ROW()</f>
        <v>40</v>
      </c>
      <c r="B40" s="8" t="s">
        <v>1519</v>
      </c>
      <c r="C40" s="8" t="s">
        <v>128</v>
      </c>
      <c r="D40" s="8" t="str">
        <f t="shared" si="1"/>
        <v>2. Anwartschaftszeit und sonstige Anspruchsvoraussetzungen für den Bezug einer Altersrente</v>
      </c>
      <c r="E40" s="23" t="s">
        <v>1524</v>
      </c>
      <c r="F40" s="2" t="s">
        <v>152</v>
      </c>
    </row>
    <row r="41" spans="1:6" ht="194.25" hidden="1">
      <c r="A41" s="7">
        <f>ROW()</f>
        <v>41</v>
      </c>
      <c r="B41" s="8" t="s">
        <v>1519</v>
      </c>
      <c r="C41" s="8" t="s">
        <v>128</v>
      </c>
      <c r="D41" s="8" t="str">
        <f t="shared" si="1"/>
        <v>3. Vorruhestand</v>
      </c>
      <c r="E41" s="23" t="s">
        <v>1525</v>
      </c>
      <c r="F41" s="2" t="s">
        <v>174</v>
      </c>
    </row>
    <row r="42" spans="1:6" ht="264" hidden="1">
      <c r="A42" s="7">
        <f>ROW()</f>
        <v>42</v>
      </c>
      <c r="B42" s="8" t="s">
        <v>1519</v>
      </c>
      <c r="C42" s="8" t="s">
        <v>128</v>
      </c>
      <c r="D42" s="8" t="str">
        <f t="shared" si="1"/>
        <v>4. Beschwerliche und gefährliche Arbeit</v>
      </c>
      <c r="E42" s="23" t="s">
        <v>1526</v>
      </c>
      <c r="F42" s="2" t="s">
        <v>191</v>
      </c>
    </row>
    <row r="43" spans="1:6" ht="194.25" hidden="1">
      <c r="A43" s="7">
        <f>ROW()</f>
        <v>43</v>
      </c>
      <c r="B43" s="8" t="s">
        <v>1519</v>
      </c>
      <c r="C43" s="8" t="s">
        <v>128</v>
      </c>
      <c r="D43" s="8" t="str">
        <f t="shared" si="1"/>
        <v>5. Rentenaufschub</v>
      </c>
      <c r="E43" s="23" t="s">
        <v>1527</v>
      </c>
      <c r="F43" s="2" t="s">
        <v>211</v>
      </c>
    </row>
    <row r="44" spans="1:6" ht="174" hidden="1">
      <c r="A44" s="7">
        <f>ROW()</f>
        <v>44</v>
      </c>
      <c r="B44" s="8" t="s">
        <v>1519</v>
      </c>
      <c r="C44" s="8" t="s">
        <v>1459</v>
      </c>
      <c r="D44" s="8" t="str">
        <f t="shared" si="1"/>
        <v>1. Bestimmende Faktoren</v>
      </c>
      <c r="E44" s="23" t="s">
        <v>1528</v>
      </c>
      <c r="F44" s="2" t="s">
        <v>234</v>
      </c>
    </row>
    <row r="45" spans="1:6" ht="349.5" hidden="1">
      <c r="A45" s="7">
        <f>ROW()</f>
        <v>45</v>
      </c>
      <c r="B45" s="8" t="s">
        <v>1519</v>
      </c>
      <c r="C45" s="8" t="s">
        <v>1459</v>
      </c>
      <c r="D45" s="8" t="str">
        <f t="shared" si="1"/>
        <v>2. Berechnungsmethode, Rentenformel bzw. Beträge</v>
      </c>
      <c r="E45" s="23" t="s">
        <v>1529</v>
      </c>
      <c r="F45" s="2" t="s">
        <v>257</v>
      </c>
    </row>
    <row r="46" spans="1:6" ht="343.5" hidden="1">
      <c r="A46" s="7">
        <f>ROW()</f>
        <v>46</v>
      </c>
      <c r="B46" s="8" t="s">
        <v>1519</v>
      </c>
      <c r="C46" s="8" t="s">
        <v>1459</v>
      </c>
      <c r="D46" s="8" t="str">
        <f t="shared" si="1"/>
        <v>3. Referenzeinkommen bzw. Berechnungsgrundlage</v>
      </c>
      <c r="E46" s="23" t="s">
        <v>1530</v>
      </c>
      <c r="F46" s="2" t="s">
        <v>272</v>
      </c>
    </row>
    <row r="47" spans="1:6" ht="405" hidden="1">
      <c r="A47" s="7">
        <f>ROW()</f>
        <v>47</v>
      </c>
      <c r="B47" s="8" t="s">
        <v>1519</v>
      </c>
      <c r="C47" s="8" t="s">
        <v>1459</v>
      </c>
      <c r="D47" s="8" t="str">
        <f t="shared" si="1"/>
        <v>4. Anrechenbare oder als Beitragszeiten gewertete Zeiträume</v>
      </c>
      <c r="E47" s="23" t="s">
        <v>1496</v>
      </c>
      <c r="F47" s="2" t="s">
        <v>299</v>
      </c>
    </row>
    <row r="48" spans="1:6" ht="243.75" hidden="1">
      <c r="A48" s="7">
        <f>ROW()</f>
        <v>48</v>
      </c>
      <c r="B48" s="8" t="s">
        <v>1519</v>
      </c>
      <c r="C48" s="8" t="s">
        <v>1459</v>
      </c>
      <c r="D48" s="8" t="str">
        <f t="shared" si="1"/>
        <v>5. Rückkauf von Versicherungszeiten</v>
      </c>
      <c r="E48" s="23" t="s">
        <v>1531</v>
      </c>
      <c r="F48" s="2" t="s">
        <v>310</v>
      </c>
    </row>
    <row r="49" spans="1:6" ht="246" hidden="1">
      <c r="A49" s="7">
        <f>ROW()</f>
        <v>49</v>
      </c>
      <c r="B49" s="8" t="s">
        <v>1519</v>
      </c>
      <c r="C49" s="8" t="s">
        <v>1459</v>
      </c>
      <c r="D49" s="8" t="str">
        <f t="shared" si="1"/>
        <v>6.  Zulagen für Unterhaltsberechtigte</v>
      </c>
      <c r="E49" s="23" t="s">
        <v>1631</v>
      </c>
      <c r="F49" s="2" t="s">
        <v>330</v>
      </c>
    </row>
    <row r="50" spans="1:6" ht="165" hidden="1">
      <c r="A50" s="7">
        <f>ROW()</f>
        <v>50</v>
      </c>
      <c r="B50" s="8" t="s">
        <v>1519</v>
      </c>
      <c r="C50" s="8" t="s">
        <v>1459</v>
      </c>
      <c r="D50" s="8" t="str">
        <f t="shared" si="1"/>
        <v>7. Besondere Zulagen</v>
      </c>
      <c r="E50" s="23" t="s">
        <v>1532</v>
      </c>
      <c r="F50" s="3" t="s">
        <v>3299</v>
      </c>
    </row>
    <row r="51" spans="1:6" ht="360.75" hidden="1">
      <c r="A51" s="7">
        <f>ROW()</f>
        <v>51</v>
      </c>
      <c r="B51" s="8" t="s">
        <v>1519</v>
      </c>
      <c r="C51" s="8" t="s">
        <v>1459</v>
      </c>
      <c r="D51" s="8" t="str">
        <f t="shared" si="1"/>
        <v>8. Mindestrente und bedürftigkeitsabhängige Leistung</v>
      </c>
      <c r="E51" s="23" t="s">
        <v>1533</v>
      </c>
      <c r="F51" s="2" t="s">
        <v>371</v>
      </c>
    </row>
    <row r="52" spans="1:6" ht="135" hidden="1">
      <c r="A52" s="7">
        <f>ROW()</f>
        <v>52</v>
      </c>
      <c r="B52" s="8" t="s">
        <v>1519</v>
      </c>
      <c r="C52" s="8" t="s">
        <v>1459</v>
      </c>
      <c r="D52" s="8" t="str">
        <f t="shared" si="1"/>
        <v>9. Höchstrente</v>
      </c>
      <c r="E52" s="23" t="s">
        <v>1534</v>
      </c>
      <c r="F52" s="2" t="s">
        <v>3297</v>
      </c>
    </row>
    <row r="53" spans="1:6" ht="119.25" hidden="1">
      <c r="A53" s="7">
        <f>ROW()</f>
        <v>53</v>
      </c>
      <c r="B53" s="8" t="s">
        <v>1519</v>
      </c>
      <c r="C53" s="8" t="s">
        <v>1459</v>
      </c>
      <c r="D53" s="8" t="str">
        <f t="shared" si="1"/>
        <v>10. Vorruhestand</v>
      </c>
      <c r="E53" s="23" t="s">
        <v>1535</v>
      </c>
      <c r="F53" s="2" t="s">
        <v>422</v>
      </c>
    </row>
    <row r="54" spans="1:6" ht="272.25" hidden="1">
      <c r="A54" s="7">
        <f>ROW()</f>
        <v>54</v>
      </c>
      <c r="B54" s="8" t="s">
        <v>1519</v>
      </c>
      <c r="C54" s="8" t="s">
        <v>1459</v>
      </c>
      <c r="D54" s="8" t="str">
        <f t="shared" si="1"/>
        <v>11. Beschwerliche und gefährliche Arbeit</v>
      </c>
      <c r="E54" s="23" t="s">
        <v>1536</v>
      </c>
      <c r="F54" s="2" t="s">
        <v>450</v>
      </c>
    </row>
    <row r="55" spans="1:6" ht="360" hidden="1">
      <c r="A55" s="7">
        <f>ROW()</f>
        <v>55</v>
      </c>
      <c r="B55" s="8" t="s">
        <v>1519</v>
      </c>
      <c r="C55" s="8" t="s">
        <v>1459</v>
      </c>
      <c r="D55" s="8" t="str">
        <f t="shared" si="1"/>
        <v>12. Teilrente</v>
      </c>
      <c r="E55" s="23" t="s">
        <v>1537</v>
      </c>
      <c r="F55" s="2" t="s">
        <v>3298</v>
      </c>
    </row>
    <row r="56" spans="1:6" ht="171.75" hidden="1">
      <c r="A56" s="7">
        <f>ROW()</f>
        <v>56</v>
      </c>
      <c r="B56" s="8" t="s">
        <v>1519</v>
      </c>
      <c r="C56" s="8" t="s">
        <v>1459</v>
      </c>
      <c r="D56" s="8" t="str">
        <f t="shared" si="1"/>
        <v>13. Aufgeschobene Rente</v>
      </c>
      <c r="E56" s="23" t="s">
        <v>1632</v>
      </c>
      <c r="F56" s="2" t="s">
        <v>500</v>
      </c>
    </row>
    <row r="57" spans="1:6" ht="179.25" hidden="1">
      <c r="A57" s="7">
        <f>ROW()</f>
        <v>57</v>
      </c>
      <c r="B57" s="8" t="s">
        <v>1519</v>
      </c>
      <c r="C57" s="8" t="s">
        <v>1538</v>
      </c>
      <c r="D57" s="8" t="s">
        <v>1538</v>
      </c>
      <c r="E57" s="22" t="s">
        <v>1538</v>
      </c>
      <c r="F57" s="2" t="s">
        <v>529</v>
      </c>
    </row>
    <row r="58" spans="1:6" ht="246" hidden="1">
      <c r="A58" s="7">
        <f>ROW()</f>
        <v>58</v>
      </c>
      <c r="B58" s="8" t="s">
        <v>1519</v>
      </c>
      <c r="C58" s="8" t="s">
        <v>1538</v>
      </c>
      <c r="D58" s="8" t="str">
        <f t="shared" si="1"/>
        <v xml:space="preserve">Kumulation mit Erwerbseinkommen </v>
      </c>
      <c r="E58" s="22" t="s">
        <v>1461</v>
      </c>
      <c r="F58" s="2" t="s">
        <v>556</v>
      </c>
    </row>
    <row r="59" spans="1:6" ht="286.5" hidden="1">
      <c r="A59" s="7">
        <f>ROW()</f>
        <v>59</v>
      </c>
      <c r="B59" s="8" t="s">
        <v>1519</v>
      </c>
      <c r="C59" s="8" t="s">
        <v>1538</v>
      </c>
      <c r="D59" s="8" t="s">
        <v>1539</v>
      </c>
      <c r="E59" s="22" t="s">
        <v>1460</v>
      </c>
      <c r="F59" s="2" t="s">
        <v>585</v>
      </c>
    </row>
    <row r="60" spans="1:6" ht="225.75" hidden="1">
      <c r="A60" s="7">
        <f>ROW()</f>
        <v>60</v>
      </c>
      <c r="B60" s="8" t="s">
        <v>1519</v>
      </c>
      <c r="C60" s="8" t="s">
        <v>612</v>
      </c>
      <c r="D60" s="8" t="str">
        <f t="shared" ref="D60:D70" si="2">+E60</f>
        <v>1. Besteuerung von Renten</v>
      </c>
      <c r="E60" s="23" t="s">
        <v>1540</v>
      </c>
      <c r="F60" s="2" t="s">
        <v>615</v>
      </c>
    </row>
    <row r="61" spans="1:6" ht="335.25" hidden="1">
      <c r="A61" s="7">
        <f>ROW()</f>
        <v>61</v>
      </c>
      <c r="B61" s="8" t="s">
        <v>1519</v>
      </c>
      <c r="C61" s="8" t="s">
        <v>612</v>
      </c>
      <c r="D61" s="8" t="str">
        <f t="shared" si="2"/>
        <v>2. Einkommensgrenze für Besteuerung von Renten</v>
      </c>
      <c r="E61" s="23" t="s">
        <v>1541</v>
      </c>
      <c r="F61" s="2" t="s">
        <v>640</v>
      </c>
    </row>
    <row r="62" spans="1:6" ht="264" hidden="1">
      <c r="A62" s="7">
        <f>ROW()</f>
        <v>62</v>
      </c>
      <c r="B62" s="8" t="s">
        <v>1519</v>
      </c>
      <c r="C62" s="8" t="s">
        <v>612</v>
      </c>
      <c r="D62" s="8" t="str">
        <f t="shared" si="2"/>
        <v>3. Auf Renten anfallende Sozialabgaben</v>
      </c>
      <c r="E62" s="23" t="s">
        <v>1542</v>
      </c>
      <c r="F62" s="2" t="s">
        <v>667</v>
      </c>
    </row>
    <row r="63" spans="1:6" ht="138" hidden="1">
      <c r="A63" s="7">
        <f>ROW()</f>
        <v>63</v>
      </c>
      <c r="B63" s="8" t="s">
        <v>1543</v>
      </c>
      <c r="C63" s="8" t="str">
        <f>+E63</f>
        <v>Anwendungsbereich</v>
      </c>
      <c r="D63" s="8" t="str">
        <f t="shared" si="2"/>
        <v>Anwendungsbereich</v>
      </c>
      <c r="E63" s="23" t="s">
        <v>1467</v>
      </c>
      <c r="F63" s="2" t="s">
        <v>687</v>
      </c>
    </row>
    <row r="64" spans="1:6" ht="132.75" hidden="1">
      <c r="A64" s="7">
        <f>ROW()</f>
        <v>64</v>
      </c>
      <c r="B64" s="8" t="s">
        <v>1543</v>
      </c>
      <c r="C64" s="8" t="s">
        <v>1514</v>
      </c>
      <c r="D64" s="8" t="str">
        <f t="shared" si="2"/>
        <v>Grundprinzipien</v>
      </c>
      <c r="E64" s="23" t="s">
        <v>1468</v>
      </c>
      <c r="F64" s="2" t="s">
        <v>712</v>
      </c>
    </row>
    <row r="65" spans="1:6" ht="224.25" hidden="1">
      <c r="A65" s="7">
        <f>ROW()</f>
        <v>65</v>
      </c>
      <c r="B65" s="8" t="s">
        <v>1543</v>
      </c>
      <c r="C65" s="8" t="s">
        <v>1514</v>
      </c>
      <c r="D65" s="8" t="str">
        <f t="shared" si="2"/>
        <v>Voraussetzungen für die Deckung</v>
      </c>
      <c r="E65" s="23" t="s">
        <v>1469</v>
      </c>
      <c r="F65" s="2" t="s">
        <v>739</v>
      </c>
    </row>
    <row r="66" spans="1:6" ht="409.5" hidden="1">
      <c r="A66" s="7">
        <f>ROW()</f>
        <v>66</v>
      </c>
      <c r="B66" s="8" t="s">
        <v>1543</v>
      </c>
      <c r="C66" s="8" t="s">
        <v>1514</v>
      </c>
      <c r="D66" s="8" t="str">
        <f t="shared" si="2"/>
        <v>Kombination von selbstständiger und unselbstständiger Tätigkeit</v>
      </c>
      <c r="E66" s="23" t="s">
        <v>1462</v>
      </c>
      <c r="F66" s="2" t="s">
        <v>765</v>
      </c>
    </row>
    <row r="67" spans="1:6" ht="376.5" hidden="1">
      <c r="A67" s="7">
        <f>ROW()</f>
        <v>67</v>
      </c>
      <c r="B67" s="8" t="s">
        <v>1543</v>
      </c>
      <c r="C67" s="8" t="s">
        <v>1459</v>
      </c>
      <c r="D67" s="9" t="str">
        <f t="shared" si="2"/>
        <v xml:space="preserve">Voraussetzungen für den Zugang zu Diensten/Leistungen </v>
      </c>
      <c r="E67" s="23" t="s">
        <v>1463</v>
      </c>
      <c r="F67" s="2" t="s">
        <v>785</v>
      </c>
    </row>
    <row r="68" spans="1:6" ht="253.5" hidden="1">
      <c r="A68" s="7">
        <f>ROW()</f>
        <v>68</v>
      </c>
      <c r="B68" s="8" t="s">
        <v>1543</v>
      </c>
      <c r="C68" s="8" t="s">
        <v>1459</v>
      </c>
      <c r="D68" s="9" t="str">
        <f t="shared" si="2"/>
        <v>Beträge, Dauer und Kostenbeteiligung</v>
      </c>
      <c r="E68" s="23" t="s">
        <v>1464</v>
      </c>
      <c r="F68" s="2" t="s">
        <v>785</v>
      </c>
    </row>
    <row r="69" spans="1:6" ht="216" hidden="1">
      <c r="A69" s="7">
        <f>ROW()</f>
        <v>69</v>
      </c>
      <c r="B69" s="8" t="s">
        <v>1543</v>
      </c>
      <c r="C69" s="8" t="s">
        <v>1459</v>
      </c>
      <c r="D69" s="9" t="str">
        <f t="shared" si="2"/>
        <v>Besteuerung von Geldleistungen</v>
      </c>
      <c r="E69" s="23" t="s">
        <v>1456</v>
      </c>
      <c r="F69" s="2" t="s">
        <v>785</v>
      </c>
    </row>
    <row r="70" spans="1:6" ht="272.25" hidden="1">
      <c r="A70" s="7">
        <f>ROW()</f>
        <v>70</v>
      </c>
      <c r="B70" s="8" t="s">
        <v>1543</v>
      </c>
      <c r="C70" s="8" t="s">
        <v>1459</v>
      </c>
      <c r="D70" s="9" t="str">
        <f t="shared" si="2"/>
        <v>Auf Leistungen anfallende Sozialabgaben</v>
      </c>
      <c r="E70" s="23" t="s">
        <v>1457</v>
      </c>
      <c r="F70" s="2" t="s">
        <v>785</v>
      </c>
    </row>
    <row r="71" spans="1:6" ht="177">
      <c r="A71" s="7">
        <f>ROW()</f>
        <v>71</v>
      </c>
      <c r="B71" s="8" t="s">
        <v>1466</v>
      </c>
      <c r="C71" s="8" t="str">
        <f t="shared" ref="C71:D75" si="3">+D71</f>
        <v>Geltende Rechtsgrundlage</v>
      </c>
      <c r="D71" s="9" t="str">
        <f t="shared" si="3"/>
        <v>Geltende Rechtsgrundlage</v>
      </c>
      <c r="E71" s="22" t="s">
        <v>1472</v>
      </c>
      <c r="F71" s="2" t="s">
        <v>835</v>
      </c>
    </row>
    <row r="72" spans="1:6" ht="110.25">
      <c r="A72" s="7">
        <f>ROW()</f>
        <v>72</v>
      </c>
      <c r="B72" s="8" t="s">
        <v>1466</v>
      </c>
      <c r="C72" s="8" t="str">
        <f t="shared" si="3"/>
        <v>Grundprinzipien</v>
      </c>
      <c r="D72" s="9" t="str">
        <f t="shared" si="3"/>
        <v>Grundprinzipien</v>
      </c>
      <c r="E72" s="22" t="s">
        <v>1468</v>
      </c>
      <c r="F72" s="2" t="s">
        <v>861</v>
      </c>
    </row>
    <row r="73" spans="1:6" ht="315">
      <c r="A73" s="7">
        <f>ROW()</f>
        <v>73</v>
      </c>
      <c r="B73" s="8" t="s">
        <v>1466</v>
      </c>
      <c r="C73" s="9" t="str">
        <f t="shared" si="3"/>
        <v>Anwendungsbereich (in Bezug auf Verstorbene)</v>
      </c>
      <c r="D73" s="9" t="str">
        <f t="shared" si="3"/>
        <v>Anwendungsbereich (in Bezug auf Verstorbene)</v>
      </c>
      <c r="E73" s="22" t="s">
        <v>1473</v>
      </c>
      <c r="F73" s="2" t="s">
        <v>887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909</v>
      </c>
    </row>
    <row r="75" spans="1:6" ht="144.75">
      <c r="A75" s="7">
        <f>ROW()</f>
        <v>75</v>
      </c>
      <c r="B75" s="8" t="s">
        <v>1466</v>
      </c>
      <c r="C75" s="9" t="str">
        <f t="shared" si="3"/>
        <v>Berechtigte Personen</v>
      </c>
      <c r="D75" s="9" t="str">
        <f t="shared" si="3"/>
        <v>Berechtigte Personen</v>
      </c>
      <c r="E75" s="22" t="s">
        <v>1477</v>
      </c>
      <c r="F75" s="2" t="s">
        <v>921</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944</v>
      </c>
    </row>
    <row r="78" spans="1:6" ht="185.25">
      <c r="A78" s="7">
        <f>ROW()</f>
        <v>78</v>
      </c>
      <c r="B78" s="8" t="s">
        <v>1466</v>
      </c>
      <c r="C78" s="8" t="s">
        <v>1544</v>
      </c>
      <c r="D78" s="8" t="str">
        <f t="shared" si="4"/>
        <v>2. Hinterbliebener Ehegatte</v>
      </c>
      <c r="E78" s="23" t="s">
        <v>1546</v>
      </c>
      <c r="F78" s="2" t="s">
        <v>967</v>
      </c>
    </row>
    <row r="79" spans="1:6" ht="181.5">
      <c r="A79" s="7">
        <f>ROW()</f>
        <v>79</v>
      </c>
      <c r="B79" s="8" t="s">
        <v>1466</v>
      </c>
      <c r="C79" s="8" t="s">
        <v>1544</v>
      </c>
      <c r="D79" s="8" t="str">
        <f t="shared" si="4"/>
        <v>3. Geschiedener Ehegatte</v>
      </c>
      <c r="E79" s="23" t="s">
        <v>1547</v>
      </c>
      <c r="F79" s="2" t="s">
        <v>983</v>
      </c>
    </row>
    <row r="80" spans="1:6" ht="216">
      <c r="A80" s="7">
        <f>ROW()</f>
        <v>80</v>
      </c>
      <c r="B80" s="8" t="s">
        <v>1466</v>
      </c>
      <c r="C80" s="8" t="s">
        <v>1544</v>
      </c>
      <c r="D80" s="8" t="str">
        <f t="shared" si="4"/>
        <v>4. Hinterbliebene Lebenspartner</v>
      </c>
      <c r="E80" s="23" t="s">
        <v>1548</v>
      </c>
      <c r="F80" s="2" t="s">
        <v>1006</v>
      </c>
    </row>
    <row r="81" spans="1:6" ht="181.5">
      <c r="A81" s="7">
        <f>ROW()</f>
        <v>81</v>
      </c>
      <c r="B81" s="8" t="s">
        <v>1466</v>
      </c>
      <c r="C81" s="8" t="s">
        <v>1544</v>
      </c>
      <c r="D81" s="8" t="str">
        <f t="shared" si="4"/>
        <v>5. Kinder</v>
      </c>
      <c r="E81" s="23" t="s">
        <v>1549</v>
      </c>
      <c r="F81" s="2" t="s">
        <v>1028</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1064</v>
      </c>
    </row>
    <row r="84" spans="1:6" ht="280.5">
      <c r="A84" s="7">
        <f>ROW()</f>
        <v>84</v>
      </c>
      <c r="B84" s="8" t="s">
        <v>1466</v>
      </c>
      <c r="C84" s="8" t="s">
        <v>1459</v>
      </c>
      <c r="D84" s="9" t="str">
        <f t="shared" si="4"/>
        <v>2. Hinterbliebener Ehegatte: Wiederheirat</v>
      </c>
      <c r="E84" s="23" t="s">
        <v>1552</v>
      </c>
      <c r="F84" s="2" t="s">
        <v>1085</v>
      </c>
    </row>
    <row r="85" spans="1:6" ht="120">
      <c r="A85" s="7">
        <f>ROW()</f>
        <v>85</v>
      </c>
      <c r="B85" s="8" t="s">
        <v>1466</v>
      </c>
      <c r="C85" s="8" t="s">
        <v>1459</v>
      </c>
      <c r="D85" s="9" t="str">
        <f t="shared" si="4"/>
        <v>3. Kinder</v>
      </c>
      <c r="E85" s="23" t="s">
        <v>1553</v>
      </c>
      <c r="F85" s="2" t="s">
        <v>1112</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1169</v>
      </c>
    </row>
    <row r="89" spans="1:6" ht="126.75">
      <c r="A89" s="7">
        <f>ROW()</f>
        <v>89</v>
      </c>
      <c r="B89" s="8" t="s">
        <v>1466</v>
      </c>
      <c r="C89" s="8" t="s">
        <v>1459</v>
      </c>
      <c r="D89" s="9" t="str">
        <f>+E89</f>
        <v>7. Mindestleistung</v>
      </c>
      <c r="E89" s="23" t="s">
        <v>1557</v>
      </c>
      <c r="F89" s="2" t="s">
        <v>1191</v>
      </c>
    </row>
    <row r="90" spans="1:6" ht="122.25">
      <c r="A90" s="7">
        <f>ROW()</f>
        <v>90</v>
      </c>
      <c r="B90" s="8" t="s">
        <v>1466</v>
      </c>
      <c r="C90" s="8" t="s">
        <v>1459</v>
      </c>
      <c r="D90" s="9" t="str">
        <f t="shared" si="4"/>
        <v xml:space="preserve"> 8. Höchstleistung</v>
      </c>
      <c r="E90" s="23" t="s">
        <v>1558</v>
      </c>
      <c r="F90" s="2" t="s">
        <v>1215</v>
      </c>
    </row>
    <row r="91" spans="1:6" ht="179.25">
      <c r="A91" s="7">
        <f>ROW()</f>
        <v>91</v>
      </c>
      <c r="B91" s="8" t="s">
        <v>1466</v>
      </c>
      <c r="C91" s="8" t="s">
        <v>1538</v>
      </c>
      <c r="D91" s="9" t="str">
        <f>+C91</f>
        <v>Indexbindung / Anpassung</v>
      </c>
      <c r="E91" s="22" t="s">
        <v>1538</v>
      </c>
      <c r="F91" s="2" t="s">
        <v>1235</v>
      </c>
    </row>
    <row r="92" spans="1:6" ht="242.25">
      <c r="A92" s="7">
        <f>ROW()</f>
        <v>92</v>
      </c>
      <c r="B92" s="8" t="s">
        <v>1466</v>
      </c>
      <c r="C92" s="8" t="s">
        <v>1538</v>
      </c>
      <c r="D92" s="9" t="str">
        <f t="shared" ref="D92:D105" si="5">+E92</f>
        <v>Kumulation mit Erwerbseinkommen</v>
      </c>
      <c r="E92" s="22" t="s">
        <v>1471</v>
      </c>
      <c r="F92" s="2" t="s">
        <v>1262</v>
      </c>
    </row>
    <row r="93" spans="1:6" ht="275.25">
      <c r="A93" s="7">
        <f>ROW()</f>
        <v>93</v>
      </c>
      <c r="B93" s="8" t="s">
        <v>1466</v>
      </c>
      <c r="C93" s="8" t="s">
        <v>1538</v>
      </c>
      <c r="D93" s="9" t="str">
        <f t="shared" si="5"/>
        <v>Kumulation mit anderen Sozialleistungen</v>
      </c>
      <c r="E93" s="22" t="s">
        <v>1460</v>
      </c>
      <c r="F93" s="2" t="s">
        <v>1289</v>
      </c>
    </row>
    <row r="94" spans="1:6" ht="232.5">
      <c r="A94" s="7">
        <f>ROW()</f>
        <v>94</v>
      </c>
      <c r="B94" s="8" t="s">
        <v>1466</v>
      </c>
      <c r="C94" s="9" t="s">
        <v>1465</v>
      </c>
      <c r="D94" s="9" t="str">
        <f t="shared" si="5"/>
        <v>1. Besteuerung von Geldleistungen</v>
      </c>
      <c r="E94" s="23" t="s">
        <v>1509</v>
      </c>
      <c r="F94" s="2" t="s">
        <v>1318</v>
      </c>
    </row>
    <row r="95" spans="1:6" ht="387">
      <c r="A95" s="7">
        <f>ROW()</f>
        <v>95</v>
      </c>
      <c r="B95" s="8" t="s">
        <v>1466</v>
      </c>
      <c r="C95" s="9" t="s">
        <v>1465</v>
      </c>
      <c r="D95" s="9" t="str">
        <f t="shared" si="5"/>
        <v>2. Einkommensgrenze für Besteuerung von Geldleistungen</v>
      </c>
      <c r="E95" s="23" t="s">
        <v>1511</v>
      </c>
      <c r="F95" s="2" t="s">
        <v>1336</v>
      </c>
    </row>
    <row r="96" spans="1:6" ht="288.75">
      <c r="A96" s="7">
        <f>ROW()</f>
        <v>96</v>
      </c>
      <c r="B96" s="8" t="s">
        <v>1466</v>
      </c>
      <c r="C96" s="9" t="s">
        <v>1465</v>
      </c>
      <c r="D96" s="9" t="str">
        <f t="shared" si="5"/>
        <v>3. Auf Leistungen anfallende Sozialabgaben</v>
      </c>
      <c r="E96" s="23" t="s">
        <v>1512</v>
      </c>
      <c r="F96" s="2" t="s">
        <v>673</v>
      </c>
    </row>
    <row r="97" spans="1:6" ht="138">
      <c r="A97" s="7">
        <f>ROW()</f>
        <v>97</v>
      </c>
      <c r="B97" s="8" t="s">
        <v>1466</v>
      </c>
      <c r="C97" s="9" t="s">
        <v>1514</v>
      </c>
      <c r="D97" s="9" t="str">
        <f t="shared" si="5"/>
        <v>Anwendungsbereich</v>
      </c>
      <c r="E97" s="23" t="s">
        <v>1467</v>
      </c>
      <c r="F97" s="2" t="s">
        <v>687</v>
      </c>
    </row>
    <row r="98" spans="1:6" ht="110.25">
      <c r="A98" s="7">
        <f>ROW()</f>
        <v>98</v>
      </c>
      <c r="B98" s="8" t="s">
        <v>1466</v>
      </c>
      <c r="C98" s="9" t="s">
        <v>1514</v>
      </c>
      <c r="D98" s="9" t="str">
        <f t="shared" si="5"/>
        <v>Grundprinzipien</v>
      </c>
      <c r="E98" s="23" t="s">
        <v>1468</v>
      </c>
      <c r="F98" s="2" t="s">
        <v>1389</v>
      </c>
    </row>
    <row r="99" spans="1:6" ht="224.25">
      <c r="A99" s="7">
        <f>ROW()</f>
        <v>99</v>
      </c>
      <c r="B99" s="8" t="s">
        <v>1466</v>
      </c>
      <c r="C99" s="9" t="s">
        <v>1514</v>
      </c>
      <c r="D99" s="9" t="str">
        <f t="shared" si="5"/>
        <v>Voraussetzungen für die Deckung</v>
      </c>
      <c r="E99" s="23" t="s">
        <v>1469</v>
      </c>
      <c r="F99" s="2" t="s">
        <v>785</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uYrQ9pab8+YhjxtS+IIira540d0oSl8LQrDjhzcKHgEBj1dcuPS/KtMtozZHCVAw9GNCqFGDMlks1wcEzwk4Ag==" saltValue="yWBne4qCIwcBHfYekLQv7A==" spinCount="100000" sheet="1" objects="1" scenarios="1" formatColumns="0" autoFilter="0"/>
  <autoFilter ref="A2:F105" xr:uid="{68FACD67-8A90-41FE-BD7E-971CC32A310F}">
    <filterColumn colId="1">
      <filters>
        <filter val="Hinterbliebene"/>
      </filters>
    </filterColumn>
  </autoFilter>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8A87-B786-4828-9725-D59FE1F624D4}">
  <sheetPr codeName="Tabelle35"/>
  <dimension ref="A1:DU104"/>
  <sheetViews>
    <sheetView workbookViewId="0">
      <pane xSplit="1" ySplit="1" topLeftCell="B2" activePane="bottomRight" state="frozen"/>
      <selection pane="topRight" activeCell="B1" sqref="B1"/>
      <selection pane="bottomLeft" activeCell="A2" sqref="A2"/>
      <selection pane="bottomRight" activeCell="B1" sqref="B1:X1048576"/>
    </sheetView>
  </sheetViews>
  <sheetFormatPr baseColWidth="10" defaultColWidth="12.5703125" defaultRowHeight="15"/>
  <cols>
    <col min="1" max="1" width="5.28515625" style="26" customWidth="1"/>
    <col min="2" max="24" width="7" hidden="1" customWidth="1"/>
    <col min="25" max="71" width="7" customWidth="1"/>
    <col min="72" max="72" width="7" style="33" customWidth="1"/>
    <col min="73" max="119" width="7" customWidth="1"/>
    <col min="120" max="122" width="6.28515625" customWidth="1"/>
  </cols>
  <sheetData>
    <row r="1" spans="1:125" s="26" customFormat="1">
      <c r="A1" s="24" t="s">
        <v>2126</v>
      </c>
      <c r="B1" s="25">
        <v>1900</v>
      </c>
      <c r="C1" s="25">
        <v>1901</v>
      </c>
      <c r="D1" s="25">
        <v>1902</v>
      </c>
      <c r="E1" s="25">
        <v>1903</v>
      </c>
      <c r="F1" s="25">
        <v>1904</v>
      </c>
      <c r="G1" s="25">
        <v>1905</v>
      </c>
      <c r="H1" s="25">
        <v>1906</v>
      </c>
      <c r="I1" s="25">
        <v>1907</v>
      </c>
      <c r="J1" s="25">
        <v>1908</v>
      </c>
      <c r="K1" s="25">
        <v>1909</v>
      </c>
      <c r="L1" s="25">
        <v>1910</v>
      </c>
      <c r="M1" s="25">
        <v>1911</v>
      </c>
      <c r="N1" s="25">
        <v>1912</v>
      </c>
      <c r="O1" s="25">
        <v>1913</v>
      </c>
      <c r="P1" s="25">
        <v>1914</v>
      </c>
      <c r="Q1" s="25">
        <v>1915</v>
      </c>
      <c r="R1" s="25">
        <v>1916</v>
      </c>
      <c r="S1" s="25">
        <v>1917</v>
      </c>
      <c r="T1" s="25">
        <v>1918</v>
      </c>
      <c r="U1" s="25">
        <v>1919</v>
      </c>
      <c r="V1" s="25">
        <v>1920</v>
      </c>
      <c r="W1" s="25">
        <v>1921</v>
      </c>
      <c r="X1" s="25">
        <v>1922</v>
      </c>
      <c r="Y1" s="25">
        <v>1923</v>
      </c>
      <c r="Z1" s="25">
        <v>1924</v>
      </c>
      <c r="AA1" s="25">
        <v>1925</v>
      </c>
      <c r="AB1" s="25">
        <v>1926</v>
      </c>
      <c r="AC1" s="25">
        <v>1927</v>
      </c>
      <c r="AD1" s="25">
        <v>1928</v>
      </c>
      <c r="AE1" s="25">
        <v>1929</v>
      </c>
      <c r="AF1" s="25">
        <v>1930</v>
      </c>
      <c r="AG1" s="25">
        <v>1931</v>
      </c>
      <c r="AH1" s="25">
        <v>1932</v>
      </c>
      <c r="AI1" s="25">
        <v>1933</v>
      </c>
      <c r="AJ1" s="25">
        <v>1934</v>
      </c>
      <c r="AK1" s="25">
        <v>1935</v>
      </c>
      <c r="AL1" s="25">
        <v>1936</v>
      </c>
      <c r="AM1" s="25">
        <v>1937</v>
      </c>
      <c r="AN1" s="25">
        <v>1938</v>
      </c>
      <c r="AO1" s="25">
        <v>1939</v>
      </c>
      <c r="AP1" s="25">
        <v>1940</v>
      </c>
      <c r="AQ1" s="25">
        <v>1941</v>
      </c>
      <c r="AR1" s="25">
        <v>1942</v>
      </c>
      <c r="AS1" s="25">
        <v>1943</v>
      </c>
      <c r="AT1" s="25">
        <v>1944</v>
      </c>
      <c r="AU1" s="25">
        <v>1945</v>
      </c>
      <c r="AV1" s="25">
        <v>1946</v>
      </c>
      <c r="AW1" s="25">
        <v>1947</v>
      </c>
      <c r="AX1" s="25">
        <v>1948</v>
      </c>
      <c r="AY1" s="25">
        <v>1949</v>
      </c>
      <c r="AZ1" s="25">
        <v>1950</v>
      </c>
      <c r="BA1" s="25">
        <v>1951</v>
      </c>
      <c r="BB1" s="25">
        <v>1952</v>
      </c>
      <c r="BC1" s="25">
        <v>1953</v>
      </c>
      <c r="BD1" s="25">
        <v>1954</v>
      </c>
      <c r="BE1" s="25">
        <v>1955</v>
      </c>
      <c r="BF1" s="25">
        <v>1956</v>
      </c>
      <c r="BG1" s="25">
        <v>1957</v>
      </c>
      <c r="BH1" s="25">
        <v>1958</v>
      </c>
      <c r="BI1" s="25">
        <v>1959</v>
      </c>
      <c r="BJ1" s="25">
        <v>1960</v>
      </c>
      <c r="BK1" s="25">
        <v>1961</v>
      </c>
      <c r="BL1" s="25">
        <v>1962</v>
      </c>
      <c r="BM1" s="25">
        <v>1963</v>
      </c>
      <c r="BN1" s="25">
        <v>1964</v>
      </c>
      <c r="BO1" s="25">
        <v>1965</v>
      </c>
      <c r="BP1" s="25">
        <v>1966</v>
      </c>
      <c r="BQ1" s="25">
        <v>1967</v>
      </c>
      <c r="BR1" s="25">
        <v>1968</v>
      </c>
      <c r="BS1" s="25">
        <v>1969</v>
      </c>
      <c r="BT1" s="25">
        <v>1970</v>
      </c>
      <c r="BU1" s="25">
        <v>1971</v>
      </c>
      <c r="BV1" s="25">
        <v>1972</v>
      </c>
      <c r="BW1" s="25">
        <v>1973</v>
      </c>
      <c r="BX1" s="25">
        <v>1974</v>
      </c>
      <c r="BY1" s="25">
        <v>1975</v>
      </c>
      <c r="BZ1" s="25">
        <v>1976</v>
      </c>
      <c r="CA1" s="25">
        <v>1977</v>
      </c>
      <c r="CB1" s="25">
        <v>1978</v>
      </c>
      <c r="CC1" s="25">
        <v>1979</v>
      </c>
      <c r="CD1" s="25">
        <v>1980</v>
      </c>
      <c r="CE1" s="25">
        <v>1981</v>
      </c>
      <c r="CF1" s="25">
        <v>1982</v>
      </c>
      <c r="CG1" s="25">
        <v>1983</v>
      </c>
      <c r="CH1" s="25">
        <v>1984</v>
      </c>
      <c r="CI1" s="25">
        <v>1985</v>
      </c>
      <c r="CJ1" s="25">
        <v>1986</v>
      </c>
      <c r="CK1" s="25">
        <v>1987</v>
      </c>
      <c r="CL1" s="25">
        <v>1988</v>
      </c>
      <c r="CM1" s="25">
        <v>1989</v>
      </c>
      <c r="CN1" s="25">
        <v>1990</v>
      </c>
      <c r="CO1" s="25">
        <v>1991</v>
      </c>
      <c r="CP1" s="25">
        <v>1992</v>
      </c>
      <c r="CQ1" s="25">
        <v>1993</v>
      </c>
      <c r="CR1" s="25">
        <v>1994</v>
      </c>
      <c r="CS1" s="25">
        <v>1995</v>
      </c>
      <c r="CT1" s="25">
        <v>1996</v>
      </c>
      <c r="CU1" s="25">
        <v>1997</v>
      </c>
      <c r="CV1" s="25">
        <v>1998</v>
      </c>
      <c r="CW1" s="25">
        <v>1999</v>
      </c>
      <c r="CX1" s="25">
        <v>2000</v>
      </c>
      <c r="CY1" s="25">
        <v>2001</v>
      </c>
      <c r="CZ1" s="25">
        <v>2002</v>
      </c>
      <c r="DA1" s="25">
        <v>2003</v>
      </c>
      <c r="DB1" s="25">
        <v>2004</v>
      </c>
      <c r="DC1" s="25">
        <v>2005</v>
      </c>
      <c r="DD1" s="25">
        <v>2006</v>
      </c>
      <c r="DE1" s="25">
        <v>2007</v>
      </c>
      <c r="DF1" s="25">
        <v>2008</v>
      </c>
      <c r="DG1" s="25">
        <v>2009</v>
      </c>
      <c r="DH1" s="25">
        <v>2010</v>
      </c>
      <c r="DI1" s="25">
        <v>2011</v>
      </c>
      <c r="DJ1" s="25">
        <v>2012</v>
      </c>
      <c r="DK1" s="25">
        <v>2013</v>
      </c>
      <c r="DL1" s="25">
        <v>2014</v>
      </c>
      <c r="DM1" s="25">
        <v>2015</v>
      </c>
      <c r="DN1" s="25">
        <v>2016</v>
      </c>
      <c r="DO1" s="25">
        <v>2017</v>
      </c>
      <c r="DP1" s="25">
        <v>2018</v>
      </c>
      <c r="DQ1" s="25">
        <v>2019</v>
      </c>
      <c r="DR1" s="25">
        <v>2020</v>
      </c>
      <c r="DS1" s="26">
        <v>2021</v>
      </c>
      <c r="DT1" s="26">
        <v>2022</v>
      </c>
      <c r="DU1" s="26">
        <v>2023</v>
      </c>
    </row>
    <row r="2" spans="1:125">
      <c r="A2" s="27">
        <v>0</v>
      </c>
      <c r="B2" s="28"/>
      <c r="C2" s="28"/>
      <c r="D2" s="28"/>
      <c r="E2" s="28"/>
      <c r="F2" s="28"/>
      <c r="G2" s="28"/>
      <c r="H2" s="28"/>
      <c r="I2" s="28"/>
      <c r="J2" s="28"/>
      <c r="K2" s="28"/>
      <c r="L2" s="28"/>
      <c r="M2" s="28"/>
      <c r="N2" s="28"/>
      <c r="O2" s="28"/>
      <c r="P2" s="28"/>
      <c r="Q2" s="28"/>
      <c r="R2" s="28"/>
      <c r="S2" s="28"/>
      <c r="T2" s="28"/>
      <c r="U2" s="28"/>
      <c r="V2" s="29"/>
      <c r="W2" s="29">
        <v>57.84</v>
      </c>
      <c r="X2" s="29">
        <v>58.59</v>
      </c>
      <c r="Y2" s="29">
        <v>58.729434945741694</v>
      </c>
      <c r="Z2" s="29">
        <v>60.615796716949305</v>
      </c>
      <c r="AA2" s="29">
        <v>61.014854058140322</v>
      </c>
      <c r="AB2" s="29">
        <v>61.61486348227649</v>
      </c>
      <c r="AC2" s="29">
        <v>62.206325180696453</v>
      </c>
      <c r="AD2" s="29">
        <v>62.901346798002962</v>
      </c>
      <c r="AE2" s="29">
        <v>62.889983052135605</v>
      </c>
      <c r="AF2" s="29">
        <v>64.046082267023721</v>
      </c>
      <c r="AG2" s="29">
        <v>64.549503075717851</v>
      </c>
      <c r="AH2" s="29">
        <v>65.105032076911158</v>
      </c>
      <c r="AI2" s="29">
        <v>65.495244280215459</v>
      </c>
      <c r="AJ2" s="29">
        <v>66.698648404553268</v>
      </c>
      <c r="AK2" s="29">
        <v>66.851890537710545</v>
      </c>
      <c r="AL2" s="29">
        <v>67.368711934406846</v>
      </c>
      <c r="AM2" s="29">
        <v>67.863028563725507</v>
      </c>
      <c r="AN2" s="29">
        <v>68.378960908126317</v>
      </c>
      <c r="AO2" s="29">
        <v>68.439680725969552</v>
      </c>
      <c r="AP2" s="29">
        <v>68.674708453580436</v>
      </c>
      <c r="AQ2" s="29">
        <v>68.866452682627568</v>
      </c>
      <c r="AR2" s="29">
        <v>69.135343284458855</v>
      </c>
      <c r="AS2" s="29">
        <v>68.66900465603841</v>
      </c>
      <c r="AT2" s="29">
        <v>68.0779681244465</v>
      </c>
      <c r="AU2" s="29">
        <v>67.029703906967271</v>
      </c>
      <c r="AV2" s="29">
        <v>67.496834809096612</v>
      </c>
      <c r="AW2" s="29">
        <v>68.034523646617231</v>
      </c>
      <c r="AX2" s="29">
        <v>69.971257167782426</v>
      </c>
      <c r="AY2" s="29">
        <v>71.575803667149145</v>
      </c>
      <c r="AZ2" s="29">
        <v>71.60695891190062</v>
      </c>
      <c r="BA2" s="29">
        <v>71.672702197338978</v>
      </c>
      <c r="BB2" s="29">
        <v>72.371454396692769</v>
      </c>
      <c r="BC2" s="29">
        <v>72.637860564357922</v>
      </c>
      <c r="BD2" s="29">
        <v>73.146094634378144</v>
      </c>
      <c r="BE2" s="29">
        <v>73.358012531688473</v>
      </c>
      <c r="BF2" s="29">
        <v>73.837457590526185</v>
      </c>
      <c r="BG2" s="29">
        <v>73.995283165642604</v>
      </c>
      <c r="BH2" s="29">
        <v>74.517755903477607</v>
      </c>
      <c r="BI2" s="29">
        <v>74.887710660331976</v>
      </c>
      <c r="BJ2" s="29">
        <v>75.207747454033168</v>
      </c>
      <c r="BK2" s="29">
        <v>75.670306429785441</v>
      </c>
      <c r="BL2" s="29">
        <v>76.178234569980134</v>
      </c>
      <c r="BM2" s="29">
        <v>76.667767915735936</v>
      </c>
      <c r="BN2" s="29">
        <v>77.119808920682843</v>
      </c>
      <c r="BO2" s="29">
        <v>77.516754650585781</v>
      </c>
      <c r="BP2" s="29">
        <v>77.802655678161017</v>
      </c>
      <c r="BQ2" s="29">
        <v>78.102407871411017</v>
      </c>
      <c r="BR2" s="29">
        <v>78.364586606778573</v>
      </c>
      <c r="BS2" s="29">
        <v>78.512068793633588</v>
      </c>
      <c r="BT2" s="30">
        <v>78.764117674625538</v>
      </c>
      <c r="BU2" s="29">
        <v>78.975126686479683</v>
      </c>
      <c r="BV2" s="29">
        <v>79.252088692518413</v>
      </c>
      <c r="BW2" s="29">
        <v>79.469601832462004</v>
      </c>
      <c r="BX2" s="29">
        <v>79.760324151707877</v>
      </c>
      <c r="BY2" s="29">
        <v>80.082476570450922</v>
      </c>
      <c r="BZ2" s="29">
        <v>80.502809071686158</v>
      </c>
      <c r="CA2" s="29">
        <v>80.812000585061057</v>
      </c>
      <c r="CB2" s="29">
        <v>81.026547551709612</v>
      </c>
      <c r="CC2" s="29">
        <v>81.356332424225755</v>
      </c>
      <c r="CD2" s="29">
        <v>81.63009340379827</v>
      </c>
      <c r="CE2" s="29">
        <v>81.874285222352086</v>
      </c>
      <c r="CF2" s="29">
        <v>82.195612863219921</v>
      </c>
      <c r="CG2" s="29">
        <v>82.442797164445565</v>
      </c>
      <c r="CH2" s="29">
        <v>82.701394781752867</v>
      </c>
      <c r="CI2" s="29">
        <v>82.99036545163446</v>
      </c>
      <c r="CJ2" s="29">
        <v>83.183001637389964</v>
      </c>
      <c r="CK2" s="29">
        <v>83.402598522200194</v>
      </c>
      <c r="CL2" s="29">
        <v>83.690861889858894</v>
      </c>
      <c r="CM2" s="29">
        <v>83.888661240373779</v>
      </c>
      <c r="CN2" s="29">
        <v>84.120036602685531</v>
      </c>
      <c r="CO2" s="29">
        <v>84.379935313002491</v>
      </c>
      <c r="CP2" s="29">
        <v>84.597827566909473</v>
      </c>
      <c r="CQ2" s="29">
        <v>84.824710725982257</v>
      </c>
      <c r="CR2" s="29">
        <v>84.993672836226452</v>
      </c>
      <c r="CS2" s="29">
        <v>85.2199574320408</v>
      </c>
      <c r="CT2" s="29">
        <v>85.401411180876664</v>
      </c>
      <c r="CU2" s="29">
        <v>85.600223896431743</v>
      </c>
      <c r="CV2" s="29">
        <v>85.780133463962187</v>
      </c>
      <c r="CW2" s="29">
        <v>85.940596534366577</v>
      </c>
      <c r="CX2" s="29">
        <v>86.147274707084151</v>
      </c>
      <c r="CY2" s="29">
        <v>86.294892848724743</v>
      </c>
      <c r="CZ2" s="29">
        <v>86.475408390730408</v>
      </c>
      <c r="DA2" s="29">
        <v>86.625284275497521</v>
      </c>
      <c r="DB2" s="29">
        <v>86.828345838174144</v>
      </c>
      <c r="DC2" s="29">
        <v>86.98423560255813</v>
      </c>
      <c r="DD2" s="29">
        <v>87.149420777925414</v>
      </c>
      <c r="DE2" s="29">
        <v>87.305228908084047</v>
      </c>
      <c r="DF2" s="29">
        <v>87.488790107620204</v>
      </c>
      <c r="DG2" s="29">
        <v>87.650801209358761</v>
      </c>
      <c r="DH2" s="29">
        <v>87.804033385590458</v>
      </c>
      <c r="DI2" s="29">
        <v>87.955188023479678</v>
      </c>
      <c r="DJ2" s="29">
        <v>88.138546434778405</v>
      </c>
      <c r="DK2" s="29">
        <v>88.287853346724191</v>
      </c>
      <c r="DL2" s="29">
        <v>88.423302723978807</v>
      </c>
      <c r="DM2" s="29">
        <v>88.579855999943248</v>
      </c>
      <c r="DN2" s="29">
        <v>88.709755285766292</v>
      </c>
      <c r="DO2" s="29">
        <v>88.871804974359478</v>
      </c>
      <c r="DP2" s="29">
        <v>89.022474491154995</v>
      </c>
      <c r="DQ2" s="29">
        <v>89.161574187114908</v>
      </c>
      <c r="DR2" s="29">
        <v>89.326776344203225</v>
      </c>
      <c r="DS2">
        <v>89.456635979737186</v>
      </c>
      <c r="DT2">
        <v>89.608075801559522</v>
      </c>
      <c r="DU2">
        <v>89.757554228965645</v>
      </c>
    </row>
    <row r="3" spans="1:125">
      <c r="A3" s="27">
        <v>1</v>
      </c>
      <c r="B3" s="28"/>
      <c r="C3" s="28"/>
      <c r="D3" s="28"/>
      <c r="E3" s="28"/>
      <c r="F3" s="28"/>
      <c r="G3" s="28"/>
      <c r="H3" s="28"/>
      <c r="I3" s="28"/>
      <c r="J3" s="28"/>
      <c r="K3" s="28"/>
      <c r="L3" s="28"/>
      <c r="M3" s="28"/>
      <c r="N3" s="28"/>
      <c r="O3" s="28"/>
      <c r="P3" s="28"/>
      <c r="Q3" s="28"/>
      <c r="R3" s="28"/>
      <c r="S3" s="28"/>
      <c r="T3" s="28"/>
      <c r="U3" s="28"/>
      <c r="V3" s="29"/>
      <c r="W3" s="29">
        <v>66.709999999999994</v>
      </c>
      <c r="X3" s="29">
        <v>67.239999999999995</v>
      </c>
      <c r="Y3" s="29">
        <v>67.565219763114229</v>
      </c>
      <c r="Z3" s="29">
        <v>67.768437503321522</v>
      </c>
      <c r="AA3" s="29">
        <v>67.987664028406527</v>
      </c>
      <c r="AB3" s="29">
        <v>68.354305939770981</v>
      </c>
      <c r="AC3" s="29">
        <v>68.630254357510779</v>
      </c>
      <c r="AD3" s="29">
        <v>68.786078258642036</v>
      </c>
      <c r="AE3" s="29">
        <v>69.280017830561391</v>
      </c>
      <c r="AF3" s="29">
        <v>69.614659643116241</v>
      </c>
      <c r="AG3" s="29">
        <v>69.952727121509838</v>
      </c>
      <c r="AH3" s="29">
        <v>70.287397457663971</v>
      </c>
      <c r="AI3" s="29">
        <v>70.558941796285822</v>
      </c>
      <c r="AJ3" s="29">
        <v>71.011343165145604</v>
      </c>
      <c r="AK3" s="29">
        <v>71.356267947689204</v>
      </c>
      <c r="AL3" s="29">
        <v>71.735457861366953</v>
      </c>
      <c r="AM3" s="29">
        <v>72.115998636622578</v>
      </c>
      <c r="AN3" s="29">
        <v>72.369471460045276</v>
      </c>
      <c r="AO3" s="29">
        <v>72.551370137974473</v>
      </c>
      <c r="AP3" s="29">
        <v>72.804240123882153</v>
      </c>
      <c r="AQ3" s="29">
        <v>73.01058422211392</v>
      </c>
      <c r="AR3" s="29">
        <v>73.299853767545216</v>
      </c>
      <c r="AS3" s="29">
        <v>73.354388488482513</v>
      </c>
      <c r="AT3" s="29">
        <v>73.556513907164231</v>
      </c>
      <c r="AU3" s="29">
        <v>73.833213233807527</v>
      </c>
      <c r="AV3" s="29">
        <v>74.109653927129784</v>
      </c>
      <c r="AW3" s="29">
        <v>74.708506560970932</v>
      </c>
      <c r="AX3" s="29">
        <v>75.179787873081679</v>
      </c>
      <c r="AY3" s="29">
        <v>75.27687122751891</v>
      </c>
      <c r="AZ3" s="29">
        <v>75.310285230594431</v>
      </c>
      <c r="BA3" s="29">
        <v>75.380413222992914</v>
      </c>
      <c r="BB3" s="29">
        <v>75.544685789252057</v>
      </c>
      <c r="BC3" s="29">
        <v>75.681406440993115</v>
      </c>
      <c r="BD3" s="29">
        <v>75.839517832480865</v>
      </c>
      <c r="BE3" s="29">
        <v>76.02816674995853</v>
      </c>
      <c r="BF3" s="29">
        <v>76.246704650440179</v>
      </c>
      <c r="BG3" s="29">
        <v>76.393640936147122</v>
      </c>
      <c r="BH3" s="29">
        <v>76.722810316477279</v>
      </c>
      <c r="BI3" s="29">
        <v>76.948842959246591</v>
      </c>
      <c r="BJ3" s="29">
        <v>77.227610899012234</v>
      </c>
      <c r="BK3" s="29">
        <v>77.467109914146548</v>
      </c>
      <c r="BL3" s="29">
        <v>77.77368958437691</v>
      </c>
      <c r="BM3" s="29">
        <v>78.104720368565808</v>
      </c>
      <c r="BN3" s="29">
        <v>78.351861976765036</v>
      </c>
      <c r="BO3" s="29">
        <v>78.635040181218969</v>
      </c>
      <c r="BP3" s="29">
        <v>78.881666447586937</v>
      </c>
      <c r="BQ3" s="29">
        <v>79.132736059279097</v>
      </c>
      <c r="BR3" s="29">
        <v>79.357117939993742</v>
      </c>
      <c r="BS3" s="29">
        <v>79.571463943488908</v>
      </c>
      <c r="BT3" s="30">
        <v>79.809649745252287</v>
      </c>
      <c r="BU3" s="29">
        <v>79.968373483274647</v>
      </c>
      <c r="BV3" s="29">
        <v>80.201455871083951</v>
      </c>
      <c r="BW3" s="29">
        <v>80.416294612770059</v>
      </c>
      <c r="BX3" s="29">
        <v>80.619624406673339</v>
      </c>
      <c r="BY3" s="29">
        <v>80.813862271781488</v>
      </c>
      <c r="BZ3" s="29">
        <v>81.010217893398718</v>
      </c>
      <c r="CA3" s="29">
        <v>81.191451663776078</v>
      </c>
      <c r="CB3" s="29">
        <v>81.362658599553669</v>
      </c>
      <c r="CC3" s="29">
        <v>81.5779171701233</v>
      </c>
      <c r="CD3" s="29">
        <v>81.802481863061814</v>
      </c>
      <c r="CE3" s="29">
        <v>81.985365242839038</v>
      </c>
      <c r="CF3" s="29">
        <v>82.203438453976588</v>
      </c>
      <c r="CG3" s="29">
        <v>82.407716210190813</v>
      </c>
      <c r="CH3" s="29">
        <v>82.597695462033343</v>
      </c>
      <c r="CI3" s="29">
        <v>82.842743760134923</v>
      </c>
      <c r="CJ3" s="29">
        <v>83.006594380157139</v>
      </c>
      <c r="CK3" s="29">
        <v>83.204287890000359</v>
      </c>
      <c r="CL3" s="29">
        <v>83.425809741566169</v>
      </c>
      <c r="CM3" s="29">
        <v>83.613106153941004</v>
      </c>
      <c r="CN3" s="29">
        <v>83.800017889304627</v>
      </c>
      <c r="CO3" s="29">
        <v>83.998150594514385</v>
      </c>
      <c r="CP3" s="29">
        <v>84.171686226511554</v>
      </c>
      <c r="CQ3" s="29">
        <v>84.364563007420301</v>
      </c>
      <c r="CR3" s="29">
        <v>84.520081180891637</v>
      </c>
      <c r="CS3" s="29">
        <v>84.715651909774337</v>
      </c>
      <c r="CT3" s="29">
        <v>84.87826771197642</v>
      </c>
      <c r="CU3" s="29">
        <v>85.060945064375801</v>
      </c>
      <c r="CV3" s="29">
        <v>85.221840093464976</v>
      </c>
      <c r="CW3" s="29">
        <v>85.371497140153636</v>
      </c>
      <c r="CX3" s="29">
        <v>85.553591470483852</v>
      </c>
      <c r="CY3" s="29">
        <v>85.705377425610024</v>
      </c>
      <c r="CZ3" s="29">
        <v>85.870110787274143</v>
      </c>
      <c r="DA3" s="29">
        <v>86.032927894257938</v>
      </c>
      <c r="DB3" s="29">
        <v>86.211888750836692</v>
      </c>
      <c r="DC3" s="29">
        <v>86.355827658341084</v>
      </c>
      <c r="DD3" s="29">
        <v>86.518761902616404</v>
      </c>
      <c r="DE3" s="29">
        <v>86.68011851471249</v>
      </c>
      <c r="DF3" s="29">
        <v>86.831371460655561</v>
      </c>
      <c r="DG3" s="29">
        <v>86.992126304096942</v>
      </c>
      <c r="DH3" s="29">
        <v>87.139026918455244</v>
      </c>
      <c r="DI3" s="29">
        <v>87.295435965064414</v>
      </c>
      <c r="DJ3" s="29">
        <v>87.446397487351362</v>
      </c>
      <c r="DK3" s="29">
        <v>87.600899837136396</v>
      </c>
      <c r="DL3" s="29">
        <v>87.737512407240146</v>
      </c>
      <c r="DM3" s="29">
        <v>87.884207675973059</v>
      </c>
      <c r="DN3" s="29">
        <v>88.037663169154229</v>
      </c>
      <c r="DO3" s="29">
        <v>88.183742653005865</v>
      </c>
      <c r="DP3" s="29">
        <v>88.329765006820253</v>
      </c>
      <c r="DQ3" s="29">
        <v>88.471462996037999</v>
      </c>
      <c r="DR3" s="29">
        <v>88.607560705915972</v>
      </c>
      <c r="DS3">
        <v>88.749985722975509</v>
      </c>
      <c r="DT3">
        <v>88.888633744386055</v>
      </c>
      <c r="DU3">
        <v>89.025880115096726</v>
      </c>
    </row>
    <row r="4" spans="1:125">
      <c r="A4" s="27">
        <v>2</v>
      </c>
      <c r="B4" s="28"/>
      <c r="C4" s="28"/>
      <c r="D4" s="28"/>
      <c r="E4" s="28"/>
      <c r="F4" s="28"/>
      <c r="G4" s="28"/>
      <c r="H4" s="28"/>
      <c r="I4" s="28"/>
      <c r="J4" s="28"/>
      <c r="K4" s="28"/>
      <c r="L4" s="28"/>
      <c r="M4" s="28"/>
      <c r="N4" s="28"/>
      <c r="O4" s="28"/>
      <c r="P4" s="28"/>
      <c r="Q4" s="28"/>
      <c r="R4" s="28"/>
      <c r="S4" s="28"/>
      <c r="T4" s="28"/>
      <c r="U4" s="28"/>
      <c r="V4" s="29"/>
      <c r="W4" s="29">
        <v>67.06</v>
      </c>
      <c r="X4" s="29">
        <v>67.61</v>
      </c>
      <c r="Y4" s="29">
        <v>67.668873830428865</v>
      </c>
      <c r="Z4" s="29">
        <v>67.875435809070382</v>
      </c>
      <c r="AA4" s="29">
        <v>68.098270020030839</v>
      </c>
      <c r="AB4" s="29">
        <v>68.38860826914248</v>
      </c>
      <c r="AC4" s="29">
        <v>68.479828016091318</v>
      </c>
      <c r="AD4" s="29">
        <v>68.69433345194426</v>
      </c>
      <c r="AE4" s="29">
        <v>68.983593803350061</v>
      </c>
      <c r="AF4" s="29">
        <v>69.300314139835208</v>
      </c>
      <c r="AG4" s="29">
        <v>69.601870441800912</v>
      </c>
      <c r="AH4" s="29">
        <v>69.939668790665522</v>
      </c>
      <c r="AI4" s="29">
        <v>70.21375113176596</v>
      </c>
      <c r="AJ4" s="29">
        <v>70.599917193192994</v>
      </c>
      <c r="AK4" s="29">
        <v>70.929747977024604</v>
      </c>
      <c r="AL4" s="29">
        <v>71.296694345532572</v>
      </c>
      <c r="AM4" s="29">
        <v>71.649937422380475</v>
      </c>
      <c r="AN4" s="29">
        <v>71.917014854843956</v>
      </c>
      <c r="AO4" s="29">
        <v>72.100299342597538</v>
      </c>
      <c r="AP4" s="29">
        <v>72.355095838993108</v>
      </c>
      <c r="AQ4" s="29">
        <v>72.563011986465639</v>
      </c>
      <c r="AR4" s="29">
        <v>72.91041367417813</v>
      </c>
      <c r="AS4" s="29">
        <v>73.049521301188761</v>
      </c>
      <c r="AT4" s="29">
        <v>73.394586831295825</v>
      </c>
      <c r="AU4" s="29">
        <v>73.592663029863616</v>
      </c>
      <c r="AV4" s="29">
        <v>73.871966584622157</v>
      </c>
      <c r="AW4" s="29">
        <v>74.325129888065348</v>
      </c>
      <c r="AX4" s="29">
        <v>74.491753567924235</v>
      </c>
      <c r="AY4" s="29">
        <v>74.589242476219979</v>
      </c>
      <c r="AZ4" s="29">
        <v>74.62279606221324</v>
      </c>
      <c r="BA4" s="29">
        <v>74.672500983462683</v>
      </c>
      <c r="BB4" s="29">
        <v>74.820470721705277</v>
      </c>
      <c r="BC4" s="29">
        <v>74.927574477769795</v>
      </c>
      <c r="BD4" s="29">
        <v>75.091970445684908</v>
      </c>
      <c r="BE4" s="29">
        <v>75.276932378552758</v>
      </c>
      <c r="BF4" s="29">
        <v>75.49050383586966</v>
      </c>
      <c r="BG4" s="29">
        <v>75.622732351098307</v>
      </c>
      <c r="BH4" s="29">
        <v>75.946923919888462</v>
      </c>
      <c r="BI4" s="29">
        <v>76.150592249295997</v>
      </c>
      <c r="BJ4" s="29">
        <v>76.416914315249358</v>
      </c>
      <c r="BK4" s="29">
        <v>76.648938960308811</v>
      </c>
      <c r="BL4" s="29">
        <v>76.95119048346578</v>
      </c>
      <c r="BM4" s="29">
        <v>77.250467023804134</v>
      </c>
      <c r="BN4" s="29">
        <v>77.50565725420131</v>
      </c>
      <c r="BO4" s="29">
        <v>77.777562069610809</v>
      </c>
      <c r="BP4" s="29">
        <v>78.024851065935508</v>
      </c>
      <c r="BQ4" s="29">
        <v>78.265578111214012</v>
      </c>
      <c r="BR4" s="29">
        <v>78.506118736177186</v>
      </c>
      <c r="BS4" s="29">
        <v>78.700444556519315</v>
      </c>
      <c r="BT4" s="30">
        <v>78.924431810169978</v>
      </c>
      <c r="BU4" s="29">
        <v>79.080517785518467</v>
      </c>
      <c r="BV4" s="29">
        <v>79.301965266975202</v>
      </c>
      <c r="BW4" s="29">
        <v>79.51866139359413</v>
      </c>
      <c r="BX4" s="29">
        <v>79.721209631528012</v>
      </c>
      <c r="BY4" s="29">
        <v>79.906702915844093</v>
      </c>
      <c r="BZ4" s="29">
        <v>80.101921708184392</v>
      </c>
      <c r="CA4" s="29">
        <v>80.277721123600955</v>
      </c>
      <c r="CB4" s="29">
        <v>80.448992706781368</v>
      </c>
      <c r="CC4" s="29">
        <v>80.654284769786997</v>
      </c>
      <c r="CD4" s="29">
        <v>80.884026569769574</v>
      </c>
      <c r="CE4" s="29">
        <v>81.068838706828558</v>
      </c>
      <c r="CF4" s="29">
        <v>81.279700383586402</v>
      </c>
      <c r="CG4" s="29">
        <v>81.478378665240385</v>
      </c>
      <c r="CH4" s="29">
        <v>81.669920522503872</v>
      </c>
      <c r="CI4" s="29">
        <v>81.901721746302101</v>
      </c>
      <c r="CJ4" s="29">
        <v>82.074743962216772</v>
      </c>
      <c r="CK4" s="29">
        <v>82.2636536620074</v>
      </c>
      <c r="CL4" s="29">
        <v>82.478982195465136</v>
      </c>
      <c r="CM4" s="29">
        <v>82.669261140874298</v>
      </c>
      <c r="CN4" s="29">
        <v>82.853455887026541</v>
      </c>
      <c r="CO4" s="29">
        <v>83.041202782810359</v>
      </c>
      <c r="CP4" s="29">
        <v>83.217401218787927</v>
      </c>
      <c r="CQ4" s="29">
        <v>83.40770482419326</v>
      </c>
      <c r="CR4" s="29">
        <v>83.568172144550218</v>
      </c>
      <c r="CS4" s="29">
        <v>83.753402776499058</v>
      </c>
      <c r="CT4" s="29">
        <v>83.920275058525419</v>
      </c>
      <c r="CU4" s="29">
        <v>84.097677130426788</v>
      </c>
      <c r="CV4" s="29">
        <v>84.255984978987129</v>
      </c>
      <c r="CW4" s="29">
        <v>84.413166283333183</v>
      </c>
      <c r="CX4" s="29">
        <v>84.588613528080842</v>
      </c>
      <c r="CY4" s="29">
        <v>84.741913020208187</v>
      </c>
      <c r="CZ4" s="29">
        <v>84.906277998622073</v>
      </c>
      <c r="DA4" s="29">
        <v>85.065113799743898</v>
      </c>
      <c r="DB4" s="29">
        <v>85.238570486678512</v>
      </c>
      <c r="DC4" s="29">
        <v>85.389642478214398</v>
      </c>
      <c r="DD4" s="29">
        <v>85.547238561293597</v>
      </c>
      <c r="DE4" s="29">
        <v>85.707682024508998</v>
      </c>
      <c r="DF4" s="29">
        <v>85.861744366325496</v>
      </c>
      <c r="DG4" s="29">
        <v>86.019209731058723</v>
      </c>
      <c r="DH4" s="29">
        <v>86.164686871981161</v>
      </c>
      <c r="DI4" s="29">
        <v>86.319846937081493</v>
      </c>
      <c r="DJ4" s="29">
        <v>86.469431466299554</v>
      </c>
      <c r="DK4" s="29">
        <v>86.621635082800111</v>
      </c>
      <c r="DL4" s="29">
        <v>86.765363153000237</v>
      </c>
      <c r="DM4" s="29">
        <v>86.909441283934271</v>
      </c>
      <c r="DN4" s="29">
        <v>87.060853987633578</v>
      </c>
      <c r="DO4" s="29">
        <v>87.207362528754643</v>
      </c>
      <c r="DP4" s="29">
        <v>87.349394529579911</v>
      </c>
      <c r="DQ4" s="29">
        <v>87.489402280772097</v>
      </c>
      <c r="DR4" s="29">
        <v>87.627256955314664</v>
      </c>
      <c r="DS4">
        <v>87.766579409529797</v>
      </c>
      <c r="DT4">
        <v>87.904515110682297</v>
      </c>
      <c r="DU4">
        <v>88.041079466624453</v>
      </c>
    </row>
    <row r="5" spans="1:125">
      <c r="A5" s="27">
        <v>3</v>
      </c>
      <c r="B5" s="28"/>
      <c r="C5" s="28"/>
      <c r="D5" s="28"/>
      <c r="E5" s="28"/>
      <c r="F5" s="28"/>
      <c r="G5" s="28"/>
      <c r="H5" s="28"/>
      <c r="I5" s="28"/>
      <c r="J5" s="28"/>
      <c r="K5" s="28"/>
      <c r="L5" s="28"/>
      <c r="M5" s="28"/>
      <c r="N5" s="28"/>
      <c r="O5" s="28"/>
      <c r="P5" s="28"/>
      <c r="Q5" s="28"/>
      <c r="R5" s="28"/>
      <c r="S5" s="28"/>
      <c r="T5" s="28"/>
      <c r="U5" s="28"/>
      <c r="V5" s="29"/>
      <c r="W5" s="29">
        <v>66.819999999999993</v>
      </c>
      <c r="X5" s="29">
        <v>67.040000000000006</v>
      </c>
      <c r="Y5" s="29">
        <v>67.098802212500374</v>
      </c>
      <c r="Z5" s="29">
        <v>67.306686334155614</v>
      </c>
      <c r="AA5" s="29">
        <v>67.559506460063147</v>
      </c>
      <c r="AB5" s="29">
        <v>67.790336155194282</v>
      </c>
      <c r="AC5" s="29">
        <v>67.950512691532623</v>
      </c>
      <c r="AD5" s="29">
        <v>68.08415213586953</v>
      </c>
      <c r="AE5" s="29">
        <v>68.319987577733727</v>
      </c>
      <c r="AF5" s="29">
        <v>68.611315057594382</v>
      </c>
      <c r="AG5" s="29">
        <v>68.914234497037597</v>
      </c>
      <c r="AH5" s="29">
        <v>69.253559809809659</v>
      </c>
      <c r="AI5" s="29">
        <v>69.584215743986704</v>
      </c>
      <c r="AJ5" s="29">
        <v>69.979481569853206</v>
      </c>
      <c r="AK5" s="29">
        <v>70.282779295205174</v>
      </c>
      <c r="AL5" s="29">
        <v>70.63022260035541</v>
      </c>
      <c r="AM5" s="29">
        <v>71.01372977373056</v>
      </c>
      <c r="AN5" s="29">
        <v>71.282172783321272</v>
      </c>
      <c r="AO5" s="29">
        <v>71.466394411670919</v>
      </c>
      <c r="AP5" s="29">
        <v>71.722493692297903</v>
      </c>
      <c r="AQ5" s="29">
        <v>71.968526357685647</v>
      </c>
      <c r="AR5" s="29">
        <v>72.373802523700448</v>
      </c>
      <c r="AS5" s="29">
        <v>72.607370168365449</v>
      </c>
      <c r="AT5" s="29">
        <v>72.821316895628385</v>
      </c>
      <c r="AU5" s="29">
        <v>73.020552646264889</v>
      </c>
      <c r="AV5" s="29">
        <v>73.143946022946167</v>
      </c>
      <c r="AW5" s="29">
        <v>73.507187569486291</v>
      </c>
      <c r="AX5" s="29">
        <v>73.674222154424129</v>
      </c>
      <c r="AY5" s="29">
        <v>73.771951476853047</v>
      </c>
      <c r="AZ5" s="29">
        <v>73.778551636434216</v>
      </c>
      <c r="BA5" s="29">
        <v>73.814689393885359</v>
      </c>
      <c r="BB5" s="29">
        <v>73.956976835529673</v>
      </c>
      <c r="BC5" s="29">
        <v>74.061348456934169</v>
      </c>
      <c r="BD5" s="29">
        <v>74.212471226007395</v>
      </c>
      <c r="BE5" s="29">
        <v>74.400489020721224</v>
      </c>
      <c r="BF5" s="29">
        <v>74.599109403287784</v>
      </c>
      <c r="BG5" s="29">
        <v>74.741962993746625</v>
      </c>
      <c r="BH5" s="29">
        <v>75.058799841079335</v>
      </c>
      <c r="BI5" s="29">
        <v>75.253179396667321</v>
      </c>
      <c r="BJ5" s="29">
        <v>75.522981687952395</v>
      </c>
      <c r="BK5" s="29">
        <v>75.748575594769164</v>
      </c>
      <c r="BL5" s="29">
        <v>76.045272083746752</v>
      </c>
      <c r="BM5" s="29">
        <v>76.339664534770208</v>
      </c>
      <c r="BN5" s="29">
        <v>76.593045241557505</v>
      </c>
      <c r="BO5" s="29">
        <v>76.855248260458424</v>
      </c>
      <c r="BP5" s="29">
        <v>77.103971925691567</v>
      </c>
      <c r="BQ5" s="29">
        <v>77.346813648796811</v>
      </c>
      <c r="BR5" s="29">
        <v>77.582133863107416</v>
      </c>
      <c r="BS5" s="29">
        <v>77.779342463366504</v>
      </c>
      <c r="BT5" s="30">
        <v>77.992183700703706</v>
      </c>
      <c r="BU5" s="29">
        <v>78.150241056887253</v>
      </c>
      <c r="BV5" s="29">
        <v>78.373775753671111</v>
      </c>
      <c r="BW5" s="29">
        <v>78.582137040165321</v>
      </c>
      <c r="BX5" s="29">
        <v>78.784117783718102</v>
      </c>
      <c r="BY5" s="29">
        <v>78.96519996584486</v>
      </c>
      <c r="BZ5" s="29">
        <v>79.162343622407988</v>
      </c>
      <c r="CA5" s="29">
        <v>79.331351418717773</v>
      </c>
      <c r="CB5" s="29">
        <v>79.502093359998341</v>
      </c>
      <c r="CC5" s="29">
        <v>79.703842385245466</v>
      </c>
      <c r="CD5" s="29">
        <v>79.925373825376099</v>
      </c>
      <c r="CE5" s="29">
        <v>80.110739035640563</v>
      </c>
      <c r="CF5" s="29">
        <v>80.317083561503992</v>
      </c>
      <c r="CG5" s="29">
        <v>80.519869694060162</v>
      </c>
      <c r="CH5" s="29">
        <v>80.708995573934047</v>
      </c>
      <c r="CI5" s="29">
        <v>80.940222032444481</v>
      </c>
      <c r="CJ5" s="29">
        <v>81.116363086803773</v>
      </c>
      <c r="CK5" s="29">
        <v>81.299338206191678</v>
      </c>
      <c r="CL5" s="29">
        <v>81.516603691775146</v>
      </c>
      <c r="CM5" s="29">
        <v>81.706526564603024</v>
      </c>
      <c r="CN5" s="29">
        <v>81.886320703008764</v>
      </c>
      <c r="CO5" s="29">
        <v>82.0729931674488</v>
      </c>
      <c r="CP5" s="29">
        <v>82.251560688463883</v>
      </c>
      <c r="CQ5" s="29">
        <v>82.436107420896306</v>
      </c>
      <c r="CR5" s="29">
        <v>82.59183238486105</v>
      </c>
      <c r="CS5" s="29">
        <v>82.777612409811709</v>
      </c>
      <c r="CT5" s="29">
        <v>82.947150893275165</v>
      </c>
      <c r="CU5" s="29">
        <v>83.118690578937588</v>
      </c>
      <c r="CV5" s="29">
        <v>83.280583874938728</v>
      </c>
      <c r="CW5" s="29">
        <v>83.434846348619246</v>
      </c>
      <c r="CX5" s="29">
        <v>83.60365797648555</v>
      </c>
      <c r="CY5" s="29">
        <v>83.760310310586959</v>
      </c>
      <c r="CZ5" s="29">
        <v>83.923324158775117</v>
      </c>
      <c r="DA5" s="29">
        <v>84.080659646492009</v>
      </c>
      <c r="DB5" s="29">
        <v>84.252330837153309</v>
      </c>
      <c r="DC5" s="29">
        <v>84.406939733257303</v>
      </c>
      <c r="DD5" s="29">
        <v>84.5663128496263</v>
      </c>
      <c r="DE5" s="29">
        <v>84.724773221674113</v>
      </c>
      <c r="DF5" s="29">
        <v>84.877267296362561</v>
      </c>
      <c r="DG5" s="29">
        <v>85.034147312496799</v>
      </c>
      <c r="DH5" s="29">
        <v>85.179598438221731</v>
      </c>
      <c r="DI5" s="29">
        <v>85.328313170928027</v>
      </c>
      <c r="DJ5" s="29">
        <v>85.483184394168063</v>
      </c>
      <c r="DK5" s="29">
        <v>85.63619966960735</v>
      </c>
      <c r="DL5" s="29">
        <v>85.781435842825445</v>
      </c>
      <c r="DM5" s="29">
        <v>85.921451709195409</v>
      </c>
      <c r="DN5" s="29">
        <v>86.073703040068011</v>
      </c>
      <c r="DO5" s="29">
        <v>86.218110578519969</v>
      </c>
      <c r="DP5" s="29">
        <v>86.357877184227817</v>
      </c>
      <c r="DQ5" s="29">
        <v>86.499897111411869</v>
      </c>
      <c r="DR5" s="29">
        <v>86.640058001004263</v>
      </c>
      <c r="DS5">
        <v>86.778839517265624</v>
      </c>
      <c r="DT5">
        <v>86.91625692613907</v>
      </c>
      <c r="DU5">
        <v>87.052324699312095</v>
      </c>
    </row>
    <row r="6" spans="1:125">
      <c r="A6" s="27">
        <v>4</v>
      </c>
      <c r="B6" s="28"/>
      <c r="C6" s="28"/>
      <c r="D6" s="28"/>
      <c r="E6" s="28"/>
      <c r="F6" s="28"/>
      <c r="G6" s="28"/>
      <c r="H6" s="28"/>
      <c r="I6" s="28"/>
      <c r="J6" s="28"/>
      <c r="K6" s="28"/>
      <c r="L6" s="28"/>
      <c r="M6" s="28"/>
      <c r="N6" s="28"/>
      <c r="O6" s="28"/>
      <c r="P6" s="28"/>
      <c r="Q6" s="28"/>
      <c r="R6" s="28"/>
      <c r="S6" s="28"/>
      <c r="T6" s="28"/>
      <c r="U6" s="28"/>
      <c r="V6" s="29"/>
      <c r="W6" s="29">
        <v>66.09</v>
      </c>
      <c r="X6" s="29">
        <v>66.31</v>
      </c>
      <c r="Y6" s="29">
        <v>66.368952781738599</v>
      </c>
      <c r="Z6" s="29">
        <v>66.595523190272985</v>
      </c>
      <c r="AA6" s="29">
        <v>66.836722706026421</v>
      </c>
      <c r="AB6" s="29">
        <v>67.11571926038738</v>
      </c>
      <c r="AC6" s="29">
        <v>67.24486073945809</v>
      </c>
      <c r="AD6" s="29">
        <v>67.337635809581442</v>
      </c>
      <c r="AE6" s="29">
        <v>67.554093659923865</v>
      </c>
      <c r="AF6" s="29">
        <v>67.846426765668284</v>
      </c>
      <c r="AG6" s="29">
        <v>68.150391844984341</v>
      </c>
      <c r="AH6" s="29">
        <v>68.532509640706536</v>
      </c>
      <c r="AI6" s="29">
        <v>68.869803205472891</v>
      </c>
      <c r="AJ6" s="29">
        <v>69.245399190485259</v>
      </c>
      <c r="AK6" s="29">
        <v>69.533813074665929</v>
      </c>
      <c r="AL6" s="29">
        <v>69.904006204353905</v>
      </c>
      <c r="AM6" s="29">
        <v>70.289010563566976</v>
      </c>
      <c r="AN6" s="29">
        <v>70.558501556351089</v>
      </c>
      <c r="AO6" s="29">
        <v>70.743442373368239</v>
      </c>
      <c r="AP6" s="29">
        <v>71.028465673068069</v>
      </c>
      <c r="AQ6" s="29">
        <v>71.317627387528105</v>
      </c>
      <c r="AR6" s="29">
        <v>71.795511316457564</v>
      </c>
      <c r="AS6" s="29">
        <v>71.912952829305112</v>
      </c>
      <c r="AT6" s="29">
        <v>72.127806237952541</v>
      </c>
      <c r="AU6" s="29">
        <v>72.215274248434042</v>
      </c>
      <c r="AV6" s="29">
        <v>72.285149212418261</v>
      </c>
      <c r="AW6" s="29">
        <v>72.649096817311872</v>
      </c>
      <c r="AX6" s="29">
        <v>72.816456079217801</v>
      </c>
      <c r="AY6" s="29">
        <v>72.881631374204616</v>
      </c>
      <c r="AZ6" s="29">
        <v>72.884538707996853</v>
      </c>
      <c r="BA6" s="29">
        <v>72.908427275759109</v>
      </c>
      <c r="BB6" s="29">
        <v>73.053120465573755</v>
      </c>
      <c r="BC6" s="29">
        <v>73.152411672908229</v>
      </c>
      <c r="BD6" s="29">
        <v>73.30039913287942</v>
      </c>
      <c r="BE6" s="29">
        <v>73.479123210121713</v>
      </c>
      <c r="BF6" s="29">
        <v>73.681645920603202</v>
      </c>
      <c r="BG6" s="29">
        <v>73.822070410180558</v>
      </c>
      <c r="BH6" s="29">
        <v>74.140395368995868</v>
      </c>
      <c r="BI6" s="29">
        <v>74.326592856513685</v>
      </c>
      <c r="BJ6" s="29">
        <v>74.596066433883507</v>
      </c>
      <c r="BK6" s="29">
        <v>74.816377528003883</v>
      </c>
      <c r="BL6" s="29">
        <v>75.114145608098539</v>
      </c>
      <c r="BM6" s="29">
        <v>75.412297178991423</v>
      </c>
      <c r="BN6" s="29">
        <v>75.660579651080241</v>
      </c>
      <c r="BO6" s="29">
        <v>75.919901772432866</v>
      </c>
      <c r="BP6" s="29">
        <v>76.170506033373641</v>
      </c>
      <c r="BQ6" s="29">
        <v>76.411991030864144</v>
      </c>
      <c r="BR6" s="29">
        <v>76.646444124380025</v>
      </c>
      <c r="BS6" s="29">
        <v>76.845005088394771</v>
      </c>
      <c r="BT6" s="30">
        <v>77.048394013007851</v>
      </c>
      <c r="BU6" s="29">
        <v>77.206498414254824</v>
      </c>
      <c r="BV6" s="29">
        <v>77.424420084089803</v>
      </c>
      <c r="BW6" s="29">
        <v>77.634530073555354</v>
      </c>
      <c r="BX6" s="29">
        <v>77.828946074291437</v>
      </c>
      <c r="BY6" s="29">
        <v>78.012177298243842</v>
      </c>
      <c r="BZ6" s="29">
        <v>78.205763431818454</v>
      </c>
      <c r="CA6" s="29">
        <v>78.376633470590079</v>
      </c>
      <c r="CB6" s="29">
        <v>78.542302737952468</v>
      </c>
      <c r="CC6" s="29">
        <v>78.74738867124907</v>
      </c>
      <c r="CD6" s="29">
        <v>78.958364265779295</v>
      </c>
      <c r="CE6" s="29">
        <v>79.144932753912656</v>
      </c>
      <c r="CF6" s="29">
        <v>79.345399904859292</v>
      </c>
      <c r="CG6" s="29">
        <v>79.551780787968852</v>
      </c>
      <c r="CH6" s="29">
        <v>79.736603120152651</v>
      </c>
      <c r="CI6" s="29">
        <v>79.968073494954396</v>
      </c>
      <c r="CJ6" s="29">
        <v>80.147418896013392</v>
      </c>
      <c r="CK6" s="29">
        <v>80.33081520206072</v>
      </c>
      <c r="CL6" s="29">
        <v>80.543793365572597</v>
      </c>
      <c r="CM6" s="29">
        <v>80.731995342377971</v>
      </c>
      <c r="CN6" s="29">
        <v>80.909203192733244</v>
      </c>
      <c r="CO6" s="29">
        <v>81.093635495179456</v>
      </c>
      <c r="CP6" s="29">
        <v>81.273734158825349</v>
      </c>
      <c r="CQ6" s="29">
        <v>81.456969167133948</v>
      </c>
      <c r="CR6" s="29">
        <v>81.609851931383872</v>
      </c>
      <c r="CS6" s="29">
        <v>81.793635860973581</v>
      </c>
      <c r="CT6" s="29">
        <v>81.965825185527535</v>
      </c>
      <c r="CU6" s="29">
        <v>82.136672492130572</v>
      </c>
      <c r="CV6" s="29">
        <v>82.298513889247644</v>
      </c>
      <c r="CW6" s="29">
        <v>82.452276000035781</v>
      </c>
      <c r="CX6" s="29">
        <v>82.618764871326945</v>
      </c>
      <c r="CY6" s="29">
        <v>82.775413606286051</v>
      </c>
      <c r="CZ6" s="29">
        <v>82.936570179164633</v>
      </c>
      <c r="DA6" s="29">
        <v>83.093738960445663</v>
      </c>
      <c r="DB6" s="29">
        <v>83.265238710191483</v>
      </c>
      <c r="DC6" s="29">
        <v>83.418574841564379</v>
      </c>
      <c r="DD6" s="29">
        <v>83.578143322320074</v>
      </c>
      <c r="DE6" s="29">
        <v>83.738139155116073</v>
      </c>
      <c r="DF6" s="29">
        <v>83.885621971652185</v>
      </c>
      <c r="DG6" s="29">
        <v>84.046126181805661</v>
      </c>
      <c r="DH6" s="29">
        <v>84.191578597359708</v>
      </c>
      <c r="DI6" s="29">
        <v>84.339729476653901</v>
      </c>
      <c r="DJ6" s="29">
        <v>84.494109467842165</v>
      </c>
      <c r="DK6" s="29">
        <v>84.644865488723724</v>
      </c>
      <c r="DL6" s="29">
        <v>84.789295601283513</v>
      </c>
      <c r="DM6" s="29">
        <v>84.933229606913642</v>
      </c>
      <c r="DN6" s="29">
        <v>85.083014909789469</v>
      </c>
      <c r="DO6" s="29">
        <v>85.226608370698997</v>
      </c>
      <c r="DP6" s="29">
        <v>85.368884065218197</v>
      </c>
      <c r="DQ6" s="29">
        <v>85.510002227041923</v>
      </c>
      <c r="DR6" s="29">
        <v>85.649742905296208</v>
      </c>
      <c r="DS6">
        <v>85.788121513356501</v>
      </c>
      <c r="DT6">
        <v>85.925152614106906</v>
      </c>
      <c r="DU6">
        <v>86.060850004156251</v>
      </c>
    </row>
    <row r="7" spans="1:125">
      <c r="A7" s="27">
        <v>5</v>
      </c>
      <c r="B7" s="28"/>
      <c r="C7" s="28"/>
      <c r="D7" s="28"/>
      <c r="E7" s="28"/>
      <c r="F7" s="28"/>
      <c r="G7" s="28"/>
      <c r="H7" s="28"/>
      <c r="I7" s="28"/>
      <c r="J7" s="28"/>
      <c r="K7" s="28"/>
      <c r="L7" s="28"/>
      <c r="M7" s="28"/>
      <c r="N7" s="28"/>
      <c r="O7" s="28"/>
      <c r="P7" s="28"/>
      <c r="Q7" s="28"/>
      <c r="R7" s="28"/>
      <c r="S7" s="28"/>
      <c r="T7" s="28"/>
      <c r="U7" s="28"/>
      <c r="V7" s="29"/>
      <c r="W7" s="29">
        <v>65.3</v>
      </c>
      <c r="X7" s="29">
        <v>65.52</v>
      </c>
      <c r="Y7" s="29">
        <v>65.591493943967521</v>
      </c>
      <c r="Z7" s="29">
        <v>65.811009240324907</v>
      </c>
      <c r="AA7" s="29">
        <v>66.089664721836428</v>
      </c>
      <c r="AB7" s="29">
        <v>66.347063804547503</v>
      </c>
      <c r="AC7" s="29">
        <v>66.444104046895674</v>
      </c>
      <c r="AD7" s="29">
        <v>66.521274100617134</v>
      </c>
      <c r="AE7" s="29">
        <v>66.738326675013397</v>
      </c>
      <c r="AF7" s="29">
        <v>67.031462974217632</v>
      </c>
      <c r="AG7" s="29">
        <v>67.36883324113515</v>
      </c>
      <c r="AH7" s="29">
        <v>67.756332140034786</v>
      </c>
      <c r="AI7" s="29">
        <v>68.078064659801356</v>
      </c>
      <c r="AJ7" s="29">
        <v>68.442233981885181</v>
      </c>
      <c r="AK7" s="29">
        <v>68.748305190155264</v>
      </c>
      <c r="AL7" s="29">
        <v>69.119648531659593</v>
      </c>
      <c r="AM7" s="29">
        <v>69.505849122049867</v>
      </c>
      <c r="AN7" s="29">
        <v>69.776177439191017</v>
      </c>
      <c r="AO7" s="29">
        <v>69.983592544751744</v>
      </c>
      <c r="AP7" s="29">
        <v>70.302598721164742</v>
      </c>
      <c r="AQ7" s="29">
        <v>70.648192727636143</v>
      </c>
      <c r="AR7" s="29">
        <v>71.005021028069805</v>
      </c>
      <c r="AS7" s="29">
        <v>71.122807655736423</v>
      </c>
      <c r="AT7" s="29">
        <v>71.261230107504431</v>
      </c>
      <c r="AU7" s="29">
        <v>71.32516675356699</v>
      </c>
      <c r="AV7" s="29">
        <v>71.395148790067054</v>
      </c>
      <c r="AW7" s="29">
        <v>71.759654088066611</v>
      </c>
      <c r="AX7" s="29">
        <v>71.905115587192043</v>
      </c>
      <c r="AY7" s="29">
        <v>71.968868212871172</v>
      </c>
      <c r="AZ7" s="29">
        <v>71.96108940247214</v>
      </c>
      <c r="BA7" s="29">
        <v>71.980853351804811</v>
      </c>
      <c r="BB7" s="29">
        <v>72.12389399788961</v>
      </c>
      <c r="BC7" s="29">
        <v>72.220760651786975</v>
      </c>
      <c r="BD7" s="29">
        <v>72.371471836240204</v>
      </c>
      <c r="BE7" s="29">
        <v>72.544554694739276</v>
      </c>
      <c r="BF7" s="29">
        <v>72.746060589613535</v>
      </c>
      <c r="BG7" s="29">
        <v>72.888931702813949</v>
      </c>
      <c r="BH7" s="29">
        <v>73.19534876385697</v>
      </c>
      <c r="BI7" s="29">
        <v>73.384616115124615</v>
      </c>
      <c r="BJ7" s="29">
        <v>73.656731435225709</v>
      </c>
      <c r="BK7" s="29">
        <v>73.875720480376998</v>
      </c>
      <c r="BL7" s="29">
        <v>74.171646537688929</v>
      </c>
      <c r="BM7" s="29">
        <v>74.470990995958829</v>
      </c>
      <c r="BN7" s="29">
        <v>74.71687030256345</v>
      </c>
      <c r="BO7" s="29">
        <v>74.980262908861391</v>
      </c>
      <c r="BP7" s="29">
        <v>75.230686376965153</v>
      </c>
      <c r="BQ7" s="29">
        <v>75.466575630690059</v>
      </c>
      <c r="BR7" s="29">
        <v>75.699932119783398</v>
      </c>
      <c r="BS7" s="29">
        <v>75.894680988619299</v>
      </c>
      <c r="BT7" s="30">
        <v>76.092236589199288</v>
      </c>
      <c r="BU7" s="29">
        <v>76.252589493295773</v>
      </c>
      <c r="BV7" s="29">
        <v>76.466794527371192</v>
      </c>
      <c r="BW7" s="29">
        <v>76.67653957530537</v>
      </c>
      <c r="BX7" s="29">
        <v>76.871343982136253</v>
      </c>
      <c r="BY7" s="29">
        <v>77.052798078874048</v>
      </c>
      <c r="BZ7" s="29">
        <v>77.239413080392993</v>
      </c>
      <c r="CA7" s="29">
        <v>77.409408226819139</v>
      </c>
      <c r="CB7" s="29">
        <v>77.572820804794631</v>
      </c>
      <c r="CC7" s="29">
        <v>77.77541091732202</v>
      </c>
      <c r="CD7" s="29">
        <v>77.987480027161496</v>
      </c>
      <c r="CE7" s="29">
        <v>78.174694162403455</v>
      </c>
      <c r="CF7" s="29">
        <v>78.373989262566312</v>
      </c>
      <c r="CG7" s="29">
        <v>78.574684539109228</v>
      </c>
      <c r="CH7" s="29">
        <v>78.763343399627473</v>
      </c>
      <c r="CI7" s="29">
        <v>78.99293578737138</v>
      </c>
      <c r="CJ7" s="29">
        <v>79.169367227321587</v>
      </c>
      <c r="CK7" s="29">
        <v>79.352593067019043</v>
      </c>
      <c r="CL7" s="29">
        <v>79.563029943201343</v>
      </c>
      <c r="CM7" s="29">
        <v>79.752868673907329</v>
      </c>
      <c r="CN7" s="29">
        <v>79.928021444486532</v>
      </c>
      <c r="CO7" s="29">
        <v>80.108970281529508</v>
      </c>
      <c r="CP7" s="29">
        <v>80.291177663032485</v>
      </c>
      <c r="CQ7" s="29">
        <v>80.469975140807136</v>
      </c>
      <c r="CR7" s="29">
        <v>80.625221923873937</v>
      </c>
      <c r="CS7" s="29">
        <v>80.807172028943441</v>
      </c>
      <c r="CT7" s="29">
        <v>80.978911810254928</v>
      </c>
      <c r="CU7" s="29">
        <v>81.146606958537475</v>
      </c>
      <c r="CV7" s="29">
        <v>81.309964981068376</v>
      </c>
      <c r="CW7" s="29">
        <v>81.464563012784112</v>
      </c>
      <c r="CX7" s="29">
        <v>81.630366719924552</v>
      </c>
      <c r="CY7" s="29">
        <v>81.787307937470828</v>
      </c>
      <c r="CZ7" s="29">
        <v>81.947669996877039</v>
      </c>
      <c r="DA7" s="29">
        <v>82.106444249700061</v>
      </c>
      <c r="DB7" s="29">
        <v>82.276181118078071</v>
      </c>
      <c r="DC7" s="29">
        <v>82.429830494090567</v>
      </c>
      <c r="DD7" s="29">
        <v>82.588677620406941</v>
      </c>
      <c r="DE7" s="29">
        <v>82.748012593419148</v>
      </c>
      <c r="DF7" s="29">
        <v>82.895942257401344</v>
      </c>
      <c r="DG7" s="29">
        <v>83.053313218404057</v>
      </c>
      <c r="DH7" s="29">
        <v>83.202102008575849</v>
      </c>
      <c r="DI7" s="29">
        <v>83.351207127379951</v>
      </c>
      <c r="DJ7" s="29">
        <v>83.501780348207021</v>
      </c>
      <c r="DK7" s="29">
        <v>83.652675844271016</v>
      </c>
      <c r="DL7" s="29">
        <v>83.799358869900715</v>
      </c>
      <c r="DM7" s="29">
        <v>83.943950886442465</v>
      </c>
      <c r="DN7" s="29">
        <v>84.091971136791642</v>
      </c>
      <c r="DO7" s="29">
        <v>84.23492717923024</v>
      </c>
      <c r="DP7" s="29">
        <v>84.377089273805694</v>
      </c>
      <c r="DQ7" s="29">
        <v>84.517871777458978</v>
      </c>
      <c r="DR7" s="29">
        <v>84.657290387048874</v>
      </c>
      <c r="DS7">
        <v>84.795359973519155</v>
      </c>
      <c r="DT7">
        <v>84.932094578490236</v>
      </c>
      <c r="DU7">
        <v>85.067507497686805</v>
      </c>
    </row>
    <row r="8" spans="1:125">
      <c r="A8" s="27">
        <v>6</v>
      </c>
      <c r="B8" s="28"/>
      <c r="C8" s="28"/>
      <c r="D8" s="28"/>
      <c r="E8" s="28"/>
      <c r="F8" s="28"/>
      <c r="G8" s="28"/>
      <c r="H8" s="28"/>
      <c r="I8" s="28"/>
      <c r="J8" s="28"/>
      <c r="K8" s="28"/>
      <c r="L8" s="28"/>
      <c r="M8" s="28"/>
      <c r="N8" s="28"/>
      <c r="O8" s="28"/>
      <c r="P8" s="28"/>
      <c r="Q8" s="28"/>
      <c r="R8" s="28"/>
      <c r="S8" s="28"/>
      <c r="T8" s="28"/>
      <c r="U8" s="28"/>
      <c r="V8" s="29"/>
      <c r="W8" s="29">
        <v>64.459999999999994</v>
      </c>
      <c r="X8" s="29">
        <v>64.69</v>
      </c>
      <c r="Y8" s="29">
        <v>64.762486471283793</v>
      </c>
      <c r="Z8" s="29">
        <v>65.011646994348766</v>
      </c>
      <c r="AA8" s="29">
        <v>65.282427974907435</v>
      </c>
      <c r="AB8" s="29">
        <v>65.513420800498537</v>
      </c>
      <c r="AC8" s="29">
        <v>65.597450131200063</v>
      </c>
      <c r="AD8" s="29">
        <v>65.674799635772132</v>
      </c>
      <c r="AE8" s="29">
        <v>65.892356943121442</v>
      </c>
      <c r="AF8" s="29">
        <v>66.213271489704354</v>
      </c>
      <c r="AG8" s="29">
        <v>66.555011711870009</v>
      </c>
      <c r="AH8" s="29">
        <v>66.929717503968519</v>
      </c>
      <c r="AI8" s="29">
        <v>67.241825791904233</v>
      </c>
      <c r="AJ8" s="29">
        <v>67.620890935886564</v>
      </c>
      <c r="AK8" s="29">
        <v>67.927766971236551</v>
      </c>
      <c r="AL8" s="29">
        <v>68.300086775632863</v>
      </c>
      <c r="AM8" s="29">
        <v>68.687302896674211</v>
      </c>
      <c r="AN8" s="29">
        <v>68.976611219794449</v>
      </c>
      <c r="AO8" s="29">
        <v>69.21213030840137</v>
      </c>
      <c r="AP8" s="29">
        <v>69.578284476463907</v>
      </c>
      <c r="AQ8" s="29">
        <v>69.808496098741273</v>
      </c>
      <c r="AR8" s="29">
        <v>70.166139826875067</v>
      </c>
      <c r="AS8" s="29">
        <v>70.2251333403091</v>
      </c>
      <c r="AT8" s="29">
        <v>70.346954922961217</v>
      </c>
      <c r="AU8" s="29">
        <v>70.410969026088551</v>
      </c>
      <c r="AV8" s="29">
        <v>70.481035843437624</v>
      </c>
      <c r="AW8" s="29">
        <v>70.827855127939557</v>
      </c>
      <c r="AX8" s="29">
        <v>70.97352301272872</v>
      </c>
      <c r="AY8" s="29">
        <v>71.036762770055333</v>
      </c>
      <c r="AZ8" s="29">
        <v>71.028757671919166</v>
      </c>
      <c r="BA8" s="29">
        <v>71.043313233123627</v>
      </c>
      <c r="BB8" s="29">
        <v>71.183126336835358</v>
      </c>
      <c r="BC8" s="29">
        <v>71.272283704788919</v>
      </c>
      <c r="BD8" s="29">
        <v>71.428241516853276</v>
      </c>
      <c r="BE8" s="29">
        <v>71.602426055534323</v>
      </c>
      <c r="BF8" s="29">
        <v>71.801881457435485</v>
      </c>
      <c r="BG8" s="29">
        <v>71.940932022562407</v>
      </c>
      <c r="BH8" s="29">
        <v>72.248543917321996</v>
      </c>
      <c r="BI8" s="29">
        <v>72.433319886461632</v>
      </c>
      <c r="BJ8" s="29">
        <v>72.706350591427707</v>
      </c>
      <c r="BK8" s="29">
        <v>72.928299396063622</v>
      </c>
      <c r="BL8" s="29">
        <v>73.225743214544437</v>
      </c>
      <c r="BM8" s="29">
        <v>73.522416480220755</v>
      </c>
      <c r="BN8" s="29">
        <v>73.774588308654657</v>
      </c>
      <c r="BO8" s="29">
        <v>74.030013338883847</v>
      </c>
      <c r="BP8" s="29">
        <v>74.280938076172589</v>
      </c>
      <c r="BQ8" s="29">
        <v>74.515205984747254</v>
      </c>
      <c r="BR8" s="29">
        <v>74.744224291313955</v>
      </c>
      <c r="BS8" s="29">
        <v>74.941161578190005</v>
      </c>
      <c r="BT8" s="30">
        <v>75.135237012946305</v>
      </c>
      <c r="BU8" s="29">
        <v>75.294164198348</v>
      </c>
      <c r="BV8" s="29">
        <v>75.504289190942771</v>
      </c>
      <c r="BW8" s="29">
        <v>75.71288848422337</v>
      </c>
      <c r="BX8" s="29">
        <v>75.908281702248573</v>
      </c>
      <c r="BY8" s="29">
        <v>76.089822021272568</v>
      </c>
      <c r="BZ8" s="29">
        <v>76.269832438228974</v>
      </c>
      <c r="CA8" s="29">
        <v>76.4394378502747</v>
      </c>
      <c r="CB8" s="29">
        <v>76.599146395509038</v>
      </c>
      <c r="CC8" s="29">
        <v>76.800225961628328</v>
      </c>
      <c r="CD8" s="29">
        <v>77.009470583580367</v>
      </c>
      <c r="CE8" s="29">
        <v>77.198594054476615</v>
      </c>
      <c r="CF8" s="29">
        <v>77.398171763358775</v>
      </c>
      <c r="CG8" s="29">
        <v>77.596704241274907</v>
      </c>
      <c r="CH8" s="29">
        <v>77.785148712069926</v>
      </c>
      <c r="CI8" s="29">
        <v>78.014817147128824</v>
      </c>
      <c r="CJ8" s="29">
        <v>78.190245641149971</v>
      </c>
      <c r="CK8" s="29">
        <v>78.368648766634536</v>
      </c>
      <c r="CL8" s="29">
        <v>78.578125420677608</v>
      </c>
      <c r="CM8" s="29">
        <v>78.769693222421395</v>
      </c>
      <c r="CN8" s="29">
        <v>78.94486261776477</v>
      </c>
      <c r="CO8" s="29">
        <v>79.121177713177445</v>
      </c>
      <c r="CP8" s="29">
        <v>79.30483371702222</v>
      </c>
      <c r="CQ8" s="29">
        <v>79.480327036418942</v>
      </c>
      <c r="CR8" s="29">
        <v>79.633989847524816</v>
      </c>
      <c r="CS8" s="29">
        <v>79.818301113692527</v>
      </c>
      <c r="CT8" s="29">
        <v>79.990637746562797</v>
      </c>
      <c r="CU8" s="29">
        <v>80.156590225570014</v>
      </c>
      <c r="CV8" s="29">
        <v>80.320671261655207</v>
      </c>
      <c r="CW8" s="29">
        <v>80.476093710348678</v>
      </c>
      <c r="CX8" s="29">
        <v>80.638147197486859</v>
      </c>
      <c r="CY8" s="29">
        <v>80.799924943685511</v>
      </c>
      <c r="CZ8" s="29">
        <v>80.957109654383331</v>
      </c>
      <c r="DA8" s="29">
        <v>81.115646372418993</v>
      </c>
      <c r="DB8" s="29">
        <v>81.284742093280087</v>
      </c>
      <c r="DC8" s="29">
        <v>81.439378149757303</v>
      </c>
      <c r="DD8" s="29">
        <v>81.59834914740037</v>
      </c>
      <c r="DE8" s="29">
        <v>81.757257494385286</v>
      </c>
      <c r="DF8" s="29">
        <v>81.903764986448948</v>
      </c>
      <c r="DG8" s="29">
        <v>82.060794823199927</v>
      </c>
      <c r="DH8" s="29">
        <v>82.209997805716171</v>
      </c>
      <c r="DI8" s="29">
        <v>82.360312268481735</v>
      </c>
      <c r="DJ8" s="29">
        <v>82.509503799577729</v>
      </c>
      <c r="DK8" s="29">
        <v>82.65902185667521</v>
      </c>
      <c r="DL8" s="29">
        <v>82.80714068226618</v>
      </c>
      <c r="DM8" s="29">
        <v>82.953253940587274</v>
      </c>
      <c r="DN8" s="29">
        <v>83.09854658826869</v>
      </c>
      <c r="DO8" s="29">
        <v>83.241816055724698</v>
      </c>
      <c r="DP8" s="29">
        <v>83.3837010128683</v>
      </c>
      <c r="DQ8" s="29">
        <v>83.524217406734351</v>
      </c>
      <c r="DR8" s="29">
        <v>83.663380501986325</v>
      </c>
      <c r="DS8">
        <v>83.801204753903662</v>
      </c>
      <c r="DT8">
        <v>83.93770380436672</v>
      </c>
      <c r="DU8">
        <v>84.072890564704224</v>
      </c>
    </row>
    <row r="9" spans="1:125">
      <c r="A9" s="27">
        <v>7</v>
      </c>
      <c r="B9" s="28"/>
      <c r="C9" s="28"/>
      <c r="D9" s="28"/>
      <c r="E9" s="28"/>
      <c r="F9" s="28"/>
      <c r="G9" s="28"/>
      <c r="H9" s="28"/>
      <c r="I9" s="28"/>
      <c r="J9" s="28"/>
      <c r="K9" s="28"/>
      <c r="L9" s="28"/>
      <c r="M9" s="28"/>
      <c r="N9" s="28"/>
      <c r="O9" s="28"/>
      <c r="P9" s="28"/>
      <c r="Q9" s="28"/>
      <c r="R9" s="28"/>
      <c r="S9" s="28"/>
      <c r="T9" s="28"/>
      <c r="U9" s="28"/>
      <c r="V9" s="29"/>
      <c r="W9" s="29">
        <v>63.59</v>
      </c>
      <c r="X9" s="29">
        <v>63.84</v>
      </c>
      <c r="Y9" s="29">
        <v>63.934211700451762</v>
      </c>
      <c r="Z9" s="29">
        <v>64.185672965991827</v>
      </c>
      <c r="AA9" s="29">
        <v>64.432660389155117</v>
      </c>
      <c r="AB9" s="29">
        <v>64.652194975796988</v>
      </c>
      <c r="AC9" s="29">
        <v>64.736403671019346</v>
      </c>
      <c r="AD9" s="29">
        <v>64.813918281712176</v>
      </c>
      <c r="AE9" s="29">
        <v>65.056381387117995</v>
      </c>
      <c r="AF9" s="29">
        <v>65.381210428424865</v>
      </c>
      <c r="AG9" s="29">
        <v>65.711321065007681</v>
      </c>
      <c r="AH9" s="29">
        <v>66.07748296223825</v>
      </c>
      <c r="AI9" s="29">
        <v>66.402918650737092</v>
      </c>
      <c r="AJ9" s="29">
        <v>66.782898733545309</v>
      </c>
      <c r="AK9" s="29">
        <v>67.090515466909693</v>
      </c>
      <c r="AL9" s="29">
        <v>67.463733929096364</v>
      </c>
      <c r="AM9" s="29">
        <v>67.868386547002785</v>
      </c>
      <c r="AN9" s="29">
        <v>68.183336038002679</v>
      </c>
      <c r="AO9" s="29">
        <v>68.461203689839607</v>
      </c>
      <c r="AP9" s="29">
        <v>68.710476486553219</v>
      </c>
      <c r="AQ9" s="29">
        <v>68.941128654471314</v>
      </c>
      <c r="AR9" s="29">
        <v>69.250678970401779</v>
      </c>
      <c r="AS9" s="29">
        <v>69.296325592413353</v>
      </c>
      <c r="AT9" s="29">
        <v>69.418271559952373</v>
      </c>
      <c r="AU9" s="29">
        <v>69.48235102413318</v>
      </c>
      <c r="AV9" s="29">
        <v>69.540584268922046</v>
      </c>
      <c r="AW9" s="29">
        <v>69.88412712895574</v>
      </c>
      <c r="AX9" s="29">
        <v>70.028415170947184</v>
      </c>
      <c r="AY9" s="29">
        <v>70.093468447066144</v>
      </c>
      <c r="AZ9" s="29">
        <v>70.087203426364297</v>
      </c>
      <c r="BA9" s="29">
        <v>70.096529289469487</v>
      </c>
      <c r="BB9" s="29">
        <v>70.231518709924799</v>
      </c>
      <c r="BC9" s="29">
        <v>70.318183065435605</v>
      </c>
      <c r="BD9" s="29">
        <v>70.481524775896446</v>
      </c>
      <c r="BE9" s="29">
        <v>70.653058251885327</v>
      </c>
      <c r="BF9" s="29">
        <v>70.849485547901281</v>
      </c>
      <c r="BG9" s="29">
        <v>70.987334176966215</v>
      </c>
      <c r="BH9" s="29">
        <v>71.293422659104678</v>
      </c>
      <c r="BI9" s="29">
        <v>71.479460566311829</v>
      </c>
      <c r="BJ9" s="29">
        <v>71.753211056911098</v>
      </c>
      <c r="BK9" s="29">
        <v>71.978105812769016</v>
      </c>
      <c r="BL9" s="29">
        <v>72.27543648664053</v>
      </c>
      <c r="BM9" s="29">
        <v>72.569082222737947</v>
      </c>
      <c r="BN9" s="29">
        <v>72.822131780025344</v>
      </c>
      <c r="BO9" s="29">
        <v>73.080153202632502</v>
      </c>
      <c r="BP9" s="29">
        <v>73.327274922878544</v>
      </c>
      <c r="BQ9" s="29">
        <v>73.553038326998191</v>
      </c>
      <c r="BR9" s="29">
        <v>73.78609810348361</v>
      </c>
      <c r="BS9" s="29">
        <v>73.978832856285962</v>
      </c>
      <c r="BT9" s="30">
        <v>74.173489233451818</v>
      </c>
      <c r="BU9" s="29">
        <v>74.328822707505864</v>
      </c>
      <c r="BV9" s="29">
        <v>74.540939985477124</v>
      </c>
      <c r="BW9" s="29">
        <v>74.742870156579428</v>
      </c>
      <c r="BX9" s="29">
        <v>74.938685097892517</v>
      </c>
      <c r="BY9" s="29">
        <v>75.118391408903804</v>
      </c>
      <c r="BZ9" s="29">
        <v>75.294973817719054</v>
      </c>
      <c r="CA9" s="29">
        <v>75.463169610745098</v>
      </c>
      <c r="CB9" s="29">
        <v>75.619002779407509</v>
      </c>
      <c r="CC9" s="29">
        <v>75.822760541759351</v>
      </c>
      <c r="CD9" s="29">
        <v>76.029585437254099</v>
      </c>
      <c r="CE9" s="29">
        <v>76.219226652861963</v>
      </c>
      <c r="CF9" s="29">
        <v>76.419054439004142</v>
      </c>
      <c r="CG9" s="29">
        <v>76.612624848709146</v>
      </c>
      <c r="CH9" s="29">
        <v>76.803735782058126</v>
      </c>
      <c r="CI9" s="29">
        <v>77.030336216001047</v>
      </c>
      <c r="CJ9" s="29">
        <v>77.205904240446273</v>
      </c>
      <c r="CK9" s="29">
        <v>77.385678528769304</v>
      </c>
      <c r="CL9" s="29">
        <v>77.590080335330768</v>
      </c>
      <c r="CM9" s="29">
        <v>77.784082408811884</v>
      </c>
      <c r="CN9" s="29">
        <v>77.957568023324313</v>
      </c>
      <c r="CO9" s="29">
        <v>78.133583232935493</v>
      </c>
      <c r="CP9" s="29">
        <v>78.315741830482224</v>
      </c>
      <c r="CQ9" s="29">
        <v>78.492991648819057</v>
      </c>
      <c r="CR9" s="29">
        <v>78.646188159287135</v>
      </c>
      <c r="CS9" s="29">
        <v>78.82727556008517</v>
      </c>
      <c r="CT9" s="29">
        <v>79.001821064426935</v>
      </c>
      <c r="CU9" s="29">
        <v>79.16530897096446</v>
      </c>
      <c r="CV9" s="29">
        <v>79.329488876131833</v>
      </c>
      <c r="CW9" s="29">
        <v>79.484899038472108</v>
      </c>
      <c r="CX9" s="29">
        <v>79.645037480613439</v>
      </c>
      <c r="CY9" s="29">
        <v>79.809873381235164</v>
      </c>
      <c r="CZ9" s="29">
        <v>79.965586099149732</v>
      </c>
      <c r="DA9" s="29">
        <v>80.122082795671403</v>
      </c>
      <c r="DB9" s="29">
        <v>80.294806491275949</v>
      </c>
      <c r="DC9" s="29">
        <v>80.448102966438469</v>
      </c>
      <c r="DD9" s="29">
        <v>80.60415178841761</v>
      </c>
      <c r="DE9" s="29">
        <v>80.764974491644594</v>
      </c>
      <c r="DF9" s="29">
        <v>80.911187411969919</v>
      </c>
      <c r="DG9" s="29">
        <v>81.068020130671115</v>
      </c>
      <c r="DH9" s="29">
        <v>81.218336708201051</v>
      </c>
      <c r="DI9" s="29">
        <v>81.367442433655214</v>
      </c>
      <c r="DJ9" s="29">
        <v>81.517730181384067</v>
      </c>
      <c r="DK9" s="29">
        <v>81.666330914395743</v>
      </c>
      <c r="DL9" s="29">
        <v>81.812727775313903</v>
      </c>
      <c r="DM9" s="29">
        <v>81.960135096967619</v>
      </c>
      <c r="DN9" s="29">
        <v>82.104557974067859</v>
      </c>
      <c r="DO9" s="29">
        <v>82.247589691922002</v>
      </c>
      <c r="DP9" s="29">
        <v>82.389246193864125</v>
      </c>
      <c r="DQ9" s="29">
        <v>82.529543069437494</v>
      </c>
      <c r="DR9" s="29">
        <v>82.668495239214394</v>
      </c>
      <c r="DS9">
        <v>82.806116827295099</v>
      </c>
      <c r="DT9">
        <v>82.942421156829298</v>
      </c>
      <c r="DU9">
        <v>83.077420832420231</v>
      </c>
    </row>
    <row r="10" spans="1:125">
      <c r="A10" s="27">
        <v>8</v>
      </c>
      <c r="B10" s="28"/>
      <c r="C10" s="28"/>
      <c r="D10" s="28"/>
      <c r="E10" s="28"/>
      <c r="F10" s="28"/>
      <c r="G10" s="28"/>
      <c r="H10" s="28"/>
      <c r="I10" s="28"/>
      <c r="J10" s="28"/>
      <c r="K10" s="28"/>
      <c r="L10" s="28"/>
      <c r="M10" s="28"/>
      <c r="N10" s="28"/>
      <c r="O10" s="28"/>
      <c r="P10" s="28"/>
      <c r="Q10" s="28"/>
      <c r="R10" s="28"/>
      <c r="S10" s="28"/>
      <c r="T10" s="28"/>
      <c r="U10" s="28"/>
      <c r="V10" s="29"/>
      <c r="W10" s="29">
        <v>62.72</v>
      </c>
      <c r="X10" s="29">
        <v>62.98</v>
      </c>
      <c r="Y10" s="29">
        <v>63.06756356447994</v>
      </c>
      <c r="Z10" s="29">
        <v>63.300410441058169</v>
      </c>
      <c r="AA10" s="29">
        <v>63.558214489554643</v>
      </c>
      <c r="AB10" s="29">
        <v>63.778180209006635</v>
      </c>
      <c r="AC10" s="29">
        <v>63.862554277403063</v>
      </c>
      <c r="AD10" s="29">
        <v>63.962010599926053</v>
      </c>
      <c r="AE10" s="29">
        <v>64.198561824650938</v>
      </c>
      <c r="AF10" s="29">
        <v>64.511102741594883</v>
      </c>
      <c r="AG10" s="29">
        <v>64.841874260333014</v>
      </c>
      <c r="AH10" s="29">
        <v>65.215340426796729</v>
      </c>
      <c r="AI10" s="29">
        <v>65.541460248581387</v>
      </c>
      <c r="AJ10" s="29">
        <v>65.922239128300248</v>
      </c>
      <c r="AK10" s="29">
        <v>66.230502535812548</v>
      </c>
      <c r="AL10" s="29">
        <v>66.61861530500623</v>
      </c>
      <c r="AM10" s="29">
        <v>67.04550752723253</v>
      </c>
      <c r="AN10" s="29">
        <v>67.396987213991963</v>
      </c>
      <c r="AO10" s="29">
        <v>67.57420687324921</v>
      </c>
      <c r="AP10" s="29">
        <v>67.823894150843628</v>
      </c>
      <c r="AQ10" s="29">
        <v>68.030159992091583</v>
      </c>
      <c r="AR10" s="29">
        <v>68.315365413890845</v>
      </c>
      <c r="AS10" s="29">
        <v>68.361054984098416</v>
      </c>
      <c r="AT10" s="29">
        <v>68.483115688699755</v>
      </c>
      <c r="AU10" s="29">
        <v>68.533031227620029</v>
      </c>
      <c r="AV10" s="29">
        <v>68.594110515466284</v>
      </c>
      <c r="AW10" s="29">
        <v>68.934681167241607</v>
      </c>
      <c r="AX10" s="29">
        <v>69.074683293389171</v>
      </c>
      <c r="AY10" s="29">
        <v>69.14323038558797</v>
      </c>
      <c r="AZ10" s="29">
        <v>69.138656438050688</v>
      </c>
      <c r="BA10" s="29">
        <v>69.140363324150925</v>
      </c>
      <c r="BB10" s="29">
        <v>69.280003903623737</v>
      </c>
      <c r="BC10" s="29">
        <v>69.360072653991111</v>
      </c>
      <c r="BD10" s="29">
        <v>69.52080867352683</v>
      </c>
      <c r="BE10" s="29">
        <v>69.692116373349933</v>
      </c>
      <c r="BF10" s="29">
        <v>69.894772663162428</v>
      </c>
      <c r="BG10" s="29">
        <v>70.025914992119411</v>
      </c>
      <c r="BH10" s="29">
        <v>70.337775098071162</v>
      </c>
      <c r="BI10" s="29">
        <v>70.522767974925401</v>
      </c>
      <c r="BJ10" s="29">
        <v>70.799920690826923</v>
      </c>
      <c r="BK10" s="29">
        <v>71.017887600845413</v>
      </c>
      <c r="BL10" s="29">
        <v>71.318478302213563</v>
      </c>
      <c r="BM10" s="29">
        <v>71.612104036082712</v>
      </c>
      <c r="BN10" s="29">
        <v>71.864208313911476</v>
      </c>
      <c r="BO10" s="29">
        <v>72.122970266725446</v>
      </c>
      <c r="BP10" s="29">
        <v>72.366287393179178</v>
      </c>
      <c r="BQ10" s="29">
        <v>72.58956502507381</v>
      </c>
      <c r="BR10" s="29">
        <v>72.821121449360987</v>
      </c>
      <c r="BS10" s="29">
        <v>73.012990347170074</v>
      </c>
      <c r="BT10" s="30">
        <v>73.206322008786557</v>
      </c>
      <c r="BU10" s="29">
        <v>73.360611736672467</v>
      </c>
      <c r="BV10" s="29">
        <v>73.573659013147491</v>
      </c>
      <c r="BW10" s="29">
        <v>73.772239706467118</v>
      </c>
      <c r="BX10" s="29">
        <v>73.967656130466537</v>
      </c>
      <c r="BY10" s="29">
        <v>74.144110959876372</v>
      </c>
      <c r="BZ10" s="29">
        <v>74.317008933065324</v>
      </c>
      <c r="CA10" s="29">
        <v>74.484019875124488</v>
      </c>
      <c r="CB10" s="29">
        <v>74.642382466054571</v>
      </c>
      <c r="CC10" s="29">
        <v>74.842046130724498</v>
      </c>
      <c r="CD10" s="29">
        <v>75.048539972793264</v>
      </c>
      <c r="CE10" s="29">
        <v>75.240808701898047</v>
      </c>
      <c r="CF10" s="29">
        <v>75.436515693989492</v>
      </c>
      <c r="CG10" s="29">
        <v>75.633716301331049</v>
      </c>
      <c r="CH10" s="29">
        <v>75.817157738599491</v>
      </c>
      <c r="CI10" s="29">
        <v>76.04427591717689</v>
      </c>
      <c r="CJ10" s="29">
        <v>76.219917865276031</v>
      </c>
      <c r="CK10" s="29">
        <v>76.399654526523221</v>
      </c>
      <c r="CL10" s="29">
        <v>76.602754548534577</v>
      </c>
      <c r="CM10" s="29">
        <v>76.79276247815541</v>
      </c>
      <c r="CN10" s="29">
        <v>76.968196647768721</v>
      </c>
      <c r="CO10" s="29">
        <v>77.144442035126062</v>
      </c>
      <c r="CP10" s="29">
        <v>77.325946647897979</v>
      </c>
      <c r="CQ10" s="29">
        <v>77.501572762014419</v>
      </c>
      <c r="CR10" s="29">
        <v>77.654913121244931</v>
      </c>
      <c r="CS10" s="29">
        <v>77.837303049463401</v>
      </c>
      <c r="CT10" s="29">
        <v>78.012285411722601</v>
      </c>
      <c r="CU10" s="29">
        <v>78.172612615588562</v>
      </c>
      <c r="CV10" s="29">
        <v>78.338400344023427</v>
      </c>
      <c r="CW10" s="29">
        <v>78.49281933890326</v>
      </c>
      <c r="CX10" s="29">
        <v>78.65405653263025</v>
      </c>
      <c r="CY10" s="29">
        <v>78.81573579108597</v>
      </c>
      <c r="CZ10" s="29">
        <v>78.973318957010633</v>
      </c>
      <c r="DA10" s="29">
        <v>79.126928965995603</v>
      </c>
      <c r="DB10" s="29">
        <v>79.302080181515493</v>
      </c>
      <c r="DC10" s="29">
        <v>79.457136803505364</v>
      </c>
      <c r="DD10" s="29">
        <v>79.610303083020071</v>
      </c>
      <c r="DE10" s="29">
        <v>79.771410247728014</v>
      </c>
      <c r="DF10" s="29">
        <v>79.917486548066051</v>
      </c>
      <c r="DG10" s="29">
        <v>80.073726850561158</v>
      </c>
      <c r="DH10" s="29">
        <v>80.225206605104617</v>
      </c>
      <c r="DI10" s="29">
        <v>80.376400684621231</v>
      </c>
      <c r="DJ10" s="29">
        <v>80.524527781679311</v>
      </c>
      <c r="DK10" s="29">
        <v>80.672247559299521</v>
      </c>
      <c r="DL10" s="29">
        <v>80.820007375331585</v>
      </c>
      <c r="DM10" s="29">
        <v>80.965615652522828</v>
      </c>
      <c r="DN10" s="29">
        <v>81.109825505935589</v>
      </c>
      <c r="DO10" s="29">
        <v>81.252652378666639</v>
      </c>
      <c r="DP10" s="29">
        <v>81.39411190546312</v>
      </c>
      <c r="DQ10" s="29">
        <v>81.534219378623177</v>
      </c>
      <c r="DR10" s="29">
        <v>81.67298943239868</v>
      </c>
      <c r="DS10">
        <v>81.810435915104563</v>
      </c>
      <c r="DT10">
        <v>81.946571884270369</v>
      </c>
      <c r="DU10">
        <v>82.08140968869094</v>
      </c>
    </row>
    <row r="11" spans="1:125">
      <c r="A11" s="27">
        <v>9</v>
      </c>
      <c r="B11" s="28"/>
      <c r="C11" s="28"/>
      <c r="D11" s="28"/>
      <c r="E11" s="28"/>
      <c r="F11" s="28"/>
      <c r="G11" s="28"/>
      <c r="H11" s="28"/>
      <c r="I11" s="28"/>
      <c r="J11" s="28"/>
      <c r="K11" s="28"/>
      <c r="L11" s="28"/>
      <c r="M11" s="28"/>
      <c r="N11" s="28"/>
      <c r="O11" s="28"/>
      <c r="P11" s="28"/>
      <c r="Q11" s="28"/>
      <c r="R11" s="28"/>
      <c r="S11" s="28"/>
      <c r="T11" s="28"/>
      <c r="U11" s="28"/>
      <c r="V11" s="29"/>
      <c r="W11" s="29">
        <v>61.84</v>
      </c>
      <c r="X11" s="29">
        <v>62.09</v>
      </c>
      <c r="Y11" s="29">
        <v>62.167037892685485</v>
      </c>
      <c r="Z11" s="29">
        <v>62.409243432195872</v>
      </c>
      <c r="AA11" s="29">
        <v>62.667494254615136</v>
      </c>
      <c r="AB11" s="29">
        <v>62.887841174238062</v>
      </c>
      <c r="AC11" s="29">
        <v>62.99130003755922</v>
      </c>
      <c r="AD11" s="29">
        <v>63.08534729272526</v>
      </c>
      <c r="AE11" s="29">
        <v>63.311095408471857</v>
      </c>
      <c r="AF11" s="29">
        <v>63.624188478376048</v>
      </c>
      <c r="AG11" s="29">
        <v>63.961232432939973</v>
      </c>
      <c r="AH11" s="29">
        <v>64.335391402336029</v>
      </c>
      <c r="AI11" s="29">
        <v>64.662116196643268</v>
      </c>
      <c r="AJ11" s="29">
        <v>65.043601444831694</v>
      </c>
      <c r="AK11" s="29">
        <v>65.364655002654573</v>
      </c>
      <c r="AL11" s="29">
        <v>65.77200411343091</v>
      </c>
      <c r="AM11" s="29">
        <v>66.230848510505197</v>
      </c>
      <c r="AN11" s="29">
        <v>66.497483439150699</v>
      </c>
      <c r="AO11" s="29">
        <v>66.674969327240063</v>
      </c>
      <c r="AP11" s="29">
        <v>66.903020965934033</v>
      </c>
      <c r="AQ11" s="29">
        <v>67.083550997379518</v>
      </c>
      <c r="AR11" s="29">
        <v>67.368981909599427</v>
      </c>
      <c r="AS11" s="29">
        <v>67.414707603104858</v>
      </c>
      <c r="AT11" s="29">
        <v>67.528294073462902</v>
      </c>
      <c r="AU11" s="29">
        <v>67.578190951582101</v>
      </c>
      <c r="AV11" s="29">
        <v>67.638448044527138</v>
      </c>
      <c r="AW11" s="29">
        <v>67.971529664673483</v>
      </c>
      <c r="AX11" s="29">
        <v>68.117896174632534</v>
      </c>
      <c r="AY11" s="29">
        <v>68.187803729303695</v>
      </c>
      <c r="AZ11" s="29">
        <v>68.178364444037527</v>
      </c>
      <c r="BA11" s="29">
        <v>68.181631969848382</v>
      </c>
      <c r="BB11" s="29">
        <v>68.317750079375529</v>
      </c>
      <c r="BC11" s="29">
        <v>68.403034873122664</v>
      </c>
      <c r="BD11" s="29">
        <v>68.560291137081663</v>
      </c>
      <c r="BE11" s="29">
        <v>68.730480009891437</v>
      </c>
      <c r="BF11" s="29">
        <v>68.932762951121617</v>
      </c>
      <c r="BG11" s="29">
        <v>69.06683348052961</v>
      </c>
      <c r="BH11" s="29">
        <v>69.378481359282773</v>
      </c>
      <c r="BI11" s="29">
        <v>69.563668444228952</v>
      </c>
      <c r="BJ11" s="29">
        <v>69.836962195238328</v>
      </c>
      <c r="BK11" s="29">
        <v>70.054989258039527</v>
      </c>
      <c r="BL11" s="29">
        <v>70.358761109582318</v>
      </c>
      <c r="BM11" s="29">
        <v>70.650722045055005</v>
      </c>
      <c r="BN11" s="29">
        <v>70.901407291518865</v>
      </c>
      <c r="BO11" s="29">
        <v>71.152655801499748</v>
      </c>
      <c r="BP11" s="29">
        <v>71.39729815041531</v>
      </c>
      <c r="BQ11" s="29">
        <v>71.622933729404366</v>
      </c>
      <c r="BR11" s="29">
        <v>71.849014739119056</v>
      </c>
      <c r="BS11" s="29">
        <v>72.039918460874844</v>
      </c>
      <c r="BT11" s="30">
        <v>72.238916139028348</v>
      </c>
      <c r="BU11" s="29">
        <v>72.386710179050112</v>
      </c>
      <c r="BV11" s="29">
        <v>72.601575128416485</v>
      </c>
      <c r="BW11" s="29">
        <v>72.796857177266702</v>
      </c>
      <c r="BX11" s="29">
        <v>72.990600194448518</v>
      </c>
      <c r="BY11" s="29">
        <v>73.165648442720681</v>
      </c>
      <c r="BZ11" s="29">
        <v>73.336284038103059</v>
      </c>
      <c r="CA11" s="29">
        <v>73.504438203640277</v>
      </c>
      <c r="CB11" s="29">
        <v>73.663019221203641</v>
      </c>
      <c r="CC11" s="29">
        <v>73.857603316250035</v>
      </c>
      <c r="CD11" s="29">
        <v>74.066729296620949</v>
      </c>
      <c r="CE11" s="29">
        <v>74.261661870709048</v>
      </c>
      <c r="CF11" s="29">
        <v>74.455715057935024</v>
      </c>
      <c r="CG11" s="29">
        <v>74.648515284833152</v>
      </c>
      <c r="CH11" s="29">
        <v>74.830072851563813</v>
      </c>
      <c r="CI11" s="29">
        <v>75.057572976493617</v>
      </c>
      <c r="CJ11" s="29">
        <v>75.230422251389669</v>
      </c>
      <c r="CK11" s="29">
        <v>75.410988915652354</v>
      </c>
      <c r="CL11" s="29">
        <v>75.612898216620877</v>
      </c>
      <c r="CM11" s="29">
        <v>75.804324951435518</v>
      </c>
      <c r="CN11" s="29">
        <v>75.979310665181046</v>
      </c>
      <c r="CO11" s="29">
        <v>76.157210174058335</v>
      </c>
      <c r="CP11" s="29">
        <v>76.333671342146431</v>
      </c>
      <c r="CQ11" s="29">
        <v>76.508736634548072</v>
      </c>
      <c r="CR11" s="29">
        <v>76.664840775534515</v>
      </c>
      <c r="CS11" s="29">
        <v>76.848351602513901</v>
      </c>
      <c r="CT11" s="29">
        <v>77.020549011629356</v>
      </c>
      <c r="CU11" s="29">
        <v>77.180383049777433</v>
      </c>
      <c r="CV11" s="29">
        <v>77.346060096074581</v>
      </c>
      <c r="CW11" s="29">
        <v>77.50319418655404</v>
      </c>
      <c r="CX11" s="29">
        <v>77.659800019835686</v>
      </c>
      <c r="CY11" s="29">
        <v>77.821316617408996</v>
      </c>
      <c r="CZ11" s="29">
        <v>77.98119531968905</v>
      </c>
      <c r="DA11" s="29">
        <v>78.134740110761157</v>
      </c>
      <c r="DB11" s="29">
        <v>78.308365556825208</v>
      </c>
      <c r="DC11" s="29">
        <v>78.462235635841097</v>
      </c>
      <c r="DD11" s="29">
        <v>78.615868579402132</v>
      </c>
      <c r="DE11" s="29">
        <v>78.777848151412755</v>
      </c>
      <c r="DF11" s="29">
        <v>78.924659922796423</v>
      </c>
      <c r="DG11" s="29">
        <v>79.080811267443778</v>
      </c>
      <c r="DH11" s="29">
        <v>79.23172670512885</v>
      </c>
      <c r="DI11" s="29">
        <v>79.380900769569379</v>
      </c>
      <c r="DJ11" s="29">
        <v>79.530369867597841</v>
      </c>
      <c r="DK11" s="29">
        <v>79.678436722011142</v>
      </c>
      <c r="DL11" s="29">
        <v>79.82524996695733</v>
      </c>
      <c r="DM11" s="29">
        <v>79.970658042844391</v>
      </c>
      <c r="DN11" s="29">
        <v>80.11467524062418</v>
      </c>
      <c r="DO11" s="29">
        <v>80.257316724210554</v>
      </c>
      <c r="DP11" s="29">
        <v>80.398597859240581</v>
      </c>
      <c r="DQ11" s="29">
        <v>80.538533678595456</v>
      </c>
      <c r="DR11" s="29">
        <v>80.67713856645338</v>
      </c>
      <c r="DS11">
        <v>80.814426130072604</v>
      </c>
      <c r="DT11">
        <v>80.950409194634105</v>
      </c>
      <c r="DU11">
        <v>81.085099884996623</v>
      </c>
    </row>
    <row r="12" spans="1:125">
      <c r="A12" s="27">
        <v>10</v>
      </c>
      <c r="B12" s="28"/>
      <c r="C12" s="28"/>
      <c r="D12" s="28"/>
      <c r="E12" s="28"/>
      <c r="F12" s="28"/>
      <c r="G12" s="28"/>
      <c r="H12" s="28"/>
      <c r="I12" s="28"/>
      <c r="J12" s="28"/>
      <c r="K12" s="28"/>
      <c r="L12" s="28"/>
      <c r="M12" s="28"/>
      <c r="N12" s="28"/>
      <c r="O12" s="28"/>
      <c r="P12" s="28"/>
      <c r="Q12" s="28"/>
      <c r="R12" s="28"/>
      <c r="S12" s="28"/>
      <c r="T12" s="28"/>
      <c r="U12" s="28"/>
      <c r="V12" s="29"/>
      <c r="W12" s="29">
        <v>60.94</v>
      </c>
      <c r="X12" s="29">
        <v>61.18</v>
      </c>
      <c r="Y12" s="29">
        <v>61.260295939554211</v>
      </c>
      <c r="Z12" s="29">
        <v>61.502867762517276</v>
      </c>
      <c r="AA12" s="29">
        <v>61.761509133406591</v>
      </c>
      <c r="AB12" s="29">
        <v>61.998457405658598</v>
      </c>
      <c r="AC12" s="29">
        <v>62.097279461402572</v>
      </c>
      <c r="AD12" s="29">
        <v>62.18183199813943</v>
      </c>
      <c r="AE12" s="29">
        <v>62.407928138485836</v>
      </c>
      <c r="AF12" s="29">
        <v>62.726372423475958</v>
      </c>
      <c r="AG12" s="29">
        <v>63.063961976831408</v>
      </c>
      <c r="AH12" s="29">
        <v>63.438726625928204</v>
      </c>
      <c r="AI12" s="29">
        <v>63.765980314614112</v>
      </c>
      <c r="AJ12" s="29">
        <v>64.158549875418572</v>
      </c>
      <c r="AK12" s="29">
        <v>64.4959598549449</v>
      </c>
      <c r="AL12" s="29">
        <v>64.930623665689737</v>
      </c>
      <c r="AM12" s="29">
        <v>65.326296640634126</v>
      </c>
      <c r="AN12" s="29">
        <v>65.593318751340135</v>
      </c>
      <c r="AO12" s="29">
        <v>65.750150298953955</v>
      </c>
      <c r="AP12" s="29">
        <v>65.95286061139258</v>
      </c>
      <c r="AQ12" s="29">
        <v>66.13352614198601</v>
      </c>
      <c r="AR12" s="29">
        <v>66.419171288065471</v>
      </c>
      <c r="AS12" s="29">
        <v>66.456543405373964</v>
      </c>
      <c r="AT12" s="29">
        <v>66.565023068314318</v>
      </c>
      <c r="AU12" s="29">
        <v>66.618882837423627</v>
      </c>
      <c r="AV12" s="29">
        <v>66.68054541978384</v>
      </c>
      <c r="AW12" s="29">
        <v>67.011311720231973</v>
      </c>
      <c r="AX12" s="29">
        <v>67.154373703800658</v>
      </c>
      <c r="AY12" s="29">
        <v>67.226621154474557</v>
      </c>
      <c r="AZ12" s="29">
        <v>67.217370050677658</v>
      </c>
      <c r="BA12" s="29">
        <v>67.213349355809299</v>
      </c>
      <c r="BB12" s="29">
        <v>67.355459998392533</v>
      </c>
      <c r="BC12" s="29">
        <v>67.436000585873316</v>
      </c>
      <c r="BD12" s="29">
        <v>67.596808728777674</v>
      </c>
      <c r="BE12" s="29">
        <v>67.764640485839138</v>
      </c>
      <c r="BF12" s="29">
        <v>67.966123607237904</v>
      </c>
      <c r="BG12" s="29">
        <v>68.100801541499607</v>
      </c>
      <c r="BH12" s="29">
        <v>68.412930884507105</v>
      </c>
      <c r="BI12" s="29">
        <v>68.597456788042152</v>
      </c>
      <c r="BJ12" s="29">
        <v>68.870742017255949</v>
      </c>
      <c r="BK12" s="29">
        <v>69.089394967986067</v>
      </c>
      <c r="BL12" s="29">
        <v>69.390660976328903</v>
      </c>
      <c r="BM12" s="29">
        <v>69.68456258221093</v>
      </c>
      <c r="BN12" s="29">
        <v>69.930975723921421</v>
      </c>
      <c r="BO12" s="29">
        <v>70.179746851949488</v>
      </c>
      <c r="BP12" s="29">
        <v>70.423708151183803</v>
      </c>
      <c r="BQ12" s="29">
        <v>70.647942401781364</v>
      </c>
      <c r="BR12" s="29">
        <v>70.87558591948445</v>
      </c>
      <c r="BS12" s="29">
        <v>71.065410546422513</v>
      </c>
      <c r="BT12" s="30">
        <v>71.264503652794517</v>
      </c>
      <c r="BU12" s="29">
        <v>71.408798953354761</v>
      </c>
      <c r="BV12" s="29">
        <v>71.623297407312748</v>
      </c>
      <c r="BW12" s="29">
        <v>71.816567848994353</v>
      </c>
      <c r="BX12" s="29">
        <v>72.013713713686982</v>
      </c>
      <c r="BY12" s="29">
        <v>72.181929049438153</v>
      </c>
      <c r="BZ12" s="29">
        <v>72.350323699224333</v>
      </c>
      <c r="CA12" s="29">
        <v>72.521440297967146</v>
      </c>
      <c r="CB12" s="29">
        <v>72.681015179713597</v>
      </c>
      <c r="CC12" s="29">
        <v>72.875440387191375</v>
      </c>
      <c r="CD12" s="29">
        <v>73.080311379225662</v>
      </c>
      <c r="CE12" s="29">
        <v>73.275536857910353</v>
      </c>
      <c r="CF12" s="29">
        <v>73.468573372471937</v>
      </c>
      <c r="CG12" s="29">
        <v>73.66079017652963</v>
      </c>
      <c r="CH12" s="29">
        <v>73.842528179022295</v>
      </c>
      <c r="CI12" s="29">
        <v>74.068620426850799</v>
      </c>
      <c r="CJ12" s="29">
        <v>74.241659950523058</v>
      </c>
      <c r="CK12" s="29">
        <v>74.422884207864328</v>
      </c>
      <c r="CL12" s="29">
        <v>74.621675182796864</v>
      </c>
      <c r="CM12" s="29">
        <v>74.81307343897528</v>
      </c>
      <c r="CN12" s="29">
        <v>74.987941169753228</v>
      </c>
      <c r="CO12" s="29">
        <v>75.168944878376976</v>
      </c>
      <c r="CP12" s="29">
        <v>75.341098859626655</v>
      </c>
      <c r="CQ12" s="29">
        <v>75.516332304273519</v>
      </c>
      <c r="CR12" s="29">
        <v>75.673308642476243</v>
      </c>
      <c r="CS12" s="29">
        <v>75.855997868842309</v>
      </c>
      <c r="CT12" s="29">
        <v>76.02870800915278</v>
      </c>
      <c r="CU12" s="29">
        <v>76.187694495181105</v>
      </c>
      <c r="CV12" s="29">
        <v>76.353250193661964</v>
      </c>
      <c r="CW12" s="29">
        <v>76.50880472536555</v>
      </c>
      <c r="CX12" s="29">
        <v>76.666248277304362</v>
      </c>
      <c r="CY12" s="29">
        <v>76.82745182588252</v>
      </c>
      <c r="CZ12" s="29">
        <v>76.987903462253357</v>
      </c>
      <c r="DA12" s="29">
        <v>77.142844502404927</v>
      </c>
      <c r="DB12" s="29">
        <v>77.316235590642549</v>
      </c>
      <c r="DC12" s="29">
        <v>77.46851847072061</v>
      </c>
      <c r="DD12" s="29">
        <v>77.621683359876911</v>
      </c>
      <c r="DE12" s="29">
        <v>77.783692503888332</v>
      </c>
      <c r="DF12" s="29">
        <v>77.93105306373738</v>
      </c>
      <c r="DG12" s="29">
        <v>78.087328187454617</v>
      </c>
      <c r="DH12" s="29">
        <v>78.237293965109288</v>
      </c>
      <c r="DI12" s="29">
        <v>78.387001193516468</v>
      </c>
      <c r="DJ12" s="29">
        <v>78.535665181452202</v>
      </c>
      <c r="DK12" s="29">
        <v>78.683692079848129</v>
      </c>
      <c r="DL12" s="29">
        <v>78.830308219328856</v>
      </c>
      <c r="DM12" s="29">
        <v>78.975526480053929</v>
      </c>
      <c r="DN12" s="29">
        <v>79.119360888560081</v>
      </c>
      <c r="DO12" s="29">
        <v>79.261826353722839</v>
      </c>
      <c r="DP12" s="29">
        <v>79.402937995155654</v>
      </c>
      <c r="DQ12" s="29">
        <v>79.542710608395879</v>
      </c>
      <c r="DR12" s="29">
        <v>79.681158348649859</v>
      </c>
      <c r="DS12">
        <v>79.818294602290194</v>
      </c>
      <c r="DT12">
        <v>79.95413198142802</v>
      </c>
      <c r="DU12">
        <v>80.088682405409742</v>
      </c>
    </row>
    <row r="13" spans="1:125">
      <c r="A13" s="27">
        <v>11</v>
      </c>
      <c r="B13" s="28"/>
      <c r="C13" s="28"/>
      <c r="D13" s="28"/>
      <c r="E13" s="28"/>
      <c r="F13" s="28"/>
      <c r="G13" s="28"/>
      <c r="H13" s="28"/>
      <c r="I13" s="28"/>
      <c r="J13" s="28"/>
      <c r="K13" s="28"/>
      <c r="L13" s="28"/>
      <c r="M13" s="28"/>
      <c r="N13" s="28"/>
      <c r="O13" s="28"/>
      <c r="P13" s="28"/>
      <c r="Q13" s="28"/>
      <c r="R13" s="28"/>
      <c r="S13" s="28"/>
      <c r="T13" s="28"/>
      <c r="U13" s="28"/>
      <c r="V13" s="29"/>
      <c r="W13" s="29">
        <v>60.01</v>
      </c>
      <c r="X13" s="29">
        <v>60.26</v>
      </c>
      <c r="Y13" s="29">
        <v>60.341214755178605</v>
      </c>
      <c r="Z13" s="29">
        <v>60.584109628322949</v>
      </c>
      <c r="AA13" s="29">
        <v>60.85716013110671</v>
      </c>
      <c r="AB13" s="29">
        <v>61.090301898836508</v>
      </c>
      <c r="AC13" s="29">
        <v>61.180905635733879</v>
      </c>
      <c r="AD13" s="29">
        <v>61.265572963338769</v>
      </c>
      <c r="AE13" s="29">
        <v>61.496180030542703</v>
      </c>
      <c r="AF13" s="29">
        <v>61.815078268871432</v>
      </c>
      <c r="AG13" s="29">
        <v>62.153149067807504</v>
      </c>
      <c r="AH13" s="29">
        <v>62.528447956869257</v>
      </c>
      <c r="AI13" s="29">
        <v>62.865201085506207</v>
      </c>
      <c r="AJ13" s="29">
        <v>63.272024645810006</v>
      </c>
      <c r="AK13" s="29">
        <v>63.63290014169668</v>
      </c>
      <c r="AL13" s="29">
        <v>64.023537559775818</v>
      </c>
      <c r="AM13" s="29">
        <v>64.419781125454776</v>
      </c>
      <c r="AN13" s="29">
        <v>64.666760276540131</v>
      </c>
      <c r="AO13" s="29">
        <v>64.79585739913334</v>
      </c>
      <c r="AP13" s="29">
        <v>64.998709708188315</v>
      </c>
      <c r="AQ13" s="29">
        <v>65.179501793241272</v>
      </c>
      <c r="AR13" s="29">
        <v>65.460859646290629</v>
      </c>
      <c r="AS13" s="29">
        <v>65.490852571087288</v>
      </c>
      <c r="AT13" s="29">
        <v>65.600433431467138</v>
      </c>
      <c r="AU13" s="29">
        <v>65.655190393942931</v>
      </c>
      <c r="AV13" s="29">
        <v>65.713845196721522</v>
      </c>
      <c r="AW13" s="29">
        <v>66.047347828070528</v>
      </c>
      <c r="AX13" s="29">
        <v>66.183268147592898</v>
      </c>
      <c r="AY13" s="29">
        <v>66.259731159079067</v>
      </c>
      <c r="AZ13" s="29">
        <v>66.245048078748781</v>
      </c>
      <c r="BA13" s="29">
        <v>66.244790946763388</v>
      </c>
      <c r="BB13" s="29">
        <v>66.385727396196913</v>
      </c>
      <c r="BC13" s="29">
        <v>66.466826030692317</v>
      </c>
      <c r="BD13" s="29">
        <v>66.629640759904419</v>
      </c>
      <c r="BE13" s="29">
        <v>66.798021313995477</v>
      </c>
      <c r="BF13" s="29">
        <v>67.000175528454506</v>
      </c>
      <c r="BG13" s="29">
        <v>67.133923335932678</v>
      </c>
      <c r="BH13" s="29">
        <v>67.446373354049342</v>
      </c>
      <c r="BI13" s="29">
        <v>67.633214826307253</v>
      </c>
      <c r="BJ13" s="29">
        <v>67.903456252994161</v>
      </c>
      <c r="BK13" s="29">
        <v>68.119938002135001</v>
      </c>
      <c r="BL13" s="29">
        <v>68.420334753036983</v>
      </c>
      <c r="BM13" s="29">
        <v>68.71070621627311</v>
      </c>
      <c r="BN13" s="29">
        <v>68.95469071705007</v>
      </c>
      <c r="BO13" s="29">
        <v>69.203653277542145</v>
      </c>
      <c r="BP13" s="29">
        <v>69.447530547067075</v>
      </c>
      <c r="BQ13" s="29">
        <v>69.670945998946294</v>
      </c>
      <c r="BR13" s="29">
        <v>69.898179172188648</v>
      </c>
      <c r="BS13" s="29">
        <v>70.086406648333792</v>
      </c>
      <c r="BT13" s="30">
        <v>70.287702872647273</v>
      </c>
      <c r="BU13" s="29">
        <v>70.42651923754616</v>
      </c>
      <c r="BV13" s="29">
        <v>70.639421190114675</v>
      </c>
      <c r="BW13" s="29">
        <v>70.833980983049116</v>
      </c>
      <c r="BX13" s="29">
        <v>71.028277220571582</v>
      </c>
      <c r="BY13" s="29">
        <v>71.197059908066421</v>
      </c>
      <c r="BZ13" s="29">
        <v>71.369580000440365</v>
      </c>
      <c r="CA13" s="29">
        <v>71.537128049077978</v>
      </c>
      <c r="CB13" s="29">
        <v>71.693317718327606</v>
      </c>
      <c r="CC13" s="29">
        <v>71.89212402318195</v>
      </c>
      <c r="CD13" s="29">
        <v>72.093867928322894</v>
      </c>
      <c r="CE13" s="29">
        <v>72.287614241689994</v>
      </c>
      <c r="CF13" s="29">
        <v>72.479367023553138</v>
      </c>
      <c r="CG13" s="29">
        <v>72.672626570258956</v>
      </c>
      <c r="CH13" s="29">
        <v>72.853746287222123</v>
      </c>
      <c r="CI13" s="29">
        <v>73.077983329023439</v>
      </c>
      <c r="CJ13" s="29">
        <v>73.251596605053834</v>
      </c>
      <c r="CK13" s="29">
        <v>73.433677678506086</v>
      </c>
      <c r="CL13" s="29">
        <v>73.630478256471349</v>
      </c>
      <c r="CM13" s="29">
        <v>73.821377591569373</v>
      </c>
      <c r="CN13" s="29">
        <v>73.996595006896911</v>
      </c>
      <c r="CO13" s="29">
        <v>74.176309137684939</v>
      </c>
      <c r="CP13" s="29">
        <v>74.348581786166079</v>
      </c>
      <c r="CQ13" s="29">
        <v>74.522747977827109</v>
      </c>
      <c r="CR13" s="29">
        <v>74.679803136863711</v>
      </c>
      <c r="CS13" s="29">
        <v>74.862033410255265</v>
      </c>
      <c r="CT13" s="29">
        <v>75.034018807427074</v>
      </c>
      <c r="CU13" s="29">
        <v>75.196181150582419</v>
      </c>
      <c r="CV13" s="29">
        <v>75.358671951996243</v>
      </c>
      <c r="CW13" s="29">
        <v>75.516063342918841</v>
      </c>
      <c r="CX13" s="29">
        <v>75.673009235289499</v>
      </c>
      <c r="CY13" s="29">
        <v>75.834298018986885</v>
      </c>
      <c r="CZ13" s="29">
        <v>75.992849030664317</v>
      </c>
      <c r="DA13" s="29">
        <v>76.14807719600212</v>
      </c>
      <c r="DB13" s="29">
        <v>76.321018885728307</v>
      </c>
      <c r="DC13" s="29">
        <v>76.474806067730796</v>
      </c>
      <c r="DD13" s="29">
        <v>76.627966688754043</v>
      </c>
      <c r="DE13" s="29">
        <v>76.788592327476721</v>
      </c>
      <c r="DF13" s="29">
        <v>76.938124526556265</v>
      </c>
      <c r="DG13" s="29">
        <v>77.09268581642516</v>
      </c>
      <c r="DH13" s="29">
        <v>77.242152311921132</v>
      </c>
      <c r="DI13" s="29">
        <v>77.391928794847288</v>
      </c>
      <c r="DJ13" s="29">
        <v>77.541168106519478</v>
      </c>
      <c r="DK13" s="29">
        <v>77.688992366904799</v>
      </c>
      <c r="DL13" s="29">
        <v>77.835413220548844</v>
      </c>
      <c r="DM13" s="29">
        <v>77.980443286313161</v>
      </c>
      <c r="DN13" s="29">
        <v>78.124096338524168</v>
      </c>
      <c r="DO13" s="29">
        <v>78.266387042607903</v>
      </c>
      <c r="DP13" s="29">
        <v>78.40733028315428</v>
      </c>
      <c r="DQ13" s="29">
        <v>78.546940628793735</v>
      </c>
      <c r="DR13" s="29">
        <v>78.685232015659992</v>
      </c>
      <c r="DS13">
        <v>78.822217618625942</v>
      </c>
      <c r="DT13">
        <v>78.957909845629203</v>
      </c>
      <c r="DU13">
        <v>79.092320418933156</v>
      </c>
    </row>
    <row r="14" spans="1:125">
      <c r="A14" s="27">
        <v>12</v>
      </c>
      <c r="B14" s="28"/>
      <c r="C14" s="28"/>
      <c r="D14" s="28"/>
      <c r="E14" s="28"/>
      <c r="F14" s="28"/>
      <c r="G14" s="28"/>
      <c r="H14" s="28"/>
      <c r="I14" s="28"/>
      <c r="J14" s="28"/>
      <c r="K14" s="28"/>
      <c r="L14" s="28"/>
      <c r="M14" s="28"/>
      <c r="N14" s="28"/>
      <c r="O14" s="28"/>
      <c r="P14" s="28"/>
      <c r="Q14" s="28"/>
      <c r="R14" s="28"/>
      <c r="S14" s="28"/>
      <c r="T14" s="28"/>
      <c r="U14" s="28"/>
      <c r="V14" s="29"/>
      <c r="W14" s="29">
        <v>59.09</v>
      </c>
      <c r="X14" s="29">
        <v>59.33</v>
      </c>
      <c r="Y14" s="29">
        <v>59.41431021363924</v>
      </c>
      <c r="Z14" s="29">
        <v>59.67015223400427</v>
      </c>
      <c r="AA14" s="29">
        <v>59.939834758655309</v>
      </c>
      <c r="AB14" s="29">
        <v>60.165749118886907</v>
      </c>
      <c r="AC14" s="29">
        <v>60.256465675820834</v>
      </c>
      <c r="AD14" s="29">
        <v>60.345022677924604</v>
      </c>
      <c r="AE14" s="29">
        <v>60.575931259041383</v>
      </c>
      <c r="AF14" s="29">
        <v>60.895246450140931</v>
      </c>
      <c r="AG14" s="29">
        <v>61.233759269569454</v>
      </c>
      <c r="AH14" s="29">
        <v>61.617670609467503</v>
      </c>
      <c r="AI14" s="29">
        <v>61.967160906675424</v>
      </c>
      <c r="AJ14" s="29">
        <v>62.395214842348103</v>
      </c>
      <c r="AK14" s="29">
        <v>62.722043222640607</v>
      </c>
      <c r="AL14" s="29">
        <v>63.113232217202068</v>
      </c>
      <c r="AM14" s="29">
        <v>63.490394499724147</v>
      </c>
      <c r="AN14" s="29">
        <v>63.711065912019414</v>
      </c>
      <c r="AO14" s="29">
        <v>63.840252173132797</v>
      </c>
      <c r="AP14" s="29">
        <v>64.043244546925692</v>
      </c>
      <c r="AQ14" s="29">
        <v>64.221627312449954</v>
      </c>
      <c r="AR14" s="29">
        <v>64.491423281519289</v>
      </c>
      <c r="AS14" s="29">
        <v>64.525650015496865</v>
      </c>
      <c r="AT14" s="29">
        <v>64.637127603059909</v>
      </c>
      <c r="AU14" s="29">
        <v>64.690606519310293</v>
      </c>
      <c r="AV14" s="29">
        <v>64.744426038484875</v>
      </c>
      <c r="AW14" s="29">
        <v>65.07750999678413</v>
      </c>
      <c r="AX14" s="29">
        <v>65.214304385736256</v>
      </c>
      <c r="AY14" s="29">
        <v>65.289199892311686</v>
      </c>
      <c r="AZ14" s="29">
        <v>65.275253721896931</v>
      </c>
      <c r="BA14" s="29">
        <v>65.272655888383454</v>
      </c>
      <c r="BB14" s="29">
        <v>65.414179101282301</v>
      </c>
      <c r="BC14" s="29">
        <v>65.496105228097818</v>
      </c>
      <c r="BD14" s="29">
        <v>65.659995826744833</v>
      </c>
      <c r="BE14" s="29">
        <v>65.829052392686563</v>
      </c>
      <c r="BF14" s="29">
        <v>66.029794702486413</v>
      </c>
      <c r="BG14" s="29">
        <v>66.162806481078306</v>
      </c>
      <c r="BH14" s="29">
        <v>66.475354294496071</v>
      </c>
      <c r="BI14" s="29">
        <v>66.660562600305099</v>
      </c>
      <c r="BJ14" s="29">
        <v>66.928947363692131</v>
      </c>
      <c r="BK14" s="29">
        <v>67.147467412069219</v>
      </c>
      <c r="BL14" s="29">
        <v>67.445673986556898</v>
      </c>
      <c r="BM14" s="29">
        <v>67.735617827833138</v>
      </c>
      <c r="BN14" s="29">
        <v>67.980261703054779</v>
      </c>
      <c r="BO14" s="29">
        <v>68.228549552674053</v>
      </c>
      <c r="BP14" s="29">
        <v>68.469218693712293</v>
      </c>
      <c r="BQ14" s="29">
        <v>68.693562367554179</v>
      </c>
      <c r="BR14" s="29">
        <v>68.917535701678929</v>
      </c>
      <c r="BS14" s="29">
        <v>69.107549859718276</v>
      </c>
      <c r="BT14" s="30">
        <v>69.309488170932852</v>
      </c>
      <c r="BU14" s="29">
        <v>69.445354417230874</v>
      </c>
      <c r="BV14" s="29">
        <v>69.65677095383414</v>
      </c>
      <c r="BW14" s="29">
        <v>69.847237258307842</v>
      </c>
      <c r="BX14" s="29">
        <v>70.045337750887114</v>
      </c>
      <c r="BY14" s="29">
        <v>70.211195919144075</v>
      </c>
      <c r="BZ14" s="29">
        <v>70.385262235600194</v>
      </c>
      <c r="CA14" s="29">
        <v>70.550876628889057</v>
      </c>
      <c r="CB14" s="29">
        <v>70.710604140737132</v>
      </c>
      <c r="CC14" s="29">
        <v>70.909705774379717</v>
      </c>
      <c r="CD14" s="29">
        <v>71.105347390583404</v>
      </c>
      <c r="CE14" s="29">
        <v>71.299391081973369</v>
      </c>
      <c r="CF14" s="29">
        <v>71.494264555839322</v>
      </c>
      <c r="CG14" s="29">
        <v>71.685800834358432</v>
      </c>
      <c r="CH14" s="29">
        <v>71.863292231908616</v>
      </c>
      <c r="CI14" s="29">
        <v>72.088747316080998</v>
      </c>
      <c r="CJ14" s="29">
        <v>72.260912640906284</v>
      </c>
      <c r="CK14" s="29">
        <v>72.443415842243894</v>
      </c>
      <c r="CL14" s="29">
        <v>72.641489552764313</v>
      </c>
      <c r="CM14" s="29">
        <v>72.830612551108558</v>
      </c>
      <c r="CN14" s="29">
        <v>73.007198464219982</v>
      </c>
      <c r="CO14" s="29">
        <v>73.186678502079133</v>
      </c>
      <c r="CP14" s="29">
        <v>73.359377322780205</v>
      </c>
      <c r="CQ14" s="29">
        <v>73.532758450562085</v>
      </c>
      <c r="CR14" s="29">
        <v>73.686207431671704</v>
      </c>
      <c r="CS14" s="29">
        <v>73.86817647516385</v>
      </c>
      <c r="CT14" s="29">
        <v>74.041791777812364</v>
      </c>
      <c r="CU14" s="29">
        <v>74.203847211508716</v>
      </c>
      <c r="CV14" s="29">
        <v>74.365127619206788</v>
      </c>
      <c r="CW14" s="29">
        <v>74.520228322545833</v>
      </c>
      <c r="CX14" s="29">
        <v>74.681756020465357</v>
      </c>
      <c r="CY14" s="29">
        <v>74.839444818478427</v>
      </c>
      <c r="CZ14" s="29">
        <v>74.99830952485793</v>
      </c>
      <c r="DA14" s="29">
        <v>75.156879113181247</v>
      </c>
      <c r="DB14" s="29">
        <v>75.325453694525507</v>
      </c>
      <c r="DC14" s="29">
        <v>75.481539198037069</v>
      </c>
      <c r="DD14" s="29">
        <v>75.633700338146994</v>
      </c>
      <c r="DE14" s="29">
        <v>75.793991891648147</v>
      </c>
      <c r="DF14" s="29">
        <v>75.943274822990347</v>
      </c>
      <c r="DG14" s="29">
        <v>76.097134183141478</v>
      </c>
      <c r="DH14" s="29">
        <v>76.247487875521315</v>
      </c>
      <c r="DI14" s="29">
        <v>76.397928348096784</v>
      </c>
      <c r="DJ14" s="29">
        <v>76.546950824691564</v>
      </c>
      <c r="DK14" s="29">
        <v>76.694565964360834</v>
      </c>
      <c r="DL14" s="29">
        <v>76.84078514312705</v>
      </c>
      <c r="DM14" s="29">
        <v>76.985620720455486</v>
      </c>
      <c r="DN14" s="29">
        <v>77.129086220110295</v>
      </c>
      <c r="DO14" s="29">
        <v>77.271196065476488</v>
      </c>
      <c r="DP14" s="29">
        <v>77.411964907300927</v>
      </c>
      <c r="DQ14" s="29">
        <v>77.551407088271972</v>
      </c>
      <c r="DR14" s="29">
        <v>77.689536326212377</v>
      </c>
      <c r="DS14">
        <v>77.826365585066455</v>
      </c>
      <c r="DT14">
        <v>77.961907068991678</v>
      </c>
      <c r="DU14">
        <v>78.096172303396159</v>
      </c>
    </row>
    <row r="15" spans="1:125">
      <c r="A15" s="27">
        <v>13</v>
      </c>
      <c r="B15" s="28"/>
      <c r="C15" s="28"/>
      <c r="D15" s="28"/>
      <c r="E15" s="28"/>
      <c r="F15" s="28"/>
      <c r="G15" s="28"/>
      <c r="H15" s="28"/>
      <c r="I15" s="28"/>
      <c r="J15" s="28"/>
      <c r="K15" s="28"/>
      <c r="L15" s="28"/>
      <c r="M15" s="28"/>
      <c r="N15" s="28"/>
      <c r="O15" s="28"/>
      <c r="P15" s="28"/>
      <c r="Q15" s="28"/>
      <c r="R15" s="28"/>
      <c r="S15" s="28"/>
      <c r="T15" s="28"/>
      <c r="U15" s="28"/>
      <c r="V15" s="29"/>
      <c r="W15" s="29">
        <v>58.16</v>
      </c>
      <c r="X15" s="29">
        <v>58.4</v>
      </c>
      <c r="Y15" s="29">
        <v>58.502748007304952</v>
      </c>
      <c r="Z15" s="29">
        <v>58.758974078738831</v>
      </c>
      <c r="AA15" s="29">
        <v>59.023108819159773</v>
      </c>
      <c r="AB15" s="29">
        <v>59.243365043092204</v>
      </c>
      <c r="AC15" s="29">
        <v>59.340183330125001</v>
      </c>
      <c r="AD15" s="29">
        <v>59.42886439887836</v>
      </c>
      <c r="AE15" s="29">
        <v>59.660096478457632</v>
      </c>
      <c r="AF15" s="29">
        <v>59.979859023972807</v>
      </c>
      <c r="AG15" s="29">
        <v>60.327367890085831</v>
      </c>
      <c r="AH15" s="29">
        <v>60.724738954796656</v>
      </c>
      <c r="AI15" s="29">
        <v>61.096422911386036</v>
      </c>
      <c r="AJ15" s="29">
        <v>61.478886338905625</v>
      </c>
      <c r="AK15" s="29">
        <v>61.806156533961463</v>
      </c>
      <c r="AL15" s="29">
        <v>62.175876771696515</v>
      </c>
      <c r="AM15" s="29">
        <v>62.534518662788102</v>
      </c>
      <c r="AN15" s="29">
        <v>62.755344653276708</v>
      </c>
      <c r="AO15" s="29">
        <v>62.884621408118484</v>
      </c>
      <c r="AP15" s="29">
        <v>63.079709367959197</v>
      </c>
      <c r="AQ15" s="29">
        <v>63.257597408109952</v>
      </c>
      <c r="AR15" s="29">
        <v>63.524503167778114</v>
      </c>
      <c r="AS15" s="29">
        <v>63.55932186535717</v>
      </c>
      <c r="AT15" s="29">
        <v>63.670086276343532</v>
      </c>
      <c r="AU15" s="29">
        <v>63.721703193293102</v>
      </c>
      <c r="AV15" s="29">
        <v>63.776265313442217</v>
      </c>
      <c r="AW15" s="29">
        <v>64.106224668114947</v>
      </c>
      <c r="AX15" s="29">
        <v>64.240611183170813</v>
      </c>
      <c r="AY15" s="29">
        <v>64.317382569351395</v>
      </c>
      <c r="AZ15" s="29">
        <v>64.305721114055672</v>
      </c>
      <c r="BA15" s="29">
        <v>64.303249186975961</v>
      </c>
      <c r="BB15" s="29">
        <v>64.442633345892617</v>
      </c>
      <c r="BC15" s="29">
        <v>64.527242063173162</v>
      </c>
      <c r="BD15" s="29">
        <v>64.690221623415113</v>
      </c>
      <c r="BE15" s="29">
        <v>64.859008229719819</v>
      </c>
      <c r="BF15" s="29">
        <v>65.054013592886633</v>
      </c>
      <c r="BG15" s="29">
        <v>65.194497636820245</v>
      </c>
      <c r="BH15" s="29">
        <v>65.509270577789238</v>
      </c>
      <c r="BI15" s="29">
        <v>65.690175003291856</v>
      </c>
      <c r="BJ15" s="29">
        <v>65.959624882478849</v>
      </c>
      <c r="BK15" s="29">
        <v>66.172178562830325</v>
      </c>
      <c r="BL15" s="29">
        <v>66.472207359198393</v>
      </c>
      <c r="BM15" s="29">
        <v>66.760866326532991</v>
      </c>
      <c r="BN15" s="29">
        <v>67.00625320387141</v>
      </c>
      <c r="BO15" s="29">
        <v>67.252461660954097</v>
      </c>
      <c r="BP15" s="29">
        <v>67.490840583871531</v>
      </c>
      <c r="BQ15" s="29">
        <v>67.715017175389207</v>
      </c>
      <c r="BR15" s="29">
        <v>67.937480927549842</v>
      </c>
      <c r="BS15" s="29">
        <v>68.124552136608457</v>
      </c>
      <c r="BT15" s="30">
        <v>68.328394570675144</v>
      </c>
      <c r="BU15" s="29">
        <v>68.46169896880005</v>
      </c>
      <c r="BV15" s="29">
        <v>68.673653535352145</v>
      </c>
      <c r="BW15" s="29">
        <v>68.864951697984992</v>
      </c>
      <c r="BX15" s="29">
        <v>69.059455411281377</v>
      </c>
      <c r="BY15" s="29">
        <v>69.226145416752118</v>
      </c>
      <c r="BZ15" s="29">
        <v>69.399878187860494</v>
      </c>
      <c r="CA15" s="29">
        <v>69.56494083703862</v>
      </c>
      <c r="CB15" s="29">
        <v>69.723766343330396</v>
      </c>
      <c r="CC15" s="29">
        <v>69.924704300750363</v>
      </c>
      <c r="CD15" s="29">
        <v>70.118690350768432</v>
      </c>
      <c r="CE15" s="29">
        <v>70.313513302214972</v>
      </c>
      <c r="CF15" s="29">
        <v>70.505356519375169</v>
      </c>
      <c r="CG15" s="29">
        <v>70.695897466606624</v>
      </c>
      <c r="CH15" s="29">
        <v>70.875456668696245</v>
      </c>
      <c r="CI15" s="29">
        <v>71.098241581712159</v>
      </c>
      <c r="CJ15" s="29">
        <v>71.272799278921667</v>
      </c>
      <c r="CK15" s="29">
        <v>71.454910693040134</v>
      </c>
      <c r="CL15" s="29">
        <v>71.652325589058847</v>
      </c>
      <c r="CM15" s="29">
        <v>71.842966860685976</v>
      </c>
      <c r="CN15" s="29">
        <v>72.016600669368728</v>
      </c>
      <c r="CO15" s="29">
        <v>72.194942794334281</v>
      </c>
      <c r="CP15" s="29">
        <v>72.369000285686937</v>
      </c>
      <c r="CQ15" s="29">
        <v>72.542974566027056</v>
      </c>
      <c r="CR15" s="29">
        <v>72.695234324106451</v>
      </c>
      <c r="CS15" s="29">
        <v>72.877175809664422</v>
      </c>
      <c r="CT15" s="29">
        <v>73.048035357886036</v>
      </c>
      <c r="CU15" s="29">
        <v>73.212643186242971</v>
      </c>
      <c r="CV15" s="29">
        <v>73.374260966918754</v>
      </c>
      <c r="CW15" s="29">
        <v>73.528428192748834</v>
      </c>
      <c r="CX15" s="29">
        <v>73.68717501636344</v>
      </c>
      <c r="CY15" s="29">
        <v>73.846050947046436</v>
      </c>
      <c r="CZ15" s="29">
        <v>74.00464267751201</v>
      </c>
      <c r="DA15" s="29">
        <v>74.162631666052135</v>
      </c>
      <c r="DB15" s="29">
        <v>74.329579247759895</v>
      </c>
      <c r="DC15" s="29">
        <v>74.48672928869739</v>
      </c>
      <c r="DD15" s="29">
        <v>74.641524879141556</v>
      </c>
      <c r="DE15" s="29">
        <v>74.80065634305177</v>
      </c>
      <c r="DF15" s="29">
        <v>74.949302247114474</v>
      </c>
      <c r="DG15" s="29">
        <v>75.102657210999354</v>
      </c>
      <c r="DH15" s="29">
        <v>75.254276429791275</v>
      </c>
      <c r="DI15" s="29">
        <v>75.404476178017646</v>
      </c>
      <c r="DJ15" s="29">
        <v>75.553266324643502</v>
      </c>
      <c r="DK15" s="29">
        <v>75.700657242705702</v>
      </c>
      <c r="DL15" s="29">
        <v>75.84666003169319</v>
      </c>
      <c r="DM15" s="29">
        <v>75.991286783735802</v>
      </c>
      <c r="DN15" s="29">
        <v>76.134550764173341</v>
      </c>
      <c r="DO15" s="29">
        <v>76.276466146566435</v>
      </c>
      <c r="DP15" s="29">
        <v>76.417047340113655</v>
      </c>
      <c r="DQ15" s="29">
        <v>76.55630845393469</v>
      </c>
      <c r="DR15" s="29">
        <v>76.694262979995855</v>
      </c>
      <c r="DS15">
        <v>76.830923663851905</v>
      </c>
      <c r="DT15">
        <v>76.96630249850736</v>
      </c>
      <c r="DU15">
        <v>77.100419337335879</v>
      </c>
    </row>
    <row r="16" spans="1:125">
      <c r="A16" s="27">
        <v>14</v>
      </c>
      <c r="B16" s="28"/>
      <c r="C16" s="28"/>
      <c r="D16" s="28"/>
      <c r="E16" s="28"/>
      <c r="F16" s="28"/>
      <c r="G16" s="28"/>
      <c r="H16" s="28"/>
      <c r="I16" s="28"/>
      <c r="J16" s="28"/>
      <c r="K16" s="28"/>
      <c r="L16" s="28"/>
      <c r="M16" s="28"/>
      <c r="N16" s="28"/>
      <c r="O16" s="28"/>
      <c r="P16" s="28"/>
      <c r="Q16" s="28"/>
      <c r="R16" s="28"/>
      <c r="S16" s="28"/>
      <c r="T16" s="28"/>
      <c r="U16" s="28"/>
      <c r="V16" s="29"/>
      <c r="W16" s="29">
        <v>57.22</v>
      </c>
      <c r="X16" s="29">
        <v>57.5</v>
      </c>
      <c r="Y16" s="29">
        <v>57.596786960449009</v>
      </c>
      <c r="Z16" s="29">
        <v>57.842003017951775</v>
      </c>
      <c r="AA16" s="29">
        <v>58.10055265978415</v>
      </c>
      <c r="AB16" s="29">
        <v>58.327084321751911</v>
      </c>
      <c r="AC16" s="29">
        <v>58.424040591298059</v>
      </c>
      <c r="AD16" s="29">
        <v>58.512848045645804</v>
      </c>
      <c r="AE16" s="29">
        <v>58.744409670236514</v>
      </c>
      <c r="AF16" s="29">
        <v>59.073118113503128</v>
      </c>
      <c r="AG16" s="29">
        <v>59.433986086027673</v>
      </c>
      <c r="AH16" s="29">
        <v>59.853576494858494</v>
      </c>
      <c r="AI16" s="29">
        <v>60.178338668588623</v>
      </c>
      <c r="AJ16" s="29">
        <v>60.56131911971724</v>
      </c>
      <c r="AK16" s="29">
        <v>60.867493358907893</v>
      </c>
      <c r="AL16" s="29">
        <v>61.224021508473122</v>
      </c>
      <c r="AM16" s="29">
        <v>61.582943358607821</v>
      </c>
      <c r="AN16" s="29">
        <v>61.803941727824416</v>
      </c>
      <c r="AO16" s="29">
        <v>61.922934725478996</v>
      </c>
      <c r="AP16" s="29">
        <v>62.116726234612663</v>
      </c>
      <c r="AQ16" s="29">
        <v>62.29114846451774</v>
      </c>
      <c r="AR16" s="29">
        <v>62.561249113837633</v>
      </c>
      <c r="AS16" s="29">
        <v>62.594910978009551</v>
      </c>
      <c r="AT16" s="29">
        <v>62.701395609493986</v>
      </c>
      <c r="AU16" s="29">
        <v>62.7547008874417</v>
      </c>
      <c r="AV16" s="29">
        <v>62.809317179541786</v>
      </c>
      <c r="AW16" s="29">
        <v>63.139109505219103</v>
      </c>
      <c r="AX16" s="29">
        <v>63.275620959166034</v>
      </c>
      <c r="AY16" s="29">
        <v>63.345982932088681</v>
      </c>
      <c r="AZ16" s="29">
        <v>63.336897598363372</v>
      </c>
      <c r="BA16" s="29">
        <v>63.333020153514333</v>
      </c>
      <c r="BB16" s="29">
        <v>63.473132238807473</v>
      </c>
      <c r="BC16" s="29">
        <v>63.559922843953906</v>
      </c>
      <c r="BD16" s="29">
        <v>63.722459212858737</v>
      </c>
      <c r="BE16" s="29">
        <v>63.889404285050432</v>
      </c>
      <c r="BF16" s="29">
        <v>64.085377827223226</v>
      </c>
      <c r="BG16" s="29">
        <v>64.226055339433984</v>
      </c>
      <c r="BH16" s="29">
        <v>64.54088596132658</v>
      </c>
      <c r="BI16" s="29">
        <v>64.718500244300913</v>
      </c>
      <c r="BJ16" s="29">
        <v>64.989110297577056</v>
      </c>
      <c r="BK16" s="29">
        <v>65.200159509731023</v>
      </c>
      <c r="BL16" s="29">
        <v>65.496462636184518</v>
      </c>
      <c r="BM16" s="29">
        <v>65.786323704391236</v>
      </c>
      <c r="BN16" s="29">
        <v>66.03290533141444</v>
      </c>
      <c r="BO16" s="29">
        <v>66.27406821230484</v>
      </c>
      <c r="BP16" s="29">
        <v>66.516254327091758</v>
      </c>
      <c r="BQ16" s="29">
        <v>66.736368146177185</v>
      </c>
      <c r="BR16" s="29">
        <v>66.958665456826822</v>
      </c>
      <c r="BS16" s="29">
        <v>67.144979312208392</v>
      </c>
      <c r="BT16" s="30">
        <v>67.349364145909206</v>
      </c>
      <c r="BU16" s="29">
        <v>67.481052934460351</v>
      </c>
      <c r="BV16" s="29">
        <v>67.693013327011357</v>
      </c>
      <c r="BW16" s="29">
        <v>67.883700401534185</v>
      </c>
      <c r="BX16" s="29">
        <v>68.072452238586678</v>
      </c>
      <c r="BY16" s="29">
        <v>68.242846243967165</v>
      </c>
      <c r="BZ16" s="29">
        <v>68.416815196503649</v>
      </c>
      <c r="CA16" s="29">
        <v>68.578635297996499</v>
      </c>
      <c r="CB16" s="29">
        <v>68.739337084920109</v>
      </c>
      <c r="CC16" s="29">
        <v>68.939637756900439</v>
      </c>
      <c r="CD16" s="29">
        <v>69.133082070846655</v>
      </c>
      <c r="CE16" s="29">
        <v>69.327941214884561</v>
      </c>
      <c r="CF16" s="29">
        <v>69.517394513383309</v>
      </c>
      <c r="CG16" s="29">
        <v>69.70746768672457</v>
      </c>
      <c r="CH16" s="29">
        <v>69.891244360560691</v>
      </c>
      <c r="CI16" s="29">
        <v>70.110348865382775</v>
      </c>
      <c r="CJ16" s="29">
        <v>70.283152736807267</v>
      </c>
      <c r="CK16" s="29">
        <v>70.467957279363205</v>
      </c>
      <c r="CL16" s="29">
        <v>70.664538739887817</v>
      </c>
      <c r="CM16" s="29">
        <v>70.853795840735017</v>
      </c>
      <c r="CN16" s="29">
        <v>71.023975922527256</v>
      </c>
      <c r="CO16" s="29">
        <v>71.20419963417821</v>
      </c>
      <c r="CP16" s="29">
        <v>71.381147233970296</v>
      </c>
      <c r="CQ16" s="29">
        <v>71.550491468389694</v>
      </c>
      <c r="CR16" s="29">
        <v>71.701645856438915</v>
      </c>
      <c r="CS16" s="29">
        <v>71.883335923957674</v>
      </c>
      <c r="CT16" s="29">
        <v>72.05647729574234</v>
      </c>
      <c r="CU16" s="29">
        <v>72.219793531251554</v>
      </c>
      <c r="CV16" s="29">
        <v>72.386130368794085</v>
      </c>
      <c r="CW16" s="29">
        <v>72.535572240782486</v>
      </c>
      <c r="CX16" s="29">
        <v>72.693777948508355</v>
      </c>
      <c r="CY16" s="29">
        <v>72.851752325707565</v>
      </c>
      <c r="CZ16" s="29">
        <v>73.013082106197771</v>
      </c>
      <c r="DA16" s="29">
        <v>73.169006506331428</v>
      </c>
      <c r="DB16" s="29">
        <v>73.335732674170075</v>
      </c>
      <c r="DC16" s="29">
        <v>73.495335774299448</v>
      </c>
      <c r="DD16" s="29">
        <v>73.648016124121597</v>
      </c>
      <c r="DE16" s="29">
        <v>73.806814040728668</v>
      </c>
      <c r="DF16" s="29">
        <v>73.957841480038397</v>
      </c>
      <c r="DG16" s="29">
        <v>74.110603568165047</v>
      </c>
      <c r="DH16" s="29">
        <v>74.261946418811192</v>
      </c>
      <c r="DI16" s="29">
        <v>74.411879241079873</v>
      </c>
      <c r="DJ16" s="29">
        <v>74.560411589191816</v>
      </c>
      <c r="DK16" s="29">
        <v>74.707553531614408</v>
      </c>
      <c r="DL16" s="29">
        <v>74.85331587314414</v>
      </c>
      <c r="DM16" s="29">
        <v>74.997710420806612</v>
      </c>
      <c r="DN16" s="29">
        <v>75.140750164134261</v>
      </c>
      <c r="DO16" s="29">
        <v>75.282449009857586</v>
      </c>
      <c r="DP16" s="29">
        <v>75.422821108985644</v>
      </c>
      <c r="DQ16" s="29">
        <v>75.561880320783189</v>
      </c>
      <c r="DR16" s="29">
        <v>75.699639895421811</v>
      </c>
      <c r="DS16">
        <v>75.836112344471744</v>
      </c>
      <c r="DT16">
        <v>75.971319142060722</v>
      </c>
      <c r="DU16">
        <v>76.105269553212793</v>
      </c>
    </row>
    <row r="17" spans="1:125">
      <c r="A17" s="27">
        <v>15</v>
      </c>
      <c r="B17" s="28"/>
      <c r="C17" s="28"/>
      <c r="D17" s="28"/>
      <c r="E17" s="28"/>
      <c r="F17" s="28"/>
      <c r="G17" s="28"/>
      <c r="H17" s="28"/>
      <c r="I17" s="28"/>
      <c r="J17" s="28"/>
      <c r="K17" s="28"/>
      <c r="L17" s="28"/>
      <c r="M17" s="28"/>
      <c r="N17" s="28"/>
      <c r="O17" s="28"/>
      <c r="P17" s="28"/>
      <c r="Q17" s="28"/>
      <c r="R17" s="28"/>
      <c r="S17" s="28"/>
      <c r="T17" s="28"/>
      <c r="U17" s="28"/>
      <c r="V17" s="29"/>
      <c r="W17" s="29">
        <v>56.33</v>
      </c>
      <c r="X17" s="29">
        <v>56.6</v>
      </c>
      <c r="Y17" s="29">
        <v>56.687138552356252</v>
      </c>
      <c r="Z17" s="29">
        <v>56.92625593791783</v>
      </c>
      <c r="AA17" s="29">
        <v>57.191701424970411</v>
      </c>
      <c r="AB17" s="29">
        <v>57.418591557131776</v>
      </c>
      <c r="AC17" s="29">
        <v>57.515701253057337</v>
      </c>
      <c r="AD17" s="29">
        <v>57.604649238865797</v>
      </c>
      <c r="AE17" s="29">
        <v>57.845810101398982</v>
      </c>
      <c r="AF17" s="29">
        <v>58.189023692369261</v>
      </c>
      <c r="AG17" s="29">
        <v>58.573985097930034</v>
      </c>
      <c r="AH17" s="29">
        <v>58.942145291342591</v>
      </c>
      <c r="AI17" s="29">
        <v>59.267392082791986</v>
      </c>
      <c r="AJ17" s="29">
        <v>59.627649063711857</v>
      </c>
      <c r="AK17" s="29">
        <v>59.920663542825579</v>
      </c>
      <c r="AL17" s="29">
        <v>60.277505713501</v>
      </c>
      <c r="AM17" s="29">
        <v>60.63674369305771</v>
      </c>
      <c r="AN17" s="29">
        <v>60.849435984395548</v>
      </c>
      <c r="AO17" s="29">
        <v>60.96282859796446</v>
      </c>
      <c r="AP17" s="29">
        <v>61.156766426281443</v>
      </c>
      <c r="AQ17" s="29">
        <v>61.329819025299471</v>
      </c>
      <c r="AR17" s="29">
        <v>61.601515614569315</v>
      </c>
      <c r="AS17" s="29">
        <v>61.635293074238625</v>
      </c>
      <c r="AT17" s="29">
        <v>61.741411828561958</v>
      </c>
      <c r="AU17" s="29">
        <v>61.788016804683629</v>
      </c>
      <c r="AV17" s="29">
        <v>61.845511129850721</v>
      </c>
      <c r="AW17" s="29">
        <v>62.171532130348275</v>
      </c>
      <c r="AX17" s="29">
        <v>62.31472540782336</v>
      </c>
      <c r="AY17" s="29">
        <v>62.379059169571711</v>
      </c>
      <c r="AZ17" s="29">
        <v>62.37463452013651</v>
      </c>
      <c r="BA17" s="29">
        <v>62.369508043443545</v>
      </c>
      <c r="BB17" s="29">
        <v>62.511349460285309</v>
      </c>
      <c r="BC17" s="29">
        <v>62.598484319966389</v>
      </c>
      <c r="BD17" s="29">
        <v>62.756795264840292</v>
      </c>
      <c r="BE17" s="29">
        <v>62.925103315038037</v>
      </c>
      <c r="BF17" s="29">
        <v>63.12074930759411</v>
      </c>
      <c r="BG17" s="29">
        <v>63.263782133872532</v>
      </c>
      <c r="BH17" s="29">
        <v>63.573703092977922</v>
      </c>
      <c r="BI17" s="29">
        <v>63.748836640567035</v>
      </c>
      <c r="BJ17" s="29">
        <v>64.019077491064067</v>
      </c>
      <c r="BK17" s="29">
        <v>64.234895617908109</v>
      </c>
      <c r="BL17" s="29">
        <v>64.525560744897817</v>
      </c>
      <c r="BM17" s="29">
        <v>64.818352088579488</v>
      </c>
      <c r="BN17" s="29">
        <v>65.059068830468803</v>
      </c>
      <c r="BO17" s="29">
        <v>65.302004121769258</v>
      </c>
      <c r="BP17" s="29">
        <v>65.544347896798101</v>
      </c>
      <c r="BQ17" s="29">
        <v>65.759636079162888</v>
      </c>
      <c r="BR17" s="29">
        <v>65.98324746050811</v>
      </c>
      <c r="BS17" s="29">
        <v>66.166393465092312</v>
      </c>
      <c r="BT17" s="30">
        <v>66.37009849517608</v>
      </c>
      <c r="BU17" s="29">
        <v>66.502325430123093</v>
      </c>
      <c r="BV17" s="29">
        <v>66.711857327510486</v>
      </c>
      <c r="BW17" s="29">
        <v>66.905812067026503</v>
      </c>
      <c r="BX17" s="29">
        <v>67.090346066057776</v>
      </c>
      <c r="BY17" s="29">
        <v>67.259929560723478</v>
      </c>
      <c r="BZ17" s="29">
        <v>67.438057977802515</v>
      </c>
      <c r="CA17" s="29">
        <v>67.595649133394431</v>
      </c>
      <c r="CB17" s="29">
        <v>67.756236483487527</v>
      </c>
      <c r="CC17" s="29">
        <v>67.956395762763421</v>
      </c>
      <c r="CD17" s="29">
        <v>68.148332188697722</v>
      </c>
      <c r="CE17" s="29">
        <v>68.345566544736201</v>
      </c>
      <c r="CF17" s="29">
        <v>68.533983313704042</v>
      </c>
      <c r="CG17" s="29">
        <v>68.72272160319848</v>
      </c>
      <c r="CH17" s="29">
        <v>68.907686112339903</v>
      </c>
      <c r="CI17" s="29">
        <v>69.12450272722954</v>
      </c>
      <c r="CJ17" s="29">
        <v>69.297110741345705</v>
      </c>
      <c r="CK17" s="29">
        <v>69.48091496111951</v>
      </c>
      <c r="CL17" s="29">
        <v>69.678357526239196</v>
      </c>
      <c r="CM17" s="29">
        <v>69.865746147541913</v>
      </c>
      <c r="CN17" s="29">
        <v>70.036365620382298</v>
      </c>
      <c r="CO17" s="29">
        <v>70.213322137720866</v>
      </c>
      <c r="CP17" s="29">
        <v>70.393621678373705</v>
      </c>
      <c r="CQ17" s="29">
        <v>70.559592127835543</v>
      </c>
      <c r="CR17" s="29">
        <v>70.715698599062108</v>
      </c>
      <c r="CS17" s="29">
        <v>70.893335697098507</v>
      </c>
      <c r="CT17" s="29">
        <v>71.067815945988499</v>
      </c>
      <c r="CU17" s="29">
        <v>71.228716576781295</v>
      </c>
      <c r="CV17" s="29">
        <v>71.393908029122727</v>
      </c>
      <c r="CW17" s="29">
        <v>71.543842814371473</v>
      </c>
      <c r="CX17" s="29">
        <v>71.703467894730863</v>
      </c>
      <c r="CY17" s="29">
        <v>71.859285435429641</v>
      </c>
      <c r="CZ17" s="29">
        <v>72.022599256656562</v>
      </c>
      <c r="DA17" s="29">
        <v>72.179589944748528</v>
      </c>
      <c r="DB17" s="29">
        <v>72.345155636894432</v>
      </c>
      <c r="DC17" s="29">
        <v>72.503003537844037</v>
      </c>
      <c r="DD17" s="29">
        <v>72.658249444598965</v>
      </c>
      <c r="DE17" s="29">
        <v>72.813572938182844</v>
      </c>
      <c r="DF17" s="29">
        <v>72.967425766840577</v>
      </c>
      <c r="DG17" s="29">
        <v>73.119861042569639</v>
      </c>
      <c r="DH17" s="29">
        <v>73.270888015686182</v>
      </c>
      <c r="DI17" s="29">
        <v>73.420515538895003</v>
      </c>
      <c r="DJ17" s="29">
        <v>73.568752821243237</v>
      </c>
      <c r="DK17" s="29">
        <v>73.715609596929411</v>
      </c>
      <c r="DL17" s="29">
        <v>73.861096347077179</v>
      </c>
      <c r="DM17" s="29">
        <v>74.005224565335695</v>
      </c>
      <c r="DN17" s="29">
        <v>74.14800693785358</v>
      </c>
      <c r="DO17" s="29">
        <v>74.289457077630857</v>
      </c>
      <c r="DP17" s="29">
        <v>74.429588851238876</v>
      </c>
      <c r="DQ17" s="29">
        <v>74.568415842471367</v>
      </c>
      <c r="DR17" s="29">
        <v>74.705951034705535</v>
      </c>
      <c r="DS17">
        <v>74.842218046998738</v>
      </c>
      <c r="DT17">
        <v>74.977225977237765</v>
      </c>
      <c r="DU17">
        <v>75.110983885545394</v>
      </c>
    </row>
    <row r="18" spans="1:125">
      <c r="A18" s="27">
        <v>16</v>
      </c>
      <c r="B18" s="28"/>
      <c r="C18" s="28"/>
      <c r="D18" s="28"/>
      <c r="E18" s="28"/>
      <c r="F18" s="28"/>
      <c r="G18" s="28"/>
      <c r="H18" s="28"/>
      <c r="I18" s="28"/>
      <c r="J18" s="28"/>
      <c r="K18" s="28"/>
      <c r="L18" s="28"/>
      <c r="M18" s="28"/>
      <c r="N18" s="28"/>
      <c r="O18" s="28"/>
      <c r="P18" s="28"/>
      <c r="Q18" s="28"/>
      <c r="R18" s="28"/>
      <c r="S18" s="28"/>
      <c r="T18" s="28"/>
      <c r="U18" s="28"/>
      <c r="V18" s="29"/>
      <c r="W18" s="29">
        <v>55.43</v>
      </c>
      <c r="X18" s="29">
        <v>55.7</v>
      </c>
      <c r="Y18" s="29">
        <v>55.786108659522867</v>
      </c>
      <c r="Z18" s="29">
        <v>56.033301865682851</v>
      </c>
      <c r="AA18" s="29">
        <v>56.29925092785237</v>
      </c>
      <c r="AB18" s="29">
        <v>56.526571491987198</v>
      </c>
      <c r="AC18" s="29">
        <v>56.62386541416209</v>
      </c>
      <c r="AD18" s="29">
        <v>56.723838044308472</v>
      </c>
      <c r="AE18" s="29">
        <v>56.98186263841535</v>
      </c>
      <c r="AF18" s="29">
        <v>57.353341831757298</v>
      </c>
      <c r="AG18" s="29">
        <v>57.676958314146077</v>
      </c>
      <c r="AH18" s="29">
        <v>58.045771306555189</v>
      </c>
      <c r="AI18" s="29">
        <v>58.344505210837724</v>
      </c>
      <c r="AJ18" s="29">
        <v>58.689205837783149</v>
      </c>
      <c r="AK18" s="29">
        <v>58.982525369209561</v>
      </c>
      <c r="AL18" s="29">
        <v>59.339739042104782</v>
      </c>
      <c r="AM18" s="29">
        <v>59.690539593646051</v>
      </c>
      <c r="AN18" s="29">
        <v>59.896476229696475</v>
      </c>
      <c r="AO18" s="29">
        <v>60.012793704520611</v>
      </c>
      <c r="AP18" s="29">
        <v>60.20580361417511</v>
      </c>
      <c r="AQ18" s="29">
        <v>60.382345051108125</v>
      </c>
      <c r="AR18" s="29">
        <v>60.648427678266152</v>
      </c>
      <c r="AS18" s="29">
        <v>60.683487069027549</v>
      </c>
      <c r="AT18" s="29">
        <v>60.786350330232189</v>
      </c>
      <c r="AU18" s="29">
        <v>60.827786223785957</v>
      </c>
      <c r="AV18" s="29">
        <v>60.890430491412026</v>
      </c>
      <c r="AW18" s="29">
        <v>61.21401097226962</v>
      </c>
      <c r="AX18" s="29">
        <v>61.35899727761015</v>
      </c>
      <c r="AY18" s="29">
        <v>61.420225834981338</v>
      </c>
      <c r="AZ18" s="29">
        <v>61.414911474550863</v>
      </c>
      <c r="BA18" s="29">
        <v>61.409425000073824</v>
      </c>
      <c r="BB18" s="29">
        <v>61.551939331664329</v>
      </c>
      <c r="BC18" s="29">
        <v>61.639822989988886</v>
      </c>
      <c r="BD18" s="29">
        <v>61.800409988551408</v>
      </c>
      <c r="BE18" s="29">
        <v>61.970431421505396</v>
      </c>
      <c r="BF18" s="29">
        <v>62.164368203584104</v>
      </c>
      <c r="BG18" s="29">
        <v>62.308890279163521</v>
      </c>
      <c r="BH18" s="29">
        <v>62.614124762372626</v>
      </c>
      <c r="BI18" s="29">
        <v>62.791634515293175</v>
      </c>
      <c r="BJ18" s="29">
        <v>63.060026481447885</v>
      </c>
      <c r="BK18" s="29">
        <v>63.276140217383549</v>
      </c>
      <c r="BL18" s="29">
        <v>63.568377654855837</v>
      </c>
      <c r="BM18" s="29">
        <v>63.856813248858032</v>
      </c>
      <c r="BN18" s="29">
        <v>64.097353465542895</v>
      </c>
      <c r="BO18" s="29">
        <v>64.339573285090353</v>
      </c>
      <c r="BP18" s="29">
        <v>64.581099700809716</v>
      </c>
      <c r="BQ18" s="29">
        <v>64.791897423156513</v>
      </c>
      <c r="BR18" s="29">
        <v>65.014708591387588</v>
      </c>
      <c r="BS18" s="29">
        <v>65.193258124952507</v>
      </c>
      <c r="BT18" s="30">
        <v>65.39852656716117</v>
      </c>
      <c r="BU18" s="29">
        <v>65.53060615170601</v>
      </c>
      <c r="BV18" s="29">
        <v>65.741212722934051</v>
      </c>
      <c r="BW18" s="29">
        <v>65.932175910926674</v>
      </c>
      <c r="BX18" s="29">
        <v>66.114761137572387</v>
      </c>
      <c r="BY18" s="29">
        <v>66.287611586592291</v>
      </c>
      <c r="BZ18" s="29">
        <v>66.45964494848414</v>
      </c>
      <c r="CA18" s="29">
        <v>66.619679890605852</v>
      </c>
      <c r="CB18" s="29">
        <v>66.781946804358029</v>
      </c>
      <c r="CC18" s="29">
        <v>66.978819342221101</v>
      </c>
      <c r="CD18" s="29">
        <v>67.171662191930636</v>
      </c>
      <c r="CE18" s="29">
        <v>67.363794568749697</v>
      </c>
      <c r="CF18" s="29">
        <v>67.55182469423967</v>
      </c>
      <c r="CG18" s="29">
        <v>67.744334801352991</v>
      </c>
      <c r="CH18" s="29">
        <v>67.924264070478998</v>
      </c>
      <c r="CI18" s="29">
        <v>68.138847398928121</v>
      </c>
      <c r="CJ18" s="29">
        <v>68.3140897907723</v>
      </c>
      <c r="CK18" s="29">
        <v>68.498253023649227</v>
      </c>
      <c r="CL18" s="29">
        <v>68.696067097904475</v>
      </c>
      <c r="CM18" s="29">
        <v>68.880060249045826</v>
      </c>
      <c r="CN18" s="29">
        <v>69.04871228243772</v>
      </c>
      <c r="CO18" s="29">
        <v>69.226033744992037</v>
      </c>
      <c r="CP18" s="29">
        <v>69.407538497139399</v>
      </c>
      <c r="CQ18" s="29">
        <v>69.575374682795456</v>
      </c>
      <c r="CR18" s="29">
        <v>69.730752894261357</v>
      </c>
      <c r="CS18" s="29">
        <v>69.904314036830201</v>
      </c>
      <c r="CT18" s="29">
        <v>70.076906443365047</v>
      </c>
      <c r="CU18" s="29">
        <v>70.241185977654638</v>
      </c>
      <c r="CV18" s="29">
        <v>70.405523387759246</v>
      </c>
      <c r="CW18" s="29">
        <v>70.553675884352046</v>
      </c>
      <c r="CX18" s="29">
        <v>70.713988393387666</v>
      </c>
      <c r="CY18" s="29">
        <v>70.86979308016987</v>
      </c>
      <c r="CZ18" s="29">
        <v>71.034088823510089</v>
      </c>
      <c r="DA18" s="29">
        <v>71.192174093686958</v>
      </c>
      <c r="DB18" s="29">
        <v>71.356233698907786</v>
      </c>
      <c r="DC18" s="29">
        <v>71.512967660112267</v>
      </c>
      <c r="DD18" s="29">
        <v>71.670485415411562</v>
      </c>
      <c r="DE18" s="29">
        <v>71.825358170395702</v>
      </c>
      <c r="DF18" s="29">
        <v>71.978817146269307</v>
      </c>
      <c r="DG18" s="29">
        <v>72.130871469153305</v>
      </c>
      <c r="DH18" s="29">
        <v>72.281529978591905</v>
      </c>
      <c r="DI18" s="29">
        <v>72.430801129015038</v>
      </c>
      <c r="DJ18" s="29">
        <v>72.578693743444887</v>
      </c>
      <c r="DK18" s="29">
        <v>72.725217181967494</v>
      </c>
      <c r="DL18" s="29">
        <v>72.870381563180686</v>
      </c>
      <c r="DM18" s="29">
        <v>73.014198029478592</v>
      </c>
      <c r="DN18" s="29">
        <v>73.15667892670254</v>
      </c>
      <c r="DO18" s="29">
        <v>73.297837538125975</v>
      </c>
      <c r="DP18" s="29">
        <v>73.43768741077966</v>
      </c>
      <c r="DQ18" s="29">
        <v>73.576241818747704</v>
      </c>
      <c r="DR18" s="29">
        <v>73.713526995302885</v>
      </c>
      <c r="DS18">
        <v>73.849551829726977</v>
      </c>
      <c r="DT18">
        <v>73.984325180661855</v>
      </c>
      <c r="DU18">
        <v>74.117855876006047</v>
      </c>
    </row>
    <row r="19" spans="1:125">
      <c r="A19" s="27">
        <v>17</v>
      </c>
      <c r="B19" s="28"/>
      <c r="C19" s="28"/>
      <c r="D19" s="28"/>
      <c r="E19" s="28"/>
      <c r="F19" s="28"/>
      <c r="G19" s="28"/>
      <c r="H19" s="28"/>
      <c r="I19" s="28"/>
      <c r="J19" s="28"/>
      <c r="K19" s="28"/>
      <c r="L19" s="28"/>
      <c r="M19" s="28"/>
      <c r="N19" s="28"/>
      <c r="O19" s="28"/>
      <c r="P19" s="28"/>
      <c r="Q19" s="28"/>
      <c r="R19" s="28"/>
      <c r="S19" s="28"/>
      <c r="T19" s="28"/>
      <c r="U19" s="28"/>
      <c r="V19" s="29"/>
      <c r="W19" s="29">
        <v>54.56</v>
      </c>
      <c r="X19" s="29">
        <v>54.82</v>
      </c>
      <c r="Y19" s="29">
        <v>54.912417879024311</v>
      </c>
      <c r="Z19" s="29">
        <v>55.160175834299267</v>
      </c>
      <c r="AA19" s="29">
        <v>55.426732496086196</v>
      </c>
      <c r="AB19" s="29">
        <v>55.6545724073722</v>
      </c>
      <c r="AC19" s="29">
        <v>55.764943162815349</v>
      </c>
      <c r="AD19" s="29">
        <v>55.884494304678562</v>
      </c>
      <c r="AE19" s="29">
        <v>56.17564564337961</v>
      </c>
      <c r="AF19" s="29">
        <v>56.474126980956932</v>
      </c>
      <c r="AG19" s="29">
        <v>56.798430987840291</v>
      </c>
      <c r="AH19" s="29">
        <v>57.136236311816305</v>
      </c>
      <c r="AI19" s="29">
        <v>57.412842364828229</v>
      </c>
      <c r="AJ19" s="29">
        <v>57.757950219041618</v>
      </c>
      <c r="AK19" s="29">
        <v>58.051616276415729</v>
      </c>
      <c r="AL19" s="29">
        <v>58.401034395801595</v>
      </c>
      <c r="AM19" s="29">
        <v>58.748352328386837</v>
      </c>
      <c r="AN19" s="29">
        <v>58.954260136107763</v>
      </c>
      <c r="AO19" s="29">
        <v>59.069144601352718</v>
      </c>
      <c r="AP19" s="29">
        <v>59.263785141304062</v>
      </c>
      <c r="AQ19" s="29">
        <v>59.442784273269083</v>
      </c>
      <c r="AR19" s="29">
        <v>59.704795876995384</v>
      </c>
      <c r="AS19" s="29">
        <v>59.745104568574398</v>
      </c>
      <c r="AT19" s="29">
        <v>59.845865600718021</v>
      </c>
      <c r="AU19" s="29">
        <v>59.883895451695537</v>
      </c>
      <c r="AV19" s="29">
        <v>59.948130862339383</v>
      </c>
      <c r="AW19" s="29">
        <v>60.273055749177743</v>
      </c>
      <c r="AX19" s="29">
        <v>60.421233245681329</v>
      </c>
      <c r="AY19" s="29">
        <v>60.481624795371353</v>
      </c>
      <c r="AZ19" s="29">
        <v>60.478123162309252</v>
      </c>
      <c r="BA19" s="29">
        <v>60.479466566374192</v>
      </c>
      <c r="BB19" s="29">
        <v>60.615896918602594</v>
      </c>
      <c r="BC19" s="29">
        <v>60.712028491092276</v>
      </c>
      <c r="BD19" s="29">
        <v>60.87088497997798</v>
      </c>
      <c r="BE19" s="29">
        <v>61.043746042493723</v>
      </c>
      <c r="BF19" s="29">
        <v>61.23846279928415</v>
      </c>
      <c r="BG19" s="29">
        <v>61.377417790864051</v>
      </c>
      <c r="BH19" s="29">
        <v>61.68837351461972</v>
      </c>
      <c r="BI19" s="29">
        <v>61.859927672306902</v>
      </c>
      <c r="BJ19" s="29">
        <v>62.127914215511574</v>
      </c>
      <c r="BK19" s="29">
        <v>62.344030476200558</v>
      </c>
      <c r="BL19" s="29">
        <v>62.629429129729921</v>
      </c>
      <c r="BM19" s="29">
        <v>62.919900943643988</v>
      </c>
      <c r="BN19" s="29">
        <v>63.154476365986</v>
      </c>
      <c r="BO19" s="29">
        <v>63.39149146029402</v>
      </c>
      <c r="BP19" s="29">
        <v>63.634158615008644</v>
      </c>
      <c r="BQ19" s="29">
        <v>63.844968127691018</v>
      </c>
      <c r="BR19" s="29">
        <v>64.059309542944845</v>
      </c>
      <c r="BS19" s="29">
        <v>64.231928479332922</v>
      </c>
      <c r="BT19" s="30">
        <v>64.439682696404304</v>
      </c>
      <c r="BU19" s="29">
        <v>64.56888533861283</v>
      </c>
      <c r="BV19" s="29">
        <v>64.779389537052751</v>
      </c>
      <c r="BW19" s="29">
        <v>64.965985025948697</v>
      </c>
      <c r="BX19" s="29">
        <v>65.153282551015565</v>
      </c>
      <c r="BY19" s="29">
        <v>65.325883524265876</v>
      </c>
      <c r="BZ19" s="29">
        <v>65.492512003627084</v>
      </c>
      <c r="CA19" s="29">
        <v>65.65552537874386</v>
      </c>
      <c r="CB19" s="29">
        <v>65.816335289511898</v>
      </c>
      <c r="CC19" s="29">
        <v>66.01412347102783</v>
      </c>
      <c r="CD19" s="29">
        <v>66.207747726796754</v>
      </c>
      <c r="CE19" s="29">
        <v>66.395297782007873</v>
      </c>
      <c r="CF19" s="29">
        <v>66.579001411090886</v>
      </c>
      <c r="CG19" s="29">
        <v>66.773152801071262</v>
      </c>
      <c r="CH19" s="29">
        <v>66.953141966529913</v>
      </c>
      <c r="CI19" s="29">
        <v>67.170103396699275</v>
      </c>
      <c r="CJ19" s="29">
        <v>67.341790438982599</v>
      </c>
      <c r="CK19" s="29">
        <v>67.520639991939476</v>
      </c>
      <c r="CL19" s="29">
        <v>67.718206157945858</v>
      </c>
      <c r="CM19" s="29">
        <v>67.902797677223447</v>
      </c>
      <c r="CN19" s="29">
        <v>68.070274892502724</v>
      </c>
      <c r="CO19" s="29">
        <v>68.247412778510068</v>
      </c>
      <c r="CP19" s="29">
        <v>68.425388446601175</v>
      </c>
      <c r="CQ19" s="29">
        <v>68.592867158366175</v>
      </c>
      <c r="CR19" s="29">
        <v>68.74946454650707</v>
      </c>
      <c r="CS19" s="29">
        <v>68.921517818817122</v>
      </c>
      <c r="CT19" s="29">
        <v>69.094731024303883</v>
      </c>
      <c r="CU19" s="29">
        <v>69.259500830520565</v>
      </c>
      <c r="CV19" s="29">
        <v>69.422729707406575</v>
      </c>
      <c r="CW19" s="29">
        <v>69.571490550154309</v>
      </c>
      <c r="CX19" s="29">
        <v>69.732379699389199</v>
      </c>
      <c r="CY19" s="29">
        <v>69.887157565308456</v>
      </c>
      <c r="CZ19" s="29">
        <v>70.048348225791329</v>
      </c>
      <c r="DA19" s="29">
        <v>70.20848026137979</v>
      </c>
      <c r="DB19" s="29">
        <v>70.371981409092356</v>
      </c>
      <c r="DC19" s="29">
        <v>70.529250453707121</v>
      </c>
      <c r="DD19" s="29">
        <v>70.685053576418895</v>
      </c>
      <c r="DE19" s="29">
        <v>70.839449359917026</v>
      </c>
      <c r="DF19" s="29">
        <v>70.992446650221353</v>
      </c>
      <c r="DG19" s="29">
        <v>71.144054098153504</v>
      </c>
      <c r="DH19" s="29">
        <v>71.294280082040657</v>
      </c>
      <c r="DI19" s="29">
        <v>71.443132608778797</v>
      </c>
      <c r="DJ19" s="29">
        <v>71.590620067293244</v>
      </c>
      <c r="DK19" s="29">
        <v>71.736751396652636</v>
      </c>
      <c r="DL19" s="29">
        <v>71.881536307172382</v>
      </c>
      <c r="DM19" s="29">
        <v>72.02498554536443</v>
      </c>
      <c r="DN19" s="29">
        <v>72.167111073244044</v>
      </c>
      <c r="DO19" s="29">
        <v>72.307925801914521</v>
      </c>
      <c r="DP19" s="29">
        <v>72.447442917456868</v>
      </c>
      <c r="DQ19" s="29">
        <v>72.585691563568275</v>
      </c>
      <c r="DR19" s="29">
        <v>72.722680371362486</v>
      </c>
      <c r="DS19">
        <v>72.858417949669786</v>
      </c>
      <c r="DT19">
        <v>72.992912884705689</v>
      </c>
      <c r="DU19">
        <v>73.126173739753</v>
      </c>
    </row>
    <row r="20" spans="1:125">
      <c r="A20" s="27">
        <v>18</v>
      </c>
      <c r="B20" s="28"/>
      <c r="C20" s="28"/>
      <c r="D20" s="28"/>
      <c r="E20" s="28"/>
      <c r="F20" s="28"/>
      <c r="G20" s="28"/>
      <c r="H20" s="28"/>
      <c r="I20" s="28"/>
      <c r="J20" s="28"/>
      <c r="K20" s="28"/>
      <c r="L20" s="28"/>
      <c r="M20" s="28"/>
      <c r="N20" s="28"/>
      <c r="O20" s="28"/>
      <c r="P20" s="28"/>
      <c r="Q20" s="28"/>
      <c r="R20" s="28"/>
      <c r="S20" s="28"/>
      <c r="T20" s="28"/>
      <c r="U20" s="28"/>
      <c r="V20" s="29"/>
      <c r="W20" s="29">
        <v>53.68</v>
      </c>
      <c r="X20" s="29">
        <v>53.94</v>
      </c>
      <c r="Y20" s="29">
        <v>54.03771052669088</v>
      </c>
      <c r="Z20" s="29">
        <v>54.286038981337256</v>
      </c>
      <c r="AA20" s="29">
        <v>54.553209429300388</v>
      </c>
      <c r="AB20" s="29">
        <v>54.794306308346194</v>
      </c>
      <c r="AC20" s="29">
        <v>54.924104427590187</v>
      </c>
      <c r="AD20" s="29">
        <v>55.114473749640361</v>
      </c>
      <c r="AE20" s="29">
        <v>55.315743158707967</v>
      </c>
      <c r="AF20" s="29">
        <v>55.614975569636712</v>
      </c>
      <c r="AG20" s="29">
        <v>55.90549972201466</v>
      </c>
      <c r="AH20" s="29">
        <v>56.213366490243047</v>
      </c>
      <c r="AI20" s="29">
        <v>56.490349239794348</v>
      </c>
      <c r="AJ20" s="29">
        <v>56.835927079870231</v>
      </c>
      <c r="AK20" s="29">
        <v>57.122346133612524</v>
      </c>
      <c r="AL20" s="29">
        <v>57.469279265917706</v>
      </c>
      <c r="AM20" s="29">
        <v>57.807216287539262</v>
      </c>
      <c r="AN20" s="29">
        <v>58.018894927212003</v>
      </c>
      <c r="AO20" s="29">
        <v>58.134051767357477</v>
      </c>
      <c r="AP20" s="29">
        <v>58.328354139680414</v>
      </c>
      <c r="AQ20" s="29">
        <v>58.511889036550834</v>
      </c>
      <c r="AR20" s="29">
        <v>58.766789087814772</v>
      </c>
      <c r="AS20" s="29">
        <v>58.816420498973656</v>
      </c>
      <c r="AT20" s="29">
        <v>58.91622315240226</v>
      </c>
      <c r="AU20" s="29">
        <v>58.947524088204176</v>
      </c>
      <c r="AV20" s="29">
        <v>59.0268966412156</v>
      </c>
      <c r="AW20" s="29">
        <v>59.339897767768484</v>
      </c>
      <c r="AX20" s="29">
        <v>59.49579285865326</v>
      </c>
      <c r="AY20" s="29">
        <v>59.560999189919499</v>
      </c>
      <c r="AZ20" s="29">
        <v>59.552148342654498</v>
      </c>
      <c r="BA20" s="29">
        <v>59.563036465604029</v>
      </c>
      <c r="BB20" s="29">
        <v>59.700531259664594</v>
      </c>
      <c r="BC20" s="29">
        <v>59.798658934353348</v>
      </c>
      <c r="BD20" s="29">
        <v>59.958920992344829</v>
      </c>
      <c r="BE20" s="29">
        <v>60.1277940026254</v>
      </c>
      <c r="BF20" s="29">
        <v>60.316178598250467</v>
      </c>
      <c r="BG20" s="29">
        <v>60.45927809150924</v>
      </c>
      <c r="BH20" s="29">
        <v>60.770533525910153</v>
      </c>
      <c r="BI20" s="29">
        <v>60.943869977962812</v>
      </c>
      <c r="BJ20" s="29">
        <v>61.207442842188556</v>
      </c>
      <c r="BK20" s="29">
        <v>61.415627130073887</v>
      </c>
      <c r="BL20" s="29">
        <v>61.702382575638325</v>
      </c>
      <c r="BM20" s="29">
        <v>61.991267859064763</v>
      </c>
      <c r="BN20" s="29">
        <v>62.22216403726366</v>
      </c>
      <c r="BO20" s="29">
        <v>62.456082568087737</v>
      </c>
      <c r="BP20" s="29">
        <v>62.690436767078474</v>
      </c>
      <c r="BQ20" s="29">
        <v>62.901345400746742</v>
      </c>
      <c r="BR20" s="29">
        <v>63.11053580062358</v>
      </c>
      <c r="BS20" s="29">
        <v>63.282056816720214</v>
      </c>
      <c r="BT20" s="30">
        <v>63.488270769893624</v>
      </c>
      <c r="BU20" s="29">
        <v>63.614506053670674</v>
      </c>
      <c r="BV20" s="29">
        <v>63.823131832405899</v>
      </c>
      <c r="BW20" s="29">
        <v>64.015297027170575</v>
      </c>
      <c r="BX20" s="29">
        <v>64.202452690190128</v>
      </c>
      <c r="BY20" s="29">
        <v>64.371791892163159</v>
      </c>
      <c r="BZ20" s="29">
        <v>64.532318892842738</v>
      </c>
      <c r="CA20" s="29">
        <v>64.700579016005776</v>
      </c>
      <c r="CB20" s="29">
        <v>64.862157457956826</v>
      </c>
      <c r="CC20" s="29">
        <v>65.052808946561953</v>
      </c>
      <c r="CD20" s="29">
        <v>65.249544924860942</v>
      </c>
      <c r="CE20" s="29">
        <v>65.437075541198368</v>
      </c>
      <c r="CF20" s="29">
        <v>65.616761742793457</v>
      </c>
      <c r="CG20" s="29">
        <v>65.805500599709376</v>
      </c>
      <c r="CH20" s="29">
        <v>65.987639571972977</v>
      </c>
      <c r="CI20" s="29">
        <v>66.204709422046804</v>
      </c>
      <c r="CJ20" s="29">
        <v>66.374620698600452</v>
      </c>
      <c r="CK20" s="29">
        <v>66.548998928068016</v>
      </c>
      <c r="CL20" s="29">
        <v>66.744254999952076</v>
      </c>
      <c r="CM20" s="29">
        <v>66.928364875398955</v>
      </c>
      <c r="CN20" s="29">
        <v>67.090157805356895</v>
      </c>
      <c r="CO20" s="29">
        <v>67.272088360711862</v>
      </c>
      <c r="CP20" s="29">
        <v>67.449543097693805</v>
      </c>
      <c r="CQ20" s="29">
        <v>67.61459338952244</v>
      </c>
      <c r="CR20" s="29">
        <v>67.774234005694851</v>
      </c>
      <c r="CS20" s="29">
        <v>67.945702435942934</v>
      </c>
      <c r="CT20" s="29">
        <v>68.113493709444441</v>
      </c>
      <c r="CU20" s="29">
        <v>68.279253274147678</v>
      </c>
      <c r="CV20" s="29">
        <v>68.442892261182322</v>
      </c>
      <c r="CW20" s="29">
        <v>68.591301380610901</v>
      </c>
      <c r="CX20" s="29">
        <v>68.748995689912647</v>
      </c>
      <c r="CY20" s="29">
        <v>68.906853100307515</v>
      </c>
      <c r="CZ20" s="29">
        <v>69.066668099764229</v>
      </c>
      <c r="DA20" s="29">
        <v>69.227667059555614</v>
      </c>
      <c r="DB20" s="29">
        <v>69.390472314741231</v>
      </c>
      <c r="DC20" s="29">
        <v>69.547100909671414</v>
      </c>
      <c r="DD20" s="29">
        <v>69.702331686411242</v>
      </c>
      <c r="DE20" s="29">
        <v>69.856173063252953</v>
      </c>
      <c r="DF20" s="29">
        <v>70.008633341819888</v>
      </c>
      <c r="DG20" s="29">
        <v>70.159720644234341</v>
      </c>
      <c r="DH20" s="29">
        <v>70.309442835391764</v>
      </c>
      <c r="DI20" s="29">
        <v>70.457807423602091</v>
      </c>
      <c r="DJ20" s="29">
        <v>70.604822313811667</v>
      </c>
      <c r="DK20" s="29">
        <v>70.750495975342488</v>
      </c>
      <c r="DL20" s="29">
        <v>70.89483766263514</v>
      </c>
      <c r="DM20" s="29">
        <v>71.037857679848258</v>
      </c>
      <c r="DN20" s="29">
        <v>71.179567559801697</v>
      </c>
      <c r="DO20" s="29">
        <v>71.319979797128582</v>
      </c>
      <c r="DP20" s="29">
        <v>71.459126395863493</v>
      </c>
      <c r="DQ20" s="29">
        <v>71.59701567431911</v>
      </c>
      <c r="DR20" s="29">
        <v>71.733655938180391</v>
      </c>
      <c r="DS20">
        <v>71.86905547992265</v>
      </c>
      <c r="DT20">
        <v>72.003222578245584</v>
      </c>
      <c r="DU20">
        <v>72.136165497525766</v>
      </c>
    </row>
    <row r="21" spans="1:125">
      <c r="A21" s="27">
        <v>19</v>
      </c>
      <c r="B21" s="28"/>
      <c r="C21" s="28"/>
      <c r="D21" s="28"/>
      <c r="E21" s="28"/>
      <c r="F21" s="28"/>
      <c r="G21" s="28"/>
      <c r="H21" s="28"/>
      <c r="I21" s="28"/>
      <c r="J21" s="28"/>
      <c r="K21" s="28"/>
      <c r="L21" s="28"/>
      <c r="M21" s="28"/>
      <c r="N21" s="28"/>
      <c r="O21" s="28"/>
      <c r="P21" s="28"/>
      <c r="Q21" s="28"/>
      <c r="R21" s="28"/>
      <c r="S21" s="28"/>
      <c r="T21" s="28"/>
      <c r="U21" s="28"/>
      <c r="V21" s="29"/>
      <c r="W21" s="29">
        <v>52.81</v>
      </c>
      <c r="X21" s="29">
        <v>53.08</v>
      </c>
      <c r="Y21" s="29">
        <v>53.175662547828679</v>
      </c>
      <c r="Z21" s="29">
        <v>53.424630876909113</v>
      </c>
      <c r="AA21" s="29">
        <v>53.706457269802925</v>
      </c>
      <c r="AB21" s="29">
        <v>53.969295985101517</v>
      </c>
      <c r="AC21" s="29">
        <v>54.177050674104152</v>
      </c>
      <c r="AD21" s="29">
        <v>54.279359622102888</v>
      </c>
      <c r="AE21" s="29">
        <v>54.481236681118133</v>
      </c>
      <c r="AF21" s="29">
        <v>54.740721324418416</v>
      </c>
      <c r="AG21" s="29">
        <v>54.991511564940311</v>
      </c>
      <c r="AH21" s="29">
        <v>55.299856267457606</v>
      </c>
      <c r="AI21" s="29">
        <v>55.577269006754818</v>
      </c>
      <c r="AJ21" s="29">
        <v>55.915020681093246</v>
      </c>
      <c r="AK21" s="29">
        <v>56.19992930628279</v>
      </c>
      <c r="AL21" s="29">
        <v>56.549003784191164</v>
      </c>
      <c r="AM21" s="29">
        <v>56.890086630491439</v>
      </c>
      <c r="AN21" s="29">
        <v>57.109053193559291</v>
      </c>
      <c r="AO21" s="29">
        <v>57.220863047675572</v>
      </c>
      <c r="AP21" s="29">
        <v>57.412942274453606</v>
      </c>
      <c r="AQ21" s="29">
        <v>57.599879723432352</v>
      </c>
      <c r="AR21" s="29">
        <v>57.855057128210071</v>
      </c>
      <c r="AS21" s="29">
        <v>57.901920166117186</v>
      </c>
      <c r="AT21" s="29">
        <v>58.004213861995957</v>
      </c>
      <c r="AU21" s="29">
        <v>58.034296244684462</v>
      </c>
      <c r="AV21" s="29">
        <v>58.11777195711894</v>
      </c>
      <c r="AW21" s="29">
        <v>58.427620500391946</v>
      </c>
      <c r="AX21" s="29">
        <v>58.590830811276128</v>
      </c>
      <c r="AY21" s="29">
        <v>58.654245870948337</v>
      </c>
      <c r="AZ21" s="29">
        <v>58.645804573524309</v>
      </c>
      <c r="BA21" s="29">
        <v>58.671736349317889</v>
      </c>
      <c r="BB21" s="29">
        <v>58.810004918395322</v>
      </c>
      <c r="BC21" s="29">
        <v>58.912330441709472</v>
      </c>
      <c r="BD21" s="29">
        <v>59.066625867211528</v>
      </c>
      <c r="BE21" s="29">
        <v>59.230382136362145</v>
      </c>
      <c r="BF21" s="29">
        <v>59.419980027499577</v>
      </c>
      <c r="BG21" s="29">
        <v>59.568511573887264</v>
      </c>
      <c r="BH21" s="29">
        <v>59.880877799559286</v>
      </c>
      <c r="BI21" s="29">
        <v>60.05010182867872</v>
      </c>
      <c r="BJ21" s="29">
        <v>60.314879578685527</v>
      </c>
      <c r="BK21" s="29">
        <v>60.514967086545163</v>
      </c>
      <c r="BL21" s="29">
        <v>60.795371562164782</v>
      </c>
      <c r="BM21" s="29">
        <v>61.079123553062459</v>
      </c>
      <c r="BN21" s="29">
        <v>61.310514881357349</v>
      </c>
      <c r="BO21" s="29">
        <v>61.539885165560236</v>
      </c>
      <c r="BP21" s="29">
        <v>61.760422212146004</v>
      </c>
      <c r="BQ21" s="29">
        <v>61.970418173049964</v>
      </c>
      <c r="BR21" s="29">
        <v>62.171978366608101</v>
      </c>
      <c r="BS21" s="29">
        <v>62.349195487593825</v>
      </c>
      <c r="BT21" s="30">
        <v>62.550581954637074</v>
      </c>
      <c r="BU21" s="29">
        <v>62.67867730124307</v>
      </c>
      <c r="BV21" s="29">
        <v>62.89124932024373</v>
      </c>
      <c r="BW21" s="29">
        <v>63.083052845039724</v>
      </c>
      <c r="BX21" s="29">
        <v>63.27065380480483</v>
      </c>
      <c r="BY21" s="29">
        <v>63.44051862342814</v>
      </c>
      <c r="BZ21" s="29">
        <v>63.604036268636655</v>
      </c>
      <c r="CA21" s="29">
        <v>63.771922059001355</v>
      </c>
      <c r="CB21" s="29">
        <v>63.933902095770527</v>
      </c>
      <c r="CC21" s="29">
        <v>64.122891072778188</v>
      </c>
      <c r="CD21" s="29">
        <v>64.312273065526966</v>
      </c>
      <c r="CE21" s="29">
        <v>64.500352986583465</v>
      </c>
      <c r="CF21" s="29">
        <v>64.679388194006876</v>
      </c>
      <c r="CG21" s="29">
        <v>64.861025000580298</v>
      </c>
      <c r="CH21" s="29">
        <v>65.041730359162173</v>
      </c>
      <c r="CI21" s="29">
        <v>65.25119031574188</v>
      </c>
      <c r="CJ21" s="29">
        <v>65.41645266594908</v>
      </c>
      <c r="CK21" s="29">
        <v>65.59271598521488</v>
      </c>
      <c r="CL21" s="29">
        <v>65.781928844009684</v>
      </c>
      <c r="CM21" s="29">
        <v>65.964735067758113</v>
      </c>
      <c r="CN21" s="29">
        <v>66.126456482601</v>
      </c>
      <c r="CO21" s="29">
        <v>66.305036165840718</v>
      </c>
      <c r="CP21" s="29">
        <v>66.482455743406618</v>
      </c>
      <c r="CQ21" s="29">
        <v>66.646218161112373</v>
      </c>
      <c r="CR21" s="29">
        <v>66.803157727036677</v>
      </c>
      <c r="CS21" s="29">
        <v>66.972489224449589</v>
      </c>
      <c r="CT21" s="29">
        <v>67.138698728387809</v>
      </c>
      <c r="CU21" s="29">
        <v>67.305509254277666</v>
      </c>
      <c r="CV21" s="29">
        <v>67.467966158771802</v>
      </c>
      <c r="CW21" s="29">
        <v>67.618260194742575</v>
      </c>
      <c r="CX21" s="29">
        <v>67.776244080007231</v>
      </c>
      <c r="CY21" s="29">
        <v>67.933604215283694</v>
      </c>
      <c r="CZ21" s="29">
        <v>68.090319596732314</v>
      </c>
      <c r="DA21" s="29">
        <v>68.254507302113268</v>
      </c>
      <c r="DB21" s="29">
        <v>68.411850038692691</v>
      </c>
      <c r="DC21" s="29">
        <v>68.567807649314858</v>
      </c>
      <c r="DD21" s="29">
        <v>68.722388000676332</v>
      </c>
      <c r="DE21" s="29">
        <v>68.875598902506241</v>
      </c>
      <c r="DF21" s="29">
        <v>69.027448064930624</v>
      </c>
      <c r="DG21" s="29">
        <v>69.177943035189088</v>
      </c>
      <c r="DH21" s="29">
        <v>69.327091119466118</v>
      </c>
      <c r="DI21" s="29">
        <v>69.474899283096974</v>
      </c>
      <c r="DJ21" s="29">
        <v>69.621374903568451</v>
      </c>
      <c r="DK21" s="29">
        <v>69.766525937875485</v>
      </c>
      <c r="DL21" s="29">
        <v>69.910361142896036</v>
      </c>
      <c r="DM21" s="29">
        <v>70.052890339633166</v>
      </c>
      <c r="DN21" s="29">
        <v>70.194124591783662</v>
      </c>
      <c r="DO21" s="29">
        <v>70.334098176727608</v>
      </c>
      <c r="DP21" s="29">
        <v>70.472819045999387</v>
      </c>
      <c r="DQ21" s="29">
        <v>70.610295149367644</v>
      </c>
      <c r="DR21" s="29">
        <v>70.74653443397861</v>
      </c>
      <c r="DS21">
        <v>70.881544843523884</v>
      </c>
      <c r="DT21">
        <v>71.015334317429435</v>
      </c>
      <c r="DU21">
        <v>71.147910790068408</v>
      </c>
    </row>
    <row r="22" spans="1:125">
      <c r="A22" s="27">
        <v>20</v>
      </c>
      <c r="B22" s="28"/>
      <c r="C22" s="28"/>
      <c r="D22" s="28"/>
      <c r="E22" s="28"/>
      <c r="F22" s="28"/>
      <c r="G22" s="28"/>
      <c r="H22" s="28"/>
      <c r="I22" s="28"/>
      <c r="J22" s="28"/>
      <c r="K22" s="28"/>
      <c r="L22" s="28"/>
      <c r="M22" s="28"/>
      <c r="N22" s="28"/>
      <c r="O22" s="28"/>
      <c r="P22" s="28"/>
      <c r="Q22" s="28"/>
      <c r="R22" s="28"/>
      <c r="S22" s="28"/>
      <c r="T22" s="28"/>
      <c r="U22" s="28"/>
      <c r="V22" s="29"/>
      <c r="W22" s="29">
        <v>51.96</v>
      </c>
      <c r="X22" s="29">
        <v>52.23</v>
      </c>
      <c r="Y22" s="29">
        <v>52.323059926976562</v>
      </c>
      <c r="Z22" s="29">
        <v>52.587579921743789</v>
      </c>
      <c r="AA22" s="29">
        <v>52.892690865274147</v>
      </c>
      <c r="AB22" s="29">
        <v>53.239212844424678</v>
      </c>
      <c r="AC22" s="29">
        <v>53.37531182160766</v>
      </c>
      <c r="AD22" s="29">
        <v>53.47799865716123</v>
      </c>
      <c r="AE22" s="29">
        <v>53.631886452311427</v>
      </c>
      <c r="AF22" s="29">
        <v>53.834720390694315</v>
      </c>
      <c r="AG22" s="29">
        <v>54.085945250223197</v>
      </c>
      <c r="AH22" s="29">
        <v>54.394824313519997</v>
      </c>
      <c r="AI22" s="29">
        <v>54.673302953346365</v>
      </c>
      <c r="AJ22" s="29">
        <v>55.007936544072948</v>
      </c>
      <c r="AK22" s="29">
        <v>55.282659469893396</v>
      </c>
      <c r="AL22" s="29">
        <v>55.64476194984325</v>
      </c>
      <c r="AM22" s="29">
        <v>55.991246563222397</v>
      </c>
      <c r="AN22" s="29">
        <v>56.20690953595588</v>
      </c>
      <c r="AO22" s="29">
        <v>56.320339068879854</v>
      </c>
      <c r="AP22" s="29">
        <v>56.515268697314042</v>
      </c>
      <c r="AQ22" s="29">
        <v>56.70230634753834</v>
      </c>
      <c r="AR22" s="29">
        <v>56.953300101385949</v>
      </c>
      <c r="AS22" s="29">
        <v>56.998547119819818</v>
      </c>
      <c r="AT22" s="29">
        <v>57.098327624415298</v>
      </c>
      <c r="AU22" s="29">
        <v>57.137852559546928</v>
      </c>
      <c r="AV22" s="29">
        <v>57.221201409140633</v>
      </c>
      <c r="AW22" s="29">
        <v>57.525879949009273</v>
      </c>
      <c r="AX22" s="29">
        <v>57.681062561668234</v>
      </c>
      <c r="AY22" s="29">
        <v>57.748194990046038</v>
      </c>
      <c r="AZ22" s="29">
        <v>57.751374350482706</v>
      </c>
      <c r="BA22" s="29">
        <v>57.784011121531954</v>
      </c>
      <c r="BB22" s="29">
        <v>57.918893841003225</v>
      </c>
      <c r="BC22" s="29">
        <v>58.023843941836823</v>
      </c>
      <c r="BD22" s="29">
        <v>58.167325295299506</v>
      </c>
      <c r="BE22" s="29">
        <v>58.336390372574449</v>
      </c>
      <c r="BF22" s="29">
        <v>58.526011334699838</v>
      </c>
      <c r="BG22" s="29">
        <v>58.678107351131601</v>
      </c>
      <c r="BH22" s="29">
        <v>58.986034444738969</v>
      </c>
      <c r="BI22" s="29">
        <v>59.155165311219179</v>
      </c>
      <c r="BJ22" s="29">
        <v>59.411357298733797</v>
      </c>
      <c r="BK22" s="29">
        <v>59.615465102668516</v>
      </c>
      <c r="BL22" s="29">
        <v>59.891160730989249</v>
      </c>
      <c r="BM22" s="29">
        <v>60.167418548984237</v>
      </c>
      <c r="BN22" s="29">
        <v>60.398803913227283</v>
      </c>
      <c r="BO22" s="29">
        <v>60.607806305685642</v>
      </c>
      <c r="BP22" s="29">
        <v>60.830908602511442</v>
      </c>
      <c r="BQ22" s="29">
        <v>61.041677786195251</v>
      </c>
      <c r="BR22" s="29">
        <v>61.237754111855587</v>
      </c>
      <c r="BS22" s="29">
        <v>61.410752570492058</v>
      </c>
      <c r="BT22" s="30">
        <v>61.613038574451259</v>
      </c>
      <c r="BU22" s="29">
        <v>61.753991182936929</v>
      </c>
      <c r="BV22" s="29">
        <v>61.966689084315853</v>
      </c>
      <c r="BW22" s="29">
        <v>62.155550504775967</v>
      </c>
      <c r="BX22" s="29">
        <v>62.342704244134111</v>
      </c>
      <c r="BY22" s="29">
        <v>62.511716578662977</v>
      </c>
      <c r="BZ22" s="29">
        <v>62.671911486148929</v>
      </c>
      <c r="CA22" s="29">
        <v>62.847683787902326</v>
      </c>
      <c r="CB22" s="29">
        <v>63.000573969111223</v>
      </c>
      <c r="CC22" s="29">
        <v>63.182007349162198</v>
      </c>
      <c r="CD22" s="29">
        <v>63.369964286866818</v>
      </c>
      <c r="CE22" s="29">
        <v>63.56005567281089</v>
      </c>
      <c r="CF22" s="29">
        <v>63.733364486894885</v>
      </c>
      <c r="CG22" s="29">
        <v>63.916066708889666</v>
      </c>
      <c r="CH22" s="29">
        <v>64.093026116678402</v>
      </c>
      <c r="CI22" s="29">
        <v>64.294669009801552</v>
      </c>
      <c r="CJ22" s="29">
        <v>64.455239935490042</v>
      </c>
      <c r="CK22" s="29">
        <v>64.635489393374826</v>
      </c>
      <c r="CL22" s="29">
        <v>64.818985423661431</v>
      </c>
      <c r="CM22" s="29">
        <v>64.996146275901381</v>
      </c>
      <c r="CN22" s="29">
        <v>65.158465916567337</v>
      </c>
      <c r="CO22" s="29">
        <v>65.339681214642695</v>
      </c>
      <c r="CP22" s="29">
        <v>65.514640973801136</v>
      </c>
      <c r="CQ22" s="29">
        <v>65.67673623364567</v>
      </c>
      <c r="CR22" s="29">
        <v>65.829612078044477</v>
      </c>
      <c r="CS22" s="29">
        <v>66.002484054114007</v>
      </c>
      <c r="CT22" s="29">
        <v>66.16686004635325</v>
      </c>
      <c r="CU22" s="29">
        <v>66.331189774250262</v>
      </c>
      <c r="CV22" s="29">
        <v>66.49524481322851</v>
      </c>
      <c r="CW22" s="29">
        <v>66.644701630172491</v>
      </c>
      <c r="CX22" s="29">
        <v>66.80391042832251</v>
      </c>
      <c r="CY22" s="29">
        <v>66.964141122145691</v>
      </c>
      <c r="CZ22" s="29">
        <v>67.121226064696856</v>
      </c>
      <c r="DA22" s="29">
        <v>67.279180729225899</v>
      </c>
      <c r="DB22" s="29">
        <v>67.435765719890014</v>
      </c>
      <c r="DC22" s="29">
        <v>67.590988268765216</v>
      </c>
      <c r="DD22" s="29">
        <v>67.744855587980837</v>
      </c>
      <c r="DE22" s="29">
        <v>67.897374850535158</v>
      </c>
      <c r="DF22" s="29">
        <v>68.048553147207102</v>
      </c>
      <c r="DG22" s="29">
        <v>68.198397422825522</v>
      </c>
      <c r="DH22" s="29">
        <v>68.346914397660981</v>
      </c>
      <c r="DI22" s="29">
        <v>68.494110467198453</v>
      </c>
      <c r="DJ22" s="29">
        <v>68.639992454947688</v>
      </c>
      <c r="DK22" s="29">
        <v>68.784567779424052</v>
      </c>
      <c r="DL22" s="29">
        <v>68.927844674162756</v>
      </c>
      <c r="DM22" s="29">
        <v>69.069832451610921</v>
      </c>
      <c r="DN22" s="29">
        <v>69.21056644366125</v>
      </c>
      <c r="DO22" s="29">
        <v>69.350054190274946</v>
      </c>
      <c r="DP22" s="29">
        <v>69.488303241397006</v>
      </c>
      <c r="DQ22" s="29">
        <v>69.625321155812628</v>
      </c>
      <c r="DR22" s="29">
        <v>69.761115500034279</v>
      </c>
      <c r="DS22">
        <v>69.895693847218354</v>
      </c>
      <c r="DT22">
        <v>70.029063776108146</v>
      </c>
      <c r="DU22">
        <v>70.161232870005747</v>
      </c>
    </row>
    <row r="23" spans="1:125">
      <c r="A23" s="27">
        <v>21</v>
      </c>
      <c r="B23" s="28"/>
      <c r="C23" s="28"/>
      <c r="D23" s="28"/>
      <c r="E23" s="28"/>
      <c r="F23" s="28"/>
      <c r="G23" s="28"/>
      <c r="H23" s="28"/>
      <c r="I23" s="28"/>
      <c r="J23" s="28"/>
      <c r="K23" s="28"/>
      <c r="L23" s="28"/>
      <c r="M23" s="28"/>
      <c r="N23" s="28"/>
      <c r="O23" s="28"/>
      <c r="P23" s="28"/>
      <c r="Q23" s="28"/>
      <c r="R23" s="28"/>
      <c r="S23" s="28"/>
      <c r="T23" s="28"/>
      <c r="U23" s="28"/>
      <c r="V23" s="29"/>
      <c r="W23" s="29">
        <v>51.11</v>
      </c>
      <c r="X23" s="29">
        <v>51.38</v>
      </c>
      <c r="Y23" s="29">
        <v>51.492848046313654</v>
      </c>
      <c r="Z23" s="29">
        <v>51.781592472495049</v>
      </c>
      <c r="AA23" s="29">
        <v>52.174166744456649</v>
      </c>
      <c r="AB23" s="29">
        <v>52.471226817887029</v>
      </c>
      <c r="AC23" s="29">
        <v>52.607924531053669</v>
      </c>
      <c r="AD23" s="29">
        <v>52.654065710130126</v>
      </c>
      <c r="AE23" s="29">
        <v>52.731962541890184</v>
      </c>
      <c r="AF23" s="29">
        <v>52.935178526323803</v>
      </c>
      <c r="AG23" s="29">
        <v>53.186876578190194</v>
      </c>
      <c r="AH23" s="29">
        <v>53.491741508928328</v>
      </c>
      <c r="AI23" s="29">
        <v>53.766197008506659</v>
      </c>
      <c r="AJ23" s="29">
        <v>54.107850206531175</v>
      </c>
      <c r="AK23" s="29">
        <v>54.378720833611176</v>
      </c>
      <c r="AL23" s="29">
        <v>54.753812505092483</v>
      </c>
      <c r="AM23" s="29">
        <v>55.092021447298329</v>
      </c>
      <c r="AN23" s="29">
        <v>55.311215372443939</v>
      </c>
      <c r="AO23" s="29">
        <v>55.428123260651141</v>
      </c>
      <c r="AP23" s="29">
        <v>55.615653865915135</v>
      </c>
      <c r="AQ23" s="29">
        <v>55.806766205250277</v>
      </c>
      <c r="AR23" s="29">
        <v>56.049931357276265</v>
      </c>
      <c r="AS23" s="29">
        <v>56.098490534414701</v>
      </c>
      <c r="AT23" s="29">
        <v>56.189674051247295</v>
      </c>
      <c r="AU23" s="29">
        <v>56.234295346360454</v>
      </c>
      <c r="AV23" s="29">
        <v>56.323715562617473</v>
      </c>
      <c r="AW23" s="29">
        <v>56.620608482853449</v>
      </c>
      <c r="AX23" s="29">
        <v>56.766417007140312</v>
      </c>
      <c r="AY23" s="29">
        <v>56.846397052226045</v>
      </c>
      <c r="AZ23" s="29">
        <v>56.853431896292413</v>
      </c>
      <c r="BA23" s="29">
        <v>56.897764896562009</v>
      </c>
      <c r="BB23" s="29">
        <v>57.024714840571484</v>
      </c>
      <c r="BC23" s="29">
        <v>57.118377423238449</v>
      </c>
      <c r="BD23" s="29">
        <v>57.269877256388646</v>
      </c>
      <c r="BE23" s="29">
        <v>57.435850884941708</v>
      </c>
      <c r="BF23" s="29">
        <v>57.634715154480794</v>
      </c>
      <c r="BG23" s="29">
        <v>57.78174033340499</v>
      </c>
      <c r="BH23" s="29">
        <v>58.07949661353959</v>
      </c>
      <c r="BI23" s="29">
        <v>58.253235386770861</v>
      </c>
      <c r="BJ23" s="29">
        <v>58.505978946202042</v>
      </c>
      <c r="BK23" s="29">
        <v>58.700395640192951</v>
      </c>
      <c r="BL23" s="29">
        <v>58.977260899689512</v>
      </c>
      <c r="BM23" s="29">
        <v>59.246105760337343</v>
      </c>
      <c r="BN23" s="29">
        <v>59.47084761838795</v>
      </c>
      <c r="BO23" s="29">
        <v>59.676195250967844</v>
      </c>
      <c r="BP23" s="29">
        <v>59.897380384065016</v>
      </c>
      <c r="BQ23" s="29">
        <v>60.110780540268117</v>
      </c>
      <c r="BR23" s="29">
        <v>60.300683323233073</v>
      </c>
      <c r="BS23" s="29">
        <v>60.47625331789115</v>
      </c>
      <c r="BT23" s="30">
        <v>60.682779050325749</v>
      </c>
      <c r="BU23" s="29">
        <v>60.822457037250572</v>
      </c>
      <c r="BV23" s="29">
        <v>61.033275690200455</v>
      </c>
      <c r="BW23" s="29">
        <v>61.221753983050348</v>
      </c>
      <c r="BX23" s="29">
        <v>61.40557798274795</v>
      </c>
      <c r="BY23" s="29">
        <v>61.575980654932515</v>
      </c>
      <c r="BZ23" s="29">
        <v>61.738725140863274</v>
      </c>
      <c r="CA23" s="29">
        <v>61.910618097089149</v>
      </c>
      <c r="CB23" s="29">
        <v>62.06288398283322</v>
      </c>
      <c r="CC23" s="29">
        <v>62.241955872253151</v>
      </c>
      <c r="CD23" s="29">
        <v>62.430626276565619</v>
      </c>
      <c r="CE23" s="29">
        <v>62.615705366341992</v>
      </c>
      <c r="CF23" s="29">
        <v>62.785430282013444</v>
      </c>
      <c r="CG23" s="29">
        <v>62.961927415654316</v>
      </c>
      <c r="CH23" s="29">
        <v>63.135729637849003</v>
      </c>
      <c r="CI23" s="29">
        <v>63.331753776088497</v>
      </c>
      <c r="CJ23" s="29">
        <v>63.496077303466876</v>
      </c>
      <c r="CK23" s="29">
        <v>63.676711019005239</v>
      </c>
      <c r="CL23" s="29">
        <v>63.853620864087141</v>
      </c>
      <c r="CM23" s="29">
        <v>64.029448972217565</v>
      </c>
      <c r="CN23" s="29">
        <v>64.193916172244414</v>
      </c>
      <c r="CO23" s="29">
        <v>64.374914776449998</v>
      </c>
      <c r="CP23" s="29">
        <v>64.545627745114459</v>
      </c>
      <c r="CQ23" s="29">
        <v>64.701963602572548</v>
      </c>
      <c r="CR23" s="29">
        <v>64.861783383061294</v>
      </c>
      <c r="CS23" s="29">
        <v>65.033061426941231</v>
      </c>
      <c r="CT23" s="29">
        <v>65.195011771343871</v>
      </c>
      <c r="CU23" s="29">
        <v>65.35895875017431</v>
      </c>
      <c r="CV23" s="29">
        <v>65.522038441514965</v>
      </c>
      <c r="CW23" s="29">
        <v>65.672028697563334</v>
      </c>
      <c r="CX23" s="29">
        <v>65.831524404322039</v>
      </c>
      <c r="CY23" s="29">
        <v>65.98982221960371</v>
      </c>
      <c r="CZ23" s="29">
        <v>66.148315740167618</v>
      </c>
      <c r="DA23" s="29">
        <v>66.305456803887083</v>
      </c>
      <c r="DB23" s="29">
        <v>66.461251975832937</v>
      </c>
      <c r="DC23" s="29">
        <v>66.615707819627019</v>
      </c>
      <c r="DD23" s="29">
        <v>66.768830896620017</v>
      </c>
      <c r="DE23" s="29">
        <v>66.920627746280886</v>
      </c>
      <c r="DF23" s="29">
        <v>67.071104842683525</v>
      </c>
      <c r="DG23" s="29">
        <v>67.22026853035473</v>
      </c>
      <c r="DH23" s="29">
        <v>67.368124945251466</v>
      </c>
      <c r="DI23" s="29">
        <v>67.514679914124244</v>
      </c>
      <c r="DJ23" s="29">
        <v>67.659939707180413</v>
      </c>
      <c r="DK23" s="29">
        <v>67.803911204715519</v>
      </c>
      <c r="DL23" s="29">
        <v>67.946602116792974</v>
      </c>
      <c r="DM23" s="29">
        <v>68.088047434889546</v>
      </c>
      <c r="DN23" s="29">
        <v>68.228254261380386</v>
      </c>
      <c r="DO23" s="29">
        <v>68.367229720714647</v>
      </c>
      <c r="DP23" s="29">
        <v>68.504980957988948</v>
      </c>
      <c r="DQ23" s="29">
        <v>68.641515137555444</v>
      </c>
      <c r="DR23" s="29">
        <v>68.776839441665146</v>
      </c>
      <c r="DS23">
        <v>68.910961069145628</v>
      </c>
      <c r="DT23">
        <v>69.043887234109533</v>
      </c>
      <c r="DU23">
        <v>69.175625164696726</v>
      </c>
    </row>
    <row r="24" spans="1:125">
      <c r="A24" s="27">
        <v>22</v>
      </c>
      <c r="B24" s="28"/>
      <c r="C24" s="28"/>
      <c r="D24" s="28"/>
      <c r="E24" s="28"/>
      <c r="F24" s="28"/>
      <c r="G24" s="28"/>
      <c r="H24" s="28"/>
      <c r="I24" s="28"/>
      <c r="J24" s="28"/>
      <c r="K24" s="28"/>
      <c r="L24" s="28"/>
      <c r="M24" s="28"/>
      <c r="N24" s="28"/>
      <c r="O24" s="28"/>
      <c r="P24" s="28"/>
      <c r="Q24" s="28"/>
      <c r="R24" s="28"/>
      <c r="S24" s="28"/>
      <c r="T24" s="28"/>
      <c r="U24" s="28"/>
      <c r="V24" s="29"/>
      <c r="W24" s="29">
        <v>50.27</v>
      </c>
      <c r="X24" s="29">
        <v>50.56</v>
      </c>
      <c r="Y24" s="29">
        <v>50.690194210812102</v>
      </c>
      <c r="Z24" s="29">
        <v>51.067867574378248</v>
      </c>
      <c r="AA24" s="29">
        <v>51.425486097166932</v>
      </c>
      <c r="AB24" s="29">
        <v>51.723990934007624</v>
      </c>
      <c r="AC24" s="29">
        <v>51.799354171285543</v>
      </c>
      <c r="AD24" s="29">
        <v>51.757535630678873</v>
      </c>
      <c r="AE24" s="29">
        <v>51.83558700415842</v>
      </c>
      <c r="AF24" s="29">
        <v>52.039206154509728</v>
      </c>
      <c r="AG24" s="29">
        <v>52.286899602457346</v>
      </c>
      <c r="AH24" s="29">
        <v>52.591169166488406</v>
      </c>
      <c r="AI24" s="29">
        <v>52.864240180324963</v>
      </c>
      <c r="AJ24" s="29">
        <v>53.204415375279247</v>
      </c>
      <c r="AK24" s="29">
        <v>53.492818104116459</v>
      </c>
      <c r="AL24" s="29">
        <v>53.863687811844372</v>
      </c>
      <c r="AM24" s="29">
        <v>54.19382697213014</v>
      </c>
      <c r="AN24" s="29">
        <v>54.410228956670714</v>
      </c>
      <c r="AO24" s="29">
        <v>54.524187338905627</v>
      </c>
      <c r="AP24" s="29">
        <v>54.725157624292677</v>
      </c>
      <c r="AQ24" s="29">
        <v>54.903296137522041</v>
      </c>
      <c r="AR24" s="29">
        <v>55.151657082881506</v>
      </c>
      <c r="AS24" s="29">
        <v>55.190843956672246</v>
      </c>
      <c r="AT24" s="29">
        <v>55.283932059777726</v>
      </c>
      <c r="AU24" s="29">
        <v>55.328503548935245</v>
      </c>
      <c r="AV24" s="29">
        <v>55.41518764870807</v>
      </c>
      <c r="AW24" s="29">
        <v>55.710108805699747</v>
      </c>
      <c r="AX24" s="29">
        <v>55.866983599479056</v>
      </c>
      <c r="AY24" s="29">
        <v>55.94515951112313</v>
      </c>
      <c r="AZ24" s="29">
        <v>55.958073207204833</v>
      </c>
      <c r="BA24" s="29">
        <v>55.999970600743922</v>
      </c>
      <c r="BB24" s="29">
        <v>56.117856804660924</v>
      </c>
      <c r="BC24" s="29">
        <v>56.213717381446131</v>
      </c>
      <c r="BD24" s="29">
        <v>56.36192207562322</v>
      </c>
      <c r="BE24" s="29">
        <v>56.534577338070513</v>
      </c>
      <c r="BF24" s="29">
        <v>56.731019683219699</v>
      </c>
      <c r="BG24" s="29">
        <v>56.878614073314026</v>
      </c>
      <c r="BH24" s="29">
        <v>57.170497380986774</v>
      </c>
      <c r="BI24" s="29">
        <v>57.338111826238297</v>
      </c>
      <c r="BJ24" s="29">
        <v>57.589097125679217</v>
      </c>
      <c r="BK24" s="29">
        <v>57.783535799073405</v>
      </c>
      <c r="BL24" s="29">
        <v>58.055133825779571</v>
      </c>
      <c r="BM24" s="29">
        <v>58.313821814407156</v>
      </c>
      <c r="BN24" s="29">
        <v>58.535129802236675</v>
      </c>
      <c r="BO24" s="29">
        <v>58.739268794571906</v>
      </c>
      <c r="BP24" s="29">
        <v>58.958518056156983</v>
      </c>
      <c r="BQ24" s="29">
        <v>59.17278310582266</v>
      </c>
      <c r="BR24" s="29">
        <v>59.366346106987635</v>
      </c>
      <c r="BS24" s="29">
        <v>59.545845103114885</v>
      </c>
      <c r="BT24" s="30">
        <v>59.751421755467554</v>
      </c>
      <c r="BU24" s="29">
        <v>59.892859766180173</v>
      </c>
      <c r="BV24" s="29">
        <v>60.098111480972939</v>
      </c>
      <c r="BW24" s="29">
        <v>60.285707109215714</v>
      </c>
      <c r="BX24" s="29">
        <v>60.472596197420991</v>
      </c>
      <c r="BY24" s="29">
        <v>60.627438118634863</v>
      </c>
      <c r="BZ24" s="29">
        <v>60.800936924717057</v>
      </c>
      <c r="CA24" s="29">
        <v>60.96759259684891</v>
      </c>
      <c r="CB24" s="29">
        <v>61.124139724415478</v>
      </c>
      <c r="CC24" s="29">
        <v>61.298351454615428</v>
      </c>
      <c r="CD24" s="29">
        <v>61.481134728269843</v>
      </c>
      <c r="CE24" s="29">
        <v>61.668422887078506</v>
      </c>
      <c r="CF24" s="29">
        <v>61.83168011422169</v>
      </c>
      <c r="CG24" s="29">
        <v>62.004957538613617</v>
      </c>
      <c r="CH24" s="29">
        <v>62.174768797866776</v>
      </c>
      <c r="CI24" s="29">
        <v>62.370911512782612</v>
      </c>
      <c r="CJ24" s="29">
        <v>62.535017306199471</v>
      </c>
      <c r="CK24" s="29">
        <v>62.708197076065474</v>
      </c>
      <c r="CL24" s="29">
        <v>62.888724021956946</v>
      </c>
      <c r="CM24" s="29">
        <v>63.068198632910352</v>
      </c>
      <c r="CN24" s="29">
        <v>63.227062325148054</v>
      </c>
      <c r="CO24" s="29">
        <v>63.402425578250103</v>
      </c>
      <c r="CP24" s="29">
        <v>63.573326766815228</v>
      </c>
      <c r="CQ24" s="29">
        <v>63.734919750033569</v>
      </c>
      <c r="CR24" s="29">
        <v>63.889434613674943</v>
      </c>
      <c r="CS24" s="29">
        <v>64.059474250407661</v>
      </c>
      <c r="CT24" s="29">
        <v>64.219413968893832</v>
      </c>
      <c r="CU24" s="29">
        <v>64.386816022675205</v>
      </c>
      <c r="CV24" s="29">
        <v>64.547263989904536</v>
      </c>
      <c r="CW24" s="29">
        <v>64.698004137112875</v>
      </c>
      <c r="CX24" s="29">
        <v>64.859162151628894</v>
      </c>
      <c r="CY24" s="29">
        <v>65.018158583415229</v>
      </c>
      <c r="CZ24" s="29">
        <v>65.175820364915978</v>
      </c>
      <c r="DA24" s="29">
        <v>65.332153410383853</v>
      </c>
      <c r="DB24" s="29">
        <v>65.487163636099012</v>
      </c>
      <c r="DC24" s="29">
        <v>65.640856973510409</v>
      </c>
      <c r="DD24" s="29">
        <v>65.793239368035145</v>
      </c>
      <c r="DE24" s="29">
        <v>65.944316759068997</v>
      </c>
      <c r="DF24" s="29">
        <v>66.094095036093989</v>
      </c>
      <c r="DG24" s="29">
        <v>66.242579974149521</v>
      </c>
      <c r="DH24" s="29">
        <v>66.389777154438178</v>
      </c>
      <c r="DI24" s="29">
        <v>66.53569186332156</v>
      </c>
      <c r="DJ24" s="29">
        <v>66.680329844886643</v>
      </c>
      <c r="DK24" s="29">
        <v>66.823697467269184</v>
      </c>
      <c r="DL24" s="29">
        <v>66.965828268759537</v>
      </c>
      <c r="DM24" s="29">
        <v>67.10672890907027</v>
      </c>
      <c r="DN24" s="29">
        <v>67.246406081863967</v>
      </c>
      <c r="DO24" s="29">
        <v>67.384866513056252</v>
      </c>
      <c r="DP24" s="29">
        <v>67.522116959161167</v>
      </c>
      <c r="DQ24" s="29">
        <v>67.658164205675192</v>
      </c>
      <c r="DR24" s="29">
        <v>67.793015065500697</v>
      </c>
      <c r="DS24">
        <v>67.926676377407617</v>
      </c>
      <c r="DT24">
        <v>68.059155004530169</v>
      </c>
      <c r="DU24">
        <v>68.190457832900961</v>
      </c>
    </row>
    <row r="25" spans="1:125">
      <c r="A25" s="27">
        <v>23</v>
      </c>
      <c r="B25" s="28"/>
      <c r="C25" s="28"/>
      <c r="D25" s="28"/>
      <c r="E25" s="28"/>
      <c r="F25" s="28"/>
      <c r="G25" s="28"/>
      <c r="H25" s="28"/>
      <c r="I25" s="28"/>
      <c r="J25" s="28"/>
      <c r="K25" s="28"/>
      <c r="L25" s="28"/>
      <c r="M25" s="28"/>
      <c r="N25" s="28"/>
      <c r="O25" s="28"/>
      <c r="P25" s="28"/>
      <c r="Q25" s="28"/>
      <c r="R25" s="28"/>
      <c r="S25" s="28"/>
      <c r="T25" s="28"/>
      <c r="U25" s="28"/>
      <c r="V25" s="29"/>
      <c r="W25" s="29">
        <v>49.43</v>
      </c>
      <c r="X25" s="29">
        <v>49.74</v>
      </c>
      <c r="Y25" s="29">
        <v>49.962282403501973</v>
      </c>
      <c r="Z25" s="29">
        <v>50.318402297705937</v>
      </c>
      <c r="AA25" s="29">
        <v>50.677792614757685</v>
      </c>
      <c r="AB25" s="29">
        <v>50.888170392129439</v>
      </c>
      <c r="AC25" s="29">
        <v>50.905764102978722</v>
      </c>
      <c r="AD25" s="29">
        <v>50.86385881843303</v>
      </c>
      <c r="AE25" s="29">
        <v>50.942072093391737</v>
      </c>
      <c r="AF25" s="29">
        <v>51.14440899855537</v>
      </c>
      <c r="AG25" s="29">
        <v>51.390464415085923</v>
      </c>
      <c r="AH25" s="29">
        <v>51.694903972861489</v>
      </c>
      <c r="AI25" s="29">
        <v>51.967856033205408</v>
      </c>
      <c r="AJ25" s="29">
        <v>52.30292540785306</v>
      </c>
      <c r="AK25" s="29">
        <v>52.59328646117946</v>
      </c>
      <c r="AL25" s="29">
        <v>52.963335654944466</v>
      </c>
      <c r="AM25" s="29">
        <v>53.293807920825344</v>
      </c>
      <c r="AN25" s="29">
        <v>53.503159814433246</v>
      </c>
      <c r="AO25" s="29">
        <v>53.623794026574672</v>
      </c>
      <c r="AP25" s="29">
        <v>53.814805329466644</v>
      </c>
      <c r="AQ25" s="29">
        <v>53.997458198561382</v>
      </c>
      <c r="AR25" s="29">
        <v>54.242525277134291</v>
      </c>
      <c r="AS25" s="29">
        <v>54.2766469553208</v>
      </c>
      <c r="AT25" s="29">
        <v>54.373705655128639</v>
      </c>
      <c r="AU25" s="29">
        <v>54.427011908639841</v>
      </c>
      <c r="AV25" s="29">
        <v>54.501140156040329</v>
      </c>
      <c r="AW25" s="29">
        <v>54.799363642210544</v>
      </c>
      <c r="AX25" s="29">
        <v>54.962838200901032</v>
      </c>
      <c r="AY25" s="29">
        <v>55.038995428704553</v>
      </c>
      <c r="AZ25" s="29">
        <v>55.05960117134552</v>
      </c>
      <c r="BA25" s="29">
        <v>55.085065388135682</v>
      </c>
      <c r="BB25" s="29">
        <v>55.196596711476829</v>
      </c>
      <c r="BC25" s="29">
        <v>55.302228294942346</v>
      </c>
      <c r="BD25" s="29">
        <v>55.450706738122577</v>
      </c>
      <c r="BE25" s="29">
        <v>55.622548042545112</v>
      </c>
      <c r="BF25" s="29">
        <v>55.822783493777507</v>
      </c>
      <c r="BG25" s="29">
        <v>55.969094040946864</v>
      </c>
      <c r="BH25" s="29">
        <v>56.246082247790071</v>
      </c>
      <c r="BI25" s="29">
        <v>56.410166829079429</v>
      </c>
      <c r="BJ25" s="29">
        <v>56.665377596706961</v>
      </c>
      <c r="BK25" s="29">
        <v>56.858444268331574</v>
      </c>
      <c r="BL25" s="29">
        <v>57.126280116552358</v>
      </c>
      <c r="BM25" s="29">
        <v>57.376995489400535</v>
      </c>
      <c r="BN25" s="29">
        <v>57.597613120699037</v>
      </c>
      <c r="BO25" s="29">
        <v>57.798562651489384</v>
      </c>
      <c r="BP25" s="29">
        <v>58.019077511677409</v>
      </c>
      <c r="BQ25" s="29">
        <v>58.234765723726504</v>
      </c>
      <c r="BR25" s="29">
        <v>58.432652412597697</v>
      </c>
      <c r="BS25" s="29">
        <v>58.614508744188718</v>
      </c>
      <c r="BT25" s="30">
        <v>58.813412609888211</v>
      </c>
      <c r="BU25" s="29">
        <v>58.953340722671577</v>
      </c>
      <c r="BV25" s="29">
        <v>59.161102765850536</v>
      </c>
      <c r="BW25" s="29">
        <v>59.344055010581037</v>
      </c>
      <c r="BX25" s="29">
        <v>59.53023304706705</v>
      </c>
      <c r="BY25" s="29">
        <v>59.678798904235897</v>
      </c>
      <c r="BZ25" s="29">
        <v>59.860659873644622</v>
      </c>
      <c r="CA25" s="29">
        <v>60.021481851184376</v>
      </c>
      <c r="CB25" s="29">
        <v>60.173182832387468</v>
      </c>
      <c r="CC25" s="29">
        <v>60.350777077015266</v>
      </c>
      <c r="CD25" s="29">
        <v>60.527471202213327</v>
      </c>
      <c r="CE25" s="29">
        <v>60.714505388200372</v>
      </c>
      <c r="CF25" s="29">
        <v>60.871633715710523</v>
      </c>
      <c r="CG25" s="29">
        <v>61.039964334764619</v>
      </c>
      <c r="CH25" s="29">
        <v>61.21613898389321</v>
      </c>
      <c r="CI25" s="29">
        <v>61.405496498062739</v>
      </c>
      <c r="CJ25" s="29">
        <v>61.569292048553862</v>
      </c>
      <c r="CK25" s="29">
        <v>61.740455751072467</v>
      </c>
      <c r="CL25" s="29">
        <v>61.921626417191199</v>
      </c>
      <c r="CM25" s="29">
        <v>62.101748741368205</v>
      </c>
      <c r="CN25" s="29">
        <v>62.25714604473967</v>
      </c>
      <c r="CO25" s="29">
        <v>62.427046015525981</v>
      </c>
      <c r="CP25" s="29">
        <v>62.601038220675335</v>
      </c>
      <c r="CQ25" s="29">
        <v>62.764829700676309</v>
      </c>
      <c r="CR25" s="29">
        <v>62.918717722564097</v>
      </c>
      <c r="CS25" s="29">
        <v>63.087458579292807</v>
      </c>
      <c r="CT25" s="29">
        <v>63.245176266416365</v>
      </c>
      <c r="CU25" s="29">
        <v>63.41302212487755</v>
      </c>
      <c r="CV25" s="29">
        <v>63.571924357725216</v>
      </c>
      <c r="CW25" s="29">
        <v>63.728247429653216</v>
      </c>
      <c r="CX25" s="29">
        <v>63.88774186977971</v>
      </c>
      <c r="CY25" s="29">
        <v>64.045919104896825</v>
      </c>
      <c r="CZ25" s="29">
        <v>64.202784462180375</v>
      </c>
      <c r="DA25" s="29">
        <v>64.358343250586827</v>
      </c>
      <c r="DB25" s="29">
        <v>64.512600796081983</v>
      </c>
      <c r="DC25" s="29">
        <v>64.665562454462204</v>
      </c>
      <c r="DD25" s="29">
        <v>64.817233609832499</v>
      </c>
      <c r="DE25" s="29">
        <v>64.967619654294467</v>
      </c>
      <c r="DF25" s="29">
        <v>65.116725943729278</v>
      </c>
      <c r="DG25" s="29">
        <v>65.264557732945349</v>
      </c>
      <c r="DH25" s="29">
        <v>65.411120095964563</v>
      </c>
      <c r="DI25" s="29">
        <v>65.556417824701256</v>
      </c>
      <c r="DJ25" s="29">
        <v>65.700456181481172</v>
      </c>
      <c r="DK25" s="29">
        <v>65.843266484477724</v>
      </c>
      <c r="DL25" s="29">
        <v>65.984854961512184</v>
      </c>
      <c r="DM25" s="29">
        <v>66.125227885625947</v>
      </c>
      <c r="DN25" s="29">
        <v>66.264391573139633</v>
      </c>
      <c r="DO25" s="29">
        <v>66.402352381755605</v>
      </c>
      <c r="DP25" s="29">
        <v>66.539116708706459</v>
      </c>
      <c r="DQ25" s="29">
        <v>66.674690988945159</v>
      </c>
      <c r="DR25" s="29">
        <v>66.809081693378189</v>
      </c>
      <c r="DS25">
        <v>66.942295327140073</v>
      </c>
      <c r="DT25">
        <v>67.074338427906156</v>
      </c>
      <c r="DU25">
        <v>67.205217564246169</v>
      </c>
    </row>
    <row r="26" spans="1:125">
      <c r="A26" s="27">
        <v>24</v>
      </c>
      <c r="B26" s="28"/>
      <c r="C26" s="28"/>
      <c r="D26" s="28"/>
      <c r="E26" s="28"/>
      <c r="F26" s="28"/>
      <c r="G26" s="28"/>
      <c r="H26" s="28"/>
      <c r="I26" s="28"/>
      <c r="J26" s="28"/>
      <c r="K26" s="28"/>
      <c r="L26" s="28"/>
      <c r="M26" s="28"/>
      <c r="N26" s="28"/>
      <c r="O26" s="28"/>
      <c r="P26" s="28"/>
      <c r="Q26" s="28"/>
      <c r="R26" s="28"/>
      <c r="S26" s="28"/>
      <c r="T26" s="28"/>
      <c r="U26" s="28"/>
      <c r="V26" s="29"/>
      <c r="W26" s="29">
        <v>48.62</v>
      </c>
      <c r="X26" s="29">
        <v>49.01</v>
      </c>
      <c r="Y26" s="29">
        <v>49.201845297837544</v>
      </c>
      <c r="Z26" s="29">
        <v>49.559690003522917</v>
      </c>
      <c r="AA26" s="29">
        <v>49.835019213731293</v>
      </c>
      <c r="AB26" s="29">
        <v>49.99572628912528</v>
      </c>
      <c r="AC26" s="29">
        <v>50.01335755456995</v>
      </c>
      <c r="AD26" s="29">
        <v>49.971362821242273</v>
      </c>
      <c r="AE26" s="29">
        <v>50.038888727477065</v>
      </c>
      <c r="AF26" s="29">
        <v>50.248463571269433</v>
      </c>
      <c r="AG26" s="29">
        <v>50.485667701473339</v>
      </c>
      <c r="AH26" s="29">
        <v>50.792717242075</v>
      </c>
      <c r="AI26" s="29">
        <v>51.068380371277492</v>
      </c>
      <c r="AJ26" s="29">
        <v>51.397291848141158</v>
      </c>
      <c r="AK26" s="29">
        <v>51.682866587347696</v>
      </c>
      <c r="AL26" s="29">
        <v>52.052076405398886</v>
      </c>
      <c r="AM26" s="29">
        <v>52.38178096225063</v>
      </c>
      <c r="AN26" s="29">
        <v>52.596472313663135</v>
      </c>
      <c r="AO26" s="29">
        <v>52.713205672521482</v>
      </c>
      <c r="AP26" s="29">
        <v>52.904215203282874</v>
      </c>
      <c r="AQ26" s="29">
        <v>53.0851573451408</v>
      </c>
      <c r="AR26" s="29">
        <v>53.331659524330725</v>
      </c>
      <c r="AS26" s="29">
        <v>53.358336624857159</v>
      </c>
      <c r="AT26" s="29">
        <v>53.452344535066345</v>
      </c>
      <c r="AU26" s="29">
        <v>53.51069939757587</v>
      </c>
      <c r="AV26" s="29">
        <v>53.590201340032579</v>
      </c>
      <c r="AW26" s="29">
        <v>53.888617913172418</v>
      </c>
      <c r="AX26" s="29">
        <v>54.052964338800464</v>
      </c>
      <c r="AY26" s="29">
        <v>54.122012013414448</v>
      </c>
      <c r="AZ26" s="29">
        <v>54.133189330030774</v>
      </c>
      <c r="BA26" s="29">
        <v>54.16311885305447</v>
      </c>
      <c r="BB26" s="29">
        <v>54.27531097291515</v>
      </c>
      <c r="BC26" s="29">
        <v>54.388284602849119</v>
      </c>
      <c r="BD26" s="29">
        <v>54.534925078837162</v>
      </c>
      <c r="BE26" s="29">
        <v>54.703677432694498</v>
      </c>
      <c r="BF26" s="29">
        <v>54.902828204805346</v>
      </c>
      <c r="BG26" s="29">
        <v>55.046632906282262</v>
      </c>
      <c r="BH26" s="29">
        <v>55.31993796801121</v>
      </c>
      <c r="BI26" s="29">
        <v>55.481606703485681</v>
      </c>
      <c r="BJ26" s="29">
        <v>55.736406495236629</v>
      </c>
      <c r="BK26" s="29">
        <v>55.916827022319929</v>
      </c>
      <c r="BL26" s="29">
        <v>56.185444915673081</v>
      </c>
      <c r="BM26" s="29">
        <v>56.434246098939127</v>
      </c>
      <c r="BN26" s="29">
        <v>56.656943241209326</v>
      </c>
      <c r="BO26" s="29">
        <v>56.857935135970337</v>
      </c>
      <c r="BP26" s="29">
        <v>57.076794118948527</v>
      </c>
      <c r="BQ26" s="29">
        <v>57.299968307310657</v>
      </c>
      <c r="BR26" s="29">
        <v>57.496879849546389</v>
      </c>
      <c r="BS26" s="29">
        <v>57.675436657394307</v>
      </c>
      <c r="BT26" s="30">
        <v>57.873820699500165</v>
      </c>
      <c r="BU26" s="29">
        <v>58.007215284697679</v>
      </c>
      <c r="BV26" s="29">
        <v>58.219745238005068</v>
      </c>
      <c r="BW26" s="29">
        <v>58.406790408139102</v>
      </c>
      <c r="BX26" s="29">
        <v>58.58554565102267</v>
      </c>
      <c r="BY26" s="29">
        <v>58.730144111884911</v>
      </c>
      <c r="BZ26" s="29">
        <v>58.912120394728525</v>
      </c>
      <c r="CA26" s="29">
        <v>59.070628081287907</v>
      </c>
      <c r="CB26" s="29">
        <v>59.218322962308051</v>
      </c>
      <c r="CC26" s="29">
        <v>59.400833285210808</v>
      </c>
      <c r="CD26" s="29">
        <v>59.569789666745045</v>
      </c>
      <c r="CE26" s="29">
        <v>59.753893355976565</v>
      </c>
      <c r="CF26" s="29">
        <v>59.907076366902864</v>
      </c>
      <c r="CG26" s="29">
        <v>60.077243433400533</v>
      </c>
      <c r="CH26" s="29">
        <v>60.252468388174478</v>
      </c>
      <c r="CI26" s="29">
        <v>60.43821808898953</v>
      </c>
      <c r="CJ26" s="29">
        <v>60.597827838392973</v>
      </c>
      <c r="CK26" s="29">
        <v>60.775711795633057</v>
      </c>
      <c r="CL26" s="29">
        <v>60.957941870400184</v>
      </c>
      <c r="CM26" s="29">
        <v>61.13070952168686</v>
      </c>
      <c r="CN26" s="29">
        <v>61.286698895354014</v>
      </c>
      <c r="CO26" s="29">
        <v>61.458663939592213</v>
      </c>
      <c r="CP26" s="29">
        <v>61.625699693340181</v>
      </c>
      <c r="CQ26" s="29">
        <v>61.78954455109195</v>
      </c>
      <c r="CR26" s="29">
        <v>61.946371508838176</v>
      </c>
      <c r="CS26" s="29">
        <v>62.112206860400597</v>
      </c>
      <c r="CT26" s="29">
        <v>62.272110202268415</v>
      </c>
      <c r="CU26" s="29">
        <v>62.438597530639818</v>
      </c>
      <c r="CV26" s="29">
        <v>62.596374437699062</v>
      </c>
      <c r="CW26" s="29">
        <v>62.756382891311176</v>
      </c>
      <c r="CX26" s="29">
        <v>62.915090601558063</v>
      </c>
      <c r="CY26" s="29">
        <v>63.07250239710465</v>
      </c>
      <c r="CZ26" s="29">
        <v>63.228623056121748</v>
      </c>
      <c r="DA26" s="29">
        <v>63.383457351645255</v>
      </c>
      <c r="DB26" s="29">
        <v>63.53701008655073</v>
      </c>
      <c r="DC26" s="29">
        <v>63.689286106113272</v>
      </c>
      <c r="DD26" s="29">
        <v>63.840290296222044</v>
      </c>
      <c r="DE26" s="29">
        <v>63.990027562801963</v>
      </c>
      <c r="DF26" s="29">
        <v>64.138502787327667</v>
      </c>
      <c r="DG26" s="29">
        <v>64.285720761701697</v>
      </c>
      <c r="DH26" s="29">
        <v>64.43168610827432</v>
      </c>
      <c r="DI26" s="29">
        <v>64.576403178257067</v>
      </c>
      <c r="DJ26" s="29">
        <v>64.719900577944074</v>
      </c>
      <c r="DK26" s="29">
        <v>64.862184123395366</v>
      </c>
      <c r="DL26" s="29">
        <v>65.003259686358291</v>
      </c>
      <c r="DM26" s="29">
        <v>65.143133192105481</v>
      </c>
      <c r="DN26" s="29">
        <v>65.281810617323657</v>
      </c>
      <c r="DO26" s="29">
        <v>65.419297988048569</v>
      </c>
      <c r="DP26" s="29">
        <v>65.55560137764833</v>
      </c>
      <c r="DQ26" s="29">
        <v>65.690726904851147</v>
      </c>
      <c r="DR26" s="29">
        <v>65.824680731818546</v>
      </c>
      <c r="DS26">
        <v>65.957469062262547</v>
      </c>
      <c r="DT26">
        <v>66.089098139603678</v>
      </c>
      <c r="DU26">
        <v>66.219574245172339</v>
      </c>
    </row>
    <row r="27" spans="1:125">
      <c r="A27" s="27">
        <v>25</v>
      </c>
      <c r="B27" s="28"/>
      <c r="C27" s="28"/>
      <c r="D27" s="28"/>
      <c r="E27" s="28"/>
      <c r="F27" s="28"/>
      <c r="G27" s="28"/>
      <c r="H27" s="28"/>
      <c r="I27" s="28"/>
      <c r="J27" s="28"/>
      <c r="K27" s="28"/>
      <c r="L27" s="28"/>
      <c r="M27" s="28"/>
      <c r="N27" s="28"/>
      <c r="O27" s="28"/>
      <c r="P27" s="28"/>
      <c r="Q27" s="28"/>
      <c r="R27" s="28"/>
      <c r="S27" s="28"/>
      <c r="T27" s="28"/>
      <c r="U27" s="28"/>
      <c r="V27" s="29"/>
      <c r="W27" s="29">
        <v>47.87</v>
      </c>
      <c r="X27" s="29">
        <v>48.24</v>
      </c>
      <c r="Y27" s="29">
        <v>48.430350032489272</v>
      </c>
      <c r="Z27" s="29">
        <v>48.708614713495784</v>
      </c>
      <c r="AA27" s="29">
        <v>48.943300040820695</v>
      </c>
      <c r="AB27" s="29">
        <v>49.10435983716868</v>
      </c>
      <c r="AC27" s="29">
        <v>49.12202979983158</v>
      </c>
      <c r="AD27" s="29">
        <v>49.05620701119237</v>
      </c>
      <c r="AE27" s="29">
        <v>49.133289415897551</v>
      </c>
      <c r="AF27" s="29">
        <v>49.340179419148285</v>
      </c>
      <c r="AG27" s="29">
        <v>49.582741576691959</v>
      </c>
      <c r="AH27" s="29">
        <v>49.885815267837216</v>
      </c>
      <c r="AI27" s="29">
        <v>50.1587887905579</v>
      </c>
      <c r="AJ27" s="29">
        <v>50.483457319465295</v>
      </c>
      <c r="AK27" s="29">
        <v>50.770807495245712</v>
      </c>
      <c r="AL27" s="29">
        <v>51.135943579110986</v>
      </c>
      <c r="AM27" s="29">
        <v>51.468387844554648</v>
      </c>
      <c r="AN27" s="29">
        <v>51.678268055989243</v>
      </c>
      <c r="AO27" s="29">
        <v>51.799903090882644</v>
      </c>
      <c r="AP27" s="29">
        <v>51.990129749745755</v>
      </c>
      <c r="AQ27" s="29">
        <v>52.16384516001709</v>
      </c>
      <c r="AR27" s="29">
        <v>52.41416418796085</v>
      </c>
      <c r="AS27" s="29">
        <v>52.435711833351156</v>
      </c>
      <c r="AT27" s="29">
        <v>52.529215878582299</v>
      </c>
      <c r="AU27" s="29">
        <v>52.592930663592441</v>
      </c>
      <c r="AV27" s="29">
        <v>52.680537192804962</v>
      </c>
      <c r="AW27" s="29">
        <v>52.976696842865046</v>
      </c>
      <c r="AX27" s="29">
        <v>53.129969658913602</v>
      </c>
      <c r="AY27" s="29">
        <v>53.197076379096806</v>
      </c>
      <c r="AZ27" s="29">
        <v>53.201737333571721</v>
      </c>
      <c r="BA27" s="29">
        <v>53.239178223158881</v>
      </c>
      <c r="BB27" s="29">
        <v>53.350562838964812</v>
      </c>
      <c r="BC27" s="29">
        <v>53.465678052544462</v>
      </c>
      <c r="BD27" s="29">
        <v>53.606908037138602</v>
      </c>
      <c r="BE27" s="29">
        <v>53.783146366518388</v>
      </c>
      <c r="BF27" s="29">
        <v>53.974427182349373</v>
      </c>
      <c r="BG27" s="29">
        <v>54.115506335987114</v>
      </c>
      <c r="BH27" s="29">
        <v>54.385931263051425</v>
      </c>
      <c r="BI27" s="29">
        <v>54.545886340501987</v>
      </c>
      <c r="BJ27" s="29">
        <v>54.801279693853999</v>
      </c>
      <c r="BK27" s="29">
        <v>54.977906137848024</v>
      </c>
      <c r="BL27" s="29">
        <v>55.243377127260608</v>
      </c>
      <c r="BM27" s="29">
        <v>55.491824910174564</v>
      </c>
      <c r="BN27" s="29">
        <v>55.714389121504809</v>
      </c>
      <c r="BO27" s="29">
        <v>55.912695402787811</v>
      </c>
      <c r="BP27" s="29">
        <v>56.135811274438105</v>
      </c>
      <c r="BQ27" s="29">
        <v>56.355774907943022</v>
      </c>
      <c r="BR27" s="29">
        <v>56.556493476150258</v>
      </c>
      <c r="BS27" s="29">
        <v>56.734147117122475</v>
      </c>
      <c r="BT27" s="30">
        <v>56.930253942633591</v>
      </c>
      <c r="BU27" s="29">
        <v>57.065565236468004</v>
      </c>
      <c r="BV27" s="29">
        <v>57.269560354281104</v>
      </c>
      <c r="BW27" s="29">
        <v>57.458016720916298</v>
      </c>
      <c r="BX27" s="29">
        <v>57.63499510978837</v>
      </c>
      <c r="BY27" s="29">
        <v>57.78668545125759</v>
      </c>
      <c r="BZ27" s="29">
        <v>57.959473117583592</v>
      </c>
      <c r="CA27" s="29">
        <v>58.115578560291212</v>
      </c>
      <c r="CB27" s="29">
        <v>58.259514584967647</v>
      </c>
      <c r="CC27" s="29">
        <v>58.44336152969305</v>
      </c>
      <c r="CD27" s="29">
        <v>58.610798160564748</v>
      </c>
      <c r="CE27" s="29">
        <v>58.788305967369759</v>
      </c>
      <c r="CF27" s="29">
        <v>58.944423288034685</v>
      </c>
      <c r="CG27" s="29">
        <v>59.110212802029054</v>
      </c>
      <c r="CH27" s="29">
        <v>59.286000028403123</v>
      </c>
      <c r="CI27" s="29">
        <v>59.471958997634168</v>
      </c>
      <c r="CJ27" s="29">
        <v>59.633898560708005</v>
      </c>
      <c r="CK27" s="29">
        <v>59.809270281700968</v>
      </c>
      <c r="CL27" s="29">
        <v>59.98664012778152</v>
      </c>
      <c r="CM27" s="29">
        <v>60.15872040734957</v>
      </c>
      <c r="CN27" s="29">
        <v>60.316110848853292</v>
      </c>
      <c r="CO27" s="29">
        <v>60.486808644254928</v>
      </c>
      <c r="CP27" s="29">
        <v>60.656253708290961</v>
      </c>
      <c r="CQ27" s="29">
        <v>60.81742000214652</v>
      </c>
      <c r="CR27" s="29">
        <v>60.975676109797348</v>
      </c>
      <c r="CS27" s="29">
        <v>61.139025907642477</v>
      </c>
      <c r="CT27" s="29">
        <v>61.300871169040235</v>
      </c>
      <c r="CU27" s="29">
        <v>61.463193985009731</v>
      </c>
      <c r="CV27" s="29">
        <v>61.623742403917113</v>
      </c>
      <c r="CW27" s="29">
        <v>61.783005260250256</v>
      </c>
      <c r="CX27" s="29">
        <v>61.940986985184587</v>
      </c>
      <c r="CY27" s="29">
        <v>62.097691917817961</v>
      </c>
      <c r="CZ27" s="29">
        <v>62.253124357940365</v>
      </c>
      <c r="DA27" s="29">
        <v>62.407288611197686</v>
      </c>
      <c r="DB27" s="29">
        <v>62.56018902386618</v>
      </c>
      <c r="DC27" s="29">
        <v>62.711829995204319</v>
      </c>
      <c r="DD27" s="29">
        <v>62.86221597545611</v>
      </c>
      <c r="DE27" s="29">
        <v>63.01135144505816</v>
      </c>
      <c r="DF27" s="29">
        <v>63.159240869935168</v>
      </c>
      <c r="DG27" s="29">
        <v>63.3058886361585</v>
      </c>
      <c r="DH27" s="29">
        <v>63.451298969747803</v>
      </c>
      <c r="DI27" s="29">
        <v>63.59549747318249</v>
      </c>
      <c r="DJ27" s="29">
        <v>63.738489574096739</v>
      </c>
      <c r="DK27" s="29">
        <v>63.880280765434946</v>
      </c>
      <c r="DL27" s="29">
        <v>64.020876603097719</v>
      </c>
      <c r="DM27" s="29">
        <v>64.160282703638387</v>
      </c>
      <c r="DN27" s="29">
        <v>64.29850474201227</v>
      </c>
      <c r="DO27" s="29">
        <v>64.435548449374011</v>
      </c>
      <c r="DP27" s="29">
        <v>64.57141961092519</v>
      </c>
      <c r="DQ27" s="29">
        <v>64.706124063808545</v>
      </c>
      <c r="DR27" s="29">
        <v>64.839667695049144</v>
      </c>
      <c r="DS27">
        <v>64.972056439542058</v>
      </c>
      <c r="DT27">
        <v>65.103296278082169</v>
      </c>
      <c r="DU27">
        <v>65.233393235439877</v>
      </c>
    </row>
    <row r="28" spans="1:125">
      <c r="A28" s="27">
        <v>26</v>
      </c>
      <c r="B28" s="28"/>
      <c r="C28" s="28"/>
      <c r="D28" s="28"/>
      <c r="E28" s="28"/>
      <c r="F28" s="28"/>
      <c r="G28" s="28"/>
      <c r="H28" s="28"/>
      <c r="I28" s="28"/>
      <c r="J28" s="28"/>
      <c r="K28" s="28"/>
      <c r="L28" s="28"/>
      <c r="M28" s="28"/>
      <c r="N28" s="28"/>
      <c r="O28" s="28"/>
      <c r="P28" s="28"/>
      <c r="Q28" s="28"/>
      <c r="R28" s="28"/>
      <c r="S28" s="28"/>
      <c r="T28" s="28"/>
      <c r="U28" s="28"/>
      <c r="V28" s="29"/>
      <c r="W28" s="29">
        <v>47.09</v>
      </c>
      <c r="X28" s="29">
        <v>47.45</v>
      </c>
      <c r="Y28" s="29">
        <v>47.570847035340293</v>
      </c>
      <c r="Z28" s="29">
        <v>47.8163601967345</v>
      </c>
      <c r="AA28" s="29">
        <v>48.051570042014383</v>
      </c>
      <c r="AB28" s="29">
        <v>48.21298980443256</v>
      </c>
      <c r="AC28" s="29">
        <v>48.210896960256463</v>
      </c>
      <c r="AD28" s="29">
        <v>48.145025618113472</v>
      </c>
      <c r="AE28" s="29">
        <v>48.219689247815502</v>
      </c>
      <c r="AF28" s="29">
        <v>48.433022903559348</v>
      </c>
      <c r="AG28" s="29">
        <v>48.669854549005379</v>
      </c>
      <c r="AH28" s="29">
        <v>48.971616138198662</v>
      </c>
      <c r="AI28" s="29">
        <v>49.244342990066897</v>
      </c>
      <c r="AJ28" s="29">
        <v>49.568639882993018</v>
      </c>
      <c r="AK28" s="29">
        <v>49.849777444203404</v>
      </c>
      <c r="AL28" s="29">
        <v>50.219602872851823</v>
      </c>
      <c r="AM28" s="29">
        <v>50.546470028267812</v>
      </c>
      <c r="AN28" s="29">
        <v>50.756689152021949</v>
      </c>
      <c r="AO28" s="29">
        <v>50.883003413733711</v>
      </c>
      <c r="AP28" s="29">
        <v>51.072434054492469</v>
      </c>
      <c r="AQ28" s="29">
        <v>51.242592238759471</v>
      </c>
      <c r="AR28" s="29">
        <v>51.494681604576769</v>
      </c>
      <c r="AS28" s="29">
        <v>51.509482576796437</v>
      </c>
      <c r="AT28" s="29">
        <v>51.603223997629271</v>
      </c>
      <c r="AU28" s="29">
        <v>51.679567079359181</v>
      </c>
      <c r="AV28" s="29">
        <v>51.759242693446751</v>
      </c>
      <c r="AW28" s="29">
        <v>52.059715990067644</v>
      </c>
      <c r="AX28" s="29">
        <v>52.200709833982373</v>
      </c>
      <c r="AY28" s="29">
        <v>52.262530629706347</v>
      </c>
      <c r="AZ28" s="29">
        <v>52.26930463448403</v>
      </c>
      <c r="BA28" s="29">
        <v>52.312397629461728</v>
      </c>
      <c r="BB28" s="29">
        <v>52.420590047116526</v>
      </c>
      <c r="BC28" s="29">
        <v>52.539007103774303</v>
      </c>
      <c r="BD28" s="29">
        <v>52.679097287058255</v>
      </c>
      <c r="BE28" s="29">
        <v>52.853228918593246</v>
      </c>
      <c r="BF28" s="29">
        <v>53.044000366318464</v>
      </c>
      <c r="BG28" s="29">
        <v>53.18239566546589</v>
      </c>
      <c r="BH28" s="29">
        <v>53.446764278903672</v>
      </c>
      <c r="BI28" s="29">
        <v>53.605927518785329</v>
      </c>
      <c r="BJ28" s="29">
        <v>53.855929633598869</v>
      </c>
      <c r="BK28" s="29">
        <v>54.035213129614426</v>
      </c>
      <c r="BL28" s="29">
        <v>54.30028101389253</v>
      </c>
      <c r="BM28" s="29">
        <v>54.5449535434323</v>
      </c>
      <c r="BN28" s="29">
        <v>54.77137898062302</v>
      </c>
      <c r="BO28" s="29">
        <v>54.974808823366892</v>
      </c>
      <c r="BP28" s="29">
        <v>55.199280659992567</v>
      </c>
      <c r="BQ28" s="29">
        <v>55.414955225364722</v>
      </c>
      <c r="BR28" s="29">
        <v>55.611319455506283</v>
      </c>
      <c r="BS28" s="29">
        <v>55.788083496170117</v>
      </c>
      <c r="BT28" s="30">
        <v>55.981654333870473</v>
      </c>
      <c r="BU28" s="29">
        <v>56.11618018824889</v>
      </c>
      <c r="BV28" s="29">
        <v>56.320325985719002</v>
      </c>
      <c r="BW28" s="29">
        <v>56.502729600374927</v>
      </c>
      <c r="BX28" s="29">
        <v>56.680812527204452</v>
      </c>
      <c r="BY28" s="29">
        <v>56.831838059313981</v>
      </c>
      <c r="BZ28" s="29">
        <v>57.003748383509453</v>
      </c>
      <c r="CA28" s="29">
        <v>57.158268869325894</v>
      </c>
      <c r="CB28" s="29">
        <v>57.303795614735634</v>
      </c>
      <c r="CC28" s="29">
        <v>57.477518721264076</v>
      </c>
      <c r="CD28" s="29">
        <v>57.64811951971631</v>
      </c>
      <c r="CE28" s="29">
        <v>57.82752401184991</v>
      </c>
      <c r="CF28" s="29">
        <v>57.977461466444517</v>
      </c>
      <c r="CG28" s="29">
        <v>58.144348234539343</v>
      </c>
      <c r="CH28" s="29">
        <v>58.318029515315281</v>
      </c>
      <c r="CI28" s="29">
        <v>58.503597723631522</v>
      </c>
      <c r="CJ28" s="29">
        <v>58.666951664700292</v>
      </c>
      <c r="CK28" s="29">
        <v>58.840999271393002</v>
      </c>
      <c r="CL28" s="29">
        <v>59.017092097529691</v>
      </c>
      <c r="CM28" s="29">
        <v>59.188613841026175</v>
      </c>
      <c r="CN28" s="29">
        <v>59.342837270746635</v>
      </c>
      <c r="CO28" s="29">
        <v>59.514266538008314</v>
      </c>
      <c r="CP28" s="29">
        <v>59.681013642359439</v>
      </c>
      <c r="CQ28" s="29">
        <v>59.843030639867386</v>
      </c>
      <c r="CR28" s="29">
        <v>60.002235825070642</v>
      </c>
      <c r="CS28" s="29">
        <v>60.162490621306702</v>
      </c>
      <c r="CT28" s="29">
        <v>60.328707374199887</v>
      </c>
      <c r="CU28" s="29">
        <v>60.489821591238737</v>
      </c>
      <c r="CV28" s="29">
        <v>60.649664119859871</v>
      </c>
      <c r="CW28" s="29">
        <v>60.808239104728223</v>
      </c>
      <c r="CX28" s="29">
        <v>60.965550542605222</v>
      </c>
      <c r="CY28" s="29">
        <v>61.121602347641939</v>
      </c>
      <c r="CZ28" s="29">
        <v>61.276398404004929</v>
      </c>
      <c r="DA28" s="29">
        <v>61.429942610890613</v>
      </c>
      <c r="DB28" s="29">
        <v>61.582238917145006</v>
      </c>
      <c r="DC28" s="29">
        <v>61.733291333452435</v>
      </c>
      <c r="DD28" s="29">
        <v>61.883103930172005</v>
      </c>
      <c r="DE28" s="29">
        <v>62.031680816373488</v>
      </c>
      <c r="DF28" s="29">
        <v>62.179026094957301</v>
      </c>
      <c r="DG28" s="29">
        <v>62.325143797135418</v>
      </c>
      <c r="DH28" s="29">
        <v>62.470056999393336</v>
      </c>
      <c r="DI28" s="29">
        <v>62.613770762423755</v>
      </c>
      <c r="DJ28" s="29">
        <v>62.756290221094531</v>
      </c>
      <c r="DK28" s="29">
        <v>62.897620581922638</v>
      </c>
      <c r="DL28" s="29">
        <v>63.037767120603782</v>
      </c>
      <c r="DM28" s="29">
        <v>63.176735179593869</v>
      </c>
      <c r="DN28" s="29">
        <v>63.31453016574455</v>
      </c>
      <c r="DO28" s="29">
        <v>63.451157547988245</v>
      </c>
      <c r="DP28" s="29">
        <v>63.586622855075028</v>
      </c>
      <c r="DQ28" s="29">
        <v>63.720931673357313</v>
      </c>
      <c r="DR28" s="29">
        <v>63.854089644623095</v>
      </c>
      <c r="DS28">
        <v>63.986102463976984</v>
      </c>
      <c r="DT28">
        <v>64.116975877765029</v>
      </c>
      <c r="DU28">
        <v>64.246715681546576</v>
      </c>
    </row>
    <row r="29" spans="1:125">
      <c r="A29" s="27">
        <v>27</v>
      </c>
      <c r="B29" s="28"/>
      <c r="C29" s="28"/>
      <c r="D29" s="28"/>
      <c r="E29" s="28"/>
      <c r="F29" s="28"/>
      <c r="G29" s="28"/>
      <c r="H29" s="28"/>
      <c r="I29" s="28"/>
      <c r="J29" s="28"/>
      <c r="K29" s="28"/>
      <c r="L29" s="28"/>
      <c r="M29" s="28"/>
      <c r="N29" s="28"/>
      <c r="O29" s="28"/>
      <c r="P29" s="28"/>
      <c r="Q29" s="28"/>
      <c r="R29" s="28"/>
      <c r="S29" s="28"/>
      <c r="T29" s="28"/>
      <c r="U29" s="28"/>
      <c r="V29" s="29"/>
      <c r="W29" s="29">
        <v>46.29</v>
      </c>
      <c r="X29" s="29">
        <v>46.59</v>
      </c>
      <c r="Y29" s="29">
        <v>46.677468113276298</v>
      </c>
      <c r="Z29" s="29">
        <v>46.923537391238703</v>
      </c>
      <c r="AA29" s="29">
        <v>47.159280014847937</v>
      </c>
      <c r="AB29" s="29">
        <v>47.297374626509843</v>
      </c>
      <c r="AC29" s="29">
        <v>47.302820651268661</v>
      </c>
      <c r="AD29" s="29">
        <v>47.236199550111692</v>
      </c>
      <c r="AE29" s="29">
        <v>47.305229719292619</v>
      </c>
      <c r="AF29" s="29">
        <v>47.521667121066102</v>
      </c>
      <c r="AG29" s="29">
        <v>47.756441450925585</v>
      </c>
      <c r="AH29" s="29">
        <v>48.053751880298428</v>
      </c>
      <c r="AI29" s="29">
        <v>48.328452514535506</v>
      </c>
      <c r="AJ29" s="29">
        <v>48.649114354564887</v>
      </c>
      <c r="AK29" s="29">
        <v>48.931711217470919</v>
      </c>
      <c r="AL29" s="29">
        <v>49.29508494084692</v>
      </c>
      <c r="AM29" s="29">
        <v>49.625272928354683</v>
      </c>
      <c r="AN29" s="29">
        <v>49.830897734991822</v>
      </c>
      <c r="AO29" s="29">
        <v>49.962219932544912</v>
      </c>
      <c r="AP29" s="29">
        <v>50.147611715903388</v>
      </c>
      <c r="AQ29" s="29">
        <v>50.317654044308071</v>
      </c>
      <c r="AR29" s="29">
        <v>50.565596704005586</v>
      </c>
      <c r="AS29" s="29">
        <v>50.586792626794001</v>
      </c>
      <c r="AT29" s="29">
        <v>50.682765934778537</v>
      </c>
      <c r="AU29" s="29">
        <v>50.762154673838729</v>
      </c>
      <c r="AV29" s="29">
        <v>50.839660554710157</v>
      </c>
      <c r="AW29" s="29">
        <v>51.123251137356519</v>
      </c>
      <c r="AX29" s="29">
        <v>51.267604221069639</v>
      </c>
      <c r="AY29" s="29">
        <v>51.327875284859324</v>
      </c>
      <c r="AZ29" s="29">
        <v>51.340039389684748</v>
      </c>
      <c r="BA29" s="29">
        <v>51.385802486887847</v>
      </c>
      <c r="BB29" s="29">
        <v>51.49140796828101</v>
      </c>
      <c r="BC29" s="29">
        <v>51.604972221528151</v>
      </c>
      <c r="BD29" s="29">
        <v>51.746282815713961</v>
      </c>
      <c r="BE29" s="29">
        <v>51.918200771658142</v>
      </c>
      <c r="BF29" s="29">
        <v>52.110301019722655</v>
      </c>
      <c r="BG29" s="29">
        <v>52.240451520436253</v>
      </c>
      <c r="BH29" s="29">
        <v>52.5069821833372</v>
      </c>
      <c r="BI29" s="29">
        <v>52.661133811612352</v>
      </c>
      <c r="BJ29" s="29">
        <v>52.9112765815795</v>
      </c>
      <c r="BK29" s="29">
        <v>53.092044303477955</v>
      </c>
      <c r="BL29" s="29">
        <v>53.356377977426583</v>
      </c>
      <c r="BM29" s="29">
        <v>53.601034794611863</v>
      </c>
      <c r="BN29" s="29">
        <v>53.832266095322602</v>
      </c>
      <c r="BO29" s="29">
        <v>54.037208566513279</v>
      </c>
      <c r="BP29" s="29">
        <v>54.256720026640707</v>
      </c>
      <c r="BQ29" s="29">
        <v>54.468180959359287</v>
      </c>
      <c r="BR29" s="29">
        <v>54.662470652802881</v>
      </c>
      <c r="BS29" s="29">
        <v>54.836707251577664</v>
      </c>
      <c r="BT29" s="30">
        <v>55.031174445135107</v>
      </c>
      <c r="BU29" s="29">
        <v>55.161508935708028</v>
      </c>
      <c r="BV29" s="29">
        <v>55.368038856261649</v>
      </c>
      <c r="BW29" s="29">
        <v>55.549499045948515</v>
      </c>
      <c r="BX29" s="29">
        <v>55.723295516039279</v>
      </c>
      <c r="BY29" s="29">
        <v>55.87451950429994</v>
      </c>
      <c r="BZ29" s="29">
        <v>56.044198886965887</v>
      </c>
      <c r="CA29" s="29">
        <v>56.199187630997187</v>
      </c>
      <c r="CB29" s="29">
        <v>56.343214349040309</v>
      </c>
      <c r="CC29" s="29">
        <v>56.514230704236525</v>
      </c>
      <c r="CD29" s="29">
        <v>56.686062242333044</v>
      </c>
      <c r="CE29" s="29">
        <v>56.86217503124427</v>
      </c>
      <c r="CF29" s="29">
        <v>57.012864476683745</v>
      </c>
      <c r="CG29" s="29">
        <v>57.180655013425202</v>
      </c>
      <c r="CH29" s="29">
        <v>57.351946559712495</v>
      </c>
      <c r="CI29" s="29">
        <v>57.536293265394882</v>
      </c>
      <c r="CJ29" s="29">
        <v>57.699239286237301</v>
      </c>
      <c r="CK29" s="29">
        <v>57.870180977691582</v>
      </c>
      <c r="CL29" s="29">
        <v>58.044065195340032</v>
      </c>
      <c r="CM29" s="29">
        <v>58.216797972120119</v>
      </c>
      <c r="CN29" s="29">
        <v>58.369180519504695</v>
      </c>
      <c r="CO29" s="29">
        <v>58.542736229529233</v>
      </c>
      <c r="CP29" s="29">
        <v>58.707021876195213</v>
      </c>
      <c r="CQ29" s="29">
        <v>58.86717060469595</v>
      </c>
      <c r="CR29" s="29">
        <v>59.02867347414405</v>
      </c>
      <c r="CS29" s="29">
        <v>59.193234369782232</v>
      </c>
      <c r="CT29" s="29">
        <v>59.354928902478349</v>
      </c>
      <c r="CU29" s="29">
        <v>59.51536464230837</v>
      </c>
      <c r="CV29" s="29">
        <v>59.674545552523192</v>
      </c>
      <c r="CW29" s="29">
        <v>59.832475384108086</v>
      </c>
      <c r="CX29" s="29">
        <v>59.989157748333504</v>
      </c>
      <c r="CY29" s="29">
        <v>60.144596181946085</v>
      </c>
      <c r="CZ29" s="29">
        <v>60.298794199683385</v>
      </c>
      <c r="DA29" s="29">
        <v>60.451755339171399</v>
      </c>
      <c r="DB29" s="29">
        <v>60.603483195421532</v>
      </c>
      <c r="DC29" s="29">
        <v>60.753981432888075</v>
      </c>
      <c r="DD29" s="29">
        <v>60.903253783168971</v>
      </c>
      <c r="DE29" s="29">
        <v>61.051304023901366</v>
      </c>
      <c r="DF29" s="29">
        <v>61.198135933736346</v>
      </c>
      <c r="DG29" s="29">
        <v>61.343770405527934</v>
      </c>
      <c r="DH29" s="29">
        <v>61.488212146834847</v>
      </c>
      <c r="DI29" s="29">
        <v>61.63146594772676</v>
      </c>
      <c r="DJ29" s="29">
        <v>61.773536678104392</v>
      </c>
      <c r="DK29" s="29">
        <v>61.914429285075272</v>
      </c>
      <c r="DL29" s="29">
        <v>62.054148790386158</v>
      </c>
      <c r="DM29" s="29">
        <v>62.192700287908238</v>
      </c>
      <c r="DN29" s="29">
        <v>62.33008894117755</v>
      </c>
      <c r="DO29" s="29">
        <v>62.466319980985816</v>
      </c>
      <c r="DP29" s="29">
        <v>62.601398703024259</v>
      </c>
      <c r="DQ29" s="29">
        <v>62.735330465576247</v>
      </c>
      <c r="DR29" s="29">
        <v>62.868120687259548</v>
      </c>
      <c r="DS29">
        <v>62.999774844817573</v>
      </c>
      <c r="DT29">
        <v>63.130298470955367</v>
      </c>
      <c r="DU29">
        <v>63.259697152223808</v>
      </c>
    </row>
    <row r="30" spans="1:125">
      <c r="A30" s="27">
        <v>28</v>
      </c>
      <c r="B30" s="28"/>
      <c r="C30" s="28"/>
      <c r="D30" s="28"/>
      <c r="E30" s="28"/>
      <c r="F30" s="28"/>
      <c r="G30" s="28"/>
      <c r="H30" s="28"/>
      <c r="I30" s="28"/>
      <c r="J30" s="28"/>
      <c r="K30" s="28"/>
      <c r="L30" s="28"/>
      <c r="M30" s="28"/>
      <c r="N30" s="28"/>
      <c r="O30" s="28"/>
      <c r="P30" s="28"/>
      <c r="Q30" s="28"/>
      <c r="R30" s="28"/>
      <c r="S30" s="28"/>
      <c r="T30" s="28"/>
      <c r="U30" s="28"/>
      <c r="V30" s="29"/>
      <c r="W30" s="29">
        <v>45.44</v>
      </c>
      <c r="X30" s="29">
        <v>45.69</v>
      </c>
      <c r="Y30" s="29">
        <v>45.781601717139871</v>
      </c>
      <c r="Z30" s="29">
        <v>46.028225899512606</v>
      </c>
      <c r="AA30" s="29">
        <v>46.241666075412276</v>
      </c>
      <c r="AB30" s="29">
        <v>46.381015950057204</v>
      </c>
      <c r="AC30" s="29">
        <v>46.385232044272399</v>
      </c>
      <c r="AD30" s="29">
        <v>46.320872347111184</v>
      </c>
      <c r="AE30" s="29">
        <v>46.393023952821764</v>
      </c>
      <c r="AF30" s="29">
        <v>46.598129512250779</v>
      </c>
      <c r="AG30" s="29">
        <v>46.838989483860281</v>
      </c>
      <c r="AH30" s="29">
        <v>47.138054969981368</v>
      </c>
      <c r="AI30" s="29">
        <v>47.410125608835223</v>
      </c>
      <c r="AJ30" s="29">
        <v>47.72434016681418</v>
      </c>
      <c r="AK30" s="29">
        <v>48.007164742522079</v>
      </c>
      <c r="AL30" s="29">
        <v>48.36984447690692</v>
      </c>
      <c r="AM30" s="29">
        <v>48.701144738837591</v>
      </c>
      <c r="AN30" s="29">
        <v>48.906766234570725</v>
      </c>
      <c r="AO30" s="29">
        <v>49.041893531257585</v>
      </c>
      <c r="AP30" s="29">
        <v>49.219356755572029</v>
      </c>
      <c r="AQ30" s="29">
        <v>49.390755335767167</v>
      </c>
      <c r="AR30" s="29">
        <v>49.645453532802783</v>
      </c>
      <c r="AS30" s="29">
        <v>49.666882287909083</v>
      </c>
      <c r="AT30" s="29">
        <v>49.755496354726297</v>
      </c>
      <c r="AU30" s="29">
        <v>49.83776330466771</v>
      </c>
      <c r="AV30" s="29">
        <v>49.906508618613195</v>
      </c>
      <c r="AW30" s="29">
        <v>50.190303500137794</v>
      </c>
      <c r="AX30" s="29">
        <v>50.333602638957053</v>
      </c>
      <c r="AY30" s="29">
        <v>50.393063062371212</v>
      </c>
      <c r="AZ30" s="29">
        <v>50.415962556405816</v>
      </c>
      <c r="BA30" s="29">
        <v>50.456303638819222</v>
      </c>
      <c r="BB30" s="29">
        <v>50.559206774101163</v>
      </c>
      <c r="BC30" s="29">
        <v>50.663993905075273</v>
      </c>
      <c r="BD30" s="29">
        <v>50.809037547185518</v>
      </c>
      <c r="BE30" s="29">
        <v>50.982924807333923</v>
      </c>
      <c r="BF30" s="29">
        <v>51.173489601944162</v>
      </c>
      <c r="BG30" s="29">
        <v>51.299332289180263</v>
      </c>
      <c r="BH30" s="29">
        <v>51.560533350472873</v>
      </c>
      <c r="BI30" s="29">
        <v>51.71938928208904</v>
      </c>
      <c r="BJ30" s="29">
        <v>51.964909248369878</v>
      </c>
      <c r="BK30" s="29">
        <v>52.144733479047694</v>
      </c>
      <c r="BL30" s="29">
        <v>52.409905261895751</v>
      </c>
      <c r="BM30" s="29">
        <v>52.661928056599798</v>
      </c>
      <c r="BN30" s="29">
        <v>52.894944871467857</v>
      </c>
      <c r="BO30" s="29">
        <v>53.090415665490951</v>
      </c>
      <c r="BP30" s="29">
        <v>53.312655314098727</v>
      </c>
      <c r="BQ30" s="29">
        <v>53.522057854102918</v>
      </c>
      <c r="BR30" s="29">
        <v>53.716863929956943</v>
      </c>
      <c r="BS30" s="29">
        <v>53.888216872327057</v>
      </c>
      <c r="BT30" s="30">
        <v>54.078076254864435</v>
      </c>
      <c r="BU30" s="29">
        <v>54.204100709499784</v>
      </c>
      <c r="BV30" s="29">
        <v>54.413020670647136</v>
      </c>
      <c r="BW30" s="29">
        <v>54.596771900926392</v>
      </c>
      <c r="BX30" s="29">
        <v>54.761747719423077</v>
      </c>
      <c r="BY30" s="29">
        <v>54.91536616791408</v>
      </c>
      <c r="BZ30" s="29">
        <v>55.083676424669797</v>
      </c>
      <c r="CA30" s="29">
        <v>55.237826654692746</v>
      </c>
      <c r="CB30" s="29">
        <v>55.379130797506335</v>
      </c>
      <c r="CC30" s="29">
        <v>55.547420735685456</v>
      </c>
      <c r="CD30" s="29">
        <v>55.721362454601277</v>
      </c>
      <c r="CE30" s="29">
        <v>55.896714815559157</v>
      </c>
      <c r="CF30" s="29">
        <v>56.050199123855904</v>
      </c>
      <c r="CG30" s="29">
        <v>56.216991114660367</v>
      </c>
      <c r="CH30" s="29">
        <v>56.385554890806105</v>
      </c>
      <c r="CI30" s="29">
        <v>56.563970498925961</v>
      </c>
      <c r="CJ30" s="29">
        <v>56.72898789042226</v>
      </c>
      <c r="CK30" s="29">
        <v>56.900818061397779</v>
      </c>
      <c r="CL30" s="29">
        <v>57.074334415440617</v>
      </c>
      <c r="CM30" s="29">
        <v>57.244487097429769</v>
      </c>
      <c r="CN30" s="29">
        <v>57.395244420172162</v>
      </c>
      <c r="CO30" s="29">
        <v>57.568135301352427</v>
      </c>
      <c r="CP30" s="29">
        <v>57.731259465595308</v>
      </c>
      <c r="CQ30" s="29">
        <v>57.892949733765548</v>
      </c>
      <c r="CR30" s="29">
        <v>58.057231903961174</v>
      </c>
      <c r="CS30" s="29">
        <v>58.219509456198466</v>
      </c>
      <c r="CT30" s="29">
        <v>58.38054037347365</v>
      </c>
      <c r="CU30" s="29">
        <v>58.540328546261762</v>
      </c>
      <c r="CV30" s="29">
        <v>58.698877575141282</v>
      </c>
      <c r="CW30" s="29">
        <v>58.856190855591869</v>
      </c>
      <c r="CX30" s="29">
        <v>59.012271650477679</v>
      </c>
      <c r="CY30" s="29">
        <v>59.167123155162201</v>
      </c>
      <c r="CZ30" s="29">
        <v>59.320748549937491</v>
      </c>
      <c r="DA30" s="29">
        <v>59.473151044830182</v>
      </c>
      <c r="DB30" s="29">
        <v>59.624333914000694</v>
      </c>
      <c r="DC30" s="29">
        <v>59.774300507693937</v>
      </c>
      <c r="DD30" s="29">
        <v>59.923054249828532</v>
      </c>
      <c r="DE30" s="29">
        <v>60.070598616775754</v>
      </c>
      <c r="DF30" s="29">
        <v>60.21695255909782</v>
      </c>
      <c r="DG30" s="29">
        <v>60.362120439414497</v>
      </c>
      <c r="DH30" s="29">
        <v>60.50610671080485</v>
      </c>
      <c r="DI30" s="29">
        <v>60.648915913985689</v>
      </c>
      <c r="DJ30" s="29">
        <v>60.790552674547897</v>
      </c>
      <c r="DK30" s="29">
        <v>60.931021700249268</v>
      </c>
      <c r="DL30" s="29">
        <v>61.070327778364522</v>
      </c>
      <c r="DM30" s="29">
        <v>61.20847577308907</v>
      </c>
      <c r="DN30" s="29">
        <v>61.345470622998434</v>
      </c>
      <c r="DO30" s="29">
        <v>61.481317338559116</v>
      </c>
      <c r="DP30" s="29">
        <v>61.616020999692985</v>
      </c>
      <c r="DQ30" s="29">
        <v>61.749586753391455</v>
      </c>
      <c r="DR30" s="29">
        <v>61.882019811380012</v>
      </c>
      <c r="DS30">
        <v>62.013325447832521</v>
      </c>
      <c r="DT30">
        <v>62.143508997131036</v>
      </c>
      <c r="DU30">
        <v>62.272575851674858</v>
      </c>
    </row>
    <row r="31" spans="1:125">
      <c r="A31" s="27">
        <v>29</v>
      </c>
      <c r="B31" s="28"/>
      <c r="C31" s="28"/>
      <c r="D31" s="28"/>
      <c r="E31" s="28"/>
      <c r="F31" s="28"/>
      <c r="G31" s="28"/>
      <c r="H31" s="28"/>
      <c r="I31" s="28"/>
      <c r="J31" s="28"/>
      <c r="K31" s="28"/>
      <c r="L31" s="28"/>
      <c r="M31" s="28"/>
      <c r="N31" s="28"/>
      <c r="O31" s="28"/>
      <c r="P31" s="28"/>
      <c r="Q31" s="28"/>
      <c r="R31" s="28"/>
      <c r="S31" s="28"/>
      <c r="T31" s="28"/>
      <c r="U31" s="28"/>
      <c r="V31" s="29"/>
      <c r="W31" s="29">
        <v>44.54</v>
      </c>
      <c r="X31" s="29">
        <v>44.79</v>
      </c>
      <c r="Y31" s="29">
        <v>44.883715076061009</v>
      </c>
      <c r="Z31" s="29">
        <v>45.107943249623062</v>
      </c>
      <c r="AA31" s="29">
        <v>45.317528740631815</v>
      </c>
      <c r="AB31" s="29">
        <v>45.462908071876306</v>
      </c>
      <c r="AC31" s="29">
        <v>45.464973830154598</v>
      </c>
      <c r="AD31" s="29">
        <v>45.401220541970382</v>
      </c>
      <c r="AE31" s="29">
        <v>45.47556952012274</v>
      </c>
      <c r="AF31" s="29">
        <v>45.674984541988273</v>
      </c>
      <c r="AG31" s="29">
        <v>45.919070916385394</v>
      </c>
      <c r="AH31" s="29">
        <v>46.219783838018763</v>
      </c>
      <c r="AI31" s="29">
        <v>46.486159256633464</v>
      </c>
      <c r="AJ31" s="29">
        <v>46.791152269755379</v>
      </c>
      <c r="AK31" s="29">
        <v>47.083743264952986</v>
      </c>
      <c r="AL31" s="29">
        <v>47.436323654220047</v>
      </c>
      <c r="AM31" s="29">
        <v>47.774227740138649</v>
      </c>
      <c r="AN31" s="29">
        <v>47.980602906949777</v>
      </c>
      <c r="AO31" s="29">
        <v>48.117752202566798</v>
      </c>
      <c r="AP31" s="29">
        <v>48.29227359217397</v>
      </c>
      <c r="AQ31" s="29">
        <v>48.46530758419285</v>
      </c>
      <c r="AR31" s="29">
        <v>48.725620620065911</v>
      </c>
      <c r="AS31" s="29">
        <v>48.739009222999307</v>
      </c>
      <c r="AT31" s="29">
        <v>48.828086312747701</v>
      </c>
      <c r="AU31" s="29">
        <v>48.910357168772094</v>
      </c>
      <c r="AV31" s="29">
        <v>48.97513131432116</v>
      </c>
      <c r="AW31" s="29">
        <v>49.262166733447593</v>
      </c>
      <c r="AX31" s="29">
        <v>49.397784066092107</v>
      </c>
      <c r="AY31" s="29">
        <v>49.463694850473708</v>
      </c>
      <c r="AZ31" s="29">
        <v>49.479489478304743</v>
      </c>
      <c r="BA31" s="29">
        <v>49.524175219102631</v>
      </c>
      <c r="BB31" s="29">
        <v>49.623736836439548</v>
      </c>
      <c r="BC31" s="29">
        <v>49.730911063941505</v>
      </c>
      <c r="BD31" s="29">
        <v>49.875889498401811</v>
      </c>
      <c r="BE31" s="29">
        <v>50.044345145900273</v>
      </c>
      <c r="BF31" s="29">
        <v>50.230035913547759</v>
      </c>
      <c r="BG31" s="29">
        <v>50.35787563005924</v>
      </c>
      <c r="BH31" s="29">
        <v>50.612657485429686</v>
      </c>
      <c r="BI31" s="29">
        <v>50.773829317059644</v>
      </c>
      <c r="BJ31" s="29">
        <v>51.021875813988153</v>
      </c>
      <c r="BK31" s="29">
        <v>51.20068193412493</v>
      </c>
      <c r="BL31" s="29">
        <v>51.468439885099407</v>
      </c>
      <c r="BM31" s="29">
        <v>51.724711009269662</v>
      </c>
      <c r="BN31" s="29">
        <v>51.950421305090288</v>
      </c>
      <c r="BO31" s="29">
        <v>52.147039097289621</v>
      </c>
      <c r="BP31" s="29">
        <v>52.367867190901627</v>
      </c>
      <c r="BQ31" s="29">
        <v>52.576539301741491</v>
      </c>
      <c r="BR31" s="29">
        <v>52.770556743401869</v>
      </c>
      <c r="BS31" s="29">
        <v>52.935456032274672</v>
      </c>
      <c r="BT31" s="30">
        <v>53.12317611016789</v>
      </c>
      <c r="BU31" s="29">
        <v>53.252013775537698</v>
      </c>
      <c r="BV31" s="29">
        <v>53.455142329547215</v>
      </c>
      <c r="BW31" s="29">
        <v>53.634348225050545</v>
      </c>
      <c r="BX31" s="29">
        <v>53.802528612011393</v>
      </c>
      <c r="BY31" s="29">
        <v>53.957255337851244</v>
      </c>
      <c r="BZ31" s="29">
        <v>54.121275805591431</v>
      </c>
      <c r="CA31" s="29">
        <v>54.271802921999907</v>
      </c>
      <c r="CB31" s="29">
        <v>54.414295378068594</v>
      </c>
      <c r="CC31" s="29">
        <v>54.581363785846555</v>
      </c>
      <c r="CD31" s="29">
        <v>54.755258029780045</v>
      </c>
      <c r="CE31" s="29">
        <v>54.928182751286705</v>
      </c>
      <c r="CF31" s="29">
        <v>55.085933963530429</v>
      </c>
      <c r="CG31" s="29">
        <v>55.247498720528974</v>
      </c>
      <c r="CH31" s="29">
        <v>55.417407005206975</v>
      </c>
      <c r="CI31" s="29">
        <v>55.596638974328705</v>
      </c>
      <c r="CJ31" s="29">
        <v>55.760078807277665</v>
      </c>
      <c r="CK31" s="29">
        <v>55.927668863014034</v>
      </c>
      <c r="CL31" s="29">
        <v>56.101235104913584</v>
      </c>
      <c r="CM31" s="29">
        <v>56.271167056736324</v>
      </c>
      <c r="CN31" s="29">
        <v>56.423986253796926</v>
      </c>
      <c r="CO31" s="29">
        <v>56.594213404825872</v>
      </c>
      <c r="CP31" s="29">
        <v>56.757083318835143</v>
      </c>
      <c r="CQ31" s="29">
        <v>56.921132252144453</v>
      </c>
      <c r="CR31" s="29">
        <v>57.083985239727433</v>
      </c>
      <c r="CS31" s="29">
        <v>57.245603194978564</v>
      </c>
      <c r="CT31" s="29">
        <v>57.405990037037917</v>
      </c>
      <c r="CU31" s="29">
        <v>57.565149317242962</v>
      </c>
      <c r="CV31" s="29">
        <v>57.723084303362135</v>
      </c>
      <c r="CW31" s="29">
        <v>57.879798064358738</v>
      </c>
      <c r="CX31" s="29">
        <v>58.03529354282815</v>
      </c>
      <c r="CY31" s="29">
        <v>58.189573620057494</v>
      </c>
      <c r="CZ31" s="29">
        <v>58.342641168390095</v>
      </c>
      <c r="DA31" s="29">
        <v>58.494499095960172</v>
      </c>
      <c r="DB31" s="29">
        <v>58.645150381014254</v>
      </c>
      <c r="DC31" s="29">
        <v>58.794598083774517</v>
      </c>
      <c r="DD31" s="29">
        <v>58.942845343935431</v>
      </c>
      <c r="DE31" s="29">
        <v>59.089909331352871</v>
      </c>
      <c r="DF31" s="29">
        <v>59.23579406744873</v>
      </c>
      <c r="DG31" s="29">
        <v>59.380503671770562</v>
      </c>
      <c r="DH31" s="29">
        <v>59.524042359038305</v>
      </c>
      <c r="DI31" s="29">
        <v>59.666414436250804</v>
      </c>
      <c r="DJ31" s="29">
        <v>59.807624299850865</v>
      </c>
      <c r="DK31" s="29">
        <v>59.947676432947048</v>
      </c>
      <c r="DL31" s="29">
        <v>60.086575402593297</v>
      </c>
      <c r="DM31" s="29">
        <v>60.224325857122587</v>
      </c>
      <c r="DN31" s="29">
        <v>60.360932523536938</v>
      </c>
      <c r="DO31" s="29">
        <v>60.49640020494931</v>
      </c>
      <c r="DP31" s="29">
        <v>60.630733778079502</v>
      </c>
      <c r="DQ31" s="29">
        <v>60.763938190800559</v>
      </c>
      <c r="DR31" s="29">
        <v>60.896018459735942</v>
      </c>
      <c r="DS31">
        <v>61.026979667907177</v>
      </c>
      <c r="DT31">
        <v>61.156826962427587</v>
      </c>
      <c r="DU31">
        <v>61.285565552245849</v>
      </c>
    </row>
    <row r="32" spans="1:125">
      <c r="A32" s="27">
        <v>30</v>
      </c>
      <c r="B32" s="28"/>
      <c r="C32" s="28"/>
      <c r="D32" s="28"/>
      <c r="E32" s="28"/>
      <c r="F32" s="28"/>
      <c r="G32" s="28"/>
      <c r="H32" s="28"/>
      <c r="I32" s="28"/>
      <c r="J32" s="28"/>
      <c r="K32" s="28"/>
      <c r="L32" s="28"/>
      <c r="M32" s="28"/>
      <c r="N32" s="28"/>
      <c r="O32" s="28"/>
      <c r="P32" s="28"/>
      <c r="Q32" s="28"/>
      <c r="R32" s="28"/>
      <c r="S32" s="28"/>
      <c r="T32" s="28"/>
      <c r="U32" s="28"/>
      <c r="V32" s="29"/>
      <c r="W32" s="29">
        <v>43.64</v>
      </c>
      <c r="X32" s="29">
        <v>43.89</v>
      </c>
      <c r="Y32" s="29">
        <v>43.95961449110164</v>
      </c>
      <c r="Z32" s="29">
        <v>44.19340043258731</v>
      </c>
      <c r="AA32" s="29">
        <v>44.396078731376583</v>
      </c>
      <c r="AB32" s="29">
        <v>44.548005491560396</v>
      </c>
      <c r="AC32" s="29">
        <v>44.548499642711654</v>
      </c>
      <c r="AD32" s="29">
        <v>44.478597351300074</v>
      </c>
      <c r="AE32" s="29">
        <v>44.54974561970014</v>
      </c>
      <c r="AF32" s="29">
        <v>44.754554368272963</v>
      </c>
      <c r="AG32" s="29">
        <v>44.99802493882401</v>
      </c>
      <c r="AH32" s="29">
        <v>45.295770325209055</v>
      </c>
      <c r="AI32" s="29">
        <v>45.55860203601533</v>
      </c>
      <c r="AJ32" s="29">
        <v>45.866336515420734</v>
      </c>
      <c r="AK32" s="29">
        <v>46.155743452111487</v>
      </c>
      <c r="AL32" s="29">
        <v>46.505846074000416</v>
      </c>
      <c r="AM32" s="29">
        <v>46.8476223474485</v>
      </c>
      <c r="AN32" s="29">
        <v>47.059562588682532</v>
      </c>
      <c r="AO32" s="29">
        <v>47.189991020675478</v>
      </c>
      <c r="AP32" s="29">
        <v>47.370770678448416</v>
      </c>
      <c r="AQ32" s="29">
        <v>47.54520609937439</v>
      </c>
      <c r="AR32" s="29">
        <v>47.806675896178106</v>
      </c>
      <c r="AS32" s="29">
        <v>47.813593331153136</v>
      </c>
      <c r="AT32" s="29">
        <v>47.896343316692729</v>
      </c>
      <c r="AU32" s="29">
        <v>47.980208093560925</v>
      </c>
      <c r="AV32" s="29">
        <v>48.048258135186103</v>
      </c>
      <c r="AW32" s="29">
        <v>48.325194584148015</v>
      </c>
      <c r="AX32" s="29">
        <v>48.464052577064386</v>
      </c>
      <c r="AY32" s="29">
        <v>48.530085501587834</v>
      </c>
      <c r="AZ32" s="29">
        <v>48.548248321233288</v>
      </c>
      <c r="BA32" s="29">
        <v>48.592558659061389</v>
      </c>
      <c r="BB32" s="29">
        <v>48.691397990822679</v>
      </c>
      <c r="BC32" s="29">
        <v>48.797365698597908</v>
      </c>
      <c r="BD32" s="29">
        <v>48.937111715992167</v>
      </c>
      <c r="BE32" s="29">
        <v>49.10288245655763</v>
      </c>
      <c r="BF32" s="29">
        <v>49.289488928511553</v>
      </c>
      <c r="BG32" s="29">
        <v>49.411223065173964</v>
      </c>
      <c r="BH32" s="29">
        <v>49.676822745031785</v>
      </c>
      <c r="BI32" s="29">
        <v>49.833514283514205</v>
      </c>
      <c r="BJ32" s="29">
        <v>50.080831428930701</v>
      </c>
      <c r="BK32" s="29">
        <v>50.266351368845591</v>
      </c>
      <c r="BL32" s="29">
        <v>50.535267435069962</v>
      </c>
      <c r="BM32" s="29">
        <v>50.782260160411674</v>
      </c>
      <c r="BN32" s="29">
        <v>51.007940664852434</v>
      </c>
      <c r="BO32" s="29">
        <v>51.20191860245874</v>
      </c>
      <c r="BP32" s="29">
        <v>51.423855032181351</v>
      </c>
      <c r="BQ32" s="29">
        <v>51.6258120970626</v>
      </c>
      <c r="BR32" s="29">
        <v>51.818209224466266</v>
      </c>
      <c r="BS32" s="29">
        <v>51.980546193258405</v>
      </c>
      <c r="BT32" s="30">
        <v>52.169176913672267</v>
      </c>
      <c r="BU32" s="29">
        <v>52.293530018838794</v>
      </c>
      <c r="BV32" s="29">
        <v>52.497008889253429</v>
      </c>
      <c r="BW32" s="29">
        <v>52.673097688221915</v>
      </c>
      <c r="BX32" s="29">
        <v>52.838045611157476</v>
      </c>
      <c r="BY32" s="29">
        <v>52.993839959455528</v>
      </c>
      <c r="BZ32" s="29">
        <v>53.15472692402539</v>
      </c>
      <c r="CA32" s="29">
        <v>53.305295739112829</v>
      </c>
      <c r="CB32" s="29">
        <v>53.449419884828245</v>
      </c>
      <c r="CC32" s="29">
        <v>53.617123423967165</v>
      </c>
      <c r="CD32" s="29">
        <v>53.792303862557574</v>
      </c>
      <c r="CE32" s="29">
        <v>53.965135394704106</v>
      </c>
      <c r="CF32" s="29">
        <v>54.119595537412003</v>
      </c>
      <c r="CG32" s="29">
        <v>54.279054237951598</v>
      </c>
      <c r="CH32" s="29">
        <v>54.450096476634933</v>
      </c>
      <c r="CI32" s="29">
        <v>54.62585219115509</v>
      </c>
      <c r="CJ32" s="29">
        <v>54.794553111393405</v>
      </c>
      <c r="CK32" s="29">
        <v>54.95778756774876</v>
      </c>
      <c r="CL32" s="29">
        <v>55.129212846963981</v>
      </c>
      <c r="CM32" s="29">
        <v>55.295809538141015</v>
      </c>
      <c r="CN32" s="29">
        <v>55.454701733722068</v>
      </c>
      <c r="CO32" s="29">
        <v>55.619868740502049</v>
      </c>
      <c r="CP32" s="29">
        <v>55.785353047905723</v>
      </c>
      <c r="CQ32" s="29">
        <v>55.948764782182813</v>
      </c>
      <c r="CR32" s="29">
        <v>56.110952681448829</v>
      </c>
      <c r="CS32" s="29">
        <v>56.271920774934635</v>
      </c>
      <c r="CT32" s="29">
        <v>56.431672660485098</v>
      </c>
      <c r="CU32" s="29">
        <v>56.590211573761849</v>
      </c>
      <c r="CV32" s="29">
        <v>56.747540472470178</v>
      </c>
      <c r="CW32" s="29">
        <v>56.903662121107722</v>
      </c>
      <c r="CX32" s="29">
        <v>57.05857916337348</v>
      </c>
      <c r="CY32" s="29">
        <v>57.212294187190047</v>
      </c>
      <c r="CZ32" s="29">
        <v>57.364809777020469</v>
      </c>
      <c r="DA32" s="29">
        <v>57.516128558548331</v>
      </c>
      <c r="DB32" s="29">
        <v>57.666253232937819</v>
      </c>
      <c r="DC32" s="29">
        <v>57.815186588625416</v>
      </c>
      <c r="DD32" s="29">
        <v>57.962944122233502</v>
      </c>
      <c r="DE32" s="29">
        <v>58.109529514216632</v>
      </c>
      <c r="DF32" s="29">
        <v>58.25494655061356</v>
      </c>
      <c r="DG32" s="29">
        <v>58.399199119973154</v>
      </c>
      <c r="DH32" s="29">
        <v>58.542291210339258</v>
      </c>
      <c r="DI32" s="29">
        <v>58.684226906295642</v>
      </c>
      <c r="DJ32" s="29">
        <v>58.825010386069678</v>
      </c>
      <c r="DK32" s="29">
        <v>58.964645918692916</v>
      </c>
      <c r="DL32" s="29">
        <v>59.103137861219871</v>
      </c>
      <c r="DM32" s="29">
        <v>59.240490656001107</v>
      </c>
      <c r="DN32" s="29">
        <v>59.376708828012973</v>
      </c>
      <c r="DO32" s="29">
        <v>59.511796982239517</v>
      </c>
      <c r="DP32" s="29">
        <v>59.645759801108873</v>
      </c>
      <c r="DQ32" s="29">
        <v>59.778602041980413</v>
      </c>
      <c r="DR32" s="29">
        <v>59.910328534683195</v>
      </c>
      <c r="DS32">
        <v>60.04094417910504</v>
      </c>
      <c r="DT32">
        <v>60.170453942828487</v>
      </c>
      <c r="DU32">
        <v>60.298862858816662</v>
      </c>
    </row>
    <row r="33" spans="1:125">
      <c r="A33" s="27">
        <v>31</v>
      </c>
      <c r="B33" s="28"/>
      <c r="C33" s="28"/>
      <c r="D33" s="28"/>
      <c r="E33" s="28"/>
      <c r="F33" s="28"/>
      <c r="G33" s="28"/>
      <c r="H33" s="28"/>
      <c r="I33" s="28"/>
      <c r="J33" s="28"/>
      <c r="K33" s="28"/>
      <c r="L33" s="28"/>
      <c r="M33" s="28"/>
      <c r="N33" s="28"/>
      <c r="O33" s="28"/>
      <c r="P33" s="28"/>
      <c r="Q33" s="28"/>
      <c r="R33" s="28"/>
      <c r="S33" s="28"/>
      <c r="T33" s="28"/>
      <c r="U33" s="28"/>
      <c r="V33" s="29"/>
      <c r="W33" s="29">
        <v>42.74</v>
      </c>
      <c r="X33" s="29">
        <v>42.97</v>
      </c>
      <c r="Y33" s="29">
        <v>43.037291639834727</v>
      </c>
      <c r="Z33" s="29">
        <v>43.271578997683392</v>
      </c>
      <c r="AA33" s="29">
        <v>43.470536373952861</v>
      </c>
      <c r="AB33" s="29">
        <v>43.626586835243884</v>
      </c>
      <c r="AC33" s="29">
        <v>43.626357248227933</v>
      </c>
      <c r="AD33" s="29">
        <v>43.560171481849203</v>
      </c>
      <c r="AE33" s="29">
        <v>43.628645660879556</v>
      </c>
      <c r="AF33" s="29">
        <v>43.830154491875938</v>
      </c>
      <c r="AG33" s="29">
        <v>44.076413802024639</v>
      </c>
      <c r="AH33" s="29">
        <v>44.370272983893429</v>
      </c>
      <c r="AI33" s="29">
        <v>44.633236924880869</v>
      </c>
      <c r="AJ33" s="29">
        <v>44.938499688638508</v>
      </c>
      <c r="AK33" s="29">
        <v>45.228034512693796</v>
      </c>
      <c r="AL33" s="29">
        <v>45.582753487733534</v>
      </c>
      <c r="AM33" s="29">
        <v>45.92047073966711</v>
      </c>
      <c r="AN33" s="29">
        <v>46.130733717849544</v>
      </c>
      <c r="AO33" s="29">
        <v>46.265485685780099</v>
      </c>
      <c r="AP33" s="29">
        <v>46.448635034280422</v>
      </c>
      <c r="AQ33" s="29">
        <v>46.625110113480112</v>
      </c>
      <c r="AR33" s="29">
        <v>46.877894992998769</v>
      </c>
      <c r="AS33" s="29">
        <v>46.883903744917809</v>
      </c>
      <c r="AT33" s="29">
        <v>46.966767397469319</v>
      </c>
      <c r="AU33" s="29">
        <v>47.051260273342791</v>
      </c>
      <c r="AV33" s="29">
        <v>47.12192927245124</v>
      </c>
      <c r="AW33" s="29">
        <v>47.397008708776816</v>
      </c>
      <c r="AX33" s="29">
        <v>47.53100203597355</v>
      </c>
      <c r="AY33" s="29">
        <v>47.589940044414419</v>
      </c>
      <c r="AZ33" s="29">
        <v>47.613966404725872</v>
      </c>
      <c r="BA33" s="29">
        <v>47.656886788605952</v>
      </c>
      <c r="BB33" s="29">
        <v>47.758964379182181</v>
      </c>
      <c r="BC33" s="29">
        <v>47.855413898565239</v>
      </c>
      <c r="BD33" s="29">
        <v>47.994541979636175</v>
      </c>
      <c r="BE33" s="29">
        <v>48.162615068218344</v>
      </c>
      <c r="BF33" s="29">
        <v>48.347998773448694</v>
      </c>
      <c r="BG33" s="29">
        <v>48.471984063927955</v>
      </c>
      <c r="BH33" s="29">
        <v>48.734904118641083</v>
      </c>
      <c r="BI33" s="29">
        <v>48.896313427416082</v>
      </c>
      <c r="BJ33" s="29">
        <v>49.14656141429213</v>
      </c>
      <c r="BK33" s="29">
        <v>49.334707167217253</v>
      </c>
      <c r="BL33" s="29">
        <v>49.59646947655331</v>
      </c>
      <c r="BM33" s="29">
        <v>49.841686139093277</v>
      </c>
      <c r="BN33" s="29">
        <v>50.068437958019842</v>
      </c>
      <c r="BO33" s="29">
        <v>50.257909651637185</v>
      </c>
      <c r="BP33" s="29">
        <v>50.474619424500574</v>
      </c>
      <c r="BQ33" s="29">
        <v>50.673541595272603</v>
      </c>
      <c r="BR33" s="29">
        <v>50.862580161818165</v>
      </c>
      <c r="BS33" s="29">
        <v>51.026927588504876</v>
      </c>
      <c r="BT33" s="30">
        <v>51.211067565020862</v>
      </c>
      <c r="BU33" s="29">
        <v>51.335854464055906</v>
      </c>
      <c r="BV33" s="29">
        <v>51.53501409574374</v>
      </c>
      <c r="BW33" s="29">
        <v>51.708741708568724</v>
      </c>
      <c r="BX33" s="29">
        <v>51.874376319256804</v>
      </c>
      <c r="BY33" s="29">
        <v>52.028644799185543</v>
      </c>
      <c r="BZ33" s="29">
        <v>52.187274181001385</v>
      </c>
      <c r="CA33" s="29">
        <v>52.337681223592966</v>
      </c>
      <c r="CB33" s="29">
        <v>52.486880257384357</v>
      </c>
      <c r="CC33" s="29">
        <v>52.653182440020096</v>
      </c>
      <c r="CD33" s="29">
        <v>52.827009828348864</v>
      </c>
      <c r="CE33" s="29">
        <v>52.998088787413124</v>
      </c>
      <c r="CF33" s="29">
        <v>53.155842151764077</v>
      </c>
      <c r="CG33" s="29">
        <v>53.309845425496512</v>
      </c>
      <c r="CH33" s="29">
        <v>53.483634438498882</v>
      </c>
      <c r="CI33" s="29">
        <v>53.657241687446138</v>
      </c>
      <c r="CJ33" s="29">
        <v>53.824934625940251</v>
      </c>
      <c r="CK33" s="29">
        <v>53.987960243242583</v>
      </c>
      <c r="CL33" s="29">
        <v>54.159039686757325</v>
      </c>
      <c r="CM33" s="29">
        <v>54.322013741050014</v>
      </c>
      <c r="CN33" s="29">
        <v>54.485003384277057</v>
      </c>
      <c r="CO33" s="29">
        <v>54.650309939461387</v>
      </c>
      <c r="CP33" s="29">
        <v>54.814255437283904</v>
      </c>
      <c r="CQ33" s="29">
        <v>54.976988034820742</v>
      </c>
      <c r="CR33" s="29">
        <v>55.138511919581852</v>
      </c>
      <c r="CS33" s="29">
        <v>55.298830813040802</v>
      </c>
      <c r="CT33" s="29">
        <v>55.457948010291148</v>
      </c>
      <c r="CU33" s="29">
        <v>55.615866449261375</v>
      </c>
      <c r="CV33" s="29">
        <v>55.772588794951865</v>
      </c>
      <c r="CW33" s="29">
        <v>55.928117524184842</v>
      </c>
      <c r="CX33" s="29">
        <v>56.082454998001204</v>
      </c>
      <c r="CY33" s="29">
        <v>56.23560352666064</v>
      </c>
      <c r="CZ33" s="29">
        <v>56.387565421925721</v>
      </c>
      <c r="DA33" s="29">
        <v>56.538343041701793</v>
      </c>
      <c r="DB33" s="29">
        <v>56.687938824249514</v>
      </c>
      <c r="DC33" s="29">
        <v>56.836366673734382</v>
      </c>
      <c r="DD33" s="29">
        <v>56.983629927125051</v>
      </c>
      <c r="DE33" s="29">
        <v>57.12973203428124</v>
      </c>
      <c r="DF33" s="29">
        <v>57.274676554763609</v>
      </c>
      <c r="DG33" s="29">
        <v>57.418467154706647</v>
      </c>
      <c r="DH33" s="29">
        <v>57.561107603750372</v>
      </c>
      <c r="DI33" s="29">
        <v>57.702601772032303</v>
      </c>
      <c r="DJ33" s="29">
        <v>57.842953627238131</v>
      </c>
      <c r="DK33" s="29">
        <v>57.982167231709305</v>
      </c>
      <c r="DL33" s="29">
        <v>58.120246739609101</v>
      </c>
      <c r="DM33" s="29">
        <v>58.257196394142959</v>
      </c>
      <c r="DN33" s="29">
        <v>58.393020524835691</v>
      </c>
      <c r="DO33" s="29">
        <v>58.527723544861068</v>
      </c>
      <c r="DP33" s="29">
        <v>58.661309948425966</v>
      </c>
      <c r="DQ33" s="29">
        <v>58.793784308205652</v>
      </c>
      <c r="DR33" s="29">
        <v>58.925151272830419</v>
      </c>
      <c r="DS33">
        <v>59.055415564423242</v>
      </c>
      <c r="DT33">
        <v>59.184581976184539</v>
      </c>
      <c r="DU33">
        <v>59.312655370027095</v>
      </c>
    </row>
    <row r="34" spans="1:125">
      <c r="A34" s="27">
        <v>32</v>
      </c>
      <c r="B34" s="28"/>
      <c r="C34" s="28"/>
      <c r="D34" s="28"/>
      <c r="E34" s="28"/>
      <c r="F34" s="28"/>
      <c r="G34" s="28"/>
      <c r="H34" s="28"/>
      <c r="I34" s="28"/>
      <c r="J34" s="28"/>
      <c r="K34" s="28"/>
      <c r="L34" s="28"/>
      <c r="M34" s="28"/>
      <c r="N34" s="28"/>
      <c r="O34" s="28"/>
      <c r="P34" s="28"/>
      <c r="Q34" s="28"/>
      <c r="R34" s="28"/>
      <c r="S34" s="28"/>
      <c r="T34" s="28"/>
      <c r="U34" s="28"/>
      <c r="V34" s="29"/>
      <c r="W34" s="29">
        <v>41.82</v>
      </c>
      <c r="X34" s="29">
        <v>42.05</v>
      </c>
      <c r="Y34" s="29">
        <v>42.119265464271166</v>
      </c>
      <c r="Z34" s="29">
        <v>42.351459406460627</v>
      </c>
      <c r="AA34" s="29">
        <v>42.548379405592605</v>
      </c>
      <c r="AB34" s="29">
        <v>42.708244480956118</v>
      </c>
      <c r="AC34" s="29">
        <v>42.705364404701363</v>
      </c>
      <c r="AD34" s="29">
        <v>42.634642320964893</v>
      </c>
      <c r="AE34" s="29">
        <v>42.703207759533321</v>
      </c>
      <c r="AF34" s="29">
        <v>42.903966314047203</v>
      </c>
      <c r="AG34" s="29">
        <v>43.153314217995124</v>
      </c>
      <c r="AH34" s="29">
        <v>43.446139587811871</v>
      </c>
      <c r="AI34" s="29">
        <v>43.709269818988801</v>
      </c>
      <c r="AJ34" s="29">
        <v>44.01497164095386</v>
      </c>
      <c r="AK34" s="29">
        <v>44.303329711423117</v>
      </c>
      <c r="AL34" s="29">
        <v>44.658312307295652</v>
      </c>
      <c r="AM34" s="29">
        <v>44.99254470060351</v>
      </c>
      <c r="AN34" s="29">
        <v>45.20790775403372</v>
      </c>
      <c r="AO34" s="29">
        <v>45.345149762431852</v>
      </c>
      <c r="AP34" s="29">
        <v>45.526740419513935</v>
      </c>
      <c r="AQ34" s="29">
        <v>45.705084176647453</v>
      </c>
      <c r="AR34" s="29">
        <v>45.952640187561691</v>
      </c>
      <c r="AS34" s="29">
        <v>45.957402400066286</v>
      </c>
      <c r="AT34" s="29">
        <v>46.041104930950098</v>
      </c>
      <c r="AU34" s="29">
        <v>46.126530789215145</v>
      </c>
      <c r="AV34" s="29">
        <v>46.195891500792584</v>
      </c>
      <c r="AW34" s="29">
        <v>46.465141465451801</v>
      </c>
      <c r="AX34" s="29">
        <v>46.598858392232636</v>
      </c>
      <c r="AY34" s="29">
        <v>46.652552989588067</v>
      </c>
      <c r="AZ34" s="29">
        <v>46.681789436394105</v>
      </c>
      <c r="BA34" s="29">
        <v>46.724381044615292</v>
      </c>
      <c r="BB34" s="29">
        <v>46.824712243064305</v>
      </c>
      <c r="BC34" s="29">
        <v>46.91782028268225</v>
      </c>
      <c r="BD34" s="29">
        <v>47.05695475345248</v>
      </c>
      <c r="BE34" s="29">
        <v>47.222711610805199</v>
      </c>
      <c r="BF34" s="29">
        <v>47.407412061900978</v>
      </c>
      <c r="BG34" s="29">
        <v>47.533928351419959</v>
      </c>
      <c r="BH34" s="29">
        <v>47.795359137635216</v>
      </c>
      <c r="BI34" s="29">
        <v>47.963941043583418</v>
      </c>
      <c r="BJ34" s="29">
        <v>48.217251624742104</v>
      </c>
      <c r="BK34" s="29">
        <v>48.398746064942166</v>
      </c>
      <c r="BL34" s="29">
        <v>48.655828646253262</v>
      </c>
      <c r="BM34" s="29">
        <v>48.901772143971783</v>
      </c>
      <c r="BN34" s="29">
        <v>49.125936129446494</v>
      </c>
      <c r="BO34" s="29">
        <v>49.312627759397522</v>
      </c>
      <c r="BP34" s="29">
        <v>49.52512748936779</v>
      </c>
      <c r="BQ34" s="29">
        <v>49.720687507074587</v>
      </c>
      <c r="BR34" s="29">
        <v>49.905731450258735</v>
      </c>
      <c r="BS34" s="29">
        <v>50.07162674116195</v>
      </c>
      <c r="BT34" s="30">
        <v>50.251181667308813</v>
      </c>
      <c r="BU34" s="29">
        <v>50.376936465287343</v>
      </c>
      <c r="BV34" s="29">
        <v>50.575393388532483</v>
      </c>
      <c r="BW34" s="29">
        <v>50.748480167296044</v>
      </c>
      <c r="BX34" s="29">
        <v>50.911887068555664</v>
      </c>
      <c r="BY34" s="29">
        <v>51.066703131679468</v>
      </c>
      <c r="BZ34" s="29">
        <v>51.223472759002362</v>
      </c>
      <c r="CA34" s="29">
        <v>51.376372577060962</v>
      </c>
      <c r="CB34" s="29">
        <v>51.524392830803777</v>
      </c>
      <c r="CC34" s="29">
        <v>51.690343445038586</v>
      </c>
      <c r="CD34" s="29">
        <v>51.862756635586905</v>
      </c>
      <c r="CE34" s="29">
        <v>52.031013891599017</v>
      </c>
      <c r="CF34" s="29">
        <v>52.189990307141308</v>
      </c>
      <c r="CG34" s="29">
        <v>52.349850573933963</v>
      </c>
      <c r="CH34" s="29">
        <v>52.520235226551456</v>
      </c>
      <c r="CI34" s="29">
        <v>52.692141805090749</v>
      </c>
      <c r="CJ34" s="29">
        <v>52.853539684963557</v>
      </c>
      <c r="CK34" s="29">
        <v>53.020593050145173</v>
      </c>
      <c r="CL34" s="29">
        <v>53.190891712778502</v>
      </c>
      <c r="CM34" s="29">
        <v>53.351640120440798</v>
      </c>
      <c r="CN34" s="29">
        <v>53.516425175640428</v>
      </c>
      <c r="CO34" s="29">
        <v>53.680871720822104</v>
      </c>
      <c r="CP34" s="29">
        <v>53.844116179540471</v>
      </c>
      <c r="CQ34" s="29">
        <v>54.006162914347982</v>
      </c>
      <c r="CR34" s="29">
        <v>54.167015815340058</v>
      </c>
      <c r="CS34" s="29">
        <v>54.326678311037853</v>
      </c>
      <c r="CT34" s="29">
        <v>54.485153408065784</v>
      </c>
      <c r="CU34" s="29">
        <v>54.642443760394535</v>
      </c>
      <c r="CV34" s="29">
        <v>54.798551753603832</v>
      </c>
      <c r="CW34" s="29">
        <v>54.953479589649</v>
      </c>
      <c r="CX34" s="29">
        <v>55.107229359260181</v>
      </c>
      <c r="CY34" s="29">
        <v>55.259803106934271</v>
      </c>
      <c r="CZ34" s="29">
        <v>55.4112028831996</v>
      </c>
      <c r="DA34" s="29">
        <v>55.561430789228389</v>
      </c>
      <c r="DB34" s="29">
        <v>55.710499211642997</v>
      </c>
      <c r="DC34" s="29">
        <v>55.858411139320204</v>
      </c>
      <c r="DD34" s="29">
        <v>56.005169681212912</v>
      </c>
      <c r="DE34" s="29">
        <v>56.150778063055093</v>
      </c>
      <c r="DF34" s="29">
        <v>56.295239624126545</v>
      </c>
      <c r="DG34" s="29">
        <v>56.438557814080518</v>
      </c>
      <c r="DH34" s="29">
        <v>56.580736189829928</v>
      </c>
      <c r="DI34" s="29">
        <v>56.721778412493748</v>
      </c>
      <c r="DJ34" s="29">
        <v>56.86168824440206</v>
      </c>
      <c r="DK34" s="29">
        <v>57.000469546157795</v>
      </c>
      <c r="DL34" s="29">
        <v>57.138126273757145</v>
      </c>
      <c r="DM34" s="29">
        <v>57.274662475763961</v>
      </c>
      <c r="DN34" s="29">
        <v>57.410082290541226</v>
      </c>
      <c r="DO34" s="29">
        <v>57.544389943534867</v>
      </c>
      <c r="DP34" s="29">
        <v>57.677589744612099</v>
      </c>
      <c r="DQ34" s="29">
        <v>57.809686085451105</v>
      </c>
      <c r="DR34" s="29">
        <v>57.94068343698207</v>
      </c>
      <c r="DS34">
        <v>58.070586346879395</v>
      </c>
      <c r="DT34">
        <v>58.199399437101114</v>
      </c>
      <c r="DU34">
        <v>58.32712740147862</v>
      </c>
    </row>
    <row r="35" spans="1:125">
      <c r="A35" s="27">
        <v>33</v>
      </c>
      <c r="B35" s="28"/>
      <c r="C35" s="28"/>
      <c r="D35" s="28"/>
      <c r="E35" s="28"/>
      <c r="F35" s="28"/>
      <c r="G35" s="28"/>
      <c r="H35" s="28"/>
      <c r="I35" s="28"/>
      <c r="J35" s="28"/>
      <c r="K35" s="28"/>
      <c r="L35" s="28"/>
      <c r="M35" s="28"/>
      <c r="N35" s="28"/>
      <c r="O35" s="28"/>
      <c r="P35" s="28"/>
      <c r="Q35" s="28"/>
      <c r="R35" s="28"/>
      <c r="S35" s="28"/>
      <c r="T35" s="28"/>
      <c r="U35" s="28"/>
      <c r="V35" s="29"/>
      <c r="W35" s="29">
        <v>40.89</v>
      </c>
      <c r="X35" s="29">
        <v>41.13</v>
      </c>
      <c r="Y35" s="29">
        <v>41.201922495251473</v>
      </c>
      <c r="Z35" s="29">
        <v>41.43157625587569</v>
      </c>
      <c r="AA35" s="29">
        <v>41.633005125525827</v>
      </c>
      <c r="AB35" s="29">
        <v>41.786349363489386</v>
      </c>
      <c r="AC35" s="29">
        <v>41.785586039310139</v>
      </c>
      <c r="AD35" s="29">
        <v>41.709589435131335</v>
      </c>
      <c r="AE35" s="29">
        <v>41.782498092823943</v>
      </c>
      <c r="AF35" s="29">
        <v>41.979805427482368</v>
      </c>
      <c r="AG35" s="29">
        <v>42.233020547881502</v>
      </c>
      <c r="AH35" s="29">
        <v>42.526549440808218</v>
      </c>
      <c r="AI35" s="29">
        <v>42.783783578558378</v>
      </c>
      <c r="AJ35" s="29">
        <v>43.089660631359394</v>
      </c>
      <c r="AK35" s="29">
        <v>43.374854708779985</v>
      </c>
      <c r="AL35" s="29">
        <v>43.731641701956306</v>
      </c>
      <c r="AM35" s="29">
        <v>44.067989076888423</v>
      </c>
      <c r="AN35" s="29">
        <v>44.288870545932845</v>
      </c>
      <c r="AO35" s="29">
        <v>44.422913418313833</v>
      </c>
      <c r="AP35" s="29">
        <v>44.605911536004989</v>
      </c>
      <c r="AQ35" s="29">
        <v>44.778209225681472</v>
      </c>
      <c r="AR35" s="29">
        <v>45.028508280298155</v>
      </c>
      <c r="AS35" s="29">
        <v>45.035198788813858</v>
      </c>
      <c r="AT35" s="29">
        <v>45.115964111452122</v>
      </c>
      <c r="AU35" s="29">
        <v>45.201015460446293</v>
      </c>
      <c r="AV35" s="29">
        <v>45.268883849443476</v>
      </c>
      <c r="AW35" s="29">
        <v>45.535953180597303</v>
      </c>
      <c r="AX35" s="29">
        <v>45.664016147057957</v>
      </c>
      <c r="AY35" s="29">
        <v>45.718645395728807</v>
      </c>
      <c r="AZ35" s="29">
        <v>45.752155692459723</v>
      </c>
      <c r="BA35" s="29">
        <v>45.788147139609443</v>
      </c>
      <c r="BB35" s="29">
        <v>45.886526635925406</v>
      </c>
      <c r="BC35" s="29">
        <v>45.978481269290278</v>
      </c>
      <c r="BD35" s="29">
        <v>46.117968573793561</v>
      </c>
      <c r="BE35" s="29">
        <v>46.29094009900011</v>
      </c>
      <c r="BF35" s="29">
        <v>46.472626472842293</v>
      </c>
      <c r="BG35" s="29">
        <v>46.602348602878223</v>
      </c>
      <c r="BH35" s="29">
        <v>46.862288137610996</v>
      </c>
      <c r="BI35" s="29">
        <v>47.035730098079867</v>
      </c>
      <c r="BJ35" s="29">
        <v>47.28046538366705</v>
      </c>
      <c r="BK35" s="29">
        <v>47.462421360377775</v>
      </c>
      <c r="BL35" s="29">
        <v>47.717850012295429</v>
      </c>
      <c r="BM35" s="29">
        <v>47.962231032919156</v>
      </c>
      <c r="BN35" s="29">
        <v>48.183529249664822</v>
      </c>
      <c r="BO35" s="29">
        <v>48.364089504797313</v>
      </c>
      <c r="BP35" s="29">
        <v>48.57183178709225</v>
      </c>
      <c r="BQ35" s="29">
        <v>48.766671865965229</v>
      </c>
      <c r="BR35" s="29">
        <v>48.951343221988076</v>
      </c>
      <c r="BS35" s="29">
        <v>49.115142260450028</v>
      </c>
      <c r="BT35" s="30">
        <v>49.291078718068555</v>
      </c>
      <c r="BU35" s="29">
        <v>49.41617047817055</v>
      </c>
      <c r="BV35" s="29">
        <v>49.617250820010845</v>
      </c>
      <c r="BW35" s="29">
        <v>49.784580555715053</v>
      </c>
      <c r="BX35" s="29">
        <v>49.94885574324654</v>
      </c>
      <c r="BY35" s="29">
        <v>50.104864090779429</v>
      </c>
      <c r="BZ35" s="29">
        <v>50.261820004475375</v>
      </c>
      <c r="CA35" s="29">
        <v>50.41264423898722</v>
      </c>
      <c r="CB35" s="29">
        <v>50.564376031600844</v>
      </c>
      <c r="CC35" s="29">
        <v>50.730373420572789</v>
      </c>
      <c r="CD35" s="29">
        <v>50.897280930964108</v>
      </c>
      <c r="CE35" s="29">
        <v>51.067531295734831</v>
      </c>
      <c r="CF35" s="29">
        <v>51.225913692048799</v>
      </c>
      <c r="CG35" s="29">
        <v>51.388366049893783</v>
      </c>
      <c r="CH35" s="29">
        <v>51.554798318537664</v>
      </c>
      <c r="CI35" s="29">
        <v>51.722523339990374</v>
      </c>
      <c r="CJ35" s="29">
        <v>51.884834678099772</v>
      </c>
      <c r="CK35" s="29">
        <v>52.054088531165384</v>
      </c>
      <c r="CL35" s="29">
        <v>52.221859611159367</v>
      </c>
      <c r="CM35" s="29">
        <v>52.384132270722134</v>
      </c>
      <c r="CN35" s="29">
        <v>52.549039868453718</v>
      </c>
      <c r="CO35" s="29">
        <v>52.712756183261781</v>
      </c>
      <c r="CP35" s="29">
        <v>52.875285773118989</v>
      </c>
      <c r="CQ35" s="29">
        <v>53.036632711230496</v>
      </c>
      <c r="CR35" s="29">
        <v>53.196800602308571</v>
      </c>
      <c r="CS35" s="29">
        <v>53.355792593482114</v>
      </c>
      <c r="CT35" s="29">
        <v>53.513611414010278</v>
      </c>
      <c r="CU35" s="29">
        <v>53.6702594445687</v>
      </c>
      <c r="CV35" s="29">
        <v>53.825738801553562</v>
      </c>
      <c r="CW35" s="29">
        <v>53.980051421879445</v>
      </c>
      <c r="CX35" s="29">
        <v>54.133199135394761</v>
      </c>
      <c r="CY35" s="29">
        <v>54.285183729878774</v>
      </c>
      <c r="CZ35" s="29">
        <v>54.436007003299167</v>
      </c>
      <c r="DA35" s="29">
        <v>54.58567990912551</v>
      </c>
      <c r="DB35" s="29">
        <v>54.734205082037356</v>
      </c>
      <c r="DC35" s="29">
        <v>54.881585283872624</v>
      </c>
      <c r="DD35" s="29">
        <v>55.027823400232855</v>
      </c>
      <c r="DE35" s="29">
        <v>55.172922437150575</v>
      </c>
      <c r="DF35" s="29">
        <v>55.316885517816203</v>
      </c>
      <c r="DG35" s="29">
        <v>55.459715879367366</v>
      </c>
      <c r="DH35" s="29">
        <v>55.601416869736617</v>
      </c>
      <c r="DI35" s="29">
        <v>55.741991944559004</v>
      </c>
      <c r="DJ35" s="29">
        <v>55.881444664138115</v>
      </c>
      <c r="DK35" s="29">
        <v>56.019778690468584</v>
      </c>
      <c r="DL35" s="29">
        <v>56.156997784317028</v>
      </c>
      <c r="DM35" s="29">
        <v>56.293105802356891</v>
      </c>
      <c r="DN35" s="29">
        <v>56.428106694360174</v>
      </c>
      <c r="DO35" s="29">
        <v>56.562004500441475</v>
      </c>
      <c r="DP35" s="29">
        <v>56.694803348356352</v>
      </c>
      <c r="DQ35" s="29">
        <v>56.826507450851004</v>
      </c>
      <c r="DR35" s="29">
        <v>56.957121103063379</v>
      </c>
      <c r="DS35">
        <v>57.086648679975298</v>
      </c>
      <c r="DT35">
        <v>57.215094633911811</v>
      </c>
      <c r="DU35">
        <v>57.342463492090943</v>
      </c>
    </row>
    <row r="36" spans="1:125">
      <c r="A36" s="27">
        <v>34</v>
      </c>
      <c r="B36" s="28"/>
      <c r="C36" s="28"/>
      <c r="D36" s="28"/>
      <c r="E36" s="28"/>
      <c r="F36" s="28"/>
      <c r="G36" s="28"/>
      <c r="H36" s="28"/>
      <c r="I36" s="28"/>
      <c r="J36" s="28"/>
      <c r="K36" s="28"/>
      <c r="L36" s="28"/>
      <c r="M36" s="28"/>
      <c r="N36" s="28"/>
      <c r="O36" s="28"/>
      <c r="P36" s="28"/>
      <c r="Q36" s="28"/>
      <c r="R36" s="28"/>
      <c r="S36" s="28"/>
      <c r="T36" s="28"/>
      <c r="U36" s="28"/>
      <c r="V36" s="29"/>
      <c r="W36" s="29">
        <v>39.97</v>
      </c>
      <c r="X36" s="29">
        <v>40.21</v>
      </c>
      <c r="Y36" s="29">
        <v>40.278612177152453</v>
      </c>
      <c r="Z36" s="29">
        <v>40.510423234974837</v>
      </c>
      <c r="AA36" s="29">
        <v>40.713834134643079</v>
      </c>
      <c r="AB36" s="29">
        <v>40.866267924735006</v>
      </c>
      <c r="AC36" s="29">
        <v>40.8637260267597</v>
      </c>
      <c r="AD36" s="29">
        <v>40.789926939426913</v>
      </c>
      <c r="AE36" s="29">
        <v>40.858395204679631</v>
      </c>
      <c r="AF36" s="29">
        <v>41.05936020597948</v>
      </c>
      <c r="AG36" s="29">
        <v>41.311487737518249</v>
      </c>
      <c r="AH36" s="29">
        <v>41.603704773911737</v>
      </c>
      <c r="AI36" s="29">
        <v>41.867131357234591</v>
      </c>
      <c r="AJ36" s="29">
        <v>42.164412136427977</v>
      </c>
      <c r="AK36" s="29">
        <v>42.44972712579591</v>
      </c>
      <c r="AL36" s="29">
        <v>42.81056000421804</v>
      </c>
      <c r="AM36" s="29">
        <v>43.151578401949401</v>
      </c>
      <c r="AN36" s="29">
        <v>43.365549407100573</v>
      </c>
      <c r="AO36" s="29">
        <v>43.505932073078739</v>
      </c>
      <c r="AP36" s="29">
        <v>43.683478676077044</v>
      </c>
      <c r="AQ36" s="29">
        <v>43.857507652806099</v>
      </c>
      <c r="AR36" s="29">
        <v>44.107894783426374</v>
      </c>
      <c r="AS36" s="29">
        <v>44.115850789028997</v>
      </c>
      <c r="AT36" s="29">
        <v>44.191926057427686</v>
      </c>
      <c r="AU36" s="29">
        <v>44.279188366357886</v>
      </c>
      <c r="AV36" s="29">
        <v>44.344662743588465</v>
      </c>
      <c r="AW36" s="29">
        <v>44.604275242615259</v>
      </c>
      <c r="AX36" s="29">
        <v>44.730729461501248</v>
      </c>
      <c r="AY36" s="29">
        <v>44.783821355049682</v>
      </c>
      <c r="AZ36" s="29">
        <v>44.8151600801841</v>
      </c>
      <c r="BA36" s="29">
        <v>44.849974645489169</v>
      </c>
      <c r="BB36" s="29">
        <v>44.949050458188154</v>
      </c>
      <c r="BC36" s="29">
        <v>45.039306742024898</v>
      </c>
      <c r="BD36" s="29">
        <v>45.181029973500273</v>
      </c>
      <c r="BE36" s="29">
        <v>45.356017055865543</v>
      </c>
      <c r="BF36" s="29">
        <v>45.542601244680888</v>
      </c>
      <c r="BG36" s="29">
        <v>45.676345079561997</v>
      </c>
      <c r="BH36" s="29">
        <v>45.936423824501354</v>
      </c>
      <c r="BI36" s="29">
        <v>46.107037335796953</v>
      </c>
      <c r="BJ36" s="29">
        <v>46.353658476607961</v>
      </c>
      <c r="BK36" s="29">
        <v>46.526400054103291</v>
      </c>
      <c r="BL36" s="29">
        <v>46.782236182208003</v>
      </c>
      <c r="BM36" s="29">
        <v>47.021748216606454</v>
      </c>
      <c r="BN36" s="29">
        <v>47.238889041601787</v>
      </c>
      <c r="BO36" s="29">
        <v>47.409981616004181</v>
      </c>
      <c r="BP36" s="29">
        <v>47.620842799691957</v>
      </c>
      <c r="BQ36" s="29">
        <v>47.812556718209336</v>
      </c>
      <c r="BR36" s="29">
        <v>47.995095569940929</v>
      </c>
      <c r="BS36" s="29">
        <v>48.158871219094372</v>
      </c>
      <c r="BT36" s="30">
        <v>48.331908187850722</v>
      </c>
      <c r="BU36" s="29">
        <v>48.459124658297242</v>
      </c>
      <c r="BV36" s="29">
        <v>48.657807221062896</v>
      </c>
      <c r="BW36" s="29">
        <v>48.818618656058135</v>
      </c>
      <c r="BX36" s="29">
        <v>48.9863206343515</v>
      </c>
      <c r="BY36" s="29">
        <v>49.142780461440616</v>
      </c>
      <c r="BZ36" s="29">
        <v>49.298292902956732</v>
      </c>
      <c r="CA36" s="29">
        <v>49.454437856781674</v>
      </c>
      <c r="CB36" s="29">
        <v>49.599897006971645</v>
      </c>
      <c r="CC36" s="29">
        <v>49.764862785377844</v>
      </c>
      <c r="CD36" s="29">
        <v>49.935228458283675</v>
      </c>
      <c r="CE36" s="29">
        <v>50.103385517948482</v>
      </c>
      <c r="CF36" s="29">
        <v>50.262268903309497</v>
      </c>
      <c r="CG36" s="29">
        <v>50.424738589026546</v>
      </c>
      <c r="CH36" s="29">
        <v>50.594693685695027</v>
      </c>
      <c r="CI36" s="29">
        <v>50.759016331938419</v>
      </c>
      <c r="CJ36" s="29">
        <v>50.919784169534424</v>
      </c>
      <c r="CK36" s="29">
        <v>51.088079526408428</v>
      </c>
      <c r="CL36" s="29">
        <v>51.253864600064489</v>
      </c>
      <c r="CM36" s="29">
        <v>51.419186652843578</v>
      </c>
      <c r="CN36" s="29">
        <v>51.583328296853274</v>
      </c>
      <c r="CO36" s="29">
        <v>51.746294306585071</v>
      </c>
      <c r="CP36" s="29">
        <v>51.908088957327678</v>
      </c>
      <c r="CQ36" s="29">
        <v>52.06871604307424</v>
      </c>
      <c r="CR36" s="29">
        <v>52.228178892847914</v>
      </c>
      <c r="CS36" s="29">
        <v>52.386480381651999</v>
      </c>
      <c r="CT36" s="29">
        <v>52.543622970234203</v>
      </c>
      <c r="CU36" s="29">
        <v>52.699608774431489</v>
      </c>
      <c r="CV36" s="29">
        <v>52.854439649530498</v>
      </c>
      <c r="CW36" s="29">
        <v>53.008117275111481</v>
      </c>
      <c r="CX36" s="29">
        <v>53.160643227493431</v>
      </c>
      <c r="CY36" s="29">
        <v>53.312019044749043</v>
      </c>
      <c r="CZ36" s="29">
        <v>53.462254363857369</v>
      </c>
      <c r="DA36" s="29">
        <v>53.61135145830152</v>
      </c>
      <c r="DB36" s="29">
        <v>53.759312735703979</v>
      </c>
      <c r="DC36" s="29">
        <v>53.906140734340092</v>
      </c>
      <c r="DD36" s="29">
        <v>54.05183811971316</v>
      </c>
      <c r="DE36" s="29">
        <v>54.196407681191218</v>
      </c>
      <c r="DF36" s="29">
        <v>54.339852328702648</v>
      </c>
      <c r="DG36" s="29">
        <v>54.482175089494049</v>
      </c>
      <c r="DH36" s="29">
        <v>54.623379104945833</v>
      </c>
      <c r="DI36" s="29">
        <v>54.763467627447447</v>
      </c>
      <c r="DJ36" s="29">
        <v>54.902444017330538</v>
      </c>
      <c r="DK36" s="29">
        <v>55.04031173985841</v>
      </c>
      <c r="DL36" s="29">
        <v>55.177074362273494</v>
      </c>
      <c r="DM36" s="29">
        <v>55.312735550898438</v>
      </c>
      <c r="DN36" s="29">
        <v>55.447299068293837</v>
      </c>
      <c r="DO36" s="29">
        <v>55.580768770468097</v>
      </c>
      <c r="DP36" s="29">
        <v>55.713148604141274</v>
      </c>
      <c r="DQ36" s="29">
        <v>55.844442604060163</v>
      </c>
      <c r="DR36" s="29">
        <v>55.974654890364604</v>
      </c>
      <c r="DS36">
        <v>56.10378966600463</v>
      </c>
      <c r="DT36">
        <v>56.231851214204838</v>
      </c>
      <c r="DU36">
        <v>56.35884389597885</v>
      </c>
    </row>
    <row r="37" spans="1:125">
      <c r="A37" s="27">
        <v>35</v>
      </c>
      <c r="B37" s="28"/>
      <c r="C37" s="28"/>
      <c r="D37" s="28"/>
      <c r="E37" s="28"/>
      <c r="F37" s="28"/>
      <c r="G37" s="28"/>
      <c r="H37" s="28"/>
      <c r="I37" s="28"/>
      <c r="J37" s="28"/>
      <c r="K37" s="28"/>
      <c r="L37" s="28"/>
      <c r="M37" s="28"/>
      <c r="N37" s="28"/>
      <c r="O37" s="28"/>
      <c r="P37" s="28"/>
      <c r="Q37" s="28"/>
      <c r="R37" s="28"/>
      <c r="S37" s="28"/>
      <c r="T37" s="28"/>
      <c r="U37" s="28"/>
      <c r="V37" s="29"/>
      <c r="W37" s="29">
        <v>39.049999999999997</v>
      </c>
      <c r="X37" s="29">
        <v>39.299999999999997</v>
      </c>
      <c r="Y37" s="29">
        <v>39.359277578908596</v>
      </c>
      <c r="Z37" s="29">
        <v>39.589155461388366</v>
      </c>
      <c r="AA37" s="29">
        <v>39.791827414869296</v>
      </c>
      <c r="AB37" s="29">
        <v>39.946849559622905</v>
      </c>
      <c r="AC37" s="29">
        <v>39.942594765959818</v>
      </c>
      <c r="AD37" s="29">
        <v>39.86924488647314</v>
      </c>
      <c r="AE37" s="29">
        <v>39.939428506549262</v>
      </c>
      <c r="AF37" s="29">
        <v>40.1355079429554</v>
      </c>
      <c r="AG37" s="29">
        <v>40.388694179722371</v>
      </c>
      <c r="AH37" s="29">
        <v>40.686113123777652</v>
      </c>
      <c r="AI37" s="29">
        <v>40.949996032108501</v>
      </c>
      <c r="AJ37" s="29">
        <v>41.235114460524038</v>
      </c>
      <c r="AK37" s="29">
        <v>41.536796452017313</v>
      </c>
      <c r="AL37" s="29">
        <v>41.890318637440508</v>
      </c>
      <c r="AM37" s="29">
        <v>42.233812166500961</v>
      </c>
      <c r="AN37" s="29">
        <v>42.446149582254684</v>
      </c>
      <c r="AO37" s="29">
        <v>42.58627711252263</v>
      </c>
      <c r="AP37" s="29">
        <v>42.76677435445135</v>
      </c>
      <c r="AQ37" s="29">
        <v>42.939574111597473</v>
      </c>
      <c r="AR37" s="29">
        <v>43.184485508499129</v>
      </c>
      <c r="AS37" s="29">
        <v>43.198067886840533</v>
      </c>
      <c r="AT37" s="29">
        <v>43.270831326775479</v>
      </c>
      <c r="AU37" s="29">
        <v>43.353047999204541</v>
      </c>
      <c r="AV37" s="29">
        <v>43.420390249307509</v>
      </c>
      <c r="AW37" s="29">
        <v>43.673565314695971</v>
      </c>
      <c r="AX37" s="29">
        <v>43.797118328726533</v>
      </c>
      <c r="AY37" s="29">
        <v>43.854351207423626</v>
      </c>
      <c r="AZ37" s="29">
        <v>43.882289174633705</v>
      </c>
      <c r="BA37" s="29">
        <v>43.918033901782636</v>
      </c>
      <c r="BB37" s="29">
        <v>44.014969620212085</v>
      </c>
      <c r="BC37" s="29">
        <v>44.102281006949845</v>
      </c>
      <c r="BD37" s="29">
        <v>44.249448700893609</v>
      </c>
      <c r="BE37" s="29">
        <v>44.428175836068078</v>
      </c>
      <c r="BF37" s="29">
        <v>44.620710511891197</v>
      </c>
      <c r="BG37" s="29">
        <v>44.752894757879723</v>
      </c>
      <c r="BH37" s="29">
        <v>45.00887044888114</v>
      </c>
      <c r="BI37" s="29">
        <v>45.181425922002404</v>
      </c>
      <c r="BJ37" s="29">
        <v>45.425478757720981</v>
      </c>
      <c r="BK37" s="29">
        <v>45.59143595677282</v>
      </c>
      <c r="BL37" s="29">
        <v>45.84352191140718</v>
      </c>
      <c r="BM37" s="29">
        <v>46.078872163209631</v>
      </c>
      <c r="BN37" s="29">
        <v>46.287911389467602</v>
      </c>
      <c r="BO37" s="29">
        <v>46.465821887372378</v>
      </c>
      <c r="BP37" s="29">
        <v>46.667799579696009</v>
      </c>
      <c r="BQ37" s="29">
        <v>46.857992264141629</v>
      </c>
      <c r="BR37" s="29">
        <v>47.041836127274635</v>
      </c>
      <c r="BS37" s="29">
        <v>47.20386947891906</v>
      </c>
      <c r="BT37" s="30">
        <v>47.373574555822131</v>
      </c>
      <c r="BU37" s="29">
        <v>47.499752877638862</v>
      </c>
      <c r="BV37" s="29">
        <v>47.699460854369228</v>
      </c>
      <c r="BW37" s="29">
        <v>47.857194626360709</v>
      </c>
      <c r="BX37" s="29">
        <v>48.023111358487562</v>
      </c>
      <c r="BY37" s="29">
        <v>48.183129106336224</v>
      </c>
      <c r="BZ37" s="29">
        <v>48.338533943850607</v>
      </c>
      <c r="CA37" s="29">
        <v>48.491455943062554</v>
      </c>
      <c r="CB37" s="29">
        <v>48.638315626506781</v>
      </c>
      <c r="CC37" s="29">
        <v>48.806131716831977</v>
      </c>
      <c r="CD37" s="29">
        <v>48.973670355912752</v>
      </c>
      <c r="CE37" s="29">
        <v>49.143111887714255</v>
      </c>
      <c r="CF37" s="29">
        <v>49.301965199978177</v>
      </c>
      <c r="CG37" s="29">
        <v>49.46173570637859</v>
      </c>
      <c r="CH37" s="29">
        <v>49.629784778989098</v>
      </c>
      <c r="CI37" s="29">
        <v>49.794350220681402</v>
      </c>
      <c r="CJ37" s="29">
        <v>49.957385084828296</v>
      </c>
      <c r="CK37" s="29">
        <v>50.126029480573749</v>
      </c>
      <c r="CL37" s="29">
        <v>50.291713907539304</v>
      </c>
      <c r="CM37" s="29">
        <v>50.45622895877797</v>
      </c>
      <c r="CN37" s="29">
        <v>50.619579604061919</v>
      </c>
      <c r="CO37" s="29">
        <v>50.781770341332226</v>
      </c>
      <c r="CP37" s="29">
        <v>50.942805172294634</v>
      </c>
      <c r="CQ37" s="29">
        <v>51.102687620401468</v>
      </c>
      <c r="CR37" s="29">
        <v>51.261420747242447</v>
      </c>
      <c r="CS37" s="29">
        <v>51.419007163549097</v>
      </c>
      <c r="CT37" s="29">
        <v>51.575449069024316</v>
      </c>
      <c r="CU37" s="29">
        <v>51.730748321761126</v>
      </c>
      <c r="CV37" s="29">
        <v>51.884906522674996</v>
      </c>
      <c r="CW37" s="29">
        <v>52.037925100408543</v>
      </c>
      <c r="CX37" s="29">
        <v>52.189805383819909</v>
      </c>
      <c r="CY37" s="29">
        <v>52.340555852238616</v>
      </c>
      <c r="CZ37" s="29">
        <v>52.490178410737961</v>
      </c>
      <c r="DA37" s="29">
        <v>52.638675105399166</v>
      </c>
      <c r="DB37" s="29">
        <v>52.786048119740215</v>
      </c>
      <c r="DC37" s="29">
        <v>52.932299771206687</v>
      </c>
      <c r="DD37" s="29">
        <v>53.077432507723564</v>
      </c>
      <c r="DE37" s="29">
        <v>53.221448904307898</v>
      </c>
      <c r="DF37" s="29">
        <v>53.364351659739988</v>
      </c>
      <c r="DG37" s="29">
        <v>53.506143593295981</v>
      </c>
      <c r="DH37" s="29">
        <v>53.646827641537804</v>
      </c>
      <c r="DI37" s="29">
        <v>53.786406855162156</v>
      </c>
      <c r="DJ37" s="29">
        <v>53.924884395906936</v>
      </c>
      <c r="DK37" s="29">
        <v>54.062263533513459</v>
      </c>
      <c r="DL37" s="29">
        <v>54.198547642746398</v>
      </c>
      <c r="DM37" s="29">
        <v>54.3337402004667</v>
      </c>
      <c r="DN37" s="29">
        <v>54.467844782760999</v>
      </c>
      <c r="DO37" s="29">
        <v>54.600865062122601</v>
      </c>
      <c r="DP37" s="29">
        <v>54.732804804686268</v>
      </c>
      <c r="DQ37" s="29">
        <v>54.863667867513797</v>
      </c>
      <c r="DR37" s="29">
        <v>54.993458195930678</v>
      </c>
      <c r="DS37">
        <v>55.122179820913217</v>
      </c>
      <c r="DT37">
        <v>55.249836856522691</v>
      </c>
      <c r="DU37">
        <v>55.376433497389421</v>
      </c>
    </row>
    <row r="38" spans="1:125">
      <c r="A38" s="27">
        <v>36</v>
      </c>
      <c r="B38" s="28"/>
      <c r="C38" s="28"/>
      <c r="D38" s="28"/>
      <c r="E38" s="28"/>
      <c r="F38" s="28"/>
      <c r="G38" s="28"/>
      <c r="H38" s="28"/>
      <c r="I38" s="28"/>
      <c r="J38" s="28"/>
      <c r="K38" s="28"/>
      <c r="L38" s="28"/>
      <c r="M38" s="28"/>
      <c r="N38" s="28"/>
      <c r="O38" s="28"/>
      <c r="P38" s="28"/>
      <c r="Q38" s="28"/>
      <c r="R38" s="28"/>
      <c r="S38" s="28"/>
      <c r="T38" s="28"/>
      <c r="U38" s="28"/>
      <c r="V38" s="29"/>
      <c r="W38" s="29">
        <v>38.14</v>
      </c>
      <c r="X38" s="29">
        <v>38.380000000000003</v>
      </c>
      <c r="Y38" s="29">
        <v>38.445387772437229</v>
      </c>
      <c r="Z38" s="29">
        <v>38.67655970576444</v>
      </c>
      <c r="AA38" s="29">
        <v>38.873544060773746</v>
      </c>
      <c r="AB38" s="29">
        <v>39.026360423156582</v>
      </c>
      <c r="AC38" s="29">
        <v>39.022115868618137</v>
      </c>
      <c r="AD38" s="29">
        <v>38.954022354021994</v>
      </c>
      <c r="AE38" s="29">
        <v>39.021040644926423</v>
      </c>
      <c r="AF38" s="29">
        <v>39.217982743163219</v>
      </c>
      <c r="AG38" s="29">
        <v>39.465111696240072</v>
      </c>
      <c r="AH38" s="29">
        <v>39.767620793599114</v>
      </c>
      <c r="AI38" s="29">
        <v>40.031626609227111</v>
      </c>
      <c r="AJ38" s="29">
        <v>40.32069739566208</v>
      </c>
      <c r="AK38" s="29">
        <v>40.623608996472598</v>
      </c>
      <c r="AL38" s="29">
        <v>40.97359574462596</v>
      </c>
      <c r="AM38" s="29">
        <v>41.319232936405989</v>
      </c>
      <c r="AN38" s="29">
        <v>41.524117277464519</v>
      </c>
      <c r="AO38" s="29">
        <v>41.66833743523636</v>
      </c>
      <c r="AP38" s="29">
        <v>41.847524790110953</v>
      </c>
      <c r="AQ38" s="29">
        <v>42.019392834252045</v>
      </c>
      <c r="AR38" s="29">
        <v>42.267291340438867</v>
      </c>
      <c r="AS38" s="29">
        <v>42.281063566905431</v>
      </c>
      <c r="AT38" s="29">
        <v>42.346118523613868</v>
      </c>
      <c r="AU38" s="29">
        <v>42.42642954980019</v>
      </c>
      <c r="AV38" s="29">
        <v>42.49813285038428</v>
      </c>
      <c r="AW38" s="29">
        <v>42.743106093546182</v>
      </c>
      <c r="AX38" s="29">
        <v>42.865843379287746</v>
      </c>
      <c r="AY38" s="29">
        <v>42.919026030581463</v>
      </c>
      <c r="AZ38" s="29">
        <v>42.949403114040237</v>
      </c>
      <c r="BA38" s="29">
        <v>42.988875132468813</v>
      </c>
      <c r="BB38" s="29">
        <v>43.087216362932523</v>
      </c>
      <c r="BC38" s="29">
        <v>43.171640163365389</v>
      </c>
      <c r="BD38" s="29">
        <v>43.325255514352783</v>
      </c>
      <c r="BE38" s="29">
        <v>43.507176803035051</v>
      </c>
      <c r="BF38" s="29">
        <v>43.702388016944717</v>
      </c>
      <c r="BG38" s="29">
        <v>43.829591010670683</v>
      </c>
      <c r="BH38" s="29">
        <v>44.084690019580925</v>
      </c>
      <c r="BI38" s="29">
        <v>44.254242524556993</v>
      </c>
      <c r="BJ38" s="29">
        <v>44.492840468071307</v>
      </c>
      <c r="BK38" s="29">
        <v>44.660735658725791</v>
      </c>
      <c r="BL38" s="29">
        <v>44.905040093711065</v>
      </c>
      <c r="BM38" s="29">
        <v>45.131560243092174</v>
      </c>
      <c r="BN38" s="29">
        <v>45.3392180777821</v>
      </c>
      <c r="BO38" s="29">
        <v>45.517978590395593</v>
      </c>
      <c r="BP38" s="29">
        <v>45.717616163846444</v>
      </c>
      <c r="BQ38" s="29">
        <v>45.908771166350945</v>
      </c>
      <c r="BR38" s="29">
        <v>46.08937255511718</v>
      </c>
      <c r="BS38" s="29">
        <v>46.250039637503249</v>
      </c>
      <c r="BT38" s="30">
        <v>46.414874514898891</v>
      </c>
      <c r="BU38" s="29">
        <v>46.542143727441974</v>
      </c>
      <c r="BV38" s="29">
        <v>46.738579760380325</v>
      </c>
      <c r="BW38" s="29">
        <v>46.90122380049489</v>
      </c>
      <c r="BX38" s="29">
        <v>47.064447096104033</v>
      </c>
      <c r="BY38" s="29">
        <v>47.221176238207775</v>
      </c>
      <c r="BZ38" s="29">
        <v>47.375516269386175</v>
      </c>
      <c r="CA38" s="29">
        <v>47.532986969310919</v>
      </c>
      <c r="CB38" s="29">
        <v>47.677814654690437</v>
      </c>
      <c r="CC38" s="29">
        <v>47.849736494145382</v>
      </c>
      <c r="CD38" s="29">
        <v>48.016490728473713</v>
      </c>
      <c r="CE38" s="29">
        <v>48.183417023773075</v>
      </c>
      <c r="CF38" s="29">
        <v>48.34056403357333</v>
      </c>
      <c r="CG38" s="29">
        <v>48.495641691528604</v>
      </c>
      <c r="CH38" s="29">
        <v>48.667952618149357</v>
      </c>
      <c r="CI38" s="29">
        <v>48.831243865381253</v>
      </c>
      <c r="CJ38" s="29">
        <v>49.000987152632014</v>
      </c>
      <c r="CK38" s="29">
        <v>49.166977793208297</v>
      </c>
      <c r="CL38" s="29">
        <v>49.331810336590465</v>
      </c>
      <c r="CM38" s="29">
        <v>49.495489891712012</v>
      </c>
      <c r="CN38" s="29">
        <v>49.658021158151762</v>
      </c>
      <c r="CO38" s="29">
        <v>49.819408366129345</v>
      </c>
      <c r="CP38" s="29">
        <v>49.979655252164626</v>
      </c>
      <c r="CQ38" s="29">
        <v>50.138765077149024</v>
      </c>
      <c r="CR38" s="29">
        <v>50.296740642815941</v>
      </c>
      <c r="CS38" s="29">
        <v>50.453584302813049</v>
      </c>
      <c r="CT38" s="29">
        <v>50.609298002611695</v>
      </c>
      <c r="CU38" s="29">
        <v>50.763883349015352</v>
      </c>
      <c r="CV38" s="29">
        <v>50.917341694679365</v>
      </c>
      <c r="CW38" s="29">
        <v>51.069674223091376</v>
      </c>
      <c r="CX38" s="29">
        <v>51.22088846379954</v>
      </c>
      <c r="CY38" s="29">
        <v>51.370985946697246</v>
      </c>
      <c r="CZ38" s="29">
        <v>51.519968349417113</v>
      </c>
      <c r="DA38" s="29">
        <v>51.667837493685347</v>
      </c>
      <c r="DB38" s="29">
        <v>51.814595341735526</v>
      </c>
      <c r="DC38" s="29">
        <v>51.960243992783511</v>
      </c>
      <c r="DD38" s="29">
        <v>52.104785679562667</v>
      </c>
      <c r="DE38" s="29">
        <v>52.248222764919106</v>
      </c>
      <c r="DF38" s="29">
        <v>52.390557738464778</v>
      </c>
      <c r="DG38" s="29">
        <v>52.531793213291223</v>
      </c>
      <c r="DH38" s="29">
        <v>52.671931922740072</v>
      </c>
      <c r="DI38" s="29">
        <v>52.810976717231839</v>
      </c>
      <c r="DJ38" s="29">
        <v>52.948930561151748</v>
      </c>
      <c r="DK38" s="29">
        <v>53.085796529790478</v>
      </c>
      <c r="DL38" s="29">
        <v>53.221577806342388</v>
      </c>
      <c r="DM38" s="29">
        <v>53.356277678955905</v>
      </c>
      <c r="DN38" s="29">
        <v>53.489899537840124</v>
      </c>
      <c r="DO38" s="29">
        <v>53.622446872422351</v>
      </c>
      <c r="DP38" s="29">
        <v>53.753923268559078</v>
      </c>
      <c r="DQ38" s="29">
        <v>53.884332405797302</v>
      </c>
      <c r="DR38" s="29">
        <v>54.013678054686515</v>
      </c>
      <c r="DS38">
        <v>54.141964074140844</v>
      </c>
      <c r="DT38">
        <v>54.26919440884776</v>
      </c>
      <c r="DU38">
        <v>54.395373086726444</v>
      </c>
    </row>
    <row r="39" spans="1:125">
      <c r="A39" s="27">
        <v>37</v>
      </c>
      <c r="B39" s="28"/>
      <c r="C39" s="28"/>
      <c r="D39" s="28"/>
      <c r="E39" s="28"/>
      <c r="F39" s="28"/>
      <c r="G39" s="28"/>
      <c r="H39" s="28"/>
      <c r="I39" s="28"/>
      <c r="J39" s="28"/>
      <c r="K39" s="28"/>
      <c r="L39" s="28"/>
      <c r="M39" s="28"/>
      <c r="N39" s="28"/>
      <c r="O39" s="28"/>
      <c r="P39" s="28"/>
      <c r="Q39" s="28"/>
      <c r="R39" s="28"/>
      <c r="S39" s="28"/>
      <c r="T39" s="28"/>
      <c r="U39" s="28"/>
      <c r="V39" s="29"/>
      <c r="W39" s="29">
        <v>37.229999999999997</v>
      </c>
      <c r="X39" s="29">
        <v>37.46</v>
      </c>
      <c r="Y39" s="29">
        <v>37.534660776519303</v>
      </c>
      <c r="Z39" s="29">
        <v>37.760683885501827</v>
      </c>
      <c r="AA39" s="29">
        <v>37.960418362222015</v>
      </c>
      <c r="AB39" s="29">
        <v>38.108170398475558</v>
      </c>
      <c r="AC39" s="29">
        <v>38.103737111063602</v>
      </c>
      <c r="AD39" s="29">
        <v>38.036710451656567</v>
      </c>
      <c r="AE39" s="29">
        <v>38.101826754771253</v>
      </c>
      <c r="AF39" s="29">
        <v>38.305583667065889</v>
      </c>
      <c r="AG39" s="29">
        <v>38.553607363194146</v>
      </c>
      <c r="AH39" s="29">
        <v>38.853340874321717</v>
      </c>
      <c r="AI39" s="29">
        <v>39.116045363379975</v>
      </c>
      <c r="AJ39" s="29">
        <v>39.404462643215851</v>
      </c>
      <c r="AK39" s="29">
        <v>39.708353803486347</v>
      </c>
      <c r="AL39" s="29">
        <v>40.066069537735139</v>
      </c>
      <c r="AM39" s="29">
        <v>40.404206568658516</v>
      </c>
      <c r="AN39" s="29">
        <v>40.613632552066377</v>
      </c>
      <c r="AO39" s="29">
        <v>40.762224663185044</v>
      </c>
      <c r="AP39" s="29">
        <v>40.934192766439146</v>
      </c>
      <c r="AQ39" s="29">
        <v>41.107704986551802</v>
      </c>
      <c r="AR39" s="29">
        <v>41.351325551101297</v>
      </c>
      <c r="AS39" s="29">
        <v>41.363189680080929</v>
      </c>
      <c r="AT39" s="29">
        <v>41.423963881773894</v>
      </c>
      <c r="AU39" s="29">
        <v>41.505358746919867</v>
      </c>
      <c r="AV39" s="29">
        <v>41.572327054398343</v>
      </c>
      <c r="AW39" s="29">
        <v>41.818278047201844</v>
      </c>
      <c r="AX39" s="29">
        <v>41.933033408446136</v>
      </c>
      <c r="AY39" s="29">
        <v>41.990056850668694</v>
      </c>
      <c r="AZ39" s="29">
        <v>42.02046141877954</v>
      </c>
      <c r="BA39" s="29">
        <v>42.06064706044365</v>
      </c>
      <c r="BB39" s="29">
        <v>42.163758300286219</v>
      </c>
      <c r="BC39" s="29">
        <v>42.249490067902727</v>
      </c>
      <c r="BD39" s="29">
        <v>42.403874316978992</v>
      </c>
      <c r="BE39" s="29">
        <v>42.591449056297165</v>
      </c>
      <c r="BF39" s="29">
        <v>42.777926726633702</v>
      </c>
      <c r="BG39" s="29">
        <v>42.913018971429125</v>
      </c>
      <c r="BH39" s="29">
        <v>43.164991820804978</v>
      </c>
      <c r="BI39" s="29">
        <v>43.331094392878526</v>
      </c>
      <c r="BJ39" s="29">
        <v>43.559986156120431</v>
      </c>
      <c r="BK39" s="29">
        <v>43.726118000862947</v>
      </c>
      <c r="BL39" s="29">
        <v>43.967866561695992</v>
      </c>
      <c r="BM39" s="29">
        <v>44.192166309343726</v>
      </c>
      <c r="BN39" s="29">
        <v>44.393652941168511</v>
      </c>
      <c r="BO39" s="29">
        <v>44.571313140027407</v>
      </c>
      <c r="BP39" s="29">
        <v>44.770640319335513</v>
      </c>
      <c r="BQ39" s="29">
        <v>44.958482119733823</v>
      </c>
      <c r="BR39" s="29">
        <v>45.13807165225802</v>
      </c>
      <c r="BS39" s="29">
        <v>45.293847115134426</v>
      </c>
      <c r="BT39" s="30">
        <v>45.457669059490193</v>
      </c>
      <c r="BU39" s="29">
        <v>45.584937095428913</v>
      </c>
      <c r="BV39" s="29">
        <v>45.779800133273163</v>
      </c>
      <c r="BW39" s="29">
        <v>45.944319818124313</v>
      </c>
      <c r="BX39" s="29">
        <v>46.105778038342507</v>
      </c>
      <c r="BY39" s="29">
        <v>46.260870999981783</v>
      </c>
      <c r="BZ39" s="29">
        <v>46.417488997676159</v>
      </c>
      <c r="CA39" s="29">
        <v>46.572411449453263</v>
      </c>
      <c r="CB39" s="29">
        <v>46.721887489687873</v>
      </c>
      <c r="CC39" s="29">
        <v>46.890537848792341</v>
      </c>
      <c r="CD39" s="29">
        <v>47.059744896308189</v>
      </c>
      <c r="CE39" s="29">
        <v>47.222855085001456</v>
      </c>
      <c r="CF39" s="29">
        <v>47.383104179294705</v>
      </c>
      <c r="CG39" s="29">
        <v>47.53970710318292</v>
      </c>
      <c r="CH39" s="29">
        <v>47.709122403848887</v>
      </c>
      <c r="CI39" s="29">
        <v>47.879023046170289</v>
      </c>
      <c r="CJ39" s="29">
        <v>48.045261422300932</v>
      </c>
      <c r="CK39" s="29">
        <v>48.210353303360904</v>
      </c>
      <c r="CL39" s="29">
        <v>48.374303851410623</v>
      </c>
      <c r="CM39" s="29">
        <v>48.537117912420634</v>
      </c>
      <c r="CN39" s="29">
        <v>48.698799924990695</v>
      </c>
      <c r="CO39" s="29">
        <v>48.859353860393554</v>
      </c>
      <c r="CP39" s="29">
        <v>49.018783198310558</v>
      </c>
      <c r="CQ39" s="29">
        <v>49.177090945007059</v>
      </c>
      <c r="CR39" s="29">
        <v>49.334279649896658</v>
      </c>
      <c r="CS39" s="29">
        <v>49.490351416694779</v>
      </c>
      <c r="CT39" s="29">
        <v>49.645307943422601</v>
      </c>
      <c r="CU39" s="29">
        <v>49.799150592020872</v>
      </c>
      <c r="CV39" s="29">
        <v>49.951880472973009</v>
      </c>
      <c r="CW39" s="29">
        <v>50.103504434785016</v>
      </c>
      <c r="CX39" s="29">
        <v>50.254023626459073</v>
      </c>
      <c r="CY39" s="29">
        <v>50.403439351301337</v>
      </c>
      <c r="CZ39" s="29">
        <v>50.551753063208956</v>
      </c>
      <c r="DA39" s="29">
        <v>50.698966363017163</v>
      </c>
      <c r="DB39" s="29">
        <v>50.845080994904762</v>
      </c>
      <c r="DC39" s="29">
        <v>50.990098842860057</v>
      </c>
      <c r="DD39" s="29">
        <v>51.13402192720585</v>
      </c>
      <c r="DE39" s="29">
        <v>51.276852401184016</v>
      </c>
      <c r="DF39" s="29">
        <v>51.418592547596717</v>
      </c>
      <c r="DG39" s="29">
        <v>51.559244775507771</v>
      </c>
      <c r="DH39" s="29">
        <v>51.698811616999805</v>
      </c>
      <c r="DI39" s="29">
        <v>51.837295723989044</v>
      </c>
      <c r="DJ39" s="29">
        <v>51.974699865096376</v>
      </c>
      <c r="DK39" s="29">
        <v>52.111026922572677</v>
      </c>
      <c r="DL39" s="29">
        <v>52.246279889280878</v>
      </c>
      <c r="DM39" s="29">
        <v>52.380461865729636</v>
      </c>
      <c r="DN39" s="29">
        <v>52.51357605716256</v>
      </c>
      <c r="DO39" s="29">
        <v>52.645625770697805</v>
      </c>
      <c r="DP39" s="29">
        <v>52.776614412520523</v>
      </c>
      <c r="DQ39" s="29">
        <v>52.906545485125179</v>
      </c>
      <c r="DR39" s="29">
        <v>53.035422584607865</v>
      </c>
      <c r="DS39">
        <v>53.163249398008553</v>
      </c>
      <c r="DT39">
        <v>53.290029700699208</v>
      </c>
      <c r="DU39">
        <v>53.415767353821245</v>
      </c>
    </row>
    <row r="40" spans="1:125">
      <c r="A40" s="27">
        <v>38</v>
      </c>
      <c r="B40" s="28"/>
      <c r="C40" s="28"/>
      <c r="D40" s="28"/>
      <c r="E40" s="28"/>
      <c r="F40" s="28"/>
      <c r="G40" s="28"/>
      <c r="H40" s="28"/>
      <c r="I40" s="28"/>
      <c r="J40" s="28"/>
      <c r="K40" s="28"/>
      <c r="L40" s="28"/>
      <c r="M40" s="28"/>
      <c r="N40" s="28"/>
      <c r="O40" s="28"/>
      <c r="P40" s="28"/>
      <c r="Q40" s="28"/>
      <c r="R40" s="28"/>
      <c r="S40" s="28"/>
      <c r="T40" s="28"/>
      <c r="U40" s="28"/>
      <c r="V40" s="29"/>
      <c r="W40" s="29">
        <v>36.32</v>
      </c>
      <c r="X40" s="29">
        <v>36.549999999999997</v>
      </c>
      <c r="Y40" s="29">
        <v>36.620230637659688</v>
      </c>
      <c r="Z40" s="29">
        <v>36.844294996680489</v>
      </c>
      <c r="AA40" s="29">
        <v>37.051380333865708</v>
      </c>
      <c r="AB40" s="29">
        <v>37.199080814516847</v>
      </c>
      <c r="AC40" s="29">
        <v>37.191386257429372</v>
      </c>
      <c r="AD40" s="29">
        <v>37.12863935602514</v>
      </c>
      <c r="AE40" s="29">
        <v>37.191893139936568</v>
      </c>
      <c r="AF40" s="29">
        <v>37.395056878742963</v>
      </c>
      <c r="AG40" s="29">
        <v>37.643382058838995</v>
      </c>
      <c r="AH40" s="29">
        <v>37.948029383375079</v>
      </c>
      <c r="AI40" s="29">
        <v>38.212656227168473</v>
      </c>
      <c r="AJ40" s="29">
        <v>38.504362019144097</v>
      </c>
      <c r="AK40" s="29">
        <v>38.802466328145286</v>
      </c>
      <c r="AL40" s="29">
        <v>39.156606303007074</v>
      </c>
      <c r="AM40" s="29">
        <v>39.497475264573623</v>
      </c>
      <c r="AN40" s="29">
        <v>39.703502241416402</v>
      </c>
      <c r="AO40" s="29">
        <v>39.855914349988396</v>
      </c>
      <c r="AP40" s="29">
        <v>40.030040789264071</v>
      </c>
      <c r="AQ40" s="29">
        <v>40.202718847387921</v>
      </c>
      <c r="AR40" s="29">
        <v>40.43874534146741</v>
      </c>
      <c r="AS40" s="29">
        <v>40.448658110778872</v>
      </c>
      <c r="AT40" s="29">
        <v>40.512182835472174</v>
      </c>
      <c r="AU40" s="29">
        <v>40.588926612305393</v>
      </c>
      <c r="AV40" s="29">
        <v>40.655584803506102</v>
      </c>
      <c r="AW40" s="29">
        <v>40.89324585294483</v>
      </c>
      <c r="AX40" s="29">
        <v>41.006654587252463</v>
      </c>
      <c r="AY40" s="29">
        <v>41.064412584439886</v>
      </c>
      <c r="AZ40" s="29">
        <v>41.097578619377416</v>
      </c>
      <c r="BA40" s="29">
        <v>41.136424564396407</v>
      </c>
      <c r="BB40" s="29">
        <v>41.245838021095246</v>
      </c>
      <c r="BC40" s="29">
        <v>41.34117458568268</v>
      </c>
      <c r="BD40" s="29">
        <v>41.49132229284335</v>
      </c>
      <c r="BE40" s="29">
        <v>41.675545086557598</v>
      </c>
      <c r="BF40" s="29">
        <v>41.861419286746845</v>
      </c>
      <c r="BG40" s="29">
        <v>41.99998063174953</v>
      </c>
      <c r="BH40" s="29">
        <v>42.242134002624276</v>
      </c>
      <c r="BI40" s="29">
        <v>42.405664034657534</v>
      </c>
      <c r="BJ40" s="29">
        <v>42.627575316498827</v>
      </c>
      <c r="BK40" s="29">
        <v>42.792560469717891</v>
      </c>
      <c r="BL40" s="29">
        <v>43.029845286226724</v>
      </c>
      <c r="BM40" s="29">
        <v>43.250197662003906</v>
      </c>
      <c r="BN40" s="29">
        <v>43.451764802456864</v>
      </c>
      <c r="BO40" s="29">
        <v>43.625145805541614</v>
      </c>
      <c r="BP40" s="29">
        <v>43.824024314648142</v>
      </c>
      <c r="BQ40" s="29">
        <v>44.007336211463759</v>
      </c>
      <c r="BR40" s="29">
        <v>44.183431460606606</v>
      </c>
      <c r="BS40" s="29">
        <v>44.340436812511328</v>
      </c>
      <c r="BT40" s="30">
        <v>44.501654188797929</v>
      </c>
      <c r="BU40" s="29">
        <v>44.631496583898809</v>
      </c>
      <c r="BV40" s="29">
        <v>44.820559662729956</v>
      </c>
      <c r="BW40" s="29">
        <v>44.990872411572738</v>
      </c>
      <c r="BX40" s="29">
        <v>45.14828344687902</v>
      </c>
      <c r="BY40" s="29">
        <v>45.302227367415483</v>
      </c>
      <c r="BZ40" s="29">
        <v>45.456764830676967</v>
      </c>
      <c r="CA40" s="29">
        <v>45.613372218841477</v>
      </c>
      <c r="CB40" s="29">
        <v>45.767931562239482</v>
      </c>
      <c r="CC40" s="29">
        <v>45.938026621928977</v>
      </c>
      <c r="CD40" s="29">
        <v>46.106224892692872</v>
      </c>
      <c r="CE40" s="29">
        <v>46.26615345454497</v>
      </c>
      <c r="CF40" s="29">
        <v>46.429636178389913</v>
      </c>
      <c r="CG40" s="29">
        <v>46.592398366848528</v>
      </c>
      <c r="CH40" s="29">
        <v>46.760313047595879</v>
      </c>
      <c r="CI40" s="29">
        <v>46.926740566830539</v>
      </c>
      <c r="CJ40" s="29">
        <v>47.092033578746758</v>
      </c>
      <c r="CK40" s="29">
        <v>47.256197187651253</v>
      </c>
      <c r="CL40" s="29">
        <v>47.419236301292941</v>
      </c>
      <c r="CM40" s="29">
        <v>47.581155512840596</v>
      </c>
      <c r="CN40" s="29">
        <v>47.741959009628324</v>
      </c>
      <c r="CO40" s="29">
        <v>47.901650513257202</v>
      </c>
      <c r="CP40" s="29">
        <v>48.06023325541895</v>
      </c>
      <c r="CQ40" s="29">
        <v>48.217709996189861</v>
      </c>
      <c r="CR40" s="29">
        <v>48.374083040702757</v>
      </c>
      <c r="CS40" s="29">
        <v>48.52935425039491</v>
      </c>
      <c r="CT40" s="29">
        <v>48.683525083121054</v>
      </c>
      <c r="CU40" s="29">
        <v>48.836596662888006</v>
      </c>
      <c r="CV40" s="29">
        <v>48.98857549305454</v>
      </c>
      <c r="CW40" s="29">
        <v>49.139462337662593</v>
      </c>
      <c r="CX40" s="29">
        <v>49.289258121421547</v>
      </c>
      <c r="CY40" s="29">
        <v>49.43796392593601</v>
      </c>
      <c r="CZ40" s="29">
        <v>49.585580985993303</v>
      </c>
      <c r="DA40" s="29">
        <v>49.732110685910094</v>
      </c>
      <c r="DB40" s="29">
        <v>49.877554555936335</v>
      </c>
      <c r="DC40" s="29">
        <v>50.021914268718668</v>
      </c>
      <c r="DD40" s="29">
        <v>50.165191635821913</v>
      </c>
      <c r="DE40" s="29">
        <v>50.307388604309217</v>
      </c>
      <c r="DF40" s="29">
        <v>50.448507253377905</v>
      </c>
      <c r="DG40" s="29">
        <v>50.58854979105454</v>
      </c>
      <c r="DH40" s="29">
        <v>50.727518550944964</v>
      </c>
      <c r="DI40" s="29">
        <v>50.865415989041161</v>
      </c>
      <c r="DJ40" s="29">
        <v>51.002244680583367</v>
      </c>
      <c r="DK40" s="29">
        <v>51.138007316975951</v>
      </c>
      <c r="DL40" s="29">
        <v>51.272706702759081</v>
      </c>
      <c r="DM40" s="29">
        <v>51.406345752631182</v>
      </c>
      <c r="DN40" s="29">
        <v>51.538927488526468</v>
      </c>
      <c r="DO40" s="29">
        <v>51.670455036742005</v>
      </c>
      <c r="DP40" s="29">
        <v>51.800931625116945</v>
      </c>
      <c r="DQ40" s="29">
        <v>51.930360580261024</v>
      </c>
      <c r="DR40" s="29">
        <v>52.058745324832564</v>
      </c>
      <c r="DS40">
        <v>52.186089374865603</v>
      </c>
      <c r="DT40">
        <v>52.312396337142523</v>
      </c>
      <c r="DU40">
        <v>52.437669906615398</v>
      </c>
    </row>
    <row r="41" spans="1:125">
      <c r="A41" s="27">
        <v>39</v>
      </c>
      <c r="B41" s="28"/>
      <c r="C41" s="28"/>
      <c r="D41" s="28"/>
      <c r="E41" s="28"/>
      <c r="F41" s="28"/>
      <c r="G41" s="28"/>
      <c r="H41" s="28"/>
      <c r="I41" s="28"/>
      <c r="J41" s="28"/>
      <c r="K41" s="28"/>
      <c r="L41" s="28"/>
      <c r="M41" s="28"/>
      <c r="N41" s="28"/>
      <c r="O41" s="28"/>
      <c r="P41" s="28"/>
      <c r="Q41" s="28"/>
      <c r="R41" s="28"/>
      <c r="S41" s="28"/>
      <c r="T41" s="28"/>
      <c r="U41" s="28"/>
      <c r="V41" s="29"/>
      <c r="W41" s="29">
        <v>35.409999999999997</v>
      </c>
      <c r="X41" s="29">
        <v>35.64</v>
      </c>
      <c r="Y41" s="29">
        <v>35.70940433812931</v>
      </c>
      <c r="Z41" s="29">
        <v>35.932267172795079</v>
      </c>
      <c r="AA41" s="29">
        <v>36.141774794432848</v>
      </c>
      <c r="AB41" s="29">
        <v>36.287371842922525</v>
      </c>
      <c r="AC41" s="29">
        <v>36.279656834993318</v>
      </c>
      <c r="AD41" s="29">
        <v>36.222993367397876</v>
      </c>
      <c r="AE41" s="29">
        <v>36.283835493945013</v>
      </c>
      <c r="AF41" s="29">
        <v>36.490526166864704</v>
      </c>
      <c r="AG41" s="29">
        <v>36.743486825343155</v>
      </c>
      <c r="AH41" s="29">
        <v>37.048841963720974</v>
      </c>
      <c r="AI41" s="29">
        <v>37.310138628646158</v>
      </c>
      <c r="AJ41" s="29">
        <v>37.60692795139245</v>
      </c>
      <c r="AK41" s="29">
        <v>37.900248220086183</v>
      </c>
      <c r="AL41" s="29">
        <v>38.256375441737504</v>
      </c>
      <c r="AM41" s="29">
        <v>38.596250006883153</v>
      </c>
      <c r="AN41" s="29">
        <v>38.799769359877949</v>
      </c>
      <c r="AO41" s="29">
        <v>38.952482451695481</v>
      </c>
      <c r="AP41" s="29">
        <v>39.126130679675668</v>
      </c>
      <c r="AQ41" s="29">
        <v>39.296170460069611</v>
      </c>
      <c r="AR41" s="29">
        <v>39.530502729510218</v>
      </c>
      <c r="AS41" s="29">
        <v>39.541977265117737</v>
      </c>
      <c r="AT41" s="29">
        <v>39.597719575220133</v>
      </c>
      <c r="AU41" s="29">
        <v>39.679607223457353</v>
      </c>
      <c r="AV41" s="29">
        <v>39.741498493485253</v>
      </c>
      <c r="AW41" s="29">
        <v>39.978944883252069</v>
      </c>
      <c r="AX41" s="29">
        <v>40.084130283740436</v>
      </c>
      <c r="AY41" s="29">
        <v>40.141783652603763</v>
      </c>
      <c r="AZ41" s="29">
        <v>40.179092866729754</v>
      </c>
      <c r="BA41" s="29">
        <v>40.218644379701786</v>
      </c>
      <c r="BB41" s="29">
        <v>40.336620883099329</v>
      </c>
      <c r="BC41" s="29">
        <v>40.436722188422024</v>
      </c>
      <c r="BD41" s="29">
        <v>40.58354137681804</v>
      </c>
      <c r="BE41" s="29">
        <v>40.761212948518143</v>
      </c>
      <c r="BF41" s="29">
        <v>40.944406767960444</v>
      </c>
      <c r="BG41" s="29">
        <v>41.087416879925293</v>
      </c>
      <c r="BH41" s="29">
        <v>41.320463465067483</v>
      </c>
      <c r="BI41" s="29">
        <v>41.478804795152861</v>
      </c>
      <c r="BJ41" s="29">
        <v>41.692519111555235</v>
      </c>
      <c r="BK41" s="29">
        <v>41.862099610214003</v>
      </c>
      <c r="BL41" s="29">
        <v>42.095979403260273</v>
      </c>
      <c r="BM41" s="29">
        <v>42.312161619203771</v>
      </c>
      <c r="BN41" s="29">
        <v>42.51230357539594</v>
      </c>
      <c r="BO41" s="29">
        <v>42.681338701768169</v>
      </c>
      <c r="BP41" s="29">
        <v>42.880398031421961</v>
      </c>
      <c r="BQ41" s="29">
        <v>43.05799001625666</v>
      </c>
      <c r="BR41" s="29">
        <v>43.233399612845133</v>
      </c>
      <c r="BS41" s="29">
        <v>43.386326207494115</v>
      </c>
      <c r="BT41" s="30">
        <v>43.549568542804131</v>
      </c>
      <c r="BU41" s="29">
        <v>43.682463736503095</v>
      </c>
      <c r="BV41" s="29">
        <v>43.871085240309128</v>
      </c>
      <c r="BW41" s="29">
        <v>44.036265753742434</v>
      </c>
      <c r="BX41" s="29">
        <v>44.192784139600484</v>
      </c>
      <c r="BY41" s="29">
        <v>44.351184755152282</v>
      </c>
      <c r="BZ41" s="29">
        <v>44.502517907882492</v>
      </c>
      <c r="CA41" s="29">
        <v>44.660239419490068</v>
      </c>
      <c r="CB41" s="29">
        <v>44.816371248091066</v>
      </c>
      <c r="CC41" s="29">
        <v>44.985518422506146</v>
      </c>
      <c r="CD41" s="29">
        <v>45.151958161540506</v>
      </c>
      <c r="CE41" s="29">
        <v>45.313723883350711</v>
      </c>
      <c r="CF41" s="29">
        <v>45.479694897900067</v>
      </c>
      <c r="CG41" s="29">
        <v>45.644884525853954</v>
      </c>
      <c r="CH41" s="29">
        <v>45.811445127039192</v>
      </c>
      <c r="CI41" s="29">
        <v>45.976883665380328</v>
      </c>
      <c r="CJ41" s="29">
        <v>46.141205024122925</v>
      </c>
      <c r="CK41" s="29">
        <v>46.304414063780087</v>
      </c>
      <c r="CL41" s="29">
        <v>46.466515449367186</v>
      </c>
      <c r="CM41" s="29">
        <v>46.627513532377392</v>
      </c>
      <c r="CN41" s="29">
        <v>46.787412259559893</v>
      </c>
      <c r="CO41" s="29">
        <v>46.946215113088066</v>
      </c>
      <c r="CP41" s="29">
        <v>47.103925086482384</v>
      </c>
      <c r="CQ41" s="29">
        <v>47.260544703036743</v>
      </c>
      <c r="CR41" s="29">
        <v>47.416076032611294</v>
      </c>
      <c r="CS41" s="29">
        <v>47.570520702987331</v>
      </c>
      <c r="CT41" s="29">
        <v>47.723879940103117</v>
      </c>
      <c r="CU41" s="29">
        <v>47.876160316519446</v>
      </c>
      <c r="CV41" s="29">
        <v>48.027362209435537</v>
      </c>
      <c r="CW41" s="29">
        <v>48.177486162840289</v>
      </c>
      <c r="CX41" s="29">
        <v>48.326532883692117</v>
      </c>
      <c r="CY41" s="29">
        <v>48.47450323815503</v>
      </c>
      <c r="CZ41" s="29">
        <v>48.621398247893282</v>
      </c>
      <c r="DA41" s="29">
        <v>48.767219086424042</v>
      </c>
      <c r="DB41" s="29">
        <v>48.911967075526277</v>
      </c>
      <c r="DC41" s="29">
        <v>49.055643681708105</v>
      </c>
      <c r="DD41" s="29">
        <v>49.198250512731072</v>
      </c>
      <c r="DE41" s="29">
        <v>49.33978931419211</v>
      </c>
      <c r="DF41" s="29">
        <v>49.480261966160256</v>
      </c>
      <c r="DG41" s="29">
        <v>49.619670479871502</v>
      </c>
      <c r="DH41" s="29">
        <v>49.758016994477735</v>
      </c>
      <c r="DI41" s="29">
        <v>49.895303773851587</v>
      </c>
      <c r="DJ41" s="29">
        <v>50.031533203445534</v>
      </c>
      <c r="DK41" s="29">
        <v>50.166707787203983</v>
      </c>
      <c r="DL41" s="29">
        <v>50.300830144530238</v>
      </c>
      <c r="DM41" s="29">
        <v>50.433903007303471</v>
      </c>
      <c r="DN41" s="29">
        <v>50.565929216949897</v>
      </c>
      <c r="DO41" s="29">
        <v>50.696911721562763</v>
      </c>
      <c r="DP41" s="29">
        <v>50.826853573073713</v>
      </c>
      <c r="DQ41" s="29">
        <v>50.955757924472763</v>
      </c>
      <c r="DR41" s="29">
        <v>51.083628027076955</v>
      </c>
      <c r="DS41">
        <v>51.210467227847595</v>
      </c>
      <c r="DT41">
        <v>51.336278966752218</v>
      </c>
      <c r="DU41">
        <v>51.461066774174789</v>
      </c>
    </row>
    <row r="42" spans="1:125">
      <c r="A42" s="27">
        <v>40</v>
      </c>
      <c r="B42" s="28"/>
      <c r="C42" s="28"/>
      <c r="D42" s="28"/>
      <c r="E42" s="28"/>
      <c r="F42" s="28"/>
      <c r="G42" s="28"/>
      <c r="H42" s="28"/>
      <c r="I42" s="28"/>
      <c r="J42" s="28"/>
      <c r="K42" s="28"/>
      <c r="L42" s="28"/>
      <c r="M42" s="28"/>
      <c r="N42" s="28"/>
      <c r="O42" s="28"/>
      <c r="P42" s="28"/>
      <c r="Q42" s="28"/>
      <c r="R42" s="28"/>
      <c r="S42" s="28"/>
      <c r="T42" s="28"/>
      <c r="U42" s="28"/>
      <c r="V42" s="29"/>
      <c r="W42" s="29">
        <v>34.51</v>
      </c>
      <c r="X42" s="29">
        <v>34.729999999999997</v>
      </c>
      <c r="Y42" s="29">
        <v>34.802340127664607</v>
      </c>
      <c r="Z42" s="29">
        <v>35.029535591798435</v>
      </c>
      <c r="AA42" s="29">
        <v>35.238151563184388</v>
      </c>
      <c r="AB42" s="29">
        <v>35.381980704094808</v>
      </c>
      <c r="AC42" s="29">
        <v>35.381904220678869</v>
      </c>
      <c r="AD42" s="29">
        <v>35.32154867091144</v>
      </c>
      <c r="AE42" s="29">
        <v>35.383151433317458</v>
      </c>
      <c r="AF42" s="29">
        <v>35.593614252311582</v>
      </c>
      <c r="AG42" s="29">
        <v>35.847990532774411</v>
      </c>
      <c r="AH42" s="29">
        <v>36.154866158156715</v>
      </c>
      <c r="AI42" s="29">
        <v>36.414144725622265</v>
      </c>
      <c r="AJ42" s="29">
        <v>36.709726673174139</v>
      </c>
      <c r="AK42" s="29">
        <v>37.00380177125944</v>
      </c>
      <c r="AL42" s="29">
        <v>37.362891001626458</v>
      </c>
      <c r="AM42" s="29">
        <v>37.698753749203028</v>
      </c>
      <c r="AN42" s="29">
        <v>37.903329512907618</v>
      </c>
      <c r="AO42" s="29">
        <v>38.053451629573551</v>
      </c>
      <c r="AP42" s="29">
        <v>38.228427727863036</v>
      </c>
      <c r="AQ42" s="29">
        <v>38.398929245032221</v>
      </c>
      <c r="AR42" s="29">
        <v>38.629925638818577</v>
      </c>
      <c r="AS42" s="29">
        <v>38.638551811822495</v>
      </c>
      <c r="AT42" s="29">
        <v>38.689940203411957</v>
      </c>
      <c r="AU42" s="29">
        <v>38.764489508218901</v>
      </c>
      <c r="AV42" s="29">
        <v>38.826151416449555</v>
      </c>
      <c r="AW42" s="29">
        <v>39.064602060499546</v>
      </c>
      <c r="AX42" s="29">
        <v>39.169698761683016</v>
      </c>
      <c r="AY42" s="29">
        <v>39.223705275829523</v>
      </c>
      <c r="AZ42" s="29">
        <v>39.265688687860468</v>
      </c>
      <c r="BA42" s="29">
        <v>39.309706992620846</v>
      </c>
      <c r="BB42" s="29">
        <v>39.431457541517666</v>
      </c>
      <c r="BC42" s="29">
        <v>39.535289765705507</v>
      </c>
      <c r="BD42" s="29">
        <v>39.678940945097253</v>
      </c>
      <c r="BE42" s="29">
        <v>39.857674359468767</v>
      </c>
      <c r="BF42" s="29">
        <v>40.028913244262576</v>
      </c>
      <c r="BG42" s="29">
        <v>40.170318329988703</v>
      </c>
      <c r="BH42" s="29">
        <v>40.3999110203589</v>
      </c>
      <c r="BI42" s="29">
        <v>40.55643470312102</v>
      </c>
      <c r="BJ42" s="29">
        <v>40.767649764924577</v>
      </c>
      <c r="BK42" s="29">
        <v>40.93297291242601</v>
      </c>
      <c r="BL42" s="29">
        <v>41.162682161572931</v>
      </c>
      <c r="BM42" s="29">
        <v>41.378426618132515</v>
      </c>
      <c r="BN42" s="29">
        <v>41.57645591505257</v>
      </c>
      <c r="BO42" s="29">
        <v>41.740408453424159</v>
      </c>
      <c r="BP42" s="29">
        <v>41.939478545429239</v>
      </c>
      <c r="BQ42" s="29">
        <v>42.112146202011488</v>
      </c>
      <c r="BR42" s="29">
        <v>42.28306824118426</v>
      </c>
      <c r="BS42" s="29">
        <v>42.436399899121866</v>
      </c>
      <c r="BT42" s="30">
        <v>42.599298427814162</v>
      </c>
      <c r="BU42" s="29">
        <v>42.735327282863992</v>
      </c>
      <c r="BV42" s="29">
        <v>42.918215875233976</v>
      </c>
      <c r="BW42" s="29">
        <v>43.088344251249609</v>
      </c>
      <c r="BX42" s="29">
        <v>43.239943311512285</v>
      </c>
      <c r="BY42" s="29">
        <v>43.397094255355874</v>
      </c>
      <c r="BZ42" s="29">
        <v>43.551730001562312</v>
      </c>
      <c r="CA42" s="29">
        <v>43.708694284194394</v>
      </c>
      <c r="CB42" s="29">
        <v>43.866714998235153</v>
      </c>
      <c r="CC42" s="29">
        <v>44.035350116762096</v>
      </c>
      <c r="CD42" s="29">
        <v>44.203858991102869</v>
      </c>
      <c r="CE42" s="29">
        <v>44.365922227653662</v>
      </c>
      <c r="CF42" s="29">
        <v>44.532662324494211</v>
      </c>
      <c r="CG42" s="29">
        <v>44.699303933547199</v>
      </c>
      <c r="CH42" s="29">
        <v>44.864836475518501</v>
      </c>
      <c r="CI42" s="29">
        <v>45.029264407839641</v>
      </c>
      <c r="CJ42" s="29">
        <v>45.192592382282371</v>
      </c>
      <c r="CK42" s="29">
        <v>45.354825028574822</v>
      </c>
      <c r="CL42" s="29">
        <v>45.51596678156028</v>
      </c>
      <c r="CM42" s="29">
        <v>45.676021763173637</v>
      </c>
      <c r="CN42" s="29">
        <v>45.834993691257687</v>
      </c>
      <c r="CO42" s="29">
        <v>45.992885819805736</v>
      </c>
      <c r="CP42" s="29">
        <v>46.149700914994042</v>
      </c>
      <c r="CQ42" s="29">
        <v>46.30544127375353</v>
      </c>
      <c r="CR42" s="29">
        <v>46.460108740695858</v>
      </c>
      <c r="CS42" s="29">
        <v>46.613704719587062</v>
      </c>
      <c r="CT42" s="29">
        <v>46.766236342888327</v>
      </c>
      <c r="CU42" s="29">
        <v>46.917703601407801</v>
      </c>
      <c r="CV42" s="29">
        <v>47.06810665859242</v>
      </c>
      <c r="CW42" s="29">
        <v>47.217445846666969</v>
      </c>
      <c r="CX42" s="29">
        <v>47.365721662829742</v>
      </c>
      <c r="CY42" s="29">
        <v>47.512934765503275</v>
      </c>
      <c r="CZ42" s="29">
        <v>47.659085970642352</v>
      </c>
      <c r="DA42" s="29">
        <v>47.804176248099004</v>
      </c>
      <c r="DB42" s="29">
        <v>47.948206718042513</v>
      </c>
      <c r="DC42" s="29">
        <v>48.091178647436749</v>
      </c>
      <c r="DD42" s="29">
        <v>48.23309344657342</v>
      </c>
      <c r="DE42" s="29">
        <v>48.373952665661797</v>
      </c>
      <c r="DF42" s="29">
        <v>48.513757991472204</v>
      </c>
      <c r="DG42" s="29">
        <v>48.652511244036589</v>
      </c>
      <c r="DH42" s="29">
        <v>48.790214373402122</v>
      </c>
      <c r="DI42" s="29">
        <v>48.926869456439789</v>
      </c>
      <c r="DJ42" s="29">
        <v>49.062478693706176</v>
      </c>
      <c r="DK42" s="29">
        <v>49.19704440635735</v>
      </c>
      <c r="DL42" s="29">
        <v>49.33056903311661</v>
      </c>
      <c r="DM42" s="29">
        <v>49.463055127291454</v>
      </c>
      <c r="DN42" s="29">
        <v>49.594505353843779</v>
      </c>
      <c r="DO42" s="29">
        <v>49.724922486508063</v>
      </c>
      <c r="DP42" s="29">
        <v>49.854309404960105</v>
      </c>
      <c r="DQ42" s="29">
        <v>49.982669092033589</v>
      </c>
      <c r="DR42" s="29">
        <v>50.11000463098447</v>
      </c>
      <c r="DS42">
        <v>50.236319202803287</v>
      </c>
      <c r="DT42">
        <v>50.36161608357142</v>
      </c>
      <c r="DU42">
        <v>50.485898641864821</v>
      </c>
    </row>
    <row r="43" spans="1:125">
      <c r="A43" s="27">
        <v>41</v>
      </c>
      <c r="B43" s="28"/>
      <c r="C43" s="28"/>
      <c r="D43" s="28"/>
      <c r="E43" s="28"/>
      <c r="F43" s="28"/>
      <c r="G43" s="28"/>
      <c r="H43" s="28"/>
      <c r="I43" s="28"/>
      <c r="J43" s="28"/>
      <c r="K43" s="28"/>
      <c r="L43" s="28"/>
      <c r="M43" s="28"/>
      <c r="N43" s="28"/>
      <c r="O43" s="28"/>
      <c r="P43" s="28"/>
      <c r="Q43" s="28"/>
      <c r="R43" s="28"/>
      <c r="S43" s="28"/>
      <c r="T43" s="28"/>
      <c r="U43" s="28"/>
      <c r="V43" s="29"/>
      <c r="W43" s="29">
        <v>33.6</v>
      </c>
      <c r="X43" s="29">
        <v>33.83</v>
      </c>
      <c r="Y43" s="29">
        <v>33.902000873807012</v>
      </c>
      <c r="Z43" s="29">
        <v>34.129650862792396</v>
      </c>
      <c r="AA43" s="29">
        <v>34.3380640500704</v>
      </c>
      <c r="AB43" s="29">
        <v>34.487601450818978</v>
      </c>
      <c r="AC43" s="29">
        <v>34.484439707704574</v>
      </c>
      <c r="AD43" s="29">
        <v>34.422968822102334</v>
      </c>
      <c r="AE43" s="29">
        <v>34.496179033231677</v>
      </c>
      <c r="AF43" s="29">
        <v>34.706577470147451</v>
      </c>
      <c r="AG43" s="29">
        <v>34.961031807641142</v>
      </c>
      <c r="AH43" s="29">
        <v>35.263003122977878</v>
      </c>
      <c r="AI43" s="29">
        <v>35.52170583364402</v>
      </c>
      <c r="AJ43" s="29">
        <v>35.817956471991124</v>
      </c>
      <c r="AK43" s="29">
        <v>36.11740207008009</v>
      </c>
      <c r="AL43" s="29">
        <v>36.475103903016851</v>
      </c>
      <c r="AM43" s="29">
        <v>36.806601186673895</v>
      </c>
      <c r="AN43" s="29">
        <v>37.014810686730151</v>
      </c>
      <c r="AO43" s="29">
        <v>37.166457435173527</v>
      </c>
      <c r="AP43" s="29">
        <v>37.33380425876085</v>
      </c>
      <c r="AQ43" s="29">
        <v>37.505199718158345</v>
      </c>
      <c r="AR43" s="29">
        <v>37.733162469265928</v>
      </c>
      <c r="AS43" s="29">
        <v>37.736322140258984</v>
      </c>
      <c r="AT43" s="29">
        <v>37.786166425305524</v>
      </c>
      <c r="AU43" s="29">
        <v>37.85438554528357</v>
      </c>
      <c r="AV43" s="29">
        <v>37.915529197478079</v>
      </c>
      <c r="AW43" s="29">
        <v>38.149214200143263</v>
      </c>
      <c r="AX43" s="29">
        <v>38.258118904665153</v>
      </c>
      <c r="AY43" s="29">
        <v>38.316780225014718</v>
      </c>
      <c r="AZ43" s="29">
        <v>38.367046024151421</v>
      </c>
      <c r="BA43" s="29">
        <v>38.412396528458274</v>
      </c>
      <c r="BB43" s="29">
        <v>38.529861063680364</v>
      </c>
      <c r="BC43" s="29">
        <v>38.635409232907932</v>
      </c>
      <c r="BD43" s="29">
        <v>38.778989283717259</v>
      </c>
      <c r="BE43" s="29">
        <v>38.948613135722916</v>
      </c>
      <c r="BF43" s="29">
        <v>39.114377967578775</v>
      </c>
      <c r="BG43" s="29">
        <v>39.258161738565043</v>
      </c>
      <c r="BH43" s="29">
        <v>39.482663349301326</v>
      </c>
      <c r="BI43" s="29">
        <v>39.637286987321978</v>
      </c>
      <c r="BJ43" s="29">
        <v>39.845659868757551</v>
      </c>
      <c r="BK43" s="29">
        <v>40.011062453903861</v>
      </c>
      <c r="BL43" s="29">
        <v>40.23209379359475</v>
      </c>
      <c r="BM43" s="29">
        <v>40.445025650918225</v>
      </c>
      <c r="BN43" s="29">
        <v>40.641515398084188</v>
      </c>
      <c r="BO43" s="29">
        <v>40.805118485804115</v>
      </c>
      <c r="BP43" s="29">
        <v>40.999322517780243</v>
      </c>
      <c r="BQ43" s="29">
        <v>41.16907234435125</v>
      </c>
      <c r="BR43" s="29">
        <v>41.339871796813526</v>
      </c>
      <c r="BS43" s="29">
        <v>41.491593325689927</v>
      </c>
      <c r="BT43" s="30">
        <v>41.652633864090312</v>
      </c>
      <c r="BU43" s="29">
        <v>41.7911481320671</v>
      </c>
      <c r="BV43" s="29">
        <v>41.968556982846849</v>
      </c>
      <c r="BW43" s="29">
        <v>42.137669047666911</v>
      </c>
      <c r="BX43" s="29">
        <v>42.292957013139649</v>
      </c>
      <c r="BY43" s="29">
        <v>42.452072820893157</v>
      </c>
      <c r="BZ43" s="29">
        <v>42.607196222054462</v>
      </c>
      <c r="CA43" s="29">
        <v>42.760649080224368</v>
      </c>
      <c r="CB43" s="29">
        <v>42.921600739290248</v>
      </c>
      <c r="CC43" s="29">
        <v>43.085347328768385</v>
      </c>
      <c r="CD43" s="29">
        <v>43.259647351078186</v>
      </c>
      <c r="CE43" s="29">
        <v>43.42363055673723</v>
      </c>
      <c r="CF43" s="29">
        <v>43.590303487008725</v>
      </c>
      <c r="CG43" s="29">
        <v>43.755880989021655</v>
      </c>
      <c r="CH43" s="29">
        <v>43.920366926399488</v>
      </c>
      <c r="CI43" s="29">
        <v>44.083765538471319</v>
      </c>
      <c r="CJ43" s="29">
        <v>44.246081259321898</v>
      </c>
      <c r="CK43" s="29">
        <v>44.407318501250124</v>
      </c>
      <c r="CL43" s="29">
        <v>44.567481481849285</v>
      </c>
      <c r="CM43" s="29">
        <v>44.726574105986529</v>
      </c>
      <c r="CN43" s="29">
        <v>44.884599874661887</v>
      </c>
      <c r="CO43" s="29">
        <v>45.041561825332529</v>
      </c>
      <c r="CP43" s="29">
        <v>45.197462508064397</v>
      </c>
      <c r="CQ43" s="29">
        <v>45.352304004261541</v>
      </c>
      <c r="CR43" s="29">
        <v>45.506087943737334</v>
      </c>
      <c r="CS43" s="29">
        <v>45.658822568934021</v>
      </c>
      <c r="CT43" s="29">
        <v>45.810507486540182</v>
      </c>
      <c r="CU43" s="29">
        <v>45.961142481435225</v>
      </c>
      <c r="CV43" s="29">
        <v>46.110727512796501</v>
      </c>
      <c r="CW43" s="29">
        <v>46.259262710261368</v>
      </c>
      <c r="CX43" s="29">
        <v>46.406748370144619</v>
      </c>
      <c r="CY43" s="29">
        <v>46.553184951709696</v>
      </c>
      <c r="CZ43" s="29">
        <v>46.698573073496057</v>
      </c>
      <c r="DA43" s="29">
        <v>46.842913509702306</v>
      </c>
      <c r="DB43" s="29">
        <v>46.986207186623147</v>
      </c>
      <c r="DC43" s="29">
        <v>47.128455179142541</v>
      </c>
      <c r="DD43" s="29">
        <v>47.269658707281565</v>
      </c>
      <c r="DE43" s="29">
        <v>47.40981913280163</v>
      </c>
      <c r="DF43" s="29">
        <v>47.54893795586041</v>
      </c>
      <c r="DG43" s="29">
        <v>47.687016811723723</v>
      </c>
      <c r="DH43" s="29">
        <v>47.824057467529279</v>
      </c>
      <c r="DI43" s="29">
        <v>47.960061819104524</v>
      </c>
      <c r="DJ43" s="29">
        <v>48.095031887836512</v>
      </c>
      <c r="DK43" s="29">
        <v>48.228969817592962</v>
      </c>
      <c r="DL43" s="29">
        <v>48.361877871696088</v>
      </c>
      <c r="DM43" s="29">
        <v>48.493758429944762</v>
      </c>
      <c r="DN43" s="29">
        <v>48.62461398568896</v>
      </c>
      <c r="DO43" s="29">
        <v>48.7544471429512</v>
      </c>
      <c r="DP43" s="29">
        <v>48.883260613597749</v>
      </c>
      <c r="DQ43" s="29">
        <v>49.011057214556672</v>
      </c>
      <c r="DR43" s="29">
        <v>49.137839865082888</v>
      </c>
      <c r="DS43">
        <v>49.263611584070425</v>
      </c>
      <c r="DT43">
        <v>49.38837548740765</v>
      </c>
      <c r="DU43">
        <v>49.512134785379324</v>
      </c>
    </row>
    <row r="44" spans="1:125">
      <c r="A44" s="27">
        <v>42</v>
      </c>
      <c r="B44" s="28"/>
      <c r="C44" s="28"/>
      <c r="D44" s="28"/>
      <c r="E44" s="28"/>
      <c r="F44" s="28"/>
      <c r="G44" s="28"/>
      <c r="H44" s="28"/>
      <c r="I44" s="28"/>
      <c r="J44" s="28"/>
      <c r="K44" s="28"/>
      <c r="L44" s="28"/>
      <c r="M44" s="28"/>
      <c r="N44" s="28"/>
      <c r="O44" s="28"/>
      <c r="P44" s="28"/>
      <c r="Q44" s="28"/>
      <c r="R44" s="28"/>
      <c r="S44" s="28"/>
      <c r="T44" s="28"/>
      <c r="U44" s="28"/>
      <c r="V44" s="29"/>
      <c r="W44" s="29">
        <v>32.71</v>
      </c>
      <c r="X44" s="29">
        <v>32.94</v>
      </c>
      <c r="Y44" s="29">
        <v>33.000784973084983</v>
      </c>
      <c r="Z44" s="29">
        <v>33.237260448390359</v>
      </c>
      <c r="AA44" s="29">
        <v>33.446576023346928</v>
      </c>
      <c r="AB44" s="29">
        <v>33.59410219247723</v>
      </c>
      <c r="AC44" s="29">
        <v>33.59079903300325</v>
      </c>
      <c r="AD44" s="29">
        <v>33.536233073688692</v>
      </c>
      <c r="AE44" s="29">
        <v>33.612208388962358</v>
      </c>
      <c r="AF44" s="29">
        <v>33.828972206880245</v>
      </c>
      <c r="AG44" s="29">
        <v>34.079050746879211</v>
      </c>
      <c r="AH44" s="29">
        <v>34.377371061216536</v>
      </c>
      <c r="AI44" s="29">
        <v>34.63680733547708</v>
      </c>
      <c r="AJ44" s="29">
        <v>34.938291072857588</v>
      </c>
      <c r="AK44" s="29">
        <v>35.236517967925927</v>
      </c>
      <c r="AL44" s="29">
        <v>35.594042357425437</v>
      </c>
      <c r="AM44" s="29">
        <v>35.920077092898978</v>
      </c>
      <c r="AN44" s="29">
        <v>36.130520954218277</v>
      </c>
      <c r="AO44" s="29">
        <v>36.277214491328678</v>
      </c>
      <c r="AP44" s="29">
        <v>36.452628471530836</v>
      </c>
      <c r="AQ44" s="29">
        <v>36.614342880727996</v>
      </c>
      <c r="AR44" s="29">
        <v>36.83596450463061</v>
      </c>
      <c r="AS44" s="29">
        <v>36.837855644726574</v>
      </c>
      <c r="AT44" s="29">
        <v>36.882585138548116</v>
      </c>
      <c r="AU44" s="29">
        <v>36.955700678621909</v>
      </c>
      <c r="AV44" s="29">
        <v>37.011737432949715</v>
      </c>
      <c r="AW44" s="29">
        <v>37.242405395890074</v>
      </c>
      <c r="AX44" s="29">
        <v>37.352227299999129</v>
      </c>
      <c r="AY44" s="29">
        <v>37.415284848207541</v>
      </c>
      <c r="AZ44" s="29">
        <v>37.47721250437813</v>
      </c>
      <c r="BA44" s="29">
        <v>37.518586033810493</v>
      </c>
      <c r="BB44" s="29">
        <v>37.634352140302632</v>
      </c>
      <c r="BC44" s="29">
        <v>37.739909890034767</v>
      </c>
      <c r="BD44" s="29">
        <v>37.879112248300416</v>
      </c>
      <c r="BE44" s="29">
        <v>38.0444706438157</v>
      </c>
      <c r="BF44" s="29">
        <v>38.206911570414</v>
      </c>
      <c r="BG44" s="29">
        <v>38.3477334214192</v>
      </c>
      <c r="BH44" s="29">
        <v>38.571271062990846</v>
      </c>
      <c r="BI44" s="29">
        <v>38.718946293330205</v>
      </c>
      <c r="BJ44" s="29">
        <v>38.921505458586267</v>
      </c>
      <c r="BK44" s="29">
        <v>39.089026464284373</v>
      </c>
      <c r="BL44" s="29">
        <v>39.307859611078193</v>
      </c>
      <c r="BM44" s="29">
        <v>39.514860983380061</v>
      </c>
      <c r="BN44" s="29">
        <v>39.707276787183524</v>
      </c>
      <c r="BO44" s="29">
        <v>39.871257474069765</v>
      </c>
      <c r="BP44" s="29">
        <v>40.059454874964608</v>
      </c>
      <c r="BQ44" s="29">
        <v>40.227205177502412</v>
      </c>
      <c r="BR44" s="29">
        <v>40.398183031384434</v>
      </c>
      <c r="BS44" s="29">
        <v>40.548975240418422</v>
      </c>
      <c r="BT44" s="30">
        <v>40.708477784066766</v>
      </c>
      <c r="BU44" s="29">
        <v>40.847495207820963</v>
      </c>
      <c r="BV44" s="29">
        <v>41.022187340793138</v>
      </c>
      <c r="BW44" s="29">
        <v>41.193450755740159</v>
      </c>
      <c r="BX44" s="29">
        <v>41.347960823142557</v>
      </c>
      <c r="BY44" s="29">
        <v>41.507072587017781</v>
      </c>
      <c r="BZ44" s="29">
        <v>41.666813031697671</v>
      </c>
      <c r="CA44" s="29">
        <v>41.818520415870111</v>
      </c>
      <c r="CB44" s="29">
        <v>41.984962301401936</v>
      </c>
      <c r="CC44" s="29">
        <v>42.147556824609225</v>
      </c>
      <c r="CD44" s="29">
        <v>42.317881294772384</v>
      </c>
      <c r="CE44" s="29">
        <v>42.48453595930274</v>
      </c>
      <c r="CF44" s="29">
        <v>42.650109598399546</v>
      </c>
      <c r="CG44" s="29">
        <v>42.814605324445296</v>
      </c>
      <c r="CH44" s="29">
        <v>42.97802679678415</v>
      </c>
      <c r="CI44" s="29">
        <v>43.140378050622679</v>
      </c>
      <c r="CJ44" s="29">
        <v>43.301663315930753</v>
      </c>
      <c r="CK44" s="29">
        <v>43.461886800733893</v>
      </c>
      <c r="CL44" s="29">
        <v>43.621052518111419</v>
      </c>
      <c r="CM44" s="29">
        <v>43.779164168180493</v>
      </c>
      <c r="CN44" s="29">
        <v>43.936225047001905</v>
      </c>
      <c r="CO44" s="29">
        <v>44.092237986992671</v>
      </c>
      <c r="CP44" s="29">
        <v>44.247205333206225</v>
      </c>
      <c r="CQ44" s="29">
        <v>44.40112896223139</v>
      </c>
      <c r="CR44" s="29">
        <v>44.554018805150953</v>
      </c>
      <c r="CS44" s="29">
        <v>44.705874088094419</v>
      </c>
      <c r="CT44" s="29">
        <v>44.856694220618081</v>
      </c>
      <c r="CU44" s="29">
        <v>45.006478791791253</v>
      </c>
      <c r="CV44" s="29">
        <v>45.155227566333146</v>
      </c>
      <c r="CW44" s="29">
        <v>45.302940480803528</v>
      </c>
      <c r="CX44" s="29">
        <v>45.449617639847446</v>
      </c>
      <c r="CY44" s="29">
        <v>45.595259312492544</v>
      </c>
      <c r="CZ44" s="29">
        <v>45.739865928501338</v>
      </c>
      <c r="DA44" s="29">
        <v>45.883438074777928</v>
      </c>
      <c r="DB44" s="29">
        <v>46.025976491827443</v>
      </c>
      <c r="DC44" s="29">
        <v>46.167482070270403</v>
      </c>
      <c r="DD44" s="29">
        <v>46.307955847410703</v>
      </c>
      <c r="DE44" s="29">
        <v>46.447399003857676</v>
      </c>
      <c r="DF44" s="29">
        <v>46.585812860199766</v>
      </c>
      <c r="DG44" s="29">
        <v>46.723198873733011</v>
      </c>
      <c r="DH44" s="29">
        <v>46.859558635240333</v>
      </c>
      <c r="DI44" s="29">
        <v>46.994893865823677</v>
      </c>
      <c r="DJ44" s="29">
        <v>47.129206413787252</v>
      </c>
      <c r="DK44" s="29">
        <v>47.26249825157079</v>
      </c>
      <c r="DL44" s="29">
        <v>47.394771472734597</v>
      </c>
      <c r="DM44" s="29">
        <v>47.526028288991881</v>
      </c>
      <c r="DN44" s="29">
        <v>47.656271027292384</v>
      </c>
      <c r="DO44" s="29">
        <v>47.785502126952004</v>
      </c>
      <c r="DP44" s="29">
        <v>47.913724136831263</v>
      </c>
      <c r="DQ44" s="29">
        <v>48.04093971255962</v>
      </c>
      <c r="DR44" s="29">
        <v>48.167151613806034</v>
      </c>
      <c r="DS44">
        <v>48.292362701595586</v>
      </c>
      <c r="DT44">
        <v>48.416575935668469</v>
      </c>
      <c r="DU44">
        <v>48.539794371884803</v>
      </c>
    </row>
    <row r="45" spans="1:125">
      <c r="A45" s="27">
        <v>43</v>
      </c>
      <c r="B45" s="28"/>
      <c r="C45" s="28"/>
      <c r="D45" s="28"/>
      <c r="E45" s="28"/>
      <c r="F45" s="28"/>
      <c r="G45" s="28"/>
      <c r="H45" s="28"/>
      <c r="I45" s="28"/>
      <c r="J45" s="28"/>
      <c r="K45" s="28"/>
      <c r="L45" s="28"/>
      <c r="M45" s="28"/>
      <c r="N45" s="28"/>
      <c r="O45" s="28"/>
      <c r="P45" s="28"/>
      <c r="Q45" s="28"/>
      <c r="R45" s="28"/>
      <c r="S45" s="28"/>
      <c r="T45" s="28"/>
      <c r="U45" s="28"/>
      <c r="V45" s="29"/>
      <c r="W45" s="29">
        <v>31.82</v>
      </c>
      <c r="X45" s="29">
        <v>32.049999999999997</v>
      </c>
      <c r="Y45" s="29">
        <v>32.114918285891399</v>
      </c>
      <c r="Z45" s="29">
        <v>32.35376597872613</v>
      </c>
      <c r="AA45" s="29">
        <v>32.555068676273791</v>
      </c>
      <c r="AB45" s="29">
        <v>32.704454613084103</v>
      </c>
      <c r="AC45" s="29">
        <v>32.714179429238364</v>
      </c>
      <c r="AD45" s="29">
        <v>32.65981242051069</v>
      </c>
      <c r="AE45" s="29">
        <v>32.740006573748843</v>
      </c>
      <c r="AF45" s="29">
        <v>32.954018639424163</v>
      </c>
      <c r="AG45" s="29">
        <v>33.201531666501225</v>
      </c>
      <c r="AH45" s="29">
        <v>33.502247324491414</v>
      </c>
      <c r="AI45" s="29">
        <v>33.763880074099909</v>
      </c>
      <c r="AJ45" s="29">
        <v>34.063115039272212</v>
      </c>
      <c r="AK45" s="29">
        <v>34.357612030354034</v>
      </c>
      <c r="AL45" s="29">
        <v>34.714530151116108</v>
      </c>
      <c r="AM45" s="29">
        <v>35.041484306449973</v>
      </c>
      <c r="AN45" s="29">
        <v>35.252036717752716</v>
      </c>
      <c r="AO45" s="29">
        <v>35.398392326043407</v>
      </c>
      <c r="AP45" s="29">
        <v>35.569905085694849</v>
      </c>
      <c r="AQ45" s="29">
        <v>35.723961724789476</v>
      </c>
      <c r="AR45" s="29">
        <v>35.94023368365125</v>
      </c>
      <c r="AS45" s="29">
        <v>35.942857775213156</v>
      </c>
      <c r="AT45" s="29">
        <v>35.987638379618453</v>
      </c>
      <c r="AU45" s="29">
        <v>36.056174892863076</v>
      </c>
      <c r="AV45" s="29">
        <v>36.11674410654259</v>
      </c>
      <c r="AW45" s="29">
        <v>36.35010620243316</v>
      </c>
      <c r="AX45" s="29">
        <v>36.457707914054787</v>
      </c>
      <c r="AY45" s="29">
        <v>36.521608604085323</v>
      </c>
      <c r="AZ45" s="29">
        <v>36.580821514212467</v>
      </c>
      <c r="BA45" s="29">
        <v>36.630072711377878</v>
      </c>
      <c r="BB45" s="29">
        <v>36.742627985139983</v>
      </c>
      <c r="BC45" s="29">
        <v>36.852898877221364</v>
      </c>
      <c r="BD45" s="29">
        <v>36.982979224320601</v>
      </c>
      <c r="BE45" s="29">
        <v>37.145872766868727</v>
      </c>
      <c r="BF45" s="29">
        <v>37.304977753547497</v>
      </c>
      <c r="BG45" s="29">
        <v>37.441848696713613</v>
      </c>
      <c r="BH45" s="29">
        <v>37.661278884838687</v>
      </c>
      <c r="BI45" s="29">
        <v>37.806847302259328</v>
      </c>
      <c r="BJ45" s="29">
        <v>38.009206440936438</v>
      </c>
      <c r="BK45" s="29">
        <v>38.173025803767665</v>
      </c>
      <c r="BL45" s="29">
        <v>38.38618633499236</v>
      </c>
      <c r="BM45" s="29">
        <v>38.588340789899874</v>
      </c>
      <c r="BN45" s="29">
        <v>38.777532761502719</v>
      </c>
      <c r="BO45" s="29">
        <v>38.938761204040205</v>
      </c>
      <c r="BP45" s="29">
        <v>39.120272384315747</v>
      </c>
      <c r="BQ45" s="29">
        <v>39.288239908505332</v>
      </c>
      <c r="BR45" s="29">
        <v>39.461567818138029</v>
      </c>
      <c r="BS45" s="29">
        <v>39.610168266910698</v>
      </c>
      <c r="BT45" s="30">
        <v>39.768183245583877</v>
      </c>
      <c r="BU45" s="29">
        <v>39.906862222978788</v>
      </c>
      <c r="BV45" s="29">
        <v>40.085038448890089</v>
      </c>
      <c r="BW45" s="29">
        <v>40.252502350255853</v>
      </c>
      <c r="BX45" s="29">
        <v>40.406375031764831</v>
      </c>
      <c r="BY45" s="29">
        <v>40.565331921879249</v>
      </c>
      <c r="BZ45" s="29">
        <v>40.724743552791082</v>
      </c>
      <c r="CA45" s="29">
        <v>40.875319371136769</v>
      </c>
      <c r="CB45" s="29">
        <v>41.04659518580231</v>
      </c>
      <c r="CC45" s="29">
        <v>41.215647108453936</v>
      </c>
      <c r="CD45" s="29">
        <v>41.382231381166726</v>
      </c>
      <c r="CE45" s="29">
        <v>41.547749953441809</v>
      </c>
      <c r="CF45" s="29">
        <v>41.712205031164849</v>
      </c>
      <c r="CG45" s="29">
        <v>41.875599536225543</v>
      </c>
      <c r="CH45" s="29">
        <v>42.037936937419246</v>
      </c>
      <c r="CI45" s="29">
        <v>42.19922107917408</v>
      </c>
      <c r="CJ45" s="29">
        <v>42.359456000294053</v>
      </c>
      <c r="CK45" s="29">
        <v>42.518645717075707</v>
      </c>
      <c r="CL45" s="29">
        <v>42.676794050219414</v>
      </c>
      <c r="CM45" s="29">
        <v>42.833904506818989</v>
      </c>
      <c r="CN45" s="29">
        <v>42.989980189317933</v>
      </c>
      <c r="CO45" s="29">
        <v>43.145023736016903</v>
      </c>
      <c r="CP45" s="29">
        <v>43.2990372974918</v>
      </c>
      <c r="CQ45" s="29">
        <v>43.452033071923111</v>
      </c>
      <c r="CR45" s="29">
        <v>43.604009909245079</v>
      </c>
      <c r="CS45" s="29">
        <v>43.754966847730344</v>
      </c>
      <c r="CT45" s="29">
        <v>43.904903110059834</v>
      </c>
      <c r="CU45" s="29">
        <v>44.05381809944533</v>
      </c>
      <c r="CV45" s="29">
        <v>44.201711395801446</v>
      </c>
      <c r="CW45" s="29">
        <v>44.348582751970149</v>
      </c>
      <c r="CX45" s="29">
        <v>44.494432089998114</v>
      </c>
      <c r="CY45" s="29">
        <v>44.639259497465396</v>
      </c>
      <c r="CZ45" s="29">
        <v>44.78306522386783</v>
      </c>
      <c r="DA45" s="29">
        <v>44.925849677052639</v>
      </c>
      <c r="DB45" s="29">
        <v>45.067613419705573</v>
      </c>
      <c r="DC45" s="29">
        <v>45.20835716589167</v>
      </c>
      <c r="DD45" s="29">
        <v>45.348081777648495</v>
      </c>
      <c r="DE45" s="29">
        <v>45.486788261632242</v>
      </c>
      <c r="DF45" s="29">
        <v>45.624477765814262</v>
      </c>
      <c r="DG45" s="29">
        <v>45.761151576231185</v>
      </c>
      <c r="DH45" s="29">
        <v>45.896811113784764</v>
      </c>
      <c r="DI45" s="29">
        <v>46.031457931093392</v>
      </c>
      <c r="DJ45" s="29">
        <v>46.165093709393553</v>
      </c>
      <c r="DK45" s="29">
        <v>46.297720255490276</v>
      </c>
      <c r="DL45" s="29">
        <v>46.42933949875821</v>
      </c>
      <c r="DM45" s="29">
        <v>46.55995348818896</v>
      </c>
      <c r="DN45" s="29">
        <v>46.689564389488609</v>
      </c>
      <c r="DO45" s="29">
        <v>46.818174482220329</v>
      </c>
      <c r="DP45" s="29">
        <v>46.945786156994679</v>
      </c>
      <c r="DQ45" s="29">
        <v>47.072401912704855</v>
      </c>
      <c r="DR45" s="29">
        <v>47.198024353807185</v>
      </c>
      <c r="DS45">
        <v>47.322656187646785</v>
      </c>
      <c r="DT45">
        <v>47.4463002218246</v>
      </c>
      <c r="DU45">
        <v>47.568959361609387</v>
      </c>
    </row>
    <row r="46" spans="1:125">
      <c r="A46" s="27">
        <v>44</v>
      </c>
      <c r="B46" s="28"/>
      <c r="C46" s="28"/>
      <c r="D46" s="28"/>
      <c r="E46" s="28"/>
      <c r="F46" s="28"/>
      <c r="G46" s="28"/>
      <c r="H46" s="28"/>
      <c r="I46" s="28"/>
      <c r="J46" s="28"/>
      <c r="K46" s="28"/>
      <c r="L46" s="28"/>
      <c r="M46" s="28"/>
      <c r="N46" s="28"/>
      <c r="O46" s="28"/>
      <c r="P46" s="28"/>
      <c r="Q46" s="28"/>
      <c r="R46" s="28"/>
      <c r="S46" s="28"/>
      <c r="T46" s="28"/>
      <c r="U46" s="28"/>
      <c r="V46" s="29"/>
      <c r="W46" s="29">
        <v>30.93</v>
      </c>
      <c r="X46" s="29">
        <v>31.16</v>
      </c>
      <c r="Y46" s="29">
        <v>31.237662767476188</v>
      </c>
      <c r="Z46" s="29">
        <v>31.477693424400183</v>
      </c>
      <c r="AA46" s="29">
        <v>31.679106480616419</v>
      </c>
      <c r="AB46" s="29">
        <v>31.831703371657156</v>
      </c>
      <c r="AC46" s="29">
        <v>31.840147948263315</v>
      </c>
      <c r="AD46" s="29">
        <v>31.791466115932895</v>
      </c>
      <c r="AE46" s="29">
        <v>31.866253948431567</v>
      </c>
      <c r="AF46" s="29">
        <v>32.080726103797929</v>
      </c>
      <c r="AG46" s="29">
        <v>32.343023377723675</v>
      </c>
      <c r="AH46" s="29">
        <v>32.639883496772548</v>
      </c>
      <c r="AI46" s="29">
        <v>32.894223867390693</v>
      </c>
      <c r="AJ46" s="29">
        <v>33.197145796223808</v>
      </c>
      <c r="AK46" s="29">
        <v>33.491087984427132</v>
      </c>
      <c r="AL46" s="29">
        <v>33.846723976471907</v>
      </c>
      <c r="AM46" s="29">
        <v>34.169625935052593</v>
      </c>
      <c r="AN46" s="29">
        <v>34.375897921650584</v>
      </c>
      <c r="AO46" s="29">
        <v>34.522121742700406</v>
      </c>
      <c r="AP46" s="29">
        <v>34.686284584306527</v>
      </c>
      <c r="AQ46" s="29">
        <v>34.841504395795738</v>
      </c>
      <c r="AR46" s="29">
        <v>35.059790575745716</v>
      </c>
      <c r="AS46" s="29">
        <v>35.053222253457712</v>
      </c>
      <c r="AT46" s="29">
        <v>35.094116385390173</v>
      </c>
      <c r="AU46" s="29">
        <v>35.161321084055658</v>
      </c>
      <c r="AV46" s="29">
        <v>35.229282104920777</v>
      </c>
      <c r="AW46" s="29">
        <v>35.463375988828389</v>
      </c>
      <c r="AX46" s="29">
        <v>35.574137599910514</v>
      </c>
      <c r="AY46" s="29">
        <v>35.636194060532318</v>
      </c>
      <c r="AZ46" s="29">
        <v>35.688082707896072</v>
      </c>
      <c r="BA46" s="29">
        <v>35.746085334304247</v>
      </c>
      <c r="BB46" s="29">
        <v>35.855540179670228</v>
      </c>
      <c r="BC46" s="29">
        <v>35.964638947779903</v>
      </c>
      <c r="BD46" s="29">
        <v>36.08912623507419</v>
      </c>
      <c r="BE46" s="29">
        <v>36.249981616865803</v>
      </c>
      <c r="BF46" s="29">
        <v>36.406264344510731</v>
      </c>
      <c r="BG46" s="29">
        <v>36.540490178981415</v>
      </c>
      <c r="BH46" s="29">
        <v>36.756112762929106</v>
      </c>
      <c r="BI46" s="29">
        <v>36.902761599846357</v>
      </c>
      <c r="BJ46" s="29">
        <v>37.098714085944607</v>
      </c>
      <c r="BK46" s="29">
        <v>37.260322301807498</v>
      </c>
      <c r="BL46" s="29">
        <v>37.467449627552085</v>
      </c>
      <c r="BM46" s="29">
        <v>37.668792770270521</v>
      </c>
      <c r="BN46" s="29">
        <v>37.852757011045185</v>
      </c>
      <c r="BO46" s="29">
        <v>38.010435569751721</v>
      </c>
      <c r="BP46" s="29">
        <v>38.190567107972029</v>
      </c>
      <c r="BQ46" s="29">
        <v>38.35723403793228</v>
      </c>
      <c r="BR46" s="29">
        <v>38.528742782672559</v>
      </c>
      <c r="BS46" s="29">
        <v>38.673867197286171</v>
      </c>
      <c r="BT46" s="30">
        <v>38.833224519088084</v>
      </c>
      <c r="BU46" s="29">
        <v>38.975787010401476</v>
      </c>
      <c r="BV46" s="29">
        <v>39.148144068197517</v>
      </c>
      <c r="BW46" s="29">
        <v>39.314097038976605</v>
      </c>
      <c r="BX46" s="29">
        <v>39.467682309641503</v>
      </c>
      <c r="BY46" s="29">
        <v>39.629155527780974</v>
      </c>
      <c r="BZ46" s="29">
        <v>39.788156723636824</v>
      </c>
      <c r="CA46" s="29">
        <v>39.946156898998893</v>
      </c>
      <c r="CB46" s="29">
        <v>40.117336755081595</v>
      </c>
      <c r="CC46" s="29">
        <v>40.28379295981668</v>
      </c>
      <c r="CD46" s="29">
        <v>40.44919989287461</v>
      </c>
      <c r="CE46" s="29">
        <v>40.613558714656016</v>
      </c>
      <c r="CF46" s="29">
        <v>40.776871453917195</v>
      </c>
      <c r="CG46" s="29">
        <v>40.939140855210553</v>
      </c>
      <c r="CH46" s="29">
        <v>41.100370209571352</v>
      </c>
      <c r="CI46" s="29">
        <v>41.260563183060093</v>
      </c>
      <c r="CJ46" s="29">
        <v>41.41972363533781</v>
      </c>
      <c r="CK46" s="29">
        <v>41.57785540259524</v>
      </c>
      <c r="CL46" s="29">
        <v>41.734962124371592</v>
      </c>
      <c r="CM46" s="29">
        <v>41.89104712555006</v>
      </c>
      <c r="CN46" s="29">
        <v>42.046113325368125</v>
      </c>
      <c r="CO46" s="29">
        <v>42.200163178026528</v>
      </c>
      <c r="CP46" s="29">
        <v>42.353211733874247</v>
      </c>
      <c r="CQ46" s="29">
        <v>42.505257471388539</v>
      </c>
      <c r="CR46" s="29">
        <v>42.656299061959025</v>
      </c>
      <c r="CS46" s="29">
        <v>42.806335365952584</v>
      </c>
      <c r="CT46" s="29">
        <v>42.955365428825942</v>
      </c>
      <c r="CU46" s="29">
        <v>43.103388477289734</v>
      </c>
      <c r="CV46" s="29">
        <v>43.250403915520678</v>
      </c>
      <c r="CW46" s="29">
        <v>43.396411321425148</v>
      </c>
      <c r="CX46" s="29">
        <v>43.541410442954202</v>
      </c>
      <c r="CY46" s="29">
        <v>43.685401194468817</v>
      </c>
      <c r="CZ46" s="29">
        <v>43.828383653157445</v>
      </c>
      <c r="DA46" s="29">
        <v>43.970358055505656</v>
      </c>
      <c r="DB46" s="29">
        <v>44.111324793816003</v>
      </c>
      <c r="DC46" s="29">
        <v>44.251284412780258</v>
      </c>
      <c r="DD46" s="29">
        <v>44.3902376061029</v>
      </c>
      <c r="DE46" s="29">
        <v>44.5281852131763</v>
      </c>
      <c r="DF46" s="29">
        <v>44.665128215804984</v>
      </c>
      <c r="DG46" s="29">
        <v>44.801067734982411</v>
      </c>
      <c r="DH46" s="29">
        <v>44.936005027716185</v>
      </c>
      <c r="DI46" s="29">
        <v>45.069941483903875</v>
      </c>
      <c r="DJ46" s="29">
        <v>45.202878623257462</v>
      </c>
      <c r="DK46" s="29">
        <v>45.334818092275711</v>
      </c>
      <c r="DL46" s="29">
        <v>45.465761661266093</v>
      </c>
      <c r="DM46" s="29">
        <v>45.595711221411733</v>
      </c>
      <c r="DN46" s="29">
        <v>45.724668781887502</v>
      </c>
      <c r="DO46" s="29">
        <v>45.852636467020147</v>
      </c>
      <c r="DP46" s="29">
        <v>45.97961651349501</v>
      </c>
      <c r="DQ46" s="29">
        <v>46.105611267606669</v>
      </c>
      <c r="DR46" s="29">
        <v>46.230623182553806</v>
      </c>
      <c r="DS46">
        <v>46.354654815778225</v>
      </c>
      <c r="DT46">
        <v>46.477708826344355</v>
      </c>
      <c r="DU46">
        <v>46.599787972362584</v>
      </c>
    </row>
    <row r="47" spans="1:125">
      <c r="A47" s="27">
        <v>45</v>
      </c>
      <c r="B47" s="28"/>
      <c r="C47" s="28"/>
      <c r="D47" s="28"/>
      <c r="E47" s="28"/>
      <c r="F47" s="28"/>
      <c r="G47" s="28"/>
      <c r="H47" s="28"/>
      <c r="I47" s="28"/>
      <c r="J47" s="28"/>
      <c r="K47" s="28"/>
      <c r="L47" s="28"/>
      <c r="M47" s="28"/>
      <c r="N47" s="28"/>
      <c r="O47" s="28"/>
      <c r="P47" s="28"/>
      <c r="Q47" s="28"/>
      <c r="R47" s="28"/>
      <c r="S47" s="28"/>
      <c r="T47" s="28"/>
      <c r="U47" s="28"/>
      <c r="V47" s="29"/>
      <c r="W47" s="29">
        <v>30.06</v>
      </c>
      <c r="X47" s="29">
        <v>30.29</v>
      </c>
      <c r="Y47" s="29">
        <v>30.368459938371021</v>
      </c>
      <c r="Z47" s="29">
        <v>30.608985304511499</v>
      </c>
      <c r="AA47" s="29">
        <v>30.814563309196121</v>
      </c>
      <c r="AB47" s="29">
        <v>30.962987207195017</v>
      </c>
      <c r="AC47" s="29">
        <v>30.975176773125561</v>
      </c>
      <c r="AD47" s="29">
        <v>30.932026234061428</v>
      </c>
      <c r="AE47" s="29">
        <v>31.006149264413519</v>
      </c>
      <c r="AF47" s="29">
        <v>31.218223253678623</v>
      </c>
      <c r="AG47" s="29">
        <v>31.487974090710246</v>
      </c>
      <c r="AH47" s="29">
        <v>31.780575573913332</v>
      </c>
      <c r="AI47" s="29">
        <v>32.031737961919134</v>
      </c>
      <c r="AJ47" s="29">
        <v>32.340364852416442</v>
      </c>
      <c r="AK47" s="29">
        <v>32.627324464153524</v>
      </c>
      <c r="AL47" s="29">
        <v>32.988715717885526</v>
      </c>
      <c r="AM47" s="29">
        <v>33.304946366496708</v>
      </c>
      <c r="AN47" s="29">
        <v>33.51173749952715</v>
      </c>
      <c r="AO47" s="29">
        <v>33.648954206020832</v>
      </c>
      <c r="AP47" s="29">
        <v>33.808011323733588</v>
      </c>
      <c r="AQ47" s="29">
        <v>33.960589765069024</v>
      </c>
      <c r="AR47" s="29">
        <v>34.177247333922402</v>
      </c>
      <c r="AS47" s="29">
        <v>34.170458390771849</v>
      </c>
      <c r="AT47" s="29">
        <v>34.214763796900762</v>
      </c>
      <c r="AU47" s="29">
        <v>34.280073313292014</v>
      </c>
      <c r="AV47" s="29">
        <v>34.346999839452437</v>
      </c>
      <c r="AW47" s="29">
        <v>34.585122765533882</v>
      </c>
      <c r="AX47" s="29">
        <v>34.690820827645616</v>
      </c>
      <c r="AY47" s="29">
        <v>34.756244487100282</v>
      </c>
      <c r="AZ47" s="29">
        <v>34.809874222533281</v>
      </c>
      <c r="BA47" s="29">
        <v>34.868744950102545</v>
      </c>
      <c r="BB47" s="29">
        <v>34.97132898116898</v>
      </c>
      <c r="BC47" s="29">
        <v>35.075632464818973</v>
      </c>
      <c r="BD47" s="29">
        <v>35.196281188283734</v>
      </c>
      <c r="BE47" s="29">
        <v>35.357999442164768</v>
      </c>
      <c r="BF47" s="29">
        <v>35.511988125713223</v>
      </c>
      <c r="BG47" s="29">
        <v>35.640610187513076</v>
      </c>
      <c r="BH47" s="29">
        <v>35.856717075391401</v>
      </c>
      <c r="BI47" s="29">
        <v>35.996141874090682</v>
      </c>
      <c r="BJ47" s="29">
        <v>36.194366205759863</v>
      </c>
      <c r="BK47" s="29">
        <v>36.350167105943477</v>
      </c>
      <c r="BL47" s="29">
        <v>36.555173805355736</v>
      </c>
      <c r="BM47" s="29">
        <v>36.748982833190958</v>
      </c>
      <c r="BN47" s="29">
        <v>36.930435906108137</v>
      </c>
      <c r="BO47" s="29">
        <v>37.086032786496617</v>
      </c>
      <c r="BP47" s="29">
        <v>37.265110819527706</v>
      </c>
      <c r="BQ47" s="29">
        <v>37.432852537236229</v>
      </c>
      <c r="BR47" s="29">
        <v>37.600156457782951</v>
      </c>
      <c r="BS47" s="29">
        <v>37.741088389872267</v>
      </c>
      <c r="BT47" s="30">
        <v>37.900823814169442</v>
      </c>
      <c r="BU47" s="29">
        <v>38.047156788984921</v>
      </c>
      <c r="BV47" s="29">
        <v>38.217665939391715</v>
      </c>
      <c r="BW47" s="29">
        <v>38.383367367781425</v>
      </c>
      <c r="BX47" s="29">
        <v>38.534206183581539</v>
      </c>
      <c r="BY47" s="29">
        <v>38.694665547749409</v>
      </c>
      <c r="BZ47" s="29">
        <v>38.859846200059067</v>
      </c>
      <c r="CA47" s="29">
        <v>39.023577974389845</v>
      </c>
      <c r="CB47" s="29">
        <v>39.189839433248977</v>
      </c>
      <c r="CC47" s="29">
        <v>39.355069352596082</v>
      </c>
      <c r="CD47" s="29">
        <v>39.519267730823479</v>
      </c>
      <c r="CE47" s="29">
        <v>39.682435563884255</v>
      </c>
      <c r="CF47" s="29">
        <v>39.844574715768587</v>
      </c>
      <c r="CG47" s="29">
        <v>40.005687765706178</v>
      </c>
      <c r="CH47" s="29">
        <v>40.165777838622787</v>
      </c>
      <c r="CI47" s="29">
        <v>40.324848433484377</v>
      </c>
      <c r="CJ47" s="29">
        <v>40.482903241692213</v>
      </c>
      <c r="CK47" s="29">
        <v>40.639945929810409</v>
      </c>
      <c r="CL47" s="29">
        <v>40.795979966284904</v>
      </c>
      <c r="CM47" s="29">
        <v>40.95100850344479</v>
      </c>
      <c r="CN47" s="29">
        <v>41.105034286570273</v>
      </c>
      <c r="CO47" s="29">
        <v>41.258075812912857</v>
      </c>
      <c r="CP47" s="29">
        <v>41.410131194257325</v>
      </c>
      <c r="CQ47" s="29">
        <v>41.561198739525892</v>
      </c>
      <c r="CR47" s="29">
        <v>41.711276950845921</v>
      </c>
      <c r="CS47" s="29">
        <v>41.860364519663889</v>
      </c>
      <c r="CT47" s="29">
        <v>42.00846032290584</v>
      </c>
      <c r="CU47" s="29">
        <v>42.155563419188006</v>
      </c>
      <c r="CV47" s="29">
        <v>42.301673045074402</v>
      </c>
      <c r="CW47" s="29">
        <v>42.446788611384513</v>
      </c>
      <c r="CX47" s="29">
        <v>42.590909699551204</v>
      </c>
      <c r="CY47" s="29">
        <v>42.734036058027549</v>
      </c>
      <c r="CZ47" s="29">
        <v>42.876167598744722</v>
      </c>
      <c r="DA47" s="29">
        <v>43.017304393620755</v>
      </c>
      <c r="DB47" s="29">
        <v>43.157446671118151</v>
      </c>
      <c r="DC47" s="29">
        <v>43.296594812852675</v>
      </c>
      <c r="DD47" s="29">
        <v>43.43474935025214</v>
      </c>
      <c r="DE47" s="29">
        <v>43.571910961265559</v>
      </c>
      <c r="DF47" s="29">
        <v>43.708080467120205</v>
      </c>
      <c r="DG47" s="29">
        <v>43.843258829129908</v>
      </c>
      <c r="DH47" s="29">
        <v>43.977447145550563</v>
      </c>
      <c r="DI47" s="29">
        <v>44.11064664848498</v>
      </c>
      <c r="DJ47" s="29">
        <v>44.242858700835249</v>
      </c>
      <c r="DK47" s="29">
        <v>44.374084793301769</v>
      </c>
      <c r="DL47" s="29">
        <v>44.504326541430636</v>
      </c>
      <c r="DM47" s="29">
        <v>44.633585682704918</v>
      </c>
      <c r="DN47" s="29">
        <v>44.761864073684002</v>
      </c>
      <c r="DO47" s="29">
        <v>44.889163687185665</v>
      </c>
      <c r="DP47" s="29">
        <v>45.0154866095138</v>
      </c>
      <c r="DQ47" s="29">
        <v>45.140835037728934</v>
      </c>
      <c r="DR47" s="29">
        <v>45.265211276961764</v>
      </c>
      <c r="DS47">
        <v>45.388617737769991</v>
      </c>
      <c r="DT47">
        <v>45.511056933534491</v>
      </c>
      <c r="DU47">
        <v>45.632531477898283</v>
      </c>
    </row>
    <row r="48" spans="1:125">
      <c r="A48" s="27">
        <v>46</v>
      </c>
      <c r="B48" s="28"/>
      <c r="C48" s="28"/>
      <c r="D48" s="28"/>
      <c r="E48" s="28"/>
      <c r="F48" s="28"/>
      <c r="G48" s="28"/>
      <c r="H48" s="28"/>
      <c r="I48" s="28"/>
      <c r="J48" s="28"/>
      <c r="K48" s="28"/>
      <c r="L48" s="28"/>
      <c r="M48" s="28"/>
      <c r="N48" s="28"/>
      <c r="O48" s="28"/>
      <c r="P48" s="28"/>
      <c r="Q48" s="28"/>
      <c r="R48" s="28"/>
      <c r="S48" s="28"/>
      <c r="T48" s="28"/>
      <c r="U48" s="28"/>
      <c r="V48" s="29"/>
      <c r="W48" s="29">
        <v>29.19</v>
      </c>
      <c r="X48" s="29">
        <v>29.43</v>
      </c>
      <c r="Y48" s="29">
        <v>29.505728112332655</v>
      </c>
      <c r="Z48" s="29">
        <v>29.752889645307732</v>
      </c>
      <c r="AA48" s="29">
        <v>29.954914346987668</v>
      </c>
      <c r="AB48" s="29">
        <v>30.109602432502886</v>
      </c>
      <c r="AC48" s="29">
        <v>30.121383586681628</v>
      </c>
      <c r="AD48" s="29">
        <v>30.07294905552418</v>
      </c>
      <c r="AE48" s="29">
        <v>30.159851249419404</v>
      </c>
      <c r="AF48" s="29">
        <v>30.373574677819018</v>
      </c>
      <c r="AG48" s="29">
        <v>30.640227614877052</v>
      </c>
      <c r="AH48" s="29">
        <v>30.931163259040343</v>
      </c>
      <c r="AI48" s="29">
        <v>31.185604960171755</v>
      </c>
      <c r="AJ48" s="29">
        <v>31.491103111768307</v>
      </c>
      <c r="AK48" s="29">
        <v>31.77871284865471</v>
      </c>
      <c r="AL48" s="29">
        <v>32.135977744160904</v>
      </c>
      <c r="AM48" s="29">
        <v>32.443847459674686</v>
      </c>
      <c r="AN48" s="29">
        <v>32.64981281902535</v>
      </c>
      <c r="AO48" s="29">
        <v>32.787067212089326</v>
      </c>
      <c r="AP48" s="29">
        <v>32.942512961834403</v>
      </c>
      <c r="AQ48" s="29">
        <v>33.090213003222622</v>
      </c>
      <c r="AR48" s="29">
        <v>33.30003887265017</v>
      </c>
      <c r="AS48" s="29">
        <v>33.297605633497106</v>
      </c>
      <c r="AT48" s="29">
        <v>33.340146159265785</v>
      </c>
      <c r="AU48" s="29">
        <v>33.412969423156724</v>
      </c>
      <c r="AV48" s="29">
        <v>33.481924823693447</v>
      </c>
      <c r="AW48" s="29">
        <v>33.70749499518017</v>
      </c>
      <c r="AX48" s="29">
        <v>33.817139854055618</v>
      </c>
      <c r="AY48" s="29">
        <v>33.881053736781965</v>
      </c>
      <c r="AZ48" s="29">
        <v>33.935179442433515</v>
      </c>
      <c r="BA48" s="29">
        <v>33.994677490052773</v>
      </c>
      <c r="BB48" s="29">
        <v>34.092390474490927</v>
      </c>
      <c r="BC48" s="29">
        <v>34.193196514112941</v>
      </c>
      <c r="BD48" s="29">
        <v>34.313167093861502</v>
      </c>
      <c r="BE48" s="29">
        <v>34.469485736675395</v>
      </c>
      <c r="BF48" s="29">
        <v>34.62581971699575</v>
      </c>
      <c r="BG48" s="29">
        <v>34.755648582252157</v>
      </c>
      <c r="BH48" s="29">
        <v>34.961607977661785</v>
      </c>
      <c r="BI48" s="29">
        <v>35.096453381980979</v>
      </c>
      <c r="BJ48" s="29">
        <v>35.288379154217779</v>
      </c>
      <c r="BK48" s="29">
        <v>35.443270458913098</v>
      </c>
      <c r="BL48" s="29">
        <v>35.643868079051998</v>
      </c>
      <c r="BM48" s="29">
        <v>35.835599104427324</v>
      </c>
      <c r="BN48" s="29">
        <v>36.013712583902326</v>
      </c>
      <c r="BO48" s="29">
        <v>36.167118542814833</v>
      </c>
      <c r="BP48" s="29">
        <v>36.345924124515072</v>
      </c>
      <c r="BQ48" s="29">
        <v>36.512121121901423</v>
      </c>
      <c r="BR48" s="29">
        <v>36.675446126817903</v>
      </c>
      <c r="BS48" s="29">
        <v>36.819723625431301</v>
      </c>
      <c r="BT48" s="30">
        <v>36.976609510399577</v>
      </c>
      <c r="BU48" s="29">
        <v>37.123302263978005</v>
      </c>
      <c r="BV48" s="29">
        <v>37.290973436146288</v>
      </c>
      <c r="BW48" s="29">
        <v>37.453362569066584</v>
      </c>
      <c r="BX48" s="29">
        <v>37.606135031160953</v>
      </c>
      <c r="BY48" s="29">
        <v>37.769381696047645</v>
      </c>
      <c r="BZ48" s="29">
        <v>37.935195908519034</v>
      </c>
      <c r="CA48" s="29">
        <v>38.101184108270282</v>
      </c>
      <c r="CB48" s="29">
        <v>38.266160044620463</v>
      </c>
      <c r="CC48" s="29">
        <v>38.430122422400068</v>
      </c>
      <c r="CD48" s="29">
        <v>38.593071087543024</v>
      </c>
      <c r="CE48" s="29">
        <v>38.75500688314343</v>
      </c>
      <c r="CF48" s="29">
        <v>38.9159315196815</v>
      </c>
      <c r="CG48" s="29">
        <v>39.075847421968852</v>
      </c>
      <c r="CH48" s="29">
        <v>39.234757559355963</v>
      </c>
      <c r="CI48" s="29">
        <v>39.392665273861724</v>
      </c>
      <c r="CJ48" s="29">
        <v>39.549574098372979</v>
      </c>
      <c r="CK48" s="29">
        <v>39.705487539153324</v>
      </c>
      <c r="CL48" s="29">
        <v>39.860408902453166</v>
      </c>
      <c r="CM48" s="29">
        <v>40.014341176516425</v>
      </c>
      <c r="CN48" s="29">
        <v>40.167306868791059</v>
      </c>
      <c r="CO48" s="29">
        <v>40.319303729048542</v>
      </c>
      <c r="CP48" s="29">
        <v>40.470329708057889</v>
      </c>
      <c r="CQ48" s="29">
        <v>40.620382953664212</v>
      </c>
      <c r="CR48" s="29">
        <v>40.76946180691197</v>
      </c>
      <c r="CS48" s="29">
        <v>40.917564798213334</v>
      </c>
      <c r="CT48" s="29">
        <v>41.064690643561725</v>
      </c>
      <c r="CU48" s="29">
        <v>41.210838240794445</v>
      </c>
      <c r="CV48" s="29">
        <v>41.356006665900907</v>
      </c>
      <c r="CW48" s="29">
        <v>41.500195169379829</v>
      </c>
      <c r="CX48" s="29">
        <v>41.643403172645236</v>
      </c>
      <c r="CY48" s="29">
        <v>41.785630264480268</v>
      </c>
      <c r="CZ48" s="29">
        <v>41.926876197540622</v>
      </c>
      <c r="DA48" s="29">
        <v>42.067140884907644</v>
      </c>
      <c r="DB48" s="29">
        <v>42.206424396688973</v>
      </c>
      <c r="DC48" s="29">
        <v>42.344726956669035</v>
      </c>
      <c r="DD48" s="29">
        <v>42.48204893900828</v>
      </c>
      <c r="DE48" s="29">
        <v>42.618390864991483</v>
      </c>
      <c r="DF48" s="29">
        <v>42.753753399822592</v>
      </c>
      <c r="DG48" s="29">
        <v>42.888137349469673</v>
      </c>
      <c r="DH48" s="29">
        <v>43.021543657555654</v>
      </c>
      <c r="DI48" s="29">
        <v>43.153973402297233</v>
      </c>
      <c r="DJ48" s="29">
        <v>43.285427793490015</v>
      </c>
      <c r="DK48" s="29">
        <v>43.41590816953908</v>
      </c>
      <c r="DL48" s="29">
        <v>43.545415994536611</v>
      </c>
      <c r="DM48" s="29">
        <v>43.673952855382382</v>
      </c>
      <c r="DN48" s="29">
        <v>43.801520458950868</v>
      </c>
      <c r="DO48" s="29">
        <v>43.928120629300075</v>
      </c>
      <c r="DP48" s="29">
        <v>44.053755304924792</v>
      </c>
      <c r="DQ48" s="29">
        <v>44.178426536051518</v>
      </c>
      <c r="DR48" s="29">
        <v>44.302136481975189</v>
      </c>
      <c r="DS48">
        <v>44.424887408438174</v>
      </c>
      <c r="DT48">
        <v>44.546681685047503</v>
      </c>
      <c r="DU48">
        <v>44.667521782733822</v>
      </c>
    </row>
    <row r="49" spans="1:125">
      <c r="A49" s="27">
        <v>47</v>
      </c>
      <c r="B49" s="28"/>
      <c r="C49" s="28"/>
      <c r="D49" s="28"/>
      <c r="E49" s="28"/>
      <c r="F49" s="28"/>
      <c r="G49" s="28"/>
      <c r="H49" s="28"/>
      <c r="I49" s="28"/>
      <c r="J49" s="28"/>
      <c r="K49" s="28"/>
      <c r="L49" s="28"/>
      <c r="M49" s="28"/>
      <c r="N49" s="28"/>
      <c r="O49" s="28"/>
      <c r="P49" s="28"/>
      <c r="Q49" s="28"/>
      <c r="R49" s="28"/>
      <c r="S49" s="28"/>
      <c r="T49" s="28"/>
      <c r="U49" s="28"/>
      <c r="V49" s="29"/>
      <c r="W49" s="29">
        <v>28.33</v>
      </c>
      <c r="X49" s="29">
        <v>28.57</v>
      </c>
      <c r="Y49" s="29">
        <v>28.660475645772877</v>
      </c>
      <c r="Z49" s="29">
        <v>28.904693524451986</v>
      </c>
      <c r="AA49" s="29">
        <v>29.109762913262244</v>
      </c>
      <c r="AB49" s="29">
        <v>29.260403697215708</v>
      </c>
      <c r="AC49" s="29">
        <v>29.27699356074244</v>
      </c>
      <c r="AD49" s="29">
        <v>29.22738873822717</v>
      </c>
      <c r="AE49" s="29">
        <v>29.318168224056731</v>
      </c>
      <c r="AF49" s="29">
        <v>29.534985737770857</v>
      </c>
      <c r="AG49" s="29">
        <v>29.80662871594954</v>
      </c>
      <c r="AH49" s="29">
        <v>30.085672617193822</v>
      </c>
      <c r="AI49" s="29">
        <v>30.34354773310119</v>
      </c>
      <c r="AJ49" s="29">
        <v>30.64706233714535</v>
      </c>
      <c r="AK49" s="29">
        <v>30.933838156864844</v>
      </c>
      <c r="AL49" s="29">
        <v>31.283953042634696</v>
      </c>
      <c r="AM49" s="29">
        <v>31.590460546789696</v>
      </c>
      <c r="AN49" s="29">
        <v>31.79477757832009</v>
      </c>
      <c r="AO49" s="29">
        <v>31.929580204229303</v>
      </c>
      <c r="AP49" s="29">
        <v>32.08098883747104</v>
      </c>
      <c r="AQ49" s="29">
        <v>32.226239510876653</v>
      </c>
      <c r="AR49" s="29">
        <v>32.439511068114001</v>
      </c>
      <c r="AS49" s="29">
        <v>32.439311064851275</v>
      </c>
      <c r="AT49" s="29">
        <v>32.478808514441361</v>
      </c>
      <c r="AU49" s="29">
        <v>32.553106643470912</v>
      </c>
      <c r="AV49" s="29">
        <v>32.617401870669646</v>
      </c>
      <c r="AW49" s="29">
        <v>32.840694685355707</v>
      </c>
      <c r="AX49" s="29">
        <v>32.945844411153672</v>
      </c>
      <c r="AY49" s="29">
        <v>33.007941949132082</v>
      </c>
      <c r="AZ49" s="29">
        <v>33.064766427230005</v>
      </c>
      <c r="BA49" s="29">
        <v>33.123023993981604</v>
      </c>
      <c r="BB49" s="29">
        <v>33.214988909972575</v>
      </c>
      <c r="BC49" s="29">
        <v>33.315536741780726</v>
      </c>
      <c r="BD49" s="29">
        <v>33.435812916586471</v>
      </c>
      <c r="BE49" s="29">
        <v>33.586594307379919</v>
      </c>
      <c r="BF49" s="29">
        <v>33.746650165880965</v>
      </c>
      <c r="BG49" s="29">
        <v>33.872864291311004</v>
      </c>
      <c r="BH49" s="29">
        <v>34.070174857087729</v>
      </c>
      <c r="BI49" s="29">
        <v>34.202031218790758</v>
      </c>
      <c r="BJ49" s="29">
        <v>34.386337730090169</v>
      </c>
      <c r="BK49" s="29">
        <v>34.543850242337463</v>
      </c>
      <c r="BL49" s="29">
        <v>34.73843251093539</v>
      </c>
      <c r="BM49" s="29">
        <v>34.925297518995627</v>
      </c>
      <c r="BN49" s="29">
        <v>35.101852364745184</v>
      </c>
      <c r="BO49" s="29">
        <v>35.252844519286597</v>
      </c>
      <c r="BP49" s="29">
        <v>35.430808786703324</v>
      </c>
      <c r="BQ49" s="29">
        <v>35.592858137082814</v>
      </c>
      <c r="BR49" s="29">
        <v>35.756291993462412</v>
      </c>
      <c r="BS49" s="29">
        <v>35.899149779202389</v>
      </c>
      <c r="BT49" s="30">
        <v>36.05762922820044</v>
      </c>
      <c r="BU49" s="29">
        <v>36.203184662995049</v>
      </c>
      <c r="BV49" s="29">
        <v>36.36687347012888</v>
      </c>
      <c r="BW49" s="29">
        <v>36.528244759539277</v>
      </c>
      <c r="BX49" s="29">
        <v>36.68487854797484</v>
      </c>
      <c r="BY49" s="29">
        <v>36.853034000647028</v>
      </c>
      <c r="BZ49" s="29">
        <v>37.01865871940462</v>
      </c>
      <c r="CA49" s="29">
        <v>37.183292370862944</v>
      </c>
      <c r="CB49" s="29">
        <v>37.346932079354623</v>
      </c>
      <c r="CC49" s="29">
        <v>37.50957640888064</v>
      </c>
      <c r="CD49" s="29">
        <v>37.671225064172411</v>
      </c>
      <c r="CE49" s="29">
        <v>37.831878746404541</v>
      </c>
      <c r="CF49" s="29">
        <v>37.991539023148448</v>
      </c>
      <c r="CG49" s="29">
        <v>38.150208175037633</v>
      </c>
      <c r="CH49" s="29">
        <v>38.307889025703687</v>
      </c>
      <c r="CI49" s="29">
        <v>38.464584769671596</v>
      </c>
      <c r="CJ49" s="29">
        <v>38.620298790345529</v>
      </c>
      <c r="CK49" s="29">
        <v>38.775034442278468</v>
      </c>
      <c r="CL49" s="29">
        <v>38.928794877662355</v>
      </c>
      <c r="CM49" s="29">
        <v>39.081607113350032</v>
      </c>
      <c r="CN49" s="29">
        <v>39.23346854205225</v>
      </c>
      <c r="CO49" s="29">
        <v>39.38437676094815</v>
      </c>
      <c r="CP49" s="29">
        <v>39.534329567784837</v>
      </c>
      <c r="CQ49" s="29">
        <v>39.683324957018151</v>
      </c>
      <c r="CR49" s="29">
        <v>39.831361115997012</v>
      </c>
      <c r="CS49" s="29">
        <v>39.978436421191624</v>
      </c>
      <c r="CT49" s="29">
        <v>40.12454943446582</v>
      </c>
      <c r="CU49" s="29">
        <v>40.269698899397135</v>
      </c>
      <c r="CV49" s="29">
        <v>40.413883737641314</v>
      </c>
      <c r="CW49" s="29">
        <v>40.557103045344462</v>
      </c>
      <c r="CX49" s="29">
        <v>40.699356089602787</v>
      </c>
      <c r="CY49" s="29">
        <v>40.840642304968753</v>
      </c>
      <c r="CZ49" s="29">
        <v>40.980961290005681</v>
      </c>
      <c r="DA49" s="29">
        <v>41.120312803890577</v>
      </c>
      <c r="DB49" s="29">
        <v>41.258696763063227</v>
      </c>
      <c r="DC49" s="29">
        <v>41.396113237923807</v>
      </c>
      <c r="DD49" s="29">
        <v>41.532562449577952</v>
      </c>
      <c r="DE49" s="29">
        <v>41.668044766629464</v>
      </c>
      <c r="DF49" s="29">
        <v>41.802560702018312</v>
      </c>
      <c r="DG49" s="29">
        <v>41.936110909907356</v>
      </c>
      <c r="DH49" s="29">
        <v>42.068696182613621</v>
      </c>
      <c r="DI49" s="29">
        <v>42.200317447586272</v>
      </c>
      <c r="DJ49" s="29">
        <v>42.330975764429738</v>
      </c>
      <c r="DK49" s="29">
        <v>42.460672321970726</v>
      </c>
      <c r="DL49" s="29">
        <v>42.589408435371226</v>
      </c>
      <c r="DM49" s="29">
        <v>42.717185543282866</v>
      </c>
      <c r="DN49" s="29">
        <v>42.844005205046955</v>
      </c>
      <c r="DO49" s="29">
        <v>42.969869097934641</v>
      </c>
      <c r="DP49" s="29">
        <v>43.094779014430536</v>
      </c>
      <c r="DQ49" s="29">
        <v>43.218736859556657</v>
      </c>
      <c r="DR49" s="29">
        <v>43.341744648237032</v>
      </c>
      <c r="DS49">
        <v>43.463804502703354</v>
      </c>
      <c r="DT49">
        <v>43.584918649937755</v>
      </c>
      <c r="DU49">
        <v>43.705089419156153</v>
      </c>
    </row>
    <row r="50" spans="1:125">
      <c r="A50" s="27">
        <v>48</v>
      </c>
      <c r="B50" s="28"/>
      <c r="C50" s="28"/>
      <c r="D50" s="28"/>
      <c r="E50" s="28"/>
      <c r="F50" s="28"/>
      <c r="G50" s="28"/>
      <c r="H50" s="28"/>
      <c r="I50" s="28"/>
      <c r="J50" s="28"/>
      <c r="K50" s="28"/>
      <c r="L50" s="28"/>
      <c r="M50" s="28"/>
      <c r="N50" s="28"/>
      <c r="O50" s="28"/>
      <c r="P50" s="28"/>
      <c r="Q50" s="28"/>
      <c r="R50" s="28"/>
      <c r="S50" s="28"/>
      <c r="T50" s="28"/>
      <c r="U50" s="28"/>
      <c r="V50" s="29"/>
      <c r="W50" s="29">
        <v>27.48</v>
      </c>
      <c r="X50" s="29">
        <v>27.73</v>
      </c>
      <c r="Y50" s="29">
        <v>27.816309128292119</v>
      </c>
      <c r="Z50" s="29">
        <v>28.05894858447105</v>
      </c>
      <c r="AA50" s="29">
        <v>28.269571709577029</v>
      </c>
      <c r="AB50" s="29">
        <v>28.424822011391299</v>
      </c>
      <c r="AC50" s="29">
        <v>28.440131333806239</v>
      </c>
      <c r="AD50" s="29">
        <v>28.398668479995333</v>
      </c>
      <c r="AE50" s="29">
        <v>28.488766446497866</v>
      </c>
      <c r="AF50" s="29">
        <v>28.706066190607586</v>
      </c>
      <c r="AG50" s="29">
        <v>28.979908726591095</v>
      </c>
      <c r="AH50" s="29">
        <v>29.255306803714888</v>
      </c>
      <c r="AI50" s="29">
        <v>29.50884278076353</v>
      </c>
      <c r="AJ50" s="29">
        <v>29.811488635980556</v>
      </c>
      <c r="AK50" s="29">
        <v>30.094028816919284</v>
      </c>
      <c r="AL50" s="29">
        <v>30.443313630711824</v>
      </c>
      <c r="AM50" s="29">
        <v>30.749549827205851</v>
      </c>
      <c r="AN50" s="29">
        <v>30.944989451762396</v>
      </c>
      <c r="AO50" s="29">
        <v>31.080500256035133</v>
      </c>
      <c r="AP50" s="29">
        <v>31.230632053470831</v>
      </c>
      <c r="AQ50" s="29">
        <v>31.375513248828312</v>
      </c>
      <c r="AR50" s="29">
        <v>31.584383500199799</v>
      </c>
      <c r="AS50" s="29">
        <v>31.586282353600001</v>
      </c>
      <c r="AT50" s="29">
        <v>31.624680904106768</v>
      </c>
      <c r="AU50" s="29">
        <v>31.701291170704089</v>
      </c>
      <c r="AV50" s="29">
        <v>31.759442729157588</v>
      </c>
      <c r="AW50" s="29">
        <v>31.987980195283203</v>
      </c>
      <c r="AX50" s="29">
        <v>32.087152590365129</v>
      </c>
      <c r="AY50" s="29">
        <v>32.141956097718307</v>
      </c>
      <c r="AZ50" s="29">
        <v>32.195565726056898</v>
      </c>
      <c r="BA50" s="29">
        <v>32.249590746597953</v>
      </c>
      <c r="BB50" s="29">
        <v>32.345398727492338</v>
      </c>
      <c r="BC50" s="29">
        <v>32.441810104413221</v>
      </c>
      <c r="BD50" s="29">
        <v>32.566140872214291</v>
      </c>
      <c r="BE50" s="29">
        <v>32.717050465274603</v>
      </c>
      <c r="BF50" s="29">
        <v>32.866075626648694</v>
      </c>
      <c r="BG50" s="29">
        <v>32.992892439683899</v>
      </c>
      <c r="BH50" s="29">
        <v>33.185443018836096</v>
      </c>
      <c r="BI50" s="29">
        <v>33.31258155652597</v>
      </c>
      <c r="BJ50" s="29">
        <v>33.494082664786063</v>
      </c>
      <c r="BK50" s="29">
        <v>33.64673714918878</v>
      </c>
      <c r="BL50" s="29">
        <v>33.841163117201596</v>
      </c>
      <c r="BM50" s="29">
        <v>34.024232938360733</v>
      </c>
      <c r="BN50" s="29">
        <v>34.194668814001183</v>
      </c>
      <c r="BO50" s="29">
        <v>34.344692175144587</v>
      </c>
      <c r="BP50" s="29">
        <v>34.515542542732923</v>
      </c>
      <c r="BQ50" s="29">
        <v>34.685986383935784</v>
      </c>
      <c r="BR50" s="29">
        <v>34.839876468197602</v>
      </c>
      <c r="BS50" s="29">
        <v>34.98559939043988</v>
      </c>
      <c r="BT50" s="30">
        <v>35.141473282891205</v>
      </c>
      <c r="BU50" s="29">
        <v>35.288683424860359</v>
      </c>
      <c r="BV50" s="29">
        <v>35.447663001597796</v>
      </c>
      <c r="BW50" s="29">
        <v>35.615124889964605</v>
      </c>
      <c r="BX50" s="29">
        <v>35.777900457882382</v>
      </c>
      <c r="BY50" s="29">
        <v>35.943060600257233</v>
      </c>
      <c r="BZ50" s="29">
        <v>36.107253211534832</v>
      </c>
      <c r="CA50" s="29">
        <v>36.270473477582406</v>
      </c>
      <c r="CB50" s="29">
        <v>36.432718393087718</v>
      </c>
      <c r="CC50" s="29">
        <v>36.593986392552615</v>
      </c>
      <c r="CD50" s="29">
        <v>36.754277050545404</v>
      </c>
      <c r="CE50" s="29">
        <v>36.913590937037789</v>
      </c>
      <c r="CF50" s="29">
        <v>37.071929487060544</v>
      </c>
      <c r="CG50" s="29">
        <v>37.229294847062285</v>
      </c>
      <c r="CH50" s="29">
        <v>37.385689704548</v>
      </c>
      <c r="CI50" s="29">
        <v>37.541117115717206</v>
      </c>
      <c r="CJ50" s="29">
        <v>37.695580323214948</v>
      </c>
      <c r="CK50" s="29">
        <v>37.84908253813839</v>
      </c>
      <c r="CL50" s="29">
        <v>38.001655694387381</v>
      </c>
      <c r="CM50" s="29">
        <v>38.153296833218633</v>
      </c>
      <c r="CN50" s="29">
        <v>38.304003203412528</v>
      </c>
      <c r="CO50" s="29">
        <v>38.453772257401454</v>
      </c>
      <c r="CP50" s="29">
        <v>38.602601647438462</v>
      </c>
      <c r="CQ50" s="29">
        <v>38.750489221806028</v>
      </c>
      <c r="CR50" s="29">
        <v>38.897433021067293</v>
      </c>
      <c r="CS50" s="29">
        <v>39.043431274359975</v>
      </c>
      <c r="CT50" s="29">
        <v>39.188482395733267</v>
      </c>
      <c r="CU50" s="29">
        <v>39.332584980531209</v>
      </c>
      <c r="CV50" s="29">
        <v>39.475737801819221</v>
      </c>
      <c r="CW50" s="29">
        <v>39.617939806857052</v>
      </c>
      <c r="CX50" s="29">
        <v>39.759190113617962</v>
      </c>
      <c r="CY50" s="29">
        <v>39.899488007353064</v>
      </c>
      <c r="CZ50" s="29">
        <v>40.038832937202692</v>
      </c>
      <c r="DA50" s="29">
        <v>40.177224512854735</v>
      </c>
      <c r="DB50" s="29">
        <v>40.314662501247817</v>
      </c>
      <c r="DC50" s="29">
        <v>40.451146823321629</v>
      </c>
      <c r="DD50" s="29">
        <v>40.586677550813405</v>
      </c>
      <c r="DE50" s="29">
        <v>40.721254903100572</v>
      </c>
      <c r="DF50" s="29">
        <v>40.854879244087435</v>
      </c>
      <c r="DG50" s="29">
        <v>40.987551079139045</v>
      </c>
      <c r="DH50" s="29">
        <v>41.119271052058416</v>
      </c>
      <c r="DI50" s="29">
        <v>41.250039942108977</v>
      </c>
      <c r="DJ50" s="29">
        <v>41.379858661080817</v>
      </c>
      <c r="DK50" s="29">
        <v>41.5087282503995</v>
      </c>
      <c r="DL50" s="29">
        <v>41.636649878279478</v>
      </c>
      <c r="DM50" s="29">
        <v>41.763624836917607</v>
      </c>
      <c r="DN50" s="29">
        <v>41.889654539730913</v>
      </c>
      <c r="DO50" s="29">
        <v>42.014740518633239</v>
      </c>
      <c r="DP50" s="29">
        <v>42.138884421354071</v>
      </c>
      <c r="DQ50" s="29">
        <v>42.26208800879634</v>
      </c>
      <c r="DR50" s="29">
        <v>42.384353152433668</v>
      </c>
      <c r="DS50">
        <v>42.505681831747438</v>
      </c>
      <c r="DT50">
        <v>42.626076131699683</v>
      </c>
      <c r="DU50">
        <v>42.745538240245381</v>
      </c>
    </row>
    <row r="51" spans="1:125">
      <c r="A51" s="27">
        <v>49</v>
      </c>
      <c r="B51" s="28"/>
      <c r="C51" s="28"/>
      <c r="D51" s="28"/>
      <c r="E51" s="28"/>
      <c r="F51" s="28"/>
      <c r="G51" s="28"/>
      <c r="H51" s="28"/>
      <c r="I51" s="28"/>
      <c r="J51" s="28"/>
      <c r="K51" s="28"/>
      <c r="L51" s="28"/>
      <c r="M51" s="28"/>
      <c r="N51" s="28"/>
      <c r="O51" s="28"/>
      <c r="P51" s="28"/>
      <c r="Q51" s="28"/>
      <c r="R51" s="28"/>
      <c r="S51" s="28"/>
      <c r="T51" s="28"/>
      <c r="U51" s="28"/>
      <c r="V51" s="29"/>
      <c r="W51" s="29">
        <v>26.65</v>
      </c>
      <c r="X51" s="29">
        <v>26.9</v>
      </c>
      <c r="Y51" s="29">
        <v>26.98349520490703</v>
      </c>
      <c r="Z51" s="29">
        <v>27.231513430977127</v>
      </c>
      <c r="AA51" s="29">
        <v>27.438812081413214</v>
      </c>
      <c r="AB51" s="29">
        <v>27.598367626311738</v>
      </c>
      <c r="AC51" s="29">
        <v>27.612132815939809</v>
      </c>
      <c r="AD51" s="29">
        <v>27.571668321639173</v>
      </c>
      <c r="AE51" s="29">
        <v>27.668866226452099</v>
      </c>
      <c r="AF51" s="29">
        <v>27.890789275643261</v>
      </c>
      <c r="AG51" s="29">
        <v>28.157979643970091</v>
      </c>
      <c r="AH51" s="29">
        <v>28.435121439078415</v>
      </c>
      <c r="AI51" s="29">
        <v>28.686043827646955</v>
      </c>
      <c r="AJ51" s="29">
        <v>28.977812434308863</v>
      </c>
      <c r="AK51" s="29">
        <v>29.260561787763312</v>
      </c>
      <c r="AL51" s="29">
        <v>29.611339354263443</v>
      </c>
      <c r="AM51" s="29">
        <v>29.910811359441173</v>
      </c>
      <c r="AN51" s="29">
        <v>30.105769649775553</v>
      </c>
      <c r="AO51" s="29">
        <v>30.239255355661363</v>
      </c>
      <c r="AP51" s="29">
        <v>30.381727424137651</v>
      </c>
      <c r="AQ51" s="29">
        <v>30.532098348733921</v>
      </c>
      <c r="AR51" s="29">
        <v>30.738010777869889</v>
      </c>
      <c r="AS51" s="29">
        <v>30.742283764921417</v>
      </c>
      <c r="AT51" s="29">
        <v>30.786532278396173</v>
      </c>
      <c r="AU51" s="29">
        <v>30.855591102851523</v>
      </c>
      <c r="AV51" s="29">
        <v>30.906520378206643</v>
      </c>
      <c r="AW51" s="29">
        <v>31.133160729340425</v>
      </c>
      <c r="AX51" s="29">
        <v>31.227030578738848</v>
      </c>
      <c r="AY51" s="29">
        <v>31.278875107850336</v>
      </c>
      <c r="AZ51" s="29">
        <v>31.336328949229983</v>
      </c>
      <c r="BA51" s="29">
        <v>31.384633952051058</v>
      </c>
      <c r="BB51" s="29">
        <v>31.484210405132401</v>
      </c>
      <c r="BC51" s="29">
        <v>31.574738775220204</v>
      </c>
      <c r="BD51" s="29">
        <v>31.700821007101936</v>
      </c>
      <c r="BE51" s="29">
        <v>31.848718048681175</v>
      </c>
      <c r="BF51" s="29">
        <v>31.991157379889685</v>
      </c>
      <c r="BG51" s="29">
        <v>32.116801506207246</v>
      </c>
      <c r="BH51" s="29">
        <v>32.304793130077385</v>
      </c>
      <c r="BI51" s="29">
        <v>32.430420568032829</v>
      </c>
      <c r="BJ51" s="29">
        <v>32.606674237803631</v>
      </c>
      <c r="BK51" s="29">
        <v>32.75825492289362</v>
      </c>
      <c r="BL51" s="29">
        <v>32.949700651404264</v>
      </c>
      <c r="BM51" s="29">
        <v>33.123507216251859</v>
      </c>
      <c r="BN51" s="29">
        <v>33.292160393542623</v>
      </c>
      <c r="BO51" s="29">
        <v>33.442684505001971</v>
      </c>
      <c r="BP51" s="29">
        <v>33.613634871626395</v>
      </c>
      <c r="BQ51" s="29">
        <v>33.77834073036373</v>
      </c>
      <c r="BR51" s="29">
        <v>33.932044665179944</v>
      </c>
      <c r="BS51" s="29">
        <v>34.077212019154473</v>
      </c>
      <c r="BT51" s="30">
        <v>34.231377952775986</v>
      </c>
      <c r="BU51" s="29">
        <v>34.378078229086135</v>
      </c>
      <c r="BV51" s="29">
        <v>34.542471103591815</v>
      </c>
      <c r="BW51" s="29">
        <v>34.710535481219537</v>
      </c>
      <c r="BX51" s="29">
        <v>34.875120273048367</v>
      </c>
      <c r="BY51" s="29">
        <v>35.038763790079344</v>
      </c>
      <c r="BZ51" s="29">
        <v>35.201458935313966</v>
      </c>
      <c r="CA51" s="29">
        <v>35.363200775517882</v>
      </c>
      <c r="CB51" s="29">
        <v>35.523986187391976</v>
      </c>
      <c r="CC51" s="29">
        <v>35.683813487378217</v>
      </c>
      <c r="CD51" s="29">
        <v>35.842682131026109</v>
      </c>
      <c r="CE51" s="29">
        <v>36.000592567917629</v>
      </c>
      <c r="CF51" s="29">
        <v>36.157546110995838</v>
      </c>
      <c r="CG51" s="29">
        <v>36.313544782587016</v>
      </c>
      <c r="CH51" s="29">
        <v>36.468591143712082</v>
      </c>
      <c r="CI51" s="29">
        <v>36.622688121441762</v>
      </c>
      <c r="CJ51" s="29">
        <v>36.775838826388572</v>
      </c>
      <c r="CK51" s="29">
        <v>36.928080403024836</v>
      </c>
      <c r="CL51" s="29">
        <v>37.079409547739218</v>
      </c>
      <c r="CM51" s="29">
        <v>37.229823167051997</v>
      </c>
      <c r="CN51" s="29">
        <v>37.37931837378288</v>
      </c>
      <c r="CO51" s="29">
        <v>37.527892483255485</v>
      </c>
      <c r="CP51" s="29">
        <v>37.675543009541087</v>
      </c>
      <c r="CQ51" s="29">
        <v>37.8222676617414</v>
      </c>
      <c r="CR51" s="29">
        <v>37.968064340312743</v>
      </c>
      <c r="CS51" s="29">
        <v>38.112931133431744</v>
      </c>
      <c r="CT51" s="29">
        <v>38.256866313402831</v>
      </c>
      <c r="CU51" s="29">
        <v>38.399868333110909</v>
      </c>
      <c r="CV51" s="29">
        <v>38.541935822516031</v>
      </c>
      <c r="CW51" s="29">
        <v>38.683067585193086</v>
      </c>
      <c r="CX51" s="29">
        <v>38.8232625949165</v>
      </c>
      <c r="CY51" s="29">
        <v>38.962519992288634</v>
      </c>
      <c r="CZ51" s="29">
        <v>39.100839081413966</v>
      </c>
      <c r="DA51" s="29">
        <v>39.238219326618768</v>
      </c>
      <c r="DB51" s="29">
        <v>39.374660349214295</v>
      </c>
      <c r="DC51" s="29">
        <v>39.510161924305642</v>
      </c>
      <c r="DD51" s="29">
        <v>39.644723977645413</v>
      </c>
      <c r="DE51" s="29">
        <v>39.778346582532073</v>
      </c>
      <c r="DF51" s="29">
        <v>39.911029956750973</v>
      </c>
      <c r="DG51" s="29">
        <v>40.042774459561109</v>
      </c>
      <c r="DH51" s="29">
        <v>40.173580588723709</v>
      </c>
      <c r="DI51" s="29">
        <v>40.303448977574796</v>
      </c>
      <c r="DJ51" s="29">
        <v>40.432380392139997</v>
      </c>
      <c r="DK51" s="29">
        <v>40.560375728290573</v>
      </c>
      <c r="DL51" s="29">
        <v>40.687436008942576</v>
      </c>
      <c r="DM51" s="29">
        <v>40.813562381294787</v>
      </c>
      <c r="DN51" s="29">
        <v>40.938756114109431</v>
      </c>
      <c r="DO51" s="29">
        <v>41.063018595030485</v>
      </c>
      <c r="DP51" s="29">
        <v>41.186351327942724</v>
      </c>
      <c r="DQ51" s="29">
        <v>41.308755930368449</v>
      </c>
      <c r="DR51" s="29">
        <v>41.430234130902249</v>
      </c>
      <c r="DS51">
        <v>41.550787766684387</v>
      </c>
      <c r="DT51">
        <v>41.670418780908548</v>
      </c>
      <c r="DU51">
        <v>41.78912922036789</v>
      </c>
    </row>
    <row r="52" spans="1:125">
      <c r="A52" s="27">
        <v>50</v>
      </c>
      <c r="B52" s="28"/>
      <c r="C52" s="28"/>
      <c r="D52" s="28"/>
      <c r="E52" s="28"/>
      <c r="F52" s="28"/>
      <c r="G52" s="28"/>
      <c r="H52" s="28"/>
      <c r="I52" s="28"/>
      <c r="J52" s="28"/>
      <c r="K52" s="28"/>
      <c r="L52" s="28"/>
      <c r="M52" s="28"/>
      <c r="N52" s="28"/>
      <c r="O52" s="28"/>
      <c r="P52" s="28"/>
      <c r="Q52" s="28"/>
      <c r="R52" s="28"/>
      <c r="S52" s="28"/>
      <c r="T52" s="28"/>
      <c r="U52" s="28"/>
      <c r="V52" s="29"/>
      <c r="W52" s="29">
        <v>25.83</v>
      </c>
      <c r="X52" s="29">
        <v>26.07</v>
      </c>
      <c r="Y52" s="29">
        <v>26.164539737231934</v>
      </c>
      <c r="Z52" s="29">
        <v>26.413498386987264</v>
      </c>
      <c r="AA52" s="29">
        <v>26.623778211836562</v>
      </c>
      <c r="AB52" s="29">
        <v>26.783662151627841</v>
      </c>
      <c r="AC52" s="29">
        <v>26.791379043987327</v>
      </c>
      <c r="AD52" s="29">
        <v>26.756953380642191</v>
      </c>
      <c r="AE52" s="29">
        <v>26.862553399484117</v>
      </c>
      <c r="AF52" s="29">
        <v>27.08447578520596</v>
      </c>
      <c r="AG52" s="29">
        <v>27.349654217786345</v>
      </c>
      <c r="AH52" s="29">
        <v>27.624433246362749</v>
      </c>
      <c r="AI52" s="29">
        <v>27.868929729498028</v>
      </c>
      <c r="AJ52" s="29">
        <v>28.153754004632866</v>
      </c>
      <c r="AK52" s="29">
        <v>28.436942794598298</v>
      </c>
      <c r="AL52" s="29">
        <v>28.784186809350064</v>
      </c>
      <c r="AM52" s="29">
        <v>29.078611135861667</v>
      </c>
      <c r="AN52" s="29">
        <v>29.270601029457705</v>
      </c>
      <c r="AO52" s="29">
        <v>29.403395267042889</v>
      </c>
      <c r="AP52" s="29">
        <v>29.546638394035366</v>
      </c>
      <c r="AQ52" s="29">
        <v>29.706987442539891</v>
      </c>
      <c r="AR52" s="29">
        <v>29.899132270400596</v>
      </c>
      <c r="AS52" s="29">
        <v>29.908586683014899</v>
      </c>
      <c r="AT52" s="29">
        <v>29.949703158755643</v>
      </c>
      <c r="AU52" s="29">
        <v>30.020643362620561</v>
      </c>
      <c r="AV52" s="29">
        <v>30.068316302168682</v>
      </c>
      <c r="AW52" s="29">
        <v>30.284022066151671</v>
      </c>
      <c r="AX52" s="29">
        <v>30.370442529701428</v>
      </c>
      <c r="AY52" s="29">
        <v>30.419056617105561</v>
      </c>
      <c r="AZ52" s="29">
        <v>30.481513653688808</v>
      </c>
      <c r="BA52" s="29">
        <v>30.527471865502587</v>
      </c>
      <c r="BB52" s="29">
        <v>30.625715997273435</v>
      </c>
      <c r="BC52" s="29">
        <v>30.717787410333894</v>
      </c>
      <c r="BD52" s="29">
        <v>30.84157076321047</v>
      </c>
      <c r="BE52" s="29">
        <v>30.982784088439875</v>
      </c>
      <c r="BF52" s="29">
        <v>31.122581171542929</v>
      </c>
      <c r="BG52" s="29">
        <v>31.248915166279172</v>
      </c>
      <c r="BH52" s="29">
        <v>31.429115633691918</v>
      </c>
      <c r="BI52" s="29">
        <v>31.552904919994418</v>
      </c>
      <c r="BJ52" s="29">
        <v>31.726187956598377</v>
      </c>
      <c r="BK52" s="29">
        <v>31.874695166866672</v>
      </c>
      <c r="BL52" s="29">
        <v>32.062167988662218</v>
      </c>
      <c r="BM52" s="29">
        <v>32.235219253943548</v>
      </c>
      <c r="BN52" s="29">
        <v>32.398775051669922</v>
      </c>
      <c r="BO52" s="29">
        <v>32.547558929523831</v>
      </c>
      <c r="BP52" s="29">
        <v>32.716654177671998</v>
      </c>
      <c r="BQ52" s="29">
        <v>32.878096762855947</v>
      </c>
      <c r="BR52" s="29">
        <v>33.028403044258383</v>
      </c>
      <c r="BS52" s="29">
        <v>33.175267362123826</v>
      </c>
      <c r="BT52" s="30">
        <v>33.325937233965711</v>
      </c>
      <c r="BU52" s="29">
        <v>33.485632392024712</v>
      </c>
      <c r="BV52" s="29">
        <v>33.651567403664473</v>
      </c>
      <c r="BW52" s="29">
        <v>33.815458068098351</v>
      </c>
      <c r="BX52" s="29">
        <v>33.978436772310495</v>
      </c>
      <c r="BY52" s="29">
        <v>34.140493806785237</v>
      </c>
      <c r="BZ52" s="29">
        <v>34.301621965097318</v>
      </c>
      <c r="CA52" s="29">
        <v>34.461816207001753</v>
      </c>
      <c r="CB52" s="29">
        <v>34.621073303200774</v>
      </c>
      <c r="CC52" s="29">
        <v>34.779391463850082</v>
      </c>
      <c r="CD52" s="29">
        <v>34.936770036954876</v>
      </c>
      <c r="CE52" s="29">
        <v>35.093209362842629</v>
      </c>
      <c r="CF52" s="29">
        <v>35.248710643132206</v>
      </c>
      <c r="CG52" s="29">
        <v>35.403275786385798</v>
      </c>
      <c r="CH52" s="29">
        <v>35.556907237060422</v>
      </c>
      <c r="CI52" s="29">
        <v>35.709607802551155</v>
      </c>
      <c r="CJ52" s="29">
        <v>35.861419966180783</v>
      </c>
      <c r="CK52" s="29">
        <v>36.012340087307507</v>
      </c>
      <c r="CL52" s="29">
        <v>36.162364737550568</v>
      </c>
      <c r="CM52" s="29">
        <v>36.311490697007187</v>
      </c>
      <c r="CN52" s="29">
        <v>36.459714950503525</v>
      </c>
      <c r="CO52" s="29">
        <v>36.607034683881558</v>
      </c>
      <c r="CP52" s="29">
        <v>36.753447280324103</v>
      </c>
      <c r="CQ52" s="29">
        <v>36.898950316717865</v>
      </c>
      <c r="CR52" s="29">
        <v>37.043541560056859</v>
      </c>
      <c r="CS52" s="29">
        <v>37.187218963886089</v>
      </c>
      <c r="CT52" s="29">
        <v>37.329980664785914</v>
      </c>
      <c r="CU52" s="29">
        <v>37.471824978900308</v>
      </c>
      <c r="CV52" s="29">
        <v>37.612750398505824</v>
      </c>
      <c r="CW52" s="29">
        <v>37.752755588624346</v>
      </c>
      <c r="CX52" s="29">
        <v>37.891839383679418</v>
      </c>
      <c r="CY52" s="29">
        <v>38.03000078419489</v>
      </c>
      <c r="CZ52" s="29">
        <v>38.167238953538089</v>
      </c>
      <c r="DA52" s="29">
        <v>38.303553214706866</v>
      </c>
      <c r="DB52" s="29">
        <v>38.438943047158865</v>
      </c>
      <c r="DC52" s="29">
        <v>38.573408083684974</v>
      </c>
      <c r="DD52" s="29">
        <v>38.706948107326106</v>
      </c>
      <c r="DE52" s="29">
        <v>38.839563048333197</v>
      </c>
      <c r="DF52" s="29">
        <v>38.971252981168405</v>
      </c>
      <c r="DG52" s="29">
        <v>39.102018121550557</v>
      </c>
      <c r="DH52" s="29">
        <v>39.231858823540961</v>
      </c>
      <c r="DI52" s="29">
        <v>39.360775576671642</v>
      </c>
      <c r="DJ52" s="29">
        <v>39.488769003114427</v>
      </c>
      <c r="DK52" s="29">
        <v>39.615839854889686</v>
      </c>
      <c r="DL52" s="29">
        <v>39.741989011116836</v>
      </c>
      <c r="DM52" s="29">
        <v>39.867217475301992</v>
      </c>
      <c r="DN52" s="29">
        <v>39.991526372667138</v>
      </c>
      <c r="DO52" s="29">
        <v>40.114916947515269</v>
      </c>
      <c r="DP52" s="29">
        <v>40.237390560634935</v>
      </c>
      <c r="DQ52" s="29">
        <v>40.358948686740995</v>
      </c>
      <c r="DR52" s="29">
        <v>40.479592911952061</v>
      </c>
      <c r="DS52">
        <v>40.599324931305048</v>
      </c>
      <c r="DT52">
        <v>40.718146546302847</v>
      </c>
      <c r="DU52">
        <v>40.836059662498833</v>
      </c>
    </row>
    <row r="53" spans="1:125">
      <c r="A53" s="27">
        <v>51</v>
      </c>
      <c r="B53" s="28"/>
      <c r="C53" s="28"/>
      <c r="D53" s="28"/>
      <c r="E53" s="28"/>
      <c r="F53" s="28"/>
      <c r="G53" s="28"/>
      <c r="H53" s="28"/>
      <c r="I53" s="28"/>
      <c r="J53" s="28"/>
      <c r="K53" s="28"/>
      <c r="L53" s="28"/>
      <c r="M53" s="28"/>
      <c r="N53" s="28"/>
      <c r="O53" s="28"/>
      <c r="P53" s="28"/>
      <c r="Q53" s="28"/>
      <c r="R53" s="28"/>
      <c r="S53" s="28"/>
      <c r="T53" s="28"/>
      <c r="U53" s="28"/>
      <c r="V53" s="29"/>
      <c r="W53" s="29">
        <v>25.02</v>
      </c>
      <c r="X53" s="29">
        <v>25.26</v>
      </c>
      <c r="Y53" s="29">
        <v>25.349970369498276</v>
      </c>
      <c r="Z53" s="29">
        <v>25.606528353466672</v>
      </c>
      <c r="AA53" s="29">
        <v>25.817083311235983</v>
      </c>
      <c r="AB53" s="29">
        <v>25.977393065948309</v>
      </c>
      <c r="AC53" s="29">
        <v>25.991003637259951</v>
      </c>
      <c r="AD53" s="29">
        <v>25.952641151664562</v>
      </c>
      <c r="AE53" s="29">
        <v>26.066012852972275</v>
      </c>
      <c r="AF53" s="29">
        <v>26.288106887116275</v>
      </c>
      <c r="AG53" s="29">
        <v>26.548569686179352</v>
      </c>
      <c r="AH53" s="29">
        <v>26.825877123143663</v>
      </c>
      <c r="AI53" s="29">
        <v>27.06855495416389</v>
      </c>
      <c r="AJ53" s="29">
        <v>27.345268489251524</v>
      </c>
      <c r="AK53" s="29">
        <v>27.624634040143636</v>
      </c>
      <c r="AL53" s="29">
        <v>27.969407494034641</v>
      </c>
      <c r="AM53" s="29">
        <v>28.257927452007436</v>
      </c>
      <c r="AN53" s="29">
        <v>28.450995361406203</v>
      </c>
      <c r="AO53" s="29">
        <v>28.582571596136759</v>
      </c>
      <c r="AP53" s="29">
        <v>28.732048824927155</v>
      </c>
      <c r="AQ53" s="29">
        <v>28.892422508225572</v>
      </c>
      <c r="AR53" s="29">
        <v>29.074472173204843</v>
      </c>
      <c r="AS53" s="29">
        <v>29.085175765061791</v>
      </c>
      <c r="AT53" s="29">
        <v>29.120623244666071</v>
      </c>
      <c r="AU53" s="29">
        <v>29.195576036251381</v>
      </c>
      <c r="AV53" s="29">
        <v>29.228371355958721</v>
      </c>
      <c r="AW53" s="29">
        <v>29.443516101762732</v>
      </c>
      <c r="AX53" s="29">
        <v>29.518376031606625</v>
      </c>
      <c r="AY53" s="29">
        <v>29.572703945802804</v>
      </c>
      <c r="AZ53" s="29">
        <v>29.62844317526115</v>
      </c>
      <c r="BA53" s="29">
        <v>29.679101883626274</v>
      </c>
      <c r="BB53" s="29">
        <v>29.775383482489541</v>
      </c>
      <c r="BC53" s="29">
        <v>29.868122370984395</v>
      </c>
      <c r="BD53" s="29">
        <v>29.985603537261134</v>
      </c>
      <c r="BE53" s="29">
        <v>30.121881073885554</v>
      </c>
      <c r="BF53" s="29">
        <v>30.25781242666671</v>
      </c>
      <c r="BG53" s="29">
        <v>30.383625536305704</v>
      </c>
      <c r="BH53" s="29">
        <v>30.558257228444642</v>
      </c>
      <c r="BI53" s="29">
        <v>30.680872201997371</v>
      </c>
      <c r="BJ53" s="29">
        <v>30.852360167792465</v>
      </c>
      <c r="BK53" s="29">
        <v>30.998278770582818</v>
      </c>
      <c r="BL53" s="29">
        <v>31.180619987373021</v>
      </c>
      <c r="BM53" s="29">
        <v>31.346638162065972</v>
      </c>
      <c r="BN53" s="29">
        <v>31.51427330422273</v>
      </c>
      <c r="BO53" s="29">
        <v>31.658854521502743</v>
      </c>
      <c r="BP53" s="29">
        <v>31.822127947679519</v>
      </c>
      <c r="BQ53" s="29">
        <v>31.986147565202213</v>
      </c>
      <c r="BR53" s="29">
        <v>32.132811084994863</v>
      </c>
      <c r="BS53" s="29">
        <v>32.276935667200313</v>
      </c>
      <c r="BT53" s="30">
        <v>32.436933405559294</v>
      </c>
      <c r="BU53" s="29">
        <v>32.601458264257495</v>
      </c>
      <c r="BV53" s="29">
        <v>32.76453035348456</v>
      </c>
      <c r="BW53" s="29">
        <v>32.926723110559102</v>
      </c>
      <c r="BX53" s="29">
        <v>33.08802393776822</v>
      </c>
      <c r="BY53" s="29">
        <v>33.248423024585321</v>
      </c>
      <c r="BZ53" s="29">
        <v>33.40791306767602</v>
      </c>
      <c r="CA53" s="29">
        <v>33.56648893234351</v>
      </c>
      <c r="CB53" s="29">
        <v>33.724147295761149</v>
      </c>
      <c r="CC53" s="29">
        <v>33.880886274057609</v>
      </c>
      <c r="CD53" s="29">
        <v>34.036705119651181</v>
      </c>
      <c r="CE53" s="29">
        <v>34.191604075226593</v>
      </c>
      <c r="CF53" s="29">
        <v>34.345584242309386</v>
      </c>
      <c r="CG53" s="29">
        <v>34.49864742651112</v>
      </c>
      <c r="CH53" s="29">
        <v>34.65079596608534</v>
      </c>
      <c r="CI53" s="29">
        <v>34.802077606639649</v>
      </c>
      <c r="CJ53" s="29">
        <v>34.952488379805772</v>
      </c>
      <c r="CK53" s="29">
        <v>35.102024531098309</v>
      </c>
      <c r="CL53" s="29">
        <v>35.250682516189485</v>
      </c>
      <c r="CM53" s="29">
        <v>35.398458997216565</v>
      </c>
      <c r="CN53" s="29">
        <v>35.545350839122342</v>
      </c>
      <c r="CO53" s="29">
        <v>35.69135510603067</v>
      </c>
      <c r="CP53" s="29">
        <v>35.836469057659272</v>
      </c>
      <c r="CQ53" s="29">
        <v>35.980690145769415</v>
      </c>
      <c r="CR53" s="29">
        <v>36.124016010654962</v>
      </c>
      <c r="CS53" s="29">
        <v>36.266444477670525</v>
      </c>
      <c r="CT53" s="29">
        <v>36.407973553799003</v>
      </c>
      <c r="CU53" s="29">
        <v>36.548601424261918</v>
      </c>
      <c r="CV53" s="29">
        <v>36.688326449169004</v>
      </c>
      <c r="CW53" s="29">
        <v>36.827147160210373</v>
      </c>
      <c r="CX53" s="29">
        <v>36.965062257390798</v>
      </c>
      <c r="CY53" s="29">
        <v>37.102070605804968</v>
      </c>
      <c r="CZ53" s="29">
        <v>37.238171232455805</v>
      </c>
      <c r="DA53" s="29">
        <v>37.373363323115186</v>
      </c>
      <c r="DB53" s="29">
        <v>37.507646219225485</v>
      </c>
      <c r="DC53" s="29">
        <v>37.64101941484369</v>
      </c>
      <c r="DD53" s="29">
        <v>37.773482553627424</v>
      </c>
      <c r="DE53" s="29">
        <v>37.905035425862614</v>
      </c>
      <c r="DF53" s="29">
        <v>38.035677965530851</v>
      </c>
      <c r="DG53" s="29">
        <v>38.165410247419445</v>
      </c>
      <c r="DH53" s="29">
        <v>38.29423248427031</v>
      </c>
      <c r="DI53" s="29">
        <v>38.422145023969669</v>
      </c>
      <c r="DJ53" s="29">
        <v>38.549148346777187</v>
      </c>
      <c r="DK53" s="29">
        <v>38.675243062593047</v>
      </c>
      <c r="DL53" s="29">
        <v>38.800429908265393</v>
      </c>
      <c r="DM53" s="29">
        <v>38.924709744933303</v>
      </c>
      <c r="DN53" s="29">
        <v>39.048083555409733</v>
      </c>
      <c r="DO53" s="29">
        <v>39.170552441599</v>
      </c>
      <c r="DP53" s="29">
        <v>39.292117621952073</v>
      </c>
      <c r="DQ53" s="29">
        <v>39.41278042895663</v>
      </c>
      <c r="DR53" s="29">
        <v>39.532542306662251</v>
      </c>
      <c r="DS53">
        <v>39.651404808241324</v>
      </c>
      <c r="DT53">
        <v>39.769369593581558</v>
      </c>
      <c r="DU53">
        <v>39.886438426913941</v>
      </c>
    </row>
    <row r="54" spans="1:125">
      <c r="A54" s="27">
        <v>52</v>
      </c>
      <c r="B54" s="28"/>
      <c r="C54" s="28"/>
      <c r="D54" s="28"/>
      <c r="E54" s="28"/>
      <c r="F54" s="28"/>
      <c r="G54" s="28"/>
      <c r="H54" s="28"/>
      <c r="I54" s="28"/>
      <c r="J54" s="28"/>
      <c r="K54" s="28"/>
      <c r="L54" s="28"/>
      <c r="M54" s="28"/>
      <c r="N54" s="28"/>
      <c r="O54" s="28"/>
      <c r="P54" s="28"/>
      <c r="Q54" s="28"/>
      <c r="R54" s="28"/>
      <c r="S54" s="28"/>
      <c r="T54" s="28"/>
      <c r="U54" s="28"/>
      <c r="V54" s="29"/>
      <c r="W54" s="29">
        <v>24.22</v>
      </c>
      <c r="X54" s="29">
        <v>24.46</v>
      </c>
      <c r="Y54" s="29">
        <v>24.569429920302888</v>
      </c>
      <c r="Z54" s="29">
        <v>24.814453020226637</v>
      </c>
      <c r="AA54" s="29">
        <v>25.019528591374641</v>
      </c>
      <c r="AB54" s="29">
        <v>25.186208996280918</v>
      </c>
      <c r="AC54" s="29">
        <v>25.196341016875348</v>
      </c>
      <c r="AD54" s="29">
        <v>25.160462813365719</v>
      </c>
      <c r="AE54" s="29">
        <v>25.27606576166303</v>
      </c>
      <c r="AF54" s="29">
        <v>25.499342662339007</v>
      </c>
      <c r="AG54" s="29">
        <v>25.756647183508857</v>
      </c>
      <c r="AH54" s="29">
        <v>26.028108935165708</v>
      </c>
      <c r="AI54" s="29">
        <v>26.269491307086508</v>
      </c>
      <c r="AJ54" s="29">
        <v>26.546199702429575</v>
      </c>
      <c r="AK54" s="29">
        <v>26.824278058302831</v>
      </c>
      <c r="AL54" s="29">
        <v>27.154907540834376</v>
      </c>
      <c r="AM54" s="29">
        <v>27.444250443910263</v>
      </c>
      <c r="AN54" s="29">
        <v>27.637419466128698</v>
      </c>
      <c r="AO54" s="29">
        <v>27.777305064724199</v>
      </c>
      <c r="AP54" s="29">
        <v>27.920438312534738</v>
      </c>
      <c r="AQ54" s="29">
        <v>28.074735090236508</v>
      </c>
      <c r="AR54" s="29">
        <v>28.25050767706519</v>
      </c>
      <c r="AS54" s="29">
        <v>28.265389443317957</v>
      </c>
      <c r="AT54" s="29">
        <v>28.302178977212073</v>
      </c>
      <c r="AU54" s="29">
        <v>28.366802895838941</v>
      </c>
      <c r="AV54" s="29">
        <v>28.397274442868245</v>
      </c>
      <c r="AW54" s="29">
        <v>28.604910331241403</v>
      </c>
      <c r="AX54" s="29">
        <v>28.678519609084162</v>
      </c>
      <c r="AY54" s="29">
        <v>28.726009352124532</v>
      </c>
      <c r="AZ54" s="29">
        <v>28.788102653869522</v>
      </c>
      <c r="BA54" s="29">
        <v>28.832104746625905</v>
      </c>
      <c r="BB54" s="29">
        <v>28.926862948810736</v>
      </c>
      <c r="BC54" s="29">
        <v>29.017646857423397</v>
      </c>
      <c r="BD54" s="29">
        <v>29.139981396438724</v>
      </c>
      <c r="BE54" s="29">
        <v>29.27120568138449</v>
      </c>
      <c r="BF54" s="29">
        <v>29.3999473891141</v>
      </c>
      <c r="BG54" s="29">
        <v>29.529352968975623</v>
      </c>
      <c r="BH54" s="29">
        <v>29.700906535657701</v>
      </c>
      <c r="BI54" s="29">
        <v>29.826893732854238</v>
      </c>
      <c r="BJ54" s="29">
        <v>29.984397857061129</v>
      </c>
      <c r="BK54" s="29">
        <v>30.128442943890281</v>
      </c>
      <c r="BL54" s="29">
        <v>30.30695083956784</v>
      </c>
      <c r="BM54" s="29">
        <v>30.469043310888516</v>
      </c>
      <c r="BN54" s="29">
        <v>30.629966394136918</v>
      </c>
      <c r="BO54" s="29">
        <v>30.776266854548844</v>
      </c>
      <c r="BP54" s="29">
        <v>30.938157307624707</v>
      </c>
      <c r="BQ54" s="29">
        <v>31.097819079545378</v>
      </c>
      <c r="BR54" s="29">
        <v>31.243705295058287</v>
      </c>
      <c r="BS54" s="29">
        <v>31.396436319734011</v>
      </c>
      <c r="BT54" s="30">
        <v>31.560503567249043</v>
      </c>
      <c r="BU54" s="29">
        <v>31.722629159214289</v>
      </c>
      <c r="BV54" s="29">
        <v>31.883911484810532</v>
      </c>
      <c r="BW54" s="29">
        <v>32.04433489270567</v>
      </c>
      <c r="BX54" s="29">
        <v>32.203886690888943</v>
      </c>
      <c r="BY54" s="29">
        <v>32.362556980611458</v>
      </c>
      <c r="BZ54" s="29">
        <v>32.520338374628899</v>
      </c>
      <c r="CA54" s="29">
        <v>32.677225656854169</v>
      </c>
      <c r="CB54" s="29">
        <v>32.833215423916819</v>
      </c>
      <c r="CC54" s="29">
        <v>32.988305710697908</v>
      </c>
      <c r="CD54" s="29">
        <v>33.142495686505242</v>
      </c>
      <c r="CE54" s="29">
        <v>33.295785508507699</v>
      </c>
      <c r="CF54" s="29">
        <v>33.448176189877039</v>
      </c>
      <c r="CG54" s="29">
        <v>33.59966944458764</v>
      </c>
      <c r="CH54" s="29">
        <v>33.750318039932026</v>
      </c>
      <c r="CI54" s="29">
        <v>33.900117690677135</v>
      </c>
      <c r="CJ54" s="29">
        <v>34.049064326559595</v>
      </c>
      <c r="CK54" s="29">
        <v>34.19715408862794</v>
      </c>
      <c r="CL54" s="29">
        <v>34.344383325614935</v>
      </c>
      <c r="CM54" s="29">
        <v>34.490748590341745</v>
      </c>
      <c r="CN54" s="29">
        <v>34.636246636154581</v>
      </c>
      <c r="CO54" s="29">
        <v>34.780874413395395</v>
      </c>
      <c r="CP54" s="29">
        <v>34.924629065908881</v>
      </c>
      <c r="CQ54" s="29">
        <v>35.067507927585453</v>
      </c>
      <c r="CR54" s="29">
        <v>35.209508518942364</v>
      </c>
      <c r="CS54" s="29">
        <v>35.350628543742879</v>
      </c>
      <c r="CT54" s="29">
        <v>35.49086588565352</v>
      </c>
      <c r="CU54" s="29">
        <v>35.630218604942939</v>
      </c>
      <c r="CV54" s="29">
        <v>35.768684935218687</v>
      </c>
      <c r="CW54" s="29">
        <v>35.90626328020516</v>
      </c>
      <c r="CX54" s="29">
        <v>36.042952210562284</v>
      </c>
      <c r="CY54" s="29">
        <v>36.178750460743814</v>
      </c>
      <c r="CZ54" s="29">
        <v>36.313656925897057</v>
      </c>
      <c r="DA54" s="29">
        <v>36.447670658803681</v>
      </c>
      <c r="DB54" s="29">
        <v>36.580790866859708</v>
      </c>
      <c r="DC54" s="29">
        <v>36.71301690909651</v>
      </c>
      <c r="DD54" s="29">
        <v>36.844348293242277</v>
      </c>
      <c r="DE54" s="29">
        <v>36.974784672823418</v>
      </c>
      <c r="DF54" s="29">
        <v>37.104325844304142</v>
      </c>
      <c r="DG54" s="29">
        <v>37.232971744267097</v>
      </c>
      <c r="DH54" s="29">
        <v>37.360722446631229</v>
      </c>
      <c r="DI54" s="29">
        <v>37.487578159908871</v>
      </c>
      <c r="DJ54" s="29">
        <v>37.613539224500599</v>
      </c>
      <c r="DK54" s="29">
        <v>37.738606110026502</v>
      </c>
      <c r="DL54" s="29">
        <v>37.862779412696071</v>
      </c>
      <c r="DM54" s="29">
        <v>37.98605985271216</v>
      </c>
      <c r="DN54" s="29">
        <v>38.108448271713172</v>
      </c>
      <c r="DO54" s="29">
        <v>38.229945630248324</v>
      </c>
      <c r="DP54" s="29">
        <v>38.350553005288987</v>
      </c>
      <c r="DQ54" s="29">
        <v>38.470271587773361</v>
      </c>
      <c r="DR54" s="29">
        <v>38.589102680184595</v>
      </c>
      <c r="DS54">
        <v>38.707047694163187</v>
      </c>
      <c r="DT54">
        <v>38.82410814814935</v>
      </c>
      <c r="DU54">
        <v>38.940285665059342</v>
      </c>
    </row>
    <row r="55" spans="1:125">
      <c r="A55" s="27">
        <v>53</v>
      </c>
      <c r="B55" s="28"/>
      <c r="C55" s="28"/>
      <c r="D55" s="28"/>
      <c r="E55" s="28"/>
      <c r="F55" s="28"/>
      <c r="G55" s="28"/>
      <c r="H55" s="28"/>
      <c r="I55" s="28"/>
      <c r="J55" s="28"/>
      <c r="K55" s="28"/>
      <c r="L55" s="28"/>
      <c r="M55" s="28"/>
      <c r="N55" s="28"/>
      <c r="O55" s="28"/>
      <c r="P55" s="28"/>
      <c r="Q55" s="28"/>
      <c r="R55" s="28"/>
      <c r="S55" s="28"/>
      <c r="T55" s="28"/>
      <c r="U55" s="28"/>
      <c r="V55" s="29"/>
      <c r="W55" s="29">
        <v>23.44</v>
      </c>
      <c r="X55" s="29">
        <v>23.68</v>
      </c>
      <c r="Y55" s="29">
        <v>23.787968305721421</v>
      </c>
      <c r="Z55" s="29">
        <v>24.024885837332189</v>
      </c>
      <c r="AA55" s="29">
        <v>24.233672341971577</v>
      </c>
      <c r="AB55" s="29">
        <v>24.402167228077563</v>
      </c>
      <c r="AC55" s="29">
        <v>24.422015180939397</v>
      </c>
      <c r="AD55" s="29">
        <v>24.385309131859401</v>
      </c>
      <c r="AE55" s="29">
        <v>24.498668573328136</v>
      </c>
      <c r="AF55" s="29">
        <v>24.719764120649344</v>
      </c>
      <c r="AG55" s="29">
        <v>24.971474266831425</v>
      </c>
      <c r="AH55" s="29">
        <v>25.240538891731752</v>
      </c>
      <c r="AI55" s="29">
        <v>25.482093385392755</v>
      </c>
      <c r="AJ55" s="29">
        <v>25.755853441639605</v>
      </c>
      <c r="AK55" s="29">
        <v>26.032362487557503</v>
      </c>
      <c r="AL55" s="29">
        <v>26.351145839767476</v>
      </c>
      <c r="AM55" s="29">
        <v>26.63791075675892</v>
      </c>
      <c r="AN55" s="29">
        <v>26.83960056266957</v>
      </c>
      <c r="AO55" s="29">
        <v>26.976860107374659</v>
      </c>
      <c r="AP55" s="29">
        <v>27.117584718985427</v>
      </c>
      <c r="AQ55" s="29">
        <v>27.268464490163733</v>
      </c>
      <c r="AR55" s="29">
        <v>27.444786567105425</v>
      </c>
      <c r="AS55" s="29">
        <v>27.452932524559213</v>
      </c>
      <c r="AT55" s="29">
        <v>27.491811582476231</v>
      </c>
      <c r="AU55" s="29">
        <v>27.545198560404394</v>
      </c>
      <c r="AV55" s="29">
        <v>27.566703751765466</v>
      </c>
      <c r="AW55" s="29">
        <v>27.776953893287928</v>
      </c>
      <c r="AX55" s="29">
        <v>27.838966137991161</v>
      </c>
      <c r="AY55" s="29">
        <v>27.894097459622117</v>
      </c>
      <c r="AZ55" s="29">
        <v>27.954802498682024</v>
      </c>
      <c r="BA55" s="29">
        <v>27.996612716598747</v>
      </c>
      <c r="BB55" s="29">
        <v>28.090906724090232</v>
      </c>
      <c r="BC55" s="29">
        <v>28.181456887853027</v>
      </c>
      <c r="BD55" s="29">
        <v>28.298186876407009</v>
      </c>
      <c r="BE55" s="29">
        <v>28.424650388518216</v>
      </c>
      <c r="BF55" s="29">
        <v>28.55124329541529</v>
      </c>
      <c r="BG55" s="29">
        <v>28.677409810387601</v>
      </c>
      <c r="BH55" s="29">
        <v>28.847952220220872</v>
      </c>
      <c r="BI55" s="29">
        <v>28.9723853153872</v>
      </c>
      <c r="BJ55" s="29">
        <v>29.128761016894511</v>
      </c>
      <c r="BK55" s="29">
        <v>29.264876137374745</v>
      </c>
      <c r="BL55" s="29">
        <v>29.441963808057888</v>
      </c>
      <c r="BM55" s="29">
        <v>29.602402520962016</v>
      </c>
      <c r="BN55" s="29">
        <v>29.754952888976113</v>
      </c>
      <c r="BO55" s="29">
        <v>29.900420169580951</v>
      </c>
      <c r="BP55" s="29">
        <v>30.060815459246438</v>
      </c>
      <c r="BQ55" s="29">
        <v>30.217871315648459</v>
      </c>
      <c r="BR55" s="29">
        <v>30.369882369784637</v>
      </c>
      <c r="BS55" s="29">
        <v>30.529050798972069</v>
      </c>
      <c r="BT55" s="30">
        <v>30.690097533710432</v>
      </c>
      <c r="BU55" s="29">
        <v>30.85034043834824</v>
      </c>
      <c r="BV55" s="29">
        <v>31.009760854399698</v>
      </c>
      <c r="BW55" s="29">
        <v>31.168343040791058</v>
      </c>
      <c r="BX55" s="29">
        <v>31.32607422387537</v>
      </c>
      <c r="BY55" s="29">
        <v>31.482944429744023</v>
      </c>
      <c r="BZ55" s="29">
        <v>31.638946200550169</v>
      </c>
      <c r="CA55" s="29">
        <v>31.794074252209636</v>
      </c>
      <c r="CB55" s="29">
        <v>31.948325114138399</v>
      </c>
      <c r="CC55" s="29">
        <v>32.101696753098999</v>
      </c>
      <c r="CD55" s="29">
        <v>32.254188268112635</v>
      </c>
      <c r="CE55" s="29">
        <v>32.405799743301031</v>
      </c>
      <c r="CF55" s="29">
        <v>32.556532115555413</v>
      </c>
      <c r="CG55" s="29">
        <v>32.706442782093603</v>
      </c>
      <c r="CH55" s="29">
        <v>32.855527153076501</v>
      </c>
      <c r="CI55" s="29">
        <v>33.003780854155622</v>
      </c>
      <c r="CJ55" s="29">
        <v>33.151199722893807</v>
      </c>
      <c r="CK55" s="29">
        <v>33.297779805212315</v>
      </c>
      <c r="CL55" s="29">
        <v>33.443517351867392</v>
      </c>
      <c r="CM55" s="29">
        <v>33.588408814958122</v>
      </c>
      <c r="CN55" s="29">
        <v>33.732450844465852</v>
      </c>
      <c r="CO55" s="29">
        <v>33.875640284826936</v>
      </c>
      <c r="CP55" s="29">
        <v>34.017974171540757</v>
      </c>
      <c r="CQ55" s="29">
        <v>34.159449727812742</v>
      </c>
      <c r="CR55" s="29">
        <v>34.300064361234398</v>
      </c>
      <c r="CS55" s="29">
        <v>34.439815660500201</v>
      </c>
      <c r="CT55" s="29">
        <v>34.578701392161427</v>
      </c>
      <c r="CU55" s="29">
        <v>34.716719497420193</v>
      </c>
      <c r="CV55" s="29">
        <v>34.85386808896012</v>
      </c>
      <c r="CW55" s="29">
        <v>34.990145447816758</v>
      </c>
      <c r="CX55" s="29">
        <v>35.125550020287328</v>
      </c>
      <c r="CY55" s="29">
        <v>35.260080414878516</v>
      </c>
      <c r="CZ55" s="29">
        <v>35.393735399294329</v>
      </c>
      <c r="DA55" s="29">
        <v>35.52651389746331</v>
      </c>
      <c r="DB55" s="29">
        <v>35.658414986603468</v>
      </c>
      <c r="DC55" s="29">
        <v>35.789437894326596</v>
      </c>
      <c r="DD55" s="29">
        <v>35.919581995781421</v>
      </c>
      <c r="DE55" s="29">
        <v>36.048846810835016</v>
      </c>
      <c r="DF55" s="29">
        <v>36.177232001290776</v>
      </c>
      <c r="DG55" s="29">
        <v>36.304737368145773</v>
      </c>
      <c r="DH55" s="29">
        <v>36.431362848883644</v>
      </c>
      <c r="DI55" s="29">
        <v>36.557108514805044</v>
      </c>
      <c r="DJ55" s="29">
        <v>36.681974568394132</v>
      </c>
      <c r="DK55" s="29">
        <v>36.805961340719804</v>
      </c>
      <c r="DL55" s="29">
        <v>36.929069288873912</v>
      </c>
      <c r="DM55" s="29">
        <v>37.05129899344174</v>
      </c>
      <c r="DN55" s="29">
        <v>37.172651156009159</v>
      </c>
      <c r="DO55" s="29">
        <v>37.293126596701079</v>
      </c>
      <c r="DP55" s="29">
        <v>37.412726251754385</v>
      </c>
      <c r="DQ55" s="29">
        <v>37.531451171122498</v>
      </c>
      <c r="DR55" s="29">
        <v>37.649302516111739</v>
      </c>
      <c r="DS55">
        <v>37.766281557050391</v>
      </c>
      <c r="DT55">
        <v>37.882389670986036</v>
      </c>
      <c r="DU55">
        <v>37.9976283394153</v>
      </c>
    </row>
    <row r="56" spans="1:125">
      <c r="A56" s="27">
        <v>54</v>
      </c>
      <c r="B56" s="28"/>
      <c r="C56" s="28"/>
      <c r="D56" s="28"/>
      <c r="E56" s="28"/>
      <c r="F56" s="28"/>
      <c r="G56" s="28"/>
      <c r="H56" s="28"/>
      <c r="I56" s="28"/>
      <c r="J56" s="28"/>
      <c r="K56" s="28"/>
      <c r="L56" s="28"/>
      <c r="M56" s="28"/>
      <c r="N56" s="28"/>
      <c r="O56" s="28"/>
      <c r="P56" s="28"/>
      <c r="Q56" s="28"/>
      <c r="R56" s="28"/>
      <c r="S56" s="28"/>
      <c r="T56" s="28"/>
      <c r="U56" s="28"/>
      <c r="V56" s="29"/>
      <c r="W56" s="29">
        <v>22.67</v>
      </c>
      <c r="X56" s="29">
        <v>22.91</v>
      </c>
      <c r="Y56" s="29">
        <v>23.016089355147582</v>
      </c>
      <c r="Z56" s="29">
        <v>23.255936665241375</v>
      </c>
      <c r="AA56" s="29">
        <v>23.455819870816907</v>
      </c>
      <c r="AB56" s="29">
        <v>23.627357529310551</v>
      </c>
      <c r="AC56" s="29">
        <v>23.649193940219458</v>
      </c>
      <c r="AD56" s="29">
        <v>23.617090377987676</v>
      </c>
      <c r="AE56" s="29">
        <v>23.728833510797447</v>
      </c>
      <c r="AF56" s="29">
        <v>23.951986414931266</v>
      </c>
      <c r="AG56" s="29">
        <v>24.195171028801767</v>
      </c>
      <c r="AH56" s="29">
        <v>24.463702378953624</v>
      </c>
      <c r="AI56" s="29">
        <v>24.70558286773085</v>
      </c>
      <c r="AJ56" s="29">
        <v>24.976041820776963</v>
      </c>
      <c r="AK56" s="29">
        <v>25.249061079023651</v>
      </c>
      <c r="AL56" s="29">
        <v>25.568397929782773</v>
      </c>
      <c r="AM56" s="29">
        <v>25.858717382683928</v>
      </c>
      <c r="AN56" s="29">
        <v>26.046606525138685</v>
      </c>
      <c r="AO56" s="29">
        <v>26.185713485577796</v>
      </c>
      <c r="AP56" s="29">
        <v>26.317426458431136</v>
      </c>
      <c r="AQ56" s="29">
        <v>26.467304434709963</v>
      </c>
      <c r="AR56" s="29">
        <v>26.642446692798831</v>
      </c>
      <c r="AS56" s="29">
        <v>26.646082392700453</v>
      </c>
      <c r="AT56" s="29">
        <v>26.684508727495306</v>
      </c>
      <c r="AU56" s="29">
        <v>26.724537506791538</v>
      </c>
      <c r="AV56" s="29">
        <v>26.751239018244572</v>
      </c>
      <c r="AW56" s="29">
        <v>26.946695189847865</v>
      </c>
      <c r="AX56" s="29">
        <v>27.00689597253545</v>
      </c>
      <c r="AY56" s="29">
        <v>27.071650712183047</v>
      </c>
      <c r="AZ56" s="29">
        <v>27.127940601475398</v>
      </c>
      <c r="BA56" s="29">
        <v>27.167862681065149</v>
      </c>
      <c r="BB56" s="29">
        <v>27.25493139006522</v>
      </c>
      <c r="BC56" s="29">
        <v>27.345918729033006</v>
      </c>
      <c r="BD56" s="29">
        <v>27.461247325741557</v>
      </c>
      <c r="BE56" s="29">
        <v>27.583290668301316</v>
      </c>
      <c r="BF56" s="29">
        <v>27.708745331561371</v>
      </c>
      <c r="BG56" s="29">
        <v>27.839353188919777</v>
      </c>
      <c r="BH56" s="29">
        <v>27.998289294737805</v>
      </c>
      <c r="BI56" s="29">
        <v>28.121750698463135</v>
      </c>
      <c r="BJ56" s="29">
        <v>28.2781898518144</v>
      </c>
      <c r="BK56" s="29">
        <v>28.413278292195159</v>
      </c>
      <c r="BL56" s="29">
        <v>28.587763701540304</v>
      </c>
      <c r="BM56" s="29">
        <v>28.738041512931254</v>
      </c>
      <c r="BN56" s="29">
        <v>28.891195429639442</v>
      </c>
      <c r="BO56" s="29">
        <v>29.033791656299822</v>
      </c>
      <c r="BP56" s="29">
        <v>29.192684164246575</v>
      </c>
      <c r="BQ56" s="29">
        <v>29.349859816356226</v>
      </c>
      <c r="BR56" s="29">
        <v>29.507593316036655</v>
      </c>
      <c r="BS56" s="29">
        <v>29.667422299142196</v>
      </c>
      <c r="BT56" s="30">
        <v>29.826490065954278</v>
      </c>
      <c r="BU56" s="29">
        <v>29.984775155287043</v>
      </c>
      <c r="BV56" s="29">
        <v>30.142258821381272</v>
      </c>
      <c r="BW56" s="29">
        <v>30.298925245526597</v>
      </c>
      <c r="BX56" s="29">
        <v>30.454761585146365</v>
      </c>
      <c r="BY56" s="29">
        <v>30.609757804335349</v>
      </c>
      <c r="BZ56" s="29">
        <v>30.763906388093609</v>
      </c>
      <c r="CA56" s="29">
        <v>30.917201997902804</v>
      </c>
      <c r="CB56" s="29">
        <v>31.069641109480219</v>
      </c>
      <c r="CC56" s="29">
        <v>31.22122163478689</v>
      </c>
      <c r="CD56" s="29">
        <v>31.371942615563906</v>
      </c>
      <c r="CE56" s="29">
        <v>31.521804075527584</v>
      </c>
      <c r="CF56" s="29">
        <v>31.670867502852353</v>
      </c>
      <c r="CG56" s="29">
        <v>31.819128016585701</v>
      </c>
      <c r="CH56" s="29">
        <v>31.966580951187289</v>
      </c>
      <c r="CI56" s="29">
        <v>32.113221853036478</v>
      </c>
      <c r="CJ56" s="29">
        <v>32.25904647696558</v>
      </c>
      <c r="CK56" s="29">
        <v>32.404050782819155</v>
      </c>
      <c r="CL56" s="29">
        <v>32.548230932042124</v>
      </c>
      <c r="CM56" s="29">
        <v>32.691583284298588</v>
      </c>
      <c r="CN56" s="29">
        <v>32.834104394121439</v>
      </c>
      <c r="CO56" s="29">
        <v>32.975791007594381</v>
      </c>
      <c r="CP56" s="29">
        <v>33.116640059068331</v>
      </c>
      <c r="CQ56" s="29">
        <v>33.256648667911719</v>
      </c>
      <c r="CR56" s="29">
        <v>33.395814135296725</v>
      </c>
      <c r="CS56" s="29">
        <v>33.534133941021153</v>
      </c>
      <c r="CT56" s="29">
        <v>33.671605740365969</v>
      </c>
      <c r="CU56" s="29">
        <v>33.808227360991708</v>
      </c>
      <c r="CV56" s="29">
        <v>33.943996799870142</v>
      </c>
      <c r="CW56" s="29">
        <v>34.078912220254246</v>
      </c>
      <c r="CX56" s="29">
        <v>34.212971948685983</v>
      </c>
      <c r="CY56" s="29">
        <v>34.346174472040609</v>
      </c>
      <c r="CZ56" s="29">
        <v>34.478518434609477</v>
      </c>
      <c r="DA56" s="29">
        <v>34.610002635220525</v>
      </c>
      <c r="DB56" s="29">
        <v>34.740626024394942</v>
      </c>
      <c r="DC56" s="29">
        <v>34.870387701541425</v>
      </c>
      <c r="DD56" s="29">
        <v>34.999286912187671</v>
      </c>
      <c r="DE56" s="29">
        <v>35.12732304524836</v>
      </c>
      <c r="DF56" s="29">
        <v>35.254495630328009</v>
      </c>
      <c r="DG56" s="29">
        <v>35.380804335061356</v>
      </c>
      <c r="DH56" s="29">
        <v>35.506248962487717</v>
      </c>
      <c r="DI56" s="29">
        <v>35.630829448460872</v>
      </c>
      <c r="DJ56" s="29">
        <v>35.754545859093462</v>
      </c>
      <c r="DK56" s="29">
        <v>35.877398388234205</v>
      </c>
      <c r="DL56" s="29">
        <v>35.999387354980357</v>
      </c>
      <c r="DM56" s="29">
        <v>36.120513201220724</v>
      </c>
      <c r="DN56" s="29">
        <v>36.240776489213438</v>
      </c>
      <c r="DO56" s="29">
        <v>36.360177899193417</v>
      </c>
      <c r="DP56" s="29">
        <v>36.478718227012429</v>
      </c>
      <c r="DQ56" s="29">
        <v>36.596398381809159</v>
      </c>
      <c r="DR56" s="29">
        <v>36.713219383709195</v>
      </c>
      <c r="DS56">
        <v>36.829182361556136</v>
      </c>
      <c r="DT56">
        <v>36.944288550669114</v>
      </c>
      <c r="DU56">
        <v>37.058539290631181</v>
      </c>
    </row>
    <row r="57" spans="1:125">
      <c r="A57" s="27">
        <v>55</v>
      </c>
      <c r="B57" s="28"/>
      <c r="C57" s="28"/>
      <c r="D57" s="28"/>
      <c r="E57" s="28"/>
      <c r="F57" s="28"/>
      <c r="G57" s="28"/>
      <c r="H57" s="28"/>
      <c r="I57" s="28"/>
      <c r="J57" s="28"/>
      <c r="K57" s="28"/>
      <c r="L57" s="28"/>
      <c r="M57" s="28"/>
      <c r="N57" s="28"/>
      <c r="O57" s="28"/>
      <c r="P57" s="28"/>
      <c r="Q57" s="28"/>
      <c r="R57" s="28"/>
      <c r="S57" s="28"/>
      <c r="T57" s="28"/>
      <c r="U57" s="28"/>
      <c r="V57" s="29"/>
      <c r="W57" s="29">
        <v>21.91</v>
      </c>
      <c r="X57" s="29">
        <v>22.15</v>
      </c>
      <c r="Y57" s="29">
        <v>22.250604054469999</v>
      </c>
      <c r="Z57" s="29">
        <v>22.495404627202525</v>
      </c>
      <c r="AA57" s="29">
        <v>22.695124369174117</v>
      </c>
      <c r="AB57" s="29">
        <v>22.869491996865928</v>
      </c>
      <c r="AC57" s="29">
        <v>22.886858084401368</v>
      </c>
      <c r="AD57" s="29">
        <v>22.858638830448214</v>
      </c>
      <c r="AE57" s="29">
        <v>22.971668545034706</v>
      </c>
      <c r="AF57" s="29">
        <v>23.197610687323451</v>
      </c>
      <c r="AG57" s="29">
        <v>23.43777252475795</v>
      </c>
      <c r="AH57" s="29">
        <v>23.70038549636325</v>
      </c>
      <c r="AI57" s="29">
        <v>23.946451214892292</v>
      </c>
      <c r="AJ57" s="29">
        <v>24.200306028882647</v>
      </c>
      <c r="AK57" s="29">
        <v>24.484326680316407</v>
      </c>
      <c r="AL57" s="29">
        <v>24.790863395717185</v>
      </c>
      <c r="AM57" s="29">
        <v>25.083535143509874</v>
      </c>
      <c r="AN57" s="29">
        <v>25.269304608049154</v>
      </c>
      <c r="AO57" s="29">
        <v>25.398487467799047</v>
      </c>
      <c r="AP57" s="29">
        <v>25.533687077601961</v>
      </c>
      <c r="AQ57" s="29">
        <v>25.678561490769361</v>
      </c>
      <c r="AR57" s="29">
        <v>25.838923943428828</v>
      </c>
      <c r="AS57" s="29">
        <v>25.841942610317393</v>
      </c>
      <c r="AT57" s="29">
        <v>25.879179392354047</v>
      </c>
      <c r="AU57" s="29">
        <v>25.92213483172258</v>
      </c>
      <c r="AV57" s="29">
        <v>25.939294296974225</v>
      </c>
      <c r="AW57" s="29">
        <v>26.12992185955531</v>
      </c>
      <c r="AX57" s="29">
        <v>26.192110130698005</v>
      </c>
      <c r="AY57" s="29">
        <v>26.249682312230856</v>
      </c>
      <c r="AZ57" s="29">
        <v>26.309862441844142</v>
      </c>
      <c r="BA57" s="29">
        <v>26.347057423855986</v>
      </c>
      <c r="BB57" s="29">
        <v>26.426041939864348</v>
      </c>
      <c r="BC57" s="29">
        <v>26.521421560091138</v>
      </c>
      <c r="BD57" s="29">
        <v>26.634429833542111</v>
      </c>
      <c r="BE57" s="29">
        <v>26.757309463373751</v>
      </c>
      <c r="BF57" s="29">
        <v>26.881334989336015</v>
      </c>
      <c r="BG57" s="29">
        <v>27.004500093838612</v>
      </c>
      <c r="BH57" s="29">
        <v>27.166709832797551</v>
      </c>
      <c r="BI57" s="29">
        <v>27.278820361429098</v>
      </c>
      <c r="BJ57" s="29">
        <v>27.439192826184861</v>
      </c>
      <c r="BK57" s="29">
        <v>27.569264015283949</v>
      </c>
      <c r="BL57" s="29">
        <v>27.737921659410979</v>
      </c>
      <c r="BM57" s="29">
        <v>27.887925310872991</v>
      </c>
      <c r="BN57" s="29">
        <v>28.034946145651453</v>
      </c>
      <c r="BO57" s="29">
        <v>28.174032809682856</v>
      </c>
      <c r="BP57" s="29">
        <v>28.335213221020393</v>
      </c>
      <c r="BQ57" s="29">
        <v>28.496815110214371</v>
      </c>
      <c r="BR57" s="29">
        <v>28.655278360227545</v>
      </c>
      <c r="BS57" s="29">
        <v>28.813025967242659</v>
      </c>
      <c r="BT57" s="30">
        <v>28.970033931520799</v>
      </c>
      <c r="BU57" s="29">
        <v>29.126280705098385</v>
      </c>
      <c r="BV57" s="29">
        <v>29.281747466092192</v>
      </c>
      <c r="BW57" s="29">
        <v>29.43641833007872</v>
      </c>
      <c r="BX57" s="29">
        <v>29.590280398162189</v>
      </c>
      <c r="BY57" s="29">
        <v>29.743323585577272</v>
      </c>
      <c r="BZ57" s="29">
        <v>29.895540333645187</v>
      </c>
      <c r="CA57" s="29">
        <v>30.04692526303451</v>
      </c>
      <c r="CB57" s="29">
        <v>30.197474809353817</v>
      </c>
      <c r="CC57" s="29">
        <v>30.347186843156553</v>
      </c>
      <c r="CD57" s="29">
        <v>30.496060361977701</v>
      </c>
      <c r="CE57" s="29">
        <v>30.644160277050627</v>
      </c>
      <c r="CF57" s="29">
        <v>30.791481430945481</v>
      </c>
      <c r="CG57" s="29">
        <v>30.938018880921422</v>
      </c>
      <c r="CH57" s="29">
        <v>31.083767895533068</v>
      </c>
      <c r="CI57" s="29">
        <v>31.228723951259067</v>
      </c>
      <c r="CJ57" s="29">
        <v>31.372882729156046</v>
      </c>
      <c r="CK57" s="29">
        <v>31.516240111538238</v>
      </c>
      <c r="CL57" s="29">
        <v>31.658792178685289</v>
      </c>
      <c r="CM57" s="29">
        <v>31.8005352055802</v>
      </c>
      <c r="CN57" s="29">
        <v>31.941465658677195</v>
      </c>
      <c r="CO57" s="29">
        <v>32.081580192701161</v>
      </c>
      <c r="CP57" s="29">
        <v>32.22087564748044</v>
      </c>
      <c r="CQ57" s="29">
        <v>32.359349044812426</v>
      </c>
      <c r="CR57" s="29">
        <v>32.496997585364007</v>
      </c>
      <c r="CS57" s="29">
        <v>32.633818645606283</v>
      </c>
      <c r="CT57" s="29">
        <v>32.769809774783724</v>
      </c>
      <c r="CU57" s="29">
        <v>32.904968691920708</v>
      </c>
      <c r="CV57" s="29">
        <v>33.039293282861969</v>
      </c>
      <c r="CW57" s="29">
        <v>33.172781597349733</v>
      </c>
      <c r="CX57" s="29">
        <v>33.305431846137168</v>
      </c>
      <c r="CY57" s="29">
        <v>33.437242398136704</v>
      </c>
      <c r="CZ57" s="29">
        <v>33.568211777605221</v>
      </c>
      <c r="DA57" s="29">
        <v>33.698338661365234</v>
      </c>
      <c r="DB57" s="29">
        <v>33.827621876060455</v>
      </c>
      <c r="DC57" s="29">
        <v>33.956060395447302</v>
      </c>
      <c r="DD57" s="29">
        <v>34.083653337721749</v>
      </c>
      <c r="DE57" s="29">
        <v>34.210399962880921</v>
      </c>
      <c r="DF57" s="29">
        <v>34.336299670117725</v>
      </c>
      <c r="DG57" s="29">
        <v>34.461351995251142</v>
      </c>
      <c r="DH57" s="29">
        <v>34.585556608188625</v>
      </c>
      <c r="DI57" s="29">
        <v>34.708913310422282</v>
      </c>
      <c r="DJ57" s="29">
        <v>34.831422032557498</v>
      </c>
      <c r="DK57" s="29">
        <v>34.953082831872685</v>
      </c>
      <c r="DL57" s="29">
        <v>35.073895889912265</v>
      </c>
      <c r="DM57" s="29">
        <v>35.193861510108441</v>
      </c>
      <c r="DN57" s="29">
        <v>35.312980115435778</v>
      </c>
      <c r="DO57" s="29">
        <v>35.431252246093607</v>
      </c>
      <c r="DP57" s="29">
        <v>35.548678557219255</v>
      </c>
      <c r="DQ57" s="29">
        <v>35.66525981662928</v>
      </c>
      <c r="DR57" s="29">
        <v>35.780996902588981</v>
      </c>
      <c r="DS57">
        <v>35.895890801610975</v>
      </c>
      <c r="DT57">
        <v>36.009942606278592</v>
      </c>
      <c r="DU57">
        <v>36.123153513098174</v>
      </c>
    </row>
    <row r="58" spans="1:125">
      <c r="A58" s="27">
        <v>56</v>
      </c>
      <c r="B58" s="28"/>
      <c r="C58" s="28"/>
      <c r="D58" s="28"/>
      <c r="E58" s="28"/>
      <c r="F58" s="28"/>
      <c r="G58" s="28"/>
      <c r="H58" s="28"/>
      <c r="I58" s="28"/>
      <c r="J58" s="28"/>
      <c r="K58" s="28"/>
      <c r="L58" s="28"/>
      <c r="M58" s="28"/>
      <c r="N58" s="28"/>
      <c r="O58" s="28"/>
      <c r="P58" s="28"/>
      <c r="Q58" s="28"/>
      <c r="R58" s="28"/>
      <c r="S58" s="28"/>
      <c r="T58" s="28"/>
      <c r="U58" s="28"/>
      <c r="V58" s="29"/>
      <c r="W58" s="29">
        <v>21.16</v>
      </c>
      <c r="X58" s="29">
        <v>21.4</v>
      </c>
      <c r="Y58" s="29">
        <v>21.500774387797456</v>
      </c>
      <c r="Z58" s="29">
        <v>21.747916008946248</v>
      </c>
      <c r="AA58" s="29">
        <v>21.943229636510775</v>
      </c>
      <c r="AB58" s="29">
        <v>22.120916331321855</v>
      </c>
      <c r="AC58" s="29">
        <v>22.139958451958258</v>
      </c>
      <c r="AD58" s="29">
        <v>22.113191672875512</v>
      </c>
      <c r="AE58" s="29">
        <v>22.232006293277266</v>
      </c>
      <c r="AF58" s="29">
        <v>22.447462154003237</v>
      </c>
      <c r="AG58" s="29">
        <v>22.690248433513933</v>
      </c>
      <c r="AH58" s="29">
        <v>22.948849479213717</v>
      </c>
      <c r="AI58" s="29">
        <v>23.191412142955741</v>
      </c>
      <c r="AJ58" s="29">
        <v>23.447897568734628</v>
      </c>
      <c r="AK58" s="29">
        <v>23.727421559344595</v>
      </c>
      <c r="AL58" s="29">
        <v>24.027379574679951</v>
      </c>
      <c r="AM58" s="29">
        <v>24.312867891243116</v>
      </c>
      <c r="AN58" s="29">
        <v>24.494861172675893</v>
      </c>
      <c r="AO58" s="29">
        <v>24.621562768153545</v>
      </c>
      <c r="AP58" s="29">
        <v>24.755355610733002</v>
      </c>
      <c r="AQ58" s="29">
        <v>24.890064181063636</v>
      </c>
      <c r="AR58" s="29">
        <v>25.042357073277717</v>
      </c>
      <c r="AS58" s="29">
        <v>25.044600282734667</v>
      </c>
      <c r="AT58" s="29">
        <v>25.080045635244584</v>
      </c>
      <c r="AU58" s="29">
        <v>25.123226494273535</v>
      </c>
      <c r="AV58" s="29">
        <v>25.136967195374837</v>
      </c>
      <c r="AW58" s="29">
        <v>25.326769622074917</v>
      </c>
      <c r="AX58" s="29">
        <v>25.375082841981531</v>
      </c>
      <c r="AY58" s="29">
        <v>25.442101874415076</v>
      </c>
      <c r="AZ58" s="29">
        <v>25.493650598374625</v>
      </c>
      <c r="BA58" s="29">
        <v>25.532655401934022</v>
      </c>
      <c r="BB58" s="29">
        <v>25.603589775779515</v>
      </c>
      <c r="BC58" s="29">
        <v>25.701271734733179</v>
      </c>
      <c r="BD58" s="29">
        <v>25.813751359742206</v>
      </c>
      <c r="BE58" s="29">
        <v>25.938067905967124</v>
      </c>
      <c r="BF58" s="29">
        <v>26.057555220840477</v>
      </c>
      <c r="BG58" s="29">
        <v>26.178884592036908</v>
      </c>
      <c r="BH58" s="29">
        <v>26.32980754460894</v>
      </c>
      <c r="BI58" s="29">
        <v>26.450634350953145</v>
      </c>
      <c r="BJ58" s="29">
        <v>26.606595329705943</v>
      </c>
      <c r="BK58" s="29">
        <v>26.73212516174468</v>
      </c>
      <c r="BL58" s="29">
        <v>26.896380918231117</v>
      </c>
      <c r="BM58" s="29">
        <v>27.044582883039599</v>
      </c>
      <c r="BN58" s="29">
        <v>27.183195357613922</v>
      </c>
      <c r="BO58" s="29">
        <v>27.338928699967944</v>
      </c>
      <c r="BP58" s="29">
        <v>27.497642272189495</v>
      </c>
      <c r="BQ58" s="29">
        <v>27.65457961709237</v>
      </c>
      <c r="BR58" s="29">
        <v>27.810849612669582</v>
      </c>
      <c r="BS58" s="29">
        <v>27.966426044495712</v>
      </c>
      <c r="BT58" s="30">
        <v>28.121284824377241</v>
      </c>
      <c r="BU58" s="29">
        <v>28.275404327347147</v>
      </c>
      <c r="BV58" s="29">
        <v>28.428765666098005</v>
      </c>
      <c r="BW58" s="29">
        <v>28.581352902088437</v>
      </c>
      <c r="BX58" s="29">
        <v>28.733153092494728</v>
      </c>
      <c r="BY58" s="29">
        <v>28.884156116696943</v>
      </c>
      <c r="BZ58" s="29">
        <v>29.034354385745456</v>
      </c>
      <c r="CA58" s="29">
        <v>29.183742493092183</v>
      </c>
      <c r="CB58" s="29">
        <v>29.332316847822362</v>
      </c>
      <c r="CC58" s="29">
        <v>29.480075292471895</v>
      </c>
      <c r="CD58" s="29">
        <v>29.627085388736734</v>
      </c>
      <c r="CE58" s="29">
        <v>29.77334171846076</v>
      </c>
      <c r="CF58" s="29">
        <v>29.918839076755162</v>
      </c>
      <c r="CG58" s="29">
        <v>30.063572468713915</v>
      </c>
      <c r="CH58" s="29">
        <v>30.207537106150742</v>
      </c>
      <c r="CI58" s="29">
        <v>30.350728404358055</v>
      </c>
      <c r="CJ58" s="29">
        <v>30.493141978890936</v>
      </c>
      <c r="CK58" s="29">
        <v>30.634773642376388</v>
      </c>
      <c r="CL58" s="29">
        <v>30.775619401350141</v>
      </c>
      <c r="CM58" s="29">
        <v>30.915675453122912</v>
      </c>
      <c r="CN58" s="29">
        <v>31.054938182675759</v>
      </c>
      <c r="CO58" s="29">
        <v>31.19340415958602</v>
      </c>
      <c r="CP58" s="29">
        <v>31.331070134985598</v>
      </c>
      <c r="CQ58" s="29">
        <v>31.467933038550868</v>
      </c>
      <c r="CR58" s="29">
        <v>31.603989975526222</v>
      </c>
      <c r="CS58" s="29">
        <v>31.739238223780518</v>
      </c>
      <c r="CT58" s="29">
        <v>31.873675230896595</v>
      </c>
      <c r="CU58" s="29">
        <v>32.007298611296676</v>
      </c>
      <c r="CV58" s="29">
        <v>32.14010614340016</v>
      </c>
      <c r="CW58" s="29">
        <v>32.272095766816427</v>
      </c>
      <c r="CX58" s="29">
        <v>32.403265579572398</v>
      </c>
      <c r="CY58" s="29">
        <v>32.533613835373153</v>
      </c>
      <c r="CZ58" s="29">
        <v>32.663138940897724</v>
      </c>
      <c r="DA58" s="29">
        <v>32.791839453129022</v>
      </c>
      <c r="DB58" s="29">
        <v>32.919714076716367</v>
      </c>
      <c r="DC58" s="29">
        <v>33.046761661372095</v>
      </c>
      <c r="DD58" s="29">
        <v>33.17298119930151</v>
      </c>
      <c r="DE58" s="29">
        <v>33.298371822665793</v>
      </c>
      <c r="DF58" s="29">
        <v>33.422932801075923</v>
      </c>
      <c r="DG58" s="29">
        <v>33.54666353912031</v>
      </c>
      <c r="DH58" s="29">
        <v>33.669563573922602</v>
      </c>
      <c r="DI58" s="29">
        <v>33.791632572731224</v>
      </c>
      <c r="DJ58" s="29">
        <v>33.912870330539448</v>
      </c>
      <c r="DK58" s="29">
        <v>34.033276767734534</v>
      </c>
      <c r="DL58" s="29">
        <v>34.152851927778109</v>
      </c>
      <c r="DM58" s="29">
        <v>34.271595974913424</v>
      </c>
      <c r="DN58" s="29">
        <v>34.389509191903251</v>
      </c>
      <c r="DO58" s="29">
        <v>34.506591977793875</v>
      </c>
      <c r="DP58" s="29">
        <v>34.622844845707654</v>
      </c>
      <c r="DQ58" s="29">
        <v>34.738268420661832</v>
      </c>
      <c r="DR58" s="29">
        <v>34.852863437413532</v>
      </c>
      <c r="DS58">
        <v>34.966630738331936</v>
      </c>
      <c r="DT58">
        <v>35.079571271293361</v>
      </c>
      <c r="DU58">
        <v>35.191686087603244</v>
      </c>
    </row>
    <row r="59" spans="1:125">
      <c r="A59" s="27">
        <v>57</v>
      </c>
      <c r="B59" s="28"/>
      <c r="C59" s="28"/>
      <c r="D59" s="28"/>
      <c r="E59" s="28"/>
      <c r="F59" s="28"/>
      <c r="G59" s="28"/>
      <c r="H59" s="28"/>
      <c r="I59" s="28"/>
      <c r="J59" s="28"/>
      <c r="K59" s="28"/>
      <c r="L59" s="28"/>
      <c r="M59" s="28"/>
      <c r="N59" s="28"/>
      <c r="O59" s="28"/>
      <c r="P59" s="28"/>
      <c r="Q59" s="28"/>
      <c r="R59" s="28"/>
      <c r="S59" s="28"/>
      <c r="T59" s="28"/>
      <c r="U59" s="28"/>
      <c r="V59" s="29"/>
      <c r="W59" s="29">
        <v>20.43</v>
      </c>
      <c r="X59" s="29">
        <v>20.66</v>
      </c>
      <c r="Y59" s="29">
        <v>20.769546244648446</v>
      </c>
      <c r="Z59" s="29">
        <v>21.015103710802155</v>
      </c>
      <c r="AA59" s="29">
        <v>21.205015488859168</v>
      </c>
      <c r="AB59" s="29">
        <v>21.38726885644229</v>
      </c>
      <c r="AC59" s="29">
        <v>21.399733470416876</v>
      </c>
      <c r="AD59" s="29">
        <v>21.383337007958072</v>
      </c>
      <c r="AE59" s="29">
        <v>21.505876649422696</v>
      </c>
      <c r="AF59" s="29">
        <v>21.71328975190491</v>
      </c>
      <c r="AG59" s="29">
        <v>21.951022094839075</v>
      </c>
      <c r="AH59" s="29">
        <v>22.206228572400658</v>
      </c>
      <c r="AI59" s="29">
        <v>22.454342380538968</v>
      </c>
      <c r="AJ59" s="29">
        <v>22.709417148945697</v>
      </c>
      <c r="AK59" s="29">
        <v>22.978298327841081</v>
      </c>
      <c r="AL59" s="29">
        <v>23.275132061579814</v>
      </c>
      <c r="AM59" s="29">
        <v>23.550739013438086</v>
      </c>
      <c r="AN59" s="29">
        <v>23.729913201230623</v>
      </c>
      <c r="AO59" s="29">
        <v>23.861832031664072</v>
      </c>
      <c r="AP59" s="29">
        <v>23.980714318249834</v>
      </c>
      <c r="AQ59" s="29">
        <v>24.104996950955172</v>
      </c>
      <c r="AR59" s="29">
        <v>24.250765344724829</v>
      </c>
      <c r="AS59" s="29">
        <v>24.257338778668402</v>
      </c>
      <c r="AT59" s="29">
        <v>24.283512088518577</v>
      </c>
      <c r="AU59" s="29">
        <v>24.322766801201762</v>
      </c>
      <c r="AV59" s="29">
        <v>24.340799945346554</v>
      </c>
      <c r="AW59" s="29">
        <v>24.519906390294651</v>
      </c>
      <c r="AX59" s="29">
        <v>24.569162383600531</v>
      </c>
      <c r="AY59" s="29">
        <v>24.636854951536481</v>
      </c>
      <c r="AZ59" s="29">
        <v>24.685394338501965</v>
      </c>
      <c r="BA59" s="29">
        <v>24.721832360239276</v>
      </c>
      <c r="BB59" s="29">
        <v>24.794951174832875</v>
      </c>
      <c r="BC59" s="29">
        <v>24.890079348910849</v>
      </c>
      <c r="BD59" s="29">
        <v>25.000994569681371</v>
      </c>
      <c r="BE59" s="29">
        <v>25.118459990611708</v>
      </c>
      <c r="BF59" s="29">
        <v>25.241744654643995</v>
      </c>
      <c r="BG59" s="29">
        <v>25.358108470059157</v>
      </c>
      <c r="BH59" s="29">
        <v>25.507854644367104</v>
      </c>
      <c r="BI59" s="29">
        <v>25.631549706376333</v>
      </c>
      <c r="BJ59" s="29">
        <v>25.782059481392281</v>
      </c>
      <c r="BK59" s="29">
        <v>25.905074908089798</v>
      </c>
      <c r="BL59" s="29">
        <v>26.059562751735971</v>
      </c>
      <c r="BM59" s="29">
        <v>26.210610556874414</v>
      </c>
      <c r="BN59" s="29">
        <v>26.355918285746142</v>
      </c>
      <c r="BO59" s="29">
        <v>26.511304619352394</v>
      </c>
      <c r="BP59" s="29">
        <v>26.666539914508721</v>
      </c>
      <c r="BQ59" s="29">
        <v>26.821158616095392</v>
      </c>
      <c r="BR59" s="29">
        <v>26.975132682525789</v>
      </c>
      <c r="BS59" s="29">
        <v>27.128435806875615</v>
      </c>
      <c r="BT59" s="30">
        <v>27.281043820371394</v>
      </c>
      <c r="BU59" s="29">
        <v>27.43293503000622</v>
      </c>
      <c r="BV59" s="29">
        <v>27.584090493101137</v>
      </c>
      <c r="BW59" s="29">
        <v>27.734494228101845</v>
      </c>
      <c r="BX59" s="29">
        <v>27.884133260298359</v>
      </c>
      <c r="BY59" s="29">
        <v>28.032997445986055</v>
      </c>
      <c r="BZ59" s="29">
        <v>28.18107917920053</v>
      </c>
      <c r="CA59" s="29">
        <v>28.328373039674947</v>
      </c>
      <c r="CB59" s="29">
        <v>28.474875423483905</v>
      </c>
      <c r="CC59" s="29">
        <v>28.620655650067171</v>
      </c>
      <c r="CD59" s="29">
        <v>28.765708057439564</v>
      </c>
      <c r="CE59" s="29">
        <v>28.910027194691448</v>
      </c>
      <c r="CF59" s="29">
        <v>29.053607818828091</v>
      </c>
      <c r="CG59" s="29">
        <v>29.196444891626566</v>
      </c>
      <c r="CH59" s="29">
        <v>29.338533576514198</v>
      </c>
      <c r="CI59" s="29">
        <v>29.479869235468723</v>
      </c>
      <c r="CJ59" s="29">
        <v>29.620447425943173</v>
      </c>
      <c r="CK59" s="29">
        <v>29.760263897815538</v>
      </c>
      <c r="CL59" s="29">
        <v>29.899314590365275</v>
      </c>
      <c r="CM59" s="29">
        <v>30.03759562927852</v>
      </c>
      <c r="CN59" s="29">
        <v>30.175103323681494</v>
      </c>
      <c r="CO59" s="29">
        <v>30.311834163203418</v>
      </c>
      <c r="CP59" s="29">
        <v>30.447784815070676</v>
      </c>
      <c r="CQ59" s="29">
        <v>30.58295212123129</v>
      </c>
      <c r="CR59" s="29">
        <v>30.717333095511759</v>
      </c>
      <c r="CS59" s="29">
        <v>30.850924920805312</v>
      </c>
      <c r="CT59" s="29">
        <v>30.983724946291709</v>
      </c>
      <c r="CU59" s="29">
        <v>31.115730684691385</v>
      </c>
      <c r="CV59" s="29">
        <v>31.246939809550238</v>
      </c>
      <c r="CW59" s="29">
        <v>31.377350152557778</v>
      </c>
      <c r="CX59" s="29">
        <v>31.506959700898161</v>
      </c>
      <c r="CY59" s="29">
        <v>31.635766594632507</v>
      </c>
      <c r="CZ59" s="29">
        <v>31.763769124114479</v>
      </c>
      <c r="DA59" s="29">
        <v>31.890965727438019</v>
      </c>
      <c r="DB59" s="29">
        <v>32.01735498791578</v>
      </c>
      <c r="DC59" s="29">
        <v>32.142935631589545</v>
      </c>
      <c r="DD59" s="29">
        <v>32.267706524772095</v>
      </c>
      <c r="DE59" s="29">
        <v>32.391666671619774</v>
      </c>
      <c r="DF59" s="29">
        <v>32.514815211734174</v>
      </c>
      <c r="DG59" s="29">
        <v>32.637151417795295</v>
      </c>
      <c r="DH59" s="29">
        <v>32.758674693222815</v>
      </c>
      <c r="DI59" s="29">
        <v>32.879384569867021</v>
      </c>
      <c r="DJ59" s="29">
        <v>32.999280705727998</v>
      </c>
      <c r="DK59" s="29">
        <v>33.118362882701895</v>
      </c>
      <c r="DL59" s="29">
        <v>33.236631004356219</v>
      </c>
      <c r="DM59" s="29">
        <v>33.354085093729857</v>
      </c>
      <c r="DN59" s="29">
        <v>33.470725291161664</v>
      </c>
      <c r="DO59" s="29">
        <v>33.586551852142911</v>
      </c>
      <c r="DP59" s="29">
        <v>33.701565145196334</v>
      </c>
      <c r="DQ59" s="29">
        <v>33.815765649779152</v>
      </c>
      <c r="DR59" s="29">
        <v>33.929153954210314</v>
      </c>
      <c r="DS59">
        <v>34.041730753622737</v>
      </c>
      <c r="DT59">
        <v>34.153496847936488</v>
      </c>
      <c r="DU59">
        <v>34.264453139856649</v>
      </c>
    </row>
    <row r="60" spans="1:125">
      <c r="A60" s="27">
        <v>58</v>
      </c>
      <c r="B60" s="28"/>
      <c r="C60" s="28"/>
      <c r="D60" s="28"/>
      <c r="E60" s="28"/>
      <c r="F60" s="28"/>
      <c r="G60" s="28"/>
      <c r="H60" s="28"/>
      <c r="I60" s="28"/>
      <c r="J60" s="28"/>
      <c r="K60" s="28"/>
      <c r="L60" s="28"/>
      <c r="M60" s="28"/>
      <c r="N60" s="28"/>
      <c r="O60" s="28"/>
      <c r="P60" s="28"/>
      <c r="Q60" s="28"/>
      <c r="R60" s="28"/>
      <c r="S60" s="28"/>
      <c r="T60" s="28"/>
      <c r="U60" s="28"/>
      <c r="V60" s="29"/>
      <c r="W60" s="29">
        <v>19.71</v>
      </c>
      <c r="X60" s="29">
        <v>19.940000000000001</v>
      </c>
      <c r="Y60" s="29">
        <v>20.059881710689023</v>
      </c>
      <c r="Z60" s="29">
        <v>20.287366135458381</v>
      </c>
      <c r="AA60" s="29">
        <v>20.483978901892954</v>
      </c>
      <c r="AB60" s="29">
        <v>20.661283013306736</v>
      </c>
      <c r="AC60" s="29">
        <v>20.672572355350027</v>
      </c>
      <c r="AD60" s="29">
        <v>20.65840845335665</v>
      </c>
      <c r="AE60" s="29">
        <v>20.782901486963112</v>
      </c>
      <c r="AF60" s="29">
        <v>20.993278271626863</v>
      </c>
      <c r="AG60" s="29">
        <v>21.221733139269016</v>
      </c>
      <c r="AH60" s="29">
        <v>21.483319041359781</v>
      </c>
      <c r="AI60" s="29">
        <v>21.729755760526018</v>
      </c>
      <c r="AJ60" s="29">
        <v>21.979098607191808</v>
      </c>
      <c r="AK60" s="29">
        <v>22.240876525075922</v>
      </c>
      <c r="AL60" s="29">
        <v>22.536220383815483</v>
      </c>
      <c r="AM60" s="29">
        <v>22.803876431410895</v>
      </c>
      <c r="AN60" s="29">
        <v>22.979639174006721</v>
      </c>
      <c r="AO60" s="29">
        <v>23.101980348104153</v>
      </c>
      <c r="AP60" s="29">
        <v>23.214245269330704</v>
      </c>
      <c r="AQ60" s="29">
        <v>23.325997864818849</v>
      </c>
      <c r="AR60" s="29">
        <v>23.470640501484429</v>
      </c>
      <c r="AS60" s="29">
        <v>23.476489029153459</v>
      </c>
      <c r="AT60" s="29">
        <v>23.499658608649415</v>
      </c>
      <c r="AU60" s="29">
        <v>23.537259294561341</v>
      </c>
      <c r="AV60" s="29">
        <v>23.552479638203426</v>
      </c>
      <c r="AW60" s="29">
        <v>23.723630559609102</v>
      </c>
      <c r="AX60" s="29">
        <v>23.769060151928603</v>
      </c>
      <c r="AY60" s="29">
        <v>23.821598849546454</v>
      </c>
      <c r="AZ60" s="29">
        <v>23.881485134568599</v>
      </c>
      <c r="BA60" s="29">
        <v>23.91430058482991</v>
      </c>
      <c r="BB60" s="29">
        <v>23.994902606235168</v>
      </c>
      <c r="BC60" s="29">
        <v>24.091882914522216</v>
      </c>
      <c r="BD60" s="29">
        <v>24.197468408079196</v>
      </c>
      <c r="BE60" s="29">
        <v>24.319608876892598</v>
      </c>
      <c r="BF60" s="29">
        <v>24.431174395782005</v>
      </c>
      <c r="BG60" s="29">
        <v>24.55416673098787</v>
      </c>
      <c r="BH60" s="29">
        <v>24.694376304711845</v>
      </c>
      <c r="BI60" s="29">
        <v>24.81785185492987</v>
      </c>
      <c r="BJ60" s="29">
        <v>24.965263097388821</v>
      </c>
      <c r="BK60" s="29">
        <v>25.09043765864083</v>
      </c>
      <c r="BL60" s="29">
        <v>25.236651090005392</v>
      </c>
      <c r="BM60" s="29">
        <v>25.387332883731418</v>
      </c>
      <c r="BN60" s="29">
        <v>25.539350077922453</v>
      </c>
      <c r="BO60" s="29">
        <v>25.692687367917202</v>
      </c>
      <c r="BP60" s="29">
        <v>25.845461047611881</v>
      </c>
      <c r="BQ60" s="29">
        <v>25.997641656332977</v>
      </c>
      <c r="BR60" s="29">
        <v>26.14920105343591</v>
      </c>
      <c r="BS60" s="29">
        <v>26.300112844816077</v>
      </c>
      <c r="BT60" s="30">
        <v>26.450352787694527</v>
      </c>
      <c r="BU60" s="29">
        <v>26.599899128900184</v>
      </c>
      <c r="BV60" s="29">
        <v>26.748732879556492</v>
      </c>
      <c r="BW60" s="29">
        <v>26.896838025522605</v>
      </c>
      <c r="BX60" s="29">
        <v>27.04420157174528</v>
      </c>
      <c r="BY60" s="29">
        <v>27.19081336385246</v>
      </c>
      <c r="BZ60" s="29">
        <v>27.336665791876065</v>
      </c>
      <c r="CA60" s="29">
        <v>27.48175343515307</v>
      </c>
      <c r="CB60" s="29">
        <v>27.62614619507422</v>
      </c>
      <c r="CC60" s="29">
        <v>27.769838183941673</v>
      </c>
      <c r="CD60" s="29">
        <v>27.912823722089072</v>
      </c>
      <c r="CE60" s="29">
        <v>28.055097334857173</v>
      </c>
      <c r="CF60" s="29">
        <v>28.196653749587508</v>
      </c>
      <c r="CG60" s="29">
        <v>28.337487892633579</v>
      </c>
      <c r="CH60" s="29">
        <v>28.4775948863936</v>
      </c>
      <c r="CI60" s="29">
        <v>28.616970046364653</v>
      </c>
      <c r="CJ60" s="29">
        <v>28.755608878221089</v>
      </c>
      <c r="CK60" s="29">
        <v>28.893507074917146</v>
      </c>
      <c r="CL60" s="29">
        <v>29.030660513815615</v>
      </c>
      <c r="CM60" s="29">
        <v>29.167065253844338</v>
      </c>
      <c r="CN60" s="29">
        <v>29.302717532679853</v>
      </c>
      <c r="CO60" s="29">
        <v>29.437613763959394</v>
      </c>
      <c r="CP60" s="29">
        <v>29.571750534522831</v>
      </c>
      <c r="CQ60" s="29">
        <v>29.7051246016836</v>
      </c>
      <c r="CR60" s="29">
        <v>29.837732890530408</v>
      </c>
      <c r="CS60" s="29">
        <v>29.969572491258891</v>
      </c>
      <c r="CT60" s="29">
        <v>30.10064065653302</v>
      </c>
      <c r="CU60" s="29">
        <v>30.230934798879201</v>
      </c>
      <c r="CV60" s="29">
        <v>30.360452488109154</v>
      </c>
      <c r="CW60" s="29">
        <v>30.489191448774243</v>
      </c>
      <c r="CX60" s="29">
        <v>30.617149557650755</v>
      </c>
      <c r="CY60" s="29">
        <v>30.744324841254471</v>
      </c>
      <c r="CZ60" s="29">
        <v>30.87071547338639</v>
      </c>
      <c r="DA60" s="29">
        <v>30.996319772708574</v>
      </c>
      <c r="DB60" s="29">
        <v>31.121136200348467</v>
      </c>
      <c r="DC60" s="29">
        <v>31.245163357533073</v>
      </c>
      <c r="DD60" s="29">
        <v>31.368399983252367</v>
      </c>
      <c r="DE60" s="29">
        <v>31.490844951951146</v>
      </c>
      <c r="DF60" s="29">
        <v>31.612497271247772</v>
      </c>
      <c r="DG60" s="29">
        <v>31.733356079682075</v>
      </c>
      <c r="DH60" s="29">
        <v>31.853420644489159</v>
      </c>
      <c r="DI60" s="29">
        <v>31.972690359400424</v>
      </c>
      <c r="DJ60" s="29">
        <v>32.091164742470717</v>
      </c>
      <c r="DK60" s="29">
        <v>32.208843433930099</v>
      </c>
      <c r="DL60" s="29">
        <v>32.325726194062419</v>
      </c>
      <c r="DM60" s="29">
        <v>32.441812901106275</v>
      </c>
      <c r="DN60" s="29">
        <v>32.557103549182216</v>
      </c>
      <c r="DO60" s="29">
        <v>32.671598246241565</v>
      </c>
      <c r="DP60" s="29">
        <v>32.785297212039502</v>
      </c>
      <c r="DQ60" s="29">
        <v>32.898200776129826</v>
      </c>
      <c r="DR60" s="29">
        <v>33.010309375881732</v>
      </c>
      <c r="DS60">
        <v>33.121623554519353</v>
      </c>
      <c r="DT60">
        <v>33.232143959179865</v>
      </c>
      <c r="DU60">
        <v>33.34187133899426</v>
      </c>
    </row>
    <row r="61" spans="1:125">
      <c r="A61" s="27">
        <v>59</v>
      </c>
      <c r="B61" s="28"/>
      <c r="C61" s="28"/>
      <c r="D61" s="28"/>
      <c r="E61" s="28"/>
      <c r="F61" s="28"/>
      <c r="G61" s="28"/>
      <c r="H61" s="28"/>
      <c r="I61" s="28"/>
      <c r="J61" s="28"/>
      <c r="K61" s="28"/>
      <c r="L61" s="28"/>
      <c r="M61" s="28"/>
      <c r="N61" s="28"/>
      <c r="O61" s="28"/>
      <c r="P61" s="28"/>
      <c r="Q61" s="28"/>
      <c r="R61" s="28"/>
      <c r="S61" s="28"/>
      <c r="T61" s="28"/>
      <c r="U61" s="28"/>
      <c r="V61" s="29"/>
      <c r="W61" s="29">
        <v>19.010000000000002</v>
      </c>
      <c r="X61" s="29">
        <v>19.239999999999998</v>
      </c>
      <c r="Y61" s="29">
        <v>19.359879896435789</v>
      </c>
      <c r="Z61" s="29">
        <v>19.580041442703497</v>
      </c>
      <c r="AA61" s="29">
        <v>19.770232846985074</v>
      </c>
      <c r="AB61" s="29">
        <v>19.949563802992241</v>
      </c>
      <c r="AC61" s="29">
        <v>19.957487715300196</v>
      </c>
      <c r="AD61" s="29">
        <v>19.95083464688356</v>
      </c>
      <c r="AE61" s="29">
        <v>20.064328349063693</v>
      </c>
      <c r="AF61" s="29">
        <v>20.277370706547277</v>
      </c>
      <c r="AG61" s="29">
        <v>20.508261441854859</v>
      </c>
      <c r="AH61" s="29">
        <v>20.768398441944331</v>
      </c>
      <c r="AI61" s="29">
        <v>21.015046090137098</v>
      </c>
      <c r="AJ61" s="29">
        <v>21.262395292211867</v>
      </c>
      <c r="AK61" s="29">
        <v>21.516049765326631</v>
      </c>
      <c r="AL61" s="29">
        <v>21.803436360376548</v>
      </c>
      <c r="AM61" s="29">
        <v>22.062014235189434</v>
      </c>
      <c r="AN61" s="29">
        <v>22.22921551990968</v>
      </c>
      <c r="AO61" s="29">
        <v>22.344071534135189</v>
      </c>
      <c r="AP61" s="29">
        <v>22.44709856570697</v>
      </c>
      <c r="AQ61" s="29">
        <v>22.558026029195723</v>
      </c>
      <c r="AR61" s="29">
        <v>22.696031723124264</v>
      </c>
      <c r="AS61" s="29">
        <v>22.703396620638816</v>
      </c>
      <c r="AT61" s="29">
        <v>22.727277938645475</v>
      </c>
      <c r="AU61" s="29">
        <v>22.759512260870977</v>
      </c>
      <c r="AV61" s="29">
        <v>22.769778936921597</v>
      </c>
      <c r="AW61" s="29">
        <v>22.937508105983589</v>
      </c>
      <c r="AX61" s="29">
        <v>22.981716346079239</v>
      </c>
      <c r="AY61" s="29">
        <v>23.029092597358968</v>
      </c>
      <c r="AZ61" s="29">
        <v>23.088829865671901</v>
      </c>
      <c r="BA61" s="29">
        <v>23.120154872992391</v>
      </c>
      <c r="BB61" s="29">
        <v>23.209612506363577</v>
      </c>
      <c r="BC61" s="29">
        <v>23.299319779151713</v>
      </c>
      <c r="BD61" s="29">
        <v>23.40886048063599</v>
      </c>
      <c r="BE61" s="29">
        <v>23.523529977340218</v>
      </c>
      <c r="BF61" s="29">
        <v>23.634603827958298</v>
      </c>
      <c r="BG61" s="29">
        <v>23.759741997883101</v>
      </c>
      <c r="BH61" s="29">
        <v>23.896205057310286</v>
      </c>
      <c r="BI61" s="29">
        <v>24.014386487789061</v>
      </c>
      <c r="BJ61" s="29">
        <v>24.151689401577748</v>
      </c>
      <c r="BK61" s="29">
        <v>24.279895082771151</v>
      </c>
      <c r="BL61" s="29">
        <v>24.43286586990849</v>
      </c>
      <c r="BM61" s="29">
        <v>24.58333010018762</v>
      </c>
      <c r="BN61" s="29">
        <v>24.734554100554103</v>
      </c>
      <c r="BO61" s="29">
        <v>24.885269473162349</v>
      </c>
      <c r="BP61" s="29">
        <v>25.03544574405942</v>
      </c>
      <c r="BQ61" s="29">
        <v>25.185053344223171</v>
      </c>
      <c r="BR61" s="29">
        <v>25.334064036079923</v>
      </c>
      <c r="BS61" s="29">
        <v>25.482451341857963</v>
      </c>
      <c r="BT61" s="30">
        <v>25.630190949782872</v>
      </c>
      <c r="BU61" s="29">
        <v>25.777261053073563</v>
      </c>
      <c r="BV61" s="29">
        <v>25.923642624746329</v>
      </c>
      <c r="BW61" s="29">
        <v>26.06931962764428</v>
      </c>
      <c r="BX61" s="29">
        <v>26.214279057262569</v>
      </c>
      <c r="BY61" s="29">
        <v>26.358510760494774</v>
      </c>
      <c r="BZ61" s="29">
        <v>26.50200713602133</v>
      </c>
      <c r="CA61" s="29">
        <v>26.644837131587366</v>
      </c>
      <c r="CB61" s="29">
        <v>26.786994653217285</v>
      </c>
      <c r="CC61" s="29">
        <v>26.928473810979906</v>
      </c>
      <c r="CD61" s="29">
        <v>27.069268916119682</v>
      </c>
      <c r="CE61" s="29">
        <v>27.209374478201255</v>
      </c>
      <c r="CF61" s="29">
        <v>27.348785202272381</v>
      </c>
      <c r="CG61" s="29">
        <v>27.487495986044252</v>
      </c>
      <c r="CH61" s="29">
        <v>27.625501917093235</v>
      </c>
      <c r="CI61" s="29">
        <v>27.76279827008355</v>
      </c>
      <c r="CJ61" s="29">
        <v>27.899380504013692</v>
      </c>
      <c r="CK61" s="29">
        <v>28.035244259486252</v>
      </c>
      <c r="CL61" s="29">
        <v>28.170385356002935</v>
      </c>
      <c r="CM61" s="29">
        <v>28.304799789286267</v>
      </c>
      <c r="CN61" s="29">
        <v>28.438483728627368</v>
      </c>
      <c r="CO61" s="29">
        <v>28.571433514260619</v>
      </c>
      <c r="CP61" s="29">
        <v>28.703645654766941</v>
      </c>
      <c r="CQ61" s="29">
        <v>28.835116824504347</v>
      </c>
      <c r="CR61" s="29">
        <v>28.965843861067782</v>
      </c>
      <c r="CS61" s="29">
        <v>29.095823762776959</v>
      </c>
      <c r="CT61" s="29">
        <v>29.225053686192208</v>
      </c>
      <c r="CU61" s="29">
        <v>29.353530943660999</v>
      </c>
      <c r="CV61" s="29">
        <v>29.481253000891275</v>
      </c>
      <c r="CW61" s="29">
        <v>29.608217474554088</v>
      </c>
      <c r="CX61" s="29">
        <v>29.734422129915096</v>
      </c>
      <c r="CY61" s="29">
        <v>29.859864878493035</v>
      </c>
      <c r="CZ61" s="29">
        <v>29.98454377574722</v>
      </c>
      <c r="DA61" s="29">
        <v>30.108457018792738</v>
      </c>
      <c r="DB61" s="29">
        <v>30.231602944141798</v>
      </c>
      <c r="DC61" s="29">
        <v>30.353980025472595</v>
      </c>
      <c r="DD61" s="29">
        <v>30.475586871424948</v>
      </c>
      <c r="DE61" s="29">
        <v>30.596422223421925</v>
      </c>
      <c r="DF61" s="29">
        <v>30.716484953515966</v>
      </c>
      <c r="DG61" s="29">
        <v>30.835774062261599</v>
      </c>
      <c r="DH61" s="29">
        <v>30.954288676611622</v>
      </c>
      <c r="DI61" s="29">
        <v>31.072028047837996</v>
      </c>
      <c r="DJ61" s="29">
        <v>31.188991549476317</v>
      </c>
      <c r="DK61" s="29">
        <v>31.305178675292435</v>
      </c>
      <c r="DL61" s="29">
        <v>31.420589037273349</v>
      </c>
      <c r="DM61" s="29">
        <v>31.535222363637999</v>
      </c>
      <c r="DN61" s="29">
        <v>31.649078496871748</v>
      </c>
      <c r="DO61" s="29">
        <v>31.762157391780072</v>
      </c>
      <c r="DP61" s="29">
        <v>31.874459113563937</v>
      </c>
      <c r="DQ61" s="29">
        <v>31.985983835914467</v>
      </c>
      <c r="DR61" s="29">
        <v>32.096731839127138</v>
      </c>
      <c r="DS61">
        <v>32.206703508236238</v>
      </c>
      <c r="DT61">
        <v>32.315899331165639</v>
      </c>
      <c r="DU61">
        <v>32.424319896899668</v>
      </c>
    </row>
    <row r="62" spans="1:125">
      <c r="A62" s="27">
        <v>60</v>
      </c>
      <c r="B62" s="28"/>
      <c r="C62" s="28"/>
      <c r="D62" s="28"/>
      <c r="E62" s="28"/>
      <c r="F62" s="28"/>
      <c r="G62" s="28"/>
      <c r="H62" s="28"/>
      <c r="I62" s="28"/>
      <c r="J62" s="28"/>
      <c r="K62" s="28"/>
      <c r="L62" s="28"/>
      <c r="M62" s="28"/>
      <c r="N62" s="28"/>
      <c r="O62" s="28"/>
      <c r="P62" s="28"/>
      <c r="Q62" s="28"/>
      <c r="R62" s="28"/>
      <c r="S62" s="28"/>
      <c r="T62" s="28"/>
      <c r="U62" s="28"/>
      <c r="V62" s="29"/>
      <c r="W62" s="29">
        <v>18.32</v>
      </c>
      <c r="X62" s="29">
        <v>18.55</v>
      </c>
      <c r="Y62" s="29">
        <v>18.671919021161244</v>
      </c>
      <c r="Z62" s="29">
        <v>18.879386428370797</v>
      </c>
      <c r="AA62" s="29">
        <v>19.069361522955887</v>
      </c>
      <c r="AB62" s="29">
        <v>19.247777307299657</v>
      </c>
      <c r="AC62" s="29">
        <v>19.256617230182012</v>
      </c>
      <c r="AD62" s="29">
        <v>19.25355410343855</v>
      </c>
      <c r="AE62" s="29">
        <v>19.365362455962124</v>
      </c>
      <c r="AF62" s="29">
        <v>19.578989501966376</v>
      </c>
      <c r="AG62" s="29">
        <v>19.817926967986153</v>
      </c>
      <c r="AH62" s="29">
        <v>20.071310895242654</v>
      </c>
      <c r="AI62" s="29">
        <v>20.313317220629639</v>
      </c>
      <c r="AJ62" s="29">
        <v>20.55066130905789</v>
      </c>
      <c r="AK62" s="29">
        <v>20.799751140952626</v>
      </c>
      <c r="AL62" s="29">
        <v>21.087720434512608</v>
      </c>
      <c r="AM62" s="29">
        <v>21.326235553654207</v>
      </c>
      <c r="AN62" s="29">
        <v>21.489616206780052</v>
      </c>
      <c r="AO62" s="29">
        <v>21.596738751527933</v>
      </c>
      <c r="AP62" s="29">
        <v>21.686782415632802</v>
      </c>
      <c r="AQ62" s="29">
        <v>21.803332338033986</v>
      </c>
      <c r="AR62" s="29">
        <v>21.928757152039545</v>
      </c>
      <c r="AS62" s="29">
        <v>21.942106736284209</v>
      </c>
      <c r="AT62" s="29">
        <v>21.959205658952243</v>
      </c>
      <c r="AU62" s="29">
        <v>21.987335104078287</v>
      </c>
      <c r="AV62" s="29">
        <v>21.994461751330078</v>
      </c>
      <c r="AW62" s="29">
        <v>22.153399238902622</v>
      </c>
      <c r="AX62" s="29">
        <v>22.198915012255807</v>
      </c>
      <c r="AY62" s="29">
        <v>22.250001970736196</v>
      </c>
      <c r="AZ62" s="29">
        <v>22.303393413991603</v>
      </c>
      <c r="BA62" s="29">
        <v>22.340667958776496</v>
      </c>
      <c r="BB62" s="29">
        <v>22.427364808995065</v>
      </c>
      <c r="BC62" s="29">
        <v>22.522082318009584</v>
      </c>
      <c r="BD62" s="29">
        <v>22.62350423493757</v>
      </c>
      <c r="BE62" s="29">
        <v>22.739518027324245</v>
      </c>
      <c r="BF62" s="29">
        <v>22.850589551784378</v>
      </c>
      <c r="BG62" s="29">
        <v>22.970507495791374</v>
      </c>
      <c r="BH62" s="29">
        <v>23.105826109934206</v>
      </c>
      <c r="BI62" s="29">
        <v>23.222122816124372</v>
      </c>
      <c r="BJ62" s="29">
        <v>23.35455915335654</v>
      </c>
      <c r="BK62" s="29">
        <v>23.490725696661656</v>
      </c>
      <c r="BL62" s="29">
        <v>23.644612913830176</v>
      </c>
      <c r="BM62" s="29">
        <v>23.793492558297945</v>
      </c>
      <c r="BN62" s="29">
        <v>23.941919651522731</v>
      </c>
      <c r="BO62" s="29">
        <v>24.089863775408066</v>
      </c>
      <c r="BP62" s="29">
        <v>24.237294335327565</v>
      </c>
      <c r="BQ62" s="29">
        <v>24.384181652151451</v>
      </c>
      <c r="BR62" s="29">
        <v>24.530497391092531</v>
      </c>
      <c r="BS62" s="29">
        <v>24.676214992069088</v>
      </c>
      <c r="BT62" s="30">
        <v>24.821310077430454</v>
      </c>
      <c r="BU62" s="29">
        <v>24.965760791714356</v>
      </c>
      <c r="BV62" s="29">
        <v>25.109548076553871</v>
      </c>
      <c r="BW62" s="29">
        <v>25.252655880226442</v>
      </c>
      <c r="BX62" s="29">
        <v>25.395071198769042</v>
      </c>
      <c r="BY62" s="29">
        <v>25.53678389155899</v>
      </c>
      <c r="BZ62" s="29">
        <v>25.677860065670014</v>
      </c>
      <c r="CA62" s="29">
        <v>25.818293441573775</v>
      </c>
      <c r="CB62" s="29">
        <v>25.958077938777926</v>
      </c>
      <c r="CC62" s="29">
        <v>26.097207673127926</v>
      </c>
      <c r="CD62" s="29">
        <v>26.235676954123761</v>
      </c>
      <c r="CE62" s="29">
        <v>26.373480282250359</v>
      </c>
      <c r="CF62" s="29">
        <v>26.510612346326361</v>
      </c>
      <c r="CG62" s="29">
        <v>26.647068020870158</v>
      </c>
      <c r="CH62" s="29">
        <v>26.782842363486932</v>
      </c>
      <c r="CI62" s="29">
        <v>26.917930612276116</v>
      </c>
      <c r="CJ62" s="29">
        <v>27.052328183261711</v>
      </c>
      <c r="CK62" s="29">
        <v>27.18603066784522</v>
      </c>
      <c r="CL62" s="29">
        <v>27.319033830282503</v>
      </c>
      <c r="CM62" s="29">
        <v>27.451333605186193</v>
      </c>
      <c r="CN62" s="29">
        <v>27.582926095052688</v>
      </c>
      <c r="CO62" s="29">
        <v>27.713807567814481</v>
      </c>
      <c r="CP62" s="29">
        <v>27.843974454419509</v>
      </c>
      <c r="CQ62" s="29">
        <v>27.973423346435879</v>
      </c>
      <c r="CR62" s="29">
        <v>28.102150993684063</v>
      </c>
      <c r="CS62" s="29">
        <v>28.230154301895034</v>
      </c>
      <c r="CT62" s="29">
        <v>28.35743033039434</v>
      </c>
      <c r="CU62" s="29">
        <v>28.483976289814674</v>
      </c>
      <c r="CV62" s="29">
        <v>28.609789539832974</v>
      </c>
      <c r="CW62" s="29">
        <v>28.734867586934545</v>
      </c>
      <c r="CX62" s="29">
        <v>28.859208082203573</v>
      </c>
      <c r="CY62" s="29">
        <v>28.982808819138214</v>
      </c>
      <c r="CZ62" s="29">
        <v>29.105667731492222</v>
      </c>
      <c r="DA62" s="29">
        <v>29.227782891141661</v>
      </c>
      <c r="DB62" s="29">
        <v>29.349152505975223</v>
      </c>
      <c r="DC62" s="29">
        <v>29.469774917809463</v>
      </c>
      <c r="DD62" s="29">
        <v>29.589648600328097</v>
      </c>
      <c r="DE62" s="29">
        <v>29.708772157044638</v>
      </c>
      <c r="DF62" s="29">
        <v>29.827144319286827</v>
      </c>
      <c r="DG62" s="29">
        <v>29.944763944204954</v>
      </c>
      <c r="DH62" s="29">
        <v>30.061630012800919</v>
      </c>
      <c r="DI62" s="29">
        <v>30.177741627979252</v>
      </c>
      <c r="DJ62" s="29">
        <v>30.293098012618973</v>
      </c>
      <c r="DK62" s="29">
        <v>30.407698507664897</v>
      </c>
      <c r="DL62" s="29">
        <v>30.521542570240445</v>
      </c>
      <c r="DM62" s="29">
        <v>30.634629771777636</v>
      </c>
      <c r="DN62" s="29">
        <v>30.746959796168039</v>
      </c>
      <c r="DO62" s="29">
        <v>30.858532437930215</v>
      </c>
      <c r="DP62" s="29">
        <v>30.969347600396201</v>
      </c>
      <c r="DQ62" s="29">
        <v>31.07940529391453</v>
      </c>
      <c r="DR62" s="29">
        <v>31.188705634070136</v>
      </c>
      <c r="DS62">
        <v>31.29724883992197</v>
      </c>
      <c r="DT62">
        <v>31.405035232254139</v>
      </c>
      <c r="DU62">
        <v>31.512065231844716</v>
      </c>
    </row>
    <row r="63" spans="1:125">
      <c r="A63" s="27">
        <v>61</v>
      </c>
      <c r="B63" s="28"/>
      <c r="C63" s="28"/>
      <c r="D63" s="28"/>
      <c r="E63" s="28"/>
      <c r="F63" s="28"/>
      <c r="G63" s="28"/>
      <c r="H63" s="28"/>
      <c r="I63" s="28"/>
      <c r="J63" s="28"/>
      <c r="K63" s="28"/>
      <c r="L63" s="28"/>
      <c r="M63" s="28"/>
      <c r="N63" s="28"/>
      <c r="O63" s="28"/>
      <c r="P63" s="28"/>
      <c r="Q63" s="28"/>
      <c r="R63" s="28"/>
      <c r="S63" s="28"/>
      <c r="T63" s="28"/>
      <c r="U63" s="28"/>
      <c r="V63" s="29"/>
      <c r="W63" s="29">
        <v>17.64</v>
      </c>
      <c r="X63" s="29">
        <v>17.87</v>
      </c>
      <c r="Y63" s="29">
        <v>17.991168128573651</v>
      </c>
      <c r="Z63" s="29">
        <v>18.192635524906695</v>
      </c>
      <c r="AA63" s="29">
        <v>18.383958942107203</v>
      </c>
      <c r="AB63" s="29">
        <v>18.557370342634336</v>
      </c>
      <c r="AC63" s="29">
        <v>18.565771211754594</v>
      </c>
      <c r="AD63" s="29">
        <v>18.569096343680279</v>
      </c>
      <c r="AE63" s="29">
        <v>18.682703176945072</v>
      </c>
      <c r="AF63" s="29">
        <v>18.908447161177985</v>
      </c>
      <c r="AG63" s="29">
        <v>19.135092360400311</v>
      </c>
      <c r="AH63" s="29">
        <v>19.385833093339297</v>
      </c>
      <c r="AI63" s="29">
        <v>19.621539521803985</v>
      </c>
      <c r="AJ63" s="29">
        <v>19.852482910795104</v>
      </c>
      <c r="AK63" s="29">
        <v>20.098476000792807</v>
      </c>
      <c r="AL63" s="29">
        <v>20.372122620650838</v>
      </c>
      <c r="AM63" s="29">
        <v>20.597833670259174</v>
      </c>
      <c r="AN63" s="29">
        <v>20.752409233549297</v>
      </c>
      <c r="AO63" s="29">
        <v>20.856074092038142</v>
      </c>
      <c r="AP63" s="29">
        <v>20.93990952768501</v>
      </c>
      <c r="AQ63" s="29">
        <v>21.053721970786111</v>
      </c>
      <c r="AR63" s="29">
        <v>21.171553775622677</v>
      </c>
      <c r="AS63" s="29">
        <v>21.181904801884496</v>
      </c>
      <c r="AT63" s="29">
        <v>21.194086116593667</v>
      </c>
      <c r="AU63" s="29">
        <v>21.221811152004335</v>
      </c>
      <c r="AV63" s="29">
        <v>21.22450431458893</v>
      </c>
      <c r="AW63" s="29">
        <v>21.384755203034111</v>
      </c>
      <c r="AX63" s="29">
        <v>21.427630568765935</v>
      </c>
      <c r="AY63" s="29">
        <v>21.479422026881529</v>
      </c>
      <c r="AZ63" s="29">
        <v>21.533396177683517</v>
      </c>
      <c r="BA63" s="29">
        <v>21.571142289066682</v>
      </c>
      <c r="BB63" s="29">
        <v>21.660074649221102</v>
      </c>
      <c r="BC63" s="29">
        <v>21.744494084169805</v>
      </c>
      <c r="BD63" s="29">
        <v>21.853542349033312</v>
      </c>
      <c r="BE63" s="29">
        <v>21.960999507872611</v>
      </c>
      <c r="BF63" s="29">
        <v>22.073199945476581</v>
      </c>
      <c r="BG63" s="29">
        <v>22.19358954034125</v>
      </c>
      <c r="BH63" s="29">
        <v>22.320472687689239</v>
      </c>
      <c r="BI63" s="29">
        <v>22.438746200627847</v>
      </c>
      <c r="BJ63" s="29">
        <v>22.577326062562687</v>
      </c>
      <c r="BK63" s="29">
        <v>22.724286800586857</v>
      </c>
      <c r="BL63" s="29">
        <v>22.870581218862913</v>
      </c>
      <c r="BM63" s="29">
        <v>23.016478065391276</v>
      </c>
      <c r="BN63" s="29">
        <v>23.1619493067662</v>
      </c>
      <c r="BO63" s="29">
        <v>23.306964395093946</v>
      </c>
      <c r="BP63" s="29">
        <v>23.451492608639587</v>
      </c>
      <c r="BQ63" s="29">
        <v>23.595504153264542</v>
      </c>
      <c r="BR63" s="29">
        <v>23.738970593813413</v>
      </c>
      <c r="BS63" s="29">
        <v>23.881865286663579</v>
      </c>
      <c r="BT63" s="30">
        <v>24.024163789107078</v>
      </c>
      <c r="BU63" s="29">
        <v>24.165844199914243</v>
      </c>
      <c r="BV63" s="29">
        <v>24.306887434320313</v>
      </c>
      <c r="BW63" s="29">
        <v>24.447277433011259</v>
      </c>
      <c r="BX63" s="29">
        <v>24.587001201319836</v>
      </c>
      <c r="BY63" s="29">
        <v>24.726119772050026</v>
      </c>
      <c r="BZ63" s="29">
        <v>24.864626701950545</v>
      </c>
      <c r="CA63" s="29">
        <v>25.002515740707207</v>
      </c>
      <c r="CB63" s="29">
        <v>25.139780828437573</v>
      </c>
      <c r="CC63" s="29">
        <v>25.276416093196332</v>
      </c>
      <c r="CD63" s="29">
        <v>25.41241584849605</v>
      </c>
      <c r="CE63" s="29">
        <v>25.547774590841591</v>
      </c>
      <c r="CF63" s="29">
        <v>25.682486997282826</v>
      </c>
      <c r="CG63" s="29">
        <v>25.816547922984132</v>
      </c>
      <c r="CH63" s="29">
        <v>25.949952398814347</v>
      </c>
      <c r="CI63" s="29">
        <v>26.082695628956277</v>
      </c>
      <c r="CJ63" s="29">
        <v>26.21477298853813</v>
      </c>
      <c r="CK63" s="29">
        <v>26.34618002128629</v>
      </c>
      <c r="CL63" s="29">
        <v>26.476912437200713</v>
      </c>
      <c r="CM63" s="29">
        <v>26.606966110254312</v>
      </c>
      <c r="CN63" s="29">
        <v>26.736337076115319</v>
      </c>
      <c r="CO63" s="29">
        <v>26.865021529893113</v>
      </c>
      <c r="CP63" s="29">
        <v>26.993015823909143</v>
      </c>
      <c r="CQ63" s="29">
        <v>27.120316465491189</v>
      </c>
      <c r="CR63" s="29">
        <v>27.246920114792907</v>
      </c>
      <c r="CS63" s="29">
        <v>27.372823582637047</v>
      </c>
      <c r="CT63" s="29">
        <v>27.498023828382227</v>
      </c>
      <c r="CU63" s="29">
        <v>27.622517957815788</v>
      </c>
      <c r="CV63" s="29">
        <v>27.746303221068604</v>
      </c>
      <c r="CW63" s="29">
        <v>27.86937701055437</v>
      </c>
      <c r="CX63" s="29">
        <v>27.991736858932523</v>
      </c>
      <c r="CY63" s="29">
        <v>28.113380437093138</v>
      </c>
      <c r="CZ63" s="29">
        <v>28.234305552165509</v>
      </c>
      <c r="DA63" s="29">
        <v>28.354510145548989</v>
      </c>
      <c r="DB63" s="29">
        <v>28.473992290964674</v>
      </c>
      <c r="DC63" s="29">
        <v>28.592750192528985</v>
      </c>
      <c r="DD63" s="29">
        <v>28.710782182848515</v>
      </c>
      <c r="DE63" s="29">
        <v>28.828086721135197</v>
      </c>
      <c r="DF63" s="29">
        <v>28.944662391340369</v>
      </c>
      <c r="DG63" s="29">
        <v>29.060507900309705</v>
      </c>
      <c r="DH63" s="29">
        <v>29.175622075955946</v>
      </c>
      <c r="DI63" s="29">
        <v>29.290003865450604</v>
      </c>
      <c r="DJ63" s="29">
        <v>29.403652333433488</v>
      </c>
      <c r="DK63" s="29">
        <v>29.516566660238766</v>
      </c>
      <c r="DL63" s="29">
        <v>29.628746140139423</v>
      </c>
      <c r="DM63" s="29">
        <v>29.740190179606095</v>
      </c>
      <c r="DN63" s="29">
        <v>29.850898295583786</v>
      </c>
      <c r="DO63" s="29">
        <v>29.960870113782185</v>
      </c>
      <c r="DP63" s="29">
        <v>30.070105366982062</v>
      </c>
      <c r="DQ63" s="29">
        <v>30.178603893355344</v>
      </c>
      <c r="DR63" s="29">
        <v>30.286365634799168</v>
      </c>
      <c r="DS63">
        <v>30.393390635284756</v>
      </c>
      <c r="DT63">
        <v>30.499679039217007</v>
      </c>
      <c r="DU63">
        <v>30.605231089808957</v>
      </c>
    </row>
    <row r="64" spans="1:125">
      <c r="A64" s="27">
        <v>62</v>
      </c>
      <c r="B64" s="28"/>
      <c r="C64" s="28"/>
      <c r="D64" s="28"/>
      <c r="E64" s="28"/>
      <c r="F64" s="28"/>
      <c r="G64" s="28"/>
      <c r="H64" s="28"/>
      <c r="I64" s="28"/>
      <c r="J64" s="28"/>
      <c r="K64" s="28"/>
      <c r="L64" s="28"/>
      <c r="M64" s="28"/>
      <c r="N64" s="28"/>
      <c r="O64" s="28"/>
      <c r="P64" s="28"/>
      <c r="Q64" s="28"/>
      <c r="R64" s="28"/>
      <c r="S64" s="28"/>
      <c r="T64" s="28"/>
      <c r="U64" s="28"/>
      <c r="V64" s="29"/>
      <c r="W64" s="29">
        <v>16.98</v>
      </c>
      <c r="X64" s="29">
        <v>17.21</v>
      </c>
      <c r="Y64" s="29">
        <v>17.332336843594952</v>
      </c>
      <c r="Z64" s="29">
        <v>17.525334032652616</v>
      </c>
      <c r="AA64" s="29">
        <v>17.708350813869952</v>
      </c>
      <c r="AB64" s="29">
        <v>17.880105372260562</v>
      </c>
      <c r="AC64" s="29">
        <v>17.893517725845079</v>
      </c>
      <c r="AD64" s="29">
        <v>17.903652466408616</v>
      </c>
      <c r="AE64" s="29">
        <v>18.016885267080649</v>
      </c>
      <c r="AF64" s="29">
        <v>18.242299733828155</v>
      </c>
      <c r="AG64" s="29">
        <v>18.458587734389461</v>
      </c>
      <c r="AH64" s="29">
        <v>18.70526947753201</v>
      </c>
      <c r="AI64" s="29">
        <v>18.935748195756506</v>
      </c>
      <c r="AJ64" s="29">
        <v>19.167609692241712</v>
      </c>
      <c r="AK64" s="29">
        <v>19.408022149463704</v>
      </c>
      <c r="AL64" s="29">
        <v>19.662033624983984</v>
      </c>
      <c r="AM64" s="29">
        <v>19.877956207178432</v>
      </c>
      <c r="AN64" s="29">
        <v>20.02605708416732</v>
      </c>
      <c r="AO64" s="29">
        <v>20.122240993425702</v>
      </c>
      <c r="AP64" s="29">
        <v>20.199281693410658</v>
      </c>
      <c r="AQ64" s="29">
        <v>20.310852077464688</v>
      </c>
      <c r="AR64" s="29">
        <v>20.419471176448358</v>
      </c>
      <c r="AS64" s="29">
        <v>20.426842881841086</v>
      </c>
      <c r="AT64" s="29">
        <v>20.432625887807383</v>
      </c>
      <c r="AU64" s="29">
        <v>20.461135616538378</v>
      </c>
      <c r="AV64" s="29">
        <v>20.466939798631159</v>
      </c>
      <c r="AW64" s="29">
        <v>20.62441314921702</v>
      </c>
      <c r="AX64" s="29">
        <v>20.661727414592846</v>
      </c>
      <c r="AY64" s="29">
        <v>20.72273952951161</v>
      </c>
      <c r="AZ64" s="29">
        <v>20.770956678751975</v>
      </c>
      <c r="BA64" s="29">
        <v>20.809496510172686</v>
      </c>
      <c r="BB64" s="29">
        <v>20.894619143411091</v>
      </c>
      <c r="BC64" s="29">
        <v>20.989342621703251</v>
      </c>
      <c r="BD64" s="29">
        <v>21.086558903240125</v>
      </c>
      <c r="BE64" s="29">
        <v>21.195345533347602</v>
      </c>
      <c r="BF64" s="29">
        <v>21.311925825720817</v>
      </c>
      <c r="BG64" s="31">
        <v>21.423783038037023</v>
      </c>
      <c r="BH64" s="29">
        <v>21.551795104560806</v>
      </c>
      <c r="BI64" s="29">
        <v>21.678339078980333</v>
      </c>
      <c r="BJ64" s="29">
        <v>21.823046815116214</v>
      </c>
      <c r="BK64" s="29">
        <v>21.966510138755861</v>
      </c>
      <c r="BL64" s="29">
        <v>22.109630239754345</v>
      </c>
      <c r="BM64" s="29">
        <v>22.252381086589093</v>
      </c>
      <c r="BN64" s="29">
        <v>22.39473452647573</v>
      </c>
      <c r="BO64" s="29">
        <v>22.536659870515237</v>
      </c>
      <c r="BP64" s="29">
        <v>22.67812625952967</v>
      </c>
      <c r="BQ64" s="29">
        <v>22.819103775857442</v>
      </c>
      <c r="BR64" s="29">
        <v>22.959563877503033</v>
      </c>
      <c r="BS64" s="29">
        <v>23.099479833056861</v>
      </c>
      <c r="BT64" s="30">
        <v>23.238827132860948</v>
      </c>
      <c r="BU64" s="29">
        <v>23.37758383041842</v>
      </c>
      <c r="BV64" s="29">
        <v>23.515730817425464</v>
      </c>
      <c r="BW64" s="29">
        <v>23.653252032095423</v>
      </c>
      <c r="BX64" s="29">
        <v>23.790200894257548</v>
      </c>
      <c r="BY64" s="29">
        <v>23.926570819518453</v>
      </c>
      <c r="BZ64" s="29">
        <v>24.062355409192733</v>
      </c>
      <c r="CA64" s="29">
        <v>24.19754844800935</v>
      </c>
      <c r="CB64" s="29">
        <v>24.332143901829056</v>
      </c>
      <c r="CC64" s="29">
        <v>24.466135915372853</v>
      </c>
      <c r="CD64" s="29">
        <v>24.599518809965936</v>
      </c>
      <c r="CE64" s="29">
        <v>24.732287081295137</v>
      </c>
      <c r="CF64" s="29">
        <v>24.86443539718416</v>
      </c>
      <c r="CG64" s="29">
        <v>24.995958595385023</v>
      </c>
      <c r="CH64" s="29">
        <v>25.126851681388978</v>
      </c>
      <c r="CI64" s="29">
        <v>25.257109826255931</v>
      </c>
      <c r="CJ64" s="29">
        <v>25.386728364464503</v>
      </c>
      <c r="CK64" s="29">
        <v>25.51570279178188</v>
      </c>
      <c r="CL64" s="29">
        <v>25.644028763154704</v>
      </c>
      <c r="CM64" s="29">
        <v>25.771702090622107</v>
      </c>
      <c r="CN64" s="29">
        <v>25.898718741249702</v>
      </c>
      <c r="CO64" s="29">
        <v>26.025074835085036</v>
      </c>
      <c r="CP64" s="29">
        <v>26.150766643135785</v>
      </c>
      <c r="CQ64" s="29">
        <v>26.275790585369005</v>
      </c>
      <c r="CR64" s="29">
        <v>26.400143228733182</v>
      </c>
      <c r="CS64" s="29">
        <v>26.523821285201336</v>
      </c>
      <c r="CT64" s="29">
        <v>26.646821609835083</v>
      </c>
      <c r="CU64" s="29">
        <v>26.769141198871971</v>
      </c>
      <c r="CV64" s="29">
        <v>26.890777187832011</v>
      </c>
      <c r="CW64" s="29">
        <v>27.011726849645676</v>
      </c>
      <c r="CX64" s="29">
        <v>27.131987592802727</v>
      </c>
      <c r="CY64" s="29">
        <v>27.251556959519874</v>
      </c>
      <c r="CZ64" s="29">
        <v>27.370432623929126</v>
      </c>
      <c r="DA64" s="29">
        <v>27.488612390285301</v>
      </c>
      <c r="DB64" s="29">
        <v>27.606094191191172</v>
      </c>
      <c r="DC64" s="29">
        <v>27.722876085841484</v>
      </c>
      <c r="DD64" s="29">
        <v>27.838956258284867</v>
      </c>
      <c r="DE64" s="29">
        <v>27.954333015703018</v>
      </c>
      <c r="DF64" s="29">
        <v>28.069004786705435</v>
      </c>
      <c r="DG64" s="29">
        <v>28.182970119641883</v>
      </c>
      <c r="DH64" s="29">
        <v>28.296227680929306</v>
      </c>
      <c r="DI64" s="29">
        <v>28.408776253394592</v>
      </c>
      <c r="DJ64" s="29">
        <v>28.520614734631803</v>
      </c>
      <c r="DK64" s="29">
        <v>28.6317421353728</v>
      </c>
      <c r="DL64" s="29">
        <v>28.742157577872977</v>
      </c>
      <c r="DM64" s="29">
        <v>28.851860294308171</v>
      </c>
      <c r="DN64" s="29">
        <v>28.960849625186299</v>
      </c>
      <c r="DO64" s="29">
        <v>29.069125017769348</v>
      </c>
      <c r="DP64" s="29">
        <v>29.176686024508328</v>
      </c>
      <c r="DQ64" s="29">
        <v>29.283532301488769</v>
      </c>
      <c r="DR64" s="29">
        <v>29.389663606887051</v>
      </c>
      <c r="DS64">
        <v>29.495079799438543</v>
      </c>
      <c r="DT64">
        <v>29.599780836913283</v>
      </c>
      <c r="DU64">
        <v>29.703766774603682</v>
      </c>
    </row>
    <row r="65" spans="1:125">
      <c r="A65" s="27">
        <v>63</v>
      </c>
      <c r="B65" s="28"/>
      <c r="C65" s="28"/>
      <c r="D65" s="28"/>
      <c r="E65" s="28"/>
      <c r="F65" s="28"/>
      <c r="G65" s="28"/>
      <c r="H65" s="28"/>
      <c r="I65" s="28"/>
      <c r="J65" s="28"/>
      <c r="K65" s="28"/>
      <c r="L65" s="28"/>
      <c r="M65" s="28"/>
      <c r="N65" s="28"/>
      <c r="O65" s="28"/>
      <c r="P65" s="28"/>
      <c r="Q65" s="28"/>
      <c r="R65" s="28"/>
      <c r="S65" s="28"/>
      <c r="T65" s="28"/>
      <c r="U65" s="28"/>
      <c r="V65" s="29"/>
      <c r="W65" s="29">
        <v>16.329999999999998</v>
      </c>
      <c r="X65" s="29">
        <v>16.55</v>
      </c>
      <c r="Y65" s="29">
        <v>16.679346910581909</v>
      </c>
      <c r="Z65" s="29">
        <v>16.872982069127726</v>
      </c>
      <c r="AA65" s="29">
        <v>17.045622266328714</v>
      </c>
      <c r="AB65" s="29">
        <v>17.212501354793464</v>
      </c>
      <c r="AC65" s="29">
        <v>17.235340705790069</v>
      </c>
      <c r="AD65" s="29">
        <v>17.251782646899819</v>
      </c>
      <c r="AE65" s="29">
        <v>17.360993185319153</v>
      </c>
      <c r="AF65" s="29">
        <v>17.59075446354435</v>
      </c>
      <c r="AG65" s="29">
        <v>17.800359982106009</v>
      </c>
      <c r="AH65" s="29">
        <v>18.039731401847078</v>
      </c>
      <c r="AI65" s="29">
        <v>18.272067303629065</v>
      </c>
      <c r="AJ65" s="29">
        <v>18.48031799639892</v>
      </c>
      <c r="AK65" s="29">
        <v>18.714748677442138</v>
      </c>
      <c r="AL65" s="29">
        <v>18.96416150036719</v>
      </c>
      <c r="AM65" s="29">
        <v>19.162727563139278</v>
      </c>
      <c r="AN65" s="29">
        <v>19.302628738169407</v>
      </c>
      <c r="AO65" s="29">
        <v>19.397753603323942</v>
      </c>
      <c r="AP65" s="29">
        <v>19.473071585463593</v>
      </c>
      <c r="AQ65" s="29">
        <v>19.574402484586923</v>
      </c>
      <c r="AR65" s="29">
        <v>19.680500712286026</v>
      </c>
      <c r="AS65" s="29">
        <v>19.679473944764883</v>
      </c>
      <c r="AT65" s="29">
        <v>19.682798782242369</v>
      </c>
      <c r="AU65" s="29">
        <v>19.712911608728966</v>
      </c>
      <c r="AV65" s="29">
        <v>19.718579648619603</v>
      </c>
      <c r="AW65" s="29">
        <v>19.866432885938799</v>
      </c>
      <c r="AX65" s="29">
        <v>19.90502417312311</v>
      </c>
      <c r="AY65" s="29">
        <v>19.968759626842541</v>
      </c>
      <c r="AZ65" s="29">
        <v>20.016623466386619</v>
      </c>
      <c r="BA65" s="29">
        <v>20.051683529327835</v>
      </c>
      <c r="BB65" s="29">
        <v>20.153039532478406</v>
      </c>
      <c r="BC65" s="29">
        <v>20.238909212981088</v>
      </c>
      <c r="BD65" s="29">
        <v>20.330810111328145</v>
      </c>
      <c r="BE65" s="29">
        <v>20.449112152462902</v>
      </c>
      <c r="BF65" s="29">
        <v>20.556154178088125</v>
      </c>
      <c r="BG65" s="29">
        <v>20.670461221396678</v>
      </c>
      <c r="BH65" s="29">
        <v>20.806010322062676</v>
      </c>
      <c r="BI65" s="29">
        <v>20.941066792031897</v>
      </c>
      <c r="BJ65" s="29">
        <v>21.081454368651176</v>
      </c>
      <c r="BK65" s="29">
        <v>21.221553206254935</v>
      </c>
      <c r="BL65" s="29">
        <v>21.361338546006735</v>
      </c>
      <c r="BM65" s="29">
        <v>21.500784243098391</v>
      </c>
      <c r="BN65" s="29">
        <v>21.639862011057851</v>
      </c>
      <c r="BO65" s="29">
        <v>21.778541004269808</v>
      </c>
      <c r="BP65" s="29">
        <v>21.91679021152866</v>
      </c>
      <c r="BQ65" s="29">
        <v>22.054579579191536</v>
      </c>
      <c r="BR65" s="29">
        <v>22.191880448316223</v>
      </c>
      <c r="BS65" s="29">
        <v>22.328665992135338</v>
      </c>
      <c r="BT65" s="30">
        <v>22.464911629129883</v>
      </c>
      <c r="BU65" s="29">
        <v>22.600595365315325</v>
      </c>
      <c r="BV65" s="29">
        <v>22.735698069271223</v>
      </c>
      <c r="BW65" s="29">
        <v>22.870262801115611</v>
      </c>
      <c r="BX65" s="29">
        <v>23.004282858158039</v>
      </c>
      <c r="BY65" s="29">
        <v>23.137751715050786</v>
      </c>
      <c r="BZ65" s="29">
        <v>23.270663021728264</v>
      </c>
      <c r="CA65" s="29">
        <v>23.403010601355543</v>
      </c>
      <c r="CB65" s="29">
        <v>23.534788448288186</v>
      </c>
      <c r="CC65" s="29">
        <v>23.665990726043212</v>
      </c>
      <c r="CD65" s="29">
        <v>23.796611765285242</v>
      </c>
      <c r="CE65" s="29">
        <v>23.926646061825686</v>
      </c>
      <c r="CF65" s="29">
        <v>24.056088274638899</v>
      </c>
      <c r="CG65" s="29">
        <v>24.184933223893584</v>
      </c>
      <c r="CH65" s="29">
        <v>24.313175889002444</v>
      </c>
      <c r="CI65" s="29">
        <v>24.440811406688869</v>
      </c>
      <c r="CJ65" s="29">
        <v>24.56783506907265</v>
      </c>
      <c r="CK65" s="29">
        <v>24.694242321773689</v>
      </c>
      <c r="CL65" s="29">
        <v>24.82002876203471</v>
      </c>
      <c r="CM65" s="29">
        <v>24.945190136863985</v>
      </c>
      <c r="CN65" s="29">
        <v>25.069722341196766</v>
      </c>
      <c r="CO65" s="29">
        <v>25.193621416075636</v>
      </c>
      <c r="CP65" s="29">
        <v>25.316883546851138</v>
      </c>
      <c r="CQ65" s="29">
        <v>25.43950506140072</v>
      </c>
      <c r="CR65" s="29">
        <v>25.561482428367693</v>
      </c>
      <c r="CS65" s="29">
        <v>25.682812255418376</v>
      </c>
      <c r="CT65" s="29">
        <v>25.803491287517197</v>
      </c>
      <c r="CU65" s="29">
        <v>25.923516405222024</v>
      </c>
      <c r="CV65" s="29">
        <v>26.042884622995519</v>
      </c>
      <c r="CW65" s="29">
        <v>26.161593087534808</v>
      </c>
      <c r="CX65" s="29">
        <v>26.279639076118706</v>
      </c>
      <c r="CY65" s="29">
        <v>26.397019994970432</v>
      </c>
      <c r="CZ65" s="29">
        <v>26.513733377637717</v>
      </c>
      <c r="DA65" s="29">
        <v>26.62977688338864</v>
      </c>
      <c r="DB65" s="29">
        <v>26.745148295621693</v>
      </c>
      <c r="DC65" s="29">
        <v>26.859845520291273</v>
      </c>
      <c r="DD65" s="29">
        <v>26.973866584347583</v>
      </c>
      <c r="DE65" s="29">
        <v>27.087209634190355</v>
      </c>
      <c r="DF65" s="29">
        <v>27.199872934134593</v>
      </c>
      <c r="DG65" s="29">
        <v>27.31185486489057</v>
      </c>
      <c r="DH65" s="29">
        <v>27.42315392205477</v>
      </c>
      <c r="DI65" s="29">
        <v>27.533768714613171</v>
      </c>
      <c r="DJ65" s="29">
        <v>27.64369796345553</v>
      </c>
      <c r="DK65" s="29">
        <v>27.752940499899559</v>
      </c>
      <c r="DL65" s="29">
        <v>27.861495264226733</v>
      </c>
      <c r="DM65" s="29">
        <v>27.969361304225881</v>
      </c>
      <c r="DN65" s="29">
        <v>28.076537773747987</v>
      </c>
      <c r="DO65" s="29">
        <v>28.183023931268021</v>
      </c>
      <c r="DP65" s="29">
        <v>28.288819138456304</v>
      </c>
      <c r="DQ65" s="29">
        <v>28.393922858757048</v>
      </c>
      <c r="DR65" s="29">
        <v>28.498334655974457</v>
      </c>
      <c r="DS65">
        <v>28.602054192867307</v>
      </c>
      <c r="DT65">
        <v>28.705081229747794</v>
      </c>
      <c r="DU65">
        <v>28.807415623089227</v>
      </c>
    </row>
    <row r="66" spans="1:125">
      <c r="A66" s="27">
        <v>64</v>
      </c>
      <c r="B66" s="28"/>
      <c r="C66" s="28"/>
      <c r="D66" s="28"/>
      <c r="E66" s="28"/>
      <c r="F66" s="28"/>
      <c r="G66" s="28"/>
      <c r="H66" s="28"/>
      <c r="I66" s="28"/>
      <c r="J66" s="28"/>
      <c r="K66" s="28"/>
      <c r="L66" s="28"/>
      <c r="M66" s="28"/>
      <c r="N66" s="28"/>
      <c r="O66" s="28"/>
      <c r="P66" s="28"/>
      <c r="Q66" s="28"/>
      <c r="R66" s="28"/>
      <c r="S66" s="28"/>
      <c r="T66" s="28"/>
      <c r="U66" s="28"/>
      <c r="V66" s="29"/>
      <c r="W66" s="29">
        <v>15.71</v>
      </c>
      <c r="X66" s="29">
        <v>15.91</v>
      </c>
      <c r="Y66" s="29">
        <v>16.035319751250352</v>
      </c>
      <c r="Z66" s="29">
        <v>16.234282250954923</v>
      </c>
      <c r="AA66" s="29">
        <v>16.394913232323702</v>
      </c>
      <c r="AB66" s="29">
        <v>16.567990835893941</v>
      </c>
      <c r="AC66" s="29">
        <v>16.596073006808947</v>
      </c>
      <c r="AD66" s="29">
        <v>16.611348846083324</v>
      </c>
      <c r="AE66" s="29">
        <v>16.719018586043905</v>
      </c>
      <c r="AF66" s="29">
        <v>16.950360019625187</v>
      </c>
      <c r="AG66" s="29">
        <v>17.153131929960811</v>
      </c>
      <c r="AH66" s="29">
        <v>17.388238451412398</v>
      </c>
      <c r="AI66" s="29">
        <v>17.609461252015016</v>
      </c>
      <c r="AJ66" s="29">
        <v>17.804911584594915</v>
      </c>
      <c r="AK66" s="29">
        <v>18.029883647256707</v>
      </c>
      <c r="AL66" s="29">
        <v>18.274237465705195</v>
      </c>
      <c r="AM66" s="29">
        <v>18.453233342005468</v>
      </c>
      <c r="AN66" s="29">
        <v>18.590587254546016</v>
      </c>
      <c r="AO66" s="29">
        <v>18.681946968462071</v>
      </c>
      <c r="AP66" s="29">
        <v>18.746657866940609</v>
      </c>
      <c r="AQ66" s="29">
        <v>18.843437414224162</v>
      </c>
      <c r="AR66" s="29">
        <v>18.938864709160285</v>
      </c>
      <c r="AS66" s="29">
        <v>18.94064177901226</v>
      </c>
      <c r="AT66" s="29">
        <v>18.944696312298248</v>
      </c>
      <c r="AU66" s="29">
        <v>18.972400672297816</v>
      </c>
      <c r="AV66" s="29">
        <v>18.977292133497311</v>
      </c>
      <c r="AW66" s="29">
        <v>19.119050582061103</v>
      </c>
      <c r="AX66" s="29">
        <v>19.154128395053149</v>
      </c>
      <c r="AY66" s="29">
        <v>19.223180952064528</v>
      </c>
      <c r="AZ66" s="29">
        <v>19.264467535905105</v>
      </c>
      <c r="BA66" s="29">
        <v>19.314802946808168</v>
      </c>
      <c r="BB66" s="29">
        <v>19.415812609943419</v>
      </c>
      <c r="BC66" s="29">
        <v>19.498793764566919</v>
      </c>
      <c r="BD66" s="29">
        <v>19.594749732878618</v>
      </c>
      <c r="BE66" s="29">
        <v>19.708198593528934</v>
      </c>
      <c r="BF66" s="29">
        <v>19.813015273660099</v>
      </c>
      <c r="BG66" s="29">
        <v>19.941635175752157</v>
      </c>
      <c r="BH66" s="29">
        <v>20.077914299666723</v>
      </c>
      <c r="BI66" s="29">
        <v>20.214990463747519</v>
      </c>
      <c r="BJ66" s="29">
        <v>20.351832875999023</v>
      </c>
      <c r="BK66" s="29">
        <v>20.48841766173485</v>
      </c>
      <c r="BL66" s="29">
        <v>20.624719944158361</v>
      </c>
      <c r="BM66" s="29">
        <v>20.760713447051426</v>
      </c>
      <c r="BN66" s="29">
        <v>20.896369731164565</v>
      </c>
      <c r="BO66" s="29">
        <v>21.031657773848497</v>
      </c>
      <c r="BP66" s="29">
        <v>21.166546392958971</v>
      </c>
      <c r="BQ66" s="29">
        <v>21.301005382399506</v>
      </c>
      <c r="BR66" s="29">
        <v>21.435005952468853</v>
      </c>
      <c r="BS66" s="29">
        <v>21.568521170067307</v>
      </c>
      <c r="BT66" s="30">
        <v>21.701526373793698</v>
      </c>
      <c r="BU66" s="29">
        <v>21.833999517126255</v>
      </c>
      <c r="BV66" s="29">
        <v>21.965970550176504</v>
      </c>
      <c r="BW66" s="29">
        <v>22.097432674513147</v>
      </c>
      <c r="BX66" s="29">
        <v>22.228379259584852</v>
      </c>
      <c r="BY66" s="29">
        <v>22.358803840912355</v>
      </c>
      <c r="BZ66" s="29">
        <v>22.488700118288588</v>
      </c>
      <c r="CA66" s="29">
        <v>22.618061953988136</v>
      </c>
      <c r="CB66" s="29">
        <v>22.746883370988016</v>
      </c>
      <c r="CC66" s="29">
        <v>22.875158551199164</v>
      </c>
      <c r="CD66" s="29">
        <v>23.002881833712539</v>
      </c>
      <c r="CE66" s="29">
        <v>23.130047713057316</v>
      </c>
      <c r="CF66" s="29">
        <v>23.256650837474979</v>
      </c>
      <c r="CG66" s="29">
        <v>23.382686007207226</v>
      </c>
      <c r="CH66" s="29">
        <v>23.508148172800539</v>
      </c>
      <c r="CI66" s="29">
        <v>23.633032433426042</v>
      </c>
      <c r="CJ66" s="29">
        <v>23.757334035216299</v>
      </c>
      <c r="CK66" s="29">
        <v>23.88104836961805</v>
      </c>
      <c r="CL66" s="29">
        <v>24.004170971761461</v>
      </c>
      <c r="CM66" s="29">
        <v>24.12669751884706</v>
      </c>
      <c r="CN66" s="29">
        <v>24.248623828548574</v>
      </c>
      <c r="CO66" s="29">
        <v>24.369945857432022</v>
      </c>
      <c r="CP66" s="29">
        <v>24.490659699392143</v>
      </c>
      <c r="CQ66" s="29">
        <v>24.610761584104139</v>
      </c>
      <c r="CR66" s="29">
        <v>24.730247875492303</v>
      </c>
      <c r="CS66" s="29">
        <v>24.849115070213639</v>
      </c>
      <c r="CT66" s="29">
        <v>24.967359796156142</v>
      </c>
      <c r="CU66" s="29">
        <v>25.084978810953949</v>
      </c>
      <c r="CV66" s="29">
        <v>25.201969000515067</v>
      </c>
      <c r="CW66" s="29">
        <v>25.318327377563918</v>
      </c>
      <c r="CX66" s="29">
        <v>25.434051080197907</v>
      </c>
      <c r="CY66" s="29">
        <v>25.549137370455881</v>
      </c>
      <c r="CZ66" s="29">
        <v>25.663583632900341</v>
      </c>
      <c r="DA66" s="29">
        <v>25.777387373211724</v>
      </c>
      <c r="DB66" s="29">
        <v>25.890546216793229</v>
      </c>
      <c r="DC66" s="29">
        <v>26.003057907387355</v>
      </c>
      <c r="DD66" s="29">
        <v>26.114920305703141</v>
      </c>
      <c r="DE66" s="29">
        <v>26.226131388053439</v>
      </c>
      <c r="DF66" s="29">
        <v>26.336689245000546</v>
      </c>
      <c r="DG66" s="29">
        <v>26.446592080012266</v>
      </c>
      <c r="DH66" s="29">
        <v>26.555838208125266</v>
      </c>
      <c r="DI66" s="29">
        <v>26.664426054616985</v>
      </c>
      <c r="DJ66" s="29">
        <v>26.772354153684812</v>
      </c>
      <c r="DK66" s="29">
        <v>26.879621147131559</v>
      </c>
      <c r="DL66" s="29">
        <v>26.986225783058742</v>
      </c>
      <c r="DM66" s="29">
        <v>27.092166914564071</v>
      </c>
      <c r="DN66" s="29">
        <v>27.197443498446518</v>
      </c>
      <c r="DO66" s="29">
        <v>27.302054593914747</v>
      </c>
      <c r="DP66" s="29">
        <v>27.405999361301557</v>
      </c>
      <c r="DQ66" s="29">
        <v>27.509277060781905</v>
      </c>
      <c r="DR66" s="29">
        <v>27.61188705109501</v>
      </c>
      <c r="DS66">
        <v>27.713828788271439</v>
      </c>
      <c r="DT66">
        <v>27.815101824361022</v>
      </c>
      <c r="DU66">
        <v>27.915705806166212</v>
      </c>
    </row>
    <row r="67" spans="1:125">
      <c r="A67" s="27">
        <v>65</v>
      </c>
      <c r="B67" s="28"/>
      <c r="C67" s="28"/>
      <c r="D67" s="28"/>
      <c r="E67" s="28"/>
      <c r="F67" s="28"/>
      <c r="G67" s="28"/>
      <c r="H67" s="28"/>
      <c r="I67" s="28"/>
      <c r="J67" s="28"/>
      <c r="K67" s="28"/>
      <c r="L67" s="28"/>
      <c r="M67" s="28"/>
      <c r="N67" s="28"/>
      <c r="O67" s="28"/>
      <c r="P67" s="28"/>
      <c r="Q67" s="28"/>
      <c r="R67" s="28"/>
      <c r="S67" s="28"/>
      <c r="T67" s="28"/>
      <c r="U67" s="28"/>
      <c r="V67" s="29"/>
      <c r="W67" s="29">
        <v>15.08</v>
      </c>
      <c r="X67" s="29">
        <v>15.28</v>
      </c>
      <c r="Y67" s="29">
        <v>15.399302554775488</v>
      </c>
      <c r="Z67" s="29">
        <v>15.597654985795707</v>
      </c>
      <c r="AA67" s="29">
        <v>15.762090371239383</v>
      </c>
      <c r="AB67" s="29">
        <v>15.936036709044537</v>
      </c>
      <c r="AC67" s="29">
        <v>15.970393019875434</v>
      </c>
      <c r="AD67" s="29">
        <v>15.988539387578951</v>
      </c>
      <c r="AE67" s="29">
        <v>16.09475973091752</v>
      </c>
      <c r="AF67" s="29">
        <v>16.32165165939767</v>
      </c>
      <c r="AG67" s="29">
        <v>16.518403778336594</v>
      </c>
      <c r="AH67" s="29">
        <v>16.740430483291298</v>
      </c>
      <c r="AI67" s="29">
        <v>16.946288057395922</v>
      </c>
      <c r="AJ67" s="29">
        <v>17.131047453755894</v>
      </c>
      <c r="AK67" s="29">
        <v>17.349368606216807</v>
      </c>
      <c r="AL67" s="29">
        <v>17.5783442978381</v>
      </c>
      <c r="AM67" s="29">
        <v>17.749497006034883</v>
      </c>
      <c r="AN67" s="29">
        <v>17.886725471490717</v>
      </c>
      <c r="AO67" s="29">
        <v>17.9702922126801</v>
      </c>
      <c r="AP67" s="29">
        <v>18.024100835496867</v>
      </c>
      <c r="AQ67" s="29">
        <v>18.111481179418213</v>
      </c>
      <c r="AR67" s="29">
        <v>18.207131841548637</v>
      </c>
      <c r="AS67" s="29">
        <v>18.210443618626147</v>
      </c>
      <c r="AT67" s="29">
        <v>18.208567830820236</v>
      </c>
      <c r="AU67" s="29">
        <v>18.23781317622468</v>
      </c>
      <c r="AV67" s="29">
        <v>18.248725763986645</v>
      </c>
      <c r="AW67" s="29">
        <v>18.386382372138417</v>
      </c>
      <c r="AX67" s="29">
        <v>18.423935781959479</v>
      </c>
      <c r="AY67" s="29">
        <v>18.485071493095226</v>
      </c>
      <c r="AZ67" s="29">
        <v>18.538838759882108</v>
      </c>
      <c r="BA67" s="29">
        <v>18.587312295444413</v>
      </c>
      <c r="BB67" s="29">
        <v>18.683671705006304</v>
      </c>
      <c r="BC67" s="29">
        <v>18.775707519001767</v>
      </c>
      <c r="BD67" s="29">
        <v>18.872027157177804</v>
      </c>
      <c r="BE67" s="29">
        <v>18.975605422604396</v>
      </c>
      <c r="BF67" s="29">
        <v>19.097585925356597</v>
      </c>
      <c r="BG67" s="29">
        <v>19.232894401986577</v>
      </c>
      <c r="BH67" s="29">
        <v>19.366436196693112</v>
      </c>
      <c r="BI67" s="29">
        <v>19.49979983680392</v>
      </c>
      <c r="BJ67" s="29">
        <v>19.632962183547267</v>
      </c>
      <c r="BK67" s="29">
        <v>19.765899230012383</v>
      </c>
      <c r="BL67" s="29">
        <v>19.898585958191241</v>
      </c>
      <c r="BM67" s="29">
        <v>20.030995937217646</v>
      </c>
      <c r="BN67" s="29">
        <v>20.163100551091294</v>
      </c>
      <c r="BO67" s="29">
        <v>20.294868575142392</v>
      </c>
      <c r="BP67" s="29">
        <v>20.426268633014992</v>
      </c>
      <c r="BQ67" s="29">
        <v>20.557270345655731</v>
      </c>
      <c r="BR67" s="29">
        <v>20.68784477508483</v>
      </c>
      <c r="BS67" s="29">
        <v>20.817964867503278</v>
      </c>
      <c r="BT67" s="30">
        <v>20.947605870517446</v>
      </c>
      <c r="BU67" s="29">
        <v>21.076782018436006</v>
      </c>
      <c r="BV67" s="29">
        <v>21.205486438889032</v>
      </c>
      <c r="BW67" s="29">
        <v>21.333712416899395</v>
      </c>
      <c r="BX67" s="29">
        <v>21.461453393344819</v>
      </c>
      <c r="BY67" s="29">
        <v>21.588702963427711</v>
      </c>
      <c r="BZ67" s="29">
        <v>21.715454875153043</v>
      </c>
      <c r="CA67" s="29">
        <v>21.841703027815456</v>
      </c>
      <c r="CB67" s="29">
        <v>21.967441470497171</v>
      </c>
      <c r="CC67" s="29">
        <v>22.092664400575867</v>
      </c>
      <c r="CD67" s="29">
        <v>22.217366162246087</v>
      </c>
      <c r="CE67" s="29">
        <v>22.341541245051491</v>
      </c>
      <c r="CF67" s="29">
        <v>22.465184282431423</v>
      </c>
      <c r="CG67" s="29">
        <v>22.588290050279547</v>
      </c>
      <c r="CH67" s="29">
        <v>22.710853465517161</v>
      </c>
      <c r="CI67" s="29">
        <v>22.832869584679639</v>
      </c>
      <c r="CJ67" s="29">
        <v>22.954333602517426</v>
      </c>
      <c r="CK67" s="29">
        <v>23.075240850610459</v>
      </c>
      <c r="CL67" s="29">
        <v>23.195586795996391</v>
      </c>
      <c r="CM67" s="29">
        <v>23.315367039813676</v>
      </c>
      <c r="CN67" s="29">
        <v>23.434577315957583</v>
      </c>
      <c r="CO67" s="29">
        <v>23.553213489749314</v>
      </c>
      <c r="CP67" s="29">
        <v>23.671271556619324</v>
      </c>
      <c r="CQ67" s="29">
        <v>23.788747640802526</v>
      </c>
      <c r="CR67" s="29">
        <v>23.905637994047083</v>
      </c>
      <c r="CS67" s="29">
        <v>24.021938994334565</v>
      </c>
      <c r="CT67" s="29">
        <v>24.137647144611293</v>
      </c>
      <c r="CU67" s="29">
        <v>24.252759071532839</v>
      </c>
      <c r="CV67" s="29">
        <v>24.367271524217404</v>
      </c>
      <c r="CW67" s="29">
        <v>24.481181373010269</v>
      </c>
      <c r="CX67" s="29">
        <v>24.594485608258449</v>
      </c>
      <c r="CY67" s="29">
        <v>24.707181339093385</v>
      </c>
      <c r="CZ67" s="29">
        <v>24.819265792223526</v>
      </c>
      <c r="DA67" s="29">
        <v>24.930736310735078</v>
      </c>
      <c r="DB67" s="29">
        <v>25.041590352899355</v>
      </c>
      <c r="DC67" s="29">
        <v>25.1518254909879</v>
      </c>
      <c r="DD67" s="29">
        <v>25.2614394100944</v>
      </c>
      <c r="DE67" s="29">
        <v>25.370429906962666</v>
      </c>
      <c r="DF67" s="29">
        <v>25.478794888818985</v>
      </c>
      <c r="DG67" s="29">
        <v>25.586532372210993</v>
      </c>
      <c r="DH67" s="29">
        <v>25.69364048184995</v>
      </c>
      <c r="DI67" s="29">
        <v>25.800117449457524</v>
      </c>
      <c r="DJ67" s="29">
        <v>25.905961612616085</v>
      </c>
      <c r="DK67" s="29">
        <v>26.011171413621273</v>
      </c>
      <c r="DL67" s="29">
        <v>26.115745398338646</v>
      </c>
      <c r="DM67" s="29">
        <v>26.219682215060551</v>
      </c>
      <c r="DN67" s="29">
        <v>26.322980613366934</v>
      </c>
      <c r="DO67" s="29">
        <v>26.425639442985592</v>
      </c>
      <c r="DP67" s="29">
        <v>26.527657652654781</v>
      </c>
      <c r="DQ67" s="29">
        <v>26.629034288985686</v>
      </c>
      <c r="DR67" s="29">
        <v>26.729768495325274</v>
      </c>
      <c r="DS67">
        <v>26.829859510620537</v>
      </c>
      <c r="DT67">
        <v>26.929306668279981</v>
      </c>
      <c r="DU67">
        <v>27.028109395036974</v>
      </c>
    </row>
    <row r="68" spans="1:125">
      <c r="A68" s="27">
        <v>66</v>
      </c>
      <c r="B68" s="28"/>
      <c r="C68" s="28"/>
      <c r="D68" s="28"/>
      <c r="E68" s="28"/>
      <c r="F68" s="28"/>
      <c r="G68" s="28"/>
      <c r="H68" s="28"/>
      <c r="I68" s="28"/>
      <c r="J68" s="28"/>
      <c r="K68" s="28"/>
      <c r="L68" s="28"/>
      <c r="M68" s="28"/>
      <c r="N68" s="28"/>
      <c r="O68" s="28"/>
      <c r="P68" s="28"/>
      <c r="Q68" s="28"/>
      <c r="R68" s="28"/>
      <c r="S68" s="28"/>
      <c r="T68" s="28"/>
      <c r="U68" s="28"/>
      <c r="V68" s="29"/>
      <c r="W68" s="29">
        <v>14.48</v>
      </c>
      <c r="X68" s="29">
        <v>14.66</v>
      </c>
      <c r="Y68" s="29">
        <v>14.786229013907947</v>
      </c>
      <c r="Z68" s="29">
        <v>14.993738590666039</v>
      </c>
      <c r="AA68" s="29">
        <v>15.147150661943082</v>
      </c>
      <c r="AB68" s="29">
        <v>15.314665291997761</v>
      </c>
      <c r="AC68" s="29">
        <v>15.350315072975002</v>
      </c>
      <c r="AD68" s="29">
        <v>15.371851724891576</v>
      </c>
      <c r="AE68" s="29">
        <v>15.478340683605188</v>
      </c>
      <c r="AF68" s="29">
        <v>15.709592474263175</v>
      </c>
      <c r="AG68" s="29">
        <v>15.894436363960256</v>
      </c>
      <c r="AH68" s="29">
        <v>16.098358027580854</v>
      </c>
      <c r="AI68" s="29">
        <v>16.29216093463749</v>
      </c>
      <c r="AJ68" s="29">
        <v>16.471739987633498</v>
      </c>
      <c r="AK68" s="29">
        <v>16.670891144682336</v>
      </c>
      <c r="AL68" s="29">
        <v>16.898309586360387</v>
      </c>
      <c r="AM68" s="29">
        <v>17.064897903955128</v>
      </c>
      <c r="AN68" s="29">
        <v>17.18763547994358</v>
      </c>
      <c r="AO68" s="29">
        <v>17.268769047826655</v>
      </c>
      <c r="AP68" s="29">
        <v>17.313450813156724</v>
      </c>
      <c r="AQ68" s="29">
        <v>17.392975788159237</v>
      </c>
      <c r="AR68" s="29">
        <v>17.486560447720105</v>
      </c>
      <c r="AS68" s="29">
        <v>17.484784398017027</v>
      </c>
      <c r="AT68" s="29">
        <v>17.480188229469352</v>
      </c>
      <c r="AU68" s="29">
        <v>17.516415876925628</v>
      </c>
      <c r="AV68" s="29">
        <v>17.532318451360805</v>
      </c>
      <c r="AW68" s="29">
        <v>17.664514460975436</v>
      </c>
      <c r="AX68" s="29">
        <v>17.691623243371378</v>
      </c>
      <c r="AY68" s="29">
        <v>17.765233385973016</v>
      </c>
      <c r="AZ68" s="29">
        <v>17.823557507367443</v>
      </c>
      <c r="BA68" s="29">
        <v>17.871308328470437</v>
      </c>
      <c r="BB68" s="29">
        <v>17.967870573287485</v>
      </c>
      <c r="BC68" s="29">
        <v>18.056377027888963</v>
      </c>
      <c r="BD68" s="29">
        <v>18.153099462722999</v>
      </c>
      <c r="BE68" s="29">
        <v>18.275775463623933</v>
      </c>
      <c r="BF68" s="29">
        <v>18.40529224010076</v>
      </c>
      <c r="BG68" s="29">
        <v>18.535090325388357</v>
      </c>
      <c r="BH68" s="29">
        <v>18.664766470895877</v>
      </c>
      <c r="BI68" s="29">
        <v>18.794298222701407</v>
      </c>
      <c r="BJ68" s="29">
        <v>18.92366228721437</v>
      </c>
      <c r="BK68" s="29">
        <v>19.052834495834123</v>
      </c>
      <c r="BL68" s="29">
        <v>19.1817896606109</v>
      </c>
      <c r="BM68" s="29">
        <v>19.310501167602148</v>
      </c>
      <c r="BN68" s="29">
        <v>19.438940195141733</v>
      </c>
      <c r="BO68" s="29">
        <v>19.56707528684159</v>
      </c>
      <c r="BP68" s="29">
        <v>19.694874844484392</v>
      </c>
      <c r="BQ68" s="29">
        <v>19.82230829154333</v>
      </c>
      <c r="BR68" s="29">
        <v>19.949346520582736</v>
      </c>
      <c r="BS68" s="29">
        <v>20.075962339425399</v>
      </c>
      <c r="BT68" s="30">
        <v>20.20215184822613</v>
      </c>
      <c r="BU68" s="29">
        <v>20.327908121375422</v>
      </c>
      <c r="BV68" s="29">
        <v>20.45322437924213</v>
      </c>
      <c r="BW68" s="29">
        <v>20.578093986923239</v>
      </c>
      <c r="BX68" s="29">
        <v>20.702510452998101</v>
      </c>
      <c r="BY68" s="29">
        <v>20.826467428290467</v>
      </c>
      <c r="BZ68" s="29">
        <v>20.949958704638199</v>
      </c>
      <c r="CA68" s="29">
        <v>21.072978213671625</v>
      </c>
      <c r="CB68" s="29">
        <v>21.195520025601709</v>
      </c>
      <c r="CC68" s="29">
        <v>21.317578348017008</v>
      </c>
      <c r="CD68" s="29">
        <v>21.4391475246927</v>
      </c>
      <c r="CE68" s="29">
        <v>21.560222034408714</v>
      </c>
      <c r="CF68" s="29">
        <v>21.680796489780288</v>
      </c>
      <c r="CG68" s="29">
        <v>21.800865636098386</v>
      </c>
      <c r="CH68" s="29">
        <v>21.9204243501825</v>
      </c>
      <c r="CI68" s="29">
        <v>22.039467639243988</v>
      </c>
      <c r="CJ68" s="29">
        <v>22.157990639761302</v>
      </c>
      <c r="CK68" s="29">
        <v>22.275988616365719</v>
      </c>
      <c r="CL68" s="29">
        <v>22.393456960737897</v>
      </c>
      <c r="CM68" s="29">
        <v>22.510391190516128</v>
      </c>
      <c r="CN68" s="29">
        <v>22.62678694821421</v>
      </c>
      <c r="CO68" s="29">
        <v>22.742640000149052</v>
      </c>
      <c r="CP68" s="29">
        <v>22.857946235378968</v>
      </c>
      <c r="CQ68" s="29">
        <v>22.972701664650238</v>
      </c>
      <c r="CR68" s="29">
        <v>23.086902419353631</v>
      </c>
      <c r="CS68" s="29">
        <v>23.200544750488454</v>
      </c>
      <c r="CT68" s="29">
        <v>23.313625027634007</v>
      </c>
      <c r="CU68" s="29">
        <v>23.42613973793032</v>
      </c>
      <c r="CV68" s="29">
        <v>23.538085485063796</v>
      </c>
      <c r="CW68" s="29">
        <v>23.649458988259926</v>
      </c>
      <c r="CX68" s="29">
        <v>23.760257081282255</v>
      </c>
      <c r="CY68" s="29">
        <v>23.87047671143528</v>
      </c>
      <c r="CZ68" s="29">
        <v>23.980114938573148</v>
      </c>
      <c r="DA68" s="29">
        <v>24.089168934112475</v>
      </c>
      <c r="DB68" s="29">
        <v>24.197635980047639</v>
      </c>
      <c r="DC68" s="29">
        <v>24.305513467969678</v>
      </c>
      <c r="DD68" s="29">
        <v>24.412798898087978</v>
      </c>
      <c r="DE68" s="29">
        <v>24.519489878253776</v>
      </c>
      <c r="DF68" s="29">
        <v>24.625584122984009</v>
      </c>
      <c r="DG68" s="29">
        <v>24.731079452487599</v>
      </c>
      <c r="DH68" s="29">
        <v>24.835973791690968</v>
      </c>
      <c r="DI68" s="29">
        <v>24.940265169264091</v>
      </c>
      <c r="DJ68" s="29">
        <v>25.043951716645967</v>
      </c>
      <c r="DK68" s="29">
        <v>25.147031667068351</v>
      </c>
      <c r="DL68" s="29">
        <v>25.249503354579574</v>
      </c>
      <c r="DM68" s="29">
        <v>25.351365213064657</v>
      </c>
      <c r="DN68" s="29">
        <v>25.452615775265375</v>
      </c>
      <c r="DO68" s="29">
        <v>25.553253671795961</v>
      </c>
      <c r="DP68" s="29">
        <v>25.653277630157199</v>
      </c>
      <c r="DQ68" s="29">
        <v>25.752686473746692</v>
      </c>
      <c r="DR68" s="29">
        <v>25.851479120865626</v>
      </c>
      <c r="DS68">
        <v>25.949654583723301</v>
      </c>
      <c r="DT68">
        <v>26.047211967435118</v>
      </c>
      <c r="DU68">
        <v>26.144150469018872</v>
      </c>
    </row>
    <row r="69" spans="1:125">
      <c r="A69" s="27">
        <v>67</v>
      </c>
      <c r="B69" s="28"/>
      <c r="C69" s="28"/>
      <c r="D69" s="28"/>
      <c r="E69" s="28"/>
      <c r="F69" s="28"/>
      <c r="G69" s="28"/>
      <c r="H69" s="28"/>
      <c r="I69" s="28"/>
      <c r="J69" s="28"/>
      <c r="K69" s="28"/>
      <c r="L69" s="28"/>
      <c r="M69" s="28"/>
      <c r="N69" s="28"/>
      <c r="O69" s="28"/>
      <c r="P69" s="28"/>
      <c r="Q69" s="28"/>
      <c r="R69" s="28"/>
      <c r="S69" s="28"/>
      <c r="T69" s="28"/>
      <c r="U69" s="28"/>
      <c r="V69" s="29"/>
      <c r="W69" s="29">
        <v>13.88</v>
      </c>
      <c r="X69" s="29">
        <v>14.06</v>
      </c>
      <c r="Y69" s="29">
        <v>14.195414472105544</v>
      </c>
      <c r="Z69" s="29">
        <v>14.401272166886988</v>
      </c>
      <c r="AA69" s="29">
        <v>14.541646254206926</v>
      </c>
      <c r="AB69" s="29">
        <v>14.710306520370819</v>
      </c>
      <c r="AC69" s="29">
        <v>14.754073318195809</v>
      </c>
      <c r="AD69" s="29">
        <v>14.764570952299497</v>
      </c>
      <c r="AE69" s="29">
        <v>14.87801792003901</v>
      </c>
      <c r="AF69" s="29">
        <v>15.087268003551047</v>
      </c>
      <c r="AG69" s="29">
        <v>15.265610160948928</v>
      </c>
      <c r="AH69" s="29">
        <v>15.458019585061338</v>
      </c>
      <c r="AI69" s="29">
        <v>15.651399617958083</v>
      </c>
      <c r="AJ69" s="29">
        <v>15.810570158121674</v>
      </c>
      <c r="AK69" s="29">
        <v>16.004641407712153</v>
      </c>
      <c r="AL69" s="29">
        <v>16.224657769475119</v>
      </c>
      <c r="AM69" s="29">
        <v>16.384526798046128</v>
      </c>
      <c r="AN69" s="29">
        <v>16.494386069506458</v>
      </c>
      <c r="AO69" s="29">
        <v>16.565178370443032</v>
      </c>
      <c r="AP69" s="29">
        <v>16.609850513845149</v>
      </c>
      <c r="AQ69" s="29">
        <v>16.686928314305643</v>
      </c>
      <c r="AR69" s="29">
        <v>16.771366893146698</v>
      </c>
      <c r="AS69" s="29">
        <v>16.765128892783999</v>
      </c>
      <c r="AT69" s="29">
        <v>16.773437713017383</v>
      </c>
      <c r="AU69" s="29">
        <v>16.799494921876811</v>
      </c>
      <c r="AV69" s="29">
        <v>16.820132965592002</v>
      </c>
      <c r="AW69" s="29">
        <v>16.94624760521782</v>
      </c>
      <c r="AX69" s="29">
        <v>16.984075586384485</v>
      </c>
      <c r="AY69" s="29">
        <v>17.049347022519509</v>
      </c>
      <c r="AZ69" s="29">
        <v>17.108308980096716</v>
      </c>
      <c r="BA69" s="29">
        <v>17.17326703872607</v>
      </c>
      <c r="BB69" s="29">
        <v>17.263769487607746</v>
      </c>
      <c r="BC69" s="29">
        <v>17.351985914423562</v>
      </c>
      <c r="BD69" s="29">
        <v>17.466008762153624</v>
      </c>
      <c r="BE69" s="29">
        <v>17.594420376421283</v>
      </c>
      <c r="BF69" s="29">
        <v>17.720279659989146</v>
      </c>
      <c r="BG69" s="29">
        <v>17.846073778805803</v>
      </c>
      <c r="BH69" s="29">
        <v>17.971780974621964</v>
      </c>
      <c r="BI69" s="29">
        <v>18.097378607932143</v>
      </c>
      <c r="BJ69" s="29">
        <v>18.222843193821408</v>
      </c>
      <c r="BK69" s="29">
        <v>18.34815036674641</v>
      </c>
      <c r="BL69" s="29">
        <v>18.47327473463876</v>
      </c>
      <c r="BM69" s="29">
        <v>18.598189466912348</v>
      </c>
      <c r="BN69" s="29">
        <v>18.722865502440161</v>
      </c>
      <c r="BO69" s="29">
        <v>18.847271118774508</v>
      </c>
      <c r="BP69" s="29">
        <v>18.971374463905846</v>
      </c>
      <c r="BQ69" s="29">
        <v>19.095144735434502</v>
      </c>
      <c r="BR69" s="29">
        <v>19.218552631800073</v>
      </c>
      <c r="BS69" s="29">
        <v>19.34157393254716</v>
      </c>
      <c r="BT69" s="30">
        <v>19.464201678139858</v>
      </c>
      <c r="BU69" s="29">
        <v>19.58642904280871</v>
      </c>
      <c r="BV69" s="29">
        <v>19.708249333597319</v>
      </c>
      <c r="BW69" s="29">
        <v>19.8296559894155</v>
      </c>
      <c r="BX69" s="29">
        <v>19.950642580096734</v>
      </c>
      <c r="BY69" s="29">
        <v>20.071202805462924</v>
      </c>
      <c r="BZ69" s="29">
        <v>20.191330494396038</v>
      </c>
      <c r="CA69" s="29">
        <v>20.311019603917256</v>
      </c>
      <c r="CB69" s="29">
        <v>20.430264218274601</v>
      </c>
      <c r="CC69" s="29">
        <v>20.549058548037749</v>
      </c>
      <c r="CD69" s="29">
        <v>20.66739692920298</v>
      </c>
      <c r="CE69" s="29">
        <v>20.785273822305207</v>
      </c>
      <c r="CF69" s="29">
        <v>20.902683811540083</v>
      </c>
      <c r="CG69" s="29">
        <v>21.019621603893484</v>
      </c>
      <c r="CH69" s="29">
        <v>21.13608202828069</v>
      </c>
      <c r="CI69" s="29">
        <v>21.252060034693255</v>
      </c>
      <c r="CJ69" s="29">
        <v>21.367550693354698</v>
      </c>
      <c r="CK69" s="29">
        <v>21.482549193883628</v>
      </c>
      <c r="CL69" s="29">
        <v>21.597050844464292</v>
      </c>
      <c r="CM69" s="29">
        <v>21.711051071025484</v>
      </c>
      <c r="CN69" s="29">
        <v>21.824545416425483</v>
      </c>
      <c r="CO69" s="29">
        <v>21.937529539643105</v>
      </c>
      <c r="CP69" s="29">
        <v>22.049999214975724</v>
      </c>
      <c r="CQ69" s="29">
        <v>22.161950331241723</v>
      </c>
      <c r="CR69" s="29">
        <v>22.273378890989044</v>
      </c>
      <c r="CS69" s="29">
        <v>22.38428100970728</v>
      </c>
      <c r="CT69" s="29">
        <v>22.494652915043194</v>
      </c>
      <c r="CU69" s="29">
        <v>22.604490946021418</v>
      </c>
      <c r="CV69" s="29">
        <v>22.713791552265974</v>
      </c>
      <c r="CW69" s="29">
        <v>22.822551293224752</v>
      </c>
      <c r="CX69" s="29">
        <v>22.930766837395993</v>
      </c>
      <c r="CY69" s="29">
        <v>23.038434961554596</v>
      </c>
      <c r="CZ69" s="29">
        <v>23.14555254997995</v>
      </c>
      <c r="DA69" s="29">
        <v>23.252116593683709</v>
      </c>
      <c r="DB69" s="29">
        <v>23.358124189635781</v>
      </c>
      <c r="DC69" s="29">
        <v>23.463572539989695</v>
      </c>
      <c r="DD69" s="29">
        <v>23.568458951306557</v>
      </c>
      <c r="DE69" s="29">
        <v>23.672780833776603</v>
      </c>
      <c r="DF69" s="29">
        <v>23.776535700436831</v>
      </c>
      <c r="DG69" s="29">
        <v>23.879721166386989</v>
      </c>
      <c r="DH69" s="29">
        <v>23.982334948000503</v>
      </c>
      <c r="DI69" s="29">
        <v>24.084374862131877</v>
      </c>
      <c r="DJ69" s="29">
        <v>24.185838825319397</v>
      </c>
      <c r="DK69" s="29">
        <v>24.28672485298193</v>
      </c>
      <c r="DL69" s="29">
        <v>24.387031058611818</v>
      </c>
      <c r="DM69" s="29">
        <v>24.486755652960024</v>
      </c>
      <c r="DN69" s="29">
        <v>24.585896943217218</v>
      </c>
      <c r="DO69" s="29">
        <v>24.684453332186617</v>
      </c>
      <c r="DP69" s="29">
        <v>24.782423317451187</v>
      </c>
      <c r="DQ69" s="29">
        <v>24.879805490533293</v>
      </c>
      <c r="DR69" s="29">
        <v>24.976598536046914</v>
      </c>
      <c r="DS69">
        <v>25.072801230843918</v>
      </c>
      <c r="DT69">
        <v>25.168412443150011</v>
      </c>
      <c r="DU69">
        <v>25.263431131695377</v>
      </c>
    </row>
    <row r="70" spans="1:125">
      <c r="A70" s="27">
        <v>68</v>
      </c>
      <c r="B70" s="28"/>
      <c r="C70" s="28"/>
      <c r="D70" s="28"/>
      <c r="E70" s="28"/>
      <c r="F70" s="28"/>
      <c r="G70" s="28"/>
      <c r="H70" s="28"/>
      <c r="I70" s="28"/>
      <c r="J70" s="28"/>
      <c r="K70" s="28"/>
      <c r="L70" s="28"/>
      <c r="M70" s="28"/>
      <c r="N70" s="28"/>
      <c r="O70" s="28"/>
      <c r="P70" s="28"/>
      <c r="Q70" s="28"/>
      <c r="R70" s="28"/>
      <c r="S70" s="28"/>
      <c r="T70" s="28"/>
      <c r="U70" s="28"/>
      <c r="V70" s="29"/>
      <c r="W70" s="29">
        <v>13.3</v>
      </c>
      <c r="X70" s="29">
        <v>13.48</v>
      </c>
      <c r="Y70" s="29">
        <v>13.608425121953248</v>
      </c>
      <c r="Z70" s="29">
        <v>13.817731402360597</v>
      </c>
      <c r="AA70" s="29">
        <v>13.950673950051614</v>
      </c>
      <c r="AB70" s="29">
        <v>14.114915965269164</v>
      </c>
      <c r="AC70" s="29">
        <v>14.169753100421481</v>
      </c>
      <c r="AD70" s="29">
        <v>14.186531551853514</v>
      </c>
      <c r="AE70" s="29">
        <v>14.277823691208102</v>
      </c>
      <c r="AF70" s="29">
        <v>14.477345237599776</v>
      </c>
      <c r="AG70" s="29">
        <v>14.648509710312135</v>
      </c>
      <c r="AH70" s="29">
        <v>14.837827646938466</v>
      </c>
      <c r="AI70" s="29">
        <v>15.008225208615212</v>
      </c>
      <c r="AJ70" s="29">
        <v>15.16701816055815</v>
      </c>
      <c r="AK70" s="29">
        <v>15.358322607395637</v>
      </c>
      <c r="AL70" s="29">
        <v>15.553504656165886</v>
      </c>
      <c r="AM70" s="29">
        <v>15.703312527407444</v>
      </c>
      <c r="AN70" s="29">
        <v>15.803046503354006</v>
      </c>
      <c r="AO70" s="29">
        <v>15.864907418399307</v>
      </c>
      <c r="AP70" s="29">
        <v>15.909146726458827</v>
      </c>
      <c r="AQ70" s="29">
        <v>15.982734832023784</v>
      </c>
      <c r="AR70" s="29">
        <v>16.06143702826051</v>
      </c>
      <c r="AS70" s="29">
        <v>16.062809256689377</v>
      </c>
      <c r="AT70" s="29">
        <v>16.066046237808855</v>
      </c>
      <c r="AU70" s="29">
        <v>16.092987095735186</v>
      </c>
      <c r="AV70" s="29">
        <v>16.11898777293359</v>
      </c>
      <c r="AW70" s="29">
        <v>16.238244752122284</v>
      </c>
      <c r="AX70" s="29">
        <v>16.286074827859579</v>
      </c>
      <c r="AY70" s="29">
        <v>16.350788051189674</v>
      </c>
      <c r="AZ70" s="29">
        <v>16.414665025826974</v>
      </c>
      <c r="BA70" s="29">
        <v>16.473752739752154</v>
      </c>
      <c r="BB70" s="29">
        <v>16.56938352239716</v>
      </c>
      <c r="BC70" s="29">
        <v>16.677623859568445</v>
      </c>
      <c r="BD70" s="29">
        <v>16.799661517923688</v>
      </c>
      <c r="BE70" s="29">
        <v>16.92140146962279</v>
      </c>
      <c r="BF70" s="29">
        <v>17.043133495470482</v>
      </c>
      <c r="BG70" s="29">
        <v>17.16483658071105</v>
      </c>
      <c r="BH70" s="29">
        <v>17.286488742637435</v>
      </c>
      <c r="BI70" s="29">
        <v>17.408067111858866</v>
      </c>
      <c r="BJ70" s="29">
        <v>17.529547969537653</v>
      </c>
      <c r="BK70" s="29">
        <v>17.650906712227563</v>
      </c>
      <c r="BL70" s="29">
        <v>17.772117704218484</v>
      </c>
      <c r="BM70" s="29">
        <v>17.893153859688223</v>
      </c>
      <c r="BN70" s="29">
        <v>18.013985839489955</v>
      </c>
      <c r="BO70" s="29">
        <v>18.134581616244805</v>
      </c>
      <c r="BP70" s="29">
        <v>18.254909048080979</v>
      </c>
      <c r="BQ70" s="29">
        <v>18.374937074626057</v>
      </c>
      <c r="BR70" s="29">
        <v>18.494619251201396</v>
      </c>
      <c r="BS70" s="29">
        <v>18.613948602041994</v>
      </c>
      <c r="BT70" s="30">
        <v>18.732918272292203</v>
      </c>
      <c r="BU70" s="29">
        <v>18.851521527359647</v>
      </c>
      <c r="BV70" s="29">
        <v>18.969751752272046</v>
      </c>
      <c r="BW70" s="29">
        <v>19.08760245104029</v>
      </c>
      <c r="BX70" s="29">
        <v>19.20506724602517</v>
      </c>
      <c r="BY70" s="29">
        <v>19.32213987731043</v>
      </c>
      <c r="BZ70" s="29">
        <v>19.438814202081488</v>
      </c>
      <c r="CA70" s="29">
        <v>19.555084194010135</v>
      </c>
      <c r="CB70" s="29">
        <v>19.670943942646026</v>
      </c>
      <c r="CC70" s="29">
        <v>19.786387652813286</v>
      </c>
      <c r="CD70" s="29">
        <v>19.901409644015111</v>
      </c>
      <c r="CE70" s="29">
        <v>20.016004349843005</v>
      </c>
      <c r="CF70" s="29">
        <v>20.130166317393503</v>
      </c>
      <c r="CG70" s="29">
        <v>20.243890206689471</v>
      </c>
      <c r="CH70" s="29">
        <v>20.357170790108182</v>
      </c>
      <c r="CI70" s="29">
        <v>20.470002951813942</v>
      </c>
      <c r="CJ70" s="29">
        <v>20.582381687196303</v>
      </c>
      <c r="CK70" s="29">
        <v>20.694302102312356</v>
      </c>
      <c r="CL70" s="29">
        <v>20.8057594133329</v>
      </c>
      <c r="CM70" s="29">
        <v>20.916748945993422</v>
      </c>
      <c r="CN70" s="29">
        <v>21.027266135047352</v>
      </c>
      <c r="CO70" s="29">
        <v>21.137306523721676</v>
      </c>
      <c r="CP70" s="29">
        <v>21.246865763175578</v>
      </c>
      <c r="CQ70" s="29">
        <v>21.355939611959659</v>
      </c>
      <c r="CR70" s="29">
        <v>21.464523935477175</v>
      </c>
      <c r="CS70" s="29">
        <v>21.572614705444739</v>
      </c>
      <c r="CT70" s="29">
        <v>21.680207999352387</v>
      </c>
      <c r="CU70" s="29">
        <v>21.787299999924628</v>
      </c>
      <c r="CV70" s="29">
        <v>21.893886994578171</v>
      </c>
      <c r="CW70" s="29">
        <v>21.999965374878311</v>
      </c>
      <c r="CX70" s="29">
        <v>22.105531635993174</v>
      </c>
      <c r="CY70" s="29">
        <v>22.210582376143481</v>
      </c>
      <c r="CZ70" s="29">
        <v>22.315114296049551</v>
      </c>
      <c r="DA70" s="29">
        <v>22.41912419837406</v>
      </c>
      <c r="DB70" s="29">
        <v>22.522608987158648</v>
      </c>
      <c r="DC70" s="29">
        <v>22.625565667255721</v>
      </c>
      <c r="DD70" s="29">
        <v>22.727991343754535</v>
      </c>
      <c r="DE70" s="29">
        <v>22.829883221400646</v>
      </c>
      <c r="DF70" s="29">
        <v>22.931238604007227</v>
      </c>
      <c r="DG70" s="29">
        <v>23.032054893860543</v>
      </c>
      <c r="DH70" s="29">
        <v>23.132329591116136</v>
      </c>
      <c r="DI70" s="29">
        <v>23.232060293187384</v>
      </c>
      <c r="DJ70" s="29">
        <v>23.331244694125218</v>
      </c>
      <c r="DK70" s="29">
        <v>23.42988058398781</v>
      </c>
      <c r="DL70" s="29">
        <v>23.52796584820236</v>
      </c>
      <c r="DM70" s="29">
        <v>23.625498466915023</v>
      </c>
      <c r="DN70" s="29">
        <v>23.7224765143329</v>
      </c>
      <c r="DO70" s="29">
        <v>23.818898158053756</v>
      </c>
      <c r="DP70" s="29">
        <v>23.914761658386233</v>
      </c>
      <c r="DQ70" s="29">
        <v>24.010065367658651</v>
      </c>
      <c r="DR70" s="29">
        <v>24.104807729516558</v>
      </c>
      <c r="DS70">
        <v>24.198987278210595</v>
      </c>
      <c r="DT70">
        <v>24.292602637870282</v>
      </c>
      <c r="DU70">
        <v>24.385652521768872</v>
      </c>
    </row>
    <row r="71" spans="1:125">
      <c r="A71" s="27">
        <v>69</v>
      </c>
      <c r="B71" s="28"/>
      <c r="C71" s="28"/>
      <c r="D71" s="28"/>
      <c r="E71" s="28"/>
      <c r="F71" s="28"/>
      <c r="G71" s="28"/>
      <c r="H71" s="28"/>
      <c r="I71" s="28"/>
      <c r="J71" s="28"/>
      <c r="K71" s="28"/>
      <c r="L71" s="28"/>
      <c r="M71" s="28"/>
      <c r="N71" s="28"/>
      <c r="O71" s="28"/>
      <c r="P71" s="28"/>
      <c r="Q71" s="28"/>
      <c r="R71" s="28"/>
      <c r="S71" s="28"/>
      <c r="T71" s="28"/>
      <c r="U71" s="28"/>
      <c r="V71" s="29"/>
      <c r="W71" s="29">
        <v>12.74</v>
      </c>
      <c r="X71" s="29">
        <v>12.91</v>
      </c>
      <c r="Y71" s="29">
        <v>13.03465643347403</v>
      </c>
      <c r="Z71" s="29">
        <v>13.249379770274786</v>
      </c>
      <c r="AA71" s="29">
        <v>13.369246179750956</v>
      </c>
      <c r="AB71" s="29">
        <v>13.530467361525186</v>
      </c>
      <c r="AC71" s="29">
        <v>13.594181902334531</v>
      </c>
      <c r="AD71" s="29">
        <v>13.610540379603453</v>
      </c>
      <c r="AE71" s="29">
        <v>13.686303426843688</v>
      </c>
      <c r="AF71" s="29">
        <v>13.882104384420881</v>
      </c>
      <c r="AG71" s="29">
        <v>14.042369997726791</v>
      </c>
      <c r="AH71" s="29">
        <v>14.214140885192609</v>
      </c>
      <c r="AI71" s="29">
        <v>14.374299603538732</v>
      </c>
      <c r="AJ71" s="29">
        <v>14.536941447716195</v>
      </c>
      <c r="AK71" s="29">
        <v>14.711247756696721</v>
      </c>
      <c r="AL71" s="29">
        <v>14.89309806633285</v>
      </c>
      <c r="AM71" s="29">
        <v>15.031568144841209</v>
      </c>
      <c r="AN71" s="29">
        <v>15.116778555326357</v>
      </c>
      <c r="AO71" s="29">
        <v>15.176006812488822</v>
      </c>
      <c r="AP71" s="29">
        <v>15.216397838560948</v>
      </c>
      <c r="AQ71" s="29">
        <v>15.288471945938303</v>
      </c>
      <c r="AR71" s="29">
        <v>15.363425331883082</v>
      </c>
      <c r="AS71" s="29">
        <v>15.366283690848304</v>
      </c>
      <c r="AT71" s="29">
        <v>15.379299798659664</v>
      </c>
      <c r="AU71" s="29">
        <v>15.395993905752043</v>
      </c>
      <c r="AV71" s="29">
        <v>15.423290383166812</v>
      </c>
      <c r="AW71" s="29">
        <v>15.543641870896149</v>
      </c>
      <c r="AX71" s="29">
        <v>15.596305329991974</v>
      </c>
      <c r="AY71" s="29">
        <v>15.663938624974488</v>
      </c>
      <c r="AZ71" s="29">
        <v>15.726105639192101</v>
      </c>
      <c r="BA71" s="29">
        <v>15.793487160286892</v>
      </c>
      <c r="BB71" s="29">
        <v>15.90167289262798</v>
      </c>
      <c r="BC71" s="29">
        <v>16.02050789599674</v>
      </c>
      <c r="BD71" s="29">
        <v>16.137962486023376</v>
      </c>
      <c r="BE71" s="29">
        <v>16.255466729562144</v>
      </c>
      <c r="BF71" s="29">
        <v>16.373000432672427</v>
      </c>
      <c r="BG71" s="29">
        <v>16.490542309035771</v>
      </c>
      <c r="BH71" s="29">
        <v>16.608070098591188</v>
      </c>
      <c r="BI71" s="29">
        <v>16.725560651274833</v>
      </c>
      <c r="BJ71" s="29">
        <v>16.842989965670405</v>
      </c>
      <c r="BK71" s="29">
        <v>16.960333153819708</v>
      </c>
      <c r="BL71" s="29">
        <v>17.07756429157844</v>
      </c>
      <c r="BM71" s="29">
        <v>17.19465599435733</v>
      </c>
      <c r="BN71" s="29">
        <v>17.311578601749282</v>
      </c>
      <c r="BO71" s="29">
        <v>17.428299738114021</v>
      </c>
      <c r="BP71" s="29">
        <v>17.544786931612226</v>
      </c>
      <c r="BQ71" s="29">
        <v>17.660969897200751</v>
      </c>
      <c r="BR71" s="29">
        <v>17.776841658738192</v>
      </c>
      <c r="BS71" s="29">
        <v>17.892395347675613</v>
      </c>
      <c r="BT71" s="30">
        <v>18.007624202718802</v>
      </c>
      <c r="BU71" s="29">
        <v>18.12252156949393</v>
      </c>
      <c r="BV71" s="29">
        <v>18.237080900215524</v>
      </c>
      <c r="BW71" s="29">
        <v>18.351295753360031</v>
      </c>
      <c r="BX71" s="29">
        <v>18.46515979334189</v>
      </c>
      <c r="BY71" s="29">
        <v>18.578666790194688</v>
      </c>
      <c r="BZ71" s="29">
        <v>18.691810619256355</v>
      </c>
      <c r="CA71" s="29">
        <v>18.804585260858556</v>
      </c>
      <c r="CB71" s="29">
        <v>18.916984800020789</v>
      </c>
      <c r="CC71" s="29">
        <v>19.029003426147412</v>
      </c>
      <c r="CD71" s="29">
        <v>19.140635432730146</v>
      </c>
      <c r="CE71" s="29">
        <v>19.251875217052635</v>
      </c>
      <c r="CF71" s="29">
        <v>19.362717279899663</v>
      </c>
      <c r="CG71" s="29">
        <v>19.473156225267967</v>
      </c>
      <c r="CH71" s="29">
        <v>19.583186760080757</v>
      </c>
      <c r="CI71" s="29">
        <v>19.692803693903503</v>
      </c>
      <c r="CJ71" s="29">
        <v>19.802001938661959</v>
      </c>
      <c r="CK71" s="29">
        <v>19.910776508360744</v>
      </c>
      <c r="CL71" s="29">
        <v>20.019122518802263</v>
      </c>
      <c r="CM71" s="29">
        <v>20.127035187306692</v>
      </c>
      <c r="CN71" s="29">
        <v>20.234509832430515</v>
      </c>
      <c r="CO71" s="29">
        <v>20.341541873683536</v>
      </c>
      <c r="CP71" s="29">
        <v>20.448126831245023</v>
      </c>
      <c r="CQ71" s="29">
        <v>20.554260325676438</v>
      </c>
      <c r="CR71" s="29">
        <v>20.659938077632138</v>
      </c>
      <c r="CS71" s="29">
        <v>20.765155907565532</v>
      </c>
      <c r="CT71" s="29">
        <v>20.869909735430387</v>
      </c>
      <c r="CU71" s="29">
        <v>20.97419558037905</v>
      </c>
      <c r="CV71" s="29">
        <v>21.078009560453136</v>
      </c>
      <c r="CW71" s="29">
        <v>21.181347892268683</v>
      </c>
      <c r="CX71" s="29">
        <v>21.284206890694978</v>
      </c>
      <c r="CY71" s="29">
        <v>21.386582968524657</v>
      </c>
      <c r="CZ71" s="29">
        <v>21.488472636136848</v>
      </c>
      <c r="DA71" s="29">
        <v>21.589872501151827</v>
      </c>
      <c r="DB71" s="29">
        <v>21.690779268075318</v>
      </c>
      <c r="DC71" s="29">
        <v>21.791189737933763</v>
      </c>
      <c r="DD71" s="29">
        <v>21.891100807899733</v>
      </c>
      <c r="DE71" s="29">
        <v>21.990509470906424</v>
      </c>
      <c r="DF71" s="29">
        <v>22.089412815249993</v>
      </c>
      <c r="DG71" s="29">
        <v>22.187808024181777</v>
      </c>
      <c r="DH71" s="29">
        <v>22.28569237548723</v>
      </c>
      <c r="DI71" s="29">
        <v>22.383063241053073</v>
      </c>
      <c r="DJ71" s="29">
        <v>22.479918086421598</v>
      </c>
      <c r="DK71" s="29">
        <v>22.576254470330895</v>
      </c>
      <c r="DL71" s="29">
        <v>22.672070044243217</v>
      </c>
      <c r="DM71" s="29">
        <v>22.76736255185752</v>
      </c>
      <c r="DN71" s="29">
        <v>22.86212982861019</v>
      </c>
      <c r="DO71" s="29">
        <v>22.956369801159592</v>
      </c>
      <c r="DP71" s="29">
        <v>23.050080486857365</v>
      </c>
      <c r="DQ71" s="29">
        <v>23.143259993204406</v>
      </c>
      <c r="DR71" s="29">
        <v>23.235906517292022</v>
      </c>
      <c r="DS71">
        <v>23.32801834522958</v>
      </c>
      <c r="DT71">
        <v>23.419593851554509</v>
      </c>
      <c r="DU71">
        <v>23.510631498629778</v>
      </c>
    </row>
    <row r="72" spans="1:125">
      <c r="A72" s="27">
        <v>70</v>
      </c>
      <c r="B72" s="28"/>
      <c r="C72" s="28"/>
      <c r="D72" s="28"/>
      <c r="E72" s="28"/>
      <c r="F72" s="28"/>
      <c r="G72" s="28"/>
      <c r="H72" s="28"/>
      <c r="I72" s="28"/>
      <c r="J72" s="28"/>
      <c r="K72" s="28"/>
      <c r="L72" s="28"/>
      <c r="M72" s="28"/>
      <c r="N72" s="28"/>
      <c r="O72" s="28"/>
      <c r="P72" s="28"/>
      <c r="Q72" s="28"/>
      <c r="R72" s="28"/>
      <c r="S72" s="28"/>
      <c r="T72" s="28"/>
      <c r="U72" s="28"/>
      <c r="V72" s="29"/>
      <c r="W72" s="29">
        <v>12.18</v>
      </c>
      <c r="X72" s="29">
        <v>12.35</v>
      </c>
      <c r="Y72" s="29">
        <v>12.474860871352501</v>
      </c>
      <c r="Z72" s="29">
        <v>12.687011794036378</v>
      </c>
      <c r="AA72" s="29">
        <v>12.801981592493261</v>
      </c>
      <c r="AB72" s="29">
        <v>12.972636410936</v>
      </c>
      <c r="AC72" s="29">
        <v>13.01788875178076</v>
      </c>
      <c r="AD72" s="29">
        <v>13.032912925159227</v>
      </c>
      <c r="AE72" s="29">
        <v>13.106518535747808</v>
      </c>
      <c r="AF72" s="29">
        <v>13.281011443543894</v>
      </c>
      <c r="AG72" s="29">
        <v>13.433823469971941</v>
      </c>
      <c r="AH72" s="29">
        <v>13.595460869695112</v>
      </c>
      <c r="AI72" s="29">
        <v>13.755586525252289</v>
      </c>
      <c r="AJ72" s="29">
        <v>13.903228904722752</v>
      </c>
      <c r="AK72" s="29">
        <v>14.064074370944734</v>
      </c>
      <c r="AL72" s="29">
        <v>14.231181610799073</v>
      </c>
      <c r="AM72" s="29">
        <v>14.358998577184808</v>
      </c>
      <c r="AN72" s="29">
        <v>14.439299923078828</v>
      </c>
      <c r="AO72" s="29">
        <v>14.500653511349302</v>
      </c>
      <c r="AP72" s="29">
        <v>14.531460486997732</v>
      </c>
      <c r="AQ72" s="29">
        <v>14.606887710900832</v>
      </c>
      <c r="AR72" s="29">
        <v>14.673080997506469</v>
      </c>
      <c r="AS72" s="29">
        <v>14.682752842791659</v>
      </c>
      <c r="AT72" s="29">
        <v>14.68084465207799</v>
      </c>
      <c r="AU72" s="29">
        <v>14.714314644997829</v>
      </c>
      <c r="AV72" s="29">
        <v>14.749646822514595</v>
      </c>
      <c r="AW72" s="29">
        <v>14.864233109156871</v>
      </c>
      <c r="AX72" s="29">
        <v>14.920296728155902</v>
      </c>
      <c r="AY72" s="29">
        <v>14.98253979835439</v>
      </c>
      <c r="AZ72" s="29">
        <v>15.045841311816192</v>
      </c>
      <c r="BA72" s="29">
        <v>15.143726962441985</v>
      </c>
      <c r="BB72" s="29">
        <v>15.256591985226374</v>
      </c>
      <c r="BC72" s="29">
        <v>15.369609371071748</v>
      </c>
      <c r="BD72" s="29">
        <v>15.4827341770164</v>
      </c>
      <c r="BE72" s="29">
        <v>15.595947144290211</v>
      </c>
      <c r="BF72" s="29">
        <v>15.709227751921288</v>
      </c>
      <c r="BG72" s="29">
        <v>15.822554379611951</v>
      </c>
      <c r="BH72" s="29">
        <v>15.935904430012512</v>
      </c>
      <c r="BI72" s="29">
        <v>16.049254415030436</v>
      </c>
      <c r="BJ72" s="29">
        <v>16.162579995903165</v>
      </c>
      <c r="BK72" s="29">
        <v>16.275855947872422</v>
      </c>
      <c r="BL72" s="29">
        <v>16.389056008286985</v>
      </c>
      <c r="BM72" s="29">
        <v>16.502152445318398</v>
      </c>
      <c r="BN72" s="29">
        <v>16.615115229365159</v>
      </c>
      <c r="BO72" s="29">
        <v>16.727911588706991</v>
      </c>
      <c r="BP72" s="29">
        <v>16.840446048595123</v>
      </c>
      <c r="BQ72" s="29">
        <v>16.952711646253164</v>
      </c>
      <c r="BR72" s="29">
        <v>17.064701512936047</v>
      </c>
      <c r="BS72" s="29">
        <v>17.176408873896346</v>
      </c>
      <c r="BT72" s="30">
        <v>17.287827048352973</v>
      </c>
      <c r="BU72" s="29">
        <v>17.398949449462783</v>
      </c>
      <c r="BV72" s="29">
        <v>17.509769584293654</v>
      </c>
      <c r="BW72" s="29">
        <v>17.620281053802167</v>
      </c>
      <c r="BX72" s="29">
        <v>17.730477552812417</v>
      </c>
      <c r="BY72" s="29">
        <v>17.840352869998394</v>
      </c>
      <c r="BZ72" s="29">
        <v>17.949900887868605</v>
      </c>
      <c r="CA72" s="29">
        <v>18.05911558275287</v>
      </c>
      <c r="CB72" s="29">
        <v>18.167991024791696</v>
      </c>
      <c r="CC72" s="29">
        <v>18.276521377926123</v>
      </c>
      <c r="CD72" s="29">
        <v>18.384700899890557</v>
      </c>
      <c r="CE72" s="29">
        <v>18.492523942204876</v>
      </c>
      <c r="CF72" s="29">
        <v>18.599984950168388</v>
      </c>
      <c r="CG72" s="29">
        <v>18.707078462852333</v>
      </c>
      <c r="CH72" s="29">
        <v>18.813799113092962</v>
      </c>
      <c r="CI72" s="29">
        <v>18.920141627482629</v>
      </c>
      <c r="CJ72" s="29">
        <v>19.026100826359777</v>
      </c>
      <c r="CK72" s="29">
        <v>19.131671623795977</v>
      </c>
      <c r="CL72" s="29">
        <v>19.236849027579762</v>
      </c>
      <c r="CM72" s="29">
        <v>19.341628139197915</v>
      </c>
      <c r="CN72" s="29">
        <v>19.446004153811561</v>
      </c>
      <c r="CO72" s="29">
        <v>19.549972360226992</v>
      </c>
      <c r="CP72" s="29">
        <v>19.653528140861777</v>
      </c>
      <c r="CQ72" s="29">
        <v>19.756666971703517</v>
      </c>
      <c r="CR72" s="29">
        <v>19.859384422262789</v>
      </c>
      <c r="CS72" s="29">
        <v>19.961676155517402</v>
      </c>
      <c r="CT72" s="29">
        <v>20.063537927847925</v>
      </c>
      <c r="CU72" s="29">
        <v>20.164965588966087</v>
      </c>
      <c r="CV72" s="29">
        <v>20.265955081831546</v>
      </c>
      <c r="CW72" s="29">
        <v>20.366502442559153</v>
      </c>
      <c r="CX72" s="29">
        <v>20.466603800315742</v>
      </c>
      <c r="CY72" s="29">
        <v>20.566255377204172</v>
      </c>
      <c r="CZ72" s="29">
        <v>20.665453488136311</v>
      </c>
      <c r="DA72" s="29">
        <v>20.764194540693509</v>
      </c>
      <c r="DB72" s="29">
        <v>20.862475034972579</v>
      </c>
      <c r="DC72" s="29">
        <v>20.960291563418778</v>
      </c>
      <c r="DD72" s="29">
        <v>21.05764081064482</v>
      </c>
      <c r="DE72" s="29">
        <v>21.154519553235037</v>
      </c>
      <c r="DF72" s="29">
        <v>21.250924659533293</v>
      </c>
      <c r="DG72" s="29">
        <v>21.346853089416886</v>
      </c>
      <c r="DH72" s="29">
        <v>21.442301894053156</v>
      </c>
      <c r="DI72" s="29">
        <v>21.537268215640449</v>
      </c>
      <c r="DJ72" s="29">
        <v>21.63174928713228</v>
      </c>
      <c r="DK72" s="29">
        <v>21.725742431943626</v>
      </c>
      <c r="DL72" s="29">
        <v>21.819245063641489</v>
      </c>
      <c r="DM72" s="29">
        <v>21.912254685615867</v>
      </c>
      <c r="DN72" s="29">
        <v>22.004768890735164</v>
      </c>
      <c r="DO72" s="29">
        <v>22.096785360981716</v>
      </c>
      <c r="DP72" s="29">
        <v>22.188301867070372</v>
      </c>
      <c r="DQ72" s="29">
        <v>22.279316268048206</v>
      </c>
      <c r="DR72" s="29">
        <v>22.369826510875715</v>
      </c>
      <c r="DS72">
        <v>22.459830629991057</v>
      </c>
      <c r="DT72">
        <v>22.549326746853119</v>
      </c>
      <c r="DU72">
        <v>22.63831306946858</v>
      </c>
    </row>
    <row r="73" spans="1:125">
      <c r="A73" s="27">
        <v>71</v>
      </c>
      <c r="B73" s="28"/>
      <c r="C73" s="28"/>
      <c r="D73" s="28"/>
      <c r="E73" s="28"/>
      <c r="F73" s="28"/>
      <c r="G73" s="28"/>
      <c r="H73" s="28"/>
      <c r="I73" s="28"/>
      <c r="J73" s="28"/>
      <c r="K73" s="28"/>
      <c r="L73" s="28"/>
      <c r="M73" s="28"/>
      <c r="N73" s="28"/>
      <c r="O73" s="28"/>
      <c r="P73" s="28"/>
      <c r="Q73" s="28"/>
      <c r="R73" s="28"/>
      <c r="S73" s="28"/>
      <c r="T73" s="28"/>
      <c r="U73" s="28"/>
      <c r="V73" s="29"/>
      <c r="W73" s="29">
        <v>11.64</v>
      </c>
      <c r="X73" s="29">
        <v>11.81</v>
      </c>
      <c r="Y73" s="29">
        <v>11.928986806656811</v>
      </c>
      <c r="Z73" s="29">
        <v>12.15005103237327</v>
      </c>
      <c r="AA73" s="29">
        <v>12.250120031920128</v>
      </c>
      <c r="AB73" s="29">
        <v>12.399857778225849</v>
      </c>
      <c r="AC73" s="29">
        <v>12.451893460684493</v>
      </c>
      <c r="AD73" s="29">
        <v>12.462388965547628</v>
      </c>
      <c r="AE73" s="29">
        <v>12.529764563187049</v>
      </c>
      <c r="AF73" s="29">
        <v>12.695959980821819</v>
      </c>
      <c r="AG73" s="29">
        <v>12.833221994862708</v>
      </c>
      <c r="AH73" s="29">
        <v>12.997310645136649</v>
      </c>
      <c r="AI73" s="29">
        <v>13.135787413048762</v>
      </c>
      <c r="AJ73" s="29">
        <v>13.280120807300385</v>
      </c>
      <c r="AK73" s="29">
        <v>13.416334155035283</v>
      </c>
      <c r="AL73" s="29">
        <v>13.580322680955129</v>
      </c>
      <c r="AM73" s="29">
        <v>13.69721863122645</v>
      </c>
      <c r="AN73" s="29">
        <v>13.771104682693879</v>
      </c>
      <c r="AO73" s="29">
        <v>13.828411816998015</v>
      </c>
      <c r="AP73" s="29">
        <v>13.863084683003512</v>
      </c>
      <c r="AQ73" s="29">
        <v>13.926471730391254</v>
      </c>
      <c r="AR73" s="29">
        <v>13.996721453743787</v>
      </c>
      <c r="AS73" s="29">
        <v>13.997003867240034</v>
      </c>
      <c r="AT73" s="29">
        <v>14.012412632639361</v>
      </c>
      <c r="AU73" s="29">
        <v>14.050571871196711</v>
      </c>
      <c r="AV73" s="29">
        <v>14.084931850551841</v>
      </c>
      <c r="AW73" s="29">
        <v>14.194005373361966</v>
      </c>
      <c r="AX73" s="29">
        <v>14.244288682524871</v>
      </c>
      <c r="AY73" s="29">
        <v>14.313265513016777</v>
      </c>
      <c r="AZ73" s="29">
        <v>14.399298714844583</v>
      </c>
      <c r="BA73" s="29">
        <v>14.507642895008919</v>
      </c>
      <c r="BB73" s="29">
        <v>14.616086012959135</v>
      </c>
      <c r="BC73" s="29">
        <v>14.724694072980968</v>
      </c>
      <c r="BD73" s="29">
        <v>14.833449149337921</v>
      </c>
      <c r="BE73" s="29">
        <v>14.942331592636247</v>
      </c>
      <c r="BF73" s="29">
        <v>15.051320481906224</v>
      </c>
      <c r="BG73" s="29">
        <v>15.160393792715769</v>
      </c>
      <c r="BH73" s="29">
        <v>15.269528523264514</v>
      </c>
      <c r="BI73" s="29">
        <v>15.378700783351224</v>
      </c>
      <c r="BJ73" s="29">
        <v>15.487885835861498</v>
      </c>
      <c r="BK73" s="29">
        <v>15.597058061171039</v>
      </c>
      <c r="BL73" s="29">
        <v>15.706190802691347</v>
      </c>
      <c r="BM73" s="29">
        <v>15.815255927873924</v>
      </c>
      <c r="BN73" s="29">
        <v>15.924222985217225</v>
      </c>
      <c r="BO73" s="29">
        <v>16.032970988314545</v>
      </c>
      <c r="BP73" s="29">
        <v>16.141492999019857</v>
      </c>
      <c r="BQ73" s="29">
        <v>16.249782159665692</v>
      </c>
      <c r="BR73" s="29">
        <v>16.357831693320431</v>
      </c>
      <c r="BS73" s="29">
        <v>16.465634904047825</v>
      </c>
      <c r="BT73" s="30">
        <v>16.573185177168462</v>
      </c>
      <c r="BU73" s="29">
        <v>16.680475979523486</v>
      </c>
      <c r="BV73" s="29">
        <v>16.78750085973882</v>
      </c>
      <c r="BW73" s="29">
        <v>16.894253448492879</v>
      </c>
      <c r="BX73" s="29">
        <v>17.000727458783949</v>
      </c>
      <c r="BY73" s="29">
        <v>17.106916686199593</v>
      </c>
      <c r="BZ73" s="29">
        <v>17.212815009186428</v>
      </c>
      <c r="CA73" s="29">
        <v>17.318416389320152</v>
      </c>
      <c r="CB73" s="29">
        <v>17.423714871575907</v>
      </c>
      <c r="CC73" s="29">
        <v>17.528704584596824</v>
      </c>
      <c r="CD73" s="29">
        <v>17.633379740963051</v>
      </c>
      <c r="CE73" s="29">
        <v>17.737734637457418</v>
      </c>
      <c r="CF73" s="29">
        <v>17.841763655330201</v>
      </c>
      <c r="CG73" s="29">
        <v>17.945461260559547</v>
      </c>
      <c r="CH73" s="29">
        <v>18.04882200410945</v>
      </c>
      <c r="CI73" s="29">
        <v>18.151840522182667</v>
      </c>
      <c r="CJ73" s="29">
        <v>18.254511536469302</v>
      </c>
      <c r="CK73" s="29">
        <v>18.356829854389208</v>
      </c>
      <c r="CL73" s="29">
        <v>18.458790369327737</v>
      </c>
      <c r="CM73" s="29">
        <v>18.560388060865591</v>
      </c>
      <c r="CN73" s="29">
        <v>18.661617994999947</v>
      </c>
      <c r="CO73" s="29">
        <v>18.762475324356725</v>
      </c>
      <c r="CP73" s="29">
        <v>18.862955288394598</v>
      </c>
      <c r="CQ73" s="29">
        <v>18.96305321359797</v>
      </c>
      <c r="CR73" s="29">
        <v>19.062764513660433</v>
      </c>
      <c r="CS73" s="29">
        <v>19.16208468965586</v>
      </c>
      <c r="CT73" s="29">
        <v>19.261009330196988</v>
      </c>
      <c r="CU73" s="29">
        <v>19.359534111583137</v>
      </c>
      <c r="CV73" s="29">
        <v>19.457654797932509</v>
      </c>
      <c r="CW73" s="29">
        <v>19.555367241301155</v>
      </c>
      <c r="CX73" s="29">
        <v>19.652667381787719</v>
      </c>
      <c r="CY73" s="29">
        <v>19.749551247621582</v>
      </c>
      <c r="CZ73" s="29">
        <v>19.846014955236189</v>
      </c>
      <c r="DA73" s="29">
        <v>19.942054709326001</v>
      </c>
      <c r="DB73" s="29">
        <v>20.037666802885234</v>
      </c>
      <c r="DC73" s="29">
        <v>20.132847617229764</v>
      </c>
      <c r="DD73" s="29">
        <v>20.227593622001315</v>
      </c>
      <c r="DE73" s="29">
        <v>20.32190137515304</v>
      </c>
      <c r="DF73" s="29">
        <v>20.415767522915115</v>
      </c>
      <c r="DG73" s="29">
        <v>20.509188799742631</v>
      </c>
      <c r="DH73" s="29">
        <v>20.602162028242478</v>
      </c>
      <c r="DI73" s="29">
        <v>20.694684119080932</v>
      </c>
      <c r="DJ73" s="29">
        <v>20.786752070870811</v>
      </c>
      <c r="DK73" s="29">
        <v>20.878362970037152</v>
      </c>
      <c r="DL73" s="29">
        <v>20.969513990663589</v>
      </c>
      <c r="DM73" s="29">
        <v>21.060202394315588</v>
      </c>
      <c r="DN73" s="29">
        <v>21.150425529844643</v>
      </c>
      <c r="DO73" s="29">
        <v>21.240180833169052</v>
      </c>
      <c r="DP73" s="29">
        <v>21.329465827034404</v>
      </c>
      <c r="DQ73" s="29">
        <v>21.418278120751733</v>
      </c>
      <c r="DR73" s="29">
        <v>21.506615409913795</v>
      </c>
      <c r="DS73">
        <v>21.594475476091144</v>
      </c>
      <c r="DT73">
        <v>21.681856186503655</v>
      </c>
      <c r="DU73">
        <v>21.768755493672902</v>
      </c>
    </row>
    <row r="74" spans="1:125">
      <c r="A74" s="27">
        <v>72</v>
      </c>
      <c r="B74" s="28"/>
      <c r="C74" s="28"/>
      <c r="D74" s="28"/>
      <c r="E74" s="28"/>
      <c r="F74" s="28"/>
      <c r="G74" s="28"/>
      <c r="H74" s="28"/>
      <c r="I74" s="28"/>
      <c r="J74" s="28"/>
      <c r="K74" s="28"/>
      <c r="L74" s="28"/>
      <c r="M74" s="28"/>
      <c r="N74" s="28"/>
      <c r="O74" s="28"/>
      <c r="P74" s="28"/>
      <c r="Q74" s="28"/>
      <c r="R74" s="28"/>
      <c r="S74" s="28"/>
      <c r="T74" s="28"/>
      <c r="U74" s="28"/>
      <c r="V74" s="29"/>
      <c r="W74" s="29">
        <v>11.12</v>
      </c>
      <c r="X74" s="29">
        <v>11.28</v>
      </c>
      <c r="Y74" s="29">
        <v>11.398674508067687</v>
      </c>
      <c r="Z74" s="29">
        <v>11.631874202106879</v>
      </c>
      <c r="AA74" s="29">
        <v>11.707404046974988</v>
      </c>
      <c r="AB74" s="29">
        <v>11.845419002347652</v>
      </c>
      <c r="AC74" s="29">
        <v>11.897354620955912</v>
      </c>
      <c r="AD74" s="29">
        <v>11.901341197759729</v>
      </c>
      <c r="AE74" s="29">
        <v>11.959544522774683</v>
      </c>
      <c r="AF74" s="29">
        <v>12.117233607527673</v>
      </c>
      <c r="AG74" s="29">
        <v>12.251678021546379</v>
      </c>
      <c r="AH74" s="29">
        <v>12.392310003681551</v>
      </c>
      <c r="AI74" s="29">
        <v>12.521630083621636</v>
      </c>
      <c r="AJ74" s="29">
        <v>12.65671346288603</v>
      </c>
      <c r="AK74" s="29">
        <v>12.782223616011791</v>
      </c>
      <c r="AL74" s="29">
        <v>12.935070769384161</v>
      </c>
      <c r="AM74" s="29">
        <v>13.044074391769726</v>
      </c>
      <c r="AN74" s="29">
        <v>13.108956961503672</v>
      </c>
      <c r="AO74" s="29">
        <v>13.168619506874041</v>
      </c>
      <c r="AP74" s="29">
        <v>13.196080963597451</v>
      </c>
      <c r="AQ74" s="29">
        <v>13.26250648140017</v>
      </c>
      <c r="AR74" s="29">
        <v>13.322845526525931</v>
      </c>
      <c r="AS74" s="29">
        <v>13.338275318086746</v>
      </c>
      <c r="AT74" s="29">
        <v>13.348025409139192</v>
      </c>
      <c r="AU74" s="29">
        <v>13.395907497546871</v>
      </c>
      <c r="AV74" s="29">
        <v>13.436794932272829</v>
      </c>
      <c r="AW74" s="29">
        <v>13.530355971460747</v>
      </c>
      <c r="AX74" s="29">
        <v>13.587477808073931</v>
      </c>
      <c r="AY74" s="29">
        <v>13.675438436950644</v>
      </c>
      <c r="AZ74" s="29">
        <v>13.773448765113912</v>
      </c>
      <c r="BA74" s="29">
        <v>13.877260062037809</v>
      </c>
      <c r="BB74" s="29">
        <v>13.98129110570455</v>
      </c>
      <c r="BC74" s="29">
        <v>14.08552618314865</v>
      </c>
      <c r="BD74" s="29">
        <v>14.189946937471165</v>
      </c>
      <c r="BE74" s="29">
        <v>14.294533267633362</v>
      </c>
      <c r="BF74" s="29">
        <v>14.399263794202604</v>
      </c>
      <c r="BG74" s="29">
        <v>14.50411603302125</v>
      </c>
      <c r="BH74" s="29">
        <v>14.609066525314045</v>
      </c>
      <c r="BI74" s="29">
        <v>14.714090929406925</v>
      </c>
      <c r="BJ74" s="29">
        <v>14.819164063617508</v>
      </c>
      <c r="BK74" s="29">
        <v>14.924259870233758</v>
      </c>
      <c r="BL74" s="29">
        <v>15.02935125815757</v>
      </c>
      <c r="BM74" s="29">
        <v>15.13440965541656</v>
      </c>
      <c r="BN74" s="29">
        <v>15.239290765888283</v>
      </c>
      <c r="BO74" s="29">
        <v>15.343987705720032</v>
      </c>
      <c r="BP74" s="29">
        <v>15.448493658212643</v>
      </c>
      <c r="BQ74" s="29">
        <v>15.552801874340977</v>
      </c>
      <c r="BR74" s="29">
        <v>15.656905673275732</v>
      </c>
      <c r="BS74" s="29">
        <v>15.760798442907575</v>
      </c>
      <c r="BT74" s="30">
        <v>15.864473640372978</v>
      </c>
      <c r="BU74" s="29">
        <v>15.96792479258184</v>
      </c>
      <c r="BV74" s="29">
        <v>16.071145496744954</v>
      </c>
      <c r="BW74" s="29">
        <v>16.174129420904098</v>
      </c>
      <c r="BX74" s="29">
        <v>16.27687030446068</v>
      </c>
      <c r="BY74" s="29">
        <v>16.379361958705122</v>
      </c>
      <c r="BZ74" s="29">
        <v>16.481598267345223</v>
      </c>
      <c r="CA74" s="29">
        <v>16.583573187033114</v>
      </c>
      <c r="CB74" s="29">
        <v>16.685280747890765</v>
      </c>
      <c r="CC74" s="29">
        <v>16.786715054031788</v>
      </c>
      <c r="CD74" s="29">
        <v>16.887870284081657</v>
      </c>
      <c r="CE74" s="29">
        <v>16.98874069169236</v>
      </c>
      <c r="CF74" s="29">
        <v>17.08932060605386</v>
      </c>
      <c r="CG74" s="29">
        <v>17.189604432398806</v>
      </c>
      <c r="CH74" s="29">
        <v>17.289586652502273</v>
      </c>
      <c r="CI74" s="29">
        <v>17.389261825173836</v>
      </c>
      <c r="CJ74" s="29">
        <v>17.488624586742603</v>
      </c>
      <c r="CK74" s="29">
        <v>17.587669651533279</v>
      </c>
      <c r="CL74" s="29">
        <v>17.686391812332776</v>
      </c>
      <c r="CM74" s="29">
        <v>17.784785940847939</v>
      </c>
      <c r="CN74" s="29">
        <v>17.882846988151613</v>
      </c>
      <c r="CO74" s="29">
        <v>17.980569985116819</v>
      </c>
      <c r="CP74" s="29">
        <v>18.077950042839589</v>
      </c>
      <c r="CQ74" s="29">
        <v>18.174982353047618</v>
      </c>
      <c r="CR74" s="29">
        <v>18.271662188496293</v>
      </c>
      <c r="CS74" s="29">
        <v>18.367984903349143</v>
      </c>
      <c r="CT74" s="29">
        <v>18.463945933542533</v>
      </c>
      <c r="CU74" s="29">
        <v>18.559540797136282</v>
      </c>
      <c r="CV74" s="29">
        <v>18.654765094645615</v>
      </c>
      <c r="CW74" s="29">
        <v>18.749614509356476</v>
      </c>
      <c r="CX74" s="29">
        <v>18.844084807623339</v>
      </c>
      <c r="CY74" s="29">
        <v>18.938171839147156</v>
      </c>
      <c r="CZ74" s="29">
        <v>19.031871537235133</v>
      </c>
      <c r="DA74" s="29">
        <v>19.12517991904091</v>
      </c>
      <c r="DB74" s="29">
        <v>19.218093085783142</v>
      </c>
      <c r="DC74" s="29">
        <v>19.310607222944036</v>
      </c>
      <c r="DD74" s="29">
        <v>19.402718600446828</v>
      </c>
      <c r="DE74" s="29">
        <v>19.494423572811414</v>
      </c>
      <c r="DF74" s="29">
        <v>19.58571857928672</v>
      </c>
      <c r="DG74" s="29">
        <v>19.676600143962105</v>
      </c>
      <c r="DH74" s="29">
        <v>19.767064875854551</v>
      </c>
      <c r="DI74" s="29">
        <v>19.857109468973334</v>
      </c>
      <c r="DJ74" s="29">
        <v>19.946730702361059</v>
      </c>
      <c r="DK74" s="29">
        <v>20.035925440110052</v>
      </c>
      <c r="DL74" s="29">
        <v>20.124690631356312</v>
      </c>
      <c r="DM74" s="29">
        <v>20.213023310247166</v>
      </c>
      <c r="DN74" s="29">
        <v>20.300920595886812</v>
      </c>
      <c r="DO74" s="29">
        <v>20.388379692255373</v>
      </c>
      <c r="DP74" s="29">
        <v>20.475397888104606</v>
      </c>
      <c r="DQ74" s="29">
        <v>20.561972556828216</v>
      </c>
      <c r="DR74" s="29">
        <v>20.648101156307415</v>
      </c>
      <c r="DS74">
        <v>20.733781228733214</v>
      </c>
      <c r="DT74">
        <v>20.8190104004013</v>
      </c>
      <c r="DU74">
        <v>20.903786381484846</v>
      </c>
    </row>
    <row r="75" spans="1:125">
      <c r="A75" s="27">
        <v>73</v>
      </c>
      <c r="B75" s="28"/>
      <c r="C75" s="28"/>
      <c r="D75" s="28"/>
      <c r="E75" s="28"/>
      <c r="F75" s="28"/>
      <c r="G75" s="28"/>
      <c r="H75" s="28"/>
      <c r="I75" s="28"/>
      <c r="J75" s="28"/>
      <c r="K75" s="28"/>
      <c r="L75" s="28"/>
      <c r="M75" s="28"/>
      <c r="N75" s="28"/>
      <c r="O75" s="28"/>
      <c r="P75" s="28"/>
      <c r="Q75" s="28"/>
      <c r="R75" s="28"/>
      <c r="S75" s="28"/>
      <c r="T75" s="28"/>
      <c r="U75" s="28"/>
      <c r="V75" s="29"/>
      <c r="W75" s="29">
        <v>10.62</v>
      </c>
      <c r="X75" s="29">
        <v>10.77</v>
      </c>
      <c r="Y75" s="29">
        <v>10.896274420986218</v>
      </c>
      <c r="Z75" s="29">
        <v>11.102526495330412</v>
      </c>
      <c r="AA75" s="29">
        <v>11.17198509226869</v>
      </c>
      <c r="AB75" s="29">
        <v>11.303448340952139</v>
      </c>
      <c r="AC75" s="29">
        <v>11.34094878896769</v>
      </c>
      <c r="AD75" s="29">
        <v>11.332154928148974</v>
      </c>
      <c r="AE75" s="29">
        <v>11.396762846255204</v>
      </c>
      <c r="AF75" s="29">
        <v>11.55602372831617</v>
      </c>
      <c r="AG75" s="29">
        <v>11.672097335611925</v>
      </c>
      <c r="AH75" s="29">
        <v>11.791523782439734</v>
      </c>
      <c r="AI75" s="29">
        <v>11.912412275296496</v>
      </c>
      <c r="AJ75" s="29">
        <v>12.040468288976903</v>
      </c>
      <c r="AK75" s="29">
        <v>12.156909197299415</v>
      </c>
      <c r="AL75" s="29">
        <v>12.299131894791216</v>
      </c>
      <c r="AM75" s="29">
        <v>12.393664203706539</v>
      </c>
      <c r="AN75" s="29">
        <v>12.46004964774991</v>
      </c>
      <c r="AO75" s="29">
        <v>12.518637266789852</v>
      </c>
      <c r="AP75" s="29">
        <v>12.543522387927032</v>
      </c>
      <c r="AQ75" s="29">
        <v>12.601106476189614</v>
      </c>
      <c r="AR75" s="29">
        <v>12.664550797825836</v>
      </c>
      <c r="AS75" s="29">
        <v>12.68009601825278</v>
      </c>
      <c r="AT75" s="29">
        <v>12.69539012620357</v>
      </c>
      <c r="AU75" s="29">
        <v>12.752027760905422</v>
      </c>
      <c r="AV75" s="29">
        <v>12.79078059034385</v>
      </c>
      <c r="AW75" s="29">
        <v>12.878687313939771</v>
      </c>
      <c r="AX75" s="29">
        <v>12.956506078253065</v>
      </c>
      <c r="AY75" s="29">
        <v>13.053797538064488</v>
      </c>
      <c r="AZ75" s="29">
        <v>13.152954331317236</v>
      </c>
      <c r="BA75" s="29">
        <v>13.25238145758358</v>
      </c>
      <c r="BB75" s="29">
        <v>13.352066500397536</v>
      </c>
      <c r="BC75" s="29">
        <v>13.451993298641684</v>
      </c>
      <c r="BD75" s="29">
        <v>13.552142999591185</v>
      </c>
      <c r="BE75" s="29">
        <v>13.652494987536199</v>
      </c>
      <c r="BF75" s="29">
        <v>13.753027364282193</v>
      </c>
      <c r="BG75" s="29">
        <v>13.853717128726695</v>
      </c>
      <c r="BH75" s="29">
        <v>13.954540311194121</v>
      </c>
      <c r="BI75" s="29">
        <v>14.055472068009088</v>
      </c>
      <c r="BJ75" s="29">
        <v>14.156486725775757</v>
      </c>
      <c r="BK75" s="29">
        <v>14.257557744759428</v>
      </c>
      <c r="BL75" s="29">
        <v>14.358657558240466</v>
      </c>
      <c r="BM75" s="29">
        <v>14.459620123352563</v>
      </c>
      <c r="BN75" s="29">
        <v>14.560438644260534</v>
      </c>
      <c r="BO75" s="29">
        <v>14.661106379364178</v>
      </c>
      <c r="BP75" s="29">
        <v>14.761616642045784</v>
      </c>
      <c r="BQ75" s="29">
        <v>14.86196280142126</v>
      </c>
      <c r="BR75" s="29">
        <v>14.962138283093006</v>
      </c>
      <c r="BS75" s="29">
        <v>15.062136569905467</v>
      </c>
      <c r="BT75" s="30">
        <v>15.161951202702459</v>
      </c>
      <c r="BU75" s="29">
        <v>15.261575781086176</v>
      </c>
      <c r="BV75" s="29">
        <v>15.361003964175648</v>
      </c>
      <c r="BW75" s="29">
        <v>15.46022947136742</v>
      </c>
      <c r="BX75" s="29">
        <v>15.559246083094047</v>
      </c>
      <c r="BY75" s="29">
        <v>15.658047641582487</v>
      </c>
      <c r="BZ75" s="29">
        <v>15.75662805161048</v>
      </c>
      <c r="CA75" s="29">
        <v>15.8549812812604</v>
      </c>
      <c r="CB75" s="29">
        <v>15.953101362670319</v>
      </c>
      <c r="CC75" s="29">
        <v>16.050982392779986</v>
      </c>
      <c r="CD75" s="29">
        <v>16.14861853407368</v>
      </c>
      <c r="CE75" s="29">
        <v>16.24600401531583</v>
      </c>
      <c r="CF75" s="29">
        <v>16.343133132281714</v>
      </c>
      <c r="CG75" s="29">
        <v>16.440000248479489</v>
      </c>
      <c r="CH75" s="29">
        <v>16.536599795865349</v>
      </c>
      <c r="CI75" s="29">
        <v>16.632926275548979</v>
      </c>
      <c r="CJ75" s="29">
        <v>16.728974258489782</v>
      </c>
      <c r="CK75" s="29">
        <v>16.824738386182052</v>
      </c>
      <c r="CL75" s="29">
        <v>16.920213371328305</v>
      </c>
      <c r="CM75" s="29">
        <v>17.015393998501523</v>
      </c>
      <c r="CN75" s="29">
        <v>17.110275124793276</v>
      </c>
      <c r="CO75" s="29">
        <v>17.204851680447558</v>
      </c>
      <c r="CP75" s="29">
        <v>17.299118669480791</v>
      </c>
      <c r="CQ75" s="29">
        <v>17.393071170285122</v>
      </c>
      <c r="CR75" s="29">
        <v>17.486704336216569</v>
      </c>
      <c r="CS75" s="29">
        <v>17.58001339616494</v>
      </c>
      <c r="CT75" s="29">
        <v>17.672993655105415</v>
      </c>
      <c r="CU75" s="29">
        <v>17.765640494633423</v>
      </c>
      <c r="CV75" s="29">
        <v>17.857949373478114</v>
      </c>
      <c r="CW75" s="29">
        <v>17.949915827996566</v>
      </c>
      <c r="CX75" s="29">
        <v>18.041535472647769</v>
      </c>
      <c r="CY75" s="29">
        <v>18.132804000444004</v>
      </c>
      <c r="CZ75" s="29">
        <v>18.223717183381378</v>
      </c>
      <c r="DA75" s="29">
        <v>18.314270872847967</v>
      </c>
      <c r="DB75" s="29">
        <v>18.404461000007679</v>
      </c>
      <c r="DC75" s="29">
        <v>18.494283576161276</v>
      </c>
      <c r="DD75" s="29">
        <v>18.58373469308366</v>
      </c>
      <c r="DE75" s="29">
        <v>18.672810523336537</v>
      </c>
      <c r="DF75" s="29">
        <v>18.761507320555072</v>
      </c>
      <c r="DG75" s="29">
        <v>18.849821419710914</v>
      </c>
      <c r="DH75" s="29">
        <v>18.937749237348218</v>
      </c>
      <c r="DI75" s="29">
        <v>19.025287271794486</v>
      </c>
      <c r="DJ75" s="29">
        <v>19.112432103345053</v>
      </c>
      <c r="DK75" s="29">
        <v>19.199180394420274</v>
      </c>
      <c r="DL75" s="29">
        <v>19.285528889697549</v>
      </c>
      <c r="DM75" s="29">
        <v>19.371474416214433</v>
      </c>
      <c r="DN75" s="29">
        <v>19.457013883447004</v>
      </c>
      <c r="DO75" s="29">
        <v>19.542144283359075</v>
      </c>
      <c r="DP75" s="29">
        <v>19.626862690425494</v>
      </c>
      <c r="DQ75" s="29">
        <v>19.711166261627451</v>
      </c>
      <c r="DR75" s="29">
        <v>19.795052236420471</v>
      </c>
      <c r="DS75">
        <v>19.878517936676573</v>
      </c>
      <c r="DT75">
        <v>19.961560766596527</v>
      </c>
      <c r="DU75">
        <v>20.044178212597508</v>
      </c>
    </row>
    <row r="76" spans="1:125">
      <c r="A76" s="27">
        <v>74</v>
      </c>
      <c r="B76" s="28"/>
      <c r="C76" s="28"/>
      <c r="D76" s="28"/>
      <c r="E76" s="28"/>
      <c r="F76" s="28"/>
      <c r="G76" s="28"/>
      <c r="H76" s="28"/>
      <c r="I76" s="28"/>
      <c r="J76" s="28"/>
      <c r="K76" s="28"/>
      <c r="L76" s="28"/>
      <c r="M76" s="28"/>
      <c r="N76" s="28"/>
      <c r="O76" s="28"/>
      <c r="P76" s="28"/>
      <c r="Q76" s="28"/>
      <c r="R76" s="28"/>
      <c r="S76" s="28"/>
      <c r="T76" s="28"/>
      <c r="U76" s="28"/>
      <c r="V76" s="29"/>
      <c r="W76" s="29">
        <v>10.119999999999999</v>
      </c>
      <c r="X76" s="29">
        <v>10.27</v>
      </c>
      <c r="Y76" s="29">
        <v>10.38692184510256</v>
      </c>
      <c r="Z76" s="29">
        <v>10.577695690939331</v>
      </c>
      <c r="AA76" s="29">
        <v>10.646883792112289</v>
      </c>
      <c r="AB76" s="29">
        <v>10.75827389668728</v>
      </c>
      <c r="AC76" s="29">
        <v>10.781002424456275</v>
      </c>
      <c r="AD76" s="29">
        <v>10.780124960936178</v>
      </c>
      <c r="AE76" s="29">
        <v>10.851351112307613</v>
      </c>
      <c r="AF76" s="29">
        <v>10.990455778128915</v>
      </c>
      <c r="AG76" s="29">
        <v>11.098920646739366</v>
      </c>
      <c r="AH76" s="29">
        <v>11.187830688367711</v>
      </c>
      <c r="AI76" s="29">
        <v>11.309497366714641</v>
      </c>
      <c r="AJ76" s="29">
        <v>11.428227033272671</v>
      </c>
      <c r="AK76" s="29">
        <v>11.541997836764081</v>
      </c>
      <c r="AL76" s="29">
        <v>11.670288514216109</v>
      </c>
      <c r="AM76" s="29">
        <v>11.758074586046886</v>
      </c>
      <c r="AN76" s="29">
        <v>11.8185758283936</v>
      </c>
      <c r="AO76" s="29">
        <v>11.881809459396369</v>
      </c>
      <c r="AP76" s="29">
        <v>11.889934131781359</v>
      </c>
      <c r="AQ76" s="29">
        <v>11.966359835243811</v>
      </c>
      <c r="AR76" s="29">
        <v>12.013034250700022</v>
      </c>
      <c r="AS76" s="29">
        <v>12.037186431729548</v>
      </c>
      <c r="AT76" s="29">
        <v>12.062269605866934</v>
      </c>
      <c r="AU76" s="29">
        <v>12.112710314164298</v>
      </c>
      <c r="AV76" s="29">
        <v>12.154346576698954</v>
      </c>
      <c r="AW76" s="29">
        <v>12.25791125878102</v>
      </c>
      <c r="AX76" s="29">
        <v>12.34852992294039</v>
      </c>
      <c r="AY76" s="29">
        <v>12.443037074174054</v>
      </c>
      <c r="AZ76" s="29">
        <v>12.537859491432132</v>
      </c>
      <c r="BA76" s="29">
        <v>12.632989282550488</v>
      </c>
      <c r="BB76" s="29">
        <v>12.728413600466077</v>
      </c>
      <c r="BC76" s="29">
        <v>12.824115766175129</v>
      </c>
      <c r="BD76" s="29">
        <v>12.920076360515411</v>
      </c>
      <c r="BE76" s="29">
        <v>13.01627418419009</v>
      </c>
      <c r="BF76" s="29">
        <v>13.112686754254481</v>
      </c>
      <c r="BG76" s="29">
        <v>13.209290489998834</v>
      </c>
      <c r="BH76" s="29">
        <v>13.306060851752775</v>
      </c>
      <c r="BI76" s="29">
        <v>13.402972438430318</v>
      </c>
      <c r="BJ76" s="29">
        <v>13.499999033183238</v>
      </c>
      <c r="BK76" s="29">
        <v>13.597113565991842</v>
      </c>
      <c r="BL76" s="29">
        <v>13.694128717135774</v>
      </c>
      <c r="BM76" s="29">
        <v>13.791037813381871</v>
      </c>
      <c r="BN76" s="29">
        <v>13.887834223368529</v>
      </c>
      <c r="BO76" s="29">
        <v>13.984511358543267</v>
      </c>
      <c r="BP76" s="29">
        <v>14.081062674104887</v>
      </c>
      <c r="BQ76" s="29">
        <v>14.177481669950087</v>
      </c>
      <c r="BR76" s="29">
        <v>14.273761891622659</v>
      </c>
      <c r="BS76" s="29">
        <v>14.369896931265933</v>
      </c>
      <c r="BT76" s="30">
        <v>14.465880428577359</v>
      </c>
      <c r="BU76" s="29">
        <v>14.561706071765014</v>
      </c>
      <c r="BV76" s="29">
        <v>14.657367598503587</v>
      </c>
      <c r="BW76" s="29">
        <v>14.752858796892475</v>
      </c>
      <c r="BX76" s="29">
        <v>14.848173506411438</v>
      </c>
      <c r="BY76" s="29">
        <v>14.943305618875714</v>
      </c>
      <c r="BZ76" s="29">
        <v>15.038249079388642</v>
      </c>
      <c r="CA76" s="29">
        <v>15.132997887290994</v>
      </c>
      <c r="CB76" s="29">
        <v>15.227546097106805</v>
      </c>
      <c r="CC76" s="29">
        <v>15.321887819483162</v>
      </c>
      <c r="CD76" s="29">
        <v>15.416017222125857</v>
      </c>
      <c r="CE76" s="29">
        <v>15.509928530726715</v>
      </c>
      <c r="CF76" s="29">
        <v>15.603616029884732</v>
      </c>
      <c r="CG76" s="29">
        <v>15.697074064017308</v>
      </c>
      <c r="CH76" s="29">
        <v>15.790297038263191</v>
      </c>
      <c r="CI76" s="29">
        <v>15.883279419374208</v>
      </c>
      <c r="CJ76" s="29">
        <v>15.976015736596333</v>
      </c>
      <c r="CK76" s="29">
        <v>16.068500582537993</v>
      </c>
      <c r="CL76" s="29">
        <v>16.160728614024933</v>
      </c>
      <c r="CM76" s="29">
        <v>16.252694552942227</v>
      </c>
      <c r="CN76" s="29">
        <v>16.34439318706043</v>
      </c>
      <c r="CO76" s="29">
        <v>16.435819370845572</v>
      </c>
      <c r="CP76" s="29">
        <v>16.526968026253478</v>
      </c>
      <c r="CQ76" s="29">
        <v>16.617834143505444</v>
      </c>
      <c r="CR76" s="29">
        <v>16.708412781846835</v>
      </c>
      <c r="CS76" s="29">
        <v>16.798699070285451</v>
      </c>
      <c r="CT76" s="29">
        <v>16.888688208309514</v>
      </c>
      <c r="CU76" s="29">
        <v>16.978375466586961</v>
      </c>
      <c r="CV76" s="29">
        <v>17.067756187641237</v>
      </c>
      <c r="CW76" s="29">
        <v>17.156825786505689</v>
      </c>
      <c r="CX76" s="29">
        <v>17.245579751355695</v>
      </c>
      <c r="CY76" s="29">
        <v>17.334013644116009</v>
      </c>
      <c r="CZ76" s="29">
        <v>17.422123101045123</v>
      </c>
      <c r="DA76" s="29">
        <v>17.509903833295134</v>
      </c>
      <c r="DB76" s="29">
        <v>17.597351627445068</v>
      </c>
      <c r="DC76" s="29">
        <v>17.68446234600929</v>
      </c>
      <c r="DD76" s="29">
        <v>17.771231927919931</v>
      </c>
      <c r="DE76" s="29">
        <v>17.857656388982541</v>
      </c>
      <c r="DF76" s="29">
        <v>17.943731822303523</v>
      </c>
      <c r="DG76" s="29">
        <v>18.029454398691772</v>
      </c>
      <c r="DH76" s="29">
        <v>18.114820367031115</v>
      </c>
      <c r="DI76" s="29">
        <v>18.199826054625362</v>
      </c>
      <c r="DJ76" s="29">
        <v>18.284467867514863</v>
      </c>
      <c r="DK76" s="29">
        <v>18.368742290763524</v>
      </c>
      <c r="DL76" s="29">
        <v>18.45264588871856</v>
      </c>
      <c r="DM76" s="29">
        <v>18.536175305239098</v>
      </c>
      <c r="DN76" s="29">
        <v>18.619327263897908</v>
      </c>
      <c r="DO76" s="29">
        <v>18.702098568151836</v>
      </c>
      <c r="DP76" s="29">
        <v>18.78448610148417</v>
      </c>
      <c r="DQ76" s="29">
        <v>18.866486827516848</v>
      </c>
      <c r="DR76" s="29">
        <v>18.948097790093279</v>
      </c>
      <c r="DS76">
        <v>19.029316113333195</v>
      </c>
      <c r="DT76">
        <v>19.11013900165549</v>
      </c>
      <c r="DU76">
        <v>19.19056373977438</v>
      </c>
    </row>
    <row r="77" spans="1:125">
      <c r="A77" s="27">
        <v>75</v>
      </c>
      <c r="B77" s="28"/>
      <c r="C77" s="28"/>
      <c r="D77" s="28"/>
      <c r="E77" s="28"/>
      <c r="F77" s="28"/>
      <c r="G77" s="28"/>
      <c r="H77" s="28"/>
      <c r="I77" s="28"/>
      <c r="J77" s="28"/>
      <c r="K77" s="28"/>
      <c r="L77" s="28"/>
      <c r="M77" s="28"/>
      <c r="N77" s="28"/>
      <c r="O77" s="28"/>
      <c r="P77" s="28"/>
      <c r="Q77" s="28"/>
      <c r="R77" s="28"/>
      <c r="S77" s="28"/>
      <c r="T77" s="28"/>
      <c r="U77" s="28"/>
      <c r="V77" s="29"/>
      <c r="W77" s="29">
        <v>9.65</v>
      </c>
      <c r="X77" s="29">
        <v>9.7799999999999994</v>
      </c>
      <c r="Y77" s="29">
        <v>9.8893940272805878</v>
      </c>
      <c r="Z77" s="29">
        <v>10.071346723730811</v>
      </c>
      <c r="AA77" s="29">
        <v>10.125659111467185</v>
      </c>
      <c r="AB77" s="29">
        <v>10.223861611555227</v>
      </c>
      <c r="AC77" s="29">
        <v>10.236372275027062</v>
      </c>
      <c r="AD77" s="29">
        <v>10.251965347710659</v>
      </c>
      <c r="AE77" s="29">
        <v>10.305576621486081</v>
      </c>
      <c r="AF77" s="29">
        <v>10.429552760708271</v>
      </c>
      <c r="AG77" s="29">
        <v>10.523036716119506</v>
      </c>
      <c r="AH77" s="29">
        <v>10.60476658760445</v>
      </c>
      <c r="AI77" s="29">
        <v>10.720874616648569</v>
      </c>
      <c r="AJ77" s="29">
        <v>10.840128382573385</v>
      </c>
      <c r="AK77" s="29">
        <v>10.933777683107904</v>
      </c>
      <c r="AL77" s="29">
        <v>11.056152066792837</v>
      </c>
      <c r="AM77" s="29">
        <v>11.130777279496366</v>
      </c>
      <c r="AN77" s="29">
        <v>11.192652267580288</v>
      </c>
      <c r="AO77" s="29">
        <v>11.235947838253367</v>
      </c>
      <c r="AP77" s="29">
        <v>11.265481713093767</v>
      </c>
      <c r="AQ77" s="29">
        <v>11.325547157226802</v>
      </c>
      <c r="AR77" s="29">
        <v>11.376737650160162</v>
      </c>
      <c r="AS77" s="29">
        <v>11.408083637088424</v>
      </c>
      <c r="AT77" s="29">
        <v>11.431214973801403</v>
      </c>
      <c r="AU77" s="29">
        <v>11.4879125950028</v>
      </c>
      <c r="AV77" s="29">
        <v>11.55616687804452</v>
      </c>
      <c r="AW77" s="29">
        <v>11.657552265638069</v>
      </c>
      <c r="AX77" s="29">
        <v>11.74743551040617</v>
      </c>
      <c r="AY77" s="29">
        <v>11.837671959897291</v>
      </c>
      <c r="AZ77" s="29">
        <v>11.928259543441298</v>
      </c>
      <c r="BA77" s="29">
        <v>12.019190003945365</v>
      </c>
      <c r="BB77" s="29">
        <v>12.110449989302772</v>
      </c>
      <c r="BC77" s="29">
        <v>12.2020222233322</v>
      </c>
      <c r="BD77" s="29">
        <v>12.293886640000425</v>
      </c>
      <c r="BE77" s="29">
        <v>12.386021377786985</v>
      </c>
      <c r="BF77" s="29">
        <v>12.478403293563789</v>
      </c>
      <c r="BG77" s="29">
        <v>12.571008155237653</v>
      </c>
      <c r="BH77" s="29">
        <v>12.663810785300184</v>
      </c>
      <c r="BI77" s="29">
        <v>12.75678516147779</v>
      </c>
      <c r="BJ77" s="29">
        <v>12.849904463742215</v>
      </c>
      <c r="BK77" s="29">
        <v>12.942959832675427</v>
      </c>
      <c r="BL77" s="29">
        <v>13.03594475040541</v>
      </c>
      <c r="BM77" s="29">
        <v>13.128852729243981</v>
      </c>
      <c r="BN77" s="29">
        <v>13.221677312777706</v>
      </c>
      <c r="BO77" s="29">
        <v>13.314412076964379</v>
      </c>
      <c r="BP77" s="29">
        <v>13.407050631235419</v>
      </c>
      <c r="BQ77" s="29">
        <v>13.499586619603903</v>
      </c>
      <c r="BR77" s="29">
        <v>13.592013721776114</v>
      </c>
      <c r="BS77" s="29">
        <v>13.684325654267196</v>
      </c>
      <c r="BT77" s="30">
        <v>13.776516171519551</v>
      </c>
      <c r="BU77" s="29">
        <v>13.868579067023731</v>
      </c>
      <c r="BV77" s="29">
        <v>13.960508174439122</v>
      </c>
      <c r="BW77" s="29">
        <v>14.05229736871701</v>
      </c>
      <c r="BX77" s="29">
        <v>14.143940567221264</v>
      </c>
      <c r="BY77" s="29">
        <v>14.235431730848516</v>
      </c>
      <c r="BZ77" s="29">
        <v>14.326764865145657</v>
      </c>
      <c r="CA77" s="29">
        <v>14.417934021423841</v>
      </c>
      <c r="CB77" s="29">
        <v>14.508933297868603</v>
      </c>
      <c r="CC77" s="29">
        <v>14.59975684064349</v>
      </c>
      <c r="CD77" s="29">
        <v>14.69039884498906</v>
      </c>
      <c r="CE77" s="29">
        <v>14.780853556312845</v>
      </c>
      <c r="CF77" s="29">
        <v>14.871115271272483</v>
      </c>
      <c r="CG77" s="29">
        <v>14.961178338848118</v>
      </c>
      <c r="CH77" s="29">
        <v>15.051037161405642</v>
      </c>
      <c r="CI77" s="29">
        <v>15.140686195747811</v>
      </c>
      <c r="CJ77" s="29">
        <v>15.230119954153684</v>
      </c>
      <c r="CK77" s="29">
        <v>15.319333005404253</v>
      </c>
      <c r="CL77" s="29">
        <v>15.40831997579348</v>
      </c>
      <c r="CM77" s="29">
        <v>15.497075550125375</v>
      </c>
      <c r="CN77" s="29">
        <v>15.58559447269395</v>
      </c>
      <c r="CO77" s="29">
        <v>15.673871548245749</v>
      </c>
      <c r="CP77" s="29">
        <v>15.761901642925414</v>
      </c>
      <c r="CQ77" s="29">
        <v>15.849679685201272</v>
      </c>
      <c r="CR77" s="29">
        <v>15.937200666772442</v>
      </c>
      <c r="CS77" s="29">
        <v>16.024459643454293</v>
      </c>
      <c r="CT77" s="29">
        <v>16.111451736042074</v>
      </c>
      <c r="CU77" s="29">
        <v>16.198172131154408</v>
      </c>
      <c r="CV77" s="29">
        <v>16.284616082051734</v>
      </c>
      <c r="CW77" s="29">
        <v>16.370778909431866</v>
      </c>
      <c r="CX77" s="29">
        <v>16.456656002201708</v>
      </c>
      <c r="CY77" s="29">
        <v>16.542242818222633</v>
      </c>
      <c r="CZ77" s="29">
        <v>16.627534885031292</v>
      </c>
      <c r="DA77" s="29">
        <v>16.712527800534335</v>
      </c>
      <c r="DB77" s="29">
        <v>16.797217233674957</v>
      </c>
      <c r="DC77" s="29">
        <v>16.881598925072904</v>
      </c>
      <c r="DD77" s="29">
        <v>16.965668687636846</v>
      </c>
      <c r="DE77" s="29">
        <v>17.049422407148391</v>
      </c>
      <c r="DF77" s="29">
        <v>17.132856042816112</v>
      </c>
      <c r="DG77" s="29">
        <v>17.215965627802198</v>
      </c>
      <c r="DH77" s="29">
        <v>17.298747269718209</v>
      </c>
      <c r="DI77" s="29">
        <v>17.381197151091747</v>
      </c>
      <c r="DJ77" s="29">
        <v>17.46331152980299</v>
      </c>
      <c r="DK77" s="29">
        <v>17.545086739489946</v>
      </c>
      <c r="DL77" s="29">
        <v>17.626519189924814</v>
      </c>
      <c r="DM77" s="29">
        <v>17.707605367357473</v>
      </c>
      <c r="DN77" s="29">
        <v>17.788341834830426</v>
      </c>
      <c r="DO77" s="29">
        <v>17.868725232460726</v>
      </c>
      <c r="DP77" s="29">
        <v>17.948752277692197</v>
      </c>
      <c r="DQ77" s="29">
        <v>18.028419765515782</v>
      </c>
      <c r="DR77" s="29">
        <v>18.10772456865881</v>
      </c>
      <c r="DS77">
        <v>18.18666363774464</v>
      </c>
      <c r="DT77">
        <v>18.265234001418609</v>
      </c>
      <c r="DU77">
        <v>18.343432766445591</v>
      </c>
    </row>
    <row r="78" spans="1:125">
      <c r="A78" s="27">
        <v>76</v>
      </c>
      <c r="B78" s="28"/>
      <c r="C78" s="28"/>
      <c r="D78" s="28"/>
      <c r="E78" s="28"/>
      <c r="F78" s="28"/>
      <c r="G78" s="28"/>
      <c r="H78" s="28"/>
      <c r="I78" s="28"/>
      <c r="J78" s="28"/>
      <c r="K78" s="28"/>
      <c r="L78" s="28"/>
      <c r="M78" s="28"/>
      <c r="N78" s="28"/>
      <c r="O78" s="28"/>
      <c r="P78" s="28"/>
      <c r="Q78" s="28"/>
      <c r="R78" s="28"/>
      <c r="S78" s="28"/>
      <c r="T78" s="28"/>
      <c r="U78" s="28"/>
      <c r="V78" s="29"/>
      <c r="W78" s="29">
        <v>9.18</v>
      </c>
      <c r="X78" s="29">
        <v>9.3000000000000007</v>
      </c>
      <c r="Y78" s="29">
        <v>9.4010697634008125</v>
      </c>
      <c r="Z78" s="29">
        <v>9.5603759325766369</v>
      </c>
      <c r="AA78" s="29">
        <v>9.6115905592853785</v>
      </c>
      <c r="AB78" s="29">
        <v>9.6914743031289667</v>
      </c>
      <c r="AC78" s="29">
        <v>9.7158941729020167</v>
      </c>
      <c r="AD78" s="29">
        <v>9.7225841314672792</v>
      </c>
      <c r="AE78" s="29">
        <v>9.7690578112635489</v>
      </c>
      <c r="AF78" s="29">
        <v>9.8690569181016947</v>
      </c>
      <c r="AG78" s="29">
        <v>9.9572445101745366</v>
      </c>
      <c r="AH78" s="29">
        <v>10.038585465313972</v>
      </c>
      <c r="AI78" s="29">
        <v>10.141771863232568</v>
      </c>
      <c r="AJ78" s="29">
        <v>10.245136630009744</v>
      </c>
      <c r="AK78" s="29">
        <v>10.342090065231773</v>
      </c>
      <c r="AL78" s="29">
        <v>10.449019388988232</v>
      </c>
      <c r="AM78" s="29">
        <v>10.525923126530344</v>
      </c>
      <c r="AN78" s="29">
        <v>10.560660054841758</v>
      </c>
      <c r="AO78" s="29">
        <v>10.625420510496783</v>
      </c>
      <c r="AP78" s="29">
        <v>10.64456711295162</v>
      </c>
      <c r="AQ78" s="29">
        <v>10.704033659650404</v>
      </c>
      <c r="AR78" s="29">
        <v>10.758111367361135</v>
      </c>
      <c r="AS78" s="29">
        <v>10.780688522956583</v>
      </c>
      <c r="AT78" s="29">
        <v>10.816537786417612</v>
      </c>
      <c r="AU78" s="29">
        <v>10.895741726845046</v>
      </c>
      <c r="AV78" s="29">
        <v>10.980851770450174</v>
      </c>
      <c r="AW78" s="29">
        <v>11.066154926057711</v>
      </c>
      <c r="AX78" s="29">
        <v>11.151840980973798</v>
      </c>
      <c r="AY78" s="29">
        <v>11.237914935792908</v>
      </c>
      <c r="AZ78" s="29">
        <v>11.324374485465844</v>
      </c>
      <c r="BA78" s="29">
        <v>11.411210932456344</v>
      </c>
      <c r="BB78" s="29">
        <v>11.498410333468069</v>
      </c>
      <c r="BC78" s="29">
        <v>11.585954723284658</v>
      </c>
      <c r="BD78" s="29">
        <v>11.673823295708475</v>
      </c>
      <c r="BE78" s="29">
        <v>11.761993435655384</v>
      </c>
      <c r="BF78" s="29">
        <v>11.850441252046114</v>
      </c>
      <c r="BG78" s="29">
        <v>11.939141777728906</v>
      </c>
      <c r="BH78" s="29">
        <v>12.028069118089878</v>
      </c>
      <c r="BI78" s="29">
        <v>12.117196554959166</v>
      </c>
      <c r="BJ78" s="29">
        <v>12.206292938126122</v>
      </c>
      <c r="BK78" s="29">
        <v>12.295351934906957</v>
      </c>
      <c r="BL78" s="29">
        <v>12.384367231887859</v>
      </c>
      <c r="BM78" s="29">
        <v>12.473332536131748</v>
      </c>
      <c r="BN78" s="29">
        <v>12.562241576394108</v>
      </c>
      <c r="BO78" s="29">
        <v>12.651088104345956</v>
      </c>
      <c r="BP78" s="29">
        <v>12.73986589580413</v>
      </c>
      <c r="BQ78" s="29">
        <v>12.828568751968525</v>
      </c>
      <c r="BR78" s="29">
        <v>12.917190500663924</v>
      </c>
      <c r="BS78" s="29">
        <v>13.005724997586952</v>
      </c>
      <c r="BT78" s="30">
        <v>13.094166127556655</v>
      </c>
      <c r="BU78" s="29">
        <v>13.182507805768296</v>
      </c>
      <c r="BV78" s="29">
        <v>13.270743979047548</v>
      </c>
      <c r="BW78" s="29">
        <v>13.358868627107642</v>
      </c>
      <c r="BX78" s="29">
        <v>13.446875763804471</v>
      </c>
      <c r="BY78" s="29">
        <v>13.534759438391532</v>
      </c>
      <c r="BZ78" s="29">
        <v>13.622513736772387</v>
      </c>
      <c r="CA78" s="29">
        <v>13.710132782749735</v>
      </c>
      <c r="CB78" s="29">
        <v>13.797610739270626</v>
      </c>
      <c r="CC78" s="29">
        <v>13.88494180966515</v>
      </c>
      <c r="CD78" s="29">
        <v>13.972120238880334</v>
      </c>
      <c r="CE78" s="29">
        <v>14.059140314704809</v>
      </c>
      <c r="CF78" s="29">
        <v>14.145996368986372</v>
      </c>
      <c r="CG78" s="29">
        <v>14.23268277883845</v>
      </c>
      <c r="CH78" s="29">
        <v>14.319193967837021</v>
      </c>
      <c r="CI78" s="29">
        <v>14.405524407204927</v>
      </c>
      <c r="CJ78" s="29">
        <v>14.491668616983983</v>
      </c>
      <c r="CK78" s="29">
        <v>14.577621167192731</v>
      </c>
      <c r="CL78" s="29">
        <v>14.663376678968913</v>
      </c>
      <c r="CM78" s="29">
        <v>14.74892982569739</v>
      </c>
      <c r="CN78" s="29">
        <v>14.834275334120175</v>
      </c>
      <c r="CO78" s="29">
        <v>14.919407985428274</v>
      </c>
      <c r="CP78" s="29">
        <v>15.004322616335806</v>
      </c>
      <c r="CQ78" s="29">
        <v>15.089014120133287</v>
      </c>
      <c r="CR78" s="29">
        <v>15.173477447721588</v>
      </c>
      <c r="CS78" s="29">
        <v>15.257707608623312</v>
      </c>
      <c r="CT78" s="29">
        <v>15.341699671971444</v>
      </c>
      <c r="CU78" s="29">
        <v>15.425448767476913</v>
      </c>
      <c r="CV78" s="29">
        <v>15.508950086370112</v>
      </c>
      <c r="CW78" s="29">
        <v>15.592198882318508</v>
      </c>
      <c r="CX78" s="29">
        <v>15.675190472319438</v>
      </c>
      <c r="CY78" s="29">
        <v>15.757920237565449</v>
      </c>
      <c r="CZ78" s="29">
        <v>15.840383624284065</v>
      </c>
      <c r="DA78" s="29">
        <v>15.922576144550325</v>
      </c>
      <c r="DB78" s="29">
        <v>16.00449337707008</v>
      </c>
      <c r="DC78" s="29">
        <v>16.086130967935606</v>
      </c>
      <c r="DD78" s="29">
        <v>16.167484631352472</v>
      </c>
      <c r="DE78" s="29">
        <v>16.248550150336882</v>
      </c>
      <c r="DF78" s="29">
        <v>16.329323377381861</v>
      </c>
      <c r="DG78" s="29">
        <v>16.409800235094927</v>
      </c>
      <c r="DH78" s="29">
        <v>16.489976716803639</v>
      </c>
      <c r="DI78" s="29">
        <v>16.56984888713091</v>
      </c>
      <c r="DJ78" s="29">
        <v>16.649412882538932</v>
      </c>
      <c r="DK78" s="29">
        <v>16.728664911840667</v>
      </c>
      <c r="DL78" s="29">
        <v>16.807601256681146</v>
      </c>
      <c r="DM78" s="29">
        <v>16.886218271984752</v>
      </c>
      <c r="DN78" s="29">
        <v>16.964512386372657</v>
      </c>
      <c r="DO78" s="29">
        <v>17.042480102546044</v>
      </c>
      <c r="DP78" s="29">
        <v>17.120117997638339</v>
      </c>
      <c r="DQ78" s="29">
        <v>17.197422723534359</v>
      </c>
      <c r="DR78" s="29">
        <v>17.274391007157082</v>
      </c>
      <c r="DS78">
        <v>17.351019650723558</v>
      </c>
      <c r="DT78">
        <v>17.42730553196585</v>
      </c>
      <c r="DU78">
        <v>17.503245604322316</v>
      </c>
    </row>
    <row r="79" spans="1:125">
      <c r="A79" s="27">
        <v>77</v>
      </c>
      <c r="B79" s="28"/>
      <c r="C79" s="28"/>
      <c r="D79" s="28"/>
      <c r="E79" s="28"/>
      <c r="F79" s="28"/>
      <c r="G79" s="28"/>
      <c r="H79" s="28"/>
      <c r="I79" s="28"/>
      <c r="J79" s="28"/>
      <c r="K79" s="28"/>
      <c r="L79" s="28"/>
      <c r="M79" s="28"/>
      <c r="N79" s="28"/>
      <c r="O79" s="28"/>
      <c r="P79" s="28"/>
      <c r="Q79" s="28"/>
      <c r="R79" s="28"/>
      <c r="S79" s="28"/>
      <c r="T79" s="28"/>
      <c r="U79" s="28"/>
      <c r="V79" s="29"/>
      <c r="W79" s="29">
        <v>8.7200000000000006</v>
      </c>
      <c r="X79" s="29">
        <v>8.83</v>
      </c>
      <c r="Y79" s="29">
        <v>8.9048110351637071</v>
      </c>
      <c r="Z79" s="29">
        <v>9.0457476564913701</v>
      </c>
      <c r="AA79" s="29">
        <v>9.0989244792828412</v>
      </c>
      <c r="AB79" s="29">
        <v>9.1867037635328046</v>
      </c>
      <c r="AC79" s="29">
        <v>9.1914671329701338</v>
      </c>
      <c r="AD79" s="29">
        <v>9.1983462267528768</v>
      </c>
      <c r="AE79" s="29">
        <v>9.2354841040071793</v>
      </c>
      <c r="AF79" s="29">
        <v>9.3216081712815999</v>
      </c>
      <c r="AG79" s="29">
        <v>9.4026762426902426</v>
      </c>
      <c r="AH79" s="29">
        <v>9.4755893886891389</v>
      </c>
      <c r="AI79" s="29">
        <v>9.5655549895013419</v>
      </c>
      <c r="AJ79" s="29">
        <v>9.6692825667546991</v>
      </c>
      <c r="AK79" s="29">
        <v>9.7543037516825368</v>
      </c>
      <c r="AL79" s="29">
        <v>9.8633280202131761</v>
      </c>
      <c r="AM79" s="29">
        <v>9.9194411601497325</v>
      </c>
      <c r="AN79" s="29">
        <v>9.9629151463818637</v>
      </c>
      <c r="AO79" s="29">
        <v>10.012727692257513</v>
      </c>
      <c r="AP79" s="29">
        <v>10.041087916020023</v>
      </c>
      <c r="AQ79" s="29">
        <v>10.099908650519163</v>
      </c>
      <c r="AR79" s="29">
        <v>10.139625840850146</v>
      </c>
      <c r="AS79" s="29">
        <v>10.170149744424711</v>
      </c>
      <c r="AT79" s="29">
        <v>10.234586452940285</v>
      </c>
      <c r="AU79" s="29">
        <v>10.318614533475181</v>
      </c>
      <c r="AV79" s="29">
        <v>10.399397778626469</v>
      </c>
      <c r="AW79" s="29">
        <v>10.480584373426376</v>
      </c>
      <c r="AX79" s="29">
        <v>10.562187369283308</v>
      </c>
      <c r="AY79" s="29">
        <v>10.644211745458271</v>
      </c>
      <c r="AZ79" s="29">
        <v>10.726654892846227</v>
      </c>
      <c r="BA79" s="29">
        <v>10.809507585118759</v>
      </c>
      <c r="BB79" s="29">
        <v>10.892755186905857</v>
      </c>
      <c r="BC79" s="29">
        <v>10.976378936298383</v>
      </c>
      <c r="BD79" s="29">
        <v>11.060357177500705</v>
      </c>
      <c r="BE79" s="29">
        <v>11.144666434609896</v>
      </c>
      <c r="BF79" s="29">
        <v>11.229281965403329</v>
      </c>
      <c r="BG79" s="29">
        <v>11.314177969143417</v>
      </c>
      <c r="BH79" s="29">
        <v>11.399327740610749</v>
      </c>
      <c r="BI79" s="29">
        <v>11.484476662632687</v>
      </c>
      <c r="BJ79" s="29">
        <v>11.569618614395633</v>
      </c>
      <c r="BK79" s="29">
        <v>11.654747484290345</v>
      </c>
      <c r="BL79" s="29">
        <v>11.739857171200086</v>
      </c>
      <c r="BM79" s="29">
        <v>11.824941585800621</v>
      </c>
      <c r="BN79" s="29">
        <v>11.90999465187099</v>
      </c>
      <c r="BO79" s="29">
        <v>11.99501030761297</v>
      </c>
      <c r="BP79" s="29">
        <v>12.079982506979327</v>
      </c>
      <c r="BQ79" s="29">
        <v>12.164905221010375</v>
      </c>
      <c r="BR79" s="29">
        <v>12.249772439176299</v>
      </c>
      <c r="BS79" s="29">
        <v>12.334578170725761</v>
      </c>
      <c r="BT79" s="30">
        <v>12.419316446039124</v>
      </c>
      <c r="BU79" s="29">
        <v>12.503981317985815</v>
      </c>
      <c r="BV79" s="29">
        <v>12.588566863282862</v>
      </c>
      <c r="BW79" s="29">
        <v>12.673067183857183</v>
      </c>
      <c r="BX79" s="29">
        <v>12.757476408206394</v>
      </c>
      <c r="BY79" s="29">
        <v>12.841788692760058</v>
      </c>
      <c r="BZ79" s="29">
        <v>12.925998223238933</v>
      </c>
      <c r="CA79" s="29">
        <v>13.010099216011197</v>
      </c>
      <c r="CB79" s="29">
        <v>13.094085919445199</v>
      </c>
      <c r="CC79" s="29">
        <v>13.17795261525591</v>
      </c>
      <c r="CD79" s="29">
        <v>13.261693619846815</v>
      </c>
      <c r="CE79" s="29">
        <v>13.345303285642688</v>
      </c>
      <c r="CF79" s="29">
        <v>13.42877600241537</v>
      </c>
      <c r="CG79" s="29">
        <v>13.512106198598483</v>
      </c>
      <c r="CH79" s="29">
        <v>13.595288342592539</v>
      </c>
      <c r="CI79" s="29">
        <v>13.678316944057435</v>
      </c>
      <c r="CJ79" s="29">
        <v>13.761186555192561</v>
      </c>
      <c r="CK79" s="29">
        <v>13.843891772002451</v>
      </c>
      <c r="CL79" s="29">
        <v>13.926427235546891</v>
      </c>
      <c r="CM79" s="29">
        <v>14.008787633176306</v>
      </c>
      <c r="CN79" s="29">
        <v>14.090967699748909</v>
      </c>
      <c r="CO79" s="29">
        <v>14.17296221882939</v>
      </c>
      <c r="CP79" s="29">
        <v>14.254766023869534</v>
      </c>
      <c r="CQ79" s="29">
        <v>14.336373999367591</v>
      </c>
      <c r="CR79" s="29">
        <v>14.417781082007963</v>
      </c>
      <c r="CS79" s="29">
        <v>14.498982261777835</v>
      </c>
      <c r="CT79" s="29">
        <v>14.579972583060623</v>
      </c>
      <c r="CU79" s="29">
        <v>14.660747145707857</v>
      </c>
      <c r="CV79" s="29">
        <v>14.741301106084496</v>
      </c>
      <c r="CW79" s="29">
        <v>14.821629678089804</v>
      </c>
      <c r="CX79" s="29">
        <v>14.901728134152854</v>
      </c>
      <c r="CY79" s="29">
        <v>14.981591806199992</v>
      </c>
      <c r="CZ79" s="29">
        <v>15.061216086596124</v>
      </c>
      <c r="DA79" s="29">
        <v>15.140596429058171</v>
      </c>
      <c r="DB79" s="29">
        <v>15.21972834953865</v>
      </c>
      <c r="DC79" s="29">
        <v>15.298607427080874</v>
      </c>
      <c r="DD79" s="29">
        <v>15.3772293046448</v>
      </c>
      <c r="DE79" s="29">
        <v>15.455589689902608</v>
      </c>
      <c r="DF79" s="29">
        <v>15.533684356002468</v>
      </c>
      <c r="DG79" s="29">
        <v>15.611509142303049</v>
      </c>
      <c r="DH79" s="29">
        <v>15.689059955075164</v>
      </c>
      <c r="DI79" s="29">
        <v>15.766332768172465</v>
      </c>
      <c r="DJ79" s="29">
        <v>15.84332362366999</v>
      </c>
      <c r="DK79" s="29">
        <v>15.920028632469462</v>
      </c>
      <c r="DL79" s="29">
        <v>15.996443974873667</v>
      </c>
      <c r="DM79" s="29">
        <v>16.072565901125991</v>
      </c>
      <c r="DN79" s="29">
        <v>16.148390731919307</v>
      </c>
      <c r="DO79" s="29">
        <v>16.22391485886984</v>
      </c>
      <c r="DP79" s="29">
        <v>16.299134744959211</v>
      </c>
      <c r="DQ79" s="29">
        <v>16.374046924942526</v>
      </c>
      <c r="DR79" s="29">
        <v>16.4486480057233</v>
      </c>
      <c r="DS79">
        <v>16.522934666696585</v>
      </c>
      <c r="DT79">
        <v>16.596903660056338</v>
      </c>
      <c r="DU79">
        <v>16.67055181107219</v>
      </c>
    </row>
    <row r="80" spans="1:125">
      <c r="A80" s="27">
        <v>78</v>
      </c>
      <c r="B80" s="28"/>
      <c r="C80" s="28"/>
      <c r="D80" s="28"/>
      <c r="E80" s="28"/>
      <c r="F80" s="28"/>
      <c r="G80" s="28"/>
      <c r="H80" s="28"/>
      <c r="I80" s="28"/>
      <c r="J80" s="28"/>
      <c r="K80" s="28"/>
      <c r="L80" s="28"/>
      <c r="M80" s="28"/>
      <c r="N80" s="28"/>
      <c r="O80" s="28"/>
      <c r="P80" s="28"/>
      <c r="Q80" s="28"/>
      <c r="R80" s="28"/>
      <c r="S80" s="28"/>
      <c r="T80" s="28"/>
      <c r="U80" s="28"/>
      <c r="V80" s="29"/>
      <c r="W80" s="29">
        <v>8.27</v>
      </c>
      <c r="X80" s="29">
        <v>8.36</v>
      </c>
      <c r="Y80" s="29">
        <v>8.4240789506045655</v>
      </c>
      <c r="Z80" s="29">
        <v>8.5573879738805392</v>
      </c>
      <c r="AA80" s="29">
        <v>8.6120011963317005</v>
      </c>
      <c r="AB80" s="29">
        <v>8.6791427338784821</v>
      </c>
      <c r="AC80" s="29">
        <v>8.6841206218561435</v>
      </c>
      <c r="AD80" s="29">
        <v>8.6770246836234097</v>
      </c>
      <c r="AE80" s="29">
        <v>8.7028518560584818</v>
      </c>
      <c r="AF80" s="29">
        <v>8.7871190870722522</v>
      </c>
      <c r="AG80" s="29">
        <v>8.8667440389116674</v>
      </c>
      <c r="AH80" s="29">
        <v>8.9196632136253236</v>
      </c>
      <c r="AI80" s="29">
        <v>9.0171976602280992</v>
      </c>
      <c r="AJ80" s="29">
        <v>9.1077443340177524</v>
      </c>
      <c r="AK80" s="29">
        <v>9.1893135880629071</v>
      </c>
      <c r="AL80" s="29">
        <v>9.2724418102633468</v>
      </c>
      <c r="AM80" s="29">
        <v>9.331674043862991</v>
      </c>
      <c r="AN80" s="29">
        <v>9.3699812320128224</v>
      </c>
      <c r="AO80" s="29">
        <v>9.4190103243872727</v>
      </c>
      <c r="AP80" s="29">
        <v>9.4458117386698959</v>
      </c>
      <c r="AQ80" s="29">
        <v>9.498329058386549</v>
      </c>
      <c r="AR80" s="29">
        <v>9.5335109961584497</v>
      </c>
      <c r="AS80" s="29">
        <v>9.6016102747544014</v>
      </c>
      <c r="AT80" s="29">
        <v>9.6713592128099268</v>
      </c>
      <c r="AU80" s="29">
        <v>9.7476969693448137</v>
      </c>
      <c r="AV80" s="29">
        <v>9.8244487357442409</v>
      </c>
      <c r="AW80" s="29">
        <v>9.9016360929700582</v>
      </c>
      <c r="AX80" s="29">
        <v>9.9792723794879183</v>
      </c>
      <c r="AY80" s="29">
        <v>10.057362500051729</v>
      </c>
      <c r="AZ80" s="29">
        <v>10.135903459002764</v>
      </c>
      <c r="BA80" s="29">
        <v>10.214885396457255</v>
      </c>
      <c r="BB80" s="29">
        <v>10.294292865253846</v>
      </c>
      <c r="BC80" s="29">
        <v>10.374106178966938</v>
      </c>
      <c r="BD80" s="29">
        <v>10.454302702201435</v>
      </c>
      <c r="BE80" s="29">
        <v>10.534857970737118</v>
      </c>
      <c r="BF80" s="29">
        <v>10.615746268436759</v>
      </c>
      <c r="BG80" s="29">
        <v>10.696940843637531</v>
      </c>
      <c r="BH80" s="29">
        <v>10.778162014572178</v>
      </c>
      <c r="BI80" s="29">
        <v>10.859403895975955</v>
      </c>
      <c r="BJ80" s="29">
        <v>10.940660602622115</v>
      </c>
      <c r="BK80" s="29">
        <v>11.0219262506624</v>
      </c>
      <c r="BL80" s="29">
        <v>11.103194958979426</v>
      </c>
      <c r="BM80" s="29">
        <v>11.184460850552655</v>
      </c>
      <c r="BN80" s="29">
        <v>11.2657180538368</v>
      </c>
      <c r="BO80" s="29">
        <v>11.346960704150412</v>
      </c>
      <c r="BP80" s="29">
        <v>11.428182945074742</v>
      </c>
      <c r="BQ80" s="29">
        <v>11.509378929862223</v>
      </c>
      <c r="BR80" s="29">
        <v>11.590542822851994</v>
      </c>
      <c r="BS80" s="29">
        <v>11.671668800892856</v>
      </c>
      <c r="BT80" s="30">
        <v>11.752751054771972</v>
      </c>
      <c r="BU80" s="29">
        <v>11.833783790648699</v>
      </c>
      <c r="BV80" s="29">
        <v>11.914761231490523</v>
      </c>
      <c r="BW80" s="29">
        <v>11.995677618513671</v>
      </c>
      <c r="BX80" s="29">
        <v>12.076527212622979</v>
      </c>
      <c r="BY80" s="29">
        <v>12.157304295853002</v>
      </c>
      <c r="BZ80" s="29">
        <v>12.238003172807769</v>
      </c>
      <c r="CA80" s="29">
        <v>12.318618172098155</v>
      </c>
      <c r="CB80" s="29">
        <v>12.399143647776349</v>
      </c>
      <c r="CC80" s="29">
        <v>12.479573980764529</v>
      </c>
      <c r="CD80" s="29">
        <v>12.559903580279464</v>
      </c>
      <c r="CE80" s="29">
        <v>12.640126885248401</v>
      </c>
      <c r="CF80" s="29">
        <v>12.720238365718368</v>
      </c>
      <c r="CG80" s="29">
        <v>12.800232524254691</v>
      </c>
      <c r="CH80" s="29">
        <v>12.880103897330271</v>
      </c>
      <c r="CI80" s="29">
        <v>12.95984705670244</v>
      </c>
      <c r="CJ80" s="29">
        <v>13.039456610777714</v>
      </c>
      <c r="CK80" s="29">
        <v>13.118927205962221</v>
      </c>
      <c r="CL80" s="29">
        <v>13.198253527996769</v>
      </c>
      <c r="CM80" s="29">
        <v>13.277430303277313</v>
      </c>
      <c r="CN80" s="29">
        <v>13.356452300157299</v>
      </c>
      <c r="CO80" s="29">
        <v>13.435314330231552</v>
      </c>
      <c r="CP80" s="29">
        <v>13.514011249602206</v>
      </c>
      <c r="CQ80" s="29">
        <v>13.592537960123348</v>
      </c>
      <c r="CR80" s="29">
        <v>13.670889410625994</v>
      </c>
      <c r="CS80" s="29">
        <v>13.749060598119964</v>
      </c>
      <c r="CT80" s="29">
        <v>13.827046568972506</v>
      </c>
      <c r="CU80" s="29">
        <v>13.904842420065288</v>
      </c>
      <c r="CV80" s="29">
        <v>13.982443299924727</v>
      </c>
      <c r="CW80" s="29">
        <v>14.059844409827743</v>
      </c>
      <c r="CX80" s="29">
        <v>14.137041004881997</v>
      </c>
      <c r="CY80" s="29">
        <v>14.214028395077946</v>
      </c>
      <c r="CZ80" s="29">
        <v>14.290801946314513</v>
      </c>
      <c r="DA80" s="29">
        <v>14.367357081396786</v>
      </c>
      <c r="DB80" s="29">
        <v>14.443689281003532</v>
      </c>
      <c r="DC80" s="29">
        <v>14.519794084626193</v>
      </c>
      <c r="DD80" s="29">
        <v>14.595667091478219</v>
      </c>
      <c r="DE80" s="29">
        <v>14.671303961373912</v>
      </c>
      <c r="DF80" s="29">
        <v>14.746700415575116</v>
      </c>
      <c r="DG80" s="29">
        <v>14.821852237608397</v>
      </c>
      <c r="DH80" s="29">
        <v>14.896755274049047</v>
      </c>
      <c r="DI80" s="29">
        <v>14.97140543527377</v>
      </c>
      <c r="DJ80" s="29">
        <v>15.045798696180912</v>
      </c>
      <c r="DK80" s="29">
        <v>15.119931096877041</v>
      </c>
      <c r="DL80" s="29">
        <v>15.193798743332293</v>
      </c>
      <c r="DM80" s="29">
        <v>15.267397808000384</v>
      </c>
      <c r="DN80" s="29">
        <v>15.340724530407716</v>
      </c>
      <c r="DO80" s="29">
        <v>15.413775217706853</v>
      </c>
      <c r="DP80" s="29">
        <v>15.486546245197911</v>
      </c>
      <c r="DQ80" s="29">
        <v>15.559034056815429</v>
      </c>
      <c r="DR80" s="29">
        <v>15.631235165581661</v>
      </c>
      <c r="DS80">
        <v>15.703146154027589</v>
      </c>
      <c r="DT80">
        <v>15.774763674577651</v>
      </c>
      <c r="DU80">
        <v>15.846084449903394</v>
      </c>
    </row>
    <row r="81" spans="1:125">
      <c r="A81" s="27">
        <v>79</v>
      </c>
      <c r="B81" s="28"/>
      <c r="C81" s="28"/>
      <c r="D81" s="28"/>
      <c r="E81" s="28"/>
      <c r="F81" s="28"/>
      <c r="G81" s="28"/>
      <c r="H81" s="28"/>
      <c r="I81" s="28"/>
      <c r="J81" s="28"/>
      <c r="K81" s="28"/>
      <c r="L81" s="28"/>
      <c r="M81" s="28"/>
      <c r="N81" s="28"/>
      <c r="O81" s="28"/>
      <c r="P81" s="28"/>
      <c r="Q81" s="28"/>
      <c r="R81" s="28"/>
      <c r="S81" s="28"/>
      <c r="T81" s="28"/>
      <c r="U81" s="28"/>
      <c r="V81" s="29"/>
      <c r="W81" s="29">
        <v>7.83</v>
      </c>
      <c r="X81" s="29">
        <v>7.89</v>
      </c>
      <c r="Y81" s="29">
        <v>7.9566918399146509</v>
      </c>
      <c r="Z81" s="29">
        <v>8.0906123275626793</v>
      </c>
      <c r="AA81" s="29">
        <v>8.1293981555377641</v>
      </c>
      <c r="AB81" s="29">
        <v>8.1801144623415603</v>
      </c>
      <c r="AC81" s="29">
        <v>8.1822193254835245</v>
      </c>
      <c r="AD81" s="29">
        <v>8.1643503405550728</v>
      </c>
      <c r="AE81" s="29">
        <v>8.1951900107244668</v>
      </c>
      <c r="AF81" s="29">
        <v>8.2733329235357633</v>
      </c>
      <c r="AG81" s="29">
        <v>8.3357863817717561</v>
      </c>
      <c r="AH81" s="29">
        <v>8.3902731541840385</v>
      </c>
      <c r="AI81" s="29">
        <v>8.4757618386248783</v>
      </c>
      <c r="AJ81" s="29">
        <v>8.5607463509312076</v>
      </c>
      <c r="AK81" s="29">
        <v>8.6169413969189161</v>
      </c>
      <c r="AL81" s="29">
        <v>8.7102370598019512</v>
      </c>
      <c r="AM81" s="29">
        <v>8.7563519836244605</v>
      </c>
      <c r="AN81" s="29">
        <v>8.7978367857324482</v>
      </c>
      <c r="AO81" s="29">
        <v>8.8376506316560075</v>
      </c>
      <c r="AP81" s="29">
        <v>8.8589021350318422</v>
      </c>
      <c r="AQ81" s="29">
        <v>8.9096826659285462</v>
      </c>
      <c r="AR81" s="29">
        <v>8.9726668521655863</v>
      </c>
      <c r="AS81" s="29">
        <v>9.0399806060742254</v>
      </c>
      <c r="AT81" s="29">
        <v>9.1119594645518092</v>
      </c>
      <c r="AU81" s="29">
        <v>9.184353118798704</v>
      </c>
      <c r="AV81" s="29">
        <v>9.2571916373029808</v>
      </c>
      <c r="AW81" s="29">
        <v>9.330497296130611</v>
      </c>
      <c r="AX81" s="29">
        <v>9.4042836991941527</v>
      </c>
      <c r="AY81" s="29">
        <v>9.4785556128881101</v>
      </c>
      <c r="AZ81" s="29">
        <v>9.5533095556976146</v>
      </c>
      <c r="BA81" s="29">
        <v>9.6285349079959044</v>
      </c>
      <c r="BB81" s="29">
        <v>9.7042152666005848</v>
      </c>
      <c r="BC81" s="29">
        <v>9.7803298665612122</v>
      </c>
      <c r="BD81" s="29">
        <v>9.8568549362332973</v>
      </c>
      <c r="BE81" s="29">
        <v>9.9337648694102825</v>
      </c>
      <c r="BF81" s="29">
        <v>10.011032828014187</v>
      </c>
      <c r="BG81" s="29">
        <v>10.088351995341952</v>
      </c>
      <c r="BH81" s="29">
        <v>10.165716742558233</v>
      </c>
      <c r="BI81" s="29">
        <v>10.243121432639436</v>
      </c>
      <c r="BJ81" s="29">
        <v>10.320560421734102</v>
      </c>
      <c r="BK81" s="29">
        <v>10.398028060541645</v>
      </c>
      <c r="BL81" s="29">
        <v>10.47551869570459</v>
      </c>
      <c r="BM81" s="29">
        <v>10.553026671216044</v>
      </c>
      <c r="BN81" s="29">
        <v>10.630546329841087</v>
      </c>
      <c r="BO81" s="29">
        <v>10.708072014549824</v>
      </c>
      <c r="BP81" s="29">
        <v>10.78559806996202</v>
      </c>
      <c r="BQ81" s="29">
        <v>10.863118843802726</v>
      </c>
      <c r="BR81" s="29">
        <v>10.940628688366134</v>
      </c>
      <c r="BS81" s="29">
        <v>11.01812196198806</v>
      </c>
      <c r="BT81" s="30">
        <v>11.09559303052527</v>
      </c>
      <c r="BU81" s="29">
        <v>11.17303626884104</v>
      </c>
      <c r="BV81" s="29">
        <v>11.250446062293744</v>
      </c>
      <c r="BW81" s="29">
        <v>11.327816808231164</v>
      </c>
      <c r="BX81" s="29">
        <v>11.405142917484897</v>
      </c>
      <c r="BY81" s="29">
        <v>11.4824188158669</v>
      </c>
      <c r="BZ81" s="29">
        <v>11.559638945665467</v>
      </c>
      <c r="CA81" s="29">
        <v>11.636797767139651</v>
      </c>
      <c r="CB81" s="29">
        <v>11.713889760011469</v>
      </c>
      <c r="CC81" s="29">
        <v>11.790909424953027</v>
      </c>
      <c r="CD81" s="29">
        <v>11.86785128507027</v>
      </c>
      <c r="CE81" s="29">
        <v>11.944709887378609</v>
      </c>
      <c r="CF81" s="29">
        <v>12.021479804272605</v>
      </c>
      <c r="CG81" s="29">
        <v>12.098155634985405</v>
      </c>
      <c r="CH81" s="29">
        <v>12.1747320070395</v>
      </c>
      <c r="CI81" s="29">
        <v>12.251203577685594</v>
      </c>
      <c r="CJ81" s="29">
        <v>12.327565035329835</v>
      </c>
      <c r="CK81" s="29">
        <v>12.40381110094722</v>
      </c>
      <c r="CL81" s="29">
        <v>12.479936529480041</v>
      </c>
      <c r="CM81" s="29">
        <v>12.555936111222209</v>
      </c>
      <c r="CN81" s="29">
        <v>12.631804673185819</v>
      </c>
      <c r="CO81" s="29">
        <v>12.707537080449645</v>
      </c>
      <c r="CP81" s="29">
        <v>12.783128237490059</v>
      </c>
      <c r="CQ81" s="29">
        <v>12.85857308949098</v>
      </c>
      <c r="CR81" s="29">
        <v>12.933866623634506</v>
      </c>
      <c r="CS81" s="29">
        <v>13.009003870368732</v>
      </c>
      <c r="CT81" s="29">
        <v>13.083979904652592</v>
      </c>
      <c r="CU81" s="29">
        <v>13.158789847179408</v>
      </c>
      <c r="CV81" s="29">
        <v>13.23342886557395</v>
      </c>
      <c r="CW81" s="29">
        <v>13.307892175565199</v>
      </c>
      <c r="CX81" s="29">
        <v>13.382175042133824</v>
      </c>
      <c r="CY81" s="29">
        <v>13.456272780631668</v>
      </c>
      <c r="CZ81" s="29">
        <v>13.530180757875028</v>
      </c>
      <c r="DA81" s="29">
        <v>13.603894393210178</v>
      </c>
      <c r="DB81" s="29">
        <v>13.677409159548821</v>
      </c>
      <c r="DC81" s="29">
        <v>13.750720584375197</v>
      </c>
      <c r="DD81" s="29">
        <v>13.823824250723636</v>
      </c>
      <c r="DE81" s="29">
        <v>13.896715798125749</v>
      </c>
      <c r="DF81" s="29">
        <v>13.969390923525546</v>
      </c>
      <c r="DG81" s="29">
        <v>14.041845382165141</v>
      </c>
      <c r="DH81" s="29">
        <v>14.114074988437309</v>
      </c>
      <c r="DI81" s="29">
        <v>14.18607561670683</v>
      </c>
      <c r="DJ81" s="29">
        <v>14.257843202099348</v>
      </c>
      <c r="DK81" s="29">
        <v>14.329373741256626</v>
      </c>
      <c r="DL81" s="29">
        <v>14.400663293060562</v>
      </c>
      <c r="DM81" s="29">
        <v>14.471707979321856</v>
      </c>
      <c r="DN81" s="29">
        <v>14.542503985437705</v>
      </c>
      <c r="DO81" s="29">
        <v>14.613047561013857</v>
      </c>
      <c r="DP81" s="29">
        <v>14.683335020454489</v>
      </c>
      <c r="DQ81" s="29">
        <v>14.753362743517476</v>
      </c>
      <c r="DR81" s="29">
        <v>14.823127175835955</v>
      </c>
      <c r="DS81">
        <v>14.892624829407575</v>
      </c>
      <c r="DT81">
        <v>14.961852283047193</v>
      </c>
      <c r="DU81">
        <v>15.030806182808439</v>
      </c>
    </row>
    <row r="82" spans="1:125">
      <c r="A82" s="27">
        <v>80</v>
      </c>
      <c r="B82" s="28"/>
      <c r="C82" s="28"/>
      <c r="D82" s="28"/>
      <c r="E82" s="28"/>
      <c r="F82" s="28"/>
      <c r="G82" s="28"/>
      <c r="H82" s="28"/>
      <c r="I82" s="28"/>
      <c r="J82" s="28"/>
      <c r="K82" s="28"/>
      <c r="L82" s="28"/>
      <c r="M82" s="28"/>
      <c r="N82" s="28"/>
      <c r="O82" s="28"/>
      <c r="P82" s="28"/>
      <c r="Q82" s="28"/>
      <c r="R82" s="28"/>
      <c r="S82" s="28"/>
      <c r="T82" s="28"/>
      <c r="U82" s="28"/>
      <c r="V82" s="29"/>
      <c r="W82" s="29">
        <v>7.38</v>
      </c>
      <c r="X82" s="29">
        <v>7.43</v>
      </c>
      <c r="Y82" s="29">
        <v>7.514316178434024</v>
      </c>
      <c r="Z82" s="29">
        <v>7.6199203131155819</v>
      </c>
      <c r="AA82" s="29">
        <v>7.6532756491976066</v>
      </c>
      <c r="AB82" s="29">
        <v>7.6863938614267555</v>
      </c>
      <c r="AC82" s="29">
        <v>7.6698969646941846</v>
      </c>
      <c r="AD82" s="29">
        <v>7.667811541902342</v>
      </c>
      <c r="AE82" s="29">
        <v>7.6991396543367614</v>
      </c>
      <c r="AF82" s="29">
        <v>7.761221806808706</v>
      </c>
      <c r="AG82" s="29">
        <v>7.8257483639228633</v>
      </c>
      <c r="AH82" s="29">
        <v>7.8707811051420382</v>
      </c>
      <c r="AI82" s="29">
        <v>7.9573497048523425</v>
      </c>
      <c r="AJ82" s="29">
        <v>8.0157106208048639</v>
      </c>
      <c r="AK82" s="29">
        <v>8.0772671743075684</v>
      </c>
      <c r="AL82" s="29">
        <v>8.1481286872847072</v>
      </c>
      <c r="AM82" s="29">
        <v>8.1986564365015493</v>
      </c>
      <c r="AN82" s="29">
        <v>8.239599251813857</v>
      </c>
      <c r="AO82" s="29">
        <v>8.2673270526183789</v>
      </c>
      <c r="AP82" s="29">
        <v>8.2835495505184564</v>
      </c>
      <c r="AQ82" s="29">
        <v>8.3602666215312489</v>
      </c>
      <c r="AR82" s="29">
        <v>8.4258005859553524</v>
      </c>
      <c r="AS82" s="29">
        <v>8.4935169223372391</v>
      </c>
      <c r="AT82" s="29">
        <v>8.561639422879967</v>
      </c>
      <c r="AU82" s="29">
        <v>8.6302059967978835</v>
      </c>
      <c r="AV82" s="29">
        <v>8.6992479168599655</v>
      </c>
      <c r="AW82" s="29">
        <v>8.7687881839381721</v>
      </c>
      <c r="AX82" s="29">
        <v>8.8388406408189137</v>
      </c>
      <c r="AY82" s="29">
        <v>8.9094098371133494</v>
      </c>
      <c r="AZ82" s="29">
        <v>8.9804916835971245</v>
      </c>
      <c r="BA82" s="29">
        <v>9.0520746461752744</v>
      </c>
      <c r="BB82" s="29">
        <v>9.1241411889112065</v>
      </c>
      <c r="BC82" s="29">
        <v>9.1966692797134577</v>
      </c>
      <c r="BD82" s="29">
        <v>9.2696338189124194</v>
      </c>
      <c r="BE82" s="29">
        <v>9.3430078702342492</v>
      </c>
      <c r="BF82" s="29">
        <v>9.4164548435221853</v>
      </c>
      <c r="BG82" s="29">
        <v>9.4899693846201174</v>
      </c>
      <c r="BH82" s="29">
        <v>9.5635461239189929</v>
      </c>
      <c r="BI82" s="29">
        <v>9.6371796777146379</v>
      </c>
      <c r="BJ82" s="29">
        <v>9.7108646495834012</v>
      </c>
      <c r="BK82" s="29">
        <v>9.7845956317777656</v>
      </c>
      <c r="BL82" s="29">
        <v>9.8583672066368404</v>
      </c>
      <c r="BM82" s="29">
        <v>9.9321739480135278</v>
      </c>
      <c r="BN82" s="29">
        <v>10.006010422716976</v>
      </c>
      <c r="BO82" s="29">
        <v>10.07987119196796</v>
      </c>
      <c r="BP82" s="29">
        <v>10.153750812867115</v>
      </c>
      <c r="BQ82" s="29">
        <v>10.227643839875372</v>
      </c>
      <c r="BR82" s="29">
        <v>10.301544826303747</v>
      </c>
      <c r="BS82" s="29">
        <v>10.375448325812924</v>
      </c>
      <c r="BT82" s="30">
        <v>10.449348893920702</v>
      </c>
      <c r="BU82" s="29">
        <v>10.523241089516775</v>
      </c>
      <c r="BV82" s="29">
        <v>10.59711947638149</v>
      </c>
      <c r="BW82" s="29">
        <v>10.670978624711354</v>
      </c>
      <c r="BX82" s="29">
        <v>10.744813112645542</v>
      </c>
      <c r="BY82" s="29">
        <v>10.818617527795466</v>
      </c>
      <c r="BZ82" s="29">
        <v>10.89238646877468</v>
      </c>
      <c r="CA82" s="29">
        <v>10.966114546728084</v>
      </c>
      <c r="CB82" s="29">
        <v>11.039796386859747</v>
      </c>
      <c r="CC82" s="29">
        <v>11.113426629956464</v>
      </c>
      <c r="CD82" s="29">
        <v>11.186999933908755</v>
      </c>
      <c r="CE82" s="29">
        <v>11.260510975224491</v>
      </c>
      <c r="CF82" s="29">
        <v>11.333954450537387</v>
      </c>
      <c r="CG82" s="29">
        <v>11.407325078105915</v>
      </c>
      <c r="CH82" s="29">
        <v>11.480617599304338</v>
      </c>
      <c r="CI82" s="29">
        <v>11.553826780102536</v>
      </c>
      <c r="CJ82" s="29">
        <v>11.626947412534895</v>
      </c>
      <c r="CK82" s="29">
        <v>11.699974316156053</v>
      </c>
      <c r="CL82" s="29">
        <v>11.772902339482355</v>
      </c>
      <c r="CM82" s="29">
        <v>11.845726361419873</v>
      </c>
      <c r="CN82" s="29">
        <v>11.918441292675277</v>
      </c>
      <c r="CO82" s="29">
        <v>11.9910420771493</v>
      </c>
      <c r="CP82" s="29">
        <v>12.063523693313227</v>
      </c>
      <c r="CQ82" s="29">
        <v>12.135881155565048</v>
      </c>
      <c r="CR82" s="29">
        <v>12.208109515566893</v>
      </c>
      <c r="CS82" s="29">
        <v>12.280203863560244</v>
      </c>
      <c r="CT82" s="29">
        <v>12.35215932965871</v>
      </c>
      <c r="CU82" s="29">
        <v>12.423971085120161</v>
      </c>
      <c r="CV82" s="29">
        <v>12.495634343592856</v>
      </c>
      <c r="CW82" s="29">
        <v>12.567144362337855</v>
      </c>
      <c r="CX82" s="29">
        <v>12.638496443426677</v>
      </c>
      <c r="CY82" s="29">
        <v>12.709685934911475</v>
      </c>
      <c r="CZ82" s="29">
        <v>12.780708231969538</v>
      </c>
      <c r="DA82" s="29">
        <v>12.851558778020523</v>
      </c>
      <c r="DB82" s="29">
        <v>12.92223306581411</v>
      </c>
      <c r="DC82" s="29">
        <v>12.992726638489755</v>
      </c>
      <c r="DD82" s="29">
        <v>13.063035090607409</v>
      </c>
      <c r="DE82" s="29">
        <v>13.133154069148267</v>
      </c>
      <c r="DF82" s="29">
        <v>13.203079274483898</v>
      </c>
      <c r="DG82" s="29">
        <v>13.27280646131638</v>
      </c>
      <c r="DH82" s="29">
        <v>13.342331439585685</v>
      </c>
      <c r="DI82" s="29">
        <v>13.411650075346255</v>
      </c>
      <c r="DJ82" s="29">
        <v>13.480758291611439</v>
      </c>
      <c r="DK82" s="29">
        <v>13.549652069164706</v>
      </c>
      <c r="DL82" s="29">
        <v>13.618327447339942</v>
      </c>
      <c r="DM82" s="29">
        <v>13.686780524766728</v>
      </c>
      <c r="DN82" s="29">
        <v>13.755007460084959</v>
      </c>
      <c r="DO82" s="29">
        <v>13.823004472624092</v>
      </c>
      <c r="DP82" s="29">
        <v>13.890767843050496</v>
      </c>
      <c r="DQ82" s="29">
        <v>13.958293913980464</v>
      </c>
      <c r="DR82" s="29">
        <v>14.025579090559694</v>
      </c>
      <c r="DS82">
        <v>14.092619841010764</v>
      </c>
      <c r="DT82">
        <v>14.159412697144129</v>
      </c>
      <c r="DU82">
        <v>14.225954254838266</v>
      </c>
    </row>
    <row r="83" spans="1:125">
      <c r="A83" s="27">
        <v>81</v>
      </c>
      <c r="B83" s="28"/>
      <c r="C83" s="28"/>
      <c r="D83" s="28"/>
      <c r="E83" s="28"/>
      <c r="F83" s="28"/>
      <c r="G83" s="28"/>
      <c r="H83" s="28"/>
      <c r="I83" s="28"/>
      <c r="J83" s="28"/>
      <c r="K83" s="28"/>
      <c r="L83" s="28"/>
      <c r="M83" s="28"/>
      <c r="N83" s="28"/>
      <c r="O83" s="28"/>
      <c r="P83" s="28"/>
      <c r="Q83" s="28"/>
      <c r="R83" s="28"/>
      <c r="S83" s="28"/>
      <c r="T83" s="28"/>
      <c r="U83" s="28"/>
      <c r="V83" s="29"/>
      <c r="W83" s="29">
        <v>6.95</v>
      </c>
      <c r="X83" s="29">
        <v>7.01</v>
      </c>
      <c r="Y83" s="29">
        <v>7.0696052622437406</v>
      </c>
      <c r="Z83" s="29">
        <v>7.1616398203604543</v>
      </c>
      <c r="AA83" s="29">
        <v>7.172920395662385</v>
      </c>
      <c r="AB83" s="29">
        <v>7.2040908432956483</v>
      </c>
      <c r="AC83" s="29">
        <v>7.1948563219269106</v>
      </c>
      <c r="AD83" s="29">
        <v>7.1948315680183503</v>
      </c>
      <c r="AE83" s="29">
        <v>7.206545301536134</v>
      </c>
      <c r="AF83" s="29">
        <v>7.2648535891877577</v>
      </c>
      <c r="AG83" s="29">
        <v>7.3205834079585692</v>
      </c>
      <c r="AH83" s="29">
        <v>7.3694445462723879</v>
      </c>
      <c r="AI83" s="29">
        <v>7.4313528552504957</v>
      </c>
      <c r="AJ83" s="29">
        <v>7.5013222312951013</v>
      </c>
      <c r="AK83" s="29">
        <v>7.5440946991632911</v>
      </c>
      <c r="AL83" s="29">
        <v>7.6150397969899695</v>
      </c>
      <c r="AM83" s="29">
        <v>7.6583142831501529</v>
      </c>
      <c r="AN83" s="29">
        <v>7.6870964226085094</v>
      </c>
      <c r="AO83" s="29">
        <v>7.710505143892493</v>
      </c>
      <c r="AP83" s="29">
        <v>7.7593307913664358</v>
      </c>
      <c r="AQ83" s="29">
        <v>7.8306393813750477</v>
      </c>
      <c r="AR83" s="29">
        <v>7.8941963527688515</v>
      </c>
      <c r="AS83" s="29">
        <v>7.9581424739296134</v>
      </c>
      <c r="AT83" s="29">
        <v>8.0225222123592754</v>
      </c>
      <c r="AU83" s="29">
        <v>8.0873752848580125</v>
      </c>
      <c r="AV83" s="29">
        <v>8.1527342749992826</v>
      </c>
      <c r="AW83" s="29">
        <v>8.218622944446631</v>
      </c>
      <c r="AX83" s="29">
        <v>8.2850553406028542</v>
      </c>
      <c r="AY83" s="29">
        <v>8.3520356974803427</v>
      </c>
      <c r="AZ83" s="29">
        <v>8.4195591653915862</v>
      </c>
      <c r="BA83" s="29">
        <v>8.4876131023110535</v>
      </c>
      <c r="BB83" s="29">
        <v>8.5561786189408977</v>
      </c>
      <c r="BC83" s="29">
        <v>8.6252321809013424</v>
      </c>
      <c r="BD83" s="29">
        <v>8.6947471216400292</v>
      </c>
      <c r="BE83" s="29">
        <v>8.7643537361747423</v>
      </c>
      <c r="BF83" s="29">
        <v>8.8340469606843985</v>
      </c>
      <c r="BG83" s="29">
        <v>8.9038217096079961</v>
      </c>
      <c r="BH83" s="29">
        <v>8.9736728769771954</v>
      </c>
      <c r="BI83" s="29">
        <v>9.0435953377697569</v>
      </c>
      <c r="BJ83" s="29">
        <v>9.1135839492820683</v>
      </c>
      <c r="BK83" s="29">
        <v>9.1836335525229611</v>
      </c>
      <c r="BL83" s="29">
        <v>9.2537389736235358</v>
      </c>
      <c r="BM83" s="29">
        <v>9.3238950252648802</v>
      </c>
      <c r="BN83" s="29">
        <v>9.3940965081222103</v>
      </c>
      <c r="BO83" s="29">
        <v>9.4643382123230211</v>
      </c>
      <c r="BP83" s="29">
        <v>9.5346149189191802</v>
      </c>
      <c r="BQ83" s="29">
        <v>9.6049214013722874</v>
      </c>
      <c r="BR83" s="29">
        <v>9.6752524270493812</v>
      </c>
      <c r="BS83" s="29">
        <v>9.7456027587294649</v>
      </c>
      <c r="BT83" s="30">
        <v>9.8159671561188606</v>
      </c>
      <c r="BU83" s="29">
        <v>9.8863403773748963</v>
      </c>
      <c r="BV83" s="29">
        <v>9.9567171806344348</v>
      </c>
      <c r="BW83" s="29">
        <v>10.027092325550191</v>
      </c>
      <c r="BX83" s="29">
        <v>10.097460574828867</v>
      </c>
      <c r="BY83" s="29">
        <v>10.167816695773324</v>
      </c>
      <c r="BZ83" s="29">
        <v>10.238155461825944</v>
      </c>
      <c r="CA83" s="29">
        <v>10.308471654112184</v>
      </c>
      <c r="CB83" s="29">
        <v>10.378760062983652</v>
      </c>
      <c r="CC83" s="29">
        <v>10.449015489557727</v>
      </c>
      <c r="CD83" s="29">
        <v>10.519232747255554</v>
      </c>
      <c r="CE83" s="29">
        <v>10.589406663333476</v>
      </c>
      <c r="CF83" s="29">
        <v>10.659532080410209</v>
      </c>
      <c r="CG83" s="29">
        <v>10.729603857985264</v>
      </c>
      <c r="CH83" s="29">
        <v>10.799616873950372</v>
      </c>
      <c r="CI83" s="29">
        <v>10.869566026090512</v>
      </c>
      <c r="CJ83" s="29">
        <v>10.939446233574847</v>
      </c>
      <c r="CK83" s="29">
        <v>11.009252438435386</v>
      </c>
      <c r="CL83" s="29">
        <v>11.078979607032126</v>
      </c>
      <c r="CM83" s="29">
        <v>11.148622731505675</v>
      </c>
      <c r="CN83" s="29">
        <v>11.2181768312135</v>
      </c>
      <c r="CO83" s="29">
        <v>11.287636954149605</v>
      </c>
      <c r="CP83" s="29">
        <v>11.356998178348084</v>
      </c>
      <c r="CQ83" s="29">
        <v>11.426255613267143</v>
      </c>
      <c r="CR83" s="29">
        <v>11.495404401155231</v>
      </c>
      <c r="CS83" s="29">
        <v>11.564439718395789</v>
      </c>
      <c r="CT83" s="29">
        <v>11.633356776830304</v>
      </c>
      <c r="CU83" s="29">
        <v>11.702150825061651</v>
      </c>
      <c r="CV83" s="29">
        <v>11.770817149732125</v>
      </c>
      <c r="CW83" s="29">
        <v>11.839351076778629</v>
      </c>
      <c r="CX83" s="29">
        <v>11.90774797266387</v>
      </c>
      <c r="CY83" s="29">
        <v>11.976003245580884</v>
      </c>
      <c r="CZ83" s="29">
        <v>12.044112346632648</v>
      </c>
      <c r="DA83" s="29">
        <v>12.112070770985238</v>
      </c>
      <c r="DB83" s="29">
        <v>12.179874058992134</v>
      </c>
      <c r="DC83" s="29">
        <v>12.247517797291405</v>
      </c>
      <c r="DD83" s="29">
        <v>12.314997619874616</v>
      </c>
      <c r="DE83" s="29">
        <v>12.382309209126507</v>
      </c>
      <c r="DF83" s="29">
        <v>12.449448296833756</v>
      </c>
      <c r="DG83" s="29">
        <v>12.516410665165504</v>
      </c>
      <c r="DH83" s="29">
        <v>12.583192147621798</v>
      </c>
      <c r="DI83" s="29">
        <v>12.649788629951955</v>
      </c>
      <c r="DJ83" s="29">
        <v>12.716196051041443</v>
      </c>
      <c r="DK83" s="29">
        <v>12.782410403766196</v>
      </c>
      <c r="DL83" s="29">
        <v>12.848427735816703</v>
      </c>
      <c r="DM83" s="29">
        <v>12.914244150487647</v>
      </c>
      <c r="DN83" s="29">
        <v>12.979855807437573</v>
      </c>
      <c r="DO83" s="29">
        <v>13.045258923413739</v>
      </c>
      <c r="DP83" s="29">
        <v>13.110449772945667</v>
      </c>
      <c r="DQ83" s="29">
        <v>13.175424689004915</v>
      </c>
      <c r="DR83" s="29">
        <v>13.240180063631865</v>
      </c>
      <c r="DS83">
        <v>13.304712348531046</v>
      </c>
      <c r="DT83">
        <v>13.369018055630454</v>
      </c>
      <c r="DU83">
        <v>13.433093757610518</v>
      </c>
    </row>
    <row r="84" spans="1:125">
      <c r="A84" s="27">
        <v>82</v>
      </c>
      <c r="B84" s="28"/>
      <c r="C84" s="28"/>
      <c r="D84" s="28"/>
      <c r="E84" s="28"/>
      <c r="F84" s="28"/>
      <c r="G84" s="28"/>
      <c r="H84" s="28"/>
      <c r="I84" s="28"/>
      <c r="J84" s="28"/>
      <c r="K84" s="28"/>
      <c r="L84" s="28"/>
      <c r="M84" s="28"/>
      <c r="N84" s="28"/>
      <c r="O84" s="28"/>
      <c r="P84" s="28"/>
      <c r="Q84" s="28"/>
      <c r="R84" s="28"/>
      <c r="S84" s="28"/>
      <c r="T84" s="28"/>
      <c r="U84" s="28"/>
      <c r="V84" s="29"/>
      <c r="W84" s="29">
        <v>6.54</v>
      </c>
      <c r="X84" s="29">
        <v>6.58</v>
      </c>
      <c r="Y84" s="29">
        <v>6.6382087235887584</v>
      </c>
      <c r="Z84" s="29">
        <v>6.7044799051931347</v>
      </c>
      <c r="AA84" s="29">
        <v>6.7155639644500562</v>
      </c>
      <c r="AB84" s="29">
        <v>6.745653603047657</v>
      </c>
      <c r="AC84" s="29">
        <v>6.744742089510801</v>
      </c>
      <c r="AD84" s="29">
        <v>6.7224347483087037</v>
      </c>
      <c r="AE84" s="29">
        <v>6.735907239910973</v>
      </c>
      <c r="AF84" s="29">
        <v>6.7829458957279201</v>
      </c>
      <c r="AG84" s="29">
        <v>6.8519313415646037</v>
      </c>
      <c r="AH84" s="29">
        <v>6.8714942153978589</v>
      </c>
      <c r="AI84" s="29">
        <v>6.9413087899083301</v>
      </c>
      <c r="AJ84" s="29">
        <v>6.9913800258067322</v>
      </c>
      <c r="AK84" s="29">
        <v>7.0419189662936441</v>
      </c>
      <c r="AL84" s="29">
        <v>7.0955678012541057</v>
      </c>
      <c r="AM84" s="29">
        <v>7.1288394167420615</v>
      </c>
      <c r="AN84" s="29">
        <v>7.1480096690638204</v>
      </c>
      <c r="AO84" s="29">
        <v>7.1978926040772997</v>
      </c>
      <c r="AP84" s="29">
        <v>7.2569100189507285</v>
      </c>
      <c r="AQ84" s="29">
        <v>7.3164136718011195</v>
      </c>
      <c r="AR84" s="29">
        <v>7.3762826436658191</v>
      </c>
      <c r="AS84" s="29">
        <v>7.4365661081841266</v>
      </c>
      <c r="AT84" s="29">
        <v>7.497311020016233</v>
      </c>
      <c r="AU84" s="29">
        <v>7.558559118421643</v>
      </c>
      <c r="AV84" s="29">
        <v>7.6203444301084629</v>
      </c>
      <c r="AW84" s="29">
        <v>7.6826915201770252</v>
      </c>
      <c r="AX84" s="29">
        <v>7.7456145942625518</v>
      </c>
      <c r="AY84" s="29">
        <v>7.8091174428105905</v>
      </c>
      <c r="AZ84" s="29">
        <v>7.8731942597514868</v>
      </c>
      <c r="BA84" s="29">
        <v>7.9378310481263847</v>
      </c>
      <c r="BB84" s="29">
        <v>8.0030072844137834</v>
      </c>
      <c r="BC84" s="29">
        <v>8.0686976331765958</v>
      </c>
      <c r="BD84" s="29">
        <v>8.1344953970125236</v>
      </c>
      <c r="BE84" s="29">
        <v>8.2003958152876173</v>
      </c>
      <c r="BF84" s="29">
        <v>8.2663941003317358</v>
      </c>
      <c r="BG84" s="29">
        <v>8.3324854387266605</v>
      </c>
      <c r="BH84" s="29">
        <v>8.3986649926178885</v>
      </c>
      <c r="BI84" s="29">
        <v>8.4649279010482736</v>
      </c>
      <c r="BJ84" s="29">
        <v>8.5312692813116691</v>
      </c>
      <c r="BK84" s="29">
        <v>8.597684230328861</v>
      </c>
      <c r="BL84" s="29">
        <v>8.6641678260403285</v>
      </c>
      <c r="BM84" s="29">
        <v>8.7307151288178328</v>
      </c>
      <c r="BN84" s="29">
        <v>8.7973211828933202</v>
      </c>
      <c r="BO84" s="29">
        <v>8.8639810178026472</v>
      </c>
      <c r="BP84" s="29">
        <v>8.9306896498441262</v>
      </c>
      <c r="BQ84" s="29">
        <v>8.997442083551185</v>
      </c>
      <c r="BR84" s="29">
        <v>9.0642333131761745</v>
      </c>
      <c r="BS84" s="29">
        <v>9.1310583241858616</v>
      </c>
      <c r="BT84" s="30">
        <v>9.1979120947665454</v>
      </c>
      <c r="BU84" s="29">
        <v>9.2647895973383729</v>
      </c>
      <c r="BV84" s="29">
        <v>9.3316858000752436</v>
      </c>
      <c r="BW84" s="29">
        <v>9.3985956684334226</v>
      </c>
      <c r="BX84" s="29">
        <v>9.4655141666827323</v>
      </c>
      <c r="BY84" s="29">
        <v>9.5324362594426333</v>
      </c>
      <c r="BZ84" s="29">
        <v>9.5993569132203422</v>
      </c>
      <c r="CA84" s="29">
        <v>9.6662710979499735</v>
      </c>
      <c r="CB84" s="29">
        <v>9.7331737885320635</v>
      </c>
      <c r="CC84" s="29">
        <v>9.8000599663704673</v>
      </c>
      <c r="CD84" s="29">
        <v>9.8669246209085539</v>
      </c>
      <c r="CE84" s="29">
        <v>9.9337627511596445</v>
      </c>
      <c r="CF84" s="29">
        <v>10.00056936723413</v>
      </c>
      <c r="CG84" s="29">
        <v>10.067339491858698</v>
      </c>
      <c r="CH84" s="29">
        <v>10.134068161889479</v>
      </c>
      <c r="CI84" s="29">
        <v>10.200750429815699</v>
      </c>
      <c r="CJ84" s="29">
        <v>10.267381365254174</v>
      </c>
      <c r="CK84" s="29">
        <v>10.333956056432459</v>
      </c>
      <c r="CL84" s="29">
        <v>10.400469611659364</v>
      </c>
      <c r="CM84" s="29">
        <v>10.466917160784011</v>
      </c>
      <c r="CN84" s="29">
        <v>10.533293856639371</v>
      </c>
      <c r="CO84" s="29">
        <v>10.599594876470238</v>
      </c>
      <c r="CP84" s="29">
        <v>10.665815423346059</v>
      </c>
      <c r="CQ84" s="29">
        <v>10.731950727555175</v>
      </c>
      <c r="CR84" s="29">
        <v>10.797996047982235</v>
      </c>
      <c r="CS84" s="29">
        <v>10.863946673465124</v>
      </c>
      <c r="CT84" s="29">
        <v>10.929797924131256</v>
      </c>
      <c r="CU84" s="29">
        <v>10.995545152715152</v>
      </c>
      <c r="CV84" s="29">
        <v>11.061183745851704</v>
      </c>
      <c r="CW84" s="29">
        <v>11.126709125347583</v>
      </c>
      <c r="CX84" s="29">
        <v>11.19211674942972</v>
      </c>
      <c r="CY84" s="29">
        <v>11.257402113968066</v>
      </c>
      <c r="CZ84" s="29">
        <v>11.322560753674482</v>
      </c>
      <c r="DA84" s="29">
        <v>11.387588243276198</v>
      </c>
      <c r="DB84" s="29">
        <v>11.452480198661394</v>
      </c>
      <c r="DC84" s="29">
        <v>11.517232277998673</v>
      </c>
      <c r="DD84" s="29">
        <v>11.581840182829277</v>
      </c>
      <c r="DE84" s="29">
        <v>11.646299659131065</v>
      </c>
      <c r="DF84" s="29">
        <v>11.710606498352526</v>
      </c>
      <c r="DG84" s="29">
        <v>11.774756538419599</v>
      </c>
      <c r="DH84" s="29">
        <v>11.838745664711322</v>
      </c>
      <c r="DI84" s="29">
        <v>11.902569811006405</v>
      </c>
      <c r="DJ84" s="29">
        <v>11.966224960399277</v>
      </c>
      <c r="DK84" s="29">
        <v>12.029707146184466</v>
      </c>
      <c r="DL84" s="29">
        <v>12.093012452711729</v>
      </c>
      <c r="DM84" s="29">
        <v>12.156137016207623</v>
      </c>
      <c r="DN84" s="29">
        <v>12.219077025568026</v>
      </c>
      <c r="DO84" s="29">
        <v>12.281828723116684</v>
      </c>
      <c r="DP84" s="29">
        <v>12.344388405333401</v>
      </c>
      <c r="DQ84" s="29">
        <v>12.406752423549223</v>
      </c>
      <c r="DR84" s="29">
        <v>12.468917184609536</v>
      </c>
      <c r="DS84">
        <v>12.530879151506484</v>
      </c>
      <c r="DT84">
        <v>12.592634843976175</v>
      </c>
      <c r="DU84">
        <v>12.654180839066337</v>
      </c>
    </row>
    <row r="85" spans="1:125">
      <c r="A85" s="27">
        <v>83</v>
      </c>
      <c r="B85" s="28"/>
      <c r="C85" s="28"/>
      <c r="D85" s="28"/>
      <c r="E85" s="28"/>
      <c r="F85" s="28"/>
      <c r="G85" s="28"/>
      <c r="H85" s="28"/>
      <c r="I85" s="28"/>
      <c r="J85" s="28"/>
      <c r="K85" s="28"/>
      <c r="L85" s="28"/>
      <c r="M85" s="28"/>
      <c r="N85" s="28"/>
      <c r="O85" s="28"/>
      <c r="P85" s="28"/>
      <c r="Q85" s="28"/>
      <c r="R85" s="28"/>
      <c r="S85" s="28"/>
      <c r="T85" s="28"/>
      <c r="U85" s="28"/>
      <c r="V85" s="29"/>
      <c r="W85" s="29">
        <v>6.13</v>
      </c>
      <c r="X85" s="29">
        <v>6.17</v>
      </c>
      <c r="Y85" s="29">
        <v>6.2086364888920631</v>
      </c>
      <c r="Z85" s="29">
        <v>6.2640416606475799</v>
      </c>
      <c r="AA85" s="29">
        <v>6.27931405029807</v>
      </c>
      <c r="AB85" s="29">
        <v>6.3111581857092878</v>
      </c>
      <c r="AC85" s="29">
        <v>6.2833900959511926</v>
      </c>
      <c r="AD85" s="29">
        <v>6.2754637666663653</v>
      </c>
      <c r="AE85" s="29">
        <v>6.2801692580077848</v>
      </c>
      <c r="AF85" s="29">
        <v>6.3394141150735424</v>
      </c>
      <c r="AG85" s="29">
        <v>6.3770059822943628</v>
      </c>
      <c r="AH85" s="29">
        <v>6.4058299118595317</v>
      </c>
      <c r="AI85" s="29">
        <v>6.4620902806141842</v>
      </c>
      <c r="AJ85" s="29">
        <v>6.5114000207719576</v>
      </c>
      <c r="AK85" s="29">
        <v>6.5493962356158564</v>
      </c>
      <c r="AL85" s="29">
        <v>6.5855578816288096</v>
      </c>
      <c r="AM85" s="29">
        <v>6.6083695023008664</v>
      </c>
      <c r="AN85" s="29">
        <v>6.6529278883593701</v>
      </c>
      <c r="AO85" s="29">
        <v>6.7076844889382938</v>
      </c>
      <c r="AP85" s="29">
        <v>6.7628595948538344</v>
      </c>
      <c r="AQ85" s="29">
        <v>6.8187539383823781</v>
      </c>
      <c r="AR85" s="29">
        <v>6.8750365133931899</v>
      </c>
      <c r="AS85" s="29">
        <v>6.9317597049713529</v>
      </c>
      <c r="AT85" s="29">
        <v>6.9889733129643341</v>
      </c>
      <c r="AU85" s="29">
        <v>7.0467213694597337</v>
      </c>
      <c r="AV85" s="29">
        <v>7.1050395081166045</v>
      </c>
      <c r="AW85" s="29">
        <v>7.1639531460068788</v>
      </c>
      <c r="AX85" s="29">
        <v>7.2234765815059276</v>
      </c>
      <c r="AY85" s="29">
        <v>7.2836129918750796</v>
      </c>
      <c r="AZ85" s="29">
        <v>7.3443553586630204</v>
      </c>
      <c r="BA85" s="29">
        <v>7.4056880093787161</v>
      </c>
      <c r="BB85" s="29">
        <v>7.4675884232201328</v>
      </c>
      <c r="BC85" s="29">
        <v>7.5296089439123595</v>
      </c>
      <c r="BD85" s="29">
        <v>7.591745123442645</v>
      </c>
      <c r="BE85" s="29">
        <v>7.6539924824701417</v>
      </c>
      <c r="BF85" s="29">
        <v>7.7163465115564307</v>
      </c>
      <c r="BG85" s="29">
        <v>7.778802672419654</v>
      </c>
      <c r="BH85" s="29">
        <v>7.841356399213006</v>
      </c>
      <c r="BI85" s="29">
        <v>7.9040030998255997</v>
      </c>
      <c r="BJ85" s="29">
        <v>7.9667381572038529</v>
      </c>
      <c r="BK85" s="29">
        <v>8.0295569306958381</v>
      </c>
      <c r="BL85" s="29">
        <v>8.0924547574129306</v>
      </c>
      <c r="BM85" s="29">
        <v>8.155426953610835</v>
      </c>
      <c r="BN85" s="29">
        <v>8.2184688160885671</v>
      </c>
      <c r="BO85" s="29">
        <v>8.2815756236027323</v>
      </c>
      <c r="BP85" s="29">
        <v>8.3447426382972356</v>
      </c>
      <c r="BQ85" s="29">
        <v>8.407965107147696</v>
      </c>
      <c r="BR85" s="29">
        <v>8.47123826341757</v>
      </c>
      <c r="BS85" s="29">
        <v>8.5345573281265672</v>
      </c>
      <c r="BT85" s="30">
        <v>8.5979175115293103</v>
      </c>
      <c r="BU85" s="29">
        <v>8.661314014603839</v>
      </c>
      <c r="BV85" s="29">
        <v>8.7247420305462846</v>
      </c>
      <c r="BW85" s="29">
        <v>8.7881967462750108</v>
      </c>
      <c r="BX85" s="29">
        <v>8.8516733439379305</v>
      </c>
      <c r="BY85" s="29">
        <v>8.9151670024254486</v>
      </c>
      <c r="BZ85" s="29">
        <v>8.9786728988861704</v>
      </c>
      <c r="CA85" s="29">
        <v>9.0421862102443509</v>
      </c>
      <c r="CB85" s="29">
        <v>9.1057021147185235</v>
      </c>
      <c r="CC85" s="29">
        <v>9.1692157933382301</v>
      </c>
      <c r="CD85" s="29">
        <v>9.2327224314609317</v>
      </c>
      <c r="CE85" s="29">
        <v>9.2962172202839195</v>
      </c>
      <c r="CF85" s="29">
        <v>9.359695358353834</v>
      </c>
      <c r="CG85" s="29">
        <v>9.4231520530690851</v>
      </c>
      <c r="CH85" s="29">
        <v>9.4865825221771658</v>
      </c>
      <c r="CI85" s="29">
        <v>9.5499819952633409</v>
      </c>
      <c r="CJ85" s="29">
        <v>9.6133457152311639</v>
      </c>
      <c r="CK85" s="29">
        <v>9.6766689397725631</v>
      </c>
      <c r="CL85" s="29">
        <v>9.7399469428263181</v>
      </c>
      <c r="CM85" s="29">
        <v>9.8031750160260849</v>
      </c>
      <c r="CN85" s="29">
        <v>9.8663484701339197</v>
      </c>
      <c r="CO85" s="29">
        <v>9.9294626364592506</v>
      </c>
      <c r="CP85" s="29">
        <v>9.992512868263848</v>
      </c>
      <c r="CQ85" s="29">
        <v>10.055494542149196</v>
      </c>
      <c r="CR85" s="29">
        <v>10.118403059428235</v>
      </c>
      <c r="CS85" s="29">
        <v>10.181233847477646</v>
      </c>
      <c r="CT85" s="29">
        <v>10.24398236107065</v>
      </c>
      <c r="CU85" s="29">
        <v>10.306644083692296</v>
      </c>
      <c r="CV85" s="29">
        <v>10.369214528831511</v>
      </c>
      <c r="CW85" s="29">
        <v>10.431689241252492</v>
      </c>
      <c r="CX85" s="29">
        <v>10.494063798244378</v>
      </c>
      <c r="CY85" s="29">
        <v>10.556333810846311</v>
      </c>
      <c r="CZ85" s="29">
        <v>10.618494925049898</v>
      </c>
      <c r="DA85" s="29">
        <v>10.680542822977417</v>
      </c>
      <c r="DB85" s="29">
        <v>10.742473224033306</v>
      </c>
      <c r="DC85" s="29">
        <v>10.804281886030806</v>
      </c>
      <c r="DD85" s="29">
        <v>10.865964606292533</v>
      </c>
      <c r="DE85" s="29">
        <v>10.927517222724035</v>
      </c>
      <c r="DF85" s="29">
        <v>10.988935614858564</v>
      </c>
      <c r="DG85" s="29">
        <v>11.050215704875892</v>
      </c>
      <c r="DH85" s="29">
        <v>11.111353458591159</v>
      </c>
      <c r="DI85" s="29">
        <v>11.172344886415825</v>
      </c>
      <c r="DJ85" s="29">
        <v>11.233186044289319</v>
      </c>
      <c r="DK85" s="29">
        <v>11.293873034580173</v>
      </c>
      <c r="DL85" s="29">
        <v>11.354402006959122</v>
      </c>
      <c r="DM85" s="29">
        <v>11.414769159239775</v>
      </c>
      <c r="DN85" s="29">
        <v>11.474970738191445</v>
      </c>
      <c r="DO85" s="29">
        <v>11.535003040319092</v>
      </c>
      <c r="DP85" s="29">
        <v>11.594862412614088</v>
      </c>
      <c r="DQ85" s="29">
        <v>11.654545253273071</v>
      </c>
      <c r="DR85" s="29">
        <v>11.714048012385813</v>
      </c>
      <c r="DS85">
        <v>11.773367192593518</v>
      </c>
      <c r="DT85">
        <v>11.832499349712938</v>
      </c>
      <c r="DU85">
        <v>11.891441093332023</v>
      </c>
    </row>
    <row r="86" spans="1:125">
      <c r="A86" s="27">
        <v>84</v>
      </c>
      <c r="B86" s="28"/>
      <c r="C86" s="28"/>
      <c r="D86" s="28"/>
      <c r="E86" s="28"/>
      <c r="F86" s="28"/>
      <c r="G86" s="28"/>
      <c r="H86" s="28"/>
      <c r="I86" s="28"/>
      <c r="J86" s="28"/>
      <c r="K86" s="28"/>
      <c r="L86" s="28"/>
      <c r="M86" s="28"/>
      <c r="N86" s="28"/>
      <c r="O86" s="28"/>
      <c r="P86" s="28"/>
      <c r="Q86" s="28"/>
      <c r="R86" s="28"/>
      <c r="S86" s="28"/>
      <c r="T86" s="28"/>
      <c r="U86" s="28"/>
      <c r="V86" s="29"/>
      <c r="W86" s="29">
        <v>5.74</v>
      </c>
      <c r="X86" s="29">
        <v>5.77</v>
      </c>
      <c r="Y86" s="29">
        <v>5.7871233300522702</v>
      </c>
      <c r="Z86" s="29">
        <v>5.8394727203942516</v>
      </c>
      <c r="AA86" s="29">
        <v>5.8528502825974522</v>
      </c>
      <c r="AB86" s="29">
        <v>5.8723942993673832</v>
      </c>
      <c r="AC86" s="29">
        <v>5.8478677034279283</v>
      </c>
      <c r="AD86" s="29">
        <v>5.8410227321931236</v>
      </c>
      <c r="AE86" s="29">
        <v>5.8609725535633608</v>
      </c>
      <c r="AF86" s="29">
        <v>5.8901571137859783</v>
      </c>
      <c r="AG86" s="29">
        <v>5.9393325582055168</v>
      </c>
      <c r="AH86" s="29">
        <v>5.9505317144748897</v>
      </c>
      <c r="AI86" s="29">
        <v>5.9998669403165774</v>
      </c>
      <c r="AJ86" s="29">
        <v>6.0412247533226768</v>
      </c>
      <c r="AK86" s="29">
        <v>6.0608098646708024</v>
      </c>
      <c r="AL86" s="29">
        <v>6.0913487711669534</v>
      </c>
      <c r="AM86" s="29">
        <v>6.1370690616479679</v>
      </c>
      <c r="AN86" s="29">
        <v>6.1848579124416867</v>
      </c>
      <c r="AO86" s="29">
        <v>6.2363440525593399</v>
      </c>
      <c r="AP86" s="29">
        <v>6.287956793182305</v>
      </c>
      <c r="AQ86" s="29">
        <v>6.3403414853862285</v>
      </c>
      <c r="AR86" s="29">
        <v>6.3931384700324969</v>
      </c>
      <c r="AS86" s="29">
        <v>6.4464038769570831</v>
      </c>
      <c r="AT86" s="29">
        <v>6.5001908049280024</v>
      </c>
      <c r="AU86" s="29">
        <v>6.5545459180382304</v>
      </c>
      <c r="AV86" s="29">
        <v>6.6095066577326458</v>
      </c>
      <c r="AW86" s="29">
        <v>6.6650993449298666</v>
      </c>
      <c r="AX86" s="29">
        <v>6.7213382759012781</v>
      </c>
      <c r="AY86" s="29">
        <v>6.7782257864698581</v>
      </c>
      <c r="AZ86" s="29">
        <v>6.8357533074220358</v>
      </c>
      <c r="BA86" s="29">
        <v>6.8939030705610573</v>
      </c>
      <c r="BB86" s="29">
        <v>6.9521825509408703</v>
      </c>
      <c r="BC86" s="29">
        <v>7.0105876183149061</v>
      </c>
      <c r="BD86" s="29">
        <v>7.0691141078397397</v>
      </c>
      <c r="BE86" s="29">
        <v>7.1277578212351074</v>
      </c>
      <c r="BF86" s="29">
        <v>7.1865145279706564</v>
      </c>
      <c r="BG86" s="29">
        <v>7.245379966476416</v>
      </c>
      <c r="BH86" s="29">
        <v>7.3043498453777573</v>
      </c>
      <c r="BI86" s="29">
        <v>7.3634198447528796</v>
      </c>
      <c r="BJ86" s="29">
        <v>7.4225856174108529</v>
      </c>
      <c r="BK86" s="29">
        <v>7.4818427901929629</v>
      </c>
      <c r="BL86" s="29">
        <v>7.541186965291339</v>
      </c>
      <c r="BM86" s="29">
        <v>7.6006137215872247</v>
      </c>
      <c r="BN86" s="29">
        <v>7.6601186160074084</v>
      </c>
      <c r="BO86" s="29">
        <v>7.7196971848961446</v>
      </c>
      <c r="BP86" s="29">
        <v>7.7793449454027312</v>
      </c>
      <c r="BQ86" s="29">
        <v>7.8390573968841224</v>
      </c>
      <c r="BR86" s="29">
        <v>7.898830022319471</v>
      </c>
      <c r="BS86" s="29">
        <v>7.9586582897373095</v>
      </c>
      <c r="BT86" s="30">
        <v>8.018537653653345</v>
      </c>
      <c r="BU86" s="29">
        <v>8.0784635565184768</v>
      </c>
      <c r="BV86" s="29">
        <v>8.1384314301733074</v>
      </c>
      <c r="BW86" s="29">
        <v>8.1984366973127258</v>
      </c>
      <c r="BX86" s="29">
        <v>8.2584747729539902</v>
      </c>
      <c r="BY86" s="29">
        <v>8.3185410659110453</v>
      </c>
      <c r="BZ86" s="29">
        <v>8.3786309802721046</v>
      </c>
      <c r="CA86" s="29">
        <v>8.4387399168795802</v>
      </c>
      <c r="CB86" s="29">
        <v>8.4988632748118249</v>
      </c>
      <c r="CC86" s="29">
        <v>8.558996452863564</v>
      </c>
      <c r="CD86" s="29">
        <v>8.6191348510273009</v>
      </c>
      <c r="CE86" s="29">
        <v>8.6792738719703593</v>
      </c>
      <c r="CF86" s="29">
        <v>8.7394089225103819</v>
      </c>
      <c r="CG86" s="29">
        <v>8.7995354150844385</v>
      </c>
      <c r="CH86" s="29">
        <v>8.8596487692139654</v>
      </c>
      <c r="CI86" s="29">
        <v>8.919744412961883</v>
      </c>
      <c r="CJ86" s="29">
        <v>8.9798177843824778</v>
      </c>
      <c r="CK86" s="29">
        <v>9.0398643329618054</v>
      </c>
      <c r="CL86" s="29">
        <v>9.0998795210474075</v>
      </c>
      <c r="CM86" s="29">
        <v>9.1598588252686692</v>
      </c>
      <c r="CN86" s="29">
        <v>9.2197977379436722</v>
      </c>
      <c r="CO86" s="29">
        <v>9.2796917684725457</v>
      </c>
      <c r="CP86" s="29">
        <v>9.3395364447179556</v>
      </c>
      <c r="CQ86" s="29">
        <v>9.3993273143691098</v>
      </c>
      <c r="CR86" s="29">
        <v>9.4590599462913172</v>
      </c>
      <c r="CS86" s="29">
        <v>9.5187299318572318</v>
      </c>
      <c r="CT86" s="29">
        <v>9.5783328862598278</v>
      </c>
      <c r="CU86" s="29">
        <v>9.6378644498091486</v>
      </c>
      <c r="CV86" s="29">
        <v>9.6973202892070098</v>
      </c>
      <c r="CW86" s="29">
        <v>9.7566960988023546</v>
      </c>
      <c r="CX86" s="29">
        <v>9.8159876018261745</v>
      </c>
      <c r="CY86" s="29">
        <v>9.8751905516031329</v>
      </c>
      <c r="CZ86" s="29">
        <v>9.934300732741896</v>
      </c>
      <c r="DA86" s="29">
        <v>9.9933139623026328</v>
      </c>
      <c r="DB86" s="29">
        <v>10.052226090939039</v>
      </c>
      <c r="DC86" s="29">
        <v>10.111033004016951</v>
      </c>
      <c r="DD86" s="29">
        <v>10.169730622708254</v>
      </c>
      <c r="DE86" s="29">
        <v>10.228314905059195</v>
      </c>
      <c r="DF86" s="29">
        <v>10.286781847031202</v>
      </c>
      <c r="DG86" s="29">
        <v>10.345127483517263</v>
      </c>
      <c r="DH86" s="29">
        <v>10.40334788932965</v>
      </c>
      <c r="DI86" s="29">
        <v>10.461439180161191</v>
      </c>
      <c r="DJ86" s="29">
        <v>10.519397513518637</v>
      </c>
      <c r="DK86" s="29">
        <v>10.577219089626871</v>
      </c>
      <c r="DL86" s="29">
        <v>10.63490015230655</v>
      </c>
      <c r="DM86" s="29">
        <v>10.69243698982063</v>
      </c>
      <c r="DN86" s="29">
        <v>10.749825935694512</v>
      </c>
      <c r="DO86" s="29">
        <v>10.807063369504597</v>
      </c>
      <c r="DP86" s="29">
        <v>10.864145717639115</v>
      </c>
      <c r="DQ86" s="29">
        <v>10.92106945402832</v>
      </c>
      <c r="DR86" s="29">
        <v>10.977831100845078</v>
      </c>
      <c r="DS86">
        <v>11.034427229177249</v>
      </c>
      <c r="DT86">
        <v>11.090854459667129</v>
      </c>
      <c r="DU86">
        <v>11.147109463123778</v>
      </c>
    </row>
    <row r="87" spans="1:125">
      <c r="A87" s="27">
        <v>85</v>
      </c>
      <c r="B87" s="28"/>
      <c r="C87" s="28"/>
      <c r="D87" s="28"/>
      <c r="E87" s="28"/>
      <c r="F87" s="28"/>
      <c r="G87" s="28"/>
      <c r="H87" s="28"/>
      <c r="I87" s="28"/>
      <c r="J87" s="28"/>
      <c r="K87" s="28"/>
      <c r="L87" s="28"/>
      <c r="M87" s="28"/>
      <c r="N87" s="28"/>
      <c r="O87" s="28"/>
      <c r="P87" s="28"/>
      <c r="Q87" s="28"/>
      <c r="R87" s="28"/>
      <c r="S87" s="28"/>
      <c r="T87" s="28"/>
      <c r="U87" s="28"/>
      <c r="V87" s="29"/>
      <c r="W87" s="29">
        <v>5.36</v>
      </c>
      <c r="X87" s="29">
        <v>5.36</v>
      </c>
      <c r="Y87" s="29">
        <v>5.3855410580410501</v>
      </c>
      <c r="Z87" s="29">
        <v>5.4387133584124268</v>
      </c>
      <c r="AA87" s="29">
        <v>5.4460530403831111</v>
      </c>
      <c r="AB87" s="29">
        <v>5.4606325315984776</v>
      </c>
      <c r="AC87" s="29">
        <v>5.4361482715392953</v>
      </c>
      <c r="AD87" s="29">
        <v>5.4395741878629034</v>
      </c>
      <c r="AE87" s="29">
        <v>5.4287340032656681</v>
      </c>
      <c r="AF87" s="29">
        <v>5.4811415198063376</v>
      </c>
      <c r="AG87" s="29">
        <v>5.5006865202237485</v>
      </c>
      <c r="AH87" s="29">
        <v>5.5193266705155333</v>
      </c>
      <c r="AI87" s="29">
        <v>5.5626254658096022</v>
      </c>
      <c r="AJ87" s="29">
        <v>5.5799765100775458</v>
      </c>
      <c r="AK87" s="29">
        <v>5.5915346374341546</v>
      </c>
      <c r="AL87" s="29">
        <v>5.648356273200366</v>
      </c>
      <c r="AM87" s="29">
        <v>5.690462057842617</v>
      </c>
      <c r="AN87" s="29">
        <v>5.7383490029566318</v>
      </c>
      <c r="AO87" s="29">
        <v>5.7863659681079591</v>
      </c>
      <c r="AP87" s="29">
        <v>5.8345103858388141</v>
      </c>
      <c r="AQ87" s="29">
        <v>5.8834881601463769</v>
      </c>
      <c r="AR87" s="29">
        <v>5.9329044865321237</v>
      </c>
      <c r="AS87" s="29">
        <v>5.9828199221112346</v>
      </c>
      <c r="AT87" s="29">
        <v>6.0332914410027083</v>
      </c>
      <c r="AU87" s="29">
        <v>6.0843687648415745</v>
      </c>
      <c r="AV87" s="29">
        <v>6.1360913874629626</v>
      </c>
      <c r="AW87" s="29">
        <v>6.1884865844664319</v>
      </c>
      <c r="AX87" s="29">
        <v>6.2415685109230559</v>
      </c>
      <c r="AY87" s="29">
        <v>6.295338350283231</v>
      </c>
      <c r="AZ87" s="29">
        <v>6.3497855306428743</v>
      </c>
      <c r="BA87" s="29">
        <v>6.4043689473800356</v>
      </c>
      <c r="BB87" s="29">
        <v>6.4590847881301698</v>
      </c>
      <c r="BC87" s="29">
        <v>6.5139292036939596</v>
      </c>
      <c r="BD87" s="29">
        <v>6.5688983091228552</v>
      </c>
      <c r="BE87" s="29">
        <v>6.6239881848286917</v>
      </c>
      <c r="BF87" s="29">
        <v>6.6791948777197572</v>
      </c>
      <c r="BG87" s="29">
        <v>6.7345144023601184</v>
      </c>
      <c r="BH87" s="29">
        <v>6.7899427421531469</v>
      </c>
      <c r="BI87" s="29">
        <v>6.8454758505472064</v>
      </c>
      <c r="BJ87" s="29">
        <v>6.9011096522614901</v>
      </c>
      <c r="BK87" s="29">
        <v>6.9568400445350509</v>
      </c>
      <c r="BL87" s="29">
        <v>7.0126628983926835</v>
      </c>
      <c r="BM87" s="29">
        <v>7.0685740599302704</v>
      </c>
      <c r="BN87" s="29">
        <v>7.1245693516181383</v>
      </c>
      <c r="BO87" s="29">
        <v>7.1806445736196709</v>
      </c>
      <c r="BP87" s="29">
        <v>7.2367955051254542</v>
      </c>
      <c r="BQ87" s="29">
        <v>7.2930179057024436</v>
      </c>
      <c r="BR87" s="29">
        <v>7.349307516654914</v>
      </c>
      <c r="BS87" s="29">
        <v>7.405660062398109</v>
      </c>
      <c r="BT87" s="30">
        <v>7.4620712518425156</v>
      </c>
      <c r="BU87" s="29">
        <v>7.5185367797884908</v>
      </c>
      <c r="BV87" s="29">
        <v>7.5750523283274047</v>
      </c>
      <c r="BW87" s="29">
        <v>7.6316135682531838</v>
      </c>
      <c r="BX87" s="29">
        <v>7.6882161604774639</v>
      </c>
      <c r="BY87" s="29">
        <v>7.7448557574512904</v>
      </c>
      <c r="BZ87" s="29">
        <v>7.8015280045904341</v>
      </c>
      <c r="CA87" s="29">
        <v>7.8582285417033946</v>
      </c>
      <c r="CB87" s="29">
        <v>7.9149530044216672</v>
      </c>
      <c r="CC87" s="29">
        <v>7.9716970256291395</v>
      </c>
      <c r="CD87" s="29">
        <v>8.028456236893053</v>
      </c>
      <c r="CE87" s="29">
        <v>8.0852262698910859</v>
      </c>
      <c r="CF87" s="29">
        <v>8.1420027578376448</v>
      </c>
      <c r="CG87" s="29">
        <v>8.1987813369042897</v>
      </c>
      <c r="CH87" s="29">
        <v>8.2555576476368575</v>
      </c>
      <c r="CI87" s="29">
        <v>8.3123273363654402</v>
      </c>
      <c r="CJ87" s="29">
        <v>8.3690860566080119</v>
      </c>
      <c r="CK87" s="29">
        <v>8.4258294704654144</v>
      </c>
      <c r="CL87" s="29">
        <v>8.4825532500065446</v>
      </c>
      <c r="CM87" s="29">
        <v>8.5392530786452223</v>
      </c>
      <c r="CN87" s="29">
        <v>8.5959246525045021</v>
      </c>
      <c r="CO87" s="29">
        <v>8.6525636817685125</v>
      </c>
      <c r="CP87" s="29">
        <v>8.709165892022579</v>
      </c>
      <c r="CQ87" s="29">
        <v>8.765727025577938</v>
      </c>
      <c r="CR87" s="29">
        <v>8.8222428427832167</v>
      </c>
      <c r="CS87" s="29">
        <v>8.8787091233187923</v>
      </c>
      <c r="CT87" s="29">
        <v>8.9351216674740375</v>
      </c>
      <c r="CU87" s="29">
        <v>8.9914762974097897</v>
      </c>
      <c r="CV87" s="29">
        <v>9.0477688583999143</v>
      </c>
      <c r="CW87" s="29">
        <v>9.1039952200549301</v>
      </c>
      <c r="CX87" s="29">
        <v>9.1601512775265945</v>
      </c>
      <c r="CY87" s="29">
        <v>9.2162329526904898</v>
      </c>
      <c r="CZ87" s="29">
        <v>9.2722361953088352</v>
      </c>
      <c r="DA87" s="29">
        <v>9.3281569841718692</v>
      </c>
      <c r="DB87" s="29">
        <v>9.3839913282152079</v>
      </c>
      <c r="DC87" s="29">
        <v>9.4397352676152799</v>
      </c>
      <c r="DD87" s="29">
        <v>9.4953848748615766</v>
      </c>
      <c r="DE87" s="29">
        <v>9.5509362558048263</v>
      </c>
      <c r="DF87" s="29">
        <v>9.6063855506791604</v>
      </c>
      <c r="DG87" s="29">
        <v>9.6617289351014417</v>
      </c>
      <c r="DH87" s="29">
        <v>9.7169626210434537</v>
      </c>
      <c r="DI87" s="29">
        <v>9.7720828577792105</v>
      </c>
      <c r="DJ87" s="29">
        <v>9.8270859328059412</v>
      </c>
      <c r="DK87" s="29">
        <v>9.8819681727374604</v>
      </c>
      <c r="DL87" s="29">
        <v>9.9367259441725864</v>
      </c>
      <c r="DM87" s="29">
        <v>9.9913556545339866</v>
      </c>
      <c r="DN87" s="29">
        <v>10.04585375288223</v>
      </c>
      <c r="DO87" s="29">
        <v>10.100216730699843</v>
      </c>
      <c r="DP87" s="29">
        <v>10.154441122649176</v>
      </c>
      <c r="DQ87" s="29">
        <v>10.208523507301205</v>
      </c>
      <c r="DR87" s="29">
        <v>10.262460507836307</v>
      </c>
      <c r="DS87">
        <v>10.31624879271836</v>
      </c>
      <c r="DT87">
        <v>10.36988507633742</v>
      </c>
      <c r="DU87">
        <v>10.42336611962682</v>
      </c>
    </row>
    <row r="88" spans="1:125">
      <c r="A88" s="27">
        <v>86</v>
      </c>
      <c r="B88" s="28"/>
      <c r="C88" s="28"/>
      <c r="D88" s="28"/>
      <c r="E88" s="28"/>
      <c r="F88" s="28"/>
      <c r="G88" s="28"/>
      <c r="H88" s="28"/>
      <c r="I88" s="28"/>
      <c r="J88" s="28"/>
      <c r="K88" s="28"/>
      <c r="L88" s="28"/>
      <c r="M88" s="28"/>
      <c r="N88" s="28"/>
      <c r="O88" s="28"/>
      <c r="P88" s="28"/>
      <c r="Q88" s="28"/>
      <c r="R88" s="28"/>
      <c r="S88" s="28"/>
      <c r="T88" s="28"/>
      <c r="U88" s="28"/>
      <c r="V88" s="29"/>
      <c r="W88" s="29">
        <v>4.9800000000000004</v>
      </c>
      <c r="X88" s="29">
        <v>4.9800000000000004</v>
      </c>
      <c r="Y88" s="29">
        <v>5.0163025618384891</v>
      </c>
      <c r="Z88" s="29">
        <v>5.0390146343890168</v>
      </c>
      <c r="AA88" s="29">
        <v>5.0581178147936638</v>
      </c>
      <c r="AB88" s="29">
        <v>5.0668084008302019</v>
      </c>
      <c r="AC88" s="29">
        <v>5.0593219340307352</v>
      </c>
      <c r="AD88" s="29">
        <v>5.0338269907962641</v>
      </c>
      <c r="AE88" s="29">
        <v>5.0414324768358281</v>
      </c>
      <c r="AF88" s="29">
        <v>5.0690373428412805</v>
      </c>
      <c r="AG88" s="29">
        <v>5.1013614545228076</v>
      </c>
      <c r="AH88" s="29">
        <v>5.1113907721912435</v>
      </c>
      <c r="AI88" s="29">
        <v>5.1245337334267367</v>
      </c>
      <c r="AJ88" s="29">
        <v>5.1333436315870591</v>
      </c>
      <c r="AK88" s="29">
        <v>5.1829948050027062</v>
      </c>
      <c r="AL88" s="29">
        <v>5.2260833997600855</v>
      </c>
      <c r="AM88" s="29">
        <v>5.2704716597738495</v>
      </c>
      <c r="AN88" s="29">
        <v>5.314990758213292</v>
      </c>
      <c r="AO88" s="29">
        <v>5.3596384062412747</v>
      </c>
      <c r="AP88" s="29">
        <v>5.4044122901424529</v>
      </c>
      <c r="AQ88" s="29">
        <v>5.4500931352286202</v>
      </c>
      <c r="AR88" s="29">
        <v>5.4962424103860466</v>
      </c>
      <c r="AS88" s="29">
        <v>5.5429259787212022</v>
      </c>
      <c r="AT88" s="29">
        <v>5.5902054254857427</v>
      </c>
      <c r="AU88" s="29">
        <v>5.6381340649716734</v>
      </c>
      <c r="AV88" s="29">
        <v>5.686753739768565</v>
      </c>
      <c r="AW88" s="29">
        <v>5.7360927223650426</v>
      </c>
      <c r="AX88" s="29">
        <v>5.7861648210936636</v>
      </c>
      <c r="AY88" s="29">
        <v>5.8369696386468517</v>
      </c>
      <c r="AZ88" s="29">
        <v>5.8879141465245164</v>
      </c>
      <c r="BA88" s="29">
        <v>5.9389948448269614</v>
      </c>
      <c r="BB88" s="29">
        <v>5.9902081956139126</v>
      </c>
      <c r="BC88" s="29">
        <v>6.0415506239089369</v>
      </c>
      <c r="BD88" s="29">
        <v>6.0930185187313706</v>
      </c>
      <c r="BE88" s="29">
        <v>6.1446082341512316</v>
      </c>
      <c r="BF88" s="29">
        <v>6.1963160903697583</v>
      </c>
      <c r="BG88" s="29">
        <v>6.2481383748222434</v>
      </c>
      <c r="BH88" s="29">
        <v>6.3000713433042623</v>
      </c>
      <c r="BI88" s="29">
        <v>6.3521112211192214</v>
      </c>
      <c r="BJ88" s="29">
        <v>6.4042542042451513</v>
      </c>
      <c r="BK88" s="29">
        <v>6.4564964605241597</v>
      </c>
      <c r="BL88" s="29">
        <v>6.508834130867811</v>
      </c>
      <c r="BM88" s="29">
        <v>6.5612633304813857</v>
      </c>
      <c r="BN88" s="29">
        <v>6.6137801501055629</v>
      </c>
      <c r="BO88" s="29">
        <v>6.6663806572727324</v>
      </c>
      <c r="BP88" s="29">
        <v>6.7190608975782968</v>
      </c>
      <c r="BQ88" s="29">
        <v>6.7718168959666274</v>
      </c>
      <c r="BR88" s="29">
        <v>6.8246446580282676</v>
      </c>
      <c r="BS88" s="29">
        <v>6.8775401713095468</v>
      </c>
      <c r="BT88" s="30">
        <v>6.9304994066325056</v>
      </c>
      <c r="BU88" s="29">
        <v>6.9835183194249613</v>
      </c>
      <c r="BV88" s="29">
        <v>7.0365928510567892</v>
      </c>
      <c r="BW88" s="29">
        <v>7.089718930186673</v>
      </c>
      <c r="BX88" s="29">
        <v>7.1428924741122319</v>
      </c>
      <c r="BY88" s="29">
        <v>7.1961093901267965</v>
      </c>
      <c r="BZ88" s="29">
        <v>7.2493655768798426</v>
      </c>
      <c r="CA88" s="29">
        <v>7.3026569257402203</v>
      </c>
      <c r="CB88" s="29">
        <v>7.3559793221619039</v>
      </c>
      <c r="CC88" s="29">
        <v>7.4093286470490112</v>
      </c>
      <c r="CD88" s="29">
        <v>7.4627007781228585</v>
      </c>
      <c r="CE88" s="29">
        <v>7.5160915912853818</v>
      </c>
      <c r="CF88" s="29">
        <v>7.5694969619823231</v>
      </c>
      <c r="CG88" s="29">
        <v>7.6229127665609697</v>
      </c>
      <c r="CH88" s="29">
        <v>7.6763348836252208</v>
      </c>
      <c r="CI88" s="29">
        <v>7.7297591953841183</v>
      </c>
      <c r="CJ88" s="29">
        <v>7.7831815889947356</v>
      </c>
      <c r="CK88" s="29">
        <v>7.8365979578971503</v>
      </c>
      <c r="CL88" s="29">
        <v>7.8900042031404025</v>
      </c>
      <c r="CM88" s="29">
        <v>7.9433962347010985</v>
      </c>
      <c r="CN88" s="29">
        <v>7.9967699727902941</v>
      </c>
      <c r="CO88" s="29">
        <v>8.0501213491488794</v>
      </c>
      <c r="CP88" s="29">
        <v>8.1034463083323338</v>
      </c>
      <c r="CQ88" s="29">
        <v>8.1567408089810769</v>
      </c>
      <c r="CR88" s="29">
        <v>8.210000825078815</v>
      </c>
      <c r="CS88" s="29">
        <v>8.2632223471948549</v>
      </c>
      <c r="CT88" s="29">
        <v>8.316401383710522</v>
      </c>
      <c r="CU88" s="29">
        <v>8.3695339620321807</v>
      </c>
      <c r="CV88" s="29">
        <v>8.4226161297845437</v>
      </c>
      <c r="CW88" s="29">
        <v>8.4756439559874384</v>
      </c>
      <c r="CX88" s="29">
        <v>8.5286135322149548</v>
      </c>
      <c r="CY88" s="29">
        <v>8.5815209737339586</v>
      </c>
      <c r="CZ88" s="29">
        <v>8.6343624206243383</v>
      </c>
      <c r="DA88" s="29">
        <v>8.6871340388793392</v>
      </c>
      <c r="DB88" s="29">
        <v>8.7398320214833216</v>
      </c>
      <c r="DC88" s="29">
        <v>8.7924525894692103</v>
      </c>
      <c r="DD88" s="29">
        <v>8.8449919929543395</v>
      </c>
      <c r="DE88" s="29">
        <v>8.8974465121538167</v>
      </c>
      <c r="DF88" s="29">
        <v>8.9498124583694789</v>
      </c>
      <c r="DG88" s="29">
        <v>9.0020861749577126</v>
      </c>
      <c r="DH88" s="29">
        <v>9.054264038271759</v>
      </c>
      <c r="DI88" s="29">
        <v>9.1063424585808352</v>
      </c>
      <c r="DJ88" s="29">
        <v>9.158317880964649</v>
      </c>
      <c r="DK88" s="29">
        <v>9.21018678618195</v>
      </c>
      <c r="DL88" s="29">
        <v>9.2619456915159137</v>
      </c>
      <c r="DM88" s="29">
        <v>9.3135911515916039</v>
      </c>
      <c r="DN88" s="29">
        <v>9.3651197591704722</v>
      </c>
      <c r="DO88" s="29">
        <v>9.4165281459164767</v>
      </c>
      <c r="DP88" s="29">
        <v>9.4678129831378435</v>
      </c>
      <c r="DQ88" s="29">
        <v>9.5189709825014379</v>
      </c>
      <c r="DR88" s="29">
        <v>9.5699988967208629</v>
      </c>
      <c r="DS88">
        <v>9.6208935202196475</v>
      </c>
      <c r="DT88">
        <v>9.6716516897646283</v>
      </c>
      <c r="DU88">
        <v>9.7222702850755933</v>
      </c>
    </row>
    <row r="89" spans="1:125">
      <c r="A89" s="27">
        <v>87</v>
      </c>
      <c r="B89" s="28"/>
      <c r="C89" s="28"/>
      <c r="D89" s="28"/>
      <c r="E89" s="28"/>
      <c r="F89" s="28"/>
      <c r="G89" s="28"/>
      <c r="H89" s="28"/>
      <c r="I89" s="28"/>
      <c r="J89" s="28"/>
      <c r="K89" s="28"/>
      <c r="L89" s="28"/>
      <c r="M89" s="28"/>
      <c r="N89" s="28"/>
      <c r="O89" s="28"/>
      <c r="P89" s="28"/>
      <c r="Q89" s="28"/>
      <c r="R89" s="28"/>
      <c r="S89" s="28"/>
      <c r="T89" s="28"/>
      <c r="U89" s="28"/>
      <c r="V89" s="29"/>
      <c r="W89" s="29">
        <v>4.6399999999999997</v>
      </c>
      <c r="X89" s="29">
        <v>4.62</v>
      </c>
      <c r="Y89" s="29">
        <v>4.643097224944337</v>
      </c>
      <c r="Z89" s="29">
        <v>4.6792716462105703</v>
      </c>
      <c r="AA89" s="29">
        <v>4.7060991439562549</v>
      </c>
      <c r="AB89" s="29">
        <v>4.7162444704607847</v>
      </c>
      <c r="AC89" s="29">
        <v>4.6683586083548727</v>
      </c>
      <c r="AD89" s="29">
        <v>4.6744949180695592</v>
      </c>
      <c r="AE89" s="29">
        <v>4.6509954956052812</v>
      </c>
      <c r="AF89" s="29">
        <v>4.6944789944389305</v>
      </c>
      <c r="AG89" s="29">
        <v>4.7066224463903454</v>
      </c>
      <c r="AH89" s="29">
        <v>4.7122702743994731</v>
      </c>
      <c r="AI89" s="29">
        <v>4.7060984285666621</v>
      </c>
      <c r="AJ89" s="29">
        <v>4.7436834681986859</v>
      </c>
      <c r="AK89" s="29">
        <v>4.7927940128589617</v>
      </c>
      <c r="AL89" s="29">
        <v>4.8337968095603303</v>
      </c>
      <c r="AM89" s="29">
        <v>4.8749288322335245</v>
      </c>
      <c r="AN89" s="29">
        <v>4.9161880511781684</v>
      </c>
      <c r="AO89" s="29">
        <v>4.9575724115293873</v>
      </c>
      <c r="AP89" s="29">
        <v>4.9990798336203621</v>
      </c>
      <c r="AQ89" s="29">
        <v>5.0415848459065344</v>
      </c>
      <c r="AR89" s="29">
        <v>5.0845937192167785</v>
      </c>
      <c r="AS89" s="29">
        <v>5.1281787624715207</v>
      </c>
      <c r="AT89" s="29">
        <v>5.172407117081975</v>
      </c>
      <c r="AU89" s="29">
        <v>5.2173363652462026</v>
      </c>
      <c r="AV89" s="29">
        <v>5.2630110552742062</v>
      </c>
      <c r="AW89" s="29">
        <v>5.3094604769408322</v>
      </c>
      <c r="AX89" s="29">
        <v>5.3566977861940419</v>
      </c>
      <c r="AY89" s="29">
        <v>5.4040752458071823</v>
      </c>
      <c r="AZ89" s="29">
        <v>5.4515896572494871</v>
      </c>
      <c r="BA89" s="29">
        <v>5.4992377837555129</v>
      </c>
      <c r="BB89" s="29">
        <v>5.5470163512500195</v>
      </c>
      <c r="BC89" s="29">
        <v>5.5949220492980842</v>
      </c>
      <c r="BD89" s="29">
        <v>5.6429515320814279</v>
      </c>
      <c r="BE89" s="29">
        <v>5.6911014193959923</v>
      </c>
      <c r="BF89" s="29">
        <v>5.7393682976738916</v>
      </c>
      <c r="BG89" s="29">
        <v>5.7877487210261309</v>
      </c>
      <c r="BH89" s="29">
        <v>5.8362392123074462</v>
      </c>
      <c r="BI89" s="29">
        <v>5.8848362642011391</v>
      </c>
      <c r="BJ89" s="29">
        <v>5.933536340321746</v>
      </c>
      <c r="BK89" s="29">
        <v>5.982335876339425</v>
      </c>
      <c r="BL89" s="29">
        <v>6.0312312811188651</v>
      </c>
      <c r="BM89" s="29">
        <v>6.0802189378760376</v>
      </c>
      <c r="BN89" s="29">
        <v>6.1292952053514327</v>
      </c>
      <c r="BO89" s="29">
        <v>6.1784564189967863</v>
      </c>
      <c r="BP89" s="29">
        <v>6.2276988921759378</v>
      </c>
      <c r="BQ89" s="29">
        <v>6.2770189173795492</v>
      </c>
      <c r="BR89" s="29">
        <v>6.3264127674501731</v>
      </c>
      <c r="BS89" s="29">
        <v>6.3758766968190681</v>
      </c>
      <c r="BT89" s="30">
        <v>6.425406942752673</v>
      </c>
      <c r="BU89" s="29">
        <v>6.4749997266086856</v>
      </c>
      <c r="BV89" s="29">
        <v>6.5246512550976714</v>
      </c>
      <c r="BW89" s="29">
        <v>6.5743577215549891</v>
      </c>
      <c r="BX89" s="29">
        <v>6.624115307215475</v>
      </c>
      <c r="BY89" s="29">
        <v>6.6739201824946273</v>
      </c>
      <c r="BZ89" s="29">
        <v>6.7237685082732099</v>
      </c>
      <c r="CA89" s="29">
        <v>6.7736564371844912</v>
      </c>
      <c r="CB89" s="29">
        <v>6.8235801149040087</v>
      </c>
      <c r="CC89" s="29">
        <v>6.8735356814384803</v>
      </c>
      <c r="CD89" s="29">
        <v>6.9235192724170309</v>
      </c>
      <c r="CE89" s="29">
        <v>6.973527020378774</v>
      </c>
      <c r="CF89" s="29">
        <v>7.0235550560605313</v>
      </c>
      <c r="CG89" s="29">
        <v>7.0735995096793101</v>
      </c>
      <c r="CH89" s="29">
        <v>7.1236565122125821</v>
      </c>
      <c r="CI89" s="29">
        <v>7.1737221966724212</v>
      </c>
      <c r="CJ89" s="29">
        <v>7.2237926993745756</v>
      </c>
      <c r="CK89" s="29">
        <v>7.2738641612002093</v>
      </c>
      <c r="CL89" s="29">
        <v>7.3239327288492273</v>
      </c>
      <c r="CM89" s="29">
        <v>7.3739945560871298</v>
      </c>
      <c r="CN89" s="29">
        <v>7.4240458049808442</v>
      </c>
      <c r="CO89" s="29">
        <v>7.4740826471239137</v>
      </c>
      <c r="CP89" s="29">
        <v>7.5241012648520709</v>
      </c>
      <c r="CQ89" s="29">
        <v>7.5740978524453038</v>
      </c>
      <c r="CR89" s="29">
        <v>7.6240686173190939</v>
      </c>
      <c r="CS89" s="29">
        <v>7.6740097812006169</v>
      </c>
      <c r="CT89" s="29">
        <v>7.7239175812902214</v>
      </c>
      <c r="CU89" s="29">
        <v>7.7737882714108668</v>
      </c>
      <c r="CV89" s="29">
        <v>7.8236181231389672</v>
      </c>
      <c r="CW89" s="29">
        <v>7.8734034269200937</v>
      </c>
      <c r="CX89" s="29">
        <v>7.9231404931684501</v>
      </c>
      <c r="CY89" s="29">
        <v>7.9728256533470674</v>
      </c>
      <c r="CZ89" s="29">
        <v>8.0224552610312472</v>
      </c>
      <c r="DA89" s="29">
        <v>8.0720256929536376</v>
      </c>
      <c r="DB89" s="29">
        <v>8.1215333500281677</v>
      </c>
      <c r="DC89" s="29">
        <v>8.1709746583553304</v>
      </c>
      <c r="DD89" s="29">
        <v>8.2203460702074924</v>
      </c>
      <c r="DE89" s="29">
        <v>8.2696440649933649</v>
      </c>
      <c r="DF89" s="29">
        <v>8.3188651501996755</v>
      </c>
      <c r="DG89" s="29">
        <v>8.368005862313538</v>
      </c>
      <c r="DH89" s="29">
        <v>8.4170627677209335</v>
      </c>
      <c r="DI89" s="29">
        <v>8.4660324635838347</v>
      </c>
      <c r="DJ89" s="29">
        <v>8.5149115786945018</v>
      </c>
      <c r="DK89" s="29">
        <v>8.5636967743055443</v>
      </c>
      <c r="DL89" s="29">
        <v>8.6123847449387423</v>
      </c>
      <c r="DM89" s="29">
        <v>8.6609722191676628</v>
      </c>
      <c r="DN89" s="29">
        <v>8.7094559603792661</v>
      </c>
      <c r="DO89" s="29">
        <v>8.7578327675088889</v>
      </c>
      <c r="DP89" s="29">
        <v>8.806099475752811</v>
      </c>
      <c r="DQ89" s="29">
        <v>8.8542529572552215</v>
      </c>
      <c r="DR89" s="29">
        <v>8.9022901217708341</v>
      </c>
      <c r="DS89">
        <v>8.9502079173044873</v>
      </c>
      <c r="DT89">
        <v>8.9980033307227103</v>
      </c>
      <c r="DU89">
        <v>9.0456733883435305</v>
      </c>
    </row>
    <row r="90" spans="1:125">
      <c r="A90" s="27">
        <v>88</v>
      </c>
      <c r="B90" s="28"/>
      <c r="C90" s="28"/>
      <c r="D90" s="28"/>
      <c r="E90" s="28"/>
      <c r="F90" s="28"/>
      <c r="G90" s="28"/>
      <c r="H90" s="28"/>
      <c r="I90" s="28"/>
      <c r="J90" s="28"/>
      <c r="K90" s="28"/>
      <c r="L90" s="28"/>
      <c r="M90" s="28"/>
      <c r="N90" s="28"/>
      <c r="O90" s="28"/>
      <c r="P90" s="28"/>
      <c r="Q90" s="28"/>
      <c r="R90" s="28"/>
      <c r="S90" s="28"/>
      <c r="T90" s="28"/>
      <c r="U90" s="28"/>
      <c r="V90" s="29"/>
      <c r="W90" s="29">
        <v>4.3099999999999996</v>
      </c>
      <c r="X90" s="29">
        <v>4.2699999999999996</v>
      </c>
      <c r="Y90" s="29">
        <v>4.3100444418483796</v>
      </c>
      <c r="Z90" s="29">
        <v>4.3393232677254066</v>
      </c>
      <c r="AA90" s="29">
        <v>4.3855173302557278</v>
      </c>
      <c r="AB90" s="29">
        <v>4.3491642708625875</v>
      </c>
      <c r="AC90" s="29">
        <v>4.3282716522990556</v>
      </c>
      <c r="AD90" s="29">
        <v>4.3016658769101577</v>
      </c>
      <c r="AE90" s="29">
        <v>4.3024600508699375</v>
      </c>
      <c r="AF90" s="29">
        <v>4.3210037165624602</v>
      </c>
      <c r="AG90" s="29">
        <v>4.3167394173109459</v>
      </c>
      <c r="AH90" s="29">
        <v>4.3184499627091224</v>
      </c>
      <c r="AI90" s="29">
        <v>4.3535987277989339</v>
      </c>
      <c r="AJ90" s="29">
        <v>4.3910735456927945</v>
      </c>
      <c r="AK90" s="29">
        <v>4.4288180251352225</v>
      </c>
      <c r="AL90" s="29">
        <v>4.4666878961968335</v>
      </c>
      <c r="AM90" s="29">
        <v>4.5046813647349913</v>
      </c>
      <c r="AN90" s="29">
        <v>4.542796611820954</v>
      </c>
      <c r="AO90" s="29">
        <v>4.5810317940570178</v>
      </c>
      <c r="AP90" s="29">
        <v>4.6193850439044848</v>
      </c>
      <c r="AQ90" s="29">
        <v>4.6588502492941348</v>
      </c>
      <c r="AR90" s="29">
        <v>4.6988629550474208</v>
      </c>
      <c r="AS90" s="29">
        <v>4.7395034072612114</v>
      </c>
      <c r="AT90" s="29">
        <v>4.7808455260098546</v>
      </c>
      <c r="AU90" s="29">
        <v>4.8229520168362141</v>
      </c>
      <c r="AV90" s="29">
        <v>4.8658705600617207</v>
      </c>
      <c r="AW90" s="29">
        <v>4.9096314385465956</v>
      </c>
      <c r="AX90" s="29">
        <v>4.9535300513464886</v>
      </c>
      <c r="AY90" s="29">
        <v>4.9975634848796346</v>
      </c>
      <c r="AZ90" s="29">
        <v>5.0417287881047192</v>
      </c>
      <c r="BA90" s="29">
        <v>5.0860229733723283</v>
      </c>
      <c r="BB90" s="29">
        <v>5.1304430172971323</v>
      </c>
      <c r="BC90" s="29">
        <v>5.1749858616532984</v>
      </c>
      <c r="BD90" s="29">
        <v>5.219648414294304</v>
      </c>
      <c r="BE90" s="29">
        <v>5.2644275500917947</v>
      </c>
      <c r="BF90" s="29">
        <v>5.3093201118970637</v>
      </c>
      <c r="BG90" s="29">
        <v>5.3543229115212938</v>
      </c>
      <c r="BH90" s="29">
        <v>5.399432730736228</v>
      </c>
      <c r="BI90" s="29">
        <v>5.4446463222930275</v>
      </c>
      <c r="BJ90" s="29">
        <v>5.4899604109570985</v>
      </c>
      <c r="BK90" s="29">
        <v>5.5353716945633336</v>
      </c>
      <c r="BL90" s="29">
        <v>5.5808768450839841</v>
      </c>
      <c r="BM90" s="29">
        <v>5.6264725097129782</v>
      </c>
      <c r="BN90" s="29">
        <v>5.6721553119653567</v>
      </c>
      <c r="BO90" s="29">
        <v>5.7179218527887095</v>
      </c>
      <c r="BP90" s="29">
        <v>5.7637687116874723</v>
      </c>
      <c r="BQ90" s="29">
        <v>5.8096924478599696</v>
      </c>
      <c r="BR90" s="29">
        <v>5.8556896013445083</v>
      </c>
      <c r="BS90" s="29">
        <v>5.9017566941762514</v>
      </c>
      <c r="BT90" s="30">
        <v>5.9478902315527327</v>
      </c>
      <c r="BU90" s="29">
        <v>5.994086703008155</v>
      </c>
      <c r="BV90" s="29">
        <v>6.0403425835921816</v>
      </c>
      <c r="BW90" s="29">
        <v>6.0866543350586042</v>
      </c>
      <c r="BX90" s="29">
        <v>6.1330184070558742</v>
      </c>
      <c r="BY90" s="29">
        <v>6.1794312383236791</v>
      </c>
      <c r="BZ90" s="29">
        <v>6.2258892578924367</v>
      </c>
      <c r="CA90" s="29">
        <v>6.2723888862850119</v>
      </c>
      <c r="CB90" s="29">
        <v>6.3189265367206895</v>
      </c>
      <c r="CC90" s="29">
        <v>6.3654986163179501</v>
      </c>
      <c r="CD90" s="29">
        <v>6.4121015272995932</v>
      </c>
      <c r="CE90" s="29">
        <v>6.4587316681939804</v>
      </c>
      <c r="CF90" s="29">
        <v>6.5053854350366036</v>
      </c>
      <c r="CG90" s="29">
        <v>6.5520592225663545</v>
      </c>
      <c r="CH90" s="29">
        <v>6.5987494254199373</v>
      </c>
      <c r="CI90" s="29">
        <v>6.6454524393203052</v>
      </c>
      <c r="CJ90" s="29">
        <v>6.6921646622604749</v>
      </c>
      <c r="CK90" s="29">
        <v>6.7388824956803681</v>
      </c>
      <c r="CL90" s="29">
        <v>6.7856023456357395</v>
      </c>
      <c r="CM90" s="29">
        <v>6.8323206239613334</v>
      </c>
      <c r="CN90" s="29">
        <v>6.8790337494236091</v>
      </c>
      <c r="CO90" s="29">
        <v>6.9257381488634984</v>
      </c>
      <c r="CP90" s="29">
        <v>6.9724302583304949</v>
      </c>
      <c r="CQ90" s="29">
        <v>7.0191065242040001</v>
      </c>
      <c r="CR90" s="29">
        <v>7.0657634043049011</v>
      </c>
      <c r="CS90" s="29">
        <v>7.1123973689930535</v>
      </c>
      <c r="CT90" s="29">
        <v>7.1590049022510804</v>
      </c>
      <c r="CU90" s="29">
        <v>7.2055825027574549</v>
      </c>
      <c r="CV90" s="29">
        <v>7.2521266849420174</v>
      </c>
      <c r="CW90" s="29">
        <v>7.2986339800276987</v>
      </c>
      <c r="CX90" s="29">
        <v>7.3451009370573681</v>
      </c>
      <c r="CY90" s="29">
        <v>7.3915241239026823</v>
      </c>
      <c r="CZ90" s="29">
        <v>7.437900128257712</v>
      </c>
      <c r="DA90" s="29">
        <v>7.4842255586156803</v>
      </c>
      <c r="DB90" s="29">
        <v>7.5304970452260047</v>
      </c>
      <c r="DC90" s="29">
        <v>7.5767112410343129</v>
      </c>
      <c r="DD90" s="29">
        <v>7.6228648226041358</v>
      </c>
      <c r="DE90" s="29">
        <v>7.6689544910193979</v>
      </c>
      <c r="DF90" s="29">
        <v>7.714976972765748</v>
      </c>
      <c r="DG90" s="29">
        <v>7.7609290205944124</v>
      </c>
      <c r="DH90" s="29">
        <v>7.8068074143638553</v>
      </c>
      <c r="DI90" s="29">
        <v>7.8526089618619235</v>
      </c>
      <c r="DJ90" s="29">
        <v>7.8983304996069741</v>
      </c>
      <c r="DK90" s="29">
        <v>7.9439688936265753</v>
      </c>
      <c r="DL90" s="29">
        <v>7.9895210402169425</v>
      </c>
      <c r="DM90" s="29">
        <v>8.0349838666779263</v>
      </c>
      <c r="DN90" s="29">
        <v>8.0803543320290512</v>
      </c>
      <c r="DO90" s="29">
        <v>8.1256294277007566</v>
      </c>
      <c r="DP90" s="29">
        <v>8.1708061782052059</v>
      </c>
      <c r="DQ90" s="29">
        <v>8.2158816417834561</v>
      </c>
      <c r="DR90" s="29">
        <v>8.2608529110302005</v>
      </c>
      <c r="DS90">
        <v>8.3057171134975718</v>
      </c>
      <c r="DT90">
        <v>8.3504714122727357</v>
      </c>
      <c r="DU90">
        <v>8.3951130065358388</v>
      </c>
    </row>
    <row r="91" spans="1:125">
      <c r="A91" s="27">
        <v>89</v>
      </c>
      <c r="B91" s="28"/>
      <c r="C91" s="28"/>
      <c r="D91" s="28"/>
      <c r="E91" s="28"/>
      <c r="F91" s="28"/>
      <c r="G91" s="28"/>
      <c r="H91" s="28"/>
      <c r="I91" s="28"/>
      <c r="J91" s="28"/>
      <c r="K91" s="28"/>
      <c r="L91" s="28"/>
      <c r="M91" s="28"/>
      <c r="N91" s="28"/>
      <c r="O91" s="28"/>
      <c r="P91" s="28"/>
      <c r="Q91" s="28"/>
      <c r="R91" s="28"/>
      <c r="S91" s="28"/>
      <c r="T91" s="28"/>
      <c r="U91" s="28"/>
      <c r="V91" s="29"/>
      <c r="W91" s="29">
        <v>3.96</v>
      </c>
      <c r="X91" s="29">
        <v>3.95</v>
      </c>
      <c r="Y91" s="29">
        <v>3.9886233918560308</v>
      </c>
      <c r="Z91" s="29">
        <v>4.0428823924056383</v>
      </c>
      <c r="AA91" s="29">
        <v>4.0435322289500837</v>
      </c>
      <c r="AB91" s="29">
        <v>4.0344762566331536</v>
      </c>
      <c r="AC91" s="29">
        <v>3.9827408310267507</v>
      </c>
      <c r="AD91" s="29">
        <v>3.9787582791058211</v>
      </c>
      <c r="AE91" s="29">
        <v>3.9690754283801035</v>
      </c>
      <c r="AF91" s="29">
        <v>3.9690688540895507</v>
      </c>
      <c r="AG91" s="29">
        <v>3.9547948818100163</v>
      </c>
      <c r="AH91" s="29">
        <v>3.9809038073633554</v>
      </c>
      <c r="AI91" s="29">
        <v>4.0208621223811614</v>
      </c>
      <c r="AJ91" s="29">
        <v>4.0554892615147784</v>
      </c>
      <c r="AK91" s="29">
        <v>4.0902359706780675</v>
      </c>
      <c r="AL91" s="29">
        <v>4.1251006644481514</v>
      </c>
      <c r="AM91" s="29">
        <v>4.1600817335780684</v>
      </c>
      <c r="AN91" s="29">
        <v>4.1951775452740918</v>
      </c>
      <c r="AO91" s="29">
        <v>4.2303864434864193</v>
      </c>
      <c r="AP91" s="29">
        <v>4.265706749209623</v>
      </c>
      <c r="AQ91" s="29">
        <v>4.3022866020154478</v>
      </c>
      <c r="AR91" s="29">
        <v>4.339469494960202</v>
      </c>
      <c r="AS91" s="29">
        <v>4.3773455831840842</v>
      </c>
      <c r="AT91" s="29">
        <v>4.4159971608428625</v>
      </c>
      <c r="AU91" s="29">
        <v>4.4554931458561571</v>
      </c>
      <c r="AV91" s="29">
        <v>4.4958848532603248</v>
      </c>
      <c r="AW91" s="29">
        <v>4.536409160664876</v>
      </c>
      <c r="AX91" s="29">
        <v>4.5770634186757313</v>
      </c>
      <c r="AY91" s="29">
        <v>4.6178449421290741</v>
      </c>
      <c r="AZ91" s="29">
        <v>4.658751010867153</v>
      </c>
      <c r="BA91" s="29">
        <v>4.6997788705403014</v>
      </c>
      <c r="BB91" s="29">
        <v>4.7409257334267556</v>
      </c>
      <c r="BC91" s="29">
        <v>4.7821887792732634</v>
      </c>
      <c r="BD91" s="29">
        <v>4.8235651561579402</v>
      </c>
      <c r="BE91" s="29">
        <v>4.8650519813694473</v>
      </c>
      <c r="BF91" s="29">
        <v>4.9066463423067024</v>
      </c>
      <c r="BG91" s="29">
        <v>4.94834529739492</v>
      </c>
      <c r="BH91" s="29">
        <v>4.9901458770200033</v>
      </c>
      <c r="BI91" s="29">
        <v>5.0320450844789573</v>
      </c>
      <c r="BJ91" s="29">
        <v>5.0740398969439813</v>
      </c>
      <c r="BK91" s="29">
        <v>5.1161272664454067</v>
      </c>
      <c r="BL91" s="29">
        <v>5.1583041208649263</v>
      </c>
      <c r="BM91" s="29">
        <v>5.2005673649435717</v>
      </c>
      <c r="BN91" s="29">
        <v>5.2429138813031377</v>
      </c>
      <c r="BO91" s="29">
        <v>5.2853405314777255</v>
      </c>
      <c r="BP91" s="29">
        <v>5.3278441569566066</v>
      </c>
      <c r="BQ91" s="29">
        <v>5.3704215802383937</v>
      </c>
      <c r="BR91" s="29">
        <v>5.4130696058926562</v>
      </c>
      <c r="BS91" s="29">
        <v>5.4557850216310655</v>
      </c>
      <c r="BT91" s="30">
        <v>5.4985645993858681</v>
      </c>
      <c r="BU91" s="29">
        <v>5.541405096396061</v>
      </c>
      <c r="BV91" s="29">
        <v>5.584303256296705</v>
      </c>
      <c r="BW91" s="29">
        <v>5.6272558102174983</v>
      </c>
      <c r="BX91" s="29">
        <v>5.6702594778819622</v>
      </c>
      <c r="BY91" s="29">
        <v>5.7133109687120474</v>
      </c>
      <c r="BZ91" s="29">
        <v>5.7564069829348758</v>
      </c>
      <c r="CA91" s="29">
        <v>5.7995442126910737</v>
      </c>
      <c r="CB91" s="29">
        <v>5.8427193431448696</v>
      </c>
      <c r="CC91" s="29">
        <v>5.8859290535924007</v>
      </c>
      <c r="CD91" s="29">
        <v>5.9291700185722496</v>
      </c>
      <c r="CE91" s="29">
        <v>5.9724389089715952</v>
      </c>
      <c r="CF91" s="29">
        <v>6.0157323931327271</v>
      </c>
      <c r="CG91" s="29">
        <v>6.0590471379539874</v>
      </c>
      <c r="CH91" s="29">
        <v>6.102379809989035</v>
      </c>
      <c r="CI91" s="29">
        <v>6.1457270765401049</v>
      </c>
      <c r="CJ91" s="29">
        <v>6.1890856067469331</v>
      </c>
      <c r="CK91" s="29">
        <v>6.2324520726689032</v>
      </c>
      <c r="CL91" s="29">
        <v>6.2758231503596109</v>
      </c>
      <c r="CM91" s="29">
        <v>6.3191955209362547</v>
      </c>
      <c r="CN91" s="29">
        <v>6.3625658716389841</v>
      </c>
      <c r="CO91" s="29">
        <v>6.4059308968808697</v>
      </c>
      <c r="CP91" s="29">
        <v>6.4492872992900114</v>
      </c>
      <c r="CQ91" s="29">
        <v>6.4926317907395275</v>
      </c>
      <c r="CR91" s="29">
        <v>6.5359610933687726</v>
      </c>
      <c r="CS91" s="29">
        <v>6.5792719405912443</v>
      </c>
      <c r="CT91" s="29">
        <v>6.6225610780897561</v>
      </c>
      <c r="CU91" s="29">
        <v>6.6658252648021676</v>
      </c>
      <c r="CV91" s="29">
        <v>6.7090612738904465</v>
      </c>
      <c r="CW91" s="29">
        <v>6.7522658936972135</v>
      </c>
      <c r="CX91" s="29">
        <v>6.7954359286887156</v>
      </c>
      <c r="CY91" s="29">
        <v>6.8385682003809984</v>
      </c>
      <c r="CZ91" s="29">
        <v>6.8816595482523137</v>
      </c>
      <c r="DA91" s="29">
        <v>6.9247068306401207</v>
      </c>
      <c r="DB91" s="29">
        <v>6.9677069256197175</v>
      </c>
      <c r="DC91" s="29">
        <v>7.0106567318674839</v>
      </c>
      <c r="DD91" s="29">
        <v>7.053553169507409</v>
      </c>
      <c r="DE91" s="29">
        <v>7.0963931809400336</v>
      </c>
      <c r="DF91" s="29">
        <v>7.1391737316518169</v>
      </c>
      <c r="DG91" s="29">
        <v>7.1818918110088994</v>
      </c>
      <c r="DH91" s="29">
        <v>7.2245444330303092</v>
      </c>
      <c r="DI91" s="29">
        <v>7.267128637143518</v>
      </c>
      <c r="DJ91" s="29">
        <v>7.309641488920807</v>
      </c>
      <c r="DK91" s="29">
        <v>7.352080080795</v>
      </c>
      <c r="DL91" s="29">
        <v>7.3944415327579476</v>
      </c>
      <c r="DM91" s="29">
        <v>7.4367229930363328</v>
      </c>
      <c r="DN91" s="29">
        <v>7.4789216387506441</v>
      </c>
      <c r="DO91" s="29">
        <v>7.5210346765511602</v>
      </c>
      <c r="DP91" s="29">
        <v>7.5630593432355981</v>
      </c>
      <c r="DQ91" s="29">
        <v>7.6049929063450685</v>
      </c>
      <c r="DR91" s="29">
        <v>7.6468326647396196</v>
      </c>
      <c r="DS91">
        <v>7.6885759491549797</v>
      </c>
      <c r="DT91">
        <v>7.7302201227349387</v>
      </c>
      <c r="DU91">
        <v>7.7717625815463203</v>
      </c>
    </row>
    <row r="92" spans="1:125">
      <c r="A92" s="27">
        <v>90</v>
      </c>
      <c r="B92" s="28"/>
      <c r="C92" s="28"/>
      <c r="D92" s="28"/>
      <c r="E92" s="28"/>
      <c r="F92" s="28"/>
      <c r="G92" s="28"/>
      <c r="H92" s="28"/>
      <c r="I92" s="28"/>
      <c r="J92" s="28"/>
      <c r="K92" s="28"/>
      <c r="L92" s="28"/>
      <c r="M92" s="28"/>
      <c r="N92" s="28"/>
      <c r="O92" s="28"/>
      <c r="P92" s="28"/>
      <c r="Q92" s="28"/>
      <c r="R92" s="28"/>
      <c r="S92" s="28"/>
      <c r="T92" s="28"/>
      <c r="U92" s="28"/>
      <c r="V92" s="29"/>
      <c r="W92" s="29">
        <v>3.67</v>
      </c>
      <c r="X92" s="29">
        <v>3.65</v>
      </c>
      <c r="Y92" s="29">
        <v>3.7157499729635828</v>
      </c>
      <c r="Z92" s="29">
        <v>3.7153610033033933</v>
      </c>
      <c r="AA92" s="29">
        <v>3.7514848977428401</v>
      </c>
      <c r="AB92" s="29">
        <v>3.7137200790127705</v>
      </c>
      <c r="AC92" s="29">
        <v>3.6796227201406899</v>
      </c>
      <c r="AD92" s="29">
        <v>3.6750402687651493</v>
      </c>
      <c r="AE92" s="29">
        <v>3.6352531478809458</v>
      </c>
      <c r="AF92" s="29">
        <v>3.6259704428707109</v>
      </c>
      <c r="AG92" s="29">
        <v>3.6558994695594498</v>
      </c>
      <c r="AH92" s="29">
        <v>3.6817892250335902</v>
      </c>
      <c r="AI92" s="29">
        <v>3.7134517405781162</v>
      </c>
      <c r="AJ92" s="29">
        <v>3.7452262615445084</v>
      </c>
      <c r="AK92" s="29">
        <v>3.7771113823152094</v>
      </c>
      <c r="AL92" s="29">
        <v>3.8091056749116183</v>
      </c>
      <c r="AM92" s="29">
        <v>3.841207689244289</v>
      </c>
      <c r="AN92" s="29">
        <v>3.8734159533714423</v>
      </c>
      <c r="AO92" s="29">
        <v>3.9057289737700631</v>
      </c>
      <c r="AP92" s="29">
        <v>3.9381452356153179</v>
      </c>
      <c r="AQ92" s="29">
        <v>3.9720155755733937</v>
      </c>
      <c r="AR92" s="29">
        <v>4.0065616350527504</v>
      </c>
      <c r="AS92" s="29">
        <v>4.0418861195514735</v>
      </c>
      <c r="AT92" s="29">
        <v>4.0780818025816146</v>
      </c>
      <c r="AU92" s="29">
        <v>4.1152252095522872</v>
      </c>
      <c r="AV92" s="29">
        <v>4.1524935518243717</v>
      </c>
      <c r="AW92" s="29">
        <v>4.1898844206955657</v>
      </c>
      <c r="AX92" s="29">
        <v>4.2273953742092258</v>
      </c>
      <c r="AY92" s="29">
        <v>4.2650239378678476</v>
      </c>
      <c r="AZ92" s="29">
        <v>4.3027676053617618</v>
      </c>
      <c r="BA92" s="29">
        <v>4.3406238393218572</v>
      </c>
      <c r="BB92" s="29">
        <v>4.378590072086717</v>
      </c>
      <c r="BC92" s="29">
        <v>4.4166637064878049</v>
      </c>
      <c r="BD92" s="29">
        <v>4.4548421166545049</v>
      </c>
      <c r="BE92" s="29">
        <v>4.4931226488323768</v>
      </c>
      <c r="BF92" s="29">
        <v>4.5315026222196213</v>
      </c>
      <c r="BG92" s="29">
        <v>4.5699793298171034</v>
      </c>
      <c r="BH92" s="29">
        <v>4.6085500392944274</v>
      </c>
      <c r="BI92" s="29">
        <v>4.6472119938695711</v>
      </c>
      <c r="BJ92" s="29">
        <v>4.6859624131995856</v>
      </c>
      <c r="BK92" s="29">
        <v>4.7247984942884491</v>
      </c>
      <c r="BL92" s="29">
        <v>4.7637174124024924</v>
      </c>
      <c r="BM92" s="29">
        <v>4.8027163219986786</v>
      </c>
      <c r="BN92" s="29">
        <v>4.8417923576644402</v>
      </c>
      <c r="BO92" s="29">
        <v>4.8809426350654972</v>
      </c>
      <c r="BP92" s="29">
        <v>4.9201642519031985</v>
      </c>
      <c r="BQ92" s="29">
        <v>4.9594542888815862</v>
      </c>
      <c r="BR92" s="29">
        <v>4.9988098106800019</v>
      </c>
      <c r="BS92" s="29">
        <v>5.0382278669337914</v>
      </c>
      <c r="BT92" s="30">
        <v>5.0777054932208303</v>
      </c>
      <c r="BU92" s="29">
        <v>5.1172397120544639</v>
      </c>
      <c r="BV92" s="29">
        <v>5.1568275338779799</v>
      </c>
      <c r="BW92" s="29">
        <v>5.1964659580676171</v>
      </c>
      <c r="BX92" s="29">
        <v>5.2361519739346862</v>
      </c>
      <c r="BY92" s="29">
        <v>5.2758825617323044</v>
      </c>
      <c r="BZ92" s="29">
        <v>5.315654693663336</v>
      </c>
      <c r="CA92" s="29">
        <v>5.3554653348890779</v>
      </c>
      <c r="CB92" s="29">
        <v>5.3953114445390895</v>
      </c>
      <c r="CC92" s="29">
        <v>5.4351899767184078</v>
      </c>
      <c r="CD92" s="29">
        <v>5.4750978815167821</v>
      </c>
      <c r="CE92" s="29">
        <v>5.5150321060127956</v>
      </c>
      <c r="CF92" s="29">
        <v>5.5549895952782844</v>
      </c>
      <c r="CG92" s="29">
        <v>5.5949672933767189</v>
      </c>
      <c r="CH92" s="29">
        <v>5.6349621443599514</v>
      </c>
      <c r="CI92" s="29">
        <v>5.6749710932587982</v>
      </c>
      <c r="CJ92" s="29">
        <v>5.7149910870694249</v>
      </c>
      <c r="CK92" s="29">
        <v>5.7550190757330251</v>
      </c>
      <c r="CL92" s="29">
        <v>5.7950520131080667</v>
      </c>
      <c r="CM92" s="29">
        <v>5.835086857937914</v>
      </c>
      <c r="CN92" s="29">
        <v>5.8751205748086219</v>
      </c>
      <c r="CO92" s="29">
        <v>5.9151501350978286</v>
      </c>
      <c r="CP92" s="29">
        <v>5.9551725179164778</v>
      </c>
      <c r="CQ92" s="29">
        <v>5.9951847110389442</v>
      </c>
      <c r="CR92" s="29">
        <v>6.0351837118252893</v>
      </c>
      <c r="CS92" s="29">
        <v>6.075166528130854</v>
      </c>
      <c r="CT92" s="29">
        <v>6.1151301792039829</v>
      </c>
      <c r="CU92" s="29">
        <v>6.1550716965755168</v>
      </c>
      <c r="CV92" s="29">
        <v>6.1949881249323813</v>
      </c>
      <c r="CW92" s="29">
        <v>6.2348765229798744</v>
      </c>
      <c r="CX92" s="29">
        <v>6.2747339642916113</v>
      </c>
      <c r="CY92" s="29">
        <v>6.3145575381437622</v>
      </c>
      <c r="CZ92" s="29">
        <v>6.3543443503369481</v>
      </c>
      <c r="DA92" s="29">
        <v>6.3940915240041205</v>
      </c>
      <c r="DB92" s="29">
        <v>6.4337962004013534</v>
      </c>
      <c r="DC92" s="29">
        <v>6.4734555396848084</v>
      </c>
      <c r="DD92" s="29">
        <v>6.5130667216725548</v>
      </c>
      <c r="DE92" s="29">
        <v>6.552626946590375</v>
      </c>
      <c r="DF92" s="29">
        <v>6.5921334357995276</v>
      </c>
      <c r="DG92" s="29">
        <v>6.6315834325107392</v>
      </c>
      <c r="DH92" s="29">
        <v>6.6709742024792575</v>
      </c>
      <c r="DI92" s="29">
        <v>6.7103030346840757</v>
      </c>
      <c r="DJ92" s="29">
        <v>6.7495672419897916</v>
      </c>
      <c r="DK92" s="29">
        <v>6.7887641617895662</v>
      </c>
      <c r="DL92" s="29">
        <v>6.8278911566328917</v>
      </c>
      <c r="DM92" s="29">
        <v>6.8669456148323906</v>
      </c>
      <c r="DN92" s="29">
        <v>6.9059249510559315</v>
      </c>
      <c r="DO92" s="29">
        <v>6.9448266068975411</v>
      </c>
      <c r="DP92" s="29">
        <v>6.9836480514320955</v>
      </c>
      <c r="DQ92" s="29">
        <v>7.0223867817502619</v>
      </c>
      <c r="DR92" s="29">
        <v>7.0610403234750665</v>
      </c>
      <c r="DS92">
        <v>7.0996062312618262</v>
      </c>
      <c r="DT92">
        <v>7.1380820892755681</v>
      </c>
      <c r="DU92">
        <v>7.1764655116533156</v>
      </c>
    </row>
    <row r="93" spans="1:125">
      <c r="A93" s="27">
        <v>91</v>
      </c>
      <c r="B93" s="28"/>
      <c r="C93" s="28"/>
      <c r="D93" s="28"/>
      <c r="E93" s="28"/>
      <c r="F93" s="28"/>
      <c r="G93" s="28"/>
      <c r="H93" s="28"/>
      <c r="I93" s="28"/>
      <c r="J93" s="28"/>
      <c r="K93" s="28"/>
      <c r="L93" s="28"/>
      <c r="M93" s="28"/>
      <c r="N93" s="28"/>
      <c r="O93" s="28"/>
      <c r="P93" s="28"/>
      <c r="Q93" s="28"/>
      <c r="R93" s="28"/>
      <c r="S93" s="28"/>
      <c r="T93" s="28"/>
      <c r="U93" s="28"/>
      <c r="V93" s="29"/>
      <c r="W93" s="29">
        <v>3.39</v>
      </c>
      <c r="X93" s="29">
        <v>3.39</v>
      </c>
      <c r="Y93" s="29">
        <v>3.4159292447526073</v>
      </c>
      <c r="Z93" s="29">
        <v>3.4326110818733317</v>
      </c>
      <c r="AA93" s="29">
        <v>3.4612011014453725</v>
      </c>
      <c r="AB93" s="29">
        <v>3.4384199135750686</v>
      </c>
      <c r="AC93" s="29">
        <v>3.396378794742831</v>
      </c>
      <c r="AD93" s="29">
        <v>3.3588511115756923</v>
      </c>
      <c r="AE93" s="29">
        <v>3.3203254930843271</v>
      </c>
      <c r="AF93" s="29">
        <v>3.3543963383864188</v>
      </c>
      <c r="AG93" s="29">
        <v>3.3732315915488393</v>
      </c>
      <c r="AH93" s="29">
        <v>3.4020910297440046</v>
      </c>
      <c r="AI93" s="29">
        <v>3.4310533990119052</v>
      </c>
      <c r="AJ93" s="29">
        <v>3.4601174439960722</v>
      </c>
      <c r="AK93" s="29">
        <v>3.4892818888751491</v>
      </c>
      <c r="AL93" s="29">
        <v>3.518545437594216</v>
      </c>
      <c r="AM93" s="29">
        <v>3.5479067741032635</v>
      </c>
      <c r="AN93" s="29">
        <v>3.5773645626021437</v>
      </c>
      <c r="AO93" s="29">
        <v>3.6069174477972061</v>
      </c>
      <c r="AP93" s="29">
        <v>3.6365640551644769</v>
      </c>
      <c r="AQ93" s="29">
        <v>3.6679264254980324</v>
      </c>
      <c r="AR93" s="29">
        <v>3.7000619143623097</v>
      </c>
      <c r="AS93" s="29">
        <v>3.7330893655839028</v>
      </c>
      <c r="AT93" s="29">
        <v>3.7671148427735761</v>
      </c>
      <c r="AU93" s="29">
        <v>3.8012552662072294</v>
      </c>
      <c r="AV93" s="29">
        <v>3.8355084437686973</v>
      </c>
      <c r="AW93" s="29">
        <v>3.8698721533291338</v>
      </c>
      <c r="AX93" s="29">
        <v>3.9043441433981574</v>
      </c>
      <c r="AY93" s="29">
        <v>3.9389221337926816</v>
      </c>
      <c r="AZ93" s="29">
        <v>3.9736038163170537</v>
      </c>
      <c r="BA93" s="29">
        <v>4.0083868554650923</v>
      </c>
      <c r="BB93" s="29">
        <v>4.0432688891328068</v>
      </c>
      <c r="BC93" s="29">
        <v>4.0782475293462888</v>
      </c>
      <c r="BD93" s="29">
        <v>4.1133203630070261</v>
      </c>
      <c r="BE93" s="29">
        <v>4.148484952647026</v>
      </c>
      <c r="BF93" s="29">
        <v>4.1837388371997823</v>
      </c>
      <c r="BG93" s="29">
        <v>4.2190795327818345</v>
      </c>
      <c r="BH93" s="29">
        <v>4.254504533487979</v>
      </c>
      <c r="BI93" s="29">
        <v>4.2900113121974437</v>
      </c>
      <c r="BJ93" s="29">
        <v>4.3255973213883152</v>
      </c>
      <c r="BK93" s="29">
        <v>4.3612599939674537</v>
      </c>
      <c r="BL93" s="29">
        <v>4.3969967441049835</v>
      </c>
      <c r="BM93" s="29">
        <v>4.4328049680797168</v>
      </c>
      <c r="BN93" s="29">
        <v>4.4686820451341278</v>
      </c>
      <c r="BO93" s="29">
        <v>4.504625338335015</v>
      </c>
      <c r="BP93" s="29">
        <v>4.5406321954417965</v>
      </c>
      <c r="BQ93" s="29">
        <v>4.5766999497828822</v>
      </c>
      <c r="BR93" s="29">
        <v>4.6128259211354932</v>
      </c>
      <c r="BS93" s="29">
        <v>4.6490074166121165</v>
      </c>
      <c r="BT93" s="30">
        <v>4.6852417315511241</v>
      </c>
      <c r="BU93" s="29">
        <v>4.7215261504124699</v>
      </c>
      <c r="BV93" s="29">
        <v>4.7578579476731155</v>
      </c>
      <c r="BW93" s="29">
        <v>4.7942343887302936</v>
      </c>
      <c r="BX93" s="29">
        <v>4.8306527308021661</v>
      </c>
      <c r="BY93" s="29">
        <v>4.8671102238322739</v>
      </c>
      <c r="BZ93" s="29">
        <v>4.9036041113941184</v>
      </c>
      <c r="CA93" s="29">
        <v>4.9401316315955617</v>
      </c>
      <c r="CB93" s="29">
        <v>4.976690017983656</v>
      </c>
      <c r="CC93" s="29">
        <v>5.0132765004459099</v>
      </c>
      <c r="CD93" s="29">
        <v>5.0498883061133171</v>
      </c>
      <c r="CE93" s="29">
        <v>5.0865226602573932</v>
      </c>
      <c r="CF93" s="29">
        <v>5.1231767871874121</v>
      </c>
      <c r="CG93" s="29">
        <v>5.1598479111409574</v>
      </c>
      <c r="CH93" s="29">
        <v>5.1965332571728862</v>
      </c>
      <c r="CI93" s="29">
        <v>5.2332300520378094</v>
      </c>
      <c r="CJ93" s="29">
        <v>5.2699355250684397</v>
      </c>
      <c r="CK93" s="29">
        <v>5.3066469090472186</v>
      </c>
      <c r="CL93" s="29">
        <v>5.3433614410705292</v>
      </c>
      <c r="CM93" s="29">
        <v>5.3800763634088193</v>
      </c>
      <c r="CN93" s="29">
        <v>5.4167889243569727</v>
      </c>
      <c r="CO93" s="29">
        <v>5.4534963790761273</v>
      </c>
      <c r="CP93" s="29">
        <v>5.4901959904290312</v>
      </c>
      <c r="CQ93" s="29">
        <v>5.5268850298041254</v>
      </c>
      <c r="CR93" s="29">
        <v>5.5635607779326639</v>
      </c>
      <c r="CS93" s="29">
        <v>5.6002205256936932</v>
      </c>
      <c r="CT93" s="29">
        <v>5.6368615749079041</v>
      </c>
      <c r="CU93" s="29">
        <v>5.6734812391244835</v>
      </c>
      <c r="CV93" s="29">
        <v>5.7100768443926659</v>
      </c>
      <c r="CW93" s="29">
        <v>5.7466457300231335</v>
      </c>
      <c r="CX93" s="29">
        <v>5.7831852493382714</v>
      </c>
      <c r="CY93" s="29">
        <v>5.8196927704076646</v>
      </c>
      <c r="CZ93" s="29">
        <v>5.8561656767726689</v>
      </c>
      <c r="DA93" s="29">
        <v>5.8926013681582701</v>
      </c>
      <c r="DB93" s="29">
        <v>5.9289972611690276</v>
      </c>
      <c r="DC93" s="29">
        <v>5.9653507899727396</v>
      </c>
      <c r="DD93" s="29">
        <v>6.001659406970445</v>
      </c>
      <c r="DE93" s="29">
        <v>6.0379205834519434</v>
      </c>
      <c r="DF93" s="29">
        <v>6.0741318102346975</v>
      </c>
      <c r="DG93" s="29">
        <v>6.1102905982908098</v>
      </c>
      <c r="DH93" s="29">
        <v>6.1463944793565704</v>
      </c>
      <c r="DI93" s="29">
        <v>6.1824410065279807</v>
      </c>
      <c r="DJ93" s="29">
        <v>6.2184277548406754</v>
      </c>
      <c r="DK93" s="29">
        <v>6.2543523218326333</v>
      </c>
      <c r="DL93" s="29">
        <v>6.2902123280937259</v>
      </c>
      <c r="DM93" s="29">
        <v>6.3260054177959484</v>
      </c>
      <c r="DN93" s="29">
        <v>6.3617292592111099</v>
      </c>
      <c r="DO93" s="29">
        <v>6.3973815452090532</v>
      </c>
      <c r="DP93" s="29">
        <v>6.4329599937417452</v>
      </c>
      <c r="DQ93" s="29">
        <v>6.4684623483095427</v>
      </c>
      <c r="DR93" s="29">
        <v>6.5038863784110905</v>
      </c>
      <c r="DS93">
        <v>6.5392298799787527</v>
      </c>
      <c r="DT93">
        <v>6.574490675793327</v>
      </c>
      <c r="DU93">
        <v>6.6096666158859367</v>
      </c>
    </row>
    <row r="94" spans="1:125">
      <c r="A94" s="27">
        <v>92</v>
      </c>
      <c r="B94" s="28"/>
      <c r="C94" s="28"/>
      <c r="D94" s="28"/>
      <c r="E94" s="28"/>
      <c r="F94" s="28"/>
      <c r="G94" s="28"/>
      <c r="H94" s="28"/>
      <c r="I94" s="28"/>
      <c r="J94" s="28"/>
      <c r="K94" s="28"/>
      <c r="L94" s="28"/>
      <c r="M94" s="28"/>
      <c r="N94" s="28"/>
      <c r="O94" s="28"/>
      <c r="P94" s="28"/>
      <c r="Q94" s="28"/>
      <c r="R94" s="28"/>
      <c r="S94" s="28"/>
      <c r="T94" s="28"/>
      <c r="U94" s="28"/>
      <c r="V94" s="29"/>
      <c r="W94" s="29">
        <v>3.17</v>
      </c>
      <c r="X94" s="29">
        <v>3.12</v>
      </c>
      <c r="Y94" s="29">
        <v>3.1882902766806582</v>
      </c>
      <c r="Z94" s="29">
        <v>3.1623589004672779</v>
      </c>
      <c r="AA94" s="29">
        <v>3.2138457346399942</v>
      </c>
      <c r="AB94" s="29">
        <v>3.1606919277606815</v>
      </c>
      <c r="AC94" s="29">
        <v>3.1032662687215362</v>
      </c>
      <c r="AD94" s="29">
        <v>3.0580241256535992</v>
      </c>
      <c r="AE94" s="29">
        <v>3.0512966036854916</v>
      </c>
      <c r="AF94" s="29">
        <v>3.0943687555992421</v>
      </c>
      <c r="AG94" s="29">
        <v>3.1205919206137982</v>
      </c>
      <c r="AH94" s="29">
        <v>3.1469076291634099</v>
      </c>
      <c r="AI94" s="29">
        <v>3.1733147477944943</v>
      </c>
      <c r="AJ94" s="29">
        <v>3.1998121248778375</v>
      </c>
      <c r="AK94" s="29">
        <v>3.2263985908117676</v>
      </c>
      <c r="AL94" s="29">
        <v>3.2530729582464044</v>
      </c>
      <c r="AM94" s="29">
        <v>3.2798340223129885</v>
      </c>
      <c r="AN94" s="29">
        <v>3.3066805608575303</v>
      </c>
      <c r="AO94" s="29">
        <v>3.3336113346853153</v>
      </c>
      <c r="AP94" s="29">
        <v>3.3606250878099044</v>
      </c>
      <c r="AQ94" s="29">
        <v>3.3897138688830233</v>
      </c>
      <c r="AR94" s="29">
        <v>3.4197090867088451</v>
      </c>
      <c r="AS94" s="29">
        <v>3.4507506705390059</v>
      </c>
      <c r="AT94" s="29">
        <v>3.4818951019182323</v>
      </c>
      <c r="AU94" s="29">
        <v>3.5131403832370065</v>
      </c>
      <c r="AV94" s="29">
        <v>3.5444844907137871</v>
      </c>
      <c r="AW94" s="29">
        <v>3.5759253749806406</v>
      </c>
      <c r="AX94" s="29">
        <v>3.6074609616894295</v>
      </c>
      <c r="AY94" s="29">
        <v>3.6390891521326809</v>
      </c>
      <c r="AZ94" s="29">
        <v>3.6708078238716246</v>
      </c>
      <c r="BA94" s="29">
        <v>3.7026148313843432</v>
      </c>
      <c r="BB94" s="29">
        <v>3.7345080067206453</v>
      </c>
      <c r="BC94" s="29">
        <v>3.7664851601692968</v>
      </c>
      <c r="BD94" s="29">
        <v>3.7985440809404101</v>
      </c>
      <c r="BE94" s="29">
        <v>3.8306825378540941</v>
      </c>
      <c r="BF94" s="29">
        <v>3.8628982800427365</v>
      </c>
      <c r="BG94" s="29">
        <v>3.8951890376608378</v>
      </c>
      <c r="BH94" s="29">
        <v>3.9275525226062382</v>
      </c>
      <c r="BI94" s="29">
        <v>3.9599864292496805</v>
      </c>
      <c r="BJ94" s="29">
        <v>3.9924884351697729</v>
      </c>
      <c r="BK94" s="29">
        <v>4.025056201902002</v>
      </c>
      <c r="BL94" s="29">
        <v>4.0576873756891665</v>
      </c>
      <c r="BM94" s="29">
        <v>4.0903795882409062</v>
      </c>
      <c r="BN94" s="29">
        <v>4.1231304575008734</v>
      </c>
      <c r="BO94" s="29">
        <v>4.1559375884172258</v>
      </c>
      <c r="BP94" s="29">
        <v>4.1887985737189277</v>
      </c>
      <c r="BQ94" s="29">
        <v>4.2217109946985198</v>
      </c>
      <c r="BR94" s="29">
        <v>4.2546724219962391</v>
      </c>
      <c r="BS94" s="29">
        <v>4.2876804163893043</v>
      </c>
      <c r="BT94" s="30">
        <v>4.3207325295837684</v>
      </c>
      <c r="BU94" s="29">
        <v>4.3538263050101236</v>
      </c>
      <c r="BV94" s="29">
        <v>4.3869592786167377</v>
      </c>
      <c r="BW94" s="29">
        <v>4.4201289796706051</v>
      </c>
      <c r="BX94" s="29">
        <v>4.4533329315536188</v>
      </c>
      <c r="BY94" s="29">
        <v>4.4865686525618882</v>
      </c>
      <c r="BZ94" s="29">
        <v>4.5198336567041002</v>
      </c>
      <c r="CA94" s="29">
        <v>4.5531254544987432</v>
      </c>
      <c r="CB94" s="29">
        <v>4.5864415537710714</v>
      </c>
      <c r="CC94" s="29">
        <v>4.6197794604454661</v>
      </c>
      <c r="CD94" s="29">
        <v>4.6531366793393829</v>
      </c>
      <c r="CE94" s="29">
        <v>4.6865107149503142</v>
      </c>
      <c r="CF94" s="29">
        <v>4.7198990722429111</v>
      </c>
      <c r="CG94" s="29">
        <v>4.7532992574286599</v>
      </c>
      <c r="CH94" s="29">
        <v>4.7867087787440532</v>
      </c>
      <c r="CI94" s="29">
        <v>4.8201251472218827</v>
      </c>
      <c r="CJ94" s="29">
        <v>4.8535458774584663</v>
      </c>
      <c r="CK94" s="29">
        <v>4.8869684883740598</v>
      </c>
      <c r="CL94" s="29">
        <v>4.9203905039658258</v>
      </c>
      <c r="CM94" s="29">
        <v>4.9538094540572617</v>
      </c>
      <c r="CN94" s="29">
        <v>4.9872228750378405</v>
      </c>
      <c r="CO94" s="29">
        <v>5.0206283105944269</v>
      </c>
      <c r="CP94" s="29">
        <v>5.0540233124368692</v>
      </c>
      <c r="CQ94" s="29">
        <v>5.0874054410126019</v>
      </c>
      <c r="CR94" s="29">
        <v>5.1207722662151545</v>
      </c>
      <c r="CS94" s="29">
        <v>5.1541213680809328</v>
      </c>
      <c r="CT94" s="29">
        <v>5.1874503374755783</v>
      </c>
      <c r="CU94" s="29">
        <v>5.2207567767745386</v>
      </c>
      <c r="CV94" s="29">
        <v>5.2540383005288067</v>
      </c>
      <c r="CW94" s="29">
        <v>5.2872925361216492</v>
      </c>
      <c r="CX94" s="29">
        <v>5.3205171244153027</v>
      </c>
      <c r="CY94" s="29">
        <v>5.353709720383792</v>
      </c>
      <c r="CZ94" s="29">
        <v>5.3868679937361703</v>
      </c>
      <c r="DA94" s="29">
        <v>5.4199896295283283</v>
      </c>
      <c r="DB94" s="29">
        <v>5.453072328759923</v>
      </c>
      <c r="DC94" s="29">
        <v>5.4861138089605488</v>
      </c>
      <c r="DD94" s="29">
        <v>5.5191118047636687</v>
      </c>
      <c r="DE94" s="29">
        <v>5.55206406846753</v>
      </c>
      <c r="DF94" s="29">
        <v>5.5849683705807713</v>
      </c>
      <c r="DG94" s="29">
        <v>5.6178225003579572</v>
      </c>
      <c r="DH94" s="29">
        <v>5.6506242663190687</v>
      </c>
      <c r="DI94" s="29">
        <v>5.6833714967567497</v>
      </c>
      <c r="DJ94" s="29">
        <v>5.7160620402296294</v>
      </c>
      <c r="DK94" s="29">
        <v>5.7486937660400557</v>
      </c>
      <c r="DL94" s="29">
        <v>5.7812645647006731</v>
      </c>
      <c r="DM94" s="29">
        <v>5.8137723483832069</v>
      </c>
      <c r="DN94" s="29">
        <v>5.8462150513568609</v>
      </c>
      <c r="DO94" s="29">
        <v>5.87859063040887</v>
      </c>
      <c r="DP94" s="29">
        <v>5.9108970652529917</v>
      </c>
      <c r="DQ94" s="29">
        <v>5.9431323589220177</v>
      </c>
      <c r="DR94" s="29">
        <v>5.9752945381458771</v>
      </c>
      <c r="DS94">
        <v>6.007381653717438</v>
      </c>
      <c r="DT94">
        <v>6.0393917808392521</v>
      </c>
      <c r="DU94">
        <v>6.0713230194598138</v>
      </c>
    </row>
    <row r="95" spans="1:125">
      <c r="A95" s="27">
        <v>93</v>
      </c>
      <c r="B95" s="28"/>
      <c r="C95" s="28"/>
      <c r="D95" s="28"/>
      <c r="E95" s="28"/>
      <c r="F95" s="28"/>
      <c r="G95" s="28"/>
      <c r="H95" s="28"/>
      <c r="I95" s="28"/>
      <c r="J95" s="28"/>
      <c r="K95" s="28"/>
      <c r="L95" s="28"/>
      <c r="M95" s="28"/>
      <c r="N95" s="28"/>
      <c r="O95" s="28"/>
      <c r="P95" s="28"/>
      <c r="Q95" s="28"/>
      <c r="R95" s="28"/>
      <c r="S95" s="28"/>
      <c r="T95" s="28"/>
      <c r="U95" s="28"/>
      <c r="V95" s="29"/>
      <c r="W95" s="29">
        <v>2.93</v>
      </c>
      <c r="X95" s="29">
        <v>2.92</v>
      </c>
      <c r="Y95" s="29">
        <v>2.9420347809365439</v>
      </c>
      <c r="Z95" s="29">
        <v>2.949097837871252</v>
      </c>
      <c r="AA95" s="29">
        <v>3.015736140507479</v>
      </c>
      <c r="AB95" s="29">
        <v>2.9007537513885713</v>
      </c>
      <c r="AC95" s="29">
        <v>2.8282592784603238</v>
      </c>
      <c r="AD95" s="29">
        <v>2.8306158505825412</v>
      </c>
      <c r="AE95" s="29">
        <v>2.8442714641300846</v>
      </c>
      <c r="AF95" s="29">
        <v>2.868026063062604</v>
      </c>
      <c r="AG95" s="29">
        <v>2.8918616330810125</v>
      </c>
      <c r="AH95" s="29">
        <v>2.9157771380261273</v>
      </c>
      <c r="AI95" s="29">
        <v>2.939771526159026</v>
      </c>
      <c r="AJ95" s="29">
        <v>2.9638437303725835</v>
      </c>
      <c r="AK95" s="29">
        <v>2.9879926683843032</v>
      </c>
      <c r="AL95" s="29">
        <v>3.0122172429525782</v>
      </c>
      <c r="AM95" s="29">
        <v>3.0365163420957595</v>
      </c>
      <c r="AN95" s="29">
        <v>3.0608888393131508</v>
      </c>
      <c r="AO95" s="29">
        <v>3.0853335938163307</v>
      </c>
      <c r="AP95" s="29">
        <v>3.1098494507627326</v>
      </c>
      <c r="AQ95" s="29">
        <v>3.1369440011210066</v>
      </c>
      <c r="AR95" s="29">
        <v>3.1651311508069671</v>
      </c>
      <c r="AS95" s="29">
        <v>3.1934071663726975</v>
      </c>
      <c r="AT95" s="29">
        <v>3.221770227698038</v>
      </c>
      <c r="AU95" s="29">
        <v>3.2502184927293905</v>
      </c>
      <c r="AV95" s="29">
        <v>3.2787500980220052</v>
      </c>
      <c r="AW95" s="29">
        <v>3.3073631592769077</v>
      </c>
      <c r="AX95" s="29">
        <v>3.3360557718970427</v>
      </c>
      <c r="AY95" s="29">
        <v>3.3648260115553672</v>
      </c>
      <c r="AZ95" s="29">
        <v>3.3936719347658149</v>
      </c>
      <c r="BA95" s="29">
        <v>3.4225915794732553</v>
      </c>
      <c r="BB95" s="29">
        <v>3.4515829656460948</v>
      </c>
      <c r="BC95" s="29">
        <v>3.480644095878656</v>
      </c>
      <c r="BD95" s="29">
        <v>3.5097729560068949</v>
      </c>
      <c r="BE95" s="29">
        <v>3.5389675157267506</v>
      </c>
      <c r="BF95" s="29">
        <v>3.568225729224308</v>
      </c>
      <c r="BG95" s="29">
        <v>3.5975455358105384</v>
      </c>
      <c r="BH95" s="29">
        <v>3.6269248605654547</v>
      </c>
      <c r="BI95" s="29">
        <v>3.6563616149881604</v>
      </c>
      <c r="BJ95" s="29">
        <v>3.6858536976494403</v>
      </c>
      <c r="BK95" s="29">
        <v>3.7153989948574822</v>
      </c>
      <c r="BL95" s="29">
        <v>3.7449953813217149</v>
      </c>
      <c r="BM95" s="29">
        <v>3.7746407208241988</v>
      </c>
      <c r="BN95" s="29">
        <v>3.804332866896956</v>
      </c>
      <c r="BO95" s="29">
        <v>3.8340696635003173</v>
      </c>
      <c r="BP95" s="29">
        <v>3.8638489457053882</v>
      </c>
      <c r="BQ95" s="29">
        <v>3.8936685403816549</v>
      </c>
      <c r="BR95" s="29">
        <v>3.9235262668837811</v>
      </c>
      <c r="BS95" s="29">
        <v>3.9534199377423596</v>
      </c>
      <c r="BT95" s="30">
        <v>3.9833473593556938</v>
      </c>
      <c r="BU95" s="29">
        <v>4.0133063326842002</v>
      </c>
      <c r="BV95" s="29">
        <v>4.0432946539406434</v>
      </c>
      <c r="BW95" s="29">
        <v>4.0733101152875548</v>
      </c>
      <c r="BX95" s="29">
        <v>4.103350505528125</v>
      </c>
      <c r="BY95" s="29">
        <v>4.1334136107996304</v>
      </c>
      <c r="BZ95" s="29">
        <v>4.1634972152648402</v>
      </c>
      <c r="CA95" s="29">
        <v>4.1935991018013974</v>
      </c>
      <c r="CB95" s="29">
        <v>4.223717052690362</v>
      </c>
      <c r="CC95" s="29">
        <v>4.2538488502990424</v>
      </c>
      <c r="CD95" s="29">
        <v>4.2839922777654733</v>
      </c>
      <c r="CE95" s="29">
        <v>4.3141451196747678</v>
      </c>
      <c r="CF95" s="29">
        <v>4.3443051627357807</v>
      </c>
      <c r="CG95" s="29">
        <v>4.3744701964494679</v>
      </c>
      <c r="CH95" s="29">
        <v>4.4046380137759487</v>
      </c>
      <c r="CI95" s="29">
        <v>4.4348064117942378</v>
      </c>
      <c r="CJ95" s="29">
        <v>4.4649731923580482</v>
      </c>
      <c r="CK95" s="29">
        <v>4.4951361627446449</v>
      </c>
      <c r="CL95" s="29">
        <v>4.5252931362962139</v>
      </c>
      <c r="CM95" s="29">
        <v>4.555441933058308</v>
      </c>
      <c r="CN95" s="29">
        <v>4.585580380408417</v>
      </c>
      <c r="CO95" s="29">
        <v>4.6157063136765677</v>
      </c>
      <c r="CP95" s="29">
        <v>4.6458175767608241</v>
      </c>
      <c r="CQ95" s="29">
        <v>4.6759120227319588</v>
      </c>
      <c r="CR95" s="29">
        <v>4.7059875144329562</v>
      </c>
      <c r="CS95" s="29">
        <v>4.7360419250671146</v>
      </c>
      <c r="CT95" s="29">
        <v>4.7660731387763393</v>
      </c>
      <c r="CU95" s="29">
        <v>4.796079051214968</v>
      </c>
      <c r="CV95" s="29">
        <v>4.826057570109044</v>
      </c>
      <c r="CW95" s="29">
        <v>4.8560066158077211</v>
      </c>
      <c r="CX95" s="29">
        <v>4.8859241218257283</v>
      </c>
      <c r="CY95" s="29">
        <v>4.9158080353727005</v>
      </c>
      <c r="CZ95" s="29">
        <v>4.9456563178742901</v>
      </c>
      <c r="DA95" s="29">
        <v>4.9754669454830678</v>
      </c>
      <c r="DB95" s="29">
        <v>5.0052379095754427</v>
      </c>
      <c r="DC95" s="29">
        <v>5.034967217239334</v>
      </c>
      <c r="DD95" s="29">
        <v>5.0646528917509555</v>
      </c>
      <c r="DE95" s="29">
        <v>5.094292973039976</v>
      </c>
      <c r="DF95" s="29">
        <v>5.1238855181405727</v>
      </c>
      <c r="DG95" s="29">
        <v>5.1534286016342428</v>
      </c>
      <c r="DH95" s="29">
        <v>5.1829203160778379</v>
      </c>
      <c r="DI95" s="29">
        <v>5.2123587724210765</v>
      </c>
      <c r="DJ95" s="29">
        <v>5.2417421004117504</v>
      </c>
      <c r="DK95" s="29">
        <v>5.2710684489868287</v>
      </c>
      <c r="DL95" s="29">
        <v>5.3003359866543969</v>
      </c>
      <c r="DM95" s="29">
        <v>5.3295429018591873</v>
      </c>
      <c r="DN95" s="29">
        <v>5.3586874033398706</v>
      </c>
      <c r="DO95" s="29">
        <v>5.3877677204699586</v>
      </c>
      <c r="DP95" s="29">
        <v>5.4167821035887123</v>
      </c>
      <c r="DQ95" s="29">
        <v>5.4457288243177793</v>
      </c>
      <c r="DR95" s="29">
        <v>5.4746061758653211</v>
      </c>
      <c r="DS95">
        <v>5.5034124733199592</v>
      </c>
      <c r="DT95">
        <v>5.5321460539271694</v>
      </c>
      <c r="DU95">
        <v>5.5608052773575141</v>
      </c>
    </row>
    <row r="96" spans="1:125">
      <c r="A96" s="27">
        <v>94</v>
      </c>
      <c r="B96" s="28"/>
      <c r="C96" s="28"/>
      <c r="D96" s="28"/>
      <c r="E96" s="28"/>
      <c r="F96" s="28"/>
      <c r="G96" s="28"/>
      <c r="H96" s="28"/>
      <c r="I96" s="28"/>
      <c r="J96" s="28"/>
      <c r="K96" s="28"/>
      <c r="L96" s="28"/>
      <c r="M96" s="28"/>
      <c r="N96" s="28"/>
      <c r="O96" s="28"/>
      <c r="P96" s="28"/>
      <c r="Q96" s="28"/>
      <c r="R96" s="28"/>
      <c r="S96" s="28"/>
      <c r="T96" s="28"/>
      <c r="U96" s="28"/>
      <c r="V96" s="29"/>
      <c r="W96" s="29">
        <v>2.77</v>
      </c>
      <c r="X96" s="29">
        <v>2.67</v>
      </c>
      <c r="Y96" s="29">
        <v>2.7263078830176393</v>
      </c>
      <c r="Z96" s="29">
        <v>2.7544741064837233</v>
      </c>
      <c r="AA96" s="29">
        <v>2.8051004834449045</v>
      </c>
      <c r="AB96" s="29">
        <v>2.6450321817224274</v>
      </c>
      <c r="AC96" s="29">
        <v>2.6099158427374061</v>
      </c>
      <c r="AD96" s="29">
        <v>2.6220390641136917</v>
      </c>
      <c r="AE96" s="29">
        <v>2.6434880711631012</v>
      </c>
      <c r="AF96" s="29">
        <v>2.6650053155201889</v>
      </c>
      <c r="AG96" s="29">
        <v>2.6865898413411196</v>
      </c>
      <c r="AH96" s="29">
        <v>2.7082406800356238</v>
      </c>
      <c r="AI96" s="29">
        <v>2.7299568504432541</v>
      </c>
      <c r="AJ96" s="29">
        <v>2.7517373590385366</v>
      </c>
      <c r="AK96" s="29">
        <v>2.7735812001078739</v>
      </c>
      <c r="AL96" s="29">
        <v>2.7954873559542075</v>
      </c>
      <c r="AM96" s="29">
        <v>2.8174547971020294</v>
      </c>
      <c r="AN96" s="29">
        <v>2.8394824825017082</v>
      </c>
      <c r="AO96" s="29">
        <v>2.86156935974424</v>
      </c>
      <c r="AP96" s="29">
        <v>2.8837143652758455</v>
      </c>
      <c r="AQ96" s="29">
        <v>2.90915986195089</v>
      </c>
      <c r="AR96" s="29">
        <v>2.9346786377894039</v>
      </c>
      <c r="AS96" s="29">
        <v>2.9602690409428987</v>
      </c>
      <c r="AT96" s="29">
        <v>2.985929402048304</v>
      </c>
      <c r="AU96" s="29">
        <v>3.0116580346902815</v>
      </c>
      <c r="AV96" s="29">
        <v>3.0374532358966277</v>
      </c>
      <c r="AW96" s="29">
        <v>3.0633132866209292</v>
      </c>
      <c r="AX96" s="29">
        <v>3.0892364522441293</v>
      </c>
      <c r="AY96" s="29">
        <v>3.1152209830857696</v>
      </c>
      <c r="AZ96" s="29">
        <v>3.1412651149135913</v>
      </c>
      <c r="BA96" s="29">
        <v>3.1673670694720464</v>
      </c>
      <c r="BB96" s="29">
        <v>3.1935250550091925</v>
      </c>
      <c r="BC96" s="29">
        <v>3.219737266811181</v>
      </c>
      <c r="BD96" s="29">
        <v>3.2460018877489083</v>
      </c>
      <c r="BE96" s="29">
        <v>3.2723170888235931</v>
      </c>
      <c r="BF96" s="29">
        <v>3.298681029722923</v>
      </c>
      <c r="BG96" s="29">
        <v>3.3250918593789072</v>
      </c>
      <c r="BH96" s="29">
        <v>3.3515477165336285</v>
      </c>
      <c r="BI96" s="29">
        <v>3.3780467303086592</v>
      </c>
      <c r="BJ96" s="29">
        <v>3.4045870207742226</v>
      </c>
      <c r="BK96" s="29">
        <v>3.4311666995312895</v>
      </c>
      <c r="BL96" s="29">
        <v>3.4577838702882961</v>
      </c>
      <c r="BM96" s="29">
        <v>3.4844366294442857</v>
      </c>
      <c r="BN96" s="29">
        <v>3.5111230666766273</v>
      </c>
      <c r="BO96" s="29">
        <v>3.5378412655274762</v>
      </c>
      <c r="BP96" s="29">
        <v>3.5645893039929613</v>
      </c>
      <c r="BQ96" s="29">
        <v>3.5913652551164743</v>
      </c>
      <c r="BR96" s="29">
        <v>3.6181671875790298</v>
      </c>
      <c r="BS96" s="29">
        <v>3.6449931662926494</v>
      </c>
      <c r="BT96" s="30">
        <v>3.6718412529933975</v>
      </c>
      <c r="BU96" s="29">
        <v>3.6987095068361326</v>
      </c>
      <c r="BV96" s="29">
        <v>3.7255959849830429</v>
      </c>
      <c r="BW96" s="29">
        <v>3.7524987431996912</v>
      </c>
      <c r="BX96" s="29">
        <v>3.77941583644236</v>
      </c>
      <c r="BY96" s="29">
        <v>3.8063453194476748</v>
      </c>
      <c r="BZ96" s="29">
        <v>3.83328524731925</v>
      </c>
      <c r="CA96" s="29">
        <v>3.8602336761115037</v>
      </c>
      <c r="CB96" s="29">
        <v>3.8871886634122195</v>
      </c>
      <c r="CC96" s="29">
        <v>3.9141482689182414</v>
      </c>
      <c r="CD96" s="29">
        <v>3.9411105550131653</v>
      </c>
      <c r="CE96" s="29">
        <v>3.9680735873356343</v>
      </c>
      <c r="CF96" s="29">
        <v>3.9950354353483388</v>
      </c>
      <c r="CG96" s="29">
        <v>4.0219941728977613</v>
      </c>
      <c r="CH96" s="29">
        <v>4.048947878772994</v>
      </c>
      <c r="CI96" s="29">
        <v>4.0758946372567619</v>
      </c>
      <c r="CJ96" s="29">
        <v>4.1028325386727191</v>
      </c>
      <c r="CK96" s="29">
        <v>4.1297596799256757</v>
      </c>
      <c r="CL96" s="29">
        <v>4.1566741650342411</v>
      </c>
      <c r="CM96" s="29">
        <v>4.183574105661358</v>
      </c>
      <c r="CN96" s="29">
        <v>4.2104576216347196</v>
      </c>
      <c r="CO96" s="29">
        <v>4.2373228414594939</v>
      </c>
      <c r="CP96" s="29">
        <v>4.264167902826733</v>
      </c>
      <c r="CQ96" s="29">
        <v>4.2909909531110086</v>
      </c>
      <c r="CR96" s="29">
        <v>4.3177901498638969</v>
      </c>
      <c r="CS96" s="29">
        <v>4.3445636612962648</v>
      </c>
      <c r="CT96" s="29">
        <v>4.3713096667513103</v>
      </c>
      <c r="CU96" s="29">
        <v>4.3980263571745626</v>
      </c>
      <c r="CV96" s="29">
        <v>4.4247119355694222</v>
      </c>
      <c r="CW96" s="29">
        <v>4.4513646174459671</v>
      </c>
      <c r="CX96" s="29">
        <v>4.4779826312619138</v>
      </c>
      <c r="CY96" s="29">
        <v>4.5045642188510335</v>
      </c>
      <c r="CZ96" s="29">
        <v>4.5311076358447213</v>
      </c>
      <c r="DA96" s="29">
        <v>4.5576111520845126</v>
      </c>
      <c r="DB96" s="29">
        <v>4.5840730520213873</v>
      </c>
      <c r="DC96" s="29">
        <v>4.6104916351072784</v>
      </c>
      <c r="DD96" s="29">
        <v>4.6368652161770232</v>
      </c>
      <c r="DE96" s="29">
        <v>4.6631921258199664</v>
      </c>
      <c r="DF96" s="29">
        <v>4.6894707107385161</v>
      </c>
      <c r="DG96" s="29">
        <v>4.7156993341003082</v>
      </c>
      <c r="DH96" s="29">
        <v>4.7418763758766804</v>
      </c>
      <c r="DI96" s="29">
        <v>4.7680002331723204</v>
      </c>
      <c r="DJ96" s="29">
        <v>4.7940693205440876</v>
      </c>
      <c r="DK96" s="29">
        <v>4.8200820703071203</v>
      </c>
      <c r="DL96" s="29">
        <v>4.8460369328337194</v>
      </c>
      <c r="DM96" s="29">
        <v>4.8719323768370328</v>
      </c>
      <c r="DN96" s="29">
        <v>4.8977668896486275</v>
      </c>
      <c r="DO96" s="29">
        <v>4.9235389774809564</v>
      </c>
      <c r="DP96" s="29">
        <v>4.9492471656818449</v>
      </c>
      <c r="DQ96" s="29">
        <v>4.9748899989762734</v>
      </c>
      <c r="DR96" s="29">
        <v>5.0004660416974422</v>
      </c>
      <c r="DS96">
        <v>5.0259738780097312</v>
      </c>
      <c r="DT96">
        <v>5.0514121121153917</v>
      </c>
      <c r="DU96">
        <v>5.076779368455405</v>
      </c>
    </row>
    <row r="97" spans="1:125">
      <c r="A97" s="27">
        <v>95</v>
      </c>
      <c r="B97" s="28"/>
      <c r="C97" s="28"/>
      <c r="D97" s="28"/>
      <c r="E97" s="28"/>
      <c r="F97" s="28"/>
      <c r="G97" s="28"/>
      <c r="H97" s="28"/>
      <c r="I97" s="28"/>
      <c r="J97" s="28"/>
      <c r="K97" s="28"/>
      <c r="L97" s="28"/>
      <c r="M97" s="28"/>
      <c r="N97" s="28"/>
      <c r="O97" s="28"/>
      <c r="P97" s="28"/>
      <c r="Q97" s="28"/>
      <c r="R97" s="28"/>
      <c r="S97" s="28"/>
      <c r="T97" s="28"/>
      <c r="U97" s="28"/>
      <c r="V97" s="29"/>
      <c r="W97" s="29">
        <v>2.58</v>
      </c>
      <c r="X97" s="29">
        <v>2.4900000000000002</v>
      </c>
      <c r="Y97" s="29">
        <v>2.5394412721743973</v>
      </c>
      <c r="Z97" s="29">
        <v>2.5648014130365429</v>
      </c>
      <c r="AA97" s="29">
        <v>2.6103496349083795</v>
      </c>
      <c r="AB97" s="29">
        <v>2.4661846707304989</v>
      </c>
      <c r="AC97" s="29">
        <v>2.4344967166737357</v>
      </c>
      <c r="AD97" s="29">
        <v>2.4454388630574937</v>
      </c>
      <c r="AE97" s="29">
        <v>2.4647917759091453</v>
      </c>
      <c r="AF97" s="29">
        <v>2.4841979867715787</v>
      </c>
      <c r="AG97" s="29">
        <v>2.5036566084944054</v>
      </c>
      <c r="AH97" s="29">
        <v>2.5231667440782597</v>
      </c>
      <c r="AI97" s="29">
        <v>2.5427274868385661</v>
      </c>
      <c r="AJ97" s="29">
        <v>2.5623379206057657</v>
      </c>
      <c r="AK97" s="29">
        <v>2.5819971198838263</v>
      </c>
      <c r="AL97" s="29">
        <v>2.6017041500437776</v>
      </c>
      <c r="AM97" s="29">
        <v>2.6214580675147063</v>
      </c>
      <c r="AN97" s="29">
        <v>2.6412579199709625</v>
      </c>
      <c r="AO97" s="29">
        <v>2.6611027465306898</v>
      </c>
      <c r="AP97" s="29">
        <v>2.6809915779514015</v>
      </c>
      <c r="AQ97" s="29">
        <v>2.7038345414734626</v>
      </c>
      <c r="AR97" s="29">
        <v>2.7267325177155</v>
      </c>
      <c r="AS97" s="29">
        <v>2.7496840100050304</v>
      </c>
      <c r="AT97" s="29">
        <v>2.7726875088009106</v>
      </c>
      <c r="AU97" s="29">
        <v>2.795741492104229</v>
      </c>
      <c r="AV97" s="29">
        <v>2.8188444259076242</v>
      </c>
      <c r="AW97" s="29">
        <v>2.8419947646226804</v>
      </c>
      <c r="AX97" s="29">
        <v>2.8651909515272993</v>
      </c>
      <c r="AY97" s="29">
        <v>2.8884314192209115</v>
      </c>
      <c r="AZ97" s="29">
        <v>2.9117145900729855</v>
      </c>
      <c r="BA97" s="29">
        <v>2.9350388766917153</v>
      </c>
      <c r="BB97" s="29">
        <v>2.9584026823863332</v>
      </c>
      <c r="BC97" s="29">
        <v>2.9818044016352294</v>
      </c>
      <c r="BD97" s="29">
        <v>3.0052424205658186</v>
      </c>
      <c r="BE97" s="29">
        <v>3.0287151174293045</v>
      </c>
      <c r="BF97" s="29">
        <v>3.0522208630854459</v>
      </c>
      <c r="BG97" s="29">
        <v>3.0757580214861298</v>
      </c>
      <c r="BH97" s="29">
        <v>3.0993249501658084</v>
      </c>
      <c r="BI97" s="29">
        <v>3.12292000073354</v>
      </c>
      <c r="BJ97" s="29">
        <v>3.146541519361902</v>
      </c>
      <c r="BK97" s="29">
        <v>3.1701878472895264</v>
      </c>
      <c r="BL97" s="29">
        <v>3.1938573213143431</v>
      </c>
      <c r="BM97" s="29">
        <v>3.2175482742925836</v>
      </c>
      <c r="BN97" s="29">
        <v>3.241259035641328</v>
      </c>
      <c r="BO97" s="29">
        <v>3.2649879318374673</v>
      </c>
      <c r="BP97" s="29">
        <v>3.2887332869182533</v>
      </c>
      <c r="BQ97" s="29">
        <v>3.312493422985249</v>
      </c>
      <c r="BR97" s="29">
        <v>3.3362666607031524</v>
      </c>
      <c r="BS97" s="29">
        <v>3.36005131980101</v>
      </c>
      <c r="BT97" s="30">
        <v>3.3838457195718141</v>
      </c>
      <c r="BU97" s="29">
        <v>3.4076481793731728</v>
      </c>
      <c r="BV97" s="29">
        <v>3.4314570191194798</v>
      </c>
      <c r="BW97" s="29">
        <v>3.4552705597825688</v>
      </c>
      <c r="BX97" s="29">
        <v>3.4790871238811487</v>
      </c>
      <c r="BY97" s="29">
        <v>3.5029050359726122</v>
      </c>
      <c r="BZ97" s="29">
        <v>3.5267226231409392</v>
      </c>
      <c r="CA97" s="29">
        <v>3.5505382154810365</v>
      </c>
      <c r="CB97" s="29">
        <v>3.5743501465815628</v>
      </c>
      <c r="CC97" s="29">
        <v>3.5981567539996213</v>
      </c>
      <c r="CD97" s="29">
        <v>3.621956379738132</v>
      </c>
      <c r="CE97" s="29">
        <v>3.6457473707123191</v>
      </c>
      <c r="CF97" s="29">
        <v>3.6695280792176019</v>
      </c>
      <c r="CG97" s="29">
        <v>3.6932968633870487</v>
      </c>
      <c r="CH97" s="29">
        <v>3.7170520876485567</v>
      </c>
      <c r="CI97" s="29">
        <v>3.7407921231736148</v>
      </c>
      <c r="CJ97" s="29">
        <v>3.7645153483226874</v>
      </c>
      <c r="CK97" s="29">
        <v>3.7882201490833358</v>
      </c>
      <c r="CL97" s="29">
        <v>3.8119049195006243</v>
      </c>
      <c r="CM97" s="29">
        <v>3.8355680621063835</v>
      </c>
      <c r="CN97" s="29">
        <v>3.8592079883379964</v>
      </c>
      <c r="CO97" s="29">
        <v>3.8828231189496871</v>
      </c>
      <c r="CP97" s="29">
        <v>3.9064118844204145</v>
      </c>
      <c r="CQ97" s="29">
        <v>3.9299727253508587</v>
      </c>
      <c r="CR97" s="29">
        <v>3.953504092857409</v>
      </c>
      <c r="CS97" s="29">
        <v>3.9770044489549652</v>
      </c>
      <c r="CT97" s="29">
        <v>4.0004722669309913</v>
      </c>
      <c r="CU97" s="29">
        <v>4.023906031718111</v>
      </c>
      <c r="CV97" s="29">
        <v>4.0473042402520472</v>
      </c>
      <c r="CW97" s="29">
        <v>4.0706654018239998</v>
      </c>
      <c r="CX97" s="29">
        <v>4.0939880384262342</v>
      </c>
      <c r="CY97" s="29">
        <v>4.1172706850855327</v>
      </c>
      <c r="CZ97" s="29">
        <v>4.1405118901911884</v>
      </c>
      <c r="DA97" s="29">
        <v>4.1637102158150432</v>
      </c>
      <c r="DB97" s="29">
        <v>4.1868642380188659</v>
      </c>
      <c r="DC97" s="29">
        <v>4.2099725471553855</v>
      </c>
      <c r="DD97" s="29">
        <v>4.2330337481610103</v>
      </c>
      <c r="DE97" s="29">
        <v>4.2560464608393724</v>
      </c>
      <c r="DF97" s="29">
        <v>4.2790093201326966</v>
      </c>
      <c r="DG97" s="29">
        <v>4.3019209763886481</v>
      </c>
      <c r="DH97" s="29">
        <v>4.3247800956143747</v>
      </c>
      <c r="DI97" s="29">
        <v>4.3475853597233405</v>
      </c>
      <c r="DJ97" s="29">
        <v>4.3703354667727332</v>
      </c>
      <c r="DK97" s="29">
        <v>4.393029131189313</v>
      </c>
      <c r="DL97" s="29">
        <v>4.4156650839900253</v>
      </c>
      <c r="DM97" s="29">
        <v>4.4382420729883121</v>
      </c>
      <c r="DN97" s="29">
        <v>4.4607588629965065</v>
      </c>
      <c r="DO97" s="29">
        <v>4.4832142360141161</v>
      </c>
      <c r="DP97" s="29">
        <v>4.505606991410116</v>
      </c>
      <c r="DQ97" s="29">
        <v>4.5279359460939075</v>
      </c>
      <c r="DR97" s="29">
        <v>4.5501999346772539</v>
      </c>
      <c r="DS97">
        <v>4.5723978096300995</v>
      </c>
      <c r="DT97">
        <v>4.5945284414211383</v>
      </c>
      <c r="DU97">
        <v>4.6165907186548729</v>
      </c>
    </row>
    <row r="98" spans="1:125">
      <c r="A98" s="27">
        <v>96</v>
      </c>
      <c r="B98" s="28"/>
      <c r="C98" s="28"/>
      <c r="D98" s="28"/>
      <c r="E98" s="28"/>
      <c r="F98" s="28"/>
      <c r="G98" s="28"/>
      <c r="H98" s="28"/>
      <c r="I98" s="28"/>
      <c r="J98" s="28"/>
      <c r="K98" s="28"/>
      <c r="L98" s="28"/>
      <c r="M98" s="28"/>
      <c r="N98" s="28"/>
      <c r="O98" s="28"/>
      <c r="P98" s="28"/>
      <c r="Q98" s="28"/>
      <c r="R98" s="28"/>
      <c r="S98" s="28"/>
      <c r="T98" s="28"/>
      <c r="U98" s="28"/>
      <c r="V98" s="29"/>
      <c r="W98" s="29">
        <v>2.41</v>
      </c>
      <c r="X98" s="29">
        <v>2.33</v>
      </c>
      <c r="Y98" s="29">
        <v>2.3725635736567257</v>
      </c>
      <c r="Z98" s="29">
        <v>2.3955211572608706</v>
      </c>
      <c r="AA98" s="29">
        <v>2.4367255504482519</v>
      </c>
      <c r="AB98" s="29">
        <v>2.3061819929204606</v>
      </c>
      <c r="AC98" s="29">
        <v>2.2774375296984761</v>
      </c>
      <c r="AD98" s="29">
        <v>2.2873653545034589</v>
      </c>
      <c r="AE98" s="29">
        <v>2.3049188723154392</v>
      </c>
      <c r="AF98" s="29">
        <v>2.3225138305399264</v>
      </c>
      <c r="AG98" s="29">
        <v>2.3401494091314761</v>
      </c>
      <c r="AH98" s="29">
        <v>2.3578247804508035</v>
      </c>
      <c r="AI98" s="29">
        <v>2.3755391094127076</v>
      </c>
      <c r="AJ98" s="29">
        <v>2.3932915536829644</v>
      </c>
      <c r="AK98" s="29">
        <v>2.4110812638138457</v>
      </c>
      <c r="AL98" s="29">
        <v>2.4289073834267327</v>
      </c>
      <c r="AM98" s="29">
        <v>2.4467690493886702</v>
      </c>
      <c r="AN98" s="29">
        <v>2.4646653919813692</v>
      </c>
      <c r="AO98" s="29">
        <v>2.4825955350837874</v>
      </c>
      <c r="AP98" s="29">
        <v>2.5005585963484434</v>
      </c>
      <c r="AQ98" s="29">
        <v>2.5211813515587282</v>
      </c>
      <c r="AR98" s="29">
        <v>2.5418448165696126</v>
      </c>
      <c r="AS98" s="29">
        <v>2.5625476355870505</v>
      </c>
      <c r="AT98" s="29">
        <v>2.5832884434824197</v>
      </c>
      <c r="AU98" s="29">
        <v>2.6040658661538032</v>
      </c>
      <c r="AV98" s="29">
        <v>2.6248785209355003</v>
      </c>
      <c r="AW98" s="29">
        <v>2.64572501697383</v>
      </c>
      <c r="AX98" s="29">
        <v>2.6666039556262939</v>
      </c>
      <c r="AY98" s="29">
        <v>2.687513930867627</v>
      </c>
      <c r="AZ98" s="29">
        <v>2.7084535296834105</v>
      </c>
      <c r="BA98" s="29">
        <v>2.7294213324874192</v>
      </c>
      <c r="BB98" s="29">
        <v>2.7504159135272612</v>
      </c>
      <c r="BC98" s="29">
        <v>2.7714358412948257</v>
      </c>
      <c r="BD98" s="29">
        <v>2.7924796789494484</v>
      </c>
      <c r="BE98" s="29">
        <v>2.8135459847316122</v>
      </c>
      <c r="BF98" s="29">
        <v>2.8346333123873326</v>
      </c>
      <c r="BG98" s="29">
        <v>2.8557402115885928</v>
      </c>
      <c r="BH98" s="29">
        <v>2.8768652283605265</v>
      </c>
      <c r="BI98" s="29">
        <v>2.8980069055086108</v>
      </c>
      <c r="BJ98" s="29">
        <v>2.919163783039886</v>
      </c>
      <c r="BK98" s="29">
        <v>2.9403343986000801</v>
      </c>
      <c r="BL98" s="29">
        <v>2.9615172878970273</v>
      </c>
      <c r="BM98" s="29">
        <v>2.9827109851300935</v>
      </c>
      <c r="BN98" s="29">
        <v>3.0039140234227886</v>
      </c>
      <c r="BO98" s="29">
        <v>3.0251249352495826</v>
      </c>
      <c r="BP98" s="29">
        <v>3.0463422528637083</v>
      </c>
      <c r="BQ98" s="29">
        <v>3.06756450872839</v>
      </c>
      <c r="BR98" s="29">
        <v>3.0887902359407495</v>
      </c>
      <c r="BS98" s="29">
        <v>3.1100179686581289</v>
      </c>
      <c r="BT98" s="30">
        <v>3.1312462425218603</v>
      </c>
      <c r="BU98" s="29">
        <v>3.1524735950819975</v>
      </c>
      <c r="BV98" s="29">
        <v>3.1736985662111072</v>
      </c>
      <c r="BW98" s="29">
        <v>3.1949196985286323</v>
      </c>
      <c r="BX98" s="29">
        <v>3.2161355378111618</v>
      </c>
      <c r="BY98" s="29">
        <v>3.2373446334058325</v>
      </c>
      <c r="BZ98" s="29">
        <v>3.2585455386391167</v>
      </c>
      <c r="CA98" s="29">
        <v>3.2797368112215382</v>
      </c>
      <c r="CB98" s="29">
        <v>3.3009170136510084</v>
      </c>
      <c r="CC98" s="29">
        <v>3.3220847136066891</v>
      </c>
      <c r="CD98" s="29">
        <v>3.3432384843469052</v>
      </c>
      <c r="CE98" s="29">
        <v>3.3643769050944332</v>
      </c>
      <c r="CF98" s="29">
        <v>3.3854985614244693</v>
      </c>
      <c r="CG98" s="29">
        <v>3.4066020456408048</v>
      </c>
      <c r="CH98" s="29">
        <v>3.4276859571528138</v>
      </c>
      <c r="CI98" s="29">
        <v>3.4487489028433727</v>
      </c>
      <c r="CJ98" s="29">
        <v>3.4697894974339891</v>
      </c>
      <c r="CK98" s="29">
        <v>3.490806363842498</v>
      </c>
      <c r="CL98" s="29">
        <v>3.5117981335329014</v>
      </c>
      <c r="CM98" s="29">
        <v>3.5327634468654159</v>
      </c>
      <c r="CN98" s="29">
        <v>3.5537009534354991</v>
      </c>
      <c r="CO98" s="29">
        <v>3.5746093124055718</v>
      </c>
      <c r="CP98" s="29">
        <v>3.5954871928344994</v>
      </c>
      <c r="CQ98" s="29">
        <v>3.6163332739958238</v>
      </c>
      <c r="CR98" s="29">
        <v>3.6371462456943906</v>
      </c>
      <c r="CS98" s="29">
        <v>3.6579248085715719</v>
      </c>
      <c r="CT98" s="29">
        <v>3.6786676744021456</v>
      </c>
      <c r="CU98" s="29">
        <v>3.6993735663916092</v>
      </c>
      <c r="CV98" s="29">
        <v>3.7200412194581998</v>
      </c>
      <c r="CW98" s="29">
        <v>3.7406693805105919</v>
      </c>
      <c r="CX98" s="29">
        <v>3.7612568087198563</v>
      </c>
      <c r="CY98" s="29">
        <v>3.7818022757793788</v>
      </c>
      <c r="CZ98" s="29">
        <v>3.8023045661607564</v>
      </c>
      <c r="DA98" s="29">
        <v>3.8227624773627285</v>
      </c>
      <c r="DB98" s="29">
        <v>3.8431748201476714</v>
      </c>
      <c r="DC98" s="29">
        <v>3.8635404187731588</v>
      </c>
      <c r="DD98" s="29">
        <v>3.8838581112163091</v>
      </c>
      <c r="DE98" s="29">
        <v>3.904126749389949</v>
      </c>
      <c r="DF98" s="29">
        <v>3.9243451993471203</v>
      </c>
      <c r="DG98" s="29">
        <v>3.9445123414829699</v>
      </c>
      <c r="DH98" s="29">
        <v>3.9646270707243083</v>
      </c>
      <c r="DI98" s="29">
        <v>3.9846882967134696</v>
      </c>
      <c r="DJ98" s="29">
        <v>4.0046949439838828</v>
      </c>
      <c r="DK98" s="29">
        <v>4.0246459521249092</v>
      </c>
      <c r="DL98" s="29">
        <v>4.0445402759433442</v>
      </c>
      <c r="DM98" s="29">
        <v>4.0643768856110389</v>
      </c>
      <c r="DN98" s="29">
        <v>4.0841547668107676</v>
      </c>
      <c r="DO98" s="29">
        <v>4.1038729208684765</v>
      </c>
      <c r="DP98" s="29">
        <v>4.1235303648813986</v>
      </c>
      <c r="DQ98" s="29">
        <v>4.143126131835821</v>
      </c>
      <c r="DR98" s="29">
        <v>4.1626592707172119</v>
      </c>
      <c r="DS98">
        <v>4.1821288466160595</v>
      </c>
      <c r="DT98">
        <v>4.2015339408189005</v>
      </c>
      <c r="DU98">
        <v>4.2208736508980742</v>
      </c>
    </row>
    <row r="99" spans="1:125">
      <c r="A99" s="27">
        <v>97</v>
      </c>
      <c r="B99" s="28"/>
      <c r="C99" s="28"/>
      <c r="D99" s="28"/>
      <c r="E99" s="28"/>
      <c r="F99" s="28"/>
      <c r="G99" s="28"/>
      <c r="H99" s="28"/>
      <c r="I99" s="28"/>
      <c r="J99" s="28"/>
      <c r="K99" s="28"/>
      <c r="L99" s="28"/>
      <c r="M99" s="28"/>
      <c r="N99" s="28"/>
      <c r="O99" s="28"/>
      <c r="P99" s="28"/>
      <c r="Q99" s="28"/>
      <c r="R99" s="28"/>
      <c r="S99" s="28"/>
      <c r="T99" s="28"/>
      <c r="U99" s="28"/>
      <c r="V99" s="29"/>
      <c r="W99" s="29">
        <v>2.25</v>
      </c>
      <c r="X99" s="29">
        <v>2.1800000000000002</v>
      </c>
      <c r="Y99" s="29">
        <v>2.2238959515413388</v>
      </c>
      <c r="Z99" s="29">
        <v>2.2447966599729723</v>
      </c>
      <c r="AA99" s="29">
        <v>2.2822853705157979</v>
      </c>
      <c r="AB99" s="29">
        <v>2.1634072792737222</v>
      </c>
      <c r="AC99" s="29">
        <v>2.1371891168622437</v>
      </c>
      <c r="AD99" s="29">
        <v>2.1462461554314856</v>
      </c>
      <c r="AE99" s="29">
        <v>2.1622554972949959</v>
      </c>
      <c r="AF99" s="29">
        <v>2.1782968565494607</v>
      </c>
      <c r="AG99" s="29">
        <v>2.1943694760646064</v>
      </c>
      <c r="AH99" s="29">
        <v>2.2104725928624021</v>
      </c>
      <c r="AI99" s="29">
        <v>2.2266054382467182</v>
      </c>
      <c r="AJ99" s="29">
        <v>2.242767238002366</v>
      </c>
      <c r="AK99" s="29">
        <v>2.2589572125025841</v>
      </c>
      <c r="AL99" s="29">
        <v>2.2751745768833733</v>
      </c>
      <c r="AM99" s="29">
        <v>2.2914185412069141</v>
      </c>
      <c r="AN99" s="29">
        <v>2.3076883106123138</v>
      </c>
      <c r="AO99" s="29">
        <v>2.3239830854841403</v>
      </c>
      <c r="AP99" s="29">
        <v>2.3403020616102559</v>
      </c>
      <c r="AQ99" s="29">
        <v>2.359030286014407</v>
      </c>
      <c r="AR99" s="29">
        <v>2.3777880019864788</v>
      </c>
      <c r="AS99" s="29">
        <v>2.396573979009248</v>
      </c>
      <c r="AT99" s="29">
        <v>2.4153869799128151</v>
      </c>
      <c r="AU99" s="29">
        <v>2.434225761188717</v>
      </c>
      <c r="AV99" s="29">
        <v>2.4530890733686186</v>
      </c>
      <c r="AW99" s="29">
        <v>2.4719756613527375</v>
      </c>
      <c r="AX99" s="29">
        <v>2.4908842647681508</v>
      </c>
      <c r="AY99" s="29">
        <v>2.5098136183338293</v>
      </c>
      <c r="AZ99" s="29">
        <v>2.5287624522058918</v>
      </c>
      <c r="BA99" s="29">
        <v>2.5477294923531821</v>
      </c>
      <c r="BB99" s="29">
        <v>2.5667134609143374</v>
      </c>
      <c r="BC99" s="29">
        <v>2.5857130765593896</v>
      </c>
      <c r="BD99" s="29">
        <v>2.6047270548666432</v>
      </c>
      <c r="BE99" s="29">
        <v>2.6237541086847358</v>
      </c>
      <c r="BF99" s="29">
        <v>2.6427929485074451</v>
      </c>
      <c r="BG99" s="29">
        <v>2.6618422828415143</v>
      </c>
      <c r="BH99" s="29">
        <v>2.6809008185820637</v>
      </c>
      <c r="BI99" s="29">
        <v>2.6999672613866177</v>
      </c>
      <c r="BJ99" s="29">
        <v>2.7190403160399117</v>
      </c>
      <c r="BK99" s="29">
        <v>2.7381186868388521</v>
      </c>
      <c r="BL99" s="29">
        <v>2.7572010779581491</v>
      </c>
      <c r="BM99" s="29">
        <v>2.77628619382316</v>
      </c>
      <c r="BN99" s="29">
        <v>2.7953727394861696</v>
      </c>
      <c r="BO99" s="29">
        <v>2.8144594209943961</v>
      </c>
      <c r="BP99" s="29">
        <v>2.8335449457588489</v>
      </c>
      <c r="BQ99" s="29">
        <v>2.8526280229272896</v>
      </c>
      <c r="BR99" s="29">
        <v>2.8717073637473525</v>
      </c>
      <c r="BS99" s="29">
        <v>2.8907816819327152</v>
      </c>
      <c r="BT99" s="30">
        <v>2.9098496940259206</v>
      </c>
      <c r="BU99" s="29">
        <v>2.9289101197625365</v>
      </c>
      <c r="BV99" s="29">
        <v>2.9479616824213499</v>
      </c>
      <c r="BW99" s="29">
        <v>2.9670031091885907</v>
      </c>
      <c r="BX99" s="29">
        <v>2.9860331315043447</v>
      </c>
      <c r="BY99" s="29">
        <v>3.0050504854135838</v>
      </c>
      <c r="BZ99" s="29">
        <v>3.0240539119118934</v>
      </c>
      <c r="CA99" s="29">
        <v>3.0430421572867248</v>
      </c>
      <c r="CB99" s="29">
        <v>3.062013973457725</v>
      </c>
      <c r="CC99" s="29">
        <v>3.080968118305921</v>
      </c>
      <c r="CD99" s="29">
        <v>3.0999033560091127</v>
      </c>
      <c r="CE99" s="29">
        <v>3.1188184573623223</v>
      </c>
      <c r="CF99" s="29">
        <v>3.1377122001028814</v>
      </c>
      <c r="CG99" s="29">
        <v>3.1565833692218837</v>
      </c>
      <c r="CH99" s="29">
        <v>3.175430757278074</v>
      </c>
      <c r="CI99" s="29">
        <v>3.1942531647017591</v>
      </c>
      <c r="CJ99" s="29">
        <v>3.2130494000967631</v>
      </c>
      <c r="CK99" s="29">
        <v>3.2318182805346707</v>
      </c>
      <c r="CL99" s="29">
        <v>3.2505586318409492</v>
      </c>
      <c r="CM99" s="29">
        <v>3.2692692888830841</v>
      </c>
      <c r="CN99" s="29">
        <v>3.2879490958467827</v>
      </c>
      <c r="CO99" s="29">
        <v>3.3065969065049998</v>
      </c>
      <c r="CP99" s="29">
        <v>3.3252115844861327</v>
      </c>
      <c r="CQ99" s="29">
        <v>3.3437920035302851</v>
      </c>
      <c r="CR99" s="29">
        <v>3.3623370477456054</v>
      </c>
      <c r="CS99" s="29">
        <v>3.3808456118526511</v>
      </c>
      <c r="CT99" s="29">
        <v>3.3993166014206677</v>
      </c>
      <c r="CU99" s="29">
        <v>3.4177489331065947</v>
      </c>
      <c r="CV99" s="29">
        <v>3.4361415348775513</v>
      </c>
      <c r="CW99" s="29">
        <v>3.4544933462303264</v>
      </c>
      <c r="CX99" s="29">
        <v>3.4728033184061777</v>
      </c>
      <c r="CY99" s="29">
        <v>3.4910704145933029</v>
      </c>
      <c r="CZ99" s="29">
        <v>3.5092936101268144</v>
      </c>
      <c r="DA99" s="29">
        <v>3.5274718926826556</v>
      </c>
      <c r="DB99" s="29">
        <v>3.5456042624588648</v>
      </c>
      <c r="DC99" s="29">
        <v>3.5636897323533572</v>
      </c>
      <c r="DD99" s="29">
        <v>3.5817273281354689</v>
      </c>
      <c r="DE99" s="29">
        <v>3.5997160886101192</v>
      </c>
      <c r="DF99" s="29">
        <v>3.617655065770454</v>
      </c>
      <c r="DG99" s="29">
        <v>3.6355433249498943</v>
      </c>
      <c r="DH99" s="29">
        <v>3.6533799449619102</v>
      </c>
      <c r="DI99" s="29">
        <v>3.6711640182355185</v>
      </c>
      <c r="DJ99" s="29">
        <v>3.6888946509434306</v>
      </c>
      <c r="DK99" s="29">
        <v>3.7065709631199213</v>
      </c>
      <c r="DL99" s="29">
        <v>3.7241920887773112</v>
      </c>
      <c r="DM99" s="29">
        <v>3.7417571760084556</v>
      </c>
      <c r="DN99" s="29">
        <v>3.7592653870897328</v>
      </c>
      <c r="DO99" s="29">
        <v>3.7767158985703944</v>
      </c>
      <c r="DP99" s="29">
        <v>3.7941079013595869</v>
      </c>
      <c r="DQ99" s="29">
        <v>3.8114406008036537</v>
      </c>
      <c r="DR99" s="29">
        <v>3.8287132167569422</v>
      </c>
      <c r="DS99">
        <v>3.8459249836500762</v>
      </c>
      <c r="DT99">
        <v>3.8630751505432492</v>
      </c>
      <c r="DU99">
        <v>3.8801629811805474</v>
      </c>
    </row>
    <row r="100" spans="1:125">
      <c r="A100" s="27">
        <v>98</v>
      </c>
      <c r="B100" s="28"/>
      <c r="C100" s="28"/>
      <c r="D100" s="28"/>
      <c r="E100" s="28"/>
      <c r="F100" s="28"/>
      <c r="G100" s="28"/>
      <c r="H100" s="28"/>
      <c r="I100" s="28"/>
      <c r="J100" s="28"/>
      <c r="K100" s="28"/>
      <c r="L100" s="28"/>
      <c r="M100" s="28"/>
      <c r="N100" s="28"/>
      <c r="O100" s="28"/>
      <c r="P100" s="28"/>
      <c r="Q100" s="28"/>
      <c r="R100" s="28"/>
      <c r="S100" s="28"/>
      <c r="T100" s="28"/>
      <c r="U100" s="28"/>
      <c r="V100" s="29"/>
      <c r="W100" s="29">
        <v>2.12</v>
      </c>
      <c r="X100" s="29">
        <v>2.0499999999999998</v>
      </c>
      <c r="Y100" s="29">
        <v>2.0917521596794133</v>
      </c>
      <c r="Z100" s="29">
        <v>2.1108915500192511</v>
      </c>
      <c r="AA100" s="29">
        <v>2.1452009014947229</v>
      </c>
      <c r="AB100" s="29">
        <v>2.0363150549861246</v>
      </c>
      <c r="AC100" s="29">
        <v>2.0122650415513093</v>
      </c>
      <c r="AD100" s="29">
        <v>2.0205745694569761</v>
      </c>
      <c r="AE100" s="29">
        <v>2.0352587947047192</v>
      </c>
      <c r="AF100" s="29">
        <v>2.0499675297809445</v>
      </c>
      <c r="AG100" s="29">
        <v>2.0647000747532016</v>
      </c>
      <c r="AH100" s="29">
        <v>2.0794557251866088</v>
      </c>
      <c r="AI100" s="29">
        <v>2.0942337722525917</v>
      </c>
      <c r="AJ100" s="29">
        <v>2.1090335029404943</v>
      </c>
      <c r="AK100" s="29">
        <v>2.1238542001294851</v>
      </c>
      <c r="AL100" s="29">
        <v>2.1386951427597953</v>
      </c>
      <c r="AM100" s="29">
        <v>2.1535556059857042</v>
      </c>
      <c r="AN100" s="29">
        <v>2.1684348613082047</v>
      </c>
      <c r="AO100" s="29">
        <v>2.1833321767327512</v>
      </c>
      <c r="AP100" s="29">
        <v>2.1982468169097658</v>
      </c>
      <c r="AQ100" s="29">
        <v>2.2153574834226819</v>
      </c>
      <c r="AR100" s="29">
        <v>2.2324888119397621</v>
      </c>
      <c r="AS100" s="29">
        <v>2.2496396814190738</v>
      </c>
      <c r="AT100" s="29">
        <v>2.2668089662025759</v>
      </c>
      <c r="AU100" s="29">
        <v>2.2839955362846069</v>
      </c>
      <c r="AV100" s="29">
        <v>2.3011982576715138</v>
      </c>
      <c r="AW100" s="29">
        <v>2.3184159926662069</v>
      </c>
      <c r="AX100" s="29">
        <v>2.3356476001937989</v>
      </c>
      <c r="AY100" s="29">
        <v>2.3528919361346037</v>
      </c>
      <c r="AZ100" s="29">
        <v>2.3701478536270022</v>
      </c>
      <c r="BA100" s="29">
        <v>2.3874142034116619</v>
      </c>
      <c r="BB100" s="29">
        <v>2.4046898341476735</v>
      </c>
      <c r="BC100" s="29">
        <v>2.4219735927336701</v>
      </c>
      <c r="BD100" s="29">
        <v>2.4392643246489532</v>
      </c>
      <c r="BE100" s="29">
        <v>2.4565608742724101</v>
      </c>
      <c r="BF100" s="29">
        <v>2.4738620852181161</v>
      </c>
      <c r="BG100" s="29">
        <v>2.4911668006600625</v>
      </c>
      <c r="BH100" s="29">
        <v>2.5084738636664676</v>
      </c>
      <c r="BI100" s="29">
        <v>2.5257821175312523</v>
      </c>
      <c r="BJ100" s="29">
        <v>2.54309040609209</v>
      </c>
      <c r="BK100" s="29">
        <v>2.5603975740755911</v>
      </c>
      <c r="BL100" s="29">
        <v>2.577702467415329</v>
      </c>
      <c r="BM100" s="29">
        <v>2.5950039335794379</v>
      </c>
      <c r="BN100" s="29">
        <v>2.6123008219025663</v>
      </c>
      <c r="BO100" s="29">
        <v>2.6295919839063626</v>
      </c>
      <c r="BP100" s="29">
        <v>2.6468762736210758</v>
      </c>
      <c r="BQ100" s="29">
        <v>2.6641525479127433</v>
      </c>
      <c r="BR100" s="29">
        <v>2.6814196667971912</v>
      </c>
      <c r="BS100" s="29">
        <v>2.6986764937584353</v>
      </c>
      <c r="BT100" s="30">
        <v>2.7159218960629166</v>
      </c>
      <c r="BU100" s="29">
        <v>2.733154745075943</v>
      </c>
      <c r="BV100" s="29">
        <v>2.7503739165600565</v>
      </c>
      <c r="BW100" s="29">
        <v>2.7675782909927324</v>
      </c>
      <c r="BX100" s="29">
        <v>2.7847667538611098</v>
      </c>
      <c r="BY100" s="29">
        <v>2.8019381959637077</v>
      </c>
      <c r="BZ100" s="29">
        <v>2.8190915137060295</v>
      </c>
      <c r="CA100" s="29">
        <v>2.8362256093912652</v>
      </c>
      <c r="CB100" s="29">
        <v>2.8533393915108691</v>
      </c>
      <c r="CC100" s="29">
        <v>2.8704317750216757</v>
      </c>
      <c r="CD100" s="29">
        <v>2.8875016816324286</v>
      </c>
      <c r="CE100" s="29">
        <v>2.904548040072064</v>
      </c>
      <c r="CF100" s="29">
        <v>2.9215697863654917</v>
      </c>
      <c r="CG100" s="29">
        <v>2.9385658640930759</v>
      </c>
      <c r="CH100" s="29">
        <v>2.9555352246548727</v>
      </c>
      <c r="CI100" s="29">
        <v>2.9724768275235269</v>
      </c>
      <c r="CJ100" s="29">
        <v>2.9893896404963374</v>
      </c>
      <c r="CK100" s="29">
        <v>3.0062726399391031</v>
      </c>
      <c r="CL100" s="29">
        <v>3.023124811021348</v>
      </c>
      <c r="CM100" s="29">
        <v>3.0399451479559976</v>
      </c>
      <c r="CN100" s="29">
        <v>3.0567326542256334</v>
      </c>
      <c r="CO100" s="29">
        <v>3.0734863428015595</v>
      </c>
      <c r="CP100" s="29">
        <v>3.0902052363638406</v>
      </c>
      <c r="CQ100" s="29">
        <v>3.1068883675081778</v>
      </c>
      <c r="CR100" s="29">
        <v>3.1235347789549959</v>
      </c>
      <c r="CS100" s="29">
        <v>3.1401435237454547</v>
      </c>
      <c r="CT100" s="29">
        <v>3.156713665429439</v>
      </c>
      <c r="CU100" s="29">
        <v>3.1732442782592098</v>
      </c>
      <c r="CV100" s="29">
        <v>3.1897344473644269</v>
      </c>
      <c r="CW100" s="29">
        <v>3.2061832689257117</v>
      </c>
      <c r="CX100" s="29">
        <v>3.2225898503446131</v>
      </c>
      <c r="CY100" s="29">
        <v>3.2389533104004218</v>
      </c>
      <c r="CZ100" s="29">
        <v>3.255272779406245</v>
      </c>
      <c r="DA100" s="29">
        <v>3.2715473993598465</v>
      </c>
      <c r="DB100" s="29">
        <v>3.2877763240810891</v>
      </c>
      <c r="DC100" s="29">
        <v>3.3039587193474684</v>
      </c>
      <c r="DD100" s="29">
        <v>3.3200937630242922</v>
      </c>
      <c r="DE100" s="29">
        <v>3.3361806451881182</v>
      </c>
      <c r="DF100" s="29">
        <v>3.3522185682383485</v>
      </c>
      <c r="DG100" s="29">
        <v>3.3682067470105399</v>
      </c>
      <c r="DH100" s="29">
        <v>3.3841444088769856</v>
      </c>
      <c r="DI100" s="29">
        <v>3.4000307938444712</v>
      </c>
      <c r="DJ100" s="29">
        <v>3.4158651546454242</v>
      </c>
      <c r="DK100" s="29">
        <v>3.4316467568188571</v>
      </c>
      <c r="DL100" s="29">
        <v>3.4473748787920639</v>
      </c>
      <c r="DM100" s="29">
        <v>3.4630488119475831</v>
      </c>
      <c r="DN100" s="29">
        <v>3.4786678606931991</v>
      </c>
      <c r="DO100" s="29">
        <v>3.4942313425176796</v>
      </c>
      <c r="DP100" s="29">
        <v>3.5097385880460847</v>
      </c>
      <c r="DQ100" s="29">
        <v>3.525188941085609</v>
      </c>
      <c r="DR100" s="29">
        <v>3.5405817586658945</v>
      </c>
      <c r="DS100">
        <v>3.5559164110786283</v>
      </c>
      <c r="DT100">
        <v>3.57119228190128</v>
      </c>
      <c r="DU100">
        <v>3.5864087680244294</v>
      </c>
    </row>
    <row r="101" spans="1:125">
      <c r="A101" s="27">
        <v>99</v>
      </c>
      <c r="B101" s="28"/>
      <c r="C101" s="28"/>
      <c r="D101" s="28"/>
      <c r="E101" s="28"/>
      <c r="F101" s="28"/>
      <c r="G101" s="28"/>
      <c r="H101" s="28"/>
      <c r="I101" s="28"/>
      <c r="J101" s="28"/>
      <c r="K101" s="28"/>
      <c r="L101" s="28"/>
      <c r="M101" s="28"/>
      <c r="N101" s="28"/>
      <c r="O101" s="28"/>
      <c r="P101" s="28"/>
      <c r="Q101" s="28"/>
      <c r="R101" s="28"/>
      <c r="S101" s="28"/>
      <c r="T101" s="28"/>
      <c r="U101" s="28"/>
      <c r="V101" s="29"/>
      <c r="W101" s="29">
        <v>2</v>
      </c>
      <c r="X101" s="29">
        <v>1.94</v>
      </c>
      <c r="Y101" s="29">
        <v>1.974543236562972</v>
      </c>
      <c r="Z101" s="29">
        <v>1.9921735110850343</v>
      </c>
      <c r="AA101" s="29">
        <v>2.0237605499598841</v>
      </c>
      <c r="AB101" s="29">
        <v>1.9234384323240625</v>
      </c>
      <c r="AC101" s="29">
        <v>1.9012497602700298</v>
      </c>
      <c r="AD101" s="29">
        <v>1.9089174233025616</v>
      </c>
      <c r="AE101" s="29">
        <v>1.9224641522863255</v>
      </c>
      <c r="AF101" s="29">
        <v>1.9360293818387748</v>
      </c>
      <c r="AG101" s="29">
        <v>1.9496124626586708</v>
      </c>
      <c r="AH101" s="29">
        <v>1.9632127419751932</v>
      </c>
      <c r="AI101" s="29">
        <v>1.9768295636313642</v>
      </c>
      <c r="AJ101" s="29">
        <v>1.9904622683263442</v>
      </c>
      <c r="AK101" s="29">
        <v>2.0041101936384669</v>
      </c>
      <c r="AL101" s="29">
        <v>2.017772674202019</v>
      </c>
      <c r="AM101" s="29">
        <v>2.0314490418538838</v>
      </c>
      <c r="AN101" s="29">
        <v>2.0451386257477293</v>
      </c>
      <c r="AO101" s="29">
        <v>2.0588407525056382</v>
      </c>
      <c r="AP101" s="29">
        <v>2.0725547463422096</v>
      </c>
      <c r="AQ101" s="29">
        <v>2.0882829898766007</v>
      </c>
      <c r="AR101" s="29">
        <v>2.1040249013289056</v>
      </c>
      <c r="AS101" s="29">
        <v>2.1197794537540529</v>
      </c>
      <c r="AT101" s="29">
        <v>2.1355456171494374</v>
      </c>
      <c r="AU101" s="29">
        <v>2.1513223586765973</v>
      </c>
      <c r="AV101" s="29">
        <v>2.1671086430173601</v>
      </c>
      <c r="AW101" s="29">
        <v>2.1829034326159391</v>
      </c>
      <c r="AX101" s="29">
        <v>2.1987056879807665</v>
      </c>
      <c r="AY101" s="29">
        <v>2.2145143679953074</v>
      </c>
      <c r="AZ101" s="29">
        <v>2.2303284301830315</v>
      </c>
      <c r="BA101" s="29">
        <v>2.2461468310317971</v>
      </c>
      <c r="BB101" s="29">
        <v>2.2619685262756644</v>
      </c>
      <c r="BC101" s="29">
        <v>2.2777924711830564</v>
      </c>
      <c r="BD101" s="29">
        <v>2.2936176208728654</v>
      </c>
      <c r="BE101" s="29">
        <v>2.3094429305973847</v>
      </c>
      <c r="BF101" s="29">
        <v>2.3252673560485717</v>
      </c>
      <c r="BG101" s="29">
        <v>2.3410898536479201</v>
      </c>
      <c r="BH101" s="29">
        <v>2.3569093808494963</v>
      </c>
      <c r="BI101" s="29">
        <v>2.3727248964383394</v>
      </c>
      <c r="BJ101" s="29">
        <v>2.3885353608094477</v>
      </c>
      <c r="BK101" s="29">
        <v>2.4043397362850247</v>
      </c>
      <c r="BL101" s="29">
        <v>2.4201369873929481</v>
      </c>
      <c r="BM101" s="29">
        <v>2.4359260811588443</v>
      </c>
      <c r="BN101" s="29">
        <v>2.4517059874042415</v>
      </c>
      <c r="BO101" s="29">
        <v>2.4674756790287318</v>
      </c>
      <c r="BP101" s="29">
        <v>2.4832341322939979</v>
      </c>
      <c r="BQ101" s="29">
        <v>2.4989803271159197</v>
      </c>
      <c r="BR101" s="29">
        <v>2.514713247338733</v>
      </c>
      <c r="BS101" s="29">
        <v>2.5304318810158719</v>
      </c>
      <c r="BT101" s="30">
        <v>2.5461352206856334</v>
      </c>
      <c r="BU101" s="29">
        <v>2.5618222636505656</v>
      </c>
      <c r="BV101" s="29">
        <v>2.5774920122327916</v>
      </c>
      <c r="BW101" s="29">
        <v>2.5931434740567902</v>
      </c>
      <c r="BX101" s="29">
        <v>2.608775662301611</v>
      </c>
      <c r="BY101" s="29">
        <v>2.6243875959637428</v>
      </c>
      <c r="BZ101" s="29">
        <v>2.6399783001127592</v>
      </c>
      <c r="CA101" s="29">
        <v>2.6555468061415115</v>
      </c>
      <c r="CB101" s="29">
        <v>2.6710921520174185</v>
      </c>
      <c r="CC101" s="29">
        <v>2.6866133825169229</v>
      </c>
      <c r="CD101" s="29">
        <v>2.7021095494740885</v>
      </c>
      <c r="CE101" s="29">
        <v>2.7175797120060956</v>
      </c>
      <c r="CF101" s="29">
        <v>2.733022936750392</v>
      </c>
      <c r="CG101" s="29">
        <v>2.7484382980816013</v>
      </c>
      <c r="CH101" s="29">
        <v>2.7638248783365187</v>
      </c>
      <c r="CI101" s="29">
        <v>2.7791817680256776</v>
      </c>
      <c r="CJ101" s="29">
        <v>2.7945080660456294</v>
      </c>
      <c r="CK101" s="29">
        <v>2.8098028798821346</v>
      </c>
      <c r="CL101" s="29">
        <v>2.8250653258038683</v>
      </c>
      <c r="CM101" s="29">
        <v>2.8402945290639545</v>
      </c>
      <c r="CN101" s="29">
        <v>2.855489624085735</v>
      </c>
      <c r="CO101" s="29">
        <v>2.8706497546411476</v>
      </c>
      <c r="CP101" s="29">
        <v>2.8857740740324576</v>
      </c>
      <c r="CQ101" s="29">
        <v>2.9008617452588306</v>
      </c>
      <c r="CR101" s="29">
        <v>2.9159119411879408</v>
      </c>
      <c r="CS101" s="29">
        <v>2.9309238447126567</v>
      </c>
      <c r="CT101" s="29">
        <v>2.945896648899522</v>
      </c>
      <c r="CU101" s="29">
        <v>2.9608295571468153</v>
      </c>
      <c r="CV101" s="29">
        <v>2.9757217833206497</v>
      </c>
      <c r="CW101" s="29">
        <v>2.9905725518914883</v>
      </c>
      <c r="CX101" s="29">
        <v>3.0053810980682871</v>
      </c>
      <c r="CY101" s="29">
        <v>3.0201466679179712</v>
      </c>
      <c r="CZ101" s="29">
        <v>3.0348685184863062</v>
      </c>
      <c r="DA101" s="29">
        <v>3.0495459179143336</v>
      </c>
      <c r="DB101" s="29">
        <v>3.0641781455399615</v>
      </c>
      <c r="DC101" s="29">
        <v>3.0787644919994888</v>
      </c>
      <c r="DD101" s="29">
        <v>3.0933042593246189</v>
      </c>
      <c r="DE101" s="29">
        <v>3.1077967610332151</v>
      </c>
      <c r="DF101" s="29">
        <v>3.1222413222073206</v>
      </c>
      <c r="DG101" s="29">
        <v>3.1366372795757465</v>
      </c>
      <c r="DH101" s="29">
        <v>3.1509839815828147</v>
      </c>
      <c r="DI101" s="29">
        <v>3.1652807884558811</v>
      </c>
      <c r="DJ101" s="29">
        <v>3.1795270722668327</v>
      </c>
      <c r="DK101" s="29">
        <v>3.1937222169830153</v>
      </c>
      <c r="DL101" s="29">
        <v>3.2078656185214403</v>
      </c>
      <c r="DM101" s="29">
        <v>3.2219566847867362</v>
      </c>
      <c r="DN101" s="29">
        <v>3.2359948357152186</v>
      </c>
      <c r="DO101" s="29">
        <v>3.2499795033033183</v>
      </c>
      <c r="DP101" s="29">
        <v>3.2639101316377417</v>
      </c>
      <c r="DQ101" s="29">
        <v>3.2777861769160181</v>
      </c>
      <c r="DR101" s="29">
        <v>3.2916071074623701</v>
      </c>
      <c r="DS101">
        <v>3.3053724037448786</v>
      </c>
      <c r="DT101">
        <v>3.3190815583750606</v>
      </c>
      <c r="DU101">
        <v>3.3327340761140922</v>
      </c>
    </row>
    <row r="102" spans="1:125">
      <c r="A102" s="27">
        <v>100</v>
      </c>
      <c r="B102" s="28"/>
      <c r="C102" s="28"/>
      <c r="D102" s="28"/>
      <c r="E102" s="28"/>
      <c r="F102" s="28"/>
      <c r="G102" s="28"/>
      <c r="H102" s="28"/>
      <c r="I102" s="28"/>
      <c r="J102" s="28"/>
      <c r="K102" s="28"/>
      <c r="L102" s="28"/>
      <c r="M102" s="28"/>
      <c r="N102" s="28"/>
      <c r="O102" s="28"/>
      <c r="P102" s="28"/>
      <c r="Q102" s="28"/>
      <c r="R102" s="28"/>
      <c r="S102" s="28"/>
      <c r="T102" s="28"/>
      <c r="U102" s="28"/>
      <c r="V102" s="29"/>
      <c r="W102" s="29">
        <v>1.89</v>
      </c>
      <c r="X102" s="29">
        <v>1.83</v>
      </c>
      <c r="Y102" s="29">
        <v>1.8707796534430203</v>
      </c>
      <c r="Z102" s="29">
        <v>1.8871154938201291</v>
      </c>
      <c r="AA102" s="29">
        <v>1.9163687592390877</v>
      </c>
      <c r="AB102" s="29">
        <v>1.82339375426864</v>
      </c>
      <c r="AC102" s="29">
        <v>1.802804251274132</v>
      </c>
      <c r="AD102" s="29">
        <v>1.809920361683955</v>
      </c>
      <c r="AE102" s="29">
        <v>1.8224898897959987</v>
      </c>
      <c r="AF102" s="29">
        <v>1.8350730693950406</v>
      </c>
      <c r="AG102" s="29">
        <v>1.8476692947834648</v>
      </c>
      <c r="AH102" s="29">
        <v>1.8602779575883444</v>
      </c>
      <c r="AI102" s="29">
        <v>1.8728984468110625</v>
      </c>
      <c r="AJ102" s="29">
        <v>1.8855301491316923</v>
      </c>
      <c r="AK102" s="29">
        <v>1.8981724488584426</v>
      </c>
      <c r="AL102" s="29">
        <v>1.9108247281242128</v>
      </c>
      <c r="AM102" s="29">
        <v>1.9234863670327651</v>
      </c>
      <c r="AN102" s="29">
        <v>1.9361567437522695</v>
      </c>
      <c r="AO102" s="29">
        <v>1.9488352346674385</v>
      </c>
      <c r="AP102" s="29">
        <v>1.9615212144871168</v>
      </c>
      <c r="AQ102" s="29">
        <v>1.976066165389843</v>
      </c>
      <c r="AR102" s="29">
        <v>1.9906191810537628</v>
      </c>
      <c r="AS102" s="29">
        <v>2.0051793139814524</v>
      </c>
      <c r="AT102" s="29">
        <v>2.0197456148395214</v>
      </c>
      <c r="AU102" s="29">
        <v>2.0343171326268044</v>
      </c>
      <c r="AV102" s="29">
        <v>2.0488929150487967</v>
      </c>
      <c r="AW102" s="29">
        <v>2.0634720087145308</v>
      </c>
      <c r="AX102" s="29">
        <v>2.0780534594243449</v>
      </c>
      <c r="AY102" s="29">
        <v>2.0926363124696064</v>
      </c>
      <c r="AZ102" s="29">
        <v>2.1072196128615879</v>
      </c>
      <c r="BA102" s="29">
        <v>2.1218024056494427</v>
      </c>
      <c r="BB102" s="29">
        <v>2.1363837361725664</v>
      </c>
      <c r="BC102" s="29">
        <v>2.1509626503220431</v>
      </c>
      <c r="BD102" s="29">
        <v>2.1655381948431027</v>
      </c>
      <c r="BE102" s="29">
        <v>2.1801094175872389</v>
      </c>
      <c r="BF102" s="29">
        <v>2.1946753677986424</v>
      </c>
      <c r="BG102" s="29">
        <v>2.2092350963758278</v>
      </c>
      <c r="BH102" s="29">
        <v>2.2237876561524343</v>
      </c>
      <c r="BI102" s="29">
        <v>2.2383321021708431</v>
      </c>
      <c r="BJ102" s="29">
        <v>2.2528674919272969</v>
      </c>
      <c r="BK102" s="29">
        <v>2.2673928856730359</v>
      </c>
      <c r="BL102" s="29">
        <v>2.2819073466586968</v>
      </c>
      <c r="BM102" s="29">
        <v>2.2964099413989305</v>
      </c>
      <c r="BN102" s="29">
        <v>2.3108997399460036</v>
      </c>
      <c r="BO102" s="29">
        <v>2.3253758161405944</v>
      </c>
      <c r="BP102" s="29">
        <v>2.3398372478658622</v>
      </c>
      <c r="BQ102" s="29">
        <v>2.3542831173136358</v>
      </c>
      <c r="BR102" s="29">
        <v>2.3687125112254783</v>
      </c>
      <c r="BS102" s="29">
        <v>2.3831245211441359</v>
      </c>
      <c r="BT102" s="30">
        <v>2.3975182436584155</v>
      </c>
      <c r="BU102" s="29">
        <v>2.4118927806542052</v>
      </c>
      <c r="BV102" s="29">
        <v>2.4262472395324335</v>
      </c>
      <c r="BW102" s="29">
        <v>2.4405807334669709</v>
      </c>
      <c r="BX102" s="29">
        <v>2.4548923816204695</v>
      </c>
      <c r="BY102" s="29">
        <v>2.469181309376534</v>
      </c>
      <c r="BZ102" s="29">
        <v>2.4834466485630129</v>
      </c>
      <c r="CA102" s="29">
        <v>2.4976875376690493</v>
      </c>
      <c r="CB102" s="29">
        <v>2.5119031220651062</v>
      </c>
      <c r="CC102" s="29">
        <v>2.5260925542010719</v>
      </c>
      <c r="CD102" s="29">
        <v>2.5402549938256231</v>
      </c>
      <c r="CE102" s="29">
        <v>2.5543896081751578</v>
      </c>
      <c r="CF102" s="29">
        <v>2.5684955721805842</v>
      </c>
      <c r="CG102" s="29">
        <v>2.5825720686479139</v>
      </c>
      <c r="CH102" s="29">
        <v>2.5966182884518374</v>
      </c>
      <c r="CI102" s="29">
        <v>2.6106334307126855</v>
      </c>
      <c r="CJ102" s="29">
        <v>2.6246167029762901</v>
      </c>
      <c r="CK102" s="29">
        <v>2.6385673213833463</v>
      </c>
      <c r="CL102" s="29">
        <v>2.652484510827898</v>
      </c>
      <c r="CM102" s="29">
        <v>2.6663675051284863</v>
      </c>
      <c r="CN102" s="29">
        <v>2.6802155471799165</v>
      </c>
      <c r="CO102" s="29">
        <v>2.6940278890971618</v>
      </c>
      <c r="CP102" s="29">
        <v>2.7078037923659499</v>
      </c>
      <c r="CQ102" s="29">
        <v>2.7215425279750449</v>
      </c>
      <c r="CR102" s="29">
        <v>2.7352433765575079</v>
      </c>
      <c r="CS102" s="29">
        <v>2.7489056285140898</v>
      </c>
      <c r="CT102" s="29">
        <v>2.7625285841279252</v>
      </c>
      <c r="CU102" s="29">
        <v>2.7761115536942826</v>
      </c>
      <c r="CV102" s="29">
        <v>2.7896538576232137</v>
      </c>
      <c r="CW102" s="29">
        <v>2.803154826545097</v>
      </c>
      <c r="CX102" s="29">
        <v>2.8166138014153015</v>
      </c>
      <c r="CY102" s="29">
        <v>2.8300301336016744</v>
      </c>
      <c r="CZ102" s="29">
        <v>2.8434031849762422</v>
      </c>
      <c r="DA102" s="29">
        <v>2.8567323280032935</v>
      </c>
      <c r="DB102" s="29">
        <v>2.8700169458102152</v>
      </c>
      <c r="DC102" s="29">
        <v>2.8832564322605756</v>
      </c>
      <c r="DD102" s="29">
        <v>2.8964501920235959</v>
      </c>
      <c r="DE102" s="29">
        <v>2.9095976406376862</v>
      </c>
      <c r="DF102" s="29">
        <v>2.9226982045596217</v>
      </c>
      <c r="DG102" s="29">
        <v>2.9357513212220057</v>
      </c>
      <c r="DH102" s="29">
        <v>2.9487564390749279</v>
      </c>
      <c r="DI102" s="29">
        <v>2.9617130176283206</v>
      </c>
      <c r="DJ102" s="29">
        <v>2.9746205274887312</v>
      </c>
      <c r="DK102" s="29">
        <v>2.9874784503846166</v>
      </c>
      <c r="DL102" s="29">
        <v>3.0002862791981446</v>
      </c>
      <c r="DM102" s="29">
        <v>3.013043517978141</v>
      </c>
      <c r="DN102" s="29">
        <v>3.025749681963164</v>
      </c>
      <c r="DO102" s="29">
        <v>3.0384042975865531</v>
      </c>
      <c r="DP102" s="29">
        <v>3.0510069024858804</v>
      </c>
      <c r="DQ102" s="29">
        <v>3.0635570455021517</v>
      </c>
      <c r="DR102" s="29">
        <v>3.0760542866751321</v>
      </c>
      <c r="DS102">
        <v>3.0884981972424042</v>
      </c>
      <c r="DT102">
        <v>3.1008883596179366</v>
      </c>
      <c r="DU102">
        <v>3.1132243673812385</v>
      </c>
    </row>
    <row r="104" spans="1:125">
      <c r="B104" s="32" t="s">
        <v>2127</v>
      </c>
    </row>
  </sheetData>
  <sheetProtection formatColumns="0" autoFilter="0"/>
  <hyperlinks>
    <hyperlink ref="B104" r:id="rId1" display="https://www.destatis.de/SiteGlobals/Forms/Suche/Expertensuche_Formular.html?resourceId=2402&amp;input_=2408&amp;pageLocale=de&amp;templateQueryString=generationensterbetafeln&amp;submit.x=0&amp;submit.y=0" xr:uid="{E1D9E2D8-8C17-42EA-853A-FD2EDE00C6C9}"/>
    <hyperlink ref="A1" r:id="rId2" display="https://view.officeapps.live.com/op/view.aspx?src=https%3A%2F%2Fwww.destatis.de%2FDE%2FThemen%2FGesellschaft-Umwelt%2FBevoelkerung%2FSterbefaelle-Lebenserwartung%2FPublikationen%2FDownloads-Sterbefaelle%2Fkohortensterbetafeln-5126101209005.xlsx%3F__blob%3DpublicationFile&amp;wdOrigin=BROWSELINK" xr:uid="{22738937-5FCD-4BFA-87E7-0EEEA32524A7}"/>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E1854-E791-4BA6-8F81-E1A600EB4857}">
  <sheetPr codeName="Tabelle5" filterMode="1"/>
  <dimension ref="A1:F106"/>
  <sheetViews>
    <sheetView workbookViewId="0">
      <pane xSplit="5" ySplit="2" topLeftCell="F10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26.5703125" hidden="1"/>
  </cols>
  <sheetData>
    <row r="1" spans="1:6" ht="64.5" customHeight="1">
      <c r="B1" s="129" t="s">
        <v>1474</v>
      </c>
      <c r="C1" s="126" t="s">
        <v>1478</v>
      </c>
      <c r="D1" s="126" t="s">
        <v>1475</v>
      </c>
      <c r="E1" s="118" t="s">
        <v>2245</v>
      </c>
      <c r="F1" s="6" t="s">
        <v>3</v>
      </c>
    </row>
    <row r="2" spans="1:6" ht="39.75" customHeight="1">
      <c r="A2" s="128"/>
      <c r="B2" s="129"/>
      <c r="C2" s="126"/>
      <c r="D2" s="126"/>
      <c r="E2" s="124"/>
      <c r="F2" s="162" t="str" cm="1">
        <f t="array" ref="F2">_xlfn.TEXTJOIN("; ", TRUE, IF(Entscheidungen!A2:A100=F1, Entscheidungen!B2:B100, ""))</f>
        <v/>
      </c>
    </row>
    <row r="3" spans="1:6" ht="177" hidden="1">
      <c r="A3" s="7">
        <f>ROW()</f>
        <v>3</v>
      </c>
      <c r="B3" s="8" t="s">
        <v>1479</v>
      </c>
      <c r="C3" s="8"/>
      <c r="D3" s="8" t="str">
        <f>+E3</f>
        <v>Geltende Rechtsgrundlage</v>
      </c>
      <c r="E3" s="21" t="s">
        <v>1472</v>
      </c>
      <c r="F3" s="2" t="s">
        <v>1595</v>
      </c>
    </row>
    <row r="4" spans="1:6" ht="135" hidden="1" customHeight="1">
      <c r="A4" s="7">
        <f>ROW()</f>
        <v>4</v>
      </c>
      <c r="B4" s="8" t="s">
        <v>1479</v>
      </c>
      <c r="C4" s="1"/>
      <c r="D4" s="8" t="str">
        <f t="shared" ref="D4:D34" si="0">+E4</f>
        <v>Grundprinzipien</v>
      </c>
      <c r="E4" s="22" t="s">
        <v>1468</v>
      </c>
      <c r="F4" s="2" t="s">
        <v>1596</v>
      </c>
    </row>
    <row r="5" spans="1:6" ht="345" hidden="1" customHeight="1">
      <c r="A5" s="7">
        <f>ROW()</f>
        <v>5</v>
      </c>
      <c r="B5" s="8" t="s">
        <v>1479</v>
      </c>
      <c r="C5" s="1"/>
      <c r="D5" s="8" t="str">
        <f t="shared" si="0"/>
        <v>Gedecktes Risiko: Definition</v>
      </c>
      <c r="E5" s="22" t="s">
        <v>1630</v>
      </c>
      <c r="F5" s="2" t="s">
        <v>1597</v>
      </c>
    </row>
    <row r="6" spans="1:6" ht="144" hidden="1">
      <c r="A6" s="7">
        <f>ROW()</f>
        <v>6</v>
      </c>
      <c r="B6" s="8" t="s">
        <v>1479</v>
      </c>
      <c r="C6" s="8" t="s">
        <v>1453</v>
      </c>
      <c r="D6" s="8" t="str">
        <f t="shared" si="0"/>
        <v>Versicherte Personen</v>
      </c>
      <c r="E6" s="23" t="s">
        <v>1453</v>
      </c>
      <c r="F6" s="2" t="s">
        <v>1598</v>
      </c>
    </row>
    <row r="7" spans="1:6" ht="273" hidden="1">
      <c r="A7" s="7">
        <f>ROW()</f>
        <v>7</v>
      </c>
      <c r="B7" s="8" t="s">
        <v>1479</v>
      </c>
      <c r="C7" s="8" t="str">
        <f>+E6</f>
        <v>Versicherte Personen</v>
      </c>
      <c r="D7" s="8" t="str">
        <f t="shared" si="0"/>
        <v>Ausnahmen von der Versicherungspflicht</v>
      </c>
      <c r="E7" s="23" t="s">
        <v>1458</v>
      </c>
      <c r="F7" s="2" t="s">
        <v>1599</v>
      </c>
    </row>
    <row r="8" spans="1:6" ht="285" hidden="1" customHeight="1">
      <c r="A8" s="7">
        <f>ROW()</f>
        <v>8</v>
      </c>
      <c r="B8" s="8" t="s">
        <v>1479</v>
      </c>
      <c r="C8" s="9" t="s">
        <v>128</v>
      </c>
      <c r="D8" s="8" t="str">
        <f t="shared" si="0"/>
        <v>1. Anwartschaftszeit</v>
      </c>
      <c r="E8" s="23" t="s">
        <v>1483</v>
      </c>
      <c r="F8" s="2" t="s">
        <v>1600</v>
      </c>
    </row>
    <row r="9" spans="1:6" ht="409.5" hidden="1">
      <c r="A9" s="7">
        <f>ROW()</f>
        <v>9</v>
      </c>
      <c r="B9" s="8" t="s">
        <v>1479</v>
      </c>
      <c r="C9" s="9" t="s">
        <v>128</v>
      </c>
      <c r="D9" s="8" t="str">
        <f t="shared" si="0"/>
        <v xml:space="preserve">2. Begutachtungskriterien und Kategorien der Arbeitsunfähigkeit/Arbeitsfähigkeit  </v>
      </c>
      <c r="E9" s="23" t="s">
        <v>1484</v>
      </c>
      <c r="F9" s="2" t="s">
        <v>1601</v>
      </c>
    </row>
    <row r="10" spans="1:6" ht="222" hidden="1">
      <c r="A10" s="7">
        <f>ROW()</f>
        <v>10</v>
      </c>
      <c r="B10" s="8" t="s">
        <v>1479</v>
      </c>
      <c r="C10" s="9" t="s">
        <v>128</v>
      </c>
      <c r="D10" s="8" t="str">
        <f t="shared" si="0"/>
        <v>3. Zeitraum der Leistungszahlung</v>
      </c>
      <c r="E10" s="23" t="s">
        <v>1486</v>
      </c>
      <c r="F10" s="2" t="s">
        <v>1602</v>
      </c>
    </row>
    <row r="11" spans="1:6" ht="300" hidden="1" customHeight="1">
      <c r="A11" s="7">
        <f>ROW()</f>
        <v>11</v>
      </c>
      <c r="B11" s="8" t="s">
        <v>1479</v>
      </c>
      <c r="C11" s="9" t="s">
        <v>1488</v>
      </c>
      <c r="D11" s="8" t="str">
        <f t="shared" si="0"/>
        <v>1. Gutachter</v>
      </c>
      <c r="E11" s="23" t="s">
        <v>1489</v>
      </c>
      <c r="F11" s="2" t="s">
        <v>1603</v>
      </c>
    </row>
    <row r="12" spans="1:6" ht="150" hidden="1" customHeight="1">
      <c r="A12" s="7">
        <f>ROW()</f>
        <v>12</v>
      </c>
      <c r="B12" s="8" t="s">
        <v>1479</v>
      </c>
      <c r="C12" s="9" t="s">
        <v>1488</v>
      </c>
      <c r="D12" s="8" t="str">
        <f t="shared" si="0"/>
        <v xml:space="preserve">2. Überprüfung  </v>
      </c>
      <c r="E12" s="23" t="s">
        <v>1490</v>
      </c>
      <c r="F12" s="2" t="s">
        <v>1604</v>
      </c>
    </row>
    <row r="13" spans="1:6" ht="375" hidden="1">
      <c r="A13" s="7">
        <f>ROW()</f>
        <v>13</v>
      </c>
      <c r="B13" s="8" t="s">
        <v>1479</v>
      </c>
      <c r="C13" s="8" t="s">
        <v>1459</v>
      </c>
      <c r="D13" s="8" t="str">
        <f t="shared" si="0"/>
        <v>1. Berechnungsmethode bzw. Rentenformel</v>
      </c>
      <c r="E13" s="23" t="s">
        <v>1492</v>
      </c>
      <c r="F13" s="2" t="s">
        <v>1605</v>
      </c>
    </row>
    <row r="14" spans="1:6" ht="343.5" hidden="1">
      <c r="A14" s="7">
        <f>ROW()</f>
        <v>14</v>
      </c>
      <c r="B14" s="8" t="s">
        <v>1479</v>
      </c>
      <c r="C14" s="8" t="s">
        <v>1459</v>
      </c>
      <c r="D14" s="8" t="str">
        <f t="shared" si="0"/>
        <v>2. Referenzeinkommen bzw. Berechnungsgrundlage</v>
      </c>
      <c r="E14" s="23" t="s">
        <v>1493</v>
      </c>
      <c r="F14" s="2" t="s">
        <v>1606</v>
      </c>
    </row>
    <row r="15" spans="1:6" ht="226.5" hidden="1">
      <c r="A15" s="7">
        <f>ROW()</f>
        <v>15</v>
      </c>
      <c r="B15" s="8" t="s">
        <v>1479</v>
      </c>
      <c r="C15" s="8" t="s">
        <v>1459</v>
      </c>
      <c r="D15" s="8" t="str">
        <f t="shared" si="0"/>
        <v>3. Mindest- und Höchstleistungen</v>
      </c>
      <c r="E15" s="23" t="s">
        <v>1495</v>
      </c>
      <c r="F15" s="2" t="s">
        <v>1607</v>
      </c>
    </row>
    <row r="16" spans="1:6" ht="405" hidden="1">
      <c r="A16" s="7">
        <f>ROW()</f>
        <v>16</v>
      </c>
      <c r="B16" s="8" t="s">
        <v>1479</v>
      </c>
      <c r="C16" s="8" t="s">
        <v>1459</v>
      </c>
      <c r="D16" s="8" t="str">
        <f t="shared" si="0"/>
        <v>4. Anrechenbare oder als Beitragszeiten gewertete Zeiträume</v>
      </c>
      <c r="E16" s="23" t="s">
        <v>1496</v>
      </c>
      <c r="F16" s="2" t="s">
        <v>1608</v>
      </c>
    </row>
    <row r="17" spans="1:6" ht="250.5" hidden="1">
      <c r="A17" s="7">
        <f>ROW()</f>
        <v>17</v>
      </c>
      <c r="B17" s="8" t="s">
        <v>1479</v>
      </c>
      <c r="C17" s="8" t="s">
        <v>1459</v>
      </c>
      <c r="D17" s="8" t="str">
        <f t="shared" si="0"/>
        <v xml:space="preserve">5. Zulagen für Unterhaltsberechtigte  </v>
      </c>
      <c r="E17" s="23" t="s">
        <v>1498</v>
      </c>
      <c r="F17" s="2" t="s">
        <v>336</v>
      </c>
    </row>
    <row r="18" spans="1:6" ht="135" hidden="1">
      <c r="A18" s="7">
        <f>ROW()</f>
        <v>18</v>
      </c>
      <c r="B18" s="8" t="s">
        <v>1479</v>
      </c>
      <c r="C18" s="8" t="str">
        <f>+E18</f>
        <v>Sonstige Leistungen</v>
      </c>
      <c r="D18" s="8" t="str">
        <f>+E18</f>
        <v>Sonstige Leistungen</v>
      </c>
      <c r="E18" s="22" t="s">
        <v>1455</v>
      </c>
      <c r="F18" s="2" t="s">
        <v>1178</v>
      </c>
    </row>
    <row r="19" spans="1:6" ht="300.75" hidden="1">
      <c r="A19" s="7">
        <f>ROW()</f>
        <v>19</v>
      </c>
      <c r="B19" s="8" t="s">
        <v>1479</v>
      </c>
      <c r="C19" s="8" t="s">
        <v>1500</v>
      </c>
      <c r="D19" s="8" t="str">
        <f t="shared" si="0"/>
        <v>Umschulung, berufsbezogene Rehabilitation</v>
      </c>
      <c r="E19" s="23" t="s">
        <v>1501</v>
      </c>
      <c r="F19" s="2" t="s">
        <v>1609</v>
      </c>
    </row>
    <row r="20" spans="1:6" ht="409.5" hidden="1">
      <c r="A20" s="7">
        <f>ROW()</f>
        <v>20</v>
      </c>
      <c r="B20" s="8" t="s">
        <v>1479</v>
      </c>
      <c r="C20" s="8" t="s">
        <v>1500</v>
      </c>
      <c r="D20" s="8" t="str">
        <f t="shared" si="0"/>
        <v xml:space="preserve">Bevorzugte und reservierte Beschäftigung von Menschen mit Behinderungen  </v>
      </c>
      <c r="E20" s="23" t="s">
        <v>1502</v>
      </c>
      <c r="F20" s="2" t="s">
        <v>1610</v>
      </c>
    </row>
    <row r="21" spans="1:6" ht="409.5" hidden="1" customHeight="1">
      <c r="A21" s="7">
        <f>ROW()</f>
        <v>21</v>
      </c>
      <c r="B21" s="8" t="s">
        <v>1479</v>
      </c>
      <c r="C21" s="8" t="s">
        <v>1504</v>
      </c>
      <c r="D21" s="8" t="str">
        <f t="shared" si="0"/>
        <v>Indexbindung/Anpassung</v>
      </c>
      <c r="E21" s="22" t="s">
        <v>1505</v>
      </c>
      <c r="F21" s="2" t="s">
        <v>1236</v>
      </c>
    </row>
    <row r="22" spans="1:6" ht="242.25" hidden="1">
      <c r="A22" s="7">
        <f>ROW()</f>
        <v>22</v>
      </c>
      <c r="B22" s="8" t="s">
        <v>1479</v>
      </c>
      <c r="C22" s="8" t="s">
        <v>1504</v>
      </c>
      <c r="D22" s="8" t="str">
        <f>+E22</f>
        <v>Kumulation mit Erwerbseinkommen</v>
      </c>
      <c r="E22" s="22" t="s">
        <v>1471</v>
      </c>
      <c r="F22" s="2" t="s">
        <v>1611</v>
      </c>
    </row>
    <row r="23" spans="1:6" ht="275.25" hidden="1">
      <c r="A23" s="7">
        <f>ROW()</f>
        <v>23</v>
      </c>
      <c r="B23" s="8" t="s">
        <v>1479</v>
      </c>
      <c r="C23" s="8" t="s">
        <v>1504</v>
      </c>
      <c r="D23" s="8" t="str">
        <f t="shared" si="0"/>
        <v>Kumulation mit anderen Sozialleistungen</v>
      </c>
      <c r="E23" s="22" t="s">
        <v>1460</v>
      </c>
      <c r="F23" s="2" t="s">
        <v>1612</v>
      </c>
    </row>
    <row r="24" spans="1:6" ht="232.5" hidden="1">
      <c r="A24" s="7">
        <f>ROW()</f>
        <v>24</v>
      </c>
      <c r="B24" s="8" t="s">
        <v>1479</v>
      </c>
      <c r="C24" s="8" t="s">
        <v>1465</v>
      </c>
      <c r="D24" s="8" t="str">
        <f t="shared" si="0"/>
        <v>1. Besteuerung von Geldleistungen</v>
      </c>
      <c r="E24" s="23" t="s">
        <v>1509</v>
      </c>
      <c r="F24" s="2" t="s">
        <v>616</v>
      </c>
    </row>
    <row r="25" spans="1:6" ht="387" hidden="1">
      <c r="A25" s="7">
        <f>ROW()</f>
        <v>25</v>
      </c>
      <c r="B25" s="8" t="s">
        <v>1479</v>
      </c>
      <c r="C25" s="8" t="s">
        <v>1465</v>
      </c>
      <c r="D25" s="8" t="str">
        <f t="shared" si="0"/>
        <v>2. Einkommensgrenze für Besteuerung von Geldleistungen</v>
      </c>
      <c r="E25" s="23" t="s">
        <v>1511</v>
      </c>
      <c r="F25" s="2" t="s">
        <v>1613</v>
      </c>
    </row>
    <row r="26" spans="1:6" ht="288.75">
      <c r="A26" s="7">
        <f>ROW()</f>
        <v>26</v>
      </c>
      <c r="B26" s="8" t="s">
        <v>1479</v>
      </c>
      <c r="C26" s="8" t="s">
        <v>1465</v>
      </c>
      <c r="D26" s="8" t="str">
        <f t="shared" si="0"/>
        <v>3. Auf Leistungen anfallende Sozialabgaben</v>
      </c>
      <c r="E26" s="23" t="s">
        <v>1512</v>
      </c>
      <c r="F26" s="2" t="s">
        <v>1614</v>
      </c>
    </row>
    <row r="27" spans="1:6" ht="150" hidden="1" customHeight="1">
      <c r="A27" s="7">
        <f>ROW()</f>
        <v>27</v>
      </c>
      <c r="B27" s="8" t="s">
        <v>1479</v>
      </c>
      <c r="C27" s="8" t="s">
        <v>1514</v>
      </c>
      <c r="D27" s="8" t="str">
        <f t="shared" si="0"/>
        <v>Anwendungsbereich</v>
      </c>
      <c r="E27" s="23" t="s">
        <v>1467</v>
      </c>
      <c r="F27" s="2" t="s">
        <v>1615</v>
      </c>
    </row>
    <row r="28" spans="1:6" ht="225" hidden="1" customHeight="1">
      <c r="A28" s="7">
        <f>ROW()</f>
        <v>28</v>
      </c>
      <c r="B28" s="8" t="s">
        <v>1479</v>
      </c>
      <c r="C28" s="8" t="s">
        <v>1514</v>
      </c>
      <c r="D28" s="8" t="str">
        <f t="shared" si="0"/>
        <v>Grundprinzipien</v>
      </c>
      <c r="E28" s="23" t="s">
        <v>1468</v>
      </c>
      <c r="F28" s="2" t="s">
        <v>1616</v>
      </c>
    </row>
    <row r="29" spans="1:6" ht="224.25" hidden="1">
      <c r="A29" s="7">
        <f>ROW()</f>
        <v>29</v>
      </c>
      <c r="B29" s="8" t="s">
        <v>1479</v>
      </c>
      <c r="C29" s="8" t="s">
        <v>1514</v>
      </c>
      <c r="D29" s="8" t="str">
        <f t="shared" si="0"/>
        <v>Voraussetzungen für die Deckung</v>
      </c>
      <c r="E29" s="23" t="s">
        <v>1469</v>
      </c>
      <c r="F29" s="2" t="s">
        <v>1617</v>
      </c>
    </row>
    <row r="30" spans="1:6" ht="409.5" hidden="1">
      <c r="A30" s="7">
        <f>ROW()</f>
        <v>30</v>
      </c>
      <c r="B30" s="8" t="s">
        <v>1479</v>
      </c>
      <c r="C30" s="8" t="s">
        <v>1514</v>
      </c>
      <c r="D30" s="9" t="str">
        <f t="shared" si="0"/>
        <v>Kombination von selbstständiger und unselbstständiger Tätigkeit</v>
      </c>
      <c r="E30" s="23" t="s">
        <v>1462</v>
      </c>
      <c r="F30" s="2" t="s">
        <v>1618</v>
      </c>
    </row>
    <row r="31" spans="1:6" ht="376.5" hidden="1">
      <c r="A31" s="7">
        <f>ROW()</f>
        <v>31</v>
      </c>
      <c r="B31" s="8" t="s">
        <v>1479</v>
      </c>
      <c r="C31" s="8" t="s">
        <v>1459</v>
      </c>
      <c r="D31" s="9" t="str">
        <f t="shared" si="0"/>
        <v xml:space="preserve">Voraussetzungen für den Zugang zu Diensten/Leistungen </v>
      </c>
      <c r="E31" s="23" t="s">
        <v>1463</v>
      </c>
      <c r="F31" s="2" t="s">
        <v>1619</v>
      </c>
    </row>
    <row r="32" spans="1:6" ht="253.5" hidden="1">
      <c r="A32" s="7">
        <f>ROW()</f>
        <v>32</v>
      </c>
      <c r="B32" s="8" t="s">
        <v>1479</v>
      </c>
      <c r="C32" s="8" t="s">
        <v>1459</v>
      </c>
      <c r="D32" s="8" t="str">
        <f t="shared" si="0"/>
        <v>Beträge, Dauer und Kostenbeteiligung</v>
      </c>
      <c r="E32" s="23" t="s">
        <v>1464</v>
      </c>
      <c r="F32" s="2" t="s">
        <v>1620</v>
      </c>
    </row>
    <row r="33" spans="1:6" ht="216" hidden="1">
      <c r="A33" s="7">
        <f>ROW()</f>
        <v>33</v>
      </c>
      <c r="B33" s="8" t="s">
        <v>1479</v>
      </c>
      <c r="C33" s="8" t="s">
        <v>1459</v>
      </c>
      <c r="D33" s="8" t="str">
        <f t="shared" si="0"/>
        <v>Besteuerung von Geldleistungen</v>
      </c>
      <c r="E33" s="23" t="s">
        <v>1456</v>
      </c>
      <c r="F33" s="2" t="s">
        <v>810</v>
      </c>
    </row>
    <row r="34" spans="1:6" ht="276.75">
      <c r="A34" s="7">
        <f>ROW()</f>
        <v>34</v>
      </c>
      <c r="B34" s="8" t="s">
        <v>1479</v>
      </c>
      <c r="C34" s="8" t="s">
        <v>1459</v>
      </c>
      <c r="D34" s="8" t="str">
        <f t="shared" si="0"/>
        <v xml:space="preserve"> Auf Leistungen anfallende Sozialabgaben</v>
      </c>
      <c r="E34" s="23" t="s">
        <v>1518</v>
      </c>
      <c r="F34" s="2" t="s">
        <v>824</v>
      </c>
    </row>
    <row r="35" spans="1:6" ht="177" hidden="1">
      <c r="A35" s="7">
        <f>ROW()</f>
        <v>35</v>
      </c>
      <c r="B35" s="8" t="s">
        <v>1519</v>
      </c>
      <c r="C35" s="8" t="str">
        <f>+D35</f>
        <v>Geltende Rechtsgrundlage</v>
      </c>
      <c r="D35" s="8" t="str">
        <f>+E35</f>
        <v>Geltende Rechtsgrundlage</v>
      </c>
      <c r="E35" s="22" t="s">
        <v>1472</v>
      </c>
      <c r="F35" s="2" t="s">
        <v>34</v>
      </c>
    </row>
    <row r="36" spans="1:6" ht="270" hidden="1" customHeight="1">
      <c r="A36" s="7">
        <f>ROW()</f>
        <v>36</v>
      </c>
      <c r="B36" s="8" t="s">
        <v>1519</v>
      </c>
      <c r="C36" s="8" t="str">
        <f>+D36</f>
        <v>Grundprinzipien</v>
      </c>
      <c r="D36" s="8" t="str">
        <f>+E36</f>
        <v>Grundprinzipien</v>
      </c>
      <c r="E36" s="22" t="s">
        <v>1468</v>
      </c>
      <c r="F36" s="2" t="s">
        <v>63</v>
      </c>
    </row>
    <row r="37" spans="1:6" ht="159.75" hidden="1">
      <c r="A37" s="7">
        <f>ROW()</f>
        <v>37</v>
      </c>
      <c r="B37" s="8" t="s">
        <v>1519</v>
      </c>
      <c r="C37" s="8" t="s">
        <v>1467</v>
      </c>
      <c r="D37" s="8" t="str">
        <f>+E37</f>
        <v>1. Versicherte Personen</v>
      </c>
      <c r="E37" s="23" t="s">
        <v>1520</v>
      </c>
      <c r="F37" s="2" t="s">
        <v>87</v>
      </c>
    </row>
    <row r="38" spans="1:6" ht="371.25" hidden="1">
      <c r="A38" s="7">
        <f>ROW()</f>
        <v>38</v>
      </c>
      <c r="B38" s="8" t="s">
        <v>1519</v>
      </c>
      <c r="C38" s="8" t="s">
        <v>1467</v>
      </c>
      <c r="D38" s="8" t="str">
        <f t="shared" ref="D38:D58" si="1">+E38</f>
        <v>2. Ausnahmen von der Deckung  der Pflichtversicherung</v>
      </c>
      <c r="E38" s="23" t="s">
        <v>1521</v>
      </c>
      <c r="F38" s="2" t="s">
        <v>112</v>
      </c>
    </row>
    <row r="39" spans="1:6" ht="194.25" hidden="1">
      <c r="A39" s="7">
        <f>ROW()</f>
        <v>39</v>
      </c>
      <c r="B39" s="8" t="s">
        <v>1519</v>
      </c>
      <c r="C39" s="8" t="s">
        <v>128</v>
      </c>
      <c r="D39" s="8" t="str">
        <f t="shared" si="1"/>
        <v>1. Rentenalter</v>
      </c>
      <c r="E39" s="23" t="s">
        <v>1523</v>
      </c>
      <c r="F39" s="2" t="s">
        <v>130</v>
      </c>
    </row>
    <row r="40" spans="1:6" ht="409.5" hidden="1">
      <c r="A40" s="7">
        <f>ROW()</f>
        <v>40</v>
      </c>
      <c r="B40" s="8" t="s">
        <v>1519</v>
      </c>
      <c r="C40" s="8" t="s">
        <v>128</v>
      </c>
      <c r="D40" s="8" t="str">
        <f t="shared" si="1"/>
        <v>2. Anwartschaftszeit und sonstige Anspruchsvoraussetzungen für den Bezug einer Altersrente</v>
      </c>
      <c r="E40" s="23" t="s">
        <v>1524</v>
      </c>
      <c r="F40" s="2" t="s">
        <v>153</v>
      </c>
    </row>
    <row r="41" spans="1:6" ht="315" hidden="1">
      <c r="A41" s="7">
        <f>ROW()</f>
        <v>41</v>
      </c>
      <c r="B41" s="8" t="s">
        <v>1519</v>
      </c>
      <c r="C41" s="8" t="s">
        <v>128</v>
      </c>
      <c r="D41" s="8" t="str">
        <f t="shared" si="1"/>
        <v>3. Vorruhestand</v>
      </c>
      <c r="E41" s="23" t="s">
        <v>1525</v>
      </c>
      <c r="F41" s="2" t="s">
        <v>175</v>
      </c>
    </row>
    <row r="42" spans="1:6" ht="264" hidden="1">
      <c r="A42" s="7">
        <f>ROW()</f>
        <v>42</v>
      </c>
      <c r="B42" s="8" t="s">
        <v>1519</v>
      </c>
      <c r="C42" s="8" t="s">
        <v>128</v>
      </c>
      <c r="D42" s="8" t="str">
        <f t="shared" si="1"/>
        <v>4. Beschwerliche und gefährliche Arbeit</v>
      </c>
      <c r="E42" s="23" t="s">
        <v>1526</v>
      </c>
      <c r="F42" s="2" t="s">
        <v>192</v>
      </c>
    </row>
    <row r="43" spans="1:6" ht="194.25" hidden="1">
      <c r="A43" s="7">
        <f>ROW()</f>
        <v>43</v>
      </c>
      <c r="B43" s="8" t="s">
        <v>1519</v>
      </c>
      <c r="C43" s="8" t="s">
        <v>128</v>
      </c>
      <c r="D43" s="8" t="str">
        <f t="shared" si="1"/>
        <v>5. Rentenaufschub</v>
      </c>
      <c r="E43" s="23" t="s">
        <v>1527</v>
      </c>
      <c r="F43" s="2" t="s">
        <v>212</v>
      </c>
    </row>
    <row r="44" spans="1:6" ht="174" hidden="1">
      <c r="A44" s="7">
        <f>ROW()</f>
        <v>44</v>
      </c>
      <c r="B44" s="8" t="s">
        <v>1519</v>
      </c>
      <c r="C44" s="8" t="s">
        <v>1459</v>
      </c>
      <c r="D44" s="8" t="str">
        <f t="shared" si="1"/>
        <v>1. Bestimmende Faktoren</v>
      </c>
      <c r="E44" s="23" t="s">
        <v>1528</v>
      </c>
      <c r="F44" s="2" t="s">
        <v>235</v>
      </c>
    </row>
    <row r="45" spans="1:6" ht="409.5" hidden="1">
      <c r="A45" s="7">
        <f>ROW()</f>
        <v>45</v>
      </c>
      <c r="B45" s="8" t="s">
        <v>1519</v>
      </c>
      <c r="C45" s="8" t="s">
        <v>1459</v>
      </c>
      <c r="D45" s="8" t="str">
        <f t="shared" si="1"/>
        <v>2. Berechnungsmethode, Rentenformel bzw. Beträge</v>
      </c>
      <c r="E45" s="23" t="s">
        <v>1529</v>
      </c>
      <c r="F45" s="2" t="s">
        <v>258</v>
      </c>
    </row>
    <row r="46" spans="1:6" ht="343.5" hidden="1">
      <c r="A46" s="7">
        <f>ROW()</f>
        <v>46</v>
      </c>
      <c r="B46" s="8" t="s">
        <v>1519</v>
      </c>
      <c r="C46" s="8" t="s">
        <v>1459</v>
      </c>
      <c r="D46" s="8" t="str">
        <f t="shared" si="1"/>
        <v>3. Referenzeinkommen bzw. Berechnungsgrundlage</v>
      </c>
      <c r="E46" s="23" t="s">
        <v>1530</v>
      </c>
      <c r="F46" s="2" t="s">
        <v>273</v>
      </c>
    </row>
    <row r="47" spans="1:6" ht="405" hidden="1">
      <c r="A47" s="7">
        <f>ROW()</f>
        <v>47</v>
      </c>
      <c r="B47" s="8" t="s">
        <v>1519</v>
      </c>
      <c r="C47" s="8" t="s">
        <v>1459</v>
      </c>
      <c r="D47" s="8" t="str">
        <f t="shared" si="1"/>
        <v>4. Anrechenbare oder als Beitragszeiten gewertete Zeiträume</v>
      </c>
      <c r="E47" s="23" t="s">
        <v>1496</v>
      </c>
      <c r="F47" s="2" t="s">
        <v>300</v>
      </c>
    </row>
    <row r="48" spans="1:6" ht="330" hidden="1">
      <c r="A48" s="7">
        <f>ROW()</f>
        <v>48</v>
      </c>
      <c r="B48" s="8" t="s">
        <v>1519</v>
      </c>
      <c r="C48" s="8" t="s">
        <v>1459</v>
      </c>
      <c r="D48" s="8" t="str">
        <f t="shared" si="1"/>
        <v>5. Rückkauf von Versicherungszeiten</v>
      </c>
      <c r="E48" s="23" t="s">
        <v>1531</v>
      </c>
      <c r="F48" s="2" t="s">
        <v>311</v>
      </c>
    </row>
    <row r="49" spans="1:6" ht="246" hidden="1">
      <c r="A49" s="7">
        <f>ROW()</f>
        <v>49</v>
      </c>
      <c r="B49" s="8" t="s">
        <v>1519</v>
      </c>
      <c r="C49" s="8" t="s">
        <v>1459</v>
      </c>
      <c r="D49" s="8" t="str">
        <f t="shared" si="1"/>
        <v>6.  Zulagen für Unterhaltsberechtigte</v>
      </c>
      <c r="E49" s="23" t="s">
        <v>1631</v>
      </c>
      <c r="F49" s="2" t="s">
        <v>331</v>
      </c>
    </row>
    <row r="50" spans="1:6" ht="145.5" hidden="1">
      <c r="A50" s="7">
        <f>ROW()</f>
        <v>50</v>
      </c>
      <c r="B50" s="8" t="s">
        <v>1519</v>
      </c>
      <c r="C50" s="8" t="s">
        <v>1459</v>
      </c>
      <c r="D50" s="8" t="str">
        <f t="shared" si="1"/>
        <v>7. Besondere Zulagen</v>
      </c>
      <c r="E50" s="23" t="s">
        <v>1532</v>
      </c>
      <c r="F50" s="2" t="s">
        <v>351</v>
      </c>
    </row>
    <row r="51" spans="1:6" ht="360.75" hidden="1">
      <c r="A51" s="7">
        <f>ROW()</f>
        <v>51</v>
      </c>
      <c r="B51" s="8" t="s">
        <v>1519</v>
      </c>
      <c r="C51" s="8" t="s">
        <v>1459</v>
      </c>
      <c r="D51" s="8" t="str">
        <f t="shared" si="1"/>
        <v>8. Mindestrente und bedürftigkeitsabhängige Leistung</v>
      </c>
      <c r="E51" s="23" t="s">
        <v>1533</v>
      </c>
      <c r="F51" s="2" t="s">
        <v>372</v>
      </c>
    </row>
    <row r="52" spans="1:6" ht="101.25" hidden="1">
      <c r="A52" s="7">
        <f>ROW()</f>
        <v>52</v>
      </c>
      <c r="B52" s="8" t="s">
        <v>1519</v>
      </c>
      <c r="C52" s="8" t="s">
        <v>1459</v>
      </c>
      <c r="D52" s="8" t="str">
        <f t="shared" si="1"/>
        <v>9. Höchstrente</v>
      </c>
      <c r="E52" s="23" t="s">
        <v>1534</v>
      </c>
      <c r="F52" s="2" t="s">
        <v>396</v>
      </c>
    </row>
    <row r="53" spans="1:6" ht="119.25" hidden="1">
      <c r="A53" s="7">
        <f>ROW()</f>
        <v>53</v>
      </c>
      <c r="B53" s="8" t="s">
        <v>1519</v>
      </c>
      <c r="C53" s="8" t="s">
        <v>1459</v>
      </c>
      <c r="D53" s="8" t="str">
        <f t="shared" si="1"/>
        <v>10. Vorruhestand</v>
      </c>
      <c r="E53" s="23" t="s">
        <v>1535</v>
      </c>
      <c r="F53" s="2" t="s">
        <v>423</v>
      </c>
    </row>
    <row r="54" spans="1:6" ht="120" hidden="1" customHeight="1">
      <c r="A54" s="7">
        <f>ROW()</f>
        <v>54</v>
      </c>
      <c r="B54" s="8" t="s">
        <v>1519</v>
      </c>
      <c r="C54" s="8" t="s">
        <v>1459</v>
      </c>
      <c r="D54" s="8" t="str">
        <f t="shared" si="1"/>
        <v>11. Beschwerliche und gefährliche Arbeit</v>
      </c>
      <c r="E54" s="23" t="s">
        <v>1536</v>
      </c>
      <c r="F54" s="2" t="s">
        <v>451</v>
      </c>
    </row>
    <row r="55" spans="1:6" ht="87.75" hidden="1">
      <c r="A55" s="7">
        <f>ROW()</f>
        <v>55</v>
      </c>
      <c r="B55" s="8" t="s">
        <v>1519</v>
      </c>
      <c r="C55" s="8" t="s">
        <v>1459</v>
      </c>
      <c r="D55" s="8" t="str">
        <f t="shared" si="1"/>
        <v>12. Teilrente</v>
      </c>
      <c r="E55" s="23" t="s">
        <v>1537</v>
      </c>
      <c r="F55" s="2" t="s">
        <v>474</v>
      </c>
    </row>
    <row r="56" spans="1:6" ht="171.75" hidden="1">
      <c r="A56" s="7">
        <f>ROW()</f>
        <v>56</v>
      </c>
      <c r="B56" s="8" t="s">
        <v>1519</v>
      </c>
      <c r="C56" s="8" t="s">
        <v>1459</v>
      </c>
      <c r="D56" s="8" t="str">
        <f t="shared" si="1"/>
        <v>13. Aufgeschobene Rente</v>
      </c>
      <c r="E56" s="23" t="s">
        <v>1632</v>
      </c>
      <c r="F56" s="2" t="s">
        <v>501</v>
      </c>
    </row>
    <row r="57" spans="1:6" ht="255" hidden="1">
      <c r="A57" s="7">
        <f>ROW()</f>
        <v>57</v>
      </c>
      <c r="B57" s="8" t="s">
        <v>1519</v>
      </c>
      <c r="C57" s="8" t="s">
        <v>1538</v>
      </c>
      <c r="D57" s="8" t="s">
        <v>1538</v>
      </c>
      <c r="E57" s="22" t="s">
        <v>1538</v>
      </c>
      <c r="F57" s="2" t="s">
        <v>530</v>
      </c>
    </row>
    <row r="58" spans="1:6" ht="409.5" hidden="1" customHeight="1">
      <c r="A58" s="7">
        <f>ROW()</f>
        <v>58</v>
      </c>
      <c r="B58" s="8" t="s">
        <v>1519</v>
      </c>
      <c r="C58" s="8" t="s">
        <v>1538</v>
      </c>
      <c r="D58" s="8" t="str">
        <f t="shared" si="1"/>
        <v xml:space="preserve">Kumulation mit Erwerbseinkommen </v>
      </c>
      <c r="E58" s="22" t="s">
        <v>1461</v>
      </c>
      <c r="F58" s="2" t="s">
        <v>557</v>
      </c>
    </row>
    <row r="59" spans="1:6" ht="286.5" hidden="1">
      <c r="A59" s="7">
        <f>ROW()</f>
        <v>59</v>
      </c>
      <c r="B59" s="8" t="s">
        <v>1519</v>
      </c>
      <c r="C59" s="8" t="s">
        <v>1538</v>
      </c>
      <c r="D59" s="8" t="s">
        <v>1539</v>
      </c>
      <c r="E59" s="22" t="s">
        <v>1460</v>
      </c>
      <c r="F59" s="2" t="s">
        <v>586</v>
      </c>
    </row>
    <row r="60" spans="1:6" ht="225.75" hidden="1">
      <c r="A60" s="7">
        <f>ROW()</f>
        <v>60</v>
      </c>
      <c r="B60" s="8" t="s">
        <v>1519</v>
      </c>
      <c r="C60" s="8" t="s">
        <v>612</v>
      </c>
      <c r="D60" s="8" t="str">
        <f t="shared" ref="D60:D70" si="2">+E60</f>
        <v>1. Besteuerung von Renten</v>
      </c>
      <c r="E60" s="23" t="s">
        <v>1540</v>
      </c>
      <c r="F60" s="2" t="s">
        <v>616</v>
      </c>
    </row>
    <row r="61" spans="1:6" ht="335.25" hidden="1">
      <c r="A61" s="7">
        <f>ROW()</f>
        <v>61</v>
      </c>
      <c r="B61" s="8" t="s">
        <v>1519</v>
      </c>
      <c r="C61" s="8" t="s">
        <v>612</v>
      </c>
      <c r="D61" s="8" t="str">
        <f t="shared" si="2"/>
        <v>2. Einkommensgrenze für Besteuerung von Renten</v>
      </c>
      <c r="E61" s="23" t="s">
        <v>1541</v>
      </c>
      <c r="F61" s="2" t="s">
        <v>641</v>
      </c>
    </row>
    <row r="62" spans="1:6" ht="264">
      <c r="A62" s="7">
        <f>ROW()</f>
        <v>62</v>
      </c>
      <c r="B62" s="8" t="s">
        <v>1519</v>
      </c>
      <c r="C62" s="8" t="s">
        <v>612</v>
      </c>
      <c r="D62" s="8" t="str">
        <f t="shared" si="2"/>
        <v>3. Auf Renten anfallende Sozialabgaben</v>
      </c>
      <c r="E62" s="23" t="s">
        <v>1542</v>
      </c>
      <c r="F62" s="2" t="s">
        <v>668</v>
      </c>
    </row>
    <row r="63" spans="1:6" ht="138" hidden="1">
      <c r="A63" s="7">
        <f>ROW()</f>
        <v>63</v>
      </c>
      <c r="B63" s="8" t="s">
        <v>1543</v>
      </c>
      <c r="C63" s="8" t="str">
        <f>+E63</f>
        <v>Anwendungsbereich</v>
      </c>
      <c r="D63" s="8" t="str">
        <f t="shared" si="2"/>
        <v>Anwendungsbereich</v>
      </c>
      <c r="E63" s="23" t="s">
        <v>1467</v>
      </c>
      <c r="F63" s="2" t="s">
        <v>688</v>
      </c>
    </row>
    <row r="64" spans="1:6" ht="165" hidden="1" customHeight="1">
      <c r="A64" s="7">
        <f>ROW()</f>
        <v>64</v>
      </c>
      <c r="B64" s="8" t="s">
        <v>1543</v>
      </c>
      <c r="C64" s="8" t="s">
        <v>1514</v>
      </c>
      <c r="D64" s="8" t="str">
        <f t="shared" si="2"/>
        <v>Grundprinzipien</v>
      </c>
      <c r="E64" s="23" t="s">
        <v>1468</v>
      </c>
      <c r="F64" s="2" t="s">
        <v>713</v>
      </c>
    </row>
    <row r="65" spans="1:6" ht="240" hidden="1" customHeight="1">
      <c r="A65" s="7">
        <f>ROW()</f>
        <v>65</v>
      </c>
      <c r="B65" s="8" t="s">
        <v>1543</v>
      </c>
      <c r="C65" s="8" t="s">
        <v>1514</v>
      </c>
      <c r="D65" s="8" t="str">
        <f t="shared" si="2"/>
        <v>Voraussetzungen für die Deckung</v>
      </c>
      <c r="E65" s="23" t="s">
        <v>1469</v>
      </c>
      <c r="F65" s="2" t="s">
        <v>740</v>
      </c>
    </row>
    <row r="66" spans="1:6" ht="409.5" hidden="1">
      <c r="A66" s="7">
        <f>ROW()</f>
        <v>66</v>
      </c>
      <c r="B66" s="8" t="s">
        <v>1543</v>
      </c>
      <c r="C66" s="8" t="s">
        <v>1514</v>
      </c>
      <c r="D66" s="8" t="str">
        <f t="shared" si="2"/>
        <v>Kombination von selbstständiger und unselbstständiger Tätigkeit</v>
      </c>
      <c r="E66" s="23" t="s">
        <v>1462</v>
      </c>
      <c r="F66" s="2" t="s">
        <v>766</v>
      </c>
    </row>
    <row r="67" spans="1:6" ht="376.5" hidden="1">
      <c r="A67" s="7">
        <f>ROW()</f>
        <v>67</v>
      </c>
      <c r="B67" s="8" t="s">
        <v>1543</v>
      </c>
      <c r="C67" s="8" t="s">
        <v>1459</v>
      </c>
      <c r="D67" s="9" t="str">
        <f t="shared" si="2"/>
        <v xml:space="preserve">Voraussetzungen für den Zugang zu Diensten/Leistungen </v>
      </c>
      <c r="E67" s="23" t="s">
        <v>1463</v>
      </c>
      <c r="F67" s="2" t="s">
        <v>786</v>
      </c>
    </row>
    <row r="68" spans="1:6" ht="253.5" hidden="1">
      <c r="A68" s="7">
        <f>ROW()</f>
        <v>68</v>
      </c>
      <c r="B68" s="8" t="s">
        <v>1543</v>
      </c>
      <c r="C68" s="8" t="s">
        <v>1459</v>
      </c>
      <c r="D68" s="9" t="str">
        <f t="shared" si="2"/>
        <v>Beträge, Dauer und Kostenbeteiligung</v>
      </c>
      <c r="E68" s="23" t="s">
        <v>1464</v>
      </c>
      <c r="F68" s="2" t="s">
        <v>797</v>
      </c>
    </row>
    <row r="69" spans="1:6" ht="216" hidden="1">
      <c r="A69" s="7">
        <f>ROW()</f>
        <v>69</v>
      </c>
      <c r="B69" s="8" t="s">
        <v>1543</v>
      </c>
      <c r="C69" s="8" t="s">
        <v>1459</v>
      </c>
      <c r="D69" s="9" t="str">
        <f t="shared" si="2"/>
        <v>Besteuerung von Geldleistungen</v>
      </c>
      <c r="E69" s="23" t="s">
        <v>1456</v>
      </c>
      <c r="F69" s="2" t="s">
        <v>810</v>
      </c>
    </row>
    <row r="70" spans="1:6" ht="272.25">
      <c r="A70" s="7">
        <f>ROW()</f>
        <v>70</v>
      </c>
      <c r="B70" s="8" t="s">
        <v>1543</v>
      </c>
      <c r="C70" s="8" t="s">
        <v>1459</v>
      </c>
      <c r="D70" s="9" t="str">
        <f t="shared" si="2"/>
        <v>Auf Leistungen anfallende Sozialabgaben</v>
      </c>
      <c r="E70" s="23" t="s">
        <v>1457</v>
      </c>
      <c r="F70" s="2" t="s">
        <v>824</v>
      </c>
    </row>
    <row r="71" spans="1:6" ht="177" hidden="1">
      <c r="A71" s="7">
        <f>ROW()</f>
        <v>71</v>
      </c>
      <c r="B71" s="8" t="s">
        <v>1466</v>
      </c>
      <c r="C71" s="8" t="str">
        <f t="shared" ref="C71:D75" si="3">+D71</f>
        <v>Geltende Rechtsgrundlage</v>
      </c>
      <c r="D71" s="9" t="str">
        <f t="shared" si="3"/>
        <v>Geltende Rechtsgrundlage</v>
      </c>
      <c r="E71" s="22" t="s">
        <v>1472</v>
      </c>
      <c r="F71" s="2" t="s">
        <v>836</v>
      </c>
    </row>
    <row r="72" spans="1:6" ht="110.25" hidden="1">
      <c r="A72" s="7">
        <f>ROW()</f>
        <v>72</v>
      </c>
      <c r="B72" s="8" t="s">
        <v>1466</v>
      </c>
      <c r="C72" s="8" t="str">
        <f t="shared" si="3"/>
        <v>Grundprinzipien</v>
      </c>
      <c r="D72" s="9" t="str">
        <f t="shared" si="3"/>
        <v>Grundprinzipien</v>
      </c>
      <c r="E72" s="22" t="s">
        <v>1468</v>
      </c>
      <c r="F72" s="2" t="s">
        <v>862</v>
      </c>
    </row>
    <row r="73" spans="1:6" ht="315" hidden="1">
      <c r="A73" s="7">
        <f>ROW()</f>
        <v>73</v>
      </c>
      <c r="B73" s="8" t="s">
        <v>1466</v>
      </c>
      <c r="C73" s="9" t="str">
        <f t="shared" si="3"/>
        <v>Anwendungsbereich (in Bezug auf Verstorbene)</v>
      </c>
      <c r="D73" s="9" t="str">
        <f t="shared" si="3"/>
        <v>Anwendungsbereich (in Bezug auf Verstorbene)</v>
      </c>
      <c r="E73" s="22" t="s">
        <v>1473</v>
      </c>
      <c r="F73" s="2" t="s">
        <v>888</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910</v>
      </c>
    </row>
    <row r="75" spans="1:6" ht="144.75" hidden="1">
      <c r="A75" s="7">
        <f>ROW()</f>
        <v>75</v>
      </c>
      <c r="B75" s="8" t="s">
        <v>1466</v>
      </c>
      <c r="C75" s="9" t="str">
        <f t="shared" si="3"/>
        <v>Berechtigte Personen</v>
      </c>
      <c r="D75" s="9" t="str">
        <f t="shared" si="3"/>
        <v>Berechtigte Personen</v>
      </c>
      <c r="E75" s="22" t="s">
        <v>1477</v>
      </c>
      <c r="F75" s="2" t="s">
        <v>922</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945</v>
      </c>
    </row>
    <row r="78" spans="1:6" ht="185.25" hidden="1">
      <c r="A78" s="7">
        <f>ROW()</f>
        <v>78</v>
      </c>
      <c r="B78" s="8" t="s">
        <v>1466</v>
      </c>
      <c r="C78" s="8" t="s">
        <v>1544</v>
      </c>
      <c r="D78" s="8" t="str">
        <f t="shared" si="4"/>
        <v>2. Hinterbliebener Ehegatte</v>
      </c>
      <c r="E78" s="23" t="s">
        <v>1546</v>
      </c>
      <c r="F78" s="2" t="s">
        <v>968</v>
      </c>
    </row>
    <row r="79" spans="1:6" ht="240" hidden="1" customHeight="1">
      <c r="A79" s="7">
        <f>ROW()</f>
        <v>79</v>
      </c>
      <c r="B79" s="8" t="s">
        <v>1466</v>
      </c>
      <c r="C79" s="8" t="s">
        <v>1544</v>
      </c>
      <c r="D79" s="8" t="str">
        <f t="shared" si="4"/>
        <v>3. Geschiedener Ehegatte</v>
      </c>
      <c r="E79" s="23" t="s">
        <v>1547</v>
      </c>
      <c r="F79" s="2" t="s">
        <v>984</v>
      </c>
    </row>
    <row r="80" spans="1:6" ht="270" hidden="1" customHeight="1">
      <c r="A80" s="7">
        <f>ROW()</f>
        <v>80</v>
      </c>
      <c r="B80" s="8" t="s">
        <v>1466</v>
      </c>
      <c r="C80" s="8" t="s">
        <v>1544</v>
      </c>
      <c r="D80" s="8" t="str">
        <f t="shared" si="4"/>
        <v>4. Hinterbliebene Lebenspartner</v>
      </c>
      <c r="E80" s="23" t="s">
        <v>1548</v>
      </c>
      <c r="F80" s="2" t="s">
        <v>1007</v>
      </c>
    </row>
    <row r="81" spans="1:6" ht="181.5" hidden="1">
      <c r="A81" s="7">
        <f>ROW()</f>
        <v>81</v>
      </c>
      <c r="B81" s="8" t="s">
        <v>1466</v>
      </c>
      <c r="C81" s="8" t="s">
        <v>1544</v>
      </c>
      <c r="D81" s="8" t="str">
        <f t="shared" si="4"/>
        <v>5. Kinder</v>
      </c>
      <c r="E81" s="23" t="s">
        <v>1549</v>
      </c>
      <c r="F81" s="2" t="s">
        <v>1029</v>
      </c>
    </row>
    <row r="82" spans="1:6" ht="181.5" hidden="1">
      <c r="A82" s="7">
        <f>ROW()</f>
        <v>82</v>
      </c>
      <c r="B82" s="8" t="s">
        <v>1466</v>
      </c>
      <c r="C82" s="8" t="s">
        <v>1544</v>
      </c>
      <c r="D82" s="8" t="str">
        <f t="shared" si="4"/>
        <v>6. Andere Personen</v>
      </c>
      <c r="E82" s="23" t="s">
        <v>1550</v>
      </c>
      <c r="F82" s="2" t="s">
        <v>282</v>
      </c>
    </row>
    <row r="83" spans="1:6" ht="409.5" hidden="1">
      <c r="A83" s="7">
        <f>ROW()</f>
        <v>83</v>
      </c>
      <c r="B83" s="8" t="s">
        <v>1466</v>
      </c>
      <c r="C83" s="8" t="s">
        <v>1459</v>
      </c>
      <c r="D83" s="9" t="str">
        <f t="shared" si="4"/>
        <v>1. Hinterbliebener Ehegatte, geschiedener Ehegatte, hinterbliebene Lebenspartner</v>
      </c>
      <c r="E83" s="23" t="s">
        <v>1551</v>
      </c>
      <c r="F83" s="2" t="s">
        <v>1065</v>
      </c>
    </row>
    <row r="84" spans="1:6" ht="280.5" hidden="1">
      <c r="A84" s="7">
        <f>ROW()</f>
        <v>84</v>
      </c>
      <c r="B84" s="8" t="s">
        <v>1466</v>
      </c>
      <c r="C84" s="8" t="s">
        <v>1459</v>
      </c>
      <c r="D84" s="9" t="str">
        <f t="shared" si="4"/>
        <v>2. Hinterbliebener Ehegatte: Wiederheirat</v>
      </c>
      <c r="E84" s="23" t="s">
        <v>1552</v>
      </c>
      <c r="F84" s="2" t="s">
        <v>1086</v>
      </c>
    </row>
    <row r="85" spans="1:6" ht="102" hidden="1">
      <c r="A85" s="7">
        <f>ROW()</f>
        <v>85</v>
      </c>
      <c r="B85" s="8" t="s">
        <v>1466</v>
      </c>
      <c r="C85" s="8" t="s">
        <v>1459</v>
      </c>
      <c r="D85" s="9" t="str">
        <f t="shared" si="4"/>
        <v>3. Kinder</v>
      </c>
      <c r="E85" s="23" t="s">
        <v>1553</v>
      </c>
      <c r="F85" s="2" t="s">
        <v>1113</v>
      </c>
    </row>
    <row r="86" spans="1:6" ht="147" hidden="1">
      <c r="A86" s="7">
        <f>ROW()</f>
        <v>86</v>
      </c>
      <c r="B86" s="8" t="s">
        <v>1466</v>
      </c>
      <c r="C86" s="8" t="s">
        <v>1459</v>
      </c>
      <c r="D86" s="9" t="str">
        <f t="shared" si="4"/>
        <v>4. Andere Berechtigte</v>
      </c>
      <c r="E86" s="23" t="s">
        <v>1554</v>
      </c>
      <c r="F86" s="2" t="s">
        <v>282</v>
      </c>
    </row>
    <row r="87" spans="1:6" ht="381" hidden="1">
      <c r="A87" s="7">
        <f>ROW()</f>
        <v>87</v>
      </c>
      <c r="B87" s="8" t="s">
        <v>1466</v>
      </c>
      <c r="C87" s="8" t="s">
        <v>1459</v>
      </c>
      <c r="D87" s="9" t="str">
        <f t="shared" si="4"/>
        <v xml:space="preserve"> 5. Höchster zahlbarer Gesamtbetrag für alle Berechtigten</v>
      </c>
      <c r="E87" s="23" t="s">
        <v>1555</v>
      </c>
      <c r="F87" s="2" t="s">
        <v>1145</v>
      </c>
    </row>
    <row r="88" spans="1:6" ht="151.5" hidden="1">
      <c r="A88" s="7">
        <f>ROW()</f>
        <v>88</v>
      </c>
      <c r="B88" s="8" t="s">
        <v>1466</v>
      </c>
      <c r="C88" s="8" t="s">
        <v>1459</v>
      </c>
      <c r="D88" s="9" t="str">
        <f t="shared" si="4"/>
        <v>6. Sonstige Leistungen</v>
      </c>
      <c r="E88" s="23" t="s">
        <v>1556</v>
      </c>
      <c r="F88" s="2" t="s">
        <v>1170</v>
      </c>
    </row>
    <row r="89" spans="1:6" ht="285" hidden="1" customHeight="1">
      <c r="A89" s="7">
        <f>ROW()</f>
        <v>89</v>
      </c>
      <c r="B89" s="8" t="s">
        <v>1466</v>
      </c>
      <c r="C89" s="8" t="s">
        <v>1459</v>
      </c>
      <c r="D89" s="9" t="str">
        <f>+E89</f>
        <v>7. Mindestleistung</v>
      </c>
      <c r="E89" s="23" t="s">
        <v>1557</v>
      </c>
      <c r="F89" s="2" t="s">
        <v>1192</v>
      </c>
    </row>
    <row r="90" spans="1:6" ht="122.25" hidden="1">
      <c r="A90" s="7">
        <f>ROW()</f>
        <v>90</v>
      </c>
      <c r="B90" s="8" t="s">
        <v>1466</v>
      </c>
      <c r="C90" s="8" t="s">
        <v>1459</v>
      </c>
      <c r="D90" s="9" t="str">
        <f t="shared" si="4"/>
        <v xml:space="preserve"> 8. Höchstleistung</v>
      </c>
      <c r="E90" s="23" t="s">
        <v>1558</v>
      </c>
      <c r="F90" s="2" t="s">
        <v>1216</v>
      </c>
    </row>
    <row r="91" spans="1:6" ht="255" hidden="1">
      <c r="A91" s="7">
        <f>ROW()</f>
        <v>91</v>
      </c>
      <c r="B91" s="8" t="s">
        <v>1466</v>
      </c>
      <c r="C91" s="8" t="s">
        <v>1538</v>
      </c>
      <c r="D91" s="9" t="str">
        <f>+C91</f>
        <v>Indexbindung / Anpassung</v>
      </c>
      <c r="E91" s="22" t="s">
        <v>1538</v>
      </c>
      <c r="F91" s="2" t="s">
        <v>1236</v>
      </c>
    </row>
    <row r="92" spans="1:6" ht="409.5" hidden="1" customHeight="1">
      <c r="A92" s="7">
        <f>ROW()</f>
        <v>92</v>
      </c>
      <c r="B92" s="8" t="s">
        <v>1466</v>
      </c>
      <c r="C92" s="8" t="s">
        <v>1538</v>
      </c>
      <c r="D92" s="9" t="str">
        <f t="shared" ref="D92:D105" si="5">+E92</f>
        <v>Kumulation mit Erwerbseinkommen</v>
      </c>
      <c r="E92" s="22" t="s">
        <v>1471</v>
      </c>
      <c r="F92" s="2" t="s">
        <v>1263</v>
      </c>
    </row>
    <row r="93" spans="1:6" ht="275.25" hidden="1">
      <c r="A93" s="7">
        <f>ROW()</f>
        <v>93</v>
      </c>
      <c r="B93" s="8" t="s">
        <v>1466</v>
      </c>
      <c r="C93" s="8" t="s">
        <v>1538</v>
      </c>
      <c r="D93" s="9" t="str">
        <f t="shared" si="5"/>
        <v>Kumulation mit anderen Sozialleistungen</v>
      </c>
      <c r="E93" s="22" t="s">
        <v>1460</v>
      </c>
      <c r="F93" s="2" t="s">
        <v>1290</v>
      </c>
    </row>
    <row r="94" spans="1:6" ht="232.5" hidden="1">
      <c r="A94" s="7">
        <f>ROW()</f>
        <v>94</v>
      </c>
      <c r="B94" s="8" t="s">
        <v>1466</v>
      </c>
      <c r="C94" s="9" t="s">
        <v>1465</v>
      </c>
      <c r="D94" s="9" t="str">
        <f t="shared" si="5"/>
        <v>1. Besteuerung von Geldleistungen</v>
      </c>
      <c r="E94" s="23" t="s">
        <v>1509</v>
      </c>
      <c r="F94" s="2" t="s">
        <v>1319</v>
      </c>
    </row>
    <row r="95" spans="1:6" ht="285" hidden="1" customHeight="1">
      <c r="A95" s="7">
        <f>ROW()</f>
        <v>95</v>
      </c>
      <c r="B95" s="8" t="s">
        <v>1466</v>
      </c>
      <c r="C95" s="9" t="s">
        <v>1465</v>
      </c>
      <c r="D95" s="9" t="str">
        <f t="shared" si="5"/>
        <v>2. Einkommensgrenze für Besteuerung von Geldleistungen</v>
      </c>
      <c r="E95" s="23" t="s">
        <v>1511</v>
      </c>
      <c r="F95" s="2" t="s">
        <v>1337</v>
      </c>
    </row>
    <row r="96" spans="1:6" ht="288.75">
      <c r="A96" s="7">
        <f>ROW()</f>
        <v>96</v>
      </c>
      <c r="B96" s="8" t="s">
        <v>1466</v>
      </c>
      <c r="C96" s="9" t="s">
        <v>1465</v>
      </c>
      <c r="D96" s="9" t="str">
        <f t="shared" si="5"/>
        <v>3. Auf Leistungen anfallende Sozialabgaben</v>
      </c>
      <c r="E96" s="23" t="s">
        <v>1512</v>
      </c>
      <c r="F96" s="2" t="s">
        <v>1358</v>
      </c>
    </row>
    <row r="97" spans="1:6" ht="138" hidden="1">
      <c r="A97" s="7">
        <f>ROW()</f>
        <v>97</v>
      </c>
      <c r="B97" s="8" t="s">
        <v>1466</v>
      </c>
      <c r="C97" s="9" t="s">
        <v>1514</v>
      </c>
      <c r="D97" s="9" t="str">
        <f t="shared" si="5"/>
        <v>Anwendungsbereich</v>
      </c>
      <c r="E97" s="23" t="s">
        <v>1467</v>
      </c>
      <c r="F97" s="2" t="s">
        <v>688</v>
      </c>
    </row>
    <row r="98" spans="1:6" ht="165" hidden="1" customHeight="1">
      <c r="A98" s="7">
        <f>ROW()</f>
        <v>98</v>
      </c>
      <c r="B98" s="8" t="s">
        <v>1466</v>
      </c>
      <c r="C98" s="9" t="s">
        <v>1514</v>
      </c>
      <c r="D98" s="9" t="str">
        <f t="shared" si="5"/>
        <v>Grundprinzipien</v>
      </c>
      <c r="E98" s="23" t="s">
        <v>1468</v>
      </c>
      <c r="F98" s="2" t="s">
        <v>1390</v>
      </c>
    </row>
    <row r="99" spans="1:6" ht="225" hidden="1" customHeight="1">
      <c r="A99" s="7">
        <f>ROW()</f>
        <v>99</v>
      </c>
      <c r="B99" s="8" t="s">
        <v>1466</v>
      </c>
      <c r="C99" s="9" t="s">
        <v>1514</v>
      </c>
      <c r="D99" s="9" t="str">
        <f t="shared" si="5"/>
        <v>Voraussetzungen für die Deckung</v>
      </c>
      <c r="E99" s="23" t="s">
        <v>1469</v>
      </c>
      <c r="F99" s="2" t="s">
        <v>740</v>
      </c>
    </row>
    <row r="100" spans="1:6" ht="409.5" hidden="1">
      <c r="A100" s="7">
        <f>ROW()</f>
        <v>100</v>
      </c>
      <c r="B100" s="8" t="s">
        <v>1466</v>
      </c>
      <c r="C100" s="9" t="s">
        <v>1514</v>
      </c>
      <c r="D100" s="9" t="str">
        <f t="shared" si="5"/>
        <v>Kombination von selbstständiger und unselbstständiger Tätigkeit</v>
      </c>
      <c r="E100" s="23" t="s">
        <v>1462</v>
      </c>
      <c r="F100" s="2" t="s">
        <v>1415</v>
      </c>
    </row>
    <row r="101" spans="1:6" ht="376.5" hidden="1">
      <c r="A101" s="7">
        <f>ROW()</f>
        <v>101</v>
      </c>
      <c r="B101" s="8" t="s">
        <v>1466</v>
      </c>
      <c r="C101" s="9" t="s">
        <v>1514</v>
      </c>
      <c r="D101" s="9" t="str">
        <f t="shared" si="5"/>
        <v xml:space="preserve">Voraussetzungen für den Zugang zu Diensten/Leistungen </v>
      </c>
      <c r="E101" s="23" t="s">
        <v>1463</v>
      </c>
      <c r="F101" s="2" t="s">
        <v>1425</v>
      </c>
    </row>
    <row r="102" spans="1:6" ht="253.5" hidden="1">
      <c r="A102" s="7">
        <f>ROW()</f>
        <v>102</v>
      </c>
      <c r="B102" s="8" t="s">
        <v>1466</v>
      </c>
      <c r="C102" s="9" t="s">
        <v>1514</v>
      </c>
      <c r="D102" s="9" t="str">
        <f t="shared" si="5"/>
        <v>Beträge, Dauer und Kostenbeteiligung</v>
      </c>
      <c r="E102" s="23" t="s">
        <v>1464</v>
      </c>
      <c r="F102" s="2" t="s">
        <v>1430</v>
      </c>
    </row>
    <row r="103" spans="1:6" ht="213.75">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810</v>
      </c>
    </row>
    <row r="105" spans="1:6" ht="272.25">
      <c r="A105" s="7">
        <f>ROW()</f>
        <v>105</v>
      </c>
      <c r="B105" s="8" t="s">
        <v>1466</v>
      </c>
      <c r="C105" s="9" t="s">
        <v>1514</v>
      </c>
      <c r="D105" s="9" t="str">
        <f t="shared" si="5"/>
        <v>Auf Leistungen anfallende Sozialabgaben</v>
      </c>
      <c r="E105" s="23" t="s">
        <v>1457</v>
      </c>
      <c r="F105" s="2" t="s">
        <v>824</v>
      </c>
    </row>
    <row r="106" spans="1:6"/>
  </sheetData>
  <sheetProtection algorithmName="SHA-512" hashValue="DK0NFirV7usu3+crvoRCQ7Dxxo9oepD6I5UBK5qTm9yRr4uITM7Ev/1m9tl3t9gvI79fpqbH9nwcNvn9/zFXdA==" saltValue="QaArHrRsZ3yD1aogUdqPmw==" spinCount="100000" sheet="1" objects="1" scenarios="1" formatColumns="0" autoFilter="0"/>
  <autoFilter ref="A2:F105" xr:uid="{D56E1854-E791-4BA6-8F81-E1A600EB4857}">
    <filterColumn colId="4">
      <filters>
        <filter val="3. Auf Leistungen anfallende Sozialabgaben"/>
        <filter val="3. Auf Renten anfallende Sozialabgaben"/>
        <filter val="Auf Leistungen anfallende Sozialabgaben"/>
        <filter val="Besteuerung und Sozialabgaben"/>
      </filters>
    </filterColumn>
  </autoFilter>
  <pageMargins left="0.7" right="0.7" top="0.78740157499999996" bottom="0.78740157499999996"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29037-7760-4C4A-8C81-AE43414C4EB1}">
  <sheetPr codeName="Tabelle6"/>
  <dimension ref="A1:F113"/>
  <sheetViews>
    <sheetView workbookViewId="0">
      <pane xSplit="5" ySplit="2" topLeftCell="F9"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A1" s="381"/>
      <c r="B1" s="129" t="s">
        <v>1474</v>
      </c>
      <c r="C1" s="126" t="s">
        <v>1478</v>
      </c>
      <c r="D1" s="126" t="s">
        <v>1475</v>
      </c>
      <c r="E1" s="118" t="s">
        <v>2245</v>
      </c>
      <c r="F1" s="6" t="s">
        <v>4</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2110</v>
      </c>
    </row>
    <row r="4" spans="1:6" ht="110.25">
      <c r="A4" s="7">
        <f>ROW()</f>
        <v>4</v>
      </c>
      <c r="B4" s="8" t="s">
        <v>1479</v>
      </c>
      <c r="C4" s="1"/>
      <c r="D4" s="8" t="str">
        <f t="shared" ref="D4:D34" si="0">+E4</f>
        <v>Grundprinzipien</v>
      </c>
      <c r="E4" s="22" t="s">
        <v>1468</v>
      </c>
      <c r="F4" s="2" t="s">
        <v>2111</v>
      </c>
    </row>
    <row r="5" spans="1:6" ht="188.25">
      <c r="A5" s="7">
        <f>ROW()</f>
        <v>5</v>
      </c>
      <c r="B5" s="8" t="s">
        <v>1479</v>
      </c>
      <c r="C5" s="1"/>
      <c r="D5" s="8" t="str">
        <f t="shared" si="0"/>
        <v>Gedecktes Risiko: Definition</v>
      </c>
      <c r="E5" s="22" t="s">
        <v>1630</v>
      </c>
      <c r="F5" s="2" t="s">
        <v>3300</v>
      </c>
    </row>
    <row r="6" spans="1:6" ht="144">
      <c r="A6" s="7">
        <f>ROW()</f>
        <v>6</v>
      </c>
      <c r="B6" s="8" t="s">
        <v>1479</v>
      </c>
      <c r="C6" s="8" t="s">
        <v>1453</v>
      </c>
      <c r="D6" s="8" t="str">
        <f t="shared" si="0"/>
        <v>Versicherte Personen</v>
      </c>
      <c r="E6" s="23" t="s">
        <v>1453</v>
      </c>
      <c r="F6" s="2" t="s">
        <v>2112</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2113</v>
      </c>
    </row>
    <row r="9" spans="1:6" ht="409.5">
      <c r="A9" s="7">
        <f>ROW()</f>
        <v>9</v>
      </c>
      <c r="B9" s="8" t="s">
        <v>1479</v>
      </c>
      <c r="C9" s="9" t="s">
        <v>128</v>
      </c>
      <c r="D9" s="8" t="str">
        <f t="shared" si="0"/>
        <v xml:space="preserve">2. Begutachtungskriterien und Kategorien der Arbeitsunfähigkeit/Arbeitsfähigkeit  </v>
      </c>
      <c r="E9" s="23" t="s">
        <v>1484</v>
      </c>
      <c r="F9" s="2" t="s">
        <v>3312</v>
      </c>
    </row>
    <row r="10" spans="1:6" ht="222">
      <c r="A10" s="7">
        <f>ROW()</f>
        <v>10</v>
      </c>
      <c r="B10" s="8" t="s">
        <v>1479</v>
      </c>
      <c r="C10" s="9" t="s">
        <v>128</v>
      </c>
      <c r="D10" s="8" t="str">
        <f t="shared" si="0"/>
        <v>3. Zeitraum der Leistungszahlung</v>
      </c>
      <c r="E10" s="23" t="s">
        <v>1486</v>
      </c>
      <c r="F10" s="2" t="s">
        <v>2114</v>
      </c>
    </row>
    <row r="11" spans="1:6" ht="285">
      <c r="A11" s="7">
        <f>ROW()</f>
        <v>11</v>
      </c>
      <c r="B11" s="8" t="s">
        <v>1479</v>
      </c>
      <c r="C11" s="9" t="s">
        <v>1488</v>
      </c>
      <c r="D11" s="8" t="str">
        <f t="shared" si="0"/>
        <v>1. Gutachter</v>
      </c>
      <c r="E11" s="23" t="s">
        <v>1489</v>
      </c>
      <c r="F11" s="2" t="s">
        <v>3301</v>
      </c>
    </row>
    <row r="12" spans="1:6" ht="111.75">
      <c r="A12" s="7">
        <f>ROW()</f>
        <v>12</v>
      </c>
      <c r="B12" s="8" t="s">
        <v>1479</v>
      </c>
      <c r="C12" s="9" t="s">
        <v>1488</v>
      </c>
      <c r="D12" s="8" t="str">
        <f t="shared" si="0"/>
        <v xml:space="preserve">2. Überprüfung  </v>
      </c>
      <c r="E12" s="23" t="s">
        <v>1490</v>
      </c>
      <c r="F12" s="2" t="s">
        <v>2115</v>
      </c>
    </row>
    <row r="13" spans="1:6" ht="291.75">
      <c r="A13" s="7">
        <f>ROW()</f>
        <v>13</v>
      </c>
      <c r="B13" s="8" t="s">
        <v>1479</v>
      </c>
      <c r="C13" s="8" t="s">
        <v>1459</v>
      </c>
      <c r="D13" s="8" t="str">
        <f t="shared" si="0"/>
        <v>1. Berechnungsmethode bzw. Rentenformel</v>
      </c>
      <c r="E13" s="23" t="s">
        <v>1492</v>
      </c>
      <c r="F13" s="2" t="s">
        <v>3302</v>
      </c>
    </row>
    <row r="14" spans="1:6" ht="343.5">
      <c r="A14" s="7">
        <f>ROW()</f>
        <v>14</v>
      </c>
      <c r="B14" s="8" t="s">
        <v>1479</v>
      </c>
      <c r="C14" s="8" t="s">
        <v>1459</v>
      </c>
      <c r="D14" s="8" t="str">
        <f t="shared" si="0"/>
        <v>2. Referenzeinkommen bzw. Berechnungsgrundlage</v>
      </c>
      <c r="E14" s="23" t="s">
        <v>1493</v>
      </c>
      <c r="F14" s="2" t="s">
        <v>2116</v>
      </c>
    </row>
    <row r="15" spans="1:6" ht="226.5">
      <c r="A15" s="7">
        <f>ROW()</f>
        <v>15</v>
      </c>
      <c r="B15" s="8" t="s">
        <v>1479</v>
      </c>
      <c r="C15" s="8" t="s">
        <v>1459</v>
      </c>
      <c r="D15" s="8" t="str">
        <f t="shared" si="0"/>
        <v>3. Mindest- und Höchstleistungen</v>
      </c>
      <c r="E15" s="23" t="s">
        <v>1495</v>
      </c>
      <c r="F15" s="2" t="s">
        <v>2117</v>
      </c>
    </row>
    <row r="16" spans="1:6" ht="405">
      <c r="A16" s="7">
        <f>ROW()</f>
        <v>16</v>
      </c>
      <c r="B16" s="8" t="s">
        <v>1479</v>
      </c>
      <c r="C16" s="8" t="s">
        <v>1459</v>
      </c>
      <c r="D16" s="8" t="str">
        <f t="shared" si="0"/>
        <v>4. Anrechenbare oder als Beitragszeiten gewertete Zeiträume</v>
      </c>
      <c r="E16" s="23" t="s">
        <v>1496</v>
      </c>
      <c r="F16" s="2" t="s">
        <v>282</v>
      </c>
    </row>
    <row r="17" spans="1:6" ht="250.5">
      <c r="A17" s="7">
        <f>ROW()</f>
        <v>17</v>
      </c>
      <c r="B17" s="8" t="s">
        <v>1479</v>
      </c>
      <c r="C17" s="8" t="s">
        <v>1459</v>
      </c>
      <c r="D17" s="8" t="str">
        <f t="shared" si="0"/>
        <v xml:space="preserve">5. Zulagen für Unterhaltsberechtigte  </v>
      </c>
      <c r="E17" s="23" t="s">
        <v>1498</v>
      </c>
      <c r="F17" s="2" t="s">
        <v>332</v>
      </c>
    </row>
    <row r="18" spans="1:6" ht="135">
      <c r="A18" s="7">
        <f>ROW()</f>
        <v>18</v>
      </c>
      <c r="B18" s="8" t="s">
        <v>1479</v>
      </c>
      <c r="C18" s="8" t="str">
        <f>+E18</f>
        <v>Sonstige Leistungen</v>
      </c>
      <c r="D18" s="8" t="str">
        <f>+E18</f>
        <v>Sonstige Leistungen</v>
      </c>
      <c r="E18" s="22" t="s">
        <v>1455</v>
      </c>
      <c r="F18" s="2" t="s">
        <v>3303</v>
      </c>
    </row>
    <row r="19" spans="1:6" ht="300.75">
      <c r="A19" s="7">
        <f>ROW()</f>
        <v>19</v>
      </c>
      <c r="B19" s="8" t="s">
        <v>1479</v>
      </c>
      <c r="C19" s="8" t="s">
        <v>1500</v>
      </c>
      <c r="D19" s="8" t="str">
        <f t="shared" si="0"/>
        <v>Umschulung, berufsbezogene Rehabilitation</v>
      </c>
      <c r="E19" s="23" t="s">
        <v>1501</v>
      </c>
      <c r="F19" s="2" t="s">
        <v>2118</v>
      </c>
    </row>
    <row r="20" spans="1:6" ht="409.5">
      <c r="A20" s="7">
        <f>ROW()</f>
        <v>20</v>
      </c>
      <c r="B20" s="8" t="s">
        <v>1479</v>
      </c>
      <c r="C20" s="8" t="s">
        <v>1500</v>
      </c>
      <c r="D20" s="8" t="str">
        <f t="shared" si="0"/>
        <v xml:space="preserve">Bevorzugte und reservierte Beschäftigung von Menschen mit Behinderungen  </v>
      </c>
      <c r="E20" s="23" t="s">
        <v>1502</v>
      </c>
      <c r="F20" s="2" t="s">
        <v>3304</v>
      </c>
    </row>
    <row r="21" spans="1:6" ht="171.75">
      <c r="A21" s="7">
        <f>ROW()</f>
        <v>21</v>
      </c>
      <c r="B21" s="8" t="s">
        <v>1479</v>
      </c>
      <c r="C21" s="8" t="s">
        <v>1504</v>
      </c>
      <c r="D21" s="8" t="str">
        <f t="shared" si="0"/>
        <v>Indexbindung/Anpassung</v>
      </c>
      <c r="E21" s="22" t="s">
        <v>1505</v>
      </c>
      <c r="F21" s="2" t="s">
        <v>2119</v>
      </c>
    </row>
    <row r="22" spans="1:6" ht="242.25">
      <c r="A22" s="7">
        <f>ROW()</f>
        <v>22</v>
      </c>
      <c r="B22" s="8" t="s">
        <v>1479</v>
      </c>
      <c r="C22" s="8" t="s">
        <v>1504</v>
      </c>
      <c r="D22" s="8" t="str">
        <f>+E22</f>
        <v>Kumulation mit Erwerbseinkommen</v>
      </c>
      <c r="E22" s="22" t="s">
        <v>1471</v>
      </c>
      <c r="F22" s="2" t="s">
        <v>2120</v>
      </c>
    </row>
    <row r="23" spans="1:6" ht="275.25">
      <c r="A23" s="7">
        <f>ROW()</f>
        <v>23</v>
      </c>
      <c r="B23" s="8" t="s">
        <v>1479</v>
      </c>
      <c r="C23" s="8" t="s">
        <v>1504</v>
      </c>
      <c r="D23" s="8" t="str">
        <f t="shared" si="0"/>
        <v>Kumulation mit anderen Sozialleistungen</v>
      </c>
      <c r="E23" s="22" t="s">
        <v>1460</v>
      </c>
      <c r="F23" s="2" t="s">
        <v>2121</v>
      </c>
    </row>
    <row r="24" spans="1:6" ht="232.5">
      <c r="A24" s="7">
        <f>ROW()</f>
        <v>24</v>
      </c>
      <c r="B24" s="8" t="s">
        <v>1479</v>
      </c>
      <c r="C24" s="8" t="s">
        <v>1465</v>
      </c>
      <c r="D24" s="8" t="str">
        <f t="shared" si="0"/>
        <v>1. Besteuerung von Geldleistungen</v>
      </c>
      <c r="E24" s="23" t="s">
        <v>1509</v>
      </c>
      <c r="F24" s="2" t="s">
        <v>2122</v>
      </c>
    </row>
    <row r="25" spans="1:6" ht="387">
      <c r="A25" s="7">
        <f>ROW()</f>
        <v>25</v>
      </c>
      <c r="B25" s="8" t="s">
        <v>1479</v>
      </c>
      <c r="C25" s="8" t="s">
        <v>1465</v>
      </c>
      <c r="D25" s="8" t="str">
        <f t="shared" si="0"/>
        <v>2. Einkommensgrenze für Besteuerung von Geldleistungen</v>
      </c>
      <c r="E25" s="23" t="s">
        <v>1511</v>
      </c>
      <c r="F25" s="2" t="s">
        <v>2123</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687</v>
      </c>
    </row>
    <row r="28" spans="1:6" ht="110.25">
      <c r="A28" s="7">
        <f>ROW()</f>
        <v>28</v>
      </c>
      <c r="B28" s="8" t="s">
        <v>1479</v>
      </c>
      <c r="C28" s="8" t="s">
        <v>1514</v>
      </c>
      <c r="D28" s="8" t="str">
        <f t="shared" si="0"/>
        <v>Grundprinzipien</v>
      </c>
      <c r="E28" s="23" t="s">
        <v>1468</v>
      </c>
      <c r="F28" s="2" t="s">
        <v>2124</v>
      </c>
    </row>
    <row r="29" spans="1:6" ht="224.25">
      <c r="A29" s="7">
        <f>ROW()</f>
        <v>29</v>
      </c>
      <c r="B29" s="8" t="s">
        <v>1479</v>
      </c>
      <c r="C29" s="8" t="s">
        <v>1514</v>
      </c>
      <c r="D29" s="8" t="str">
        <f t="shared" si="0"/>
        <v>Voraussetzungen für die Deckung</v>
      </c>
      <c r="E29" s="23" t="s">
        <v>1469</v>
      </c>
      <c r="F29" s="2" t="s">
        <v>282</v>
      </c>
    </row>
    <row r="30" spans="1:6" ht="409.5">
      <c r="A30" s="7">
        <f>ROW()</f>
        <v>30</v>
      </c>
      <c r="B30" s="8" t="s">
        <v>1479</v>
      </c>
      <c r="C30" s="8" t="s">
        <v>1514</v>
      </c>
      <c r="D30" s="9" t="str">
        <f t="shared" si="0"/>
        <v>Kombination von selbstständiger und unselbstständiger Tätigkeit</v>
      </c>
      <c r="E30" s="23" t="s">
        <v>1462</v>
      </c>
      <c r="F30" s="2" t="s">
        <v>2125</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787</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35</v>
      </c>
    </row>
    <row r="36" spans="1:6" ht="210">
      <c r="A36" s="7">
        <f>ROW()</f>
        <v>36</v>
      </c>
      <c r="B36" s="8" t="s">
        <v>1519</v>
      </c>
      <c r="C36" s="8" t="str">
        <f>+D36</f>
        <v>Grundprinzipien</v>
      </c>
      <c r="D36" s="8" t="str">
        <f>+E36</f>
        <v>Grundprinzipien</v>
      </c>
      <c r="E36" s="22" t="s">
        <v>1468</v>
      </c>
      <c r="F36" s="2" t="s">
        <v>64</v>
      </c>
    </row>
    <row r="37" spans="1:6" ht="159.75">
      <c r="A37" s="7">
        <f>ROW()</f>
        <v>37</v>
      </c>
      <c r="B37" s="8" t="s">
        <v>1519</v>
      </c>
      <c r="C37" s="8" t="s">
        <v>1467</v>
      </c>
      <c r="D37" s="8" t="str">
        <f>+E37</f>
        <v>1. Versicherte Personen</v>
      </c>
      <c r="E37" s="23" t="s">
        <v>1520</v>
      </c>
      <c r="F37" s="2" t="s">
        <v>88</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131</v>
      </c>
    </row>
    <row r="40" spans="1:6" ht="409.5">
      <c r="A40" s="7">
        <f>ROW()</f>
        <v>40</v>
      </c>
      <c r="B40" s="8" t="s">
        <v>1519</v>
      </c>
      <c r="C40" s="8" t="s">
        <v>128</v>
      </c>
      <c r="D40" s="8" t="str">
        <f t="shared" si="1"/>
        <v>2. Anwartschaftszeit und sonstige Anspruchsvoraussetzungen für den Bezug einer Altersrente</v>
      </c>
      <c r="E40" s="23" t="s">
        <v>1524</v>
      </c>
      <c r="F40" s="2" t="s">
        <v>154</v>
      </c>
    </row>
    <row r="41" spans="1:6" ht="409.5">
      <c r="A41" s="7">
        <f>ROW()</f>
        <v>41</v>
      </c>
      <c r="B41" s="8" t="s">
        <v>1519</v>
      </c>
      <c r="C41" s="8" t="s">
        <v>128</v>
      </c>
      <c r="D41" s="8" t="str">
        <f t="shared" si="1"/>
        <v>3. Vorruhestand</v>
      </c>
      <c r="E41" s="23" t="s">
        <v>1525</v>
      </c>
      <c r="F41" s="2" t="s">
        <v>3305</v>
      </c>
    </row>
    <row r="42" spans="1:6" ht="264">
      <c r="A42" s="7">
        <f>ROW()</f>
        <v>42</v>
      </c>
      <c r="B42" s="8" t="s">
        <v>1519</v>
      </c>
      <c r="C42" s="8" t="s">
        <v>128</v>
      </c>
      <c r="D42" s="8" t="str">
        <f t="shared" si="1"/>
        <v>4. Beschwerliche und gefährliche Arbeit</v>
      </c>
      <c r="E42" s="23" t="s">
        <v>1526</v>
      </c>
      <c r="F42" s="2" t="s">
        <v>193</v>
      </c>
    </row>
    <row r="43" spans="1:6" ht="194.25">
      <c r="A43" s="7">
        <f>ROW()</f>
        <v>43</v>
      </c>
      <c r="B43" s="8" t="s">
        <v>1519</v>
      </c>
      <c r="C43" s="8" t="s">
        <v>128</v>
      </c>
      <c r="D43" s="8" t="str">
        <f t="shared" si="1"/>
        <v>5. Rentenaufschub</v>
      </c>
      <c r="E43" s="23" t="s">
        <v>1527</v>
      </c>
      <c r="F43" s="2" t="s">
        <v>213</v>
      </c>
    </row>
    <row r="44" spans="1:6" ht="174">
      <c r="A44" s="7">
        <f>ROW()</f>
        <v>44</v>
      </c>
      <c r="B44" s="8" t="s">
        <v>1519</v>
      </c>
      <c r="C44" s="8" t="s">
        <v>1459</v>
      </c>
      <c r="D44" s="8" t="str">
        <f t="shared" si="1"/>
        <v>1. Bestimmende Faktoren</v>
      </c>
      <c r="E44" s="23" t="s">
        <v>1528</v>
      </c>
      <c r="F44" s="2" t="s">
        <v>236</v>
      </c>
    </row>
    <row r="45" spans="1:6" ht="409.5">
      <c r="A45" s="7">
        <f>ROW()</f>
        <v>45</v>
      </c>
      <c r="B45" s="8" t="s">
        <v>1519</v>
      </c>
      <c r="C45" s="8" t="s">
        <v>1459</v>
      </c>
      <c r="D45" s="8" t="str">
        <f t="shared" si="1"/>
        <v>2. Berechnungsmethode, Rentenformel bzw. Beträge</v>
      </c>
      <c r="E45" s="23" t="s">
        <v>1529</v>
      </c>
      <c r="F45" s="2" t="s">
        <v>3306</v>
      </c>
    </row>
    <row r="46" spans="1:6" ht="343.5">
      <c r="A46" s="7">
        <f>ROW()</f>
        <v>46</v>
      </c>
      <c r="B46" s="8" t="s">
        <v>1519</v>
      </c>
      <c r="C46" s="8" t="s">
        <v>1459</v>
      </c>
      <c r="D46" s="8" t="str">
        <f t="shared" si="1"/>
        <v>3. Referenzeinkommen bzw. Berechnungsgrundlage</v>
      </c>
      <c r="E46" s="23" t="s">
        <v>1530</v>
      </c>
      <c r="F46" s="2" t="s">
        <v>274</v>
      </c>
    </row>
    <row r="47" spans="1:6" ht="405">
      <c r="A47" s="7">
        <f>ROW()</f>
        <v>47</v>
      </c>
      <c r="B47" s="8" t="s">
        <v>1519</v>
      </c>
      <c r="C47" s="8" t="s">
        <v>1459</v>
      </c>
      <c r="D47" s="8" t="str">
        <f t="shared" si="1"/>
        <v>4. Anrechenbare oder als Beitragszeiten gewertete Zeiträume</v>
      </c>
      <c r="E47" s="23" t="s">
        <v>1496</v>
      </c>
      <c r="F47" s="2" t="s">
        <v>3307</v>
      </c>
    </row>
    <row r="48" spans="1:6" ht="243.75">
      <c r="A48" s="7">
        <f>ROW()</f>
        <v>48</v>
      </c>
      <c r="B48" s="8" t="s">
        <v>1519</v>
      </c>
      <c r="C48" s="8" t="s">
        <v>1459</v>
      </c>
      <c r="D48" s="8" t="str">
        <f t="shared" si="1"/>
        <v>5. Rückkauf von Versicherungszeiten</v>
      </c>
      <c r="E48" s="23" t="s">
        <v>1531</v>
      </c>
      <c r="F48" s="2" t="s">
        <v>312</v>
      </c>
    </row>
    <row r="49" spans="1:6" ht="246">
      <c r="A49" s="7">
        <f>ROW()</f>
        <v>49</v>
      </c>
      <c r="B49" s="8" t="s">
        <v>1519</v>
      </c>
      <c r="C49" s="8" t="s">
        <v>1459</v>
      </c>
      <c r="D49" s="8" t="str">
        <f t="shared" si="1"/>
        <v>6.  Zulagen für Unterhaltsberechtigte</v>
      </c>
      <c r="E49" s="23" t="s">
        <v>1631</v>
      </c>
      <c r="F49" s="2" t="s">
        <v>332</v>
      </c>
    </row>
    <row r="50" spans="1:6" ht="240">
      <c r="A50" s="7">
        <f>ROW()</f>
        <v>50</v>
      </c>
      <c r="B50" s="8" t="s">
        <v>1519</v>
      </c>
      <c r="C50" s="8" t="s">
        <v>1459</v>
      </c>
      <c r="D50" s="8" t="str">
        <f t="shared" si="1"/>
        <v>7. Besondere Zulagen</v>
      </c>
      <c r="E50" s="23" t="s">
        <v>1532</v>
      </c>
      <c r="F50" s="2" t="s">
        <v>3308</v>
      </c>
    </row>
    <row r="51" spans="1:6" ht="360.75">
      <c r="A51" s="7">
        <f>ROW()</f>
        <v>51</v>
      </c>
      <c r="B51" s="8" t="s">
        <v>1519</v>
      </c>
      <c r="C51" s="8" t="s">
        <v>1459</v>
      </c>
      <c r="D51" s="8" t="str">
        <f t="shared" si="1"/>
        <v>8. Mindestrente und bedürftigkeitsabhängige Leistung</v>
      </c>
      <c r="E51" s="23" t="s">
        <v>1533</v>
      </c>
      <c r="F51" s="2" t="s">
        <v>373</v>
      </c>
    </row>
    <row r="52" spans="1:6" ht="101.25">
      <c r="A52" s="7">
        <f>ROW()</f>
        <v>52</v>
      </c>
      <c r="B52" s="8" t="s">
        <v>1519</v>
      </c>
      <c r="C52" s="8" t="s">
        <v>1459</v>
      </c>
      <c r="D52" s="8" t="str">
        <f t="shared" si="1"/>
        <v>9. Höchstrente</v>
      </c>
      <c r="E52" s="23" t="s">
        <v>1534</v>
      </c>
      <c r="F52" s="2" t="s">
        <v>397</v>
      </c>
    </row>
    <row r="53" spans="1:6" ht="195">
      <c r="A53" s="7">
        <f>ROW()</f>
        <v>53</v>
      </c>
      <c r="B53" s="8" t="s">
        <v>1519</v>
      </c>
      <c r="C53" s="8" t="s">
        <v>1459</v>
      </c>
      <c r="D53" s="8" t="str">
        <f t="shared" si="1"/>
        <v>10. Vorruhestand</v>
      </c>
      <c r="E53" s="23" t="s">
        <v>1535</v>
      </c>
      <c r="F53" s="2" t="s">
        <v>424</v>
      </c>
    </row>
    <row r="54" spans="1:6" ht="272.25">
      <c r="A54" s="7">
        <f>ROW()</f>
        <v>54</v>
      </c>
      <c r="B54" s="8" t="s">
        <v>1519</v>
      </c>
      <c r="C54" s="8" t="s">
        <v>1459</v>
      </c>
      <c r="D54" s="8" t="str">
        <f t="shared" si="1"/>
        <v>11. Beschwerliche und gefährliche Arbeit</v>
      </c>
      <c r="E54" s="23" t="s">
        <v>1536</v>
      </c>
      <c r="F54" s="2" t="s">
        <v>197</v>
      </c>
    </row>
    <row r="55" spans="1:6" ht="90">
      <c r="A55" s="7">
        <f>ROW()</f>
        <v>55</v>
      </c>
      <c r="B55" s="8" t="s">
        <v>1519</v>
      </c>
      <c r="C55" s="8" t="s">
        <v>1459</v>
      </c>
      <c r="D55" s="8" t="str">
        <f t="shared" si="1"/>
        <v>12. Teilrente</v>
      </c>
      <c r="E55" s="23" t="s">
        <v>1537</v>
      </c>
      <c r="F55" s="2" t="s">
        <v>475</v>
      </c>
    </row>
    <row r="56" spans="1:6" ht="171.75">
      <c r="A56" s="7">
        <f>ROW()</f>
        <v>56</v>
      </c>
      <c r="B56" s="8" t="s">
        <v>1519</v>
      </c>
      <c r="C56" s="8" t="s">
        <v>1459</v>
      </c>
      <c r="D56" s="8" t="str">
        <f t="shared" si="1"/>
        <v>13. Aufgeschobene Rente</v>
      </c>
      <c r="E56" s="23" t="s">
        <v>1632</v>
      </c>
      <c r="F56" s="2" t="s">
        <v>502</v>
      </c>
    </row>
    <row r="57" spans="1:6" ht="179.25">
      <c r="A57" s="7">
        <f>ROW()</f>
        <v>57</v>
      </c>
      <c r="B57" s="8" t="s">
        <v>1519</v>
      </c>
      <c r="C57" s="8" t="s">
        <v>1538</v>
      </c>
      <c r="D57" s="8" t="s">
        <v>1538</v>
      </c>
      <c r="E57" s="22" t="s">
        <v>1538</v>
      </c>
      <c r="F57" s="2" t="s">
        <v>531</v>
      </c>
    </row>
    <row r="58" spans="1:6" ht="246">
      <c r="A58" s="7">
        <f>ROW()</f>
        <v>58</v>
      </c>
      <c r="B58" s="8" t="s">
        <v>1519</v>
      </c>
      <c r="C58" s="8" t="s">
        <v>1538</v>
      </c>
      <c r="D58" s="8" t="str">
        <f t="shared" si="1"/>
        <v xml:space="preserve">Kumulation mit Erwerbseinkommen </v>
      </c>
      <c r="E58" s="22" t="s">
        <v>1461</v>
      </c>
      <c r="F58" s="2" t="s">
        <v>558</v>
      </c>
    </row>
    <row r="59" spans="1:6" ht="286.5">
      <c r="A59" s="7">
        <f>ROW()</f>
        <v>59</v>
      </c>
      <c r="B59" s="8" t="s">
        <v>1519</v>
      </c>
      <c r="C59" s="8" t="s">
        <v>1538</v>
      </c>
      <c r="D59" s="8" t="s">
        <v>1539</v>
      </c>
      <c r="E59" s="22" t="s">
        <v>1460</v>
      </c>
      <c r="F59" s="2" t="s">
        <v>587</v>
      </c>
    </row>
    <row r="60" spans="1:6" ht="225.75">
      <c r="A60" s="7">
        <f>ROW()</f>
        <v>60</v>
      </c>
      <c r="B60" s="8" t="s">
        <v>1519</v>
      </c>
      <c r="C60" s="8" t="s">
        <v>612</v>
      </c>
      <c r="D60" s="8" t="str">
        <f t="shared" ref="D60:D70" si="2">+E60</f>
        <v>1. Besteuerung von Renten</v>
      </c>
      <c r="E60" s="23" t="s">
        <v>1540</v>
      </c>
      <c r="F60" s="2" t="s">
        <v>3309</v>
      </c>
    </row>
    <row r="61" spans="1:6" ht="335.25">
      <c r="A61" s="7">
        <f>ROW()</f>
        <v>61</v>
      </c>
      <c r="B61" s="8" t="s">
        <v>1519</v>
      </c>
      <c r="C61" s="8" t="s">
        <v>612</v>
      </c>
      <c r="D61" s="8" t="str">
        <f t="shared" si="2"/>
        <v>2. Einkommensgrenze für Besteuerung von Renten</v>
      </c>
      <c r="E61" s="23" t="s">
        <v>1541</v>
      </c>
      <c r="F61" s="2" t="s">
        <v>642</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687</v>
      </c>
    </row>
    <row r="64" spans="1:6" ht="132.75">
      <c r="A64" s="7">
        <f>ROW()</f>
        <v>64</v>
      </c>
      <c r="B64" s="8" t="s">
        <v>1543</v>
      </c>
      <c r="C64" s="8" t="s">
        <v>1514</v>
      </c>
      <c r="D64" s="8" t="str">
        <f t="shared" si="2"/>
        <v>Grundprinzipien</v>
      </c>
      <c r="E64" s="23" t="s">
        <v>1468</v>
      </c>
      <c r="F64" s="2" t="s">
        <v>714</v>
      </c>
    </row>
    <row r="65" spans="1:6" ht="224.25">
      <c r="A65" s="7">
        <f>ROW()</f>
        <v>65</v>
      </c>
      <c r="B65" s="8" t="s">
        <v>1543</v>
      </c>
      <c r="C65" s="8" t="s">
        <v>1514</v>
      </c>
      <c r="D65" s="8" t="str">
        <f t="shared" si="2"/>
        <v>Voraussetzungen für die Deckung</v>
      </c>
      <c r="E65" s="23" t="s">
        <v>1469</v>
      </c>
      <c r="F65" s="2" t="s">
        <v>741</v>
      </c>
    </row>
    <row r="66" spans="1:6" ht="409.5">
      <c r="A66" s="7">
        <f>ROW()</f>
        <v>66</v>
      </c>
      <c r="B66" s="8" t="s">
        <v>1543</v>
      </c>
      <c r="C66" s="8" t="s">
        <v>1514</v>
      </c>
      <c r="D66" s="8" t="str">
        <f t="shared" si="2"/>
        <v>Kombination von selbstständiger und unselbstständiger Tätigkeit</v>
      </c>
      <c r="E66" s="23" t="s">
        <v>1462</v>
      </c>
      <c r="F66" s="2" t="s">
        <v>767</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787</v>
      </c>
    </row>
    <row r="69" spans="1:6" ht="216">
      <c r="A69" s="7">
        <f>ROW()</f>
        <v>69</v>
      </c>
      <c r="B69" s="8" t="s">
        <v>1543</v>
      </c>
      <c r="C69" s="8" t="s">
        <v>1459</v>
      </c>
      <c r="D69" s="9" t="str">
        <f t="shared" si="2"/>
        <v>Besteuerung von Geldleistungen</v>
      </c>
      <c r="E69" s="23" t="s">
        <v>1456</v>
      </c>
      <c r="F69" s="2" t="s">
        <v>787</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837</v>
      </c>
    </row>
    <row r="72" spans="1:6" ht="110.25">
      <c r="A72" s="7">
        <f>ROW()</f>
        <v>72</v>
      </c>
      <c r="B72" s="8" t="s">
        <v>1466</v>
      </c>
      <c r="C72" s="8" t="str">
        <f t="shared" si="3"/>
        <v>Grundprinzipien</v>
      </c>
      <c r="D72" s="9" t="str">
        <f t="shared" si="3"/>
        <v>Grundprinzipien</v>
      </c>
      <c r="E72" s="22" t="s">
        <v>1468</v>
      </c>
      <c r="F72" s="2" t="s">
        <v>863</v>
      </c>
    </row>
    <row r="73" spans="1:6" ht="315">
      <c r="A73" s="7">
        <f>ROW()</f>
        <v>73</v>
      </c>
      <c r="B73" s="8" t="s">
        <v>1466</v>
      </c>
      <c r="C73" s="9" t="str">
        <f t="shared" si="3"/>
        <v>Anwendungsbereich (in Bezug auf Verstorbene)</v>
      </c>
      <c r="D73" s="9" t="str">
        <f t="shared" si="3"/>
        <v>Anwendungsbereich (in Bezug auf Verstorbene)</v>
      </c>
      <c r="E73" s="22" t="s">
        <v>1473</v>
      </c>
      <c r="F73" s="2" t="s">
        <v>889</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923</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946</v>
      </c>
    </row>
    <row r="78" spans="1:6" ht="185.25">
      <c r="A78" s="7">
        <f>ROW()</f>
        <v>78</v>
      </c>
      <c r="B78" s="8" t="s">
        <v>1466</v>
      </c>
      <c r="C78" s="8" t="s">
        <v>1544</v>
      </c>
      <c r="D78" s="8" t="str">
        <f t="shared" si="4"/>
        <v>2. Hinterbliebener Ehegatte</v>
      </c>
      <c r="E78" s="23" t="s">
        <v>1546</v>
      </c>
      <c r="F78" s="2" t="s">
        <v>3310</v>
      </c>
    </row>
    <row r="79" spans="1:6" ht="181.5">
      <c r="A79" s="7">
        <f>ROW()</f>
        <v>79</v>
      </c>
      <c r="B79" s="8" t="s">
        <v>1466</v>
      </c>
      <c r="C79" s="8" t="s">
        <v>1544</v>
      </c>
      <c r="D79" s="8" t="str">
        <f t="shared" si="4"/>
        <v>3. Geschiedener Ehegatte</v>
      </c>
      <c r="E79" s="23" t="s">
        <v>1547</v>
      </c>
      <c r="F79" s="2" t="s">
        <v>985</v>
      </c>
    </row>
    <row r="80" spans="1:6" ht="216">
      <c r="A80" s="7">
        <f>ROW()</f>
        <v>80</v>
      </c>
      <c r="B80" s="8" t="s">
        <v>1466</v>
      </c>
      <c r="C80" s="8" t="s">
        <v>1544</v>
      </c>
      <c r="D80" s="8" t="str">
        <f t="shared" si="4"/>
        <v>4. Hinterbliebene Lebenspartner</v>
      </c>
      <c r="E80" s="23" t="s">
        <v>1548</v>
      </c>
      <c r="F80" s="2" t="s">
        <v>989</v>
      </c>
    </row>
    <row r="81" spans="1:6" ht="181.5">
      <c r="A81" s="7">
        <f>ROW()</f>
        <v>81</v>
      </c>
      <c r="B81" s="8" t="s">
        <v>1466</v>
      </c>
      <c r="C81" s="8" t="s">
        <v>1544</v>
      </c>
      <c r="D81" s="8" t="str">
        <f t="shared" si="4"/>
        <v>5. Kinder</v>
      </c>
      <c r="E81" s="23" t="s">
        <v>1549</v>
      </c>
      <c r="F81" s="2" t="s">
        <v>1030</v>
      </c>
    </row>
    <row r="82" spans="1:6" ht="181.5">
      <c r="A82" s="7">
        <f>ROW()</f>
        <v>82</v>
      </c>
      <c r="B82" s="8" t="s">
        <v>1466</v>
      </c>
      <c r="C82" s="8" t="s">
        <v>1544</v>
      </c>
      <c r="D82" s="8" t="str">
        <f t="shared" si="4"/>
        <v>6. Andere Personen</v>
      </c>
      <c r="E82" s="23" t="s">
        <v>1550</v>
      </c>
      <c r="F82" s="2" t="s">
        <v>1052</v>
      </c>
    </row>
    <row r="83" spans="1:6" ht="409.5">
      <c r="A83" s="7">
        <f>ROW()</f>
        <v>83</v>
      </c>
      <c r="B83" s="8" t="s">
        <v>1466</v>
      </c>
      <c r="C83" s="8" t="s">
        <v>1459</v>
      </c>
      <c r="D83" s="9" t="str">
        <f t="shared" si="4"/>
        <v>1. Hinterbliebener Ehegatte, geschiedener Ehegatte, hinterbliebene Lebenspartner</v>
      </c>
      <c r="E83" s="23" t="s">
        <v>1551</v>
      </c>
      <c r="F83" s="2" t="s">
        <v>3311</v>
      </c>
    </row>
    <row r="84" spans="1:6" ht="280.5">
      <c r="A84" s="7">
        <f>ROW()</f>
        <v>84</v>
      </c>
      <c r="B84" s="8" t="s">
        <v>1466</v>
      </c>
      <c r="C84" s="8" t="s">
        <v>1459</v>
      </c>
      <c r="D84" s="9" t="str">
        <f t="shared" si="4"/>
        <v>2. Hinterbliebener Ehegatte: Wiederheirat</v>
      </c>
      <c r="E84" s="23" t="s">
        <v>1552</v>
      </c>
      <c r="F84" s="2" t="s">
        <v>1087</v>
      </c>
    </row>
    <row r="85" spans="1:6" ht="102">
      <c r="A85" s="7">
        <f>ROW()</f>
        <v>85</v>
      </c>
      <c r="B85" s="8" t="s">
        <v>1466</v>
      </c>
      <c r="C85" s="8" t="s">
        <v>1459</v>
      </c>
      <c r="D85" s="9" t="str">
        <f t="shared" si="4"/>
        <v>3. Kinder</v>
      </c>
      <c r="E85" s="23" t="s">
        <v>1553</v>
      </c>
      <c r="F85" s="2" t="s">
        <v>1114</v>
      </c>
    </row>
    <row r="86" spans="1:6" ht="147">
      <c r="A86" s="7">
        <f>ROW()</f>
        <v>86</v>
      </c>
      <c r="B86" s="8" t="s">
        <v>1466</v>
      </c>
      <c r="C86" s="8" t="s">
        <v>1459</v>
      </c>
      <c r="D86" s="9" t="str">
        <f t="shared" si="4"/>
        <v>4. Andere Berechtigte</v>
      </c>
      <c r="E86" s="23" t="s">
        <v>1554</v>
      </c>
      <c r="F86" s="2" t="s">
        <v>1132</v>
      </c>
    </row>
    <row r="87" spans="1:6" ht="381">
      <c r="A87" s="7">
        <f>ROW()</f>
        <v>87</v>
      </c>
      <c r="B87" s="8" t="s">
        <v>1466</v>
      </c>
      <c r="C87" s="8" t="s">
        <v>1459</v>
      </c>
      <c r="D87" s="9" t="str">
        <f t="shared" si="4"/>
        <v xml:space="preserve"> 5. Höchster zahlbarer Gesamtbetrag für alle Berechtigten</v>
      </c>
      <c r="E87" s="23" t="s">
        <v>1555</v>
      </c>
      <c r="F87" s="2" t="s">
        <v>1146</v>
      </c>
    </row>
    <row r="88" spans="1:6" ht="151.5">
      <c r="A88" s="7">
        <f>ROW()</f>
        <v>88</v>
      </c>
      <c r="B88" s="8" t="s">
        <v>1466</v>
      </c>
      <c r="C88" s="8" t="s">
        <v>1459</v>
      </c>
      <c r="D88" s="9" t="str">
        <f t="shared" si="4"/>
        <v>6. Sonstige Leistungen</v>
      </c>
      <c r="E88" s="23" t="s">
        <v>1556</v>
      </c>
      <c r="F88" s="2" t="s">
        <v>1171</v>
      </c>
    </row>
    <row r="89" spans="1:6" ht="126.75">
      <c r="A89" s="7">
        <f>ROW()</f>
        <v>89</v>
      </c>
      <c r="B89" s="8" t="s">
        <v>1466</v>
      </c>
      <c r="C89" s="8" t="s">
        <v>1459</v>
      </c>
      <c r="D89" s="9" t="str">
        <f>+E89</f>
        <v>7. Mindestleistung</v>
      </c>
      <c r="E89" s="23" t="s">
        <v>1557</v>
      </c>
      <c r="F89" s="2" t="s">
        <v>1193</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1237</v>
      </c>
    </row>
    <row r="92" spans="1:6" ht="242.25">
      <c r="A92" s="7">
        <f>ROW()</f>
        <v>92</v>
      </c>
      <c r="B92" s="8" t="s">
        <v>1466</v>
      </c>
      <c r="C92" s="8" t="s">
        <v>1538</v>
      </c>
      <c r="D92" s="9" t="str">
        <f t="shared" ref="D92:D105" si="5">+E92</f>
        <v>Kumulation mit Erwerbseinkommen</v>
      </c>
      <c r="E92" s="22" t="s">
        <v>1471</v>
      </c>
      <c r="F92" s="2" t="s">
        <v>1264</v>
      </c>
    </row>
    <row r="93" spans="1:6" ht="275.25">
      <c r="A93" s="7">
        <f>ROW()</f>
        <v>93</v>
      </c>
      <c r="B93" s="8" t="s">
        <v>1466</v>
      </c>
      <c r="C93" s="8" t="s">
        <v>1538</v>
      </c>
      <c r="D93" s="9" t="str">
        <f t="shared" si="5"/>
        <v>Kumulation mit anderen Sozialleistungen</v>
      </c>
      <c r="E93" s="22" t="s">
        <v>1460</v>
      </c>
      <c r="F93" s="2" t="s">
        <v>1291</v>
      </c>
    </row>
    <row r="94" spans="1:6" ht="232.5">
      <c r="A94" s="7">
        <f>ROW()</f>
        <v>94</v>
      </c>
      <c r="B94" s="8" t="s">
        <v>1466</v>
      </c>
      <c r="C94" s="9" t="s">
        <v>1465</v>
      </c>
      <c r="D94" s="9" t="str">
        <f t="shared" si="5"/>
        <v>1. Besteuerung von Geldleistungen</v>
      </c>
      <c r="E94" s="23" t="s">
        <v>1509</v>
      </c>
      <c r="F94" s="2" t="s">
        <v>1320</v>
      </c>
    </row>
    <row r="95" spans="1:6" ht="387">
      <c r="A95" s="7">
        <f>ROW()</f>
        <v>95</v>
      </c>
      <c r="B95" s="8" t="s">
        <v>1466</v>
      </c>
      <c r="C95" s="9" t="s">
        <v>1465</v>
      </c>
      <c r="D95" s="9" t="str">
        <f t="shared" si="5"/>
        <v>2. Einkommensgrenze für Besteuerung von Geldleistungen</v>
      </c>
      <c r="E95" s="23" t="s">
        <v>1511</v>
      </c>
      <c r="F95" s="2" t="s">
        <v>1338</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687</v>
      </c>
    </row>
    <row r="98" spans="1:6" ht="110.25">
      <c r="A98" s="7">
        <f>ROW()</f>
        <v>98</v>
      </c>
      <c r="B98" s="8" t="s">
        <v>1466</v>
      </c>
      <c r="C98" s="9" t="s">
        <v>1514</v>
      </c>
      <c r="D98" s="9" t="str">
        <f t="shared" si="5"/>
        <v>Grundprinzipien</v>
      </c>
      <c r="E98" s="23" t="s">
        <v>1468</v>
      </c>
      <c r="F98" s="2" t="s">
        <v>1391</v>
      </c>
    </row>
    <row r="99" spans="1:6" ht="224.25">
      <c r="A99" s="7">
        <f>ROW()</f>
        <v>99</v>
      </c>
      <c r="B99" s="8" t="s">
        <v>1466</v>
      </c>
      <c r="C99" s="9" t="s">
        <v>1514</v>
      </c>
      <c r="D99" s="9" t="str">
        <f t="shared" si="5"/>
        <v>Voraussetzungen für die Deckung</v>
      </c>
      <c r="E99" s="23" t="s">
        <v>1469</v>
      </c>
      <c r="F99" s="2" t="s">
        <v>1391</v>
      </c>
    </row>
    <row r="100" spans="1:6" ht="409.5">
      <c r="A100" s="7">
        <f>ROW()</f>
        <v>100</v>
      </c>
      <c r="B100" s="8" t="s">
        <v>1466</v>
      </c>
      <c r="C100" s="9" t="s">
        <v>1514</v>
      </c>
      <c r="D100" s="9" t="str">
        <f t="shared" si="5"/>
        <v>Kombination von selbstständiger und unselbstständiger Tätigkeit</v>
      </c>
      <c r="E100" s="23" t="s">
        <v>1462</v>
      </c>
      <c r="F100" s="2" t="s">
        <v>1391</v>
      </c>
    </row>
    <row r="101" spans="1:6" ht="376.5">
      <c r="A101" s="7">
        <f>ROW()</f>
        <v>101</v>
      </c>
      <c r="B101" s="8" t="s">
        <v>1466</v>
      </c>
      <c r="C101" s="9" t="s">
        <v>1514</v>
      </c>
      <c r="D101" s="9" t="str">
        <f t="shared" si="5"/>
        <v xml:space="preserve">Voraussetzungen für den Zugang zu Diensten/Leistungen </v>
      </c>
      <c r="E101" s="23" t="s">
        <v>1463</v>
      </c>
      <c r="F101" s="2" t="s">
        <v>1391</v>
      </c>
    </row>
    <row r="102" spans="1:6" ht="253.5">
      <c r="A102" s="7">
        <f>ROW()</f>
        <v>102</v>
      </c>
      <c r="B102" s="8" t="s">
        <v>1466</v>
      </c>
      <c r="C102" s="9" t="s">
        <v>1514</v>
      </c>
      <c r="D102" s="9" t="str">
        <f t="shared" si="5"/>
        <v>Beträge, Dauer und Kostenbeteiligung</v>
      </c>
      <c r="E102" s="23" t="s">
        <v>1464</v>
      </c>
      <c r="F102" s="2" t="s">
        <v>1391</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1391</v>
      </c>
    </row>
    <row r="105" spans="1:6" ht="272.25">
      <c r="A105" s="7">
        <f>ROW()</f>
        <v>105</v>
      </c>
      <c r="B105" s="8" t="s">
        <v>1466</v>
      </c>
      <c r="C105" s="9" t="s">
        <v>1514</v>
      </c>
      <c r="D105" s="9" t="str">
        <f t="shared" si="5"/>
        <v>Auf Leistungen anfallende Sozialabgaben</v>
      </c>
      <c r="E105" s="23" t="s">
        <v>1457</v>
      </c>
      <c r="F105" s="2" t="s">
        <v>1391</v>
      </c>
    </row>
    <row r="106" spans="1:6"/>
    <row r="107" spans="1:6"/>
    <row r="108" spans="1:6"/>
    <row r="109" spans="1:6"/>
    <row r="110" spans="1:6"/>
    <row r="111" spans="1:6"/>
    <row r="112" spans="1:6"/>
    <row r="113"/>
  </sheetData>
  <sheetProtection algorithmName="SHA-512" hashValue="NKKSGWKAwNp8nnLGJ9mwliib+ESsfiRURSUwCJZL18sd66KClnTIvOjJsJafE1c1vSbnkCHkbFBTihA3BdLtHw==" saltValue="qZqB8susbw7SInandGY+1Q==" spinCount="100000" sheet="1" objects="1" scenarios="1" formatColumns="0" autoFilter="0"/>
  <autoFilter ref="A2:F105" xr:uid="{77829037-7760-4C4A-8C81-AE43414C4EB1}"/>
  <pageMargins left="0.7" right="0.7" top="0.78740157499999996" bottom="0.78740157499999996"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0CD6-7636-4BFE-9B82-4ED3ED03A251}">
  <sheetPr codeName="Tabelle7"/>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5</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2083</v>
      </c>
    </row>
    <row r="4" spans="1:6" ht="210">
      <c r="A4" s="7">
        <f>ROW()</f>
        <v>4</v>
      </c>
      <c r="B4" s="8" t="s">
        <v>1479</v>
      </c>
      <c r="C4" s="1"/>
      <c r="D4" s="8" t="str">
        <f t="shared" ref="D4:D34" si="0">+E4</f>
        <v>Grundprinzipien</v>
      </c>
      <c r="E4" s="22" t="s">
        <v>1468</v>
      </c>
      <c r="F4" s="2" t="s">
        <v>2084</v>
      </c>
    </row>
    <row r="5" spans="1:6" ht="188.25">
      <c r="A5" s="7">
        <f>ROW()</f>
        <v>5</v>
      </c>
      <c r="B5" s="8" t="s">
        <v>1479</v>
      </c>
      <c r="C5" s="1"/>
      <c r="D5" s="8" t="str">
        <f t="shared" si="0"/>
        <v>Gedecktes Risiko: Definition</v>
      </c>
      <c r="E5" s="22" t="s">
        <v>1630</v>
      </c>
      <c r="F5" s="2" t="s">
        <v>2085</v>
      </c>
    </row>
    <row r="6" spans="1:6" ht="150">
      <c r="A6" s="7">
        <f>ROW()</f>
        <v>6</v>
      </c>
      <c r="B6" s="8" t="s">
        <v>1479</v>
      </c>
      <c r="C6" s="8" t="s">
        <v>1453</v>
      </c>
      <c r="D6" s="8" t="str">
        <f t="shared" si="0"/>
        <v>Versicherte Personen</v>
      </c>
      <c r="E6" s="23" t="s">
        <v>1453</v>
      </c>
      <c r="F6" s="2" t="s">
        <v>2086</v>
      </c>
    </row>
    <row r="7" spans="1:6" ht="273">
      <c r="A7" s="7">
        <f>ROW()</f>
        <v>7</v>
      </c>
      <c r="B7" s="8" t="s">
        <v>1479</v>
      </c>
      <c r="C7" s="8" t="str">
        <f>+E6</f>
        <v>Versicherte Personen</v>
      </c>
      <c r="D7" s="8" t="str">
        <f t="shared" si="0"/>
        <v>Ausnahmen von der Versicherungspflicht</v>
      </c>
      <c r="E7" s="23" t="s">
        <v>1458</v>
      </c>
      <c r="F7" s="2" t="s">
        <v>2087</v>
      </c>
    </row>
    <row r="8" spans="1:6" ht="194.25">
      <c r="A8" s="7">
        <f>ROW()</f>
        <v>8</v>
      </c>
      <c r="B8" s="8" t="s">
        <v>1479</v>
      </c>
      <c r="C8" s="9" t="s">
        <v>128</v>
      </c>
      <c r="D8" s="8" t="str">
        <f t="shared" si="0"/>
        <v>1. Anwartschaftszeit</v>
      </c>
      <c r="E8" s="23" t="s">
        <v>1483</v>
      </c>
      <c r="F8" s="2" t="s">
        <v>2088</v>
      </c>
    </row>
    <row r="9" spans="1:6" ht="409.5">
      <c r="A9" s="7">
        <f>ROW()</f>
        <v>9</v>
      </c>
      <c r="B9" s="8" t="s">
        <v>1479</v>
      </c>
      <c r="C9" s="9" t="s">
        <v>128</v>
      </c>
      <c r="D9" s="8" t="str">
        <f t="shared" si="0"/>
        <v xml:space="preserve">2. Begutachtungskriterien und Kategorien der Arbeitsunfähigkeit/Arbeitsfähigkeit  </v>
      </c>
      <c r="E9" s="23" t="s">
        <v>1484</v>
      </c>
      <c r="F9" s="2" t="s">
        <v>2089</v>
      </c>
    </row>
    <row r="10" spans="1:6" ht="270">
      <c r="A10" s="7">
        <f>ROW()</f>
        <v>10</v>
      </c>
      <c r="B10" s="8" t="s">
        <v>1479</v>
      </c>
      <c r="C10" s="9" t="s">
        <v>128</v>
      </c>
      <c r="D10" s="8" t="str">
        <f t="shared" si="0"/>
        <v>3. Zeitraum der Leistungszahlung</v>
      </c>
      <c r="E10" s="23" t="s">
        <v>1486</v>
      </c>
      <c r="F10" s="2" t="s">
        <v>2090</v>
      </c>
    </row>
    <row r="11" spans="1:6" ht="150">
      <c r="A11" s="7">
        <f>ROW()</f>
        <v>11</v>
      </c>
      <c r="B11" s="8" t="s">
        <v>1479</v>
      </c>
      <c r="C11" s="9" t="s">
        <v>1488</v>
      </c>
      <c r="D11" s="8" t="str">
        <f t="shared" si="0"/>
        <v>1. Gutachter</v>
      </c>
      <c r="E11" s="23" t="s">
        <v>1489</v>
      </c>
      <c r="F11" s="2" t="s">
        <v>2091</v>
      </c>
    </row>
    <row r="12" spans="1:6" ht="255">
      <c r="A12" s="7">
        <f>ROW()</f>
        <v>12</v>
      </c>
      <c r="B12" s="8" t="s">
        <v>1479</v>
      </c>
      <c r="C12" s="9" t="s">
        <v>1488</v>
      </c>
      <c r="D12" s="8" t="str">
        <f t="shared" si="0"/>
        <v xml:space="preserve">2. Überprüfung  </v>
      </c>
      <c r="E12" s="23" t="s">
        <v>1490</v>
      </c>
      <c r="F12" s="2" t="s">
        <v>2092</v>
      </c>
    </row>
    <row r="13" spans="1:6" ht="409.5">
      <c r="A13" s="7">
        <f>ROW()</f>
        <v>13</v>
      </c>
      <c r="B13" s="8" t="s">
        <v>1479</v>
      </c>
      <c r="C13" s="8" t="s">
        <v>1459</v>
      </c>
      <c r="D13" s="8" t="str">
        <f t="shared" si="0"/>
        <v>1. Berechnungsmethode bzw. Rentenformel</v>
      </c>
      <c r="E13" s="23" t="s">
        <v>1492</v>
      </c>
      <c r="F13" s="2" t="s">
        <v>2093</v>
      </c>
    </row>
    <row r="14" spans="1:6" ht="343.5">
      <c r="A14" s="7">
        <f>ROW()</f>
        <v>14</v>
      </c>
      <c r="B14" s="8" t="s">
        <v>1479</v>
      </c>
      <c r="C14" s="8" t="s">
        <v>1459</v>
      </c>
      <c r="D14" s="8" t="str">
        <f t="shared" si="0"/>
        <v>2. Referenzeinkommen bzw. Berechnungsgrundlage</v>
      </c>
      <c r="E14" s="23" t="s">
        <v>1493</v>
      </c>
      <c r="F14" s="2" t="s">
        <v>2094</v>
      </c>
    </row>
    <row r="15" spans="1:6" ht="226.5">
      <c r="A15" s="7">
        <f>ROW()</f>
        <v>15</v>
      </c>
      <c r="B15" s="8" t="s">
        <v>1479</v>
      </c>
      <c r="C15" s="8" t="s">
        <v>1459</v>
      </c>
      <c r="D15" s="8" t="str">
        <f t="shared" si="0"/>
        <v>3. Mindest- und Höchstleistungen</v>
      </c>
      <c r="E15" s="23" t="s">
        <v>1495</v>
      </c>
      <c r="F15" s="2" t="s">
        <v>2095</v>
      </c>
    </row>
    <row r="16" spans="1:6" ht="405">
      <c r="A16" s="7">
        <f>ROW()</f>
        <v>16</v>
      </c>
      <c r="B16" s="8" t="s">
        <v>1479</v>
      </c>
      <c r="C16" s="8" t="s">
        <v>1459</v>
      </c>
      <c r="D16" s="8" t="str">
        <f t="shared" si="0"/>
        <v>4. Anrechenbare oder als Beitragszeiten gewertete Zeiträume</v>
      </c>
      <c r="E16" s="23" t="s">
        <v>1496</v>
      </c>
      <c r="F16" s="2" t="s">
        <v>2096</v>
      </c>
    </row>
    <row r="17" spans="1:6" ht="250.5">
      <c r="A17" s="7">
        <f>ROW()</f>
        <v>17</v>
      </c>
      <c r="B17" s="8" t="s">
        <v>1479</v>
      </c>
      <c r="C17" s="8" t="s">
        <v>1459</v>
      </c>
      <c r="D17" s="8" t="str">
        <f t="shared" si="0"/>
        <v xml:space="preserve">5. Zulagen für Unterhaltsberechtigte  </v>
      </c>
      <c r="E17" s="23" t="s">
        <v>1498</v>
      </c>
      <c r="F17" s="2" t="s">
        <v>2097</v>
      </c>
    </row>
    <row r="18" spans="1:6" ht="210">
      <c r="A18" s="7">
        <f>ROW()</f>
        <v>18</v>
      </c>
      <c r="B18" s="8" t="s">
        <v>1479</v>
      </c>
      <c r="C18" s="8" t="str">
        <f>+E18</f>
        <v>Sonstige Leistungen</v>
      </c>
      <c r="D18" s="8" t="str">
        <f>+E18</f>
        <v>Sonstige Leistungen</v>
      </c>
      <c r="E18" s="22" t="s">
        <v>1455</v>
      </c>
      <c r="F18" s="2" t="s">
        <v>2098</v>
      </c>
    </row>
    <row r="19" spans="1:6" ht="300.75">
      <c r="A19" s="7">
        <f>ROW()</f>
        <v>19</v>
      </c>
      <c r="B19" s="8" t="s">
        <v>1479</v>
      </c>
      <c r="C19" s="8" t="s">
        <v>1500</v>
      </c>
      <c r="D19" s="8" t="str">
        <f t="shared" si="0"/>
        <v>Umschulung, berufsbezogene Rehabilitation</v>
      </c>
      <c r="E19" s="23" t="s">
        <v>1501</v>
      </c>
      <c r="F19" s="2" t="s">
        <v>2099</v>
      </c>
    </row>
    <row r="20" spans="1:6" ht="409.5">
      <c r="A20" s="7">
        <f>ROW()</f>
        <v>20</v>
      </c>
      <c r="B20" s="8" t="s">
        <v>1479</v>
      </c>
      <c r="C20" s="8" t="s">
        <v>1500</v>
      </c>
      <c r="D20" s="8" t="str">
        <f t="shared" si="0"/>
        <v xml:space="preserve">Bevorzugte und reservierte Beschäftigung von Menschen mit Behinderungen  </v>
      </c>
      <c r="E20" s="23" t="s">
        <v>1502</v>
      </c>
      <c r="F20" s="2" t="s">
        <v>2100</v>
      </c>
    </row>
    <row r="21" spans="1:6" ht="171.75">
      <c r="A21" s="7">
        <f>ROW()</f>
        <v>21</v>
      </c>
      <c r="B21" s="8" t="s">
        <v>1479</v>
      </c>
      <c r="C21" s="8" t="s">
        <v>1504</v>
      </c>
      <c r="D21" s="8" t="str">
        <f t="shared" si="0"/>
        <v>Indexbindung/Anpassung</v>
      </c>
      <c r="E21" s="22" t="s">
        <v>1505</v>
      </c>
      <c r="F21" s="2" t="s">
        <v>2101</v>
      </c>
    </row>
    <row r="22" spans="1:6" ht="242.25">
      <c r="A22" s="7">
        <f>ROW()</f>
        <v>22</v>
      </c>
      <c r="B22" s="8" t="s">
        <v>1479</v>
      </c>
      <c r="C22" s="8" t="s">
        <v>1504</v>
      </c>
      <c r="D22" s="8" t="str">
        <f>+E22</f>
        <v>Kumulation mit Erwerbseinkommen</v>
      </c>
      <c r="E22" s="22" t="s">
        <v>1471</v>
      </c>
      <c r="F22" s="2" t="s">
        <v>2102</v>
      </c>
    </row>
    <row r="23" spans="1:6" ht="275.25">
      <c r="A23" s="7">
        <f>ROW()</f>
        <v>23</v>
      </c>
      <c r="B23" s="8" t="s">
        <v>1479</v>
      </c>
      <c r="C23" s="8" t="s">
        <v>1504</v>
      </c>
      <c r="D23" s="8" t="str">
        <f t="shared" si="0"/>
        <v>Kumulation mit anderen Sozialleistungen</v>
      </c>
      <c r="E23" s="22" t="s">
        <v>1460</v>
      </c>
      <c r="F23" s="2" t="s">
        <v>2103</v>
      </c>
    </row>
    <row r="24" spans="1:6" ht="232.5">
      <c r="A24" s="7">
        <f>ROW()</f>
        <v>24</v>
      </c>
      <c r="B24" s="8" t="s">
        <v>1479</v>
      </c>
      <c r="C24" s="8" t="s">
        <v>1465</v>
      </c>
      <c r="D24" s="8" t="str">
        <f t="shared" si="0"/>
        <v>1. Besteuerung von Geldleistungen</v>
      </c>
      <c r="E24" s="23" t="s">
        <v>1509</v>
      </c>
      <c r="F24" s="2" t="s">
        <v>2104</v>
      </c>
    </row>
    <row r="25" spans="1:6" ht="387">
      <c r="A25" s="7">
        <f>ROW()</f>
        <v>25</v>
      </c>
      <c r="B25" s="8" t="s">
        <v>1479</v>
      </c>
      <c r="C25" s="8" t="s">
        <v>1465</v>
      </c>
      <c r="D25" s="8" t="str">
        <f t="shared" si="0"/>
        <v>2. Einkommensgrenze für Besteuerung von Geldleistungen</v>
      </c>
      <c r="E25" s="23" t="s">
        <v>1511</v>
      </c>
      <c r="F25" s="2" t="s">
        <v>2105</v>
      </c>
    </row>
    <row r="26" spans="1:6" ht="288.75">
      <c r="A26" s="7">
        <f>ROW()</f>
        <v>26</v>
      </c>
      <c r="B26" s="8" t="s">
        <v>1479</v>
      </c>
      <c r="C26" s="8" t="s">
        <v>1465</v>
      </c>
      <c r="D26" s="8" t="str">
        <f t="shared" si="0"/>
        <v>3. Auf Leistungen anfallende Sozialabgaben</v>
      </c>
      <c r="E26" s="23" t="s">
        <v>1512</v>
      </c>
      <c r="F26" s="2" t="s">
        <v>2106</v>
      </c>
    </row>
    <row r="27" spans="1:6" ht="138">
      <c r="A27" s="7">
        <f>ROW()</f>
        <v>27</v>
      </c>
      <c r="B27" s="8" t="s">
        <v>1479</v>
      </c>
      <c r="C27" s="8" t="s">
        <v>1514</v>
      </c>
      <c r="D27" s="8" t="str">
        <f t="shared" si="0"/>
        <v>Anwendungsbereich</v>
      </c>
      <c r="E27" s="23" t="s">
        <v>1467</v>
      </c>
      <c r="F27" s="2" t="s">
        <v>2107</v>
      </c>
    </row>
    <row r="28" spans="1:6" ht="110.25">
      <c r="A28" s="7">
        <f>ROW()</f>
        <v>28</v>
      </c>
      <c r="B28" s="8" t="s">
        <v>1479</v>
      </c>
      <c r="C28" s="8" t="s">
        <v>1514</v>
      </c>
      <c r="D28" s="8" t="str">
        <f t="shared" si="0"/>
        <v>Grundprinzipien</v>
      </c>
      <c r="E28" s="23" t="s">
        <v>1468</v>
      </c>
      <c r="F28" s="2" t="s">
        <v>2108</v>
      </c>
    </row>
    <row r="29" spans="1:6" ht="224.25">
      <c r="A29" s="7">
        <f>ROW()</f>
        <v>29</v>
      </c>
      <c r="B29" s="8" t="s">
        <v>1479</v>
      </c>
      <c r="C29" s="8" t="s">
        <v>1514</v>
      </c>
      <c r="D29" s="8" t="str">
        <f t="shared" si="0"/>
        <v>Voraussetzungen für die Deckung</v>
      </c>
      <c r="E29" s="23" t="s">
        <v>1469</v>
      </c>
      <c r="F29" s="2" t="s">
        <v>2109</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787</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36</v>
      </c>
    </row>
    <row r="36" spans="1:6" ht="180">
      <c r="A36" s="7">
        <f>ROW()</f>
        <v>36</v>
      </c>
      <c r="B36" s="8" t="s">
        <v>1519</v>
      </c>
      <c r="C36" s="8" t="str">
        <f>+D36</f>
        <v>Grundprinzipien</v>
      </c>
      <c r="D36" s="8" t="str">
        <f>+E36</f>
        <v>Grundprinzipien</v>
      </c>
      <c r="E36" s="22" t="s">
        <v>1468</v>
      </c>
      <c r="F36" s="2" t="s">
        <v>65</v>
      </c>
    </row>
    <row r="37" spans="1:6" ht="159.75">
      <c r="A37" s="7">
        <f>ROW()</f>
        <v>37</v>
      </c>
      <c r="B37" s="8" t="s">
        <v>1519</v>
      </c>
      <c r="C37" s="8" t="s">
        <v>1467</v>
      </c>
      <c r="D37" s="8" t="str">
        <f>+E37</f>
        <v>1. Versicherte Personen</v>
      </c>
      <c r="E37" s="23" t="s">
        <v>1520</v>
      </c>
      <c r="F37" s="2" t="s">
        <v>89</v>
      </c>
    </row>
    <row r="38" spans="1:6" ht="371.25">
      <c r="A38" s="7">
        <f>ROW()</f>
        <v>38</v>
      </c>
      <c r="B38" s="8" t="s">
        <v>1519</v>
      </c>
      <c r="C38" s="8" t="s">
        <v>1467</v>
      </c>
      <c r="D38" s="8" t="str">
        <f t="shared" ref="D38:D58" si="1">+E38</f>
        <v>2. Ausnahmen von der Deckung  der Pflichtversicherung</v>
      </c>
      <c r="E38" s="23" t="s">
        <v>1521</v>
      </c>
      <c r="F38" s="2" t="s">
        <v>113</v>
      </c>
    </row>
    <row r="39" spans="1:6" ht="225">
      <c r="A39" s="7">
        <f>ROW()</f>
        <v>39</v>
      </c>
      <c r="B39" s="8" t="s">
        <v>1519</v>
      </c>
      <c r="C39" s="8" t="s">
        <v>128</v>
      </c>
      <c r="D39" s="8" t="str">
        <f t="shared" si="1"/>
        <v>1. Rentenalter</v>
      </c>
      <c r="E39" s="23" t="s">
        <v>1523</v>
      </c>
      <c r="F39" s="2" t="s">
        <v>132</v>
      </c>
    </row>
    <row r="40" spans="1:6" ht="409.5">
      <c r="A40" s="7">
        <f>ROW()</f>
        <v>40</v>
      </c>
      <c r="B40" s="8" t="s">
        <v>1519</v>
      </c>
      <c r="C40" s="8" t="s">
        <v>128</v>
      </c>
      <c r="D40" s="8" t="str">
        <f t="shared" si="1"/>
        <v>2. Anwartschaftszeit und sonstige Anspruchsvoraussetzungen für den Bezug einer Altersrente</v>
      </c>
      <c r="E40" s="23" t="s">
        <v>1524</v>
      </c>
      <c r="F40" s="2" t="s">
        <v>155</v>
      </c>
    </row>
    <row r="41" spans="1:6" ht="194.25">
      <c r="A41" s="7">
        <f>ROW()</f>
        <v>41</v>
      </c>
      <c r="B41" s="8" t="s">
        <v>1519</v>
      </c>
      <c r="C41" s="8" t="s">
        <v>128</v>
      </c>
      <c r="D41" s="8" t="str">
        <f t="shared" si="1"/>
        <v>3. Vorruhestand</v>
      </c>
      <c r="E41" s="23" t="s">
        <v>1525</v>
      </c>
      <c r="F41" s="2" t="s">
        <v>176</v>
      </c>
    </row>
    <row r="42" spans="1:6" ht="264">
      <c r="A42" s="7">
        <f>ROW()</f>
        <v>42</v>
      </c>
      <c r="B42" s="8" t="s">
        <v>1519</v>
      </c>
      <c r="C42" s="8" t="s">
        <v>128</v>
      </c>
      <c r="D42" s="8" t="str">
        <f t="shared" si="1"/>
        <v>4. Beschwerliche und gefährliche Arbeit</v>
      </c>
      <c r="E42" s="23" t="s">
        <v>1526</v>
      </c>
      <c r="F42" s="2" t="s">
        <v>194</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237</v>
      </c>
    </row>
    <row r="45" spans="1:6" ht="349.5">
      <c r="A45" s="7">
        <f>ROW()</f>
        <v>45</v>
      </c>
      <c r="B45" s="8" t="s">
        <v>1519</v>
      </c>
      <c r="C45" s="8" t="s">
        <v>1459</v>
      </c>
      <c r="D45" s="8" t="str">
        <f t="shared" si="1"/>
        <v>2. Berechnungsmethode, Rentenformel bzw. Beträge</v>
      </c>
      <c r="E45" s="23" t="s">
        <v>1529</v>
      </c>
      <c r="F45" s="2" t="s">
        <v>259</v>
      </c>
    </row>
    <row r="46" spans="1:6" ht="343.5">
      <c r="A46" s="7">
        <f>ROW()</f>
        <v>46</v>
      </c>
      <c r="B46" s="8" t="s">
        <v>1519</v>
      </c>
      <c r="C46" s="8" t="s">
        <v>1459</v>
      </c>
      <c r="D46" s="8" t="str">
        <f t="shared" si="1"/>
        <v>3. Referenzeinkommen bzw. Berechnungsgrundlage</v>
      </c>
      <c r="E46" s="23" t="s">
        <v>1530</v>
      </c>
      <c r="F46" s="2" t="s">
        <v>275</v>
      </c>
    </row>
    <row r="47" spans="1:6" ht="405">
      <c r="A47" s="7">
        <f>ROW()</f>
        <v>47</v>
      </c>
      <c r="B47" s="8" t="s">
        <v>1519</v>
      </c>
      <c r="C47" s="8" t="s">
        <v>1459</v>
      </c>
      <c r="D47" s="8" t="str">
        <f t="shared" si="1"/>
        <v>4. Anrechenbare oder als Beitragszeiten gewertete Zeiträume</v>
      </c>
      <c r="E47" s="23" t="s">
        <v>1496</v>
      </c>
      <c r="F47" s="2" t="s">
        <v>301</v>
      </c>
    </row>
    <row r="48" spans="1:6" ht="243.75">
      <c r="A48" s="7">
        <f>ROW()</f>
        <v>48</v>
      </c>
      <c r="B48" s="8" t="s">
        <v>1519</v>
      </c>
      <c r="C48" s="8" t="s">
        <v>1459</v>
      </c>
      <c r="D48" s="8" t="str">
        <f t="shared" si="1"/>
        <v>5. Rückkauf von Versicherungszeiten</v>
      </c>
      <c r="E48" s="23" t="s">
        <v>1531</v>
      </c>
      <c r="F48" s="2" t="s">
        <v>313</v>
      </c>
    </row>
    <row r="49" spans="1:6" ht="246">
      <c r="A49" s="7">
        <f>ROW()</f>
        <v>49</v>
      </c>
      <c r="B49" s="8" t="s">
        <v>1519</v>
      </c>
      <c r="C49" s="8" t="s">
        <v>1459</v>
      </c>
      <c r="D49" s="8" t="str">
        <f t="shared" si="1"/>
        <v>6.  Zulagen für Unterhaltsberechtigte</v>
      </c>
      <c r="E49" s="23" t="s">
        <v>1631</v>
      </c>
      <c r="F49" s="2" t="s">
        <v>333</v>
      </c>
    </row>
    <row r="50" spans="1:6" ht="145.5">
      <c r="A50" s="7">
        <f>ROW()</f>
        <v>50</v>
      </c>
      <c r="B50" s="8" t="s">
        <v>1519</v>
      </c>
      <c r="C50" s="8" t="s">
        <v>1459</v>
      </c>
      <c r="D50" s="8" t="str">
        <f t="shared" si="1"/>
        <v>7. Besondere Zulagen</v>
      </c>
      <c r="E50" s="23" t="s">
        <v>1532</v>
      </c>
      <c r="F50" s="2" t="s">
        <v>352</v>
      </c>
    </row>
    <row r="51" spans="1:6" ht="360.75">
      <c r="A51" s="7">
        <f>ROW()</f>
        <v>51</v>
      </c>
      <c r="B51" s="8" t="s">
        <v>1519</v>
      </c>
      <c r="C51" s="8" t="s">
        <v>1459</v>
      </c>
      <c r="D51" s="8" t="str">
        <f t="shared" si="1"/>
        <v>8. Mindestrente und bedürftigkeitsabhängige Leistung</v>
      </c>
      <c r="E51" s="23" t="s">
        <v>1533</v>
      </c>
      <c r="F51" s="2" t="s">
        <v>374</v>
      </c>
    </row>
    <row r="52" spans="1:6" ht="101.25">
      <c r="A52" s="7">
        <f>ROW()</f>
        <v>52</v>
      </c>
      <c r="B52" s="8" t="s">
        <v>1519</v>
      </c>
      <c r="C52" s="8" t="s">
        <v>1459</v>
      </c>
      <c r="D52" s="8" t="str">
        <f t="shared" si="1"/>
        <v>9. Höchstrente</v>
      </c>
      <c r="E52" s="23" t="s">
        <v>1534</v>
      </c>
      <c r="F52" s="2" t="s">
        <v>398</v>
      </c>
    </row>
    <row r="53" spans="1:6" ht="119.25">
      <c r="A53" s="7">
        <f>ROW()</f>
        <v>53</v>
      </c>
      <c r="B53" s="8" t="s">
        <v>1519</v>
      </c>
      <c r="C53" s="8" t="s">
        <v>1459</v>
      </c>
      <c r="D53" s="8" t="str">
        <f t="shared" si="1"/>
        <v>10. Vorruhestand</v>
      </c>
      <c r="E53" s="23" t="s">
        <v>1535</v>
      </c>
      <c r="F53" s="2" t="s">
        <v>425</v>
      </c>
    </row>
    <row r="54" spans="1:6" ht="272.25">
      <c r="A54" s="7">
        <f>ROW()</f>
        <v>54</v>
      </c>
      <c r="B54" s="8" t="s">
        <v>1519</v>
      </c>
      <c r="C54" s="8" t="s">
        <v>1459</v>
      </c>
      <c r="D54" s="8" t="str">
        <f t="shared" si="1"/>
        <v>11. Beschwerliche und gefährliche Arbeit</v>
      </c>
      <c r="E54" s="23" t="s">
        <v>1536</v>
      </c>
      <c r="F54" s="2" t="s">
        <v>452</v>
      </c>
    </row>
    <row r="55" spans="1:6" ht="90">
      <c r="A55" s="7">
        <f>ROW()</f>
        <v>55</v>
      </c>
      <c r="B55" s="8" t="s">
        <v>1519</v>
      </c>
      <c r="C55" s="8" t="s">
        <v>1459</v>
      </c>
      <c r="D55" s="8" t="str">
        <f t="shared" si="1"/>
        <v>12. Teilrente</v>
      </c>
      <c r="E55" s="23" t="s">
        <v>1537</v>
      </c>
      <c r="F55" s="2" t="s">
        <v>476</v>
      </c>
    </row>
    <row r="56" spans="1:6" ht="171.75">
      <c r="A56" s="7">
        <f>ROW()</f>
        <v>56</v>
      </c>
      <c r="B56" s="8" t="s">
        <v>1519</v>
      </c>
      <c r="C56" s="8" t="s">
        <v>1459</v>
      </c>
      <c r="D56" s="8" t="str">
        <f t="shared" si="1"/>
        <v>13. Aufgeschobene Rente</v>
      </c>
      <c r="E56" s="23" t="s">
        <v>1632</v>
      </c>
      <c r="F56" s="2" t="s">
        <v>503</v>
      </c>
    </row>
    <row r="57" spans="1:6" ht="179.25">
      <c r="A57" s="7">
        <f>ROW()</f>
        <v>57</v>
      </c>
      <c r="B57" s="8" t="s">
        <v>1519</v>
      </c>
      <c r="C57" s="8" t="s">
        <v>1538</v>
      </c>
      <c r="D57" s="8" t="s">
        <v>1538</v>
      </c>
      <c r="E57" s="22" t="s">
        <v>1538</v>
      </c>
      <c r="F57" s="2" t="s">
        <v>532</v>
      </c>
    </row>
    <row r="58" spans="1:6" ht="246">
      <c r="A58" s="7">
        <f>ROW()</f>
        <v>58</v>
      </c>
      <c r="B58" s="8" t="s">
        <v>1519</v>
      </c>
      <c r="C58" s="8" t="s">
        <v>1538</v>
      </c>
      <c r="D58" s="8" t="str">
        <f t="shared" si="1"/>
        <v xml:space="preserve">Kumulation mit Erwerbseinkommen </v>
      </c>
      <c r="E58" s="22" t="s">
        <v>1461</v>
      </c>
      <c r="F58" s="2" t="s">
        <v>559</v>
      </c>
    </row>
    <row r="59" spans="1:6" ht="286.5">
      <c r="A59" s="7">
        <f>ROW()</f>
        <v>59</v>
      </c>
      <c r="B59" s="8" t="s">
        <v>1519</v>
      </c>
      <c r="C59" s="8" t="s">
        <v>1538</v>
      </c>
      <c r="D59" s="8" t="s">
        <v>1539</v>
      </c>
      <c r="E59" s="22" t="s">
        <v>1460</v>
      </c>
      <c r="F59" s="2" t="s">
        <v>588</v>
      </c>
    </row>
    <row r="60" spans="1:6" ht="225.75">
      <c r="A60" s="7">
        <f>ROW()</f>
        <v>60</v>
      </c>
      <c r="B60" s="8" t="s">
        <v>1519</v>
      </c>
      <c r="C60" s="8" t="s">
        <v>612</v>
      </c>
      <c r="D60" s="8" t="str">
        <f t="shared" ref="D60:D70" si="2">+E60</f>
        <v>1. Besteuerung von Renten</v>
      </c>
      <c r="E60" s="23" t="s">
        <v>1540</v>
      </c>
      <c r="F60" s="2" t="s">
        <v>617</v>
      </c>
    </row>
    <row r="61" spans="1:6" ht="335.25">
      <c r="A61" s="7">
        <f>ROW()</f>
        <v>61</v>
      </c>
      <c r="B61" s="8" t="s">
        <v>1519</v>
      </c>
      <c r="C61" s="8" t="s">
        <v>612</v>
      </c>
      <c r="D61" s="8" t="str">
        <f t="shared" si="2"/>
        <v>2. Einkommensgrenze für Besteuerung von Renten</v>
      </c>
      <c r="E61" s="23" t="s">
        <v>1541</v>
      </c>
      <c r="F61" s="2" t="s">
        <v>643</v>
      </c>
    </row>
    <row r="62" spans="1:6" ht="264">
      <c r="A62" s="7">
        <f>ROW()</f>
        <v>62</v>
      </c>
      <c r="B62" s="8" t="s">
        <v>1519</v>
      </c>
      <c r="C62" s="8" t="s">
        <v>612</v>
      </c>
      <c r="D62" s="8" t="str">
        <f t="shared" si="2"/>
        <v>3. Auf Renten anfallende Sozialabgaben</v>
      </c>
      <c r="E62" s="23" t="s">
        <v>1542</v>
      </c>
      <c r="F62" s="2" t="s">
        <v>670</v>
      </c>
    </row>
    <row r="63" spans="1:6" ht="138">
      <c r="A63" s="7">
        <f>ROW()</f>
        <v>63</v>
      </c>
      <c r="B63" s="8" t="s">
        <v>1543</v>
      </c>
      <c r="C63" s="8" t="str">
        <f>+E63</f>
        <v>Anwendungsbereich</v>
      </c>
      <c r="D63" s="8" t="str">
        <f t="shared" si="2"/>
        <v>Anwendungsbereich</v>
      </c>
      <c r="E63" s="23" t="s">
        <v>1467</v>
      </c>
      <c r="F63" s="2" t="s">
        <v>689</v>
      </c>
    </row>
    <row r="64" spans="1:6" ht="132.75">
      <c r="A64" s="7">
        <f>ROW()</f>
        <v>64</v>
      </c>
      <c r="B64" s="8" t="s">
        <v>1543</v>
      </c>
      <c r="C64" s="8" t="s">
        <v>1514</v>
      </c>
      <c r="D64" s="8" t="str">
        <f t="shared" si="2"/>
        <v>Grundprinzipien</v>
      </c>
      <c r="E64" s="23" t="s">
        <v>1468</v>
      </c>
      <c r="F64" s="2" t="s">
        <v>715</v>
      </c>
    </row>
    <row r="65" spans="1:6" ht="224.25">
      <c r="A65" s="7">
        <f>ROW()</f>
        <v>65</v>
      </c>
      <c r="B65" s="8" t="s">
        <v>1543</v>
      </c>
      <c r="C65" s="8" t="s">
        <v>1514</v>
      </c>
      <c r="D65" s="8" t="str">
        <f t="shared" si="2"/>
        <v>Voraussetzungen für die Deckung</v>
      </c>
      <c r="E65" s="23" t="s">
        <v>1469</v>
      </c>
      <c r="F65" s="2" t="s">
        <v>742</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787</v>
      </c>
    </row>
    <row r="69" spans="1:6" ht="216">
      <c r="A69" s="7">
        <f>ROW()</f>
        <v>69</v>
      </c>
      <c r="B69" s="8" t="s">
        <v>1543</v>
      </c>
      <c r="C69" s="8" t="s">
        <v>1459</v>
      </c>
      <c r="D69" s="9" t="str">
        <f t="shared" si="2"/>
        <v>Besteuerung von Geldleistungen</v>
      </c>
      <c r="E69" s="23" t="s">
        <v>1456</v>
      </c>
      <c r="F69" s="2" t="s">
        <v>787</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838</v>
      </c>
    </row>
    <row r="72" spans="1:6" ht="150">
      <c r="A72" s="7">
        <f>ROW()</f>
        <v>72</v>
      </c>
      <c r="B72" s="8" t="s">
        <v>1466</v>
      </c>
      <c r="C72" s="8" t="str">
        <f t="shared" si="3"/>
        <v>Grundprinzipien</v>
      </c>
      <c r="D72" s="9" t="str">
        <f t="shared" si="3"/>
        <v>Grundprinzipien</v>
      </c>
      <c r="E72" s="22" t="s">
        <v>1468</v>
      </c>
      <c r="F72" s="2" t="s">
        <v>864</v>
      </c>
    </row>
    <row r="73" spans="1:6" ht="315">
      <c r="A73" s="7">
        <f>ROW()</f>
        <v>73</v>
      </c>
      <c r="B73" s="8" t="s">
        <v>1466</v>
      </c>
      <c r="C73" s="9" t="str">
        <f t="shared" si="3"/>
        <v>Anwendungsbereich (in Bezug auf Verstorbene)</v>
      </c>
      <c r="D73" s="9" t="str">
        <f t="shared" si="3"/>
        <v>Anwendungsbereich (in Bezug auf Verstorbene)</v>
      </c>
      <c r="E73" s="22" t="s">
        <v>1473</v>
      </c>
      <c r="F73" s="2" t="s">
        <v>890</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911</v>
      </c>
    </row>
    <row r="75" spans="1:6" ht="150">
      <c r="A75" s="7">
        <f>ROW()</f>
        <v>75</v>
      </c>
      <c r="B75" s="8" t="s">
        <v>1466</v>
      </c>
      <c r="C75" s="9" t="str">
        <f t="shared" si="3"/>
        <v>Berechtigte Personen</v>
      </c>
      <c r="D75" s="9" t="str">
        <f t="shared" si="3"/>
        <v>Berechtigte Personen</v>
      </c>
      <c r="E75" s="22" t="s">
        <v>1477</v>
      </c>
      <c r="F75" s="2" t="s">
        <v>924</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947</v>
      </c>
    </row>
    <row r="78" spans="1:6" ht="270">
      <c r="A78" s="7">
        <f>ROW()</f>
        <v>78</v>
      </c>
      <c r="B78" s="8" t="s">
        <v>1466</v>
      </c>
      <c r="C78" s="8" t="s">
        <v>1544</v>
      </c>
      <c r="D78" s="8" t="str">
        <f t="shared" si="4"/>
        <v>2. Hinterbliebener Ehegatte</v>
      </c>
      <c r="E78" s="23" t="s">
        <v>1546</v>
      </c>
      <c r="F78" s="2" t="s">
        <v>969</v>
      </c>
    </row>
    <row r="79" spans="1:6" ht="181.5">
      <c r="A79" s="7">
        <f>ROW()</f>
        <v>79</v>
      </c>
      <c r="B79" s="8" t="s">
        <v>1466</v>
      </c>
      <c r="C79" s="8" t="s">
        <v>1544</v>
      </c>
      <c r="D79" s="8" t="str">
        <f t="shared" si="4"/>
        <v>3. Geschiedener Ehegatte</v>
      </c>
      <c r="E79" s="23" t="s">
        <v>1547</v>
      </c>
      <c r="F79" s="2" t="s">
        <v>986</v>
      </c>
    </row>
    <row r="80" spans="1:6" ht="330">
      <c r="A80" s="7">
        <f>ROW()</f>
        <v>80</v>
      </c>
      <c r="B80" s="8" t="s">
        <v>1466</v>
      </c>
      <c r="C80" s="8" t="s">
        <v>1544</v>
      </c>
      <c r="D80" s="8" t="str">
        <f t="shared" si="4"/>
        <v>4. Hinterbliebene Lebenspartner</v>
      </c>
      <c r="E80" s="23" t="s">
        <v>1548</v>
      </c>
      <c r="F80" s="2" t="s">
        <v>1008</v>
      </c>
    </row>
    <row r="81" spans="1:6" ht="181.5">
      <c r="A81" s="7">
        <f>ROW()</f>
        <v>81</v>
      </c>
      <c r="B81" s="8" t="s">
        <v>1466</v>
      </c>
      <c r="C81" s="8" t="s">
        <v>1544</v>
      </c>
      <c r="D81" s="8" t="str">
        <f t="shared" si="4"/>
        <v>5. Kinder</v>
      </c>
      <c r="E81" s="23" t="s">
        <v>1549</v>
      </c>
      <c r="F81" s="2" t="s">
        <v>1031</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3" t="s">
        <v>2471</v>
      </c>
    </row>
    <row r="84" spans="1:6" ht="280.5">
      <c r="A84" s="7">
        <f>ROW()</f>
        <v>84</v>
      </c>
      <c r="B84" s="8" t="s">
        <v>1466</v>
      </c>
      <c r="C84" s="8" t="s">
        <v>1459</v>
      </c>
      <c r="D84" s="9" t="str">
        <f t="shared" si="4"/>
        <v>2. Hinterbliebener Ehegatte: Wiederheirat</v>
      </c>
      <c r="E84" s="23" t="s">
        <v>1552</v>
      </c>
      <c r="F84" s="2" t="s">
        <v>1088</v>
      </c>
    </row>
    <row r="85" spans="1:6" ht="255">
      <c r="A85" s="7">
        <f>ROW()</f>
        <v>85</v>
      </c>
      <c r="B85" s="8" t="s">
        <v>1466</v>
      </c>
      <c r="C85" s="8" t="s">
        <v>1459</v>
      </c>
      <c r="D85" s="9" t="str">
        <f t="shared" si="4"/>
        <v>3. Kinder</v>
      </c>
      <c r="E85" s="23" t="s">
        <v>1553</v>
      </c>
      <c r="F85" s="2" t="s">
        <v>1115</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1147</v>
      </c>
    </row>
    <row r="88" spans="1:6" ht="151.5">
      <c r="A88" s="7">
        <f>ROW()</f>
        <v>88</v>
      </c>
      <c r="B88" s="8" t="s">
        <v>1466</v>
      </c>
      <c r="C88" s="8" t="s">
        <v>1459</v>
      </c>
      <c r="D88" s="9" t="str">
        <f t="shared" si="4"/>
        <v>6. Sonstige Leistungen</v>
      </c>
      <c r="E88" s="23" t="s">
        <v>1556</v>
      </c>
      <c r="F88" s="2" t="s">
        <v>1172</v>
      </c>
    </row>
    <row r="89" spans="1:6" ht="126.75">
      <c r="A89" s="7">
        <f>ROW()</f>
        <v>89</v>
      </c>
      <c r="B89" s="8" t="s">
        <v>1466</v>
      </c>
      <c r="C89" s="8" t="s">
        <v>1459</v>
      </c>
      <c r="D89" s="9" t="str">
        <f>+E89</f>
        <v>7. Mindestleistung</v>
      </c>
      <c r="E89" s="23" t="s">
        <v>1557</v>
      </c>
      <c r="F89" s="2" t="s">
        <v>372</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1238</v>
      </c>
    </row>
    <row r="92" spans="1:6" ht="242.25">
      <c r="A92" s="7">
        <f>ROW()</f>
        <v>92</v>
      </c>
      <c r="B92" s="8" t="s">
        <v>1466</v>
      </c>
      <c r="C92" s="8" t="s">
        <v>1538</v>
      </c>
      <c r="D92" s="9" t="str">
        <f t="shared" ref="D92:D105" si="5">+E92</f>
        <v>Kumulation mit Erwerbseinkommen</v>
      </c>
      <c r="E92" s="22" t="s">
        <v>1471</v>
      </c>
      <c r="F92" s="2" t="s">
        <v>1265</v>
      </c>
    </row>
    <row r="93" spans="1:6" ht="275.25">
      <c r="A93" s="7">
        <f>ROW()</f>
        <v>93</v>
      </c>
      <c r="B93" s="8" t="s">
        <v>1466</v>
      </c>
      <c r="C93" s="8" t="s">
        <v>1538</v>
      </c>
      <c r="D93" s="9" t="str">
        <f t="shared" si="5"/>
        <v>Kumulation mit anderen Sozialleistungen</v>
      </c>
      <c r="E93" s="22" t="s">
        <v>1460</v>
      </c>
      <c r="F93" s="2" t="s">
        <v>1292</v>
      </c>
    </row>
    <row r="94" spans="1:6" ht="232.5">
      <c r="A94" s="7">
        <f>ROW()</f>
        <v>94</v>
      </c>
      <c r="B94" s="8" t="s">
        <v>1466</v>
      </c>
      <c r="C94" s="9" t="s">
        <v>1465</v>
      </c>
      <c r="D94" s="9" t="str">
        <f t="shared" si="5"/>
        <v>1. Besteuerung von Geldleistungen</v>
      </c>
      <c r="E94" s="23" t="s">
        <v>1509</v>
      </c>
      <c r="F94" s="2" t="s">
        <v>1321</v>
      </c>
    </row>
    <row r="95" spans="1:6" ht="387">
      <c r="A95" s="7">
        <f>ROW()</f>
        <v>95</v>
      </c>
      <c r="B95" s="8" t="s">
        <v>1466</v>
      </c>
      <c r="C95" s="9" t="s">
        <v>1465</v>
      </c>
      <c r="D95" s="9" t="str">
        <f t="shared" si="5"/>
        <v>2. Einkommensgrenze für Besteuerung von Geldleistungen</v>
      </c>
      <c r="E95" s="23" t="s">
        <v>1511</v>
      </c>
      <c r="F95" s="2" t="s">
        <v>1339</v>
      </c>
    </row>
    <row r="96" spans="1:6" ht="288.75">
      <c r="A96" s="7">
        <f>ROW()</f>
        <v>96</v>
      </c>
      <c r="B96" s="8" t="s">
        <v>1466</v>
      </c>
      <c r="C96" s="9" t="s">
        <v>1465</v>
      </c>
      <c r="D96" s="9" t="str">
        <f t="shared" si="5"/>
        <v>3. Auf Leistungen anfallende Sozialabgaben</v>
      </c>
      <c r="E96" s="23" t="s">
        <v>1512</v>
      </c>
      <c r="F96" s="2" t="s">
        <v>1359</v>
      </c>
    </row>
    <row r="97" spans="1:6" ht="138">
      <c r="A97" s="7">
        <f>ROW()</f>
        <v>97</v>
      </c>
      <c r="B97" s="8" t="s">
        <v>1466</v>
      </c>
      <c r="C97" s="9" t="s">
        <v>1514</v>
      </c>
      <c r="D97" s="9" t="str">
        <f t="shared" si="5"/>
        <v>Anwendungsbereich</v>
      </c>
      <c r="E97" s="23" t="s">
        <v>1467</v>
      </c>
      <c r="F97" s="2" t="s">
        <v>1376</v>
      </c>
    </row>
    <row r="98" spans="1:6" ht="110.25">
      <c r="A98" s="7">
        <f>ROW()</f>
        <v>98</v>
      </c>
      <c r="B98" s="8" t="s">
        <v>1466</v>
      </c>
      <c r="C98" s="9" t="s">
        <v>1514</v>
      </c>
      <c r="D98" s="9" t="str">
        <f t="shared" si="5"/>
        <v>Grundprinzipien</v>
      </c>
      <c r="E98" s="23" t="s">
        <v>1468</v>
      </c>
      <c r="F98" s="2" t="s">
        <v>1392</v>
      </c>
    </row>
    <row r="99" spans="1:6" ht="224.25">
      <c r="A99" s="7">
        <f>ROW()</f>
        <v>99</v>
      </c>
      <c r="B99" s="8" t="s">
        <v>1466</v>
      </c>
      <c r="C99" s="9" t="s">
        <v>1514</v>
      </c>
      <c r="D99" s="9" t="str">
        <f t="shared" si="5"/>
        <v>Voraussetzungen für die Deckung</v>
      </c>
      <c r="E99" s="23" t="s">
        <v>1469</v>
      </c>
      <c r="F99" s="2" t="s">
        <v>1406</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787</v>
      </c>
    </row>
    <row r="105" spans="1:6" ht="272.25">
      <c r="A105" s="7">
        <f>ROW()</f>
        <v>105</v>
      </c>
      <c r="B105" s="8" t="s">
        <v>1466</v>
      </c>
      <c r="C105" s="9" t="s">
        <v>1514</v>
      </c>
      <c r="D105" s="9" t="str">
        <f t="shared" si="5"/>
        <v>Auf Leistungen anfallende Sozialabgaben</v>
      </c>
      <c r="E105" s="23" t="s">
        <v>1457</v>
      </c>
      <c r="F105" s="2" t="s">
        <v>787</v>
      </c>
    </row>
    <row r="106" spans="1:6"/>
    <row r="107" spans="1:6"/>
    <row r="108" spans="1:6"/>
    <row r="109" spans="1:6"/>
    <row r="110" spans="1:6"/>
    <row r="111" spans="1:6"/>
    <row r="112" spans="1:6"/>
    <row r="113"/>
  </sheetData>
  <sheetProtection algorithmName="SHA-512" hashValue="+2Wtl6q881ftBnPYfTPJ2QC7CDu2+9yJdhD+Z2TocYIGu6YPDSw+SJsHn55Fr+wQRsopcs9Kf+B10doWaA5XIA==" saltValue="1arvQLmQDYx/z9u5U/7xfw==" spinCount="100000" sheet="1" objects="1" scenarios="1" formatColumns="0" autoFilter="0"/>
  <autoFilter ref="A2:F105" xr:uid="{46AD0CD6-7636-4BFE-9B82-4ED3ED03A251}"/>
  <pageMargins left="0.7" right="0.7" top="0.78740157499999996" bottom="0.78740157499999996"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E879-D95D-404B-AD78-4AD087D72F5E}">
  <sheetPr codeName="Tabelle8" filterMode="1"/>
  <dimension ref="A1:F113"/>
  <sheetViews>
    <sheetView workbookViewId="0">
      <pane xSplit="5" ySplit="2" topLeftCell="F35"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6</v>
      </c>
    </row>
    <row r="2" spans="1:6" ht="39.75" customHeight="1">
      <c r="A2" s="128"/>
      <c r="B2" s="129"/>
      <c r="C2" s="126"/>
      <c r="D2" s="126"/>
      <c r="E2" s="124"/>
      <c r="F2" s="162" t="str" cm="1">
        <f t="array" ref="F2">_xlfn.TEXTJOIN("; ", TRUE, IF(Entscheidungen!A2:A100=F1, Entscheidungen!B2:B100, ""))</f>
        <v>OLG Zweibrücken, 22.05.2015 – 2 UF 19/15; OLG Zweibrücken, 22.05.2015 – 2 UF 19/15</v>
      </c>
    </row>
    <row r="3" spans="1:6" ht="177" hidden="1">
      <c r="A3" s="7">
        <f>ROW()</f>
        <v>3</v>
      </c>
      <c r="B3" s="8" t="s">
        <v>1479</v>
      </c>
      <c r="C3" s="8"/>
      <c r="D3" s="8" t="str">
        <f>+E3</f>
        <v>Geltende Rechtsgrundlage</v>
      </c>
      <c r="E3" s="21" t="s">
        <v>1472</v>
      </c>
      <c r="F3" s="2" t="s">
        <v>2060</v>
      </c>
    </row>
    <row r="4" spans="1:6" ht="110.25" hidden="1">
      <c r="A4" s="7">
        <f>ROW()</f>
        <v>4</v>
      </c>
      <c r="B4" s="8" t="s">
        <v>1479</v>
      </c>
      <c r="C4" s="1"/>
      <c r="D4" s="8" t="str">
        <f t="shared" ref="D4:D34" si="0">+E4</f>
        <v>Grundprinzipien</v>
      </c>
      <c r="E4" s="22" t="s">
        <v>1468</v>
      </c>
      <c r="F4" s="2" t="s">
        <v>2061</v>
      </c>
    </row>
    <row r="5" spans="1:6" ht="188.25" hidden="1">
      <c r="A5" s="7">
        <f>ROW()</f>
        <v>5</v>
      </c>
      <c r="B5" s="8" t="s">
        <v>1479</v>
      </c>
      <c r="C5" s="1"/>
      <c r="D5" s="8" t="str">
        <f t="shared" si="0"/>
        <v>Gedecktes Risiko: Definition</v>
      </c>
      <c r="E5" s="22" t="s">
        <v>1630</v>
      </c>
      <c r="F5" s="2" t="s">
        <v>2062</v>
      </c>
    </row>
    <row r="6" spans="1:6" ht="144" hidden="1">
      <c r="A6" s="7">
        <f>ROW()</f>
        <v>6</v>
      </c>
      <c r="B6" s="8" t="s">
        <v>1479</v>
      </c>
      <c r="C6" s="8" t="s">
        <v>1453</v>
      </c>
      <c r="D6" s="8" t="str">
        <f t="shared" si="0"/>
        <v>Versicherte Personen</v>
      </c>
      <c r="E6" s="23" t="s">
        <v>1453</v>
      </c>
      <c r="F6" s="2" t="s">
        <v>2063</v>
      </c>
    </row>
    <row r="7" spans="1:6" ht="273" hidden="1">
      <c r="A7" s="7">
        <f>ROW()</f>
        <v>7</v>
      </c>
      <c r="B7" s="8" t="s">
        <v>1479</v>
      </c>
      <c r="C7" s="8" t="str">
        <f>+E6</f>
        <v>Versicherte Personen</v>
      </c>
      <c r="D7" s="8" t="str">
        <f t="shared" si="0"/>
        <v>Ausnahmen von der Versicherungspflicht</v>
      </c>
      <c r="E7" s="23" t="s">
        <v>1458</v>
      </c>
      <c r="F7" s="2" t="s">
        <v>110</v>
      </c>
    </row>
    <row r="8" spans="1:6" ht="194.25" hidden="1">
      <c r="A8" s="7">
        <f>ROW()</f>
        <v>8</v>
      </c>
      <c r="B8" s="8" t="s">
        <v>1479</v>
      </c>
      <c r="C8" s="9" t="s">
        <v>128</v>
      </c>
      <c r="D8" s="8" t="str">
        <f t="shared" si="0"/>
        <v>1. Anwartschaftszeit</v>
      </c>
      <c r="E8" s="23" t="s">
        <v>1483</v>
      </c>
      <c r="F8" s="2" t="s">
        <v>2064</v>
      </c>
    </row>
    <row r="9" spans="1:6" ht="409.5" hidden="1">
      <c r="A9" s="7">
        <f>ROW()</f>
        <v>9</v>
      </c>
      <c r="B9" s="8" t="s">
        <v>1479</v>
      </c>
      <c r="C9" s="9" t="s">
        <v>128</v>
      </c>
      <c r="D9" s="8" t="str">
        <f t="shared" si="0"/>
        <v xml:space="preserve">2. Begutachtungskriterien und Kategorien der Arbeitsunfähigkeit/Arbeitsfähigkeit  </v>
      </c>
      <c r="E9" s="23" t="s">
        <v>1484</v>
      </c>
      <c r="F9" s="2" t="s">
        <v>3313</v>
      </c>
    </row>
    <row r="10" spans="1:6" ht="222" hidden="1">
      <c r="A10" s="7">
        <f>ROW()</f>
        <v>10</v>
      </c>
      <c r="B10" s="8" t="s">
        <v>1479</v>
      </c>
      <c r="C10" s="9" t="s">
        <v>128</v>
      </c>
      <c r="D10" s="8" t="str">
        <f t="shared" si="0"/>
        <v>3. Zeitraum der Leistungszahlung</v>
      </c>
      <c r="E10" s="23" t="s">
        <v>1486</v>
      </c>
      <c r="F10" s="2" t="s">
        <v>2065</v>
      </c>
    </row>
    <row r="11" spans="1:6" ht="96" hidden="1">
      <c r="A11" s="7">
        <f>ROW()</f>
        <v>11</v>
      </c>
      <c r="B11" s="8" t="s">
        <v>1479</v>
      </c>
      <c r="C11" s="9" t="s">
        <v>1488</v>
      </c>
      <c r="D11" s="8" t="str">
        <f t="shared" si="0"/>
        <v>1. Gutachter</v>
      </c>
      <c r="E11" s="23" t="s">
        <v>1489</v>
      </c>
      <c r="F11" s="2" t="s">
        <v>2066</v>
      </c>
    </row>
    <row r="12" spans="1:6" ht="111.75" hidden="1">
      <c r="A12" s="7">
        <f>ROW()</f>
        <v>12</v>
      </c>
      <c r="B12" s="8" t="s">
        <v>1479</v>
      </c>
      <c r="C12" s="9" t="s">
        <v>1488</v>
      </c>
      <c r="D12" s="8" t="str">
        <f t="shared" si="0"/>
        <v xml:space="preserve">2. Überprüfung  </v>
      </c>
      <c r="E12" s="23" t="s">
        <v>1490</v>
      </c>
      <c r="F12" s="2" t="s">
        <v>2067</v>
      </c>
    </row>
    <row r="13" spans="1:6" ht="291.75" hidden="1">
      <c r="A13" s="7">
        <f>ROW()</f>
        <v>13</v>
      </c>
      <c r="B13" s="8" t="s">
        <v>1479</v>
      </c>
      <c r="C13" s="8" t="s">
        <v>1459</v>
      </c>
      <c r="D13" s="8" t="str">
        <f t="shared" si="0"/>
        <v>1. Berechnungsmethode bzw. Rentenformel</v>
      </c>
      <c r="E13" s="23" t="s">
        <v>1492</v>
      </c>
      <c r="F13" s="2" t="s">
        <v>2068</v>
      </c>
    </row>
    <row r="14" spans="1:6" ht="343.5" hidden="1">
      <c r="A14" s="7">
        <f>ROW()</f>
        <v>14</v>
      </c>
      <c r="B14" s="8" t="s">
        <v>1479</v>
      </c>
      <c r="C14" s="8" t="s">
        <v>1459</v>
      </c>
      <c r="D14" s="8" t="str">
        <f t="shared" si="0"/>
        <v>2. Referenzeinkommen bzw. Berechnungsgrundlage</v>
      </c>
      <c r="E14" s="23" t="s">
        <v>1493</v>
      </c>
      <c r="F14" s="2" t="s">
        <v>2069</v>
      </c>
    </row>
    <row r="15" spans="1:6" ht="226.5" hidden="1">
      <c r="A15" s="7">
        <f>ROW()</f>
        <v>15</v>
      </c>
      <c r="B15" s="8" t="s">
        <v>1479</v>
      </c>
      <c r="C15" s="8" t="s">
        <v>1459</v>
      </c>
      <c r="D15" s="8" t="str">
        <f t="shared" si="0"/>
        <v>3. Mindest- und Höchstleistungen</v>
      </c>
      <c r="E15" s="23" t="s">
        <v>1495</v>
      </c>
      <c r="F15" s="2" t="s">
        <v>3314</v>
      </c>
    </row>
    <row r="16" spans="1:6" ht="405" hidden="1">
      <c r="A16" s="7">
        <f>ROW()</f>
        <v>16</v>
      </c>
      <c r="B16" s="8" t="s">
        <v>1479</v>
      </c>
      <c r="C16" s="8" t="s">
        <v>1459</v>
      </c>
      <c r="D16" s="8" t="str">
        <f t="shared" si="0"/>
        <v>4. Anrechenbare oder als Beitragszeiten gewertete Zeiträume</v>
      </c>
      <c r="E16" s="23" t="s">
        <v>1496</v>
      </c>
      <c r="F16" s="2" t="s">
        <v>2070</v>
      </c>
    </row>
    <row r="17" spans="1:6" ht="250.5" hidden="1">
      <c r="A17" s="7">
        <f>ROW()</f>
        <v>17</v>
      </c>
      <c r="B17" s="8" t="s">
        <v>1479</v>
      </c>
      <c r="C17" s="8" t="s">
        <v>1459</v>
      </c>
      <c r="D17" s="8" t="str">
        <f t="shared" si="0"/>
        <v xml:space="preserve">5. Zulagen für Unterhaltsberechtigte  </v>
      </c>
      <c r="E17" s="23" t="s">
        <v>1498</v>
      </c>
      <c r="F17" s="2" t="s">
        <v>1442</v>
      </c>
    </row>
    <row r="18" spans="1:6" ht="135" hidden="1">
      <c r="A18" s="7">
        <f>ROW()</f>
        <v>18</v>
      </c>
      <c r="B18" s="8" t="s">
        <v>1479</v>
      </c>
      <c r="C18" s="8" t="str">
        <f>+E18</f>
        <v>Sonstige Leistungen</v>
      </c>
      <c r="D18" s="8" t="str">
        <f>+E18</f>
        <v>Sonstige Leistungen</v>
      </c>
      <c r="E18" s="22" t="s">
        <v>1455</v>
      </c>
      <c r="F18" s="2" t="s">
        <v>2071</v>
      </c>
    </row>
    <row r="19" spans="1:6" ht="300.75" hidden="1">
      <c r="A19" s="7">
        <f>ROW()</f>
        <v>19</v>
      </c>
      <c r="B19" s="8" t="s">
        <v>1479</v>
      </c>
      <c r="C19" s="8" t="s">
        <v>1500</v>
      </c>
      <c r="D19" s="8" t="str">
        <f t="shared" si="0"/>
        <v>Umschulung, berufsbezogene Rehabilitation</v>
      </c>
      <c r="E19" s="23" t="s">
        <v>1501</v>
      </c>
      <c r="F19" s="2" t="s">
        <v>2072</v>
      </c>
    </row>
    <row r="20" spans="1:6" ht="409.5" hidden="1">
      <c r="A20" s="7">
        <f>ROW()</f>
        <v>20</v>
      </c>
      <c r="B20" s="8" t="s">
        <v>1479</v>
      </c>
      <c r="C20" s="8" t="s">
        <v>1500</v>
      </c>
      <c r="D20" s="8" t="str">
        <f t="shared" si="0"/>
        <v xml:space="preserve">Bevorzugte und reservierte Beschäftigung von Menschen mit Behinderungen  </v>
      </c>
      <c r="E20" s="23" t="s">
        <v>1502</v>
      </c>
      <c r="F20" s="2" t="s">
        <v>2073</v>
      </c>
    </row>
    <row r="21" spans="1:6" ht="171.75" hidden="1">
      <c r="A21" s="7">
        <f>ROW()</f>
        <v>21</v>
      </c>
      <c r="B21" s="8" t="s">
        <v>1479</v>
      </c>
      <c r="C21" s="8" t="s">
        <v>1504</v>
      </c>
      <c r="D21" s="8" t="str">
        <f t="shared" si="0"/>
        <v>Indexbindung/Anpassung</v>
      </c>
      <c r="E21" s="22" t="s">
        <v>1505</v>
      </c>
      <c r="F21" s="2" t="s">
        <v>2074</v>
      </c>
    </row>
    <row r="22" spans="1:6" ht="242.25" hidden="1">
      <c r="A22" s="7">
        <f>ROW()</f>
        <v>22</v>
      </c>
      <c r="B22" s="8" t="s">
        <v>1479</v>
      </c>
      <c r="C22" s="8" t="s">
        <v>1504</v>
      </c>
      <c r="D22" s="8" t="str">
        <f>+E22</f>
        <v>Kumulation mit Erwerbseinkommen</v>
      </c>
      <c r="E22" s="22" t="s">
        <v>1471</v>
      </c>
      <c r="F22" s="2" t="s">
        <v>2075</v>
      </c>
    </row>
    <row r="23" spans="1:6" ht="275.25" hidden="1">
      <c r="A23" s="7">
        <f>ROW()</f>
        <v>23</v>
      </c>
      <c r="B23" s="8" t="s">
        <v>1479</v>
      </c>
      <c r="C23" s="8" t="s">
        <v>1504</v>
      </c>
      <c r="D23" s="8" t="str">
        <f t="shared" si="0"/>
        <v>Kumulation mit anderen Sozialleistungen</v>
      </c>
      <c r="E23" s="22" t="s">
        <v>1460</v>
      </c>
      <c r="F23" s="2" t="s">
        <v>3315</v>
      </c>
    </row>
    <row r="24" spans="1:6" ht="232.5" hidden="1">
      <c r="A24" s="7">
        <f>ROW()</f>
        <v>24</v>
      </c>
      <c r="B24" s="8" t="s">
        <v>1479</v>
      </c>
      <c r="C24" s="8" t="s">
        <v>1465</v>
      </c>
      <c r="D24" s="8" t="str">
        <f t="shared" si="0"/>
        <v>1. Besteuerung von Geldleistungen</v>
      </c>
      <c r="E24" s="23" t="s">
        <v>1509</v>
      </c>
      <c r="F24" s="2" t="s">
        <v>2076</v>
      </c>
    </row>
    <row r="25" spans="1:6" ht="387" hidden="1">
      <c r="A25" s="7">
        <f>ROW()</f>
        <v>25</v>
      </c>
      <c r="B25" s="8" t="s">
        <v>1479</v>
      </c>
      <c r="C25" s="8" t="s">
        <v>1465</v>
      </c>
      <c r="D25" s="8" t="str">
        <f t="shared" si="0"/>
        <v>2. Einkommensgrenze für Besteuerung von Geldleistungen</v>
      </c>
      <c r="E25" s="23" t="s">
        <v>1511</v>
      </c>
      <c r="F25" s="2" t="s">
        <v>2077</v>
      </c>
    </row>
    <row r="26" spans="1:6" ht="288.75" hidden="1">
      <c r="A26" s="7">
        <f>ROW()</f>
        <v>26</v>
      </c>
      <c r="B26" s="8" t="s">
        <v>1479</v>
      </c>
      <c r="C26" s="8" t="s">
        <v>1465</v>
      </c>
      <c r="D26" s="8" t="str">
        <f t="shared" si="0"/>
        <v>3. Auf Leistungen anfallende Sozialabgaben</v>
      </c>
      <c r="E26" s="23" t="s">
        <v>1512</v>
      </c>
      <c r="F26" s="2" t="s">
        <v>2078</v>
      </c>
    </row>
    <row r="27" spans="1:6" ht="138" hidden="1">
      <c r="A27" s="7">
        <f>ROW()</f>
        <v>27</v>
      </c>
      <c r="B27" s="8" t="s">
        <v>1479</v>
      </c>
      <c r="C27" s="8" t="s">
        <v>1514</v>
      </c>
      <c r="D27" s="8" t="str">
        <f t="shared" si="0"/>
        <v>Anwendungsbereich</v>
      </c>
      <c r="E27" s="23" t="s">
        <v>1467</v>
      </c>
      <c r="F27" s="2" t="s">
        <v>2079</v>
      </c>
    </row>
    <row r="28" spans="1:6" ht="110.25" hidden="1">
      <c r="A28" s="7">
        <f>ROW()</f>
        <v>28</v>
      </c>
      <c r="B28" s="8" t="s">
        <v>1479</v>
      </c>
      <c r="C28" s="8" t="s">
        <v>1514</v>
      </c>
      <c r="D28" s="8" t="str">
        <f t="shared" si="0"/>
        <v>Grundprinzipien</v>
      </c>
      <c r="E28" s="23" t="s">
        <v>1468</v>
      </c>
      <c r="F28" s="2" t="s">
        <v>716</v>
      </c>
    </row>
    <row r="29" spans="1:6" ht="224.25" hidden="1">
      <c r="A29" s="7">
        <f>ROW()</f>
        <v>29</v>
      </c>
      <c r="B29" s="8" t="s">
        <v>1479</v>
      </c>
      <c r="C29" s="8" t="s">
        <v>1514</v>
      </c>
      <c r="D29" s="8" t="str">
        <f t="shared" si="0"/>
        <v>Voraussetzungen für die Deckung</v>
      </c>
      <c r="E29" s="23" t="s">
        <v>1469</v>
      </c>
      <c r="F29" s="2" t="s">
        <v>743</v>
      </c>
    </row>
    <row r="30" spans="1:6" ht="409.5" hidden="1">
      <c r="A30" s="7">
        <f>ROW()</f>
        <v>30</v>
      </c>
      <c r="B30" s="8" t="s">
        <v>1479</v>
      </c>
      <c r="C30" s="8" t="s">
        <v>1514</v>
      </c>
      <c r="D30" s="9" t="str">
        <f t="shared" si="0"/>
        <v>Kombination von selbstständiger und unselbstständiger Tätigkeit</v>
      </c>
      <c r="E30" s="23" t="s">
        <v>1462</v>
      </c>
      <c r="F30" s="2" t="s">
        <v>2080</v>
      </c>
    </row>
    <row r="31" spans="1:6" ht="376.5" hidden="1">
      <c r="A31" s="7">
        <f>ROW()</f>
        <v>31</v>
      </c>
      <c r="B31" s="8" t="s">
        <v>1479</v>
      </c>
      <c r="C31" s="8" t="s">
        <v>1459</v>
      </c>
      <c r="D31" s="9" t="str">
        <f t="shared" si="0"/>
        <v xml:space="preserve">Voraussetzungen für den Zugang zu Diensten/Leistungen </v>
      </c>
      <c r="E31" s="23" t="s">
        <v>1463</v>
      </c>
      <c r="F31" s="2" t="s">
        <v>2081</v>
      </c>
    </row>
    <row r="32" spans="1:6" ht="255" hidden="1">
      <c r="A32" s="7">
        <f>ROW()</f>
        <v>32</v>
      </c>
      <c r="B32" s="8" t="s">
        <v>1479</v>
      </c>
      <c r="C32" s="8" t="s">
        <v>1459</v>
      </c>
      <c r="D32" s="8" t="str">
        <f t="shared" si="0"/>
        <v>Beträge, Dauer und Kostenbeteiligung</v>
      </c>
      <c r="E32" s="23" t="s">
        <v>1464</v>
      </c>
      <c r="F32" s="2" t="s">
        <v>2082</v>
      </c>
    </row>
    <row r="33" spans="1:6" ht="216" hidden="1">
      <c r="A33" s="7">
        <f>ROW()</f>
        <v>33</v>
      </c>
      <c r="B33" s="8" t="s">
        <v>1479</v>
      </c>
      <c r="C33" s="8" t="s">
        <v>1459</v>
      </c>
      <c r="D33" s="8" t="str">
        <f t="shared" si="0"/>
        <v>Besteuerung von Geldleistungen</v>
      </c>
      <c r="E33" s="23" t="s">
        <v>1456</v>
      </c>
      <c r="F33" s="2" t="s">
        <v>785</v>
      </c>
    </row>
    <row r="34" spans="1:6" ht="276.75" hidden="1">
      <c r="A34" s="7">
        <f>ROW()</f>
        <v>34</v>
      </c>
      <c r="B34" s="8" t="s">
        <v>1479</v>
      </c>
      <c r="C34" s="8" t="s">
        <v>1459</v>
      </c>
      <c r="D34" s="8" t="str">
        <f t="shared" si="0"/>
        <v xml:space="preserve"> Auf Leistungen anfallende Sozialabgaben</v>
      </c>
      <c r="E34" s="23" t="s">
        <v>1518</v>
      </c>
      <c r="F34" s="2" t="s">
        <v>785</v>
      </c>
    </row>
    <row r="35" spans="1:6" ht="177">
      <c r="A35" s="7">
        <f>ROW()</f>
        <v>35</v>
      </c>
      <c r="B35" s="8" t="s">
        <v>1519</v>
      </c>
      <c r="C35" s="8" t="str">
        <f>+D35</f>
        <v>Geltende Rechtsgrundlage</v>
      </c>
      <c r="D35" s="8" t="str">
        <f>+E35</f>
        <v>Geltende Rechtsgrundlage</v>
      </c>
      <c r="E35" s="22" t="s">
        <v>1472</v>
      </c>
      <c r="F35" s="2" t="s">
        <v>3316</v>
      </c>
    </row>
    <row r="36" spans="1:6" ht="150">
      <c r="A36" s="7">
        <f>ROW()</f>
        <v>36</v>
      </c>
      <c r="B36" s="8" t="s">
        <v>1519</v>
      </c>
      <c r="C36" s="8" t="str">
        <f>+D36</f>
        <v>Grundprinzipien</v>
      </c>
      <c r="D36" s="8" t="str">
        <f>+E36</f>
        <v>Grundprinzipien</v>
      </c>
      <c r="E36" s="22" t="s">
        <v>1468</v>
      </c>
      <c r="F36" s="2" t="s">
        <v>3317</v>
      </c>
    </row>
    <row r="37" spans="1:6" ht="159.75" hidden="1">
      <c r="A37" s="7">
        <f>ROW()</f>
        <v>37</v>
      </c>
      <c r="B37" s="8" t="s">
        <v>1519</v>
      </c>
      <c r="C37" s="8" t="s">
        <v>1467</v>
      </c>
      <c r="D37" s="8" t="str">
        <f>+E37</f>
        <v>1. Versicherte Personen</v>
      </c>
      <c r="E37" s="23" t="s">
        <v>1520</v>
      </c>
      <c r="F37" s="2" t="s">
        <v>90</v>
      </c>
    </row>
    <row r="38" spans="1:6" ht="371.25" hidden="1">
      <c r="A38" s="7">
        <f>ROW()</f>
        <v>38</v>
      </c>
      <c r="B38" s="8" t="s">
        <v>1519</v>
      </c>
      <c r="C38" s="8" t="s">
        <v>1467</v>
      </c>
      <c r="D38" s="8" t="str">
        <f t="shared" ref="D38:D58" si="1">+E38</f>
        <v>2. Ausnahmen von der Deckung  der Pflichtversicherung</v>
      </c>
      <c r="E38" s="23" t="s">
        <v>1521</v>
      </c>
      <c r="F38" s="2" t="s">
        <v>114</v>
      </c>
    </row>
    <row r="39" spans="1:6" ht="194.25">
      <c r="A39" s="7">
        <f>ROW()</f>
        <v>39</v>
      </c>
      <c r="B39" s="8" t="s">
        <v>1519</v>
      </c>
      <c r="C39" s="8" t="s">
        <v>128</v>
      </c>
      <c r="D39" s="8" t="str">
        <f t="shared" si="1"/>
        <v>1. Rentenalter</v>
      </c>
      <c r="E39" s="23" t="s">
        <v>1523</v>
      </c>
      <c r="F39" s="2" t="s">
        <v>133</v>
      </c>
    </row>
    <row r="40" spans="1:6" ht="409.5">
      <c r="A40" s="7">
        <f>ROW()</f>
        <v>40</v>
      </c>
      <c r="B40" s="8" t="s">
        <v>1519</v>
      </c>
      <c r="C40" s="8" t="s">
        <v>128</v>
      </c>
      <c r="D40" s="8" t="str">
        <f t="shared" si="1"/>
        <v>2. Anwartschaftszeit und sonstige Anspruchsvoraussetzungen für den Bezug einer Altersrente</v>
      </c>
      <c r="E40" s="23" t="s">
        <v>1524</v>
      </c>
      <c r="F40" s="2" t="s">
        <v>3318</v>
      </c>
    </row>
    <row r="41" spans="1:6" ht="194.25">
      <c r="A41" s="7">
        <f>ROW()</f>
        <v>41</v>
      </c>
      <c r="B41" s="8" t="s">
        <v>1519</v>
      </c>
      <c r="C41" s="8" t="s">
        <v>128</v>
      </c>
      <c r="D41" s="8" t="str">
        <f t="shared" si="1"/>
        <v>3. Vorruhestand</v>
      </c>
      <c r="E41" s="23" t="s">
        <v>1525</v>
      </c>
      <c r="F41" s="2" t="s">
        <v>3319</v>
      </c>
    </row>
    <row r="42" spans="1:6" ht="264">
      <c r="A42" s="7">
        <f>ROW()</f>
        <v>42</v>
      </c>
      <c r="B42" s="8" t="s">
        <v>1519</v>
      </c>
      <c r="C42" s="8" t="s">
        <v>128</v>
      </c>
      <c r="D42" s="8" t="str">
        <f t="shared" si="1"/>
        <v>4. Beschwerliche und gefährliche Arbeit</v>
      </c>
      <c r="E42" s="23" t="s">
        <v>1526</v>
      </c>
      <c r="F42" s="2" t="s">
        <v>195</v>
      </c>
    </row>
    <row r="43" spans="1:6" ht="194.25">
      <c r="A43" s="7">
        <f>ROW()</f>
        <v>43</v>
      </c>
      <c r="B43" s="8" t="s">
        <v>1519</v>
      </c>
      <c r="C43" s="8" t="s">
        <v>128</v>
      </c>
      <c r="D43" s="8" t="str">
        <f t="shared" si="1"/>
        <v>5. Rentenaufschub</v>
      </c>
      <c r="E43" s="23" t="s">
        <v>1527</v>
      </c>
      <c r="F43" s="2" t="s">
        <v>214</v>
      </c>
    </row>
    <row r="44" spans="1:6" ht="174">
      <c r="A44" s="7">
        <f>ROW()</f>
        <v>44</v>
      </c>
      <c r="B44" s="8" t="s">
        <v>1519</v>
      </c>
      <c r="C44" s="8" t="s">
        <v>1459</v>
      </c>
      <c r="D44" s="8" t="str">
        <f t="shared" si="1"/>
        <v>1. Bestimmende Faktoren</v>
      </c>
      <c r="E44" s="23" t="s">
        <v>1528</v>
      </c>
      <c r="F44" s="2" t="s">
        <v>238</v>
      </c>
    </row>
    <row r="45" spans="1:6" ht="349.5">
      <c r="A45" s="7">
        <f>ROW()</f>
        <v>45</v>
      </c>
      <c r="B45" s="8" t="s">
        <v>1519</v>
      </c>
      <c r="C45" s="8" t="s">
        <v>1459</v>
      </c>
      <c r="D45" s="8" t="str">
        <f t="shared" si="1"/>
        <v>2. Berechnungsmethode, Rentenformel bzw. Beträge</v>
      </c>
      <c r="E45" s="23" t="s">
        <v>1529</v>
      </c>
      <c r="F45" s="2" t="s">
        <v>260</v>
      </c>
    </row>
    <row r="46" spans="1:6" ht="343.5">
      <c r="A46" s="7">
        <f>ROW()</f>
        <v>46</v>
      </c>
      <c r="B46" s="8" t="s">
        <v>1519</v>
      </c>
      <c r="C46" s="8" t="s">
        <v>1459</v>
      </c>
      <c r="D46" s="8" t="str">
        <f t="shared" si="1"/>
        <v>3. Referenzeinkommen bzw. Berechnungsgrundlage</v>
      </c>
      <c r="E46" s="23" t="s">
        <v>1530</v>
      </c>
      <c r="F46" s="2" t="s">
        <v>276</v>
      </c>
    </row>
    <row r="47" spans="1:6" ht="405">
      <c r="A47" s="7">
        <f>ROW()</f>
        <v>47</v>
      </c>
      <c r="B47" s="8" t="s">
        <v>1519</v>
      </c>
      <c r="C47" s="8" t="s">
        <v>1459</v>
      </c>
      <c r="D47" s="8" t="str">
        <f t="shared" si="1"/>
        <v>4. Anrechenbare oder als Beitragszeiten gewertete Zeiträume</v>
      </c>
      <c r="E47" s="23" t="s">
        <v>1496</v>
      </c>
      <c r="F47" s="2" t="s">
        <v>3320</v>
      </c>
    </row>
    <row r="48" spans="1:6" ht="330">
      <c r="A48" s="7">
        <f>ROW()</f>
        <v>48</v>
      </c>
      <c r="B48" s="8" t="s">
        <v>1519</v>
      </c>
      <c r="C48" s="8" t="s">
        <v>1459</v>
      </c>
      <c r="D48" s="8" t="str">
        <f t="shared" si="1"/>
        <v>5. Rückkauf von Versicherungszeiten</v>
      </c>
      <c r="E48" s="23" t="s">
        <v>1531</v>
      </c>
      <c r="F48" s="2" t="s">
        <v>3321</v>
      </c>
    </row>
    <row r="49" spans="1:6" ht="246">
      <c r="A49" s="7">
        <f>ROW()</f>
        <v>49</v>
      </c>
      <c r="B49" s="8" t="s">
        <v>1519</v>
      </c>
      <c r="C49" s="8" t="s">
        <v>1459</v>
      </c>
      <c r="D49" s="8" t="str">
        <f t="shared" si="1"/>
        <v>6.  Zulagen für Unterhaltsberechtigte</v>
      </c>
      <c r="E49" s="23" t="s">
        <v>1631</v>
      </c>
      <c r="F49" s="2" t="s">
        <v>3322</v>
      </c>
    </row>
    <row r="50" spans="1:6" ht="225">
      <c r="A50" s="7">
        <f>ROW()</f>
        <v>50</v>
      </c>
      <c r="B50" s="8" t="s">
        <v>1519</v>
      </c>
      <c r="C50" s="8" t="s">
        <v>1459</v>
      </c>
      <c r="D50" s="8" t="str">
        <f t="shared" si="1"/>
        <v>7. Besondere Zulagen</v>
      </c>
      <c r="E50" s="23" t="s">
        <v>1532</v>
      </c>
      <c r="F50" s="2" t="s">
        <v>353</v>
      </c>
    </row>
    <row r="51" spans="1:6" ht="360.75">
      <c r="A51" s="7">
        <f>ROW()</f>
        <v>51</v>
      </c>
      <c r="B51" s="8" t="s">
        <v>1519</v>
      </c>
      <c r="C51" s="8" t="s">
        <v>1459</v>
      </c>
      <c r="D51" s="8" t="str">
        <f t="shared" si="1"/>
        <v>8. Mindestrente und bedürftigkeitsabhängige Leistung</v>
      </c>
      <c r="E51" s="23" t="s">
        <v>1533</v>
      </c>
      <c r="F51" s="2" t="s">
        <v>375</v>
      </c>
    </row>
    <row r="52" spans="1:6" ht="101.25">
      <c r="A52" s="7">
        <f>ROW()</f>
        <v>52</v>
      </c>
      <c r="B52" s="8" t="s">
        <v>1519</v>
      </c>
      <c r="C52" s="8" t="s">
        <v>1459</v>
      </c>
      <c r="D52" s="8" t="str">
        <f t="shared" si="1"/>
        <v>9. Höchstrente</v>
      </c>
      <c r="E52" s="23" t="s">
        <v>1534</v>
      </c>
      <c r="F52" s="2" t="s">
        <v>399</v>
      </c>
    </row>
    <row r="53" spans="1:6" ht="119.25">
      <c r="A53" s="7">
        <f>ROW()</f>
        <v>53</v>
      </c>
      <c r="B53" s="8" t="s">
        <v>1519</v>
      </c>
      <c r="C53" s="8" t="s">
        <v>1459</v>
      </c>
      <c r="D53" s="8" t="str">
        <f t="shared" si="1"/>
        <v>10. Vorruhestand</v>
      </c>
      <c r="E53" s="23" t="s">
        <v>1535</v>
      </c>
      <c r="F53" s="2" t="s">
        <v>426</v>
      </c>
    </row>
    <row r="54" spans="1:6" ht="272.25">
      <c r="A54" s="7">
        <f>ROW()</f>
        <v>54</v>
      </c>
      <c r="B54" s="8" t="s">
        <v>1519</v>
      </c>
      <c r="C54" s="8" t="s">
        <v>1459</v>
      </c>
      <c r="D54" s="8" t="str">
        <f t="shared" si="1"/>
        <v>11. Beschwerliche und gefährliche Arbeit</v>
      </c>
      <c r="E54" s="23" t="s">
        <v>1536</v>
      </c>
      <c r="F54" s="2" t="s">
        <v>453</v>
      </c>
    </row>
    <row r="55" spans="1:6" ht="90">
      <c r="A55" s="7">
        <f>ROW()</f>
        <v>55</v>
      </c>
      <c r="B55" s="8" t="s">
        <v>1519</v>
      </c>
      <c r="C55" s="8" t="s">
        <v>1459</v>
      </c>
      <c r="D55" s="8" t="str">
        <f t="shared" si="1"/>
        <v>12. Teilrente</v>
      </c>
      <c r="E55" s="23" t="s">
        <v>1537</v>
      </c>
      <c r="F55" s="2" t="s">
        <v>477</v>
      </c>
    </row>
    <row r="56" spans="1:6" ht="171.75">
      <c r="A56" s="7">
        <f>ROW()</f>
        <v>56</v>
      </c>
      <c r="B56" s="8" t="s">
        <v>1519</v>
      </c>
      <c r="C56" s="8" t="s">
        <v>1459</v>
      </c>
      <c r="D56" s="8" t="str">
        <f t="shared" si="1"/>
        <v>13. Aufgeschobene Rente</v>
      </c>
      <c r="E56" s="23" t="s">
        <v>1632</v>
      </c>
      <c r="F56" s="2" t="s">
        <v>504</v>
      </c>
    </row>
    <row r="57" spans="1:6" ht="179.25">
      <c r="A57" s="7">
        <f>ROW()</f>
        <v>57</v>
      </c>
      <c r="B57" s="8" t="s">
        <v>1519</v>
      </c>
      <c r="C57" s="8" t="s">
        <v>1538</v>
      </c>
      <c r="D57" s="8" t="s">
        <v>1538</v>
      </c>
      <c r="E57" s="22" t="s">
        <v>1538</v>
      </c>
      <c r="F57" s="2" t="s">
        <v>533</v>
      </c>
    </row>
    <row r="58" spans="1:6" ht="246">
      <c r="A58" s="7">
        <f>ROW()</f>
        <v>58</v>
      </c>
      <c r="B58" s="8" t="s">
        <v>1519</v>
      </c>
      <c r="C58" s="8" t="s">
        <v>1538</v>
      </c>
      <c r="D58" s="8" t="str">
        <f t="shared" si="1"/>
        <v xml:space="preserve">Kumulation mit Erwerbseinkommen </v>
      </c>
      <c r="E58" s="22" t="s">
        <v>1461</v>
      </c>
      <c r="F58" s="2" t="s">
        <v>560</v>
      </c>
    </row>
    <row r="59" spans="1:6" ht="286.5">
      <c r="A59" s="7">
        <f>ROW()</f>
        <v>59</v>
      </c>
      <c r="B59" s="8" t="s">
        <v>1519</v>
      </c>
      <c r="C59" s="8" t="s">
        <v>1538</v>
      </c>
      <c r="D59" s="8" t="s">
        <v>1539</v>
      </c>
      <c r="E59" s="22" t="s">
        <v>1460</v>
      </c>
      <c r="F59" s="2" t="s">
        <v>3323</v>
      </c>
    </row>
    <row r="60" spans="1:6" ht="225.75" hidden="1">
      <c r="A60" s="7">
        <f>ROW()</f>
        <v>60</v>
      </c>
      <c r="B60" s="8" t="s">
        <v>1519</v>
      </c>
      <c r="C60" s="8" t="s">
        <v>612</v>
      </c>
      <c r="D60" s="8" t="str">
        <f t="shared" ref="D60:D70" si="2">+E60</f>
        <v>1. Besteuerung von Renten</v>
      </c>
      <c r="E60" s="23" t="s">
        <v>1540</v>
      </c>
      <c r="F60" s="2" t="s">
        <v>618</v>
      </c>
    </row>
    <row r="61" spans="1:6" ht="335.25" hidden="1">
      <c r="A61" s="7">
        <f>ROW()</f>
        <v>61</v>
      </c>
      <c r="B61" s="8" t="s">
        <v>1519</v>
      </c>
      <c r="C61" s="8" t="s">
        <v>612</v>
      </c>
      <c r="D61" s="8" t="str">
        <f t="shared" si="2"/>
        <v>2. Einkommensgrenze für Besteuerung von Renten</v>
      </c>
      <c r="E61" s="23" t="s">
        <v>1541</v>
      </c>
      <c r="F61" s="2" t="s">
        <v>644</v>
      </c>
    </row>
    <row r="62" spans="1:6" ht="264" hidden="1">
      <c r="A62" s="7">
        <f>ROW()</f>
        <v>62</v>
      </c>
      <c r="B62" s="8" t="s">
        <v>1519</v>
      </c>
      <c r="C62" s="8" t="s">
        <v>612</v>
      </c>
      <c r="D62" s="8" t="str">
        <f t="shared" si="2"/>
        <v>3. Auf Renten anfallende Sozialabgaben</v>
      </c>
      <c r="E62" s="23" t="s">
        <v>1542</v>
      </c>
      <c r="F62" s="2" t="s">
        <v>671</v>
      </c>
    </row>
    <row r="63" spans="1:6" ht="138" hidden="1">
      <c r="A63" s="7">
        <f>ROW()</f>
        <v>63</v>
      </c>
      <c r="B63" s="8" t="s">
        <v>1543</v>
      </c>
      <c r="C63" s="8" t="str">
        <f>+E63</f>
        <v>Anwendungsbereich</v>
      </c>
      <c r="D63" s="8" t="str">
        <f t="shared" si="2"/>
        <v>Anwendungsbereich</v>
      </c>
      <c r="E63" s="23" t="s">
        <v>1467</v>
      </c>
      <c r="F63" s="2" t="s">
        <v>690</v>
      </c>
    </row>
    <row r="64" spans="1:6" ht="132.75" hidden="1">
      <c r="A64" s="7">
        <f>ROW()</f>
        <v>64</v>
      </c>
      <c r="B64" s="8" t="s">
        <v>1543</v>
      </c>
      <c r="C64" s="8" t="s">
        <v>1514</v>
      </c>
      <c r="D64" s="8" t="str">
        <f t="shared" si="2"/>
        <v>Grundprinzipien</v>
      </c>
      <c r="E64" s="23" t="s">
        <v>1468</v>
      </c>
      <c r="F64" s="2" t="s">
        <v>716</v>
      </c>
    </row>
    <row r="65" spans="1:6" ht="224.25" hidden="1">
      <c r="A65" s="7">
        <f>ROW()</f>
        <v>65</v>
      </c>
      <c r="B65" s="8" t="s">
        <v>1543</v>
      </c>
      <c r="C65" s="8" t="s">
        <v>1514</v>
      </c>
      <c r="D65" s="8" t="str">
        <f t="shared" si="2"/>
        <v>Voraussetzungen für die Deckung</v>
      </c>
      <c r="E65" s="23" t="s">
        <v>1469</v>
      </c>
      <c r="F65" s="2" t="s">
        <v>743</v>
      </c>
    </row>
    <row r="66" spans="1:6" ht="409.5" hidden="1">
      <c r="A66" s="7">
        <f>ROW()</f>
        <v>66</v>
      </c>
      <c r="B66" s="8" t="s">
        <v>1543</v>
      </c>
      <c r="C66" s="8" t="s">
        <v>1514</v>
      </c>
      <c r="D66" s="8" t="str">
        <f t="shared" si="2"/>
        <v>Kombination von selbstständiger und unselbstständiger Tätigkeit</v>
      </c>
      <c r="E66" s="23" t="s">
        <v>1462</v>
      </c>
      <c r="F66" s="2" t="s">
        <v>768</v>
      </c>
    </row>
    <row r="67" spans="1:6" ht="376.5" hidden="1">
      <c r="A67" s="7">
        <f>ROW()</f>
        <v>67</v>
      </c>
      <c r="B67" s="8" t="s">
        <v>1543</v>
      </c>
      <c r="C67" s="8" t="s">
        <v>1459</v>
      </c>
      <c r="D67" s="9" t="str">
        <f t="shared" si="2"/>
        <v xml:space="preserve">Voraussetzungen für den Zugang zu Diensten/Leistungen </v>
      </c>
      <c r="E67" s="23" t="s">
        <v>1463</v>
      </c>
      <c r="F67" s="2" t="s">
        <v>788</v>
      </c>
    </row>
    <row r="68" spans="1:6" ht="270" hidden="1">
      <c r="A68" s="7">
        <f>ROW()</f>
        <v>68</v>
      </c>
      <c r="B68" s="8" t="s">
        <v>1543</v>
      </c>
      <c r="C68" s="8" t="s">
        <v>1459</v>
      </c>
      <c r="D68" s="9" t="str">
        <f t="shared" si="2"/>
        <v>Beträge, Dauer und Kostenbeteiligung</v>
      </c>
      <c r="E68" s="23" t="s">
        <v>1464</v>
      </c>
      <c r="F68" s="2" t="s">
        <v>798</v>
      </c>
    </row>
    <row r="69" spans="1:6" ht="216" hidden="1">
      <c r="A69" s="7">
        <f>ROW()</f>
        <v>69</v>
      </c>
      <c r="B69" s="8" t="s">
        <v>1543</v>
      </c>
      <c r="C69" s="8" t="s">
        <v>1459</v>
      </c>
      <c r="D69" s="9" t="str">
        <f t="shared" si="2"/>
        <v>Besteuerung von Geldleistungen</v>
      </c>
      <c r="E69" s="23" t="s">
        <v>1456</v>
      </c>
      <c r="F69" s="2" t="s">
        <v>785</v>
      </c>
    </row>
    <row r="70" spans="1:6" ht="272.25" hidden="1">
      <c r="A70" s="7">
        <f>ROW()</f>
        <v>70</v>
      </c>
      <c r="B70" s="8" t="s">
        <v>1543</v>
      </c>
      <c r="C70" s="8" t="s">
        <v>1459</v>
      </c>
      <c r="D70" s="9" t="str">
        <f t="shared" si="2"/>
        <v>Auf Leistungen anfallende Sozialabgaben</v>
      </c>
      <c r="E70" s="23" t="s">
        <v>1457</v>
      </c>
      <c r="F70" s="2" t="s">
        <v>785</v>
      </c>
    </row>
    <row r="71" spans="1:6" ht="177" hidden="1">
      <c r="A71" s="7">
        <f>ROW()</f>
        <v>71</v>
      </c>
      <c r="B71" s="8" t="s">
        <v>1466</v>
      </c>
      <c r="C71" s="8" t="str">
        <f t="shared" ref="C71:D75" si="3">+D71</f>
        <v>Geltende Rechtsgrundlage</v>
      </c>
      <c r="D71" s="9" t="str">
        <f t="shared" si="3"/>
        <v>Geltende Rechtsgrundlage</v>
      </c>
      <c r="E71" s="22" t="s">
        <v>1472</v>
      </c>
      <c r="F71" s="2" t="s">
        <v>839</v>
      </c>
    </row>
    <row r="72" spans="1:6" ht="110.25" hidden="1">
      <c r="A72" s="7">
        <f>ROW()</f>
        <v>72</v>
      </c>
      <c r="B72" s="8" t="s">
        <v>1466</v>
      </c>
      <c r="C72" s="8" t="str">
        <f t="shared" si="3"/>
        <v>Grundprinzipien</v>
      </c>
      <c r="D72" s="9" t="str">
        <f t="shared" si="3"/>
        <v>Grundprinzipien</v>
      </c>
      <c r="E72" s="22" t="s">
        <v>1468</v>
      </c>
      <c r="F72" s="2" t="s">
        <v>865</v>
      </c>
    </row>
    <row r="73" spans="1:6" ht="315" hidden="1">
      <c r="A73" s="7">
        <f>ROW()</f>
        <v>73</v>
      </c>
      <c r="B73" s="8" t="s">
        <v>1466</v>
      </c>
      <c r="C73" s="9" t="str">
        <f t="shared" si="3"/>
        <v>Anwendungsbereich (in Bezug auf Verstorbene)</v>
      </c>
      <c r="D73" s="9" t="str">
        <f t="shared" si="3"/>
        <v>Anwendungsbereich (in Bezug auf Verstorbene)</v>
      </c>
      <c r="E73" s="22" t="s">
        <v>1473</v>
      </c>
      <c r="F73" s="2" t="s">
        <v>891</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95" hidden="1">
      <c r="A75" s="7">
        <f>ROW()</f>
        <v>75</v>
      </c>
      <c r="B75" s="8" t="s">
        <v>1466</v>
      </c>
      <c r="C75" s="9" t="str">
        <f t="shared" si="3"/>
        <v>Berechtigte Personen</v>
      </c>
      <c r="D75" s="9" t="str">
        <f t="shared" si="3"/>
        <v>Berechtigte Personen</v>
      </c>
      <c r="E75" s="22" t="s">
        <v>1477</v>
      </c>
      <c r="F75" s="2" t="s">
        <v>3324</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948</v>
      </c>
    </row>
    <row r="78" spans="1:6" ht="185.25" hidden="1">
      <c r="A78" s="7">
        <f>ROW()</f>
        <v>78</v>
      </c>
      <c r="B78" s="8" t="s">
        <v>1466</v>
      </c>
      <c r="C78" s="8" t="s">
        <v>1544</v>
      </c>
      <c r="D78" s="8" t="str">
        <f t="shared" si="4"/>
        <v>2. Hinterbliebener Ehegatte</v>
      </c>
      <c r="E78" s="23" t="s">
        <v>1546</v>
      </c>
      <c r="F78" s="2" t="s">
        <v>3325</v>
      </c>
    </row>
    <row r="79" spans="1:6" ht="181.5" hidden="1">
      <c r="A79" s="7">
        <f>ROW()</f>
        <v>79</v>
      </c>
      <c r="B79" s="8" t="s">
        <v>1466</v>
      </c>
      <c r="C79" s="8" t="s">
        <v>1544</v>
      </c>
      <c r="D79" s="8" t="str">
        <f t="shared" si="4"/>
        <v>3. Geschiedener Ehegatte</v>
      </c>
      <c r="E79" s="23" t="s">
        <v>1547</v>
      </c>
      <c r="F79" s="2" t="s">
        <v>987</v>
      </c>
    </row>
    <row r="80" spans="1:6" ht="216" hidden="1">
      <c r="A80" s="7">
        <f>ROW()</f>
        <v>80</v>
      </c>
      <c r="B80" s="8" t="s">
        <v>1466</v>
      </c>
      <c r="C80" s="8" t="s">
        <v>1544</v>
      </c>
      <c r="D80" s="8" t="str">
        <f t="shared" si="4"/>
        <v>4. Hinterbliebene Lebenspartner</v>
      </c>
      <c r="E80" s="23" t="s">
        <v>1548</v>
      </c>
      <c r="F80" s="2" t="s">
        <v>282</v>
      </c>
    </row>
    <row r="81" spans="1:6" ht="181.5" hidden="1">
      <c r="A81" s="7">
        <f>ROW()</f>
        <v>81</v>
      </c>
      <c r="B81" s="8" t="s">
        <v>1466</v>
      </c>
      <c r="C81" s="8" t="s">
        <v>1544</v>
      </c>
      <c r="D81" s="8" t="str">
        <f t="shared" si="4"/>
        <v>5. Kinder</v>
      </c>
      <c r="E81" s="23" t="s">
        <v>1549</v>
      </c>
      <c r="F81" s="2" t="s">
        <v>1032</v>
      </c>
    </row>
    <row r="82" spans="1:6" ht="181.5" hidden="1">
      <c r="A82" s="7">
        <f>ROW()</f>
        <v>82</v>
      </c>
      <c r="B82" s="8" t="s">
        <v>1466</v>
      </c>
      <c r="C82" s="8" t="s">
        <v>1544</v>
      </c>
      <c r="D82" s="8" t="str">
        <f t="shared" si="4"/>
        <v>6. Andere Personen</v>
      </c>
      <c r="E82" s="23" t="s">
        <v>1550</v>
      </c>
      <c r="F82" s="2" t="s">
        <v>282</v>
      </c>
    </row>
    <row r="83" spans="1:6" ht="409.5" hidden="1">
      <c r="A83" s="7">
        <f>ROW()</f>
        <v>83</v>
      </c>
      <c r="B83" s="8" t="s">
        <v>1466</v>
      </c>
      <c r="C83" s="8" t="s">
        <v>1459</v>
      </c>
      <c r="D83" s="9" t="str">
        <f t="shared" si="4"/>
        <v>1. Hinterbliebener Ehegatte, geschiedener Ehegatte, hinterbliebene Lebenspartner</v>
      </c>
      <c r="E83" s="23" t="s">
        <v>1551</v>
      </c>
      <c r="F83" s="2" t="s">
        <v>1066</v>
      </c>
    </row>
    <row r="84" spans="1:6" ht="280.5" hidden="1">
      <c r="A84" s="7">
        <f>ROW()</f>
        <v>84</v>
      </c>
      <c r="B84" s="8" t="s">
        <v>1466</v>
      </c>
      <c r="C84" s="8" t="s">
        <v>1459</v>
      </c>
      <c r="D84" s="9" t="str">
        <f t="shared" si="4"/>
        <v>2. Hinterbliebener Ehegatte: Wiederheirat</v>
      </c>
      <c r="E84" s="23" t="s">
        <v>1552</v>
      </c>
      <c r="F84" s="2" t="s">
        <v>1089</v>
      </c>
    </row>
    <row r="85" spans="1:6" ht="240" hidden="1">
      <c r="A85" s="7">
        <f>ROW()</f>
        <v>85</v>
      </c>
      <c r="B85" s="8" t="s">
        <v>1466</v>
      </c>
      <c r="C85" s="8" t="s">
        <v>1459</v>
      </c>
      <c r="D85" s="9" t="str">
        <f t="shared" si="4"/>
        <v>3. Kinder</v>
      </c>
      <c r="E85" s="23" t="s">
        <v>1553</v>
      </c>
      <c r="F85" s="2" t="s">
        <v>1116</v>
      </c>
    </row>
    <row r="86" spans="1:6" ht="147" hidden="1">
      <c r="A86" s="7">
        <f>ROW()</f>
        <v>86</v>
      </c>
      <c r="B86" s="8" t="s">
        <v>1466</v>
      </c>
      <c r="C86" s="8" t="s">
        <v>1459</v>
      </c>
      <c r="D86" s="9" t="str">
        <f t="shared" si="4"/>
        <v>4. Andere Berechtigte</v>
      </c>
      <c r="E86" s="23" t="s">
        <v>1554</v>
      </c>
      <c r="F86" s="2" t="s">
        <v>282</v>
      </c>
    </row>
    <row r="87" spans="1:6" ht="381" hidden="1">
      <c r="A87" s="7">
        <f>ROW()</f>
        <v>87</v>
      </c>
      <c r="B87" s="8" t="s">
        <v>1466</v>
      </c>
      <c r="C87" s="8" t="s">
        <v>1459</v>
      </c>
      <c r="D87" s="9" t="str">
        <f t="shared" si="4"/>
        <v xml:space="preserve"> 5. Höchster zahlbarer Gesamtbetrag für alle Berechtigten</v>
      </c>
      <c r="E87" s="23" t="s">
        <v>1555</v>
      </c>
      <c r="F87" s="2" t="s">
        <v>1148</v>
      </c>
    </row>
    <row r="88" spans="1:6" ht="180" hidden="1">
      <c r="A88" s="7">
        <f>ROW()</f>
        <v>88</v>
      </c>
      <c r="B88" s="8" t="s">
        <v>1466</v>
      </c>
      <c r="C88" s="8" t="s">
        <v>1459</v>
      </c>
      <c r="D88" s="9" t="str">
        <f t="shared" si="4"/>
        <v>6. Sonstige Leistungen</v>
      </c>
      <c r="E88" s="23" t="s">
        <v>1556</v>
      </c>
      <c r="F88" s="2" t="s">
        <v>1173</v>
      </c>
    </row>
    <row r="89" spans="1:6" ht="210" hidden="1">
      <c r="A89" s="7">
        <f>ROW()</f>
        <v>89</v>
      </c>
      <c r="B89" s="8" t="s">
        <v>1466</v>
      </c>
      <c r="C89" s="8" t="s">
        <v>1459</v>
      </c>
      <c r="D89" s="9" t="str">
        <f>+E89</f>
        <v>7. Mindestleistung</v>
      </c>
      <c r="E89" s="23" t="s">
        <v>1557</v>
      </c>
      <c r="F89" s="2" t="s">
        <v>1194</v>
      </c>
    </row>
    <row r="90" spans="1:6" ht="135" hidden="1">
      <c r="A90" s="7">
        <f>ROW()</f>
        <v>90</v>
      </c>
      <c r="B90" s="8" t="s">
        <v>1466</v>
      </c>
      <c r="C90" s="8" t="s">
        <v>1459</v>
      </c>
      <c r="D90" s="9" t="str">
        <f t="shared" si="4"/>
        <v xml:space="preserve"> 8. Höchstleistung</v>
      </c>
      <c r="E90" s="23" t="s">
        <v>1558</v>
      </c>
      <c r="F90" s="2" t="s">
        <v>1217</v>
      </c>
    </row>
    <row r="91" spans="1:6" ht="179.25" hidden="1">
      <c r="A91" s="7">
        <f>ROW()</f>
        <v>91</v>
      </c>
      <c r="B91" s="8" t="s">
        <v>1466</v>
      </c>
      <c r="C91" s="8" t="s">
        <v>1538</v>
      </c>
      <c r="D91" s="9" t="str">
        <f>+C91</f>
        <v>Indexbindung / Anpassung</v>
      </c>
      <c r="E91" s="22" t="s">
        <v>1538</v>
      </c>
      <c r="F91" s="2" t="s">
        <v>1239</v>
      </c>
    </row>
    <row r="92" spans="1:6" ht="255" hidden="1">
      <c r="A92" s="7">
        <f>ROW()</f>
        <v>92</v>
      </c>
      <c r="B92" s="8" t="s">
        <v>1466</v>
      </c>
      <c r="C92" s="8" t="s">
        <v>1538</v>
      </c>
      <c r="D92" s="9" t="str">
        <f t="shared" ref="D92:D105" si="5">+E92</f>
        <v>Kumulation mit Erwerbseinkommen</v>
      </c>
      <c r="E92" s="22" t="s">
        <v>1471</v>
      </c>
      <c r="F92" s="2" t="s">
        <v>3326</v>
      </c>
    </row>
    <row r="93" spans="1:6" ht="275.25" hidden="1">
      <c r="A93" s="7">
        <f>ROW()</f>
        <v>93</v>
      </c>
      <c r="B93" s="8" t="s">
        <v>1466</v>
      </c>
      <c r="C93" s="8" t="s">
        <v>1538</v>
      </c>
      <c r="D93" s="9" t="str">
        <f t="shared" si="5"/>
        <v>Kumulation mit anderen Sozialleistungen</v>
      </c>
      <c r="E93" s="22" t="s">
        <v>1460</v>
      </c>
      <c r="F93" s="2" t="s">
        <v>1293</v>
      </c>
    </row>
    <row r="94" spans="1:6" ht="232.5" hidden="1">
      <c r="A94" s="7">
        <f>ROW()</f>
        <v>94</v>
      </c>
      <c r="B94" s="8" t="s">
        <v>1466</v>
      </c>
      <c r="C94" s="9" t="s">
        <v>1465</v>
      </c>
      <c r="D94" s="9" t="str">
        <f t="shared" si="5"/>
        <v>1. Besteuerung von Geldleistungen</v>
      </c>
      <c r="E94" s="23" t="s">
        <v>1509</v>
      </c>
      <c r="F94" s="2" t="s">
        <v>613</v>
      </c>
    </row>
    <row r="95" spans="1:6" ht="387" hidden="1">
      <c r="A95" s="7">
        <f>ROW()</f>
        <v>95</v>
      </c>
      <c r="B95" s="8" t="s">
        <v>1466</v>
      </c>
      <c r="C95" s="9" t="s">
        <v>1465</v>
      </c>
      <c r="D95" s="9" t="str">
        <f t="shared" si="5"/>
        <v>2. Einkommensgrenze für Besteuerung von Geldleistungen</v>
      </c>
      <c r="E95" s="23" t="s">
        <v>1511</v>
      </c>
      <c r="F95" s="2" t="s">
        <v>1340</v>
      </c>
    </row>
    <row r="96" spans="1:6" ht="288.75" hidden="1">
      <c r="A96" s="7">
        <f>ROW()</f>
        <v>96</v>
      </c>
      <c r="B96" s="8" t="s">
        <v>1466</v>
      </c>
      <c r="C96" s="9" t="s">
        <v>1465</v>
      </c>
      <c r="D96" s="9" t="str">
        <f t="shared" si="5"/>
        <v>3. Auf Leistungen anfallende Sozialabgaben</v>
      </c>
      <c r="E96" s="23" t="s">
        <v>1512</v>
      </c>
      <c r="F96" s="2" t="s">
        <v>1360</v>
      </c>
    </row>
    <row r="97" spans="1:6" ht="138" hidden="1">
      <c r="A97" s="7">
        <f>ROW()</f>
        <v>97</v>
      </c>
      <c r="B97" s="8" t="s">
        <v>1466</v>
      </c>
      <c r="C97" s="9" t="s">
        <v>1514</v>
      </c>
      <c r="D97" s="9" t="str">
        <f t="shared" si="5"/>
        <v>Anwendungsbereich</v>
      </c>
      <c r="E97" s="23" t="s">
        <v>1467</v>
      </c>
      <c r="F97" s="2" t="s">
        <v>1377</v>
      </c>
    </row>
    <row r="98" spans="1:6" ht="110.25" hidden="1">
      <c r="A98" s="7">
        <f>ROW()</f>
        <v>98</v>
      </c>
      <c r="B98" s="8" t="s">
        <v>1466</v>
      </c>
      <c r="C98" s="9" t="s">
        <v>1514</v>
      </c>
      <c r="D98" s="9" t="str">
        <f t="shared" si="5"/>
        <v>Grundprinzipien</v>
      </c>
      <c r="E98" s="23" t="s">
        <v>1468</v>
      </c>
      <c r="F98" s="2" t="s">
        <v>716</v>
      </c>
    </row>
    <row r="99" spans="1:6" ht="224.25" hidden="1">
      <c r="A99" s="7">
        <f>ROW()</f>
        <v>99</v>
      </c>
      <c r="B99" s="8" t="s">
        <v>1466</v>
      </c>
      <c r="C99" s="9" t="s">
        <v>1514</v>
      </c>
      <c r="D99" s="9" t="str">
        <f t="shared" si="5"/>
        <v>Voraussetzungen für die Deckung</v>
      </c>
      <c r="E99" s="23" t="s">
        <v>1469</v>
      </c>
      <c r="F99" s="2" t="s">
        <v>743</v>
      </c>
    </row>
    <row r="100" spans="1:6" ht="409.5" hidden="1">
      <c r="A100" s="7">
        <f>ROW()</f>
        <v>100</v>
      </c>
      <c r="B100" s="8" t="s">
        <v>1466</v>
      </c>
      <c r="C100" s="9" t="s">
        <v>1514</v>
      </c>
      <c r="D100" s="9" t="str">
        <f t="shared" si="5"/>
        <v>Kombination von selbstständiger und unselbstständiger Tätigkeit</v>
      </c>
      <c r="E100" s="23" t="s">
        <v>1462</v>
      </c>
      <c r="F100" s="2" t="s">
        <v>1416</v>
      </c>
    </row>
    <row r="101" spans="1:6" ht="376.5" hidden="1">
      <c r="A101" s="7">
        <f>ROW()</f>
        <v>101</v>
      </c>
      <c r="B101" s="8" t="s">
        <v>1466</v>
      </c>
      <c r="C101" s="9" t="s">
        <v>1514</v>
      </c>
      <c r="D101" s="9" t="str">
        <f t="shared" si="5"/>
        <v xml:space="preserve">Voraussetzungen für den Zugang zu Diensten/Leistungen </v>
      </c>
      <c r="E101" s="23" t="s">
        <v>1463</v>
      </c>
      <c r="F101" s="2" t="s">
        <v>1426</v>
      </c>
    </row>
    <row r="102" spans="1:6" ht="253.5" hidden="1">
      <c r="A102" s="7">
        <f>ROW()</f>
        <v>102</v>
      </c>
      <c r="B102" s="8" t="s">
        <v>1466</v>
      </c>
      <c r="C102" s="9" t="s">
        <v>1514</v>
      </c>
      <c r="D102" s="9" t="str">
        <f t="shared" si="5"/>
        <v>Beträge, Dauer und Kostenbeteiligung</v>
      </c>
      <c r="E102" s="23" t="s">
        <v>1464</v>
      </c>
      <c r="F102" s="2" t="s">
        <v>3327</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785</v>
      </c>
    </row>
    <row r="105" spans="1:6" ht="272.25" hidden="1">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mYzaKMLwZYEt6y5c7deUCL/vTP2vXwTKG+t69xISxxZZcI1HAmuTwKh8A0VKmJHzVIgxMVrIi+yKZb0TeVLMVQ==" saltValue="ol2OaL9dGf8WUvVSgvAKgg==" spinCount="100000" sheet="1" objects="1" scenarios="1" formatColumns="0" autoFilter="0"/>
  <autoFilter ref="A2:F105" xr:uid="{E0C2E879-D95D-404B-AD78-4AD087D72F5E}">
    <filterColumn colId="1">
      <filters>
        <filter val="Alter"/>
      </filters>
    </filterColumn>
    <filterColumn colId="2">
      <filters>
        <filter val="Anspruchsvoraussetzungen"/>
        <filter val="Geltende Rechtsgrundlage"/>
        <filter val="Grundprinzipien"/>
        <filter val="Indexbindung / Anpassung"/>
        <filter val="Leistungen"/>
      </filters>
    </filterColumn>
  </autoFilter>
  <pageMargins left="0.7" right="0.7" top="0.78740157499999996" bottom="0.78740157499999996"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B82B5-C416-46AA-BCE5-3EDA69EFB13A}">
  <sheetPr codeName="Tabelle9"/>
  <dimension ref="A1:F113"/>
  <sheetViews>
    <sheetView zoomScaleNormal="100"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9.7109375" style="120" customWidth="1"/>
    <col min="5" max="5" width="23.85546875" customWidth="1"/>
    <col min="6" max="6" width="120.7109375" customWidth="1"/>
    <col min="7" max="16384" width="11.42578125" hidden="1"/>
  </cols>
  <sheetData>
    <row r="1" spans="1:6" ht="64.5" customHeight="1">
      <c r="B1" s="129" t="s">
        <v>1474</v>
      </c>
      <c r="C1" s="383" t="s">
        <v>1478</v>
      </c>
      <c r="D1" s="385" t="s">
        <v>1475</v>
      </c>
      <c r="E1" s="118" t="s">
        <v>2245</v>
      </c>
      <c r="F1" s="6" t="s">
        <v>7</v>
      </c>
    </row>
    <row r="2" spans="1:6" ht="39.75" customHeight="1">
      <c r="A2" s="128"/>
      <c r="B2" s="129"/>
      <c r="C2" s="383"/>
      <c r="D2" s="385"/>
      <c r="E2" s="124"/>
      <c r="F2" s="162" t="str" cm="1">
        <f t="array" ref="F2">_xlfn.TEXTJOIN("; ", TRUE, IF(Entscheidungen!A2:A100=F1, Entscheidungen!B2:B100, ""))</f>
        <v/>
      </c>
    </row>
    <row r="3" spans="1:6" ht="409.5">
      <c r="A3" s="7">
        <f>ROW()</f>
        <v>3</v>
      </c>
      <c r="B3" s="8" t="s">
        <v>1479</v>
      </c>
      <c r="C3" s="8"/>
      <c r="D3" s="387" t="str">
        <f>+E3</f>
        <v>Geltende Rechtsgrundlage</v>
      </c>
      <c r="E3" s="21" t="s">
        <v>1472</v>
      </c>
      <c r="F3" s="2" t="s">
        <v>2040</v>
      </c>
    </row>
    <row r="4" spans="1:6" ht="75">
      <c r="A4" s="7">
        <f>ROW()</f>
        <v>4</v>
      </c>
      <c r="B4" s="8" t="s">
        <v>1479</v>
      </c>
      <c r="C4" s="1"/>
      <c r="D4" s="387" t="str">
        <f t="shared" ref="D4:D34" si="0">+E4</f>
        <v>Grundprinzipien</v>
      </c>
      <c r="E4" s="22" t="s">
        <v>1468</v>
      </c>
      <c r="F4" s="2" t="s">
        <v>2041</v>
      </c>
    </row>
    <row r="5" spans="1:6" ht="70.5">
      <c r="A5" s="7">
        <f>ROW()</f>
        <v>5</v>
      </c>
      <c r="B5" s="8" t="s">
        <v>1479</v>
      </c>
      <c r="C5" s="1"/>
      <c r="D5" s="387" t="str">
        <f t="shared" si="0"/>
        <v>Gedecktes Risiko: Definition</v>
      </c>
      <c r="E5" s="22" t="s">
        <v>1630</v>
      </c>
      <c r="F5" s="2" t="s">
        <v>2042</v>
      </c>
    </row>
    <row r="6" spans="1:6" ht="144">
      <c r="A6" s="7">
        <f>ROW()</f>
        <v>6</v>
      </c>
      <c r="B6" s="8" t="s">
        <v>1479</v>
      </c>
      <c r="C6" s="8" t="s">
        <v>1453</v>
      </c>
      <c r="D6" s="387" t="str">
        <f t="shared" si="0"/>
        <v>Versicherte Personen</v>
      </c>
      <c r="E6" s="23" t="s">
        <v>1453</v>
      </c>
      <c r="F6" s="2" t="s">
        <v>2043</v>
      </c>
    </row>
    <row r="7" spans="1:6" ht="144">
      <c r="A7" s="7">
        <f>ROW()</f>
        <v>7</v>
      </c>
      <c r="B7" s="8" t="s">
        <v>1479</v>
      </c>
      <c r="C7" s="8" t="str">
        <f>+E6</f>
        <v>Versicherte Personen</v>
      </c>
      <c r="D7" s="387" t="str">
        <f t="shared" si="0"/>
        <v>Ausnahmen von der Versicherungspflicht</v>
      </c>
      <c r="E7" s="23" t="s">
        <v>1458</v>
      </c>
      <c r="F7" s="2" t="s">
        <v>110</v>
      </c>
    </row>
    <row r="8" spans="1:6" ht="194.25">
      <c r="A8" s="7">
        <f>ROW()</f>
        <v>8</v>
      </c>
      <c r="B8" s="8" t="s">
        <v>1479</v>
      </c>
      <c r="C8" s="9" t="s">
        <v>128</v>
      </c>
      <c r="D8" s="387" t="str">
        <f t="shared" si="0"/>
        <v>1. Anwartschaftszeit</v>
      </c>
      <c r="E8" s="23" t="s">
        <v>1483</v>
      </c>
      <c r="F8" s="2" t="s">
        <v>2044</v>
      </c>
    </row>
    <row r="9" spans="1:6" ht="315">
      <c r="A9" s="7">
        <f>ROW()</f>
        <v>9</v>
      </c>
      <c r="B9" s="8" t="s">
        <v>1479</v>
      </c>
      <c r="C9" s="9" t="s">
        <v>128</v>
      </c>
      <c r="D9" s="387" t="str">
        <f t="shared" si="0"/>
        <v xml:space="preserve">2. Begutachtungskriterien und Kategorien der Arbeitsunfähigkeit/Arbeitsfähigkeit  </v>
      </c>
      <c r="E9" s="23" t="s">
        <v>1484</v>
      </c>
      <c r="F9" s="2" t="s">
        <v>3328</v>
      </c>
    </row>
    <row r="10" spans="1:6" ht="195">
      <c r="A10" s="7">
        <f>ROW()</f>
        <v>10</v>
      </c>
      <c r="B10" s="8" t="s">
        <v>1479</v>
      </c>
      <c r="C10" s="9" t="s">
        <v>128</v>
      </c>
      <c r="D10" s="387" t="str">
        <f t="shared" si="0"/>
        <v>3. Zeitraum der Leistungszahlung</v>
      </c>
      <c r="E10" s="23" t="s">
        <v>1486</v>
      </c>
      <c r="F10" s="2" t="s">
        <v>2045</v>
      </c>
    </row>
    <row r="11" spans="1:6" ht="96">
      <c r="A11" s="7">
        <f>ROW()</f>
        <v>11</v>
      </c>
      <c r="B11" s="8" t="s">
        <v>1479</v>
      </c>
      <c r="C11" s="9" t="s">
        <v>1488</v>
      </c>
      <c r="D11" s="387" t="str">
        <f t="shared" si="0"/>
        <v>1. Gutachter</v>
      </c>
      <c r="E11" s="23" t="s">
        <v>1489</v>
      </c>
      <c r="F11" s="2" t="s">
        <v>2046</v>
      </c>
    </row>
    <row r="12" spans="1:6" ht="105">
      <c r="A12" s="7">
        <f>ROW()</f>
        <v>12</v>
      </c>
      <c r="B12" s="8" t="s">
        <v>1479</v>
      </c>
      <c r="C12" s="9" t="s">
        <v>1488</v>
      </c>
      <c r="D12" s="387" t="str">
        <f t="shared" si="0"/>
        <v xml:space="preserve">2. Überprüfung  </v>
      </c>
      <c r="E12" s="23" t="s">
        <v>1490</v>
      </c>
      <c r="F12" s="2" t="s">
        <v>2047</v>
      </c>
    </row>
    <row r="13" spans="1:6" ht="360">
      <c r="A13" s="7">
        <f>ROW()</f>
        <v>13</v>
      </c>
      <c r="B13" s="8" t="s">
        <v>1479</v>
      </c>
      <c r="C13" s="8" t="s">
        <v>1459</v>
      </c>
      <c r="D13" s="387" t="str">
        <f t="shared" si="0"/>
        <v>1. Berechnungsmethode bzw. Rentenformel</v>
      </c>
      <c r="E13" s="23" t="s">
        <v>1492</v>
      </c>
      <c r="F13" s="2" t="s">
        <v>3329</v>
      </c>
    </row>
    <row r="14" spans="1:6" ht="252">
      <c r="A14" s="7">
        <f>ROW()</f>
        <v>14</v>
      </c>
      <c r="B14" s="8" t="s">
        <v>1479</v>
      </c>
      <c r="C14" s="8" t="s">
        <v>1459</v>
      </c>
      <c r="D14" s="384" t="str">
        <f t="shared" si="0"/>
        <v>2. Referenzeinkommen bzw. Berechnungsgrundlage</v>
      </c>
      <c r="E14" s="23" t="s">
        <v>1493</v>
      </c>
      <c r="F14" s="2" t="s">
        <v>2048</v>
      </c>
    </row>
    <row r="15" spans="1:6" ht="78">
      <c r="A15" s="7">
        <f>ROW()</f>
        <v>15</v>
      </c>
      <c r="B15" s="8" t="s">
        <v>1479</v>
      </c>
      <c r="C15" s="8" t="s">
        <v>1459</v>
      </c>
      <c r="D15" s="387" t="str">
        <f t="shared" si="0"/>
        <v>3. Mindest- und Höchstleistungen</v>
      </c>
      <c r="E15" s="23" t="s">
        <v>1495</v>
      </c>
      <c r="F15" s="2" t="s">
        <v>2049</v>
      </c>
    </row>
    <row r="16" spans="1:6" ht="106.5">
      <c r="A16" s="7">
        <f>ROW()</f>
        <v>16</v>
      </c>
      <c r="B16" s="8" t="s">
        <v>1479</v>
      </c>
      <c r="C16" s="8" t="s">
        <v>1459</v>
      </c>
      <c r="D16" s="387" t="str">
        <f t="shared" si="0"/>
        <v>4. Anrechenbare oder als Beitragszeiten gewertete Zeiträume</v>
      </c>
      <c r="E16" s="23" t="s">
        <v>1496</v>
      </c>
      <c r="F16" s="2" t="s">
        <v>2050</v>
      </c>
    </row>
    <row r="17" spans="1:6" ht="75.75">
      <c r="A17" s="7">
        <f>ROW()</f>
        <v>17</v>
      </c>
      <c r="B17" s="8" t="s">
        <v>1479</v>
      </c>
      <c r="C17" s="8" t="s">
        <v>1459</v>
      </c>
      <c r="D17" s="387" t="str">
        <f t="shared" si="0"/>
        <v xml:space="preserve">5. Zulagen für Unterhaltsberechtigte  </v>
      </c>
      <c r="E17" s="23" t="s">
        <v>1498</v>
      </c>
      <c r="F17" s="2" t="s">
        <v>2051</v>
      </c>
    </row>
    <row r="18" spans="1:6" ht="409.5">
      <c r="A18" s="7">
        <f>ROW()</f>
        <v>18</v>
      </c>
      <c r="B18" s="8" t="s">
        <v>1479</v>
      </c>
      <c r="C18" s="8" t="str">
        <f>+E18</f>
        <v>Sonstige Leistungen</v>
      </c>
      <c r="D18" s="387" t="str">
        <f>+E18</f>
        <v>Sonstige Leistungen</v>
      </c>
      <c r="E18" s="22" t="s">
        <v>1455</v>
      </c>
      <c r="F18" s="2" t="s">
        <v>3330</v>
      </c>
    </row>
    <row r="19" spans="1:6" ht="300.75">
      <c r="A19" s="7">
        <f>ROW()</f>
        <v>19</v>
      </c>
      <c r="B19" s="8" t="s">
        <v>1479</v>
      </c>
      <c r="C19" s="8" t="s">
        <v>1500</v>
      </c>
      <c r="D19" s="387" t="str">
        <f t="shared" si="0"/>
        <v>Umschulung, berufsbezogene Rehabilitation</v>
      </c>
      <c r="E19" s="23" t="s">
        <v>1501</v>
      </c>
      <c r="F19" s="2" t="s">
        <v>2052</v>
      </c>
    </row>
    <row r="20" spans="1:6" ht="300.75">
      <c r="A20" s="7">
        <f>ROW()</f>
        <v>20</v>
      </c>
      <c r="B20" s="8" t="s">
        <v>1479</v>
      </c>
      <c r="C20" s="8" t="s">
        <v>1500</v>
      </c>
      <c r="D20" s="387" t="str">
        <f t="shared" si="0"/>
        <v xml:space="preserve">Bevorzugte und reservierte Beschäftigung von Menschen mit Behinderungen  </v>
      </c>
      <c r="E20" s="23" t="s">
        <v>1502</v>
      </c>
      <c r="F20" s="2" t="s">
        <v>2053</v>
      </c>
    </row>
    <row r="21" spans="1:6" ht="120.75">
      <c r="A21" s="7">
        <f>ROW()</f>
        <v>21</v>
      </c>
      <c r="B21" s="8" t="s">
        <v>1479</v>
      </c>
      <c r="C21" s="8" t="s">
        <v>1504</v>
      </c>
      <c r="D21" s="387" t="str">
        <f t="shared" si="0"/>
        <v>Indexbindung/Anpassung</v>
      </c>
      <c r="E21" s="22" t="s">
        <v>1505</v>
      </c>
      <c r="F21" s="2" t="s">
        <v>2054</v>
      </c>
    </row>
    <row r="22" spans="1:6" ht="120.75">
      <c r="A22" s="7">
        <f>ROW()</f>
        <v>22</v>
      </c>
      <c r="B22" s="8" t="s">
        <v>1479</v>
      </c>
      <c r="C22" s="8" t="s">
        <v>1504</v>
      </c>
      <c r="D22" s="387" t="str">
        <f>+E22</f>
        <v>Kumulation mit Erwerbseinkommen</v>
      </c>
      <c r="E22" s="22" t="s">
        <v>1471</v>
      </c>
      <c r="F22" s="2" t="s">
        <v>2055</v>
      </c>
    </row>
    <row r="23" spans="1:6" ht="201">
      <c r="A23" s="7">
        <f>ROW()</f>
        <v>23</v>
      </c>
      <c r="B23" s="8" t="s">
        <v>1479</v>
      </c>
      <c r="C23" s="8" t="s">
        <v>1504</v>
      </c>
      <c r="D23" s="384" t="str">
        <f t="shared" si="0"/>
        <v>Kumulation mit anderen Sozialleistungen</v>
      </c>
      <c r="E23" s="22" t="s">
        <v>1460</v>
      </c>
      <c r="F23" s="2" t="s">
        <v>2056</v>
      </c>
    </row>
    <row r="24" spans="1:6" ht="213.75">
      <c r="A24" s="7">
        <f>ROW()</f>
        <v>24</v>
      </c>
      <c r="B24" s="8" t="s">
        <v>1479</v>
      </c>
      <c r="C24" s="8" t="s">
        <v>1465</v>
      </c>
      <c r="D24" s="387" t="str">
        <f t="shared" si="0"/>
        <v>1. Besteuerung von Geldleistungen</v>
      </c>
      <c r="E24" s="23" t="s">
        <v>1509</v>
      </c>
      <c r="F24" s="2" t="s">
        <v>622</v>
      </c>
    </row>
    <row r="25" spans="1:6" ht="213.75">
      <c r="A25" s="7">
        <f>ROW()</f>
        <v>25</v>
      </c>
      <c r="B25" s="8" t="s">
        <v>1479</v>
      </c>
      <c r="C25" s="8" t="s">
        <v>1465</v>
      </c>
      <c r="D25" s="387" t="str">
        <f t="shared" si="0"/>
        <v>2. Einkommensgrenze für Besteuerung von Geldleistungen</v>
      </c>
      <c r="E25" s="23" t="s">
        <v>1511</v>
      </c>
      <c r="F25" s="2" t="s">
        <v>1445</v>
      </c>
    </row>
    <row r="26" spans="1:6" ht="285">
      <c r="A26" s="7">
        <f>ROW()</f>
        <v>26</v>
      </c>
      <c r="B26" s="8" t="s">
        <v>1479</v>
      </c>
      <c r="C26" s="8" t="s">
        <v>1465</v>
      </c>
      <c r="D26" s="387" t="str">
        <f t="shared" si="0"/>
        <v>3. Auf Leistungen anfallende Sozialabgaben</v>
      </c>
      <c r="E26" s="23" t="s">
        <v>1512</v>
      </c>
      <c r="F26" s="2" t="s">
        <v>3331</v>
      </c>
    </row>
    <row r="27" spans="1:6" ht="88.5">
      <c r="A27" s="7">
        <f>ROW()</f>
        <v>27</v>
      </c>
      <c r="B27" s="8" t="s">
        <v>1479</v>
      </c>
      <c r="C27" s="8" t="s">
        <v>1514</v>
      </c>
      <c r="D27" s="387" t="str">
        <f t="shared" si="0"/>
        <v>Anwendungsbereich</v>
      </c>
      <c r="E27" s="23" t="s">
        <v>1467</v>
      </c>
      <c r="F27" s="2" t="s">
        <v>2057</v>
      </c>
    </row>
    <row r="28" spans="1:6" ht="88.5">
      <c r="A28" s="7">
        <f>ROW()</f>
        <v>28</v>
      </c>
      <c r="B28" s="8" t="s">
        <v>1479</v>
      </c>
      <c r="C28" s="8" t="s">
        <v>1514</v>
      </c>
      <c r="D28" s="387" t="str">
        <f t="shared" si="0"/>
        <v>Grundprinzipien</v>
      </c>
      <c r="E28" s="23" t="s">
        <v>1468</v>
      </c>
      <c r="F28" s="2" t="s">
        <v>2058</v>
      </c>
    </row>
    <row r="29" spans="1:6" ht="130.5" customHeight="1">
      <c r="A29" s="7">
        <f>ROW()</f>
        <v>29</v>
      </c>
      <c r="B29" s="8" t="s">
        <v>1479</v>
      </c>
      <c r="C29" s="8" t="s">
        <v>1514</v>
      </c>
      <c r="D29" s="387" t="str">
        <f t="shared" si="0"/>
        <v>Voraussetzungen für die Deckung</v>
      </c>
      <c r="E29" s="23" t="s">
        <v>1469</v>
      </c>
      <c r="F29" s="2" t="s">
        <v>744</v>
      </c>
    </row>
    <row r="30" spans="1:6" ht="219" customHeight="1">
      <c r="A30" s="7">
        <f>ROW()</f>
        <v>30</v>
      </c>
      <c r="B30" s="8" t="s">
        <v>1479</v>
      </c>
      <c r="C30" s="8" t="s">
        <v>1514</v>
      </c>
      <c r="D30" s="387" t="str">
        <f t="shared" si="0"/>
        <v>Kombination von selbstständiger und unselbstständiger Tätigkeit</v>
      </c>
      <c r="E30" s="23" t="s">
        <v>1462</v>
      </c>
      <c r="F30" s="2" t="s">
        <v>2059</v>
      </c>
    </row>
    <row r="31" spans="1:6" ht="103.5">
      <c r="A31" s="7">
        <f>ROW()</f>
        <v>31</v>
      </c>
      <c r="B31" s="8" t="s">
        <v>1479</v>
      </c>
      <c r="C31" s="8" t="s">
        <v>1459</v>
      </c>
      <c r="D31" s="387" t="str">
        <f t="shared" si="0"/>
        <v xml:space="preserve">Voraussetzungen für den Zugang zu Diensten/Leistungen </v>
      </c>
      <c r="E31" s="23" t="s">
        <v>1463</v>
      </c>
      <c r="F31" s="2" t="s">
        <v>785</v>
      </c>
    </row>
    <row r="32" spans="1:6" ht="91.5">
      <c r="A32" s="7">
        <f>ROW()</f>
        <v>32</v>
      </c>
      <c r="B32" s="8" t="s">
        <v>1479</v>
      </c>
      <c r="C32" s="8" t="s">
        <v>1459</v>
      </c>
      <c r="D32" s="387" t="str">
        <f t="shared" si="0"/>
        <v>Beträge, Dauer und Kostenbeteiligung</v>
      </c>
      <c r="E32" s="23" t="s">
        <v>1464</v>
      </c>
      <c r="F32" s="2" t="s">
        <v>799</v>
      </c>
    </row>
    <row r="33" spans="1:6" ht="76.5">
      <c r="A33" s="7">
        <f>ROW()</f>
        <v>33</v>
      </c>
      <c r="B33" s="8" t="s">
        <v>1479</v>
      </c>
      <c r="C33" s="8" t="s">
        <v>1459</v>
      </c>
      <c r="D33" s="387" t="str">
        <f t="shared" si="0"/>
        <v>Besteuerung von Geldleistungen</v>
      </c>
      <c r="E33" s="23" t="s">
        <v>1456</v>
      </c>
      <c r="F33" s="2" t="s">
        <v>785</v>
      </c>
    </row>
    <row r="34" spans="1:6" ht="77.25">
      <c r="A34" s="7">
        <f>ROW()</f>
        <v>34</v>
      </c>
      <c r="B34" s="8" t="s">
        <v>1479</v>
      </c>
      <c r="C34" s="8" t="s">
        <v>1459</v>
      </c>
      <c r="D34" s="387" t="str">
        <f t="shared" si="0"/>
        <v xml:space="preserve"> Auf Leistungen anfallende Sozialabgaben</v>
      </c>
      <c r="E34" s="23" t="s">
        <v>1518</v>
      </c>
      <c r="F34" s="2" t="s">
        <v>785</v>
      </c>
    </row>
    <row r="35" spans="1:6" ht="409.5">
      <c r="A35" s="7">
        <f>ROW()</f>
        <v>35</v>
      </c>
      <c r="B35" s="8" t="s">
        <v>1519</v>
      </c>
      <c r="C35" s="8" t="str">
        <f>+D35</f>
        <v>Geltende Rechtsgrundlage</v>
      </c>
      <c r="D35" s="387" t="str">
        <f>+E35</f>
        <v>Geltende Rechtsgrundlage</v>
      </c>
      <c r="E35" s="22" t="s">
        <v>1472</v>
      </c>
      <c r="F35" s="2" t="s">
        <v>37</v>
      </c>
    </row>
    <row r="36" spans="1:6" ht="409.5">
      <c r="A36" s="7">
        <f>ROW()</f>
        <v>36</v>
      </c>
      <c r="B36" s="8" t="s">
        <v>1519</v>
      </c>
      <c r="C36" s="8" t="str">
        <f>+D36</f>
        <v>Grundprinzipien</v>
      </c>
      <c r="D36" s="387" t="str">
        <f>+E36</f>
        <v>Grundprinzipien</v>
      </c>
      <c r="E36" s="22" t="s">
        <v>1468</v>
      </c>
      <c r="F36" s="2" t="s">
        <v>66</v>
      </c>
    </row>
    <row r="37" spans="1:6" ht="138">
      <c r="A37" s="7">
        <f>ROW()</f>
        <v>37</v>
      </c>
      <c r="B37" s="8" t="s">
        <v>1519</v>
      </c>
      <c r="C37" s="8" t="s">
        <v>1467</v>
      </c>
      <c r="D37" s="387" t="str">
        <f>+E37</f>
        <v>1. Versicherte Personen</v>
      </c>
      <c r="E37" s="23" t="s">
        <v>1520</v>
      </c>
      <c r="F37" s="2" t="s">
        <v>91</v>
      </c>
    </row>
    <row r="38" spans="1:6" ht="138">
      <c r="A38" s="7">
        <f>ROW()</f>
        <v>38</v>
      </c>
      <c r="B38" s="8" t="s">
        <v>1519</v>
      </c>
      <c r="C38" s="8" t="s">
        <v>1467</v>
      </c>
      <c r="D38" s="387" t="str">
        <f t="shared" ref="D38:D58" si="1">+E38</f>
        <v>2. Ausnahmen von der Deckung  der Pflichtversicherung</v>
      </c>
      <c r="E38" s="23" t="s">
        <v>1521</v>
      </c>
      <c r="F38" s="2" t="s">
        <v>115</v>
      </c>
    </row>
    <row r="39" spans="1:6" ht="141">
      <c r="A39" s="7">
        <f>ROW()</f>
        <v>39</v>
      </c>
      <c r="B39" s="8" t="s">
        <v>1519</v>
      </c>
      <c r="C39" s="384" t="s">
        <v>128</v>
      </c>
      <c r="D39" s="387" t="str">
        <f t="shared" si="1"/>
        <v>1. Rentenalter</v>
      </c>
      <c r="E39" s="23" t="s">
        <v>1523</v>
      </c>
      <c r="F39" s="2" t="s">
        <v>3332</v>
      </c>
    </row>
    <row r="40" spans="1:6" ht="270">
      <c r="A40" s="7">
        <f>ROW()</f>
        <v>40</v>
      </c>
      <c r="B40" s="8" t="s">
        <v>1519</v>
      </c>
      <c r="C40" s="384" t="s">
        <v>128</v>
      </c>
      <c r="D40" s="387" t="str">
        <f t="shared" si="1"/>
        <v>2. Anwartschaftszeit und sonstige Anspruchsvoraussetzungen für den Bezug einer Altersrente</v>
      </c>
      <c r="E40" s="23" t="s">
        <v>1524</v>
      </c>
      <c r="F40" s="2" t="s">
        <v>3333</v>
      </c>
    </row>
    <row r="41" spans="1:6" ht="270">
      <c r="A41" s="7">
        <f>ROW()</f>
        <v>41</v>
      </c>
      <c r="B41" s="8" t="s">
        <v>1519</v>
      </c>
      <c r="C41" s="384" t="s">
        <v>128</v>
      </c>
      <c r="D41" s="387" t="str">
        <f t="shared" si="1"/>
        <v>3. Vorruhestand</v>
      </c>
      <c r="E41" s="23" t="s">
        <v>1525</v>
      </c>
      <c r="F41" s="2" t="s">
        <v>3334</v>
      </c>
    </row>
    <row r="42" spans="1:6" ht="360">
      <c r="A42" s="7">
        <f>ROW()</f>
        <v>42</v>
      </c>
      <c r="B42" s="8" t="s">
        <v>1519</v>
      </c>
      <c r="C42" s="8" t="s">
        <v>128</v>
      </c>
      <c r="D42" s="387" t="str">
        <f t="shared" si="1"/>
        <v>4. Beschwerliche und gefährliche Arbeit</v>
      </c>
      <c r="E42" s="23" t="s">
        <v>1526</v>
      </c>
      <c r="F42" s="2" t="s">
        <v>3335</v>
      </c>
    </row>
    <row r="43" spans="1:6" ht="194.25">
      <c r="A43" s="7">
        <f>ROW()</f>
        <v>43</v>
      </c>
      <c r="B43" s="8" t="s">
        <v>1519</v>
      </c>
      <c r="C43" s="8" t="s">
        <v>128</v>
      </c>
      <c r="D43" s="387" t="str">
        <f t="shared" si="1"/>
        <v>5. Rentenaufschub</v>
      </c>
      <c r="E43" s="23" t="s">
        <v>1527</v>
      </c>
      <c r="F43" s="2" t="s">
        <v>215</v>
      </c>
    </row>
    <row r="44" spans="1:6" ht="150">
      <c r="A44" s="7">
        <f>ROW()</f>
        <v>44</v>
      </c>
      <c r="B44" s="8" t="s">
        <v>1519</v>
      </c>
      <c r="C44" s="8" t="s">
        <v>1459</v>
      </c>
      <c r="D44" s="387" t="str">
        <f t="shared" si="1"/>
        <v>1. Bestimmende Faktoren</v>
      </c>
      <c r="E44" s="23" t="s">
        <v>1528</v>
      </c>
      <c r="F44" s="2" t="s">
        <v>239</v>
      </c>
    </row>
    <row r="45" spans="1:6" ht="285">
      <c r="A45" s="7">
        <f>ROW()</f>
        <v>45</v>
      </c>
      <c r="B45" s="8" t="s">
        <v>1519</v>
      </c>
      <c r="C45" s="8" t="s">
        <v>1459</v>
      </c>
      <c r="D45" s="387" t="str">
        <f t="shared" si="1"/>
        <v>2. Berechnungsmethode, Rentenformel bzw. Beträge</v>
      </c>
      <c r="E45" s="23" t="s">
        <v>1529</v>
      </c>
      <c r="F45" s="2" t="s">
        <v>261</v>
      </c>
    </row>
    <row r="46" spans="1:6" ht="150">
      <c r="A46" s="7">
        <f>ROW()</f>
        <v>46</v>
      </c>
      <c r="B46" s="8" t="s">
        <v>1519</v>
      </c>
      <c r="C46" s="8" t="s">
        <v>1459</v>
      </c>
      <c r="D46" s="387" t="str">
        <f t="shared" si="1"/>
        <v>3. Referenzeinkommen bzw. Berechnungsgrundlage</v>
      </c>
      <c r="E46" s="23" t="s">
        <v>1530</v>
      </c>
      <c r="F46" s="2" t="s">
        <v>277</v>
      </c>
    </row>
    <row r="47" spans="1:6" ht="270">
      <c r="A47" s="7">
        <f>ROW()</f>
        <v>47</v>
      </c>
      <c r="B47" s="8" t="s">
        <v>1519</v>
      </c>
      <c r="C47" s="8" t="s">
        <v>1459</v>
      </c>
      <c r="D47" s="387" t="str">
        <f t="shared" si="1"/>
        <v>4. Anrechenbare oder als Beitragszeiten gewertete Zeiträume</v>
      </c>
      <c r="E47" s="23" t="s">
        <v>1496</v>
      </c>
      <c r="F47" s="2" t="s">
        <v>3336</v>
      </c>
    </row>
    <row r="48" spans="1:6" ht="165">
      <c r="A48" s="7">
        <f>ROW()</f>
        <v>48</v>
      </c>
      <c r="B48" s="8" t="s">
        <v>1519</v>
      </c>
      <c r="C48" s="8" t="s">
        <v>1459</v>
      </c>
      <c r="D48" s="387" t="str">
        <f t="shared" si="1"/>
        <v>5. Rückkauf von Versicherungszeiten</v>
      </c>
      <c r="E48" s="23" t="s">
        <v>1531</v>
      </c>
      <c r="F48" s="2" t="s">
        <v>314</v>
      </c>
    </row>
    <row r="49" spans="1:6" ht="75.75">
      <c r="A49" s="7">
        <f>ROW()</f>
        <v>49</v>
      </c>
      <c r="B49" s="8" t="s">
        <v>1519</v>
      </c>
      <c r="C49" s="8" t="s">
        <v>1459</v>
      </c>
      <c r="D49" s="387" t="str">
        <f t="shared" si="1"/>
        <v>6.  Zulagen für Unterhaltsberechtigte</v>
      </c>
      <c r="E49" s="23" t="s">
        <v>1631</v>
      </c>
      <c r="F49" s="2" t="s">
        <v>334</v>
      </c>
    </row>
    <row r="50" spans="1:6" ht="105">
      <c r="A50" s="7">
        <f>ROW()</f>
        <v>50</v>
      </c>
      <c r="B50" s="8" t="s">
        <v>1519</v>
      </c>
      <c r="C50" s="8" t="s">
        <v>1459</v>
      </c>
      <c r="D50" s="387" t="str">
        <f t="shared" si="1"/>
        <v>7. Besondere Zulagen</v>
      </c>
      <c r="E50" s="23" t="s">
        <v>1532</v>
      </c>
      <c r="F50" s="2" t="s">
        <v>3337</v>
      </c>
    </row>
    <row r="51" spans="1:6" ht="100.5">
      <c r="A51" s="7">
        <f>ROW()</f>
        <v>51</v>
      </c>
      <c r="B51" s="8" t="s">
        <v>1519</v>
      </c>
      <c r="C51" s="8" t="s">
        <v>1459</v>
      </c>
      <c r="D51" s="387" t="str">
        <f t="shared" si="1"/>
        <v>8. Mindestrente und bedürftigkeitsabhängige Leistung</v>
      </c>
      <c r="E51" s="23" t="s">
        <v>1533</v>
      </c>
      <c r="F51" s="2" t="s">
        <v>376</v>
      </c>
    </row>
    <row r="52" spans="1:6" ht="75.75">
      <c r="A52" s="7">
        <f>ROW()</f>
        <v>52</v>
      </c>
      <c r="B52" s="8" t="s">
        <v>1519</v>
      </c>
      <c r="C52" s="8" t="s">
        <v>1459</v>
      </c>
      <c r="D52" s="387" t="str">
        <f t="shared" si="1"/>
        <v>9. Höchstrente</v>
      </c>
      <c r="E52" s="23" t="s">
        <v>1534</v>
      </c>
      <c r="F52" s="2" t="s">
        <v>400</v>
      </c>
    </row>
    <row r="53" spans="1:6" ht="75.75">
      <c r="A53" s="7">
        <f>ROW()</f>
        <v>53</v>
      </c>
      <c r="B53" s="8" t="s">
        <v>1519</v>
      </c>
      <c r="C53" s="8" t="s">
        <v>1459</v>
      </c>
      <c r="D53" s="387" t="str">
        <f t="shared" si="1"/>
        <v>10. Vorruhestand</v>
      </c>
      <c r="E53" s="23" t="s">
        <v>1535</v>
      </c>
      <c r="F53" s="2" t="s">
        <v>427</v>
      </c>
    </row>
    <row r="54" spans="1:6" ht="89.25">
      <c r="A54" s="7">
        <f>ROW()</f>
        <v>54</v>
      </c>
      <c r="B54" s="8" t="s">
        <v>1519</v>
      </c>
      <c r="C54" s="8" t="s">
        <v>1459</v>
      </c>
      <c r="D54" s="387" t="str">
        <f t="shared" si="1"/>
        <v>11. Beschwerliche und gefährliche Arbeit</v>
      </c>
      <c r="E54" s="23" t="s">
        <v>1536</v>
      </c>
      <c r="F54" s="2" t="s">
        <v>454</v>
      </c>
    </row>
    <row r="55" spans="1:6" ht="75.75">
      <c r="A55" s="7">
        <f>ROW()</f>
        <v>55</v>
      </c>
      <c r="B55" s="8" t="s">
        <v>1519</v>
      </c>
      <c r="C55" s="8" t="s">
        <v>1459</v>
      </c>
      <c r="D55" s="387" t="str">
        <f t="shared" si="1"/>
        <v>12. Teilrente</v>
      </c>
      <c r="E55" s="23" t="s">
        <v>1537</v>
      </c>
      <c r="F55" s="2" t="s">
        <v>478</v>
      </c>
    </row>
    <row r="56" spans="1:6" ht="75.75">
      <c r="A56" s="7">
        <f>ROW()</f>
        <v>56</v>
      </c>
      <c r="B56" s="8" t="s">
        <v>1519</v>
      </c>
      <c r="C56" s="8" t="s">
        <v>1459</v>
      </c>
      <c r="D56" s="387" t="str">
        <f t="shared" si="1"/>
        <v>13. Aufgeschobene Rente</v>
      </c>
      <c r="E56" s="23" t="s">
        <v>1632</v>
      </c>
      <c r="F56" s="2" t="s">
        <v>505</v>
      </c>
    </row>
    <row r="57" spans="1:6" ht="135">
      <c r="A57" s="7">
        <f>ROW()</f>
        <v>57</v>
      </c>
      <c r="B57" s="8" t="s">
        <v>1519</v>
      </c>
      <c r="C57" s="384" t="s">
        <v>1538</v>
      </c>
      <c r="D57" s="387" t="s">
        <v>1538</v>
      </c>
      <c r="E57" s="22" t="s">
        <v>1538</v>
      </c>
      <c r="F57" s="2" t="s">
        <v>534</v>
      </c>
    </row>
    <row r="58" spans="1:6" ht="179.25">
      <c r="A58" s="7">
        <f>ROW()</f>
        <v>58</v>
      </c>
      <c r="B58" s="8" t="s">
        <v>1519</v>
      </c>
      <c r="C58" s="8" t="s">
        <v>1538</v>
      </c>
      <c r="D58" s="387" t="str">
        <f t="shared" si="1"/>
        <v xml:space="preserve">Kumulation mit Erwerbseinkommen </v>
      </c>
      <c r="E58" s="22" t="s">
        <v>1461</v>
      </c>
      <c r="F58" s="2" t="s">
        <v>561</v>
      </c>
    </row>
    <row r="59" spans="1:6" ht="179.25">
      <c r="A59" s="7">
        <f>ROW()</f>
        <v>59</v>
      </c>
      <c r="B59" s="8" t="s">
        <v>1519</v>
      </c>
      <c r="C59" s="8" t="s">
        <v>1538</v>
      </c>
      <c r="D59" s="387" t="s">
        <v>1539</v>
      </c>
      <c r="E59" s="22" t="s">
        <v>1460</v>
      </c>
      <c r="F59" s="2" t="s">
        <v>589</v>
      </c>
    </row>
    <row r="60" spans="1:6" ht="162.75">
      <c r="A60" s="7">
        <f>ROW()</f>
        <v>60</v>
      </c>
      <c r="B60" s="8" t="s">
        <v>1519</v>
      </c>
      <c r="C60" s="384" t="s">
        <v>612</v>
      </c>
      <c r="D60" s="387" t="str">
        <f t="shared" ref="D60:D70" si="2">+E60</f>
        <v>1. Besteuerung von Renten</v>
      </c>
      <c r="E60" s="23" t="s">
        <v>1540</v>
      </c>
      <c r="F60" s="2" t="s">
        <v>619</v>
      </c>
    </row>
    <row r="61" spans="1:6" ht="162.75">
      <c r="A61" s="7">
        <f>ROW()</f>
        <v>61</v>
      </c>
      <c r="B61" s="8" t="s">
        <v>1519</v>
      </c>
      <c r="C61" s="384" t="s">
        <v>612</v>
      </c>
      <c r="D61" s="387" t="str">
        <f t="shared" si="2"/>
        <v>2. Einkommensgrenze für Besteuerung von Renten</v>
      </c>
      <c r="E61" s="23" t="s">
        <v>1541</v>
      </c>
      <c r="F61" s="2" t="s">
        <v>645</v>
      </c>
    </row>
    <row r="62" spans="1:6" ht="162.75">
      <c r="A62" s="7">
        <f>ROW()</f>
        <v>62</v>
      </c>
      <c r="B62" s="8" t="s">
        <v>1519</v>
      </c>
      <c r="C62" s="384" t="s">
        <v>612</v>
      </c>
      <c r="D62" s="387" t="str">
        <f t="shared" si="2"/>
        <v>3. Auf Renten anfallende Sozialabgaben</v>
      </c>
      <c r="E62" s="23" t="s">
        <v>1542</v>
      </c>
      <c r="F62" s="2" t="s">
        <v>3338</v>
      </c>
    </row>
    <row r="63" spans="1:6" ht="138">
      <c r="A63" s="7">
        <f>ROW()</f>
        <v>63</v>
      </c>
      <c r="B63" s="8" t="s">
        <v>1543</v>
      </c>
      <c r="C63" s="8" t="str">
        <f>+E63</f>
        <v>Anwendungsbereich</v>
      </c>
      <c r="D63" s="387" t="str">
        <f t="shared" si="2"/>
        <v>Anwendungsbereich</v>
      </c>
      <c r="E63" s="23" t="s">
        <v>1467</v>
      </c>
      <c r="F63" s="2" t="s">
        <v>691</v>
      </c>
    </row>
    <row r="64" spans="1:6" ht="132.75">
      <c r="A64" s="7">
        <f>ROW()</f>
        <v>64</v>
      </c>
      <c r="B64" s="8" t="s">
        <v>1543</v>
      </c>
      <c r="C64" s="8" t="s">
        <v>1514</v>
      </c>
      <c r="D64" s="387" t="str">
        <f t="shared" si="2"/>
        <v>Grundprinzipien</v>
      </c>
      <c r="E64" s="23" t="s">
        <v>1468</v>
      </c>
      <c r="F64" s="2" t="s">
        <v>717</v>
      </c>
    </row>
    <row r="65" spans="1:6" ht="132.75">
      <c r="A65" s="7">
        <f>ROW()</f>
        <v>65</v>
      </c>
      <c r="B65" s="8" t="s">
        <v>1543</v>
      </c>
      <c r="C65" s="8" t="s">
        <v>1514</v>
      </c>
      <c r="D65" s="387" t="str">
        <f t="shared" si="2"/>
        <v>Voraussetzungen für die Deckung</v>
      </c>
      <c r="E65" s="23" t="s">
        <v>1469</v>
      </c>
      <c r="F65" s="2" t="s">
        <v>744</v>
      </c>
    </row>
    <row r="66" spans="1:6" ht="150">
      <c r="A66" s="7">
        <f>ROW()</f>
        <v>66</v>
      </c>
      <c r="B66" s="8" t="s">
        <v>1543</v>
      </c>
      <c r="C66" s="8" t="s">
        <v>1514</v>
      </c>
      <c r="D66" s="387" t="str">
        <f t="shared" si="2"/>
        <v>Kombination von selbstständiger und unselbstständiger Tätigkeit</v>
      </c>
      <c r="E66" s="23" t="s">
        <v>1462</v>
      </c>
      <c r="F66" s="2" t="s">
        <v>769</v>
      </c>
    </row>
    <row r="67" spans="1:6" ht="132.75">
      <c r="A67" s="7">
        <f>ROW()</f>
        <v>67</v>
      </c>
      <c r="B67" s="8" t="s">
        <v>1543</v>
      </c>
      <c r="C67" s="8" t="s">
        <v>1459</v>
      </c>
      <c r="D67" s="387" t="str">
        <f t="shared" si="2"/>
        <v xml:space="preserve">Voraussetzungen für den Zugang zu Diensten/Leistungen </v>
      </c>
      <c r="E67" s="23" t="s">
        <v>1463</v>
      </c>
      <c r="F67" s="2" t="s">
        <v>785</v>
      </c>
    </row>
    <row r="68" spans="1:6" ht="132.75">
      <c r="A68" s="7">
        <f>ROW()</f>
        <v>68</v>
      </c>
      <c r="B68" s="8" t="s">
        <v>1543</v>
      </c>
      <c r="C68" s="8" t="s">
        <v>1459</v>
      </c>
      <c r="D68" s="387" t="str">
        <f t="shared" si="2"/>
        <v>Beträge, Dauer und Kostenbeteiligung</v>
      </c>
      <c r="E68" s="23" t="s">
        <v>1464</v>
      </c>
      <c r="F68" s="2" t="s">
        <v>799</v>
      </c>
    </row>
    <row r="69" spans="1:6" ht="132.75">
      <c r="A69" s="7">
        <f>ROW()</f>
        <v>69</v>
      </c>
      <c r="B69" s="8" t="s">
        <v>1543</v>
      </c>
      <c r="C69" s="8" t="s">
        <v>1459</v>
      </c>
      <c r="D69" s="387" t="str">
        <f t="shared" si="2"/>
        <v>Besteuerung von Geldleistungen</v>
      </c>
      <c r="E69" s="23" t="s">
        <v>1456</v>
      </c>
      <c r="F69" s="2" t="s">
        <v>785</v>
      </c>
    </row>
    <row r="70" spans="1:6" ht="132.75">
      <c r="A70" s="7">
        <f>ROW()</f>
        <v>70</v>
      </c>
      <c r="B70" s="8" t="s">
        <v>1543</v>
      </c>
      <c r="C70" s="8" t="s">
        <v>1459</v>
      </c>
      <c r="D70" s="387" t="str">
        <f t="shared" si="2"/>
        <v>Auf Leistungen anfallende Sozialabgaben</v>
      </c>
      <c r="E70" s="23" t="s">
        <v>1457</v>
      </c>
      <c r="F70" s="2" t="s">
        <v>785</v>
      </c>
    </row>
    <row r="71" spans="1:6" ht="390">
      <c r="A71" s="7">
        <f>ROW()</f>
        <v>71</v>
      </c>
      <c r="B71" s="8" t="s">
        <v>1466</v>
      </c>
      <c r="C71" s="8" t="str">
        <f t="shared" ref="C71:D75" si="3">+D71</f>
        <v>Geltende Rechtsgrundlage</v>
      </c>
      <c r="D71" s="387" t="str">
        <f t="shared" si="3"/>
        <v>Geltende Rechtsgrundlage</v>
      </c>
      <c r="E71" s="22" t="s">
        <v>1472</v>
      </c>
      <c r="F71" s="2" t="s">
        <v>840</v>
      </c>
    </row>
    <row r="72" spans="1:6" ht="110.25">
      <c r="A72" s="7">
        <f>ROW()</f>
        <v>72</v>
      </c>
      <c r="B72" s="8" t="s">
        <v>1466</v>
      </c>
      <c r="C72" s="8" t="str">
        <f t="shared" si="3"/>
        <v>Grundprinzipien</v>
      </c>
      <c r="D72" s="387" t="str">
        <f t="shared" si="3"/>
        <v>Grundprinzipien</v>
      </c>
      <c r="E72" s="22" t="s">
        <v>1468</v>
      </c>
      <c r="F72" s="2" t="s">
        <v>866</v>
      </c>
    </row>
    <row r="73" spans="1:6" ht="315">
      <c r="A73" s="7">
        <f>ROW()</f>
        <v>73</v>
      </c>
      <c r="B73" s="8" t="s">
        <v>1466</v>
      </c>
      <c r="C73" s="9" t="str">
        <f t="shared" si="3"/>
        <v>Anwendungsbereich (in Bezug auf Verstorbene)</v>
      </c>
      <c r="D73" s="387" t="str">
        <f t="shared" si="3"/>
        <v>Anwendungsbereich (in Bezug auf Verstorbene)</v>
      </c>
      <c r="E73" s="22" t="s">
        <v>1473</v>
      </c>
      <c r="F73" s="2" t="s">
        <v>892</v>
      </c>
    </row>
    <row r="74" spans="1:6" ht="409.5">
      <c r="A74" s="7">
        <f>ROW()</f>
        <v>74</v>
      </c>
      <c r="B74" s="8" t="s">
        <v>1466</v>
      </c>
      <c r="C74" s="9" t="str">
        <f t="shared" si="3"/>
        <v>Ausnahmen von der Deckung der Pflichtversicherung (in Bezug auf Verstorbene)</v>
      </c>
      <c r="D74" s="387" t="str">
        <f t="shared" si="3"/>
        <v>Ausnahmen von der Deckung der Pflichtversicherung (in Bezug auf Verstorbene)</v>
      </c>
      <c r="E74" s="22" t="s">
        <v>1476</v>
      </c>
      <c r="F74" s="2" t="s">
        <v>110</v>
      </c>
    </row>
    <row r="75" spans="1:6" ht="144.75">
      <c r="A75" s="7">
        <f>ROW()</f>
        <v>75</v>
      </c>
      <c r="B75" s="8" t="s">
        <v>1466</v>
      </c>
      <c r="C75" s="9" t="str">
        <f t="shared" si="3"/>
        <v>Berechtigte Personen</v>
      </c>
      <c r="D75" s="387" t="str">
        <f t="shared" si="3"/>
        <v>Berechtigte Personen</v>
      </c>
      <c r="E75" s="22" t="s">
        <v>1477</v>
      </c>
      <c r="F75" s="2" t="s">
        <v>925</v>
      </c>
    </row>
    <row r="76" spans="1:6" ht="102">
      <c r="A76" s="7">
        <f>ROW()</f>
        <v>76</v>
      </c>
      <c r="B76" s="8" t="s">
        <v>1466</v>
      </c>
      <c r="C76" s="1"/>
      <c r="D76" s="388"/>
      <c r="E76" s="22" t="s">
        <v>1522</v>
      </c>
      <c r="F76" s="2"/>
    </row>
    <row r="77" spans="1:6" ht="181.5">
      <c r="A77" s="7">
        <f>ROW()</f>
        <v>77</v>
      </c>
      <c r="B77" s="8" t="s">
        <v>1466</v>
      </c>
      <c r="C77" s="8" t="s">
        <v>1544</v>
      </c>
      <c r="D77" s="387" t="str">
        <f t="shared" ref="D77:D90" si="4">+E77</f>
        <v>1. Verstorbener Versicherter</v>
      </c>
      <c r="E77" s="23" t="s">
        <v>1545</v>
      </c>
      <c r="F77" s="2" t="s">
        <v>949</v>
      </c>
    </row>
    <row r="78" spans="1:6" ht="181.5">
      <c r="A78" s="7">
        <f>ROW()</f>
        <v>78</v>
      </c>
      <c r="B78" s="8" t="s">
        <v>1466</v>
      </c>
      <c r="C78" s="8" t="s">
        <v>1544</v>
      </c>
      <c r="D78" s="387" t="str">
        <f t="shared" si="4"/>
        <v>2. Hinterbliebener Ehegatte</v>
      </c>
      <c r="E78" s="23" t="s">
        <v>1546</v>
      </c>
      <c r="F78" s="2" t="s">
        <v>3339</v>
      </c>
    </row>
    <row r="79" spans="1:6" ht="181.5">
      <c r="A79" s="7">
        <f>ROW()</f>
        <v>79</v>
      </c>
      <c r="B79" s="8" t="s">
        <v>1466</v>
      </c>
      <c r="C79" s="8" t="s">
        <v>1544</v>
      </c>
      <c r="D79" s="387" t="str">
        <f t="shared" si="4"/>
        <v>3. Geschiedener Ehegatte</v>
      </c>
      <c r="E79" s="23" t="s">
        <v>1547</v>
      </c>
      <c r="F79" s="2" t="s">
        <v>3340</v>
      </c>
    </row>
    <row r="80" spans="1:6" ht="181.5">
      <c r="A80" s="7">
        <f>ROW()</f>
        <v>80</v>
      </c>
      <c r="B80" s="8" t="s">
        <v>1466</v>
      </c>
      <c r="C80" s="8" t="s">
        <v>1544</v>
      </c>
      <c r="D80" s="387" t="str">
        <f t="shared" si="4"/>
        <v>4. Hinterbliebene Lebenspartner</v>
      </c>
      <c r="E80" s="23" t="s">
        <v>1548</v>
      </c>
      <c r="F80" s="2" t="s">
        <v>1009</v>
      </c>
    </row>
    <row r="81" spans="1:6" ht="181.5">
      <c r="A81" s="7">
        <f>ROW()</f>
        <v>81</v>
      </c>
      <c r="B81" s="8" t="s">
        <v>1466</v>
      </c>
      <c r="C81" s="8" t="s">
        <v>1544</v>
      </c>
      <c r="D81" s="387" t="str">
        <f t="shared" si="4"/>
        <v>5. Kinder</v>
      </c>
      <c r="E81" s="23" t="s">
        <v>1549</v>
      </c>
      <c r="F81" s="2" t="s">
        <v>1033</v>
      </c>
    </row>
    <row r="82" spans="1:6" ht="181.5">
      <c r="A82" s="7">
        <f>ROW()</f>
        <v>82</v>
      </c>
      <c r="B82" s="8" t="s">
        <v>1466</v>
      </c>
      <c r="C82" s="8" t="s">
        <v>1544</v>
      </c>
      <c r="D82" s="387" t="str">
        <f t="shared" si="4"/>
        <v>6. Andere Personen</v>
      </c>
      <c r="E82" s="23" t="s">
        <v>1550</v>
      </c>
      <c r="F82" s="2" t="s">
        <v>282</v>
      </c>
    </row>
    <row r="83" spans="1:6" ht="165">
      <c r="A83" s="7">
        <f>ROW()</f>
        <v>83</v>
      </c>
      <c r="B83" s="8" t="s">
        <v>1466</v>
      </c>
      <c r="C83" s="8" t="s">
        <v>1459</v>
      </c>
      <c r="D83" s="387" t="str">
        <f t="shared" si="4"/>
        <v>1. Hinterbliebener Ehegatte, geschiedener Ehegatte, hinterbliebene Lebenspartner</v>
      </c>
      <c r="E83" s="23" t="s">
        <v>1551</v>
      </c>
      <c r="F83" s="2" t="s">
        <v>1067</v>
      </c>
    </row>
    <row r="84" spans="1:6" ht="102">
      <c r="A84" s="7">
        <f>ROW()</f>
        <v>84</v>
      </c>
      <c r="B84" s="8" t="s">
        <v>1466</v>
      </c>
      <c r="C84" s="8" t="s">
        <v>1459</v>
      </c>
      <c r="D84" s="387" t="str">
        <f t="shared" si="4"/>
        <v>2. Hinterbliebener Ehegatte: Wiederheirat</v>
      </c>
      <c r="E84" s="23" t="s">
        <v>1552</v>
      </c>
      <c r="F84" s="2" t="s">
        <v>1090</v>
      </c>
    </row>
    <row r="85" spans="1:6" ht="102">
      <c r="A85" s="7">
        <f>ROW()</f>
        <v>85</v>
      </c>
      <c r="B85" s="8" t="s">
        <v>1466</v>
      </c>
      <c r="C85" s="8" t="s">
        <v>1459</v>
      </c>
      <c r="D85" s="387" t="str">
        <f t="shared" si="4"/>
        <v>3. Kinder</v>
      </c>
      <c r="E85" s="23" t="s">
        <v>1553</v>
      </c>
      <c r="F85" s="2" t="s">
        <v>1117</v>
      </c>
    </row>
    <row r="86" spans="1:6" ht="102">
      <c r="A86" s="7">
        <f>ROW()</f>
        <v>86</v>
      </c>
      <c r="B86" s="8" t="s">
        <v>1466</v>
      </c>
      <c r="C86" s="8" t="s">
        <v>1459</v>
      </c>
      <c r="D86" s="387" t="str">
        <f t="shared" si="4"/>
        <v>4. Andere Berechtigte</v>
      </c>
      <c r="E86" s="23" t="s">
        <v>1554</v>
      </c>
      <c r="F86" s="2" t="s">
        <v>282</v>
      </c>
    </row>
    <row r="87" spans="1:6" ht="105.75">
      <c r="A87" s="7">
        <f>ROW()</f>
        <v>87</v>
      </c>
      <c r="B87" s="8" t="s">
        <v>1466</v>
      </c>
      <c r="C87" s="8" t="s">
        <v>1459</v>
      </c>
      <c r="D87" s="387" t="str">
        <f t="shared" si="4"/>
        <v xml:space="preserve"> 5. Höchster zahlbarer Gesamtbetrag für alle Berechtigten</v>
      </c>
      <c r="E87" s="23" t="s">
        <v>1555</v>
      </c>
      <c r="F87" s="2" t="s">
        <v>1149</v>
      </c>
    </row>
    <row r="88" spans="1:6" ht="102">
      <c r="A88" s="7">
        <f>ROW()</f>
        <v>88</v>
      </c>
      <c r="B88" s="8" t="s">
        <v>1466</v>
      </c>
      <c r="C88" s="8" t="s">
        <v>1459</v>
      </c>
      <c r="D88" s="387" t="str">
        <f t="shared" si="4"/>
        <v>6. Sonstige Leistungen</v>
      </c>
      <c r="E88" s="23" t="s">
        <v>1556</v>
      </c>
      <c r="F88" s="2" t="s">
        <v>1167</v>
      </c>
    </row>
    <row r="89" spans="1:6" ht="102">
      <c r="A89" s="7">
        <f>ROW()</f>
        <v>89</v>
      </c>
      <c r="B89" s="8" t="s">
        <v>1466</v>
      </c>
      <c r="C89" s="8" t="s">
        <v>1459</v>
      </c>
      <c r="D89" s="387" t="str">
        <f>+E89</f>
        <v>7. Mindestleistung</v>
      </c>
      <c r="E89" s="23" t="s">
        <v>1557</v>
      </c>
      <c r="F89" s="2" t="s">
        <v>1195</v>
      </c>
    </row>
    <row r="90" spans="1:6" ht="102">
      <c r="A90" s="7">
        <f>ROW()</f>
        <v>90</v>
      </c>
      <c r="B90" s="8" t="s">
        <v>1466</v>
      </c>
      <c r="C90" s="8" t="s">
        <v>1459</v>
      </c>
      <c r="D90" s="387" t="str">
        <f t="shared" si="4"/>
        <v xml:space="preserve"> 8. Höchstleistung</v>
      </c>
      <c r="E90" s="23" t="s">
        <v>1558</v>
      </c>
      <c r="F90" s="2" t="s">
        <v>1218</v>
      </c>
    </row>
    <row r="91" spans="1:6" ht="179.25">
      <c r="A91" s="7">
        <f>ROW()</f>
        <v>91</v>
      </c>
      <c r="B91" s="8" t="s">
        <v>1466</v>
      </c>
      <c r="C91" s="8" t="s">
        <v>1538</v>
      </c>
      <c r="D91" s="387" t="str">
        <f>+C91</f>
        <v>Indexbindung / Anpassung</v>
      </c>
      <c r="E91" s="22" t="s">
        <v>1538</v>
      </c>
      <c r="F91" s="2" t="s">
        <v>1240</v>
      </c>
    </row>
    <row r="92" spans="1:6" ht="179.25">
      <c r="A92" s="7">
        <f>ROW()</f>
        <v>92</v>
      </c>
      <c r="B92" s="8" t="s">
        <v>1466</v>
      </c>
      <c r="C92" s="8" t="s">
        <v>1538</v>
      </c>
      <c r="D92" s="387" t="str">
        <f t="shared" ref="D92:D105" si="5">+E92</f>
        <v>Kumulation mit Erwerbseinkommen</v>
      </c>
      <c r="E92" s="22" t="s">
        <v>1471</v>
      </c>
      <c r="F92" s="2" t="s">
        <v>1266</v>
      </c>
    </row>
    <row r="93" spans="1:6" ht="179.25">
      <c r="A93" s="7">
        <f>ROW()</f>
        <v>93</v>
      </c>
      <c r="B93" s="8" t="s">
        <v>1466</v>
      </c>
      <c r="C93" s="8" t="s">
        <v>1538</v>
      </c>
      <c r="D93" s="387" t="str">
        <f t="shared" si="5"/>
        <v>Kumulation mit anderen Sozialleistungen</v>
      </c>
      <c r="E93" s="22" t="s">
        <v>1460</v>
      </c>
      <c r="F93" s="2" t="s">
        <v>1294</v>
      </c>
    </row>
    <row r="94" spans="1:6" ht="213.75">
      <c r="A94" s="7">
        <f>ROW()</f>
        <v>94</v>
      </c>
      <c r="B94" s="8" t="s">
        <v>1466</v>
      </c>
      <c r="C94" s="9" t="s">
        <v>1465</v>
      </c>
      <c r="D94" s="387" t="str">
        <f t="shared" si="5"/>
        <v>1. Besteuerung von Geldleistungen</v>
      </c>
      <c r="E94" s="23" t="s">
        <v>1509</v>
      </c>
      <c r="F94" s="2" t="s">
        <v>1322</v>
      </c>
    </row>
    <row r="95" spans="1:6" ht="213.75">
      <c r="A95" s="7">
        <f>ROW()</f>
        <v>95</v>
      </c>
      <c r="B95" s="8" t="s">
        <v>1466</v>
      </c>
      <c r="C95" s="9" t="s">
        <v>1465</v>
      </c>
      <c r="D95" s="387" t="str">
        <f t="shared" si="5"/>
        <v>2. Einkommensgrenze für Besteuerung von Geldleistungen</v>
      </c>
      <c r="E95" s="23" t="s">
        <v>1511</v>
      </c>
      <c r="F95" s="2" t="s">
        <v>1341</v>
      </c>
    </row>
    <row r="96" spans="1:6" ht="213.75">
      <c r="A96" s="7">
        <f>ROW()</f>
        <v>96</v>
      </c>
      <c r="B96" s="8" t="s">
        <v>1466</v>
      </c>
      <c r="C96" s="9" t="s">
        <v>1465</v>
      </c>
      <c r="D96" s="387" t="str">
        <f t="shared" si="5"/>
        <v>3. Auf Leistungen anfallende Sozialabgaben</v>
      </c>
      <c r="E96" s="23" t="s">
        <v>1512</v>
      </c>
      <c r="F96" s="2" t="s">
        <v>1361</v>
      </c>
    </row>
    <row r="97" spans="1:6" ht="102">
      <c r="A97" s="7">
        <f>ROW()</f>
        <v>97</v>
      </c>
      <c r="B97" s="8" t="s">
        <v>1466</v>
      </c>
      <c r="C97" s="9" t="s">
        <v>1514</v>
      </c>
      <c r="D97" s="387" t="str">
        <f t="shared" si="5"/>
        <v>Anwendungsbereich</v>
      </c>
      <c r="E97" s="23" t="s">
        <v>1467</v>
      </c>
      <c r="F97" s="2" t="s">
        <v>696</v>
      </c>
    </row>
    <row r="98" spans="1:6" ht="102">
      <c r="A98" s="7">
        <f>ROW()</f>
        <v>98</v>
      </c>
      <c r="B98" s="8" t="s">
        <v>1466</v>
      </c>
      <c r="C98" s="9" t="s">
        <v>1514</v>
      </c>
      <c r="D98" s="387" t="str">
        <f t="shared" si="5"/>
        <v>Grundprinzipien</v>
      </c>
      <c r="E98" s="23" t="s">
        <v>1468</v>
      </c>
      <c r="F98" s="2" t="s">
        <v>1393</v>
      </c>
    </row>
    <row r="99" spans="1:6" ht="102">
      <c r="A99" s="7">
        <f>ROW()</f>
        <v>99</v>
      </c>
      <c r="B99" s="8" t="s">
        <v>1466</v>
      </c>
      <c r="C99" s="9" t="s">
        <v>1514</v>
      </c>
      <c r="D99" s="387" t="str">
        <f t="shared" si="5"/>
        <v>Voraussetzungen für die Deckung</v>
      </c>
      <c r="E99" s="23" t="s">
        <v>1469</v>
      </c>
      <c r="F99" s="2" t="s">
        <v>744</v>
      </c>
    </row>
    <row r="100" spans="1:6" ht="132.75">
      <c r="A100" s="7">
        <f>ROW()</f>
        <v>100</v>
      </c>
      <c r="B100" s="8" t="s">
        <v>1466</v>
      </c>
      <c r="C100" s="9" t="s">
        <v>1514</v>
      </c>
      <c r="D100" s="387" t="str">
        <f t="shared" si="5"/>
        <v>Kombination von selbstständiger und unselbstständiger Tätigkeit</v>
      </c>
      <c r="E100" s="23" t="s">
        <v>1462</v>
      </c>
      <c r="F100" s="2" t="s">
        <v>1417</v>
      </c>
    </row>
    <row r="101" spans="1:6" ht="103.5">
      <c r="A101" s="7">
        <f>ROW()</f>
        <v>101</v>
      </c>
      <c r="B101" s="8" t="s">
        <v>1466</v>
      </c>
      <c r="C101" s="9" t="s">
        <v>1514</v>
      </c>
      <c r="D101" s="387" t="str">
        <f t="shared" si="5"/>
        <v xml:space="preserve">Voraussetzungen für den Zugang zu Diensten/Leistungen </v>
      </c>
      <c r="E101" s="23" t="s">
        <v>1463</v>
      </c>
      <c r="F101" s="2" t="s">
        <v>785</v>
      </c>
    </row>
    <row r="102" spans="1:6" ht="102">
      <c r="A102" s="7">
        <f>ROW()</f>
        <v>102</v>
      </c>
      <c r="B102" s="8" t="s">
        <v>1466</v>
      </c>
      <c r="C102" s="9" t="s">
        <v>1514</v>
      </c>
      <c r="D102" s="387" t="str">
        <f t="shared" si="5"/>
        <v>Beträge, Dauer und Kostenbeteiligung</v>
      </c>
      <c r="E102" s="23" t="s">
        <v>1464</v>
      </c>
      <c r="F102" s="2" t="s">
        <v>785</v>
      </c>
    </row>
    <row r="103" spans="1:6" ht="102">
      <c r="A103" s="7">
        <f>ROW()</f>
        <v>103</v>
      </c>
      <c r="B103" s="8" t="s">
        <v>1466</v>
      </c>
      <c r="C103" s="9" t="s">
        <v>1514</v>
      </c>
      <c r="D103" s="387" t="str">
        <f t="shared" si="5"/>
        <v>Besteuerung und Sozialabgaben</v>
      </c>
      <c r="E103" s="23" t="s">
        <v>1465</v>
      </c>
      <c r="F103" s="2"/>
    </row>
    <row r="104" spans="1:6" ht="102">
      <c r="A104" s="7">
        <f>ROW()</f>
        <v>104</v>
      </c>
      <c r="B104" s="8" t="s">
        <v>1466</v>
      </c>
      <c r="C104" s="9" t="s">
        <v>1514</v>
      </c>
      <c r="D104" s="387" t="str">
        <f t="shared" si="5"/>
        <v>Besteuerung von Geldleistungen</v>
      </c>
      <c r="E104" s="23" t="s">
        <v>1456</v>
      </c>
      <c r="F104" s="2" t="s">
        <v>785</v>
      </c>
    </row>
    <row r="105" spans="1:6" ht="102">
      <c r="A105" s="7">
        <f>ROW()</f>
        <v>105</v>
      </c>
      <c r="B105" s="8" t="s">
        <v>1466</v>
      </c>
      <c r="C105" s="9" t="s">
        <v>1514</v>
      </c>
      <c r="D105" s="387" t="str">
        <f t="shared" si="5"/>
        <v>Auf Leistungen anfallende Sozialabgaben</v>
      </c>
      <c r="E105" s="23" t="s">
        <v>1457</v>
      </c>
      <c r="F105" s="2" t="s">
        <v>785</v>
      </c>
    </row>
    <row r="106" spans="1:6">
      <c r="C106" s="11"/>
      <c r="D106" s="386"/>
    </row>
    <row r="107" spans="1:6">
      <c r="C107" s="11"/>
      <c r="D107" s="386"/>
    </row>
    <row r="108" spans="1:6">
      <c r="C108" s="11"/>
      <c r="D108" s="386"/>
    </row>
    <row r="109" spans="1:6">
      <c r="C109" s="11"/>
      <c r="D109" s="386"/>
    </row>
    <row r="110" spans="1:6">
      <c r="C110" s="11"/>
      <c r="D110" s="386"/>
    </row>
    <row r="111" spans="1:6">
      <c r="C111" s="11"/>
      <c r="D111" s="386"/>
    </row>
    <row r="112" spans="1:6">
      <c r="C112" s="11"/>
      <c r="D112" s="386"/>
    </row>
    <row r="113" spans="3:4">
      <c r="C113" s="11"/>
      <c r="D113" s="386"/>
    </row>
  </sheetData>
  <sheetProtection algorithmName="SHA-512" hashValue="WZ76hz7HjmXLAn2uQcYgcKvlb2C/KHTI7QfZuOs6LP37lpPZBcVZhU9qt/z3vOHO1c/4nBiE/o5rpRnQwR0hlA==" saltValue="b5NecB5ZMuNdLGXkE6GDDg==" spinCount="100000" sheet="1" objects="1" scenarios="1" formatColumns="0" autoFilter="0"/>
  <autoFilter ref="A2:F105" xr:uid="{E62B82B5-C416-46AA-BCE5-3EDA69EFB13A}"/>
  <pageMargins left="0.7" right="0.7" top="0.78740157499999996" bottom="0.78740157499999996"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4AF38-F4B5-4761-91D7-59384985C97E}">
  <sheetPr codeName="Tabelle10"/>
  <dimension ref="A1:F113"/>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8</v>
      </c>
    </row>
    <row r="2" spans="1:6" ht="39.75" customHeight="1">
      <c r="A2" s="128"/>
      <c r="B2" s="129"/>
      <c r="C2" s="126"/>
      <c r="D2" s="126"/>
      <c r="E2" s="124"/>
      <c r="F2" s="162" t="str" cm="1">
        <f t="array" ref="F2">_xlfn.TEXTJOIN("; ", TRUE, IF(Entscheidungen!A2:A100=F1, Entscheidungen!B2:B100, ""))</f>
        <v>OLG Brandenburg, 17.08.2021 – 13 UF 25/20</v>
      </c>
    </row>
    <row r="3" spans="1:6" ht="177">
      <c r="A3" s="7">
        <f>ROW()</f>
        <v>3</v>
      </c>
      <c r="B3" s="8" t="s">
        <v>1479</v>
      </c>
      <c r="C3" s="8"/>
      <c r="D3" s="8" t="str">
        <f>+E3</f>
        <v>Geltende Rechtsgrundlage</v>
      </c>
      <c r="E3" s="21" t="s">
        <v>1472</v>
      </c>
      <c r="F3" s="2" t="s">
        <v>38</v>
      </c>
    </row>
    <row r="4" spans="1:6" ht="165">
      <c r="A4" s="7">
        <f>ROW()</f>
        <v>4</v>
      </c>
      <c r="B4" s="8" t="s">
        <v>1479</v>
      </c>
      <c r="C4" s="1"/>
      <c r="D4" s="8" t="str">
        <f t="shared" ref="D4:D34" si="0">+E4</f>
        <v>Grundprinzipien</v>
      </c>
      <c r="E4" s="22" t="s">
        <v>1468</v>
      </c>
      <c r="F4" s="2" t="s">
        <v>3341</v>
      </c>
    </row>
    <row r="5" spans="1:6" ht="188.25">
      <c r="A5" s="7">
        <f>ROW()</f>
        <v>5</v>
      </c>
      <c r="B5" s="8" t="s">
        <v>1479</v>
      </c>
      <c r="C5" s="1"/>
      <c r="D5" s="8" t="str">
        <f t="shared" si="0"/>
        <v>Gedecktes Risiko: Definition</v>
      </c>
      <c r="E5" s="22" t="s">
        <v>1630</v>
      </c>
      <c r="F5" s="2" t="s">
        <v>2018</v>
      </c>
    </row>
    <row r="6" spans="1:6" ht="144">
      <c r="A6" s="7">
        <f>ROW()</f>
        <v>6</v>
      </c>
      <c r="B6" s="8" t="s">
        <v>1479</v>
      </c>
      <c r="C6" s="8" t="s">
        <v>1453</v>
      </c>
      <c r="D6" s="8" t="str">
        <f t="shared" si="0"/>
        <v>Versicherte Personen</v>
      </c>
      <c r="E6" s="23" t="s">
        <v>1453</v>
      </c>
      <c r="F6" s="2" t="s">
        <v>2019</v>
      </c>
    </row>
    <row r="7" spans="1:6" ht="273">
      <c r="A7" s="7">
        <f>ROW()</f>
        <v>7</v>
      </c>
      <c r="B7" s="8" t="s">
        <v>1479</v>
      </c>
      <c r="C7" s="8" t="str">
        <f>+E6</f>
        <v>Versicherte Personen</v>
      </c>
      <c r="D7" s="8" t="str">
        <f t="shared" si="0"/>
        <v>Ausnahmen von der Versicherungspflicht</v>
      </c>
      <c r="E7" s="23" t="s">
        <v>1458</v>
      </c>
      <c r="F7" s="2" t="s">
        <v>2020</v>
      </c>
    </row>
    <row r="8" spans="1:6" ht="194.25">
      <c r="A8" s="7">
        <f>ROW()</f>
        <v>8</v>
      </c>
      <c r="B8" s="8" t="s">
        <v>1479</v>
      </c>
      <c r="C8" s="9" t="s">
        <v>128</v>
      </c>
      <c r="D8" s="8" t="str">
        <f t="shared" si="0"/>
        <v>1. Anwartschaftszeit</v>
      </c>
      <c r="E8" s="23" t="s">
        <v>1483</v>
      </c>
      <c r="F8" s="2" t="s">
        <v>2021</v>
      </c>
    </row>
    <row r="9" spans="1:6" ht="409.5">
      <c r="A9" s="7">
        <f>ROW()</f>
        <v>9</v>
      </c>
      <c r="B9" s="8" t="s">
        <v>1479</v>
      </c>
      <c r="C9" s="9" t="s">
        <v>128</v>
      </c>
      <c r="D9" s="8" t="str">
        <f t="shared" si="0"/>
        <v xml:space="preserve">2. Begutachtungskriterien und Kategorien der Arbeitsunfähigkeit/Arbeitsfähigkeit  </v>
      </c>
      <c r="E9" s="23" t="s">
        <v>1484</v>
      </c>
      <c r="F9" s="2" t="s">
        <v>2022</v>
      </c>
    </row>
    <row r="10" spans="1:6" ht="222">
      <c r="A10" s="7">
        <f>ROW()</f>
        <v>10</v>
      </c>
      <c r="B10" s="8" t="s">
        <v>1479</v>
      </c>
      <c r="C10" s="9" t="s">
        <v>128</v>
      </c>
      <c r="D10" s="8" t="str">
        <f t="shared" si="0"/>
        <v>3. Zeitraum der Leistungszahlung</v>
      </c>
      <c r="E10" s="23" t="s">
        <v>1486</v>
      </c>
      <c r="F10" s="2" t="s">
        <v>2023</v>
      </c>
    </row>
    <row r="11" spans="1:6" ht="180">
      <c r="A11" s="7">
        <f>ROW()</f>
        <v>11</v>
      </c>
      <c r="B11" s="8" t="s">
        <v>1479</v>
      </c>
      <c r="C11" s="9" t="s">
        <v>1488</v>
      </c>
      <c r="D11" s="8" t="str">
        <f t="shared" si="0"/>
        <v>1. Gutachter</v>
      </c>
      <c r="E11" s="23" t="s">
        <v>1489</v>
      </c>
      <c r="F11" s="2" t="s">
        <v>2024</v>
      </c>
    </row>
    <row r="12" spans="1:6" ht="150">
      <c r="A12" s="7">
        <f>ROW()</f>
        <v>12</v>
      </c>
      <c r="B12" s="8" t="s">
        <v>1479</v>
      </c>
      <c r="C12" s="9" t="s">
        <v>1488</v>
      </c>
      <c r="D12" s="8" t="str">
        <f t="shared" si="0"/>
        <v xml:space="preserve">2. Überprüfung  </v>
      </c>
      <c r="E12" s="23" t="s">
        <v>1490</v>
      </c>
      <c r="F12" s="2" t="s">
        <v>2025</v>
      </c>
    </row>
    <row r="13" spans="1:6" ht="291.75">
      <c r="A13" s="7">
        <f>ROW()</f>
        <v>13</v>
      </c>
      <c r="B13" s="8" t="s">
        <v>1479</v>
      </c>
      <c r="C13" s="8" t="s">
        <v>1459</v>
      </c>
      <c r="D13" s="8" t="str">
        <f t="shared" si="0"/>
        <v>1. Berechnungsmethode bzw. Rentenformel</v>
      </c>
      <c r="E13" s="23" t="s">
        <v>1492</v>
      </c>
      <c r="F13" s="2" t="s">
        <v>3342</v>
      </c>
    </row>
    <row r="14" spans="1:6" ht="343.5">
      <c r="A14" s="7">
        <f>ROW()</f>
        <v>14</v>
      </c>
      <c r="B14" s="8" t="s">
        <v>1479</v>
      </c>
      <c r="C14" s="8" t="s">
        <v>1459</v>
      </c>
      <c r="D14" s="8" t="str">
        <f t="shared" si="0"/>
        <v>2. Referenzeinkommen bzw. Berechnungsgrundlage</v>
      </c>
      <c r="E14" s="23" t="s">
        <v>1493</v>
      </c>
      <c r="F14" s="2" t="s">
        <v>2026</v>
      </c>
    </row>
    <row r="15" spans="1:6" ht="226.5">
      <c r="A15" s="7">
        <f>ROW()</f>
        <v>15</v>
      </c>
      <c r="B15" s="8" t="s">
        <v>1479</v>
      </c>
      <c r="C15" s="8" t="s">
        <v>1459</v>
      </c>
      <c r="D15" s="8" t="str">
        <f t="shared" si="0"/>
        <v>3. Mindest- und Höchstleistungen</v>
      </c>
      <c r="E15" s="23" t="s">
        <v>1495</v>
      </c>
      <c r="F15" s="2" t="s">
        <v>2027</v>
      </c>
    </row>
    <row r="16" spans="1:6" ht="405">
      <c r="A16" s="7">
        <f>ROW()</f>
        <v>16</v>
      </c>
      <c r="B16" s="8" t="s">
        <v>1479</v>
      </c>
      <c r="C16" s="8" t="s">
        <v>1459</v>
      </c>
      <c r="D16" s="8" t="str">
        <f t="shared" si="0"/>
        <v>4. Anrechenbare oder als Beitragszeiten gewertete Zeiträume</v>
      </c>
      <c r="E16" s="23" t="s">
        <v>1496</v>
      </c>
      <c r="F16" s="2" t="s">
        <v>2028</v>
      </c>
    </row>
    <row r="17" spans="1:6" ht="250.5">
      <c r="A17" s="7">
        <f>ROW()</f>
        <v>17</v>
      </c>
      <c r="B17" s="8" t="s">
        <v>1479</v>
      </c>
      <c r="C17" s="8" t="s">
        <v>1459</v>
      </c>
      <c r="D17" s="8" t="str">
        <f t="shared" si="0"/>
        <v xml:space="preserve">5. Zulagen für Unterhaltsberechtigte  </v>
      </c>
      <c r="E17" s="23" t="s">
        <v>1498</v>
      </c>
      <c r="F17" s="2" t="s">
        <v>2029</v>
      </c>
    </row>
    <row r="18" spans="1:6" ht="135">
      <c r="A18" s="7">
        <f>ROW()</f>
        <v>18</v>
      </c>
      <c r="B18" s="8" t="s">
        <v>1479</v>
      </c>
      <c r="C18" s="8" t="str">
        <f>+E18</f>
        <v>Sonstige Leistungen</v>
      </c>
      <c r="D18" s="8" t="str">
        <f>+E18</f>
        <v>Sonstige Leistungen</v>
      </c>
      <c r="E18" s="22" t="s">
        <v>1455</v>
      </c>
      <c r="F18" s="2" t="s">
        <v>2030</v>
      </c>
    </row>
    <row r="19" spans="1:6" ht="300.75">
      <c r="A19" s="7">
        <f>ROW()</f>
        <v>19</v>
      </c>
      <c r="B19" s="8" t="s">
        <v>1479</v>
      </c>
      <c r="C19" s="8" t="s">
        <v>1500</v>
      </c>
      <c r="D19" s="8" t="str">
        <f t="shared" si="0"/>
        <v>Umschulung, berufsbezogene Rehabilitation</v>
      </c>
      <c r="E19" s="23" t="s">
        <v>1501</v>
      </c>
      <c r="F19" s="2" t="s">
        <v>2031</v>
      </c>
    </row>
    <row r="20" spans="1:6" ht="409.5">
      <c r="A20" s="7">
        <f>ROW()</f>
        <v>20</v>
      </c>
      <c r="B20" s="8" t="s">
        <v>1479</v>
      </c>
      <c r="C20" s="8" t="s">
        <v>1500</v>
      </c>
      <c r="D20" s="8" t="str">
        <f t="shared" si="0"/>
        <v xml:space="preserve">Bevorzugte und reservierte Beschäftigung von Menschen mit Behinderungen  </v>
      </c>
      <c r="E20" s="23" t="s">
        <v>1502</v>
      </c>
      <c r="F20" s="2" t="s">
        <v>3343</v>
      </c>
    </row>
    <row r="21" spans="1:6" ht="171.75">
      <c r="A21" s="7">
        <f>ROW()</f>
        <v>21</v>
      </c>
      <c r="B21" s="8" t="s">
        <v>1479</v>
      </c>
      <c r="C21" s="8" t="s">
        <v>1504</v>
      </c>
      <c r="D21" s="8" t="str">
        <f t="shared" si="0"/>
        <v>Indexbindung/Anpassung</v>
      </c>
      <c r="E21" s="22" t="s">
        <v>1505</v>
      </c>
      <c r="F21" s="2" t="s">
        <v>2032</v>
      </c>
    </row>
    <row r="22" spans="1:6" ht="242.25">
      <c r="A22" s="7">
        <f>ROW()</f>
        <v>22</v>
      </c>
      <c r="B22" s="8" t="s">
        <v>1479</v>
      </c>
      <c r="C22" s="8" t="s">
        <v>1504</v>
      </c>
      <c r="D22" s="8" t="str">
        <f>+E22</f>
        <v>Kumulation mit Erwerbseinkommen</v>
      </c>
      <c r="E22" s="22" t="s">
        <v>1471</v>
      </c>
      <c r="F22" s="2" t="s">
        <v>2033</v>
      </c>
    </row>
    <row r="23" spans="1:6" ht="275.25">
      <c r="A23" s="7">
        <f>ROW()</f>
        <v>23</v>
      </c>
      <c r="B23" s="8" t="s">
        <v>1479</v>
      </c>
      <c r="C23" s="8" t="s">
        <v>1504</v>
      </c>
      <c r="D23" s="8" t="str">
        <f t="shared" si="0"/>
        <v>Kumulation mit anderen Sozialleistungen</v>
      </c>
      <c r="E23" s="22" t="s">
        <v>1460</v>
      </c>
      <c r="F23" s="2" t="s">
        <v>2034</v>
      </c>
    </row>
    <row r="24" spans="1:6" ht="232.5">
      <c r="A24" s="7">
        <f>ROW()</f>
        <v>24</v>
      </c>
      <c r="B24" s="8" t="s">
        <v>1479</v>
      </c>
      <c r="C24" s="8" t="s">
        <v>1465</v>
      </c>
      <c r="D24" s="8" t="str">
        <f t="shared" si="0"/>
        <v>1. Besteuerung von Geldleistungen</v>
      </c>
      <c r="E24" s="23" t="s">
        <v>1509</v>
      </c>
      <c r="F24" s="2" t="s">
        <v>2035</v>
      </c>
    </row>
    <row r="25" spans="1:6" ht="387">
      <c r="A25" s="7">
        <f>ROW()</f>
        <v>25</v>
      </c>
      <c r="B25" s="8" t="s">
        <v>1479</v>
      </c>
      <c r="C25" s="8" t="s">
        <v>1465</v>
      </c>
      <c r="D25" s="8" t="str">
        <f t="shared" si="0"/>
        <v>2. Einkommensgrenze für Besteuerung von Geldleistungen</v>
      </c>
      <c r="E25" s="23" t="s">
        <v>1511</v>
      </c>
      <c r="F25" s="2" t="s">
        <v>2036</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2037</v>
      </c>
    </row>
    <row r="28" spans="1:6" ht="110.25">
      <c r="A28" s="7">
        <f>ROW()</f>
        <v>28</v>
      </c>
      <c r="B28" s="8" t="s">
        <v>1479</v>
      </c>
      <c r="C28" s="8" t="s">
        <v>1514</v>
      </c>
      <c r="D28" s="8" t="str">
        <f t="shared" si="0"/>
        <v>Grundprinzipien</v>
      </c>
      <c r="E28" s="23" t="s">
        <v>1468</v>
      </c>
      <c r="F28" s="2" t="s">
        <v>1447</v>
      </c>
    </row>
    <row r="29" spans="1:6" ht="224.25">
      <c r="A29" s="7">
        <f>ROW()</f>
        <v>29</v>
      </c>
      <c r="B29" s="8" t="s">
        <v>1479</v>
      </c>
      <c r="C29" s="8" t="s">
        <v>1514</v>
      </c>
      <c r="D29" s="8" t="str">
        <f t="shared" si="0"/>
        <v>Voraussetzungen für die Deckung</v>
      </c>
      <c r="E29" s="23" t="s">
        <v>1469</v>
      </c>
      <c r="F29" s="2" t="s">
        <v>2038</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2039</v>
      </c>
    </row>
    <row r="34" spans="1:6" ht="276.75">
      <c r="A34" s="7">
        <f>ROW()</f>
        <v>34</v>
      </c>
      <c r="B34" s="8" t="s">
        <v>1479</v>
      </c>
      <c r="C34" s="8" t="s">
        <v>1459</v>
      </c>
      <c r="D34" s="8" t="str">
        <f t="shared" si="0"/>
        <v xml:space="preserve"> Auf Leistungen anfallende Sozialabgaben</v>
      </c>
      <c r="E34" s="23" t="s">
        <v>1518</v>
      </c>
      <c r="F34" s="2" t="s">
        <v>825</v>
      </c>
    </row>
    <row r="35" spans="1:6" ht="177">
      <c r="A35" s="7">
        <f>ROW()</f>
        <v>35</v>
      </c>
      <c r="B35" s="8" t="s">
        <v>1519</v>
      </c>
      <c r="C35" s="8" t="str">
        <f>+D35</f>
        <v>Geltende Rechtsgrundlage</v>
      </c>
      <c r="D35" s="8" t="str">
        <f>+E35</f>
        <v>Geltende Rechtsgrundlage</v>
      </c>
      <c r="E35" s="22" t="s">
        <v>1472</v>
      </c>
      <c r="F35" s="2" t="s">
        <v>38</v>
      </c>
    </row>
    <row r="36" spans="1:6" ht="110.25">
      <c r="A36" s="7">
        <f>ROW()</f>
        <v>36</v>
      </c>
      <c r="B36" s="8" t="s">
        <v>1519</v>
      </c>
      <c r="C36" s="8" t="str">
        <f>+D36</f>
        <v>Grundprinzipien</v>
      </c>
      <c r="D36" s="8" t="str">
        <f>+E36</f>
        <v>Grundprinzipien</v>
      </c>
      <c r="E36" s="22" t="s">
        <v>1468</v>
      </c>
      <c r="F36" s="2" t="s">
        <v>67</v>
      </c>
    </row>
    <row r="37" spans="1:6" ht="159.75">
      <c r="A37" s="7">
        <f>ROW()</f>
        <v>37</v>
      </c>
      <c r="B37" s="8" t="s">
        <v>1519</v>
      </c>
      <c r="C37" s="8" t="s">
        <v>1467</v>
      </c>
      <c r="D37" s="8" t="str">
        <f>+E37</f>
        <v>1. Versicherte Personen</v>
      </c>
      <c r="E37" s="23" t="s">
        <v>1520</v>
      </c>
      <c r="F37" s="2" t="s">
        <v>92</v>
      </c>
    </row>
    <row r="38" spans="1:6" ht="371.25">
      <c r="A38" s="7">
        <f>ROW()</f>
        <v>38</v>
      </c>
      <c r="B38" s="8" t="s">
        <v>1519</v>
      </c>
      <c r="C38" s="8" t="s">
        <v>1467</v>
      </c>
      <c r="D38" s="8" t="str">
        <f t="shared" ref="D38:D58" si="1">+E38</f>
        <v>2. Ausnahmen von der Deckung  der Pflichtversicherung</v>
      </c>
      <c r="E38" s="23" t="s">
        <v>1521</v>
      </c>
      <c r="F38" s="2" t="s">
        <v>116</v>
      </c>
    </row>
    <row r="39" spans="1:6" ht="194.25">
      <c r="A39" s="7">
        <f>ROW()</f>
        <v>39</v>
      </c>
      <c r="B39" s="8" t="s">
        <v>1519</v>
      </c>
      <c r="C39" s="8" t="s">
        <v>128</v>
      </c>
      <c r="D39" s="8" t="str">
        <f t="shared" si="1"/>
        <v>1. Rentenalter</v>
      </c>
      <c r="E39" s="23" t="s">
        <v>1523</v>
      </c>
      <c r="F39" s="2" t="s">
        <v>134</v>
      </c>
    </row>
    <row r="40" spans="1:6" ht="409.5">
      <c r="A40" s="7">
        <f>ROW()</f>
        <v>40</v>
      </c>
      <c r="B40" s="8" t="s">
        <v>1519</v>
      </c>
      <c r="C40" s="8" t="s">
        <v>128</v>
      </c>
      <c r="D40" s="8" t="str">
        <f t="shared" si="1"/>
        <v>2. Anwartschaftszeit und sonstige Anspruchsvoraussetzungen für den Bezug einer Altersrente</v>
      </c>
      <c r="E40" s="23" t="s">
        <v>1524</v>
      </c>
      <c r="F40" s="2" t="s">
        <v>156</v>
      </c>
    </row>
    <row r="41" spans="1:6" ht="194.25">
      <c r="A41" s="7">
        <f>ROW()</f>
        <v>41</v>
      </c>
      <c r="B41" s="8" t="s">
        <v>1519</v>
      </c>
      <c r="C41" s="8" t="s">
        <v>128</v>
      </c>
      <c r="D41" s="8" t="str">
        <f t="shared" si="1"/>
        <v>3. Vorruhestand</v>
      </c>
      <c r="E41" s="23" t="s">
        <v>1525</v>
      </c>
      <c r="F41" s="2" t="s">
        <v>177</v>
      </c>
    </row>
    <row r="42" spans="1:6" ht="264">
      <c r="A42" s="7">
        <f>ROW()</f>
        <v>42</v>
      </c>
      <c r="B42" s="8" t="s">
        <v>1519</v>
      </c>
      <c r="C42" s="8" t="s">
        <v>128</v>
      </c>
      <c r="D42" s="8" t="str">
        <f t="shared" si="1"/>
        <v>4. Beschwerliche und gefährliche Arbeit</v>
      </c>
      <c r="E42" s="23" t="s">
        <v>1526</v>
      </c>
      <c r="F42" s="2" t="s">
        <v>196</v>
      </c>
    </row>
    <row r="43" spans="1:6" ht="194.25">
      <c r="A43" s="7">
        <f>ROW()</f>
        <v>43</v>
      </c>
      <c r="B43" s="8" t="s">
        <v>1519</v>
      </c>
      <c r="C43" s="8" t="s">
        <v>128</v>
      </c>
      <c r="D43" s="8" t="str">
        <f t="shared" si="1"/>
        <v>5. Rentenaufschub</v>
      </c>
      <c r="E43" s="23" t="s">
        <v>1527</v>
      </c>
      <c r="F43" s="2" t="s">
        <v>216</v>
      </c>
    </row>
    <row r="44" spans="1:6" ht="174">
      <c r="A44" s="7">
        <f>ROW()</f>
        <v>44</v>
      </c>
      <c r="B44" s="8" t="s">
        <v>1519</v>
      </c>
      <c r="C44" s="8" t="s">
        <v>1459</v>
      </c>
      <c r="D44" s="8" t="str">
        <f t="shared" si="1"/>
        <v>1. Bestimmende Faktoren</v>
      </c>
      <c r="E44" s="23" t="s">
        <v>1528</v>
      </c>
      <c r="F44" s="2" t="s">
        <v>3344</v>
      </c>
    </row>
    <row r="45" spans="1:6" ht="349.5">
      <c r="A45" s="7">
        <f>ROW()</f>
        <v>45</v>
      </c>
      <c r="B45" s="8" t="s">
        <v>1519</v>
      </c>
      <c r="C45" s="8" t="s">
        <v>1459</v>
      </c>
      <c r="D45" s="8" t="str">
        <f t="shared" si="1"/>
        <v>2. Berechnungsmethode, Rentenformel bzw. Beträge</v>
      </c>
      <c r="E45" s="23" t="s">
        <v>1529</v>
      </c>
      <c r="F45" s="2" t="s">
        <v>3345</v>
      </c>
    </row>
    <row r="46" spans="1:6" ht="343.5">
      <c r="A46" s="7">
        <f>ROW()</f>
        <v>46</v>
      </c>
      <c r="B46" s="8" t="s">
        <v>1519</v>
      </c>
      <c r="C46" s="8" t="s">
        <v>1459</v>
      </c>
      <c r="D46" s="8" t="str">
        <f t="shared" si="1"/>
        <v>3. Referenzeinkommen bzw. Berechnungsgrundlage</v>
      </c>
      <c r="E46" s="23" t="s">
        <v>1530</v>
      </c>
      <c r="F46" s="2" t="s">
        <v>278</v>
      </c>
    </row>
    <row r="47" spans="1:6" ht="405">
      <c r="A47" s="7">
        <f>ROW()</f>
        <v>47</v>
      </c>
      <c r="B47" s="8" t="s">
        <v>1519</v>
      </c>
      <c r="C47" s="8" t="s">
        <v>1459</v>
      </c>
      <c r="D47" s="8" t="str">
        <f t="shared" si="1"/>
        <v>4. Anrechenbare oder als Beitragszeiten gewertete Zeiträume</v>
      </c>
      <c r="E47" s="23" t="s">
        <v>1496</v>
      </c>
      <c r="F47" s="2" t="s">
        <v>3346</v>
      </c>
    </row>
    <row r="48" spans="1:6" ht="243.75">
      <c r="A48" s="7">
        <f>ROW()</f>
        <v>48</v>
      </c>
      <c r="B48" s="8" t="s">
        <v>1519</v>
      </c>
      <c r="C48" s="8" t="s">
        <v>1459</v>
      </c>
      <c r="D48" s="8" t="str">
        <f t="shared" si="1"/>
        <v>5. Rückkauf von Versicherungszeiten</v>
      </c>
      <c r="E48" s="23" t="s">
        <v>1531</v>
      </c>
      <c r="F48" s="2" t="s">
        <v>315</v>
      </c>
    </row>
    <row r="49" spans="1:6" ht="246">
      <c r="A49" s="7">
        <f>ROW()</f>
        <v>49</v>
      </c>
      <c r="B49" s="8" t="s">
        <v>1519</v>
      </c>
      <c r="C49" s="8" t="s">
        <v>1459</v>
      </c>
      <c r="D49" s="8" t="str">
        <f t="shared" si="1"/>
        <v>6.  Zulagen für Unterhaltsberechtigte</v>
      </c>
      <c r="E49" s="23" t="s">
        <v>1631</v>
      </c>
      <c r="F49" s="2" t="s">
        <v>3347</v>
      </c>
    </row>
    <row r="50" spans="1:6" ht="150">
      <c r="A50" s="7">
        <f>ROW()</f>
        <v>50</v>
      </c>
      <c r="B50" s="8" t="s">
        <v>1519</v>
      </c>
      <c r="C50" s="8" t="s">
        <v>1459</v>
      </c>
      <c r="D50" s="8" t="str">
        <f t="shared" si="1"/>
        <v>7. Besondere Zulagen</v>
      </c>
      <c r="E50" s="23" t="s">
        <v>1532</v>
      </c>
      <c r="F50" s="2" t="s">
        <v>354</v>
      </c>
    </row>
    <row r="51" spans="1:6" ht="360.75">
      <c r="A51" s="7">
        <f>ROW()</f>
        <v>51</v>
      </c>
      <c r="B51" s="8" t="s">
        <v>1519</v>
      </c>
      <c r="C51" s="8" t="s">
        <v>1459</v>
      </c>
      <c r="D51" s="8" t="str">
        <f t="shared" si="1"/>
        <v>8. Mindestrente und bedürftigkeitsabhängige Leistung</v>
      </c>
      <c r="E51" s="23" t="s">
        <v>1533</v>
      </c>
      <c r="F51" s="2" t="s">
        <v>377</v>
      </c>
    </row>
    <row r="52" spans="1:6" ht="101.25">
      <c r="A52" s="7">
        <f>ROW()</f>
        <v>52</v>
      </c>
      <c r="B52" s="8" t="s">
        <v>1519</v>
      </c>
      <c r="C52" s="8" t="s">
        <v>1459</v>
      </c>
      <c r="D52" s="8" t="str">
        <f t="shared" si="1"/>
        <v>9. Höchstrente</v>
      </c>
      <c r="E52" s="23" t="s">
        <v>1534</v>
      </c>
      <c r="F52" s="2" t="s">
        <v>401</v>
      </c>
    </row>
    <row r="53" spans="1:6" ht="119.25">
      <c r="A53" s="7">
        <f>ROW()</f>
        <v>53</v>
      </c>
      <c r="B53" s="8" t="s">
        <v>1519</v>
      </c>
      <c r="C53" s="8" t="s">
        <v>1459</v>
      </c>
      <c r="D53" s="8" t="str">
        <f t="shared" si="1"/>
        <v>10. Vorruhestand</v>
      </c>
      <c r="E53" s="23" t="s">
        <v>1535</v>
      </c>
      <c r="F53" s="2" t="s">
        <v>428</v>
      </c>
    </row>
    <row r="54" spans="1:6" ht="272.25">
      <c r="A54" s="7">
        <f>ROW()</f>
        <v>54</v>
      </c>
      <c r="B54" s="8" t="s">
        <v>1519</v>
      </c>
      <c r="C54" s="8" t="s">
        <v>1459</v>
      </c>
      <c r="D54" s="8" t="str">
        <f t="shared" si="1"/>
        <v>11. Beschwerliche und gefährliche Arbeit</v>
      </c>
      <c r="E54" s="23" t="s">
        <v>1536</v>
      </c>
      <c r="F54" s="2" t="s">
        <v>452</v>
      </c>
    </row>
    <row r="55" spans="1:6" ht="87.75">
      <c r="A55" s="7">
        <f>ROW()</f>
        <v>55</v>
      </c>
      <c r="B55" s="8" t="s">
        <v>1519</v>
      </c>
      <c r="C55" s="8" t="s">
        <v>1459</v>
      </c>
      <c r="D55" s="8" t="str">
        <f t="shared" si="1"/>
        <v>12. Teilrente</v>
      </c>
      <c r="E55" s="23" t="s">
        <v>1537</v>
      </c>
      <c r="F55" s="2" t="s">
        <v>479</v>
      </c>
    </row>
    <row r="56" spans="1:6" ht="171.75">
      <c r="A56" s="7">
        <f>ROW()</f>
        <v>56</v>
      </c>
      <c r="B56" s="8" t="s">
        <v>1519</v>
      </c>
      <c r="C56" s="8" t="s">
        <v>1459</v>
      </c>
      <c r="D56" s="8" t="str">
        <f t="shared" si="1"/>
        <v>13. Aufgeschobene Rente</v>
      </c>
      <c r="E56" s="23" t="s">
        <v>1632</v>
      </c>
      <c r="F56" s="2" t="s">
        <v>506</v>
      </c>
    </row>
    <row r="57" spans="1:6" ht="179.25">
      <c r="A57" s="7">
        <f>ROW()</f>
        <v>57</v>
      </c>
      <c r="B57" s="8" t="s">
        <v>1519</v>
      </c>
      <c r="C57" s="8" t="s">
        <v>1538</v>
      </c>
      <c r="D57" s="8" t="s">
        <v>1538</v>
      </c>
      <c r="E57" s="22" t="s">
        <v>1538</v>
      </c>
      <c r="F57" s="2" t="s">
        <v>535</v>
      </c>
    </row>
    <row r="58" spans="1:6" ht="246">
      <c r="A58" s="7">
        <f>ROW()</f>
        <v>58</v>
      </c>
      <c r="B58" s="8" t="s">
        <v>1519</v>
      </c>
      <c r="C58" s="8" t="s">
        <v>1538</v>
      </c>
      <c r="D58" s="8" t="str">
        <f t="shared" si="1"/>
        <v xml:space="preserve">Kumulation mit Erwerbseinkommen </v>
      </c>
      <c r="E58" s="22" t="s">
        <v>1461</v>
      </c>
      <c r="F58" s="2" t="s">
        <v>562</v>
      </c>
    </row>
    <row r="59" spans="1:6" ht="286.5">
      <c r="A59" s="7">
        <f>ROW()</f>
        <v>59</v>
      </c>
      <c r="B59" s="8" t="s">
        <v>1519</v>
      </c>
      <c r="C59" s="8" t="s">
        <v>1538</v>
      </c>
      <c r="D59" s="8" t="s">
        <v>1539</v>
      </c>
      <c r="E59" s="22" t="s">
        <v>1460</v>
      </c>
      <c r="F59" s="2" t="s">
        <v>590</v>
      </c>
    </row>
    <row r="60" spans="1:6" ht="225.75">
      <c r="A60" s="7">
        <f>ROW()</f>
        <v>60</v>
      </c>
      <c r="B60" s="8" t="s">
        <v>1519</v>
      </c>
      <c r="C60" s="8" t="s">
        <v>612</v>
      </c>
      <c r="D60" s="8" t="str">
        <f t="shared" ref="D60:D70" si="2">+E60</f>
        <v>1. Besteuerung von Renten</v>
      </c>
      <c r="E60" s="23" t="s">
        <v>1540</v>
      </c>
      <c r="F60" s="2" t="s">
        <v>620</v>
      </c>
    </row>
    <row r="61" spans="1:6" ht="335.25">
      <c r="A61" s="7">
        <f>ROW()</f>
        <v>61</v>
      </c>
      <c r="B61" s="8" t="s">
        <v>1519</v>
      </c>
      <c r="C61" s="8" t="s">
        <v>612</v>
      </c>
      <c r="D61" s="8" t="str">
        <f t="shared" si="2"/>
        <v>2. Einkommensgrenze für Besteuerung von Renten</v>
      </c>
      <c r="E61" s="23" t="s">
        <v>1541</v>
      </c>
      <c r="F61" s="2" t="s">
        <v>646</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692</v>
      </c>
    </row>
    <row r="64" spans="1:6" ht="132.75">
      <c r="A64" s="7">
        <f>ROW()</f>
        <v>64</v>
      </c>
      <c r="B64" s="8" t="s">
        <v>1543</v>
      </c>
      <c r="C64" s="8" t="s">
        <v>1514</v>
      </c>
      <c r="D64" s="8" t="str">
        <f t="shared" si="2"/>
        <v>Grundprinzipien</v>
      </c>
      <c r="E64" s="23" t="s">
        <v>1468</v>
      </c>
      <c r="F64" s="2" t="s">
        <v>718</v>
      </c>
    </row>
    <row r="65" spans="1:6" ht="224.25">
      <c r="A65" s="7">
        <f>ROW()</f>
        <v>65</v>
      </c>
      <c r="B65" s="8" t="s">
        <v>1543</v>
      </c>
      <c r="C65" s="8" t="s">
        <v>1514</v>
      </c>
      <c r="D65" s="8" t="str">
        <f t="shared" si="2"/>
        <v>Voraussetzungen für die Deckung</v>
      </c>
      <c r="E65" s="23" t="s">
        <v>1469</v>
      </c>
      <c r="F65" s="2" t="s">
        <v>745</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789</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811</v>
      </c>
    </row>
    <row r="70" spans="1:6" ht="272.25">
      <c r="A70" s="7">
        <f>ROW()</f>
        <v>70</v>
      </c>
      <c r="B70" s="8" t="s">
        <v>1543</v>
      </c>
      <c r="C70" s="8" t="s">
        <v>1459</v>
      </c>
      <c r="D70" s="9" t="str">
        <f t="shared" si="2"/>
        <v>Auf Leistungen anfallende Sozialabgaben</v>
      </c>
      <c r="E70" s="23" t="s">
        <v>1457</v>
      </c>
      <c r="F70" s="2" t="s">
        <v>825</v>
      </c>
    </row>
    <row r="71" spans="1:6" ht="177">
      <c r="A71" s="7">
        <f>ROW()</f>
        <v>71</v>
      </c>
      <c r="B71" s="8" t="s">
        <v>1466</v>
      </c>
      <c r="C71" s="8" t="str">
        <f t="shared" ref="C71:D75" si="3">+D71</f>
        <v>Geltende Rechtsgrundlage</v>
      </c>
      <c r="D71" s="9" t="str">
        <f t="shared" si="3"/>
        <v>Geltende Rechtsgrundlage</v>
      </c>
      <c r="E71" s="22" t="s">
        <v>1472</v>
      </c>
      <c r="F71" s="2" t="s">
        <v>38</v>
      </c>
    </row>
    <row r="72" spans="1:6" ht="110.25">
      <c r="A72" s="7">
        <f>ROW()</f>
        <v>72</v>
      </c>
      <c r="B72" s="8" t="s">
        <v>1466</v>
      </c>
      <c r="C72" s="8" t="str">
        <f t="shared" si="3"/>
        <v>Grundprinzipien</v>
      </c>
      <c r="D72" s="9" t="str">
        <f t="shared" si="3"/>
        <v>Grundprinzipien</v>
      </c>
      <c r="E72" s="22" t="s">
        <v>1468</v>
      </c>
      <c r="F72" s="2" t="s">
        <v>867</v>
      </c>
    </row>
    <row r="73" spans="1:6" ht="315">
      <c r="A73" s="7">
        <f>ROW()</f>
        <v>73</v>
      </c>
      <c r="B73" s="8" t="s">
        <v>1466</v>
      </c>
      <c r="C73" s="9" t="str">
        <f t="shared" si="3"/>
        <v>Anwendungsbereich (in Bezug auf Verstorbene)</v>
      </c>
      <c r="D73" s="9" t="str">
        <f t="shared" si="3"/>
        <v>Anwendungsbereich (in Bezug auf Verstorbene)</v>
      </c>
      <c r="E73" s="22" t="s">
        <v>1473</v>
      </c>
      <c r="F73" s="2" t="s">
        <v>893</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912</v>
      </c>
    </row>
    <row r="75" spans="1:6" ht="144.75">
      <c r="A75" s="7">
        <f>ROW()</f>
        <v>75</v>
      </c>
      <c r="B75" s="8" t="s">
        <v>1466</v>
      </c>
      <c r="C75" s="9" t="str">
        <f t="shared" si="3"/>
        <v>Berechtigte Personen</v>
      </c>
      <c r="D75" s="9" t="str">
        <f t="shared" si="3"/>
        <v>Berechtigte Personen</v>
      </c>
      <c r="E75" s="22" t="s">
        <v>1477</v>
      </c>
      <c r="F75" s="2" t="s">
        <v>926</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3348</v>
      </c>
    </row>
    <row r="78" spans="1:6" ht="185.25">
      <c r="A78" s="7">
        <f>ROW()</f>
        <v>78</v>
      </c>
      <c r="B78" s="8" t="s">
        <v>1466</v>
      </c>
      <c r="C78" s="8" t="s">
        <v>1544</v>
      </c>
      <c r="D78" s="8" t="str">
        <f t="shared" si="4"/>
        <v>2. Hinterbliebener Ehegatte</v>
      </c>
      <c r="E78" s="23" t="s">
        <v>1546</v>
      </c>
      <c r="F78" s="2" t="s">
        <v>970</v>
      </c>
    </row>
    <row r="79" spans="1:6" ht="181.5">
      <c r="A79" s="7">
        <f>ROW()</f>
        <v>79</v>
      </c>
      <c r="B79" s="8" t="s">
        <v>1466</v>
      </c>
      <c r="C79" s="8" t="s">
        <v>1544</v>
      </c>
      <c r="D79" s="8" t="str">
        <f t="shared" si="4"/>
        <v>3. Geschiedener Ehegatte</v>
      </c>
      <c r="E79" s="23" t="s">
        <v>1547</v>
      </c>
      <c r="F79" s="2" t="s">
        <v>988</v>
      </c>
    </row>
    <row r="80" spans="1:6" ht="216">
      <c r="A80" s="7">
        <f>ROW()</f>
        <v>80</v>
      </c>
      <c r="B80" s="8" t="s">
        <v>1466</v>
      </c>
      <c r="C80" s="8" t="s">
        <v>1544</v>
      </c>
      <c r="D80" s="8" t="str">
        <f t="shared" si="4"/>
        <v>4. Hinterbliebene Lebenspartner</v>
      </c>
      <c r="E80" s="23" t="s">
        <v>1548</v>
      </c>
      <c r="F80" s="2" t="s">
        <v>1010</v>
      </c>
    </row>
    <row r="81" spans="1:6" ht="181.5">
      <c r="A81" s="7">
        <f>ROW()</f>
        <v>81</v>
      </c>
      <c r="B81" s="8" t="s">
        <v>1466</v>
      </c>
      <c r="C81" s="8" t="s">
        <v>1544</v>
      </c>
      <c r="D81" s="8" t="str">
        <f t="shared" si="4"/>
        <v>5. Kinder</v>
      </c>
      <c r="E81" s="23" t="s">
        <v>1549</v>
      </c>
      <c r="F81" s="2" t="s">
        <v>1034</v>
      </c>
    </row>
    <row r="82" spans="1:6" ht="181.5">
      <c r="A82" s="7">
        <f>ROW()</f>
        <v>82</v>
      </c>
      <c r="B82" s="8" t="s">
        <v>1466</v>
      </c>
      <c r="C82" s="8" t="s">
        <v>1544</v>
      </c>
      <c r="D82" s="8" t="str">
        <f t="shared" si="4"/>
        <v>6. Andere Personen</v>
      </c>
      <c r="E82" s="23" t="s">
        <v>1550</v>
      </c>
      <c r="F82" s="2" t="s">
        <v>1050</v>
      </c>
    </row>
    <row r="83" spans="1:6" ht="409.5">
      <c r="A83" s="7">
        <f>ROW()</f>
        <v>83</v>
      </c>
      <c r="B83" s="8" t="s">
        <v>1466</v>
      </c>
      <c r="C83" s="8" t="s">
        <v>1459</v>
      </c>
      <c r="D83" s="9" t="str">
        <f t="shared" si="4"/>
        <v>1. Hinterbliebener Ehegatte, geschiedener Ehegatte, hinterbliebene Lebenspartner</v>
      </c>
      <c r="E83" s="23" t="s">
        <v>1551</v>
      </c>
      <c r="F83" s="2" t="s">
        <v>3349</v>
      </c>
    </row>
    <row r="84" spans="1:6" ht="280.5">
      <c r="A84" s="7">
        <f>ROW()</f>
        <v>84</v>
      </c>
      <c r="B84" s="8" t="s">
        <v>1466</v>
      </c>
      <c r="C84" s="8" t="s">
        <v>1459</v>
      </c>
      <c r="D84" s="9" t="str">
        <f t="shared" si="4"/>
        <v>2. Hinterbliebener Ehegatte: Wiederheirat</v>
      </c>
      <c r="E84" s="23" t="s">
        <v>1552</v>
      </c>
      <c r="F84" s="2" t="s">
        <v>1091</v>
      </c>
    </row>
    <row r="85" spans="1:6" ht="180">
      <c r="A85" s="7">
        <f>ROW()</f>
        <v>85</v>
      </c>
      <c r="B85" s="8" t="s">
        <v>1466</v>
      </c>
      <c r="C85" s="8" t="s">
        <v>1459</v>
      </c>
      <c r="D85" s="9" t="str">
        <f t="shared" si="4"/>
        <v>3. Kinder</v>
      </c>
      <c r="E85" s="23" t="s">
        <v>1553</v>
      </c>
      <c r="F85" s="2" t="s">
        <v>3350</v>
      </c>
    </row>
    <row r="86" spans="1:6" ht="147">
      <c r="A86" s="7">
        <f>ROW()</f>
        <v>86</v>
      </c>
      <c r="B86" s="8" t="s">
        <v>1466</v>
      </c>
      <c r="C86" s="8" t="s">
        <v>1459</v>
      </c>
      <c r="D86" s="9" t="str">
        <f t="shared" si="4"/>
        <v>4. Andere Berechtigte</v>
      </c>
      <c r="E86" s="23" t="s">
        <v>1554</v>
      </c>
      <c r="F86" s="2" t="s">
        <v>1050</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1174</v>
      </c>
    </row>
    <row r="89" spans="1:6" ht="126.75">
      <c r="A89" s="7">
        <f>ROW()</f>
        <v>89</v>
      </c>
      <c r="B89" s="8" t="s">
        <v>1466</v>
      </c>
      <c r="C89" s="8" t="s">
        <v>1459</v>
      </c>
      <c r="D89" s="9" t="str">
        <f>+E89</f>
        <v>7. Mindestleistung</v>
      </c>
      <c r="E89" s="23" t="s">
        <v>1557</v>
      </c>
      <c r="F89" s="2" t="s">
        <v>1196</v>
      </c>
    </row>
    <row r="90" spans="1:6" ht="122.25">
      <c r="A90" s="7">
        <f>ROW()</f>
        <v>90</v>
      </c>
      <c r="B90" s="8" t="s">
        <v>1466</v>
      </c>
      <c r="C90" s="8" t="s">
        <v>1459</v>
      </c>
      <c r="D90" s="9" t="str">
        <f t="shared" si="4"/>
        <v xml:space="preserve"> 8. Höchstleistung</v>
      </c>
      <c r="E90" s="23" t="s">
        <v>1558</v>
      </c>
      <c r="F90" s="2" t="s">
        <v>1196</v>
      </c>
    </row>
    <row r="91" spans="1:6" ht="179.25">
      <c r="A91" s="7">
        <f>ROW()</f>
        <v>91</v>
      </c>
      <c r="B91" s="8" t="s">
        <v>1466</v>
      </c>
      <c r="C91" s="8" t="s">
        <v>1538</v>
      </c>
      <c r="D91" s="9" t="str">
        <f>+C91</f>
        <v>Indexbindung / Anpassung</v>
      </c>
      <c r="E91" s="22" t="s">
        <v>1538</v>
      </c>
      <c r="F91" s="2" t="s">
        <v>1241</v>
      </c>
    </row>
    <row r="92" spans="1:6" ht="242.25">
      <c r="A92" s="7">
        <f>ROW()</f>
        <v>92</v>
      </c>
      <c r="B92" s="8" t="s">
        <v>1466</v>
      </c>
      <c r="C92" s="8" t="s">
        <v>1538</v>
      </c>
      <c r="D92" s="9" t="str">
        <f t="shared" ref="D92:D105" si="5">+E92</f>
        <v>Kumulation mit Erwerbseinkommen</v>
      </c>
      <c r="E92" s="22" t="s">
        <v>1471</v>
      </c>
      <c r="F92" s="2" t="s">
        <v>1267</v>
      </c>
    </row>
    <row r="93" spans="1:6" ht="275.25">
      <c r="A93" s="7">
        <f>ROW()</f>
        <v>93</v>
      </c>
      <c r="B93" s="8" t="s">
        <v>1466</v>
      </c>
      <c r="C93" s="8" t="s">
        <v>1538</v>
      </c>
      <c r="D93" s="9" t="str">
        <f t="shared" si="5"/>
        <v>Kumulation mit anderen Sozialleistungen</v>
      </c>
      <c r="E93" s="22" t="s">
        <v>1460</v>
      </c>
      <c r="F93" s="2" t="s">
        <v>3351</v>
      </c>
    </row>
    <row r="94" spans="1:6" ht="232.5">
      <c r="A94" s="7">
        <f>ROW()</f>
        <v>94</v>
      </c>
      <c r="B94" s="8" t="s">
        <v>1466</v>
      </c>
      <c r="C94" s="9" t="s">
        <v>1465</v>
      </c>
      <c r="D94" s="9" t="str">
        <f t="shared" si="5"/>
        <v>1. Besteuerung von Geldleistungen</v>
      </c>
      <c r="E94" s="23" t="s">
        <v>1509</v>
      </c>
      <c r="F94" s="2" t="s">
        <v>622</v>
      </c>
    </row>
    <row r="95" spans="1:6" ht="387">
      <c r="A95" s="7">
        <f>ROW()</f>
        <v>95</v>
      </c>
      <c r="B95" s="8" t="s">
        <v>1466</v>
      </c>
      <c r="C95" s="9" t="s">
        <v>1465</v>
      </c>
      <c r="D95" s="9" t="str">
        <f t="shared" si="5"/>
        <v>2. Einkommensgrenze für Besteuerung von Geldleistungen</v>
      </c>
      <c r="E95" s="23" t="s">
        <v>1511</v>
      </c>
      <c r="F95" s="2" t="s">
        <v>1342</v>
      </c>
    </row>
    <row r="96" spans="1:6" ht="288.75">
      <c r="A96" s="7">
        <f>ROW()</f>
        <v>96</v>
      </c>
      <c r="B96" s="8" t="s">
        <v>1466</v>
      </c>
      <c r="C96" s="9" t="s">
        <v>1465</v>
      </c>
      <c r="D96" s="9" t="str">
        <f t="shared" si="5"/>
        <v>3. Auf Leistungen anfallende Sozialabgaben</v>
      </c>
      <c r="E96" s="23" t="s">
        <v>1512</v>
      </c>
      <c r="F96" s="2" t="s">
        <v>1362</v>
      </c>
    </row>
    <row r="97" spans="1:6" ht="138">
      <c r="A97" s="7">
        <f>ROW()</f>
        <v>97</v>
      </c>
      <c r="B97" s="8" t="s">
        <v>1466</v>
      </c>
      <c r="C97" s="9" t="s">
        <v>1514</v>
      </c>
      <c r="D97" s="9" t="str">
        <f t="shared" si="5"/>
        <v>Anwendungsbereich</v>
      </c>
      <c r="E97" s="23" t="s">
        <v>1467</v>
      </c>
      <c r="F97" s="2" t="s">
        <v>1378</v>
      </c>
    </row>
    <row r="98" spans="1:6" ht="110.25">
      <c r="A98" s="7">
        <f>ROW()</f>
        <v>98</v>
      </c>
      <c r="B98" s="8" t="s">
        <v>1466</v>
      </c>
      <c r="C98" s="9" t="s">
        <v>1514</v>
      </c>
      <c r="D98" s="9" t="str">
        <f t="shared" si="5"/>
        <v>Grundprinzipien</v>
      </c>
      <c r="E98" s="23" t="s">
        <v>1468</v>
      </c>
      <c r="F98" s="2" t="s">
        <v>1394</v>
      </c>
    </row>
    <row r="99" spans="1:6" ht="224.25">
      <c r="A99" s="7">
        <f>ROW()</f>
        <v>99</v>
      </c>
      <c r="B99" s="8" t="s">
        <v>1466</v>
      </c>
      <c r="C99" s="9" t="s">
        <v>1514</v>
      </c>
      <c r="D99" s="9" t="str">
        <f t="shared" si="5"/>
        <v>Voraussetzungen für die Deckung</v>
      </c>
      <c r="E99" s="23" t="s">
        <v>1469</v>
      </c>
      <c r="F99" s="2" t="s">
        <v>1407</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1427</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811</v>
      </c>
    </row>
    <row r="105" spans="1:6" ht="272.25">
      <c r="A105" s="7">
        <f>ROW()</f>
        <v>105</v>
      </c>
      <c r="B105" s="8" t="s">
        <v>1466</v>
      </c>
      <c r="C105" s="9" t="s">
        <v>1514</v>
      </c>
      <c r="D105" s="9" t="str">
        <f t="shared" si="5"/>
        <v>Auf Leistungen anfallende Sozialabgaben</v>
      </c>
      <c r="E105" s="23" t="s">
        <v>1457</v>
      </c>
      <c r="F105" s="2" t="s">
        <v>1436</v>
      </c>
    </row>
    <row r="106" spans="1:6"/>
    <row r="107" spans="1:6"/>
    <row r="108" spans="1:6"/>
    <row r="109" spans="1:6"/>
    <row r="110" spans="1:6"/>
    <row r="111" spans="1:6"/>
    <row r="112" spans="1:6"/>
    <row r="113"/>
  </sheetData>
  <sheetProtection algorithmName="SHA-512" hashValue="TzjPiacsrMjnkSTtnox7NTzEWq0rbfYeISJ45KCZKTOEyaVvNyTW8lfFPnTGGaSPJLG14uddAQXZkH1Ye9m0mQ==" saltValue="cAjeolZXXyrN+A3b9RnK8A==" spinCount="100000" sheet="1" objects="1" scenarios="1" formatColumns="0" autoFilter="0"/>
  <autoFilter ref="A2:F2" xr:uid="{8DE4AF38-F4B5-4761-91D7-59384985C97E}"/>
  <pageMargins left="0.7" right="0.7" top="0.78740157499999996" bottom="0.78740157499999996"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CAC9-E290-4B1F-869D-D8E2DCD7C7E3}">
  <sheetPr codeName="Tabelle11"/>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3.8554687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9</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1999</v>
      </c>
    </row>
    <row r="4" spans="1:6" ht="110.25">
      <c r="A4" s="7">
        <f>ROW()</f>
        <v>4</v>
      </c>
      <c r="B4" s="8" t="s">
        <v>1479</v>
      </c>
      <c r="C4" s="1"/>
      <c r="D4" s="8" t="str">
        <f t="shared" ref="D4:D34" si="0">+E4</f>
        <v>Grundprinzipien</v>
      </c>
      <c r="E4" s="22" t="s">
        <v>1468</v>
      </c>
      <c r="F4" s="2" t="s">
        <v>3352</v>
      </c>
    </row>
    <row r="5" spans="1:6" ht="132" customHeight="1">
      <c r="A5" s="7">
        <f>ROW()</f>
        <v>5</v>
      </c>
      <c r="B5" s="8" t="s">
        <v>1479</v>
      </c>
      <c r="C5" s="1"/>
      <c r="D5" s="8" t="str">
        <f t="shared" si="0"/>
        <v>Gedecktes Risiko: Definition</v>
      </c>
      <c r="E5" s="22" t="s">
        <v>1630</v>
      </c>
      <c r="F5" s="2" t="s">
        <v>3353</v>
      </c>
    </row>
    <row r="6" spans="1:6" ht="144">
      <c r="A6" s="7">
        <f>ROW()</f>
        <v>6</v>
      </c>
      <c r="B6" s="8" t="s">
        <v>1479</v>
      </c>
      <c r="C6" s="8" t="s">
        <v>1453</v>
      </c>
      <c r="D6" s="8" t="str">
        <f t="shared" si="0"/>
        <v>Versicherte Personen</v>
      </c>
      <c r="E6" s="23" t="s">
        <v>1453</v>
      </c>
      <c r="F6" s="2" t="s">
        <v>2000</v>
      </c>
    </row>
    <row r="7" spans="1:6" ht="273">
      <c r="A7" s="7">
        <f>ROW()</f>
        <v>7</v>
      </c>
      <c r="B7" s="8" t="s">
        <v>1479</v>
      </c>
      <c r="C7" s="8" t="str">
        <f>+E6</f>
        <v>Versicherte Personen</v>
      </c>
      <c r="D7" s="8" t="str">
        <f t="shared" si="0"/>
        <v>Ausnahmen von der Versicherungspflicht</v>
      </c>
      <c r="E7" s="23" t="s">
        <v>1458</v>
      </c>
      <c r="F7" s="2" t="s">
        <v>2001</v>
      </c>
    </row>
    <row r="8" spans="1:6" ht="194.25">
      <c r="A8" s="7">
        <f>ROW()</f>
        <v>8</v>
      </c>
      <c r="B8" s="8" t="s">
        <v>1479</v>
      </c>
      <c r="C8" s="9" t="s">
        <v>128</v>
      </c>
      <c r="D8" s="8" t="str">
        <f t="shared" si="0"/>
        <v>1. Anwartschaftszeit</v>
      </c>
      <c r="E8" s="23" t="s">
        <v>1483</v>
      </c>
      <c r="F8" s="2" t="s">
        <v>3354</v>
      </c>
    </row>
    <row r="9" spans="1:6" ht="409.5">
      <c r="A9" s="7">
        <f>ROW()</f>
        <v>9</v>
      </c>
      <c r="B9" s="8" t="s">
        <v>1479</v>
      </c>
      <c r="C9" s="9" t="s">
        <v>128</v>
      </c>
      <c r="D9" s="8" t="str">
        <f t="shared" si="0"/>
        <v xml:space="preserve">2. Begutachtungskriterien und Kategorien der Arbeitsunfähigkeit/Arbeitsfähigkeit  </v>
      </c>
      <c r="E9" s="23" t="s">
        <v>1484</v>
      </c>
      <c r="F9" s="2" t="s">
        <v>2002</v>
      </c>
    </row>
    <row r="10" spans="1:6" ht="222">
      <c r="A10" s="7">
        <f>ROW()</f>
        <v>10</v>
      </c>
      <c r="B10" s="8" t="s">
        <v>1479</v>
      </c>
      <c r="C10" s="9" t="s">
        <v>128</v>
      </c>
      <c r="D10" s="8" t="str">
        <f t="shared" si="0"/>
        <v>3. Zeitraum der Leistungszahlung</v>
      </c>
      <c r="E10" s="23" t="s">
        <v>1486</v>
      </c>
      <c r="F10" s="2" t="s">
        <v>2003</v>
      </c>
    </row>
    <row r="11" spans="1:6" ht="150">
      <c r="A11" s="7">
        <f>ROW()</f>
        <v>11</v>
      </c>
      <c r="B11" s="8" t="s">
        <v>1479</v>
      </c>
      <c r="C11" s="9" t="s">
        <v>1488</v>
      </c>
      <c r="D11" s="8" t="str">
        <f t="shared" si="0"/>
        <v>1. Gutachter</v>
      </c>
      <c r="E11" s="23" t="s">
        <v>1489</v>
      </c>
      <c r="F11" s="2" t="s">
        <v>2004</v>
      </c>
    </row>
    <row r="12" spans="1:6" ht="111.75">
      <c r="A12" s="7">
        <f>ROW()</f>
        <v>12</v>
      </c>
      <c r="B12" s="8" t="s">
        <v>1479</v>
      </c>
      <c r="C12" s="9" t="s">
        <v>1488</v>
      </c>
      <c r="D12" s="8" t="str">
        <f t="shared" si="0"/>
        <v xml:space="preserve">2. Überprüfung  </v>
      </c>
      <c r="E12" s="23" t="s">
        <v>1490</v>
      </c>
      <c r="F12" s="2" t="s">
        <v>2005</v>
      </c>
    </row>
    <row r="13" spans="1:6" ht="409.5">
      <c r="A13" s="7">
        <f>ROW()</f>
        <v>13</v>
      </c>
      <c r="B13" s="8" t="s">
        <v>1479</v>
      </c>
      <c r="C13" s="8" t="s">
        <v>1459</v>
      </c>
      <c r="D13" s="8" t="str">
        <f t="shared" si="0"/>
        <v>1. Berechnungsmethode bzw. Rentenformel</v>
      </c>
      <c r="E13" s="23" t="s">
        <v>1492</v>
      </c>
      <c r="F13" s="2" t="s">
        <v>3355</v>
      </c>
    </row>
    <row r="14" spans="1:6" ht="343.5">
      <c r="A14" s="7">
        <f>ROW()</f>
        <v>14</v>
      </c>
      <c r="B14" s="8" t="s">
        <v>1479</v>
      </c>
      <c r="C14" s="8" t="s">
        <v>1459</v>
      </c>
      <c r="D14" s="8" t="str">
        <f t="shared" si="0"/>
        <v>2. Referenzeinkommen bzw. Berechnungsgrundlage</v>
      </c>
      <c r="E14" s="23" t="s">
        <v>1493</v>
      </c>
      <c r="F14" s="2" t="s">
        <v>2006</v>
      </c>
    </row>
    <row r="15" spans="1:6" ht="226.5">
      <c r="A15" s="7">
        <f>ROW()</f>
        <v>15</v>
      </c>
      <c r="B15" s="8" t="s">
        <v>1479</v>
      </c>
      <c r="C15" s="8" t="s">
        <v>1459</v>
      </c>
      <c r="D15" s="8" t="str">
        <f t="shared" si="0"/>
        <v>3. Mindest- und Höchstleistungen</v>
      </c>
      <c r="E15" s="23" t="s">
        <v>1495</v>
      </c>
      <c r="F15" s="2" t="s">
        <v>2007</v>
      </c>
    </row>
    <row r="16" spans="1:6" ht="405">
      <c r="A16" s="7">
        <f>ROW()</f>
        <v>16</v>
      </c>
      <c r="B16" s="8" t="s">
        <v>1479</v>
      </c>
      <c r="C16" s="8" t="s">
        <v>1459</v>
      </c>
      <c r="D16" s="8" t="str">
        <f t="shared" si="0"/>
        <v>4. Anrechenbare oder als Beitragszeiten gewertete Zeiträume</v>
      </c>
      <c r="E16" s="23" t="s">
        <v>1496</v>
      </c>
      <c r="F16" s="2" t="s">
        <v>2008</v>
      </c>
    </row>
    <row r="17" spans="1:6" ht="250.5">
      <c r="A17" s="7">
        <f>ROW()</f>
        <v>17</v>
      </c>
      <c r="B17" s="8" t="s">
        <v>1479</v>
      </c>
      <c r="C17" s="8" t="s">
        <v>1459</v>
      </c>
      <c r="D17" s="8" t="str">
        <f t="shared" si="0"/>
        <v xml:space="preserve">5. Zulagen für Unterhaltsberechtigte  </v>
      </c>
      <c r="E17" s="23" t="s">
        <v>1498</v>
      </c>
      <c r="F17" s="2" t="s">
        <v>2009</v>
      </c>
    </row>
    <row r="18" spans="1:6" ht="210">
      <c r="A18" s="7">
        <f>ROW()</f>
        <v>18</v>
      </c>
      <c r="B18" s="8" t="s">
        <v>1479</v>
      </c>
      <c r="C18" s="8" t="str">
        <f>+E18</f>
        <v>Sonstige Leistungen</v>
      </c>
      <c r="D18" s="8" t="str">
        <f>+E18</f>
        <v>Sonstige Leistungen</v>
      </c>
      <c r="E18" s="22" t="s">
        <v>1455</v>
      </c>
      <c r="F18" s="2" t="s">
        <v>3356</v>
      </c>
    </row>
    <row r="19" spans="1:6" ht="330">
      <c r="A19" s="7">
        <f>ROW()</f>
        <v>19</v>
      </c>
      <c r="B19" s="8" t="s">
        <v>1479</v>
      </c>
      <c r="C19" s="8" t="s">
        <v>1500</v>
      </c>
      <c r="D19" s="8" t="str">
        <f t="shared" si="0"/>
        <v>Umschulung, berufsbezogene Rehabilitation</v>
      </c>
      <c r="E19" s="23" t="s">
        <v>1501</v>
      </c>
      <c r="F19" s="2" t="s">
        <v>3357</v>
      </c>
    </row>
    <row r="20" spans="1:6" ht="409.5">
      <c r="A20" s="7">
        <f>ROW()</f>
        <v>20</v>
      </c>
      <c r="B20" s="8" t="s">
        <v>1479</v>
      </c>
      <c r="C20" s="8" t="s">
        <v>1500</v>
      </c>
      <c r="D20" s="8" t="str">
        <f t="shared" si="0"/>
        <v xml:space="preserve">Bevorzugte und reservierte Beschäftigung von Menschen mit Behinderungen  </v>
      </c>
      <c r="E20" s="23" t="s">
        <v>1502</v>
      </c>
      <c r="F20" s="2" t="s">
        <v>2010</v>
      </c>
    </row>
    <row r="21" spans="1:6" ht="171.75">
      <c r="A21" s="7">
        <f>ROW()</f>
        <v>21</v>
      </c>
      <c r="B21" s="8" t="s">
        <v>1479</v>
      </c>
      <c r="C21" s="8" t="s">
        <v>1504</v>
      </c>
      <c r="D21" s="8" t="str">
        <f t="shared" si="0"/>
        <v>Indexbindung/Anpassung</v>
      </c>
      <c r="E21" s="22" t="s">
        <v>1505</v>
      </c>
      <c r="F21" s="2" t="s">
        <v>2011</v>
      </c>
    </row>
    <row r="22" spans="1:6" ht="242.25">
      <c r="A22" s="7">
        <f>ROW()</f>
        <v>22</v>
      </c>
      <c r="B22" s="8" t="s">
        <v>1479</v>
      </c>
      <c r="C22" s="8" t="s">
        <v>1504</v>
      </c>
      <c r="D22" s="8" t="str">
        <f>+E22</f>
        <v>Kumulation mit Erwerbseinkommen</v>
      </c>
      <c r="E22" s="22" t="s">
        <v>1471</v>
      </c>
      <c r="F22" s="2" t="s">
        <v>2012</v>
      </c>
    </row>
    <row r="23" spans="1:6" ht="275.25">
      <c r="A23" s="7">
        <f>ROW()</f>
        <v>23</v>
      </c>
      <c r="B23" s="8" t="s">
        <v>1479</v>
      </c>
      <c r="C23" s="8" t="s">
        <v>1504</v>
      </c>
      <c r="D23" s="8" t="str">
        <f t="shared" si="0"/>
        <v>Kumulation mit anderen Sozialleistungen</v>
      </c>
      <c r="E23" s="22" t="s">
        <v>1460</v>
      </c>
      <c r="F23" s="2" t="s">
        <v>2013</v>
      </c>
    </row>
    <row r="24" spans="1:6" ht="232.5">
      <c r="A24" s="7">
        <f>ROW()</f>
        <v>24</v>
      </c>
      <c r="B24" s="8" t="s">
        <v>1479</v>
      </c>
      <c r="C24" s="8" t="s">
        <v>1465</v>
      </c>
      <c r="D24" s="8" t="str">
        <f t="shared" si="0"/>
        <v>1. Besteuerung von Geldleistungen</v>
      </c>
      <c r="E24" s="23" t="s">
        <v>1509</v>
      </c>
      <c r="F24" s="2" t="s">
        <v>2014</v>
      </c>
    </row>
    <row r="25" spans="1:6" ht="387">
      <c r="A25" s="7">
        <f>ROW()</f>
        <v>25</v>
      </c>
      <c r="B25" s="8" t="s">
        <v>1479</v>
      </c>
      <c r="C25" s="8" t="s">
        <v>1465</v>
      </c>
      <c r="D25" s="8" t="str">
        <f t="shared" si="0"/>
        <v>2. Einkommensgrenze für Besteuerung von Geldleistungen</v>
      </c>
      <c r="E25" s="23" t="s">
        <v>1511</v>
      </c>
      <c r="F25" s="2" t="s">
        <v>2015</v>
      </c>
    </row>
    <row r="26" spans="1:6" ht="288.75">
      <c r="A26" s="7">
        <f>ROW()</f>
        <v>26</v>
      </c>
      <c r="B26" s="8" t="s">
        <v>1479</v>
      </c>
      <c r="C26" s="8" t="s">
        <v>1465</v>
      </c>
      <c r="D26" s="8" t="str">
        <f t="shared" si="0"/>
        <v>3. Auf Leistungen anfallende Sozialabgaben</v>
      </c>
      <c r="E26" s="23" t="s">
        <v>1512</v>
      </c>
      <c r="F26" s="2" t="s">
        <v>669</v>
      </c>
    </row>
    <row r="27" spans="1:6" ht="138">
      <c r="A27" s="7">
        <f>ROW()</f>
        <v>27</v>
      </c>
      <c r="B27" s="8" t="s">
        <v>1479</v>
      </c>
      <c r="C27" s="8" t="s">
        <v>1514</v>
      </c>
      <c r="D27" s="8" t="str">
        <f t="shared" si="0"/>
        <v>Anwendungsbereich</v>
      </c>
      <c r="E27" s="23" t="s">
        <v>1467</v>
      </c>
      <c r="F27" s="2" t="s">
        <v>2016</v>
      </c>
    </row>
    <row r="28" spans="1:6" ht="110.25">
      <c r="A28" s="7">
        <f>ROW()</f>
        <v>28</v>
      </c>
      <c r="B28" s="8" t="s">
        <v>1479</v>
      </c>
      <c r="C28" s="8" t="s">
        <v>1514</v>
      </c>
      <c r="D28" s="8" t="str">
        <f t="shared" si="0"/>
        <v>Grundprinzipien</v>
      </c>
      <c r="E28" s="23" t="s">
        <v>1468</v>
      </c>
      <c r="F28" s="2" t="s">
        <v>2017</v>
      </c>
    </row>
    <row r="29" spans="1:6" ht="224.25">
      <c r="A29" s="7">
        <f>ROW()</f>
        <v>29</v>
      </c>
      <c r="B29" s="8" t="s">
        <v>1479</v>
      </c>
      <c r="C29" s="8" t="s">
        <v>1514</v>
      </c>
      <c r="D29" s="8" t="str">
        <f t="shared" si="0"/>
        <v>Voraussetzungen für die Deckung</v>
      </c>
      <c r="E29" s="23" t="s">
        <v>1469</v>
      </c>
      <c r="F29" s="2" t="s">
        <v>746</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1644</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762</v>
      </c>
    </row>
    <row r="34" spans="1:6" ht="276.75">
      <c r="A34" s="7">
        <f>ROW()</f>
        <v>34</v>
      </c>
      <c r="B34" s="8" t="s">
        <v>1479</v>
      </c>
      <c r="C34" s="8" t="s">
        <v>1459</v>
      </c>
      <c r="D34" s="8" t="str">
        <f t="shared" si="0"/>
        <v xml:space="preserve"> Auf Leistungen anfallende Sozialabgaben</v>
      </c>
      <c r="E34" s="23" t="s">
        <v>1518</v>
      </c>
      <c r="F34" s="2" t="s">
        <v>282</v>
      </c>
    </row>
    <row r="35" spans="1:6" ht="177">
      <c r="A35" s="7">
        <f>ROW()</f>
        <v>35</v>
      </c>
      <c r="B35" s="8" t="s">
        <v>1519</v>
      </c>
      <c r="C35" s="8" t="str">
        <f>+D35</f>
        <v>Geltende Rechtsgrundlage</v>
      </c>
      <c r="D35" s="8" t="str">
        <f>+E35</f>
        <v>Geltende Rechtsgrundlage</v>
      </c>
      <c r="E35" s="22" t="s">
        <v>1472</v>
      </c>
      <c r="F35" s="2" t="s">
        <v>39</v>
      </c>
    </row>
    <row r="36" spans="1:6" ht="135">
      <c r="A36" s="7">
        <f>ROW()</f>
        <v>36</v>
      </c>
      <c r="B36" s="8" t="s">
        <v>1519</v>
      </c>
      <c r="C36" s="8" t="str">
        <f>+D36</f>
        <v>Grundprinzipien</v>
      </c>
      <c r="D36" s="8" t="str">
        <f>+E36</f>
        <v>Grundprinzipien</v>
      </c>
      <c r="E36" s="22" t="s">
        <v>1468</v>
      </c>
      <c r="F36" s="2" t="s">
        <v>68</v>
      </c>
    </row>
    <row r="37" spans="1:6" ht="159.75">
      <c r="A37" s="7">
        <f>ROW()</f>
        <v>37</v>
      </c>
      <c r="B37" s="8" t="s">
        <v>1519</v>
      </c>
      <c r="C37" s="8" t="s">
        <v>1467</v>
      </c>
      <c r="D37" s="8" t="str">
        <f>+E37</f>
        <v>1. Versicherte Personen</v>
      </c>
      <c r="E37" s="23" t="s">
        <v>1520</v>
      </c>
      <c r="F37" s="2" t="s">
        <v>93</v>
      </c>
    </row>
    <row r="38" spans="1:6" ht="371.25">
      <c r="A38" s="7">
        <f>ROW()</f>
        <v>38</v>
      </c>
      <c r="B38" s="8" t="s">
        <v>1519</v>
      </c>
      <c r="C38" s="8" t="s">
        <v>1467</v>
      </c>
      <c r="D38" s="8" t="str">
        <f t="shared" ref="D38:D58" si="1">+E38</f>
        <v>2. Ausnahmen von der Deckung  der Pflichtversicherung</v>
      </c>
      <c r="E38" s="23" t="s">
        <v>1521</v>
      </c>
      <c r="F38" s="2" t="s">
        <v>117</v>
      </c>
    </row>
    <row r="39" spans="1:6" ht="194.25">
      <c r="A39" s="7">
        <f>ROW()</f>
        <v>39</v>
      </c>
      <c r="B39" s="8" t="s">
        <v>1519</v>
      </c>
      <c r="C39" s="8" t="s">
        <v>128</v>
      </c>
      <c r="D39" s="8" t="str">
        <f t="shared" si="1"/>
        <v>1. Rentenalter</v>
      </c>
      <c r="E39" s="23" t="s">
        <v>1523</v>
      </c>
      <c r="F39" s="2" t="s">
        <v>135</v>
      </c>
    </row>
    <row r="40" spans="1:6" ht="409.5">
      <c r="A40" s="7">
        <f>ROW()</f>
        <v>40</v>
      </c>
      <c r="B40" s="8" t="s">
        <v>1519</v>
      </c>
      <c r="C40" s="8" t="s">
        <v>128</v>
      </c>
      <c r="D40" s="8" t="str">
        <f t="shared" si="1"/>
        <v>2. Anwartschaftszeit und sonstige Anspruchsvoraussetzungen für den Bezug einer Altersrente</v>
      </c>
      <c r="E40" s="23" t="s">
        <v>1524</v>
      </c>
      <c r="F40" s="2" t="s">
        <v>157</v>
      </c>
    </row>
    <row r="41" spans="1:6" ht="194.25">
      <c r="A41" s="7">
        <f>ROW()</f>
        <v>41</v>
      </c>
      <c r="B41" s="8" t="s">
        <v>1519</v>
      </c>
      <c r="C41" s="8" t="s">
        <v>128</v>
      </c>
      <c r="D41" s="8" t="str">
        <f t="shared" si="1"/>
        <v>3. Vorruhestand</v>
      </c>
      <c r="E41" s="23" t="s">
        <v>1525</v>
      </c>
      <c r="F41" s="2" t="s">
        <v>178</v>
      </c>
    </row>
    <row r="42" spans="1:6" ht="264">
      <c r="A42" s="7">
        <f>ROW()</f>
        <v>42</v>
      </c>
      <c r="B42" s="8" t="s">
        <v>1519</v>
      </c>
      <c r="C42" s="8" t="s">
        <v>128</v>
      </c>
      <c r="D42" s="8" t="str">
        <f t="shared" si="1"/>
        <v>4. Beschwerliche und gefährliche Arbeit</v>
      </c>
      <c r="E42" s="23" t="s">
        <v>1526</v>
      </c>
      <c r="F42" s="2" t="s">
        <v>197</v>
      </c>
    </row>
    <row r="43" spans="1:6" ht="194.25">
      <c r="A43" s="7">
        <f>ROW()</f>
        <v>43</v>
      </c>
      <c r="B43" s="8" t="s">
        <v>1519</v>
      </c>
      <c r="C43" s="8" t="s">
        <v>128</v>
      </c>
      <c r="D43" s="8" t="str">
        <f t="shared" si="1"/>
        <v>5. Rentenaufschub</v>
      </c>
      <c r="E43" s="23" t="s">
        <v>1527</v>
      </c>
      <c r="F43" s="2" t="s">
        <v>217</v>
      </c>
    </row>
    <row r="44" spans="1:6" ht="174">
      <c r="A44" s="7">
        <f>ROW()</f>
        <v>44</v>
      </c>
      <c r="B44" s="8" t="s">
        <v>1519</v>
      </c>
      <c r="C44" s="8" t="s">
        <v>1459</v>
      </c>
      <c r="D44" s="8" t="str">
        <f t="shared" si="1"/>
        <v>1. Bestimmende Faktoren</v>
      </c>
      <c r="E44" s="23" t="s">
        <v>1528</v>
      </c>
      <c r="F44" s="2" t="s">
        <v>240</v>
      </c>
    </row>
    <row r="45" spans="1:6" ht="409.5">
      <c r="A45" s="7">
        <f>ROW()</f>
        <v>45</v>
      </c>
      <c r="B45" s="8" t="s">
        <v>1519</v>
      </c>
      <c r="C45" s="8" t="s">
        <v>1459</v>
      </c>
      <c r="D45" s="8" t="str">
        <f t="shared" si="1"/>
        <v>2. Berechnungsmethode, Rentenformel bzw. Beträge</v>
      </c>
      <c r="E45" s="23" t="s">
        <v>1529</v>
      </c>
      <c r="F45" s="2" t="s">
        <v>3358</v>
      </c>
    </row>
    <row r="46" spans="1:6" ht="343.5">
      <c r="A46" s="7">
        <f>ROW()</f>
        <v>46</v>
      </c>
      <c r="B46" s="8" t="s">
        <v>1519</v>
      </c>
      <c r="C46" s="8" t="s">
        <v>1459</v>
      </c>
      <c r="D46" s="8" t="str">
        <f t="shared" si="1"/>
        <v>3. Referenzeinkommen bzw. Berechnungsgrundlage</v>
      </c>
      <c r="E46" s="23" t="s">
        <v>1530</v>
      </c>
      <c r="F46" s="2" t="s">
        <v>279</v>
      </c>
    </row>
    <row r="47" spans="1:6" ht="405">
      <c r="A47" s="7">
        <f>ROW()</f>
        <v>47</v>
      </c>
      <c r="B47" s="8" t="s">
        <v>1519</v>
      </c>
      <c r="C47" s="8" t="s">
        <v>1459</v>
      </c>
      <c r="D47" s="8" t="str">
        <f t="shared" si="1"/>
        <v>4. Anrechenbare oder als Beitragszeiten gewertete Zeiträume</v>
      </c>
      <c r="E47" s="23" t="s">
        <v>1496</v>
      </c>
      <c r="F47" s="2" t="s">
        <v>302</v>
      </c>
    </row>
    <row r="48" spans="1:6" ht="243.75">
      <c r="A48" s="7">
        <f>ROW()</f>
        <v>48</v>
      </c>
      <c r="B48" s="8" t="s">
        <v>1519</v>
      </c>
      <c r="C48" s="8" t="s">
        <v>1459</v>
      </c>
      <c r="D48" s="8" t="str">
        <f t="shared" si="1"/>
        <v>5. Rückkauf von Versicherungszeiten</v>
      </c>
      <c r="E48" s="23" t="s">
        <v>1531</v>
      </c>
      <c r="F48" s="2" t="s">
        <v>316</v>
      </c>
    </row>
    <row r="49" spans="1:6" ht="246">
      <c r="A49" s="7">
        <f>ROW()</f>
        <v>49</v>
      </c>
      <c r="B49" s="8" t="s">
        <v>1519</v>
      </c>
      <c r="C49" s="8" t="s">
        <v>1459</v>
      </c>
      <c r="D49" s="8" t="str">
        <f t="shared" si="1"/>
        <v>6.  Zulagen für Unterhaltsberechtigte</v>
      </c>
      <c r="E49" s="23" t="s">
        <v>1631</v>
      </c>
      <c r="F49" s="2" t="s">
        <v>335</v>
      </c>
    </row>
    <row r="50" spans="1:6" ht="145.5">
      <c r="A50" s="7">
        <f>ROW()</f>
        <v>50</v>
      </c>
      <c r="B50" s="8" t="s">
        <v>1519</v>
      </c>
      <c r="C50" s="8" t="s">
        <v>1459</v>
      </c>
      <c r="D50" s="8" t="str">
        <f t="shared" si="1"/>
        <v>7. Besondere Zulagen</v>
      </c>
      <c r="E50" s="23" t="s">
        <v>1532</v>
      </c>
      <c r="F50" s="2" t="s">
        <v>3359</v>
      </c>
    </row>
    <row r="51" spans="1:6" ht="360.75">
      <c r="A51" s="7">
        <f>ROW()</f>
        <v>51</v>
      </c>
      <c r="B51" s="8" t="s">
        <v>1519</v>
      </c>
      <c r="C51" s="8" t="s">
        <v>1459</v>
      </c>
      <c r="D51" s="8" t="str">
        <f t="shared" si="1"/>
        <v>8. Mindestrente und bedürftigkeitsabhängige Leistung</v>
      </c>
      <c r="E51" s="23" t="s">
        <v>1533</v>
      </c>
      <c r="F51" s="2" t="s">
        <v>378</v>
      </c>
    </row>
    <row r="52" spans="1:6" ht="101.25">
      <c r="A52" s="7">
        <f>ROW()</f>
        <v>52</v>
      </c>
      <c r="B52" s="8" t="s">
        <v>1519</v>
      </c>
      <c r="C52" s="8" t="s">
        <v>1459</v>
      </c>
      <c r="D52" s="8" t="str">
        <f t="shared" si="1"/>
        <v>9. Höchstrente</v>
      </c>
      <c r="E52" s="23" t="s">
        <v>1534</v>
      </c>
      <c r="F52" s="2" t="s">
        <v>402</v>
      </c>
    </row>
    <row r="53" spans="1:6" ht="119.25">
      <c r="A53" s="7">
        <f>ROW()</f>
        <v>53</v>
      </c>
      <c r="B53" s="8" t="s">
        <v>1519</v>
      </c>
      <c r="C53" s="8" t="s">
        <v>1459</v>
      </c>
      <c r="D53" s="8" t="str">
        <f t="shared" si="1"/>
        <v>10. Vorruhestand</v>
      </c>
      <c r="E53" s="23" t="s">
        <v>1535</v>
      </c>
      <c r="F53" s="2" t="s">
        <v>429</v>
      </c>
    </row>
    <row r="54" spans="1:6" ht="272.25">
      <c r="A54" s="7">
        <f>ROW()</f>
        <v>54</v>
      </c>
      <c r="B54" s="8" t="s">
        <v>1519</v>
      </c>
      <c r="C54" s="8" t="s">
        <v>1459</v>
      </c>
      <c r="D54" s="8" t="str">
        <f t="shared" si="1"/>
        <v>11. Beschwerliche und gefährliche Arbeit</v>
      </c>
      <c r="E54" s="23" t="s">
        <v>1536</v>
      </c>
      <c r="F54" s="2" t="s">
        <v>455</v>
      </c>
    </row>
    <row r="55" spans="1:6" ht="120">
      <c r="A55" s="7">
        <f>ROW()</f>
        <v>55</v>
      </c>
      <c r="B55" s="8" t="s">
        <v>1519</v>
      </c>
      <c r="C55" s="8" t="s">
        <v>1459</v>
      </c>
      <c r="D55" s="8" t="str">
        <f t="shared" si="1"/>
        <v>12. Teilrente</v>
      </c>
      <c r="E55" s="23" t="s">
        <v>1537</v>
      </c>
      <c r="F55" s="2" t="s">
        <v>480</v>
      </c>
    </row>
    <row r="56" spans="1:6" ht="171.75">
      <c r="A56" s="7">
        <f>ROW()</f>
        <v>56</v>
      </c>
      <c r="B56" s="8" t="s">
        <v>1519</v>
      </c>
      <c r="C56" s="8" t="s">
        <v>1459</v>
      </c>
      <c r="D56" s="8" t="str">
        <f t="shared" si="1"/>
        <v>13. Aufgeschobene Rente</v>
      </c>
      <c r="E56" s="23" t="s">
        <v>1632</v>
      </c>
      <c r="F56" s="2" t="s">
        <v>507</v>
      </c>
    </row>
    <row r="57" spans="1:6" ht="179.25">
      <c r="A57" s="7">
        <f>ROW()</f>
        <v>57</v>
      </c>
      <c r="B57" s="8" t="s">
        <v>1519</v>
      </c>
      <c r="C57" s="8" t="s">
        <v>1538</v>
      </c>
      <c r="D57" s="8" t="s">
        <v>1538</v>
      </c>
      <c r="E57" s="22" t="s">
        <v>1538</v>
      </c>
      <c r="F57" s="2" t="s">
        <v>536</v>
      </c>
    </row>
    <row r="58" spans="1:6" ht="246">
      <c r="A58" s="7">
        <f>ROW()</f>
        <v>58</v>
      </c>
      <c r="B58" s="8" t="s">
        <v>1519</v>
      </c>
      <c r="C58" s="8" t="s">
        <v>1538</v>
      </c>
      <c r="D58" s="8" t="str">
        <f t="shared" si="1"/>
        <v xml:space="preserve">Kumulation mit Erwerbseinkommen </v>
      </c>
      <c r="E58" s="22" t="s">
        <v>1461</v>
      </c>
      <c r="F58" s="2" t="s">
        <v>563</v>
      </c>
    </row>
    <row r="59" spans="1:6" ht="286.5">
      <c r="A59" s="7">
        <f>ROW()</f>
        <v>59</v>
      </c>
      <c r="B59" s="8" t="s">
        <v>1519</v>
      </c>
      <c r="C59" s="8" t="s">
        <v>1538</v>
      </c>
      <c r="D59" s="8" t="s">
        <v>1539</v>
      </c>
      <c r="E59" s="22" t="s">
        <v>1460</v>
      </c>
      <c r="F59" s="2" t="s">
        <v>591</v>
      </c>
    </row>
    <row r="60" spans="1:6" ht="225.75">
      <c r="A60" s="7">
        <f>ROW()</f>
        <v>60</v>
      </c>
      <c r="B60" s="8" t="s">
        <v>1519</v>
      </c>
      <c r="C60" s="8" t="s">
        <v>612</v>
      </c>
      <c r="D60" s="8" t="str">
        <f t="shared" ref="D60:D70" si="2">+E60</f>
        <v>1. Besteuerung von Renten</v>
      </c>
      <c r="E60" s="23" t="s">
        <v>1540</v>
      </c>
      <c r="F60" s="2" t="s">
        <v>621</v>
      </c>
    </row>
    <row r="61" spans="1:6" ht="335.25">
      <c r="A61" s="7">
        <f>ROW()</f>
        <v>61</v>
      </c>
      <c r="B61" s="8" t="s">
        <v>1519</v>
      </c>
      <c r="C61" s="8" t="s">
        <v>612</v>
      </c>
      <c r="D61" s="8" t="str">
        <f t="shared" si="2"/>
        <v>2. Einkommensgrenze für Besteuerung von Renten</v>
      </c>
      <c r="E61" s="23" t="s">
        <v>1541</v>
      </c>
      <c r="F61" s="2" t="s">
        <v>647</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693</v>
      </c>
    </row>
    <row r="64" spans="1:6" ht="132.75">
      <c r="A64" s="7">
        <f>ROW()</f>
        <v>64</v>
      </c>
      <c r="B64" s="8" t="s">
        <v>1543</v>
      </c>
      <c r="C64" s="8" t="s">
        <v>1514</v>
      </c>
      <c r="D64" s="8" t="str">
        <f t="shared" si="2"/>
        <v>Grundprinzipien</v>
      </c>
      <c r="E64" s="23" t="s">
        <v>1468</v>
      </c>
      <c r="F64" s="2" t="s">
        <v>719</v>
      </c>
    </row>
    <row r="65" spans="1:6" ht="224.25">
      <c r="A65" s="7">
        <f>ROW()</f>
        <v>65</v>
      </c>
      <c r="B65" s="8" t="s">
        <v>1543</v>
      </c>
      <c r="C65" s="8" t="s">
        <v>1514</v>
      </c>
      <c r="D65" s="8" t="str">
        <f t="shared" si="2"/>
        <v>Voraussetzungen für die Deckung</v>
      </c>
      <c r="E65" s="23" t="s">
        <v>1469</v>
      </c>
      <c r="F65" s="2" t="s">
        <v>746</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762</v>
      </c>
    </row>
    <row r="70" spans="1:6" ht="272.25">
      <c r="A70" s="7">
        <f>ROW()</f>
        <v>70</v>
      </c>
      <c r="B70" s="8" t="s">
        <v>1543</v>
      </c>
      <c r="C70" s="8" t="s">
        <v>1459</v>
      </c>
      <c r="D70" s="9" t="str">
        <f t="shared" si="2"/>
        <v>Auf Leistungen anfallende Sozialabgaben</v>
      </c>
      <c r="E70" s="23" t="s">
        <v>1457</v>
      </c>
      <c r="F70" s="2" t="s">
        <v>282</v>
      </c>
    </row>
    <row r="71" spans="1:6" ht="177">
      <c r="A71" s="7">
        <f>ROW()</f>
        <v>71</v>
      </c>
      <c r="B71" s="8" t="s">
        <v>1466</v>
      </c>
      <c r="C71" s="8" t="str">
        <f t="shared" ref="C71:D75" si="3">+D71</f>
        <v>Geltende Rechtsgrundlage</v>
      </c>
      <c r="D71" s="9" t="str">
        <f t="shared" si="3"/>
        <v>Geltende Rechtsgrundlage</v>
      </c>
      <c r="E71" s="22" t="s">
        <v>1472</v>
      </c>
      <c r="F71" s="2" t="s">
        <v>841</v>
      </c>
    </row>
    <row r="72" spans="1:6" ht="110.25">
      <c r="A72" s="7">
        <f>ROW()</f>
        <v>72</v>
      </c>
      <c r="B72" s="8" t="s">
        <v>1466</v>
      </c>
      <c r="C72" s="8" t="str">
        <f t="shared" si="3"/>
        <v>Grundprinzipien</v>
      </c>
      <c r="D72" s="9" t="str">
        <f t="shared" si="3"/>
        <v>Grundprinzipien</v>
      </c>
      <c r="E72" s="22" t="s">
        <v>1468</v>
      </c>
      <c r="F72" s="2" t="s">
        <v>3360</v>
      </c>
    </row>
    <row r="73" spans="1:6" ht="315">
      <c r="A73" s="7">
        <f>ROW()</f>
        <v>73</v>
      </c>
      <c r="B73" s="8" t="s">
        <v>1466</v>
      </c>
      <c r="C73" s="9" t="str">
        <f t="shared" si="3"/>
        <v>Anwendungsbereich (in Bezug auf Verstorbene)</v>
      </c>
      <c r="D73" s="9" t="str">
        <f t="shared" si="3"/>
        <v>Anwendungsbereich (in Bezug auf Verstorbene)</v>
      </c>
      <c r="E73" s="22" t="s">
        <v>1473</v>
      </c>
      <c r="F73" s="2" t="s">
        <v>894</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117</v>
      </c>
    </row>
    <row r="75" spans="1:6" ht="144.75">
      <c r="A75" s="7">
        <f>ROW()</f>
        <v>75</v>
      </c>
      <c r="B75" s="8" t="s">
        <v>1466</v>
      </c>
      <c r="C75" s="9" t="str">
        <f t="shared" si="3"/>
        <v>Berechtigte Personen</v>
      </c>
      <c r="D75" s="9" t="str">
        <f t="shared" si="3"/>
        <v>Berechtigte Personen</v>
      </c>
      <c r="E75" s="22" t="s">
        <v>1477</v>
      </c>
      <c r="F75" s="2" t="s">
        <v>927</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950</v>
      </c>
    </row>
    <row r="78" spans="1:6" ht="185.25">
      <c r="A78" s="7">
        <f>ROW()</f>
        <v>78</v>
      </c>
      <c r="B78" s="8" t="s">
        <v>1466</v>
      </c>
      <c r="C78" s="8" t="s">
        <v>1544</v>
      </c>
      <c r="D78" s="8" t="str">
        <f t="shared" si="4"/>
        <v>2. Hinterbliebener Ehegatte</v>
      </c>
      <c r="E78" s="23" t="s">
        <v>1546</v>
      </c>
      <c r="F78" s="2" t="s">
        <v>971</v>
      </c>
    </row>
    <row r="79" spans="1:6" ht="181.5">
      <c r="A79" s="7">
        <f>ROW()</f>
        <v>79</v>
      </c>
      <c r="B79" s="8" t="s">
        <v>1466</v>
      </c>
      <c r="C79" s="8" t="s">
        <v>1544</v>
      </c>
      <c r="D79" s="8" t="str">
        <f t="shared" si="4"/>
        <v>3. Geschiedener Ehegatte</v>
      </c>
      <c r="E79" s="23" t="s">
        <v>1547</v>
      </c>
      <c r="F79" s="2" t="s">
        <v>989</v>
      </c>
    </row>
    <row r="80" spans="1:6" ht="216">
      <c r="A80" s="7">
        <f>ROW()</f>
        <v>80</v>
      </c>
      <c r="B80" s="8" t="s">
        <v>1466</v>
      </c>
      <c r="C80" s="8" t="s">
        <v>1544</v>
      </c>
      <c r="D80" s="8" t="str">
        <f t="shared" si="4"/>
        <v>4. Hinterbliebene Lebenspartner</v>
      </c>
      <c r="E80" s="23" t="s">
        <v>1548</v>
      </c>
      <c r="F80" s="2" t="s">
        <v>1011</v>
      </c>
    </row>
    <row r="81" spans="1:6" ht="181.5">
      <c r="A81" s="7">
        <f>ROW()</f>
        <v>81</v>
      </c>
      <c r="B81" s="8" t="s">
        <v>1466</v>
      </c>
      <c r="C81" s="8" t="s">
        <v>1544</v>
      </c>
      <c r="D81" s="8" t="str">
        <f t="shared" si="4"/>
        <v>5. Kinder</v>
      </c>
      <c r="E81" s="23" t="s">
        <v>1549</v>
      </c>
      <c r="F81" s="2" t="s">
        <v>1035</v>
      </c>
    </row>
    <row r="82" spans="1:6" ht="181.5">
      <c r="A82" s="7">
        <f>ROW()</f>
        <v>82</v>
      </c>
      <c r="B82" s="8" t="s">
        <v>1466</v>
      </c>
      <c r="C82" s="8" t="s">
        <v>1544</v>
      </c>
      <c r="D82" s="8" t="str">
        <f t="shared" si="4"/>
        <v>6. Andere Personen</v>
      </c>
      <c r="E82" s="23" t="s">
        <v>1550</v>
      </c>
      <c r="F82" s="2" t="s">
        <v>1053</v>
      </c>
    </row>
    <row r="83" spans="1:6" ht="409.5">
      <c r="A83" s="7">
        <f>ROW()</f>
        <v>83</v>
      </c>
      <c r="B83" s="8" t="s">
        <v>1466</v>
      </c>
      <c r="C83" s="8" t="s">
        <v>1459</v>
      </c>
      <c r="D83" s="9" t="str">
        <f t="shared" si="4"/>
        <v>1. Hinterbliebener Ehegatte, geschiedener Ehegatte, hinterbliebene Lebenspartner</v>
      </c>
      <c r="E83" s="23" t="s">
        <v>1551</v>
      </c>
      <c r="F83" s="2" t="s">
        <v>1068</v>
      </c>
    </row>
    <row r="84" spans="1:6" ht="280.5">
      <c r="A84" s="7">
        <f>ROW()</f>
        <v>84</v>
      </c>
      <c r="B84" s="8" t="s">
        <v>1466</v>
      </c>
      <c r="C84" s="8" t="s">
        <v>1459</v>
      </c>
      <c r="D84" s="9" t="str">
        <f t="shared" si="4"/>
        <v>2. Hinterbliebener Ehegatte: Wiederheirat</v>
      </c>
      <c r="E84" s="23" t="s">
        <v>1552</v>
      </c>
      <c r="F84" s="2" t="s">
        <v>1092</v>
      </c>
    </row>
    <row r="85" spans="1:6" ht="135">
      <c r="A85" s="7">
        <f>ROW()</f>
        <v>85</v>
      </c>
      <c r="B85" s="8" t="s">
        <v>1466</v>
      </c>
      <c r="C85" s="8" t="s">
        <v>1459</v>
      </c>
      <c r="D85" s="9" t="str">
        <f t="shared" si="4"/>
        <v>3. Kinder</v>
      </c>
      <c r="E85" s="23" t="s">
        <v>1553</v>
      </c>
      <c r="F85" s="2" t="s">
        <v>1118</v>
      </c>
    </row>
    <row r="86" spans="1:6" ht="147">
      <c r="A86" s="7">
        <f>ROW()</f>
        <v>86</v>
      </c>
      <c r="B86" s="8" t="s">
        <v>1466</v>
      </c>
      <c r="C86" s="8" t="s">
        <v>1459</v>
      </c>
      <c r="D86" s="9" t="str">
        <f t="shared" si="4"/>
        <v>4. Andere Berechtigte</v>
      </c>
      <c r="E86" s="23" t="s">
        <v>1554</v>
      </c>
      <c r="F86" s="2" t="s">
        <v>1053</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1175</v>
      </c>
    </row>
    <row r="89" spans="1:6" ht="126.75">
      <c r="A89" s="7">
        <f>ROW()</f>
        <v>89</v>
      </c>
      <c r="B89" s="8" t="s">
        <v>1466</v>
      </c>
      <c r="C89" s="8" t="s">
        <v>1459</v>
      </c>
      <c r="D89" s="9" t="str">
        <f>+E89</f>
        <v>7. Mindestleistung</v>
      </c>
      <c r="E89" s="23" t="s">
        <v>1557</v>
      </c>
      <c r="F89" s="2" t="s">
        <v>1197</v>
      </c>
    </row>
    <row r="90" spans="1:6" ht="122.25">
      <c r="A90" s="7">
        <f>ROW()</f>
        <v>90</v>
      </c>
      <c r="B90" s="8" t="s">
        <v>1466</v>
      </c>
      <c r="C90" s="8" t="s">
        <v>1459</v>
      </c>
      <c r="D90" s="9" t="str">
        <f t="shared" si="4"/>
        <v xml:space="preserve"> 8. Höchstleistung</v>
      </c>
      <c r="E90" s="23" t="s">
        <v>1558</v>
      </c>
      <c r="F90" s="2" t="s">
        <v>1219</v>
      </c>
    </row>
    <row r="91" spans="1:6" ht="179.25">
      <c r="A91" s="7">
        <f>ROW()</f>
        <v>91</v>
      </c>
      <c r="B91" s="8" t="s">
        <v>1466</v>
      </c>
      <c r="C91" s="8" t="s">
        <v>1538</v>
      </c>
      <c r="D91" s="9" t="str">
        <f>+C91</f>
        <v>Indexbindung / Anpassung</v>
      </c>
      <c r="E91" s="22" t="s">
        <v>1538</v>
      </c>
      <c r="F91" s="2" t="s">
        <v>1242</v>
      </c>
    </row>
    <row r="92" spans="1:6" ht="242.25">
      <c r="A92" s="7">
        <f>ROW()</f>
        <v>92</v>
      </c>
      <c r="B92" s="8" t="s">
        <v>1466</v>
      </c>
      <c r="C92" s="8" t="s">
        <v>1538</v>
      </c>
      <c r="D92" s="9" t="str">
        <f t="shared" ref="D92:D105" si="5">+E92</f>
        <v>Kumulation mit Erwerbseinkommen</v>
      </c>
      <c r="E92" s="22" t="s">
        <v>1471</v>
      </c>
      <c r="F92" s="2" t="s">
        <v>1268</v>
      </c>
    </row>
    <row r="93" spans="1:6" ht="275.25">
      <c r="A93" s="7">
        <f>ROW()</f>
        <v>93</v>
      </c>
      <c r="B93" s="8" t="s">
        <v>1466</v>
      </c>
      <c r="C93" s="8" t="s">
        <v>1538</v>
      </c>
      <c r="D93" s="9" t="str">
        <f t="shared" si="5"/>
        <v>Kumulation mit anderen Sozialleistungen</v>
      </c>
      <c r="E93" s="22" t="s">
        <v>1460</v>
      </c>
      <c r="F93" s="2" t="s">
        <v>1295</v>
      </c>
    </row>
    <row r="94" spans="1:6" ht="232.5">
      <c r="A94" s="7">
        <f>ROW()</f>
        <v>94</v>
      </c>
      <c r="B94" s="8" t="s">
        <v>1466</v>
      </c>
      <c r="C94" s="9" t="s">
        <v>1465</v>
      </c>
      <c r="D94" s="9" t="str">
        <f t="shared" si="5"/>
        <v>1. Besteuerung von Geldleistungen</v>
      </c>
      <c r="E94" s="23" t="s">
        <v>1509</v>
      </c>
      <c r="F94" s="2" t="s">
        <v>1323</v>
      </c>
    </row>
    <row r="95" spans="1:6" ht="387">
      <c r="A95" s="7">
        <f>ROW()</f>
        <v>95</v>
      </c>
      <c r="B95" s="8" t="s">
        <v>1466</v>
      </c>
      <c r="C95" s="9" t="s">
        <v>1465</v>
      </c>
      <c r="D95" s="9" t="str">
        <f t="shared" si="5"/>
        <v>2. Einkommensgrenze für Besteuerung von Geldleistungen</v>
      </c>
      <c r="E95" s="23" t="s">
        <v>1511</v>
      </c>
      <c r="F95" s="2" t="s">
        <v>1343</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1379</v>
      </c>
    </row>
    <row r="98" spans="1:6" ht="110.25">
      <c r="A98" s="7">
        <f>ROW()</f>
        <v>98</v>
      </c>
      <c r="B98" s="8" t="s">
        <v>1466</v>
      </c>
      <c r="C98" s="9" t="s">
        <v>1514</v>
      </c>
      <c r="D98" s="9" t="str">
        <f t="shared" si="5"/>
        <v>Grundprinzipien</v>
      </c>
      <c r="E98" s="23" t="s">
        <v>1468</v>
      </c>
      <c r="F98" s="2" t="s">
        <v>1395</v>
      </c>
    </row>
    <row r="99" spans="1:6" ht="224.25">
      <c r="A99" s="7">
        <f>ROW()</f>
        <v>99</v>
      </c>
      <c r="B99" s="8" t="s">
        <v>1466</v>
      </c>
      <c r="C99" s="9" t="s">
        <v>1514</v>
      </c>
      <c r="D99" s="9" t="str">
        <f t="shared" si="5"/>
        <v>Voraussetzungen für die Deckung</v>
      </c>
      <c r="E99" s="23" t="s">
        <v>1469</v>
      </c>
      <c r="F99" s="2" t="s">
        <v>746</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762</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762</v>
      </c>
    </row>
    <row r="105" spans="1:6" ht="272.25">
      <c r="A105" s="7">
        <f>ROW()</f>
        <v>105</v>
      </c>
      <c r="B105" s="8" t="s">
        <v>1466</v>
      </c>
      <c r="C105" s="9" t="s">
        <v>1514</v>
      </c>
      <c r="D105" s="9" t="str">
        <f t="shared" si="5"/>
        <v>Auf Leistungen anfallende Sozialabgaben</v>
      </c>
      <c r="E105" s="23" t="s">
        <v>1457</v>
      </c>
      <c r="F105" s="2" t="s">
        <v>282</v>
      </c>
    </row>
    <row r="106" spans="1:6"/>
    <row r="107" spans="1:6"/>
    <row r="108" spans="1:6"/>
    <row r="109" spans="1:6"/>
    <row r="110" spans="1:6"/>
    <row r="111" spans="1:6"/>
    <row r="112" spans="1:6"/>
    <row r="113"/>
  </sheetData>
  <sheetProtection algorithmName="SHA-512" hashValue="IbWO1u6C9HD/Z+/h4Lu3kM86yxfihkZBAeWGP9ajknFflL+ovtqoNoKGH91SplbXVpLf19nxSlnLrf08YmGNhA==" saltValue="crJkclM78sw+XKkhqc5K7g==" spinCount="100000" sheet="1" objects="1" scenarios="1" formatColumns="0" autoFilter="0"/>
  <autoFilter ref="A2:F2" xr:uid="{F99BCAC9-E290-4B1F-869D-D8E2DCD7C7E3}"/>
  <pageMargins left="0.7" right="0.7" top="0.78740157499999996" bottom="0.78740157499999996"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6DC6-EF86-42C0-AA9F-D8B7CB677BCF}">
  <sheetPr codeName="Tabelle12"/>
  <dimension ref="A1:XFC113"/>
  <sheetViews>
    <sheetView workbookViewId="0">
      <pane xSplit="5" ySplit="2" topLeftCell="F73" activePane="bottomRight" state="frozen"/>
      <selection activeCell="B15" sqref="B15:I21"/>
      <selection pane="topRight" activeCell="B15" sqref="B15:I21"/>
      <selection pane="bottomLeft" activeCell="B15" sqref="B15:I21"/>
      <selection pane="bottomRight" activeCell="F2" sqref="F2"/>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3" width="11.42578125" hidden="1"/>
    <col min="16384" max="16384" width="0.28515625" hidden="1"/>
  </cols>
  <sheetData>
    <row r="1" spans="1:6" ht="64.5" customHeight="1">
      <c r="B1" s="129" t="s">
        <v>1474</v>
      </c>
      <c r="C1" s="126" t="s">
        <v>1478</v>
      </c>
      <c r="D1" s="126" t="s">
        <v>1475</v>
      </c>
      <c r="E1" s="118" t="s">
        <v>2245</v>
      </c>
      <c r="F1" s="6" t="s">
        <v>10</v>
      </c>
    </row>
    <row r="2" spans="1:6" ht="39.75" customHeight="1">
      <c r="A2" s="128"/>
      <c r="B2" s="129"/>
      <c r="C2" s="126"/>
      <c r="D2" s="126"/>
      <c r="E2" s="124"/>
      <c r="F2" s="162" t="str" cm="1">
        <f t="array" ref="F2">_xlfn.TEXTJOIN("; ", TRUE, IF(Entscheidungen!A2:A100=F1, Entscheidungen!B2:B100, ""))</f>
        <v>OLG Frankfurt, 21.07.2014 – 5 UF 149/14; OLG Düsseldorf, 07.09.2018 – II-8 UF 36/17</v>
      </c>
    </row>
    <row r="3" spans="1:6" ht="405">
      <c r="A3" s="7">
        <f>ROW()</f>
        <v>3</v>
      </c>
      <c r="B3" s="8" t="s">
        <v>1479</v>
      </c>
      <c r="C3" s="8"/>
      <c r="D3" s="8" t="str">
        <f>+E3</f>
        <v>Geltende Rechtsgrundlage</v>
      </c>
      <c r="E3" s="21" t="s">
        <v>1472</v>
      </c>
      <c r="F3" s="2" t="s">
        <v>1979</v>
      </c>
    </row>
    <row r="4" spans="1:6" ht="110.25">
      <c r="A4" s="7">
        <f>ROW()</f>
        <v>4</v>
      </c>
      <c r="B4" s="8" t="s">
        <v>1479</v>
      </c>
      <c r="C4" s="1"/>
      <c r="D4" s="8" t="str">
        <f t="shared" ref="D4:D34" si="0">+E4</f>
        <v>Grundprinzipien</v>
      </c>
      <c r="E4" s="22" t="s">
        <v>1468</v>
      </c>
      <c r="F4" s="2" t="s">
        <v>1980</v>
      </c>
    </row>
    <row r="5" spans="1:6" ht="188.25">
      <c r="A5" s="7">
        <f>ROW()</f>
        <v>5</v>
      </c>
      <c r="B5" s="8" t="s">
        <v>1479</v>
      </c>
      <c r="C5" s="1"/>
      <c r="D5" s="8" t="str">
        <f t="shared" si="0"/>
        <v>Gedecktes Risiko: Definition</v>
      </c>
      <c r="E5" s="22" t="s">
        <v>1630</v>
      </c>
      <c r="F5" s="2" t="s">
        <v>1981</v>
      </c>
    </row>
    <row r="6" spans="1:6" ht="144">
      <c r="A6" s="7">
        <f>ROW()</f>
        <v>6</v>
      </c>
      <c r="B6" s="8" t="s">
        <v>1479</v>
      </c>
      <c r="C6" s="8" t="s">
        <v>1453</v>
      </c>
      <c r="D6" s="8" t="str">
        <f t="shared" si="0"/>
        <v>Versicherte Personen</v>
      </c>
      <c r="E6" s="23" t="s">
        <v>1453</v>
      </c>
      <c r="F6" s="2" t="s">
        <v>1982</v>
      </c>
    </row>
    <row r="7" spans="1:6" ht="273">
      <c r="A7" s="7">
        <f>ROW()</f>
        <v>7</v>
      </c>
      <c r="B7" s="8" t="s">
        <v>1479</v>
      </c>
      <c r="C7" s="8" t="str">
        <f>+E6</f>
        <v>Versicherte Personen</v>
      </c>
      <c r="D7" s="8" t="str">
        <f t="shared" si="0"/>
        <v>Ausnahmen von der Versicherungspflicht</v>
      </c>
      <c r="E7" s="23" t="s">
        <v>1458</v>
      </c>
      <c r="F7" s="2" t="s">
        <v>1983</v>
      </c>
    </row>
    <row r="8" spans="1:6" ht="194.25">
      <c r="A8" s="7">
        <f>ROW()</f>
        <v>8</v>
      </c>
      <c r="B8" s="8" t="s">
        <v>1479</v>
      </c>
      <c r="C8" s="9" t="s">
        <v>128</v>
      </c>
      <c r="D8" s="8" t="str">
        <f t="shared" si="0"/>
        <v>1. Anwartschaftszeit</v>
      </c>
      <c r="E8" s="23" t="s">
        <v>1483</v>
      </c>
      <c r="F8" s="2" t="s">
        <v>3361</v>
      </c>
    </row>
    <row r="9" spans="1:6" ht="409.5">
      <c r="A9" s="7">
        <f>ROW()</f>
        <v>9</v>
      </c>
      <c r="B9" s="8" t="s">
        <v>1479</v>
      </c>
      <c r="C9" s="9" t="s">
        <v>128</v>
      </c>
      <c r="D9" s="8" t="str">
        <f t="shared" si="0"/>
        <v xml:space="preserve">2. Begutachtungskriterien und Kategorien der Arbeitsunfähigkeit/Arbeitsfähigkeit  </v>
      </c>
      <c r="E9" s="23" t="s">
        <v>1484</v>
      </c>
      <c r="F9" s="2" t="s">
        <v>3362</v>
      </c>
    </row>
    <row r="10" spans="1:6" ht="222">
      <c r="A10" s="7">
        <f>ROW()</f>
        <v>10</v>
      </c>
      <c r="B10" s="8" t="s">
        <v>1479</v>
      </c>
      <c r="C10" s="9" t="s">
        <v>128</v>
      </c>
      <c r="D10" s="8" t="str">
        <f t="shared" si="0"/>
        <v>3. Zeitraum der Leistungszahlung</v>
      </c>
      <c r="E10" s="23" t="s">
        <v>1486</v>
      </c>
      <c r="F10" s="2" t="s">
        <v>1984</v>
      </c>
    </row>
    <row r="11" spans="1:6" ht="120">
      <c r="A11" s="7">
        <f>ROW()</f>
        <v>11</v>
      </c>
      <c r="B11" s="8" t="s">
        <v>1479</v>
      </c>
      <c r="C11" s="9" t="s">
        <v>1488</v>
      </c>
      <c r="D11" s="8" t="str">
        <f t="shared" si="0"/>
        <v>1. Gutachter</v>
      </c>
      <c r="E11" s="23" t="s">
        <v>1489</v>
      </c>
      <c r="F11" s="2" t="s">
        <v>1985</v>
      </c>
    </row>
    <row r="12" spans="1:6" ht="111.75">
      <c r="A12" s="7">
        <f>ROW()</f>
        <v>12</v>
      </c>
      <c r="B12" s="8" t="s">
        <v>1479</v>
      </c>
      <c r="C12" s="9" t="s">
        <v>1488</v>
      </c>
      <c r="D12" s="8" t="str">
        <f t="shared" si="0"/>
        <v xml:space="preserve">2. Überprüfung  </v>
      </c>
      <c r="E12" s="23" t="s">
        <v>1490</v>
      </c>
      <c r="F12" s="2" t="s">
        <v>1986</v>
      </c>
    </row>
    <row r="13" spans="1:6" ht="291.75">
      <c r="A13" s="7">
        <f>ROW()</f>
        <v>13</v>
      </c>
      <c r="B13" s="8" t="s">
        <v>1479</v>
      </c>
      <c r="C13" s="8" t="s">
        <v>1459</v>
      </c>
      <c r="D13" s="8" t="str">
        <f t="shared" si="0"/>
        <v>1. Berechnungsmethode bzw. Rentenformel</v>
      </c>
      <c r="E13" s="23" t="s">
        <v>1492</v>
      </c>
      <c r="F13" s="2" t="s">
        <v>3363</v>
      </c>
    </row>
    <row r="14" spans="1:6" ht="343.5">
      <c r="A14" s="7">
        <f>ROW()</f>
        <v>14</v>
      </c>
      <c r="B14" s="8" t="s">
        <v>1479</v>
      </c>
      <c r="C14" s="8" t="s">
        <v>1459</v>
      </c>
      <c r="D14" s="8" t="str">
        <f t="shared" si="0"/>
        <v>2. Referenzeinkommen bzw. Berechnungsgrundlage</v>
      </c>
      <c r="E14" s="23" t="s">
        <v>1493</v>
      </c>
      <c r="F14" s="2" t="s">
        <v>3364</v>
      </c>
    </row>
    <row r="15" spans="1:6" ht="226.5">
      <c r="A15" s="7">
        <f>ROW()</f>
        <v>15</v>
      </c>
      <c r="B15" s="8" t="s">
        <v>1479</v>
      </c>
      <c r="C15" s="8" t="s">
        <v>1459</v>
      </c>
      <c r="D15" s="8" t="str">
        <f t="shared" si="0"/>
        <v>3. Mindest- und Höchstleistungen</v>
      </c>
      <c r="E15" s="23" t="s">
        <v>1495</v>
      </c>
      <c r="F15" s="2" t="s">
        <v>1987</v>
      </c>
    </row>
    <row r="16" spans="1:6" ht="405">
      <c r="A16" s="7">
        <f>ROW()</f>
        <v>16</v>
      </c>
      <c r="B16" s="8" t="s">
        <v>1479</v>
      </c>
      <c r="C16" s="8" t="s">
        <v>1459</v>
      </c>
      <c r="D16" s="8" t="str">
        <f t="shared" si="0"/>
        <v>4. Anrechenbare oder als Beitragszeiten gewertete Zeiträume</v>
      </c>
      <c r="E16" s="23" t="s">
        <v>1496</v>
      </c>
      <c r="F16" s="2" t="s">
        <v>1988</v>
      </c>
    </row>
    <row r="17" spans="1:6" ht="250.5">
      <c r="A17" s="7">
        <f>ROW()</f>
        <v>17</v>
      </c>
      <c r="B17" s="8" t="s">
        <v>1479</v>
      </c>
      <c r="C17" s="8" t="s">
        <v>1459</v>
      </c>
      <c r="D17" s="8" t="str">
        <f t="shared" si="0"/>
        <v xml:space="preserve">5. Zulagen für Unterhaltsberechtigte  </v>
      </c>
      <c r="E17" s="23" t="s">
        <v>1498</v>
      </c>
      <c r="F17" s="2" t="s">
        <v>1441</v>
      </c>
    </row>
    <row r="18" spans="1:6" ht="135">
      <c r="A18" s="7">
        <f>ROW()</f>
        <v>18</v>
      </c>
      <c r="B18" s="8" t="s">
        <v>1479</v>
      </c>
      <c r="C18" s="8" t="str">
        <f>+E18</f>
        <v>Sonstige Leistungen</v>
      </c>
      <c r="D18" s="8" t="str">
        <f>+E18</f>
        <v>Sonstige Leistungen</v>
      </c>
      <c r="E18" s="22" t="s">
        <v>1455</v>
      </c>
      <c r="F18" s="2" t="s">
        <v>1989</v>
      </c>
    </row>
    <row r="19" spans="1:6" ht="300.75">
      <c r="A19" s="7">
        <f>ROW()</f>
        <v>19</v>
      </c>
      <c r="B19" s="8" t="s">
        <v>1479</v>
      </c>
      <c r="C19" s="8" t="s">
        <v>1500</v>
      </c>
      <c r="D19" s="8" t="str">
        <f t="shared" si="0"/>
        <v>Umschulung, berufsbezogene Rehabilitation</v>
      </c>
      <c r="E19" s="23" t="s">
        <v>1501</v>
      </c>
      <c r="F19" s="2" t="s">
        <v>1990</v>
      </c>
    </row>
    <row r="20" spans="1:6" ht="409.5">
      <c r="A20" s="7">
        <f>ROW()</f>
        <v>20</v>
      </c>
      <c r="B20" s="8" t="s">
        <v>1479</v>
      </c>
      <c r="C20" s="8" t="s">
        <v>1500</v>
      </c>
      <c r="D20" s="8" t="str">
        <f t="shared" si="0"/>
        <v xml:space="preserve">Bevorzugte und reservierte Beschäftigung von Menschen mit Behinderungen  </v>
      </c>
      <c r="E20" s="23" t="s">
        <v>1502</v>
      </c>
      <c r="F20" s="2" t="s">
        <v>3365</v>
      </c>
    </row>
    <row r="21" spans="1:6" ht="171.75">
      <c r="A21" s="7">
        <f>ROW()</f>
        <v>21</v>
      </c>
      <c r="B21" s="8" t="s">
        <v>1479</v>
      </c>
      <c r="C21" s="8" t="s">
        <v>1504</v>
      </c>
      <c r="D21" s="8" t="str">
        <f t="shared" si="0"/>
        <v>Indexbindung/Anpassung</v>
      </c>
      <c r="E21" s="22" t="s">
        <v>1505</v>
      </c>
      <c r="F21" s="2" t="s">
        <v>1991</v>
      </c>
    </row>
    <row r="22" spans="1:6" ht="242.25">
      <c r="A22" s="7">
        <f>ROW()</f>
        <v>22</v>
      </c>
      <c r="B22" s="8" t="s">
        <v>1479</v>
      </c>
      <c r="C22" s="8" t="s">
        <v>1504</v>
      </c>
      <c r="D22" s="8" t="str">
        <f>+E22</f>
        <v>Kumulation mit Erwerbseinkommen</v>
      </c>
      <c r="E22" s="22" t="s">
        <v>1471</v>
      </c>
      <c r="F22" s="3" t="s">
        <v>1992</v>
      </c>
    </row>
    <row r="23" spans="1:6" ht="275.25">
      <c r="A23" s="7">
        <f>ROW()</f>
        <v>23</v>
      </c>
      <c r="B23" s="8" t="s">
        <v>1479</v>
      </c>
      <c r="C23" s="8" t="s">
        <v>1504</v>
      </c>
      <c r="D23" s="8" t="str">
        <f t="shared" si="0"/>
        <v>Kumulation mit anderen Sozialleistungen</v>
      </c>
      <c r="E23" s="22" t="s">
        <v>1460</v>
      </c>
      <c r="F23" s="2" t="s">
        <v>1993</v>
      </c>
    </row>
    <row r="24" spans="1:6" ht="232.5">
      <c r="A24" s="7">
        <f>ROW()</f>
        <v>24</v>
      </c>
      <c r="B24" s="8" t="s">
        <v>1479</v>
      </c>
      <c r="C24" s="8" t="s">
        <v>1465</v>
      </c>
      <c r="D24" s="8" t="str">
        <f t="shared" si="0"/>
        <v>1. Besteuerung von Geldleistungen</v>
      </c>
      <c r="E24" s="23" t="s">
        <v>1509</v>
      </c>
      <c r="F24" s="2" t="s">
        <v>622</v>
      </c>
    </row>
    <row r="25" spans="1:6" ht="387">
      <c r="A25" s="7">
        <f>ROW()</f>
        <v>25</v>
      </c>
      <c r="B25" s="8" t="s">
        <v>1479</v>
      </c>
      <c r="C25" s="8" t="s">
        <v>1465</v>
      </c>
      <c r="D25" s="8" t="str">
        <f t="shared" si="0"/>
        <v>2. Einkommensgrenze für Besteuerung von Geldleistungen</v>
      </c>
      <c r="E25" s="23" t="s">
        <v>1511</v>
      </c>
      <c r="F25" s="2" t="s">
        <v>653</v>
      </c>
    </row>
    <row r="26" spans="1:6" ht="288.75">
      <c r="A26" s="7">
        <f>ROW()</f>
        <v>26</v>
      </c>
      <c r="B26" s="8" t="s">
        <v>1479</v>
      </c>
      <c r="C26" s="8" t="s">
        <v>1465</v>
      </c>
      <c r="D26" s="8" t="str">
        <f t="shared" si="0"/>
        <v>3. Auf Leistungen anfallende Sozialabgaben</v>
      </c>
      <c r="E26" s="23" t="s">
        <v>1512</v>
      </c>
      <c r="F26" s="2" t="s">
        <v>672</v>
      </c>
    </row>
    <row r="27" spans="1:6" ht="138">
      <c r="A27" s="7">
        <f>ROW()</f>
        <v>27</v>
      </c>
      <c r="B27" s="8" t="s">
        <v>1479</v>
      </c>
      <c r="C27" s="8" t="s">
        <v>1514</v>
      </c>
      <c r="D27" s="8" t="str">
        <f t="shared" si="0"/>
        <v>Anwendungsbereich</v>
      </c>
      <c r="E27" s="23" t="s">
        <v>1467</v>
      </c>
      <c r="F27" s="2" t="s">
        <v>1994</v>
      </c>
    </row>
    <row r="28" spans="1:6" ht="110.25">
      <c r="A28" s="7">
        <f>ROW()</f>
        <v>28</v>
      </c>
      <c r="B28" s="8" t="s">
        <v>1479</v>
      </c>
      <c r="C28" s="8" t="s">
        <v>1514</v>
      </c>
      <c r="D28" s="8" t="str">
        <f t="shared" si="0"/>
        <v>Grundprinzipien</v>
      </c>
      <c r="E28" s="23" t="s">
        <v>1468</v>
      </c>
      <c r="F28" s="2" t="s">
        <v>1396</v>
      </c>
    </row>
    <row r="29" spans="1:6" ht="224.25">
      <c r="A29" s="7">
        <f>ROW()</f>
        <v>29</v>
      </c>
      <c r="B29" s="8" t="s">
        <v>1479</v>
      </c>
      <c r="C29" s="8" t="s">
        <v>1514</v>
      </c>
      <c r="D29" s="8" t="str">
        <f t="shared" si="0"/>
        <v>Voraussetzungen für die Deckung</v>
      </c>
      <c r="E29" s="23" t="s">
        <v>1469</v>
      </c>
      <c r="F29" s="2" t="s">
        <v>1995</v>
      </c>
    </row>
    <row r="30" spans="1:6" ht="409.5">
      <c r="A30" s="7">
        <f>ROW()</f>
        <v>30</v>
      </c>
      <c r="B30" s="8" t="s">
        <v>1479</v>
      </c>
      <c r="C30" s="8" t="s">
        <v>1514</v>
      </c>
      <c r="D30" s="9" t="str">
        <f t="shared" si="0"/>
        <v>Kombination von selbstständiger und unselbstständiger Tätigkeit</v>
      </c>
      <c r="E30" s="23" t="s">
        <v>1462</v>
      </c>
      <c r="F30" s="2" t="s">
        <v>1996</v>
      </c>
    </row>
    <row r="31" spans="1:6" ht="376.5">
      <c r="A31" s="7">
        <f>ROW()</f>
        <v>31</v>
      </c>
      <c r="B31" s="8" t="s">
        <v>1479</v>
      </c>
      <c r="C31" s="8" t="s">
        <v>1459</v>
      </c>
      <c r="D31" s="9" t="str">
        <f t="shared" si="0"/>
        <v xml:space="preserve">Voraussetzungen für den Zugang zu Diensten/Leistungen </v>
      </c>
      <c r="E31" s="23" t="s">
        <v>1463</v>
      </c>
      <c r="F31" s="2" t="s">
        <v>1997</v>
      </c>
    </row>
    <row r="32" spans="1:6" ht="253.5">
      <c r="A32" s="7">
        <f>ROW()</f>
        <v>32</v>
      </c>
      <c r="B32" s="8" t="s">
        <v>1479</v>
      </c>
      <c r="C32" s="8" t="s">
        <v>1459</v>
      </c>
      <c r="D32" s="8" t="str">
        <f t="shared" si="0"/>
        <v>Beträge, Dauer und Kostenbeteiligung</v>
      </c>
      <c r="E32" s="23" t="s">
        <v>1464</v>
      </c>
      <c r="F32" s="2" t="s">
        <v>1998</v>
      </c>
    </row>
    <row r="33" spans="1:6" ht="216">
      <c r="A33" s="7">
        <f>ROW()</f>
        <v>33</v>
      </c>
      <c r="B33" s="8" t="s">
        <v>1479</v>
      </c>
      <c r="C33" s="8" t="s">
        <v>1459</v>
      </c>
      <c r="D33" s="8" t="str">
        <f t="shared" si="0"/>
        <v>Besteuerung von Geldleistungen</v>
      </c>
      <c r="E33" s="23" t="s">
        <v>1456</v>
      </c>
      <c r="F33" s="2" t="s">
        <v>826</v>
      </c>
    </row>
    <row r="34" spans="1:6" ht="276.75">
      <c r="A34" s="7">
        <f>ROW()</f>
        <v>34</v>
      </c>
      <c r="B34" s="8" t="s">
        <v>1479</v>
      </c>
      <c r="C34" s="8" t="s">
        <v>1459</v>
      </c>
      <c r="D34" s="8" t="str">
        <f t="shared" si="0"/>
        <v xml:space="preserve"> Auf Leistungen anfallende Sozialabgaben</v>
      </c>
      <c r="E34" s="23" t="s">
        <v>1518</v>
      </c>
      <c r="F34" s="2" t="s">
        <v>1437</v>
      </c>
    </row>
    <row r="35" spans="1:6" ht="409.5">
      <c r="A35" s="7">
        <f>ROW()</f>
        <v>35</v>
      </c>
      <c r="B35" s="8" t="s">
        <v>1519</v>
      </c>
      <c r="C35" s="8" t="str">
        <f>+D35</f>
        <v>Geltende Rechtsgrundlage</v>
      </c>
      <c r="D35" s="8" t="str">
        <f>+E35</f>
        <v>Geltende Rechtsgrundlage</v>
      </c>
      <c r="E35" s="22" t="s">
        <v>1472</v>
      </c>
      <c r="F35" s="2" t="s">
        <v>40</v>
      </c>
    </row>
    <row r="36" spans="1:6" ht="210">
      <c r="A36" s="7">
        <f>ROW()</f>
        <v>36</v>
      </c>
      <c r="B36" s="8" t="s">
        <v>1519</v>
      </c>
      <c r="C36" s="8" t="str">
        <f>+D36</f>
        <v>Grundprinzipien</v>
      </c>
      <c r="D36" s="8" t="str">
        <f>+E36</f>
        <v>Grundprinzipien</v>
      </c>
      <c r="E36" s="22" t="s">
        <v>1468</v>
      </c>
      <c r="F36" s="2" t="s">
        <v>69</v>
      </c>
    </row>
    <row r="37" spans="1:6" ht="159.75">
      <c r="A37" s="7">
        <f>ROW()</f>
        <v>37</v>
      </c>
      <c r="B37" s="8" t="s">
        <v>1519</v>
      </c>
      <c r="C37" s="8" t="s">
        <v>1467</v>
      </c>
      <c r="D37" s="8" t="str">
        <f>+E37</f>
        <v>1. Versicherte Personen</v>
      </c>
      <c r="E37" s="23" t="s">
        <v>1520</v>
      </c>
      <c r="F37" s="2" t="s">
        <v>94</v>
      </c>
    </row>
    <row r="38" spans="1:6" ht="371.25">
      <c r="A38" s="7">
        <f>ROW()</f>
        <v>38</v>
      </c>
      <c r="B38" s="8" t="s">
        <v>1519</v>
      </c>
      <c r="C38" s="8" t="s">
        <v>1467</v>
      </c>
      <c r="D38" s="8" t="str">
        <f t="shared" ref="D38:D58" si="1">+E38</f>
        <v>2. Ausnahmen von der Deckung  der Pflichtversicherung</v>
      </c>
      <c r="E38" s="23" t="s">
        <v>1521</v>
      </c>
      <c r="F38" s="2" t="s">
        <v>118</v>
      </c>
    </row>
    <row r="39" spans="1:6" ht="194.25">
      <c r="A39" s="7">
        <f>ROW()</f>
        <v>39</v>
      </c>
      <c r="B39" s="8" t="s">
        <v>1519</v>
      </c>
      <c r="C39" s="8" t="s">
        <v>128</v>
      </c>
      <c r="D39" s="8" t="str">
        <f t="shared" si="1"/>
        <v>1. Rentenalter</v>
      </c>
      <c r="E39" s="23" t="s">
        <v>1523</v>
      </c>
      <c r="F39" s="2" t="s">
        <v>136</v>
      </c>
    </row>
    <row r="40" spans="1:6" ht="409.5">
      <c r="A40" s="7">
        <f>ROW()</f>
        <v>40</v>
      </c>
      <c r="B40" s="8" t="s">
        <v>1519</v>
      </c>
      <c r="C40" s="8" t="s">
        <v>128</v>
      </c>
      <c r="D40" s="8" t="str">
        <f t="shared" si="1"/>
        <v>2. Anwartschaftszeit und sonstige Anspruchsvoraussetzungen für den Bezug einer Altersrente</v>
      </c>
      <c r="E40" s="23" t="s">
        <v>1524</v>
      </c>
      <c r="F40" s="3" t="s">
        <v>2246</v>
      </c>
    </row>
    <row r="41" spans="1:6" ht="409.5">
      <c r="A41" s="7">
        <f>ROW()</f>
        <v>41</v>
      </c>
      <c r="B41" s="8" t="s">
        <v>1519</v>
      </c>
      <c r="C41" s="8" t="s">
        <v>128</v>
      </c>
      <c r="D41" s="8" t="str">
        <f t="shared" si="1"/>
        <v>3. Vorruhestand</v>
      </c>
      <c r="E41" s="23" t="s">
        <v>1525</v>
      </c>
      <c r="F41" s="2" t="s">
        <v>3366</v>
      </c>
    </row>
    <row r="42" spans="1:6" ht="330">
      <c r="A42" s="7">
        <f>ROW()</f>
        <v>42</v>
      </c>
      <c r="B42" s="8" t="s">
        <v>1519</v>
      </c>
      <c r="C42" s="8" t="s">
        <v>128</v>
      </c>
      <c r="D42" s="8" t="str">
        <f t="shared" si="1"/>
        <v>4. Beschwerliche und gefährliche Arbeit</v>
      </c>
      <c r="E42" s="23" t="s">
        <v>1526</v>
      </c>
      <c r="F42" s="2" t="s">
        <v>3367</v>
      </c>
    </row>
    <row r="43" spans="1:6" ht="194.25">
      <c r="A43" s="7">
        <f>ROW()</f>
        <v>43</v>
      </c>
      <c r="B43" s="8" t="s">
        <v>1519</v>
      </c>
      <c r="C43" s="8" t="s">
        <v>128</v>
      </c>
      <c r="D43" s="8" t="str">
        <f t="shared" si="1"/>
        <v>5. Rentenaufschub</v>
      </c>
      <c r="E43" s="23" t="s">
        <v>1527</v>
      </c>
      <c r="F43" s="2" t="s">
        <v>218</v>
      </c>
    </row>
    <row r="44" spans="1:6" ht="174">
      <c r="A44" s="7">
        <f>ROW()</f>
        <v>44</v>
      </c>
      <c r="B44" s="8" t="s">
        <v>1519</v>
      </c>
      <c r="C44" s="8" t="s">
        <v>1459</v>
      </c>
      <c r="D44" s="8" t="str">
        <f t="shared" si="1"/>
        <v>1. Bestimmende Faktoren</v>
      </c>
      <c r="E44" s="23" t="s">
        <v>1528</v>
      </c>
      <c r="F44" s="2" t="s">
        <v>241</v>
      </c>
    </row>
    <row r="45" spans="1:6" ht="349.5">
      <c r="A45" s="7">
        <f>ROW()</f>
        <v>45</v>
      </c>
      <c r="B45" s="8" t="s">
        <v>1519</v>
      </c>
      <c r="C45" s="8" t="s">
        <v>1459</v>
      </c>
      <c r="D45" s="8" t="str">
        <f t="shared" si="1"/>
        <v>2. Berechnungsmethode, Rentenformel bzw. Beträge</v>
      </c>
      <c r="E45" s="23" t="s">
        <v>1529</v>
      </c>
      <c r="F45" s="2" t="s">
        <v>3368</v>
      </c>
    </row>
    <row r="46" spans="1:6" ht="343.5">
      <c r="A46" s="7">
        <f>ROW()</f>
        <v>46</v>
      </c>
      <c r="B46" s="8" t="s">
        <v>1519</v>
      </c>
      <c r="C46" s="8" t="s">
        <v>1459</v>
      </c>
      <c r="D46" s="8" t="str">
        <f t="shared" si="1"/>
        <v>3. Referenzeinkommen bzw. Berechnungsgrundlage</v>
      </c>
      <c r="E46" s="23" t="s">
        <v>1530</v>
      </c>
      <c r="F46" s="2" t="s">
        <v>3369</v>
      </c>
    </row>
    <row r="47" spans="1:6" ht="405">
      <c r="A47" s="7">
        <f>ROW()</f>
        <v>47</v>
      </c>
      <c r="B47" s="8" t="s">
        <v>1519</v>
      </c>
      <c r="C47" s="8" t="s">
        <v>1459</v>
      </c>
      <c r="D47" s="8" t="str">
        <f t="shared" si="1"/>
        <v>4. Anrechenbare oder als Beitragszeiten gewertete Zeiträume</v>
      </c>
      <c r="E47" s="23" t="s">
        <v>1496</v>
      </c>
      <c r="F47" s="2" t="s">
        <v>303</v>
      </c>
    </row>
    <row r="48" spans="1:6" ht="243.75">
      <c r="A48" s="7">
        <f>ROW()</f>
        <v>48</v>
      </c>
      <c r="B48" s="8" t="s">
        <v>1519</v>
      </c>
      <c r="C48" s="8" t="s">
        <v>1459</v>
      </c>
      <c r="D48" s="8" t="str">
        <f t="shared" si="1"/>
        <v>5. Rückkauf von Versicherungszeiten</v>
      </c>
      <c r="E48" s="23" t="s">
        <v>1531</v>
      </c>
      <c r="F48" s="2" t="s">
        <v>3370</v>
      </c>
    </row>
    <row r="49" spans="1:6" ht="246">
      <c r="A49" s="7">
        <f>ROW()</f>
        <v>49</v>
      </c>
      <c r="B49" s="8" t="s">
        <v>1519</v>
      </c>
      <c r="C49" s="8" t="s">
        <v>1459</v>
      </c>
      <c r="D49" s="8" t="str">
        <f t="shared" si="1"/>
        <v>6.  Zulagen für Unterhaltsberechtigte</v>
      </c>
      <c r="E49" s="23" t="s">
        <v>1631</v>
      </c>
      <c r="F49" s="2" t="s">
        <v>329</v>
      </c>
    </row>
    <row r="50" spans="1:6" ht="360">
      <c r="A50" s="7">
        <f>ROW()</f>
        <v>50</v>
      </c>
      <c r="B50" s="8" t="s">
        <v>1519</v>
      </c>
      <c r="C50" s="8" t="s">
        <v>1459</v>
      </c>
      <c r="D50" s="8" t="str">
        <f t="shared" si="1"/>
        <v>7. Besondere Zulagen</v>
      </c>
      <c r="E50" s="23" t="s">
        <v>1532</v>
      </c>
      <c r="F50" s="2" t="s">
        <v>3371</v>
      </c>
    </row>
    <row r="51" spans="1:6" ht="360.75">
      <c r="A51" s="7">
        <f>ROW()</f>
        <v>51</v>
      </c>
      <c r="B51" s="8" t="s">
        <v>1519</v>
      </c>
      <c r="C51" s="8" t="s">
        <v>1459</v>
      </c>
      <c r="D51" s="8" t="str">
        <f t="shared" si="1"/>
        <v>8. Mindestrente und bedürftigkeitsabhängige Leistung</v>
      </c>
      <c r="E51" s="23" t="s">
        <v>1533</v>
      </c>
      <c r="F51" s="2" t="s">
        <v>379</v>
      </c>
    </row>
    <row r="52" spans="1:6" ht="101.25">
      <c r="A52" s="7">
        <f>ROW()</f>
        <v>52</v>
      </c>
      <c r="B52" s="8" t="s">
        <v>1519</v>
      </c>
      <c r="C52" s="8" t="s">
        <v>1459</v>
      </c>
      <c r="D52" s="8" t="str">
        <f t="shared" si="1"/>
        <v>9. Höchstrente</v>
      </c>
      <c r="E52" s="23" t="s">
        <v>1534</v>
      </c>
      <c r="F52" s="2" t="s">
        <v>396</v>
      </c>
    </row>
    <row r="53" spans="1:6" ht="240">
      <c r="A53" s="7">
        <f>ROW()</f>
        <v>53</v>
      </c>
      <c r="B53" s="8" t="s">
        <v>1519</v>
      </c>
      <c r="C53" s="8" t="s">
        <v>1459</v>
      </c>
      <c r="D53" s="8" t="str">
        <f t="shared" si="1"/>
        <v>10. Vorruhestand</v>
      </c>
      <c r="E53" s="23" t="s">
        <v>1535</v>
      </c>
      <c r="F53" s="2" t="s">
        <v>430</v>
      </c>
    </row>
    <row r="54" spans="1:6" ht="272.25">
      <c r="A54" s="7">
        <f>ROW()</f>
        <v>54</v>
      </c>
      <c r="B54" s="8" t="s">
        <v>1519</v>
      </c>
      <c r="C54" s="8" t="s">
        <v>1459</v>
      </c>
      <c r="D54" s="8" t="str">
        <f t="shared" si="1"/>
        <v>11. Beschwerliche und gefährliche Arbeit</v>
      </c>
      <c r="E54" s="23" t="s">
        <v>1536</v>
      </c>
      <c r="F54" s="2" t="s">
        <v>456</v>
      </c>
    </row>
    <row r="55" spans="1:6" ht="87.75">
      <c r="A55" s="7">
        <f>ROW()</f>
        <v>55</v>
      </c>
      <c r="B55" s="8" t="s">
        <v>1519</v>
      </c>
      <c r="C55" s="8" t="s">
        <v>1459</v>
      </c>
      <c r="D55" s="8" t="str">
        <f t="shared" si="1"/>
        <v>12. Teilrente</v>
      </c>
      <c r="E55" s="23" t="s">
        <v>1537</v>
      </c>
      <c r="F55" s="2" t="s">
        <v>481</v>
      </c>
    </row>
    <row r="56" spans="1:6" ht="171.75">
      <c r="A56" s="7">
        <f>ROW()</f>
        <v>56</v>
      </c>
      <c r="B56" s="8" t="s">
        <v>1519</v>
      </c>
      <c r="C56" s="8" t="s">
        <v>1459</v>
      </c>
      <c r="D56" s="8" t="str">
        <f t="shared" si="1"/>
        <v>13. Aufgeschobene Rente</v>
      </c>
      <c r="E56" s="23" t="s">
        <v>1632</v>
      </c>
      <c r="F56" s="2" t="s">
        <v>508</v>
      </c>
    </row>
    <row r="57" spans="1:6" ht="179.25">
      <c r="A57" s="7">
        <f>ROW()</f>
        <v>57</v>
      </c>
      <c r="B57" s="8" t="s">
        <v>1519</v>
      </c>
      <c r="C57" s="8" t="s">
        <v>1538</v>
      </c>
      <c r="D57" s="8" t="s">
        <v>1538</v>
      </c>
      <c r="E57" s="22" t="s">
        <v>1538</v>
      </c>
      <c r="F57" s="2" t="s">
        <v>537</v>
      </c>
    </row>
    <row r="58" spans="1:6" ht="246">
      <c r="A58" s="7">
        <f>ROW()</f>
        <v>58</v>
      </c>
      <c r="B58" s="8" t="s">
        <v>1519</v>
      </c>
      <c r="C58" s="8" t="s">
        <v>1538</v>
      </c>
      <c r="D58" s="8" t="str">
        <f t="shared" si="1"/>
        <v xml:space="preserve">Kumulation mit Erwerbseinkommen </v>
      </c>
      <c r="E58" s="22" t="s">
        <v>1461</v>
      </c>
      <c r="F58" s="2" t="s">
        <v>564</v>
      </c>
    </row>
    <row r="59" spans="1:6" ht="286.5">
      <c r="A59" s="7">
        <f>ROW()</f>
        <v>59</v>
      </c>
      <c r="B59" s="8" t="s">
        <v>1519</v>
      </c>
      <c r="C59" s="8" t="s">
        <v>1538</v>
      </c>
      <c r="D59" s="8" t="s">
        <v>1539</v>
      </c>
      <c r="E59" s="22" t="s">
        <v>1460</v>
      </c>
      <c r="F59" s="2" t="s">
        <v>592</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648</v>
      </c>
    </row>
    <row r="62" spans="1:6" ht="264">
      <c r="A62" s="7">
        <f>ROW()</f>
        <v>62</v>
      </c>
      <c r="B62" s="8" t="s">
        <v>1519</v>
      </c>
      <c r="C62" s="8" t="s">
        <v>612</v>
      </c>
      <c r="D62" s="8" t="str">
        <f t="shared" si="2"/>
        <v>3. Auf Renten anfallende Sozialabgaben</v>
      </c>
      <c r="E62" s="23" t="s">
        <v>1542</v>
      </c>
      <c r="F62" s="2" t="s">
        <v>672</v>
      </c>
    </row>
    <row r="63" spans="1:6" ht="138">
      <c r="A63" s="7">
        <f>ROW()</f>
        <v>63</v>
      </c>
      <c r="B63" s="8" t="s">
        <v>1543</v>
      </c>
      <c r="C63" s="8" t="str">
        <f>+E63</f>
        <v>Anwendungsbereich</v>
      </c>
      <c r="D63" s="8" t="str">
        <f t="shared" si="2"/>
        <v>Anwendungsbereich</v>
      </c>
      <c r="E63" s="23" t="s">
        <v>1467</v>
      </c>
      <c r="F63" s="2" t="s">
        <v>694</v>
      </c>
    </row>
    <row r="64" spans="1:6" ht="132.75">
      <c r="A64" s="7">
        <f>ROW()</f>
        <v>64</v>
      </c>
      <c r="B64" s="8" t="s">
        <v>1543</v>
      </c>
      <c r="C64" s="8" t="s">
        <v>1514</v>
      </c>
      <c r="D64" s="8" t="str">
        <f t="shared" si="2"/>
        <v>Grundprinzipien</v>
      </c>
      <c r="E64" s="23" t="s">
        <v>1468</v>
      </c>
      <c r="F64" s="2" t="s">
        <v>720</v>
      </c>
    </row>
    <row r="65" spans="1:6" ht="224.25">
      <c r="A65" s="7">
        <f>ROW()</f>
        <v>65</v>
      </c>
      <c r="B65" s="8" t="s">
        <v>1543</v>
      </c>
      <c r="C65" s="8" t="s">
        <v>1514</v>
      </c>
      <c r="D65" s="8" t="str">
        <f t="shared" si="2"/>
        <v>Voraussetzungen für die Deckung</v>
      </c>
      <c r="E65" s="23" t="s">
        <v>1469</v>
      </c>
      <c r="F65" s="2" t="s">
        <v>747</v>
      </c>
    </row>
    <row r="66" spans="1:6" ht="409.5">
      <c r="A66" s="7">
        <f>ROW()</f>
        <v>66</v>
      </c>
      <c r="B66" s="8" t="s">
        <v>1543</v>
      </c>
      <c r="C66" s="8" t="s">
        <v>1514</v>
      </c>
      <c r="D66" s="8" t="str">
        <f t="shared" si="2"/>
        <v>Kombination von selbstständiger und unselbstständiger Tätigkeit</v>
      </c>
      <c r="E66" s="23" t="s">
        <v>1462</v>
      </c>
      <c r="F66" s="2" t="s">
        <v>770</v>
      </c>
    </row>
    <row r="67" spans="1:6" ht="376.5">
      <c r="A67" s="7">
        <f>ROW()</f>
        <v>67</v>
      </c>
      <c r="B67" s="8" t="s">
        <v>1543</v>
      </c>
      <c r="C67" s="8" t="s">
        <v>1459</v>
      </c>
      <c r="D67" s="9" t="str">
        <f t="shared" si="2"/>
        <v xml:space="preserve">Voraussetzungen für den Zugang zu Diensten/Leistungen </v>
      </c>
      <c r="E67" s="23" t="s">
        <v>1463</v>
      </c>
      <c r="F67" s="2" t="s">
        <v>790</v>
      </c>
    </row>
    <row r="68" spans="1:6" ht="409.5">
      <c r="A68" s="7">
        <f>ROW()</f>
        <v>68</v>
      </c>
      <c r="B68" s="8" t="s">
        <v>1543</v>
      </c>
      <c r="C68" s="8" t="s">
        <v>1459</v>
      </c>
      <c r="D68" s="9" t="str">
        <f t="shared" si="2"/>
        <v>Beträge, Dauer und Kostenbeteiligung</v>
      </c>
      <c r="E68" s="23" t="s">
        <v>1464</v>
      </c>
      <c r="F68" s="2" t="s">
        <v>3372</v>
      </c>
    </row>
    <row r="69" spans="1:6" ht="216">
      <c r="A69" s="7">
        <f>ROW()</f>
        <v>69</v>
      </c>
      <c r="B69" s="8" t="s">
        <v>1543</v>
      </c>
      <c r="C69" s="8" t="s">
        <v>1459</v>
      </c>
      <c r="D69" s="9" t="str">
        <f t="shared" si="2"/>
        <v>Besteuerung von Geldleistungen</v>
      </c>
      <c r="E69" s="23" t="s">
        <v>1456</v>
      </c>
      <c r="F69" s="2" t="s">
        <v>812</v>
      </c>
    </row>
    <row r="70" spans="1:6" ht="272.25">
      <c r="A70" s="7">
        <f>ROW()</f>
        <v>70</v>
      </c>
      <c r="B70" s="8" t="s">
        <v>1543</v>
      </c>
      <c r="C70" s="8" t="s">
        <v>1459</v>
      </c>
      <c r="D70" s="9" t="str">
        <f t="shared" si="2"/>
        <v>Auf Leistungen anfallende Sozialabgaben</v>
      </c>
      <c r="E70" s="23" t="s">
        <v>1457</v>
      </c>
      <c r="F70" s="2" t="s">
        <v>826</v>
      </c>
    </row>
    <row r="71" spans="1:6" ht="375">
      <c r="A71" s="7">
        <f>ROW()</f>
        <v>71</v>
      </c>
      <c r="B71" s="8" t="s">
        <v>1466</v>
      </c>
      <c r="C71" s="8" t="str">
        <f t="shared" ref="C71:D75" si="3">+D71</f>
        <v>Geltende Rechtsgrundlage</v>
      </c>
      <c r="D71" s="9" t="str">
        <f t="shared" si="3"/>
        <v>Geltende Rechtsgrundlage</v>
      </c>
      <c r="E71" s="22" t="s">
        <v>1472</v>
      </c>
      <c r="F71" s="2" t="s">
        <v>842</v>
      </c>
    </row>
    <row r="72" spans="1:6" ht="110.25">
      <c r="A72" s="7">
        <f>ROW()</f>
        <v>72</v>
      </c>
      <c r="B72" s="8" t="s">
        <v>1466</v>
      </c>
      <c r="C72" s="8" t="str">
        <f t="shared" si="3"/>
        <v>Grundprinzipien</v>
      </c>
      <c r="D72" s="9" t="str">
        <f t="shared" si="3"/>
        <v>Grundprinzipien</v>
      </c>
      <c r="E72" s="22" t="s">
        <v>1468</v>
      </c>
      <c r="F72" s="2" t="s">
        <v>868</v>
      </c>
    </row>
    <row r="73" spans="1:6" ht="315">
      <c r="A73" s="7">
        <f>ROW()</f>
        <v>73</v>
      </c>
      <c r="B73" s="8" t="s">
        <v>1466</v>
      </c>
      <c r="C73" s="9" t="str">
        <f t="shared" si="3"/>
        <v>Anwendungsbereich (in Bezug auf Verstorbene)</v>
      </c>
      <c r="D73" s="9" t="str">
        <f t="shared" si="3"/>
        <v>Anwendungsbereich (in Bezug auf Verstorbene)</v>
      </c>
      <c r="E73" s="22" t="s">
        <v>1473</v>
      </c>
      <c r="F73" s="2" t="s">
        <v>895</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118</v>
      </c>
    </row>
    <row r="75" spans="1:6" ht="144.75">
      <c r="A75" s="7">
        <f>ROW()</f>
        <v>75</v>
      </c>
      <c r="B75" s="8" t="s">
        <v>1466</v>
      </c>
      <c r="C75" s="9" t="str">
        <f t="shared" si="3"/>
        <v>Berechtigte Personen</v>
      </c>
      <c r="D75" s="9" t="str">
        <f t="shared" si="3"/>
        <v>Berechtigte Personen</v>
      </c>
      <c r="E75" s="22" t="s">
        <v>1477</v>
      </c>
      <c r="F75" s="2" t="s">
        <v>928</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951</v>
      </c>
    </row>
    <row r="78" spans="1:6" ht="185.25">
      <c r="A78" s="7">
        <f>ROW()</f>
        <v>78</v>
      </c>
      <c r="B78" s="8" t="s">
        <v>1466</v>
      </c>
      <c r="C78" s="8" t="s">
        <v>1544</v>
      </c>
      <c r="D78" s="8" t="str">
        <f t="shared" si="4"/>
        <v>2. Hinterbliebener Ehegatte</v>
      </c>
      <c r="E78" s="23" t="s">
        <v>1546</v>
      </c>
      <c r="F78" s="2" t="s">
        <v>3373</v>
      </c>
    </row>
    <row r="79" spans="1:6" ht="181.5">
      <c r="A79" s="7">
        <f>ROW()</f>
        <v>79</v>
      </c>
      <c r="B79" s="8" t="s">
        <v>1466</v>
      </c>
      <c r="C79" s="8" t="s">
        <v>1544</v>
      </c>
      <c r="D79" s="8" t="str">
        <f t="shared" si="4"/>
        <v>3. Geschiedener Ehegatte</v>
      </c>
      <c r="E79" s="23" t="s">
        <v>1547</v>
      </c>
      <c r="F79" s="2" t="s">
        <v>990</v>
      </c>
    </row>
    <row r="80" spans="1:6" ht="216">
      <c r="A80" s="7">
        <f>ROW()</f>
        <v>80</v>
      </c>
      <c r="B80" s="8" t="s">
        <v>1466</v>
      </c>
      <c r="C80" s="8" t="s">
        <v>1544</v>
      </c>
      <c r="D80" s="8" t="str">
        <f t="shared" si="4"/>
        <v>4. Hinterbliebene Lebenspartner</v>
      </c>
      <c r="E80" s="23" t="s">
        <v>1548</v>
      </c>
      <c r="F80" s="2" t="s">
        <v>1012</v>
      </c>
    </row>
    <row r="81" spans="1:6" ht="181.5">
      <c r="A81" s="7">
        <f>ROW()</f>
        <v>81</v>
      </c>
      <c r="B81" s="8" t="s">
        <v>1466</v>
      </c>
      <c r="C81" s="8" t="s">
        <v>1544</v>
      </c>
      <c r="D81" s="8" t="str">
        <f t="shared" si="4"/>
        <v>5. Kinder</v>
      </c>
      <c r="E81" s="23" t="s">
        <v>1549</v>
      </c>
      <c r="F81" s="2" t="s">
        <v>1036</v>
      </c>
    </row>
    <row r="82" spans="1:6" ht="181.5">
      <c r="A82" s="7">
        <f>ROW()</f>
        <v>82</v>
      </c>
      <c r="B82" s="8" t="s">
        <v>1466</v>
      </c>
      <c r="C82" s="8" t="s">
        <v>1544</v>
      </c>
      <c r="D82" s="8" t="str">
        <f t="shared" si="4"/>
        <v>6. Andere Personen</v>
      </c>
      <c r="E82" s="23" t="s">
        <v>1550</v>
      </c>
      <c r="F82" s="2" t="s">
        <v>1054</v>
      </c>
    </row>
    <row r="83" spans="1:6" ht="409.5">
      <c r="A83" s="7">
        <f>ROW()</f>
        <v>83</v>
      </c>
      <c r="B83" s="8" t="s">
        <v>1466</v>
      </c>
      <c r="C83" s="8" t="s">
        <v>1459</v>
      </c>
      <c r="D83" s="9" t="str">
        <f t="shared" si="4"/>
        <v>1. Hinterbliebener Ehegatte, geschiedener Ehegatte, hinterbliebene Lebenspartner</v>
      </c>
      <c r="E83" s="23" t="s">
        <v>1551</v>
      </c>
      <c r="F83" s="2" t="s">
        <v>1069</v>
      </c>
    </row>
    <row r="84" spans="1:6" ht="280.5">
      <c r="A84" s="7">
        <f>ROW()</f>
        <v>84</v>
      </c>
      <c r="B84" s="8" t="s">
        <v>1466</v>
      </c>
      <c r="C84" s="8" t="s">
        <v>1459</v>
      </c>
      <c r="D84" s="9" t="str">
        <f t="shared" si="4"/>
        <v>2. Hinterbliebener Ehegatte: Wiederheirat</v>
      </c>
      <c r="E84" s="23" t="s">
        <v>1552</v>
      </c>
      <c r="F84" s="2" t="s">
        <v>1093</v>
      </c>
    </row>
    <row r="85" spans="1:6" ht="255">
      <c r="A85" s="7">
        <f>ROW()</f>
        <v>85</v>
      </c>
      <c r="B85" s="8" t="s">
        <v>1466</v>
      </c>
      <c r="C85" s="8" t="s">
        <v>1459</v>
      </c>
      <c r="D85" s="9" t="str">
        <f t="shared" si="4"/>
        <v>3. Kinder</v>
      </c>
      <c r="E85" s="23" t="s">
        <v>1553</v>
      </c>
      <c r="F85" s="2" t="s">
        <v>3374</v>
      </c>
    </row>
    <row r="86" spans="1:6" ht="147">
      <c r="A86" s="7">
        <f>ROW()</f>
        <v>86</v>
      </c>
      <c r="B86" s="8" t="s">
        <v>1466</v>
      </c>
      <c r="C86" s="8" t="s">
        <v>1459</v>
      </c>
      <c r="D86" s="9" t="str">
        <f t="shared" si="4"/>
        <v>4. Andere Berechtigte</v>
      </c>
      <c r="E86" s="23" t="s">
        <v>1554</v>
      </c>
      <c r="F86" s="2" t="s">
        <v>1133</v>
      </c>
    </row>
    <row r="87" spans="1:6" ht="381">
      <c r="A87" s="7">
        <f>ROW()</f>
        <v>87</v>
      </c>
      <c r="B87" s="8" t="s">
        <v>1466</v>
      </c>
      <c r="C87" s="8" t="s">
        <v>1459</v>
      </c>
      <c r="D87" s="9" t="str">
        <f t="shared" si="4"/>
        <v xml:space="preserve"> 5. Höchster zahlbarer Gesamtbetrag für alle Berechtigten</v>
      </c>
      <c r="E87" s="23" t="s">
        <v>1555</v>
      </c>
      <c r="F87" s="2" t="s">
        <v>1150</v>
      </c>
    </row>
    <row r="88" spans="1:6" ht="151.5">
      <c r="A88" s="7">
        <f>ROW()</f>
        <v>88</v>
      </c>
      <c r="B88" s="8" t="s">
        <v>1466</v>
      </c>
      <c r="C88" s="8" t="s">
        <v>1459</v>
      </c>
      <c r="D88" s="9" t="str">
        <f t="shared" si="4"/>
        <v>6. Sonstige Leistungen</v>
      </c>
      <c r="E88" s="23" t="s">
        <v>1556</v>
      </c>
      <c r="F88" s="2" t="s">
        <v>3375</v>
      </c>
    </row>
    <row r="89" spans="1:6" ht="126.75">
      <c r="A89" s="7">
        <f>ROW()</f>
        <v>89</v>
      </c>
      <c r="B89" s="8" t="s">
        <v>1466</v>
      </c>
      <c r="C89" s="8" t="s">
        <v>1459</v>
      </c>
      <c r="D89" s="9" t="str">
        <f>+E89</f>
        <v>7. Mindestleistung</v>
      </c>
      <c r="E89" s="23" t="s">
        <v>1557</v>
      </c>
      <c r="F89" s="2" t="s">
        <v>1198</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1243</v>
      </c>
    </row>
    <row r="92" spans="1:6" ht="242.25">
      <c r="A92" s="7">
        <f>ROW()</f>
        <v>92</v>
      </c>
      <c r="B92" s="8" t="s">
        <v>1466</v>
      </c>
      <c r="C92" s="8" t="s">
        <v>1538</v>
      </c>
      <c r="D92" s="9" t="str">
        <f t="shared" ref="D92:D105" si="5">+E92</f>
        <v>Kumulation mit Erwerbseinkommen</v>
      </c>
      <c r="E92" s="22" t="s">
        <v>1471</v>
      </c>
      <c r="F92" s="2" t="s">
        <v>3376</v>
      </c>
    </row>
    <row r="93" spans="1:6" ht="275.25">
      <c r="A93" s="7">
        <f>ROW()</f>
        <v>93</v>
      </c>
      <c r="B93" s="8" t="s">
        <v>1466</v>
      </c>
      <c r="C93" s="8" t="s">
        <v>1538</v>
      </c>
      <c r="D93" s="9" t="str">
        <f t="shared" si="5"/>
        <v>Kumulation mit anderen Sozialleistungen</v>
      </c>
      <c r="E93" s="22" t="s">
        <v>1460</v>
      </c>
      <c r="F93" s="2" t="s">
        <v>1296</v>
      </c>
    </row>
    <row r="94" spans="1:6" ht="232.5">
      <c r="A94" s="7">
        <f>ROW()</f>
        <v>94</v>
      </c>
      <c r="B94" s="8" t="s">
        <v>1466</v>
      </c>
      <c r="C94" s="9" t="s">
        <v>1465</v>
      </c>
      <c r="D94" s="9" t="str">
        <f t="shared" si="5"/>
        <v>1. Besteuerung von Geldleistungen</v>
      </c>
      <c r="E94" s="23" t="s">
        <v>1509</v>
      </c>
      <c r="F94" s="2" t="s">
        <v>1316</v>
      </c>
    </row>
    <row r="95" spans="1:6" ht="387">
      <c r="A95" s="7">
        <f>ROW()</f>
        <v>95</v>
      </c>
      <c r="B95" s="8" t="s">
        <v>1466</v>
      </c>
      <c r="C95" s="9" t="s">
        <v>1465</v>
      </c>
      <c r="D95" s="9" t="str">
        <f t="shared" si="5"/>
        <v>2. Einkommensgrenze für Besteuerung von Geldleistungen</v>
      </c>
      <c r="E95" s="23" t="s">
        <v>1511</v>
      </c>
      <c r="F95" s="2" t="s">
        <v>1343</v>
      </c>
    </row>
    <row r="96" spans="1:6" ht="288.75">
      <c r="A96" s="7">
        <f>ROW()</f>
        <v>96</v>
      </c>
      <c r="B96" s="8" t="s">
        <v>1466</v>
      </c>
      <c r="C96" s="9" t="s">
        <v>1465</v>
      </c>
      <c r="D96" s="9" t="str">
        <f t="shared" si="5"/>
        <v>3. Auf Leistungen anfallende Sozialabgaben</v>
      </c>
      <c r="E96" s="23" t="s">
        <v>1512</v>
      </c>
      <c r="F96" s="2" t="s">
        <v>672</v>
      </c>
    </row>
    <row r="97" spans="1:6" ht="138">
      <c r="A97" s="7">
        <f>ROW()</f>
        <v>97</v>
      </c>
      <c r="B97" s="8" t="s">
        <v>1466</v>
      </c>
      <c r="C97" s="9" t="s">
        <v>1514</v>
      </c>
      <c r="D97" s="9" t="str">
        <f t="shared" si="5"/>
        <v>Anwendungsbereich</v>
      </c>
      <c r="E97" s="23" t="s">
        <v>1467</v>
      </c>
      <c r="F97" s="2" t="s">
        <v>1380</v>
      </c>
    </row>
    <row r="98" spans="1:6" ht="110.25">
      <c r="A98" s="7">
        <f>ROW()</f>
        <v>98</v>
      </c>
      <c r="B98" s="8" t="s">
        <v>1466</v>
      </c>
      <c r="C98" s="9" t="s">
        <v>1514</v>
      </c>
      <c r="D98" s="9" t="str">
        <f t="shared" si="5"/>
        <v>Grundprinzipien</v>
      </c>
      <c r="E98" s="23" t="s">
        <v>1468</v>
      </c>
      <c r="F98" s="2" t="s">
        <v>1396</v>
      </c>
    </row>
    <row r="99" spans="1:6" ht="224.25">
      <c r="A99" s="7">
        <f>ROW()</f>
        <v>99</v>
      </c>
      <c r="B99" s="8" t="s">
        <v>1466</v>
      </c>
      <c r="C99" s="9" t="s">
        <v>1514</v>
      </c>
      <c r="D99" s="9" t="str">
        <f t="shared" si="5"/>
        <v>Voraussetzungen für die Deckung</v>
      </c>
      <c r="E99" s="23" t="s">
        <v>1469</v>
      </c>
      <c r="F99" s="2" t="s">
        <v>1408</v>
      </c>
    </row>
    <row r="100" spans="1:6" ht="409.5">
      <c r="A100" s="7">
        <f>ROW()</f>
        <v>100</v>
      </c>
      <c r="B100" s="8" t="s">
        <v>1466</v>
      </c>
      <c r="C100" s="9" t="s">
        <v>1514</v>
      </c>
      <c r="D100" s="9" t="str">
        <f t="shared" si="5"/>
        <v>Kombination von selbstständiger und unselbstständiger Tätigkeit</v>
      </c>
      <c r="E100" s="23" t="s">
        <v>1462</v>
      </c>
      <c r="F100" s="2" t="s">
        <v>1418</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826</v>
      </c>
    </row>
    <row r="105" spans="1:6" ht="272.25">
      <c r="A105" s="7">
        <f>ROW()</f>
        <v>105</v>
      </c>
      <c r="B105" s="8" t="s">
        <v>1466</v>
      </c>
      <c r="C105" s="9" t="s">
        <v>1514</v>
      </c>
      <c r="D105" s="9" t="str">
        <f t="shared" si="5"/>
        <v>Auf Leistungen anfallende Sozialabgaben</v>
      </c>
      <c r="E105" s="23" t="s">
        <v>1457</v>
      </c>
      <c r="F105" s="2" t="s">
        <v>1437</v>
      </c>
    </row>
    <row r="106" spans="1:6"/>
    <row r="107" spans="1:6"/>
    <row r="108" spans="1:6"/>
    <row r="109" spans="1:6"/>
    <row r="110" spans="1:6"/>
    <row r="111" spans="1:6"/>
    <row r="112" spans="1:6"/>
    <row r="113"/>
  </sheetData>
  <sheetProtection algorithmName="SHA-512" hashValue="QIlDKxIPLbsexXCC1rq/g6C0bO57skRsW/6fLhZQCfrZJhY4kdyTuxF4H7jS70RkxiDo0oBsN/46dx0VxCbXPQ==" saltValue="Q4G/Rh5ADCH2y7qEY0/j1w==" spinCount="100000" sheet="1" objects="1" scenarios="1" formatColumns="0" autoFilter="0"/>
  <autoFilter ref="A2:F105" xr:uid="{88626DC6-EF86-42C0-AA9F-D8B7CB677BCF}"/>
  <pageMargins left="0.7" right="0.7" top="0.78740157499999996" bottom="0.78740157499999996"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04D24-8A5D-4EC2-AA6E-16FBDCCE78D1}">
  <sheetPr codeName="Tabelle13"/>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11</v>
      </c>
    </row>
    <row r="2" spans="1:6" ht="39.75" customHeight="1">
      <c r="A2" s="128"/>
      <c r="B2" s="129"/>
      <c r="C2" s="126"/>
      <c r="D2" s="126"/>
      <c r="E2" s="124"/>
      <c r="F2" s="162" t="str" cm="1">
        <f t="array" ref="F2">_xlfn.TEXTJOIN("; ", TRUE, IF(Entscheidungen!A2:A100=F1, Entscheidungen!B2:B100, ""))</f>
        <v/>
      </c>
    </row>
    <row r="3" spans="1:6" ht="315">
      <c r="A3" s="7">
        <f>ROW()</f>
        <v>3</v>
      </c>
      <c r="B3" s="8" t="s">
        <v>1479</v>
      </c>
      <c r="C3" s="8"/>
      <c r="D3" s="8" t="str">
        <f>+E3</f>
        <v>Geltende Rechtsgrundlage</v>
      </c>
      <c r="E3" s="21" t="s">
        <v>1472</v>
      </c>
      <c r="F3" s="2" t="s">
        <v>3377</v>
      </c>
    </row>
    <row r="4" spans="1:6" ht="110.25">
      <c r="A4" s="7">
        <f>ROW()</f>
        <v>4</v>
      </c>
      <c r="B4" s="8" t="s">
        <v>1479</v>
      </c>
      <c r="C4" s="1"/>
      <c r="D4" s="8" t="str">
        <f t="shared" ref="D4:D34" si="0">+E4</f>
        <v>Grundprinzipien</v>
      </c>
      <c r="E4" s="22" t="s">
        <v>1468</v>
      </c>
      <c r="F4" s="2" t="s">
        <v>1965</v>
      </c>
    </row>
    <row r="5" spans="1:6" ht="225">
      <c r="A5" s="7">
        <f>ROW()</f>
        <v>5</v>
      </c>
      <c r="B5" s="8" t="s">
        <v>1479</v>
      </c>
      <c r="C5" s="1"/>
      <c r="D5" s="8" t="str">
        <f t="shared" si="0"/>
        <v>Gedecktes Risiko: Definition</v>
      </c>
      <c r="E5" s="22" t="s">
        <v>1630</v>
      </c>
      <c r="F5" s="2" t="s">
        <v>1966</v>
      </c>
    </row>
    <row r="6" spans="1:6" ht="195">
      <c r="A6" s="7">
        <f>ROW()</f>
        <v>6</v>
      </c>
      <c r="B6" s="8" t="s">
        <v>1479</v>
      </c>
      <c r="C6" s="8" t="s">
        <v>1453</v>
      </c>
      <c r="D6" s="8" t="str">
        <f t="shared" si="0"/>
        <v>Versicherte Personen</v>
      </c>
      <c r="E6" s="23" t="s">
        <v>1453</v>
      </c>
      <c r="F6" s="2" t="s">
        <v>3378</v>
      </c>
    </row>
    <row r="7" spans="1:6" ht="273">
      <c r="A7" s="7">
        <f>ROW()</f>
        <v>7</v>
      </c>
      <c r="B7" s="8" t="s">
        <v>1479</v>
      </c>
      <c r="C7" s="8" t="str">
        <f>+E6</f>
        <v>Versicherte Personen</v>
      </c>
      <c r="D7" s="8" t="str">
        <f t="shared" si="0"/>
        <v>Ausnahmen von der Versicherungspflicht</v>
      </c>
      <c r="E7" s="23" t="s">
        <v>1458</v>
      </c>
      <c r="F7" s="2" t="s">
        <v>913</v>
      </c>
    </row>
    <row r="8" spans="1:6" ht="194.25">
      <c r="A8" s="7">
        <f>ROW()</f>
        <v>8</v>
      </c>
      <c r="B8" s="8" t="s">
        <v>1479</v>
      </c>
      <c r="C8" s="9" t="s">
        <v>128</v>
      </c>
      <c r="D8" s="8" t="str">
        <f t="shared" si="0"/>
        <v>1. Anwartschaftszeit</v>
      </c>
      <c r="E8" s="23" t="s">
        <v>1483</v>
      </c>
      <c r="F8" s="2" t="s">
        <v>3379</v>
      </c>
    </row>
    <row r="9" spans="1:6" ht="409.5">
      <c r="A9" s="7">
        <f>ROW()</f>
        <v>9</v>
      </c>
      <c r="B9" s="8" t="s">
        <v>1479</v>
      </c>
      <c r="C9" s="9" t="s">
        <v>128</v>
      </c>
      <c r="D9" s="8" t="str">
        <f t="shared" si="0"/>
        <v xml:space="preserve">2. Begutachtungskriterien und Kategorien der Arbeitsunfähigkeit/Arbeitsfähigkeit  </v>
      </c>
      <c r="E9" s="23" t="s">
        <v>1484</v>
      </c>
      <c r="F9" s="2" t="s">
        <v>1967</v>
      </c>
    </row>
    <row r="10" spans="1:6" ht="222">
      <c r="A10" s="7">
        <f>ROW()</f>
        <v>10</v>
      </c>
      <c r="B10" s="8" t="s">
        <v>1479</v>
      </c>
      <c r="C10" s="9" t="s">
        <v>128</v>
      </c>
      <c r="D10" s="8" t="str">
        <f t="shared" si="0"/>
        <v>3. Zeitraum der Leistungszahlung</v>
      </c>
      <c r="E10" s="23" t="s">
        <v>1486</v>
      </c>
      <c r="F10" s="2" t="s">
        <v>1968</v>
      </c>
    </row>
    <row r="11" spans="1:6" ht="150">
      <c r="A11" s="7">
        <f>ROW()</f>
        <v>11</v>
      </c>
      <c r="B11" s="8" t="s">
        <v>1479</v>
      </c>
      <c r="C11" s="9" t="s">
        <v>1488</v>
      </c>
      <c r="D11" s="8" t="str">
        <f t="shared" si="0"/>
        <v>1. Gutachter</v>
      </c>
      <c r="E11" s="23" t="s">
        <v>1489</v>
      </c>
      <c r="F11" s="2" t="s">
        <v>1969</v>
      </c>
    </row>
    <row r="12" spans="1:6" ht="120">
      <c r="A12" s="7">
        <f>ROW()</f>
        <v>12</v>
      </c>
      <c r="B12" s="8" t="s">
        <v>1479</v>
      </c>
      <c r="C12" s="9" t="s">
        <v>1488</v>
      </c>
      <c r="D12" s="8" t="str">
        <f t="shared" si="0"/>
        <v xml:space="preserve">2. Überprüfung  </v>
      </c>
      <c r="E12" s="23" t="s">
        <v>1490</v>
      </c>
      <c r="F12" s="2" t="s">
        <v>1970</v>
      </c>
    </row>
    <row r="13" spans="1:6" ht="409.5">
      <c r="A13" s="7">
        <f>ROW()</f>
        <v>13</v>
      </c>
      <c r="B13" s="8" t="s">
        <v>1479</v>
      </c>
      <c r="C13" s="8" t="s">
        <v>1459</v>
      </c>
      <c r="D13" s="8" t="str">
        <f t="shared" si="0"/>
        <v>1. Berechnungsmethode bzw. Rentenformel</v>
      </c>
      <c r="E13" s="23" t="s">
        <v>1492</v>
      </c>
      <c r="F13" s="2" t="s">
        <v>3380</v>
      </c>
    </row>
    <row r="14" spans="1:6" ht="343.5">
      <c r="A14" s="7">
        <f>ROW()</f>
        <v>14</v>
      </c>
      <c r="B14" s="8" t="s">
        <v>1479</v>
      </c>
      <c r="C14" s="8" t="s">
        <v>1459</v>
      </c>
      <c r="D14" s="8" t="str">
        <f t="shared" si="0"/>
        <v>2. Referenzeinkommen bzw. Berechnungsgrundlage</v>
      </c>
      <c r="E14" s="23" t="s">
        <v>1493</v>
      </c>
      <c r="F14" s="2" t="s">
        <v>1971</v>
      </c>
    </row>
    <row r="15" spans="1:6" ht="226.5">
      <c r="A15" s="7">
        <f>ROW()</f>
        <v>15</v>
      </c>
      <c r="B15" s="8" t="s">
        <v>1479</v>
      </c>
      <c r="C15" s="8" t="s">
        <v>1459</v>
      </c>
      <c r="D15" s="8" t="str">
        <f t="shared" si="0"/>
        <v>3. Mindest- und Höchstleistungen</v>
      </c>
      <c r="E15" s="23" t="s">
        <v>1495</v>
      </c>
      <c r="F15" s="2" t="s">
        <v>1972</v>
      </c>
    </row>
    <row r="16" spans="1:6" ht="405">
      <c r="A16" s="7">
        <f>ROW()</f>
        <v>16</v>
      </c>
      <c r="B16" s="8" t="s">
        <v>1479</v>
      </c>
      <c r="C16" s="8" t="s">
        <v>1459</v>
      </c>
      <c r="D16" s="8" t="str">
        <f t="shared" si="0"/>
        <v>4. Anrechenbare oder als Beitragszeiten gewertete Zeiträume</v>
      </c>
      <c r="E16" s="23" t="s">
        <v>1496</v>
      </c>
      <c r="F16" s="2" t="s">
        <v>1973</v>
      </c>
    </row>
    <row r="17" spans="1:6" ht="250.5">
      <c r="A17" s="7">
        <f>ROW()</f>
        <v>17</v>
      </c>
      <c r="B17" s="8" t="s">
        <v>1479</v>
      </c>
      <c r="C17" s="8" t="s">
        <v>1459</v>
      </c>
      <c r="D17" s="8" t="str">
        <f t="shared" si="0"/>
        <v xml:space="preserve">5. Zulagen für Unterhaltsberechtigte  </v>
      </c>
      <c r="E17" s="23" t="s">
        <v>1498</v>
      </c>
      <c r="F17" s="2" t="s">
        <v>336</v>
      </c>
    </row>
    <row r="18" spans="1:6" ht="135">
      <c r="A18" s="7">
        <f>ROW()</f>
        <v>18</v>
      </c>
      <c r="B18" s="8" t="s">
        <v>1479</v>
      </c>
      <c r="C18" s="8" t="str">
        <f>+E18</f>
        <v>Sonstige Leistungen</v>
      </c>
      <c r="D18" s="8" t="str">
        <f>+E18</f>
        <v>Sonstige Leistungen</v>
      </c>
      <c r="E18" s="22" t="s">
        <v>1455</v>
      </c>
      <c r="F18" s="2" t="s">
        <v>1176</v>
      </c>
    </row>
    <row r="19" spans="1:6" ht="330">
      <c r="A19" s="7">
        <f>ROW()</f>
        <v>19</v>
      </c>
      <c r="B19" s="8" t="s">
        <v>1479</v>
      </c>
      <c r="C19" s="8" t="s">
        <v>1500</v>
      </c>
      <c r="D19" s="8" t="str">
        <f t="shared" si="0"/>
        <v>Umschulung, berufsbezogene Rehabilitation</v>
      </c>
      <c r="E19" s="23" t="s">
        <v>1501</v>
      </c>
      <c r="F19" s="2" t="s">
        <v>3381</v>
      </c>
    </row>
    <row r="20" spans="1:6" ht="409.5">
      <c r="A20" s="7">
        <f>ROW()</f>
        <v>20</v>
      </c>
      <c r="B20" s="8" t="s">
        <v>1479</v>
      </c>
      <c r="C20" s="8" t="s">
        <v>1500</v>
      </c>
      <c r="D20" s="8" t="str">
        <f t="shared" si="0"/>
        <v xml:space="preserve">Bevorzugte und reservierte Beschäftigung von Menschen mit Behinderungen  </v>
      </c>
      <c r="E20" s="23" t="s">
        <v>1502</v>
      </c>
      <c r="F20" s="2" t="s">
        <v>3382</v>
      </c>
    </row>
    <row r="21" spans="1:6" ht="171.75">
      <c r="A21" s="7">
        <f>ROW()</f>
        <v>21</v>
      </c>
      <c r="B21" s="8" t="s">
        <v>1479</v>
      </c>
      <c r="C21" s="8" t="s">
        <v>1504</v>
      </c>
      <c r="D21" s="8" t="str">
        <f t="shared" si="0"/>
        <v>Indexbindung/Anpassung</v>
      </c>
      <c r="E21" s="22" t="s">
        <v>1505</v>
      </c>
      <c r="F21" s="2" t="s">
        <v>538</v>
      </c>
    </row>
    <row r="22" spans="1:6" ht="242.25">
      <c r="A22" s="7">
        <f>ROW()</f>
        <v>22</v>
      </c>
      <c r="B22" s="8" t="s">
        <v>1479</v>
      </c>
      <c r="C22" s="8" t="s">
        <v>1504</v>
      </c>
      <c r="D22" s="8" t="str">
        <f>+E22</f>
        <v>Kumulation mit Erwerbseinkommen</v>
      </c>
      <c r="E22" s="22" t="s">
        <v>1471</v>
      </c>
      <c r="F22" s="2" t="s">
        <v>1974</v>
      </c>
    </row>
    <row r="23" spans="1:6" ht="275.25">
      <c r="A23" s="7">
        <f>ROW()</f>
        <v>23</v>
      </c>
      <c r="B23" s="8" t="s">
        <v>1479</v>
      </c>
      <c r="C23" s="8" t="s">
        <v>1504</v>
      </c>
      <c r="D23" s="8" t="str">
        <f t="shared" si="0"/>
        <v>Kumulation mit anderen Sozialleistungen</v>
      </c>
      <c r="E23" s="22" t="s">
        <v>1460</v>
      </c>
      <c r="F23" s="2" t="s">
        <v>1443</v>
      </c>
    </row>
    <row r="24" spans="1:6" ht="232.5">
      <c r="A24" s="7">
        <f>ROW()</f>
        <v>24</v>
      </c>
      <c r="B24" s="8" t="s">
        <v>1479</v>
      </c>
      <c r="C24" s="8" t="s">
        <v>1465</v>
      </c>
      <c r="D24" s="8" t="str">
        <f t="shared" si="0"/>
        <v>1. Besteuerung von Geldleistungen</v>
      </c>
      <c r="E24" s="23" t="s">
        <v>1509</v>
      </c>
      <c r="F24" s="2" t="s">
        <v>613</v>
      </c>
    </row>
    <row r="25" spans="1:6" ht="387">
      <c r="A25" s="7">
        <f>ROW()</f>
        <v>25</v>
      </c>
      <c r="B25" s="8" t="s">
        <v>1479</v>
      </c>
      <c r="C25" s="8" t="s">
        <v>1465</v>
      </c>
      <c r="D25" s="8" t="str">
        <f t="shared" si="0"/>
        <v>2. Einkommensgrenze für Besteuerung von Geldleistungen</v>
      </c>
      <c r="E25" s="23" t="s">
        <v>1511</v>
      </c>
      <c r="F25" s="2" t="s">
        <v>1975</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1976</v>
      </c>
    </row>
    <row r="28" spans="1:6" ht="110.25">
      <c r="A28" s="7">
        <f>ROW()</f>
        <v>28</v>
      </c>
      <c r="B28" s="8" t="s">
        <v>1479</v>
      </c>
      <c r="C28" s="8" t="s">
        <v>1514</v>
      </c>
      <c r="D28" s="8" t="str">
        <f t="shared" si="0"/>
        <v>Grundprinzipien</v>
      </c>
      <c r="E28" s="23" t="s">
        <v>1468</v>
      </c>
      <c r="F28" s="2" t="s">
        <v>721</v>
      </c>
    </row>
    <row r="29" spans="1:6" ht="224.25">
      <c r="A29" s="7">
        <f>ROW()</f>
        <v>29</v>
      </c>
      <c r="B29" s="8" t="s">
        <v>1479</v>
      </c>
      <c r="C29" s="8" t="s">
        <v>1514</v>
      </c>
      <c r="D29" s="8" t="str">
        <f t="shared" si="0"/>
        <v>Voraussetzungen für die Deckung</v>
      </c>
      <c r="E29" s="23" t="s">
        <v>1469</v>
      </c>
      <c r="F29" s="2" t="s">
        <v>1977</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813</v>
      </c>
    </row>
    <row r="34" spans="1:6" ht="276.75">
      <c r="A34" s="7">
        <f>ROW()</f>
        <v>34</v>
      </c>
      <c r="B34" s="8" t="s">
        <v>1479</v>
      </c>
      <c r="C34" s="8" t="s">
        <v>1459</v>
      </c>
      <c r="D34" s="8" t="str">
        <f t="shared" si="0"/>
        <v xml:space="preserve"> Auf Leistungen anfallende Sozialabgaben</v>
      </c>
      <c r="E34" s="23" t="s">
        <v>1518</v>
      </c>
      <c r="F34" s="2" t="s">
        <v>1978</v>
      </c>
    </row>
    <row r="35" spans="1:6" ht="177">
      <c r="A35" s="7">
        <f>ROW()</f>
        <v>35</v>
      </c>
      <c r="B35" s="8" t="s">
        <v>1519</v>
      </c>
      <c r="C35" s="8" t="str">
        <f>+D35</f>
        <v>Geltende Rechtsgrundlage</v>
      </c>
      <c r="D35" s="8" t="str">
        <f>+E35</f>
        <v>Geltende Rechtsgrundlage</v>
      </c>
      <c r="E35" s="22" t="s">
        <v>1472</v>
      </c>
      <c r="F35" s="2" t="s">
        <v>41</v>
      </c>
    </row>
    <row r="36" spans="1:6" ht="110.25">
      <c r="A36" s="7">
        <f>ROW()</f>
        <v>36</v>
      </c>
      <c r="B36" s="8" t="s">
        <v>1519</v>
      </c>
      <c r="C36" s="8" t="str">
        <f>+D36</f>
        <v>Grundprinzipien</v>
      </c>
      <c r="D36" s="8" t="str">
        <f>+E36</f>
        <v>Grundprinzipien</v>
      </c>
      <c r="E36" s="22" t="s">
        <v>1468</v>
      </c>
      <c r="F36" s="2" t="s">
        <v>70</v>
      </c>
    </row>
    <row r="37" spans="1:6" ht="165">
      <c r="A37" s="7">
        <f>ROW()</f>
        <v>37</v>
      </c>
      <c r="B37" s="8" t="s">
        <v>1519</v>
      </c>
      <c r="C37" s="8" t="s">
        <v>1467</v>
      </c>
      <c r="D37" s="8" t="str">
        <f>+E37</f>
        <v>1. Versicherte Personen</v>
      </c>
      <c r="E37" s="23" t="s">
        <v>1520</v>
      </c>
      <c r="F37" s="2" t="s">
        <v>3383</v>
      </c>
    </row>
    <row r="38" spans="1:6" ht="371.25">
      <c r="A38" s="7">
        <f>ROW()</f>
        <v>38</v>
      </c>
      <c r="B38" s="8" t="s">
        <v>1519</v>
      </c>
      <c r="C38" s="8" t="s">
        <v>1467</v>
      </c>
      <c r="D38" s="8" t="str">
        <f t="shared" ref="D38:D58" si="1">+E38</f>
        <v>2. Ausnahmen von der Deckung  der Pflichtversicherung</v>
      </c>
      <c r="E38" s="23" t="s">
        <v>1521</v>
      </c>
      <c r="F38" s="2" t="s">
        <v>119</v>
      </c>
    </row>
    <row r="39" spans="1:6" ht="194.25">
      <c r="A39" s="7">
        <f>ROW()</f>
        <v>39</v>
      </c>
      <c r="B39" s="8" t="s">
        <v>1519</v>
      </c>
      <c r="C39" s="8" t="s">
        <v>128</v>
      </c>
      <c r="D39" s="8" t="str">
        <f t="shared" si="1"/>
        <v>1. Rentenalter</v>
      </c>
      <c r="E39" s="23" t="s">
        <v>1523</v>
      </c>
      <c r="F39" s="2" t="s">
        <v>3384</v>
      </c>
    </row>
    <row r="40" spans="1:6" ht="409.5">
      <c r="A40" s="7">
        <f>ROW()</f>
        <v>40</v>
      </c>
      <c r="B40" s="8" t="s">
        <v>1519</v>
      </c>
      <c r="C40" s="8" t="s">
        <v>128</v>
      </c>
      <c r="D40" s="8" t="str">
        <f t="shared" si="1"/>
        <v>2. Anwartschaftszeit und sonstige Anspruchsvoraussetzungen für den Bezug einer Altersrente</v>
      </c>
      <c r="E40" s="23" t="s">
        <v>1524</v>
      </c>
      <c r="F40" s="2" t="s">
        <v>158</v>
      </c>
    </row>
    <row r="41" spans="1:6" ht="194.25">
      <c r="A41" s="7">
        <f>ROW()</f>
        <v>41</v>
      </c>
      <c r="B41" s="8" t="s">
        <v>1519</v>
      </c>
      <c r="C41" s="8" t="s">
        <v>128</v>
      </c>
      <c r="D41" s="8" t="str">
        <f t="shared" si="1"/>
        <v>3. Vorruhestand</v>
      </c>
      <c r="E41" s="23" t="s">
        <v>1525</v>
      </c>
      <c r="F41" s="2" t="s">
        <v>179</v>
      </c>
    </row>
    <row r="42" spans="1:6" ht="330">
      <c r="A42" s="7">
        <f>ROW()</f>
        <v>42</v>
      </c>
      <c r="B42" s="8" t="s">
        <v>1519</v>
      </c>
      <c r="C42" s="8" t="s">
        <v>128</v>
      </c>
      <c r="D42" s="8" t="str">
        <f t="shared" si="1"/>
        <v>4. Beschwerliche und gefährliche Arbeit</v>
      </c>
      <c r="E42" s="23" t="s">
        <v>1526</v>
      </c>
      <c r="F42" s="2" t="s">
        <v>3385</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3386</v>
      </c>
    </row>
    <row r="45" spans="1:6" ht="409.5">
      <c r="A45" s="7">
        <f>ROW()</f>
        <v>45</v>
      </c>
      <c r="B45" s="8" t="s">
        <v>1519</v>
      </c>
      <c r="C45" s="8" t="s">
        <v>1459</v>
      </c>
      <c r="D45" s="8" t="str">
        <f t="shared" si="1"/>
        <v>2. Berechnungsmethode, Rentenformel bzw. Beträge</v>
      </c>
      <c r="E45" s="23" t="s">
        <v>1529</v>
      </c>
      <c r="F45" s="2" t="s">
        <v>3387</v>
      </c>
    </row>
    <row r="46" spans="1:6" ht="343.5">
      <c r="A46" s="7">
        <f>ROW()</f>
        <v>46</v>
      </c>
      <c r="B46" s="8" t="s">
        <v>1519</v>
      </c>
      <c r="C46" s="8" t="s">
        <v>1459</v>
      </c>
      <c r="D46" s="8" t="str">
        <f t="shared" si="1"/>
        <v>3. Referenzeinkommen bzw. Berechnungsgrundlage</v>
      </c>
      <c r="E46" s="23" t="s">
        <v>1530</v>
      </c>
      <c r="F46" s="2" t="s">
        <v>280</v>
      </c>
    </row>
    <row r="47" spans="1:6" ht="405">
      <c r="A47" s="7">
        <f>ROW()</f>
        <v>47</v>
      </c>
      <c r="B47" s="8" t="s">
        <v>1519</v>
      </c>
      <c r="C47" s="8" t="s">
        <v>1459</v>
      </c>
      <c r="D47" s="8" t="str">
        <f t="shared" si="1"/>
        <v>4. Anrechenbare oder als Beitragszeiten gewertete Zeiträume</v>
      </c>
      <c r="E47" s="23" t="s">
        <v>1496</v>
      </c>
      <c r="F47" s="2" t="s">
        <v>3388</v>
      </c>
    </row>
    <row r="48" spans="1:6" ht="243.75">
      <c r="A48" s="7">
        <f>ROW()</f>
        <v>48</v>
      </c>
      <c r="B48" s="8" t="s">
        <v>1519</v>
      </c>
      <c r="C48" s="8" t="s">
        <v>1459</v>
      </c>
      <c r="D48" s="8" t="str">
        <f t="shared" si="1"/>
        <v>5. Rückkauf von Versicherungszeiten</v>
      </c>
      <c r="E48" s="23" t="s">
        <v>1531</v>
      </c>
      <c r="F48" s="2" t="s">
        <v>317</v>
      </c>
    </row>
    <row r="49" spans="1:6" ht="246">
      <c r="A49" s="7">
        <f>ROW()</f>
        <v>49</v>
      </c>
      <c r="B49" s="8" t="s">
        <v>1519</v>
      </c>
      <c r="C49" s="8" t="s">
        <v>1459</v>
      </c>
      <c r="D49" s="8" t="str">
        <f t="shared" si="1"/>
        <v>6.  Zulagen für Unterhaltsberechtigte</v>
      </c>
      <c r="E49" s="23" t="s">
        <v>1631</v>
      </c>
      <c r="F49" s="2" t="s">
        <v>336</v>
      </c>
    </row>
    <row r="50" spans="1:6" ht="145.5">
      <c r="A50" s="7">
        <f>ROW()</f>
        <v>50</v>
      </c>
      <c r="B50" s="8" t="s">
        <v>1519</v>
      </c>
      <c r="C50" s="8" t="s">
        <v>1459</v>
      </c>
      <c r="D50" s="8" t="str">
        <f t="shared" si="1"/>
        <v>7. Besondere Zulagen</v>
      </c>
      <c r="E50" s="23" t="s">
        <v>1532</v>
      </c>
      <c r="F50" s="2" t="s">
        <v>351</v>
      </c>
    </row>
    <row r="51" spans="1:6" ht="360.75">
      <c r="A51" s="7">
        <f>ROW()</f>
        <v>51</v>
      </c>
      <c r="B51" s="8" t="s">
        <v>1519</v>
      </c>
      <c r="C51" s="8" t="s">
        <v>1459</v>
      </c>
      <c r="D51" s="8" t="str">
        <f t="shared" si="1"/>
        <v>8. Mindestrente und bedürftigkeitsabhängige Leistung</v>
      </c>
      <c r="E51" s="23" t="s">
        <v>1533</v>
      </c>
      <c r="F51" s="2" t="s">
        <v>380</v>
      </c>
    </row>
    <row r="52" spans="1:6" ht="101.25">
      <c r="A52" s="7">
        <f>ROW()</f>
        <v>52</v>
      </c>
      <c r="B52" s="8" t="s">
        <v>1519</v>
      </c>
      <c r="C52" s="8" t="s">
        <v>1459</v>
      </c>
      <c r="D52" s="8" t="str">
        <f t="shared" si="1"/>
        <v>9. Höchstrente</v>
      </c>
      <c r="E52" s="23" t="s">
        <v>1534</v>
      </c>
      <c r="F52" s="2" t="s">
        <v>403</v>
      </c>
    </row>
    <row r="53" spans="1:6" ht="119.25">
      <c r="A53" s="7">
        <f>ROW()</f>
        <v>53</v>
      </c>
      <c r="B53" s="8" t="s">
        <v>1519</v>
      </c>
      <c r="C53" s="8" t="s">
        <v>1459</v>
      </c>
      <c r="D53" s="8" t="str">
        <f t="shared" si="1"/>
        <v>10. Vorruhestand</v>
      </c>
      <c r="E53" s="23" t="s">
        <v>1535</v>
      </c>
      <c r="F53" s="2" t="s">
        <v>431</v>
      </c>
    </row>
    <row r="54" spans="1:6" ht="272.25">
      <c r="A54" s="7">
        <f>ROW()</f>
        <v>54</v>
      </c>
      <c r="B54" s="8" t="s">
        <v>1519</v>
      </c>
      <c r="C54" s="8" t="s">
        <v>1459</v>
      </c>
      <c r="D54" s="8" t="str">
        <f t="shared" si="1"/>
        <v>11. Beschwerliche und gefährliche Arbeit</v>
      </c>
      <c r="E54" s="23" t="s">
        <v>1536</v>
      </c>
      <c r="F54" s="2" t="s">
        <v>457</v>
      </c>
    </row>
    <row r="55" spans="1:6" ht="87.75">
      <c r="A55" s="7">
        <f>ROW()</f>
        <v>55</v>
      </c>
      <c r="B55" s="8" t="s">
        <v>1519</v>
      </c>
      <c r="C55" s="8" t="s">
        <v>1459</v>
      </c>
      <c r="D55" s="8" t="str">
        <f t="shared" si="1"/>
        <v>12. Teilrente</v>
      </c>
      <c r="E55" s="23" t="s">
        <v>1537</v>
      </c>
      <c r="F55" s="2" t="s">
        <v>482</v>
      </c>
    </row>
    <row r="56" spans="1:6" ht="171.75">
      <c r="A56" s="7">
        <f>ROW()</f>
        <v>56</v>
      </c>
      <c r="B56" s="8" t="s">
        <v>1519</v>
      </c>
      <c r="C56" s="8" t="s">
        <v>1459</v>
      </c>
      <c r="D56" s="8" t="str">
        <f t="shared" si="1"/>
        <v>13. Aufgeschobene Rente</v>
      </c>
      <c r="E56" s="23" t="s">
        <v>1632</v>
      </c>
      <c r="F56" s="2" t="s">
        <v>509</v>
      </c>
    </row>
    <row r="57" spans="1:6" ht="179.25">
      <c r="A57" s="7">
        <f>ROW()</f>
        <v>57</v>
      </c>
      <c r="B57" s="8" t="s">
        <v>1519</v>
      </c>
      <c r="C57" s="8" t="s">
        <v>1538</v>
      </c>
      <c r="D57" s="8" t="s">
        <v>1538</v>
      </c>
      <c r="E57" s="22" t="s">
        <v>1538</v>
      </c>
      <c r="F57" s="2" t="s">
        <v>538</v>
      </c>
    </row>
    <row r="58" spans="1:6" ht="246">
      <c r="A58" s="7">
        <f>ROW()</f>
        <v>58</v>
      </c>
      <c r="B58" s="8" t="s">
        <v>1519</v>
      </c>
      <c r="C58" s="8" t="s">
        <v>1538</v>
      </c>
      <c r="D58" s="8" t="str">
        <f t="shared" si="1"/>
        <v xml:space="preserve">Kumulation mit Erwerbseinkommen </v>
      </c>
      <c r="E58" s="22" t="s">
        <v>1461</v>
      </c>
      <c r="F58" s="2" t="s">
        <v>565</v>
      </c>
    </row>
    <row r="59" spans="1:6" ht="286.5">
      <c r="A59" s="7">
        <f>ROW()</f>
        <v>59</v>
      </c>
      <c r="B59" s="8" t="s">
        <v>1519</v>
      </c>
      <c r="C59" s="8" t="s">
        <v>1538</v>
      </c>
      <c r="D59" s="8" t="s">
        <v>1539</v>
      </c>
      <c r="E59" s="22" t="s">
        <v>1460</v>
      </c>
      <c r="F59" s="2" t="s">
        <v>593</v>
      </c>
    </row>
    <row r="60" spans="1:6" ht="225.75">
      <c r="A60" s="7">
        <f>ROW()</f>
        <v>60</v>
      </c>
      <c r="B60" s="8" t="s">
        <v>1519</v>
      </c>
      <c r="C60" s="8" t="s">
        <v>612</v>
      </c>
      <c r="D60" s="8" t="str">
        <f t="shared" ref="D60:D70" si="2">+E60</f>
        <v>1. Besteuerung von Renten</v>
      </c>
      <c r="E60" s="23" t="s">
        <v>1540</v>
      </c>
      <c r="F60" s="2" t="s">
        <v>613</v>
      </c>
    </row>
    <row r="61" spans="1:6" ht="335.25">
      <c r="A61" s="7">
        <f>ROW()</f>
        <v>61</v>
      </c>
      <c r="B61" s="8" t="s">
        <v>1519</v>
      </c>
      <c r="C61" s="8" t="s">
        <v>612</v>
      </c>
      <c r="D61" s="8" t="str">
        <f t="shared" si="2"/>
        <v>2. Einkommensgrenze für Besteuerung von Renten</v>
      </c>
      <c r="E61" s="23" t="s">
        <v>1541</v>
      </c>
      <c r="F61" s="2" t="s">
        <v>649</v>
      </c>
    </row>
    <row r="62" spans="1:6" ht="264">
      <c r="A62" s="7">
        <f>ROW()</f>
        <v>62</v>
      </c>
      <c r="B62" s="8" t="s">
        <v>1519</v>
      </c>
      <c r="C62" s="8" t="s">
        <v>612</v>
      </c>
      <c r="D62" s="8" t="str">
        <f t="shared" si="2"/>
        <v>3. Auf Renten anfallende Sozialabgaben</v>
      </c>
      <c r="E62" s="23" t="s">
        <v>1542</v>
      </c>
      <c r="F62" s="2" t="s">
        <v>673</v>
      </c>
    </row>
    <row r="63" spans="1:6" ht="138">
      <c r="A63" s="7">
        <f>ROW()</f>
        <v>63</v>
      </c>
      <c r="B63" s="8" t="s">
        <v>1543</v>
      </c>
      <c r="C63" s="8" t="str">
        <f>+E63</f>
        <v>Anwendungsbereich</v>
      </c>
      <c r="D63" s="8" t="str">
        <f t="shared" si="2"/>
        <v>Anwendungsbereich</v>
      </c>
      <c r="E63" s="23" t="s">
        <v>1467</v>
      </c>
      <c r="F63" s="2" t="s">
        <v>695</v>
      </c>
    </row>
    <row r="64" spans="1:6" ht="132.75">
      <c r="A64" s="7">
        <f>ROW()</f>
        <v>64</v>
      </c>
      <c r="B64" s="8" t="s">
        <v>1543</v>
      </c>
      <c r="C64" s="8" t="s">
        <v>1514</v>
      </c>
      <c r="D64" s="8" t="str">
        <f t="shared" si="2"/>
        <v>Grundprinzipien</v>
      </c>
      <c r="E64" s="23" t="s">
        <v>1468</v>
      </c>
      <c r="F64" s="2" t="s">
        <v>721</v>
      </c>
    </row>
    <row r="65" spans="1:6" ht="224.25">
      <c r="A65" s="7">
        <f>ROW()</f>
        <v>65</v>
      </c>
      <c r="B65" s="8" t="s">
        <v>1543</v>
      </c>
      <c r="C65" s="8" t="s">
        <v>1514</v>
      </c>
      <c r="D65" s="8" t="str">
        <f t="shared" si="2"/>
        <v>Voraussetzungen für die Deckung</v>
      </c>
      <c r="E65" s="23" t="s">
        <v>1469</v>
      </c>
      <c r="F65" s="2" t="s">
        <v>748</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813</v>
      </c>
    </row>
    <row r="70" spans="1:6" ht="272.25">
      <c r="A70" s="7">
        <f>ROW()</f>
        <v>70</v>
      </c>
      <c r="B70" s="8" t="s">
        <v>1543</v>
      </c>
      <c r="C70" s="8" t="s">
        <v>1459</v>
      </c>
      <c r="D70" s="9" t="str">
        <f t="shared" si="2"/>
        <v>Auf Leistungen anfallende Sozialabgaben</v>
      </c>
      <c r="E70" s="23" t="s">
        <v>1457</v>
      </c>
      <c r="F70" s="2" t="s">
        <v>762</v>
      </c>
    </row>
    <row r="71" spans="1:6" ht="177">
      <c r="A71" s="7">
        <f>ROW()</f>
        <v>71</v>
      </c>
      <c r="B71" s="8" t="s">
        <v>1466</v>
      </c>
      <c r="C71" s="8" t="str">
        <f t="shared" ref="C71:D75" si="3">+D71</f>
        <v>Geltende Rechtsgrundlage</v>
      </c>
      <c r="D71" s="9" t="str">
        <f t="shared" si="3"/>
        <v>Geltende Rechtsgrundlage</v>
      </c>
      <c r="E71" s="22" t="s">
        <v>1472</v>
      </c>
      <c r="F71" s="2" t="s">
        <v>843</v>
      </c>
    </row>
    <row r="72" spans="1:6" ht="110.25">
      <c r="A72" s="7">
        <f>ROW()</f>
        <v>72</v>
      </c>
      <c r="B72" s="8" t="s">
        <v>1466</v>
      </c>
      <c r="C72" s="8" t="str">
        <f t="shared" si="3"/>
        <v>Grundprinzipien</v>
      </c>
      <c r="D72" s="9" t="str">
        <f t="shared" si="3"/>
        <v>Grundprinzipien</v>
      </c>
      <c r="E72" s="22" t="s">
        <v>1468</v>
      </c>
      <c r="F72" s="2" t="s">
        <v>869</v>
      </c>
    </row>
    <row r="73" spans="1:6" ht="315">
      <c r="A73" s="7">
        <f>ROW()</f>
        <v>73</v>
      </c>
      <c r="B73" s="8" t="s">
        <v>1466</v>
      </c>
      <c r="C73" s="9" t="str">
        <f t="shared" si="3"/>
        <v>Anwendungsbereich (in Bezug auf Verstorbene)</v>
      </c>
      <c r="D73" s="9" t="str">
        <f t="shared" si="3"/>
        <v>Anwendungsbereich (in Bezug auf Verstorbene)</v>
      </c>
      <c r="E73" s="22" t="s">
        <v>1473</v>
      </c>
      <c r="F73" s="2" t="s">
        <v>3389</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913</v>
      </c>
    </row>
    <row r="75" spans="1:6" ht="144.75">
      <c r="A75" s="7">
        <f>ROW()</f>
        <v>75</v>
      </c>
      <c r="B75" s="8" t="s">
        <v>1466</v>
      </c>
      <c r="C75" s="9" t="str">
        <f t="shared" si="3"/>
        <v>Berechtigte Personen</v>
      </c>
      <c r="D75" s="9" t="str">
        <f t="shared" si="3"/>
        <v>Berechtigte Personen</v>
      </c>
      <c r="E75" s="22" t="s">
        <v>1477</v>
      </c>
      <c r="F75" s="2" t="s">
        <v>929</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3390</v>
      </c>
    </row>
    <row r="78" spans="1:6" ht="185.25">
      <c r="A78" s="7">
        <f>ROW()</f>
        <v>78</v>
      </c>
      <c r="B78" s="8" t="s">
        <v>1466</v>
      </c>
      <c r="C78" s="8" t="s">
        <v>1544</v>
      </c>
      <c r="D78" s="8" t="str">
        <f t="shared" si="4"/>
        <v>2. Hinterbliebener Ehegatte</v>
      </c>
      <c r="E78" s="23" t="s">
        <v>1546</v>
      </c>
      <c r="F78" s="2" t="s">
        <v>972</v>
      </c>
    </row>
    <row r="79" spans="1:6" ht="181.5">
      <c r="A79" s="7">
        <f>ROW()</f>
        <v>79</v>
      </c>
      <c r="B79" s="8" t="s">
        <v>1466</v>
      </c>
      <c r="C79" s="8" t="s">
        <v>1544</v>
      </c>
      <c r="D79" s="8" t="str">
        <f t="shared" si="4"/>
        <v>3. Geschiedener Ehegatte</v>
      </c>
      <c r="E79" s="23" t="s">
        <v>1547</v>
      </c>
      <c r="F79" s="2" t="s">
        <v>991</v>
      </c>
    </row>
    <row r="80" spans="1:6" ht="216">
      <c r="A80" s="7">
        <f>ROW()</f>
        <v>80</v>
      </c>
      <c r="B80" s="8" t="s">
        <v>1466</v>
      </c>
      <c r="C80" s="8" t="s">
        <v>1544</v>
      </c>
      <c r="D80" s="8" t="str">
        <f t="shared" si="4"/>
        <v>4. Hinterbliebene Lebenspartner</v>
      </c>
      <c r="E80" s="23" t="s">
        <v>1548</v>
      </c>
      <c r="F80" s="2" t="s">
        <v>1013</v>
      </c>
    </row>
    <row r="81" spans="1:6" ht="181.5">
      <c r="A81" s="7">
        <f>ROW()</f>
        <v>81</v>
      </c>
      <c r="B81" s="8" t="s">
        <v>1466</v>
      </c>
      <c r="C81" s="8" t="s">
        <v>1544</v>
      </c>
      <c r="D81" s="8" t="str">
        <f t="shared" si="4"/>
        <v>5. Kinder</v>
      </c>
      <c r="E81" s="23" t="s">
        <v>1549</v>
      </c>
      <c r="F81" s="2" t="s">
        <v>3391</v>
      </c>
    </row>
    <row r="82" spans="1:6" ht="181.5">
      <c r="A82" s="7">
        <f>ROW()</f>
        <v>82</v>
      </c>
      <c r="B82" s="8" t="s">
        <v>1466</v>
      </c>
      <c r="C82" s="8" t="s">
        <v>1544</v>
      </c>
      <c r="D82" s="8" t="str">
        <f t="shared" si="4"/>
        <v>6. Andere Personen</v>
      </c>
      <c r="E82" s="23" t="s">
        <v>1550</v>
      </c>
      <c r="F82" s="2" t="s">
        <v>3392</v>
      </c>
    </row>
    <row r="83" spans="1:6" ht="409.5">
      <c r="A83" s="7">
        <f>ROW()</f>
        <v>83</v>
      </c>
      <c r="B83" s="8" t="s">
        <v>1466</v>
      </c>
      <c r="C83" s="8" t="s">
        <v>1459</v>
      </c>
      <c r="D83" s="9" t="str">
        <f t="shared" si="4"/>
        <v>1. Hinterbliebener Ehegatte, geschiedener Ehegatte, hinterbliebene Lebenspartner</v>
      </c>
      <c r="E83" s="23" t="s">
        <v>1551</v>
      </c>
      <c r="F83" s="2" t="s">
        <v>3393</v>
      </c>
    </row>
    <row r="84" spans="1:6" ht="280.5">
      <c r="A84" s="7">
        <f>ROW()</f>
        <v>84</v>
      </c>
      <c r="B84" s="8" t="s">
        <v>1466</v>
      </c>
      <c r="C84" s="8" t="s">
        <v>1459</v>
      </c>
      <c r="D84" s="9" t="str">
        <f t="shared" si="4"/>
        <v>2. Hinterbliebener Ehegatte: Wiederheirat</v>
      </c>
      <c r="E84" s="23" t="s">
        <v>1552</v>
      </c>
      <c r="F84" s="2" t="s">
        <v>1094</v>
      </c>
    </row>
    <row r="85" spans="1:6" ht="195">
      <c r="A85" s="7">
        <f>ROW()</f>
        <v>85</v>
      </c>
      <c r="B85" s="8" t="s">
        <v>1466</v>
      </c>
      <c r="C85" s="8" t="s">
        <v>1459</v>
      </c>
      <c r="D85" s="9" t="str">
        <f t="shared" si="4"/>
        <v>3. Kinder</v>
      </c>
      <c r="E85" s="23" t="s">
        <v>1553</v>
      </c>
      <c r="F85" s="2" t="s">
        <v>3394</v>
      </c>
    </row>
    <row r="86" spans="1:6" ht="150">
      <c r="A86" s="7">
        <f>ROW()</f>
        <v>86</v>
      </c>
      <c r="B86" s="8" t="s">
        <v>1466</v>
      </c>
      <c r="C86" s="8" t="s">
        <v>1459</v>
      </c>
      <c r="D86" s="9" t="str">
        <f t="shared" si="4"/>
        <v>4. Andere Berechtigte</v>
      </c>
      <c r="E86" s="23" t="s">
        <v>1554</v>
      </c>
      <c r="F86" s="2" t="s">
        <v>3395</v>
      </c>
    </row>
    <row r="87" spans="1:6" ht="381">
      <c r="A87" s="7">
        <f>ROW()</f>
        <v>87</v>
      </c>
      <c r="B87" s="8" t="s">
        <v>1466</v>
      </c>
      <c r="C87" s="8" t="s">
        <v>1459</v>
      </c>
      <c r="D87" s="9" t="str">
        <f t="shared" si="4"/>
        <v xml:space="preserve"> 5. Höchster zahlbarer Gesamtbetrag für alle Berechtigten</v>
      </c>
      <c r="E87" s="23" t="s">
        <v>1555</v>
      </c>
      <c r="F87" s="2" t="s">
        <v>1151</v>
      </c>
    </row>
    <row r="88" spans="1:6" ht="151.5">
      <c r="A88" s="7">
        <f>ROW()</f>
        <v>88</v>
      </c>
      <c r="B88" s="8" t="s">
        <v>1466</v>
      </c>
      <c r="C88" s="8" t="s">
        <v>1459</v>
      </c>
      <c r="D88" s="9" t="str">
        <f t="shared" si="4"/>
        <v>6. Sonstige Leistungen</v>
      </c>
      <c r="E88" s="23" t="s">
        <v>1556</v>
      </c>
      <c r="F88" s="2" t="s">
        <v>1176</v>
      </c>
    </row>
    <row r="89" spans="1:6" ht="135">
      <c r="A89" s="7">
        <f>ROW()</f>
        <v>89</v>
      </c>
      <c r="B89" s="8" t="s">
        <v>1466</v>
      </c>
      <c r="C89" s="8" t="s">
        <v>1459</v>
      </c>
      <c r="D89" s="9" t="str">
        <f>+E89</f>
        <v>7. Mindestleistung</v>
      </c>
      <c r="E89" s="23" t="s">
        <v>1557</v>
      </c>
      <c r="F89" s="2" t="s">
        <v>1199</v>
      </c>
    </row>
    <row r="90" spans="1:6" ht="122.25">
      <c r="A90" s="7">
        <f>ROW()</f>
        <v>90</v>
      </c>
      <c r="B90" s="8" t="s">
        <v>1466</v>
      </c>
      <c r="C90" s="8" t="s">
        <v>1459</v>
      </c>
      <c r="D90" s="9" t="str">
        <f t="shared" si="4"/>
        <v xml:space="preserve"> 8. Höchstleistung</v>
      </c>
      <c r="E90" s="23" t="s">
        <v>1558</v>
      </c>
      <c r="F90" s="2" t="s">
        <v>1220</v>
      </c>
    </row>
    <row r="91" spans="1:6" ht="179.25">
      <c r="A91" s="7">
        <f>ROW()</f>
        <v>91</v>
      </c>
      <c r="B91" s="8" t="s">
        <v>1466</v>
      </c>
      <c r="C91" s="8" t="s">
        <v>1538</v>
      </c>
      <c r="D91" s="9" t="str">
        <f>+C91</f>
        <v>Indexbindung / Anpassung</v>
      </c>
      <c r="E91" s="22" t="s">
        <v>1538</v>
      </c>
      <c r="F91" s="2" t="s">
        <v>1244</v>
      </c>
    </row>
    <row r="92" spans="1:6" ht="242.25">
      <c r="A92" s="7">
        <f>ROW()</f>
        <v>92</v>
      </c>
      <c r="B92" s="8" t="s">
        <v>1466</v>
      </c>
      <c r="C92" s="8" t="s">
        <v>1538</v>
      </c>
      <c r="D92" s="9" t="str">
        <f t="shared" ref="D92:D105" si="5">+E92</f>
        <v>Kumulation mit Erwerbseinkommen</v>
      </c>
      <c r="E92" s="22" t="s">
        <v>1471</v>
      </c>
      <c r="F92" s="2" t="s">
        <v>1269</v>
      </c>
    </row>
    <row r="93" spans="1:6" ht="275.25">
      <c r="A93" s="7">
        <f>ROW()</f>
        <v>93</v>
      </c>
      <c r="B93" s="8" t="s">
        <v>1466</v>
      </c>
      <c r="C93" s="8" t="s">
        <v>1538</v>
      </c>
      <c r="D93" s="9" t="str">
        <f t="shared" si="5"/>
        <v>Kumulation mit anderen Sozialleistungen</v>
      </c>
      <c r="E93" s="22" t="s">
        <v>1460</v>
      </c>
      <c r="F93" s="2" t="s">
        <v>1297</v>
      </c>
    </row>
    <row r="94" spans="1:6" ht="232.5">
      <c r="A94" s="7">
        <f>ROW()</f>
        <v>94</v>
      </c>
      <c r="B94" s="8" t="s">
        <v>1466</v>
      </c>
      <c r="C94" s="9" t="s">
        <v>1465</v>
      </c>
      <c r="D94" s="9" t="str">
        <f t="shared" si="5"/>
        <v>1. Besteuerung von Geldleistungen</v>
      </c>
      <c r="E94" s="23" t="s">
        <v>1509</v>
      </c>
      <c r="F94" s="2" t="s">
        <v>613</v>
      </c>
    </row>
    <row r="95" spans="1:6" ht="387">
      <c r="A95" s="7">
        <f>ROW()</f>
        <v>95</v>
      </c>
      <c r="B95" s="8" t="s">
        <v>1466</v>
      </c>
      <c r="C95" s="9" t="s">
        <v>1465</v>
      </c>
      <c r="D95" s="9" t="str">
        <f t="shared" si="5"/>
        <v>2. Einkommensgrenze für Besteuerung von Geldleistungen</v>
      </c>
      <c r="E95" s="23" t="s">
        <v>1511</v>
      </c>
      <c r="F95" s="2" t="s">
        <v>649</v>
      </c>
    </row>
    <row r="96" spans="1:6" ht="288.75">
      <c r="A96" s="7">
        <f>ROW()</f>
        <v>96</v>
      </c>
      <c r="B96" s="8" t="s">
        <v>1466</v>
      </c>
      <c r="C96" s="9" t="s">
        <v>1465</v>
      </c>
      <c r="D96" s="9" t="str">
        <f t="shared" si="5"/>
        <v>3. Auf Leistungen anfallende Sozialabgaben</v>
      </c>
      <c r="E96" s="23" t="s">
        <v>1512</v>
      </c>
      <c r="F96" s="2" t="s">
        <v>673</v>
      </c>
    </row>
    <row r="97" spans="1:6" ht="138">
      <c r="A97" s="7">
        <f>ROW()</f>
        <v>97</v>
      </c>
      <c r="B97" s="8" t="s">
        <v>1466</v>
      </c>
      <c r="C97" s="9" t="s">
        <v>1514</v>
      </c>
      <c r="D97" s="9" t="str">
        <f t="shared" si="5"/>
        <v>Anwendungsbereich</v>
      </c>
      <c r="E97" s="23" t="s">
        <v>1467</v>
      </c>
      <c r="F97" s="2" t="s">
        <v>1381</v>
      </c>
    </row>
    <row r="98" spans="1:6" ht="110.25">
      <c r="A98" s="7">
        <f>ROW()</f>
        <v>98</v>
      </c>
      <c r="B98" s="8" t="s">
        <v>1466</v>
      </c>
      <c r="C98" s="9" t="s">
        <v>1514</v>
      </c>
      <c r="D98" s="9" t="str">
        <f t="shared" si="5"/>
        <v>Grundprinzipien</v>
      </c>
      <c r="E98" s="23" t="s">
        <v>1468</v>
      </c>
      <c r="F98" s="2" t="s">
        <v>721</v>
      </c>
    </row>
    <row r="99" spans="1:6" ht="224.25">
      <c r="A99" s="7">
        <f>ROW()</f>
        <v>99</v>
      </c>
      <c r="B99" s="8" t="s">
        <v>1466</v>
      </c>
      <c r="C99" s="9" t="s">
        <v>1514</v>
      </c>
      <c r="D99" s="9" t="str">
        <f t="shared" si="5"/>
        <v>Voraussetzungen für die Deckung</v>
      </c>
      <c r="E99" s="23" t="s">
        <v>1469</v>
      </c>
      <c r="F99" s="2" t="s">
        <v>1401</v>
      </c>
    </row>
    <row r="100" spans="1:6" ht="409.5">
      <c r="A100" s="7">
        <f>ROW()</f>
        <v>100</v>
      </c>
      <c r="B100" s="8" t="s">
        <v>1466</v>
      </c>
      <c r="C100" s="9" t="s">
        <v>1514</v>
      </c>
      <c r="D100" s="9" t="str">
        <f t="shared" si="5"/>
        <v>Kombination von selbstständiger und unselbstständiger Tätigkeit</v>
      </c>
      <c r="E100" s="23" t="s">
        <v>1462</v>
      </c>
      <c r="F100" s="2" t="s">
        <v>1401</v>
      </c>
    </row>
    <row r="101" spans="1:6" ht="376.5">
      <c r="A101" s="7">
        <f>ROW()</f>
        <v>101</v>
      </c>
      <c r="B101" s="8" t="s">
        <v>1466</v>
      </c>
      <c r="C101" s="9" t="s">
        <v>1514</v>
      </c>
      <c r="D101" s="9" t="str">
        <f t="shared" si="5"/>
        <v xml:space="preserve">Voraussetzungen für den Zugang zu Diensten/Leistungen </v>
      </c>
      <c r="E101" s="23" t="s">
        <v>1463</v>
      </c>
      <c r="F101" s="2" t="s">
        <v>1401</v>
      </c>
    </row>
    <row r="102" spans="1:6" ht="253.5">
      <c r="A102" s="7">
        <f>ROW()</f>
        <v>102</v>
      </c>
      <c r="B102" s="8" t="s">
        <v>1466</v>
      </c>
      <c r="C102" s="9" t="s">
        <v>1514</v>
      </c>
      <c r="D102" s="9" t="str">
        <f t="shared" si="5"/>
        <v>Beträge, Dauer und Kostenbeteiligung</v>
      </c>
      <c r="E102" s="23" t="s">
        <v>1464</v>
      </c>
      <c r="F102" s="2" t="s">
        <v>1401</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1401</v>
      </c>
    </row>
    <row r="105" spans="1:6" ht="272.25">
      <c r="A105" s="7">
        <f>ROW()</f>
        <v>105</v>
      </c>
      <c r="B105" s="8" t="s">
        <v>1466</v>
      </c>
      <c r="C105" s="9" t="s">
        <v>1514</v>
      </c>
      <c r="D105" s="9" t="str">
        <f t="shared" si="5"/>
        <v>Auf Leistungen anfallende Sozialabgaben</v>
      </c>
      <c r="E105" s="23" t="s">
        <v>1457</v>
      </c>
      <c r="F105" s="2" t="s">
        <v>1401</v>
      </c>
    </row>
    <row r="106" spans="1:6"/>
    <row r="107" spans="1:6"/>
    <row r="108" spans="1:6"/>
    <row r="109" spans="1:6"/>
    <row r="110" spans="1:6"/>
    <row r="111" spans="1:6"/>
    <row r="112" spans="1:6"/>
    <row r="113"/>
  </sheetData>
  <sheetProtection algorithmName="SHA-512" hashValue="jzeBVciaQmD8TskMS21yhqtbmSEew52SPKZzvt8LDA0zmyg47p7Su78QlOGGU5EQTb2/hAKRDEtMA0wf3GAzgQ==" saltValue="Srk0xbDF/iofcM+RxhLL+A==" spinCount="100000" sheet="1" objects="1" scenarios="1" formatColumns="0" autoFilter="0"/>
  <autoFilter ref="A2:F2" xr:uid="{B1004D24-8A5D-4EC2-AA6E-16FBDCCE78D1}"/>
  <pageMargins left="0.7" right="0.7" top="0.78740157499999996" bottom="0.78740157499999996"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8FF0-1380-4035-9754-A6D85FC97BE8}">
  <sheetPr codeName="Tabelle14"/>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12</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1950</v>
      </c>
    </row>
    <row r="4" spans="1:6" ht="110.25">
      <c r="A4" s="7">
        <f>ROW()</f>
        <v>4</v>
      </c>
      <c r="B4" s="8" t="s">
        <v>1479</v>
      </c>
      <c r="C4" s="1"/>
      <c r="D4" s="8" t="str">
        <f t="shared" ref="D4:D34" si="0">+E4</f>
        <v>Grundprinzipien</v>
      </c>
      <c r="E4" s="22" t="s">
        <v>1468</v>
      </c>
      <c r="F4" s="2" t="s">
        <v>1951</v>
      </c>
    </row>
    <row r="5" spans="1:6" ht="188.25">
      <c r="A5" s="7">
        <f>ROW()</f>
        <v>5</v>
      </c>
      <c r="B5" s="8" t="s">
        <v>1479</v>
      </c>
      <c r="C5" s="1"/>
      <c r="D5" s="8" t="str">
        <f t="shared" si="0"/>
        <v>Gedecktes Risiko: Definition</v>
      </c>
      <c r="E5" s="22" t="s">
        <v>1630</v>
      </c>
      <c r="F5" s="2" t="s">
        <v>3396</v>
      </c>
    </row>
    <row r="6" spans="1:6" ht="144">
      <c r="A6" s="7">
        <f>ROW()</f>
        <v>6</v>
      </c>
      <c r="B6" s="8" t="s">
        <v>1479</v>
      </c>
      <c r="C6" s="8" t="s">
        <v>1453</v>
      </c>
      <c r="D6" s="8" t="str">
        <f t="shared" si="0"/>
        <v>Versicherte Personen</v>
      </c>
      <c r="E6" s="23" t="s">
        <v>1453</v>
      </c>
      <c r="F6" s="2" t="s">
        <v>1952</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1953</v>
      </c>
    </row>
    <row r="9" spans="1:6" ht="409.5">
      <c r="A9" s="7">
        <f>ROW()</f>
        <v>9</v>
      </c>
      <c r="B9" s="8" t="s">
        <v>1479</v>
      </c>
      <c r="C9" s="9" t="s">
        <v>128</v>
      </c>
      <c r="D9" s="8" t="str">
        <f t="shared" si="0"/>
        <v xml:space="preserve">2. Begutachtungskriterien und Kategorien der Arbeitsunfähigkeit/Arbeitsfähigkeit  </v>
      </c>
      <c r="E9" s="23" t="s">
        <v>1484</v>
      </c>
      <c r="F9" s="2" t="s">
        <v>3397</v>
      </c>
    </row>
    <row r="10" spans="1:6" ht="222">
      <c r="A10" s="7">
        <f>ROW()</f>
        <v>10</v>
      </c>
      <c r="B10" s="8" t="s">
        <v>1479</v>
      </c>
      <c r="C10" s="9" t="s">
        <v>128</v>
      </c>
      <c r="D10" s="8" t="str">
        <f t="shared" si="0"/>
        <v>3. Zeitraum der Leistungszahlung</v>
      </c>
      <c r="E10" s="23" t="s">
        <v>1486</v>
      </c>
      <c r="F10" s="2" t="s">
        <v>1954</v>
      </c>
    </row>
    <row r="11" spans="1:6" ht="120">
      <c r="A11" s="7">
        <f>ROW()</f>
        <v>11</v>
      </c>
      <c r="B11" s="8" t="s">
        <v>1479</v>
      </c>
      <c r="C11" s="9" t="s">
        <v>1488</v>
      </c>
      <c r="D11" s="8" t="str">
        <f t="shared" si="0"/>
        <v>1. Gutachter</v>
      </c>
      <c r="E11" s="23" t="s">
        <v>1489</v>
      </c>
      <c r="F11" s="2" t="s">
        <v>3398</v>
      </c>
    </row>
    <row r="12" spans="1:6" ht="120">
      <c r="A12" s="7">
        <f>ROW()</f>
        <v>12</v>
      </c>
      <c r="B12" s="8" t="s">
        <v>1479</v>
      </c>
      <c r="C12" s="9" t="s">
        <v>1488</v>
      </c>
      <c r="D12" s="8" t="str">
        <f t="shared" si="0"/>
        <v xml:space="preserve">2. Überprüfung  </v>
      </c>
      <c r="E12" s="23" t="s">
        <v>1490</v>
      </c>
      <c r="F12" s="2" t="s">
        <v>1955</v>
      </c>
    </row>
    <row r="13" spans="1:6" ht="291.75">
      <c r="A13" s="7">
        <f>ROW()</f>
        <v>13</v>
      </c>
      <c r="B13" s="8" t="s">
        <v>1479</v>
      </c>
      <c r="C13" s="8" t="s">
        <v>1459</v>
      </c>
      <c r="D13" s="8" t="str">
        <f t="shared" si="0"/>
        <v>1. Berechnungsmethode bzw. Rentenformel</v>
      </c>
      <c r="E13" s="23" t="s">
        <v>1492</v>
      </c>
      <c r="F13" s="2" t="s">
        <v>1956</v>
      </c>
    </row>
    <row r="14" spans="1:6" ht="343.5">
      <c r="A14" s="7">
        <f>ROW()</f>
        <v>14</v>
      </c>
      <c r="B14" s="8" t="s">
        <v>1479</v>
      </c>
      <c r="C14" s="8" t="s">
        <v>1459</v>
      </c>
      <c r="D14" s="8" t="str">
        <f t="shared" si="0"/>
        <v>2. Referenzeinkommen bzw. Berechnungsgrundlage</v>
      </c>
      <c r="E14" s="23" t="s">
        <v>1493</v>
      </c>
      <c r="F14" s="2" t="s">
        <v>1957</v>
      </c>
    </row>
    <row r="15" spans="1:6" ht="226.5">
      <c r="A15" s="7">
        <f>ROW()</f>
        <v>15</v>
      </c>
      <c r="B15" s="8" t="s">
        <v>1479</v>
      </c>
      <c r="C15" s="8" t="s">
        <v>1459</v>
      </c>
      <c r="D15" s="8" t="str">
        <f t="shared" si="0"/>
        <v>3. Mindest- und Höchstleistungen</v>
      </c>
      <c r="E15" s="23" t="s">
        <v>1495</v>
      </c>
      <c r="F15" s="2" t="s">
        <v>1958</v>
      </c>
    </row>
    <row r="16" spans="1:6" ht="405">
      <c r="A16" s="7">
        <f>ROW()</f>
        <v>16</v>
      </c>
      <c r="B16" s="8" t="s">
        <v>1479</v>
      </c>
      <c r="C16" s="8" t="s">
        <v>1459</v>
      </c>
      <c r="D16" s="8" t="str">
        <f t="shared" si="0"/>
        <v>4. Anrechenbare oder als Beitragszeiten gewertete Zeiträume</v>
      </c>
      <c r="E16" s="23" t="s">
        <v>1496</v>
      </c>
      <c r="F16" s="2" t="s">
        <v>3399</v>
      </c>
    </row>
    <row r="17" spans="1:6" ht="250.5">
      <c r="A17" s="7">
        <f>ROW()</f>
        <v>17</v>
      </c>
      <c r="B17" s="8" t="s">
        <v>1479</v>
      </c>
      <c r="C17" s="8" t="s">
        <v>1459</v>
      </c>
      <c r="D17" s="8" t="str">
        <f t="shared" si="0"/>
        <v xml:space="preserve">5. Zulagen für Unterhaltsberechtigte  </v>
      </c>
      <c r="E17" s="23" t="s">
        <v>1498</v>
      </c>
      <c r="F17" s="2" t="s">
        <v>332</v>
      </c>
    </row>
    <row r="18" spans="1:6" ht="409.5">
      <c r="A18" s="7">
        <f>ROW()</f>
        <v>18</v>
      </c>
      <c r="B18" s="8" t="s">
        <v>1479</v>
      </c>
      <c r="C18" s="8" t="str">
        <f>+E18</f>
        <v>Sonstige Leistungen</v>
      </c>
      <c r="D18" s="8" t="str">
        <f>+E18</f>
        <v>Sonstige Leistungen</v>
      </c>
      <c r="E18" s="22" t="s">
        <v>1455</v>
      </c>
      <c r="F18" s="2" t="s">
        <v>3400</v>
      </c>
    </row>
    <row r="19" spans="1:6" ht="300.75">
      <c r="A19" s="7">
        <f>ROW()</f>
        <v>19</v>
      </c>
      <c r="B19" s="8" t="s">
        <v>1479</v>
      </c>
      <c r="C19" s="8" t="s">
        <v>1500</v>
      </c>
      <c r="D19" s="8" t="str">
        <f t="shared" si="0"/>
        <v>Umschulung, berufsbezogene Rehabilitation</v>
      </c>
      <c r="E19" s="23" t="s">
        <v>1501</v>
      </c>
      <c r="F19" s="2" t="s">
        <v>1959</v>
      </c>
    </row>
    <row r="20" spans="1:6" ht="409.5">
      <c r="A20" s="7">
        <f>ROW()</f>
        <v>20</v>
      </c>
      <c r="B20" s="8" t="s">
        <v>1479</v>
      </c>
      <c r="C20" s="8" t="s">
        <v>1500</v>
      </c>
      <c r="D20" s="8" t="str">
        <f t="shared" si="0"/>
        <v xml:space="preserve">Bevorzugte und reservierte Beschäftigung von Menschen mit Behinderungen  </v>
      </c>
      <c r="E20" s="23" t="s">
        <v>1502</v>
      </c>
      <c r="F20" s="2" t="s">
        <v>1960</v>
      </c>
    </row>
    <row r="21" spans="1:6" ht="171.75">
      <c r="A21" s="7">
        <f>ROW()</f>
        <v>21</v>
      </c>
      <c r="B21" s="8" t="s">
        <v>1479</v>
      </c>
      <c r="C21" s="8" t="s">
        <v>1504</v>
      </c>
      <c r="D21" s="8" t="str">
        <f t="shared" si="0"/>
        <v>Indexbindung/Anpassung</v>
      </c>
      <c r="E21" s="22" t="s">
        <v>1505</v>
      </c>
      <c r="F21" s="2" t="s">
        <v>1961</v>
      </c>
    </row>
    <row r="22" spans="1:6" ht="242.25">
      <c r="A22" s="7">
        <f>ROW()</f>
        <v>22</v>
      </c>
      <c r="B22" s="8" t="s">
        <v>1479</v>
      </c>
      <c r="C22" s="8" t="s">
        <v>1504</v>
      </c>
      <c r="D22" s="8" t="str">
        <f>+E22</f>
        <v>Kumulation mit Erwerbseinkommen</v>
      </c>
      <c r="E22" s="22" t="s">
        <v>1471</v>
      </c>
      <c r="F22" s="2" t="s">
        <v>1962</v>
      </c>
    </row>
    <row r="23" spans="1:6" ht="275.25">
      <c r="A23" s="7">
        <f>ROW()</f>
        <v>23</v>
      </c>
      <c r="B23" s="8" t="s">
        <v>1479</v>
      </c>
      <c r="C23" s="8" t="s">
        <v>1504</v>
      </c>
      <c r="D23" s="8" t="str">
        <f t="shared" si="0"/>
        <v>Kumulation mit anderen Sozialleistungen</v>
      </c>
      <c r="E23" s="22" t="s">
        <v>1460</v>
      </c>
      <c r="F23" s="2" t="s">
        <v>3401</v>
      </c>
    </row>
    <row r="24" spans="1:6" ht="232.5">
      <c r="A24" s="7">
        <f>ROW()</f>
        <v>24</v>
      </c>
      <c r="B24" s="8" t="s">
        <v>1479</v>
      </c>
      <c r="C24" s="8" t="s">
        <v>1465</v>
      </c>
      <c r="D24" s="8" t="str">
        <f t="shared" si="0"/>
        <v>1. Besteuerung von Geldleistungen</v>
      </c>
      <c r="E24" s="23" t="s">
        <v>1509</v>
      </c>
      <c r="F24" s="2" t="s">
        <v>1963</v>
      </c>
    </row>
    <row r="25" spans="1:6" ht="387">
      <c r="A25" s="7">
        <f>ROW()</f>
        <v>25</v>
      </c>
      <c r="B25" s="8" t="s">
        <v>1479</v>
      </c>
      <c r="C25" s="8" t="s">
        <v>1465</v>
      </c>
      <c r="D25" s="8" t="str">
        <f t="shared" si="0"/>
        <v>2. Einkommensgrenze für Besteuerung von Geldleistungen</v>
      </c>
      <c r="E25" s="23" t="s">
        <v>1511</v>
      </c>
      <c r="F25" s="2" t="s">
        <v>3402</v>
      </c>
    </row>
    <row r="26" spans="1:6" ht="288.75">
      <c r="A26" s="7">
        <f>ROW()</f>
        <v>26</v>
      </c>
      <c r="B26" s="8" t="s">
        <v>1479</v>
      </c>
      <c r="C26" s="8" t="s">
        <v>1465</v>
      </c>
      <c r="D26" s="8" t="str">
        <f t="shared" si="0"/>
        <v>3. Auf Leistungen anfallende Sozialabgaben</v>
      </c>
      <c r="E26" s="23" t="s">
        <v>1512</v>
      </c>
      <c r="F26" s="2" t="s">
        <v>669</v>
      </c>
    </row>
    <row r="27" spans="1:6" ht="138">
      <c r="A27" s="7">
        <f>ROW()</f>
        <v>27</v>
      </c>
      <c r="B27" s="8" t="s">
        <v>1479</v>
      </c>
      <c r="C27" s="8" t="s">
        <v>1514</v>
      </c>
      <c r="D27" s="8" t="str">
        <f t="shared" si="0"/>
        <v>Anwendungsbereich</v>
      </c>
      <c r="E27" s="23" t="s">
        <v>1467</v>
      </c>
      <c r="F27" s="2" t="s">
        <v>696</v>
      </c>
    </row>
    <row r="28" spans="1:6" ht="110.25">
      <c r="A28" s="7">
        <f>ROW()</f>
        <v>28</v>
      </c>
      <c r="B28" s="8" t="s">
        <v>1479</v>
      </c>
      <c r="C28" s="8" t="s">
        <v>1514</v>
      </c>
      <c r="D28" s="8" t="str">
        <f t="shared" si="0"/>
        <v>Grundprinzipien</v>
      </c>
      <c r="E28" s="23" t="s">
        <v>1468</v>
      </c>
      <c r="F28" s="2" t="s">
        <v>722</v>
      </c>
    </row>
    <row r="29" spans="1:6" ht="224.25">
      <c r="A29" s="7">
        <f>ROW()</f>
        <v>29</v>
      </c>
      <c r="B29" s="8" t="s">
        <v>1479</v>
      </c>
      <c r="C29" s="8" t="s">
        <v>1514</v>
      </c>
      <c r="D29" s="8" t="str">
        <f t="shared" si="0"/>
        <v>Voraussetzungen für die Deckung</v>
      </c>
      <c r="E29" s="23" t="s">
        <v>1469</v>
      </c>
      <c r="F29" s="2" t="s">
        <v>744</v>
      </c>
    </row>
    <row r="30" spans="1:6" ht="409.5">
      <c r="A30" s="7">
        <f>ROW()</f>
        <v>30</v>
      </c>
      <c r="B30" s="8" t="s">
        <v>1479</v>
      </c>
      <c r="C30" s="8" t="s">
        <v>1514</v>
      </c>
      <c r="D30" s="9" t="str">
        <f t="shared" si="0"/>
        <v>Kombination von selbstständiger und unselbstständiger Tätigkeit</v>
      </c>
      <c r="E30" s="23" t="s">
        <v>1462</v>
      </c>
      <c r="F30" s="2" t="s">
        <v>1964</v>
      </c>
    </row>
    <row r="31" spans="1:6" ht="376.5">
      <c r="A31" s="7">
        <f>ROW()</f>
        <v>31</v>
      </c>
      <c r="B31" s="8" t="s">
        <v>1479</v>
      </c>
      <c r="C31" s="8" t="s">
        <v>1459</v>
      </c>
      <c r="D31" s="9" t="str">
        <f t="shared" si="0"/>
        <v xml:space="preserve">Voraussetzungen für den Zugang zu Diensten/Leistungen </v>
      </c>
      <c r="E31" s="23" t="s">
        <v>1463</v>
      </c>
      <c r="F31" s="2" t="s">
        <v>785</v>
      </c>
    </row>
    <row r="32" spans="1:6" ht="253.5">
      <c r="A32" s="7">
        <f>ROW()</f>
        <v>32</v>
      </c>
      <c r="B32" s="8" t="s">
        <v>1479</v>
      </c>
      <c r="C32" s="8" t="s">
        <v>1459</v>
      </c>
      <c r="D32" s="8" t="str">
        <f t="shared" si="0"/>
        <v>Beträge, Dauer und Kostenbeteiligung</v>
      </c>
      <c r="E32" s="23" t="s">
        <v>1464</v>
      </c>
      <c r="F32" s="2" t="s">
        <v>785</v>
      </c>
    </row>
    <row r="33" spans="1:6" ht="216">
      <c r="A33" s="7">
        <f>ROW()</f>
        <v>33</v>
      </c>
      <c r="B33" s="8" t="s">
        <v>1479</v>
      </c>
      <c r="C33" s="8" t="s">
        <v>1459</v>
      </c>
      <c r="D33" s="8" t="str">
        <f t="shared" si="0"/>
        <v>Besteuerung von Geldleistungen</v>
      </c>
      <c r="E33" s="23" t="s">
        <v>1456</v>
      </c>
      <c r="F33" s="2" t="s">
        <v>785</v>
      </c>
    </row>
    <row r="34" spans="1:6" ht="276.75">
      <c r="A34" s="7">
        <f>ROW()</f>
        <v>34</v>
      </c>
      <c r="B34" s="8" t="s">
        <v>1479</v>
      </c>
      <c r="C34" s="8" t="s">
        <v>1459</v>
      </c>
      <c r="D34" s="8" t="str">
        <f t="shared" si="0"/>
        <v xml:space="preserve"> Auf Leistungen anfallende Sozialabgaben</v>
      </c>
      <c r="E34" s="23" t="s">
        <v>1518</v>
      </c>
      <c r="F34" s="2" t="s">
        <v>785</v>
      </c>
    </row>
    <row r="35" spans="1:6" ht="270">
      <c r="A35" s="7">
        <f>ROW()</f>
        <v>35</v>
      </c>
      <c r="B35" s="8" t="s">
        <v>1519</v>
      </c>
      <c r="C35" s="8" t="str">
        <f>+D35</f>
        <v>Geltende Rechtsgrundlage</v>
      </c>
      <c r="D35" s="8" t="str">
        <f>+E35</f>
        <v>Geltende Rechtsgrundlage</v>
      </c>
      <c r="E35" s="22" t="s">
        <v>1472</v>
      </c>
      <c r="F35" s="2" t="s">
        <v>42</v>
      </c>
    </row>
    <row r="36" spans="1:6" ht="165">
      <c r="A36" s="7">
        <f>ROW()</f>
        <v>36</v>
      </c>
      <c r="B36" s="8" t="s">
        <v>1519</v>
      </c>
      <c r="C36" s="8" t="str">
        <f>+D36</f>
        <v>Grundprinzipien</v>
      </c>
      <c r="D36" s="8" t="str">
        <f>+E36</f>
        <v>Grundprinzipien</v>
      </c>
      <c r="E36" s="22" t="s">
        <v>1468</v>
      </c>
      <c r="F36" s="2" t="s">
        <v>3403</v>
      </c>
    </row>
    <row r="37" spans="1:6" ht="159.75">
      <c r="A37" s="7">
        <f>ROW()</f>
        <v>37</v>
      </c>
      <c r="B37" s="8" t="s">
        <v>1519</v>
      </c>
      <c r="C37" s="8" t="s">
        <v>1467</v>
      </c>
      <c r="D37" s="8" t="str">
        <f>+E37</f>
        <v>1. Versicherte Personen</v>
      </c>
      <c r="E37" s="23" t="s">
        <v>1520</v>
      </c>
      <c r="F37" s="2" t="s">
        <v>95</v>
      </c>
    </row>
    <row r="38" spans="1:6" ht="371.25">
      <c r="A38" s="7">
        <f>ROW()</f>
        <v>38</v>
      </c>
      <c r="B38" s="8" t="s">
        <v>1519</v>
      </c>
      <c r="C38" s="8" t="s">
        <v>1467</v>
      </c>
      <c r="D38" s="8" t="str">
        <f t="shared" ref="D38:D58" si="1">+E38</f>
        <v>2. Ausnahmen von der Deckung  der Pflichtversicherung</v>
      </c>
      <c r="E38" s="23" t="s">
        <v>1521</v>
      </c>
      <c r="F38" s="2" t="s">
        <v>120</v>
      </c>
    </row>
    <row r="39" spans="1:6" ht="194.25">
      <c r="A39" s="7">
        <f>ROW()</f>
        <v>39</v>
      </c>
      <c r="B39" s="8" t="s">
        <v>1519</v>
      </c>
      <c r="C39" s="8" t="s">
        <v>128</v>
      </c>
      <c r="D39" s="8" t="str">
        <f t="shared" si="1"/>
        <v>1. Rentenalter</v>
      </c>
      <c r="E39" s="23" t="s">
        <v>1523</v>
      </c>
      <c r="F39" s="2" t="s">
        <v>137</v>
      </c>
    </row>
    <row r="40" spans="1:6" ht="409.5">
      <c r="A40" s="7">
        <f>ROW()</f>
        <v>40</v>
      </c>
      <c r="B40" s="8" t="s">
        <v>1519</v>
      </c>
      <c r="C40" s="8" t="s">
        <v>128</v>
      </c>
      <c r="D40" s="8" t="str">
        <f t="shared" si="1"/>
        <v>2. Anwartschaftszeit und sonstige Anspruchsvoraussetzungen für den Bezug einer Altersrente</v>
      </c>
      <c r="E40" s="23" t="s">
        <v>1524</v>
      </c>
      <c r="F40" s="2" t="s">
        <v>159</v>
      </c>
    </row>
    <row r="41" spans="1:6" ht="330">
      <c r="A41" s="7">
        <f>ROW()</f>
        <v>41</v>
      </c>
      <c r="B41" s="8" t="s">
        <v>1519</v>
      </c>
      <c r="C41" s="8" t="s">
        <v>128</v>
      </c>
      <c r="D41" s="8" t="str">
        <f t="shared" si="1"/>
        <v>3. Vorruhestand</v>
      </c>
      <c r="E41" s="23" t="s">
        <v>1525</v>
      </c>
      <c r="F41" s="2" t="s">
        <v>3404</v>
      </c>
    </row>
    <row r="42" spans="1:6" ht="264">
      <c r="A42" s="7">
        <f>ROW()</f>
        <v>42</v>
      </c>
      <c r="B42" s="8" t="s">
        <v>1519</v>
      </c>
      <c r="C42" s="8" t="s">
        <v>128</v>
      </c>
      <c r="D42" s="8" t="str">
        <f t="shared" si="1"/>
        <v>4. Beschwerliche und gefährliche Arbeit</v>
      </c>
      <c r="E42" s="23" t="s">
        <v>1526</v>
      </c>
      <c r="F42" s="2" t="s">
        <v>3405</v>
      </c>
    </row>
    <row r="43" spans="1:6" ht="194.25">
      <c r="A43" s="7">
        <f>ROW()</f>
        <v>43</v>
      </c>
      <c r="B43" s="8" t="s">
        <v>1519</v>
      </c>
      <c r="C43" s="8" t="s">
        <v>128</v>
      </c>
      <c r="D43" s="8" t="str">
        <f t="shared" si="1"/>
        <v>5. Rentenaufschub</v>
      </c>
      <c r="E43" s="23" t="s">
        <v>1527</v>
      </c>
      <c r="F43" s="2" t="s">
        <v>219</v>
      </c>
    </row>
    <row r="44" spans="1:6" ht="174">
      <c r="A44" s="7">
        <f>ROW()</f>
        <v>44</v>
      </c>
      <c r="B44" s="8" t="s">
        <v>1519</v>
      </c>
      <c r="C44" s="8" t="s">
        <v>1459</v>
      </c>
      <c r="D44" s="8" t="str">
        <f t="shared" si="1"/>
        <v>1. Bestimmende Faktoren</v>
      </c>
      <c r="E44" s="23" t="s">
        <v>1528</v>
      </c>
      <c r="F44" s="2" t="s">
        <v>3406</v>
      </c>
    </row>
    <row r="45" spans="1:6" ht="375">
      <c r="A45" s="7">
        <f>ROW()</f>
        <v>45</v>
      </c>
      <c r="B45" s="8" t="s">
        <v>1519</v>
      </c>
      <c r="C45" s="8" t="s">
        <v>1459</v>
      </c>
      <c r="D45" s="8" t="str">
        <f t="shared" si="1"/>
        <v>2. Berechnungsmethode, Rentenformel bzw. Beträge</v>
      </c>
      <c r="E45" s="23" t="s">
        <v>1529</v>
      </c>
      <c r="F45" s="2" t="s">
        <v>3407</v>
      </c>
    </row>
    <row r="46" spans="1:6" ht="343.5">
      <c r="A46" s="7">
        <f>ROW()</f>
        <v>46</v>
      </c>
      <c r="B46" s="8" t="s">
        <v>1519</v>
      </c>
      <c r="C46" s="8" t="s">
        <v>1459</v>
      </c>
      <c r="D46" s="8" t="str">
        <f t="shared" si="1"/>
        <v>3. Referenzeinkommen bzw. Berechnungsgrundlage</v>
      </c>
      <c r="E46" s="23" t="s">
        <v>1530</v>
      </c>
      <c r="F46" s="2" t="s">
        <v>281</v>
      </c>
    </row>
    <row r="47" spans="1:6" ht="405">
      <c r="A47" s="7">
        <f>ROW()</f>
        <v>47</v>
      </c>
      <c r="B47" s="8" t="s">
        <v>1519</v>
      </c>
      <c r="C47" s="8" t="s">
        <v>1459</v>
      </c>
      <c r="D47" s="8" t="str">
        <f t="shared" si="1"/>
        <v>4. Anrechenbare oder als Beitragszeiten gewertete Zeiträume</v>
      </c>
      <c r="E47" s="23" t="s">
        <v>1496</v>
      </c>
      <c r="F47" s="2" t="s">
        <v>3408</v>
      </c>
    </row>
    <row r="48" spans="1:6" ht="243.75">
      <c r="A48" s="7">
        <f>ROW()</f>
        <v>48</v>
      </c>
      <c r="B48" s="8" t="s">
        <v>1519</v>
      </c>
      <c r="C48" s="8" t="s">
        <v>1459</v>
      </c>
      <c r="D48" s="8" t="str">
        <f t="shared" si="1"/>
        <v>5. Rückkauf von Versicherungszeiten</v>
      </c>
      <c r="E48" s="23" t="s">
        <v>1531</v>
      </c>
      <c r="F48" s="2" t="s">
        <v>318</v>
      </c>
    </row>
    <row r="49" spans="1:6" ht="246">
      <c r="A49" s="7">
        <f>ROW()</f>
        <v>49</v>
      </c>
      <c r="B49" s="8" t="s">
        <v>1519</v>
      </c>
      <c r="C49" s="8" t="s">
        <v>1459</v>
      </c>
      <c r="D49" s="8" t="str">
        <f t="shared" si="1"/>
        <v>6.  Zulagen für Unterhaltsberechtigte</v>
      </c>
      <c r="E49" s="23" t="s">
        <v>1631</v>
      </c>
      <c r="F49" s="2" t="s">
        <v>337</v>
      </c>
    </row>
    <row r="50" spans="1:6" ht="145.5">
      <c r="A50" s="7">
        <f>ROW()</f>
        <v>50</v>
      </c>
      <c r="B50" s="8" t="s">
        <v>1519</v>
      </c>
      <c r="C50" s="8" t="s">
        <v>1459</v>
      </c>
      <c r="D50" s="8" t="str">
        <f t="shared" si="1"/>
        <v>7. Besondere Zulagen</v>
      </c>
      <c r="E50" s="23" t="s">
        <v>1532</v>
      </c>
      <c r="F50" s="2" t="s">
        <v>355</v>
      </c>
    </row>
    <row r="51" spans="1:6" ht="360.75">
      <c r="A51" s="7">
        <f>ROW()</f>
        <v>51</v>
      </c>
      <c r="B51" s="8" t="s">
        <v>1519</v>
      </c>
      <c r="C51" s="8" t="s">
        <v>1459</v>
      </c>
      <c r="D51" s="8" t="str">
        <f t="shared" si="1"/>
        <v>8. Mindestrente und bedürftigkeitsabhängige Leistung</v>
      </c>
      <c r="E51" s="23" t="s">
        <v>1533</v>
      </c>
      <c r="F51" s="2" t="s">
        <v>381</v>
      </c>
    </row>
    <row r="52" spans="1:6" ht="101.25">
      <c r="A52" s="7">
        <f>ROW()</f>
        <v>52</v>
      </c>
      <c r="B52" s="8" t="s">
        <v>1519</v>
      </c>
      <c r="C52" s="8" t="s">
        <v>1459</v>
      </c>
      <c r="D52" s="8" t="str">
        <f t="shared" si="1"/>
        <v>9. Höchstrente</v>
      </c>
      <c r="E52" s="23" t="s">
        <v>1534</v>
      </c>
      <c r="F52" s="2" t="s">
        <v>404</v>
      </c>
    </row>
    <row r="53" spans="1:6" ht="150">
      <c r="A53" s="7">
        <f>ROW()</f>
        <v>53</v>
      </c>
      <c r="B53" s="8" t="s">
        <v>1519</v>
      </c>
      <c r="C53" s="8" t="s">
        <v>1459</v>
      </c>
      <c r="D53" s="8" t="str">
        <f t="shared" si="1"/>
        <v>10. Vorruhestand</v>
      </c>
      <c r="E53" s="23" t="s">
        <v>1535</v>
      </c>
      <c r="F53" s="2" t="s">
        <v>432</v>
      </c>
    </row>
    <row r="54" spans="1:6" ht="272.25">
      <c r="A54" s="7">
        <f>ROW()</f>
        <v>54</v>
      </c>
      <c r="B54" s="8" t="s">
        <v>1519</v>
      </c>
      <c r="C54" s="8" t="s">
        <v>1459</v>
      </c>
      <c r="D54" s="8" t="str">
        <f t="shared" si="1"/>
        <v>11. Beschwerliche und gefährliche Arbeit</v>
      </c>
      <c r="E54" s="23" t="s">
        <v>1536</v>
      </c>
      <c r="F54" s="2" t="s">
        <v>458</v>
      </c>
    </row>
    <row r="55" spans="1:6" ht="87.75">
      <c r="A55" s="7">
        <f>ROW()</f>
        <v>55</v>
      </c>
      <c r="B55" s="8" t="s">
        <v>1519</v>
      </c>
      <c r="C55" s="8" t="s">
        <v>1459</v>
      </c>
      <c r="D55" s="8" t="str">
        <f t="shared" si="1"/>
        <v>12. Teilrente</v>
      </c>
      <c r="E55" s="23" t="s">
        <v>1537</v>
      </c>
      <c r="F55" s="2" t="s">
        <v>483</v>
      </c>
    </row>
    <row r="56" spans="1:6" ht="171.75">
      <c r="A56" s="7">
        <f>ROW()</f>
        <v>56</v>
      </c>
      <c r="B56" s="8" t="s">
        <v>1519</v>
      </c>
      <c r="C56" s="8" t="s">
        <v>1459</v>
      </c>
      <c r="D56" s="8" t="str">
        <f t="shared" si="1"/>
        <v>13. Aufgeschobene Rente</v>
      </c>
      <c r="E56" s="23" t="s">
        <v>1632</v>
      </c>
      <c r="F56" s="2" t="s">
        <v>510</v>
      </c>
    </row>
    <row r="57" spans="1:6" ht="330">
      <c r="A57" s="7">
        <f>ROW()</f>
        <v>57</v>
      </c>
      <c r="B57" s="8" t="s">
        <v>1519</v>
      </c>
      <c r="C57" s="8" t="s">
        <v>1538</v>
      </c>
      <c r="D57" s="8" t="s">
        <v>1538</v>
      </c>
      <c r="E57" s="22" t="s">
        <v>1538</v>
      </c>
      <c r="F57" s="2" t="s">
        <v>539</v>
      </c>
    </row>
    <row r="58" spans="1:6" ht="246">
      <c r="A58" s="7">
        <f>ROW()</f>
        <v>58</v>
      </c>
      <c r="B58" s="8" t="s">
        <v>1519</v>
      </c>
      <c r="C58" s="8" t="s">
        <v>1538</v>
      </c>
      <c r="D58" s="8" t="str">
        <f t="shared" si="1"/>
        <v xml:space="preserve">Kumulation mit Erwerbseinkommen </v>
      </c>
      <c r="E58" s="22" t="s">
        <v>1461</v>
      </c>
      <c r="F58" s="2" t="s">
        <v>566</v>
      </c>
    </row>
    <row r="59" spans="1:6" ht="286.5">
      <c r="A59" s="7">
        <f>ROW()</f>
        <v>59</v>
      </c>
      <c r="B59" s="8" t="s">
        <v>1519</v>
      </c>
      <c r="C59" s="8" t="s">
        <v>1538</v>
      </c>
      <c r="D59" s="8" t="s">
        <v>1539</v>
      </c>
      <c r="E59" s="22" t="s">
        <v>1460</v>
      </c>
      <c r="F59" s="2" t="s">
        <v>594</v>
      </c>
    </row>
    <row r="60" spans="1:6" ht="225.75">
      <c r="A60" s="7">
        <f>ROW()</f>
        <v>60</v>
      </c>
      <c r="B60" s="8" t="s">
        <v>1519</v>
      </c>
      <c r="C60" s="8" t="s">
        <v>612</v>
      </c>
      <c r="D60" s="8" t="str">
        <f t="shared" ref="D60:D70" si="2">+E60</f>
        <v>1. Besteuerung von Renten</v>
      </c>
      <c r="E60" s="23" t="s">
        <v>1540</v>
      </c>
      <c r="F60" s="2" t="s">
        <v>623</v>
      </c>
    </row>
    <row r="61" spans="1:6" ht="335.25">
      <c r="A61" s="7">
        <f>ROW()</f>
        <v>61</v>
      </c>
      <c r="B61" s="8" t="s">
        <v>1519</v>
      </c>
      <c r="C61" s="8" t="s">
        <v>612</v>
      </c>
      <c r="D61" s="8" t="str">
        <f t="shared" si="2"/>
        <v>2. Einkommensgrenze für Besteuerung von Renten</v>
      </c>
      <c r="E61" s="23" t="s">
        <v>1541</v>
      </c>
      <c r="F61" s="2" t="s">
        <v>3409</v>
      </c>
    </row>
    <row r="62" spans="1:6" ht="264">
      <c r="A62" s="7">
        <f>ROW()</f>
        <v>62</v>
      </c>
      <c r="B62" s="8" t="s">
        <v>1519</v>
      </c>
      <c r="C62" s="8" t="s">
        <v>612</v>
      </c>
      <c r="D62" s="8" t="str">
        <f t="shared" si="2"/>
        <v>3. Auf Renten anfallende Sozialabgaben</v>
      </c>
      <c r="E62" s="23" t="s">
        <v>1542</v>
      </c>
      <c r="F62" s="2" t="s">
        <v>674</v>
      </c>
    </row>
    <row r="63" spans="1:6" ht="138">
      <c r="A63" s="7">
        <f>ROW()</f>
        <v>63</v>
      </c>
      <c r="B63" s="8" t="s">
        <v>1543</v>
      </c>
      <c r="C63" s="8" t="str">
        <f>+E63</f>
        <v>Anwendungsbereich</v>
      </c>
      <c r="D63" s="8" t="str">
        <f t="shared" si="2"/>
        <v>Anwendungsbereich</v>
      </c>
      <c r="E63" s="23" t="s">
        <v>1467</v>
      </c>
      <c r="F63" s="2" t="s">
        <v>696</v>
      </c>
    </row>
    <row r="64" spans="1:6" ht="132.75">
      <c r="A64" s="7">
        <f>ROW()</f>
        <v>64</v>
      </c>
      <c r="B64" s="8" t="s">
        <v>1543</v>
      </c>
      <c r="C64" s="8" t="s">
        <v>1514</v>
      </c>
      <c r="D64" s="8" t="str">
        <f t="shared" si="2"/>
        <v>Grundprinzipien</v>
      </c>
      <c r="E64" s="23" t="s">
        <v>1468</v>
      </c>
      <c r="F64" s="2" t="s">
        <v>722</v>
      </c>
    </row>
    <row r="65" spans="1:6" ht="224.25">
      <c r="A65" s="7">
        <f>ROW()</f>
        <v>65</v>
      </c>
      <c r="B65" s="8" t="s">
        <v>1543</v>
      </c>
      <c r="C65" s="8" t="s">
        <v>1514</v>
      </c>
      <c r="D65" s="8" t="str">
        <f t="shared" si="2"/>
        <v>Voraussetzungen für die Deckung</v>
      </c>
      <c r="E65" s="23" t="s">
        <v>1469</v>
      </c>
      <c r="F65" s="2" t="s">
        <v>749</v>
      </c>
    </row>
    <row r="66" spans="1:6" ht="409.5">
      <c r="A66" s="7">
        <f>ROW()</f>
        <v>66</v>
      </c>
      <c r="B66" s="8" t="s">
        <v>1543</v>
      </c>
      <c r="C66" s="8" t="s">
        <v>1514</v>
      </c>
      <c r="D66" s="8" t="str">
        <f t="shared" si="2"/>
        <v>Kombination von selbstständiger und unselbstständiger Tätigkeit</v>
      </c>
      <c r="E66" s="23" t="s">
        <v>1462</v>
      </c>
      <c r="F66" s="2" t="s">
        <v>771</v>
      </c>
    </row>
    <row r="67" spans="1:6" ht="376.5">
      <c r="A67" s="7">
        <f>ROW()</f>
        <v>67</v>
      </c>
      <c r="B67" s="8" t="s">
        <v>1543</v>
      </c>
      <c r="C67" s="8" t="s">
        <v>1459</v>
      </c>
      <c r="D67" s="9" t="str">
        <f t="shared" si="2"/>
        <v xml:space="preserve">Voraussetzungen für den Zugang zu Diensten/Leistungen </v>
      </c>
      <c r="E67" s="23" t="s">
        <v>1463</v>
      </c>
      <c r="F67" s="2" t="s">
        <v>785</v>
      </c>
    </row>
    <row r="68" spans="1:6" ht="253.5">
      <c r="A68" s="7">
        <f>ROW()</f>
        <v>68</v>
      </c>
      <c r="B68" s="8" t="s">
        <v>1543</v>
      </c>
      <c r="C68" s="8" t="s">
        <v>1459</v>
      </c>
      <c r="D68" s="9" t="str">
        <f t="shared" si="2"/>
        <v>Beträge, Dauer und Kostenbeteiligung</v>
      </c>
      <c r="E68" s="23" t="s">
        <v>1464</v>
      </c>
      <c r="F68" s="2" t="s">
        <v>785</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785</v>
      </c>
    </row>
    <row r="71" spans="1:6" ht="177">
      <c r="A71" s="7">
        <f>ROW()</f>
        <v>71</v>
      </c>
      <c r="B71" s="8" t="s">
        <v>1466</v>
      </c>
      <c r="C71" s="8" t="str">
        <f t="shared" ref="C71:D75" si="3">+D71</f>
        <v>Geltende Rechtsgrundlage</v>
      </c>
      <c r="D71" s="9" t="str">
        <f t="shared" si="3"/>
        <v>Geltende Rechtsgrundlage</v>
      </c>
      <c r="E71" s="22" t="s">
        <v>1472</v>
      </c>
      <c r="F71" s="2" t="s">
        <v>844</v>
      </c>
    </row>
    <row r="72" spans="1:6" ht="110.25">
      <c r="A72" s="7">
        <f>ROW()</f>
        <v>72</v>
      </c>
      <c r="B72" s="8" t="s">
        <v>1466</v>
      </c>
      <c r="C72" s="8" t="str">
        <f t="shared" si="3"/>
        <v>Grundprinzipien</v>
      </c>
      <c r="D72" s="9" t="str">
        <f t="shared" si="3"/>
        <v>Grundprinzipien</v>
      </c>
      <c r="E72" s="22" t="s">
        <v>1468</v>
      </c>
      <c r="F72" s="2" t="s">
        <v>870</v>
      </c>
    </row>
    <row r="73" spans="1:6" ht="315">
      <c r="A73" s="7">
        <f>ROW()</f>
        <v>73</v>
      </c>
      <c r="B73" s="8" t="s">
        <v>1466</v>
      </c>
      <c r="C73" s="9" t="str">
        <f t="shared" si="3"/>
        <v>Anwendungsbereich (in Bezug auf Verstorbene)</v>
      </c>
      <c r="D73" s="9" t="str">
        <f t="shared" si="3"/>
        <v>Anwendungsbereich (in Bezug auf Verstorbene)</v>
      </c>
      <c r="E73" s="22" t="s">
        <v>1473</v>
      </c>
      <c r="F73" s="2" t="s">
        <v>896</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930</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952</v>
      </c>
    </row>
    <row r="78" spans="1:6" ht="185.25">
      <c r="A78" s="7">
        <f>ROW()</f>
        <v>78</v>
      </c>
      <c r="B78" s="8" t="s">
        <v>1466</v>
      </c>
      <c r="C78" s="8" t="s">
        <v>1544</v>
      </c>
      <c r="D78" s="8" t="str">
        <f t="shared" si="4"/>
        <v>2. Hinterbliebener Ehegatte</v>
      </c>
      <c r="E78" s="23" t="s">
        <v>1546</v>
      </c>
      <c r="F78" s="2" t="s">
        <v>973</v>
      </c>
    </row>
    <row r="79" spans="1:6" ht="181.5">
      <c r="A79" s="7">
        <f>ROW()</f>
        <v>79</v>
      </c>
      <c r="B79" s="8" t="s">
        <v>1466</v>
      </c>
      <c r="C79" s="8" t="s">
        <v>1544</v>
      </c>
      <c r="D79" s="8" t="str">
        <f t="shared" si="4"/>
        <v>3. Geschiedener Ehegatte</v>
      </c>
      <c r="E79" s="23" t="s">
        <v>1547</v>
      </c>
      <c r="F79" s="2" t="s">
        <v>989</v>
      </c>
    </row>
    <row r="80" spans="1:6" ht="216">
      <c r="A80" s="7">
        <f>ROW()</f>
        <v>80</v>
      </c>
      <c r="B80" s="8" t="s">
        <v>1466</v>
      </c>
      <c r="C80" s="8" t="s">
        <v>1544</v>
      </c>
      <c r="D80" s="8" t="str">
        <f t="shared" si="4"/>
        <v>4. Hinterbliebene Lebenspartner</v>
      </c>
      <c r="E80" s="23" t="s">
        <v>1548</v>
      </c>
      <c r="F80" s="2" t="s">
        <v>989</v>
      </c>
    </row>
    <row r="81" spans="1:6" ht="181.5">
      <c r="A81" s="7">
        <f>ROW()</f>
        <v>81</v>
      </c>
      <c r="B81" s="8" t="s">
        <v>1466</v>
      </c>
      <c r="C81" s="8" t="s">
        <v>1544</v>
      </c>
      <c r="D81" s="8" t="str">
        <f t="shared" si="4"/>
        <v>5. Kinder</v>
      </c>
      <c r="E81" s="23" t="s">
        <v>1549</v>
      </c>
      <c r="F81" s="2" t="s">
        <v>1037</v>
      </c>
    </row>
    <row r="82" spans="1:6" ht="181.5">
      <c r="A82" s="7">
        <f>ROW()</f>
        <v>82</v>
      </c>
      <c r="B82" s="8" t="s">
        <v>1466</v>
      </c>
      <c r="C82" s="8" t="s">
        <v>1544</v>
      </c>
      <c r="D82" s="8" t="str">
        <f t="shared" si="4"/>
        <v>6. Andere Personen</v>
      </c>
      <c r="E82" s="23" t="s">
        <v>1550</v>
      </c>
      <c r="F82" s="2" t="s">
        <v>1055</v>
      </c>
    </row>
    <row r="83" spans="1:6" ht="409.5">
      <c r="A83" s="7">
        <f>ROW()</f>
        <v>83</v>
      </c>
      <c r="B83" s="8" t="s">
        <v>1466</v>
      </c>
      <c r="C83" s="8" t="s">
        <v>1459</v>
      </c>
      <c r="D83" s="9" t="str">
        <f t="shared" si="4"/>
        <v>1. Hinterbliebener Ehegatte, geschiedener Ehegatte, hinterbliebene Lebenspartner</v>
      </c>
      <c r="E83" s="23" t="s">
        <v>1551</v>
      </c>
      <c r="F83" s="2" t="s">
        <v>1070</v>
      </c>
    </row>
    <row r="84" spans="1:6" ht="280.5">
      <c r="A84" s="7">
        <f>ROW()</f>
        <v>84</v>
      </c>
      <c r="B84" s="8" t="s">
        <v>1466</v>
      </c>
      <c r="C84" s="8" t="s">
        <v>1459</v>
      </c>
      <c r="D84" s="9" t="str">
        <f t="shared" si="4"/>
        <v>2. Hinterbliebener Ehegatte: Wiederheirat</v>
      </c>
      <c r="E84" s="23" t="s">
        <v>1552</v>
      </c>
      <c r="F84" s="2" t="s">
        <v>282</v>
      </c>
    </row>
    <row r="85" spans="1:6" ht="195">
      <c r="A85" s="7">
        <f>ROW()</f>
        <v>85</v>
      </c>
      <c r="B85" s="8" t="s">
        <v>1466</v>
      </c>
      <c r="C85" s="8" t="s">
        <v>1459</v>
      </c>
      <c r="D85" s="9" t="str">
        <f t="shared" si="4"/>
        <v>3. Kinder</v>
      </c>
      <c r="E85" s="23" t="s">
        <v>1553</v>
      </c>
      <c r="F85" s="2" t="s">
        <v>3410</v>
      </c>
    </row>
    <row r="86" spans="1:6" ht="147">
      <c r="A86" s="7">
        <f>ROW()</f>
        <v>86</v>
      </c>
      <c r="B86" s="8" t="s">
        <v>1466</v>
      </c>
      <c r="C86" s="8" t="s">
        <v>1459</v>
      </c>
      <c r="D86" s="9" t="str">
        <f t="shared" si="4"/>
        <v>4. Andere Berechtigte</v>
      </c>
      <c r="E86" s="23" t="s">
        <v>1554</v>
      </c>
      <c r="F86" s="2" t="s">
        <v>1134</v>
      </c>
    </row>
    <row r="87" spans="1:6" ht="381">
      <c r="A87" s="7">
        <f>ROW()</f>
        <v>87</v>
      </c>
      <c r="B87" s="8" t="s">
        <v>1466</v>
      </c>
      <c r="C87" s="8" t="s">
        <v>1459</v>
      </c>
      <c r="D87" s="9" t="str">
        <f t="shared" si="4"/>
        <v xml:space="preserve"> 5. Höchster zahlbarer Gesamtbetrag für alle Berechtigten</v>
      </c>
      <c r="E87" s="23" t="s">
        <v>1555</v>
      </c>
      <c r="F87" s="2" t="s">
        <v>1152</v>
      </c>
    </row>
    <row r="88" spans="1:6" ht="151.5">
      <c r="A88" s="7">
        <f>ROW()</f>
        <v>88</v>
      </c>
      <c r="B88" s="8" t="s">
        <v>1466</v>
      </c>
      <c r="C88" s="8" t="s">
        <v>1459</v>
      </c>
      <c r="D88" s="9" t="str">
        <f t="shared" si="4"/>
        <v>6. Sonstige Leistungen</v>
      </c>
      <c r="E88" s="23" t="s">
        <v>1556</v>
      </c>
      <c r="F88" s="2" t="s">
        <v>1177</v>
      </c>
    </row>
    <row r="89" spans="1:6" ht="126.75">
      <c r="A89" s="7">
        <f>ROW()</f>
        <v>89</v>
      </c>
      <c r="B89" s="8" t="s">
        <v>1466</v>
      </c>
      <c r="C89" s="8" t="s">
        <v>1459</v>
      </c>
      <c r="D89" s="9" t="str">
        <f>+E89</f>
        <v>7. Mindestleistung</v>
      </c>
      <c r="E89" s="23" t="s">
        <v>1557</v>
      </c>
      <c r="F89" s="2" t="s">
        <v>1200</v>
      </c>
    </row>
    <row r="90" spans="1:6" ht="122.25">
      <c r="A90" s="7">
        <f>ROW()</f>
        <v>90</v>
      </c>
      <c r="B90" s="8" t="s">
        <v>1466</v>
      </c>
      <c r="C90" s="8" t="s">
        <v>1459</v>
      </c>
      <c r="D90" s="9" t="str">
        <f t="shared" si="4"/>
        <v xml:space="preserve"> 8. Höchstleistung</v>
      </c>
      <c r="E90" s="23" t="s">
        <v>1558</v>
      </c>
      <c r="F90" s="2" t="s">
        <v>409</v>
      </c>
    </row>
    <row r="91" spans="1:6" ht="179.25">
      <c r="A91" s="7">
        <f>ROW()</f>
        <v>91</v>
      </c>
      <c r="B91" s="8" t="s">
        <v>1466</v>
      </c>
      <c r="C91" s="8" t="s">
        <v>1538</v>
      </c>
      <c r="D91" s="9" t="str">
        <f>+C91</f>
        <v>Indexbindung / Anpassung</v>
      </c>
      <c r="E91" s="22" t="s">
        <v>1538</v>
      </c>
      <c r="F91" s="2" t="s">
        <v>1245</v>
      </c>
    </row>
    <row r="92" spans="1:6" ht="242.25">
      <c r="A92" s="7">
        <f>ROW()</f>
        <v>92</v>
      </c>
      <c r="B92" s="8" t="s">
        <v>1466</v>
      </c>
      <c r="C92" s="8" t="s">
        <v>1538</v>
      </c>
      <c r="D92" s="9" t="str">
        <f t="shared" ref="D92:D105" si="5">+E92</f>
        <v>Kumulation mit Erwerbseinkommen</v>
      </c>
      <c r="E92" s="22" t="s">
        <v>1471</v>
      </c>
      <c r="F92" s="2" t="s">
        <v>1270</v>
      </c>
    </row>
    <row r="93" spans="1:6" ht="275.25">
      <c r="A93" s="7">
        <f>ROW()</f>
        <v>93</v>
      </c>
      <c r="B93" s="8" t="s">
        <v>1466</v>
      </c>
      <c r="C93" s="8" t="s">
        <v>1538</v>
      </c>
      <c r="D93" s="9" t="str">
        <f t="shared" si="5"/>
        <v>Kumulation mit anderen Sozialleistungen</v>
      </c>
      <c r="E93" s="22" t="s">
        <v>1460</v>
      </c>
      <c r="F93" s="2" t="s">
        <v>1298</v>
      </c>
    </row>
    <row r="94" spans="1:6" ht="232.5">
      <c r="A94" s="7">
        <f>ROW()</f>
        <v>94</v>
      </c>
      <c r="B94" s="8" t="s">
        <v>1466</v>
      </c>
      <c r="C94" s="9" t="s">
        <v>1465</v>
      </c>
      <c r="D94" s="9" t="str">
        <f t="shared" si="5"/>
        <v>1. Besteuerung von Geldleistungen</v>
      </c>
      <c r="E94" s="23" t="s">
        <v>1509</v>
      </c>
      <c r="F94" s="2" t="s">
        <v>1324</v>
      </c>
    </row>
    <row r="95" spans="1:6" ht="387">
      <c r="A95" s="7">
        <f>ROW()</f>
        <v>95</v>
      </c>
      <c r="B95" s="8" t="s">
        <v>1466</v>
      </c>
      <c r="C95" s="9" t="s">
        <v>1465</v>
      </c>
      <c r="D95" s="9" t="str">
        <f t="shared" si="5"/>
        <v>2. Einkommensgrenze für Besteuerung von Geldleistungen</v>
      </c>
      <c r="E95" s="23" t="s">
        <v>1511</v>
      </c>
      <c r="F95" s="2" t="s">
        <v>3411</v>
      </c>
    </row>
    <row r="96" spans="1:6" ht="288.75">
      <c r="A96" s="7">
        <f>ROW()</f>
        <v>96</v>
      </c>
      <c r="B96" s="8" t="s">
        <v>1466</v>
      </c>
      <c r="C96" s="9" t="s">
        <v>1465</v>
      </c>
      <c r="D96" s="9" t="str">
        <f t="shared" si="5"/>
        <v>3. Auf Leistungen anfallende Sozialabgaben</v>
      </c>
      <c r="E96" s="23" t="s">
        <v>1512</v>
      </c>
      <c r="F96" s="2" t="s">
        <v>1363</v>
      </c>
    </row>
    <row r="97" spans="1:6" ht="138">
      <c r="A97" s="7">
        <f>ROW()</f>
        <v>97</v>
      </c>
      <c r="B97" s="8" t="s">
        <v>1466</v>
      </c>
      <c r="C97" s="9" t="s">
        <v>1514</v>
      </c>
      <c r="D97" s="9" t="str">
        <f t="shared" si="5"/>
        <v>Anwendungsbereich</v>
      </c>
      <c r="E97" s="23" t="s">
        <v>1467</v>
      </c>
      <c r="F97" s="2" t="s">
        <v>696</v>
      </c>
    </row>
    <row r="98" spans="1:6" ht="110.25">
      <c r="A98" s="7">
        <f>ROW()</f>
        <v>98</v>
      </c>
      <c r="B98" s="8" t="s">
        <v>1466</v>
      </c>
      <c r="C98" s="9" t="s">
        <v>1514</v>
      </c>
      <c r="D98" s="9" t="str">
        <f t="shared" si="5"/>
        <v>Grundprinzipien</v>
      </c>
      <c r="E98" s="23" t="s">
        <v>1468</v>
      </c>
      <c r="F98" s="2" t="s">
        <v>722</v>
      </c>
    </row>
    <row r="99" spans="1:6" ht="224.25">
      <c r="A99" s="7">
        <f>ROW()</f>
        <v>99</v>
      </c>
      <c r="B99" s="8" t="s">
        <v>1466</v>
      </c>
      <c r="C99" s="9" t="s">
        <v>1514</v>
      </c>
      <c r="D99" s="9" t="str">
        <f t="shared" si="5"/>
        <v>Voraussetzungen für die Deckung</v>
      </c>
      <c r="E99" s="23" t="s">
        <v>1469</v>
      </c>
      <c r="F99" s="2" t="s">
        <v>1401</v>
      </c>
    </row>
    <row r="100" spans="1:6" ht="409.5">
      <c r="A100" s="7">
        <f>ROW()</f>
        <v>100</v>
      </c>
      <c r="B100" s="8" t="s">
        <v>1466</v>
      </c>
      <c r="C100" s="9" t="s">
        <v>1514</v>
      </c>
      <c r="D100" s="9" t="str">
        <f t="shared" si="5"/>
        <v>Kombination von selbstständiger und unselbstständiger Tätigkeit</v>
      </c>
      <c r="E100" s="23" t="s">
        <v>1462</v>
      </c>
      <c r="F100" s="2" t="s">
        <v>1401</v>
      </c>
    </row>
    <row r="101" spans="1:6" ht="376.5">
      <c r="A101" s="7">
        <f>ROW()</f>
        <v>101</v>
      </c>
      <c r="B101" s="8" t="s">
        <v>1466</v>
      </c>
      <c r="C101" s="9" t="s">
        <v>1514</v>
      </c>
      <c r="D101" s="9" t="str">
        <f t="shared" si="5"/>
        <v xml:space="preserve">Voraussetzungen für den Zugang zu Diensten/Leistungen </v>
      </c>
      <c r="E101" s="23" t="s">
        <v>1463</v>
      </c>
      <c r="F101" s="2" t="s">
        <v>785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XCpOmmd2mKNI4ujL8+ZeKZzypr4TYYgB+g2qrY7X1oBVaAcj5Mht9zHIaoHY7joqYFuJBqez0H7PWW6lzj2meA==" saltValue="FOguzoHRf3D82agHNkWJLw==" spinCount="100000" sheet="1" objects="1" scenarios="1" formatColumns="0" autoFilter="0"/>
  <autoFilter ref="A2:F2" xr:uid="{49348FF0-1380-4035-9754-A6D85FC97BE8}"/>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F583-A53A-4ECB-9567-BFF21BE7E3B4}">
  <sheetPr codeName="Tabelle36"/>
  <dimension ref="A1:DO102"/>
  <sheetViews>
    <sheetView zoomScale="130" zoomScaleNormal="130" workbookViewId="0">
      <pane xSplit="1" ySplit="1" topLeftCell="AZ42" activePane="bottomRight" state="frozen"/>
      <selection pane="topRight" activeCell="B1" sqref="B1"/>
      <selection pane="bottomLeft" activeCell="A2" sqref="A2"/>
      <selection pane="bottomRight" activeCell="AZ42" sqref="AZ42"/>
    </sheetView>
  </sheetViews>
  <sheetFormatPr baseColWidth="10" defaultColWidth="11.42578125" defaultRowHeight="11.25"/>
  <cols>
    <col min="1" max="1" width="3" style="43" customWidth="1"/>
    <col min="2" max="119" width="5.85546875" style="43" customWidth="1"/>
    <col min="120" max="16384" width="11.42578125" style="43"/>
  </cols>
  <sheetData>
    <row r="1" spans="1:119" s="44" customFormat="1">
      <c r="B1" s="44">
        <v>1900</v>
      </c>
      <c r="C1" s="44">
        <v>1901</v>
      </c>
      <c r="D1" s="44">
        <v>1902</v>
      </c>
      <c r="E1" s="44">
        <v>1903</v>
      </c>
      <c r="F1" s="44">
        <v>1904</v>
      </c>
      <c r="G1" s="44">
        <v>1905</v>
      </c>
      <c r="H1" s="44">
        <v>1906</v>
      </c>
      <c r="I1" s="44">
        <v>1907</v>
      </c>
      <c r="J1" s="44">
        <v>1908</v>
      </c>
      <c r="K1" s="44">
        <v>1909</v>
      </c>
      <c r="L1" s="44">
        <v>1910</v>
      </c>
      <c r="M1" s="44">
        <v>1911</v>
      </c>
      <c r="N1" s="44">
        <v>1912</v>
      </c>
      <c r="O1" s="44">
        <v>1913</v>
      </c>
      <c r="P1" s="44">
        <v>1914</v>
      </c>
      <c r="Q1" s="44">
        <v>1915</v>
      </c>
      <c r="R1" s="44">
        <v>1916</v>
      </c>
      <c r="S1" s="44">
        <v>1917</v>
      </c>
      <c r="T1" s="44">
        <v>1918</v>
      </c>
      <c r="U1" s="44">
        <v>1919</v>
      </c>
      <c r="V1" s="44">
        <v>1920</v>
      </c>
      <c r="W1" s="44">
        <v>1921</v>
      </c>
      <c r="X1" s="44">
        <v>1922</v>
      </c>
      <c r="Y1" s="44">
        <v>1923</v>
      </c>
      <c r="Z1" s="44">
        <v>1924</v>
      </c>
      <c r="AA1" s="44">
        <v>1925</v>
      </c>
      <c r="AB1" s="44">
        <v>1926</v>
      </c>
      <c r="AC1" s="44">
        <v>1927</v>
      </c>
      <c r="AD1" s="44">
        <v>1928</v>
      </c>
      <c r="AE1" s="44">
        <v>1929</v>
      </c>
      <c r="AF1" s="44">
        <v>1930</v>
      </c>
      <c r="AG1" s="44">
        <v>1931</v>
      </c>
      <c r="AH1" s="44">
        <v>1932</v>
      </c>
      <c r="AI1" s="44">
        <v>1933</v>
      </c>
      <c r="AJ1" s="44">
        <v>1934</v>
      </c>
      <c r="AK1" s="44">
        <v>1935</v>
      </c>
      <c r="AL1" s="44">
        <v>1936</v>
      </c>
      <c r="AM1" s="44">
        <v>1937</v>
      </c>
      <c r="AN1" s="44">
        <v>1938</v>
      </c>
      <c r="AO1" s="44">
        <v>1939</v>
      </c>
      <c r="AP1" s="44">
        <v>1940</v>
      </c>
      <c r="AQ1" s="44">
        <v>1941</v>
      </c>
      <c r="AR1" s="44">
        <v>1942</v>
      </c>
      <c r="AS1" s="44">
        <v>1943</v>
      </c>
      <c r="AT1" s="44">
        <v>1944</v>
      </c>
      <c r="AU1" s="44">
        <v>1945</v>
      </c>
      <c r="AV1" s="44">
        <v>1946</v>
      </c>
      <c r="AW1" s="44">
        <v>1947</v>
      </c>
      <c r="AX1" s="44">
        <v>1948</v>
      </c>
      <c r="AY1" s="44">
        <v>1949</v>
      </c>
      <c r="AZ1" s="44">
        <v>1950</v>
      </c>
      <c r="BA1" s="44">
        <v>1951</v>
      </c>
      <c r="BB1" s="44">
        <v>1952</v>
      </c>
      <c r="BC1" s="44">
        <v>1953</v>
      </c>
      <c r="BD1" s="44">
        <v>1954</v>
      </c>
      <c r="BE1" s="44">
        <v>1955</v>
      </c>
      <c r="BF1" s="44">
        <v>1956</v>
      </c>
      <c r="BG1" s="44">
        <v>1957</v>
      </c>
      <c r="BH1" s="44">
        <v>1958</v>
      </c>
      <c r="BI1" s="44">
        <v>1959</v>
      </c>
      <c r="BJ1" s="44">
        <v>1960</v>
      </c>
      <c r="BK1" s="44">
        <v>1961</v>
      </c>
      <c r="BL1" s="44">
        <v>1962</v>
      </c>
      <c r="BM1" s="44">
        <v>1963</v>
      </c>
      <c r="BN1" s="44">
        <v>1964</v>
      </c>
      <c r="BO1" s="44">
        <v>1965</v>
      </c>
      <c r="BP1" s="44">
        <v>1966</v>
      </c>
      <c r="BQ1" s="44">
        <v>1967</v>
      </c>
      <c r="BR1" s="44">
        <v>1968</v>
      </c>
      <c r="BS1" s="44">
        <v>1969</v>
      </c>
      <c r="BT1" s="44">
        <v>1970</v>
      </c>
      <c r="BU1" s="44">
        <v>1971</v>
      </c>
      <c r="BV1" s="44">
        <v>1972</v>
      </c>
      <c r="BW1" s="44">
        <v>1973</v>
      </c>
      <c r="BX1" s="44">
        <v>1974</v>
      </c>
      <c r="BY1" s="44">
        <v>1975</v>
      </c>
      <c r="BZ1" s="44">
        <v>1976</v>
      </c>
      <c r="CA1" s="44">
        <v>1977</v>
      </c>
      <c r="CB1" s="44">
        <v>1978</v>
      </c>
      <c r="CC1" s="44">
        <v>1979</v>
      </c>
      <c r="CD1" s="44">
        <v>1980</v>
      </c>
      <c r="CE1" s="44">
        <v>1981</v>
      </c>
      <c r="CF1" s="44">
        <v>1982</v>
      </c>
      <c r="CG1" s="44">
        <v>1983</v>
      </c>
      <c r="CH1" s="44">
        <v>1984</v>
      </c>
      <c r="CI1" s="44">
        <v>1985</v>
      </c>
      <c r="CJ1" s="44">
        <v>1986</v>
      </c>
      <c r="CK1" s="44">
        <v>1987</v>
      </c>
      <c r="CL1" s="44">
        <v>1988</v>
      </c>
      <c r="CM1" s="44">
        <v>1989</v>
      </c>
      <c r="CN1" s="44">
        <v>1990</v>
      </c>
      <c r="CO1" s="44">
        <v>1991</v>
      </c>
      <c r="CP1" s="44">
        <v>1992</v>
      </c>
      <c r="CQ1" s="44">
        <v>1993</v>
      </c>
      <c r="CR1" s="44">
        <v>1994</v>
      </c>
      <c r="CS1" s="44">
        <v>1995</v>
      </c>
      <c r="CT1" s="44">
        <v>1996</v>
      </c>
      <c r="CU1" s="44">
        <v>1997</v>
      </c>
      <c r="CV1" s="44">
        <v>1998</v>
      </c>
      <c r="CW1" s="44">
        <v>1999</v>
      </c>
      <c r="CX1" s="44">
        <v>2000</v>
      </c>
      <c r="CY1" s="44">
        <v>2001</v>
      </c>
      <c r="CZ1" s="44">
        <v>2002</v>
      </c>
      <c r="DA1" s="44">
        <v>2003</v>
      </c>
      <c r="DB1" s="44">
        <v>2004</v>
      </c>
      <c r="DC1" s="44">
        <v>2005</v>
      </c>
      <c r="DD1" s="44">
        <v>2006</v>
      </c>
      <c r="DE1" s="44">
        <v>2007</v>
      </c>
      <c r="DF1" s="44">
        <v>2008</v>
      </c>
      <c r="DG1" s="44">
        <v>2009</v>
      </c>
      <c r="DH1" s="44">
        <v>2010</v>
      </c>
      <c r="DI1" s="44">
        <v>2011</v>
      </c>
      <c r="DJ1" s="44">
        <v>2012</v>
      </c>
      <c r="DK1" s="44">
        <v>2013</v>
      </c>
      <c r="DL1" s="44">
        <v>2014</v>
      </c>
      <c r="DM1" s="44">
        <v>2015</v>
      </c>
      <c r="DN1" s="44">
        <v>2016</v>
      </c>
      <c r="DO1" s="44">
        <v>2017</v>
      </c>
    </row>
    <row r="2" spans="1:119">
      <c r="A2" s="42">
        <v>0</v>
      </c>
      <c r="W2" s="43">
        <v>100000</v>
      </c>
      <c r="X2" s="43">
        <v>100000</v>
      </c>
      <c r="Y2" s="43">
        <v>100000</v>
      </c>
      <c r="Z2" s="43">
        <v>100000</v>
      </c>
      <c r="AA2" s="43">
        <v>100000</v>
      </c>
      <c r="AB2" s="43">
        <v>100000</v>
      </c>
      <c r="AC2" s="43">
        <v>100000</v>
      </c>
      <c r="AD2" s="43">
        <v>100000</v>
      </c>
      <c r="AE2" s="43">
        <v>100000</v>
      </c>
      <c r="AF2" s="43">
        <v>100000</v>
      </c>
      <c r="AG2" s="43">
        <v>100000</v>
      </c>
      <c r="AH2" s="43">
        <v>100000</v>
      </c>
      <c r="AI2" s="43">
        <v>100000</v>
      </c>
      <c r="AJ2" s="43">
        <v>100000</v>
      </c>
      <c r="AK2" s="43">
        <v>100000</v>
      </c>
      <c r="AL2" s="43">
        <v>100000</v>
      </c>
      <c r="AM2" s="43">
        <v>100000</v>
      </c>
      <c r="AN2" s="43">
        <v>100000</v>
      </c>
      <c r="AO2" s="43">
        <v>100000</v>
      </c>
      <c r="AP2" s="43">
        <v>100000</v>
      </c>
      <c r="AQ2" s="43">
        <v>100000</v>
      </c>
      <c r="AR2" s="43">
        <v>100000</v>
      </c>
      <c r="AS2" s="43">
        <v>100000</v>
      </c>
      <c r="AT2" s="43">
        <v>100000</v>
      </c>
      <c r="AU2" s="43">
        <v>100000</v>
      </c>
      <c r="AV2" s="43">
        <v>100000</v>
      </c>
      <c r="AW2" s="43">
        <v>100000</v>
      </c>
      <c r="AX2" s="43">
        <v>100000</v>
      </c>
      <c r="AY2" s="43">
        <v>100000</v>
      </c>
      <c r="AZ2" s="43">
        <v>100000</v>
      </c>
      <c r="BA2" s="43">
        <v>100000</v>
      </c>
      <c r="BB2" s="43">
        <v>100000</v>
      </c>
      <c r="BC2" s="43">
        <v>100000</v>
      </c>
      <c r="BD2" s="43">
        <v>100000</v>
      </c>
      <c r="BE2" s="43">
        <v>100000</v>
      </c>
      <c r="BF2" s="43">
        <v>100000</v>
      </c>
      <c r="BG2" s="43">
        <v>100000</v>
      </c>
      <c r="BH2" s="43">
        <v>100000</v>
      </c>
      <c r="BI2" s="43">
        <v>100000</v>
      </c>
      <c r="BJ2" s="43">
        <v>100000</v>
      </c>
      <c r="BK2" s="43">
        <v>100000</v>
      </c>
      <c r="BL2" s="43">
        <v>100000</v>
      </c>
      <c r="BM2" s="43">
        <v>100000</v>
      </c>
      <c r="BN2" s="43">
        <v>100000</v>
      </c>
      <c r="BO2" s="43">
        <v>100000</v>
      </c>
      <c r="BP2" s="43">
        <v>100000</v>
      </c>
      <c r="BQ2" s="43">
        <v>100000</v>
      </c>
      <c r="BR2" s="43">
        <v>100000</v>
      </c>
      <c r="BS2" s="43">
        <v>100000</v>
      </c>
      <c r="BT2" s="43">
        <v>100000</v>
      </c>
      <c r="BU2" s="43">
        <v>100000</v>
      </c>
      <c r="BV2" s="43">
        <v>100000</v>
      </c>
      <c r="BW2" s="43">
        <v>100000</v>
      </c>
      <c r="BX2" s="43">
        <v>100000</v>
      </c>
      <c r="BY2" s="43">
        <v>100000</v>
      </c>
      <c r="BZ2" s="43">
        <v>100000</v>
      </c>
      <c r="CA2" s="43">
        <v>100000</v>
      </c>
      <c r="CB2" s="43">
        <v>100000</v>
      </c>
      <c r="CC2" s="43">
        <v>100000</v>
      </c>
      <c r="CD2" s="43">
        <v>100000</v>
      </c>
      <c r="CE2" s="43">
        <v>100000</v>
      </c>
      <c r="CF2" s="43">
        <v>100000</v>
      </c>
      <c r="CG2" s="43">
        <v>100000</v>
      </c>
      <c r="CH2" s="43">
        <v>100000</v>
      </c>
      <c r="CI2" s="43">
        <v>100000</v>
      </c>
      <c r="CJ2" s="43">
        <v>100000</v>
      </c>
      <c r="CK2" s="43">
        <v>100000</v>
      </c>
      <c r="CL2" s="43">
        <v>100000</v>
      </c>
      <c r="CM2" s="43">
        <v>100000</v>
      </c>
      <c r="CN2" s="43">
        <v>100000</v>
      </c>
      <c r="CO2" s="43">
        <v>100000</v>
      </c>
      <c r="CP2" s="43">
        <v>100000</v>
      </c>
      <c r="CQ2" s="43">
        <v>100000</v>
      </c>
      <c r="CR2" s="43">
        <v>100000</v>
      </c>
      <c r="CS2" s="43">
        <v>100000</v>
      </c>
      <c r="CT2" s="43">
        <v>100000</v>
      </c>
      <c r="CU2" s="43">
        <v>100000</v>
      </c>
      <c r="CV2" s="43">
        <v>100000</v>
      </c>
      <c r="CW2" s="43">
        <v>100000</v>
      </c>
      <c r="CX2" s="43">
        <v>100000</v>
      </c>
      <c r="CY2" s="43">
        <v>100000</v>
      </c>
      <c r="CZ2" s="43">
        <v>100000</v>
      </c>
      <c r="DA2" s="43">
        <v>100000</v>
      </c>
      <c r="DB2" s="43">
        <v>100000</v>
      </c>
      <c r="DC2" s="43">
        <v>100000</v>
      </c>
      <c r="DD2" s="43">
        <v>100000</v>
      </c>
      <c r="DE2" s="43">
        <v>100000</v>
      </c>
      <c r="DF2" s="43">
        <v>100000</v>
      </c>
      <c r="DG2" s="43">
        <v>100000</v>
      </c>
      <c r="DH2" s="43">
        <v>100000</v>
      </c>
      <c r="DI2" s="43">
        <v>100000</v>
      </c>
      <c r="DJ2" s="43">
        <v>100000</v>
      </c>
      <c r="DK2" s="43">
        <v>100000</v>
      </c>
      <c r="DL2" s="43">
        <v>100000</v>
      </c>
      <c r="DM2" s="43">
        <v>100000</v>
      </c>
      <c r="DN2" s="43">
        <v>100000</v>
      </c>
      <c r="DO2" s="43">
        <v>100000</v>
      </c>
    </row>
    <row r="3" spans="1:119">
      <c r="A3" s="42">
        <v>1</v>
      </c>
      <c r="W3" s="43">
        <v>87983</v>
      </c>
      <c r="X3" s="43">
        <v>88400</v>
      </c>
      <c r="Y3" s="43">
        <v>88100</v>
      </c>
      <c r="Z3" s="43">
        <v>90200</v>
      </c>
      <c r="AA3" s="43">
        <v>90600</v>
      </c>
      <c r="AB3" s="43">
        <v>90900</v>
      </c>
      <c r="AC3" s="43">
        <v>91400</v>
      </c>
      <c r="AD3" s="43">
        <v>92100</v>
      </c>
      <c r="AE3" s="43">
        <v>91553</v>
      </c>
      <c r="AF3" s="43">
        <v>92504</v>
      </c>
      <c r="AG3" s="43">
        <v>92843</v>
      </c>
      <c r="AH3" s="43">
        <v>92900</v>
      </c>
      <c r="AI3" s="43">
        <v>93200</v>
      </c>
      <c r="AJ3" s="43">
        <v>94200</v>
      </c>
      <c r="AK3" s="43">
        <v>94009</v>
      </c>
      <c r="AL3" s="43">
        <v>94200</v>
      </c>
      <c r="AM3" s="43">
        <v>94353</v>
      </c>
      <c r="AN3" s="43">
        <v>94756</v>
      </c>
      <c r="AO3" s="43">
        <v>94651</v>
      </c>
      <c r="AP3" s="43">
        <v>94651</v>
      </c>
      <c r="AQ3" s="43">
        <v>94651</v>
      </c>
      <c r="AR3" s="43">
        <v>94651</v>
      </c>
      <c r="AS3" s="43">
        <v>94116</v>
      </c>
      <c r="AT3" s="43">
        <v>93314</v>
      </c>
      <c r="AU3" s="43">
        <v>91977</v>
      </c>
      <c r="AV3" s="43">
        <v>91938</v>
      </c>
      <c r="AW3" s="43">
        <v>91938</v>
      </c>
      <c r="AX3" s="43">
        <v>93515</v>
      </c>
      <c r="AY3" s="43">
        <v>95091</v>
      </c>
      <c r="AZ3" s="43">
        <v>95091</v>
      </c>
      <c r="BA3" s="43">
        <v>95091</v>
      </c>
      <c r="BB3" s="43">
        <v>95647</v>
      </c>
      <c r="BC3" s="43">
        <v>95852</v>
      </c>
      <c r="BD3" s="43">
        <v>96137</v>
      </c>
      <c r="BE3" s="43">
        <v>96196</v>
      </c>
      <c r="BF3" s="43">
        <v>96477</v>
      </c>
      <c r="BG3" s="43">
        <v>96584</v>
      </c>
      <c r="BH3" s="43">
        <v>96756</v>
      </c>
      <c r="BI3" s="43">
        <v>96817</v>
      </c>
      <c r="BJ3" s="43">
        <v>96991</v>
      </c>
      <c r="BK3" s="43">
        <v>97199</v>
      </c>
      <c r="BL3" s="43">
        <v>97415</v>
      </c>
      <c r="BM3" s="43">
        <v>97581</v>
      </c>
      <c r="BN3" s="43">
        <v>97788</v>
      </c>
      <c r="BO3" s="43">
        <v>97906</v>
      </c>
      <c r="BP3" s="43">
        <v>97998</v>
      </c>
      <c r="BQ3" s="43">
        <v>98031</v>
      </c>
      <c r="BR3" s="43">
        <v>98115</v>
      </c>
      <c r="BS3" s="43">
        <v>98051</v>
      </c>
      <c r="BT3" s="43">
        <v>98082</v>
      </c>
      <c r="BU3" s="43">
        <v>98112</v>
      </c>
      <c r="BV3" s="43">
        <v>98163</v>
      </c>
      <c r="BW3" s="43">
        <v>98231</v>
      </c>
      <c r="BX3" s="43">
        <v>98300</v>
      </c>
      <c r="BY3" s="43">
        <v>98368</v>
      </c>
      <c r="BZ3" s="43">
        <v>98582</v>
      </c>
      <c r="CA3" s="43">
        <v>98724</v>
      </c>
      <c r="CB3" s="43">
        <v>98782</v>
      </c>
      <c r="CC3" s="43">
        <v>98859</v>
      </c>
      <c r="CD3" s="43">
        <v>98918</v>
      </c>
      <c r="CE3" s="43">
        <v>98982</v>
      </c>
      <c r="CF3" s="43">
        <v>99042</v>
      </c>
      <c r="CG3" s="43">
        <v>99118</v>
      </c>
      <c r="CH3" s="43">
        <v>99143</v>
      </c>
      <c r="CI3" s="43">
        <v>99203</v>
      </c>
      <c r="CJ3" s="43">
        <v>99251</v>
      </c>
      <c r="CK3" s="43">
        <v>99285</v>
      </c>
      <c r="CL3" s="43">
        <v>99349</v>
      </c>
      <c r="CM3" s="43">
        <v>99367</v>
      </c>
      <c r="CN3" s="43">
        <v>99394</v>
      </c>
      <c r="CO3" s="43">
        <v>99422</v>
      </c>
      <c r="CP3" s="43">
        <v>99465</v>
      </c>
      <c r="CQ3" s="43">
        <v>99508</v>
      </c>
      <c r="CR3" s="43">
        <v>99517</v>
      </c>
      <c r="CS3" s="43">
        <v>99538</v>
      </c>
      <c r="CT3" s="43">
        <v>99559</v>
      </c>
      <c r="CU3" s="43">
        <v>99581</v>
      </c>
      <c r="CV3" s="43">
        <v>99590</v>
      </c>
      <c r="CW3" s="43">
        <v>99602</v>
      </c>
      <c r="CX3" s="43">
        <v>99618</v>
      </c>
      <c r="CY3" s="43">
        <v>99625</v>
      </c>
      <c r="CZ3" s="43">
        <v>99615</v>
      </c>
      <c r="DA3" s="43">
        <v>99617</v>
      </c>
      <c r="DB3" s="43">
        <v>99631</v>
      </c>
      <c r="DC3" s="43">
        <v>99661</v>
      </c>
      <c r="DD3" s="43">
        <v>99653</v>
      </c>
      <c r="DE3" s="43">
        <v>99662</v>
      </c>
      <c r="DF3" s="43">
        <v>99692</v>
      </c>
      <c r="DG3" s="43">
        <v>99687</v>
      </c>
      <c r="DH3" s="43">
        <v>99690</v>
      </c>
      <c r="DI3" s="43">
        <v>99674</v>
      </c>
      <c r="DJ3" s="43">
        <v>99698</v>
      </c>
      <c r="DK3" s="43">
        <v>99709</v>
      </c>
      <c r="DL3" s="43">
        <v>99703</v>
      </c>
      <c r="DM3" s="43">
        <v>99716</v>
      </c>
      <c r="DN3" s="43">
        <v>99727</v>
      </c>
      <c r="DO3" s="43">
        <v>99739</v>
      </c>
    </row>
    <row r="4" spans="1:119">
      <c r="A4" s="42">
        <v>2</v>
      </c>
      <c r="W4" s="43">
        <v>86361</v>
      </c>
      <c r="X4" s="43">
        <v>86728</v>
      </c>
      <c r="Y4" s="43">
        <v>86785</v>
      </c>
      <c r="Z4" s="43">
        <v>88853</v>
      </c>
      <c r="AA4" s="43">
        <v>89247</v>
      </c>
      <c r="AB4" s="43">
        <v>89657</v>
      </c>
      <c r="AC4" s="43">
        <v>90392</v>
      </c>
      <c r="AD4" s="43">
        <v>91014</v>
      </c>
      <c r="AE4" s="43">
        <v>90727</v>
      </c>
      <c r="AF4" s="43">
        <v>91707</v>
      </c>
      <c r="AG4" s="43">
        <v>92079</v>
      </c>
      <c r="AH4" s="43">
        <v>92135</v>
      </c>
      <c r="AI4" s="43">
        <v>92433</v>
      </c>
      <c r="AJ4" s="43">
        <v>93521</v>
      </c>
      <c r="AK4" s="43">
        <v>93353</v>
      </c>
      <c r="AL4" s="43">
        <v>93560</v>
      </c>
      <c r="AM4" s="43">
        <v>93758</v>
      </c>
      <c r="AN4" s="43">
        <v>94146</v>
      </c>
      <c r="AO4" s="43">
        <v>94042</v>
      </c>
      <c r="AP4" s="43">
        <v>94042</v>
      </c>
      <c r="AQ4" s="43">
        <v>94042</v>
      </c>
      <c r="AR4" s="43">
        <v>93981</v>
      </c>
      <c r="AS4" s="43">
        <v>93359</v>
      </c>
      <c r="AT4" s="43">
        <v>92413</v>
      </c>
      <c r="AU4" s="43">
        <v>91097</v>
      </c>
      <c r="AV4" s="43">
        <v>91059</v>
      </c>
      <c r="AW4" s="43">
        <v>91231</v>
      </c>
      <c r="AX4" s="43">
        <v>93178</v>
      </c>
      <c r="AY4" s="43">
        <v>94749</v>
      </c>
      <c r="AZ4" s="43">
        <v>94749</v>
      </c>
      <c r="BA4" s="43">
        <v>94778</v>
      </c>
      <c r="BB4" s="43">
        <v>95351</v>
      </c>
      <c r="BC4" s="43">
        <v>95586</v>
      </c>
      <c r="BD4" s="43">
        <v>95856</v>
      </c>
      <c r="BE4" s="43">
        <v>95951</v>
      </c>
      <c r="BF4" s="43">
        <v>96221</v>
      </c>
      <c r="BG4" s="43">
        <v>96365</v>
      </c>
      <c r="BH4" s="43">
        <v>96523</v>
      </c>
      <c r="BI4" s="43">
        <v>96608</v>
      </c>
      <c r="BJ4" s="43">
        <v>96787</v>
      </c>
      <c r="BK4" s="43">
        <v>97002</v>
      </c>
      <c r="BL4" s="43">
        <v>97243</v>
      </c>
      <c r="BM4" s="43">
        <v>97414</v>
      </c>
      <c r="BN4" s="43">
        <v>97625</v>
      </c>
      <c r="BO4" s="43">
        <v>97748</v>
      </c>
      <c r="BP4" s="43">
        <v>97850</v>
      </c>
      <c r="BQ4" s="43">
        <v>97889</v>
      </c>
      <c r="BR4" s="43">
        <v>97965</v>
      </c>
      <c r="BS4" s="43">
        <v>97917</v>
      </c>
      <c r="BT4" s="43">
        <v>97955</v>
      </c>
      <c r="BU4" s="43">
        <v>97996</v>
      </c>
      <c r="BV4" s="43">
        <v>98053</v>
      </c>
      <c r="BW4" s="43">
        <v>98122</v>
      </c>
      <c r="BX4" s="43">
        <v>98193</v>
      </c>
      <c r="BY4" s="43">
        <v>98273</v>
      </c>
      <c r="BZ4" s="43">
        <v>98491</v>
      </c>
      <c r="CA4" s="43">
        <v>98629</v>
      </c>
      <c r="CB4" s="43">
        <v>98696</v>
      </c>
      <c r="CC4" s="43">
        <v>98768</v>
      </c>
      <c r="CD4" s="43">
        <v>98837</v>
      </c>
      <c r="CE4" s="43">
        <v>98904</v>
      </c>
      <c r="CF4" s="43">
        <v>98967</v>
      </c>
      <c r="CG4" s="43">
        <v>99045</v>
      </c>
      <c r="CH4" s="43">
        <v>99070</v>
      </c>
      <c r="CI4" s="43">
        <v>99136</v>
      </c>
      <c r="CJ4" s="43">
        <v>99186</v>
      </c>
      <c r="CK4" s="43">
        <v>99223</v>
      </c>
      <c r="CL4" s="43">
        <v>99287</v>
      </c>
      <c r="CM4" s="43">
        <v>99307</v>
      </c>
      <c r="CN4" s="43">
        <v>99342</v>
      </c>
      <c r="CO4" s="43">
        <v>99369</v>
      </c>
      <c r="CP4" s="43">
        <v>99414</v>
      </c>
      <c r="CQ4" s="43">
        <v>99454</v>
      </c>
      <c r="CR4" s="43">
        <v>99476</v>
      </c>
      <c r="CS4" s="43">
        <v>99502</v>
      </c>
      <c r="CT4" s="43">
        <v>99515</v>
      </c>
      <c r="CU4" s="43">
        <v>99541</v>
      </c>
      <c r="CV4" s="43">
        <v>99554</v>
      </c>
      <c r="CW4" s="43">
        <v>99567</v>
      </c>
      <c r="CX4" s="43">
        <v>99582</v>
      </c>
      <c r="CY4" s="43">
        <v>99585</v>
      </c>
      <c r="CZ4" s="43">
        <v>99580</v>
      </c>
      <c r="DA4" s="43">
        <v>99585</v>
      </c>
      <c r="DB4" s="43">
        <v>99603</v>
      </c>
      <c r="DC4" s="43">
        <v>99632</v>
      </c>
      <c r="DD4" s="43">
        <v>99624</v>
      </c>
      <c r="DE4" s="43">
        <v>99635</v>
      </c>
      <c r="DF4" s="43">
        <v>99670</v>
      </c>
      <c r="DG4" s="43">
        <v>99654</v>
      </c>
      <c r="DH4" s="43">
        <v>99670</v>
      </c>
      <c r="DI4" s="43">
        <v>99648</v>
      </c>
      <c r="DJ4" s="43">
        <v>99671</v>
      </c>
      <c r="DK4" s="43">
        <v>99684</v>
      </c>
      <c r="DL4" s="43">
        <v>99682</v>
      </c>
      <c r="DM4" s="43">
        <v>99696</v>
      </c>
      <c r="DN4" s="43">
        <v>99708</v>
      </c>
      <c r="DO4" s="43">
        <v>99721</v>
      </c>
    </row>
    <row r="5" spans="1:119">
      <c r="A5" s="42">
        <v>3</v>
      </c>
      <c r="W5" s="43">
        <v>85441</v>
      </c>
      <c r="X5" s="43">
        <v>86230</v>
      </c>
      <c r="Y5" s="43">
        <v>86287</v>
      </c>
      <c r="Z5" s="43">
        <v>88343</v>
      </c>
      <c r="AA5" s="43">
        <v>88705</v>
      </c>
      <c r="AB5" s="43">
        <v>89166</v>
      </c>
      <c r="AC5" s="43">
        <v>89842</v>
      </c>
      <c r="AD5" s="43">
        <v>90560</v>
      </c>
      <c r="AE5" s="43">
        <v>90338</v>
      </c>
      <c r="AF5" s="43">
        <v>91342</v>
      </c>
      <c r="AG5" s="43">
        <v>91712</v>
      </c>
      <c r="AH5" s="43">
        <v>91769</v>
      </c>
      <c r="AI5" s="43">
        <v>92009</v>
      </c>
      <c r="AJ5" s="43">
        <v>93054</v>
      </c>
      <c r="AK5" s="43">
        <v>92952</v>
      </c>
      <c r="AL5" s="43">
        <v>93186</v>
      </c>
      <c r="AM5" s="43">
        <v>93365</v>
      </c>
      <c r="AN5" s="43">
        <v>93751</v>
      </c>
      <c r="AO5" s="43">
        <v>93648</v>
      </c>
      <c r="AP5" s="43">
        <v>93648</v>
      </c>
      <c r="AQ5" s="43">
        <v>93608</v>
      </c>
      <c r="AR5" s="43">
        <v>93488</v>
      </c>
      <c r="AS5" s="43">
        <v>92772</v>
      </c>
      <c r="AT5" s="43">
        <v>91975</v>
      </c>
      <c r="AU5" s="43">
        <v>90665</v>
      </c>
      <c r="AV5" s="43">
        <v>90768</v>
      </c>
      <c r="AW5" s="43">
        <v>91035</v>
      </c>
      <c r="AX5" s="43">
        <v>92978</v>
      </c>
      <c r="AY5" s="43">
        <v>94545</v>
      </c>
      <c r="AZ5" s="43">
        <v>94609</v>
      </c>
      <c r="BA5" s="43">
        <v>94635</v>
      </c>
      <c r="BB5" s="43">
        <v>95207</v>
      </c>
      <c r="BC5" s="43">
        <v>95443</v>
      </c>
      <c r="BD5" s="43">
        <v>95726</v>
      </c>
      <c r="BE5" s="43">
        <v>95822</v>
      </c>
      <c r="BF5" s="43">
        <v>96101</v>
      </c>
      <c r="BG5" s="43">
        <v>96245</v>
      </c>
      <c r="BH5" s="43">
        <v>96416</v>
      </c>
      <c r="BI5" s="43">
        <v>96500</v>
      </c>
      <c r="BJ5" s="43">
        <v>96678</v>
      </c>
      <c r="BK5" s="43">
        <v>96904</v>
      </c>
      <c r="BL5" s="43">
        <v>97157</v>
      </c>
      <c r="BM5" s="43">
        <v>97327</v>
      </c>
      <c r="BN5" s="43">
        <v>97534</v>
      </c>
      <c r="BO5" s="43">
        <v>97668</v>
      </c>
      <c r="BP5" s="43">
        <v>97768</v>
      </c>
      <c r="BQ5" s="43">
        <v>97801</v>
      </c>
      <c r="BR5" s="43">
        <v>97889</v>
      </c>
      <c r="BS5" s="43">
        <v>97845</v>
      </c>
      <c r="BT5" s="43">
        <v>97886</v>
      </c>
      <c r="BU5" s="43">
        <v>97929</v>
      </c>
      <c r="BV5" s="43">
        <v>97984</v>
      </c>
      <c r="BW5" s="43">
        <v>98057</v>
      </c>
      <c r="BX5" s="43">
        <v>98136</v>
      </c>
      <c r="BY5" s="43">
        <v>98216</v>
      </c>
      <c r="BZ5" s="43">
        <v>98437</v>
      </c>
      <c r="CA5" s="43">
        <v>98575</v>
      </c>
      <c r="CB5" s="43">
        <v>98649</v>
      </c>
      <c r="CC5" s="43">
        <v>98715</v>
      </c>
      <c r="CD5" s="43">
        <v>98787</v>
      </c>
      <c r="CE5" s="43">
        <v>98861</v>
      </c>
      <c r="CF5" s="43">
        <v>98921</v>
      </c>
      <c r="CG5" s="43">
        <v>99005</v>
      </c>
      <c r="CH5" s="43">
        <v>99030</v>
      </c>
      <c r="CI5" s="43">
        <v>99098</v>
      </c>
      <c r="CJ5" s="43">
        <v>99145</v>
      </c>
      <c r="CK5" s="43">
        <v>99188</v>
      </c>
      <c r="CL5" s="43">
        <v>99255</v>
      </c>
      <c r="CM5" s="43">
        <v>99275</v>
      </c>
      <c r="CN5" s="43">
        <v>99321</v>
      </c>
      <c r="CO5" s="43">
        <v>99341</v>
      </c>
      <c r="CP5" s="43">
        <v>99387</v>
      </c>
      <c r="CQ5" s="43">
        <v>99428</v>
      </c>
      <c r="CR5" s="43">
        <v>99453</v>
      </c>
      <c r="CS5" s="43">
        <v>99477</v>
      </c>
      <c r="CT5" s="43">
        <v>99492</v>
      </c>
      <c r="CU5" s="43">
        <v>99517</v>
      </c>
      <c r="CV5" s="43">
        <v>99531</v>
      </c>
      <c r="CW5" s="43">
        <v>99547</v>
      </c>
      <c r="CX5" s="43">
        <v>99564</v>
      </c>
      <c r="CY5" s="43">
        <v>99565</v>
      </c>
      <c r="CZ5" s="43">
        <v>99560</v>
      </c>
      <c r="DA5" s="43">
        <v>99565</v>
      </c>
      <c r="DB5" s="43">
        <v>99585</v>
      </c>
      <c r="DC5" s="43">
        <v>99613</v>
      </c>
      <c r="DD5" s="43">
        <v>99609</v>
      </c>
      <c r="DE5" s="43">
        <v>99622</v>
      </c>
      <c r="DF5" s="43">
        <v>99654</v>
      </c>
      <c r="DG5" s="43">
        <v>99639</v>
      </c>
      <c r="DH5" s="43">
        <v>99658</v>
      </c>
      <c r="DI5" s="43">
        <v>99638</v>
      </c>
      <c r="DJ5" s="43">
        <v>99659</v>
      </c>
      <c r="DK5" s="43">
        <v>99669</v>
      </c>
      <c r="DL5" s="43">
        <v>99668</v>
      </c>
      <c r="DM5" s="43">
        <v>99682</v>
      </c>
      <c r="DN5" s="43">
        <v>99695</v>
      </c>
      <c r="DO5" s="43">
        <v>99708</v>
      </c>
    </row>
    <row r="6" spans="1:119">
      <c r="A6" s="42">
        <v>4</v>
      </c>
      <c r="W6" s="43">
        <v>85132</v>
      </c>
      <c r="X6" s="43">
        <v>85918</v>
      </c>
      <c r="Y6" s="43">
        <v>85974</v>
      </c>
      <c r="Z6" s="43">
        <v>88004</v>
      </c>
      <c r="AA6" s="43">
        <v>88375</v>
      </c>
      <c r="AB6" s="43">
        <v>88798</v>
      </c>
      <c r="AC6" s="43">
        <v>89518</v>
      </c>
      <c r="AD6" s="43">
        <v>90278</v>
      </c>
      <c r="AE6" s="43">
        <v>90078</v>
      </c>
      <c r="AF6" s="43">
        <v>91079</v>
      </c>
      <c r="AG6" s="43">
        <v>91448</v>
      </c>
      <c r="AH6" s="43">
        <v>91464</v>
      </c>
      <c r="AI6" s="43">
        <v>91677</v>
      </c>
      <c r="AJ6" s="43">
        <v>92766</v>
      </c>
      <c r="AK6" s="43">
        <v>92684</v>
      </c>
      <c r="AL6" s="43">
        <v>92904</v>
      </c>
      <c r="AM6" s="43">
        <v>93081</v>
      </c>
      <c r="AN6" s="43">
        <v>93467</v>
      </c>
      <c r="AO6" s="43">
        <v>93364</v>
      </c>
      <c r="AP6" s="43">
        <v>93335</v>
      </c>
      <c r="AQ6" s="43">
        <v>93253</v>
      </c>
      <c r="AR6" s="43">
        <v>93063</v>
      </c>
      <c r="AS6" s="43">
        <v>92447</v>
      </c>
      <c r="AT6" s="43">
        <v>91653</v>
      </c>
      <c r="AU6" s="43">
        <v>90452</v>
      </c>
      <c r="AV6" s="43">
        <v>90619</v>
      </c>
      <c r="AW6" s="43">
        <v>90886</v>
      </c>
      <c r="AX6" s="43">
        <v>92825</v>
      </c>
      <c r="AY6" s="43">
        <v>94439</v>
      </c>
      <c r="AZ6" s="43">
        <v>94508</v>
      </c>
      <c r="BA6" s="43">
        <v>94540</v>
      </c>
      <c r="BB6" s="43">
        <v>95116</v>
      </c>
      <c r="BC6" s="43">
        <v>95350</v>
      </c>
      <c r="BD6" s="43">
        <v>95634</v>
      </c>
      <c r="BE6" s="43">
        <v>95743</v>
      </c>
      <c r="BF6" s="43">
        <v>96011</v>
      </c>
      <c r="BG6" s="43">
        <v>96161</v>
      </c>
      <c r="BH6" s="43">
        <v>96335</v>
      </c>
      <c r="BI6" s="43">
        <v>96426</v>
      </c>
      <c r="BJ6" s="43">
        <v>96611</v>
      </c>
      <c r="BK6" s="43">
        <v>96839</v>
      </c>
      <c r="BL6" s="43">
        <v>97091</v>
      </c>
      <c r="BM6" s="43">
        <v>97262</v>
      </c>
      <c r="BN6" s="43">
        <v>97470</v>
      </c>
      <c r="BO6" s="43">
        <v>97605</v>
      </c>
      <c r="BP6" s="43">
        <v>97704</v>
      </c>
      <c r="BQ6" s="43">
        <v>97740</v>
      </c>
      <c r="BR6" s="43">
        <v>97829</v>
      </c>
      <c r="BS6" s="43">
        <v>97789</v>
      </c>
      <c r="BT6" s="43">
        <v>97833</v>
      </c>
      <c r="BU6" s="43">
        <v>97876</v>
      </c>
      <c r="BV6" s="43">
        <v>97933</v>
      </c>
      <c r="BW6" s="43">
        <v>98009</v>
      </c>
      <c r="BX6" s="43">
        <v>98084</v>
      </c>
      <c r="BY6" s="43">
        <v>98169</v>
      </c>
      <c r="BZ6" s="43">
        <v>98392</v>
      </c>
      <c r="CA6" s="43">
        <v>98536</v>
      </c>
      <c r="CB6" s="43">
        <v>98609</v>
      </c>
      <c r="CC6" s="43">
        <v>98680</v>
      </c>
      <c r="CD6" s="43">
        <v>98753</v>
      </c>
      <c r="CE6" s="43">
        <v>98829</v>
      </c>
      <c r="CF6" s="43">
        <v>98889</v>
      </c>
      <c r="CG6" s="43">
        <v>98979</v>
      </c>
      <c r="CH6" s="43">
        <v>99002</v>
      </c>
      <c r="CI6" s="43">
        <v>99067</v>
      </c>
      <c r="CJ6" s="43">
        <v>99120</v>
      </c>
      <c r="CK6" s="43">
        <v>99155</v>
      </c>
      <c r="CL6" s="43">
        <v>99230</v>
      </c>
      <c r="CM6" s="43">
        <v>99251</v>
      </c>
      <c r="CN6" s="43">
        <v>99298</v>
      </c>
      <c r="CO6" s="43">
        <v>99321</v>
      </c>
      <c r="CP6" s="43">
        <v>99368</v>
      </c>
      <c r="CQ6" s="43">
        <v>99410</v>
      </c>
      <c r="CR6" s="43">
        <v>99436</v>
      </c>
      <c r="CS6" s="43">
        <v>99458</v>
      </c>
      <c r="CT6" s="43">
        <v>99479</v>
      </c>
      <c r="CU6" s="43">
        <v>99500</v>
      </c>
      <c r="CV6" s="43">
        <v>99514</v>
      </c>
      <c r="CW6" s="43">
        <v>99529</v>
      </c>
      <c r="CX6" s="43">
        <v>99549</v>
      </c>
      <c r="CY6" s="43">
        <v>99551</v>
      </c>
      <c r="CZ6" s="43">
        <v>99548</v>
      </c>
      <c r="DA6" s="43">
        <v>99552</v>
      </c>
      <c r="DB6" s="43">
        <v>99570</v>
      </c>
      <c r="DC6" s="43">
        <v>99598</v>
      </c>
      <c r="DD6" s="43">
        <v>99600</v>
      </c>
      <c r="DE6" s="43">
        <v>99610</v>
      </c>
      <c r="DF6" s="43">
        <v>99643</v>
      </c>
      <c r="DG6" s="43">
        <v>99626</v>
      </c>
      <c r="DH6" s="43">
        <v>99648</v>
      </c>
      <c r="DI6" s="43">
        <v>99626</v>
      </c>
      <c r="DJ6" s="43">
        <v>99648</v>
      </c>
      <c r="DK6" s="43">
        <v>99659</v>
      </c>
      <c r="DL6" s="43">
        <v>99658</v>
      </c>
      <c r="DM6" s="43">
        <v>99672</v>
      </c>
      <c r="DN6" s="43">
        <v>99686</v>
      </c>
      <c r="DO6" s="43">
        <v>99699</v>
      </c>
    </row>
    <row r="7" spans="1:119">
      <c r="A7" s="42">
        <v>5</v>
      </c>
      <c r="W7" s="43">
        <v>84889</v>
      </c>
      <c r="X7" s="43">
        <v>85672</v>
      </c>
      <c r="Y7" s="43">
        <v>85714</v>
      </c>
      <c r="Z7" s="43">
        <v>87735</v>
      </c>
      <c r="AA7" s="43">
        <v>88075</v>
      </c>
      <c r="AB7" s="43">
        <v>88524</v>
      </c>
      <c r="AC7" s="43">
        <v>89279</v>
      </c>
      <c r="AD7" s="43">
        <v>90055</v>
      </c>
      <c r="AE7" s="43">
        <v>89855</v>
      </c>
      <c r="AF7" s="43">
        <v>90854</v>
      </c>
      <c r="AG7" s="43">
        <v>91188</v>
      </c>
      <c r="AH7" s="43">
        <v>91181</v>
      </c>
      <c r="AI7" s="43">
        <v>91433</v>
      </c>
      <c r="AJ7" s="43">
        <v>92536</v>
      </c>
      <c r="AK7" s="43">
        <v>92443</v>
      </c>
      <c r="AL7" s="43">
        <v>92662</v>
      </c>
      <c r="AM7" s="43">
        <v>92839</v>
      </c>
      <c r="AN7" s="43">
        <v>93224</v>
      </c>
      <c r="AO7" s="43">
        <v>93096</v>
      </c>
      <c r="AP7" s="43">
        <v>93032</v>
      </c>
      <c r="AQ7" s="43">
        <v>92889</v>
      </c>
      <c r="AR7" s="43">
        <v>92833</v>
      </c>
      <c r="AS7" s="43">
        <v>92219</v>
      </c>
      <c r="AT7" s="43">
        <v>91500</v>
      </c>
      <c r="AU7" s="43">
        <v>90337</v>
      </c>
      <c r="AV7" s="43">
        <v>90504</v>
      </c>
      <c r="AW7" s="43">
        <v>90770</v>
      </c>
      <c r="AX7" s="43">
        <v>92744</v>
      </c>
      <c r="AY7" s="43">
        <v>94360</v>
      </c>
      <c r="AZ7" s="43">
        <v>94426</v>
      </c>
      <c r="BA7" s="43">
        <v>94473</v>
      </c>
      <c r="BB7" s="43">
        <v>95045</v>
      </c>
      <c r="BC7" s="43">
        <v>95275</v>
      </c>
      <c r="BD7" s="43">
        <v>95570</v>
      </c>
      <c r="BE7" s="43">
        <v>95677</v>
      </c>
      <c r="BF7" s="43">
        <v>95947</v>
      </c>
      <c r="BG7" s="43">
        <v>96101</v>
      </c>
      <c r="BH7" s="43">
        <v>96281</v>
      </c>
      <c r="BI7" s="43">
        <v>96366</v>
      </c>
      <c r="BJ7" s="43">
        <v>96556</v>
      </c>
      <c r="BK7" s="43">
        <v>96782</v>
      </c>
      <c r="BL7" s="43">
        <v>97036</v>
      </c>
      <c r="BM7" s="43">
        <v>97203</v>
      </c>
      <c r="BN7" s="43">
        <v>97414</v>
      </c>
      <c r="BO7" s="43">
        <v>97549</v>
      </c>
      <c r="BP7" s="43">
        <v>97656</v>
      </c>
      <c r="BQ7" s="43">
        <v>97692</v>
      </c>
      <c r="BR7" s="43">
        <v>97777</v>
      </c>
      <c r="BS7" s="43">
        <v>97749</v>
      </c>
      <c r="BT7" s="43">
        <v>97786</v>
      </c>
      <c r="BU7" s="43">
        <v>97830</v>
      </c>
      <c r="BV7" s="43">
        <v>97891</v>
      </c>
      <c r="BW7" s="43">
        <v>97967</v>
      </c>
      <c r="BX7" s="43">
        <v>98048</v>
      </c>
      <c r="BY7" s="43">
        <v>98130</v>
      </c>
      <c r="BZ7" s="43">
        <v>98356</v>
      </c>
      <c r="CA7" s="43">
        <v>98505</v>
      </c>
      <c r="CB7" s="43">
        <v>98577</v>
      </c>
      <c r="CC7" s="43">
        <v>98653</v>
      </c>
      <c r="CD7" s="43">
        <v>98726</v>
      </c>
      <c r="CE7" s="43">
        <v>98805</v>
      </c>
      <c r="CF7" s="43">
        <v>98867</v>
      </c>
      <c r="CG7" s="43">
        <v>98957</v>
      </c>
      <c r="CH7" s="43">
        <v>98981</v>
      </c>
      <c r="CI7" s="43">
        <v>99048</v>
      </c>
      <c r="CJ7" s="43">
        <v>99097</v>
      </c>
      <c r="CK7" s="43">
        <v>99134</v>
      </c>
      <c r="CL7" s="43">
        <v>99207</v>
      </c>
      <c r="CM7" s="43">
        <v>99234</v>
      </c>
      <c r="CN7" s="43">
        <v>99279</v>
      </c>
      <c r="CO7" s="43">
        <v>99302</v>
      </c>
      <c r="CP7" s="43">
        <v>99355</v>
      </c>
      <c r="CQ7" s="43">
        <v>99392</v>
      </c>
      <c r="CR7" s="43">
        <v>99423</v>
      </c>
      <c r="CS7" s="43">
        <v>99444</v>
      </c>
      <c r="CT7" s="43">
        <v>99465</v>
      </c>
      <c r="CU7" s="43">
        <v>99486</v>
      </c>
      <c r="CV7" s="43">
        <v>99500</v>
      </c>
      <c r="CW7" s="43">
        <v>99518</v>
      </c>
      <c r="CX7" s="43">
        <v>99535</v>
      </c>
      <c r="CY7" s="43">
        <v>99542</v>
      </c>
      <c r="CZ7" s="43">
        <v>99537</v>
      </c>
      <c r="DA7" s="43">
        <v>99540</v>
      </c>
      <c r="DB7" s="43">
        <v>99558</v>
      </c>
      <c r="DC7" s="43">
        <v>99586</v>
      </c>
      <c r="DD7" s="43">
        <v>99587</v>
      </c>
      <c r="DE7" s="43">
        <v>99599</v>
      </c>
      <c r="DF7" s="43">
        <v>99635</v>
      </c>
      <c r="DG7" s="43">
        <v>99617</v>
      </c>
      <c r="DH7" s="43">
        <v>99639</v>
      </c>
      <c r="DI7" s="43">
        <v>99618</v>
      </c>
      <c r="DJ7" s="43">
        <v>99640</v>
      </c>
      <c r="DK7" s="43">
        <v>99651</v>
      </c>
      <c r="DL7" s="43">
        <v>99650</v>
      </c>
      <c r="DM7" s="43">
        <v>99665</v>
      </c>
      <c r="DN7" s="43">
        <v>99679</v>
      </c>
      <c r="DO7" s="43">
        <v>99693</v>
      </c>
    </row>
    <row r="8" spans="1:119">
      <c r="A8" s="42">
        <v>6</v>
      </c>
      <c r="W8" s="43">
        <v>84703</v>
      </c>
      <c r="X8" s="43">
        <v>85473</v>
      </c>
      <c r="Y8" s="43">
        <v>85499</v>
      </c>
      <c r="Z8" s="43">
        <v>87492</v>
      </c>
      <c r="AA8" s="43">
        <v>87838</v>
      </c>
      <c r="AB8" s="43">
        <v>88318</v>
      </c>
      <c r="AC8" s="43">
        <v>89087</v>
      </c>
      <c r="AD8" s="43">
        <v>89862</v>
      </c>
      <c r="AE8" s="43">
        <v>89662</v>
      </c>
      <c r="AF8" s="43">
        <v>90629</v>
      </c>
      <c r="AG8" s="43">
        <v>90942</v>
      </c>
      <c r="AH8" s="43">
        <v>90970</v>
      </c>
      <c r="AI8" s="43">
        <v>91235</v>
      </c>
      <c r="AJ8" s="43">
        <v>92326</v>
      </c>
      <c r="AK8" s="43">
        <v>92233</v>
      </c>
      <c r="AL8" s="43">
        <v>92452</v>
      </c>
      <c r="AM8" s="43">
        <v>92629</v>
      </c>
      <c r="AN8" s="43">
        <v>92992</v>
      </c>
      <c r="AO8" s="43">
        <v>92833</v>
      </c>
      <c r="AP8" s="43">
        <v>92716</v>
      </c>
      <c r="AQ8" s="43">
        <v>92722</v>
      </c>
      <c r="AR8" s="43">
        <v>92666</v>
      </c>
      <c r="AS8" s="43">
        <v>92107</v>
      </c>
      <c r="AT8" s="43">
        <v>91410</v>
      </c>
      <c r="AU8" s="43">
        <v>90247</v>
      </c>
      <c r="AV8" s="43">
        <v>90415</v>
      </c>
      <c r="AW8" s="43">
        <v>90704</v>
      </c>
      <c r="AX8" s="43">
        <v>92684</v>
      </c>
      <c r="AY8" s="43">
        <v>94293</v>
      </c>
      <c r="AZ8" s="43">
        <v>94368</v>
      </c>
      <c r="BA8" s="43">
        <v>94413</v>
      </c>
      <c r="BB8" s="43">
        <v>94980</v>
      </c>
      <c r="BC8" s="43">
        <v>95221</v>
      </c>
      <c r="BD8" s="43">
        <v>95520</v>
      </c>
      <c r="BE8" s="43">
        <v>95623</v>
      </c>
      <c r="BF8" s="43">
        <v>95897</v>
      </c>
      <c r="BG8" s="43">
        <v>96049</v>
      </c>
      <c r="BH8" s="43">
        <v>96234</v>
      </c>
      <c r="BI8" s="43">
        <v>96319</v>
      </c>
      <c r="BJ8" s="43">
        <v>96508</v>
      </c>
      <c r="BK8" s="43">
        <v>96732</v>
      </c>
      <c r="BL8" s="43">
        <v>96988</v>
      </c>
      <c r="BM8" s="43">
        <v>97160</v>
      </c>
      <c r="BN8" s="43">
        <v>97364</v>
      </c>
      <c r="BO8" s="43">
        <v>97500</v>
      </c>
      <c r="BP8" s="43">
        <v>97612</v>
      </c>
      <c r="BQ8" s="43">
        <v>97651</v>
      </c>
      <c r="BR8" s="43">
        <v>97735</v>
      </c>
      <c r="BS8" s="43">
        <v>97705</v>
      </c>
      <c r="BT8" s="43">
        <v>97748</v>
      </c>
      <c r="BU8" s="43">
        <v>97794</v>
      </c>
      <c r="BV8" s="43">
        <v>97860</v>
      </c>
      <c r="BW8" s="43">
        <v>97929</v>
      </c>
      <c r="BX8" s="43">
        <v>98020</v>
      </c>
      <c r="BY8" s="43">
        <v>98102</v>
      </c>
      <c r="BZ8" s="43">
        <v>98321</v>
      </c>
      <c r="CA8" s="43">
        <v>98481</v>
      </c>
      <c r="CB8" s="43">
        <v>98553</v>
      </c>
      <c r="CC8" s="43">
        <v>98624</v>
      </c>
      <c r="CD8" s="43">
        <v>98706</v>
      </c>
      <c r="CE8" s="43">
        <v>98786</v>
      </c>
      <c r="CF8" s="43">
        <v>98846</v>
      </c>
      <c r="CG8" s="43">
        <v>98936</v>
      </c>
      <c r="CH8" s="43">
        <v>98959</v>
      </c>
      <c r="CI8" s="43">
        <v>99027</v>
      </c>
      <c r="CJ8" s="43">
        <v>99076</v>
      </c>
      <c r="CK8" s="43">
        <v>99117</v>
      </c>
      <c r="CL8" s="43">
        <v>99193</v>
      </c>
      <c r="CM8" s="43">
        <v>99216</v>
      </c>
      <c r="CN8" s="43">
        <v>99266</v>
      </c>
      <c r="CO8" s="43">
        <v>99292</v>
      </c>
      <c r="CP8" s="43">
        <v>99345</v>
      </c>
      <c r="CQ8" s="43">
        <v>99383</v>
      </c>
      <c r="CR8" s="43">
        <v>99411</v>
      </c>
      <c r="CS8" s="43">
        <v>99434</v>
      </c>
      <c r="CT8" s="43">
        <v>99454</v>
      </c>
      <c r="CU8" s="43">
        <v>99472</v>
      </c>
      <c r="CV8" s="43">
        <v>99486</v>
      </c>
      <c r="CW8" s="43">
        <v>99508</v>
      </c>
      <c r="CX8" s="43">
        <v>99525</v>
      </c>
      <c r="CY8" s="43">
        <v>99535</v>
      </c>
      <c r="CZ8" s="43">
        <v>99527</v>
      </c>
      <c r="DA8" s="43">
        <v>99532</v>
      </c>
      <c r="DB8" s="43">
        <v>99549</v>
      </c>
      <c r="DC8" s="43">
        <v>99575</v>
      </c>
      <c r="DD8" s="43">
        <v>99575</v>
      </c>
      <c r="DE8" s="43">
        <v>99590</v>
      </c>
      <c r="DF8" s="43">
        <v>99628</v>
      </c>
      <c r="DG8" s="43">
        <v>99610</v>
      </c>
      <c r="DH8" s="43">
        <v>99632</v>
      </c>
      <c r="DI8" s="43">
        <v>99611</v>
      </c>
      <c r="DJ8" s="43">
        <v>99634</v>
      </c>
      <c r="DK8" s="43">
        <v>99645</v>
      </c>
      <c r="DL8" s="43">
        <v>99645</v>
      </c>
      <c r="DM8" s="43">
        <v>99659</v>
      </c>
      <c r="DN8" s="43">
        <v>99674</v>
      </c>
      <c r="DO8" s="43">
        <v>99687</v>
      </c>
    </row>
    <row r="9" spans="1:119">
      <c r="A9" s="42">
        <v>7</v>
      </c>
      <c r="W9" s="43">
        <v>84541</v>
      </c>
      <c r="X9" s="43">
        <v>85288</v>
      </c>
      <c r="Y9" s="43">
        <v>85294</v>
      </c>
      <c r="Z9" s="43">
        <v>87278</v>
      </c>
      <c r="AA9" s="43">
        <v>87653</v>
      </c>
      <c r="AB9" s="43">
        <v>88146</v>
      </c>
      <c r="AC9" s="43">
        <v>88914</v>
      </c>
      <c r="AD9" s="43">
        <v>89687</v>
      </c>
      <c r="AE9" s="43">
        <v>89460</v>
      </c>
      <c r="AF9" s="43">
        <v>90408</v>
      </c>
      <c r="AG9" s="43">
        <v>90751</v>
      </c>
      <c r="AH9" s="43">
        <v>90792</v>
      </c>
      <c r="AI9" s="43">
        <v>91048</v>
      </c>
      <c r="AJ9" s="43">
        <v>92137</v>
      </c>
      <c r="AK9" s="43">
        <v>92044</v>
      </c>
      <c r="AL9" s="43">
        <v>92262</v>
      </c>
      <c r="AM9" s="43">
        <v>92420</v>
      </c>
      <c r="AN9" s="43">
        <v>92753</v>
      </c>
      <c r="AO9" s="43">
        <v>92547</v>
      </c>
      <c r="AP9" s="43">
        <v>92587</v>
      </c>
      <c r="AQ9" s="43">
        <v>92593</v>
      </c>
      <c r="AR9" s="43">
        <v>92579</v>
      </c>
      <c r="AS9" s="43">
        <v>92031</v>
      </c>
      <c r="AT9" s="43">
        <v>91335</v>
      </c>
      <c r="AU9" s="43">
        <v>90173</v>
      </c>
      <c r="AV9" s="43">
        <v>90361</v>
      </c>
      <c r="AW9" s="43">
        <v>90652</v>
      </c>
      <c r="AX9" s="43">
        <v>92632</v>
      </c>
      <c r="AY9" s="43">
        <v>94246</v>
      </c>
      <c r="AZ9" s="43">
        <v>94320</v>
      </c>
      <c r="BA9" s="43">
        <v>94368</v>
      </c>
      <c r="BB9" s="43">
        <v>94938</v>
      </c>
      <c r="BC9" s="43">
        <v>95177</v>
      </c>
      <c r="BD9" s="43">
        <v>95476</v>
      </c>
      <c r="BE9" s="43">
        <v>95580</v>
      </c>
      <c r="BF9" s="43">
        <v>95858</v>
      </c>
      <c r="BG9" s="43">
        <v>96003</v>
      </c>
      <c r="BH9" s="43">
        <v>96191</v>
      </c>
      <c r="BI9" s="43">
        <v>96278</v>
      </c>
      <c r="BJ9" s="43">
        <v>96467</v>
      </c>
      <c r="BK9" s="43">
        <v>96689</v>
      </c>
      <c r="BL9" s="43">
        <v>96943</v>
      </c>
      <c r="BM9" s="43">
        <v>97115</v>
      </c>
      <c r="BN9" s="43">
        <v>97322</v>
      </c>
      <c r="BO9" s="43">
        <v>97456</v>
      </c>
      <c r="BP9" s="43">
        <v>97567</v>
      </c>
      <c r="BQ9" s="43">
        <v>97611</v>
      </c>
      <c r="BR9" s="43">
        <v>97701</v>
      </c>
      <c r="BS9" s="43">
        <v>97668</v>
      </c>
      <c r="BT9" s="43">
        <v>97715</v>
      </c>
      <c r="BU9" s="43">
        <v>97759</v>
      </c>
      <c r="BV9" s="43">
        <v>97832</v>
      </c>
      <c r="BW9" s="43">
        <v>97897</v>
      </c>
      <c r="BX9" s="43">
        <v>97997</v>
      </c>
      <c r="BY9" s="43">
        <v>98076</v>
      </c>
      <c r="BZ9" s="43">
        <v>98294</v>
      </c>
      <c r="CA9" s="43">
        <v>98459</v>
      </c>
      <c r="CB9" s="43">
        <v>98529</v>
      </c>
      <c r="CC9" s="43">
        <v>98602</v>
      </c>
      <c r="CD9" s="43">
        <v>98687</v>
      </c>
      <c r="CE9" s="43">
        <v>98769</v>
      </c>
      <c r="CF9" s="43">
        <v>98825</v>
      </c>
      <c r="CG9" s="43">
        <v>98918</v>
      </c>
      <c r="CH9" s="43">
        <v>98941</v>
      </c>
      <c r="CI9" s="43">
        <v>99009</v>
      </c>
      <c r="CJ9" s="43">
        <v>99057</v>
      </c>
      <c r="CK9" s="43">
        <v>99107</v>
      </c>
      <c r="CL9" s="43">
        <v>99177</v>
      </c>
      <c r="CM9" s="43">
        <v>99201</v>
      </c>
      <c r="CN9" s="43">
        <v>99252</v>
      </c>
      <c r="CO9" s="43">
        <v>99281</v>
      </c>
      <c r="CP9" s="43">
        <v>99334</v>
      </c>
      <c r="CQ9" s="43">
        <v>99373</v>
      </c>
      <c r="CR9" s="43">
        <v>99397</v>
      </c>
      <c r="CS9" s="43">
        <v>99424</v>
      </c>
      <c r="CT9" s="43">
        <v>99443</v>
      </c>
      <c r="CU9" s="43">
        <v>99465</v>
      </c>
      <c r="CV9" s="43">
        <v>99475</v>
      </c>
      <c r="CW9" s="43">
        <v>99497</v>
      </c>
      <c r="CX9" s="43">
        <v>99518</v>
      </c>
      <c r="CY9" s="43">
        <v>99529</v>
      </c>
      <c r="CZ9" s="43">
        <v>99516</v>
      </c>
      <c r="DA9" s="43">
        <v>99524</v>
      </c>
      <c r="DB9" s="43">
        <v>99539</v>
      </c>
      <c r="DC9" s="43">
        <v>99569</v>
      </c>
      <c r="DD9" s="43">
        <v>99568</v>
      </c>
      <c r="DE9" s="43">
        <v>99583</v>
      </c>
      <c r="DF9" s="43">
        <v>99623</v>
      </c>
      <c r="DG9" s="43">
        <v>99604</v>
      </c>
      <c r="DH9" s="43">
        <v>99626</v>
      </c>
      <c r="DI9" s="43">
        <v>99605</v>
      </c>
      <c r="DJ9" s="43">
        <v>99629</v>
      </c>
      <c r="DK9" s="43">
        <v>99640</v>
      </c>
      <c r="DL9" s="43">
        <v>99640</v>
      </c>
      <c r="DM9" s="43">
        <v>99655</v>
      </c>
      <c r="DN9" s="43">
        <v>99669</v>
      </c>
      <c r="DO9" s="43">
        <v>99683</v>
      </c>
    </row>
    <row r="10" spans="1:119">
      <c r="A10" s="42">
        <v>8</v>
      </c>
      <c r="W10" s="43">
        <v>84389</v>
      </c>
      <c r="X10" s="43">
        <v>85126</v>
      </c>
      <c r="Y10" s="43">
        <v>85132</v>
      </c>
      <c r="Z10" s="43">
        <v>87138</v>
      </c>
      <c r="AA10" s="43">
        <v>87503</v>
      </c>
      <c r="AB10" s="43">
        <v>87995</v>
      </c>
      <c r="AC10" s="43">
        <v>88762</v>
      </c>
      <c r="AD10" s="43">
        <v>89498</v>
      </c>
      <c r="AE10" s="43">
        <v>89282</v>
      </c>
      <c r="AF10" s="43">
        <v>90245</v>
      </c>
      <c r="AG10" s="43">
        <v>90597</v>
      </c>
      <c r="AH10" s="43">
        <v>90628</v>
      </c>
      <c r="AI10" s="43">
        <v>90884</v>
      </c>
      <c r="AJ10" s="43">
        <v>91971</v>
      </c>
      <c r="AK10" s="43">
        <v>91878</v>
      </c>
      <c r="AL10" s="43">
        <v>92080</v>
      </c>
      <c r="AM10" s="43">
        <v>92212</v>
      </c>
      <c r="AN10" s="43">
        <v>92503</v>
      </c>
      <c r="AO10" s="43">
        <v>92442</v>
      </c>
      <c r="AP10" s="43">
        <v>92481</v>
      </c>
      <c r="AQ10" s="43">
        <v>92510</v>
      </c>
      <c r="AR10" s="43">
        <v>92521</v>
      </c>
      <c r="AS10" s="43">
        <v>91973</v>
      </c>
      <c r="AT10" s="43">
        <v>91277</v>
      </c>
      <c r="AU10" s="43">
        <v>90127</v>
      </c>
      <c r="AV10" s="43">
        <v>90321</v>
      </c>
      <c r="AW10" s="43">
        <v>90610</v>
      </c>
      <c r="AX10" s="43">
        <v>92590</v>
      </c>
      <c r="AY10" s="43">
        <v>94205</v>
      </c>
      <c r="AZ10" s="43">
        <v>94280</v>
      </c>
      <c r="BA10" s="43">
        <v>94327</v>
      </c>
      <c r="BB10" s="43">
        <v>94894</v>
      </c>
      <c r="BC10" s="43">
        <v>95142</v>
      </c>
      <c r="BD10" s="43">
        <v>95432</v>
      </c>
      <c r="BE10" s="43">
        <v>95536</v>
      </c>
      <c r="BF10" s="43">
        <v>95823</v>
      </c>
      <c r="BG10" s="43">
        <v>95971</v>
      </c>
      <c r="BH10" s="43">
        <v>96154</v>
      </c>
      <c r="BI10" s="43">
        <v>96240</v>
      </c>
      <c r="BJ10" s="43">
        <v>96429</v>
      </c>
      <c r="BK10" s="43">
        <v>96654</v>
      </c>
      <c r="BL10" s="43">
        <v>96905</v>
      </c>
      <c r="BM10" s="43">
        <v>97074</v>
      </c>
      <c r="BN10" s="43">
        <v>97287</v>
      </c>
      <c r="BO10" s="43">
        <v>97419</v>
      </c>
      <c r="BP10" s="43">
        <v>97533</v>
      </c>
      <c r="BQ10" s="43">
        <v>97578</v>
      </c>
      <c r="BR10" s="43">
        <v>97664</v>
      </c>
      <c r="BS10" s="43">
        <v>97637</v>
      </c>
      <c r="BT10" s="43">
        <v>97683</v>
      </c>
      <c r="BU10" s="43">
        <v>97731</v>
      </c>
      <c r="BV10" s="43">
        <v>97806</v>
      </c>
      <c r="BW10" s="43">
        <v>97870</v>
      </c>
      <c r="BX10" s="43">
        <v>97973</v>
      </c>
      <c r="BY10" s="43">
        <v>98051</v>
      </c>
      <c r="BZ10" s="43">
        <v>98275</v>
      </c>
      <c r="CA10" s="43">
        <v>98439</v>
      </c>
      <c r="CB10" s="43">
        <v>98512</v>
      </c>
      <c r="CC10" s="43">
        <v>98583</v>
      </c>
      <c r="CD10" s="43">
        <v>98672</v>
      </c>
      <c r="CE10" s="43">
        <v>98750</v>
      </c>
      <c r="CF10" s="43">
        <v>98806</v>
      </c>
      <c r="CG10" s="43">
        <v>98901</v>
      </c>
      <c r="CH10" s="43">
        <v>98927</v>
      </c>
      <c r="CI10" s="43">
        <v>98996</v>
      </c>
      <c r="CJ10" s="43">
        <v>99043</v>
      </c>
      <c r="CK10" s="43">
        <v>99093</v>
      </c>
      <c r="CL10" s="43">
        <v>99164</v>
      </c>
      <c r="CM10" s="43">
        <v>99189</v>
      </c>
      <c r="CN10" s="43">
        <v>99241</v>
      </c>
      <c r="CO10" s="43">
        <v>99271</v>
      </c>
      <c r="CP10" s="43">
        <v>99321</v>
      </c>
      <c r="CQ10" s="43">
        <v>99364</v>
      </c>
      <c r="CR10" s="43">
        <v>99391</v>
      </c>
      <c r="CS10" s="43">
        <v>99414</v>
      </c>
      <c r="CT10" s="43">
        <v>99434</v>
      </c>
      <c r="CU10" s="43">
        <v>99458</v>
      </c>
      <c r="CV10" s="43">
        <v>99466</v>
      </c>
      <c r="CW10" s="43">
        <v>99489</v>
      </c>
      <c r="CX10" s="43">
        <v>99511</v>
      </c>
      <c r="CY10" s="43">
        <v>99521</v>
      </c>
      <c r="CZ10" s="43">
        <v>99507</v>
      </c>
      <c r="DA10" s="43">
        <v>99517</v>
      </c>
      <c r="DB10" s="43">
        <v>99532</v>
      </c>
      <c r="DC10" s="43">
        <v>99559</v>
      </c>
      <c r="DD10" s="43">
        <v>99564</v>
      </c>
      <c r="DE10" s="43">
        <v>99577</v>
      </c>
      <c r="DF10" s="43">
        <v>99618</v>
      </c>
      <c r="DG10" s="43">
        <v>99599</v>
      </c>
      <c r="DH10" s="43">
        <v>99621</v>
      </c>
      <c r="DI10" s="43">
        <v>99601</v>
      </c>
      <c r="DJ10" s="43">
        <v>99624</v>
      </c>
      <c r="DK10" s="43">
        <v>99636</v>
      </c>
      <c r="DL10" s="43">
        <v>99635</v>
      </c>
      <c r="DM10" s="43">
        <v>99651</v>
      </c>
      <c r="DN10" s="43">
        <v>99665</v>
      </c>
      <c r="DO10" s="43">
        <v>99679</v>
      </c>
    </row>
    <row r="11" spans="1:119">
      <c r="A11" s="42">
        <v>9</v>
      </c>
      <c r="W11" s="43">
        <v>84249</v>
      </c>
      <c r="X11" s="43">
        <v>84988</v>
      </c>
      <c r="Y11" s="43">
        <v>85015</v>
      </c>
      <c r="Z11" s="43">
        <v>87010</v>
      </c>
      <c r="AA11" s="43">
        <v>87375</v>
      </c>
      <c r="AB11" s="43">
        <v>87866</v>
      </c>
      <c r="AC11" s="43">
        <v>88602</v>
      </c>
      <c r="AD11" s="43">
        <v>89345</v>
      </c>
      <c r="AE11" s="43">
        <v>89144</v>
      </c>
      <c r="AF11" s="43">
        <v>90113</v>
      </c>
      <c r="AG11" s="43">
        <v>90457</v>
      </c>
      <c r="AH11" s="43">
        <v>90488</v>
      </c>
      <c r="AI11" s="43">
        <v>90744</v>
      </c>
      <c r="AJ11" s="43">
        <v>91829</v>
      </c>
      <c r="AK11" s="43">
        <v>91722</v>
      </c>
      <c r="AL11" s="43">
        <v>91902</v>
      </c>
      <c r="AM11" s="43">
        <v>91998</v>
      </c>
      <c r="AN11" s="43">
        <v>92408</v>
      </c>
      <c r="AO11" s="43">
        <v>92346</v>
      </c>
      <c r="AP11" s="43">
        <v>92406</v>
      </c>
      <c r="AQ11" s="43">
        <v>92456</v>
      </c>
      <c r="AR11" s="43">
        <v>92467</v>
      </c>
      <c r="AS11" s="43">
        <v>91920</v>
      </c>
      <c r="AT11" s="43">
        <v>91240</v>
      </c>
      <c r="AU11" s="43">
        <v>90093</v>
      </c>
      <c r="AV11" s="43">
        <v>90288</v>
      </c>
      <c r="AW11" s="43">
        <v>90576</v>
      </c>
      <c r="AX11" s="43">
        <v>92556</v>
      </c>
      <c r="AY11" s="43">
        <v>94172</v>
      </c>
      <c r="AZ11" s="43">
        <v>94250</v>
      </c>
      <c r="BA11" s="43">
        <v>94295</v>
      </c>
      <c r="BB11" s="43">
        <v>94860</v>
      </c>
      <c r="BC11" s="43">
        <v>95108</v>
      </c>
      <c r="BD11" s="43">
        <v>95398</v>
      </c>
      <c r="BE11" s="43">
        <v>95503</v>
      </c>
      <c r="BF11" s="43">
        <v>95793</v>
      </c>
      <c r="BG11" s="43">
        <v>95942</v>
      </c>
      <c r="BH11" s="43">
        <v>96122</v>
      </c>
      <c r="BI11" s="43">
        <v>96206</v>
      </c>
      <c r="BJ11" s="43">
        <v>96393</v>
      </c>
      <c r="BK11" s="43">
        <v>96620</v>
      </c>
      <c r="BL11" s="43">
        <v>96868</v>
      </c>
      <c r="BM11" s="43">
        <v>97042</v>
      </c>
      <c r="BN11" s="43">
        <v>97256</v>
      </c>
      <c r="BO11" s="43">
        <v>97391</v>
      </c>
      <c r="BP11" s="43">
        <v>97504</v>
      </c>
      <c r="BQ11" s="43">
        <v>97552</v>
      </c>
      <c r="BR11" s="43">
        <v>97640</v>
      </c>
      <c r="BS11" s="43">
        <v>97610</v>
      </c>
      <c r="BT11" s="43">
        <v>97658</v>
      </c>
      <c r="BU11" s="43">
        <v>97706</v>
      </c>
      <c r="BV11" s="43">
        <v>97784</v>
      </c>
      <c r="BW11" s="43">
        <v>97851</v>
      </c>
      <c r="BX11" s="43">
        <v>97953</v>
      </c>
      <c r="BY11" s="43">
        <v>98033</v>
      </c>
      <c r="BZ11" s="43">
        <v>98255</v>
      </c>
      <c r="CA11" s="43">
        <v>98419</v>
      </c>
      <c r="CB11" s="43">
        <v>98495</v>
      </c>
      <c r="CC11" s="43">
        <v>98567</v>
      </c>
      <c r="CD11" s="43">
        <v>98657</v>
      </c>
      <c r="CE11" s="43">
        <v>98727</v>
      </c>
      <c r="CF11" s="43">
        <v>98792</v>
      </c>
      <c r="CG11" s="43">
        <v>98883</v>
      </c>
      <c r="CH11" s="43">
        <v>98914</v>
      </c>
      <c r="CI11" s="43">
        <v>98984</v>
      </c>
      <c r="CJ11" s="43">
        <v>99031</v>
      </c>
      <c r="CK11" s="43">
        <v>99081</v>
      </c>
      <c r="CL11" s="43">
        <v>99156</v>
      </c>
      <c r="CM11" s="43">
        <v>99180</v>
      </c>
      <c r="CN11" s="43">
        <v>99232</v>
      </c>
      <c r="CO11" s="43">
        <v>99261</v>
      </c>
      <c r="CP11" s="43">
        <v>99313</v>
      </c>
      <c r="CQ11" s="43">
        <v>99355</v>
      </c>
      <c r="CR11" s="43">
        <v>99383</v>
      </c>
      <c r="CS11" s="43">
        <v>99401</v>
      </c>
      <c r="CT11" s="43">
        <v>99426</v>
      </c>
      <c r="CU11" s="43">
        <v>99450</v>
      </c>
      <c r="CV11" s="43">
        <v>99460</v>
      </c>
      <c r="CW11" s="43">
        <v>99483</v>
      </c>
      <c r="CX11" s="43">
        <v>99505</v>
      </c>
      <c r="CY11" s="43">
        <v>99514</v>
      </c>
      <c r="CZ11" s="43">
        <v>99498</v>
      </c>
      <c r="DA11" s="43">
        <v>99509</v>
      </c>
      <c r="DB11" s="43">
        <v>99524</v>
      </c>
      <c r="DC11" s="43">
        <v>99555</v>
      </c>
      <c r="DD11" s="43">
        <v>99557</v>
      </c>
      <c r="DE11" s="43">
        <v>99572</v>
      </c>
      <c r="DF11" s="43">
        <v>99612</v>
      </c>
      <c r="DG11" s="43">
        <v>99594</v>
      </c>
      <c r="DH11" s="43">
        <v>99617</v>
      </c>
      <c r="DI11" s="43">
        <v>99596</v>
      </c>
      <c r="DJ11" s="43">
        <v>99620</v>
      </c>
      <c r="DK11" s="43">
        <v>99631</v>
      </c>
      <c r="DL11" s="43">
        <v>99631</v>
      </c>
      <c r="DM11" s="43">
        <v>99647</v>
      </c>
      <c r="DN11" s="43">
        <v>99662</v>
      </c>
      <c r="DO11" s="43">
        <v>99676</v>
      </c>
    </row>
    <row r="12" spans="1:119">
      <c r="A12" s="42">
        <v>10</v>
      </c>
      <c r="W12" s="43">
        <v>84129</v>
      </c>
      <c r="X12" s="43">
        <v>84886</v>
      </c>
      <c r="Y12" s="43">
        <v>84906</v>
      </c>
      <c r="Z12" s="43">
        <v>86899</v>
      </c>
      <c r="AA12" s="43">
        <v>87263</v>
      </c>
      <c r="AB12" s="43">
        <v>87728</v>
      </c>
      <c r="AC12" s="43">
        <v>88469</v>
      </c>
      <c r="AD12" s="43">
        <v>89224</v>
      </c>
      <c r="AE12" s="43">
        <v>89030</v>
      </c>
      <c r="AF12" s="43">
        <v>89992</v>
      </c>
      <c r="AG12" s="43">
        <v>90335</v>
      </c>
      <c r="AH12" s="43">
        <v>90366</v>
      </c>
      <c r="AI12" s="43">
        <v>90622</v>
      </c>
      <c r="AJ12" s="43">
        <v>91693</v>
      </c>
      <c r="AK12" s="43">
        <v>91568</v>
      </c>
      <c r="AL12" s="43">
        <v>91716</v>
      </c>
      <c r="AM12" s="43">
        <v>91909</v>
      </c>
      <c r="AN12" s="43">
        <v>92318</v>
      </c>
      <c r="AO12" s="43">
        <v>92276</v>
      </c>
      <c r="AP12" s="43">
        <v>92358</v>
      </c>
      <c r="AQ12" s="43">
        <v>92408</v>
      </c>
      <c r="AR12" s="43">
        <v>92419</v>
      </c>
      <c r="AS12" s="43">
        <v>91881</v>
      </c>
      <c r="AT12" s="43">
        <v>91200</v>
      </c>
      <c r="AU12" s="43">
        <v>90064</v>
      </c>
      <c r="AV12" s="43">
        <v>90258</v>
      </c>
      <c r="AW12" s="43">
        <v>90543</v>
      </c>
      <c r="AX12" s="43">
        <v>92522</v>
      </c>
      <c r="AY12" s="43">
        <v>94140</v>
      </c>
      <c r="AZ12" s="43">
        <v>94221</v>
      </c>
      <c r="BA12" s="43">
        <v>94261</v>
      </c>
      <c r="BB12" s="43">
        <v>94830</v>
      </c>
      <c r="BC12" s="43">
        <v>95078</v>
      </c>
      <c r="BD12" s="43">
        <v>95369</v>
      </c>
      <c r="BE12" s="43">
        <v>95473</v>
      </c>
      <c r="BF12" s="43">
        <v>95764</v>
      </c>
      <c r="BG12" s="43">
        <v>95912</v>
      </c>
      <c r="BH12" s="43">
        <v>96092</v>
      </c>
      <c r="BI12" s="43">
        <v>96175</v>
      </c>
      <c r="BJ12" s="43">
        <v>96359</v>
      </c>
      <c r="BK12" s="43">
        <v>96591</v>
      </c>
      <c r="BL12" s="43">
        <v>96839</v>
      </c>
      <c r="BM12" s="43">
        <v>97015</v>
      </c>
      <c r="BN12" s="43">
        <v>97231</v>
      </c>
      <c r="BO12" s="43">
        <v>97369</v>
      </c>
      <c r="BP12" s="43">
        <v>97478</v>
      </c>
      <c r="BQ12" s="43">
        <v>97529</v>
      </c>
      <c r="BR12" s="43">
        <v>97612</v>
      </c>
      <c r="BS12" s="43">
        <v>97587</v>
      </c>
      <c r="BT12" s="43">
        <v>97639</v>
      </c>
      <c r="BU12" s="43">
        <v>97687</v>
      </c>
      <c r="BV12" s="43">
        <v>97766</v>
      </c>
      <c r="BW12" s="43">
        <v>97835</v>
      </c>
      <c r="BX12" s="43">
        <v>97936</v>
      </c>
      <c r="BY12" s="43">
        <v>98010</v>
      </c>
      <c r="BZ12" s="43">
        <v>98238</v>
      </c>
      <c r="CA12" s="43">
        <v>98404</v>
      </c>
      <c r="CB12" s="43">
        <v>98479</v>
      </c>
      <c r="CC12" s="43">
        <v>98552</v>
      </c>
      <c r="CD12" s="43">
        <v>98645</v>
      </c>
      <c r="CE12" s="43">
        <v>98710</v>
      </c>
      <c r="CF12" s="43">
        <v>98779</v>
      </c>
      <c r="CG12" s="43">
        <v>98872</v>
      </c>
      <c r="CH12" s="43">
        <v>98905</v>
      </c>
      <c r="CI12" s="43">
        <v>98969</v>
      </c>
      <c r="CJ12" s="43">
        <v>99021</v>
      </c>
      <c r="CK12" s="43">
        <v>99071</v>
      </c>
      <c r="CL12" s="43">
        <v>99147</v>
      </c>
      <c r="CM12" s="43">
        <v>99171</v>
      </c>
      <c r="CN12" s="43">
        <v>99221</v>
      </c>
      <c r="CO12" s="43">
        <v>99254</v>
      </c>
      <c r="CP12" s="43">
        <v>99303</v>
      </c>
      <c r="CQ12" s="43">
        <v>99348</v>
      </c>
      <c r="CR12" s="43">
        <v>99376</v>
      </c>
      <c r="CS12" s="43">
        <v>99395</v>
      </c>
      <c r="CT12" s="43">
        <v>99420</v>
      </c>
      <c r="CU12" s="43">
        <v>99443</v>
      </c>
      <c r="CV12" s="43">
        <v>99453</v>
      </c>
      <c r="CW12" s="43">
        <v>99476</v>
      </c>
      <c r="CX12" s="43">
        <v>99499</v>
      </c>
      <c r="CY12" s="43">
        <v>99506</v>
      </c>
      <c r="CZ12" s="43">
        <v>99493</v>
      </c>
      <c r="DA12" s="43">
        <v>99503</v>
      </c>
      <c r="DB12" s="43">
        <v>99517</v>
      </c>
      <c r="DC12" s="43">
        <v>99550</v>
      </c>
      <c r="DD12" s="43">
        <v>99552</v>
      </c>
      <c r="DE12" s="43">
        <v>99567</v>
      </c>
      <c r="DF12" s="43">
        <v>99607</v>
      </c>
      <c r="DG12" s="43">
        <v>99589</v>
      </c>
      <c r="DH12" s="43">
        <v>99612</v>
      </c>
      <c r="DI12" s="43">
        <v>99592</v>
      </c>
      <c r="DJ12" s="43">
        <v>99615</v>
      </c>
      <c r="DK12" s="43">
        <v>99627</v>
      </c>
      <c r="DL12" s="43">
        <v>99627</v>
      </c>
      <c r="DM12" s="43">
        <v>99643</v>
      </c>
      <c r="DN12" s="43">
        <v>99658</v>
      </c>
      <c r="DO12" s="43">
        <v>99672</v>
      </c>
    </row>
    <row r="13" spans="1:119">
      <c r="A13" s="42">
        <v>11</v>
      </c>
      <c r="W13" s="43">
        <v>84039</v>
      </c>
      <c r="X13" s="43">
        <v>84789</v>
      </c>
      <c r="Y13" s="43">
        <v>84809</v>
      </c>
      <c r="Z13" s="43">
        <v>86800</v>
      </c>
      <c r="AA13" s="43">
        <v>87141</v>
      </c>
      <c r="AB13" s="43">
        <v>87611</v>
      </c>
      <c r="AC13" s="43">
        <v>88363</v>
      </c>
      <c r="AD13" s="43">
        <v>89123</v>
      </c>
      <c r="AE13" s="43">
        <v>88924</v>
      </c>
      <c r="AF13" s="43">
        <v>89884</v>
      </c>
      <c r="AG13" s="43">
        <v>90227</v>
      </c>
      <c r="AH13" s="43">
        <v>90258</v>
      </c>
      <c r="AI13" s="43">
        <v>90502</v>
      </c>
      <c r="AJ13" s="43">
        <v>91555</v>
      </c>
      <c r="AK13" s="43">
        <v>91403</v>
      </c>
      <c r="AL13" s="43">
        <v>91632</v>
      </c>
      <c r="AM13" s="43">
        <v>91825</v>
      </c>
      <c r="AN13" s="43">
        <v>92251</v>
      </c>
      <c r="AO13" s="43">
        <v>92232</v>
      </c>
      <c r="AP13" s="43">
        <v>92315</v>
      </c>
      <c r="AQ13" s="43">
        <v>92365</v>
      </c>
      <c r="AR13" s="43">
        <v>92387</v>
      </c>
      <c r="AS13" s="43">
        <v>91847</v>
      </c>
      <c r="AT13" s="43">
        <v>91171</v>
      </c>
      <c r="AU13" s="43">
        <v>90038</v>
      </c>
      <c r="AV13" s="43">
        <v>90227</v>
      </c>
      <c r="AW13" s="43">
        <v>90511</v>
      </c>
      <c r="AX13" s="43">
        <v>92492</v>
      </c>
      <c r="AY13" s="43">
        <v>94113</v>
      </c>
      <c r="AZ13" s="43">
        <v>94194</v>
      </c>
      <c r="BA13" s="43">
        <v>94232</v>
      </c>
      <c r="BB13" s="43">
        <v>94805</v>
      </c>
      <c r="BC13" s="43">
        <v>95058</v>
      </c>
      <c r="BD13" s="43">
        <v>95340</v>
      </c>
      <c r="BE13" s="43">
        <v>95447</v>
      </c>
      <c r="BF13" s="43">
        <v>95738</v>
      </c>
      <c r="BG13" s="43">
        <v>95884</v>
      </c>
      <c r="BH13" s="43">
        <v>96063</v>
      </c>
      <c r="BI13" s="43">
        <v>96144</v>
      </c>
      <c r="BJ13" s="43">
        <v>96332</v>
      </c>
      <c r="BK13" s="43">
        <v>96561</v>
      </c>
      <c r="BL13" s="43">
        <v>96814</v>
      </c>
      <c r="BM13" s="43">
        <v>96992</v>
      </c>
      <c r="BN13" s="43">
        <v>97211</v>
      </c>
      <c r="BO13" s="43">
        <v>97344</v>
      </c>
      <c r="BP13" s="43">
        <v>97457</v>
      </c>
      <c r="BQ13" s="43">
        <v>97510</v>
      </c>
      <c r="BR13" s="43">
        <v>97595</v>
      </c>
      <c r="BS13" s="43">
        <v>97567</v>
      </c>
      <c r="BT13" s="43">
        <v>97617</v>
      </c>
      <c r="BU13" s="43">
        <v>97669</v>
      </c>
      <c r="BV13" s="43">
        <v>97750</v>
      </c>
      <c r="BW13" s="43">
        <v>97820</v>
      </c>
      <c r="BX13" s="43">
        <v>97921</v>
      </c>
      <c r="BY13" s="43">
        <v>97995</v>
      </c>
      <c r="BZ13" s="43">
        <v>98224</v>
      </c>
      <c r="CA13" s="43">
        <v>98392</v>
      </c>
      <c r="CB13" s="43">
        <v>98465</v>
      </c>
      <c r="CC13" s="43">
        <v>98540</v>
      </c>
      <c r="CD13" s="43">
        <v>98632</v>
      </c>
      <c r="CE13" s="43">
        <v>98697</v>
      </c>
      <c r="CF13" s="43">
        <v>98762</v>
      </c>
      <c r="CG13" s="43">
        <v>98857</v>
      </c>
      <c r="CH13" s="43">
        <v>98896</v>
      </c>
      <c r="CI13" s="43">
        <v>98956</v>
      </c>
      <c r="CJ13" s="43">
        <v>99012</v>
      </c>
      <c r="CK13" s="43">
        <v>99062</v>
      </c>
      <c r="CL13" s="43">
        <v>99138</v>
      </c>
      <c r="CM13" s="43">
        <v>99160</v>
      </c>
      <c r="CN13" s="43">
        <v>99213</v>
      </c>
      <c r="CO13" s="43">
        <v>99246</v>
      </c>
      <c r="CP13" s="43">
        <v>99293</v>
      </c>
      <c r="CQ13" s="43">
        <v>99342</v>
      </c>
      <c r="CR13" s="43">
        <v>99366</v>
      </c>
      <c r="CS13" s="43">
        <v>99388</v>
      </c>
      <c r="CT13" s="43">
        <v>99413</v>
      </c>
      <c r="CU13" s="43">
        <v>99435</v>
      </c>
      <c r="CV13" s="43">
        <v>99445</v>
      </c>
      <c r="CW13" s="43">
        <v>99470</v>
      </c>
      <c r="CX13" s="43">
        <v>99490</v>
      </c>
      <c r="CY13" s="43">
        <v>99502</v>
      </c>
      <c r="CZ13" s="43">
        <v>99486</v>
      </c>
      <c r="DA13" s="43">
        <v>99499</v>
      </c>
      <c r="DB13" s="43">
        <v>99510</v>
      </c>
      <c r="DC13" s="43">
        <v>99544</v>
      </c>
      <c r="DD13" s="43">
        <v>99546</v>
      </c>
      <c r="DE13" s="43">
        <v>99561</v>
      </c>
      <c r="DF13" s="43">
        <v>99602</v>
      </c>
      <c r="DG13" s="43">
        <v>99584</v>
      </c>
      <c r="DH13" s="43">
        <v>99607</v>
      </c>
      <c r="DI13" s="43">
        <v>99587</v>
      </c>
      <c r="DJ13" s="43">
        <v>99611</v>
      </c>
      <c r="DK13" s="43">
        <v>99623</v>
      </c>
      <c r="DL13" s="43">
        <v>99623</v>
      </c>
      <c r="DM13" s="43">
        <v>99639</v>
      </c>
      <c r="DN13" s="43">
        <v>99654</v>
      </c>
      <c r="DO13" s="43">
        <v>99668</v>
      </c>
    </row>
    <row r="14" spans="1:119">
      <c r="A14" s="42">
        <v>12</v>
      </c>
      <c r="W14" s="43">
        <v>83952</v>
      </c>
      <c r="X14" s="43">
        <v>84701</v>
      </c>
      <c r="Y14" s="43">
        <v>84721</v>
      </c>
      <c r="Z14" s="43">
        <v>86689</v>
      </c>
      <c r="AA14" s="43">
        <v>87035</v>
      </c>
      <c r="AB14" s="43">
        <v>87515</v>
      </c>
      <c r="AC14" s="43">
        <v>88272</v>
      </c>
      <c r="AD14" s="43">
        <v>89026</v>
      </c>
      <c r="AE14" s="43">
        <v>88826</v>
      </c>
      <c r="AF14" s="43">
        <v>89786</v>
      </c>
      <c r="AG14" s="43">
        <v>90128</v>
      </c>
      <c r="AH14" s="43">
        <v>90149</v>
      </c>
      <c r="AI14" s="43">
        <v>90378</v>
      </c>
      <c r="AJ14" s="43">
        <v>91405</v>
      </c>
      <c r="AK14" s="43">
        <v>91321</v>
      </c>
      <c r="AL14" s="43">
        <v>91550</v>
      </c>
      <c r="AM14" s="43">
        <v>91759</v>
      </c>
      <c r="AN14" s="43">
        <v>92209</v>
      </c>
      <c r="AO14" s="43">
        <v>92190</v>
      </c>
      <c r="AP14" s="43">
        <v>92272</v>
      </c>
      <c r="AQ14" s="43">
        <v>92334</v>
      </c>
      <c r="AR14" s="43">
        <v>92352</v>
      </c>
      <c r="AS14" s="43">
        <v>91816</v>
      </c>
      <c r="AT14" s="43">
        <v>91143</v>
      </c>
      <c r="AU14" s="43">
        <v>90007</v>
      </c>
      <c r="AV14" s="43">
        <v>90200</v>
      </c>
      <c r="AW14" s="43">
        <v>90482</v>
      </c>
      <c r="AX14" s="43">
        <v>92466</v>
      </c>
      <c r="AY14" s="43">
        <v>94086</v>
      </c>
      <c r="AZ14" s="43">
        <v>94163</v>
      </c>
      <c r="BA14" s="43">
        <v>94207</v>
      </c>
      <c r="BB14" s="43">
        <v>94781</v>
      </c>
      <c r="BC14" s="43">
        <v>95031</v>
      </c>
      <c r="BD14" s="43">
        <v>95310</v>
      </c>
      <c r="BE14" s="43">
        <v>95421</v>
      </c>
      <c r="BF14" s="43">
        <v>95706</v>
      </c>
      <c r="BG14" s="43">
        <v>95861</v>
      </c>
      <c r="BH14" s="43">
        <v>96038</v>
      </c>
      <c r="BI14" s="43">
        <v>96117</v>
      </c>
      <c r="BJ14" s="43">
        <v>96306</v>
      </c>
      <c r="BK14" s="43">
        <v>96537</v>
      </c>
      <c r="BL14" s="43">
        <v>96793</v>
      </c>
      <c r="BM14" s="43">
        <v>96972</v>
      </c>
      <c r="BN14" s="43">
        <v>97188</v>
      </c>
      <c r="BO14" s="43">
        <v>97321</v>
      </c>
      <c r="BP14" s="43">
        <v>97435</v>
      </c>
      <c r="BQ14" s="43">
        <v>97490</v>
      </c>
      <c r="BR14" s="43">
        <v>97576</v>
      </c>
      <c r="BS14" s="43">
        <v>97547</v>
      </c>
      <c r="BT14" s="43">
        <v>97597</v>
      </c>
      <c r="BU14" s="43">
        <v>97653</v>
      </c>
      <c r="BV14" s="43">
        <v>97735</v>
      </c>
      <c r="BW14" s="43">
        <v>97805</v>
      </c>
      <c r="BX14" s="43">
        <v>97906</v>
      </c>
      <c r="BY14" s="43">
        <v>97985</v>
      </c>
      <c r="BZ14" s="43">
        <v>98205</v>
      </c>
      <c r="CA14" s="43">
        <v>98382</v>
      </c>
      <c r="CB14" s="43">
        <v>98452</v>
      </c>
      <c r="CC14" s="43">
        <v>98526</v>
      </c>
      <c r="CD14" s="43">
        <v>98616</v>
      </c>
      <c r="CE14" s="43">
        <v>98684</v>
      </c>
      <c r="CF14" s="43">
        <v>98749</v>
      </c>
      <c r="CG14" s="43">
        <v>98846</v>
      </c>
      <c r="CH14" s="43">
        <v>98884</v>
      </c>
      <c r="CI14" s="43">
        <v>98949</v>
      </c>
      <c r="CJ14" s="43">
        <v>99000</v>
      </c>
      <c r="CK14" s="43">
        <v>99051</v>
      </c>
      <c r="CL14" s="43">
        <v>99129</v>
      </c>
      <c r="CM14" s="43">
        <v>99151</v>
      </c>
      <c r="CN14" s="43">
        <v>99203</v>
      </c>
      <c r="CO14" s="43">
        <v>99237</v>
      </c>
      <c r="CP14" s="43">
        <v>99283</v>
      </c>
      <c r="CQ14" s="43">
        <v>99334</v>
      </c>
      <c r="CR14" s="43">
        <v>99354</v>
      </c>
      <c r="CS14" s="43">
        <v>99381</v>
      </c>
      <c r="CT14" s="43">
        <v>99404</v>
      </c>
      <c r="CU14" s="43">
        <v>99429</v>
      </c>
      <c r="CV14" s="43">
        <v>99435</v>
      </c>
      <c r="CW14" s="43">
        <v>99462</v>
      </c>
      <c r="CX14" s="43">
        <v>99485</v>
      </c>
      <c r="CY14" s="43">
        <v>99496</v>
      </c>
      <c r="CZ14" s="43">
        <v>99480</v>
      </c>
      <c r="DA14" s="43">
        <v>99494</v>
      </c>
      <c r="DB14" s="43">
        <v>99504</v>
      </c>
      <c r="DC14" s="43">
        <v>99538</v>
      </c>
      <c r="DD14" s="43">
        <v>99540</v>
      </c>
      <c r="DE14" s="43">
        <v>99556</v>
      </c>
      <c r="DF14" s="43">
        <v>99597</v>
      </c>
      <c r="DG14" s="43">
        <v>99579</v>
      </c>
      <c r="DH14" s="43">
        <v>99602</v>
      </c>
      <c r="DI14" s="43">
        <v>99582</v>
      </c>
      <c r="DJ14" s="43">
        <v>99606</v>
      </c>
      <c r="DK14" s="43">
        <v>99618</v>
      </c>
      <c r="DL14" s="43">
        <v>99619</v>
      </c>
      <c r="DM14" s="43">
        <v>99634</v>
      </c>
      <c r="DN14" s="43">
        <v>99650</v>
      </c>
      <c r="DO14" s="43">
        <v>99664</v>
      </c>
    </row>
    <row r="15" spans="1:119">
      <c r="A15" s="42">
        <v>13</v>
      </c>
      <c r="W15" s="43">
        <v>83869</v>
      </c>
      <c r="X15" s="43">
        <v>84617</v>
      </c>
      <c r="Y15" s="43">
        <v>84611</v>
      </c>
      <c r="Z15" s="43">
        <v>86576</v>
      </c>
      <c r="AA15" s="43">
        <v>86931</v>
      </c>
      <c r="AB15" s="43">
        <v>87419</v>
      </c>
      <c r="AC15" s="43">
        <v>88166</v>
      </c>
      <c r="AD15" s="43">
        <v>88919</v>
      </c>
      <c r="AE15" s="43">
        <v>88720</v>
      </c>
      <c r="AF15" s="43">
        <v>89678</v>
      </c>
      <c r="AG15" s="43">
        <v>90009</v>
      </c>
      <c r="AH15" s="43">
        <v>90014</v>
      </c>
      <c r="AI15" s="43">
        <v>90216</v>
      </c>
      <c r="AJ15" s="43">
        <v>91323</v>
      </c>
      <c r="AK15" s="43">
        <v>91239</v>
      </c>
      <c r="AL15" s="43">
        <v>91486</v>
      </c>
      <c r="AM15" s="43">
        <v>91715</v>
      </c>
      <c r="AN15" s="43">
        <v>92164</v>
      </c>
      <c r="AO15" s="43">
        <v>92146</v>
      </c>
      <c r="AP15" s="43">
        <v>92239</v>
      </c>
      <c r="AQ15" s="43">
        <v>92302</v>
      </c>
      <c r="AR15" s="43">
        <v>92323</v>
      </c>
      <c r="AS15" s="43">
        <v>91786</v>
      </c>
      <c r="AT15" s="43">
        <v>91114</v>
      </c>
      <c r="AU15" s="43">
        <v>89979</v>
      </c>
      <c r="AV15" s="43">
        <v>90173</v>
      </c>
      <c r="AW15" s="43">
        <v>90452</v>
      </c>
      <c r="AX15" s="43">
        <v>92441</v>
      </c>
      <c r="AY15" s="43">
        <v>94055</v>
      </c>
      <c r="AZ15" s="43">
        <v>94140</v>
      </c>
      <c r="BA15" s="43">
        <v>94178</v>
      </c>
      <c r="BB15" s="43">
        <v>94751</v>
      </c>
      <c r="BC15" s="43">
        <v>95003</v>
      </c>
      <c r="BD15" s="43">
        <v>95284</v>
      </c>
      <c r="BE15" s="43">
        <v>95396</v>
      </c>
      <c r="BF15" s="43">
        <v>95681</v>
      </c>
      <c r="BG15" s="43">
        <v>95837</v>
      </c>
      <c r="BH15" s="43">
        <v>96011</v>
      </c>
      <c r="BI15" s="43">
        <v>96093</v>
      </c>
      <c r="BJ15" s="43">
        <v>96279</v>
      </c>
      <c r="BK15" s="43">
        <v>96516</v>
      </c>
      <c r="BL15" s="43">
        <v>96771</v>
      </c>
      <c r="BM15" s="43">
        <v>96948</v>
      </c>
      <c r="BN15" s="43">
        <v>97165</v>
      </c>
      <c r="BO15" s="43">
        <v>97299</v>
      </c>
      <c r="BP15" s="43">
        <v>97414</v>
      </c>
      <c r="BQ15" s="43">
        <v>97473</v>
      </c>
      <c r="BR15" s="43">
        <v>97555</v>
      </c>
      <c r="BS15" s="43">
        <v>97528</v>
      </c>
      <c r="BT15" s="43">
        <v>97580</v>
      </c>
      <c r="BU15" s="43">
        <v>97634</v>
      </c>
      <c r="BV15" s="43">
        <v>97723</v>
      </c>
      <c r="BW15" s="43">
        <v>97791</v>
      </c>
      <c r="BX15" s="43">
        <v>97891</v>
      </c>
      <c r="BY15" s="43">
        <v>97970</v>
      </c>
      <c r="BZ15" s="43">
        <v>98193</v>
      </c>
      <c r="CA15" s="43">
        <v>98370</v>
      </c>
      <c r="CB15" s="43">
        <v>98439</v>
      </c>
      <c r="CC15" s="43">
        <v>98513</v>
      </c>
      <c r="CD15" s="43">
        <v>98601</v>
      </c>
      <c r="CE15" s="43">
        <v>98671</v>
      </c>
      <c r="CF15" s="43">
        <v>98738</v>
      </c>
      <c r="CG15" s="43">
        <v>98834</v>
      </c>
      <c r="CH15" s="43">
        <v>98872</v>
      </c>
      <c r="CI15" s="43">
        <v>98938</v>
      </c>
      <c r="CJ15" s="43">
        <v>98990</v>
      </c>
      <c r="CK15" s="43">
        <v>99042</v>
      </c>
      <c r="CL15" s="43">
        <v>99117</v>
      </c>
      <c r="CM15" s="43">
        <v>99141</v>
      </c>
      <c r="CN15" s="43">
        <v>99194</v>
      </c>
      <c r="CO15" s="43">
        <v>99230</v>
      </c>
      <c r="CP15" s="43">
        <v>99274</v>
      </c>
      <c r="CQ15" s="43">
        <v>99326</v>
      </c>
      <c r="CR15" s="43">
        <v>99346</v>
      </c>
      <c r="CS15" s="43">
        <v>99374</v>
      </c>
      <c r="CT15" s="43">
        <v>99397</v>
      </c>
      <c r="CU15" s="43">
        <v>99423</v>
      </c>
      <c r="CV15" s="43">
        <v>99428</v>
      </c>
      <c r="CW15" s="43">
        <v>99453</v>
      </c>
      <c r="CX15" s="43">
        <v>99477</v>
      </c>
      <c r="CY15" s="43">
        <v>99490</v>
      </c>
      <c r="CZ15" s="43">
        <v>99471</v>
      </c>
      <c r="DA15" s="43">
        <v>99486</v>
      </c>
      <c r="DB15" s="43">
        <v>99496</v>
      </c>
      <c r="DC15" s="43">
        <v>99531</v>
      </c>
      <c r="DD15" s="43">
        <v>99533</v>
      </c>
      <c r="DE15" s="43">
        <v>99549</v>
      </c>
      <c r="DF15" s="43">
        <v>99590</v>
      </c>
      <c r="DG15" s="43">
        <v>99573</v>
      </c>
      <c r="DH15" s="43">
        <v>99596</v>
      </c>
      <c r="DI15" s="43">
        <v>99576</v>
      </c>
      <c r="DJ15" s="43">
        <v>99601</v>
      </c>
      <c r="DK15" s="43">
        <v>99613</v>
      </c>
      <c r="DL15" s="43">
        <v>99614</v>
      </c>
      <c r="DM15" s="43">
        <v>99630</v>
      </c>
      <c r="DN15" s="43">
        <v>99645</v>
      </c>
      <c r="DO15" s="43">
        <v>99660</v>
      </c>
    </row>
    <row r="16" spans="1:119">
      <c r="A16" s="42">
        <v>14</v>
      </c>
      <c r="W16" s="43">
        <v>83782</v>
      </c>
      <c r="X16" s="43">
        <v>84500</v>
      </c>
      <c r="Y16" s="43">
        <v>84494</v>
      </c>
      <c r="Z16" s="43">
        <v>86466</v>
      </c>
      <c r="AA16" s="43">
        <v>86826</v>
      </c>
      <c r="AB16" s="43">
        <v>87307</v>
      </c>
      <c r="AC16" s="43">
        <v>88053</v>
      </c>
      <c r="AD16" s="43">
        <v>88805</v>
      </c>
      <c r="AE16" s="43">
        <v>88606</v>
      </c>
      <c r="AF16" s="43">
        <v>89552</v>
      </c>
      <c r="AG16" s="43">
        <v>89865</v>
      </c>
      <c r="AH16" s="43">
        <v>89842</v>
      </c>
      <c r="AI16" s="43">
        <v>90130</v>
      </c>
      <c r="AJ16" s="43">
        <v>91236</v>
      </c>
      <c r="AK16" s="43">
        <v>91171</v>
      </c>
      <c r="AL16" s="43">
        <v>91438</v>
      </c>
      <c r="AM16" s="43">
        <v>91668</v>
      </c>
      <c r="AN16" s="43">
        <v>92116</v>
      </c>
      <c r="AO16" s="43">
        <v>92107</v>
      </c>
      <c r="AP16" s="43">
        <v>92202</v>
      </c>
      <c r="AQ16" s="43">
        <v>92269</v>
      </c>
      <c r="AR16" s="43">
        <v>92293</v>
      </c>
      <c r="AS16" s="43">
        <v>91757</v>
      </c>
      <c r="AT16" s="43">
        <v>91082</v>
      </c>
      <c r="AU16" s="43">
        <v>89948</v>
      </c>
      <c r="AV16" s="43">
        <v>90144</v>
      </c>
      <c r="AW16" s="43">
        <v>90423</v>
      </c>
      <c r="AX16" s="43">
        <v>92411</v>
      </c>
      <c r="AY16" s="43">
        <v>94028</v>
      </c>
      <c r="AZ16" s="43">
        <v>94114</v>
      </c>
      <c r="BA16" s="43">
        <v>94152</v>
      </c>
      <c r="BB16" s="43">
        <v>94721</v>
      </c>
      <c r="BC16" s="43">
        <v>94977</v>
      </c>
      <c r="BD16" s="43">
        <v>95257</v>
      </c>
      <c r="BE16" s="43">
        <v>95368</v>
      </c>
      <c r="BF16" s="43">
        <v>95653</v>
      </c>
      <c r="BG16" s="43">
        <v>95809</v>
      </c>
      <c r="BH16" s="43">
        <v>95985</v>
      </c>
      <c r="BI16" s="43">
        <v>96066</v>
      </c>
      <c r="BJ16" s="43">
        <v>96258</v>
      </c>
      <c r="BK16" s="43">
        <v>96493</v>
      </c>
      <c r="BL16" s="43">
        <v>96747</v>
      </c>
      <c r="BM16" s="43">
        <v>96925</v>
      </c>
      <c r="BN16" s="43">
        <v>97143</v>
      </c>
      <c r="BO16" s="43">
        <v>97276</v>
      </c>
      <c r="BP16" s="43">
        <v>97393</v>
      </c>
      <c r="BQ16" s="43">
        <v>97453</v>
      </c>
      <c r="BR16" s="43">
        <v>97538</v>
      </c>
      <c r="BS16" s="43">
        <v>97509</v>
      </c>
      <c r="BT16" s="43">
        <v>97563</v>
      </c>
      <c r="BU16" s="43">
        <v>97616</v>
      </c>
      <c r="BV16" s="43">
        <v>97708</v>
      </c>
      <c r="BW16" s="43">
        <v>97776</v>
      </c>
      <c r="BX16" s="43">
        <v>97872</v>
      </c>
      <c r="BY16" s="43">
        <v>97956</v>
      </c>
      <c r="BZ16" s="43">
        <v>98176</v>
      </c>
      <c r="CA16" s="43">
        <v>98355</v>
      </c>
      <c r="CB16" s="43">
        <v>98426</v>
      </c>
      <c r="CC16" s="43">
        <v>98499</v>
      </c>
      <c r="CD16" s="43">
        <v>98585</v>
      </c>
      <c r="CE16" s="43">
        <v>98659</v>
      </c>
      <c r="CF16" s="43">
        <v>98723</v>
      </c>
      <c r="CG16" s="43">
        <v>98823</v>
      </c>
      <c r="CH16" s="43">
        <v>98857</v>
      </c>
      <c r="CI16" s="43">
        <v>98928</v>
      </c>
      <c r="CJ16" s="43">
        <v>98978</v>
      </c>
      <c r="CK16" s="43">
        <v>99031</v>
      </c>
      <c r="CL16" s="43">
        <v>99102</v>
      </c>
      <c r="CM16" s="43">
        <v>99133</v>
      </c>
      <c r="CN16" s="43">
        <v>99186</v>
      </c>
      <c r="CO16" s="43">
        <v>99221</v>
      </c>
      <c r="CP16" s="43">
        <v>99262</v>
      </c>
      <c r="CQ16" s="43">
        <v>99314</v>
      </c>
      <c r="CR16" s="43">
        <v>99336</v>
      </c>
      <c r="CS16" s="43">
        <v>99363</v>
      </c>
      <c r="CT16" s="43">
        <v>99389</v>
      </c>
      <c r="CU16" s="43">
        <v>99417</v>
      </c>
      <c r="CV16" s="43">
        <v>99416</v>
      </c>
      <c r="CW16" s="43">
        <v>99446</v>
      </c>
      <c r="CX16" s="43">
        <v>99469</v>
      </c>
      <c r="CY16" s="43">
        <v>99481</v>
      </c>
      <c r="CZ16" s="43">
        <v>99463</v>
      </c>
      <c r="DA16" s="43">
        <v>99478</v>
      </c>
      <c r="DB16" s="43">
        <v>99488</v>
      </c>
      <c r="DC16" s="43">
        <v>99523</v>
      </c>
      <c r="DD16" s="43">
        <v>99526</v>
      </c>
      <c r="DE16" s="43">
        <v>99542</v>
      </c>
      <c r="DF16" s="43">
        <v>99583</v>
      </c>
      <c r="DG16" s="43">
        <v>99566</v>
      </c>
      <c r="DH16" s="43">
        <v>99590</v>
      </c>
      <c r="DI16" s="43">
        <v>99570</v>
      </c>
      <c r="DJ16" s="43">
        <v>99595</v>
      </c>
      <c r="DK16" s="43">
        <v>99607</v>
      </c>
      <c r="DL16" s="43">
        <v>99608</v>
      </c>
      <c r="DM16" s="43">
        <v>99624</v>
      </c>
      <c r="DN16" s="43">
        <v>99640</v>
      </c>
      <c r="DO16" s="43">
        <v>99655</v>
      </c>
    </row>
    <row r="17" spans="1:119">
      <c r="A17" s="42">
        <v>15</v>
      </c>
      <c r="W17" s="43">
        <v>83660</v>
      </c>
      <c r="X17" s="43">
        <v>84377</v>
      </c>
      <c r="Y17" s="43">
        <v>84380</v>
      </c>
      <c r="Z17" s="43">
        <v>86353</v>
      </c>
      <c r="AA17" s="43">
        <v>86708</v>
      </c>
      <c r="AB17" s="43">
        <v>87189</v>
      </c>
      <c r="AC17" s="43">
        <v>87933</v>
      </c>
      <c r="AD17" s="43">
        <v>88685</v>
      </c>
      <c r="AE17" s="43">
        <v>88474</v>
      </c>
      <c r="AF17" s="43">
        <v>89400</v>
      </c>
      <c r="AG17" s="43">
        <v>89682</v>
      </c>
      <c r="AH17" s="43">
        <v>89742</v>
      </c>
      <c r="AI17" s="43">
        <v>90030</v>
      </c>
      <c r="AJ17" s="43">
        <v>91157</v>
      </c>
      <c r="AK17" s="43">
        <v>91118</v>
      </c>
      <c r="AL17" s="43">
        <v>91384</v>
      </c>
      <c r="AM17" s="43">
        <v>91613</v>
      </c>
      <c r="AN17" s="43">
        <v>92076</v>
      </c>
      <c r="AO17" s="43">
        <v>92071</v>
      </c>
      <c r="AP17" s="43">
        <v>92169</v>
      </c>
      <c r="AQ17" s="43">
        <v>92233</v>
      </c>
      <c r="AR17" s="43">
        <v>92261</v>
      </c>
      <c r="AS17" s="43">
        <v>91718</v>
      </c>
      <c r="AT17" s="43">
        <v>91042</v>
      </c>
      <c r="AU17" s="43">
        <v>89914</v>
      </c>
      <c r="AV17" s="43">
        <v>90119</v>
      </c>
      <c r="AW17" s="43">
        <v>90389</v>
      </c>
      <c r="AX17" s="43">
        <v>92382</v>
      </c>
      <c r="AY17" s="43">
        <v>93998</v>
      </c>
      <c r="AZ17" s="43">
        <v>94084</v>
      </c>
      <c r="BA17" s="43">
        <v>94119</v>
      </c>
      <c r="BB17" s="43">
        <v>94690</v>
      </c>
      <c r="BC17" s="43">
        <v>94946</v>
      </c>
      <c r="BD17" s="43">
        <v>95227</v>
      </c>
      <c r="BE17" s="43">
        <v>95330</v>
      </c>
      <c r="BF17" s="43">
        <v>95621</v>
      </c>
      <c r="BG17" s="43">
        <v>95778</v>
      </c>
      <c r="BH17" s="43">
        <v>95956</v>
      </c>
      <c r="BI17" s="43">
        <v>96037</v>
      </c>
      <c r="BJ17" s="43">
        <v>96226</v>
      </c>
      <c r="BK17" s="43">
        <v>96464</v>
      </c>
      <c r="BL17" s="43">
        <v>96720</v>
      </c>
      <c r="BM17" s="43">
        <v>96899</v>
      </c>
      <c r="BN17" s="43">
        <v>97114</v>
      </c>
      <c r="BO17" s="43">
        <v>97249</v>
      </c>
      <c r="BP17" s="43">
        <v>97370</v>
      </c>
      <c r="BQ17" s="43">
        <v>97431</v>
      </c>
      <c r="BR17" s="43">
        <v>97515</v>
      </c>
      <c r="BS17" s="43">
        <v>97490</v>
      </c>
      <c r="BT17" s="43">
        <v>97542</v>
      </c>
      <c r="BU17" s="43">
        <v>97597</v>
      </c>
      <c r="BV17" s="43">
        <v>97690</v>
      </c>
      <c r="BW17" s="43">
        <v>97760</v>
      </c>
      <c r="BX17" s="43">
        <v>97855</v>
      </c>
      <c r="BY17" s="43">
        <v>97941</v>
      </c>
      <c r="BZ17" s="43">
        <v>98149</v>
      </c>
      <c r="CA17" s="43">
        <v>98343</v>
      </c>
      <c r="CB17" s="43">
        <v>98409</v>
      </c>
      <c r="CC17" s="43">
        <v>98484</v>
      </c>
      <c r="CD17" s="43">
        <v>98568</v>
      </c>
      <c r="CE17" s="43">
        <v>98643</v>
      </c>
      <c r="CF17" s="43">
        <v>98710</v>
      </c>
      <c r="CG17" s="43">
        <v>98810</v>
      </c>
      <c r="CH17" s="43">
        <v>98843</v>
      </c>
      <c r="CI17" s="43">
        <v>98914</v>
      </c>
      <c r="CJ17" s="43">
        <v>98962</v>
      </c>
      <c r="CK17" s="43">
        <v>99018</v>
      </c>
      <c r="CL17" s="43">
        <v>99090</v>
      </c>
      <c r="CM17" s="43">
        <v>99121</v>
      </c>
      <c r="CN17" s="43">
        <v>99175</v>
      </c>
      <c r="CO17" s="43">
        <v>99206</v>
      </c>
      <c r="CP17" s="43">
        <v>99252</v>
      </c>
      <c r="CQ17" s="43">
        <v>99302</v>
      </c>
      <c r="CR17" s="43">
        <v>99323</v>
      </c>
      <c r="CS17" s="43">
        <v>99353</v>
      </c>
      <c r="CT17" s="43">
        <v>99379</v>
      </c>
      <c r="CU17" s="43">
        <v>99408</v>
      </c>
      <c r="CV17" s="43">
        <v>99407</v>
      </c>
      <c r="CW17" s="43">
        <v>99436</v>
      </c>
      <c r="CX17" s="43">
        <v>99458</v>
      </c>
      <c r="CY17" s="43">
        <v>99471</v>
      </c>
      <c r="CZ17" s="43">
        <v>99453</v>
      </c>
      <c r="DA17" s="43">
        <v>99469</v>
      </c>
      <c r="DB17" s="43">
        <v>99479</v>
      </c>
      <c r="DC17" s="43">
        <v>99515</v>
      </c>
      <c r="DD17" s="43">
        <v>99518</v>
      </c>
      <c r="DE17" s="43">
        <v>99534</v>
      </c>
      <c r="DF17" s="43">
        <v>99576</v>
      </c>
      <c r="DG17" s="43">
        <v>99559</v>
      </c>
      <c r="DH17" s="43">
        <v>99582</v>
      </c>
      <c r="DI17" s="43">
        <v>99563</v>
      </c>
      <c r="DJ17" s="43">
        <v>99588</v>
      </c>
      <c r="DK17" s="43">
        <v>99601</v>
      </c>
      <c r="DL17" s="43">
        <v>99602</v>
      </c>
      <c r="DM17" s="43">
        <v>99618</v>
      </c>
      <c r="DN17" s="43">
        <v>99634</v>
      </c>
      <c r="DO17" s="43">
        <v>99649</v>
      </c>
    </row>
    <row r="18" spans="1:119">
      <c r="A18" s="42">
        <v>16</v>
      </c>
      <c r="W18" s="43">
        <v>83531</v>
      </c>
      <c r="X18" s="43">
        <v>84256</v>
      </c>
      <c r="Y18" s="43">
        <v>84262</v>
      </c>
      <c r="Z18" s="43">
        <v>86229</v>
      </c>
      <c r="AA18" s="43">
        <v>86584</v>
      </c>
      <c r="AB18" s="43">
        <v>87063</v>
      </c>
      <c r="AC18" s="43">
        <v>87807</v>
      </c>
      <c r="AD18" s="43">
        <v>88544</v>
      </c>
      <c r="AE18" s="43">
        <v>88315</v>
      </c>
      <c r="AF18" s="43">
        <v>89194</v>
      </c>
      <c r="AG18" s="43">
        <v>89562</v>
      </c>
      <c r="AH18" s="43">
        <v>89622</v>
      </c>
      <c r="AI18" s="43">
        <v>89936</v>
      </c>
      <c r="AJ18" s="43">
        <v>91095</v>
      </c>
      <c r="AK18" s="43">
        <v>91056</v>
      </c>
      <c r="AL18" s="43">
        <v>91322</v>
      </c>
      <c r="AM18" s="43">
        <v>91567</v>
      </c>
      <c r="AN18" s="43">
        <v>92031</v>
      </c>
      <c r="AO18" s="43">
        <v>92025</v>
      </c>
      <c r="AP18" s="43">
        <v>92125</v>
      </c>
      <c r="AQ18" s="43">
        <v>92190</v>
      </c>
      <c r="AR18" s="43">
        <v>92215</v>
      </c>
      <c r="AS18" s="43">
        <v>91679</v>
      </c>
      <c r="AT18" s="43">
        <v>91004</v>
      </c>
      <c r="AU18" s="43">
        <v>89876</v>
      </c>
      <c r="AV18" s="43">
        <v>90083</v>
      </c>
      <c r="AW18" s="43">
        <v>90353</v>
      </c>
      <c r="AX18" s="43">
        <v>92349</v>
      </c>
      <c r="AY18" s="43">
        <v>93964</v>
      </c>
      <c r="AZ18" s="43">
        <v>94047</v>
      </c>
      <c r="BA18" s="43">
        <v>94082</v>
      </c>
      <c r="BB18" s="43">
        <v>94652</v>
      </c>
      <c r="BC18" s="43">
        <v>94906</v>
      </c>
      <c r="BD18" s="43">
        <v>95187</v>
      </c>
      <c r="BE18" s="43">
        <v>95284</v>
      </c>
      <c r="BF18" s="43">
        <v>95579</v>
      </c>
      <c r="BG18" s="43">
        <v>95740</v>
      </c>
      <c r="BH18" s="43">
        <v>95919</v>
      </c>
      <c r="BI18" s="43">
        <v>96000</v>
      </c>
      <c r="BJ18" s="43">
        <v>96185</v>
      </c>
      <c r="BK18" s="43">
        <v>96421</v>
      </c>
      <c r="BL18" s="43">
        <v>96679</v>
      </c>
      <c r="BM18" s="43">
        <v>96861</v>
      </c>
      <c r="BN18" s="43">
        <v>97079</v>
      </c>
      <c r="BO18" s="43">
        <v>97216</v>
      </c>
      <c r="BP18" s="43">
        <v>97337</v>
      </c>
      <c r="BQ18" s="43">
        <v>97403</v>
      </c>
      <c r="BR18" s="43">
        <v>97485</v>
      </c>
      <c r="BS18" s="43">
        <v>97463</v>
      </c>
      <c r="BT18" s="43">
        <v>97517</v>
      </c>
      <c r="BU18" s="43">
        <v>97574</v>
      </c>
      <c r="BV18" s="43">
        <v>97669</v>
      </c>
      <c r="BW18" s="43">
        <v>97740</v>
      </c>
      <c r="BX18" s="43">
        <v>97834</v>
      </c>
      <c r="BY18" s="43">
        <v>97919</v>
      </c>
      <c r="BZ18" s="43">
        <v>98129</v>
      </c>
      <c r="CA18" s="43">
        <v>98320</v>
      </c>
      <c r="CB18" s="43">
        <v>98391</v>
      </c>
      <c r="CC18" s="43">
        <v>98460</v>
      </c>
      <c r="CD18" s="43">
        <v>98542</v>
      </c>
      <c r="CE18" s="43">
        <v>98625</v>
      </c>
      <c r="CF18" s="43">
        <v>98688</v>
      </c>
      <c r="CG18" s="43">
        <v>98791</v>
      </c>
      <c r="CH18" s="43">
        <v>98824</v>
      </c>
      <c r="CI18" s="43">
        <v>98896</v>
      </c>
      <c r="CJ18" s="43">
        <v>98944</v>
      </c>
      <c r="CK18" s="43">
        <v>99002</v>
      </c>
      <c r="CL18" s="43">
        <v>99073</v>
      </c>
      <c r="CM18" s="43">
        <v>99105</v>
      </c>
      <c r="CN18" s="43">
        <v>99160</v>
      </c>
      <c r="CO18" s="43">
        <v>99193</v>
      </c>
      <c r="CP18" s="43">
        <v>99238</v>
      </c>
      <c r="CQ18" s="43">
        <v>99289</v>
      </c>
      <c r="CR18" s="43">
        <v>99308</v>
      </c>
      <c r="CS18" s="43">
        <v>99340</v>
      </c>
      <c r="CT18" s="43">
        <v>99370</v>
      </c>
      <c r="CU18" s="43">
        <v>99395</v>
      </c>
      <c r="CV18" s="43">
        <v>99394</v>
      </c>
      <c r="CW18" s="43">
        <v>99424</v>
      </c>
      <c r="CX18" s="43">
        <v>99446</v>
      </c>
      <c r="CY18" s="43">
        <v>99460</v>
      </c>
      <c r="CZ18" s="43">
        <v>99442</v>
      </c>
      <c r="DA18" s="43">
        <v>99458</v>
      </c>
      <c r="DB18" s="43">
        <v>99469</v>
      </c>
      <c r="DC18" s="43">
        <v>99505</v>
      </c>
      <c r="DD18" s="43">
        <v>99508</v>
      </c>
      <c r="DE18" s="43">
        <v>99525</v>
      </c>
      <c r="DF18" s="43">
        <v>99567</v>
      </c>
      <c r="DG18" s="43">
        <v>99550</v>
      </c>
      <c r="DH18" s="43">
        <v>99574</v>
      </c>
      <c r="DI18" s="43">
        <v>99555</v>
      </c>
      <c r="DJ18" s="43">
        <v>99580</v>
      </c>
      <c r="DK18" s="43">
        <v>99593</v>
      </c>
      <c r="DL18" s="43">
        <v>99594</v>
      </c>
      <c r="DM18" s="43">
        <v>99611</v>
      </c>
      <c r="DN18" s="43">
        <v>99627</v>
      </c>
      <c r="DO18" s="43">
        <v>99642</v>
      </c>
    </row>
    <row r="19" spans="1:119">
      <c r="A19" s="42">
        <v>17</v>
      </c>
      <c r="W19" s="43">
        <v>83405</v>
      </c>
      <c r="X19" s="43">
        <v>84129</v>
      </c>
      <c r="Y19" s="43">
        <v>84134</v>
      </c>
      <c r="Z19" s="43">
        <v>86098</v>
      </c>
      <c r="AA19" s="43">
        <v>86452</v>
      </c>
      <c r="AB19" s="43">
        <v>86931</v>
      </c>
      <c r="AC19" s="43">
        <v>87660</v>
      </c>
      <c r="AD19" s="43">
        <v>88376</v>
      </c>
      <c r="AE19" s="43">
        <v>88087</v>
      </c>
      <c r="AF19" s="43">
        <v>89056</v>
      </c>
      <c r="AG19" s="43">
        <v>89423</v>
      </c>
      <c r="AH19" s="43">
        <v>89514</v>
      </c>
      <c r="AI19" s="43">
        <v>89866</v>
      </c>
      <c r="AJ19" s="43">
        <v>91024</v>
      </c>
      <c r="AK19" s="43">
        <v>90985</v>
      </c>
      <c r="AL19" s="43">
        <v>91263</v>
      </c>
      <c r="AM19" s="43">
        <v>91514</v>
      </c>
      <c r="AN19" s="43">
        <v>91985</v>
      </c>
      <c r="AO19" s="43">
        <v>91980</v>
      </c>
      <c r="AP19" s="43">
        <v>92082</v>
      </c>
      <c r="AQ19" s="43">
        <v>92140</v>
      </c>
      <c r="AR19" s="43">
        <v>92169</v>
      </c>
      <c r="AS19" s="43">
        <v>91635</v>
      </c>
      <c r="AT19" s="43">
        <v>90961</v>
      </c>
      <c r="AU19" s="43">
        <v>89834</v>
      </c>
      <c r="AV19" s="43">
        <v>90038</v>
      </c>
      <c r="AW19" s="43">
        <v>90311</v>
      </c>
      <c r="AX19" s="43">
        <v>92308</v>
      </c>
      <c r="AY19" s="43">
        <v>93921</v>
      </c>
      <c r="AZ19" s="43">
        <v>93998</v>
      </c>
      <c r="BA19" s="43">
        <v>94037</v>
      </c>
      <c r="BB19" s="43">
        <v>94611</v>
      </c>
      <c r="BC19" s="43">
        <v>94856</v>
      </c>
      <c r="BD19" s="43">
        <v>95135</v>
      </c>
      <c r="BE19" s="43">
        <v>95225</v>
      </c>
      <c r="BF19" s="43">
        <v>95529</v>
      </c>
      <c r="BG19" s="43">
        <v>95693</v>
      </c>
      <c r="BH19" s="43">
        <v>95873</v>
      </c>
      <c r="BI19" s="43">
        <v>95950</v>
      </c>
      <c r="BJ19" s="43">
        <v>96132</v>
      </c>
      <c r="BK19" s="43">
        <v>96367</v>
      </c>
      <c r="BL19" s="43">
        <v>96632</v>
      </c>
      <c r="BM19" s="43">
        <v>96815</v>
      </c>
      <c r="BN19" s="43">
        <v>97034</v>
      </c>
      <c r="BO19" s="43">
        <v>97177</v>
      </c>
      <c r="BP19" s="43">
        <v>97296</v>
      </c>
      <c r="BQ19" s="43">
        <v>97369</v>
      </c>
      <c r="BR19" s="43">
        <v>97452</v>
      </c>
      <c r="BS19" s="43">
        <v>97433</v>
      </c>
      <c r="BT19" s="43">
        <v>97487</v>
      </c>
      <c r="BU19" s="43">
        <v>97548</v>
      </c>
      <c r="BV19" s="43">
        <v>97642</v>
      </c>
      <c r="BW19" s="43">
        <v>97715</v>
      </c>
      <c r="BX19" s="43">
        <v>97811</v>
      </c>
      <c r="BY19" s="43">
        <v>97890</v>
      </c>
      <c r="BZ19" s="43">
        <v>98104</v>
      </c>
      <c r="CA19" s="43">
        <v>98289</v>
      </c>
      <c r="CB19" s="43">
        <v>98362</v>
      </c>
      <c r="CC19" s="43">
        <v>98433</v>
      </c>
      <c r="CD19" s="43">
        <v>98516</v>
      </c>
      <c r="CE19" s="43">
        <v>98598</v>
      </c>
      <c r="CF19" s="43">
        <v>98667</v>
      </c>
      <c r="CG19" s="43">
        <v>98770</v>
      </c>
      <c r="CH19" s="43">
        <v>98803</v>
      </c>
      <c r="CI19" s="43">
        <v>98876</v>
      </c>
      <c r="CJ19" s="43">
        <v>98924</v>
      </c>
      <c r="CK19" s="43">
        <v>98980</v>
      </c>
      <c r="CL19" s="43">
        <v>99056</v>
      </c>
      <c r="CM19" s="43">
        <v>99092</v>
      </c>
      <c r="CN19" s="43">
        <v>99142</v>
      </c>
      <c r="CO19" s="43">
        <v>99178</v>
      </c>
      <c r="CP19" s="43">
        <v>99221</v>
      </c>
      <c r="CQ19" s="43">
        <v>99275</v>
      </c>
      <c r="CR19" s="43">
        <v>99292</v>
      </c>
      <c r="CS19" s="43">
        <v>99330</v>
      </c>
      <c r="CT19" s="43">
        <v>99359</v>
      </c>
      <c r="CU19" s="43">
        <v>99379</v>
      </c>
      <c r="CV19" s="43">
        <v>99379</v>
      </c>
      <c r="CW19" s="43">
        <v>99410</v>
      </c>
      <c r="CX19" s="43">
        <v>99434</v>
      </c>
      <c r="CY19" s="43">
        <v>99448</v>
      </c>
      <c r="CZ19" s="43">
        <v>99430</v>
      </c>
      <c r="DA19" s="43">
        <v>99447</v>
      </c>
      <c r="DB19" s="43">
        <v>99458</v>
      </c>
      <c r="DC19" s="43">
        <v>99494</v>
      </c>
      <c r="DD19" s="43">
        <v>99498</v>
      </c>
      <c r="DE19" s="43">
        <v>99515</v>
      </c>
      <c r="DF19" s="43">
        <v>99557</v>
      </c>
      <c r="DG19" s="43">
        <v>99541</v>
      </c>
      <c r="DH19" s="43">
        <v>99565</v>
      </c>
      <c r="DI19" s="43">
        <v>99546</v>
      </c>
      <c r="DJ19" s="43">
        <v>99572</v>
      </c>
      <c r="DK19" s="43">
        <v>99585</v>
      </c>
      <c r="DL19" s="43">
        <v>99586</v>
      </c>
      <c r="DM19" s="43">
        <v>99603</v>
      </c>
      <c r="DN19" s="43">
        <v>99620</v>
      </c>
      <c r="DO19" s="43">
        <v>99635</v>
      </c>
    </row>
    <row r="20" spans="1:119">
      <c r="A20" s="42">
        <v>18</v>
      </c>
      <c r="W20" s="43">
        <v>83271</v>
      </c>
      <c r="X20" s="43">
        <v>83995</v>
      </c>
      <c r="Y20" s="43">
        <v>83999</v>
      </c>
      <c r="Z20" s="43">
        <v>85961</v>
      </c>
      <c r="AA20" s="43">
        <v>86314</v>
      </c>
      <c r="AB20" s="43">
        <v>86778</v>
      </c>
      <c r="AC20" s="43">
        <v>87485</v>
      </c>
      <c r="AD20" s="43">
        <v>88122</v>
      </c>
      <c r="AE20" s="43">
        <v>87932</v>
      </c>
      <c r="AF20" s="43">
        <v>88899</v>
      </c>
      <c r="AG20" s="43">
        <v>89307</v>
      </c>
      <c r="AH20" s="43">
        <v>89437</v>
      </c>
      <c r="AI20" s="43">
        <v>89789</v>
      </c>
      <c r="AJ20" s="43">
        <v>90946</v>
      </c>
      <c r="AK20" s="43">
        <v>90922</v>
      </c>
      <c r="AL20" s="43">
        <v>91208</v>
      </c>
      <c r="AM20" s="43">
        <v>91457</v>
      </c>
      <c r="AN20" s="43">
        <v>91928</v>
      </c>
      <c r="AO20" s="43">
        <v>91933</v>
      </c>
      <c r="AP20" s="43">
        <v>92032</v>
      </c>
      <c r="AQ20" s="43">
        <v>92095</v>
      </c>
      <c r="AR20" s="43">
        <v>92116</v>
      </c>
      <c r="AS20" s="43">
        <v>91593</v>
      </c>
      <c r="AT20" s="43">
        <v>90912</v>
      </c>
      <c r="AU20" s="43">
        <v>89792</v>
      </c>
      <c r="AV20" s="43">
        <v>89994</v>
      </c>
      <c r="AW20" s="43">
        <v>90270</v>
      </c>
      <c r="AX20" s="43">
        <v>92265</v>
      </c>
      <c r="AY20" s="43">
        <v>93877</v>
      </c>
      <c r="AZ20" s="43">
        <v>93947</v>
      </c>
      <c r="BA20" s="43">
        <v>93990</v>
      </c>
      <c r="BB20" s="43">
        <v>94557</v>
      </c>
      <c r="BC20" s="43">
        <v>94806</v>
      </c>
      <c r="BD20" s="43">
        <v>95083</v>
      </c>
      <c r="BE20" s="43">
        <v>95171</v>
      </c>
      <c r="BF20" s="43">
        <v>95483</v>
      </c>
      <c r="BG20" s="43">
        <v>95644</v>
      </c>
      <c r="BH20" s="43">
        <v>95817</v>
      </c>
      <c r="BI20" s="43">
        <v>95896</v>
      </c>
      <c r="BJ20" s="43">
        <v>96080</v>
      </c>
      <c r="BK20" s="43">
        <v>96319</v>
      </c>
      <c r="BL20" s="43">
        <v>96584</v>
      </c>
      <c r="BM20" s="43">
        <v>96771</v>
      </c>
      <c r="BN20" s="43">
        <v>96986</v>
      </c>
      <c r="BO20" s="43">
        <v>97133</v>
      </c>
      <c r="BP20" s="43">
        <v>97253</v>
      </c>
      <c r="BQ20" s="43">
        <v>97334</v>
      </c>
      <c r="BR20" s="43">
        <v>97415</v>
      </c>
      <c r="BS20" s="43">
        <v>97402</v>
      </c>
      <c r="BT20" s="43">
        <v>97458</v>
      </c>
      <c r="BU20" s="43">
        <v>97517</v>
      </c>
      <c r="BV20" s="43">
        <v>97612</v>
      </c>
      <c r="BW20" s="43">
        <v>97688</v>
      </c>
      <c r="BX20" s="43">
        <v>97780</v>
      </c>
      <c r="BY20" s="43">
        <v>97861</v>
      </c>
      <c r="BZ20" s="43">
        <v>98074</v>
      </c>
      <c r="CA20" s="43">
        <v>98260</v>
      </c>
      <c r="CB20" s="43">
        <v>98335</v>
      </c>
      <c r="CC20" s="43">
        <v>98407</v>
      </c>
      <c r="CD20" s="43">
        <v>98493</v>
      </c>
      <c r="CE20" s="43">
        <v>98569</v>
      </c>
      <c r="CF20" s="43">
        <v>98635</v>
      </c>
      <c r="CG20" s="43">
        <v>98746</v>
      </c>
      <c r="CH20" s="43">
        <v>98781</v>
      </c>
      <c r="CI20" s="43">
        <v>98853</v>
      </c>
      <c r="CJ20" s="43">
        <v>98903</v>
      </c>
      <c r="CK20" s="43">
        <v>98961</v>
      </c>
      <c r="CL20" s="43">
        <v>99037</v>
      </c>
      <c r="CM20" s="43">
        <v>99075</v>
      </c>
      <c r="CN20" s="43">
        <v>99125</v>
      </c>
      <c r="CO20" s="43">
        <v>99161</v>
      </c>
      <c r="CP20" s="43">
        <v>99205</v>
      </c>
      <c r="CQ20" s="43">
        <v>99255</v>
      </c>
      <c r="CR20" s="43">
        <v>99278</v>
      </c>
      <c r="CS20" s="43">
        <v>99317</v>
      </c>
      <c r="CT20" s="43">
        <v>99343</v>
      </c>
      <c r="CU20" s="43">
        <v>99367</v>
      </c>
      <c r="CV20" s="43">
        <v>99365</v>
      </c>
      <c r="CW20" s="43">
        <v>99396</v>
      </c>
      <c r="CX20" s="43">
        <v>99420</v>
      </c>
      <c r="CY20" s="43">
        <v>99435</v>
      </c>
      <c r="CZ20" s="43">
        <v>99418</v>
      </c>
      <c r="DA20" s="43">
        <v>99434</v>
      </c>
      <c r="DB20" s="43">
        <v>99446</v>
      </c>
      <c r="DC20" s="43">
        <v>99483</v>
      </c>
      <c r="DD20" s="43">
        <v>99487</v>
      </c>
      <c r="DE20" s="43">
        <v>99504</v>
      </c>
      <c r="DF20" s="43">
        <v>99546</v>
      </c>
      <c r="DG20" s="43">
        <v>99530</v>
      </c>
      <c r="DH20" s="43">
        <v>99555</v>
      </c>
      <c r="DI20" s="43">
        <v>99537</v>
      </c>
      <c r="DJ20" s="43">
        <v>99562</v>
      </c>
      <c r="DK20" s="43">
        <v>99576</v>
      </c>
      <c r="DL20" s="43">
        <v>99578</v>
      </c>
      <c r="DM20" s="43">
        <v>99595</v>
      </c>
      <c r="DN20" s="43">
        <v>99612</v>
      </c>
      <c r="DO20" s="43">
        <v>99627</v>
      </c>
    </row>
    <row r="21" spans="1:119">
      <c r="A21" s="42">
        <v>19</v>
      </c>
      <c r="W21" s="43">
        <v>83122</v>
      </c>
      <c r="X21" s="43">
        <v>83845</v>
      </c>
      <c r="Y21" s="43">
        <v>83849</v>
      </c>
      <c r="Z21" s="43">
        <v>85807</v>
      </c>
      <c r="AA21" s="43">
        <v>86144</v>
      </c>
      <c r="AB21" s="43">
        <v>86584</v>
      </c>
      <c r="AC21" s="43">
        <v>87203</v>
      </c>
      <c r="AD21" s="43">
        <v>87947</v>
      </c>
      <c r="AE21" s="43">
        <v>87757</v>
      </c>
      <c r="AF21" s="43">
        <v>88768</v>
      </c>
      <c r="AG21" s="43">
        <v>89221</v>
      </c>
      <c r="AH21" s="43">
        <v>89351</v>
      </c>
      <c r="AI21" s="43">
        <v>89703</v>
      </c>
      <c r="AJ21" s="43">
        <v>90878</v>
      </c>
      <c r="AK21" s="43">
        <v>90860</v>
      </c>
      <c r="AL21" s="43">
        <v>91144</v>
      </c>
      <c r="AM21" s="43">
        <v>91403</v>
      </c>
      <c r="AN21" s="43">
        <v>91876</v>
      </c>
      <c r="AO21" s="43">
        <v>91880</v>
      </c>
      <c r="AP21" s="43">
        <v>91981</v>
      </c>
      <c r="AQ21" s="43">
        <v>92043</v>
      </c>
      <c r="AR21" s="43">
        <v>92066</v>
      </c>
      <c r="AS21" s="43">
        <v>91539</v>
      </c>
      <c r="AT21" s="43">
        <v>90858</v>
      </c>
      <c r="AU21" s="43">
        <v>89745</v>
      </c>
      <c r="AV21" s="43">
        <v>89941</v>
      </c>
      <c r="AW21" s="43">
        <v>90218</v>
      </c>
      <c r="AX21" s="43">
        <v>92211</v>
      </c>
      <c r="AY21" s="43">
        <v>93822</v>
      </c>
      <c r="AZ21" s="43">
        <v>93892</v>
      </c>
      <c r="BA21" s="43">
        <v>93928</v>
      </c>
      <c r="BB21" s="43">
        <v>94497</v>
      </c>
      <c r="BC21" s="43">
        <v>94744</v>
      </c>
      <c r="BD21" s="43">
        <v>95023</v>
      </c>
      <c r="BE21" s="43">
        <v>95120</v>
      </c>
      <c r="BF21" s="43">
        <v>95424</v>
      </c>
      <c r="BG21" s="43">
        <v>95585</v>
      </c>
      <c r="BH21" s="43">
        <v>95757</v>
      </c>
      <c r="BI21" s="43">
        <v>95834</v>
      </c>
      <c r="BJ21" s="43">
        <v>96029</v>
      </c>
      <c r="BK21" s="43">
        <v>96266</v>
      </c>
      <c r="BL21" s="43">
        <v>96532</v>
      </c>
      <c r="BM21" s="43">
        <v>96718</v>
      </c>
      <c r="BN21" s="43">
        <v>96934</v>
      </c>
      <c r="BO21" s="43">
        <v>97088</v>
      </c>
      <c r="BP21" s="43">
        <v>97212</v>
      </c>
      <c r="BQ21" s="43">
        <v>97294</v>
      </c>
      <c r="BR21" s="43">
        <v>97376</v>
      </c>
      <c r="BS21" s="43">
        <v>97362</v>
      </c>
      <c r="BT21" s="43">
        <v>97424</v>
      </c>
      <c r="BU21" s="43">
        <v>97476</v>
      </c>
      <c r="BV21" s="43">
        <v>97570</v>
      </c>
      <c r="BW21" s="43">
        <v>97649</v>
      </c>
      <c r="BX21" s="43">
        <v>97744</v>
      </c>
      <c r="BY21" s="43">
        <v>97823</v>
      </c>
      <c r="BZ21" s="43">
        <v>98031</v>
      </c>
      <c r="CA21" s="43">
        <v>98221</v>
      </c>
      <c r="CB21" s="43">
        <v>98293</v>
      </c>
      <c r="CC21" s="43">
        <v>98367</v>
      </c>
      <c r="CD21" s="43">
        <v>98458</v>
      </c>
      <c r="CE21" s="43">
        <v>98536</v>
      </c>
      <c r="CF21" s="43">
        <v>98602</v>
      </c>
      <c r="CG21" s="43">
        <v>98711</v>
      </c>
      <c r="CH21" s="43">
        <v>98751</v>
      </c>
      <c r="CI21" s="43">
        <v>98828</v>
      </c>
      <c r="CJ21" s="43">
        <v>98877</v>
      </c>
      <c r="CK21" s="43">
        <v>98936</v>
      </c>
      <c r="CL21" s="43">
        <v>99013</v>
      </c>
      <c r="CM21" s="43">
        <v>99054</v>
      </c>
      <c r="CN21" s="43">
        <v>99107</v>
      </c>
      <c r="CO21" s="43">
        <v>99135</v>
      </c>
      <c r="CP21" s="43">
        <v>99182</v>
      </c>
      <c r="CQ21" s="43">
        <v>99232</v>
      </c>
      <c r="CR21" s="43">
        <v>99256</v>
      </c>
      <c r="CS21" s="43">
        <v>99298</v>
      </c>
      <c r="CT21" s="43">
        <v>99326</v>
      </c>
      <c r="CU21" s="43">
        <v>99351</v>
      </c>
      <c r="CV21" s="43">
        <v>99349</v>
      </c>
      <c r="CW21" s="43">
        <v>99381</v>
      </c>
      <c r="CX21" s="43">
        <v>99405</v>
      </c>
      <c r="CY21" s="43">
        <v>99421</v>
      </c>
      <c r="CZ21" s="43">
        <v>99404</v>
      </c>
      <c r="DA21" s="43">
        <v>99421</v>
      </c>
      <c r="DB21" s="43">
        <v>99433</v>
      </c>
      <c r="DC21" s="43">
        <v>99470</v>
      </c>
      <c r="DD21" s="43">
        <v>99475</v>
      </c>
      <c r="DE21" s="43">
        <v>99492</v>
      </c>
      <c r="DF21" s="43">
        <v>99535</v>
      </c>
      <c r="DG21" s="43">
        <v>99520</v>
      </c>
      <c r="DH21" s="43">
        <v>99545</v>
      </c>
      <c r="DI21" s="43">
        <v>99527</v>
      </c>
      <c r="DJ21" s="43">
        <v>99552</v>
      </c>
      <c r="DK21" s="43">
        <v>99566</v>
      </c>
      <c r="DL21" s="43">
        <v>99569</v>
      </c>
      <c r="DM21" s="43">
        <v>99586</v>
      </c>
      <c r="DN21" s="43">
        <v>99603</v>
      </c>
      <c r="DO21" s="43">
        <v>99619</v>
      </c>
    </row>
    <row r="22" spans="1:119">
      <c r="A22" s="42">
        <v>20</v>
      </c>
      <c r="W22" s="43">
        <v>82962</v>
      </c>
      <c r="X22" s="43">
        <v>83683</v>
      </c>
      <c r="Y22" s="43">
        <v>83687</v>
      </c>
      <c r="Z22" s="43">
        <v>85625</v>
      </c>
      <c r="AA22" s="43">
        <v>85937</v>
      </c>
      <c r="AB22" s="43">
        <v>86284</v>
      </c>
      <c r="AC22" s="43">
        <v>87010</v>
      </c>
      <c r="AD22" s="43">
        <v>87752</v>
      </c>
      <c r="AE22" s="43">
        <v>87613</v>
      </c>
      <c r="AF22" s="43">
        <v>88674</v>
      </c>
      <c r="AG22" s="43">
        <v>89127</v>
      </c>
      <c r="AH22" s="43">
        <v>89256</v>
      </c>
      <c r="AI22" s="43">
        <v>89632</v>
      </c>
      <c r="AJ22" s="43">
        <v>90811</v>
      </c>
      <c r="AK22" s="43">
        <v>90793</v>
      </c>
      <c r="AL22" s="43">
        <v>91087</v>
      </c>
      <c r="AM22" s="43">
        <v>91344</v>
      </c>
      <c r="AN22" s="43">
        <v>91813</v>
      </c>
      <c r="AO22" s="43">
        <v>91827</v>
      </c>
      <c r="AP22" s="43">
        <v>91926</v>
      </c>
      <c r="AQ22" s="43">
        <v>91992</v>
      </c>
      <c r="AR22" s="43">
        <v>92007</v>
      </c>
      <c r="AS22" s="43">
        <v>91481</v>
      </c>
      <c r="AT22" s="43">
        <v>90807</v>
      </c>
      <c r="AU22" s="43">
        <v>89697</v>
      </c>
      <c r="AV22" s="43">
        <v>89889</v>
      </c>
      <c r="AW22" s="43">
        <v>90169</v>
      </c>
      <c r="AX22" s="43">
        <v>92151</v>
      </c>
      <c r="AY22" s="43">
        <v>93770</v>
      </c>
      <c r="AZ22" s="43">
        <v>93837</v>
      </c>
      <c r="BA22" s="43">
        <v>93867</v>
      </c>
      <c r="BB22" s="43">
        <v>94430</v>
      </c>
      <c r="BC22" s="43">
        <v>94685</v>
      </c>
      <c r="BD22" s="43">
        <v>94973</v>
      </c>
      <c r="BE22" s="43">
        <v>95062</v>
      </c>
      <c r="BF22" s="43">
        <v>95366</v>
      </c>
      <c r="BG22" s="43">
        <v>95533</v>
      </c>
      <c r="BH22" s="43">
        <v>95693</v>
      </c>
      <c r="BI22" s="43">
        <v>95781</v>
      </c>
      <c r="BJ22" s="43">
        <v>95977</v>
      </c>
      <c r="BK22" s="43">
        <v>96217</v>
      </c>
      <c r="BL22" s="43">
        <v>96480</v>
      </c>
      <c r="BM22" s="43">
        <v>96671</v>
      </c>
      <c r="BN22" s="43">
        <v>96886</v>
      </c>
      <c r="BO22" s="43">
        <v>97041</v>
      </c>
      <c r="BP22" s="43">
        <v>97177</v>
      </c>
      <c r="BQ22" s="43">
        <v>97257</v>
      </c>
      <c r="BR22" s="43">
        <v>97335</v>
      </c>
      <c r="BS22" s="43">
        <v>97327</v>
      </c>
      <c r="BT22" s="43">
        <v>97387</v>
      </c>
      <c r="BU22" s="43">
        <v>97433</v>
      </c>
      <c r="BV22" s="43">
        <v>97523</v>
      </c>
      <c r="BW22" s="43">
        <v>97608</v>
      </c>
      <c r="BX22" s="43">
        <v>97704</v>
      </c>
      <c r="BY22" s="43">
        <v>97786</v>
      </c>
      <c r="BZ22" s="43">
        <v>97995</v>
      </c>
      <c r="CA22" s="43">
        <v>98185</v>
      </c>
      <c r="CB22" s="43">
        <v>98258</v>
      </c>
      <c r="CC22" s="43">
        <v>98332</v>
      </c>
      <c r="CD22" s="43">
        <v>98422</v>
      </c>
      <c r="CE22" s="43">
        <v>98498</v>
      </c>
      <c r="CF22" s="43">
        <v>98572</v>
      </c>
      <c r="CG22" s="43">
        <v>98682</v>
      </c>
      <c r="CH22" s="43">
        <v>98723</v>
      </c>
      <c r="CI22" s="43">
        <v>98805</v>
      </c>
      <c r="CJ22" s="43">
        <v>98853</v>
      </c>
      <c r="CK22" s="43">
        <v>98910</v>
      </c>
      <c r="CL22" s="43">
        <v>98993</v>
      </c>
      <c r="CM22" s="43">
        <v>99035</v>
      </c>
      <c r="CN22" s="43">
        <v>99085</v>
      </c>
      <c r="CO22" s="43">
        <v>99113</v>
      </c>
      <c r="CP22" s="43">
        <v>99164</v>
      </c>
      <c r="CQ22" s="43">
        <v>99214</v>
      </c>
      <c r="CR22" s="43">
        <v>99235</v>
      </c>
      <c r="CS22" s="43">
        <v>99279</v>
      </c>
      <c r="CT22" s="43">
        <v>99309</v>
      </c>
      <c r="CU22" s="43">
        <v>99335</v>
      </c>
      <c r="CV22" s="43">
        <v>99334</v>
      </c>
      <c r="CW22" s="43">
        <v>99366</v>
      </c>
      <c r="CX22" s="43">
        <v>99391</v>
      </c>
      <c r="CY22" s="43">
        <v>99406</v>
      </c>
      <c r="CZ22" s="43">
        <v>99390</v>
      </c>
      <c r="DA22" s="43">
        <v>99408</v>
      </c>
      <c r="DB22" s="43">
        <v>99420</v>
      </c>
      <c r="DC22" s="43">
        <v>99458</v>
      </c>
      <c r="DD22" s="43">
        <v>99462</v>
      </c>
      <c r="DE22" s="43">
        <v>99480</v>
      </c>
      <c r="DF22" s="43">
        <v>99524</v>
      </c>
      <c r="DG22" s="43">
        <v>99508</v>
      </c>
      <c r="DH22" s="43">
        <v>99534</v>
      </c>
      <c r="DI22" s="43">
        <v>99516</v>
      </c>
      <c r="DJ22" s="43">
        <v>99542</v>
      </c>
      <c r="DK22" s="43">
        <v>99557</v>
      </c>
      <c r="DL22" s="43">
        <v>99559</v>
      </c>
      <c r="DM22" s="43">
        <v>99577</v>
      </c>
      <c r="DN22" s="43">
        <v>99594</v>
      </c>
      <c r="DO22" s="43">
        <v>99611</v>
      </c>
    </row>
    <row r="23" spans="1:119">
      <c r="A23" s="42">
        <v>21</v>
      </c>
      <c r="W23" s="43">
        <v>82791</v>
      </c>
      <c r="X23" s="43">
        <v>83511</v>
      </c>
      <c r="Y23" s="43">
        <v>83498</v>
      </c>
      <c r="Z23" s="43">
        <v>85404</v>
      </c>
      <c r="AA23" s="43">
        <v>85618</v>
      </c>
      <c r="AB23" s="43">
        <v>86080</v>
      </c>
      <c r="AC23" s="43">
        <v>86805</v>
      </c>
      <c r="AD23" s="43">
        <v>87599</v>
      </c>
      <c r="AE23" s="43">
        <v>87513</v>
      </c>
      <c r="AF23" s="43">
        <v>88572</v>
      </c>
      <c r="AG23" s="43">
        <v>89024</v>
      </c>
      <c r="AH23" s="43">
        <v>89177</v>
      </c>
      <c r="AI23" s="43">
        <v>89559</v>
      </c>
      <c r="AJ23" s="43">
        <v>90744</v>
      </c>
      <c r="AK23" s="43">
        <v>90724</v>
      </c>
      <c r="AL23" s="43">
        <v>91019</v>
      </c>
      <c r="AM23" s="43">
        <v>91277</v>
      </c>
      <c r="AN23" s="43">
        <v>91756</v>
      </c>
      <c r="AO23" s="43">
        <v>91770</v>
      </c>
      <c r="AP23" s="43">
        <v>91873</v>
      </c>
      <c r="AQ23" s="43">
        <v>91934</v>
      </c>
      <c r="AR23" s="43">
        <v>91958</v>
      </c>
      <c r="AS23" s="43">
        <v>91429</v>
      </c>
      <c r="AT23" s="43">
        <v>90757</v>
      </c>
      <c r="AU23" s="43">
        <v>89641</v>
      </c>
      <c r="AV23" s="43">
        <v>89836</v>
      </c>
      <c r="AW23" s="43">
        <v>90118</v>
      </c>
      <c r="AX23" s="43">
        <v>92100</v>
      </c>
      <c r="AY23" s="43">
        <v>93715</v>
      </c>
      <c r="AZ23" s="43">
        <v>93773</v>
      </c>
      <c r="BA23" s="43">
        <v>93810</v>
      </c>
      <c r="BB23" s="43">
        <v>94374</v>
      </c>
      <c r="BC23" s="43">
        <v>94630</v>
      </c>
      <c r="BD23" s="43">
        <v>94919</v>
      </c>
      <c r="BE23" s="43">
        <v>95004</v>
      </c>
      <c r="BF23" s="43">
        <v>95314</v>
      </c>
      <c r="BG23" s="43">
        <v>95473</v>
      </c>
      <c r="BH23" s="43">
        <v>95638</v>
      </c>
      <c r="BI23" s="43">
        <v>95734</v>
      </c>
      <c r="BJ23" s="43">
        <v>95931</v>
      </c>
      <c r="BK23" s="43">
        <v>96174</v>
      </c>
      <c r="BL23" s="43">
        <v>96435</v>
      </c>
      <c r="BM23" s="43">
        <v>96627</v>
      </c>
      <c r="BN23" s="43">
        <v>96842</v>
      </c>
      <c r="BO23" s="43">
        <v>97007</v>
      </c>
      <c r="BP23" s="43">
        <v>97139</v>
      </c>
      <c r="BQ23" s="43">
        <v>97219</v>
      </c>
      <c r="BR23" s="43">
        <v>97298</v>
      </c>
      <c r="BS23" s="43">
        <v>97285</v>
      </c>
      <c r="BT23" s="43">
        <v>97347</v>
      </c>
      <c r="BU23" s="43">
        <v>97394</v>
      </c>
      <c r="BV23" s="43">
        <v>97491</v>
      </c>
      <c r="BW23" s="43">
        <v>97568</v>
      </c>
      <c r="BX23" s="43">
        <v>97674</v>
      </c>
      <c r="BY23" s="43">
        <v>97745</v>
      </c>
      <c r="BZ23" s="43">
        <v>97960</v>
      </c>
      <c r="CA23" s="43">
        <v>98148</v>
      </c>
      <c r="CB23" s="43">
        <v>98227</v>
      </c>
      <c r="CC23" s="43">
        <v>98302</v>
      </c>
      <c r="CD23" s="43">
        <v>98385</v>
      </c>
      <c r="CE23" s="43">
        <v>98465</v>
      </c>
      <c r="CF23" s="43">
        <v>98542</v>
      </c>
      <c r="CG23" s="43">
        <v>98650</v>
      </c>
      <c r="CH23" s="43">
        <v>98695</v>
      </c>
      <c r="CI23" s="43">
        <v>98785</v>
      </c>
      <c r="CJ23" s="43">
        <v>98831</v>
      </c>
      <c r="CK23" s="43">
        <v>98888</v>
      </c>
      <c r="CL23" s="43">
        <v>98972</v>
      </c>
      <c r="CM23" s="43">
        <v>99013</v>
      </c>
      <c r="CN23" s="43">
        <v>99062</v>
      </c>
      <c r="CO23" s="43">
        <v>99093</v>
      </c>
      <c r="CP23" s="43">
        <v>99149</v>
      </c>
      <c r="CQ23" s="43">
        <v>99194</v>
      </c>
      <c r="CR23" s="43">
        <v>99216</v>
      </c>
      <c r="CS23" s="43">
        <v>99262</v>
      </c>
      <c r="CT23" s="43">
        <v>99292</v>
      </c>
      <c r="CU23" s="43">
        <v>99319</v>
      </c>
      <c r="CV23" s="43">
        <v>99318</v>
      </c>
      <c r="CW23" s="43">
        <v>99351</v>
      </c>
      <c r="CX23" s="43">
        <v>99376</v>
      </c>
      <c r="CY23" s="43">
        <v>99392</v>
      </c>
      <c r="CZ23" s="43">
        <v>99376</v>
      </c>
      <c r="DA23" s="43">
        <v>99394</v>
      </c>
      <c r="DB23" s="43">
        <v>99407</v>
      </c>
      <c r="DC23" s="43">
        <v>99445</v>
      </c>
      <c r="DD23" s="43">
        <v>99450</v>
      </c>
      <c r="DE23" s="43">
        <v>99468</v>
      </c>
      <c r="DF23" s="43">
        <v>99512</v>
      </c>
      <c r="DG23" s="43">
        <v>99497</v>
      </c>
      <c r="DH23" s="43">
        <v>99523</v>
      </c>
      <c r="DI23" s="43">
        <v>99506</v>
      </c>
      <c r="DJ23" s="43">
        <v>99532</v>
      </c>
      <c r="DK23" s="43">
        <v>99547</v>
      </c>
      <c r="DL23" s="43">
        <v>99550</v>
      </c>
      <c r="DM23" s="43">
        <v>99568</v>
      </c>
      <c r="DN23" s="43">
        <v>99585</v>
      </c>
      <c r="DO23" s="43">
        <v>99602</v>
      </c>
    </row>
    <row r="24" spans="1:119">
      <c r="A24" s="42">
        <v>22</v>
      </c>
      <c r="W24" s="43">
        <v>82611</v>
      </c>
      <c r="X24" s="43">
        <v>83310</v>
      </c>
      <c r="Y24" s="43">
        <v>83270</v>
      </c>
      <c r="Z24" s="43">
        <v>85069</v>
      </c>
      <c r="AA24" s="43">
        <v>85409</v>
      </c>
      <c r="AB24" s="43">
        <v>85870</v>
      </c>
      <c r="AC24" s="43">
        <v>86649</v>
      </c>
      <c r="AD24" s="43">
        <v>87492</v>
      </c>
      <c r="AE24" s="43">
        <v>87405</v>
      </c>
      <c r="AF24" s="43">
        <v>88463</v>
      </c>
      <c r="AG24" s="43">
        <v>88941</v>
      </c>
      <c r="AH24" s="43">
        <v>89100</v>
      </c>
      <c r="AI24" s="43">
        <v>89488</v>
      </c>
      <c r="AJ24" s="43">
        <v>90676</v>
      </c>
      <c r="AK24" s="43">
        <v>90659</v>
      </c>
      <c r="AL24" s="43">
        <v>90962</v>
      </c>
      <c r="AM24" s="43">
        <v>91218</v>
      </c>
      <c r="AN24" s="43">
        <v>91700</v>
      </c>
      <c r="AO24" s="43">
        <v>91717</v>
      </c>
      <c r="AP24" s="43">
        <v>91807</v>
      </c>
      <c r="AQ24" s="43">
        <v>91882</v>
      </c>
      <c r="AR24" s="43">
        <v>91901</v>
      </c>
      <c r="AS24" s="43">
        <v>91377</v>
      </c>
      <c r="AT24" s="43">
        <v>90709</v>
      </c>
      <c r="AU24" s="43">
        <v>89589</v>
      </c>
      <c r="AV24" s="43">
        <v>89782</v>
      </c>
      <c r="AW24" s="43">
        <v>90068</v>
      </c>
      <c r="AX24" s="43">
        <v>92045</v>
      </c>
      <c r="AY24" s="43">
        <v>93658</v>
      </c>
      <c r="AZ24" s="43">
        <v>93717</v>
      </c>
      <c r="BA24" s="43">
        <v>93752</v>
      </c>
      <c r="BB24" s="43">
        <v>94321</v>
      </c>
      <c r="BC24" s="43">
        <v>94578</v>
      </c>
      <c r="BD24" s="43">
        <v>94869</v>
      </c>
      <c r="BE24" s="43">
        <v>94945</v>
      </c>
      <c r="BF24" s="43">
        <v>95266</v>
      </c>
      <c r="BG24" s="43">
        <v>95425</v>
      </c>
      <c r="BH24" s="43">
        <v>95591</v>
      </c>
      <c r="BI24" s="43">
        <v>95686</v>
      </c>
      <c r="BJ24" s="43">
        <v>95882</v>
      </c>
      <c r="BK24" s="43">
        <v>96132</v>
      </c>
      <c r="BL24" s="43">
        <v>96392</v>
      </c>
      <c r="BM24" s="43">
        <v>96587</v>
      </c>
      <c r="BN24" s="43">
        <v>96800</v>
      </c>
      <c r="BO24" s="43">
        <v>96971</v>
      </c>
      <c r="BP24" s="43">
        <v>97101</v>
      </c>
      <c r="BQ24" s="43">
        <v>97184</v>
      </c>
      <c r="BR24" s="43">
        <v>97265</v>
      </c>
      <c r="BS24" s="43">
        <v>97246</v>
      </c>
      <c r="BT24" s="43">
        <v>97312</v>
      </c>
      <c r="BU24" s="43">
        <v>97361</v>
      </c>
      <c r="BV24" s="43">
        <v>97463</v>
      </c>
      <c r="BW24" s="43">
        <v>97534</v>
      </c>
      <c r="BX24" s="43">
        <v>97637</v>
      </c>
      <c r="BY24" s="43">
        <v>97714</v>
      </c>
      <c r="BZ24" s="43">
        <v>97930</v>
      </c>
      <c r="CA24" s="43">
        <v>98116</v>
      </c>
      <c r="CB24" s="43">
        <v>98194</v>
      </c>
      <c r="CC24" s="43">
        <v>98273</v>
      </c>
      <c r="CD24" s="43">
        <v>98358</v>
      </c>
      <c r="CE24" s="43">
        <v>98442</v>
      </c>
      <c r="CF24" s="43">
        <v>98519</v>
      </c>
      <c r="CG24" s="43">
        <v>98625</v>
      </c>
      <c r="CH24" s="43">
        <v>98675</v>
      </c>
      <c r="CI24" s="43">
        <v>98763</v>
      </c>
      <c r="CJ24" s="43">
        <v>98811</v>
      </c>
      <c r="CK24" s="43">
        <v>98866</v>
      </c>
      <c r="CL24" s="43">
        <v>98952</v>
      </c>
      <c r="CM24" s="43">
        <v>98991</v>
      </c>
      <c r="CN24" s="43">
        <v>99044</v>
      </c>
      <c r="CO24" s="43">
        <v>99074</v>
      </c>
      <c r="CP24" s="43">
        <v>99132</v>
      </c>
      <c r="CQ24" s="43">
        <v>99177</v>
      </c>
      <c r="CR24" s="43">
        <v>99199</v>
      </c>
      <c r="CS24" s="43">
        <v>99245</v>
      </c>
      <c r="CT24" s="43">
        <v>99276</v>
      </c>
      <c r="CU24" s="43">
        <v>99303</v>
      </c>
      <c r="CV24" s="43">
        <v>99302</v>
      </c>
      <c r="CW24" s="43">
        <v>99336</v>
      </c>
      <c r="CX24" s="43">
        <v>99361</v>
      </c>
      <c r="CY24" s="43">
        <v>99378</v>
      </c>
      <c r="CZ24" s="43">
        <v>99363</v>
      </c>
      <c r="DA24" s="43">
        <v>99381</v>
      </c>
      <c r="DB24" s="43">
        <v>99395</v>
      </c>
      <c r="DC24" s="43">
        <v>99433</v>
      </c>
      <c r="DD24" s="43">
        <v>99438</v>
      </c>
      <c r="DE24" s="43">
        <v>99457</v>
      </c>
      <c r="DF24" s="43">
        <v>99501</v>
      </c>
      <c r="DG24" s="43">
        <v>99486</v>
      </c>
      <c r="DH24" s="43">
        <v>99512</v>
      </c>
      <c r="DI24" s="43">
        <v>99495</v>
      </c>
      <c r="DJ24" s="43">
        <v>99522</v>
      </c>
      <c r="DK24" s="43">
        <v>99537</v>
      </c>
      <c r="DL24" s="43">
        <v>99540</v>
      </c>
      <c r="DM24" s="43">
        <v>99559</v>
      </c>
      <c r="DN24" s="43">
        <v>99576</v>
      </c>
      <c r="DO24" s="43">
        <v>99593</v>
      </c>
    </row>
    <row r="25" spans="1:119">
      <c r="A25" s="42">
        <v>23</v>
      </c>
      <c r="W25" s="43">
        <v>82411</v>
      </c>
      <c r="X25" s="43">
        <v>83081</v>
      </c>
      <c r="Y25" s="43">
        <v>82941</v>
      </c>
      <c r="Z25" s="43">
        <v>84857</v>
      </c>
      <c r="AA25" s="43">
        <v>85196</v>
      </c>
      <c r="AB25" s="43">
        <v>85699</v>
      </c>
      <c r="AC25" s="43">
        <v>86539</v>
      </c>
      <c r="AD25" s="43">
        <v>87380</v>
      </c>
      <c r="AE25" s="43">
        <v>87294</v>
      </c>
      <c r="AF25" s="43">
        <v>88380</v>
      </c>
      <c r="AG25" s="43">
        <v>88860</v>
      </c>
      <c r="AH25" s="43">
        <v>89032</v>
      </c>
      <c r="AI25" s="43">
        <v>89420</v>
      </c>
      <c r="AJ25" s="43">
        <v>90610</v>
      </c>
      <c r="AK25" s="43">
        <v>90587</v>
      </c>
      <c r="AL25" s="43">
        <v>90902</v>
      </c>
      <c r="AM25" s="43">
        <v>91156</v>
      </c>
      <c r="AN25" s="43">
        <v>91639</v>
      </c>
      <c r="AO25" s="43">
        <v>91664</v>
      </c>
      <c r="AP25" s="43">
        <v>91747</v>
      </c>
      <c r="AQ25" s="43">
        <v>91832</v>
      </c>
      <c r="AR25" s="43">
        <v>91844</v>
      </c>
      <c r="AS25" s="43">
        <v>91325</v>
      </c>
      <c r="AT25" s="43">
        <v>90651</v>
      </c>
      <c r="AU25" s="43">
        <v>89540</v>
      </c>
      <c r="AV25" s="43">
        <v>89723</v>
      </c>
      <c r="AW25" s="43">
        <v>90018</v>
      </c>
      <c r="AX25" s="43">
        <v>91992</v>
      </c>
      <c r="AY25" s="43">
        <v>93600</v>
      </c>
      <c r="AZ25" s="43">
        <v>93666</v>
      </c>
      <c r="BA25" s="43">
        <v>93704</v>
      </c>
      <c r="BB25" s="43">
        <v>94265</v>
      </c>
      <c r="BC25" s="43">
        <v>94527</v>
      </c>
      <c r="BD25" s="43">
        <v>94817</v>
      </c>
      <c r="BE25" s="43">
        <v>94894</v>
      </c>
      <c r="BF25" s="43">
        <v>95211</v>
      </c>
      <c r="BG25" s="43">
        <v>95380</v>
      </c>
      <c r="BH25" s="43">
        <v>95542</v>
      </c>
      <c r="BI25" s="43">
        <v>95643</v>
      </c>
      <c r="BJ25" s="43">
        <v>95840</v>
      </c>
      <c r="BK25" s="43">
        <v>96088</v>
      </c>
      <c r="BL25" s="43">
        <v>96351</v>
      </c>
      <c r="BM25" s="43">
        <v>96549</v>
      </c>
      <c r="BN25" s="43">
        <v>96766</v>
      </c>
      <c r="BO25" s="43">
        <v>96935</v>
      </c>
      <c r="BP25" s="43">
        <v>97065</v>
      </c>
      <c r="BQ25" s="43">
        <v>97146</v>
      </c>
      <c r="BR25" s="43">
        <v>97228</v>
      </c>
      <c r="BS25" s="43">
        <v>97214</v>
      </c>
      <c r="BT25" s="43">
        <v>97275</v>
      </c>
      <c r="BU25" s="43">
        <v>97323</v>
      </c>
      <c r="BV25" s="43">
        <v>97433</v>
      </c>
      <c r="BW25" s="43">
        <v>97501</v>
      </c>
      <c r="BX25" s="43">
        <v>97605</v>
      </c>
      <c r="BY25" s="43">
        <v>97684</v>
      </c>
      <c r="BZ25" s="43">
        <v>97904</v>
      </c>
      <c r="CA25" s="43">
        <v>98085</v>
      </c>
      <c r="CB25" s="43">
        <v>98169</v>
      </c>
      <c r="CC25" s="43">
        <v>98247</v>
      </c>
      <c r="CD25" s="43">
        <v>98333</v>
      </c>
      <c r="CE25" s="43">
        <v>98413</v>
      </c>
      <c r="CF25" s="43">
        <v>98496</v>
      </c>
      <c r="CG25" s="43">
        <v>98600</v>
      </c>
      <c r="CH25" s="43">
        <v>98650</v>
      </c>
      <c r="CI25" s="43">
        <v>98741</v>
      </c>
      <c r="CJ25" s="43">
        <v>98791</v>
      </c>
      <c r="CK25" s="43">
        <v>98842</v>
      </c>
      <c r="CL25" s="43">
        <v>98932</v>
      </c>
      <c r="CM25" s="43">
        <v>98965</v>
      </c>
      <c r="CN25" s="43">
        <v>99027</v>
      </c>
      <c r="CO25" s="43">
        <v>99057</v>
      </c>
      <c r="CP25" s="43">
        <v>99118</v>
      </c>
      <c r="CQ25" s="43">
        <v>99159</v>
      </c>
      <c r="CR25" s="43">
        <v>99182</v>
      </c>
      <c r="CS25" s="43">
        <v>99229</v>
      </c>
      <c r="CT25" s="43">
        <v>99260</v>
      </c>
      <c r="CU25" s="43">
        <v>99288</v>
      </c>
      <c r="CV25" s="43">
        <v>99288</v>
      </c>
      <c r="CW25" s="43">
        <v>99321</v>
      </c>
      <c r="CX25" s="43">
        <v>99347</v>
      </c>
      <c r="CY25" s="43">
        <v>99364</v>
      </c>
      <c r="CZ25" s="43">
        <v>99349</v>
      </c>
      <c r="DA25" s="43">
        <v>99368</v>
      </c>
      <c r="DB25" s="43">
        <v>99382</v>
      </c>
      <c r="DC25" s="43">
        <v>99420</v>
      </c>
      <c r="DD25" s="43">
        <v>99426</v>
      </c>
      <c r="DE25" s="43">
        <v>99445</v>
      </c>
      <c r="DF25" s="43">
        <v>99490</v>
      </c>
      <c r="DG25" s="43">
        <v>99476</v>
      </c>
      <c r="DH25" s="43">
        <v>99502</v>
      </c>
      <c r="DI25" s="43">
        <v>99485</v>
      </c>
      <c r="DJ25" s="43">
        <v>99512</v>
      </c>
      <c r="DK25" s="43">
        <v>99528</v>
      </c>
      <c r="DL25" s="43">
        <v>99531</v>
      </c>
      <c r="DM25" s="43">
        <v>99550</v>
      </c>
      <c r="DN25" s="43">
        <v>99568</v>
      </c>
      <c r="DO25" s="43">
        <v>99585</v>
      </c>
    </row>
    <row r="26" spans="1:119">
      <c r="A26" s="42">
        <v>24</v>
      </c>
      <c r="W26" s="43">
        <v>82179</v>
      </c>
      <c r="X26" s="43">
        <v>82745</v>
      </c>
      <c r="Y26" s="43">
        <v>82727</v>
      </c>
      <c r="Z26" s="43">
        <v>84638</v>
      </c>
      <c r="AA26" s="43">
        <v>85020</v>
      </c>
      <c r="AB26" s="43">
        <v>85587</v>
      </c>
      <c r="AC26" s="43">
        <v>86426</v>
      </c>
      <c r="AD26" s="43">
        <v>87267</v>
      </c>
      <c r="AE26" s="43">
        <v>87202</v>
      </c>
      <c r="AF26" s="43">
        <v>88299</v>
      </c>
      <c r="AG26" s="43">
        <v>88781</v>
      </c>
      <c r="AH26" s="43">
        <v>88953</v>
      </c>
      <c r="AI26" s="43">
        <v>89351</v>
      </c>
      <c r="AJ26" s="43">
        <v>90543</v>
      </c>
      <c r="AK26" s="43">
        <v>90522</v>
      </c>
      <c r="AL26" s="43">
        <v>90840</v>
      </c>
      <c r="AM26" s="43">
        <v>91092</v>
      </c>
      <c r="AN26" s="43">
        <v>91574</v>
      </c>
      <c r="AO26" s="43">
        <v>91608</v>
      </c>
      <c r="AP26" s="43">
        <v>91692</v>
      </c>
      <c r="AQ26" s="43">
        <v>91777</v>
      </c>
      <c r="AR26" s="43">
        <v>91790</v>
      </c>
      <c r="AS26" s="43">
        <v>91273</v>
      </c>
      <c r="AT26" s="43">
        <v>90598</v>
      </c>
      <c r="AU26" s="43">
        <v>89489</v>
      </c>
      <c r="AV26" s="43">
        <v>89670</v>
      </c>
      <c r="AW26" s="43">
        <v>89963</v>
      </c>
      <c r="AX26" s="43">
        <v>91937</v>
      </c>
      <c r="AY26" s="43">
        <v>93538</v>
      </c>
      <c r="AZ26" s="43">
        <v>93613</v>
      </c>
      <c r="BA26" s="43">
        <v>93653</v>
      </c>
      <c r="BB26" s="43">
        <v>94210</v>
      </c>
      <c r="BC26" s="43">
        <v>94478</v>
      </c>
      <c r="BD26" s="43">
        <v>94764</v>
      </c>
      <c r="BE26" s="43">
        <v>94842</v>
      </c>
      <c r="BF26" s="43">
        <v>95163</v>
      </c>
      <c r="BG26" s="43">
        <v>95332</v>
      </c>
      <c r="BH26" s="43">
        <v>95497</v>
      </c>
      <c r="BI26" s="43">
        <v>95599</v>
      </c>
      <c r="BJ26" s="43">
        <v>95799</v>
      </c>
      <c r="BK26" s="43">
        <v>96046</v>
      </c>
      <c r="BL26" s="43">
        <v>96315</v>
      </c>
      <c r="BM26" s="43">
        <v>96515</v>
      </c>
      <c r="BN26" s="43">
        <v>96729</v>
      </c>
      <c r="BO26" s="43">
        <v>96896</v>
      </c>
      <c r="BP26" s="43">
        <v>97026</v>
      </c>
      <c r="BQ26" s="43">
        <v>97108</v>
      </c>
      <c r="BR26" s="43">
        <v>97193</v>
      </c>
      <c r="BS26" s="43">
        <v>97181</v>
      </c>
      <c r="BT26" s="43">
        <v>97243</v>
      </c>
      <c r="BU26" s="43">
        <v>97295</v>
      </c>
      <c r="BV26" s="43">
        <v>97401</v>
      </c>
      <c r="BW26" s="43">
        <v>97474</v>
      </c>
      <c r="BX26" s="43">
        <v>97578</v>
      </c>
      <c r="BY26" s="43">
        <v>97660</v>
      </c>
      <c r="BZ26" s="43">
        <v>97874</v>
      </c>
      <c r="CA26" s="43">
        <v>98054</v>
      </c>
      <c r="CB26" s="43">
        <v>98145</v>
      </c>
      <c r="CC26" s="43">
        <v>98220</v>
      </c>
      <c r="CD26" s="43">
        <v>98307</v>
      </c>
      <c r="CE26" s="43">
        <v>98389</v>
      </c>
      <c r="CF26" s="43">
        <v>98470</v>
      </c>
      <c r="CG26" s="43">
        <v>98576</v>
      </c>
      <c r="CH26" s="43">
        <v>98626</v>
      </c>
      <c r="CI26" s="43">
        <v>98722</v>
      </c>
      <c r="CJ26" s="43">
        <v>98767</v>
      </c>
      <c r="CK26" s="43">
        <v>98818</v>
      </c>
      <c r="CL26" s="43">
        <v>98911</v>
      </c>
      <c r="CM26" s="43">
        <v>98945</v>
      </c>
      <c r="CN26" s="43">
        <v>99003</v>
      </c>
      <c r="CO26" s="43">
        <v>99034</v>
      </c>
      <c r="CP26" s="43">
        <v>99101</v>
      </c>
      <c r="CQ26" s="43">
        <v>99142</v>
      </c>
      <c r="CR26" s="43">
        <v>99166</v>
      </c>
      <c r="CS26" s="43">
        <v>99213</v>
      </c>
      <c r="CT26" s="43">
        <v>99245</v>
      </c>
      <c r="CU26" s="43">
        <v>99273</v>
      </c>
      <c r="CV26" s="43">
        <v>99273</v>
      </c>
      <c r="CW26" s="43">
        <v>99307</v>
      </c>
      <c r="CX26" s="43">
        <v>99334</v>
      </c>
      <c r="CY26" s="43">
        <v>99351</v>
      </c>
      <c r="CZ26" s="43">
        <v>99336</v>
      </c>
      <c r="DA26" s="43">
        <v>99356</v>
      </c>
      <c r="DB26" s="43">
        <v>99370</v>
      </c>
      <c r="DC26" s="43">
        <v>99409</v>
      </c>
      <c r="DD26" s="43">
        <v>99415</v>
      </c>
      <c r="DE26" s="43">
        <v>99434</v>
      </c>
      <c r="DF26" s="43">
        <v>99479</v>
      </c>
      <c r="DG26" s="43">
        <v>99465</v>
      </c>
      <c r="DH26" s="43">
        <v>99492</v>
      </c>
      <c r="DI26" s="43">
        <v>99475</v>
      </c>
      <c r="DJ26" s="43">
        <v>99503</v>
      </c>
      <c r="DK26" s="43">
        <v>99518</v>
      </c>
      <c r="DL26" s="43">
        <v>99522</v>
      </c>
      <c r="DM26" s="43">
        <v>99541</v>
      </c>
      <c r="DN26" s="43">
        <v>99559</v>
      </c>
      <c r="DO26" s="43">
        <v>99577</v>
      </c>
    </row>
    <row r="27" spans="1:119">
      <c r="A27" s="42">
        <v>25</v>
      </c>
      <c r="W27" s="43">
        <v>81840</v>
      </c>
      <c r="X27" s="43">
        <v>82527</v>
      </c>
      <c r="Y27" s="43">
        <v>82509</v>
      </c>
      <c r="Z27" s="43">
        <v>84460</v>
      </c>
      <c r="AA27" s="43">
        <v>84908</v>
      </c>
      <c r="AB27" s="43">
        <v>85474</v>
      </c>
      <c r="AC27" s="43">
        <v>86312</v>
      </c>
      <c r="AD27" s="43">
        <v>87169</v>
      </c>
      <c r="AE27" s="43">
        <v>87118</v>
      </c>
      <c r="AF27" s="43">
        <v>88221</v>
      </c>
      <c r="AG27" s="43">
        <v>88701</v>
      </c>
      <c r="AH27" s="43">
        <v>88879</v>
      </c>
      <c r="AI27" s="43">
        <v>89281</v>
      </c>
      <c r="AJ27" s="43">
        <v>90475</v>
      </c>
      <c r="AK27" s="43">
        <v>90449</v>
      </c>
      <c r="AL27" s="43">
        <v>90777</v>
      </c>
      <c r="AM27" s="43">
        <v>91031</v>
      </c>
      <c r="AN27" s="43">
        <v>91515</v>
      </c>
      <c r="AO27" s="43">
        <v>91549</v>
      </c>
      <c r="AP27" s="43">
        <v>91636</v>
      </c>
      <c r="AQ27" s="43">
        <v>91717</v>
      </c>
      <c r="AR27" s="43">
        <v>91728</v>
      </c>
      <c r="AS27" s="43">
        <v>91211</v>
      </c>
      <c r="AT27" s="43">
        <v>90546</v>
      </c>
      <c r="AU27" s="43">
        <v>89438</v>
      </c>
      <c r="AV27" s="43">
        <v>89612</v>
      </c>
      <c r="AW27" s="43">
        <v>89910</v>
      </c>
      <c r="AX27" s="43">
        <v>91881</v>
      </c>
      <c r="AY27" s="43">
        <v>93489</v>
      </c>
      <c r="AZ27" s="43">
        <v>93561</v>
      </c>
      <c r="BA27" s="43">
        <v>93603</v>
      </c>
      <c r="BB27" s="43">
        <v>94158</v>
      </c>
      <c r="BC27" s="43">
        <v>94420</v>
      </c>
      <c r="BD27" s="43">
        <v>94706</v>
      </c>
      <c r="BE27" s="43">
        <v>94793</v>
      </c>
      <c r="BF27" s="43">
        <v>95118</v>
      </c>
      <c r="BG27" s="43">
        <v>95284</v>
      </c>
      <c r="BH27" s="43">
        <v>95452</v>
      </c>
      <c r="BI27" s="43">
        <v>95554</v>
      </c>
      <c r="BJ27" s="43">
        <v>95762</v>
      </c>
      <c r="BK27" s="43">
        <v>96005</v>
      </c>
      <c r="BL27" s="43">
        <v>96273</v>
      </c>
      <c r="BM27" s="43">
        <v>96473</v>
      </c>
      <c r="BN27" s="43">
        <v>96692</v>
      </c>
      <c r="BO27" s="43">
        <v>96857</v>
      </c>
      <c r="BP27" s="43">
        <v>96989</v>
      </c>
      <c r="BQ27" s="43">
        <v>97070</v>
      </c>
      <c r="BR27" s="43">
        <v>97157</v>
      </c>
      <c r="BS27" s="43">
        <v>97145</v>
      </c>
      <c r="BT27" s="43">
        <v>97211</v>
      </c>
      <c r="BU27" s="43">
        <v>97259</v>
      </c>
      <c r="BV27" s="43">
        <v>97371</v>
      </c>
      <c r="BW27" s="43">
        <v>97443</v>
      </c>
      <c r="BX27" s="43">
        <v>97550</v>
      </c>
      <c r="BY27" s="43">
        <v>97630</v>
      </c>
      <c r="BZ27" s="43">
        <v>97846</v>
      </c>
      <c r="CA27" s="43">
        <v>98025</v>
      </c>
      <c r="CB27" s="43">
        <v>98120</v>
      </c>
      <c r="CC27" s="43">
        <v>98193</v>
      </c>
      <c r="CD27" s="43">
        <v>98282</v>
      </c>
      <c r="CE27" s="43">
        <v>98367</v>
      </c>
      <c r="CF27" s="43">
        <v>98451</v>
      </c>
      <c r="CG27" s="43">
        <v>98556</v>
      </c>
      <c r="CH27" s="43">
        <v>98602</v>
      </c>
      <c r="CI27" s="43">
        <v>98699</v>
      </c>
      <c r="CJ27" s="43">
        <v>98747</v>
      </c>
      <c r="CK27" s="43">
        <v>98801</v>
      </c>
      <c r="CL27" s="43">
        <v>98887</v>
      </c>
      <c r="CM27" s="43">
        <v>98926</v>
      </c>
      <c r="CN27" s="43">
        <v>98986</v>
      </c>
      <c r="CO27" s="43">
        <v>99016</v>
      </c>
      <c r="CP27" s="43">
        <v>99084</v>
      </c>
      <c r="CQ27" s="43">
        <v>99126</v>
      </c>
      <c r="CR27" s="43">
        <v>99149</v>
      </c>
      <c r="CS27" s="43">
        <v>99197</v>
      </c>
      <c r="CT27" s="43">
        <v>99229</v>
      </c>
      <c r="CU27" s="43">
        <v>99258</v>
      </c>
      <c r="CV27" s="43">
        <v>99258</v>
      </c>
      <c r="CW27" s="43">
        <v>99293</v>
      </c>
      <c r="CX27" s="43">
        <v>99320</v>
      </c>
      <c r="CY27" s="43">
        <v>99338</v>
      </c>
      <c r="CZ27" s="43">
        <v>99323</v>
      </c>
      <c r="DA27" s="43">
        <v>99343</v>
      </c>
      <c r="DB27" s="43">
        <v>99358</v>
      </c>
      <c r="DC27" s="43">
        <v>99397</v>
      </c>
      <c r="DD27" s="43">
        <v>99403</v>
      </c>
      <c r="DE27" s="43">
        <v>99423</v>
      </c>
      <c r="DF27" s="43">
        <v>99468</v>
      </c>
      <c r="DG27" s="43">
        <v>99454</v>
      </c>
      <c r="DH27" s="43">
        <v>99481</v>
      </c>
      <c r="DI27" s="43">
        <v>99465</v>
      </c>
      <c r="DJ27" s="43">
        <v>99493</v>
      </c>
      <c r="DK27" s="43">
        <v>99509</v>
      </c>
      <c r="DL27" s="43">
        <v>99513</v>
      </c>
      <c r="DM27" s="43">
        <v>99532</v>
      </c>
      <c r="DN27" s="43">
        <v>99551</v>
      </c>
      <c r="DO27" s="43">
        <v>99568</v>
      </c>
    </row>
    <row r="28" spans="1:119">
      <c r="A28" s="42">
        <v>26</v>
      </c>
      <c r="W28" s="43">
        <v>81626</v>
      </c>
      <c r="X28" s="43">
        <v>82312</v>
      </c>
      <c r="Y28" s="43">
        <v>82336</v>
      </c>
      <c r="Z28" s="43">
        <v>84346</v>
      </c>
      <c r="AA28" s="43">
        <v>84793</v>
      </c>
      <c r="AB28" s="43">
        <v>85359</v>
      </c>
      <c r="AC28" s="43">
        <v>86225</v>
      </c>
      <c r="AD28" s="43">
        <v>87083</v>
      </c>
      <c r="AE28" s="43">
        <v>87035</v>
      </c>
      <c r="AF28" s="43">
        <v>88146</v>
      </c>
      <c r="AG28" s="43">
        <v>88621</v>
      </c>
      <c r="AH28" s="43">
        <v>88799</v>
      </c>
      <c r="AI28" s="43">
        <v>89213</v>
      </c>
      <c r="AJ28" s="43">
        <v>90402</v>
      </c>
      <c r="AK28" s="43">
        <v>90387</v>
      </c>
      <c r="AL28" s="43">
        <v>90714</v>
      </c>
      <c r="AM28" s="43">
        <v>90969</v>
      </c>
      <c r="AN28" s="43">
        <v>91455</v>
      </c>
      <c r="AO28" s="43">
        <v>91488</v>
      </c>
      <c r="AP28" s="43">
        <v>91575</v>
      </c>
      <c r="AQ28" s="43">
        <v>91663</v>
      </c>
      <c r="AR28" s="43">
        <v>91661</v>
      </c>
      <c r="AS28" s="43">
        <v>91159</v>
      </c>
      <c r="AT28" s="43">
        <v>90488</v>
      </c>
      <c r="AU28" s="43">
        <v>89381</v>
      </c>
      <c r="AV28" s="43">
        <v>89556</v>
      </c>
      <c r="AW28" s="43">
        <v>89856</v>
      </c>
      <c r="AX28" s="43">
        <v>91826</v>
      </c>
      <c r="AY28" s="43">
        <v>93435</v>
      </c>
      <c r="AZ28" s="43">
        <v>93507</v>
      </c>
      <c r="BA28" s="43">
        <v>93550</v>
      </c>
      <c r="BB28" s="43">
        <v>94099</v>
      </c>
      <c r="BC28" s="43">
        <v>94368</v>
      </c>
      <c r="BD28" s="43">
        <v>94652</v>
      </c>
      <c r="BE28" s="43">
        <v>94743</v>
      </c>
      <c r="BF28" s="43">
        <v>95073</v>
      </c>
      <c r="BG28" s="43">
        <v>95236</v>
      </c>
      <c r="BH28" s="43">
        <v>95410</v>
      </c>
      <c r="BI28" s="43">
        <v>95515</v>
      </c>
      <c r="BJ28" s="43">
        <v>95721</v>
      </c>
      <c r="BK28" s="43">
        <v>95968</v>
      </c>
      <c r="BL28" s="43">
        <v>96234</v>
      </c>
      <c r="BM28" s="43">
        <v>96435</v>
      </c>
      <c r="BN28" s="43">
        <v>96656</v>
      </c>
      <c r="BO28" s="43">
        <v>96815</v>
      </c>
      <c r="BP28" s="43">
        <v>96954</v>
      </c>
      <c r="BQ28" s="43">
        <v>97028</v>
      </c>
      <c r="BR28" s="43">
        <v>97120</v>
      </c>
      <c r="BS28" s="43">
        <v>97115</v>
      </c>
      <c r="BT28" s="43">
        <v>97177</v>
      </c>
      <c r="BU28" s="43">
        <v>97230</v>
      </c>
      <c r="BV28" s="43">
        <v>97341</v>
      </c>
      <c r="BW28" s="43">
        <v>97409</v>
      </c>
      <c r="BX28" s="43">
        <v>97521</v>
      </c>
      <c r="BY28" s="43">
        <v>97605</v>
      </c>
      <c r="BZ28" s="43">
        <v>97822</v>
      </c>
      <c r="CA28" s="43">
        <v>97995</v>
      </c>
      <c r="CB28" s="43">
        <v>98098</v>
      </c>
      <c r="CC28" s="43">
        <v>98171</v>
      </c>
      <c r="CD28" s="43">
        <v>98258</v>
      </c>
      <c r="CE28" s="43">
        <v>98347</v>
      </c>
      <c r="CF28" s="43">
        <v>98426</v>
      </c>
      <c r="CG28" s="43">
        <v>98534</v>
      </c>
      <c r="CH28" s="43">
        <v>98579</v>
      </c>
      <c r="CI28" s="43">
        <v>98678</v>
      </c>
      <c r="CJ28" s="43">
        <v>98723</v>
      </c>
      <c r="CK28" s="43">
        <v>98779</v>
      </c>
      <c r="CL28" s="43">
        <v>98867</v>
      </c>
      <c r="CM28" s="43">
        <v>98906</v>
      </c>
      <c r="CN28" s="43">
        <v>98968</v>
      </c>
      <c r="CO28" s="43">
        <v>98998</v>
      </c>
      <c r="CP28" s="43">
        <v>99066</v>
      </c>
      <c r="CQ28" s="43">
        <v>99109</v>
      </c>
      <c r="CR28" s="43">
        <v>99133</v>
      </c>
      <c r="CS28" s="43">
        <v>99181</v>
      </c>
      <c r="CT28" s="43">
        <v>99214</v>
      </c>
      <c r="CU28" s="43">
        <v>99243</v>
      </c>
      <c r="CV28" s="43">
        <v>99244</v>
      </c>
      <c r="CW28" s="43">
        <v>99279</v>
      </c>
      <c r="CX28" s="43">
        <v>99306</v>
      </c>
      <c r="CY28" s="43">
        <v>99324</v>
      </c>
      <c r="CZ28" s="43">
        <v>99310</v>
      </c>
      <c r="DA28" s="43">
        <v>99330</v>
      </c>
      <c r="DB28" s="43">
        <v>99345</v>
      </c>
      <c r="DC28" s="43">
        <v>99385</v>
      </c>
      <c r="DD28" s="43">
        <v>99391</v>
      </c>
      <c r="DE28" s="43">
        <v>99412</v>
      </c>
      <c r="DF28" s="43">
        <v>99457</v>
      </c>
      <c r="DG28" s="43">
        <v>99444</v>
      </c>
      <c r="DH28" s="43">
        <v>99471</v>
      </c>
      <c r="DI28" s="43">
        <v>99455</v>
      </c>
      <c r="DJ28" s="43">
        <v>99483</v>
      </c>
      <c r="DK28" s="43">
        <v>99499</v>
      </c>
      <c r="DL28" s="43">
        <v>99504</v>
      </c>
      <c r="DM28" s="43">
        <v>99523</v>
      </c>
      <c r="DN28" s="43">
        <v>99542</v>
      </c>
      <c r="DO28" s="43">
        <v>99560</v>
      </c>
    </row>
    <row r="29" spans="1:119">
      <c r="A29" s="42">
        <v>27</v>
      </c>
      <c r="W29" s="43">
        <v>81415</v>
      </c>
      <c r="X29" s="43">
        <v>82141</v>
      </c>
      <c r="Y29" s="43">
        <v>82222</v>
      </c>
      <c r="Z29" s="43">
        <v>84228</v>
      </c>
      <c r="AA29" s="43">
        <v>84675</v>
      </c>
      <c r="AB29" s="43">
        <v>85265</v>
      </c>
      <c r="AC29" s="43">
        <v>86135</v>
      </c>
      <c r="AD29" s="43">
        <v>86989</v>
      </c>
      <c r="AE29" s="43">
        <v>86949</v>
      </c>
      <c r="AF29" s="43">
        <v>88063</v>
      </c>
      <c r="AG29" s="43">
        <v>88539</v>
      </c>
      <c r="AH29" s="43">
        <v>88724</v>
      </c>
      <c r="AI29" s="43">
        <v>89140</v>
      </c>
      <c r="AJ29" s="43">
        <v>90325</v>
      </c>
      <c r="AK29" s="43">
        <v>90316</v>
      </c>
      <c r="AL29" s="43">
        <v>90649</v>
      </c>
      <c r="AM29" s="43">
        <v>90908</v>
      </c>
      <c r="AN29" s="43">
        <v>91393</v>
      </c>
      <c r="AO29" s="43">
        <v>91426</v>
      </c>
      <c r="AP29" s="43">
        <v>91513</v>
      </c>
      <c r="AQ29" s="43">
        <v>91603</v>
      </c>
      <c r="AR29" s="43">
        <v>91600</v>
      </c>
      <c r="AS29" s="43">
        <v>91102</v>
      </c>
      <c r="AT29" s="43">
        <v>90429</v>
      </c>
      <c r="AU29" s="43">
        <v>89322</v>
      </c>
      <c r="AV29" s="43">
        <v>89498</v>
      </c>
      <c r="AW29" s="43">
        <v>89804</v>
      </c>
      <c r="AX29" s="43">
        <v>91773</v>
      </c>
      <c r="AY29" s="43">
        <v>93378</v>
      </c>
      <c r="AZ29" s="43">
        <v>93452</v>
      </c>
      <c r="BA29" s="43">
        <v>93496</v>
      </c>
      <c r="BB29" s="43">
        <v>94047</v>
      </c>
      <c r="BC29" s="43">
        <v>94315</v>
      </c>
      <c r="BD29" s="43">
        <v>94599</v>
      </c>
      <c r="BE29" s="43">
        <v>94690</v>
      </c>
      <c r="BF29" s="43">
        <v>95025</v>
      </c>
      <c r="BG29" s="43">
        <v>95187</v>
      </c>
      <c r="BH29" s="43">
        <v>95368</v>
      </c>
      <c r="BI29" s="43">
        <v>95471</v>
      </c>
      <c r="BJ29" s="43">
        <v>95678</v>
      </c>
      <c r="BK29" s="43">
        <v>95930</v>
      </c>
      <c r="BL29" s="43">
        <v>96196</v>
      </c>
      <c r="BM29" s="43">
        <v>96400</v>
      </c>
      <c r="BN29" s="43">
        <v>96619</v>
      </c>
      <c r="BO29" s="43">
        <v>96773</v>
      </c>
      <c r="BP29" s="43">
        <v>96917</v>
      </c>
      <c r="BQ29" s="43">
        <v>96994</v>
      </c>
      <c r="BR29" s="43">
        <v>97085</v>
      </c>
      <c r="BS29" s="43">
        <v>97082</v>
      </c>
      <c r="BT29" s="43">
        <v>97147</v>
      </c>
      <c r="BU29" s="43">
        <v>97201</v>
      </c>
      <c r="BV29" s="43">
        <v>97307</v>
      </c>
      <c r="BW29" s="43">
        <v>97381</v>
      </c>
      <c r="BX29" s="43">
        <v>97495</v>
      </c>
      <c r="BY29" s="43">
        <v>97577</v>
      </c>
      <c r="BZ29" s="43">
        <v>97796</v>
      </c>
      <c r="CA29" s="43">
        <v>97966</v>
      </c>
      <c r="CB29" s="43">
        <v>98074</v>
      </c>
      <c r="CC29" s="43">
        <v>98149</v>
      </c>
      <c r="CD29" s="43">
        <v>98234</v>
      </c>
      <c r="CE29" s="43">
        <v>98322</v>
      </c>
      <c r="CF29" s="43">
        <v>98400</v>
      </c>
      <c r="CG29" s="43">
        <v>98508</v>
      </c>
      <c r="CH29" s="43">
        <v>98557</v>
      </c>
      <c r="CI29" s="43">
        <v>98657</v>
      </c>
      <c r="CJ29" s="43">
        <v>98702</v>
      </c>
      <c r="CK29" s="43">
        <v>98759</v>
      </c>
      <c r="CL29" s="43">
        <v>98850</v>
      </c>
      <c r="CM29" s="43">
        <v>98887</v>
      </c>
      <c r="CN29" s="43">
        <v>98949</v>
      </c>
      <c r="CO29" s="43">
        <v>98979</v>
      </c>
      <c r="CP29" s="43">
        <v>99048</v>
      </c>
      <c r="CQ29" s="43">
        <v>99091</v>
      </c>
      <c r="CR29" s="43">
        <v>99116</v>
      </c>
      <c r="CS29" s="43">
        <v>99164</v>
      </c>
      <c r="CT29" s="43">
        <v>99197</v>
      </c>
      <c r="CU29" s="43">
        <v>99227</v>
      </c>
      <c r="CV29" s="43">
        <v>99228</v>
      </c>
      <c r="CW29" s="43">
        <v>99264</v>
      </c>
      <c r="CX29" s="43">
        <v>99291</v>
      </c>
      <c r="CY29" s="43">
        <v>99310</v>
      </c>
      <c r="CZ29" s="43">
        <v>99296</v>
      </c>
      <c r="DA29" s="43">
        <v>99317</v>
      </c>
      <c r="DB29" s="43">
        <v>99332</v>
      </c>
      <c r="DC29" s="43">
        <v>99372</v>
      </c>
      <c r="DD29" s="43">
        <v>99379</v>
      </c>
      <c r="DE29" s="43">
        <v>99400</v>
      </c>
      <c r="DF29" s="43">
        <v>99445</v>
      </c>
      <c r="DG29" s="43">
        <v>99432</v>
      </c>
      <c r="DH29" s="43">
        <v>99460</v>
      </c>
      <c r="DI29" s="43">
        <v>99444</v>
      </c>
      <c r="DJ29" s="43">
        <v>99473</v>
      </c>
      <c r="DK29" s="43">
        <v>99489</v>
      </c>
      <c r="DL29" s="43">
        <v>99494</v>
      </c>
      <c r="DM29" s="43">
        <v>99513</v>
      </c>
      <c r="DN29" s="43">
        <v>99532</v>
      </c>
      <c r="DO29" s="43">
        <v>99551</v>
      </c>
    </row>
    <row r="30" spans="1:119">
      <c r="A30" s="42">
        <v>28</v>
      </c>
      <c r="W30" s="43">
        <v>81245</v>
      </c>
      <c r="X30" s="43">
        <v>82023</v>
      </c>
      <c r="Y30" s="43">
        <v>82103</v>
      </c>
      <c r="Z30" s="43">
        <v>84107</v>
      </c>
      <c r="AA30" s="43">
        <v>84570</v>
      </c>
      <c r="AB30" s="43">
        <v>85170</v>
      </c>
      <c r="AC30" s="43">
        <v>86045</v>
      </c>
      <c r="AD30" s="43">
        <v>86902</v>
      </c>
      <c r="AE30" s="43">
        <v>86861</v>
      </c>
      <c r="AF30" s="43">
        <v>87978</v>
      </c>
      <c r="AG30" s="43">
        <v>88456</v>
      </c>
      <c r="AH30" s="43">
        <v>88641</v>
      </c>
      <c r="AI30" s="43">
        <v>89065</v>
      </c>
      <c r="AJ30" s="43">
        <v>90252</v>
      </c>
      <c r="AK30" s="43">
        <v>90245</v>
      </c>
      <c r="AL30" s="43">
        <v>90586</v>
      </c>
      <c r="AM30" s="43">
        <v>90847</v>
      </c>
      <c r="AN30" s="43">
        <v>91328</v>
      </c>
      <c r="AO30" s="43">
        <v>91358</v>
      </c>
      <c r="AP30" s="43">
        <v>91451</v>
      </c>
      <c r="AQ30" s="43">
        <v>91540</v>
      </c>
      <c r="AR30" s="43">
        <v>91535</v>
      </c>
      <c r="AS30" s="43">
        <v>91037</v>
      </c>
      <c r="AT30" s="43">
        <v>90366</v>
      </c>
      <c r="AU30" s="43">
        <v>89268</v>
      </c>
      <c r="AV30" s="43">
        <v>89439</v>
      </c>
      <c r="AW30" s="43">
        <v>89750</v>
      </c>
      <c r="AX30" s="43">
        <v>91722</v>
      </c>
      <c r="AY30" s="43">
        <v>93323</v>
      </c>
      <c r="AZ30" s="43">
        <v>93387</v>
      </c>
      <c r="BA30" s="43">
        <v>93443</v>
      </c>
      <c r="BB30" s="43">
        <v>93994</v>
      </c>
      <c r="BC30" s="43">
        <v>94260</v>
      </c>
      <c r="BD30" s="43">
        <v>94548</v>
      </c>
      <c r="BE30" s="43">
        <v>94638</v>
      </c>
      <c r="BF30" s="43">
        <v>94980</v>
      </c>
      <c r="BG30" s="43">
        <v>95138</v>
      </c>
      <c r="BH30" s="43">
        <v>95323</v>
      </c>
      <c r="BI30" s="43">
        <v>95426</v>
      </c>
      <c r="BJ30" s="43">
        <v>95634</v>
      </c>
      <c r="BK30" s="43">
        <v>95890</v>
      </c>
      <c r="BL30" s="43">
        <v>96157</v>
      </c>
      <c r="BM30" s="43">
        <v>96361</v>
      </c>
      <c r="BN30" s="43">
        <v>96581</v>
      </c>
      <c r="BO30" s="43">
        <v>96733</v>
      </c>
      <c r="BP30" s="43">
        <v>96884</v>
      </c>
      <c r="BQ30" s="43">
        <v>96958</v>
      </c>
      <c r="BR30" s="43">
        <v>97051</v>
      </c>
      <c r="BS30" s="43">
        <v>97049</v>
      </c>
      <c r="BT30" s="43">
        <v>97113</v>
      </c>
      <c r="BU30" s="43">
        <v>97172</v>
      </c>
      <c r="BV30" s="43">
        <v>97273</v>
      </c>
      <c r="BW30" s="43">
        <v>97348</v>
      </c>
      <c r="BX30" s="43">
        <v>97462</v>
      </c>
      <c r="BY30" s="43">
        <v>97551</v>
      </c>
      <c r="BZ30" s="43">
        <v>97768</v>
      </c>
      <c r="CA30" s="43">
        <v>97937</v>
      </c>
      <c r="CB30" s="43">
        <v>98050</v>
      </c>
      <c r="CC30" s="43">
        <v>98123</v>
      </c>
      <c r="CD30" s="43">
        <v>98210</v>
      </c>
      <c r="CE30" s="43">
        <v>98297</v>
      </c>
      <c r="CF30" s="43">
        <v>98373</v>
      </c>
      <c r="CG30" s="43">
        <v>98478</v>
      </c>
      <c r="CH30" s="43">
        <v>98534</v>
      </c>
      <c r="CI30" s="43">
        <v>98635</v>
      </c>
      <c r="CJ30" s="43">
        <v>98680</v>
      </c>
      <c r="CK30" s="43">
        <v>98736</v>
      </c>
      <c r="CL30" s="43">
        <v>98829</v>
      </c>
      <c r="CM30" s="43">
        <v>98866</v>
      </c>
      <c r="CN30" s="43">
        <v>98928</v>
      </c>
      <c r="CO30" s="43">
        <v>98959</v>
      </c>
      <c r="CP30" s="43">
        <v>99029</v>
      </c>
      <c r="CQ30" s="43">
        <v>99072</v>
      </c>
      <c r="CR30" s="43">
        <v>99097</v>
      </c>
      <c r="CS30" s="43">
        <v>99147</v>
      </c>
      <c r="CT30" s="43">
        <v>99180</v>
      </c>
      <c r="CU30" s="43">
        <v>99210</v>
      </c>
      <c r="CV30" s="43">
        <v>99212</v>
      </c>
      <c r="CW30" s="43">
        <v>99248</v>
      </c>
      <c r="CX30" s="43">
        <v>99276</v>
      </c>
      <c r="CY30" s="43">
        <v>99295</v>
      </c>
      <c r="CZ30" s="43">
        <v>99282</v>
      </c>
      <c r="DA30" s="43">
        <v>99302</v>
      </c>
      <c r="DB30" s="43">
        <v>99318</v>
      </c>
      <c r="DC30" s="43">
        <v>99358</v>
      </c>
      <c r="DD30" s="43">
        <v>99366</v>
      </c>
      <c r="DE30" s="43">
        <v>99387</v>
      </c>
      <c r="DF30" s="43">
        <v>99433</v>
      </c>
      <c r="DG30" s="43">
        <v>99420</v>
      </c>
      <c r="DH30" s="43">
        <v>99448</v>
      </c>
      <c r="DI30" s="43">
        <v>99433</v>
      </c>
      <c r="DJ30" s="43">
        <v>99462</v>
      </c>
      <c r="DK30" s="43">
        <v>99478</v>
      </c>
      <c r="DL30" s="43">
        <v>99483</v>
      </c>
      <c r="DM30" s="43">
        <v>99503</v>
      </c>
      <c r="DN30" s="43">
        <v>99523</v>
      </c>
      <c r="DO30" s="43">
        <v>99541</v>
      </c>
    </row>
    <row r="31" spans="1:119">
      <c r="A31" s="42">
        <v>29</v>
      </c>
      <c r="W31" s="43">
        <v>81122</v>
      </c>
      <c r="X31" s="43">
        <v>81899</v>
      </c>
      <c r="Y31" s="43">
        <v>81979</v>
      </c>
      <c r="Z31" s="43">
        <v>84006</v>
      </c>
      <c r="AA31" s="43">
        <v>84475</v>
      </c>
      <c r="AB31" s="43">
        <v>85075</v>
      </c>
      <c r="AC31" s="43">
        <v>85951</v>
      </c>
      <c r="AD31" s="43">
        <v>86816</v>
      </c>
      <c r="AE31" s="43">
        <v>86765</v>
      </c>
      <c r="AF31" s="43">
        <v>87893</v>
      </c>
      <c r="AG31" s="43">
        <v>88362</v>
      </c>
      <c r="AH31" s="43">
        <v>88555</v>
      </c>
      <c r="AI31" s="43">
        <v>88986</v>
      </c>
      <c r="AJ31" s="43">
        <v>90174</v>
      </c>
      <c r="AK31" s="43">
        <v>90170</v>
      </c>
      <c r="AL31" s="43">
        <v>90515</v>
      </c>
      <c r="AM31" s="43">
        <v>90782</v>
      </c>
      <c r="AN31" s="43">
        <v>91265</v>
      </c>
      <c r="AO31" s="43">
        <v>91294</v>
      </c>
      <c r="AP31" s="43">
        <v>91389</v>
      </c>
      <c r="AQ31" s="43">
        <v>91474</v>
      </c>
      <c r="AR31" s="43">
        <v>91477</v>
      </c>
      <c r="AS31" s="43">
        <v>90978</v>
      </c>
      <c r="AT31" s="43">
        <v>90303</v>
      </c>
      <c r="AU31" s="43">
        <v>89206</v>
      </c>
      <c r="AV31" s="43">
        <v>89384</v>
      </c>
      <c r="AW31" s="43">
        <v>89694</v>
      </c>
      <c r="AX31" s="43">
        <v>91665</v>
      </c>
      <c r="AY31" s="43">
        <v>93260</v>
      </c>
      <c r="AZ31" s="43">
        <v>93333</v>
      </c>
      <c r="BA31" s="43">
        <v>93385</v>
      </c>
      <c r="BB31" s="43">
        <v>93939</v>
      </c>
      <c r="BC31" s="43">
        <v>94205</v>
      </c>
      <c r="BD31" s="43">
        <v>94500</v>
      </c>
      <c r="BE31" s="43">
        <v>94579</v>
      </c>
      <c r="BF31" s="43">
        <v>94932</v>
      </c>
      <c r="BG31" s="43">
        <v>95090</v>
      </c>
      <c r="BH31" s="43">
        <v>95276</v>
      </c>
      <c r="BI31" s="43">
        <v>95383</v>
      </c>
      <c r="BJ31" s="43">
        <v>95594</v>
      </c>
      <c r="BK31" s="43">
        <v>95845</v>
      </c>
      <c r="BL31" s="43">
        <v>96118</v>
      </c>
      <c r="BM31" s="43">
        <v>96315</v>
      </c>
      <c r="BN31" s="43">
        <v>96536</v>
      </c>
      <c r="BO31" s="43">
        <v>96696</v>
      </c>
      <c r="BP31" s="43">
        <v>96846</v>
      </c>
      <c r="BQ31" s="43">
        <v>96919</v>
      </c>
      <c r="BR31" s="43">
        <v>97011</v>
      </c>
      <c r="BS31" s="43">
        <v>97011</v>
      </c>
      <c r="BT31" s="43">
        <v>97082</v>
      </c>
      <c r="BU31" s="43">
        <v>97137</v>
      </c>
      <c r="BV31" s="43">
        <v>97240</v>
      </c>
      <c r="BW31" s="43">
        <v>97319</v>
      </c>
      <c r="BX31" s="43">
        <v>97432</v>
      </c>
      <c r="BY31" s="43">
        <v>97522</v>
      </c>
      <c r="BZ31" s="43">
        <v>97747</v>
      </c>
      <c r="CA31" s="43">
        <v>97913</v>
      </c>
      <c r="CB31" s="43">
        <v>98026</v>
      </c>
      <c r="CC31" s="43">
        <v>98098</v>
      </c>
      <c r="CD31" s="43">
        <v>98184</v>
      </c>
      <c r="CE31" s="43">
        <v>98272</v>
      </c>
      <c r="CF31" s="43">
        <v>98350</v>
      </c>
      <c r="CG31" s="43">
        <v>98452</v>
      </c>
      <c r="CH31" s="43">
        <v>98509</v>
      </c>
      <c r="CI31" s="43">
        <v>98611</v>
      </c>
      <c r="CJ31" s="43">
        <v>98654</v>
      </c>
      <c r="CK31" s="43">
        <v>98712</v>
      </c>
      <c r="CL31" s="43">
        <v>98806</v>
      </c>
      <c r="CM31" s="43">
        <v>98843</v>
      </c>
      <c r="CN31" s="43">
        <v>98907</v>
      </c>
      <c r="CO31" s="43">
        <v>98938</v>
      </c>
      <c r="CP31" s="43">
        <v>99008</v>
      </c>
      <c r="CQ31" s="43">
        <v>99052</v>
      </c>
      <c r="CR31" s="43">
        <v>99078</v>
      </c>
      <c r="CS31" s="43">
        <v>99128</v>
      </c>
      <c r="CT31" s="43">
        <v>99161</v>
      </c>
      <c r="CU31" s="43">
        <v>99192</v>
      </c>
      <c r="CV31" s="43">
        <v>99194</v>
      </c>
      <c r="CW31" s="43">
        <v>99231</v>
      </c>
      <c r="CX31" s="43">
        <v>99259</v>
      </c>
      <c r="CY31" s="43">
        <v>99279</v>
      </c>
      <c r="CZ31" s="43">
        <v>99266</v>
      </c>
      <c r="DA31" s="43">
        <v>99287</v>
      </c>
      <c r="DB31" s="43">
        <v>99303</v>
      </c>
      <c r="DC31" s="43">
        <v>99344</v>
      </c>
      <c r="DD31" s="43">
        <v>99352</v>
      </c>
      <c r="DE31" s="43">
        <v>99373</v>
      </c>
      <c r="DF31" s="43">
        <v>99419</v>
      </c>
      <c r="DG31" s="43">
        <v>99407</v>
      </c>
      <c r="DH31" s="43">
        <v>99435</v>
      </c>
      <c r="DI31" s="43">
        <v>99421</v>
      </c>
      <c r="DJ31" s="43">
        <v>99450</v>
      </c>
      <c r="DK31" s="43">
        <v>99467</v>
      </c>
      <c r="DL31" s="43">
        <v>99472</v>
      </c>
      <c r="DM31" s="43">
        <v>99492</v>
      </c>
      <c r="DN31" s="43">
        <v>99512</v>
      </c>
      <c r="DO31" s="43">
        <v>99531</v>
      </c>
    </row>
    <row r="32" spans="1:119">
      <c r="A32" s="42">
        <v>30</v>
      </c>
      <c r="W32" s="43">
        <v>80994</v>
      </c>
      <c r="X32" s="43">
        <v>81770</v>
      </c>
      <c r="Y32" s="43">
        <v>81867</v>
      </c>
      <c r="Z32" s="43">
        <v>83902</v>
      </c>
      <c r="AA32" s="43">
        <v>84374</v>
      </c>
      <c r="AB32" s="43">
        <v>84978</v>
      </c>
      <c r="AC32" s="43">
        <v>85856</v>
      </c>
      <c r="AD32" s="43">
        <v>86724</v>
      </c>
      <c r="AE32" s="43">
        <v>86672</v>
      </c>
      <c r="AF32" s="43">
        <v>87798</v>
      </c>
      <c r="AG32" s="43">
        <v>88273</v>
      </c>
      <c r="AH32" s="43">
        <v>88468</v>
      </c>
      <c r="AI32" s="43">
        <v>88905</v>
      </c>
      <c r="AJ32" s="43">
        <v>90093</v>
      </c>
      <c r="AK32" s="43">
        <v>90092</v>
      </c>
      <c r="AL32" s="43">
        <v>90444</v>
      </c>
      <c r="AM32" s="43">
        <v>90709</v>
      </c>
      <c r="AN32" s="43">
        <v>91190</v>
      </c>
      <c r="AO32" s="43">
        <v>91228</v>
      </c>
      <c r="AP32" s="43">
        <v>91322</v>
      </c>
      <c r="AQ32" s="43">
        <v>91407</v>
      </c>
      <c r="AR32" s="43">
        <v>91411</v>
      </c>
      <c r="AS32" s="43">
        <v>90913</v>
      </c>
      <c r="AT32" s="43">
        <v>90241</v>
      </c>
      <c r="AU32" s="43">
        <v>89141</v>
      </c>
      <c r="AV32" s="43">
        <v>89321</v>
      </c>
      <c r="AW32" s="43">
        <v>89634</v>
      </c>
      <c r="AX32" s="43">
        <v>91606</v>
      </c>
      <c r="AY32" s="43">
        <v>93191</v>
      </c>
      <c r="AZ32" s="43">
        <v>93270</v>
      </c>
      <c r="BA32" s="43">
        <v>93330</v>
      </c>
      <c r="BB32" s="43">
        <v>93881</v>
      </c>
      <c r="BC32" s="43">
        <v>94149</v>
      </c>
      <c r="BD32" s="43">
        <v>94448</v>
      </c>
      <c r="BE32" s="43">
        <v>94523</v>
      </c>
      <c r="BF32" s="43">
        <v>94884</v>
      </c>
      <c r="BG32" s="43">
        <v>95049</v>
      </c>
      <c r="BH32" s="43">
        <v>95231</v>
      </c>
      <c r="BI32" s="43">
        <v>95332</v>
      </c>
      <c r="BJ32" s="43">
        <v>95543</v>
      </c>
      <c r="BK32" s="43">
        <v>95799</v>
      </c>
      <c r="BL32" s="43">
        <v>96069</v>
      </c>
      <c r="BM32" s="43">
        <v>96267</v>
      </c>
      <c r="BN32" s="43">
        <v>96494</v>
      </c>
      <c r="BO32" s="43">
        <v>96657</v>
      </c>
      <c r="BP32" s="43">
        <v>96803</v>
      </c>
      <c r="BQ32" s="43">
        <v>96880</v>
      </c>
      <c r="BR32" s="43">
        <v>96977</v>
      </c>
      <c r="BS32" s="43">
        <v>96975</v>
      </c>
      <c r="BT32" s="43">
        <v>97048</v>
      </c>
      <c r="BU32" s="43">
        <v>97103</v>
      </c>
      <c r="BV32" s="43">
        <v>97212</v>
      </c>
      <c r="BW32" s="43">
        <v>97291</v>
      </c>
      <c r="BX32" s="43">
        <v>97403</v>
      </c>
      <c r="BY32" s="43">
        <v>97494</v>
      </c>
      <c r="BZ32" s="43">
        <v>97719</v>
      </c>
      <c r="CA32" s="43">
        <v>97882</v>
      </c>
      <c r="CB32" s="43">
        <v>97996</v>
      </c>
      <c r="CC32" s="43">
        <v>98075</v>
      </c>
      <c r="CD32" s="43">
        <v>98157</v>
      </c>
      <c r="CE32" s="43">
        <v>98242</v>
      </c>
      <c r="CF32" s="43">
        <v>98326</v>
      </c>
      <c r="CG32" s="43">
        <v>98421</v>
      </c>
      <c r="CH32" s="43">
        <v>98484</v>
      </c>
      <c r="CI32" s="43">
        <v>98587</v>
      </c>
      <c r="CJ32" s="43">
        <v>98629</v>
      </c>
      <c r="CK32" s="43">
        <v>98687</v>
      </c>
      <c r="CL32" s="43">
        <v>98782</v>
      </c>
      <c r="CM32" s="43">
        <v>98820</v>
      </c>
      <c r="CN32" s="43">
        <v>98883</v>
      </c>
      <c r="CO32" s="43">
        <v>98916</v>
      </c>
      <c r="CP32" s="43">
        <v>98986</v>
      </c>
      <c r="CQ32" s="43">
        <v>99031</v>
      </c>
      <c r="CR32" s="43">
        <v>99057</v>
      </c>
      <c r="CS32" s="43">
        <v>99107</v>
      </c>
      <c r="CT32" s="43">
        <v>99142</v>
      </c>
      <c r="CU32" s="43">
        <v>99173</v>
      </c>
      <c r="CV32" s="43">
        <v>99176</v>
      </c>
      <c r="CW32" s="43">
        <v>99212</v>
      </c>
      <c r="CX32" s="43">
        <v>99241</v>
      </c>
      <c r="CY32" s="43">
        <v>99261</v>
      </c>
      <c r="CZ32" s="43">
        <v>99249</v>
      </c>
      <c r="DA32" s="43">
        <v>99271</v>
      </c>
      <c r="DB32" s="43">
        <v>99287</v>
      </c>
      <c r="DC32" s="43">
        <v>99328</v>
      </c>
      <c r="DD32" s="43">
        <v>99337</v>
      </c>
      <c r="DE32" s="43">
        <v>99358</v>
      </c>
      <c r="DF32" s="43">
        <v>99405</v>
      </c>
      <c r="DG32" s="43">
        <v>99393</v>
      </c>
      <c r="DH32" s="43">
        <v>99422</v>
      </c>
      <c r="DI32" s="43">
        <v>99407</v>
      </c>
      <c r="DJ32" s="43">
        <v>99437</v>
      </c>
      <c r="DK32" s="43">
        <v>99454</v>
      </c>
      <c r="DL32" s="43">
        <v>99460</v>
      </c>
      <c r="DM32" s="43">
        <v>99480</v>
      </c>
      <c r="DN32" s="43">
        <v>99500</v>
      </c>
      <c r="DO32" s="43">
        <v>99519</v>
      </c>
    </row>
    <row r="33" spans="1:119">
      <c r="A33" s="42">
        <v>31</v>
      </c>
      <c r="W33" s="43">
        <v>80860</v>
      </c>
      <c r="X33" s="43">
        <v>81664</v>
      </c>
      <c r="Y33" s="43">
        <v>81763</v>
      </c>
      <c r="Z33" s="43">
        <v>83794</v>
      </c>
      <c r="AA33" s="43">
        <v>84274</v>
      </c>
      <c r="AB33" s="43">
        <v>84880</v>
      </c>
      <c r="AC33" s="43">
        <v>85752</v>
      </c>
      <c r="AD33" s="43">
        <v>86637</v>
      </c>
      <c r="AE33" s="43">
        <v>86579</v>
      </c>
      <c r="AF33" s="43">
        <v>87715</v>
      </c>
      <c r="AG33" s="43">
        <v>88191</v>
      </c>
      <c r="AH33" s="43">
        <v>88389</v>
      </c>
      <c r="AI33" s="43">
        <v>88818</v>
      </c>
      <c r="AJ33" s="43">
        <v>90014</v>
      </c>
      <c r="AK33" s="43">
        <v>90010</v>
      </c>
      <c r="AL33" s="43">
        <v>90365</v>
      </c>
      <c r="AM33" s="43">
        <v>90633</v>
      </c>
      <c r="AN33" s="43">
        <v>91113</v>
      </c>
      <c r="AO33" s="43">
        <v>91152</v>
      </c>
      <c r="AP33" s="43">
        <v>91252</v>
      </c>
      <c r="AQ33" s="43">
        <v>91334</v>
      </c>
      <c r="AR33" s="43">
        <v>91338</v>
      </c>
      <c r="AS33" s="43">
        <v>90845</v>
      </c>
      <c r="AT33" s="43">
        <v>90171</v>
      </c>
      <c r="AU33" s="43">
        <v>89071</v>
      </c>
      <c r="AV33" s="43">
        <v>89258</v>
      </c>
      <c r="AW33" s="43">
        <v>89570</v>
      </c>
      <c r="AX33" s="43">
        <v>91543</v>
      </c>
      <c r="AY33" s="43">
        <v>93130</v>
      </c>
      <c r="AZ33" s="43">
        <v>93208</v>
      </c>
      <c r="BA33" s="43">
        <v>93267</v>
      </c>
      <c r="BB33" s="43">
        <v>93822</v>
      </c>
      <c r="BC33" s="43">
        <v>94094</v>
      </c>
      <c r="BD33" s="43">
        <v>94390</v>
      </c>
      <c r="BE33" s="43">
        <v>94472</v>
      </c>
      <c r="BF33" s="43">
        <v>94830</v>
      </c>
      <c r="BG33" s="43">
        <v>94997</v>
      </c>
      <c r="BH33" s="43">
        <v>95181</v>
      </c>
      <c r="BI33" s="43">
        <v>95282</v>
      </c>
      <c r="BJ33" s="43">
        <v>95492</v>
      </c>
      <c r="BK33" s="43">
        <v>95743</v>
      </c>
      <c r="BL33" s="43">
        <v>96021</v>
      </c>
      <c r="BM33" s="43">
        <v>96218</v>
      </c>
      <c r="BN33" s="43">
        <v>96447</v>
      </c>
      <c r="BO33" s="43">
        <v>96614</v>
      </c>
      <c r="BP33" s="43">
        <v>96762</v>
      </c>
      <c r="BQ33" s="43">
        <v>96842</v>
      </c>
      <c r="BR33" s="43">
        <v>96940</v>
      </c>
      <c r="BS33" s="43">
        <v>96941</v>
      </c>
      <c r="BT33" s="43">
        <v>97019</v>
      </c>
      <c r="BU33" s="43">
        <v>97070</v>
      </c>
      <c r="BV33" s="43">
        <v>97182</v>
      </c>
      <c r="BW33" s="43">
        <v>97256</v>
      </c>
      <c r="BX33" s="43">
        <v>97371</v>
      </c>
      <c r="BY33" s="43">
        <v>97465</v>
      </c>
      <c r="BZ33" s="43">
        <v>97690</v>
      </c>
      <c r="CA33" s="43">
        <v>97854</v>
      </c>
      <c r="CB33" s="43">
        <v>97967</v>
      </c>
      <c r="CC33" s="43">
        <v>98051</v>
      </c>
      <c r="CD33" s="43">
        <v>98127</v>
      </c>
      <c r="CE33" s="43">
        <v>98215</v>
      </c>
      <c r="CF33" s="43">
        <v>98298</v>
      </c>
      <c r="CG33" s="43">
        <v>98393</v>
      </c>
      <c r="CH33" s="43">
        <v>98457</v>
      </c>
      <c r="CI33" s="43">
        <v>98559</v>
      </c>
      <c r="CJ33" s="43">
        <v>98601</v>
      </c>
      <c r="CK33" s="43">
        <v>98660</v>
      </c>
      <c r="CL33" s="43">
        <v>98756</v>
      </c>
      <c r="CM33" s="43">
        <v>98794</v>
      </c>
      <c r="CN33" s="43">
        <v>98859</v>
      </c>
      <c r="CO33" s="43">
        <v>98892</v>
      </c>
      <c r="CP33" s="43">
        <v>98963</v>
      </c>
      <c r="CQ33" s="43">
        <v>99008</v>
      </c>
      <c r="CR33" s="43">
        <v>99035</v>
      </c>
      <c r="CS33" s="43">
        <v>99086</v>
      </c>
      <c r="CT33" s="43">
        <v>99121</v>
      </c>
      <c r="CU33" s="43">
        <v>99152</v>
      </c>
      <c r="CV33" s="43">
        <v>99156</v>
      </c>
      <c r="CW33" s="43">
        <v>99193</v>
      </c>
      <c r="CX33" s="43">
        <v>99222</v>
      </c>
      <c r="CY33" s="43">
        <v>99243</v>
      </c>
      <c r="CZ33" s="43">
        <v>99231</v>
      </c>
      <c r="DA33" s="43">
        <v>99253</v>
      </c>
      <c r="DB33" s="43">
        <v>99270</v>
      </c>
      <c r="DC33" s="43">
        <v>99312</v>
      </c>
      <c r="DD33" s="43">
        <v>99320</v>
      </c>
      <c r="DE33" s="43">
        <v>99342</v>
      </c>
      <c r="DF33" s="43">
        <v>99390</v>
      </c>
      <c r="DG33" s="43">
        <v>99378</v>
      </c>
      <c r="DH33" s="43">
        <v>99407</v>
      </c>
      <c r="DI33" s="43">
        <v>99393</v>
      </c>
      <c r="DJ33" s="43">
        <v>99423</v>
      </c>
      <c r="DK33" s="43">
        <v>99441</v>
      </c>
      <c r="DL33" s="43">
        <v>99446</v>
      </c>
      <c r="DM33" s="43">
        <v>99467</v>
      </c>
      <c r="DN33" s="43">
        <v>99488</v>
      </c>
      <c r="DO33" s="43">
        <v>99507</v>
      </c>
    </row>
    <row r="34" spans="1:119">
      <c r="A34" s="42">
        <v>32</v>
      </c>
      <c r="W34" s="43">
        <v>80745</v>
      </c>
      <c r="X34" s="43">
        <v>81559</v>
      </c>
      <c r="Y34" s="43">
        <v>81657</v>
      </c>
      <c r="Z34" s="43">
        <v>83691</v>
      </c>
      <c r="AA34" s="43">
        <v>84171</v>
      </c>
      <c r="AB34" s="43">
        <v>84785</v>
      </c>
      <c r="AC34" s="43">
        <v>85658</v>
      </c>
      <c r="AD34" s="43">
        <v>86530</v>
      </c>
      <c r="AE34" s="43">
        <v>86481</v>
      </c>
      <c r="AF34" s="43">
        <v>87624</v>
      </c>
      <c r="AG34" s="43">
        <v>88102</v>
      </c>
      <c r="AH34" s="43">
        <v>88305</v>
      </c>
      <c r="AI34" s="43">
        <v>88734</v>
      </c>
      <c r="AJ34" s="43">
        <v>89920</v>
      </c>
      <c r="AK34" s="43">
        <v>89936</v>
      </c>
      <c r="AL34" s="43">
        <v>90291</v>
      </c>
      <c r="AM34" s="43">
        <v>90555</v>
      </c>
      <c r="AN34" s="43">
        <v>91034</v>
      </c>
      <c r="AO34" s="43">
        <v>91078</v>
      </c>
      <c r="AP34" s="43">
        <v>91176</v>
      </c>
      <c r="AQ34" s="43">
        <v>91263</v>
      </c>
      <c r="AR34" s="43">
        <v>91270</v>
      </c>
      <c r="AS34" s="43">
        <v>90766</v>
      </c>
      <c r="AT34" s="43">
        <v>90098</v>
      </c>
      <c r="AU34" s="43">
        <v>88999</v>
      </c>
      <c r="AV34" s="43">
        <v>89187</v>
      </c>
      <c r="AW34" s="43">
        <v>89504</v>
      </c>
      <c r="AX34" s="43">
        <v>91480</v>
      </c>
      <c r="AY34" s="43">
        <v>93064</v>
      </c>
      <c r="AZ34" s="43">
        <v>93140</v>
      </c>
      <c r="BA34" s="43">
        <v>93203</v>
      </c>
      <c r="BB34" s="43">
        <v>93766</v>
      </c>
      <c r="BC34" s="43">
        <v>94041</v>
      </c>
      <c r="BD34" s="43">
        <v>94334</v>
      </c>
      <c r="BE34" s="43">
        <v>94416</v>
      </c>
      <c r="BF34" s="43">
        <v>94769</v>
      </c>
      <c r="BG34" s="43">
        <v>94944</v>
      </c>
      <c r="BH34" s="43">
        <v>95124</v>
      </c>
      <c r="BI34" s="43">
        <v>95227</v>
      </c>
      <c r="BJ34" s="43">
        <v>95444</v>
      </c>
      <c r="BK34" s="43">
        <v>95691</v>
      </c>
      <c r="BL34" s="43">
        <v>95976</v>
      </c>
      <c r="BM34" s="43">
        <v>96170</v>
      </c>
      <c r="BN34" s="43">
        <v>96397</v>
      </c>
      <c r="BO34" s="43">
        <v>96569</v>
      </c>
      <c r="BP34" s="43">
        <v>96721</v>
      </c>
      <c r="BQ34" s="43">
        <v>96806</v>
      </c>
      <c r="BR34" s="43">
        <v>96900</v>
      </c>
      <c r="BS34" s="43">
        <v>96904</v>
      </c>
      <c r="BT34" s="43">
        <v>96986</v>
      </c>
      <c r="BU34" s="43">
        <v>97033</v>
      </c>
      <c r="BV34" s="43">
        <v>97147</v>
      </c>
      <c r="BW34" s="43">
        <v>97225</v>
      </c>
      <c r="BX34" s="43">
        <v>97339</v>
      </c>
      <c r="BY34" s="43">
        <v>97437</v>
      </c>
      <c r="BZ34" s="43">
        <v>97654</v>
      </c>
      <c r="CA34" s="43">
        <v>97825</v>
      </c>
      <c r="CB34" s="43">
        <v>97938</v>
      </c>
      <c r="CC34" s="43">
        <v>98020</v>
      </c>
      <c r="CD34" s="43">
        <v>98101</v>
      </c>
      <c r="CE34" s="43">
        <v>98184</v>
      </c>
      <c r="CF34" s="43">
        <v>98271</v>
      </c>
      <c r="CG34" s="43">
        <v>98360</v>
      </c>
      <c r="CH34" s="43">
        <v>98426</v>
      </c>
      <c r="CI34" s="43">
        <v>98529</v>
      </c>
      <c r="CJ34" s="43">
        <v>98573</v>
      </c>
      <c r="CK34" s="43">
        <v>98632</v>
      </c>
      <c r="CL34" s="43">
        <v>98728</v>
      </c>
      <c r="CM34" s="43">
        <v>98768</v>
      </c>
      <c r="CN34" s="43">
        <v>98833</v>
      </c>
      <c r="CO34" s="43">
        <v>98866</v>
      </c>
      <c r="CP34" s="43">
        <v>98938</v>
      </c>
      <c r="CQ34" s="43">
        <v>98984</v>
      </c>
      <c r="CR34" s="43">
        <v>99011</v>
      </c>
      <c r="CS34" s="43">
        <v>99063</v>
      </c>
      <c r="CT34" s="43">
        <v>99098</v>
      </c>
      <c r="CU34" s="43">
        <v>99130</v>
      </c>
      <c r="CV34" s="43">
        <v>99134</v>
      </c>
      <c r="CW34" s="43">
        <v>99172</v>
      </c>
      <c r="CX34" s="43">
        <v>99202</v>
      </c>
      <c r="CY34" s="43">
        <v>99223</v>
      </c>
      <c r="CZ34" s="43">
        <v>99212</v>
      </c>
      <c r="DA34" s="43">
        <v>99234</v>
      </c>
      <c r="DB34" s="43">
        <v>99252</v>
      </c>
      <c r="DC34" s="43">
        <v>99294</v>
      </c>
      <c r="DD34" s="43">
        <v>99303</v>
      </c>
      <c r="DE34" s="43">
        <v>99326</v>
      </c>
      <c r="DF34" s="43">
        <v>99373</v>
      </c>
      <c r="DG34" s="43">
        <v>99362</v>
      </c>
      <c r="DH34" s="43">
        <v>99392</v>
      </c>
      <c r="DI34" s="43">
        <v>99378</v>
      </c>
      <c r="DJ34" s="43">
        <v>99408</v>
      </c>
      <c r="DK34" s="43">
        <v>99426</v>
      </c>
      <c r="DL34" s="43">
        <v>99432</v>
      </c>
      <c r="DM34" s="43">
        <v>99454</v>
      </c>
      <c r="DN34" s="43">
        <v>99474</v>
      </c>
      <c r="DO34" s="43">
        <v>99494</v>
      </c>
    </row>
    <row r="35" spans="1:119">
      <c r="A35" s="42">
        <v>33</v>
      </c>
      <c r="W35" s="43">
        <v>80627</v>
      </c>
      <c r="X35" s="43">
        <v>81440</v>
      </c>
      <c r="Y35" s="43">
        <v>81544</v>
      </c>
      <c r="Z35" s="43">
        <v>83581</v>
      </c>
      <c r="AA35" s="43">
        <v>84061</v>
      </c>
      <c r="AB35" s="43">
        <v>84681</v>
      </c>
      <c r="AC35" s="43">
        <v>85562</v>
      </c>
      <c r="AD35" s="43">
        <v>86437</v>
      </c>
      <c r="AE35" s="43">
        <v>86383</v>
      </c>
      <c r="AF35" s="43">
        <v>87528</v>
      </c>
      <c r="AG35" s="43">
        <v>88012</v>
      </c>
      <c r="AH35" s="43">
        <v>88212</v>
      </c>
      <c r="AI35" s="43">
        <v>88642</v>
      </c>
      <c r="AJ35" s="43">
        <v>89833</v>
      </c>
      <c r="AK35" s="43">
        <v>89846</v>
      </c>
      <c r="AL35" s="43">
        <v>90210</v>
      </c>
      <c r="AM35" s="43">
        <v>90470</v>
      </c>
      <c r="AN35" s="43">
        <v>90956</v>
      </c>
      <c r="AO35" s="43">
        <v>90997</v>
      </c>
      <c r="AP35" s="43">
        <v>91098</v>
      </c>
      <c r="AQ35" s="43">
        <v>91183</v>
      </c>
      <c r="AR35" s="43">
        <v>91189</v>
      </c>
      <c r="AS35" s="43">
        <v>90689</v>
      </c>
      <c r="AT35" s="43">
        <v>90023</v>
      </c>
      <c r="AU35" s="43">
        <v>88924</v>
      </c>
      <c r="AV35" s="43">
        <v>89114</v>
      </c>
      <c r="AW35" s="43">
        <v>89434</v>
      </c>
      <c r="AX35" s="43">
        <v>91406</v>
      </c>
      <c r="AY35" s="43">
        <v>92995</v>
      </c>
      <c r="AZ35" s="43">
        <v>93075</v>
      </c>
      <c r="BA35" s="43">
        <v>93141</v>
      </c>
      <c r="BB35" s="43">
        <v>93703</v>
      </c>
      <c r="BC35" s="43">
        <v>93976</v>
      </c>
      <c r="BD35" s="43">
        <v>94276</v>
      </c>
      <c r="BE35" s="43">
        <v>94353</v>
      </c>
      <c r="BF35" s="43">
        <v>94708</v>
      </c>
      <c r="BG35" s="43">
        <v>94881</v>
      </c>
      <c r="BH35" s="43">
        <v>95064</v>
      </c>
      <c r="BI35" s="43">
        <v>95166</v>
      </c>
      <c r="BJ35" s="43">
        <v>95388</v>
      </c>
      <c r="BK35" s="43">
        <v>95635</v>
      </c>
      <c r="BL35" s="43">
        <v>95919</v>
      </c>
      <c r="BM35" s="43">
        <v>96124</v>
      </c>
      <c r="BN35" s="43">
        <v>96348</v>
      </c>
      <c r="BO35" s="43">
        <v>96527</v>
      </c>
      <c r="BP35" s="43">
        <v>96678</v>
      </c>
      <c r="BQ35" s="43">
        <v>96759</v>
      </c>
      <c r="BR35" s="43">
        <v>96861</v>
      </c>
      <c r="BS35" s="43">
        <v>96869</v>
      </c>
      <c r="BT35" s="43">
        <v>96950</v>
      </c>
      <c r="BU35" s="43">
        <v>97001</v>
      </c>
      <c r="BV35" s="43">
        <v>97112</v>
      </c>
      <c r="BW35" s="43">
        <v>97193</v>
      </c>
      <c r="BX35" s="43">
        <v>97306</v>
      </c>
      <c r="BY35" s="43">
        <v>97405</v>
      </c>
      <c r="BZ35" s="43">
        <v>97622</v>
      </c>
      <c r="CA35" s="43">
        <v>97789</v>
      </c>
      <c r="CB35" s="43">
        <v>97905</v>
      </c>
      <c r="CC35" s="43">
        <v>97988</v>
      </c>
      <c r="CD35" s="43">
        <v>98072</v>
      </c>
      <c r="CE35" s="43">
        <v>98151</v>
      </c>
      <c r="CF35" s="43">
        <v>98234</v>
      </c>
      <c r="CG35" s="43">
        <v>98328</v>
      </c>
      <c r="CH35" s="43">
        <v>98394</v>
      </c>
      <c r="CI35" s="43">
        <v>98498</v>
      </c>
      <c r="CJ35" s="43">
        <v>98542</v>
      </c>
      <c r="CK35" s="43">
        <v>98603</v>
      </c>
      <c r="CL35" s="43">
        <v>98699</v>
      </c>
      <c r="CM35" s="43">
        <v>98739</v>
      </c>
      <c r="CN35" s="43">
        <v>98805</v>
      </c>
      <c r="CO35" s="43">
        <v>98839</v>
      </c>
      <c r="CP35" s="43">
        <v>98912</v>
      </c>
      <c r="CQ35" s="43">
        <v>98958</v>
      </c>
      <c r="CR35" s="43">
        <v>98986</v>
      </c>
      <c r="CS35" s="43">
        <v>99038</v>
      </c>
      <c r="CT35" s="43">
        <v>99075</v>
      </c>
      <c r="CU35" s="43">
        <v>99107</v>
      </c>
      <c r="CV35" s="43">
        <v>99112</v>
      </c>
      <c r="CW35" s="43">
        <v>99150</v>
      </c>
      <c r="CX35" s="43">
        <v>99181</v>
      </c>
      <c r="CY35" s="43">
        <v>99202</v>
      </c>
      <c r="CZ35" s="43">
        <v>99192</v>
      </c>
      <c r="DA35" s="43">
        <v>99215</v>
      </c>
      <c r="DB35" s="43">
        <v>99233</v>
      </c>
      <c r="DC35" s="43">
        <v>99275</v>
      </c>
      <c r="DD35" s="43">
        <v>99285</v>
      </c>
      <c r="DE35" s="43">
        <v>99308</v>
      </c>
      <c r="DF35" s="43">
        <v>99356</v>
      </c>
      <c r="DG35" s="43">
        <v>99345</v>
      </c>
      <c r="DH35" s="43">
        <v>99375</v>
      </c>
      <c r="DI35" s="43">
        <v>99362</v>
      </c>
      <c r="DJ35" s="43">
        <v>99392</v>
      </c>
      <c r="DK35" s="43">
        <v>99411</v>
      </c>
      <c r="DL35" s="43">
        <v>99417</v>
      </c>
      <c r="DM35" s="43">
        <v>99439</v>
      </c>
      <c r="DN35" s="43">
        <v>99460</v>
      </c>
      <c r="DO35" s="43">
        <v>99480</v>
      </c>
    </row>
    <row r="36" spans="1:119">
      <c r="A36" s="42">
        <v>34</v>
      </c>
      <c r="W36" s="43">
        <v>80513</v>
      </c>
      <c r="X36" s="43">
        <v>81319</v>
      </c>
      <c r="Y36" s="43">
        <v>81436</v>
      </c>
      <c r="Z36" s="43">
        <v>83475</v>
      </c>
      <c r="AA36" s="43">
        <v>83960</v>
      </c>
      <c r="AB36" s="43">
        <v>84575</v>
      </c>
      <c r="AC36" s="43">
        <v>85457</v>
      </c>
      <c r="AD36" s="43">
        <v>86338</v>
      </c>
      <c r="AE36" s="43">
        <v>86280</v>
      </c>
      <c r="AF36" s="43">
        <v>87433</v>
      </c>
      <c r="AG36" s="43">
        <v>87919</v>
      </c>
      <c r="AH36" s="43">
        <v>88117</v>
      </c>
      <c r="AI36" s="43">
        <v>88539</v>
      </c>
      <c r="AJ36" s="43">
        <v>89743</v>
      </c>
      <c r="AK36" s="43">
        <v>89760</v>
      </c>
      <c r="AL36" s="43">
        <v>90124</v>
      </c>
      <c r="AM36" s="43">
        <v>90380</v>
      </c>
      <c r="AN36" s="43">
        <v>90870</v>
      </c>
      <c r="AO36" s="43">
        <v>90910</v>
      </c>
      <c r="AP36" s="43">
        <v>91016</v>
      </c>
      <c r="AQ36" s="43">
        <v>91102</v>
      </c>
      <c r="AR36" s="43">
        <v>91107</v>
      </c>
      <c r="AS36" s="43">
        <v>90609</v>
      </c>
      <c r="AT36" s="43">
        <v>89936</v>
      </c>
      <c r="AU36" s="43">
        <v>88841</v>
      </c>
      <c r="AV36" s="43">
        <v>89033</v>
      </c>
      <c r="AW36" s="43">
        <v>89360</v>
      </c>
      <c r="AX36" s="43">
        <v>91339</v>
      </c>
      <c r="AY36" s="43">
        <v>92919</v>
      </c>
      <c r="AZ36" s="43">
        <v>93005</v>
      </c>
      <c r="BA36" s="43">
        <v>93071</v>
      </c>
      <c r="BB36" s="43">
        <v>93640</v>
      </c>
      <c r="BC36" s="43">
        <v>93911</v>
      </c>
      <c r="BD36" s="43">
        <v>94216</v>
      </c>
      <c r="BE36" s="43">
        <v>94287</v>
      </c>
      <c r="BF36" s="43">
        <v>94647</v>
      </c>
      <c r="BG36" s="43">
        <v>94813</v>
      </c>
      <c r="BH36" s="43">
        <v>95000</v>
      </c>
      <c r="BI36" s="43">
        <v>95103</v>
      </c>
      <c r="BJ36" s="43">
        <v>95319</v>
      </c>
      <c r="BK36" s="43">
        <v>95573</v>
      </c>
      <c r="BL36" s="43">
        <v>95863</v>
      </c>
      <c r="BM36" s="43">
        <v>96074</v>
      </c>
      <c r="BN36" s="43">
        <v>96300</v>
      </c>
      <c r="BO36" s="43">
        <v>96479</v>
      </c>
      <c r="BP36" s="43">
        <v>96631</v>
      </c>
      <c r="BQ36" s="43">
        <v>96717</v>
      </c>
      <c r="BR36" s="43">
        <v>96822</v>
      </c>
      <c r="BS36" s="43">
        <v>96830</v>
      </c>
      <c r="BT36" s="43">
        <v>96911</v>
      </c>
      <c r="BU36" s="43">
        <v>96963</v>
      </c>
      <c r="BV36" s="43">
        <v>97078</v>
      </c>
      <c r="BW36" s="43">
        <v>97150</v>
      </c>
      <c r="BX36" s="43">
        <v>97271</v>
      </c>
      <c r="BY36" s="43">
        <v>97370</v>
      </c>
      <c r="BZ36" s="43">
        <v>97589</v>
      </c>
      <c r="CA36" s="43">
        <v>97751</v>
      </c>
      <c r="CB36" s="43">
        <v>97865</v>
      </c>
      <c r="CC36" s="43">
        <v>97948</v>
      </c>
      <c r="CD36" s="43">
        <v>98036</v>
      </c>
      <c r="CE36" s="43">
        <v>98116</v>
      </c>
      <c r="CF36" s="43">
        <v>98199</v>
      </c>
      <c r="CG36" s="43">
        <v>98293</v>
      </c>
      <c r="CH36" s="43">
        <v>98361</v>
      </c>
      <c r="CI36" s="43">
        <v>98466</v>
      </c>
      <c r="CJ36" s="43">
        <v>98511</v>
      </c>
      <c r="CK36" s="43">
        <v>98572</v>
      </c>
      <c r="CL36" s="43">
        <v>98669</v>
      </c>
      <c r="CM36" s="43">
        <v>98710</v>
      </c>
      <c r="CN36" s="43">
        <v>98776</v>
      </c>
      <c r="CO36" s="43">
        <v>98811</v>
      </c>
      <c r="CP36" s="43">
        <v>98884</v>
      </c>
      <c r="CQ36" s="43">
        <v>98931</v>
      </c>
      <c r="CR36" s="43">
        <v>98960</v>
      </c>
      <c r="CS36" s="43">
        <v>99013</v>
      </c>
      <c r="CT36" s="43">
        <v>99050</v>
      </c>
      <c r="CU36" s="43">
        <v>99083</v>
      </c>
      <c r="CV36" s="43">
        <v>99088</v>
      </c>
      <c r="CW36" s="43">
        <v>99127</v>
      </c>
      <c r="CX36" s="43">
        <v>99158</v>
      </c>
      <c r="CY36" s="43">
        <v>99180</v>
      </c>
      <c r="CZ36" s="43">
        <v>99170</v>
      </c>
      <c r="DA36" s="43">
        <v>99194</v>
      </c>
      <c r="DB36" s="43">
        <v>99212</v>
      </c>
      <c r="DC36" s="43">
        <v>99255</v>
      </c>
      <c r="DD36" s="43">
        <v>99266</v>
      </c>
      <c r="DE36" s="43">
        <v>99289</v>
      </c>
      <c r="DF36" s="43">
        <v>99338</v>
      </c>
      <c r="DG36" s="43">
        <v>99327</v>
      </c>
      <c r="DH36" s="43">
        <v>99358</v>
      </c>
      <c r="DI36" s="43">
        <v>99345</v>
      </c>
      <c r="DJ36" s="43">
        <v>99376</v>
      </c>
      <c r="DK36" s="43">
        <v>99395</v>
      </c>
      <c r="DL36" s="43">
        <v>99402</v>
      </c>
      <c r="DM36" s="43">
        <v>99424</v>
      </c>
      <c r="DN36" s="43">
        <v>99445</v>
      </c>
      <c r="DO36" s="43">
        <v>99466</v>
      </c>
    </row>
    <row r="37" spans="1:119">
      <c r="A37" s="42">
        <v>35</v>
      </c>
      <c r="W37" s="43">
        <v>80387</v>
      </c>
      <c r="X37" s="43">
        <v>81205</v>
      </c>
      <c r="Y37" s="43">
        <v>81317</v>
      </c>
      <c r="Z37" s="43">
        <v>83358</v>
      </c>
      <c r="AA37" s="43">
        <v>83847</v>
      </c>
      <c r="AB37" s="43">
        <v>84461</v>
      </c>
      <c r="AC37" s="43">
        <v>85355</v>
      </c>
      <c r="AD37" s="43">
        <v>86238</v>
      </c>
      <c r="AE37" s="43">
        <v>86173</v>
      </c>
      <c r="AF37" s="43">
        <v>87330</v>
      </c>
      <c r="AG37" s="43">
        <v>87817</v>
      </c>
      <c r="AH37" s="43">
        <v>88013</v>
      </c>
      <c r="AI37" s="43">
        <v>88442</v>
      </c>
      <c r="AJ37" s="43">
        <v>89645</v>
      </c>
      <c r="AK37" s="43">
        <v>89660</v>
      </c>
      <c r="AL37" s="43">
        <v>90030</v>
      </c>
      <c r="AM37" s="43">
        <v>90293</v>
      </c>
      <c r="AN37" s="43">
        <v>90780</v>
      </c>
      <c r="AO37" s="43">
        <v>90817</v>
      </c>
      <c r="AP37" s="43">
        <v>90926</v>
      </c>
      <c r="AQ37" s="43">
        <v>91015</v>
      </c>
      <c r="AR37" s="43">
        <v>91025</v>
      </c>
      <c r="AS37" s="43">
        <v>90518</v>
      </c>
      <c r="AT37" s="43">
        <v>89847</v>
      </c>
      <c r="AU37" s="43">
        <v>88768</v>
      </c>
      <c r="AV37" s="43">
        <v>88954</v>
      </c>
      <c r="AW37" s="43">
        <v>89287</v>
      </c>
      <c r="AX37" s="43">
        <v>91264</v>
      </c>
      <c r="AY37" s="43">
        <v>92844</v>
      </c>
      <c r="AZ37" s="43">
        <v>92938</v>
      </c>
      <c r="BA37" s="43">
        <v>92996</v>
      </c>
      <c r="BB37" s="43">
        <v>93571</v>
      </c>
      <c r="BC37" s="43">
        <v>93840</v>
      </c>
      <c r="BD37" s="43">
        <v>94149</v>
      </c>
      <c r="BE37" s="43">
        <v>94211</v>
      </c>
      <c r="BF37" s="43">
        <v>94576</v>
      </c>
      <c r="BG37" s="43">
        <v>94738</v>
      </c>
      <c r="BH37" s="43">
        <v>94928</v>
      </c>
      <c r="BI37" s="43">
        <v>95036</v>
      </c>
      <c r="BJ37" s="43">
        <v>95250</v>
      </c>
      <c r="BK37" s="43">
        <v>95510</v>
      </c>
      <c r="BL37" s="43">
        <v>95803</v>
      </c>
      <c r="BM37" s="43">
        <v>96018</v>
      </c>
      <c r="BN37" s="43">
        <v>96247</v>
      </c>
      <c r="BO37" s="43">
        <v>96430</v>
      </c>
      <c r="BP37" s="43">
        <v>96584</v>
      </c>
      <c r="BQ37" s="43">
        <v>96670</v>
      </c>
      <c r="BR37" s="43">
        <v>96776</v>
      </c>
      <c r="BS37" s="43">
        <v>96784</v>
      </c>
      <c r="BT37" s="43">
        <v>96873</v>
      </c>
      <c r="BU37" s="43">
        <v>96921</v>
      </c>
      <c r="BV37" s="43">
        <v>97040</v>
      </c>
      <c r="BW37" s="43">
        <v>97114</v>
      </c>
      <c r="BX37" s="43">
        <v>97231</v>
      </c>
      <c r="BY37" s="43">
        <v>97325</v>
      </c>
      <c r="BZ37" s="43">
        <v>97549</v>
      </c>
      <c r="CA37" s="43">
        <v>97710</v>
      </c>
      <c r="CB37" s="43">
        <v>97827</v>
      </c>
      <c r="CC37" s="43">
        <v>97913</v>
      </c>
      <c r="CD37" s="43">
        <v>97996</v>
      </c>
      <c r="CE37" s="43">
        <v>98078</v>
      </c>
      <c r="CF37" s="43">
        <v>98163</v>
      </c>
      <c r="CG37" s="43">
        <v>98258</v>
      </c>
      <c r="CH37" s="43">
        <v>98326</v>
      </c>
      <c r="CI37" s="43">
        <v>98432</v>
      </c>
      <c r="CJ37" s="43">
        <v>98477</v>
      </c>
      <c r="CK37" s="43">
        <v>98539</v>
      </c>
      <c r="CL37" s="43">
        <v>98637</v>
      </c>
      <c r="CM37" s="43">
        <v>98679</v>
      </c>
      <c r="CN37" s="43">
        <v>98746</v>
      </c>
      <c r="CO37" s="43">
        <v>98782</v>
      </c>
      <c r="CP37" s="43">
        <v>98856</v>
      </c>
      <c r="CQ37" s="43">
        <v>98904</v>
      </c>
      <c r="CR37" s="43">
        <v>98933</v>
      </c>
      <c r="CS37" s="43">
        <v>98986</v>
      </c>
      <c r="CT37" s="43">
        <v>99024</v>
      </c>
      <c r="CU37" s="43">
        <v>99058</v>
      </c>
      <c r="CV37" s="43">
        <v>99064</v>
      </c>
      <c r="CW37" s="43">
        <v>99103</v>
      </c>
      <c r="CX37" s="43">
        <v>99135</v>
      </c>
      <c r="CY37" s="43">
        <v>99157</v>
      </c>
      <c r="CZ37" s="43">
        <v>99148</v>
      </c>
      <c r="DA37" s="43">
        <v>99172</v>
      </c>
      <c r="DB37" s="43">
        <v>99191</v>
      </c>
      <c r="DC37" s="43">
        <v>99234</v>
      </c>
      <c r="DD37" s="43">
        <v>99245</v>
      </c>
      <c r="DE37" s="43">
        <v>99269</v>
      </c>
      <c r="DF37" s="43">
        <v>99318</v>
      </c>
      <c r="DG37" s="43">
        <v>99308</v>
      </c>
      <c r="DH37" s="43">
        <v>99339</v>
      </c>
      <c r="DI37" s="43">
        <v>99327</v>
      </c>
      <c r="DJ37" s="43">
        <v>99358</v>
      </c>
      <c r="DK37" s="43">
        <v>99377</v>
      </c>
      <c r="DL37" s="43">
        <v>99385</v>
      </c>
      <c r="DM37" s="43">
        <v>99407</v>
      </c>
      <c r="DN37" s="43">
        <v>99429</v>
      </c>
      <c r="DO37" s="43">
        <v>99450</v>
      </c>
    </row>
    <row r="38" spans="1:119">
      <c r="A38" s="42">
        <v>36</v>
      </c>
      <c r="W38" s="43">
        <v>80265</v>
      </c>
      <c r="X38" s="43">
        <v>81083</v>
      </c>
      <c r="Y38" s="43">
        <v>81202</v>
      </c>
      <c r="Z38" s="43">
        <v>83236</v>
      </c>
      <c r="AA38" s="43">
        <v>83724</v>
      </c>
      <c r="AB38" s="43">
        <v>84341</v>
      </c>
      <c r="AC38" s="43">
        <v>85239</v>
      </c>
      <c r="AD38" s="43">
        <v>86122</v>
      </c>
      <c r="AE38" s="43">
        <v>86062</v>
      </c>
      <c r="AF38" s="43">
        <v>87221</v>
      </c>
      <c r="AG38" s="43">
        <v>87706</v>
      </c>
      <c r="AH38" s="43">
        <v>87908</v>
      </c>
      <c r="AI38" s="43">
        <v>88334</v>
      </c>
      <c r="AJ38" s="43">
        <v>89533</v>
      </c>
      <c r="AK38" s="43">
        <v>89555</v>
      </c>
      <c r="AL38" s="43">
        <v>89921</v>
      </c>
      <c r="AM38" s="43">
        <v>90203</v>
      </c>
      <c r="AN38" s="43">
        <v>90681</v>
      </c>
      <c r="AO38" s="43">
        <v>90723</v>
      </c>
      <c r="AP38" s="43">
        <v>90834</v>
      </c>
      <c r="AQ38" s="43">
        <v>90921</v>
      </c>
      <c r="AR38" s="43">
        <v>90925</v>
      </c>
      <c r="AS38" s="43">
        <v>90427</v>
      </c>
      <c r="AT38" s="43">
        <v>89756</v>
      </c>
      <c r="AU38" s="43">
        <v>88679</v>
      </c>
      <c r="AV38" s="43">
        <v>88870</v>
      </c>
      <c r="AW38" s="43">
        <v>89200</v>
      </c>
      <c r="AX38" s="43">
        <v>91180</v>
      </c>
      <c r="AY38" s="43">
        <v>92755</v>
      </c>
      <c r="AZ38" s="43">
        <v>92868</v>
      </c>
      <c r="BA38" s="43">
        <v>92922</v>
      </c>
      <c r="BB38" s="43">
        <v>93497</v>
      </c>
      <c r="BC38" s="43">
        <v>93766</v>
      </c>
      <c r="BD38" s="43">
        <v>94075</v>
      </c>
      <c r="BE38" s="43">
        <v>94133</v>
      </c>
      <c r="BF38" s="43">
        <v>94500</v>
      </c>
      <c r="BG38" s="43">
        <v>94663</v>
      </c>
      <c r="BH38" s="43">
        <v>94863</v>
      </c>
      <c r="BI38" s="43">
        <v>94963</v>
      </c>
      <c r="BJ38" s="43">
        <v>95177</v>
      </c>
      <c r="BK38" s="43">
        <v>95447</v>
      </c>
      <c r="BL38" s="43">
        <v>95736</v>
      </c>
      <c r="BM38" s="43">
        <v>95960</v>
      </c>
      <c r="BN38" s="43">
        <v>96193</v>
      </c>
      <c r="BO38" s="43">
        <v>96373</v>
      </c>
      <c r="BP38" s="43">
        <v>96531</v>
      </c>
      <c r="BQ38" s="43">
        <v>96617</v>
      </c>
      <c r="BR38" s="43">
        <v>96727</v>
      </c>
      <c r="BS38" s="43">
        <v>96740</v>
      </c>
      <c r="BT38" s="43">
        <v>96827</v>
      </c>
      <c r="BU38" s="43">
        <v>96876</v>
      </c>
      <c r="BV38" s="43">
        <v>96998</v>
      </c>
      <c r="BW38" s="43">
        <v>97074</v>
      </c>
      <c r="BX38" s="43">
        <v>97187</v>
      </c>
      <c r="BY38" s="43">
        <v>97290</v>
      </c>
      <c r="BZ38" s="43">
        <v>97505</v>
      </c>
      <c r="CA38" s="43">
        <v>97667</v>
      </c>
      <c r="CB38" s="43">
        <v>97787</v>
      </c>
      <c r="CC38" s="43">
        <v>97876</v>
      </c>
      <c r="CD38" s="43">
        <v>97956</v>
      </c>
      <c r="CE38" s="43">
        <v>98039</v>
      </c>
      <c r="CF38" s="43">
        <v>98125</v>
      </c>
      <c r="CG38" s="43">
        <v>98220</v>
      </c>
      <c r="CH38" s="43">
        <v>98290</v>
      </c>
      <c r="CI38" s="43">
        <v>98396</v>
      </c>
      <c r="CJ38" s="43">
        <v>98443</v>
      </c>
      <c r="CK38" s="43">
        <v>98505</v>
      </c>
      <c r="CL38" s="43">
        <v>98604</v>
      </c>
      <c r="CM38" s="43">
        <v>98647</v>
      </c>
      <c r="CN38" s="43">
        <v>98715</v>
      </c>
      <c r="CO38" s="43">
        <v>98751</v>
      </c>
      <c r="CP38" s="43">
        <v>98826</v>
      </c>
      <c r="CQ38" s="43">
        <v>98874</v>
      </c>
      <c r="CR38" s="43">
        <v>98904</v>
      </c>
      <c r="CS38" s="43">
        <v>98958</v>
      </c>
      <c r="CT38" s="43">
        <v>98996</v>
      </c>
      <c r="CU38" s="43">
        <v>99031</v>
      </c>
      <c r="CV38" s="43">
        <v>99037</v>
      </c>
      <c r="CW38" s="43">
        <v>99078</v>
      </c>
      <c r="CX38" s="43">
        <v>99110</v>
      </c>
      <c r="CY38" s="43">
        <v>99133</v>
      </c>
      <c r="CZ38" s="43">
        <v>99124</v>
      </c>
      <c r="DA38" s="43">
        <v>99149</v>
      </c>
      <c r="DB38" s="43">
        <v>99168</v>
      </c>
      <c r="DC38" s="43">
        <v>99212</v>
      </c>
      <c r="DD38" s="43">
        <v>99224</v>
      </c>
      <c r="DE38" s="43">
        <v>99248</v>
      </c>
      <c r="DF38" s="43">
        <v>99298</v>
      </c>
      <c r="DG38" s="43">
        <v>99288</v>
      </c>
      <c r="DH38" s="43">
        <v>99320</v>
      </c>
      <c r="DI38" s="43">
        <v>99308</v>
      </c>
      <c r="DJ38" s="43">
        <v>99340</v>
      </c>
      <c r="DK38" s="43">
        <v>99359</v>
      </c>
      <c r="DL38" s="43">
        <v>99367</v>
      </c>
      <c r="DM38" s="43">
        <v>99390</v>
      </c>
      <c r="DN38" s="43">
        <v>99412</v>
      </c>
      <c r="DO38" s="43">
        <v>99434</v>
      </c>
    </row>
    <row r="39" spans="1:119">
      <c r="A39" s="42">
        <v>37</v>
      </c>
      <c r="W39" s="43">
        <v>80133</v>
      </c>
      <c r="X39" s="43">
        <v>80955</v>
      </c>
      <c r="Y39" s="43">
        <v>81070</v>
      </c>
      <c r="Z39" s="43">
        <v>83109</v>
      </c>
      <c r="AA39" s="43">
        <v>83601</v>
      </c>
      <c r="AB39" s="43">
        <v>84229</v>
      </c>
      <c r="AC39" s="43">
        <v>85119</v>
      </c>
      <c r="AD39" s="43">
        <v>86004</v>
      </c>
      <c r="AE39" s="43">
        <v>85952</v>
      </c>
      <c r="AF39" s="43">
        <v>87103</v>
      </c>
      <c r="AG39" s="43">
        <v>87594</v>
      </c>
      <c r="AH39" s="43">
        <v>87799</v>
      </c>
      <c r="AI39" s="43">
        <v>88216</v>
      </c>
      <c r="AJ39" s="43">
        <v>89414</v>
      </c>
      <c r="AK39" s="43">
        <v>89444</v>
      </c>
      <c r="AL39" s="43">
        <v>89814</v>
      </c>
      <c r="AM39" s="43">
        <v>90104</v>
      </c>
      <c r="AN39" s="43">
        <v>90578</v>
      </c>
      <c r="AO39" s="43">
        <v>90620</v>
      </c>
      <c r="AP39" s="43">
        <v>90735</v>
      </c>
      <c r="AQ39" s="43">
        <v>90825</v>
      </c>
      <c r="AR39" s="43">
        <v>90829</v>
      </c>
      <c r="AS39" s="43">
        <v>90333</v>
      </c>
      <c r="AT39" s="43">
        <v>89662</v>
      </c>
      <c r="AU39" s="43">
        <v>88587</v>
      </c>
      <c r="AV39" s="43">
        <v>88773</v>
      </c>
      <c r="AW39" s="43">
        <v>89113</v>
      </c>
      <c r="AX39" s="43">
        <v>91092</v>
      </c>
      <c r="AY39" s="43">
        <v>92673</v>
      </c>
      <c r="AZ39" s="43">
        <v>92789</v>
      </c>
      <c r="BA39" s="43">
        <v>92841</v>
      </c>
      <c r="BB39" s="43">
        <v>93414</v>
      </c>
      <c r="BC39" s="43">
        <v>93679</v>
      </c>
      <c r="BD39" s="43">
        <v>93979</v>
      </c>
      <c r="BE39" s="43">
        <v>94048</v>
      </c>
      <c r="BF39" s="43">
        <v>94417</v>
      </c>
      <c r="BG39" s="43">
        <v>94584</v>
      </c>
      <c r="BH39" s="43">
        <v>94786</v>
      </c>
      <c r="BI39" s="43">
        <v>94892</v>
      </c>
      <c r="BJ39" s="43">
        <v>95105</v>
      </c>
      <c r="BK39" s="43">
        <v>95371</v>
      </c>
      <c r="BL39" s="43">
        <v>95673</v>
      </c>
      <c r="BM39" s="43">
        <v>95900</v>
      </c>
      <c r="BN39" s="43">
        <v>96131</v>
      </c>
      <c r="BO39" s="43">
        <v>96314</v>
      </c>
      <c r="BP39" s="43">
        <v>96471</v>
      </c>
      <c r="BQ39" s="43">
        <v>96565</v>
      </c>
      <c r="BR39" s="43">
        <v>96676</v>
      </c>
      <c r="BS39" s="43">
        <v>96689</v>
      </c>
      <c r="BT39" s="43">
        <v>96779</v>
      </c>
      <c r="BU39" s="43">
        <v>96832</v>
      </c>
      <c r="BV39" s="43">
        <v>96952</v>
      </c>
      <c r="BW39" s="43">
        <v>97026</v>
      </c>
      <c r="BX39" s="43">
        <v>97142</v>
      </c>
      <c r="BY39" s="43">
        <v>97243</v>
      </c>
      <c r="BZ39" s="43">
        <v>97462</v>
      </c>
      <c r="CA39" s="43">
        <v>97619</v>
      </c>
      <c r="CB39" s="43">
        <v>97743</v>
      </c>
      <c r="CC39" s="43">
        <v>97832</v>
      </c>
      <c r="CD39" s="43">
        <v>97913</v>
      </c>
      <c r="CE39" s="43">
        <v>97998</v>
      </c>
      <c r="CF39" s="43">
        <v>98084</v>
      </c>
      <c r="CG39" s="43">
        <v>98181</v>
      </c>
      <c r="CH39" s="43">
        <v>98251</v>
      </c>
      <c r="CI39" s="43">
        <v>98358</v>
      </c>
      <c r="CJ39" s="43">
        <v>98406</v>
      </c>
      <c r="CK39" s="43">
        <v>98469</v>
      </c>
      <c r="CL39" s="43">
        <v>98569</v>
      </c>
      <c r="CM39" s="43">
        <v>98612</v>
      </c>
      <c r="CN39" s="43">
        <v>98681</v>
      </c>
      <c r="CO39" s="43">
        <v>98718</v>
      </c>
      <c r="CP39" s="43">
        <v>98794</v>
      </c>
      <c r="CQ39" s="43">
        <v>98843</v>
      </c>
      <c r="CR39" s="43">
        <v>98874</v>
      </c>
      <c r="CS39" s="43">
        <v>98928</v>
      </c>
      <c r="CT39" s="43">
        <v>98967</v>
      </c>
      <c r="CU39" s="43">
        <v>99002</v>
      </c>
      <c r="CV39" s="43">
        <v>99010</v>
      </c>
      <c r="CW39" s="43">
        <v>99051</v>
      </c>
      <c r="CX39" s="43">
        <v>99083</v>
      </c>
      <c r="CY39" s="43">
        <v>99107</v>
      </c>
      <c r="CZ39" s="43">
        <v>99099</v>
      </c>
      <c r="DA39" s="43">
        <v>99124</v>
      </c>
      <c r="DB39" s="43">
        <v>99144</v>
      </c>
      <c r="DC39" s="43">
        <v>99189</v>
      </c>
      <c r="DD39" s="43">
        <v>99201</v>
      </c>
      <c r="DE39" s="43">
        <v>99226</v>
      </c>
      <c r="DF39" s="43">
        <v>99276</v>
      </c>
      <c r="DG39" s="43">
        <v>99267</v>
      </c>
      <c r="DH39" s="43">
        <v>99299</v>
      </c>
      <c r="DI39" s="43">
        <v>99287</v>
      </c>
      <c r="DJ39" s="43">
        <v>99320</v>
      </c>
      <c r="DK39" s="43">
        <v>99340</v>
      </c>
      <c r="DL39" s="43">
        <v>99348</v>
      </c>
      <c r="DM39" s="43">
        <v>99372</v>
      </c>
      <c r="DN39" s="43">
        <v>99394</v>
      </c>
      <c r="DO39" s="43">
        <v>99416</v>
      </c>
    </row>
    <row r="40" spans="1:119">
      <c r="A40" s="42">
        <v>38</v>
      </c>
      <c r="W40" s="43">
        <v>79996</v>
      </c>
      <c r="X40" s="43">
        <v>80820</v>
      </c>
      <c r="Y40" s="43">
        <v>80930</v>
      </c>
      <c r="Z40" s="43">
        <v>82973</v>
      </c>
      <c r="AA40" s="43">
        <v>83470</v>
      </c>
      <c r="AB40" s="43">
        <v>84107</v>
      </c>
      <c r="AC40" s="43">
        <v>84991</v>
      </c>
      <c r="AD40" s="43">
        <v>85868</v>
      </c>
      <c r="AE40" s="43">
        <v>85821</v>
      </c>
      <c r="AF40" s="43">
        <v>86985</v>
      </c>
      <c r="AG40" s="43">
        <v>87470</v>
      </c>
      <c r="AH40" s="43">
        <v>87669</v>
      </c>
      <c r="AI40" s="43">
        <v>88091</v>
      </c>
      <c r="AJ40" s="43">
        <v>89291</v>
      </c>
      <c r="AK40" s="43">
        <v>89321</v>
      </c>
      <c r="AL40" s="43">
        <v>89701</v>
      </c>
      <c r="AM40" s="43">
        <v>89995</v>
      </c>
      <c r="AN40" s="43">
        <v>90471</v>
      </c>
      <c r="AO40" s="43">
        <v>90514</v>
      </c>
      <c r="AP40" s="43">
        <v>90631</v>
      </c>
      <c r="AQ40" s="43">
        <v>90725</v>
      </c>
      <c r="AR40" s="43">
        <v>90724</v>
      </c>
      <c r="AS40" s="43">
        <v>90226</v>
      </c>
      <c r="AT40" s="43">
        <v>89557</v>
      </c>
      <c r="AU40" s="43">
        <v>88491</v>
      </c>
      <c r="AV40" s="43">
        <v>88683</v>
      </c>
      <c r="AW40" s="43">
        <v>89012</v>
      </c>
      <c r="AX40" s="43">
        <v>91003</v>
      </c>
      <c r="AY40" s="43">
        <v>92580</v>
      </c>
      <c r="AZ40" s="43">
        <v>92701</v>
      </c>
      <c r="BA40" s="43">
        <v>92755</v>
      </c>
      <c r="BB40" s="43">
        <v>93325</v>
      </c>
      <c r="BC40" s="43">
        <v>93582</v>
      </c>
      <c r="BD40" s="43">
        <v>93887</v>
      </c>
      <c r="BE40" s="43">
        <v>93952</v>
      </c>
      <c r="BF40" s="43">
        <v>94326</v>
      </c>
      <c r="BG40" s="43">
        <v>94502</v>
      </c>
      <c r="BH40" s="43">
        <v>94702</v>
      </c>
      <c r="BI40" s="43">
        <v>94808</v>
      </c>
      <c r="BJ40" s="43">
        <v>95029</v>
      </c>
      <c r="BK40" s="43">
        <v>95295</v>
      </c>
      <c r="BL40" s="43">
        <v>95605</v>
      </c>
      <c r="BM40" s="43">
        <v>95829</v>
      </c>
      <c r="BN40" s="43">
        <v>96065</v>
      </c>
      <c r="BO40" s="43">
        <v>96251</v>
      </c>
      <c r="BP40" s="43">
        <v>96415</v>
      </c>
      <c r="BQ40" s="43">
        <v>96506</v>
      </c>
      <c r="BR40" s="43">
        <v>96621</v>
      </c>
      <c r="BS40" s="43">
        <v>96636</v>
      </c>
      <c r="BT40" s="43">
        <v>96730</v>
      </c>
      <c r="BU40" s="43">
        <v>96782</v>
      </c>
      <c r="BV40" s="43">
        <v>96899</v>
      </c>
      <c r="BW40" s="43">
        <v>96974</v>
      </c>
      <c r="BX40" s="43">
        <v>97092</v>
      </c>
      <c r="BY40" s="43">
        <v>97196</v>
      </c>
      <c r="BZ40" s="43">
        <v>97417</v>
      </c>
      <c r="CA40" s="43">
        <v>97576</v>
      </c>
      <c r="CB40" s="43">
        <v>97696</v>
      </c>
      <c r="CC40" s="43">
        <v>97786</v>
      </c>
      <c r="CD40" s="43">
        <v>97868</v>
      </c>
      <c r="CE40" s="43">
        <v>97954</v>
      </c>
      <c r="CF40" s="43">
        <v>98041</v>
      </c>
      <c r="CG40" s="43">
        <v>98139</v>
      </c>
      <c r="CH40" s="43">
        <v>98210</v>
      </c>
      <c r="CI40" s="43">
        <v>98318</v>
      </c>
      <c r="CJ40" s="43">
        <v>98366</v>
      </c>
      <c r="CK40" s="43">
        <v>98431</v>
      </c>
      <c r="CL40" s="43">
        <v>98532</v>
      </c>
      <c r="CM40" s="43">
        <v>98576</v>
      </c>
      <c r="CN40" s="43">
        <v>98645</v>
      </c>
      <c r="CO40" s="43">
        <v>98683</v>
      </c>
      <c r="CP40" s="43">
        <v>98759</v>
      </c>
      <c r="CQ40" s="43">
        <v>98809</v>
      </c>
      <c r="CR40" s="43">
        <v>98841</v>
      </c>
      <c r="CS40" s="43">
        <v>98897</v>
      </c>
      <c r="CT40" s="43">
        <v>98936</v>
      </c>
      <c r="CU40" s="43">
        <v>98972</v>
      </c>
      <c r="CV40" s="43">
        <v>98980</v>
      </c>
      <c r="CW40" s="43">
        <v>99021</v>
      </c>
      <c r="CX40" s="43">
        <v>99055</v>
      </c>
      <c r="CY40" s="43">
        <v>99079</v>
      </c>
      <c r="CZ40" s="43">
        <v>99072</v>
      </c>
      <c r="DA40" s="43">
        <v>99098</v>
      </c>
      <c r="DB40" s="43">
        <v>99118</v>
      </c>
      <c r="DC40" s="43">
        <v>99163</v>
      </c>
      <c r="DD40" s="43">
        <v>99176</v>
      </c>
      <c r="DE40" s="43">
        <v>99201</v>
      </c>
      <c r="DF40" s="43">
        <v>99252</v>
      </c>
      <c r="DG40" s="43">
        <v>99244</v>
      </c>
      <c r="DH40" s="43">
        <v>99276</v>
      </c>
      <c r="DI40" s="43">
        <v>99265</v>
      </c>
      <c r="DJ40" s="43">
        <v>99298</v>
      </c>
      <c r="DK40" s="43">
        <v>99319</v>
      </c>
      <c r="DL40" s="43">
        <v>99328</v>
      </c>
      <c r="DM40" s="43">
        <v>99351</v>
      </c>
      <c r="DN40" s="43">
        <v>99374</v>
      </c>
      <c r="DO40" s="43">
        <v>99397</v>
      </c>
    </row>
    <row r="41" spans="1:119">
      <c r="A41" s="42">
        <v>39</v>
      </c>
      <c r="W41" s="43">
        <v>79853</v>
      </c>
      <c r="X41" s="43">
        <v>80668</v>
      </c>
      <c r="Y41" s="43">
        <v>80798</v>
      </c>
      <c r="Z41" s="43">
        <v>82830</v>
      </c>
      <c r="AA41" s="43">
        <v>83332</v>
      </c>
      <c r="AB41" s="43">
        <v>83976</v>
      </c>
      <c r="AC41" s="43">
        <v>84859</v>
      </c>
      <c r="AD41" s="43">
        <v>85727</v>
      </c>
      <c r="AE41" s="43">
        <v>85682</v>
      </c>
      <c r="AF41" s="43">
        <v>86846</v>
      </c>
      <c r="AG41" s="43">
        <v>87325</v>
      </c>
      <c r="AH41" s="43">
        <v>87533</v>
      </c>
      <c r="AI41" s="43">
        <v>87951</v>
      </c>
      <c r="AJ41" s="43">
        <v>89160</v>
      </c>
      <c r="AK41" s="43">
        <v>89199</v>
      </c>
      <c r="AL41" s="43">
        <v>89583</v>
      </c>
      <c r="AM41" s="43">
        <v>89863</v>
      </c>
      <c r="AN41" s="43">
        <v>90353</v>
      </c>
      <c r="AO41" s="43">
        <v>90401</v>
      </c>
      <c r="AP41" s="43">
        <v>90523</v>
      </c>
      <c r="AQ41" s="43">
        <v>90613</v>
      </c>
      <c r="AR41" s="43">
        <v>90617</v>
      </c>
      <c r="AS41" s="43">
        <v>90119</v>
      </c>
      <c r="AT41" s="43">
        <v>89452</v>
      </c>
      <c r="AU41" s="43">
        <v>88381</v>
      </c>
      <c r="AV41" s="43">
        <v>88582</v>
      </c>
      <c r="AW41" s="43">
        <v>88911</v>
      </c>
      <c r="AX41" s="43">
        <v>90907</v>
      </c>
      <c r="AY41" s="43">
        <v>92481</v>
      </c>
      <c r="AZ41" s="43">
        <v>92597</v>
      </c>
      <c r="BA41" s="43">
        <v>92657</v>
      </c>
      <c r="BB41" s="43">
        <v>93224</v>
      </c>
      <c r="BC41" s="43">
        <v>93482</v>
      </c>
      <c r="BD41" s="43">
        <v>93787</v>
      </c>
      <c r="BE41" s="43">
        <v>93864</v>
      </c>
      <c r="BF41" s="43">
        <v>94235</v>
      </c>
      <c r="BG41" s="43">
        <v>94409</v>
      </c>
      <c r="BH41" s="43">
        <v>94614</v>
      </c>
      <c r="BI41" s="43">
        <v>94725</v>
      </c>
      <c r="BJ41" s="43">
        <v>94950</v>
      </c>
      <c r="BK41" s="43">
        <v>95214</v>
      </c>
      <c r="BL41" s="43">
        <v>95526</v>
      </c>
      <c r="BM41" s="43">
        <v>95760</v>
      </c>
      <c r="BN41" s="43">
        <v>95995</v>
      </c>
      <c r="BO41" s="43">
        <v>96184</v>
      </c>
      <c r="BP41" s="43">
        <v>96356</v>
      </c>
      <c r="BQ41" s="43">
        <v>96448</v>
      </c>
      <c r="BR41" s="43">
        <v>96567</v>
      </c>
      <c r="BS41" s="43">
        <v>96576</v>
      </c>
      <c r="BT41" s="43">
        <v>96671</v>
      </c>
      <c r="BU41" s="43">
        <v>96730</v>
      </c>
      <c r="BV41" s="43">
        <v>96840</v>
      </c>
      <c r="BW41" s="43">
        <v>96926</v>
      </c>
      <c r="BX41" s="43">
        <v>97034</v>
      </c>
      <c r="BY41" s="43">
        <v>97140</v>
      </c>
      <c r="BZ41" s="43">
        <v>97360</v>
      </c>
      <c r="CA41" s="43">
        <v>97524</v>
      </c>
      <c r="CB41" s="43">
        <v>97646</v>
      </c>
      <c r="CC41" s="43">
        <v>97737</v>
      </c>
      <c r="CD41" s="43">
        <v>97820</v>
      </c>
      <c r="CE41" s="43">
        <v>97906</v>
      </c>
      <c r="CF41" s="43">
        <v>97995</v>
      </c>
      <c r="CG41" s="43">
        <v>98094</v>
      </c>
      <c r="CH41" s="43">
        <v>98166</v>
      </c>
      <c r="CI41" s="43">
        <v>98275</v>
      </c>
      <c r="CJ41" s="43">
        <v>98324</v>
      </c>
      <c r="CK41" s="43">
        <v>98390</v>
      </c>
      <c r="CL41" s="43">
        <v>98491</v>
      </c>
      <c r="CM41" s="43">
        <v>98536</v>
      </c>
      <c r="CN41" s="43">
        <v>98607</v>
      </c>
      <c r="CO41" s="43">
        <v>98646</v>
      </c>
      <c r="CP41" s="43">
        <v>98723</v>
      </c>
      <c r="CQ41" s="43">
        <v>98773</v>
      </c>
      <c r="CR41" s="43">
        <v>98806</v>
      </c>
      <c r="CS41" s="43">
        <v>98862</v>
      </c>
      <c r="CT41" s="43">
        <v>98902</v>
      </c>
      <c r="CU41" s="43">
        <v>98939</v>
      </c>
      <c r="CV41" s="43">
        <v>98948</v>
      </c>
      <c r="CW41" s="43">
        <v>98990</v>
      </c>
      <c r="CX41" s="43">
        <v>99024</v>
      </c>
      <c r="CY41" s="43">
        <v>99049</v>
      </c>
      <c r="CZ41" s="43">
        <v>99042</v>
      </c>
      <c r="DA41" s="43">
        <v>99069</v>
      </c>
      <c r="DB41" s="43">
        <v>99090</v>
      </c>
      <c r="DC41" s="43">
        <v>99136</v>
      </c>
      <c r="DD41" s="43">
        <v>99149</v>
      </c>
      <c r="DE41" s="43">
        <v>99175</v>
      </c>
      <c r="DF41" s="43">
        <v>99226</v>
      </c>
      <c r="DG41" s="43">
        <v>99219</v>
      </c>
      <c r="DH41" s="43">
        <v>99252</v>
      </c>
      <c r="DI41" s="43">
        <v>99241</v>
      </c>
      <c r="DJ41" s="43">
        <v>99275</v>
      </c>
      <c r="DK41" s="43">
        <v>99296</v>
      </c>
      <c r="DL41" s="43">
        <v>99305</v>
      </c>
      <c r="DM41" s="43">
        <v>99330</v>
      </c>
      <c r="DN41" s="43">
        <v>99353</v>
      </c>
      <c r="DO41" s="43">
        <v>99376</v>
      </c>
    </row>
    <row r="42" spans="1:119">
      <c r="A42" s="42">
        <v>40</v>
      </c>
      <c r="W42" s="43">
        <v>79702</v>
      </c>
      <c r="X42" s="43">
        <v>80517</v>
      </c>
      <c r="Y42" s="43">
        <v>80652</v>
      </c>
      <c r="Z42" s="43">
        <v>82693</v>
      </c>
      <c r="AA42" s="43">
        <v>83181</v>
      </c>
      <c r="AB42" s="43">
        <v>83826</v>
      </c>
      <c r="AC42" s="43">
        <v>84711</v>
      </c>
      <c r="AD42" s="43">
        <v>85586</v>
      </c>
      <c r="AE42" s="43">
        <v>85535</v>
      </c>
      <c r="AF42" s="43">
        <v>86692</v>
      </c>
      <c r="AG42" s="43">
        <v>87184</v>
      </c>
      <c r="AH42" s="43">
        <v>87391</v>
      </c>
      <c r="AI42" s="43">
        <v>87816</v>
      </c>
      <c r="AJ42" s="43">
        <v>89022</v>
      </c>
      <c r="AK42" s="43">
        <v>89064</v>
      </c>
      <c r="AL42" s="43">
        <v>89456</v>
      </c>
      <c r="AM42" s="43">
        <v>89741</v>
      </c>
      <c r="AN42" s="43">
        <v>90223</v>
      </c>
      <c r="AO42" s="43">
        <v>90280</v>
      </c>
      <c r="AP42" s="43">
        <v>90400</v>
      </c>
      <c r="AQ42" s="43">
        <v>90493</v>
      </c>
      <c r="AR42" s="43">
        <v>90502</v>
      </c>
      <c r="AS42" s="43">
        <v>89996</v>
      </c>
      <c r="AT42" s="43">
        <v>89344</v>
      </c>
      <c r="AU42" s="43">
        <v>88276</v>
      </c>
      <c r="AV42" s="43">
        <v>88472</v>
      </c>
      <c r="AW42" s="43">
        <v>88812</v>
      </c>
      <c r="AX42" s="43">
        <v>90798</v>
      </c>
      <c r="AY42" s="43">
        <v>92378</v>
      </c>
      <c r="AZ42" s="43">
        <v>92479</v>
      </c>
      <c r="BA42" s="43">
        <v>92555</v>
      </c>
      <c r="BB42" s="43">
        <v>93115</v>
      </c>
      <c r="BC42" s="43">
        <v>93379</v>
      </c>
      <c r="BD42" s="43">
        <v>93688</v>
      </c>
      <c r="BE42" s="43">
        <v>93764</v>
      </c>
      <c r="BF42" s="43">
        <v>94134</v>
      </c>
      <c r="BG42" s="43">
        <v>94316</v>
      </c>
      <c r="BH42" s="43">
        <v>94522</v>
      </c>
      <c r="BI42" s="43">
        <v>94637</v>
      </c>
      <c r="BJ42" s="43">
        <v>94860</v>
      </c>
      <c r="BK42" s="43">
        <v>95134</v>
      </c>
      <c r="BL42" s="43">
        <v>95442</v>
      </c>
      <c r="BM42" s="43">
        <v>95680</v>
      </c>
      <c r="BN42" s="43">
        <v>95920</v>
      </c>
      <c r="BO42" s="43">
        <v>96115</v>
      </c>
      <c r="BP42" s="43">
        <v>96284</v>
      </c>
      <c r="BQ42" s="43">
        <v>96379</v>
      </c>
      <c r="BR42" s="43">
        <v>96501</v>
      </c>
      <c r="BS42" s="43">
        <v>96509</v>
      </c>
      <c r="BT42" s="43">
        <v>96608</v>
      </c>
      <c r="BU42" s="43">
        <v>96666</v>
      </c>
      <c r="BV42" s="43">
        <v>96778</v>
      </c>
      <c r="BW42" s="43">
        <v>96862</v>
      </c>
      <c r="BX42" s="43">
        <v>96975</v>
      </c>
      <c r="BY42" s="43">
        <v>97080</v>
      </c>
      <c r="BZ42" s="43">
        <v>97304</v>
      </c>
      <c r="CA42" s="43">
        <v>97468</v>
      </c>
      <c r="CB42" s="43">
        <v>97591</v>
      </c>
      <c r="CC42" s="43">
        <v>97684</v>
      </c>
      <c r="CD42" s="43">
        <v>97768</v>
      </c>
      <c r="CE42" s="43">
        <v>97855</v>
      </c>
      <c r="CF42" s="43">
        <v>97945</v>
      </c>
      <c r="CG42" s="43">
        <v>98045</v>
      </c>
      <c r="CH42" s="43">
        <v>98118</v>
      </c>
      <c r="CI42" s="43">
        <v>98229</v>
      </c>
      <c r="CJ42" s="43">
        <v>98279</v>
      </c>
      <c r="CK42" s="43">
        <v>98345</v>
      </c>
      <c r="CL42" s="43">
        <v>98448</v>
      </c>
      <c r="CM42" s="43">
        <v>98494</v>
      </c>
      <c r="CN42" s="43">
        <v>98565</v>
      </c>
      <c r="CO42" s="43">
        <v>98605</v>
      </c>
      <c r="CP42" s="43">
        <v>98683</v>
      </c>
      <c r="CQ42" s="43">
        <v>98734</v>
      </c>
      <c r="CR42" s="43">
        <v>98768</v>
      </c>
      <c r="CS42" s="43">
        <v>98825</v>
      </c>
      <c r="CT42" s="43">
        <v>98866</v>
      </c>
      <c r="CU42" s="43">
        <v>98903</v>
      </c>
      <c r="CV42" s="43">
        <v>98913</v>
      </c>
      <c r="CW42" s="43">
        <v>98956</v>
      </c>
      <c r="CX42" s="43">
        <v>98991</v>
      </c>
      <c r="CY42" s="43">
        <v>99017</v>
      </c>
      <c r="CZ42" s="43">
        <v>99011</v>
      </c>
      <c r="DA42" s="43">
        <v>99038</v>
      </c>
      <c r="DB42" s="43">
        <v>99060</v>
      </c>
      <c r="DC42" s="43">
        <v>99106</v>
      </c>
      <c r="DD42" s="43">
        <v>99120</v>
      </c>
      <c r="DE42" s="43">
        <v>99147</v>
      </c>
      <c r="DF42" s="43">
        <v>99199</v>
      </c>
      <c r="DG42" s="43">
        <v>99192</v>
      </c>
      <c r="DH42" s="43">
        <v>99225</v>
      </c>
      <c r="DI42" s="43">
        <v>99215</v>
      </c>
      <c r="DJ42" s="43">
        <v>99249</v>
      </c>
      <c r="DK42" s="43">
        <v>99271</v>
      </c>
      <c r="DL42" s="43">
        <v>99281</v>
      </c>
      <c r="DM42" s="43">
        <v>99306</v>
      </c>
      <c r="DN42" s="43">
        <v>99330</v>
      </c>
      <c r="DO42" s="43">
        <v>99353</v>
      </c>
    </row>
    <row r="43" spans="1:119">
      <c r="A43" s="42">
        <v>41</v>
      </c>
      <c r="W43" s="43">
        <v>79544</v>
      </c>
      <c r="X43" s="43">
        <v>80357</v>
      </c>
      <c r="Y43" s="43">
        <v>80490</v>
      </c>
      <c r="Z43" s="43">
        <v>82535</v>
      </c>
      <c r="AA43" s="43">
        <v>83028</v>
      </c>
      <c r="AB43" s="43">
        <v>83671</v>
      </c>
      <c r="AC43" s="43">
        <v>84562</v>
      </c>
      <c r="AD43" s="43">
        <v>85433</v>
      </c>
      <c r="AE43" s="43">
        <v>85370</v>
      </c>
      <c r="AF43" s="43">
        <v>86542</v>
      </c>
      <c r="AG43" s="43">
        <v>87041</v>
      </c>
      <c r="AH43" s="43">
        <v>87249</v>
      </c>
      <c r="AI43" s="43">
        <v>87665</v>
      </c>
      <c r="AJ43" s="43">
        <v>88883</v>
      </c>
      <c r="AK43" s="43">
        <v>88913</v>
      </c>
      <c r="AL43" s="43">
        <v>89312</v>
      </c>
      <c r="AM43" s="43">
        <v>89601</v>
      </c>
      <c r="AN43" s="43">
        <v>90087</v>
      </c>
      <c r="AO43" s="43">
        <v>90151</v>
      </c>
      <c r="AP43" s="43">
        <v>90270</v>
      </c>
      <c r="AQ43" s="43">
        <v>90365</v>
      </c>
      <c r="AR43" s="43">
        <v>90373</v>
      </c>
      <c r="AS43" s="43">
        <v>89868</v>
      </c>
      <c r="AT43" s="43">
        <v>89228</v>
      </c>
      <c r="AU43" s="43">
        <v>88156</v>
      </c>
      <c r="AV43" s="43">
        <v>88359</v>
      </c>
      <c r="AW43" s="43">
        <v>88698</v>
      </c>
      <c r="AX43" s="43">
        <v>90681</v>
      </c>
      <c r="AY43" s="43">
        <v>92256</v>
      </c>
      <c r="AZ43" s="43">
        <v>92357</v>
      </c>
      <c r="BA43" s="43">
        <v>92439</v>
      </c>
      <c r="BB43" s="43">
        <v>93001</v>
      </c>
      <c r="BC43" s="43">
        <v>93263</v>
      </c>
      <c r="BD43" s="43">
        <v>93573</v>
      </c>
      <c r="BE43" s="43">
        <v>93649</v>
      </c>
      <c r="BF43" s="43">
        <v>94026</v>
      </c>
      <c r="BG43" s="43">
        <v>94214</v>
      </c>
      <c r="BH43" s="43">
        <v>94422</v>
      </c>
      <c r="BI43" s="43">
        <v>94545</v>
      </c>
      <c r="BJ43" s="43">
        <v>94770</v>
      </c>
      <c r="BK43" s="43">
        <v>95040</v>
      </c>
      <c r="BL43" s="43">
        <v>95357</v>
      </c>
      <c r="BM43" s="43">
        <v>95600</v>
      </c>
      <c r="BN43" s="43">
        <v>95840</v>
      </c>
      <c r="BO43" s="43">
        <v>96037</v>
      </c>
      <c r="BP43" s="43">
        <v>96211</v>
      </c>
      <c r="BQ43" s="43">
        <v>96313</v>
      </c>
      <c r="BR43" s="43">
        <v>96430</v>
      </c>
      <c r="BS43" s="43">
        <v>96438</v>
      </c>
      <c r="BT43" s="43">
        <v>96542</v>
      </c>
      <c r="BU43" s="43">
        <v>96596</v>
      </c>
      <c r="BV43" s="43">
        <v>96712</v>
      </c>
      <c r="BW43" s="43">
        <v>96795</v>
      </c>
      <c r="BX43" s="43">
        <v>96913</v>
      </c>
      <c r="BY43" s="43">
        <v>97017</v>
      </c>
      <c r="BZ43" s="43">
        <v>97242</v>
      </c>
      <c r="CA43" s="43">
        <v>97408</v>
      </c>
      <c r="CB43" s="43">
        <v>97533</v>
      </c>
      <c r="CC43" s="43">
        <v>97626</v>
      </c>
      <c r="CD43" s="43">
        <v>97711</v>
      </c>
      <c r="CE43" s="43">
        <v>97800</v>
      </c>
      <c r="CF43" s="43">
        <v>97891</v>
      </c>
      <c r="CG43" s="43">
        <v>97992</v>
      </c>
      <c r="CH43" s="43">
        <v>98067</v>
      </c>
      <c r="CI43" s="43">
        <v>98178</v>
      </c>
      <c r="CJ43" s="43">
        <v>98229</v>
      </c>
      <c r="CK43" s="43">
        <v>98297</v>
      </c>
      <c r="CL43" s="43">
        <v>98400</v>
      </c>
      <c r="CM43" s="43">
        <v>98447</v>
      </c>
      <c r="CN43" s="43">
        <v>98520</v>
      </c>
      <c r="CO43" s="43">
        <v>98561</v>
      </c>
      <c r="CP43" s="43">
        <v>98639</v>
      </c>
      <c r="CQ43" s="43">
        <v>98692</v>
      </c>
      <c r="CR43" s="43">
        <v>98726</v>
      </c>
      <c r="CS43" s="43">
        <v>98784</v>
      </c>
      <c r="CT43" s="43">
        <v>98826</v>
      </c>
      <c r="CU43" s="43">
        <v>98865</v>
      </c>
      <c r="CV43" s="43">
        <v>98875</v>
      </c>
      <c r="CW43" s="43">
        <v>98919</v>
      </c>
      <c r="CX43" s="43">
        <v>98954</v>
      </c>
      <c r="CY43" s="43">
        <v>98981</v>
      </c>
      <c r="CZ43" s="43">
        <v>98976</v>
      </c>
      <c r="DA43" s="43">
        <v>99004</v>
      </c>
      <c r="DB43" s="43">
        <v>99027</v>
      </c>
      <c r="DC43" s="43">
        <v>99074</v>
      </c>
      <c r="DD43" s="43">
        <v>99088</v>
      </c>
      <c r="DE43" s="43">
        <v>99116</v>
      </c>
      <c r="DF43" s="43">
        <v>99168</v>
      </c>
      <c r="DG43" s="43">
        <v>99162</v>
      </c>
      <c r="DH43" s="43">
        <v>99196</v>
      </c>
      <c r="DI43" s="43">
        <v>99187</v>
      </c>
      <c r="DJ43" s="43">
        <v>99221</v>
      </c>
      <c r="DK43" s="43">
        <v>99244</v>
      </c>
      <c r="DL43" s="43">
        <v>99254</v>
      </c>
      <c r="DM43" s="43">
        <v>99280</v>
      </c>
      <c r="DN43" s="43">
        <v>99304</v>
      </c>
      <c r="DO43" s="43">
        <v>99328</v>
      </c>
    </row>
    <row r="44" spans="1:119">
      <c r="A44" s="42">
        <v>42</v>
      </c>
      <c r="W44" s="43">
        <v>79377</v>
      </c>
      <c r="X44" s="43">
        <v>80177</v>
      </c>
      <c r="Y44" s="43">
        <v>80325</v>
      </c>
      <c r="Z44" s="43">
        <v>82368</v>
      </c>
      <c r="AA44" s="43">
        <v>82861</v>
      </c>
      <c r="AB44" s="43">
        <v>83506</v>
      </c>
      <c r="AC44" s="43">
        <v>84394</v>
      </c>
      <c r="AD44" s="43">
        <v>85255</v>
      </c>
      <c r="AE44" s="43">
        <v>85203</v>
      </c>
      <c r="AF44" s="43">
        <v>86374</v>
      </c>
      <c r="AG44" s="43">
        <v>86874</v>
      </c>
      <c r="AH44" s="43">
        <v>87097</v>
      </c>
      <c r="AI44" s="43">
        <v>87501</v>
      </c>
      <c r="AJ44" s="43">
        <v>88718</v>
      </c>
      <c r="AK44" s="43">
        <v>88754</v>
      </c>
      <c r="AL44" s="43">
        <v>89159</v>
      </c>
      <c r="AM44" s="43">
        <v>89460</v>
      </c>
      <c r="AN44" s="43">
        <v>89946</v>
      </c>
      <c r="AO44" s="43">
        <v>90014</v>
      </c>
      <c r="AP44" s="43">
        <v>90133</v>
      </c>
      <c r="AQ44" s="43">
        <v>90226</v>
      </c>
      <c r="AR44" s="43">
        <v>90237</v>
      </c>
      <c r="AS44" s="43">
        <v>89735</v>
      </c>
      <c r="AT44" s="43">
        <v>89100</v>
      </c>
      <c r="AU44" s="43">
        <v>88032</v>
      </c>
      <c r="AV44" s="43">
        <v>88242</v>
      </c>
      <c r="AW44" s="43">
        <v>88579</v>
      </c>
      <c r="AX44" s="43">
        <v>90549</v>
      </c>
      <c r="AY44" s="43">
        <v>92130</v>
      </c>
      <c r="AZ44" s="43">
        <v>92230</v>
      </c>
      <c r="BA44" s="43">
        <v>92308</v>
      </c>
      <c r="BB44" s="43">
        <v>92878</v>
      </c>
      <c r="BC44" s="43">
        <v>93132</v>
      </c>
      <c r="BD44" s="43">
        <v>93449</v>
      </c>
      <c r="BE44" s="43">
        <v>93531</v>
      </c>
      <c r="BF44" s="43">
        <v>93910</v>
      </c>
      <c r="BG44" s="43">
        <v>94102</v>
      </c>
      <c r="BH44" s="43">
        <v>94316</v>
      </c>
      <c r="BI44" s="43">
        <v>94439</v>
      </c>
      <c r="BJ44" s="43">
        <v>94666</v>
      </c>
      <c r="BK44" s="43">
        <v>94941</v>
      </c>
      <c r="BL44" s="43">
        <v>95264</v>
      </c>
      <c r="BM44" s="43">
        <v>95515</v>
      </c>
      <c r="BN44" s="43">
        <v>95759</v>
      </c>
      <c r="BO44" s="43">
        <v>95950</v>
      </c>
      <c r="BP44" s="43">
        <v>96130</v>
      </c>
      <c r="BQ44" s="43">
        <v>96236</v>
      </c>
      <c r="BR44" s="43">
        <v>96348</v>
      </c>
      <c r="BS44" s="43">
        <v>96363</v>
      </c>
      <c r="BT44" s="43">
        <v>96465</v>
      </c>
      <c r="BU44" s="43">
        <v>96523</v>
      </c>
      <c r="BV44" s="43">
        <v>96639</v>
      </c>
      <c r="BW44" s="43">
        <v>96721</v>
      </c>
      <c r="BX44" s="43">
        <v>96844</v>
      </c>
      <c r="BY44" s="43">
        <v>96949</v>
      </c>
      <c r="BZ44" s="43">
        <v>97176</v>
      </c>
      <c r="CA44" s="43">
        <v>97343</v>
      </c>
      <c r="CB44" s="43">
        <v>97469</v>
      </c>
      <c r="CC44" s="43">
        <v>97563</v>
      </c>
      <c r="CD44" s="43">
        <v>97650</v>
      </c>
      <c r="CE44" s="43">
        <v>97740</v>
      </c>
      <c r="CF44" s="43">
        <v>97832</v>
      </c>
      <c r="CG44" s="43">
        <v>97935</v>
      </c>
      <c r="CH44" s="43">
        <v>98010</v>
      </c>
      <c r="CI44" s="43">
        <v>98123</v>
      </c>
      <c r="CJ44" s="43">
        <v>98175</v>
      </c>
      <c r="CK44" s="43">
        <v>98244</v>
      </c>
      <c r="CL44" s="43">
        <v>98349</v>
      </c>
      <c r="CM44" s="43">
        <v>98397</v>
      </c>
      <c r="CN44" s="43">
        <v>98470</v>
      </c>
      <c r="CO44" s="43">
        <v>98512</v>
      </c>
      <c r="CP44" s="43">
        <v>98592</v>
      </c>
      <c r="CQ44" s="43">
        <v>98645</v>
      </c>
      <c r="CR44" s="43">
        <v>98681</v>
      </c>
      <c r="CS44" s="43">
        <v>98740</v>
      </c>
      <c r="CT44" s="43">
        <v>98783</v>
      </c>
      <c r="CU44" s="43">
        <v>98822</v>
      </c>
      <c r="CV44" s="43">
        <v>98833</v>
      </c>
      <c r="CW44" s="43">
        <v>98878</v>
      </c>
      <c r="CX44" s="43">
        <v>98915</v>
      </c>
      <c r="CY44" s="43">
        <v>98942</v>
      </c>
      <c r="CZ44" s="43">
        <v>98937</v>
      </c>
      <c r="DA44" s="43">
        <v>98966</v>
      </c>
      <c r="DB44" s="43">
        <v>98990</v>
      </c>
      <c r="DC44" s="43">
        <v>99038</v>
      </c>
      <c r="DD44" s="43">
        <v>99053</v>
      </c>
      <c r="DE44" s="43">
        <v>99081</v>
      </c>
      <c r="DF44" s="43">
        <v>99134</v>
      </c>
      <c r="DG44" s="43">
        <v>99129</v>
      </c>
      <c r="DH44" s="43">
        <v>99164</v>
      </c>
      <c r="DI44" s="43">
        <v>99155</v>
      </c>
      <c r="DJ44" s="43">
        <v>99191</v>
      </c>
      <c r="DK44" s="43">
        <v>99214</v>
      </c>
      <c r="DL44" s="43">
        <v>99225</v>
      </c>
      <c r="DM44" s="43">
        <v>99251</v>
      </c>
      <c r="DN44" s="43">
        <v>99276</v>
      </c>
      <c r="DO44" s="43">
        <v>99301</v>
      </c>
    </row>
    <row r="45" spans="1:119">
      <c r="A45" s="42">
        <v>43</v>
      </c>
      <c r="W45" s="43">
        <v>79195</v>
      </c>
      <c r="X45" s="43">
        <v>80001</v>
      </c>
      <c r="Y45" s="43">
        <v>80142</v>
      </c>
      <c r="Z45" s="43">
        <v>82178</v>
      </c>
      <c r="AA45" s="43">
        <v>82671</v>
      </c>
      <c r="AB45" s="43">
        <v>83330</v>
      </c>
      <c r="AC45" s="43">
        <v>84199</v>
      </c>
      <c r="AD45" s="43">
        <v>85070</v>
      </c>
      <c r="AE45" s="43">
        <v>85017</v>
      </c>
      <c r="AF45" s="43">
        <v>86194</v>
      </c>
      <c r="AG45" s="43">
        <v>86697</v>
      </c>
      <c r="AH45" s="43">
        <v>86919</v>
      </c>
      <c r="AI45" s="43">
        <v>87333</v>
      </c>
      <c r="AJ45" s="43">
        <v>88533</v>
      </c>
      <c r="AK45" s="43">
        <v>88595</v>
      </c>
      <c r="AL45" s="43">
        <v>89004</v>
      </c>
      <c r="AM45" s="43">
        <v>89296</v>
      </c>
      <c r="AN45" s="43">
        <v>89797</v>
      </c>
      <c r="AO45" s="43">
        <v>89855</v>
      </c>
      <c r="AP45" s="43">
        <v>89983</v>
      </c>
      <c r="AQ45" s="43">
        <v>90075</v>
      </c>
      <c r="AR45" s="43">
        <v>90099</v>
      </c>
      <c r="AS45" s="43">
        <v>89598</v>
      </c>
      <c r="AT45" s="43">
        <v>88952</v>
      </c>
      <c r="AU45" s="43">
        <v>87898</v>
      </c>
      <c r="AV45" s="43">
        <v>88101</v>
      </c>
      <c r="AW45" s="43">
        <v>88446</v>
      </c>
      <c r="AX45" s="43">
        <v>90413</v>
      </c>
      <c r="AY45" s="43">
        <v>91991</v>
      </c>
      <c r="AZ45" s="43">
        <v>92087</v>
      </c>
      <c r="BA45" s="43">
        <v>92173</v>
      </c>
      <c r="BB45" s="43">
        <v>92743</v>
      </c>
      <c r="BC45" s="43">
        <v>92988</v>
      </c>
      <c r="BD45" s="43">
        <v>93321</v>
      </c>
      <c r="BE45" s="43">
        <v>93411</v>
      </c>
      <c r="BF45" s="43">
        <v>93788</v>
      </c>
      <c r="BG45" s="43">
        <v>93974</v>
      </c>
      <c r="BH45" s="43">
        <v>94200</v>
      </c>
      <c r="BI45" s="43">
        <v>94329</v>
      </c>
      <c r="BJ45" s="43">
        <v>94553</v>
      </c>
      <c r="BK45" s="43">
        <v>94841</v>
      </c>
      <c r="BL45" s="43">
        <v>95162</v>
      </c>
      <c r="BM45" s="43">
        <v>95415</v>
      </c>
      <c r="BN45" s="43">
        <v>95662</v>
      </c>
      <c r="BO45" s="43">
        <v>95853</v>
      </c>
      <c r="BP45" s="43">
        <v>96041</v>
      </c>
      <c r="BQ45" s="43">
        <v>96153</v>
      </c>
      <c r="BR45" s="43">
        <v>96260</v>
      </c>
      <c r="BS45" s="43">
        <v>96281</v>
      </c>
      <c r="BT45" s="43">
        <v>96379</v>
      </c>
      <c r="BU45" s="43">
        <v>96440</v>
      </c>
      <c r="BV45" s="43">
        <v>96557</v>
      </c>
      <c r="BW45" s="43">
        <v>96643</v>
      </c>
      <c r="BX45" s="43">
        <v>96768</v>
      </c>
      <c r="BY45" s="43">
        <v>96875</v>
      </c>
      <c r="BZ45" s="43">
        <v>97103</v>
      </c>
      <c r="CA45" s="43">
        <v>97272</v>
      </c>
      <c r="CB45" s="43">
        <v>97399</v>
      </c>
      <c r="CC45" s="43">
        <v>97495</v>
      </c>
      <c r="CD45" s="43">
        <v>97583</v>
      </c>
      <c r="CE45" s="43">
        <v>97675</v>
      </c>
      <c r="CF45" s="43">
        <v>97768</v>
      </c>
      <c r="CG45" s="43">
        <v>97872</v>
      </c>
      <c r="CH45" s="43">
        <v>97949</v>
      </c>
      <c r="CI45" s="43">
        <v>98063</v>
      </c>
      <c r="CJ45" s="43">
        <v>98116</v>
      </c>
      <c r="CK45" s="43">
        <v>98186</v>
      </c>
      <c r="CL45" s="43">
        <v>98292</v>
      </c>
      <c r="CM45" s="43">
        <v>98341</v>
      </c>
      <c r="CN45" s="43">
        <v>98416</v>
      </c>
      <c r="CO45" s="43">
        <v>98459</v>
      </c>
      <c r="CP45" s="43">
        <v>98540</v>
      </c>
      <c r="CQ45" s="43">
        <v>98594</v>
      </c>
      <c r="CR45" s="43">
        <v>98631</v>
      </c>
      <c r="CS45" s="43">
        <v>98691</v>
      </c>
      <c r="CT45" s="43">
        <v>98735</v>
      </c>
      <c r="CU45" s="43">
        <v>98775</v>
      </c>
      <c r="CV45" s="43">
        <v>98787</v>
      </c>
      <c r="CW45" s="43">
        <v>98833</v>
      </c>
      <c r="CX45" s="43">
        <v>98871</v>
      </c>
      <c r="CY45" s="43">
        <v>98899</v>
      </c>
      <c r="CZ45" s="43">
        <v>98895</v>
      </c>
      <c r="DA45" s="43">
        <v>98925</v>
      </c>
      <c r="DB45" s="43">
        <v>98950</v>
      </c>
      <c r="DC45" s="43">
        <v>98998</v>
      </c>
      <c r="DD45" s="43">
        <v>99014</v>
      </c>
      <c r="DE45" s="43">
        <v>99043</v>
      </c>
      <c r="DF45" s="43">
        <v>99097</v>
      </c>
      <c r="DG45" s="43">
        <v>99093</v>
      </c>
      <c r="DH45" s="43">
        <v>99128</v>
      </c>
      <c r="DI45" s="43">
        <v>99121</v>
      </c>
      <c r="DJ45" s="43">
        <v>99157</v>
      </c>
      <c r="DK45" s="43">
        <v>99180</v>
      </c>
      <c r="DL45" s="43">
        <v>99192</v>
      </c>
      <c r="DM45" s="43">
        <v>99219</v>
      </c>
      <c r="DN45" s="43">
        <v>99245</v>
      </c>
      <c r="DO45" s="43">
        <v>99270</v>
      </c>
    </row>
    <row r="46" spans="1:119">
      <c r="A46" s="42">
        <v>44</v>
      </c>
      <c r="W46" s="43">
        <v>78994</v>
      </c>
      <c r="X46" s="43">
        <v>79805</v>
      </c>
      <c r="Y46" s="43">
        <v>79942</v>
      </c>
      <c r="Z46" s="43">
        <v>81977</v>
      </c>
      <c r="AA46" s="43">
        <v>82472</v>
      </c>
      <c r="AB46" s="43">
        <v>83118</v>
      </c>
      <c r="AC46" s="43">
        <v>83995</v>
      </c>
      <c r="AD46" s="43">
        <v>84880</v>
      </c>
      <c r="AE46" s="43">
        <v>84817</v>
      </c>
      <c r="AF46" s="43">
        <v>85993</v>
      </c>
      <c r="AG46" s="43">
        <v>86495</v>
      </c>
      <c r="AH46" s="43">
        <v>86726</v>
      </c>
      <c r="AI46" s="43">
        <v>87142</v>
      </c>
      <c r="AJ46" s="43">
        <v>88349</v>
      </c>
      <c r="AK46" s="43">
        <v>88411</v>
      </c>
      <c r="AL46" s="43">
        <v>88830</v>
      </c>
      <c r="AM46" s="43">
        <v>89125</v>
      </c>
      <c r="AN46" s="43">
        <v>89627</v>
      </c>
      <c r="AO46" s="43">
        <v>89696</v>
      </c>
      <c r="AP46" s="43">
        <v>89828</v>
      </c>
      <c r="AQ46" s="43">
        <v>89923</v>
      </c>
      <c r="AR46" s="43">
        <v>89952</v>
      </c>
      <c r="AS46" s="43">
        <v>89448</v>
      </c>
      <c r="AT46" s="43">
        <v>88793</v>
      </c>
      <c r="AU46" s="43">
        <v>87755</v>
      </c>
      <c r="AV46" s="43">
        <v>87955</v>
      </c>
      <c r="AW46" s="43">
        <v>88300</v>
      </c>
      <c r="AX46" s="43">
        <v>90267</v>
      </c>
      <c r="AY46" s="43">
        <v>91837</v>
      </c>
      <c r="AZ46" s="43">
        <v>91929</v>
      </c>
      <c r="BA46" s="43">
        <v>92030</v>
      </c>
      <c r="BB46" s="43">
        <v>92601</v>
      </c>
      <c r="BC46" s="43">
        <v>92844</v>
      </c>
      <c r="BD46" s="43">
        <v>93176</v>
      </c>
      <c r="BE46" s="43">
        <v>93265</v>
      </c>
      <c r="BF46" s="43">
        <v>93655</v>
      </c>
      <c r="BG46" s="43">
        <v>93847</v>
      </c>
      <c r="BH46" s="43">
        <v>94073</v>
      </c>
      <c r="BI46" s="43">
        <v>94198</v>
      </c>
      <c r="BJ46" s="43">
        <v>94434</v>
      </c>
      <c r="BK46" s="43">
        <v>94732</v>
      </c>
      <c r="BL46" s="43">
        <v>95043</v>
      </c>
      <c r="BM46" s="43">
        <v>95313</v>
      </c>
      <c r="BN46" s="43">
        <v>95561</v>
      </c>
      <c r="BO46" s="43">
        <v>95753</v>
      </c>
      <c r="BP46" s="43">
        <v>95940</v>
      </c>
      <c r="BQ46" s="43">
        <v>96056</v>
      </c>
      <c r="BR46" s="43">
        <v>96164</v>
      </c>
      <c r="BS46" s="43">
        <v>96190</v>
      </c>
      <c r="BT46" s="43">
        <v>96289</v>
      </c>
      <c r="BU46" s="43">
        <v>96354</v>
      </c>
      <c r="BV46" s="43">
        <v>96471</v>
      </c>
      <c r="BW46" s="43">
        <v>96559</v>
      </c>
      <c r="BX46" s="43">
        <v>96685</v>
      </c>
      <c r="BY46" s="43">
        <v>96794</v>
      </c>
      <c r="BZ46" s="43">
        <v>97024</v>
      </c>
      <c r="CA46" s="43">
        <v>97194</v>
      </c>
      <c r="CB46" s="43">
        <v>97323</v>
      </c>
      <c r="CC46" s="43">
        <v>97420</v>
      </c>
      <c r="CD46" s="43">
        <v>97510</v>
      </c>
      <c r="CE46" s="43">
        <v>97603</v>
      </c>
      <c r="CF46" s="43">
        <v>97698</v>
      </c>
      <c r="CG46" s="43">
        <v>97803</v>
      </c>
      <c r="CH46" s="43">
        <v>97881</v>
      </c>
      <c r="CI46" s="43">
        <v>97996</v>
      </c>
      <c r="CJ46" s="43">
        <v>98051</v>
      </c>
      <c r="CK46" s="43">
        <v>98123</v>
      </c>
      <c r="CL46" s="43">
        <v>98230</v>
      </c>
      <c r="CM46" s="43">
        <v>98280</v>
      </c>
      <c r="CN46" s="43">
        <v>98356</v>
      </c>
      <c r="CO46" s="43">
        <v>98401</v>
      </c>
      <c r="CP46" s="43">
        <v>98483</v>
      </c>
      <c r="CQ46" s="43">
        <v>98538</v>
      </c>
      <c r="CR46" s="43">
        <v>98576</v>
      </c>
      <c r="CS46" s="43">
        <v>98637</v>
      </c>
      <c r="CT46" s="43">
        <v>98682</v>
      </c>
      <c r="CU46" s="43">
        <v>98724</v>
      </c>
      <c r="CV46" s="43">
        <v>98737</v>
      </c>
      <c r="CW46" s="43">
        <v>98784</v>
      </c>
      <c r="CX46" s="43">
        <v>98822</v>
      </c>
      <c r="CY46" s="43">
        <v>98852</v>
      </c>
      <c r="CZ46" s="43">
        <v>98849</v>
      </c>
      <c r="DA46" s="43">
        <v>98880</v>
      </c>
      <c r="DB46" s="43">
        <v>98905</v>
      </c>
      <c r="DC46" s="43">
        <v>98955</v>
      </c>
      <c r="DD46" s="43">
        <v>98972</v>
      </c>
      <c r="DE46" s="43">
        <v>99002</v>
      </c>
      <c r="DF46" s="43">
        <v>99057</v>
      </c>
      <c r="DG46" s="43">
        <v>99053</v>
      </c>
      <c r="DH46" s="43">
        <v>99089</v>
      </c>
      <c r="DI46" s="43">
        <v>99082</v>
      </c>
      <c r="DJ46" s="43">
        <v>99119</v>
      </c>
      <c r="DK46" s="43">
        <v>99144</v>
      </c>
      <c r="DL46" s="43">
        <v>99156</v>
      </c>
      <c r="DM46" s="43">
        <v>99184</v>
      </c>
      <c r="DN46" s="43">
        <v>99210</v>
      </c>
      <c r="DO46" s="43">
        <v>99236</v>
      </c>
    </row>
    <row r="47" spans="1:119">
      <c r="A47" s="42">
        <v>45</v>
      </c>
      <c r="W47" s="43">
        <v>78782</v>
      </c>
      <c r="X47" s="43">
        <v>79595</v>
      </c>
      <c r="Y47" s="43">
        <v>79734</v>
      </c>
      <c r="Z47" s="43">
        <v>81765</v>
      </c>
      <c r="AA47" s="43">
        <v>82247</v>
      </c>
      <c r="AB47" s="43">
        <v>82900</v>
      </c>
      <c r="AC47" s="43">
        <v>83782</v>
      </c>
      <c r="AD47" s="43">
        <v>84670</v>
      </c>
      <c r="AE47" s="43">
        <v>84603</v>
      </c>
      <c r="AF47" s="43">
        <v>85787</v>
      </c>
      <c r="AG47" s="43">
        <v>86285</v>
      </c>
      <c r="AH47" s="43">
        <v>86517</v>
      </c>
      <c r="AI47" s="43">
        <v>86940</v>
      </c>
      <c r="AJ47" s="43">
        <v>88142</v>
      </c>
      <c r="AK47" s="43">
        <v>88217</v>
      </c>
      <c r="AL47" s="43">
        <v>88648</v>
      </c>
      <c r="AM47" s="43">
        <v>88943</v>
      </c>
      <c r="AN47" s="43">
        <v>89448</v>
      </c>
      <c r="AO47" s="43">
        <v>89520</v>
      </c>
      <c r="AP47" s="43">
        <v>89667</v>
      </c>
      <c r="AQ47" s="43">
        <v>89755</v>
      </c>
      <c r="AR47" s="43">
        <v>89788</v>
      </c>
      <c r="AS47" s="43">
        <v>89279</v>
      </c>
      <c r="AT47" s="43">
        <v>88636</v>
      </c>
      <c r="AU47" s="43">
        <v>87592</v>
      </c>
      <c r="AV47" s="43">
        <v>87794</v>
      </c>
      <c r="AW47" s="43">
        <v>88145</v>
      </c>
      <c r="AX47" s="43">
        <v>90103</v>
      </c>
      <c r="AY47" s="43">
        <v>91669</v>
      </c>
      <c r="AZ47" s="43">
        <v>91769</v>
      </c>
      <c r="BA47" s="43">
        <v>91864</v>
      </c>
      <c r="BB47" s="43">
        <v>92449</v>
      </c>
      <c r="BC47" s="43">
        <v>92688</v>
      </c>
      <c r="BD47" s="43">
        <v>93032</v>
      </c>
      <c r="BE47" s="43">
        <v>93122</v>
      </c>
      <c r="BF47" s="43">
        <v>93510</v>
      </c>
      <c r="BG47" s="43">
        <v>93711</v>
      </c>
      <c r="BH47" s="43">
        <v>93933</v>
      </c>
      <c r="BI47" s="43">
        <v>94072</v>
      </c>
      <c r="BJ47" s="43">
        <v>94309</v>
      </c>
      <c r="BK47" s="43">
        <v>94613</v>
      </c>
      <c r="BL47" s="43">
        <v>94930</v>
      </c>
      <c r="BM47" s="43">
        <v>95210</v>
      </c>
      <c r="BN47" s="43">
        <v>95451</v>
      </c>
      <c r="BO47" s="43">
        <v>95640</v>
      </c>
      <c r="BP47" s="43">
        <v>95835</v>
      </c>
      <c r="BQ47" s="43">
        <v>95951</v>
      </c>
      <c r="BR47" s="43">
        <v>96064</v>
      </c>
      <c r="BS47" s="43">
        <v>96087</v>
      </c>
      <c r="BT47" s="43">
        <v>96192</v>
      </c>
      <c r="BU47" s="43">
        <v>96258</v>
      </c>
      <c r="BV47" s="43">
        <v>96377</v>
      </c>
      <c r="BW47" s="43">
        <v>96467</v>
      </c>
      <c r="BX47" s="43">
        <v>96595</v>
      </c>
      <c r="BY47" s="43">
        <v>96706</v>
      </c>
      <c r="BZ47" s="43">
        <v>96937</v>
      </c>
      <c r="CA47" s="43">
        <v>97109</v>
      </c>
      <c r="CB47" s="43">
        <v>97239</v>
      </c>
      <c r="CC47" s="43">
        <v>97338</v>
      </c>
      <c r="CD47" s="43">
        <v>97430</v>
      </c>
      <c r="CE47" s="43">
        <v>97524</v>
      </c>
      <c r="CF47" s="43">
        <v>97621</v>
      </c>
      <c r="CG47" s="43">
        <v>97727</v>
      </c>
      <c r="CH47" s="43">
        <v>97807</v>
      </c>
      <c r="CI47" s="43">
        <v>97924</v>
      </c>
      <c r="CJ47" s="43">
        <v>97980</v>
      </c>
      <c r="CK47" s="43">
        <v>98053</v>
      </c>
      <c r="CL47" s="43">
        <v>98161</v>
      </c>
      <c r="CM47" s="43">
        <v>98213</v>
      </c>
      <c r="CN47" s="43">
        <v>98291</v>
      </c>
      <c r="CO47" s="43">
        <v>98336</v>
      </c>
      <c r="CP47" s="43">
        <v>98420</v>
      </c>
      <c r="CQ47" s="43">
        <v>98477</v>
      </c>
      <c r="CR47" s="43">
        <v>98516</v>
      </c>
      <c r="CS47" s="43">
        <v>98578</v>
      </c>
      <c r="CT47" s="43">
        <v>98624</v>
      </c>
      <c r="CU47" s="43">
        <v>98667</v>
      </c>
      <c r="CV47" s="43">
        <v>98681</v>
      </c>
      <c r="CW47" s="43">
        <v>98729</v>
      </c>
      <c r="CX47" s="43">
        <v>98769</v>
      </c>
      <c r="CY47" s="43">
        <v>98799</v>
      </c>
      <c r="CZ47" s="43">
        <v>98798</v>
      </c>
      <c r="DA47" s="43">
        <v>98830</v>
      </c>
      <c r="DB47" s="43">
        <v>98856</v>
      </c>
      <c r="DC47" s="43">
        <v>98907</v>
      </c>
      <c r="DD47" s="43">
        <v>98925</v>
      </c>
      <c r="DE47" s="43">
        <v>98956</v>
      </c>
      <c r="DF47" s="43">
        <v>99011</v>
      </c>
      <c r="DG47" s="43">
        <v>99008</v>
      </c>
      <c r="DH47" s="43">
        <v>99046</v>
      </c>
      <c r="DI47" s="43">
        <v>99040</v>
      </c>
      <c r="DJ47" s="43">
        <v>99078</v>
      </c>
      <c r="DK47" s="43">
        <v>99103</v>
      </c>
      <c r="DL47" s="43">
        <v>99116</v>
      </c>
      <c r="DM47" s="43">
        <v>99145</v>
      </c>
      <c r="DN47" s="43">
        <v>99172</v>
      </c>
      <c r="DO47" s="43">
        <v>99199</v>
      </c>
    </row>
    <row r="48" spans="1:119">
      <c r="A48" s="42">
        <v>46</v>
      </c>
      <c r="W48" s="43">
        <v>78551</v>
      </c>
      <c r="X48" s="43">
        <v>79362</v>
      </c>
      <c r="Y48" s="43">
        <v>79506</v>
      </c>
      <c r="Z48" s="43">
        <v>81523</v>
      </c>
      <c r="AA48" s="43">
        <v>82024</v>
      </c>
      <c r="AB48" s="43">
        <v>82680</v>
      </c>
      <c r="AC48" s="43">
        <v>83558</v>
      </c>
      <c r="AD48" s="43">
        <v>84431</v>
      </c>
      <c r="AE48" s="43">
        <v>84378</v>
      </c>
      <c r="AF48" s="43">
        <v>85569</v>
      </c>
      <c r="AG48" s="43">
        <v>86067</v>
      </c>
      <c r="AH48" s="43">
        <v>86292</v>
      </c>
      <c r="AI48" s="43">
        <v>86713</v>
      </c>
      <c r="AJ48" s="43">
        <v>87932</v>
      </c>
      <c r="AK48" s="43">
        <v>88010</v>
      </c>
      <c r="AL48" s="43">
        <v>88450</v>
      </c>
      <c r="AM48" s="43">
        <v>88747</v>
      </c>
      <c r="AN48" s="43">
        <v>89263</v>
      </c>
      <c r="AO48" s="43">
        <v>89334</v>
      </c>
      <c r="AP48" s="43">
        <v>89488</v>
      </c>
      <c r="AQ48" s="43">
        <v>89576</v>
      </c>
      <c r="AR48" s="43">
        <v>89602</v>
      </c>
      <c r="AS48" s="43">
        <v>89102</v>
      </c>
      <c r="AT48" s="43">
        <v>88458</v>
      </c>
      <c r="AU48" s="43">
        <v>87404</v>
      </c>
      <c r="AV48" s="43">
        <v>87622</v>
      </c>
      <c r="AW48" s="43">
        <v>87971</v>
      </c>
      <c r="AX48" s="43">
        <v>89922</v>
      </c>
      <c r="AY48" s="43">
        <v>91498</v>
      </c>
      <c r="AZ48" s="43">
        <v>91597</v>
      </c>
      <c r="BA48" s="43">
        <v>91691</v>
      </c>
      <c r="BB48" s="43">
        <v>92284</v>
      </c>
      <c r="BC48" s="43">
        <v>92528</v>
      </c>
      <c r="BD48" s="43">
        <v>92869</v>
      </c>
      <c r="BE48" s="43">
        <v>92965</v>
      </c>
      <c r="BF48" s="43">
        <v>93354</v>
      </c>
      <c r="BG48" s="43">
        <v>93556</v>
      </c>
      <c r="BH48" s="43">
        <v>93793</v>
      </c>
      <c r="BI48" s="43">
        <v>93929</v>
      </c>
      <c r="BJ48" s="43">
        <v>94168</v>
      </c>
      <c r="BK48" s="43">
        <v>94474</v>
      </c>
      <c r="BL48" s="43">
        <v>94799</v>
      </c>
      <c r="BM48" s="43">
        <v>95084</v>
      </c>
      <c r="BN48" s="43">
        <v>95330</v>
      </c>
      <c r="BO48" s="43">
        <v>95520</v>
      </c>
      <c r="BP48" s="43">
        <v>95727</v>
      </c>
      <c r="BQ48" s="43">
        <v>95836</v>
      </c>
      <c r="BR48" s="43">
        <v>95954</v>
      </c>
      <c r="BS48" s="43">
        <v>95985</v>
      </c>
      <c r="BT48" s="43">
        <v>96085</v>
      </c>
      <c r="BU48" s="43">
        <v>96153</v>
      </c>
      <c r="BV48" s="43">
        <v>96273</v>
      </c>
      <c r="BW48" s="43">
        <v>96366</v>
      </c>
      <c r="BX48" s="43">
        <v>96496</v>
      </c>
      <c r="BY48" s="43">
        <v>96608</v>
      </c>
      <c r="BZ48" s="43">
        <v>96841</v>
      </c>
      <c r="CA48" s="43">
        <v>97015</v>
      </c>
      <c r="CB48" s="43">
        <v>97147</v>
      </c>
      <c r="CC48" s="43">
        <v>97248</v>
      </c>
      <c r="CD48" s="43">
        <v>97341</v>
      </c>
      <c r="CE48" s="43">
        <v>97438</v>
      </c>
      <c r="CF48" s="43">
        <v>97536</v>
      </c>
      <c r="CG48" s="43">
        <v>97644</v>
      </c>
      <c r="CH48" s="43">
        <v>97726</v>
      </c>
      <c r="CI48" s="43">
        <v>97844</v>
      </c>
      <c r="CJ48" s="43">
        <v>97902</v>
      </c>
      <c r="CK48" s="43">
        <v>97976</v>
      </c>
      <c r="CL48" s="43">
        <v>98086</v>
      </c>
      <c r="CM48" s="43">
        <v>98140</v>
      </c>
      <c r="CN48" s="43">
        <v>98218</v>
      </c>
      <c r="CO48" s="43">
        <v>98266</v>
      </c>
      <c r="CP48" s="43">
        <v>98350</v>
      </c>
      <c r="CQ48" s="43">
        <v>98409</v>
      </c>
      <c r="CR48" s="43">
        <v>98449</v>
      </c>
      <c r="CS48" s="43">
        <v>98513</v>
      </c>
      <c r="CT48" s="43">
        <v>98560</v>
      </c>
      <c r="CU48" s="43">
        <v>98604</v>
      </c>
      <c r="CV48" s="43">
        <v>98620</v>
      </c>
      <c r="CW48" s="43">
        <v>98669</v>
      </c>
      <c r="CX48" s="43">
        <v>98710</v>
      </c>
      <c r="CY48" s="43">
        <v>98742</v>
      </c>
      <c r="CZ48" s="43">
        <v>98741</v>
      </c>
      <c r="DA48" s="43">
        <v>98774</v>
      </c>
      <c r="DB48" s="43">
        <v>98802</v>
      </c>
      <c r="DC48" s="43">
        <v>98853</v>
      </c>
      <c r="DD48" s="43">
        <v>98873</v>
      </c>
      <c r="DE48" s="43">
        <v>98904</v>
      </c>
      <c r="DF48" s="43">
        <v>98961</v>
      </c>
      <c r="DG48" s="43">
        <v>98959</v>
      </c>
      <c r="DH48" s="43">
        <v>98998</v>
      </c>
      <c r="DI48" s="43">
        <v>98993</v>
      </c>
      <c r="DJ48" s="43">
        <v>99031</v>
      </c>
      <c r="DK48" s="43">
        <v>99058</v>
      </c>
      <c r="DL48" s="43">
        <v>99072</v>
      </c>
      <c r="DM48" s="43">
        <v>99101</v>
      </c>
      <c r="DN48" s="43">
        <v>99130</v>
      </c>
      <c r="DO48" s="43">
        <v>99157</v>
      </c>
    </row>
    <row r="49" spans="1:119">
      <c r="A49" s="42">
        <v>47</v>
      </c>
      <c r="W49" s="43">
        <v>78305</v>
      </c>
      <c r="X49" s="43">
        <v>79106</v>
      </c>
      <c r="Y49" s="43">
        <v>79239</v>
      </c>
      <c r="Z49" s="43">
        <v>81270</v>
      </c>
      <c r="AA49" s="43">
        <v>81764</v>
      </c>
      <c r="AB49" s="43">
        <v>82430</v>
      </c>
      <c r="AC49" s="43">
        <v>83312</v>
      </c>
      <c r="AD49" s="43">
        <v>84178</v>
      </c>
      <c r="AE49" s="43">
        <v>84136</v>
      </c>
      <c r="AF49" s="43">
        <v>85332</v>
      </c>
      <c r="AG49" s="43">
        <v>85835</v>
      </c>
      <c r="AH49" s="43">
        <v>86054</v>
      </c>
      <c r="AI49" s="43">
        <v>86483</v>
      </c>
      <c r="AJ49" s="43">
        <v>87710</v>
      </c>
      <c r="AK49" s="43">
        <v>87788</v>
      </c>
      <c r="AL49" s="43">
        <v>88235</v>
      </c>
      <c r="AM49" s="43">
        <v>88553</v>
      </c>
      <c r="AN49" s="43">
        <v>89057</v>
      </c>
      <c r="AO49" s="43">
        <v>89139</v>
      </c>
      <c r="AP49" s="43">
        <v>89289</v>
      </c>
      <c r="AQ49" s="43">
        <v>89375</v>
      </c>
      <c r="AR49" s="43">
        <v>89403</v>
      </c>
      <c r="AS49" s="43">
        <v>88927</v>
      </c>
      <c r="AT49" s="43">
        <v>88251</v>
      </c>
      <c r="AU49" s="43">
        <v>87205</v>
      </c>
      <c r="AV49" s="43">
        <v>87427</v>
      </c>
      <c r="AW49" s="43">
        <v>87791</v>
      </c>
      <c r="AX49" s="43">
        <v>89735</v>
      </c>
      <c r="AY49" s="43">
        <v>91312</v>
      </c>
      <c r="AZ49" s="43">
        <v>91413</v>
      </c>
      <c r="BA49" s="43">
        <v>91516</v>
      </c>
      <c r="BB49" s="43">
        <v>92108</v>
      </c>
      <c r="BC49" s="43">
        <v>92353</v>
      </c>
      <c r="BD49" s="43">
        <v>92695</v>
      </c>
      <c r="BE49" s="43">
        <v>92800</v>
      </c>
      <c r="BF49" s="43">
        <v>93180</v>
      </c>
      <c r="BG49" s="43">
        <v>93393</v>
      </c>
      <c r="BH49" s="43">
        <v>93634</v>
      </c>
      <c r="BI49" s="43">
        <v>93774</v>
      </c>
      <c r="BJ49" s="43">
        <v>94016</v>
      </c>
      <c r="BK49" s="43">
        <v>94330</v>
      </c>
      <c r="BL49" s="43">
        <v>94647</v>
      </c>
      <c r="BM49" s="43">
        <v>94945</v>
      </c>
      <c r="BN49" s="43">
        <v>95203</v>
      </c>
      <c r="BO49" s="43">
        <v>95389</v>
      </c>
      <c r="BP49" s="43">
        <v>95594</v>
      </c>
      <c r="BQ49" s="43">
        <v>95715</v>
      </c>
      <c r="BR49" s="43">
        <v>95827</v>
      </c>
      <c r="BS49" s="43">
        <v>95865</v>
      </c>
      <c r="BT49" s="43">
        <v>95967</v>
      </c>
      <c r="BU49" s="43">
        <v>96038</v>
      </c>
      <c r="BV49" s="43">
        <v>96160</v>
      </c>
      <c r="BW49" s="43">
        <v>96255</v>
      </c>
      <c r="BX49" s="43">
        <v>96387</v>
      </c>
      <c r="BY49" s="43">
        <v>96502</v>
      </c>
      <c r="BZ49" s="43">
        <v>96736</v>
      </c>
      <c r="CA49" s="43">
        <v>96912</v>
      </c>
      <c r="CB49" s="43">
        <v>97046</v>
      </c>
      <c r="CC49" s="43">
        <v>97149</v>
      </c>
      <c r="CD49" s="43">
        <v>97244</v>
      </c>
      <c r="CE49" s="43">
        <v>97343</v>
      </c>
      <c r="CF49" s="43">
        <v>97443</v>
      </c>
      <c r="CG49" s="43">
        <v>97553</v>
      </c>
      <c r="CH49" s="43">
        <v>97636</v>
      </c>
      <c r="CI49" s="43">
        <v>97756</v>
      </c>
      <c r="CJ49" s="43">
        <v>97816</v>
      </c>
      <c r="CK49" s="43">
        <v>97892</v>
      </c>
      <c r="CL49" s="43">
        <v>98003</v>
      </c>
      <c r="CM49" s="43">
        <v>98058</v>
      </c>
      <c r="CN49" s="43">
        <v>98139</v>
      </c>
      <c r="CO49" s="43">
        <v>98187</v>
      </c>
      <c r="CP49" s="43">
        <v>98274</v>
      </c>
      <c r="CQ49" s="43">
        <v>98334</v>
      </c>
      <c r="CR49" s="43">
        <v>98375</v>
      </c>
      <c r="CS49" s="43">
        <v>98440</v>
      </c>
      <c r="CT49" s="43">
        <v>98489</v>
      </c>
      <c r="CU49" s="43">
        <v>98535</v>
      </c>
      <c r="CV49" s="43">
        <v>98552</v>
      </c>
      <c r="CW49" s="43">
        <v>98602</v>
      </c>
      <c r="CX49" s="43">
        <v>98645</v>
      </c>
      <c r="CY49" s="43">
        <v>98678</v>
      </c>
      <c r="CZ49" s="43">
        <v>98679</v>
      </c>
      <c r="DA49" s="43">
        <v>98713</v>
      </c>
      <c r="DB49" s="43">
        <v>98742</v>
      </c>
      <c r="DC49" s="43">
        <v>98794</v>
      </c>
      <c r="DD49" s="43">
        <v>98815</v>
      </c>
      <c r="DE49" s="43">
        <v>98848</v>
      </c>
      <c r="DF49" s="43">
        <v>98906</v>
      </c>
      <c r="DG49" s="43">
        <v>98905</v>
      </c>
      <c r="DH49" s="43">
        <v>98944</v>
      </c>
      <c r="DI49" s="43">
        <v>98941</v>
      </c>
      <c r="DJ49" s="43">
        <v>98980</v>
      </c>
      <c r="DK49" s="43">
        <v>99008</v>
      </c>
      <c r="DL49" s="43">
        <v>99023</v>
      </c>
      <c r="DM49" s="43">
        <v>99053</v>
      </c>
      <c r="DN49" s="43">
        <v>99083</v>
      </c>
      <c r="DO49" s="43">
        <v>99111</v>
      </c>
    </row>
    <row r="50" spans="1:119">
      <c r="A50" s="42">
        <v>48</v>
      </c>
      <c r="W50" s="43">
        <v>78030</v>
      </c>
      <c r="X50" s="43">
        <v>78819</v>
      </c>
      <c r="Y50" s="43">
        <v>78970</v>
      </c>
      <c r="Z50" s="43">
        <v>81003</v>
      </c>
      <c r="AA50" s="43">
        <v>81501</v>
      </c>
      <c r="AB50" s="43">
        <v>82157</v>
      </c>
      <c r="AC50" s="43">
        <v>83045</v>
      </c>
      <c r="AD50" s="43">
        <v>83915</v>
      </c>
      <c r="AE50" s="43">
        <v>83877</v>
      </c>
      <c r="AF50" s="43">
        <v>85067</v>
      </c>
      <c r="AG50" s="43">
        <v>85577</v>
      </c>
      <c r="AH50" s="43">
        <v>85795</v>
      </c>
      <c r="AI50" s="43">
        <v>86233</v>
      </c>
      <c r="AJ50" s="43">
        <v>87466</v>
      </c>
      <c r="AK50" s="43">
        <v>87557</v>
      </c>
      <c r="AL50" s="43">
        <v>88011</v>
      </c>
      <c r="AM50" s="43">
        <v>88347</v>
      </c>
      <c r="AN50" s="43">
        <v>88842</v>
      </c>
      <c r="AO50" s="43">
        <v>88930</v>
      </c>
      <c r="AP50" s="43">
        <v>89081</v>
      </c>
      <c r="AQ50" s="43">
        <v>89166</v>
      </c>
      <c r="AR50" s="43">
        <v>89199</v>
      </c>
      <c r="AS50" s="43">
        <v>88715</v>
      </c>
      <c r="AT50" s="43">
        <v>88040</v>
      </c>
      <c r="AU50" s="43">
        <v>87003</v>
      </c>
      <c r="AV50" s="43">
        <v>87224</v>
      </c>
      <c r="AW50" s="43">
        <v>87592</v>
      </c>
      <c r="AX50" s="43">
        <v>89537</v>
      </c>
      <c r="AY50" s="43">
        <v>91115</v>
      </c>
      <c r="AZ50" s="43">
        <v>91218</v>
      </c>
      <c r="BA50" s="43">
        <v>91329</v>
      </c>
      <c r="BB50" s="43">
        <v>91916</v>
      </c>
      <c r="BC50" s="43">
        <v>92170</v>
      </c>
      <c r="BD50" s="43">
        <v>92511</v>
      </c>
      <c r="BE50" s="43">
        <v>92617</v>
      </c>
      <c r="BF50" s="43">
        <v>93001</v>
      </c>
      <c r="BG50" s="43">
        <v>93218</v>
      </c>
      <c r="BH50" s="43">
        <v>93466</v>
      </c>
      <c r="BI50" s="43">
        <v>93605</v>
      </c>
      <c r="BJ50" s="43">
        <v>93849</v>
      </c>
      <c r="BK50" s="43">
        <v>94168</v>
      </c>
      <c r="BL50" s="43">
        <v>94497</v>
      </c>
      <c r="BM50" s="43">
        <v>94788</v>
      </c>
      <c r="BN50" s="43">
        <v>95050</v>
      </c>
      <c r="BO50" s="43">
        <v>95236</v>
      </c>
      <c r="BP50" s="43">
        <v>95456</v>
      </c>
      <c r="BQ50" s="43">
        <v>95577</v>
      </c>
      <c r="BR50" s="43">
        <v>95693</v>
      </c>
      <c r="BS50" s="43">
        <v>95733</v>
      </c>
      <c r="BT50" s="43">
        <v>95838</v>
      </c>
      <c r="BU50" s="43">
        <v>95912</v>
      </c>
      <c r="BV50" s="43">
        <v>96036</v>
      </c>
      <c r="BW50" s="43">
        <v>96133</v>
      </c>
      <c r="BX50" s="43">
        <v>96268</v>
      </c>
      <c r="BY50" s="43">
        <v>96385</v>
      </c>
      <c r="BZ50" s="43">
        <v>96621</v>
      </c>
      <c r="CA50" s="43">
        <v>96799</v>
      </c>
      <c r="CB50" s="43">
        <v>96935</v>
      </c>
      <c r="CC50" s="43">
        <v>97041</v>
      </c>
      <c r="CD50" s="43">
        <v>97138</v>
      </c>
      <c r="CE50" s="43">
        <v>97238</v>
      </c>
      <c r="CF50" s="43">
        <v>97340</v>
      </c>
      <c r="CG50" s="43">
        <v>97452</v>
      </c>
      <c r="CH50" s="43">
        <v>97537</v>
      </c>
      <c r="CI50" s="43">
        <v>97659</v>
      </c>
      <c r="CJ50" s="43">
        <v>97721</v>
      </c>
      <c r="CK50" s="43">
        <v>97799</v>
      </c>
      <c r="CL50" s="43">
        <v>97912</v>
      </c>
      <c r="CM50" s="43">
        <v>97969</v>
      </c>
      <c r="CN50" s="43">
        <v>98051</v>
      </c>
      <c r="CO50" s="43">
        <v>98101</v>
      </c>
      <c r="CP50" s="43">
        <v>98189</v>
      </c>
      <c r="CQ50" s="43">
        <v>98251</v>
      </c>
      <c r="CR50" s="43">
        <v>98294</v>
      </c>
      <c r="CS50" s="43">
        <v>98361</v>
      </c>
      <c r="CT50" s="43">
        <v>98411</v>
      </c>
      <c r="CU50" s="43">
        <v>98458</v>
      </c>
      <c r="CV50" s="43">
        <v>98477</v>
      </c>
      <c r="CW50" s="43">
        <v>98529</v>
      </c>
      <c r="CX50" s="43">
        <v>98572</v>
      </c>
      <c r="CY50" s="43">
        <v>98607</v>
      </c>
      <c r="CZ50" s="43">
        <v>98609</v>
      </c>
      <c r="DA50" s="43">
        <v>98645</v>
      </c>
      <c r="DB50" s="43">
        <v>98675</v>
      </c>
      <c r="DC50" s="43">
        <v>98729</v>
      </c>
      <c r="DD50" s="43">
        <v>98751</v>
      </c>
      <c r="DE50" s="43">
        <v>98785</v>
      </c>
      <c r="DF50" s="43">
        <v>98844</v>
      </c>
      <c r="DG50" s="43">
        <v>98845</v>
      </c>
      <c r="DH50" s="43">
        <v>98885</v>
      </c>
      <c r="DI50" s="43">
        <v>98883</v>
      </c>
      <c r="DJ50" s="43">
        <v>98923</v>
      </c>
      <c r="DK50" s="43">
        <v>98952</v>
      </c>
      <c r="DL50" s="43">
        <v>98968</v>
      </c>
      <c r="DM50" s="43">
        <v>99000</v>
      </c>
      <c r="DN50" s="43">
        <v>99030</v>
      </c>
      <c r="DO50" s="43">
        <v>99059</v>
      </c>
    </row>
    <row r="51" spans="1:119">
      <c r="A51" s="42">
        <v>49</v>
      </c>
      <c r="W51" s="43">
        <v>77715</v>
      </c>
      <c r="X51" s="43">
        <v>78524</v>
      </c>
      <c r="Y51" s="43">
        <v>78666</v>
      </c>
      <c r="Z51" s="43">
        <v>80712</v>
      </c>
      <c r="AA51" s="43">
        <v>81209</v>
      </c>
      <c r="AB51" s="43">
        <v>81854</v>
      </c>
      <c r="AC51" s="43">
        <v>82758</v>
      </c>
      <c r="AD51" s="43">
        <v>83633</v>
      </c>
      <c r="AE51" s="43">
        <v>83598</v>
      </c>
      <c r="AF51" s="43">
        <v>84786</v>
      </c>
      <c r="AG51" s="43">
        <v>85309</v>
      </c>
      <c r="AH51" s="43">
        <v>85515</v>
      </c>
      <c r="AI51" s="43">
        <v>85979</v>
      </c>
      <c r="AJ51" s="43">
        <v>87216</v>
      </c>
      <c r="AK51" s="43">
        <v>87312</v>
      </c>
      <c r="AL51" s="43">
        <v>87772</v>
      </c>
      <c r="AM51" s="43">
        <v>88108</v>
      </c>
      <c r="AN51" s="43">
        <v>88604</v>
      </c>
      <c r="AO51" s="43">
        <v>88699</v>
      </c>
      <c r="AP51" s="43">
        <v>88853</v>
      </c>
      <c r="AQ51" s="43">
        <v>88934</v>
      </c>
      <c r="AR51" s="43">
        <v>88964</v>
      </c>
      <c r="AS51" s="43">
        <v>88483</v>
      </c>
      <c r="AT51" s="43">
        <v>87814</v>
      </c>
      <c r="AU51" s="43">
        <v>86777</v>
      </c>
      <c r="AV51" s="43">
        <v>87002</v>
      </c>
      <c r="AW51" s="43">
        <v>87374</v>
      </c>
      <c r="AX51" s="43">
        <v>89326</v>
      </c>
      <c r="AY51" s="43">
        <v>90902</v>
      </c>
      <c r="AZ51" s="43">
        <v>91010</v>
      </c>
      <c r="BA51" s="43">
        <v>91125</v>
      </c>
      <c r="BB51" s="43">
        <v>91712</v>
      </c>
      <c r="BC51" s="43">
        <v>91964</v>
      </c>
      <c r="BD51" s="43">
        <v>92314</v>
      </c>
      <c r="BE51" s="43">
        <v>92421</v>
      </c>
      <c r="BF51" s="43">
        <v>92815</v>
      </c>
      <c r="BG51" s="43">
        <v>93027</v>
      </c>
      <c r="BH51" s="43">
        <v>93294</v>
      </c>
      <c r="BI51" s="43">
        <v>93427</v>
      </c>
      <c r="BJ51" s="43">
        <v>93679</v>
      </c>
      <c r="BK51" s="43">
        <v>93997</v>
      </c>
      <c r="BL51" s="43">
        <v>94332</v>
      </c>
      <c r="BM51" s="43">
        <v>94625</v>
      </c>
      <c r="BN51" s="43">
        <v>94890</v>
      </c>
      <c r="BO51" s="43">
        <v>95086</v>
      </c>
      <c r="BP51" s="43">
        <v>95310</v>
      </c>
      <c r="BQ51" s="43">
        <v>95427</v>
      </c>
      <c r="BR51" s="43">
        <v>95546</v>
      </c>
      <c r="BS51" s="43">
        <v>95589</v>
      </c>
      <c r="BT51" s="43">
        <v>95697</v>
      </c>
      <c r="BU51" s="43">
        <v>95773</v>
      </c>
      <c r="BV51" s="43">
        <v>95900</v>
      </c>
      <c r="BW51" s="43">
        <v>96000</v>
      </c>
      <c r="BX51" s="43">
        <v>96136</v>
      </c>
      <c r="BY51" s="43">
        <v>96256</v>
      </c>
      <c r="BZ51" s="43">
        <v>96495</v>
      </c>
      <c r="CA51" s="43">
        <v>96675</v>
      </c>
      <c r="CB51" s="43">
        <v>96813</v>
      </c>
      <c r="CC51" s="43">
        <v>96921</v>
      </c>
      <c r="CD51" s="43">
        <v>97020</v>
      </c>
      <c r="CE51" s="43">
        <v>97123</v>
      </c>
      <c r="CF51" s="43">
        <v>97227</v>
      </c>
      <c r="CG51" s="43">
        <v>97341</v>
      </c>
      <c r="CH51" s="43">
        <v>97428</v>
      </c>
      <c r="CI51" s="43">
        <v>97552</v>
      </c>
      <c r="CJ51" s="43">
        <v>97616</v>
      </c>
      <c r="CK51" s="43">
        <v>97696</v>
      </c>
      <c r="CL51" s="43">
        <v>97811</v>
      </c>
      <c r="CM51" s="43">
        <v>97870</v>
      </c>
      <c r="CN51" s="43">
        <v>97954</v>
      </c>
      <c r="CO51" s="43">
        <v>98006</v>
      </c>
      <c r="CP51" s="43">
        <v>98096</v>
      </c>
      <c r="CQ51" s="43">
        <v>98159</v>
      </c>
      <c r="CR51" s="43">
        <v>98204</v>
      </c>
      <c r="CS51" s="43">
        <v>98273</v>
      </c>
      <c r="CT51" s="43">
        <v>98325</v>
      </c>
      <c r="CU51" s="43">
        <v>98373</v>
      </c>
      <c r="CV51" s="43">
        <v>98394</v>
      </c>
      <c r="CW51" s="43">
        <v>98447</v>
      </c>
      <c r="CX51" s="43">
        <v>98493</v>
      </c>
      <c r="CY51" s="43">
        <v>98529</v>
      </c>
      <c r="CZ51" s="43">
        <v>98532</v>
      </c>
      <c r="DA51" s="43">
        <v>98569</v>
      </c>
      <c r="DB51" s="43">
        <v>98601</v>
      </c>
      <c r="DC51" s="43">
        <v>98657</v>
      </c>
      <c r="DD51" s="43">
        <v>98680</v>
      </c>
      <c r="DE51" s="43">
        <v>98715</v>
      </c>
      <c r="DF51" s="43">
        <v>98776</v>
      </c>
      <c r="DG51" s="43">
        <v>98778</v>
      </c>
      <c r="DH51" s="43">
        <v>98820</v>
      </c>
      <c r="DI51" s="43">
        <v>98818</v>
      </c>
      <c r="DJ51" s="43">
        <v>98860</v>
      </c>
      <c r="DK51" s="43">
        <v>98890</v>
      </c>
      <c r="DL51" s="43">
        <v>98908</v>
      </c>
      <c r="DM51" s="43">
        <v>98940</v>
      </c>
      <c r="DN51" s="43">
        <v>98972</v>
      </c>
      <c r="DO51" s="43">
        <v>99002</v>
      </c>
    </row>
    <row r="52" spans="1:119">
      <c r="A52" s="42">
        <v>50</v>
      </c>
      <c r="W52" s="43">
        <v>77391</v>
      </c>
      <c r="X52" s="43">
        <v>78203</v>
      </c>
      <c r="Y52" s="43">
        <v>78355</v>
      </c>
      <c r="Z52" s="43">
        <v>80407</v>
      </c>
      <c r="AA52" s="43">
        <v>80896</v>
      </c>
      <c r="AB52" s="43">
        <v>81549</v>
      </c>
      <c r="AC52" s="43">
        <v>82450</v>
      </c>
      <c r="AD52" s="43">
        <v>83329</v>
      </c>
      <c r="AE52" s="43">
        <v>83292</v>
      </c>
      <c r="AF52" s="43">
        <v>84497</v>
      </c>
      <c r="AG52" s="43">
        <v>85014</v>
      </c>
      <c r="AH52" s="43">
        <v>85230</v>
      </c>
      <c r="AI52" s="43">
        <v>85700</v>
      </c>
      <c r="AJ52" s="43">
        <v>86944</v>
      </c>
      <c r="AK52" s="43">
        <v>87057</v>
      </c>
      <c r="AL52" s="43">
        <v>87510</v>
      </c>
      <c r="AM52" s="43">
        <v>87855</v>
      </c>
      <c r="AN52" s="43">
        <v>88358</v>
      </c>
      <c r="AO52" s="43">
        <v>88455</v>
      </c>
      <c r="AP52" s="43">
        <v>88609</v>
      </c>
      <c r="AQ52" s="43">
        <v>88692</v>
      </c>
      <c r="AR52" s="43">
        <v>88724</v>
      </c>
      <c r="AS52" s="43">
        <v>88239</v>
      </c>
      <c r="AT52" s="43">
        <v>87583</v>
      </c>
      <c r="AU52" s="43">
        <v>86541</v>
      </c>
      <c r="AV52" s="43">
        <v>86763</v>
      </c>
      <c r="AW52" s="43">
        <v>87150</v>
      </c>
      <c r="AX52" s="43">
        <v>89102</v>
      </c>
      <c r="AY52" s="43">
        <v>90682</v>
      </c>
      <c r="AZ52" s="43">
        <v>90788</v>
      </c>
      <c r="BA52" s="43">
        <v>90908</v>
      </c>
      <c r="BB52" s="43">
        <v>91491</v>
      </c>
      <c r="BC52" s="43">
        <v>91737</v>
      </c>
      <c r="BD52" s="43">
        <v>92095</v>
      </c>
      <c r="BE52" s="43">
        <v>92208</v>
      </c>
      <c r="BF52" s="43">
        <v>92600</v>
      </c>
      <c r="BG52" s="43">
        <v>92833</v>
      </c>
      <c r="BH52" s="43">
        <v>93100</v>
      </c>
      <c r="BI52" s="43">
        <v>93227</v>
      </c>
      <c r="BJ52" s="43">
        <v>93489</v>
      </c>
      <c r="BK52" s="43">
        <v>93800</v>
      </c>
      <c r="BL52" s="43">
        <v>94145</v>
      </c>
      <c r="BM52" s="43">
        <v>94454</v>
      </c>
      <c r="BN52" s="43">
        <v>94720</v>
      </c>
      <c r="BO52" s="43">
        <v>94909</v>
      </c>
      <c r="BP52" s="43">
        <v>95142</v>
      </c>
      <c r="BQ52" s="43">
        <v>95263</v>
      </c>
      <c r="BR52" s="43">
        <v>95385</v>
      </c>
      <c r="BS52" s="43">
        <v>95431</v>
      </c>
      <c r="BT52" s="43">
        <v>95542</v>
      </c>
      <c r="BU52" s="43">
        <v>95620</v>
      </c>
      <c r="BV52" s="43">
        <v>95750</v>
      </c>
      <c r="BW52" s="43">
        <v>95853</v>
      </c>
      <c r="BX52" s="43">
        <v>95992</v>
      </c>
      <c r="BY52" s="43">
        <v>96114</v>
      </c>
      <c r="BZ52" s="43">
        <v>96356</v>
      </c>
      <c r="CA52" s="43">
        <v>96538</v>
      </c>
      <c r="CB52" s="43">
        <v>96679</v>
      </c>
      <c r="CC52" s="43">
        <v>96789</v>
      </c>
      <c r="CD52" s="43">
        <v>96891</v>
      </c>
      <c r="CE52" s="43">
        <v>96996</v>
      </c>
      <c r="CF52" s="43">
        <v>97102</v>
      </c>
      <c r="CG52" s="43">
        <v>97219</v>
      </c>
      <c r="CH52" s="43">
        <v>97308</v>
      </c>
      <c r="CI52" s="43">
        <v>97434</v>
      </c>
      <c r="CJ52" s="43">
        <v>97500</v>
      </c>
      <c r="CK52" s="43">
        <v>97582</v>
      </c>
      <c r="CL52" s="43">
        <v>97700</v>
      </c>
      <c r="CM52" s="43">
        <v>97761</v>
      </c>
      <c r="CN52" s="43">
        <v>97847</v>
      </c>
      <c r="CO52" s="43">
        <v>97901</v>
      </c>
      <c r="CP52" s="43">
        <v>97993</v>
      </c>
      <c r="CQ52" s="43">
        <v>98058</v>
      </c>
      <c r="CR52" s="43">
        <v>98105</v>
      </c>
      <c r="CS52" s="43">
        <v>98175</v>
      </c>
      <c r="CT52" s="43">
        <v>98230</v>
      </c>
      <c r="CU52" s="43">
        <v>98280</v>
      </c>
      <c r="CV52" s="43">
        <v>98302</v>
      </c>
      <c r="CW52" s="43">
        <v>98357</v>
      </c>
      <c r="CX52" s="43">
        <v>98404</v>
      </c>
      <c r="CY52" s="43">
        <v>98442</v>
      </c>
      <c r="CZ52" s="43">
        <v>98448</v>
      </c>
      <c r="DA52" s="43">
        <v>98486</v>
      </c>
      <c r="DB52" s="43">
        <v>98520</v>
      </c>
      <c r="DC52" s="43">
        <v>98577</v>
      </c>
      <c r="DD52" s="43">
        <v>98601</v>
      </c>
      <c r="DE52" s="43">
        <v>98639</v>
      </c>
      <c r="DF52" s="43">
        <v>98700</v>
      </c>
      <c r="DG52" s="43">
        <v>98704</v>
      </c>
      <c r="DH52" s="43">
        <v>98747</v>
      </c>
      <c r="DI52" s="43">
        <v>98747</v>
      </c>
      <c r="DJ52" s="43">
        <v>98791</v>
      </c>
      <c r="DK52" s="43">
        <v>98822</v>
      </c>
      <c r="DL52" s="43">
        <v>98841</v>
      </c>
      <c r="DM52" s="43">
        <v>98875</v>
      </c>
      <c r="DN52" s="43">
        <v>98907</v>
      </c>
      <c r="DO52" s="43">
        <v>98939</v>
      </c>
    </row>
    <row r="53" spans="1:119">
      <c r="A53" s="42">
        <v>51</v>
      </c>
      <c r="W53" s="43">
        <v>77039</v>
      </c>
      <c r="X53" s="43">
        <v>77874</v>
      </c>
      <c r="Y53" s="43">
        <v>78027</v>
      </c>
      <c r="Z53" s="43">
        <v>80080</v>
      </c>
      <c r="AA53" s="43">
        <v>80556</v>
      </c>
      <c r="AB53" s="43">
        <v>81216</v>
      </c>
      <c r="AC53" s="43">
        <v>82127</v>
      </c>
      <c r="AD53" s="43">
        <v>83004</v>
      </c>
      <c r="AE53" s="43">
        <v>82981</v>
      </c>
      <c r="AF53" s="43">
        <v>84196</v>
      </c>
      <c r="AG53" s="43">
        <v>84707</v>
      </c>
      <c r="AH53" s="43">
        <v>84925</v>
      </c>
      <c r="AI53" s="43">
        <v>85392</v>
      </c>
      <c r="AJ53" s="43">
        <v>86657</v>
      </c>
      <c r="AK53" s="43">
        <v>86780</v>
      </c>
      <c r="AL53" s="43">
        <v>87220</v>
      </c>
      <c r="AM53" s="43">
        <v>87587</v>
      </c>
      <c r="AN53" s="43">
        <v>88089</v>
      </c>
      <c r="AO53" s="43">
        <v>88194</v>
      </c>
      <c r="AP53" s="43">
        <v>88346</v>
      </c>
      <c r="AQ53" s="43">
        <v>88439</v>
      </c>
      <c r="AR53" s="43">
        <v>88470</v>
      </c>
      <c r="AS53" s="43">
        <v>87971</v>
      </c>
      <c r="AT53" s="43">
        <v>87321</v>
      </c>
      <c r="AU53" s="43">
        <v>86290</v>
      </c>
      <c r="AV53" s="43">
        <v>86514</v>
      </c>
      <c r="AW53" s="43">
        <v>86913</v>
      </c>
      <c r="AX53" s="43">
        <v>88859</v>
      </c>
      <c r="AY53" s="43">
        <v>90444</v>
      </c>
      <c r="AZ53" s="43">
        <v>90556</v>
      </c>
      <c r="BA53" s="43">
        <v>90672</v>
      </c>
      <c r="BB53" s="43">
        <v>91259</v>
      </c>
      <c r="BC53" s="43">
        <v>91503</v>
      </c>
      <c r="BD53" s="43">
        <v>91874</v>
      </c>
      <c r="BE53" s="43">
        <v>91985</v>
      </c>
      <c r="BF53" s="43">
        <v>92370</v>
      </c>
      <c r="BG53" s="43">
        <v>92618</v>
      </c>
      <c r="BH53" s="43">
        <v>92880</v>
      </c>
      <c r="BI53" s="43">
        <v>93022</v>
      </c>
      <c r="BJ53" s="43">
        <v>93286</v>
      </c>
      <c r="BK53" s="43">
        <v>93590</v>
      </c>
      <c r="BL53" s="43">
        <v>93946</v>
      </c>
      <c r="BM53" s="43">
        <v>94262</v>
      </c>
      <c r="BN53" s="43">
        <v>94534</v>
      </c>
      <c r="BO53" s="43">
        <v>94723</v>
      </c>
      <c r="BP53" s="43">
        <v>94959</v>
      </c>
      <c r="BQ53" s="43">
        <v>95083</v>
      </c>
      <c r="BR53" s="43">
        <v>95208</v>
      </c>
      <c r="BS53" s="43">
        <v>95258</v>
      </c>
      <c r="BT53" s="43">
        <v>95371</v>
      </c>
      <c r="BU53" s="43">
        <v>95453</v>
      </c>
      <c r="BV53" s="43">
        <v>95587</v>
      </c>
      <c r="BW53" s="43">
        <v>95692</v>
      </c>
      <c r="BX53" s="43">
        <v>95834</v>
      </c>
      <c r="BY53" s="43">
        <v>95959</v>
      </c>
      <c r="BZ53" s="43">
        <v>96203</v>
      </c>
      <c r="CA53" s="43">
        <v>96388</v>
      </c>
      <c r="CB53" s="43">
        <v>96532</v>
      </c>
      <c r="CC53" s="43">
        <v>96645</v>
      </c>
      <c r="CD53" s="43">
        <v>96749</v>
      </c>
      <c r="CE53" s="43">
        <v>96856</v>
      </c>
      <c r="CF53" s="43">
        <v>96966</v>
      </c>
      <c r="CG53" s="43">
        <v>97084</v>
      </c>
      <c r="CH53" s="43">
        <v>97177</v>
      </c>
      <c r="CI53" s="43">
        <v>97305</v>
      </c>
      <c r="CJ53" s="43">
        <v>97373</v>
      </c>
      <c r="CK53" s="43">
        <v>97458</v>
      </c>
      <c r="CL53" s="43">
        <v>97577</v>
      </c>
      <c r="CM53" s="43">
        <v>97641</v>
      </c>
      <c r="CN53" s="43">
        <v>97729</v>
      </c>
      <c r="CO53" s="43">
        <v>97785</v>
      </c>
      <c r="CP53" s="43">
        <v>97879</v>
      </c>
      <c r="CQ53" s="43">
        <v>97947</v>
      </c>
      <c r="CR53" s="43">
        <v>97996</v>
      </c>
      <c r="CS53" s="43">
        <v>98068</v>
      </c>
      <c r="CT53" s="43">
        <v>98125</v>
      </c>
      <c r="CU53" s="43">
        <v>98177</v>
      </c>
      <c r="CV53" s="43">
        <v>98201</v>
      </c>
      <c r="CW53" s="43">
        <v>98258</v>
      </c>
      <c r="CX53" s="43">
        <v>98307</v>
      </c>
      <c r="CY53" s="43">
        <v>98347</v>
      </c>
      <c r="CZ53" s="43">
        <v>98354</v>
      </c>
      <c r="DA53" s="43">
        <v>98395</v>
      </c>
      <c r="DB53" s="43">
        <v>98430</v>
      </c>
      <c r="DC53" s="43">
        <v>98489</v>
      </c>
      <c r="DD53" s="43">
        <v>98515</v>
      </c>
      <c r="DE53" s="43">
        <v>98554</v>
      </c>
      <c r="DF53" s="43">
        <v>98617</v>
      </c>
      <c r="DG53" s="43">
        <v>98622</v>
      </c>
      <c r="DH53" s="43">
        <v>98667</v>
      </c>
      <c r="DI53" s="43">
        <v>98669</v>
      </c>
      <c r="DJ53" s="43">
        <v>98714</v>
      </c>
      <c r="DK53" s="43">
        <v>98746</v>
      </c>
      <c r="DL53" s="43">
        <v>98767</v>
      </c>
      <c r="DM53" s="43">
        <v>98802</v>
      </c>
      <c r="DN53" s="43">
        <v>98836</v>
      </c>
      <c r="DO53" s="43">
        <v>98869</v>
      </c>
    </row>
    <row r="54" spans="1:119">
      <c r="A54" s="42">
        <v>52</v>
      </c>
      <c r="W54" s="43">
        <v>76669</v>
      </c>
      <c r="X54" s="43">
        <v>77508</v>
      </c>
      <c r="Y54" s="43">
        <v>77666</v>
      </c>
      <c r="Z54" s="43">
        <v>79725</v>
      </c>
      <c r="AA54" s="43">
        <v>80201</v>
      </c>
      <c r="AB54" s="43">
        <v>80881</v>
      </c>
      <c r="AC54" s="43">
        <v>81796</v>
      </c>
      <c r="AD54" s="43">
        <v>82660</v>
      </c>
      <c r="AE54" s="43">
        <v>82656</v>
      </c>
      <c r="AF54" s="43">
        <v>83843</v>
      </c>
      <c r="AG54" s="43">
        <v>84385</v>
      </c>
      <c r="AH54" s="43">
        <v>84616</v>
      </c>
      <c r="AI54" s="43">
        <v>85082</v>
      </c>
      <c r="AJ54" s="43">
        <v>86343</v>
      </c>
      <c r="AK54" s="43">
        <v>86483</v>
      </c>
      <c r="AL54" s="43">
        <v>86928</v>
      </c>
      <c r="AM54" s="43">
        <v>87304</v>
      </c>
      <c r="AN54" s="43">
        <v>87804</v>
      </c>
      <c r="AO54" s="43">
        <v>87904</v>
      </c>
      <c r="AP54" s="43">
        <v>88062</v>
      </c>
      <c r="AQ54" s="43">
        <v>88161</v>
      </c>
      <c r="AR54" s="43">
        <v>88190</v>
      </c>
      <c r="AS54" s="43">
        <v>87684</v>
      </c>
      <c r="AT54" s="43">
        <v>87036</v>
      </c>
      <c r="AU54" s="43">
        <v>86037</v>
      </c>
      <c r="AV54" s="43">
        <v>86247</v>
      </c>
      <c r="AW54" s="43">
        <v>86665</v>
      </c>
      <c r="AX54" s="43">
        <v>88601</v>
      </c>
      <c r="AY54" s="43">
        <v>90192</v>
      </c>
      <c r="AZ54" s="43">
        <v>90298</v>
      </c>
      <c r="BA54" s="43">
        <v>90414</v>
      </c>
      <c r="BB54" s="43">
        <v>91014</v>
      </c>
      <c r="BC54" s="43">
        <v>91268</v>
      </c>
      <c r="BD54" s="43">
        <v>91637</v>
      </c>
      <c r="BE54" s="43">
        <v>91744</v>
      </c>
      <c r="BF54" s="43">
        <v>92132</v>
      </c>
      <c r="BG54" s="43">
        <v>92395</v>
      </c>
      <c r="BH54" s="43">
        <v>92656</v>
      </c>
      <c r="BI54" s="43">
        <v>92792</v>
      </c>
      <c r="BJ54" s="43">
        <v>93058</v>
      </c>
      <c r="BK54" s="43">
        <v>93369</v>
      </c>
      <c r="BL54" s="43">
        <v>93724</v>
      </c>
      <c r="BM54" s="43">
        <v>94049</v>
      </c>
      <c r="BN54" s="43">
        <v>94326</v>
      </c>
      <c r="BO54" s="43">
        <v>94519</v>
      </c>
      <c r="BP54" s="43">
        <v>94759</v>
      </c>
      <c r="BQ54" s="43">
        <v>94886</v>
      </c>
      <c r="BR54" s="43">
        <v>95015</v>
      </c>
      <c r="BS54" s="43">
        <v>95068</v>
      </c>
      <c r="BT54" s="43">
        <v>95185</v>
      </c>
      <c r="BU54" s="43">
        <v>95271</v>
      </c>
      <c r="BV54" s="43">
        <v>95407</v>
      </c>
      <c r="BW54" s="43">
        <v>95516</v>
      </c>
      <c r="BX54" s="43">
        <v>95661</v>
      </c>
      <c r="BY54" s="43">
        <v>95789</v>
      </c>
      <c r="BZ54" s="43">
        <v>96036</v>
      </c>
      <c r="CA54" s="43">
        <v>96224</v>
      </c>
      <c r="CB54" s="43">
        <v>96371</v>
      </c>
      <c r="CC54" s="43">
        <v>96486</v>
      </c>
      <c r="CD54" s="43">
        <v>96593</v>
      </c>
      <c r="CE54" s="43">
        <v>96704</v>
      </c>
      <c r="CF54" s="43">
        <v>96816</v>
      </c>
      <c r="CG54" s="43">
        <v>96937</v>
      </c>
      <c r="CH54" s="43">
        <v>97032</v>
      </c>
      <c r="CI54" s="43">
        <v>97163</v>
      </c>
      <c r="CJ54" s="43">
        <v>97234</v>
      </c>
      <c r="CK54" s="43">
        <v>97321</v>
      </c>
      <c r="CL54" s="43">
        <v>97443</v>
      </c>
      <c r="CM54" s="43">
        <v>97509</v>
      </c>
      <c r="CN54" s="43">
        <v>97600</v>
      </c>
      <c r="CO54" s="43">
        <v>97659</v>
      </c>
      <c r="CP54" s="43">
        <v>97755</v>
      </c>
      <c r="CQ54" s="43">
        <v>97825</v>
      </c>
      <c r="CR54" s="43">
        <v>97876</v>
      </c>
      <c r="CS54" s="43">
        <v>97951</v>
      </c>
      <c r="CT54" s="43">
        <v>98009</v>
      </c>
      <c r="CU54" s="43">
        <v>98064</v>
      </c>
      <c r="CV54" s="43">
        <v>98090</v>
      </c>
      <c r="CW54" s="43">
        <v>98149</v>
      </c>
      <c r="CX54" s="43">
        <v>98200</v>
      </c>
      <c r="CY54" s="43">
        <v>98242</v>
      </c>
      <c r="CZ54" s="43">
        <v>98251</v>
      </c>
      <c r="DA54" s="43">
        <v>98294</v>
      </c>
      <c r="DB54" s="43">
        <v>98331</v>
      </c>
      <c r="DC54" s="43">
        <v>98391</v>
      </c>
      <c r="DD54" s="43">
        <v>98420</v>
      </c>
      <c r="DE54" s="43">
        <v>98460</v>
      </c>
      <c r="DF54" s="43">
        <v>98526</v>
      </c>
      <c r="DG54" s="43">
        <v>98532</v>
      </c>
      <c r="DH54" s="43">
        <v>98579</v>
      </c>
      <c r="DI54" s="43">
        <v>98582</v>
      </c>
      <c r="DJ54" s="43">
        <v>98629</v>
      </c>
      <c r="DK54" s="43">
        <v>98663</v>
      </c>
      <c r="DL54" s="43">
        <v>98685</v>
      </c>
      <c r="DM54" s="43">
        <v>98722</v>
      </c>
      <c r="DN54" s="43">
        <v>98758</v>
      </c>
      <c r="DO54" s="43">
        <v>98792</v>
      </c>
    </row>
    <row r="55" spans="1:119">
      <c r="A55" s="42">
        <v>53</v>
      </c>
      <c r="W55" s="43">
        <v>76293</v>
      </c>
      <c r="X55" s="43">
        <v>77118</v>
      </c>
      <c r="Y55" s="43">
        <v>77285</v>
      </c>
      <c r="Z55" s="43">
        <v>79340</v>
      </c>
      <c r="AA55" s="43">
        <v>79830</v>
      </c>
      <c r="AB55" s="43">
        <v>80524</v>
      </c>
      <c r="AC55" s="43">
        <v>81433</v>
      </c>
      <c r="AD55" s="43">
        <v>82301</v>
      </c>
      <c r="AE55" s="43">
        <v>82298</v>
      </c>
      <c r="AF55" s="43">
        <v>83501</v>
      </c>
      <c r="AG55" s="43">
        <v>84041</v>
      </c>
      <c r="AH55" s="43">
        <v>84275</v>
      </c>
      <c r="AI55" s="43">
        <v>84745</v>
      </c>
      <c r="AJ55" s="43">
        <v>86026</v>
      </c>
      <c r="AK55" s="43">
        <v>86161</v>
      </c>
      <c r="AL55" s="43">
        <v>86616</v>
      </c>
      <c r="AM55" s="43">
        <v>87001</v>
      </c>
      <c r="AN55" s="43">
        <v>87493</v>
      </c>
      <c r="AO55" s="43">
        <v>87611</v>
      </c>
      <c r="AP55" s="43">
        <v>87766</v>
      </c>
      <c r="AQ55" s="43">
        <v>87849</v>
      </c>
      <c r="AR55" s="43">
        <v>87898</v>
      </c>
      <c r="AS55" s="43">
        <v>87391</v>
      </c>
      <c r="AT55" s="43">
        <v>86747</v>
      </c>
      <c r="AU55" s="43">
        <v>85756</v>
      </c>
      <c r="AV55" s="43">
        <v>85978</v>
      </c>
      <c r="AW55" s="43">
        <v>86393</v>
      </c>
      <c r="AX55" s="43">
        <v>88324</v>
      </c>
      <c r="AY55" s="43">
        <v>89915</v>
      </c>
      <c r="AZ55" s="43">
        <v>90021</v>
      </c>
      <c r="BA55" s="43">
        <v>90141</v>
      </c>
      <c r="BB55" s="43">
        <v>90749</v>
      </c>
      <c r="BC55" s="43">
        <v>91011</v>
      </c>
      <c r="BD55" s="43">
        <v>91388</v>
      </c>
      <c r="BE55" s="43">
        <v>91480</v>
      </c>
      <c r="BF55" s="43">
        <v>91879</v>
      </c>
      <c r="BG55" s="43">
        <v>92137</v>
      </c>
      <c r="BH55" s="43">
        <v>92400</v>
      </c>
      <c r="BI55" s="43">
        <v>92543</v>
      </c>
      <c r="BJ55" s="43">
        <v>92812</v>
      </c>
      <c r="BK55" s="43">
        <v>93131</v>
      </c>
      <c r="BL55" s="43">
        <v>93493</v>
      </c>
      <c r="BM55" s="43">
        <v>93819</v>
      </c>
      <c r="BN55" s="43">
        <v>94101</v>
      </c>
      <c r="BO55" s="43">
        <v>94297</v>
      </c>
      <c r="BP55" s="43">
        <v>94541</v>
      </c>
      <c r="BQ55" s="43">
        <v>94672</v>
      </c>
      <c r="BR55" s="43">
        <v>94804</v>
      </c>
      <c r="BS55" s="43">
        <v>94862</v>
      </c>
      <c r="BT55" s="43">
        <v>94982</v>
      </c>
      <c r="BU55" s="43">
        <v>95072</v>
      </c>
      <c r="BV55" s="43">
        <v>95211</v>
      </c>
      <c r="BW55" s="43">
        <v>95323</v>
      </c>
      <c r="BX55" s="43">
        <v>95472</v>
      </c>
      <c r="BY55" s="43">
        <v>95603</v>
      </c>
      <c r="BZ55" s="43">
        <v>95853</v>
      </c>
      <c r="CA55" s="43">
        <v>96045</v>
      </c>
      <c r="CB55" s="43">
        <v>96194</v>
      </c>
      <c r="CC55" s="43">
        <v>96313</v>
      </c>
      <c r="CD55" s="43">
        <v>96424</v>
      </c>
      <c r="CE55" s="43">
        <v>96537</v>
      </c>
      <c r="CF55" s="43">
        <v>96652</v>
      </c>
      <c r="CG55" s="43">
        <v>96776</v>
      </c>
      <c r="CH55" s="43">
        <v>96874</v>
      </c>
      <c r="CI55" s="43">
        <v>97008</v>
      </c>
      <c r="CJ55" s="43">
        <v>97082</v>
      </c>
      <c r="CK55" s="43">
        <v>97172</v>
      </c>
      <c r="CL55" s="43">
        <v>97297</v>
      </c>
      <c r="CM55" s="43">
        <v>97365</v>
      </c>
      <c r="CN55" s="43">
        <v>97459</v>
      </c>
      <c r="CO55" s="43">
        <v>97520</v>
      </c>
      <c r="CP55" s="43">
        <v>97619</v>
      </c>
      <c r="CQ55" s="43">
        <v>97691</v>
      </c>
      <c r="CR55" s="43">
        <v>97745</v>
      </c>
      <c r="CS55" s="43">
        <v>97822</v>
      </c>
      <c r="CT55" s="43">
        <v>97883</v>
      </c>
      <c r="CU55" s="43">
        <v>97940</v>
      </c>
      <c r="CV55" s="43">
        <v>97968</v>
      </c>
      <c r="CW55" s="43">
        <v>98030</v>
      </c>
      <c r="CX55" s="43">
        <v>98083</v>
      </c>
      <c r="CY55" s="43">
        <v>98127</v>
      </c>
      <c r="CZ55" s="43">
        <v>98139</v>
      </c>
      <c r="DA55" s="43">
        <v>98183</v>
      </c>
      <c r="DB55" s="43">
        <v>98222</v>
      </c>
      <c r="DC55" s="43">
        <v>98285</v>
      </c>
      <c r="DD55" s="43">
        <v>98315</v>
      </c>
      <c r="DE55" s="43">
        <v>98358</v>
      </c>
      <c r="DF55" s="43">
        <v>98425</v>
      </c>
      <c r="DG55" s="43">
        <v>98434</v>
      </c>
      <c r="DH55" s="43">
        <v>98482</v>
      </c>
      <c r="DI55" s="43">
        <v>98487</v>
      </c>
      <c r="DJ55" s="43">
        <v>98536</v>
      </c>
      <c r="DK55" s="43">
        <v>98572</v>
      </c>
      <c r="DL55" s="43">
        <v>98596</v>
      </c>
      <c r="DM55" s="43">
        <v>98634</v>
      </c>
      <c r="DN55" s="43">
        <v>98671</v>
      </c>
      <c r="DO55" s="43">
        <v>98708</v>
      </c>
    </row>
    <row r="56" spans="1:119">
      <c r="A56" s="42">
        <v>54</v>
      </c>
      <c r="W56" s="43">
        <v>75887</v>
      </c>
      <c r="X56" s="43">
        <v>76711</v>
      </c>
      <c r="Y56" s="43">
        <v>76887</v>
      </c>
      <c r="Z56" s="43">
        <v>78954</v>
      </c>
      <c r="AA56" s="43">
        <v>79431</v>
      </c>
      <c r="AB56" s="43">
        <v>80125</v>
      </c>
      <c r="AC56" s="43">
        <v>81056</v>
      </c>
      <c r="AD56" s="43">
        <v>81906</v>
      </c>
      <c r="AE56" s="43">
        <v>81914</v>
      </c>
      <c r="AF56" s="43">
        <v>83125</v>
      </c>
      <c r="AG56" s="43">
        <v>83672</v>
      </c>
      <c r="AH56" s="43">
        <v>83916</v>
      </c>
      <c r="AI56" s="43">
        <v>84414</v>
      </c>
      <c r="AJ56" s="43">
        <v>85672</v>
      </c>
      <c r="AK56" s="43">
        <v>85816</v>
      </c>
      <c r="AL56" s="43">
        <v>86288</v>
      </c>
      <c r="AM56" s="43">
        <v>86665</v>
      </c>
      <c r="AN56" s="43">
        <v>87162</v>
      </c>
      <c r="AO56" s="43">
        <v>87289</v>
      </c>
      <c r="AP56" s="43">
        <v>87469</v>
      </c>
      <c r="AQ56" s="43">
        <v>87537</v>
      </c>
      <c r="AR56" s="43">
        <v>87582</v>
      </c>
      <c r="AS56" s="43">
        <v>87088</v>
      </c>
      <c r="AT56" s="43">
        <v>86442</v>
      </c>
      <c r="AU56" s="43">
        <v>85463</v>
      </c>
      <c r="AV56" s="43">
        <v>85674</v>
      </c>
      <c r="AW56" s="43">
        <v>86105</v>
      </c>
      <c r="AX56" s="43">
        <v>88029</v>
      </c>
      <c r="AY56" s="43">
        <v>89631</v>
      </c>
      <c r="AZ56" s="43">
        <v>89743</v>
      </c>
      <c r="BA56" s="43">
        <v>89860</v>
      </c>
      <c r="BB56" s="43">
        <v>90472</v>
      </c>
      <c r="BC56" s="43">
        <v>90742</v>
      </c>
      <c r="BD56" s="43">
        <v>91105</v>
      </c>
      <c r="BE56" s="43">
        <v>91206</v>
      </c>
      <c r="BF56" s="43">
        <v>91601</v>
      </c>
      <c r="BG56" s="43">
        <v>91859</v>
      </c>
      <c r="BH56" s="43">
        <v>92131</v>
      </c>
      <c r="BI56" s="43">
        <v>92269</v>
      </c>
      <c r="BJ56" s="43">
        <v>92544</v>
      </c>
      <c r="BK56" s="43">
        <v>92866</v>
      </c>
      <c r="BL56" s="43">
        <v>93240</v>
      </c>
      <c r="BM56" s="43">
        <v>93570</v>
      </c>
      <c r="BN56" s="43">
        <v>93855</v>
      </c>
      <c r="BO56" s="43">
        <v>94056</v>
      </c>
      <c r="BP56" s="43">
        <v>94304</v>
      </c>
      <c r="BQ56" s="43">
        <v>94439</v>
      </c>
      <c r="BR56" s="43">
        <v>94576</v>
      </c>
      <c r="BS56" s="43">
        <v>94637</v>
      </c>
      <c r="BT56" s="43">
        <v>94762</v>
      </c>
      <c r="BU56" s="43">
        <v>94855</v>
      </c>
      <c r="BV56" s="43">
        <v>94999</v>
      </c>
      <c r="BW56" s="43">
        <v>95114</v>
      </c>
      <c r="BX56" s="43">
        <v>95267</v>
      </c>
      <c r="BY56" s="43">
        <v>95402</v>
      </c>
      <c r="BZ56" s="43">
        <v>95655</v>
      </c>
      <c r="CA56" s="43">
        <v>95850</v>
      </c>
      <c r="CB56" s="43">
        <v>96003</v>
      </c>
      <c r="CC56" s="43">
        <v>96125</v>
      </c>
      <c r="CD56" s="43">
        <v>96239</v>
      </c>
      <c r="CE56" s="43">
        <v>96356</v>
      </c>
      <c r="CF56" s="43">
        <v>96474</v>
      </c>
      <c r="CG56" s="43">
        <v>96601</v>
      </c>
      <c r="CH56" s="43">
        <v>96703</v>
      </c>
      <c r="CI56" s="43">
        <v>96839</v>
      </c>
      <c r="CJ56" s="43">
        <v>96917</v>
      </c>
      <c r="CK56" s="43">
        <v>97009</v>
      </c>
      <c r="CL56" s="43">
        <v>97137</v>
      </c>
      <c r="CM56" s="43">
        <v>97209</v>
      </c>
      <c r="CN56" s="43">
        <v>97305</v>
      </c>
      <c r="CO56" s="43">
        <v>97369</v>
      </c>
      <c r="CP56" s="43">
        <v>97471</v>
      </c>
      <c r="CQ56" s="43">
        <v>97546</v>
      </c>
      <c r="CR56" s="43">
        <v>97602</v>
      </c>
      <c r="CS56" s="43">
        <v>97682</v>
      </c>
      <c r="CT56" s="43">
        <v>97746</v>
      </c>
      <c r="CU56" s="43">
        <v>97805</v>
      </c>
      <c r="CV56" s="43">
        <v>97836</v>
      </c>
      <c r="CW56" s="43">
        <v>97900</v>
      </c>
      <c r="CX56" s="43">
        <v>97956</v>
      </c>
      <c r="CY56" s="43">
        <v>98002</v>
      </c>
      <c r="CZ56" s="43">
        <v>98016</v>
      </c>
      <c r="DA56" s="43">
        <v>98063</v>
      </c>
      <c r="DB56" s="43">
        <v>98104</v>
      </c>
      <c r="DC56" s="43">
        <v>98169</v>
      </c>
      <c r="DD56" s="43">
        <v>98202</v>
      </c>
      <c r="DE56" s="43">
        <v>98246</v>
      </c>
      <c r="DF56" s="43">
        <v>98316</v>
      </c>
      <c r="DG56" s="43">
        <v>98326</v>
      </c>
      <c r="DH56" s="43">
        <v>98377</v>
      </c>
      <c r="DI56" s="43">
        <v>98384</v>
      </c>
      <c r="DJ56" s="43">
        <v>98434</v>
      </c>
      <c r="DK56" s="43">
        <v>98472</v>
      </c>
      <c r="DL56" s="43">
        <v>98498</v>
      </c>
      <c r="DM56" s="43">
        <v>98538</v>
      </c>
      <c r="DN56" s="43">
        <v>98577</v>
      </c>
      <c r="DO56" s="43">
        <v>98615</v>
      </c>
    </row>
    <row r="57" spans="1:119">
      <c r="A57" s="42">
        <v>55</v>
      </c>
      <c r="W57" s="43">
        <v>75455</v>
      </c>
      <c r="X57" s="43">
        <v>76300</v>
      </c>
      <c r="Y57" s="43">
        <v>76480</v>
      </c>
      <c r="Z57" s="43">
        <v>78539</v>
      </c>
      <c r="AA57" s="43">
        <v>79023</v>
      </c>
      <c r="AB57" s="43">
        <v>79707</v>
      </c>
      <c r="AC57" s="43">
        <v>80638</v>
      </c>
      <c r="AD57" s="43">
        <v>81500</v>
      </c>
      <c r="AE57" s="43">
        <v>81534</v>
      </c>
      <c r="AF57" s="43">
        <v>82743</v>
      </c>
      <c r="AG57" s="43">
        <v>83282</v>
      </c>
      <c r="AH57" s="43">
        <v>83539</v>
      </c>
      <c r="AI57" s="43">
        <v>84029</v>
      </c>
      <c r="AJ57" s="43">
        <v>85285</v>
      </c>
      <c r="AK57" s="43">
        <v>85451</v>
      </c>
      <c r="AL57" s="43">
        <v>85919</v>
      </c>
      <c r="AM57" s="43">
        <v>86298</v>
      </c>
      <c r="AN57" s="43">
        <v>86828</v>
      </c>
      <c r="AO57" s="43">
        <v>86943</v>
      </c>
      <c r="AP57" s="43">
        <v>87131</v>
      </c>
      <c r="AQ57" s="43">
        <v>87205</v>
      </c>
      <c r="AR57" s="43">
        <v>87251</v>
      </c>
      <c r="AS57" s="43">
        <v>86777</v>
      </c>
      <c r="AT57" s="43">
        <v>86121</v>
      </c>
      <c r="AU57" s="43">
        <v>85145</v>
      </c>
      <c r="AV57" s="43">
        <v>85364</v>
      </c>
      <c r="AW57" s="43">
        <v>85794</v>
      </c>
      <c r="AX57" s="43">
        <v>87711</v>
      </c>
      <c r="AY57" s="43">
        <v>89331</v>
      </c>
      <c r="AZ57" s="43">
        <v>89440</v>
      </c>
      <c r="BA57" s="43">
        <v>89561</v>
      </c>
      <c r="BB57" s="43">
        <v>90180</v>
      </c>
      <c r="BC57" s="43">
        <v>90463</v>
      </c>
      <c r="BD57" s="43">
        <v>90814</v>
      </c>
      <c r="BE57" s="43">
        <v>90911</v>
      </c>
      <c r="BF57" s="43">
        <v>91298</v>
      </c>
      <c r="BG57" s="43">
        <v>91573</v>
      </c>
      <c r="BH57" s="43">
        <v>91843</v>
      </c>
      <c r="BI57" s="43">
        <v>91988</v>
      </c>
      <c r="BJ57" s="43">
        <v>92259</v>
      </c>
      <c r="BK57" s="43">
        <v>92588</v>
      </c>
      <c r="BL57" s="43">
        <v>92966</v>
      </c>
      <c r="BM57" s="43">
        <v>93300</v>
      </c>
      <c r="BN57" s="43">
        <v>93590</v>
      </c>
      <c r="BO57" s="43">
        <v>93796</v>
      </c>
      <c r="BP57" s="43">
        <v>94047</v>
      </c>
      <c r="BQ57" s="43">
        <v>94187</v>
      </c>
      <c r="BR57" s="43">
        <v>94328</v>
      </c>
      <c r="BS57" s="43">
        <v>94394</v>
      </c>
      <c r="BT57" s="43">
        <v>94523</v>
      </c>
      <c r="BU57" s="43">
        <v>94620</v>
      </c>
      <c r="BV57" s="43">
        <v>94768</v>
      </c>
      <c r="BW57" s="43">
        <v>94888</v>
      </c>
      <c r="BX57" s="43">
        <v>95044</v>
      </c>
      <c r="BY57" s="43">
        <v>95183</v>
      </c>
      <c r="BZ57" s="43">
        <v>95440</v>
      </c>
      <c r="CA57" s="43">
        <v>95639</v>
      </c>
      <c r="CB57" s="43">
        <v>95795</v>
      </c>
      <c r="CC57" s="43">
        <v>95921</v>
      </c>
      <c r="CD57" s="43">
        <v>96039</v>
      </c>
      <c r="CE57" s="43">
        <v>96159</v>
      </c>
      <c r="CF57" s="43">
        <v>96281</v>
      </c>
      <c r="CG57" s="43">
        <v>96412</v>
      </c>
      <c r="CH57" s="43">
        <v>96517</v>
      </c>
      <c r="CI57" s="43">
        <v>96657</v>
      </c>
      <c r="CJ57" s="43">
        <v>96737</v>
      </c>
      <c r="CK57" s="43">
        <v>96833</v>
      </c>
      <c r="CL57" s="43">
        <v>96964</v>
      </c>
      <c r="CM57" s="43">
        <v>97039</v>
      </c>
      <c r="CN57" s="43">
        <v>97138</v>
      </c>
      <c r="CO57" s="43">
        <v>97206</v>
      </c>
      <c r="CP57" s="43">
        <v>97310</v>
      </c>
      <c r="CQ57" s="43">
        <v>97388</v>
      </c>
      <c r="CR57" s="43">
        <v>97448</v>
      </c>
      <c r="CS57" s="43">
        <v>97530</v>
      </c>
      <c r="CT57" s="43">
        <v>97597</v>
      </c>
      <c r="CU57" s="43">
        <v>97659</v>
      </c>
      <c r="CV57" s="43">
        <v>97693</v>
      </c>
      <c r="CW57" s="43">
        <v>97759</v>
      </c>
      <c r="CX57" s="43">
        <v>97818</v>
      </c>
      <c r="CY57" s="43">
        <v>97867</v>
      </c>
      <c r="CZ57" s="43">
        <v>97883</v>
      </c>
      <c r="DA57" s="43">
        <v>97932</v>
      </c>
      <c r="DB57" s="43">
        <v>97976</v>
      </c>
      <c r="DC57" s="43">
        <v>98044</v>
      </c>
      <c r="DD57" s="43">
        <v>98078</v>
      </c>
      <c r="DE57" s="43">
        <v>98125</v>
      </c>
      <c r="DF57" s="43">
        <v>98197</v>
      </c>
      <c r="DG57" s="43">
        <v>98210</v>
      </c>
      <c r="DH57" s="43">
        <v>98262</v>
      </c>
      <c r="DI57" s="43">
        <v>98272</v>
      </c>
      <c r="DJ57" s="43">
        <v>98324</v>
      </c>
      <c r="DK57" s="43">
        <v>98364</v>
      </c>
      <c r="DL57" s="43">
        <v>98392</v>
      </c>
      <c r="DM57" s="43">
        <v>98434</v>
      </c>
      <c r="DN57" s="43">
        <v>98475</v>
      </c>
      <c r="DO57" s="43">
        <v>98515</v>
      </c>
    </row>
    <row r="58" spans="1:119">
      <c r="A58" s="42">
        <v>56</v>
      </c>
      <c r="W58" s="43">
        <v>75008</v>
      </c>
      <c r="X58" s="43">
        <v>75860</v>
      </c>
      <c r="Y58" s="43">
        <v>76043</v>
      </c>
      <c r="Z58" s="43">
        <v>78090</v>
      </c>
      <c r="AA58" s="43">
        <v>78592</v>
      </c>
      <c r="AB58" s="43">
        <v>79265</v>
      </c>
      <c r="AC58" s="43">
        <v>80215</v>
      </c>
      <c r="AD58" s="43">
        <v>81078</v>
      </c>
      <c r="AE58" s="43">
        <v>81127</v>
      </c>
      <c r="AF58" s="43">
        <v>82321</v>
      </c>
      <c r="AG58" s="43">
        <v>82884</v>
      </c>
      <c r="AH58" s="43">
        <v>83137</v>
      </c>
      <c r="AI58" s="43">
        <v>83629</v>
      </c>
      <c r="AJ58" s="43">
        <v>84889</v>
      </c>
      <c r="AK58" s="43">
        <v>85049</v>
      </c>
      <c r="AL58" s="43">
        <v>85529</v>
      </c>
      <c r="AM58" s="43">
        <v>85911</v>
      </c>
      <c r="AN58" s="43">
        <v>86469</v>
      </c>
      <c r="AO58" s="43">
        <v>86590</v>
      </c>
      <c r="AP58" s="43">
        <v>86776</v>
      </c>
      <c r="AQ58" s="43">
        <v>86859</v>
      </c>
      <c r="AR58" s="43">
        <v>86917</v>
      </c>
      <c r="AS58" s="43">
        <v>86439</v>
      </c>
      <c r="AT58" s="43">
        <v>85785</v>
      </c>
      <c r="AU58" s="43">
        <v>84823</v>
      </c>
      <c r="AV58" s="43">
        <v>85027</v>
      </c>
      <c r="AW58" s="43">
        <v>85470</v>
      </c>
      <c r="AX58" s="43">
        <v>87387</v>
      </c>
      <c r="AY58" s="43">
        <v>88993</v>
      </c>
      <c r="AZ58" s="43">
        <v>89127</v>
      </c>
      <c r="BA58" s="43">
        <v>89239</v>
      </c>
      <c r="BB58" s="43">
        <v>89850</v>
      </c>
      <c r="BC58" s="43">
        <v>90150</v>
      </c>
      <c r="BD58" s="43">
        <v>90489</v>
      </c>
      <c r="BE58" s="43">
        <v>90589</v>
      </c>
      <c r="BF58" s="43">
        <v>90974</v>
      </c>
      <c r="BG58" s="43">
        <v>91253</v>
      </c>
      <c r="BH58" s="43">
        <v>91541</v>
      </c>
      <c r="BI58" s="43">
        <v>91689</v>
      </c>
      <c r="BJ58" s="43">
        <v>91955</v>
      </c>
      <c r="BK58" s="43">
        <v>92289</v>
      </c>
      <c r="BL58" s="43">
        <v>92671</v>
      </c>
      <c r="BM58" s="43">
        <v>93010</v>
      </c>
      <c r="BN58" s="43">
        <v>93304</v>
      </c>
      <c r="BO58" s="43">
        <v>93515</v>
      </c>
      <c r="BP58" s="43">
        <v>93771</v>
      </c>
      <c r="BQ58" s="43">
        <v>93915</v>
      </c>
      <c r="BR58" s="43">
        <v>94061</v>
      </c>
      <c r="BS58" s="43">
        <v>94132</v>
      </c>
      <c r="BT58" s="43">
        <v>94266</v>
      </c>
      <c r="BU58" s="43">
        <v>94368</v>
      </c>
      <c r="BV58" s="43">
        <v>94520</v>
      </c>
      <c r="BW58" s="43">
        <v>94644</v>
      </c>
      <c r="BX58" s="43">
        <v>94805</v>
      </c>
      <c r="BY58" s="43">
        <v>94948</v>
      </c>
      <c r="BZ58" s="43">
        <v>95209</v>
      </c>
      <c r="CA58" s="43">
        <v>95411</v>
      </c>
      <c r="CB58" s="43">
        <v>95572</v>
      </c>
      <c r="CC58" s="43">
        <v>95702</v>
      </c>
      <c r="CD58" s="43">
        <v>95823</v>
      </c>
      <c r="CE58" s="43">
        <v>95947</v>
      </c>
      <c r="CF58" s="43">
        <v>96073</v>
      </c>
      <c r="CG58" s="43">
        <v>96208</v>
      </c>
      <c r="CH58" s="43">
        <v>96316</v>
      </c>
      <c r="CI58" s="43">
        <v>96460</v>
      </c>
      <c r="CJ58" s="43">
        <v>96544</v>
      </c>
      <c r="CK58" s="43">
        <v>96643</v>
      </c>
      <c r="CL58" s="43">
        <v>96778</v>
      </c>
      <c r="CM58" s="43">
        <v>96856</v>
      </c>
      <c r="CN58" s="43">
        <v>96958</v>
      </c>
      <c r="CO58" s="43">
        <v>97029</v>
      </c>
      <c r="CP58" s="43">
        <v>97137</v>
      </c>
      <c r="CQ58" s="43">
        <v>97218</v>
      </c>
      <c r="CR58" s="43">
        <v>97281</v>
      </c>
      <c r="CS58" s="43">
        <v>97366</v>
      </c>
      <c r="CT58" s="43">
        <v>97436</v>
      </c>
      <c r="CU58" s="43">
        <v>97501</v>
      </c>
      <c r="CV58" s="43">
        <v>97538</v>
      </c>
      <c r="CW58" s="43">
        <v>97607</v>
      </c>
      <c r="CX58" s="43">
        <v>97668</v>
      </c>
      <c r="CY58" s="43">
        <v>97720</v>
      </c>
      <c r="CZ58" s="43">
        <v>97739</v>
      </c>
      <c r="DA58" s="43">
        <v>97791</v>
      </c>
      <c r="DB58" s="43">
        <v>97838</v>
      </c>
      <c r="DC58" s="43">
        <v>97908</v>
      </c>
      <c r="DD58" s="43">
        <v>97945</v>
      </c>
      <c r="DE58" s="43">
        <v>97995</v>
      </c>
      <c r="DF58" s="43">
        <v>98069</v>
      </c>
      <c r="DG58" s="43">
        <v>98084</v>
      </c>
      <c r="DH58" s="43">
        <v>98139</v>
      </c>
      <c r="DI58" s="43">
        <v>98151</v>
      </c>
      <c r="DJ58" s="43">
        <v>98205</v>
      </c>
      <c r="DK58" s="43">
        <v>98247</v>
      </c>
      <c r="DL58" s="43">
        <v>98277</v>
      </c>
      <c r="DM58" s="43">
        <v>98322</v>
      </c>
      <c r="DN58" s="43">
        <v>98365</v>
      </c>
      <c r="DO58" s="43">
        <v>98407</v>
      </c>
    </row>
    <row r="59" spans="1:119">
      <c r="A59" s="42">
        <v>57</v>
      </c>
      <c r="W59" s="43">
        <v>74531</v>
      </c>
      <c r="X59" s="43">
        <v>75388</v>
      </c>
      <c r="Y59" s="43">
        <v>75575</v>
      </c>
      <c r="Z59" s="43">
        <v>77607</v>
      </c>
      <c r="AA59" s="43">
        <v>78115</v>
      </c>
      <c r="AB59" s="43">
        <v>78811</v>
      </c>
      <c r="AC59" s="43">
        <v>79742</v>
      </c>
      <c r="AD59" s="43">
        <v>80610</v>
      </c>
      <c r="AE59" s="43">
        <v>80691</v>
      </c>
      <c r="AF59" s="43">
        <v>81862</v>
      </c>
      <c r="AG59" s="43">
        <v>82445</v>
      </c>
      <c r="AH59" s="43">
        <v>82688</v>
      </c>
      <c r="AI59" s="43">
        <v>83194</v>
      </c>
      <c r="AJ59" s="43">
        <v>84461</v>
      </c>
      <c r="AK59" s="43">
        <v>84635</v>
      </c>
      <c r="AL59" s="43">
        <v>85125</v>
      </c>
      <c r="AM59" s="43">
        <v>85519</v>
      </c>
      <c r="AN59" s="43">
        <v>86093</v>
      </c>
      <c r="AO59" s="43">
        <v>86213</v>
      </c>
      <c r="AP59" s="43">
        <v>86409</v>
      </c>
      <c r="AQ59" s="43">
        <v>86487</v>
      </c>
      <c r="AR59" s="43">
        <v>86557</v>
      </c>
      <c r="AS59" s="43">
        <v>86078</v>
      </c>
      <c r="AT59" s="43">
        <v>85432</v>
      </c>
      <c r="AU59" s="43">
        <v>84468</v>
      </c>
      <c r="AV59" s="43">
        <v>84677</v>
      </c>
      <c r="AW59" s="43">
        <v>85128</v>
      </c>
      <c r="AX59" s="43">
        <v>87040</v>
      </c>
      <c r="AY59" s="43">
        <v>88643</v>
      </c>
      <c r="AZ59" s="43">
        <v>88778</v>
      </c>
      <c r="BA59" s="43">
        <v>88908</v>
      </c>
      <c r="BB59" s="43">
        <v>89505</v>
      </c>
      <c r="BC59" s="43">
        <v>89818</v>
      </c>
      <c r="BD59" s="43">
        <v>90141</v>
      </c>
      <c r="BE59" s="43">
        <v>90252</v>
      </c>
      <c r="BF59" s="43">
        <v>90627</v>
      </c>
      <c r="BG59" s="43">
        <v>90917</v>
      </c>
      <c r="BH59" s="43">
        <v>91212</v>
      </c>
      <c r="BI59" s="43">
        <v>91357</v>
      </c>
      <c r="BJ59" s="43">
        <v>91628</v>
      </c>
      <c r="BK59" s="43">
        <v>91967</v>
      </c>
      <c r="BL59" s="43">
        <v>92354</v>
      </c>
      <c r="BM59" s="43">
        <v>92698</v>
      </c>
      <c r="BN59" s="43">
        <v>92997</v>
      </c>
      <c r="BO59" s="43">
        <v>93213</v>
      </c>
      <c r="BP59" s="43">
        <v>93474</v>
      </c>
      <c r="BQ59" s="43">
        <v>93624</v>
      </c>
      <c r="BR59" s="43">
        <v>93774</v>
      </c>
      <c r="BS59" s="43">
        <v>93850</v>
      </c>
      <c r="BT59" s="43">
        <v>93989</v>
      </c>
      <c r="BU59" s="43">
        <v>94096</v>
      </c>
      <c r="BV59" s="43">
        <v>94253</v>
      </c>
      <c r="BW59" s="43">
        <v>94382</v>
      </c>
      <c r="BX59" s="43">
        <v>94547</v>
      </c>
      <c r="BY59" s="43">
        <v>94695</v>
      </c>
      <c r="BZ59" s="43">
        <v>94960</v>
      </c>
      <c r="CA59" s="43">
        <v>95166</v>
      </c>
      <c r="CB59" s="43">
        <v>95331</v>
      </c>
      <c r="CC59" s="43">
        <v>95466</v>
      </c>
      <c r="CD59" s="43">
        <v>95591</v>
      </c>
      <c r="CE59" s="43">
        <v>95720</v>
      </c>
      <c r="CF59" s="43">
        <v>95849</v>
      </c>
      <c r="CG59" s="43">
        <v>95988</v>
      </c>
      <c r="CH59" s="43">
        <v>96100</v>
      </c>
      <c r="CI59" s="43">
        <v>96248</v>
      </c>
      <c r="CJ59" s="43">
        <v>96336</v>
      </c>
      <c r="CK59" s="43">
        <v>96439</v>
      </c>
      <c r="CL59" s="43">
        <v>96577</v>
      </c>
      <c r="CM59" s="43">
        <v>96659</v>
      </c>
      <c r="CN59" s="43">
        <v>96765</v>
      </c>
      <c r="CO59" s="43">
        <v>96840</v>
      </c>
      <c r="CP59" s="43">
        <v>96951</v>
      </c>
      <c r="CQ59" s="43">
        <v>97035</v>
      </c>
      <c r="CR59" s="43">
        <v>97101</v>
      </c>
      <c r="CS59" s="43">
        <v>97190</v>
      </c>
      <c r="CT59" s="43">
        <v>97263</v>
      </c>
      <c r="CU59" s="43">
        <v>97331</v>
      </c>
      <c r="CV59" s="43">
        <v>97371</v>
      </c>
      <c r="CW59" s="43">
        <v>97444</v>
      </c>
      <c r="CX59" s="43">
        <v>97508</v>
      </c>
      <c r="CY59" s="43">
        <v>97563</v>
      </c>
      <c r="CZ59" s="43">
        <v>97585</v>
      </c>
      <c r="DA59" s="43">
        <v>97640</v>
      </c>
      <c r="DB59" s="43">
        <v>97689</v>
      </c>
      <c r="DC59" s="43">
        <v>97762</v>
      </c>
      <c r="DD59" s="43">
        <v>97802</v>
      </c>
      <c r="DE59" s="43">
        <v>97854</v>
      </c>
      <c r="DF59" s="43">
        <v>97931</v>
      </c>
      <c r="DG59" s="43">
        <v>97949</v>
      </c>
      <c r="DH59" s="43">
        <v>98006</v>
      </c>
      <c r="DI59" s="43">
        <v>98021</v>
      </c>
      <c r="DJ59" s="43">
        <v>98078</v>
      </c>
      <c r="DK59" s="43">
        <v>98122</v>
      </c>
      <c r="DL59" s="43">
        <v>98154</v>
      </c>
      <c r="DM59" s="43">
        <v>98201</v>
      </c>
      <c r="DN59" s="43">
        <v>98247</v>
      </c>
      <c r="DO59" s="43">
        <v>98291</v>
      </c>
    </row>
    <row r="60" spans="1:119">
      <c r="A60" s="42">
        <v>58</v>
      </c>
      <c r="W60" s="43">
        <v>74020</v>
      </c>
      <c r="X60" s="43">
        <v>74878</v>
      </c>
      <c r="Y60" s="43">
        <v>75078</v>
      </c>
      <c r="Z60" s="43">
        <v>77100</v>
      </c>
      <c r="AA60" s="43">
        <v>77614</v>
      </c>
      <c r="AB60" s="43">
        <v>78332</v>
      </c>
      <c r="AC60" s="43">
        <v>79257</v>
      </c>
      <c r="AD60" s="43">
        <v>80132</v>
      </c>
      <c r="AE60" s="43">
        <v>80215</v>
      </c>
      <c r="AF60" s="43">
        <v>81408</v>
      </c>
      <c r="AG60" s="43">
        <v>81985</v>
      </c>
      <c r="AH60" s="43">
        <v>82218</v>
      </c>
      <c r="AI60" s="43">
        <v>82720</v>
      </c>
      <c r="AJ60" s="43">
        <v>84012</v>
      </c>
      <c r="AK60" s="43">
        <v>84198</v>
      </c>
      <c r="AL60" s="43">
        <v>84683</v>
      </c>
      <c r="AM60" s="43">
        <v>85108</v>
      </c>
      <c r="AN60" s="43">
        <v>85681</v>
      </c>
      <c r="AO60" s="43">
        <v>85810</v>
      </c>
      <c r="AP60" s="43">
        <v>86015</v>
      </c>
      <c r="AQ60" s="43">
        <v>86089</v>
      </c>
      <c r="AR60" s="43">
        <v>86169</v>
      </c>
      <c r="AS60" s="43">
        <v>85696</v>
      </c>
      <c r="AT60" s="43">
        <v>85039</v>
      </c>
      <c r="AU60" s="43">
        <v>84085</v>
      </c>
      <c r="AV60" s="43">
        <v>84302</v>
      </c>
      <c r="AW60" s="43">
        <v>84759</v>
      </c>
      <c r="AX60" s="43">
        <v>86668</v>
      </c>
      <c r="AY60" s="43">
        <v>88274</v>
      </c>
      <c r="AZ60" s="43">
        <v>88402</v>
      </c>
      <c r="BA60" s="43">
        <v>88540</v>
      </c>
      <c r="BB60" s="43">
        <v>89146</v>
      </c>
      <c r="BC60" s="43">
        <v>89462</v>
      </c>
      <c r="BD60" s="43">
        <v>89780</v>
      </c>
      <c r="BE60" s="43">
        <v>89887</v>
      </c>
      <c r="BF60" s="43">
        <v>90273</v>
      </c>
      <c r="BG60" s="43">
        <v>90548</v>
      </c>
      <c r="BH60" s="43">
        <v>90850</v>
      </c>
      <c r="BI60" s="43">
        <v>91001</v>
      </c>
      <c r="BJ60" s="43">
        <v>91278</v>
      </c>
      <c r="BK60" s="43">
        <v>91622</v>
      </c>
      <c r="BL60" s="43">
        <v>92014</v>
      </c>
      <c r="BM60" s="43">
        <v>92363</v>
      </c>
      <c r="BN60" s="43">
        <v>92668</v>
      </c>
      <c r="BO60" s="43">
        <v>92889</v>
      </c>
      <c r="BP60" s="43">
        <v>93155</v>
      </c>
      <c r="BQ60" s="43">
        <v>93311</v>
      </c>
      <c r="BR60" s="43">
        <v>93467</v>
      </c>
      <c r="BS60" s="43">
        <v>93549</v>
      </c>
      <c r="BT60" s="43">
        <v>93693</v>
      </c>
      <c r="BU60" s="43">
        <v>93805</v>
      </c>
      <c r="BV60" s="43">
        <v>93967</v>
      </c>
      <c r="BW60" s="43">
        <v>94101</v>
      </c>
      <c r="BX60" s="43">
        <v>94271</v>
      </c>
      <c r="BY60" s="43">
        <v>94424</v>
      </c>
      <c r="BZ60" s="43">
        <v>94693</v>
      </c>
      <c r="CA60" s="43">
        <v>94904</v>
      </c>
      <c r="CB60" s="43">
        <v>95074</v>
      </c>
      <c r="CC60" s="43">
        <v>95213</v>
      </c>
      <c r="CD60" s="43">
        <v>95343</v>
      </c>
      <c r="CE60" s="43">
        <v>95476</v>
      </c>
      <c r="CF60" s="43">
        <v>95610</v>
      </c>
      <c r="CG60" s="43">
        <v>95753</v>
      </c>
      <c r="CH60" s="43">
        <v>95869</v>
      </c>
      <c r="CI60" s="43">
        <v>96021</v>
      </c>
      <c r="CJ60" s="43">
        <v>96113</v>
      </c>
      <c r="CK60" s="43">
        <v>96221</v>
      </c>
      <c r="CL60" s="43">
        <v>96362</v>
      </c>
      <c r="CM60" s="43">
        <v>96448</v>
      </c>
      <c r="CN60" s="43">
        <v>96558</v>
      </c>
      <c r="CO60" s="43">
        <v>96636</v>
      </c>
      <c r="CP60" s="43">
        <v>96751</v>
      </c>
      <c r="CQ60" s="43">
        <v>96839</v>
      </c>
      <c r="CR60" s="43">
        <v>96909</v>
      </c>
      <c r="CS60" s="43">
        <v>97002</v>
      </c>
      <c r="CT60" s="43">
        <v>97078</v>
      </c>
      <c r="CU60" s="43">
        <v>97149</v>
      </c>
      <c r="CV60" s="43">
        <v>97193</v>
      </c>
      <c r="CW60" s="43">
        <v>97269</v>
      </c>
      <c r="CX60" s="43">
        <v>97336</v>
      </c>
      <c r="CY60" s="43">
        <v>97394</v>
      </c>
      <c r="CZ60" s="43">
        <v>97420</v>
      </c>
      <c r="DA60" s="43">
        <v>97478</v>
      </c>
      <c r="DB60" s="43">
        <v>97530</v>
      </c>
      <c r="DC60" s="43">
        <v>97606</v>
      </c>
      <c r="DD60" s="43">
        <v>97649</v>
      </c>
      <c r="DE60" s="43">
        <v>97704</v>
      </c>
      <c r="DF60" s="43">
        <v>97783</v>
      </c>
      <c r="DG60" s="43">
        <v>97804</v>
      </c>
      <c r="DH60" s="43">
        <v>97864</v>
      </c>
      <c r="DI60" s="43">
        <v>97881</v>
      </c>
      <c r="DJ60" s="43">
        <v>97941</v>
      </c>
      <c r="DK60" s="43">
        <v>97988</v>
      </c>
      <c r="DL60" s="43">
        <v>98023</v>
      </c>
      <c r="DM60" s="43">
        <v>98072</v>
      </c>
      <c r="DN60" s="43">
        <v>98120</v>
      </c>
      <c r="DO60" s="43">
        <v>98167</v>
      </c>
    </row>
    <row r="61" spans="1:119">
      <c r="A61" s="42">
        <v>59</v>
      </c>
      <c r="W61" s="43">
        <v>73474</v>
      </c>
      <c r="X61" s="43">
        <v>74337</v>
      </c>
      <c r="Y61" s="43">
        <v>74534</v>
      </c>
      <c r="Z61" s="43">
        <v>76576</v>
      </c>
      <c r="AA61" s="43">
        <v>77099</v>
      </c>
      <c r="AB61" s="43">
        <v>77785</v>
      </c>
      <c r="AC61" s="43">
        <v>78744</v>
      </c>
      <c r="AD61" s="43">
        <v>79617</v>
      </c>
      <c r="AE61" s="43">
        <v>79702</v>
      </c>
      <c r="AF61" s="43">
        <v>80888</v>
      </c>
      <c r="AG61" s="43">
        <v>81472</v>
      </c>
      <c r="AH61" s="43">
        <v>81715</v>
      </c>
      <c r="AI61" s="43">
        <v>82221</v>
      </c>
      <c r="AJ61" s="43">
        <v>83519</v>
      </c>
      <c r="AK61" s="43">
        <v>83716</v>
      </c>
      <c r="AL61" s="43">
        <v>84240</v>
      </c>
      <c r="AM61" s="43">
        <v>84652</v>
      </c>
      <c r="AN61" s="43">
        <v>85262</v>
      </c>
      <c r="AO61" s="43">
        <v>85386</v>
      </c>
      <c r="AP61" s="43">
        <v>85615</v>
      </c>
      <c r="AQ61" s="43">
        <v>85677</v>
      </c>
      <c r="AR61" s="43">
        <v>85756</v>
      </c>
      <c r="AS61" s="43">
        <v>85294</v>
      </c>
      <c r="AT61" s="43">
        <v>84619</v>
      </c>
      <c r="AU61" s="43">
        <v>83672</v>
      </c>
      <c r="AV61" s="43">
        <v>83885</v>
      </c>
      <c r="AW61" s="43">
        <v>84381</v>
      </c>
      <c r="AX61" s="43">
        <v>86264</v>
      </c>
      <c r="AY61" s="43">
        <v>87875</v>
      </c>
      <c r="AZ61" s="43">
        <v>88008</v>
      </c>
      <c r="BA61" s="43">
        <v>88146</v>
      </c>
      <c r="BB61" s="43">
        <v>88752</v>
      </c>
      <c r="BC61" s="43">
        <v>89070</v>
      </c>
      <c r="BD61" s="43">
        <v>89387</v>
      </c>
      <c r="BE61" s="43">
        <v>89499</v>
      </c>
      <c r="BF61" s="43">
        <v>89877</v>
      </c>
      <c r="BG61" s="43">
        <v>90154</v>
      </c>
      <c r="BH61" s="43">
        <v>90462</v>
      </c>
      <c r="BI61" s="43">
        <v>90620</v>
      </c>
      <c r="BJ61" s="43">
        <v>90904</v>
      </c>
      <c r="BK61" s="43">
        <v>91254</v>
      </c>
      <c r="BL61" s="43">
        <v>91651</v>
      </c>
      <c r="BM61" s="43">
        <v>92006</v>
      </c>
      <c r="BN61" s="43">
        <v>92316</v>
      </c>
      <c r="BO61" s="43">
        <v>92543</v>
      </c>
      <c r="BP61" s="43">
        <v>92815</v>
      </c>
      <c r="BQ61" s="43">
        <v>92977</v>
      </c>
      <c r="BR61" s="43">
        <v>93139</v>
      </c>
      <c r="BS61" s="43">
        <v>93227</v>
      </c>
      <c r="BT61" s="43">
        <v>93376</v>
      </c>
      <c r="BU61" s="43">
        <v>93494</v>
      </c>
      <c r="BV61" s="43">
        <v>93662</v>
      </c>
      <c r="BW61" s="43">
        <v>93801</v>
      </c>
      <c r="BX61" s="43">
        <v>93977</v>
      </c>
      <c r="BY61" s="43">
        <v>94134</v>
      </c>
      <c r="BZ61" s="43">
        <v>94408</v>
      </c>
      <c r="CA61" s="43">
        <v>94624</v>
      </c>
      <c r="CB61" s="43">
        <v>94799</v>
      </c>
      <c r="CC61" s="43">
        <v>94943</v>
      </c>
      <c r="CD61" s="43">
        <v>95078</v>
      </c>
      <c r="CE61" s="43">
        <v>95215</v>
      </c>
      <c r="CF61" s="43">
        <v>95354</v>
      </c>
      <c r="CG61" s="43">
        <v>95502</v>
      </c>
      <c r="CH61" s="43">
        <v>95623</v>
      </c>
      <c r="CI61" s="43">
        <v>95779</v>
      </c>
      <c r="CJ61" s="43">
        <v>95875</v>
      </c>
      <c r="CK61" s="43">
        <v>95987</v>
      </c>
      <c r="CL61" s="43">
        <v>96133</v>
      </c>
      <c r="CM61" s="43">
        <v>96223</v>
      </c>
      <c r="CN61" s="43">
        <v>96337</v>
      </c>
      <c r="CO61" s="43">
        <v>96420</v>
      </c>
      <c r="CP61" s="43">
        <v>96538</v>
      </c>
      <c r="CQ61" s="43">
        <v>96630</v>
      </c>
      <c r="CR61" s="43">
        <v>96704</v>
      </c>
      <c r="CS61" s="43">
        <v>96800</v>
      </c>
      <c r="CT61" s="43">
        <v>96880</v>
      </c>
      <c r="CU61" s="43">
        <v>96955</v>
      </c>
      <c r="CV61" s="43">
        <v>97003</v>
      </c>
      <c r="CW61" s="43">
        <v>97082</v>
      </c>
      <c r="CX61" s="43">
        <v>97153</v>
      </c>
      <c r="CY61" s="43">
        <v>97214</v>
      </c>
      <c r="CZ61" s="43">
        <v>97243</v>
      </c>
      <c r="DA61" s="43">
        <v>97305</v>
      </c>
      <c r="DB61" s="43">
        <v>97360</v>
      </c>
      <c r="DC61" s="43">
        <v>97439</v>
      </c>
      <c r="DD61" s="43">
        <v>97485</v>
      </c>
      <c r="DE61" s="43">
        <v>97543</v>
      </c>
      <c r="DF61" s="43">
        <v>97625</v>
      </c>
      <c r="DG61" s="43">
        <v>97649</v>
      </c>
      <c r="DH61" s="43">
        <v>97712</v>
      </c>
      <c r="DI61" s="43">
        <v>97732</v>
      </c>
      <c r="DJ61" s="43">
        <v>97795</v>
      </c>
      <c r="DK61" s="43">
        <v>97845</v>
      </c>
      <c r="DL61" s="43">
        <v>97882</v>
      </c>
      <c r="DM61" s="43">
        <v>97934</v>
      </c>
      <c r="DN61" s="43">
        <v>97985</v>
      </c>
      <c r="DO61" s="43">
        <v>98034</v>
      </c>
    </row>
    <row r="62" spans="1:119">
      <c r="A62" s="42">
        <v>60</v>
      </c>
      <c r="W62" s="43">
        <v>72904</v>
      </c>
      <c r="X62" s="43">
        <v>73765</v>
      </c>
      <c r="Y62" s="43">
        <v>73962</v>
      </c>
      <c r="Z62" s="43">
        <v>76012</v>
      </c>
      <c r="AA62" s="43">
        <v>76528</v>
      </c>
      <c r="AB62" s="43">
        <v>77230</v>
      </c>
      <c r="AC62" s="43">
        <v>78211</v>
      </c>
      <c r="AD62" s="43">
        <v>79063</v>
      </c>
      <c r="AE62" s="43">
        <v>79165</v>
      </c>
      <c r="AF62" s="43">
        <v>80337</v>
      </c>
      <c r="AG62" s="43">
        <v>80935</v>
      </c>
      <c r="AH62" s="43">
        <v>81182</v>
      </c>
      <c r="AI62" s="43">
        <v>81683</v>
      </c>
      <c r="AJ62" s="43">
        <v>83012</v>
      </c>
      <c r="AK62" s="43">
        <v>83195</v>
      </c>
      <c r="AL62" s="43">
        <v>83752</v>
      </c>
      <c r="AM62" s="43">
        <v>84175</v>
      </c>
      <c r="AN62" s="43">
        <v>84810</v>
      </c>
      <c r="AO62" s="43">
        <v>84940</v>
      </c>
      <c r="AP62" s="43">
        <v>85179</v>
      </c>
      <c r="AQ62" s="43">
        <v>85246</v>
      </c>
      <c r="AR62" s="43">
        <v>85333</v>
      </c>
      <c r="AS62" s="43">
        <v>84862</v>
      </c>
      <c r="AT62" s="43">
        <v>84196</v>
      </c>
      <c r="AU62" s="43">
        <v>83237</v>
      </c>
      <c r="AV62" s="43">
        <v>83458</v>
      </c>
      <c r="AW62" s="43">
        <v>83980</v>
      </c>
      <c r="AX62" s="43">
        <v>85853</v>
      </c>
      <c r="AY62" s="43">
        <v>87448</v>
      </c>
      <c r="AZ62" s="43">
        <v>87602</v>
      </c>
      <c r="BA62" s="43">
        <v>87730</v>
      </c>
      <c r="BB62" s="43">
        <v>88320</v>
      </c>
      <c r="BC62" s="43">
        <v>88635</v>
      </c>
      <c r="BD62" s="43">
        <v>88959</v>
      </c>
      <c r="BE62" s="43">
        <v>89053</v>
      </c>
      <c r="BF62" s="43">
        <v>89451</v>
      </c>
      <c r="BG62" s="43">
        <v>89734</v>
      </c>
      <c r="BH62" s="43">
        <v>90049</v>
      </c>
      <c r="BI62" s="43">
        <v>90215</v>
      </c>
      <c r="BJ62" s="43">
        <v>90504</v>
      </c>
      <c r="BK62" s="43">
        <v>90861</v>
      </c>
      <c r="BL62" s="43">
        <v>91264</v>
      </c>
      <c r="BM62" s="43">
        <v>91625</v>
      </c>
      <c r="BN62" s="43">
        <v>91941</v>
      </c>
      <c r="BO62" s="43">
        <v>92175</v>
      </c>
      <c r="BP62" s="43">
        <v>92453</v>
      </c>
      <c r="BQ62" s="43">
        <v>92620</v>
      </c>
      <c r="BR62" s="43">
        <v>92789</v>
      </c>
      <c r="BS62" s="43">
        <v>92883</v>
      </c>
      <c r="BT62" s="43">
        <v>93039</v>
      </c>
      <c r="BU62" s="43">
        <v>93163</v>
      </c>
      <c r="BV62" s="43">
        <v>93336</v>
      </c>
      <c r="BW62" s="43">
        <v>93482</v>
      </c>
      <c r="BX62" s="43">
        <v>93663</v>
      </c>
      <c r="BY62" s="43">
        <v>93826</v>
      </c>
      <c r="BZ62" s="43">
        <v>94105</v>
      </c>
      <c r="CA62" s="43">
        <v>94326</v>
      </c>
      <c r="CB62" s="43">
        <v>94506</v>
      </c>
      <c r="CC62" s="43">
        <v>94655</v>
      </c>
      <c r="CD62" s="43">
        <v>94795</v>
      </c>
      <c r="CE62" s="43">
        <v>94938</v>
      </c>
      <c r="CF62" s="43">
        <v>95082</v>
      </c>
      <c r="CG62" s="43">
        <v>95234</v>
      </c>
      <c r="CH62" s="43">
        <v>95360</v>
      </c>
      <c r="CI62" s="43">
        <v>95521</v>
      </c>
      <c r="CJ62" s="43">
        <v>95622</v>
      </c>
      <c r="CK62" s="43">
        <v>95739</v>
      </c>
      <c r="CL62" s="43">
        <v>95889</v>
      </c>
      <c r="CM62" s="43">
        <v>95983</v>
      </c>
      <c r="CN62" s="43">
        <v>96102</v>
      </c>
      <c r="CO62" s="43">
        <v>96189</v>
      </c>
      <c r="CP62" s="43">
        <v>96311</v>
      </c>
      <c r="CQ62" s="43">
        <v>96408</v>
      </c>
      <c r="CR62" s="43">
        <v>96486</v>
      </c>
      <c r="CS62" s="43">
        <v>96586</v>
      </c>
      <c r="CT62" s="43">
        <v>96670</v>
      </c>
      <c r="CU62" s="43">
        <v>96749</v>
      </c>
      <c r="CV62" s="43">
        <v>96800</v>
      </c>
      <c r="CW62" s="43">
        <v>96883</v>
      </c>
      <c r="CX62" s="43">
        <v>96958</v>
      </c>
      <c r="CY62" s="43">
        <v>97023</v>
      </c>
      <c r="CZ62" s="43">
        <v>97056</v>
      </c>
      <c r="DA62" s="43">
        <v>97120</v>
      </c>
      <c r="DB62" s="43">
        <v>97179</v>
      </c>
      <c r="DC62" s="43">
        <v>97261</v>
      </c>
      <c r="DD62" s="43">
        <v>97311</v>
      </c>
      <c r="DE62" s="43">
        <v>97372</v>
      </c>
      <c r="DF62" s="43">
        <v>97458</v>
      </c>
      <c r="DG62" s="43">
        <v>97485</v>
      </c>
      <c r="DH62" s="43">
        <v>97551</v>
      </c>
      <c r="DI62" s="43">
        <v>97574</v>
      </c>
      <c r="DJ62" s="43">
        <v>97640</v>
      </c>
      <c r="DK62" s="43">
        <v>97692</v>
      </c>
      <c r="DL62" s="43">
        <v>97733</v>
      </c>
      <c r="DM62" s="43">
        <v>97788</v>
      </c>
      <c r="DN62" s="43">
        <v>97841</v>
      </c>
      <c r="DO62" s="43">
        <v>97893</v>
      </c>
    </row>
    <row r="63" spans="1:119">
      <c r="A63" s="42">
        <v>61</v>
      </c>
      <c r="W63" s="43">
        <v>72271</v>
      </c>
      <c r="X63" s="43">
        <v>73139</v>
      </c>
      <c r="Y63" s="43">
        <v>73354</v>
      </c>
      <c r="Z63" s="43">
        <v>75387</v>
      </c>
      <c r="AA63" s="43">
        <v>75915</v>
      </c>
      <c r="AB63" s="43">
        <v>76632</v>
      </c>
      <c r="AC63" s="43">
        <v>77622</v>
      </c>
      <c r="AD63" s="43">
        <v>78468</v>
      </c>
      <c r="AE63" s="43">
        <v>78585</v>
      </c>
      <c r="AF63" s="43">
        <v>79739</v>
      </c>
      <c r="AG63" s="43">
        <v>80356</v>
      </c>
      <c r="AH63" s="43">
        <v>80608</v>
      </c>
      <c r="AI63" s="43">
        <v>81129</v>
      </c>
      <c r="AJ63" s="43">
        <v>82457</v>
      </c>
      <c r="AK63" s="43">
        <v>82652</v>
      </c>
      <c r="AL63" s="43">
        <v>83236</v>
      </c>
      <c r="AM63" s="43">
        <v>83668</v>
      </c>
      <c r="AN63" s="43">
        <v>84319</v>
      </c>
      <c r="AO63" s="43">
        <v>84456</v>
      </c>
      <c r="AP63" s="43">
        <v>84712</v>
      </c>
      <c r="AQ63" s="43">
        <v>84792</v>
      </c>
      <c r="AR63" s="43">
        <v>84865</v>
      </c>
      <c r="AS63" s="43">
        <v>84415</v>
      </c>
      <c r="AT63" s="43">
        <v>83713</v>
      </c>
      <c r="AU63" s="43">
        <v>82789</v>
      </c>
      <c r="AV63" s="43">
        <v>82994</v>
      </c>
      <c r="AW63" s="43">
        <v>83537</v>
      </c>
      <c r="AX63" s="43">
        <v>85377</v>
      </c>
      <c r="AY63" s="43">
        <v>86993</v>
      </c>
      <c r="AZ63" s="43">
        <v>87128</v>
      </c>
      <c r="BA63" s="43">
        <v>87251</v>
      </c>
      <c r="BB63" s="43">
        <v>87860</v>
      </c>
      <c r="BC63" s="43">
        <v>88178</v>
      </c>
      <c r="BD63" s="43">
        <v>88467</v>
      </c>
      <c r="BE63" s="43">
        <v>88591</v>
      </c>
      <c r="BF63" s="43">
        <v>88996</v>
      </c>
      <c r="BG63" s="43">
        <v>89287</v>
      </c>
      <c r="BH63" s="43">
        <v>89609</v>
      </c>
      <c r="BI63" s="43">
        <v>89782</v>
      </c>
      <c r="BJ63" s="43">
        <v>90079</v>
      </c>
      <c r="BK63" s="43">
        <v>90442</v>
      </c>
      <c r="BL63" s="43">
        <v>90852</v>
      </c>
      <c r="BM63" s="43">
        <v>91219</v>
      </c>
      <c r="BN63" s="43">
        <v>91542</v>
      </c>
      <c r="BO63" s="43">
        <v>91782</v>
      </c>
      <c r="BP63" s="43">
        <v>92067</v>
      </c>
      <c r="BQ63" s="43">
        <v>92241</v>
      </c>
      <c r="BR63" s="43">
        <v>92416</v>
      </c>
      <c r="BS63" s="43">
        <v>92517</v>
      </c>
      <c r="BT63" s="43">
        <v>92680</v>
      </c>
      <c r="BU63" s="43">
        <v>92810</v>
      </c>
      <c r="BV63" s="43">
        <v>92990</v>
      </c>
      <c r="BW63" s="43">
        <v>93141</v>
      </c>
      <c r="BX63" s="43">
        <v>93328</v>
      </c>
      <c r="BY63" s="43">
        <v>93498</v>
      </c>
      <c r="BZ63" s="43">
        <v>93782</v>
      </c>
      <c r="CA63" s="43">
        <v>94009</v>
      </c>
      <c r="CB63" s="43">
        <v>94194</v>
      </c>
      <c r="CC63" s="43">
        <v>94349</v>
      </c>
      <c r="CD63" s="43">
        <v>94495</v>
      </c>
      <c r="CE63" s="43">
        <v>94643</v>
      </c>
      <c r="CF63" s="43">
        <v>94792</v>
      </c>
      <c r="CG63" s="43">
        <v>94950</v>
      </c>
      <c r="CH63" s="43">
        <v>95081</v>
      </c>
      <c r="CI63" s="43">
        <v>95246</v>
      </c>
      <c r="CJ63" s="43">
        <v>95353</v>
      </c>
      <c r="CK63" s="43">
        <v>95474</v>
      </c>
      <c r="CL63" s="43">
        <v>95629</v>
      </c>
      <c r="CM63" s="43">
        <v>95728</v>
      </c>
      <c r="CN63" s="43">
        <v>95852</v>
      </c>
      <c r="CO63" s="43">
        <v>95943</v>
      </c>
      <c r="CP63" s="43">
        <v>96070</v>
      </c>
      <c r="CQ63" s="43">
        <v>96171</v>
      </c>
      <c r="CR63" s="43">
        <v>96253</v>
      </c>
      <c r="CS63" s="43">
        <v>96358</v>
      </c>
      <c r="CT63" s="43">
        <v>96446</v>
      </c>
      <c r="CU63" s="43">
        <v>96529</v>
      </c>
      <c r="CV63" s="43">
        <v>96585</v>
      </c>
      <c r="CW63" s="43">
        <v>96672</v>
      </c>
      <c r="CX63" s="43">
        <v>96751</v>
      </c>
      <c r="CY63" s="43">
        <v>96819</v>
      </c>
      <c r="CZ63" s="43">
        <v>96856</v>
      </c>
      <c r="DA63" s="43">
        <v>96924</v>
      </c>
      <c r="DB63" s="43">
        <v>96987</v>
      </c>
      <c r="DC63" s="43">
        <v>97073</v>
      </c>
      <c r="DD63" s="43">
        <v>97126</v>
      </c>
      <c r="DE63" s="43">
        <v>97191</v>
      </c>
      <c r="DF63" s="43">
        <v>97280</v>
      </c>
      <c r="DG63" s="43">
        <v>97310</v>
      </c>
      <c r="DH63" s="43">
        <v>97380</v>
      </c>
      <c r="DI63" s="43">
        <v>97406</v>
      </c>
      <c r="DJ63" s="43">
        <v>97475</v>
      </c>
      <c r="DK63" s="43">
        <v>97531</v>
      </c>
      <c r="DL63" s="43">
        <v>97574</v>
      </c>
      <c r="DM63" s="43">
        <v>97632</v>
      </c>
      <c r="DN63" s="43">
        <v>97688</v>
      </c>
      <c r="DO63" s="43">
        <v>97743</v>
      </c>
    </row>
    <row r="64" spans="1:119">
      <c r="A64" s="42">
        <v>62</v>
      </c>
      <c r="W64" s="43">
        <v>71602</v>
      </c>
      <c r="X64" s="43">
        <v>72487</v>
      </c>
      <c r="Y64" s="43">
        <v>72709</v>
      </c>
      <c r="Z64" s="43">
        <v>74726</v>
      </c>
      <c r="AA64" s="43">
        <v>75262</v>
      </c>
      <c r="AB64" s="43">
        <v>75989</v>
      </c>
      <c r="AC64" s="43">
        <v>76994</v>
      </c>
      <c r="AD64" s="43">
        <v>77805</v>
      </c>
      <c r="AE64" s="43">
        <v>77938</v>
      </c>
      <c r="AF64" s="43">
        <v>79103</v>
      </c>
      <c r="AG64" s="43">
        <v>79742</v>
      </c>
      <c r="AH64" s="43">
        <v>79985</v>
      </c>
      <c r="AI64" s="43">
        <v>80515</v>
      </c>
      <c r="AJ64" s="43">
        <v>81850</v>
      </c>
      <c r="AK64" s="43">
        <v>82085</v>
      </c>
      <c r="AL64" s="43">
        <v>82692</v>
      </c>
      <c r="AM64" s="43">
        <v>83147</v>
      </c>
      <c r="AN64" s="43">
        <v>83795</v>
      </c>
      <c r="AO64" s="43">
        <v>83949</v>
      </c>
      <c r="AP64" s="43">
        <v>84216</v>
      </c>
      <c r="AQ64" s="43">
        <v>84304</v>
      </c>
      <c r="AR64" s="43">
        <v>84388</v>
      </c>
      <c r="AS64" s="43">
        <v>83931</v>
      </c>
      <c r="AT64" s="43">
        <v>83211</v>
      </c>
      <c r="AU64" s="43">
        <v>82285</v>
      </c>
      <c r="AV64" s="43">
        <v>82503</v>
      </c>
      <c r="AW64" s="43">
        <v>83053</v>
      </c>
      <c r="AX64" s="43">
        <v>84893</v>
      </c>
      <c r="AY64" s="43">
        <v>86485</v>
      </c>
      <c r="AZ64" s="43">
        <v>86632</v>
      </c>
      <c r="BA64" s="43">
        <v>86758</v>
      </c>
      <c r="BB64" s="43">
        <v>87386</v>
      </c>
      <c r="BC64" s="43">
        <v>87669</v>
      </c>
      <c r="BD64" s="43">
        <v>87967</v>
      </c>
      <c r="BE64" s="43">
        <v>88100</v>
      </c>
      <c r="BF64" s="43">
        <v>88512</v>
      </c>
      <c r="BG64" s="43">
        <v>88811</v>
      </c>
      <c r="BH64" s="43">
        <v>89141</v>
      </c>
      <c r="BI64" s="43">
        <v>89323</v>
      </c>
      <c r="BJ64" s="43">
        <v>89627</v>
      </c>
      <c r="BK64" s="43">
        <v>89997</v>
      </c>
      <c r="BL64" s="43">
        <v>90414</v>
      </c>
      <c r="BM64" s="43">
        <v>90787</v>
      </c>
      <c r="BN64" s="43">
        <v>91117</v>
      </c>
      <c r="BO64" s="43">
        <v>91365</v>
      </c>
      <c r="BP64" s="43">
        <v>91656</v>
      </c>
      <c r="BQ64" s="43">
        <v>91838</v>
      </c>
      <c r="BR64" s="43">
        <v>92020</v>
      </c>
      <c r="BS64" s="43">
        <v>92129</v>
      </c>
      <c r="BT64" s="43">
        <v>92298</v>
      </c>
      <c r="BU64" s="43">
        <v>92436</v>
      </c>
      <c r="BV64" s="43">
        <v>92622</v>
      </c>
      <c r="BW64" s="43">
        <v>92780</v>
      </c>
      <c r="BX64" s="43">
        <v>92973</v>
      </c>
      <c r="BY64" s="43">
        <v>93149</v>
      </c>
      <c r="BZ64" s="43">
        <v>93439</v>
      </c>
      <c r="CA64" s="43">
        <v>93672</v>
      </c>
      <c r="CB64" s="43">
        <v>93863</v>
      </c>
      <c r="CC64" s="43">
        <v>94024</v>
      </c>
      <c r="CD64" s="43">
        <v>94176</v>
      </c>
      <c r="CE64" s="43">
        <v>94330</v>
      </c>
      <c r="CF64" s="43">
        <v>94484</v>
      </c>
      <c r="CG64" s="43">
        <v>94647</v>
      </c>
      <c r="CH64" s="43">
        <v>94784</v>
      </c>
      <c r="CI64" s="43">
        <v>94955</v>
      </c>
      <c r="CJ64" s="43">
        <v>95067</v>
      </c>
      <c r="CK64" s="43">
        <v>95193</v>
      </c>
      <c r="CL64" s="43">
        <v>95353</v>
      </c>
      <c r="CM64" s="43">
        <v>95458</v>
      </c>
      <c r="CN64" s="43">
        <v>95586</v>
      </c>
      <c r="CO64" s="43">
        <v>95682</v>
      </c>
      <c r="CP64" s="43">
        <v>95814</v>
      </c>
      <c r="CQ64" s="43">
        <v>95920</v>
      </c>
      <c r="CR64" s="43">
        <v>96007</v>
      </c>
      <c r="CS64" s="43">
        <v>96116</v>
      </c>
      <c r="CT64" s="43">
        <v>96209</v>
      </c>
      <c r="CU64" s="43">
        <v>96297</v>
      </c>
      <c r="CV64" s="43">
        <v>96356</v>
      </c>
      <c r="CW64" s="43">
        <v>96448</v>
      </c>
      <c r="CX64" s="43">
        <v>96531</v>
      </c>
      <c r="CY64" s="43">
        <v>96604</v>
      </c>
      <c r="CZ64" s="43">
        <v>96644</v>
      </c>
      <c r="DA64" s="43">
        <v>96717</v>
      </c>
      <c r="DB64" s="43">
        <v>96784</v>
      </c>
      <c r="DC64" s="43">
        <v>96873</v>
      </c>
      <c r="DD64" s="43">
        <v>96930</v>
      </c>
      <c r="DE64" s="43">
        <v>96999</v>
      </c>
      <c r="DF64" s="43">
        <v>97091</v>
      </c>
      <c r="DG64" s="43">
        <v>97125</v>
      </c>
      <c r="DH64" s="43">
        <v>97198</v>
      </c>
      <c r="DI64" s="43">
        <v>97228</v>
      </c>
      <c r="DJ64" s="43">
        <v>97300</v>
      </c>
      <c r="DK64" s="43">
        <v>97359</v>
      </c>
      <c r="DL64" s="43">
        <v>97406</v>
      </c>
      <c r="DM64" s="43">
        <v>97467</v>
      </c>
      <c r="DN64" s="43">
        <v>97526</v>
      </c>
      <c r="DO64" s="43">
        <v>97584</v>
      </c>
    </row>
    <row r="65" spans="1:119">
      <c r="A65" s="42">
        <v>63</v>
      </c>
      <c r="W65" s="43">
        <v>70880</v>
      </c>
      <c r="X65" s="43">
        <v>71772</v>
      </c>
      <c r="Y65" s="43">
        <v>72017</v>
      </c>
      <c r="Z65" s="43">
        <v>74026</v>
      </c>
      <c r="AA65" s="43">
        <v>74556</v>
      </c>
      <c r="AB65" s="43">
        <v>75302</v>
      </c>
      <c r="AC65" s="43">
        <v>76294</v>
      </c>
      <c r="AD65" s="43">
        <v>77105</v>
      </c>
      <c r="AE65" s="43">
        <v>77257</v>
      </c>
      <c r="AF65" s="43">
        <v>78417</v>
      </c>
      <c r="AG65" s="43">
        <v>79084</v>
      </c>
      <c r="AH65" s="43">
        <v>79333</v>
      </c>
      <c r="AI65" s="43">
        <v>79866</v>
      </c>
      <c r="AJ65" s="43">
        <v>81232</v>
      </c>
      <c r="AK65" s="43">
        <v>81494</v>
      </c>
      <c r="AL65" s="43">
        <v>82117</v>
      </c>
      <c r="AM65" s="43">
        <v>82591</v>
      </c>
      <c r="AN65" s="43">
        <v>83246</v>
      </c>
      <c r="AO65" s="43">
        <v>83424</v>
      </c>
      <c r="AP65" s="43">
        <v>83670</v>
      </c>
      <c r="AQ65" s="43">
        <v>83785</v>
      </c>
      <c r="AR65" s="43">
        <v>83861</v>
      </c>
      <c r="AS65" s="43">
        <v>83407</v>
      </c>
      <c r="AT65" s="43">
        <v>82703</v>
      </c>
      <c r="AU65" s="43">
        <v>81764</v>
      </c>
      <c r="AV65" s="43">
        <v>81959</v>
      </c>
      <c r="AW65" s="43">
        <v>82538</v>
      </c>
      <c r="AX65" s="43">
        <v>84355</v>
      </c>
      <c r="AY65" s="43">
        <v>85964</v>
      </c>
      <c r="AZ65" s="43">
        <v>86078</v>
      </c>
      <c r="BA65" s="43">
        <v>86249</v>
      </c>
      <c r="BB65" s="43">
        <v>86855</v>
      </c>
      <c r="BC65" s="43">
        <v>87129</v>
      </c>
      <c r="BD65" s="43">
        <v>87436</v>
      </c>
      <c r="BE65" s="43">
        <v>87579</v>
      </c>
      <c r="BF65" s="43">
        <v>87999</v>
      </c>
      <c r="BG65" s="43">
        <v>88306</v>
      </c>
      <c r="BH65" s="43">
        <v>88644</v>
      </c>
      <c r="BI65" s="43">
        <v>88835</v>
      </c>
      <c r="BJ65" s="43">
        <v>89147</v>
      </c>
      <c r="BK65" s="43">
        <v>89524</v>
      </c>
      <c r="BL65" s="43">
        <v>89948</v>
      </c>
      <c r="BM65" s="43">
        <v>90330</v>
      </c>
      <c r="BN65" s="43">
        <v>90667</v>
      </c>
      <c r="BO65" s="43">
        <v>90922</v>
      </c>
      <c r="BP65" s="43">
        <v>91221</v>
      </c>
      <c r="BQ65" s="43">
        <v>91411</v>
      </c>
      <c r="BR65" s="43">
        <v>91601</v>
      </c>
      <c r="BS65" s="43">
        <v>91717</v>
      </c>
      <c r="BT65" s="43">
        <v>91893</v>
      </c>
      <c r="BU65" s="43">
        <v>92038</v>
      </c>
      <c r="BV65" s="43">
        <v>92231</v>
      </c>
      <c r="BW65" s="43">
        <v>92397</v>
      </c>
      <c r="BX65" s="43">
        <v>92597</v>
      </c>
      <c r="BY65" s="43">
        <v>92779</v>
      </c>
      <c r="BZ65" s="43">
        <v>93076</v>
      </c>
      <c r="CA65" s="43">
        <v>93315</v>
      </c>
      <c r="CB65" s="43">
        <v>93513</v>
      </c>
      <c r="CC65" s="43">
        <v>93679</v>
      </c>
      <c r="CD65" s="43">
        <v>93837</v>
      </c>
      <c r="CE65" s="43">
        <v>93997</v>
      </c>
      <c r="CF65" s="43">
        <v>94158</v>
      </c>
      <c r="CG65" s="43">
        <v>94327</v>
      </c>
      <c r="CH65" s="43">
        <v>94469</v>
      </c>
      <c r="CI65" s="43">
        <v>94646</v>
      </c>
      <c r="CJ65" s="43">
        <v>94764</v>
      </c>
      <c r="CK65" s="43">
        <v>94896</v>
      </c>
      <c r="CL65" s="43">
        <v>95061</v>
      </c>
      <c r="CM65" s="43">
        <v>95171</v>
      </c>
      <c r="CN65" s="43">
        <v>95305</v>
      </c>
      <c r="CO65" s="43">
        <v>95406</v>
      </c>
      <c r="CP65" s="43">
        <v>95543</v>
      </c>
      <c r="CQ65" s="43">
        <v>95654</v>
      </c>
      <c r="CR65" s="43">
        <v>95746</v>
      </c>
      <c r="CS65" s="43">
        <v>95860</v>
      </c>
      <c r="CT65" s="43">
        <v>95957</v>
      </c>
      <c r="CU65" s="43">
        <v>96050</v>
      </c>
      <c r="CV65" s="43">
        <v>96114</v>
      </c>
      <c r="CW65" s="43">
        <v>96211</v>
      </c>
      <c r="CX65" s="43">
        <v>96298</v>
      </c>
      <c r="CY65" s="43">
        <v>96375</v>
      </c>
      <c r="CZ65" s="43">
        <v>96420</v>
      </c>
      <c r="DA65" s="43">
        <v>96497</v>
      </c>
      <c r="DB65" s="43">
        <v>96568</v>
      </c>
      <c r="DC65" s="43">
        <v>96662</v>
      </c>
      <c r="DD65" s="43">
        <v>96722</v>
      </c>
      <c r="DE65" s="43">
        <v>96795</v>
      </c>
      <c r="DF65" s="43">
        <v>96891</v>
      </c>
      <c r="DG65" s="43">
        <v>96929</v>
      </c>
      <c r="DH65" s="43">
        <v>97006</v>
      </c>
      <c r="DI65" s="43">
        <v>97040</v>
      </c>
      <c r="DJ65" s="43">
        <v>97115</v>
      </c>
      <c r="DK65" s="43">
        <v>97178</v>
      </c>
      <c r="DL65" s="43">
        <v>97228</v>
      </c>
      <c r="DM65" s="43">
        <v>97293</v>
      </c>
      <c r="DN65" s="43">
        <v>97355</v>
      </c>
      <c r="DO65" s="43">
        <v>97416</v>
      </c>
    </row>
    <row r="66" spans="1:119">
      <c r="A66" s="42">
        <v>64</v>
      </c>
      <c r="W66" s="43">
        <v>70113</v>
      </c>
      <c r="X66" s="43">
        <v>71008</v>
      </c>
      <c r="Y66" s="43">
        <v>71257</v>
      </c>
      <c r="Z66" s="43">
        <v>73276</v>
      </c>
      <c r="AA66" s="43">
        <v>73831</v>
      </c>
      <c r="AB66" s="43">
        <v>74551</v>
      </c>
      <c r="AC66" s="43">
        <v>75556</v>
      </c>
      <c r="AD66" s="43">
        <v>76353</v>
      </c>
      <c r="AE66" s="43">
        <v>76539</v>
      </c>
      <c r="AF66" s="43">
        <v>77688</v>
      </c>
      <c r="AG66" s="43">
        <v>78384</v>
      </c>
      <c r="AH66" s="43">
        <v>78629</v>
      </c>
      <c r="AI66" s="43">
        <v>79198</v>
      </c>
      <c r="AJ66" s="43">
        <v>80564</v>
      </c>
      <c r="AK66" s="43">
        <v>80865</v>
      </c>
      <c r="AL66" s="43">
        <v>81504</v>
      </c>
      <c r="AM66" s="43">
        <v>82016</v>
      </c>
      <c r="AN66" s="43">
        <v>82657</v>
      </c>
      <c r="AO66" s="43">
        <v>82847</v>
      </c>
      <c r="AP66" s="43">
        <v>83113</v>
      </c>
      <c r="AQ66" s="43">
        <v>83225</v>
      </c>
      <c r="AR66" s="43">
        <v>83319</v>
      </c>
      <c r="AS66" s="43">
        <v>82862</v>
      </c>
      <c r="AT66" s="43">
        <v>82144</v>
      </c>
      <c r="AU66" s="43">
        <v>81196</v>
      </c>
      <c r="AV66" s="43">
        <v>81400</v>
      </c>
      <c r="AW66" s="43">
        <v>81974</v>
      </c>
      <c r="AX66" s="43">
        <v>83772</v>
      </c>
      <c r="AY66" s="43">
        <v>85380</v>
      </c>
      <c r="AZ66" s="43">
        <v>85522</v>
      </c>
      <c r="BA66" s="43">
        <v>85675</v>
      </c>
      <c r="BB66" s="43">
        <v>86273</v>
      </c>
      <c r="BC66" s="43">
        <v>86557</v>
      </c>
      <c r="BD66" s="43">
        <v>86873</v>
      </c>
      <c r="BE66" s="43">
        <v>87026</v>
      </c>
      <c r="BF66" s="43">
        <v>87455</v>
      </c>
      <c r="BG66" s="43">
        <v>87771</v>
      </c>
      <c r="BH66" s="43">
        <v>88118</v>
      </c>
      <c r="BI66" s="43">
        <v>88317</v>
      </c>
      <c r="BJ66" s="43">
        <v>88638</v>
      </c>
      <c r="BK66" s="43">
        <v>89024</v>
      </c>
      <c r="BL66" s="43">
        <v>89456</v>
      </c>
      <c r="BM66" s="43">
        <v>89845</v>
      </c>
      <c r="BN66" s="43">
        <v>90190</v>
      </c>
      <c r="BO66" s="43">
        <v>90453</v>
      </c>
      <c r="BP66" s="43">
        <v>90760</v>
      </c>
      <c r="BQ66" s="43">
        <v>90958</v>
      </c>
      <c r="BR66" s="43">
        <v>91156</v>
      </c>
      <c r="BS66" s="43">
        <v>91280</v>
      </c>
      <c r="BT66" s="43">
        <v>91465</v>
      </c>
      <c r="BU66" s="43">
        <v>91618</v>
      </c>
      <c r="BV66" s="43">
        <v>91818</v>
      </c>
      <c r="BW66" s="43">
        <v>91991</v>
      </c>
      <c r="BX66" s="43">
        <v>92198</v>
      </c>
      <c r="BY66" s="43">
        <v>92388</v>
      </c>
      <c r="BZ66" s="43">
        <v>92691</v>
      </c>
      <c r="CA66" s="43">
        <v>92937</v>
      </c>
      <c r="CB66" s="43">
        <v>93141</v>
      </c>
      <c r="CC66" s="43">
        <v>93315</v>
      </c>
      <c r="CD66" s="43">
        <v>93479</v>
      </c>
      <c r="CE66" s="43">
        <v>93646</v>
      </c>
      <c r="CF66" s="43">
        <v>93813</v>
      </c>
      <c r="CG66" s="43">
        <v>93988</v>
      </c>
      <c r="CH66" s="43">
        <v>94137</v>
      </c>
      <c r="CI66" s="43">
        <v>94319</v>
      </c>
      <c r="CJ66" s="43">
        <v>94443</v>
      </c>
      <c r="CK66" s="43">
        <v>94581</v>
      </c>
      <c r="CL66" s="43">
        <v>94752</v>
      </c>
      <c r="CM66" s="43">
        <v>94868</v>
      </c>
      <c r="CN66" s="43">
        <v>95007</v>
      </c>
      <c r="CO66" s="43">
        <v>95114</v>
      </c>
      <c r="CP66" s="43">
        <v>95257</v>
      </c>
      <c r="CQ66" s="43">
        <v>95373</v>
      </c>
      <c r="CR66" s="43">
        <v>95470</v>
      </c>
      <c r="CS66" s="43">
        <v>95589</v>
      </c>
      <c r="CT66" s="43">
        <v>95692</v>
      </c>
      <c r="CU66" s="43">
        <v>95789</v>
      </c>
      <c r="CV66" s="43">
        <v>95859</v>
      </c>
      <c r="CW66" s="43">
        <v>95960</v>
      </c>
      <c r="CX66" s="43">
        <v>96052</v>
      </c>
      <c r="CY66" s="43">
        <v>96134</v>
      </c>
      <c r="CZ66" s="43">
        <v>96184</v>
      </c>
      <c r="DA66" s="43">
        <v>96265</v>
      </c>
      <c r="DB66" s="43">
        <v>96340</v>
      </c>
      <c r="DC66" s="43">
        <v>96438</v>
      </c>
      <c r="DD66" s="43">
        <v>96503</v>
      </c>
      <c r="DE66" s="43">
        <v>96580</v>
      </c>
      <c r="DF66" s="43">
        <v>96680</v>
      </c>
      <c r="DG66" s="43">
        <v>96723</v>
      </c>
      <c r="DH66" s="43">
        <v>96803</v>
      </c>
      <c r="DI66" s="43">
        <v>96841</v>
      </c>
      <c r="DJ66" s="43">
        <v>96920</v>
      </c>
      <c r="DK66" s="43">
        <v>96987</v>
      </c>
      <c r="DL66" s="43">
        <v>97041</v>
      </c>
      <c r="DM66" s="43">
        <v>97109</v>
      </c>
      <c r="DN66" s="43">
        <v>97175</v>
      </c>
      <c r="DO66" s="43">
        <v>97239</v>
      </c>
    </row>
    <row r="67" spans="1:119">
      <c r="A67" s="42">
        <v>65</v>
      </c>
      <c r="W67" s="43">
        <v>69287</v>
      </c>
      <c r="X67" s="43">
        <v>70202</v>
      </c>
      <c r="Y67" s="43">
        <v>70449</v>
      </c>
      <c r="Z67" s="43">
        <v>72500</v>
      </c>
      <c r="AA67" s="43">
        <v>73021</v>
      </c>
      <c r="AB67" s="43">
        <v>73739</v>
      </c>
      <c r="AC67" s="43">
        <v>74760</v>
      </c>
      <c r="AD67" s="43">
        <v>75564</v>
      </c>
      <c r="AE67" s="43">
        <v>75768</v>
      </c>
      <c r="AF67" s="43">
        <v>76927</v>
      </c>
      <c r="AG67" s="43">
        <v>77615</v>
      </c>
      <c r="AH67" s="43">
        <v>77901</v>
      </c>
      <c r="AI67" s="43">
        <v>78480</v>
      </c>
      <c r="AJ67" s="43">
        <v>79879</v>
      </c>
      <c r="AK67" s="43">
        <v>80179</v>
      </c>
      <c r="AL67" s="43">
        <v>80857</v>
      </c>
      <c r="AM67" s="43">
        <v>81390</v>
      </c>
      <c r="AN67" s="43">
        <v>82036</v>
      </c>
      <c r="AO67" s="43">
        <v>82255</v>
      </c>
      <c r="AP67" s="43">
        <v>82531</v>
      </c>
      <c r="AQ67" s="43">
        <v>82652</v>
      </c>
      <c r="AR67" s="43">
        <v>82741</v>
      </c>
      <c r="AS67" s="43">
        <v>82285</v>
      </c>
      <c r="AT67" s="43">
        <v>81540</v>
      </c>
      <c r="AU67" s="43">
        <v>80587</v>
      </c>
      <c r="AV67" s="43">
        <v>80784</v>
      </c>
      <c r="AW67" s="43">
        <v>81381</v>
      </c>
      <c r="AX67" s="43">
        <v>83125</v>
      </c>
      <c r="AY67" s="43">
        <v>84768</v>
      </c>
      <c r="AZ67" s="43">
        <v>84894</v>
      </c>
      <c r="BA67" s="43">
        <v>85050</v>
      </c>
      <c r="BB67" s="43">
        <v>85656</v>
      </c>
      <c r="BC67" s="43">
        <v>85951</v>
      </c>
      <c r="BD67" s="43">
        <v>86277</v>
      </c>
      <c r="BE67" s="43">
        <v>86441</v>
      </c>
      <c r="BF67" s="43">
        <v>86879</v>
      </c>
      <c r="BG67" s="43">
        <v>87205</v>
      </c>
      <c r="BH67" s="43">
        <v>87561</v>
      </c>
      <c r="BI67" s="43">
        <v>87770</v>
      </c>
      <c r="BJ67" s="43">
        <v>88100</v>
      </c>
      <c r="BK67" s="43">
        <v>88495</v>
      </c>
      <c r="BL67" s="43">
        <v>88934</v>
      </c>
      <c r="BM67" s="43">
        <v>89331</v>
      </c>
      <c r="BN67" s="43">
        <v>89685</v>
      </c>
      <c r="BO67" s="43">
        <v>89957</v>
      </c>
      <c r="BP67" s="43">
        <v>90272</v>
      </c>
      <c r="BQ67" s="43">
        <v>90479</v>
      </c>
      <c r="BR67" s="43">
        <v>90686</v>
      </c>
      <c r="BS67" s="43">
        <v>90819</v>
      </c>
      <c r="BT67" s="43">
        <v>91012</v>
      </c>
      <c r="BU67" s="43">
        <v>91173</v>
      </c>
      <c r="BV67" s="43">
        <v>91381</v>
      </c>
      <c r="BW67" s="43">
        <v>91562</v>
      </c>
      <c r="BX67" s="43">
        <v>91777</v>
      </c>
      <c r="BY67" s="43">
        <v>91974</v>
      </c>
      <c r="BZ67" s="43">
        <v>92284</v>
      </c>
      <c r="CA67" s="43">
        <v>92537</v>
      </c>
      <c r="CB67" s="43">
        <v>92748</v>
      </c>
      <c r="CC67" s="43">
        <v>92929</v>
      </c>
      <c r="CD67" s="43">
        <v>93101</v>
      </c>
      <c r="CE67" s="43">
        <v>93274</v>
      </c>
      <c r="CF67" s="43">
        <v>93448</v>
      </c>
      <c r="CG67" s="43">
        <v>93630</v>
      </c>
      <c r="CH67" s="43">
        <v>93785</v>
      </c>
      <c r="CI67" s="43">
        <v>93974</v>
      </c>
      <c r="CJ67" s="43">
        <v>94104</v>
      </c>
      <c r="CK67" s="43">
        <v>94249</v>
      </c>
      <c r="CL67" s="43">
        <v>94426</v>
      </c>
      <c r="CM67" s="43">
        <v>94548</v>
      </c>
      <c r="CN67" s="43">
        <v>94692</v>
      </c>
      <c r="CO67" s="43">
        <v>94806</v>
      </c>
      <c r="CP67" s="43">
        <v>94954</v>
      </c>
      <c r="CQ67" s="43">
        <v>95076</v>
      </c>
      <c r="CR67" s="43">
        <v>95179</v>
      </c>
      <c r="CS67" s="43">
        <v>95303</v>
      </c>
      <c r="CT67" s="43">
        <v>95411</v>
      </c>
      <c r="CU67" s="43">
        <v>95514</v>
      </c>
      <c r="CV67" s="43">
        <v>95589</v>
      </c>
      <c r="CW67" s="43">
        <v>95695</v>
      </c>
      <c r="CX67" s="43">
        <v>95792</v>
      </c>
      <c r="CY67" s="43">
        <v>95879</v>
      </c>
      <c r="CZ67" s="43">
        <v>95934</v>
      </c>
      <c r="DA67" s="43">
        <v>96020</v>
      </c>
      <c r="DB67" s="43">
        <v>96100</v>
      </c>
      <c r="DC67" s="43">
        <v>96202</v>
      </c>
      <c r="DD67" s="43">
        <v>96272</v>
      </c>
      <c r="DE67" s="43">
        <v>96353</v>
      </c>
      <c r="DF67" s="43">
        <v>96458</v>
      </c>
      <c r="DG67" s="43">
        <v>96504</v>
      </c>
      <c r="DH67" s="43">
        <v>96589</v>
      </c>
      <c r="DI67" s="43">
        <v>96631</v>
      </c>
      <c r="DJ67" s="43">
        <v>96714</v>
      </c>
      <c r="DK67" s="43">
        <v>96785</v>
      </c>
      <c r="DL67" s="43">
        <v>96843</v>
      </c>
      <c r="DM67" s="43">
        <v>96914</v>
      </c>
      <c r="DN67" s="43">
        <v>96984</v>
      </c>
      <c r="DO67" s="43">
        <v>97053</v>
      </c>
    </row>
    <row r="68" spans="1:119">
      <c r="A68" s="42">
        <v>66</v>
      </c>
      <c r="W68" s="43">
        <v>68389</v>
      </c>
      <c r="X68" s="43">
        <v>69330</v>
      </c>
      <c r="Y68" s="43">
        <v>69602</v>
      </c>
      <c r="Z68" s="43">
        <v>71616</v>
      </c>
      <c r="AA68" s="43">
        <v>72141</v>
      </c>
      <c r="AB68" s="43">
        <v>72892</v>
      </c>
      <c r="AC68" s="43">
        <v>73925</v>
      </c>
      <c r="AD68" s="43">
        <v>74723</v>
      </c>
      <c r="AE68" s="43">
        <v>74950</v>
      </c>
      <c r="AF68" s="43">
        <v>76088</v>
      </c>
      <c r="AG68" s="43">
        <v>76806</v>
      </c>
      <c r="AH68" s="43">
        <v>77141</v>
      </c>
      <c r="AI68" s="43">
        <v>77713</v>
      </c>
      <c r="AJ68" s="43">
        <v>79139</v>
      </c>
      <c r="AK68" s="43">
        <v>79477</v>
      </c>
      <c r="AL68" s="43">
        <v>80160</v>
      </c>
      <c r="AM68" s="43">
        <v>80699</v>
      </c>
      <c r="AN68" s="43">
        <v>81381</v>
      </c>
      <c r="AO68" s="43">
        <v>81625</v>
      </c>
      <c r="AP68" s="43">
        <v>81922</v>
      </c>
      <c r="AQ68" s="43">
        <v>82021</v>
      </c>
      <c r="AR68" s="43">
        <v>82124</v>
      </c>
      <c r="AS68" s="43">
        <v>81626</v>
      </c>
      <c r="AT68" s="43">
        <v>80911</v>
      </c>
      <c r="AU68" s="43">
        <v>79954</v>
      </c>
      <c r="AV68" s="43">
        <v>80128</v>
      </c>
      <c r="AW68" s="43">
        <v>80728</v>
      </c>
      <c r="AX68" s="43">
        <v>82463</v>
      </c>
      <c r="AY68" s="43">
        <v>84082</v>
      </c>
      <c r="AZ68" s="43">
        <v>84221</v>
      </c>
      <c r="BA68" s="43">
        <v>84390</v>
      </c>
      <c r="BB68" s="43">
        <v>85005</v>
      </c>
      <c r="BC68" s="43">
        <v>85311</v>
      </c>
      <c r="BD68" s="43">
        <v>85647</v>
      </c>
      <c r="BE68" s="43">
        <v>85824</v>
      </c>
      <c r="BF68" s="43">
        <v>86270</v>
      </c>
      <c r="BG68" s="43">
        <v>86607</v>
      </c>
      <c r="BH68" s="43">
        <v>86972</v>
      </c>
      <c r="BI68" s="43">
        <v>87192</v>
      </c>
      <c r="BJ68" s="43">
        <v>87532</v>
      </c>
      <c r="BK68" s="43">
        <v>87935</v>
      </c>
      <c r="BL68" s="43">
        <v>88384</v>
      </c>
      <c r="BM68" s="43">
        <v>88790</v>
      </c>
      <c r="BN68" s="43">
        <v>89152</v>
      </c>
      <c r="BO68" s="43">
        <v>89434</v>
      </c>
      <c r="BP68" s="43">
        <v>89758</v>
      </c>
      <c r="BQ68" s="43">
        <v>89973</v>
      </c>
      <c r="BR68" s="43">
        <v>90189</v>
      </c>
      <c r="BS68" s="43">
        <v>90331</v>
      </c>
      <c r="BT68" s="43">
        <v>90533</v>
      </c>
      <c r="BU68" s="43">
        <v>90703</v>
      </c>
      <c r="BV68" s="43">
        <v>90920</v>
      </c>
      <c r="BW68" s="43">
        <v>91109</v>
      </c>
      <c r="BX68" s="43">
        <v>91332</v>
      </c>
      <c r="BY68" s="43">
        <v>91537</v>
      </c>
      <c r="BZ68" s="43">
        <v>91854</v>
      </c>
      <c r="CA68" s="43">
        <v>92114</v>
      </c>
      <c r="CB68" s="43">
        <v>92334</v>
      </c>
      <c r="CC68" s="43">
        <v>92522</v>
      </c>
      <c r="CD68" s="43">
        <v>92701</v>
      </c>
      <c r="CE68" s="43">
        <v>92882</v>
      </c>
      <c r="CF68" s="43">
        <v>93063</v>
      </c>
      <c r="CG68" s="43">
        <v>93251</v>
      </c>
      <c r="CH68" s="43">
        <v>93414</v>
      </c>
      <c r="CI68" s="43">
        <v>93609</v>
      </c>
      <c r="CJ68" s="43">
        <v>93746</v>
      </c>
      <c r="CK68" s="43">
        <v>93897</v>
      </c>
      <c r="CL68" s="43">
        <v>94081</v>
      </c>
      <c r="CM68" s="43">
        <v>94209</v>
      </c>
      <c r="CN68" s="43">
        <v>94361</v>
      </c>
      <c r="CO68" s="43">
        <v>94480</v>
      </c>
      <c r="CP68" s="43">
        <v>94634</v>
      </c>
      <c r="CQ68" s="43">
        <v>94762</v>
      </c>
      <c r="CR68" s="43">
        <v>94871</v>
      </c>
      <c r="CS68" s="43">
        <v>95001</v>
      </c>
      <c r="CT68" s="43">
        <v>95115</v>
      </c>
      <c r="CU68" s="43">
        <v>95224</v>
      </c>
      <c r="CV68" s="43">
        <v>95304</v>
      </c>
      <c r="CW68" s="43">
        <v>95415</v>
      </c>
      <c r="CX68" s="43">
        <v>95518</v>
      </c>
      <c r="CY68" s="43">
        <v>95610</v>
      </c>
      <c r="CZ68" s="43">
        <v>95670</v>
      </c>
      <c r="DA68" s="43">
        <v>95761</v>
      </c>
      <c r="DB68" s="43">
        <v>95846</v>
      </c>
      <c r="DC68" s="43">
        <v>95953</v>
      </c>
      <c r="DD68" s="43">
        <v>96028</v>
      </c>
      <c r="DE68" s="43">
        <v>96114</v>
      </c>
      <c r="DF68" s="43">
        <v>96223</v>
      </c>
      <c r="DG68" s="43">
        <v>96274</v>
      </c>
      <c r="DH68" s="43">
        <v>96363</v>
      </c>
      <c r="DI68" s="43">
        <v>96410</v>
      </c>
      <c r="DJ68" s="43">
        <v>96497</v>
      </c>
      <c r="DK68" s="43">
        <v>96572</v>
      </c>
      <c r="DL68" s="43">
        <v>96634</v>
      </c>
      <c r="DM68" s="43">
        <v>96710</v>
      </c>
      <c r="DN68" s="43">
        <v>96784</v>
      </c>
      <c r="DO68" s="43">
        <v>96856</v>
      </c>
    </row>
    <row r="69" spans="1:119">
      <c r="A69" s="42">
        <v>67</v>
      </c>
      <c r="W69" s="43">
        <v>67452</v>
      </c>
      <c r="X69" s="43">
        <v>68402</v>
      </c>
      <c r="Y69" s="43">
        <v>68676</v>
      </c>
      <c r="Z69" s="43">
        <v>70673</v>
      </c>
      <c r="AA69" s="43">
        <v>71210</v>
      </c>
      <c r="AB69" s="43">
        <v>71988</v>
      </c>
      <c r="AC69" s="43">
        <v>73041</v>
      </c>
      <c r="AD69" s="43">
        <v>73827</v>
      </c>
      <c r="AE69" s="43">
        <v>74053</v>
      </c>
      <c r="AF69" s="43">
        <v>75246</v>
      </c>
      <c r="AG69" s="43">
        <v>75954</v>
      </c>
      <c r="AH69" s="43">
        <v>76298</v>
      </c>
      <c r="AI69" s="43">
        <v>76914</v>
      </c>
      <c r="AJ69" s="43">
        <v>78372</v>
      </c>
      <c r="AK69" s="43">
        <v>78688</v>
      </c>
      <c r="AL69" s="43">
        <v>79413</v>
      </c>
      <c r="AM69" s="43">
        <v>79989</v>
      </c>
      <c r="AN69" s="43">
        <v>80686</v>
      </c>
      <c r="AO69" s="43">
        <v>80953</v>
      </c>
      <c r="AP69" s="43">
        <v>81260</v>
      </c>
      <c r="AQ69" s="43">
        <v>81343</v>
      </c>
      <c r="AR69" s="43">
        <v>81437</v>
      </c>
      <c r="AS69" s="43">
        <v>80945</v>
      </c>
      <c r="AT69" s="43">
        <v>80207</v>
      </c>
      <c r="AU69" s="43">
        <v>79272</v>
      </c>
      <c r="AV69" s="43">
        <v>79393</v>
      </c>
      <c r="AW69" s="43">
        <v>80021</v>
      </c>
      <c r="AX69" s="43">
        <v>81735</v>
      </c>
      <c r="AY69" s="43">
        <v>83359</v>
      </c>
      <c r="AZ69" s="43">
        <v>83512</v>
      </c>
      <c r="BA69" s="43">
        <v>83694</v>
      </c>
      <c r="BB69" s="43">
        <v>84318</v>
      </c>
      <c r="BC69" s="43">
        <v>84635</v>
      </c>
      <c r="BD69" s="43">
        <v>84983</v>
      </c>
      <c r="BE69" s="43">
        <v>85172</v>
      </c>
      <c r="BF69" s="43">
        <v>85629</v>
      </c>
      <c r="BG69" s="43">
        <v>85976</v>
      </c>
      <c r="BH69" s="43">
        <v>86352</v>
      </c>
      <c r="BI69" s="43">
        <v>86583</v>
      </c>
      <c r="BJ69" s="43">
        <v>86933</v>
      </c>
      <c r="BK69" s="43">
        <v>87346</v>
      </c>
      <c r="BL69" s="43">
        <v>87803</v>
      </c>
      <c r="BM69" s="43">
        <v>88218</v>
      </c>
      <c r="BN69" s="43">
        <v>88591</v>
      </c>
      <c r="BO69" s="43">
        <v>88881</v>
      </c>
      <c r="BP69" s="43">
        <v>89214</v>
      </c>
      <c r="BQ69" s="43">
        <v>89440</v>
      </c>
      <c r="BR69" s="43">
        <v>89665</v>
      </c>
      <c r="BS69" s="43">
        <v>89817</v>
      </c>
      <c r="BT69" s="43">
        <v>90028</v>
      </c>
      <c r="BU69" s="43">
        <v>90207</v>
      </c>
      <c r="BV69" s="43">
        <v>90433</v>
      </c>
      <c r="BW69" s="43">
        <v>90631</v>
      </c>
      <c r="BX69" s="43">
        <v>90862</v>
      </c>
      <c r="BY69" s="43">
        <v>91076</v>
      </c>
      <c r="BZ69" s="43">
        <v>91401</v>
      </c>
      <c r="CA69" s="43">
        <v>91669</v>
      </c>
      <c r="CB69" s="43">
        <v>91896</v>
      </c>
      <c r="CC69" s="43">
        <v>92092</v>
      </c>
      <c r="CD69" s="43">
        <v>92279</v>
      </c>
      <c r="CE69" s="43">
        <v>92468</v>
      </c>
      <c r="CF69" s="43">
        <v>92656</v>
      </c>
      <c r="CG69" s="43">
        <v>92852</v>
      </c>
      <c r="CH69" s="43">
        <v>93022</v>
      </c>
      <c r="CI69" s="43">
        <v>93225</v>
      </c>
      <c r="CJ69" s="43">
        <v>93369</v>
      </c>
      <c r="CK69" s="43">
        <v>93527</v>
      </c>
      <c r="CL69" s="43">
        <v>93718</v>
      </c>
      <c r="CM69" s="43">
        <v>93853</v>
      </c>
      <c r="CN69" s="43">
        <v>94010</v>
      </c>
      <c r="CO69" s="43">
        <v>94137</v>
      </c>
      <c r="CP69" s="43">
        <v>94297</v>
      </c>
      <c r="CQ69" s="43">
        <v>94431</v>
      </c>
      <c r="CR69" s="43">
        <v>94547</v>
      </c>
      <c r="CS69" s="43">
        <v>94683</v>
      </c>
      <c r="CT69" s="43">
        <v>94803</v>
      </c>
      <c r="CU69" s="43">
        <v>94917</v>
      </c>
      <c r="CV69" s="43">
        <v>95004</v>
      </c>
      <c r="CW69" s="43">
        <v>95121</v>
      </c>
      <c r="CX69" s="43">
        <v>95229</v>
      </c>
      <c r="CY69" s="43">
        <v>95327</v>
      </c>
      <c r="CZ69" s="43">
        <v>95392</v>
      </c>
      <c r="DA69" s="43">
        <v>95489</v>
      </c>
      <c r="DB69" s="43">
        <v>95579</v>
      </c>
      <c r="DC69" s="43">
        <v>95691</v>
      </c>
      <c r="DD69" s="43">
        <v>95771</v>
      </c>
      <c r="DE69" s="43">
        <v>95862</v>
      </c>
      <c r="DF69" s="43">
        <v>95976</v>
      </c>
      <c r="DG69" s="43">
        <v>96032</v>
      </c>
      <c r="DH69" s="43">
        <v>96126</v>
      </c>
      <c r="DI69" s="43">
        <v>96176</v>
      </c>
      <c r="DJ69" s="43">
        <v>96269</v>
      </c>
      <c r="DK69" s="43">
        <v>96348</v>
      </c>
      <c r="DL69" s="43">
        <v>96414</v>
      </c>
      <c r="DM69" s="43">
        <v>96494</v>
      </c>
      <c r="DN69" s="43">
        <v>96572</v>
      </c>
      <c r="DO69" s="43">
        <v>96649</v>
      </c>
    </row>
    <row r="70" spans="1:119">
      <c r="A70" s="42">
        <v>68</v>
      </c>
      <c r="W70" s="43">
        <v>66449</v>
      </c>
      <c r="X70" s="43">
        <v>67379</v>
      </c>
      <c r="Y70" s="43">
        <v>67667</v>
      </c>
      <c r="Z70" s="43">
        <v>69670</v>
      </c>
      <c r="AA70" s="43">
        <v>70237</v>
      </c>
      <c r="AB70" s="43">
        <v>71019</v>
      </c>
      <c r="AC70" s="43">
        <v>72072</v>
      </c>
      <c r="AD70" s="43">
        <v>72856</v>
      </c>
      <c r="AE70" s="43">
        <v>73142</v>
      </c>
      <c r="AF70" s="43">
        <v>74328</v>
      </c>
      <c r="AG70" s="43">
        <v>75053</v>
      </c>
      <c r="AH70" s="43">
        <v>75432</v>
      </c>
      <c r="AI70" s="43">
        <v>76066</v>
      </c>
      <c r="AJ70" s="43">
        <v>77527</v>
      </c>
      <c r="AK70" s="43">
        <v>77871</v>
      </c>
      <c r="AL70" s="43">
        <v>78631</v>
      </c>
      <c r="AM70" s="43">
        <v>79212</v>
      </c>
      <c r="AN70" s="43">
        <v>79954</v>
      </c>
      <c r="AO70" s="43">
        <v>80241</v>
      </c>
      <c r="AP70" s="43">
        <v>80528</v>
      </c>
      <c r="AQ70" s="43">
        <v>80603</v>
      </c>
      <c r="AR70" s="43">
        <v>80703</v>
      </c>
      <c r="AS70" s="43">
        <v>80211</v>
      </c>
      <c r="AT70" s="43">
        <v>79466</v>
      </c>
      <c r="AU70" s="43">
        <v>78514</v>
      </c>
      <c r="AV70" s="43">
        <v>78649</v>
      </c>
      <c r="AW70" s="43">
        <v>79251</v>
      </c>
      <c r="AX70" s="43">
        <v>80972</v>
      </c>
      <c r="AY70" s="43">
        <v>82597</v>
      </c>
      <c r="AZ70" s="43">
        <v>82764</v>
      </c>
      <c r="BA70" s="43">
        <v>82960</v>
      </c>
      <c r="BB70" s="43">
        <v>83594</v>
      </c>
      <c r="BC70" s="43">
        <v>83924</v>
      </c>
      <c r="BD70" s="43">
        <v>84284</v>
      </c>
      <c r="BE70" s="43">
        <v>84485</v>
      </c>
      <c r="BF70" s="43">
        <v>84952</v>
      </c>
      <c r="BG70" s="43">
        <v>85311</v>
      </c>
      <c r="BH70" s="43">
        <v>85697</v>
      </c>
      <c r="BI70" s="43">
        <v>85941</v>
      </c>
      <c r="BJ70" s="43">
        <v>86301</v>
      </c>
      <c r="BK70" s="43">
        <v>86724</v>
      </c>
      <c r="BL70" s="43">
        <v>87191</v>
      </c>
      <c r="BM70" s="43">
        <v>87616</v>
      </c>
      <c r="BN70" s="43">
        <v>87998</v>
      </c>
      <c r="BO70" s="43">
        <v>88299</v>
      </c>
      <c r="BP70" s="43">
        <v>88642</v>
      </c>
      <c r="BQ70" s="43">
        <v>88877</v>
      </c>
      <c r="BR70" s="43">
        <v>89112</v>
      </c>
      <c r="BS70" s="43">
        <v>89275</v>
      </c>
      <c r="BT70" s="43">
        <v>89495</v>
      </c>
      <c r="BU70" s="43">
        <v>89684</v>
      </c>
      <c r="BV70" s="43">
        <v>89919</v>
      </c>
      <c r="BW70" s="43">
        <v>90127</v>
      </c>
      <c r="BX70" s="43">
        <v>90367</v>
      </c>
      <c r="BY70" s="43">
        <v>90589</v>
      </c>
      <c r="BZ70" s="43">
        <v>90923</v>
      </c>
      <c r="CA70" s="43">
        <v>91199</v>
      </c>
      <c r="CB70" s="43">
        <v>91435</v>
      </c>
      <c r="CC70" s="43">
        <v>91639</v>
      </c>
      <c r="CD70" s="43">
        <v>91834</v>
      </c>
      <c r="CE70" s="43">
        <v>92031</v>
      </c>
      <c r="CF70" s="43">
        <v>92227</v>
      </c>
      <c r="CG70" s="43">
        <v>92432</v>
      </c>
      <c r="CH70" s="43">
        <v>92609</v>
      </c>
      <c r="CI70" s="43">
        <v>92819</v>
      </c>
      <c r="CJ70" s="43">
        <v>92971</v>
      </c>
      <c r="CK70" s="43">
        <v>93136</v>
      </c>
      <c r="CL70" s="43">
        <v>93334</v>
      </c>
      <c r="CM70" s="43">
        <v>93476</v>
      </c>
      <c r="CN70" s="43">
        <v>93641</v>
      </c>
      <c r="CO70" s="43">
        <v>93774</v>
      </c>
      <c r="CP70" s="43">
        <v>93942</v>
      </c>
      <c r="CQ70" s="43">
        <v>94082</v>
      </c>
      <c r="CR70" s="43">
        <v>94204</v>
      </c>
      <c r="CS70" s="43">
        <v>94347</v>
      </c>
      <c r="CT70" s="43">
        <v>94473</v>
      </c>
      <c r="CU70" s="43">
        <v>94594</v>
      </c>
      <c r="CV70" s="43">
        <v>94687</v>
      </c>
      <c r="CW70" s="43">
        <v>94810</v>
      </c>
      <c r="CX70" s="43">
        <v>94924</v>
      </c>
      <c r="CY70" s="43">
        <v>95028</v>
      </c>
      <c r="CZ70" s="43">
        <v>95099</v>
      </c>
      <c r="DA70" s="43">
        <v>95201</v>
      </c>
      <c r="DB70" s="43">
        <v>95297</v>
      </c>
      <c r="DC70" s="43">
        <v>95415</v>
      </c>
      <c r="DD70" s="43">
        <v>95500</v>
      </c>
      <c r="DE70" s="43">
        <v>95596</v>
      </c>
      <c r="DF70" s="43">
        <v>95715</v>
      </c>
      <c r="DG70" s="43">
        <v>95776</v>
      </c>
      <c r="DH70" s="43">
        <v>95875</v>
      </c>
      <c r="DI70" s="43">
        <v>95931</v>
      </c>
      <c r="DJ70" s="43">
        <v>96027</v>
      </c>
      <c r="DK70" s="43">
        <v>96111</v>
      </c>
      <c r="DL70" s="43">
        <v>96182</v>
      </c>
      <c r="DM70" s="43">
        <v>96267</v>
      </c>
      <c r="DN70" s="43">
        <v>96350</v>
      </c>
      <c r="DO70" s="43">
        <v>96430</v>
      </c>
    </row>
    <row r="71" spans="1:119">
      <c r="A71" s="42">
        <v>69</v>
      </c>
      <c r="W71" s="43">
        <v>65331</v>
      </c>
      <c r="X71" s="43">
        <v>66277</v>
      </c>
      <c r="Y71" s="43">
        <v>66591</v>
      </c>
      <c r="Z71" s="43">
        <v>68619</v>
      </c>
      <c r="AA71" s="43">
        <v>69184</v>
      </c>
      <c r="AB71" s="43">
        <v>69991</v>
      </c>
      <c r="AC71" s="43">
        <v>71025</v>
      </c>
      <c r="AD71" s="43">
        <v>71845</v>
      </c>
      <c r="AE71" s="43">
        <v>72149</v>
      </c>
      <c r="AF71" s="43">
        <v>73355</v>
      </c>
      <c r="AG71" s="43">
        <v>74083</v>
      </c>
      <c r="AH71" s="43">
        <v>74523</v>
      </c>
      <c r="AI71" s="43">
        <v>75141</v>
      </c>
      <c r="AJ71" s="43">
        <v>76597</v>
      </c>
      <c r="AK71" s="43">
        <v>77015</v>
      </c>
      <c r="AL71" s="43">
        <v>77806</v>
      </c>
      <c r="AM71" s="43">
        <v>78405</v>
      </c>
      <c r="AN71" s="43">
        <v>79175</v>
      </c>
      <c r="AO71" s="43">
        <v>79438</v>
      </c>
      <c r="AP71" s="43">
        <v>79738</v>
      </c>
      <c r="AQ71" s="43">
        <v>79834</v>
      </c>
      <c r="AR71" s="43">
        <v>79888</v>
      </c>
      <c r="AS71" s="43">
        <v>79437</v>
      </c>
      <c r="AT71" s="43">
        <v>78637</v>
      </c>
      <c r="AU71" s="43">
        <v>77720</v>
      </c>
      <c r="AV71" s="43">
        <v>77806</v>
      </c>
      <c r="AW71" s="43">
        <v>78448</v>
      </c>
      <c r="AX71" s="43">
        <v>80169</v>
      </c>
      <c r="AY71" s="43">
        <v>81795</v>
      </c>
      <c r="AZ71" s="43">
        <v>81977</v>
      </c>
      <c r="BA71" s="43">
        <v>82188</v>
      </c>
      <c r="BB71" s="43">
        <v>82832</v>
      </c>
      <c r="BC71" s="43">
        <v>83174</v>
      </c>
      <c r="BD71" s="43">
        <v>83546</v>
      </c>
      <c r="BE71" s="43">
        <v>83761</v>
      </c>
      <c r="BF71" s="43">
        <v>84240</v>
      </c>
      <c r="BG71" s="43">
        <v>84610</v>
      </c>
      <c r="BH71" s="43">
        <v>85008</v>
      </c>
      <c r="BI71" s="43">
        <v>85264</v>
      </c>
      <c r="BJ71" s="43">
        <v>85636</v>
      </c>
      <c r="BK71" s="43">
        <v>86069</v>
      </c>
      <c r="BL71" s="43">
        <v>86546</v>
      </c>
      <c r="BM71" s="43">
        <v>86982</v>
      </c>
      <c r="BN71" s="43">
        <v>87374</v>
      </c>
      <c r="BO71" s="43">
        <v>87685</v>
      </c>
      <c r="BP71" s="43">
        <v>88038</v>
      </c>
      <c r="BQ71" s="43">
        <v>88284</v>
      </c>
      <c r="BR71" s="43">
        <v>88530</v>
      </c>
      <c r="BS71" s="43">
        <v>88703</v>
      </c>
      <c r="BT71" s="43">
        <v>88934</v>
      </c>
      <c r="BU71" s="43">
        <v>89133</v>
      </c>
      <c r="BV71" s="43">
        <v>89378</v>
      </c>
      <c r="BW71" s="43">
        <v>89595</v>
      </c>
      <c r="BX71" s="43">
        <v>89845</v>
      </c>
      <c r="BY71" s="43">
        <v>90076</v>
      </c>
      <c r="BZ71" s="43">
        <v>90418</v>
      </c>
      <c r="CA71" s="43">
        <v>90703</v>
      </c>
      <c r="CB71" s="43">
        <v>90948</v>
      </c>
      <c r="CC71" s="43">
        <v>91161</v>
      </c>
      <c r="CD71" s="43">
        <v>91365</v>
      </c>
      <c r="CE71" s="43">
        <v>91570</v>
      </c>
      <c r="CF71" s="43">
        <v>91775</v>
      </c>
      <c r="CG71" s="43">
        <v>91987</v>
      </c>
      <c r="CH71" s="43">
        <v>92173</v>
      </c>
      <c r="CI71" s="43">
        <v>92391</v>
      </c>
      <c r="CJ71" s="43">
        <v>92551</v>
      </c>
      <c r="CK71" s="43">
        <v>92724</v>
      </c>
      <c r="CL71" s="43">
        <v>92929</v>
      </c>
      <c r="CM71" s="43">
        <v>93079</v>
      </c>
      <c r="CN71" s="43">
        <v>93251</v>
      </c>
      <c r="CO71" s="43">
        <v>93392</v>
      </c>
      <c r="CP71" s="43">
        <v>93566</v>
      </c>
      <c r="CQ71" s="43">
        <v>93714</v>
      </c>
      <c r="CR71" s="43">
        <v>93843</v>
      </c>
      <c r="CS71" s="43">
        <v>93993</v>
      </c>
      <c r="CT71" s="43">
        <v>94125</v>
      </c>
      <c r="CU71" s="43">
        <v>94253</v>
      </c>
      <c r="CV71" s="43">
        <v>94352</v>
      </c>
      <c r="CW71" s="43">
        <v>94482</v>
      </c>
      <c r="CX71" s="43">
        <v>94602</v>
      </c>
      <c r="CY71" s="43">
        <v>94712</v>
      </c>
      <c r="CZ71" s="43">
        <v>94790</v>
      </c>
      <c r="DA71" s="43">
        <v>94898</v>
      </c>
      <c r="DB71" s="43">
        <v>94999</v>
      </c>
      <c r="DC71" s="43">
        <v>95123</v>
      </c>
      <c r="DD71" s="43">
        <v>95213</v>
      </c>
      <c r="DE71" s="43">
        <v>95315</v>
      </c>
      <c r="DF71" s="43">
        <v>95439</v>
      </c>
      <c r="DG71" s="43">
        <v>95506</v>
      </c>
      <c r="DH71" s="43">
        <v>95610</v>
      </c>
      <c r="DI71" s="43">
        <v>95671</v>
      </c>
      <c r="DJ71" s="43">
        <v>95773</v>
      </c>
      <c r="DK71" s="43">
        <v>95862</v>
      </c>
      <c r="DL71" s="43">
        <v>95938</v>
      </c>
      <c r="DM71" s="43">
        <v>96027</v>
      </c>
      <c r="DN71" s="43">
        <v>96114</v>
      </c>
      <c r="DO71" s="43">
        <v>96199</v>
      </c>
    </row>
    <row r="72" spans="1:119">
      <c r="A72" s="42">
        <v>70</v>
      </c>
      <c r="W72" s="43">
        <v>64143</v>
      </c>
      <c r="X72" s="43">
        <v>65103</v>
      </c>
      <c r="Y72" s="43">
        <v>65462</v>
      </c>
      <c r="Z72" s="43">
        <v>67464</v>
      </c>
      <c r="AA72" s="43">
        <v>68059</v>
      </c>
      <c r="AB72" s="43">
        <v>68841</v>
      </c>
      <c r="AC72" s="43">
        <v>69911</v>
      </c>
      <c r="AD72" s="43">
        <v>70767</v>
      </c>
      <c r="AE72" s="43">
        <v>71109</v>
      </c>
      <c r="AF72" s="43">
        <v>72323</v>
      </c>
      <c r="AG72" s="43">
        <v>73076</v>
      </c>
      <c r="AH72" s="43">
        <v>73528</v>
      </c>
      <c r="AI72" s="43">
        <v>74160</v>
      </c>
      <c r="AJ72" s="43">
        <v>75633</v>
      </c>
      <c r="AK72" s="43">
        <v>76068</v>
      </c>
      <c r="AL72" s="43">
        <v>76914</v>
      </c>
      <c r="AM72" s="43">
        <v>77545</v>
      </c>
      <c r="AN72" s="43">
        <v>78293</v>
      </c>
      <c r="AO72" s="43">
        <v>78575</v>
      </c>
      <c r="AP72" s="43">
        <v>78899</v>
      </c>
      <c r="AQ72" s="43">
        <v>78997</v>
      </c>
      <c r="AR72" s="43">
        <v>79033</v>
      </c>
      <c r="AS72" s="43">
        <v>78573</v>
      </c>
      <c r="AT72" s="43">
        <v>77771</v>
      </c>
      <c r="AU72" s="43">
        <v>76852</v>
      </c>
      <c r="AV72" s="43">
        <v>76951</v>
      </c>
      <c r="AW72" s="43">
        <v>77603</v>
      </c>
      <c r="AX72" s="43">
        <v>79324</v>
      </c>
      <c r="AY72" s="43">
        <v>80950</v>
      </c>
      <c r="AZ72" s="43">
        <v>81148</v>
      </c>
      <c r="BA72" s="43">
        <v>81374</v>
      </c>
      <c r="BB72" s="43">
        <v>82029</v>
      </c>
      <c r="BC72" s="43">
        <v>82385</v>
      </c>
      <c r="BD72" s="43">
        <v>82770</v>
      </c>
      <c r="BE72" s="43">
        <v>82999</v>
      </c>
      <c r="BF72" s="43">
        <v>83489</v>
      </c>
      <c r="BG72" s="43">
        <v>83872</v>
      </c>
      <c r="BH72" s="43">
        <v>84282</v>
      </c>
      <c r="BI72" s="43">
        <v>84551</v>
      </c>
      <c r="BJ72" s="43">
        <v>84934</v>
      </c>
      <c r="BK72" s="43">
        <v>85379</v>
      </c>
      <c r="BL72" s="43">
        <v>85866</v>
      </c>
      <c r="BM72" s="43">
        <v>86312</v>
      </c>
      <c r="BN72" s="43">
        <v>86715</v>
      </c>
      <c r="BO72" s="43">
        <v>87037</v>
      </c>
      <c r="BP72" s="43">
        <v>87401</v>
      </c>
      <c r="BQ72" s="43">
        <v>87658</v>
      </c>
      <c r="BR72" s="43">
        <v>87915</v>
      </c>
      <c r="BS72" s="43">
        <v>88100</v>
      </c>
      <c r="BT72" s="43">
        <v>88341</v>
      </c>
      <c r="BU72" s="43">
        <v>88551</v>
      </c>
      <c r="BV72" s="43">
        <v>88806</v>
      </c>
      <c r="BW72" s="43">
        <v>89033</v>
      </c>
      <c r="BX72" s="43">
        <v>89293</v>
      </c>
      <c r="BY72" s="43">
        <v>89535</v>
      </c>
      <c r="BZ72" s="43">
        <v>89885</v>
      </c>
      <c r="CA72" s="43">
        <v>90180</v>
      </c>
      <c r="CB72" s="43">
        <v>90433</v>
      </c>
      <c r="CC72" s="43">
        <v>90656</v>
      </c>
      <c r="CD72" s="43">
        <v>90869</v>
      </c>
      <c r="CE72" s="43">
        <v>91083</v>
      </c>
      <c r="CF72" s="43">
        <v>91297</v>
      </c>
      <c r="CG72" s="43">
        <v>91518</v>
      </c>
      <c r="CH72" s="43">
        <v>91712</v>
      </c>
      <c r="CI72" s="43">
        <v>91938</v>
      </c>
      <c r="CJ72" s="43">
        <v>92107</v>
      </c>
      <c r="CK72" s="43">
        <v>92288</v>
      </c>
      <c r="CL72" s="43">
        <v>92501</v>
      </c>
      <c r="CM72" s="43">
        <v>92659</v>
      </c>
      <c r="CN72" s="43">
        <v>92839</v>
      </c>
      <c r="CO72" s="43">
        <v>92987</v>
      </c>
      <c r="CP72" s="43">
        <v>93169</v>
      </c>
      <c r="CQ72" s="43">
        <v>93325</v>
      </c>
      <c r="CR72" s="43">
        <v>93461</v>
      </c>
      <c r="CS72" s="43">
        <v>93618</v>
      </c>
      <c r="CT72" s="43">
        <v>93758</v>
      </c>
      <c r="CU72" s="43">
        <v>93892</v>
      </c>
      <c r="CV72" s="43">
        <v>93998</v>
      </c>
      <c r="CW72" s="43">
        <v>94135</v>
      </c>
      <c r="CX72" s="43">
        <v>94261</v>
      </c>
      <c r="CY72" s="43">
        <v>94378</v>
      </c>
      <c r="CZ72" s="43">
        <v>94462</v>
      </c>
      <c r="DA72" s="43">
        <v>94576</v>
      </c>
      <c r="DB72" s="43">
        <v>94684</v>
      </c>
      <c r="DC72" s="43">
        <v>94814</v>
      </c>
      <c r="DD72" s="43">
        <v>94910</v>
      </c>
      <c r="DE72" s="43">
        <v>95018</v>
      </c>
      <c r="DF72" s="43">
        <v>95148</v>
      </c>
      <c r="DG72" s="43">
        <v>95220</v>
      </c>
      <c r="DH72" s="43">
        <v>95330</v>
      </c>
      <c r="DI72" s="43">
        <v>95396</v>
      </c>
      <c r="DJ72" s="43">
        <v>95504</v>
      </c>
      <c r="DK72" s="43">
        <v>95597</v>
      </c>
      <c r="DL72" s="43">
        <v>95679</v>
      </c>
      <c r="DM72" s="43">
        <v>95773</v>
      </c>
      <c r="DN72" s="43">
        <v>95865</v>
      </c>
      <c r="DO72" s="43">
        <v>95955</v>
      </c>
    </row>
    <row r="73" spans="1:119">
      <c r="A73" s="42">
        <v>71</v>
      </c>
      <c r="W73" s="43">
        <v>62877</v>
      </c>
      <c r="X73" s="43">
        <v>63886</v>
      </c>
      <c r="Y73" s="43">
        <v>64236</v>
      </c>
      <c r="Z73" s="43">
        <v>66225</v>
      </c>
      <c r="AA73" s="43">
        <v>66837</v>
      </c>
      <c r="AB73" s="43">
        <v>67652</v>
      </c>
      <c r="AC73" s="43">
        <v>68748</v>
      </c>
      <c r="AD73" s="43">
        <v>69617</v>
      </c>
      <c r="AE73" s="43">
        <v>70000</v>
      </c>
      <c r="AF73" s="43">
        <v>71208</v>
      </c>
      <c r="AG73" s="43">
        <v>71985</v>
      </c>
      <c r="AH73" s="43">
        <v>72428</v>
      </c>
      <c r="AI73" s="43">
        <v>73119</v>
      </c>
      <c r="AJ73" s="43">
        <v>74607</v>
      </c>
      <c r="AK73" s="43">
        <v>75098</v>
      </c>
      <c r="AL73" s="43">
        <v>75959</v>
      </c>
      <c r="AM73" s="43">
        <v>76607</v>
      </c>
      <c r="AN73" s="43">
        <v>77359</v>
      </c>
      <c r="AO73" s="43">
        <v>77670</v>
      </c>
      <c r="AP73" s="43">
        <v>77975</v>
      </c>
      <c r="AQ73" s="43">
        <v>78063</v>
      </c>
      <c r="AR73" s="43">
        <v>78071</v>
      </c>
      <c r="AS73" s="43">
        <v>77661</v>
      </c>
      <c r="AT73" s="43">
        <v>76819</v>
      </c>
      <c r="AU73" s="43">
        <v>75933</v>
      </c>
      <c r="AV73" s="43">
        <v>76050</v>
      </c>
      <c r="AW73" s="43">
        <v>76714</v>
      </c>
      <c r="AX73" s="43">
        <v>78434</v>
      </c>
      <c r="AY73" s="43">
        <v>80061</v>
      </c>
      <c r="AZ73" s="43">
        <v>80275</v>
      </c>
      <c r="BA73" s="43">
        <v>80517</v>
      </c>
      <c r="BB73" s="43">
        <v>81183</v>
      </c>
      <c r="BC73" s="43">
        <v>81553</v>
      </c>
      <c r="BD73" s="43">
        <v>81952</v>
      </c>
      <c r="BE73" s="43">
        <v>82196</v>
      </c>
      <c r="BF73" s="43">
        <v>82698</v>
      </c>
      <c r="BG73" s="43">
        <v>83094</v>
      </c>
      <c r="BH73" s="43">
        <v>83516</v>
      </c>
      <c r="BI73" s="43">
        <v>83799</v>
      </c>
      <c r="BJ73" s="43">
        <v>84195</v>
      </c>
      <c r="BK73" s="43">
        <v>84650</v>
      </c>
      <c r="BL73" s="43">
        <v>85149</v>
      </c>
      <c r="BM73" s="43">
        <v>85605</v>
      </c>
      <c r="BN73" s="43">
        <v>86019</v>
      </c>
      <c r="BO73" s="43">
        <v>86353</v>
      </c>
      <c r="BP73" s="43">
        <v>86728</v>
      </c>
      <c r="BQ73" s="43">
        <v>86997</v>
      </c>
      <c r="BR73" s="43">
        <v>87265</v>
      </c>
      <c r="BS73" s="43">
        <v>87462</v>
      </c>
      <c r="BT73" s="43">
        <v>87714</v>
      </c>
      <c r="BU73" s="43">
        <v>87936</v>
      </c>
      <c r="BV73" s="43">
        <v>88202</v>
      </c>
      <c r="BW73" s="43">
        <v>88440</v>
      </c>
      <c r="BX73" s="43">
        <v>88710</v>
      </c>
      <c r="BY73" s="43">
        <v>88962</v>
      </c>
      <c r="BZ73" s="43">
        <v>89322</v>
      </c>
      <c r="CA73" s="43">
        <v>89626</v>
      </c>
      <c r="CB73" s="43">
        <v>89889</v>
      </c>
      <c r="CC73" s="43">
        <v>90122</v>
      </c>
      <c r="CD73" s="43">
        <v>90344</v>
      </c>
      <c r="CE73" s="43">
        <v>90568</v>
      </c>
      <c r="CF73" s="43">
        <v>90791</v>
      </c>
      <c r="CG73" s="43">
        <v>91021</v>
      </c>
      <c r="CH73" s="43">
        <v>91224</v>
      </c>
      <c r="CI73" s="43">
        <v>91459</v>
      </c>
      <c r="CJ73" s="43">
        <v>91636</v>
      </c>
      <c r="CK73" s="43">
        <v>91826</v>
      </c>
      <c r="CL73" s="43">
        <v>92048</v>
      </c>
      <c r="CM73" s="43">
        <v>92214</v>
      </c>
      <c r="CN73" s="43">
        <v>92402</v>
      </c>
      <c r="CO73" s="43">
        <v>92559</v>
      </c>
      <c r="CP73" s="43">
        <v>92749</v>
      </c>
      <c r="CQ73" s="43">
        <v>92912</v>
      </c>
      <c r="CR73" s="43">
        <v>93056</v>
      </c>
      <c r="CS73" s="43">
        <v>93220</v>
      </c>
      <c r="CT73" s="43">
        <v>93368</v>
      </c>
      <c r="CU73" s="43">
        <v>93510</v>
      </c>
      <c r="CV73" s="43">
        <v>93623</v>
      </c>
      <c r="CW73" s="43">
        <v>93766</v>
      </c>
      <c r="CX73" s="43">
        <v>93900</v>
      </c>
      <c r="CY73" s="43">
        <v>94024</v>
      </c>
      <c r="CZ73" s="43">
        <v>94115</v>
      </c>
      <c r="DA73" s="43">
        <v>94236</v>
      </c>
      <c r="DB73" s="43">
        <v>94350</v>
      </c>
      <c r="DC73" s="43">
        <v>94486</v>
      </c>
      <c r="DD73" s="43">
        <v>94589</v>
      </c>
      <c r="DE73" s="43">
        <v>94703</v>
      </c>
      <c r="DF73" s="43">
        <v>94839</v>
      </c>
      <c r="DG73" s="43">
        <v>94917</v>
      </c>
      <c r="DH73" s="43">
        <v>95032</v>
      </c>
      <c r="DI73" s="43">
        <v>95105</v>
      </c>
      <c r="DJ73" s="43">
        <v>95218</v>
      </c>
      <c r="DK73" s="43">
        <v>95317</v>
      </c>
      <c r="DL73" s="43">
        <v>95404</v>
      </c>
      <c r="DM73" s="43">
        <v>95503</v>
      </c>
      <c r="DN73" s="43">
        <v>95601</v>
      </c>
      <c r="DO73" s="43">
        <v>95696</v>
      </c>
    </row>
    <row r="74" spans="1:119">
      <c r="A74" s="42">
        <v>72</v>
      </c>
      <c r="W74" s="43">
        <v>61543</v>
      </c>
      <c r="X74" s="43">
        <v>62558</v>
      </c>
      <c r="Y74" s="43">
        <v>62947</v>
      </c>
      <c r="Z74" s="43">
        <v>64908</v>
      </c>
      <c r="AA74" s="43">
        <v>65552</v>
      </c>
      <c r="AB74" s="43">
        <v>66383</v>
      </c>
      <c r="AC74" s="43">
        <v>67486</v>
      </c>
      <c r="AD74" s="43">
        <v>68410</v>
      </c>
      <c r="AE74" s="43">
        <v>68831</v>
      </c>
      <c r="AF74" s="43">
        <v>70010</v>
      </c>
      <c r="AG74" s="43">
        <v>70792</v>
      </c>
      <c r="AH74" s="43">
        <v>71276</v>
      </c>
      <c r="AI74" s="43">
        <v>71994</v>
      </c>
      <c r="AJ74" s="43">
        <v>73511</v>
      </c>
      <c r="AK74" s="43">
        <v>74043</v>
      </c>
      <c r="AL74" s="43">
        <v>74927</v>
      </c>
      <c r="AM74" s="43">
        <v>75596</v>
      </c>
      <c r="AN74" s="43">
        <v>76364</v>
      </c>
      <c r="AO74" s="43">
        <v>76695</v>
      </c>
      <c r="AP74" s="43">
        <v>76971</v>
      </c>
      <c r="AQ74" s="43">
        <v>77058</v>
      </c>
      <c r="AR74" s="43">
        <v>77088</v>
      </c>
      <c r="AS74" s="43">
        <v>76617</v>
      </c>
      <c r="AT74" s="43">
        <v>75819</v>
      </c>
      <c r="AU74" s="43">
        <v>74965</v>
      </c>
      <c r="AV74" s="43">
        <v>75101</v>
      </c>
      <c r="AW74" s="43">
        <v>75776</v>
      </c>
      <c r="AX74" s="43">
        <v>77495</v>
      </c>
      <c r="AY74" s="43">
        <v>79122</v>
      </c>
      <c r="AZ74" s="43">
        <v>79354</v>
      </c>
      <c r="BA74" s="43">
        <v>79612</v>
      </c>
      <c r="BB74" s="43">
        <v>80289</v>
      </c>
      <c r="BC74" s="43">
        <v>80674</v>
      </c>
      <c r="BD74" s="43">
        <v>81087</v>
      </c>
      <c r="BE74" s="43">
        <v>81346</v>
      </c>
      <c r="BF74" s="43">
        <v>81861</v>
      </c>
      <c r="BG74" s="43">
        <v>82270</v>
      </c>
      <c r="BH74" s="43">
        <v>82705</v>
      </c>
      <c r="BI74" s="43">
        <v>83002</v>
      </c>
      <c r="BJ74" s="43">
        <v>83410</v>
      </c>
      <c r="BK74" s="43">
        <v>83878</v>
      </c>
      <c r="BL74" s="43">
        <v>84387</v>
      </c>
      <c r="BM74" s="43">
        <v>84855</v>
      </c>
      <c r="BN74" s="43">
        <v>85280</v>
      </c>
      <c r="BO74" s="43">
        <v>85626</v>
      </c>
      <c r="BP74" s="43">
        <v>86012</v>
      </c>
      <c r="BQ74" s="43">
        <v>86294</v>
      </c>
      <c r="BR74" s="43">
        <v>86574</v>
      </c>
      <c r="BS74" s="43">
        <v>86783</v>
      </c>
      <c r="BT74" s="43">
        <v>87047</v>
      </c>
      <c r="BU74" s="43">
        <v>87280</v>
      </c>
      <c r="BV74" s="43">
        <v>87557</v>
      </c>
      <c r="BW74" s="43">
        <v>87807</v>
      </c>
      <c r="BX74" s="43">
        <v>88088</v>
      </c>
      <c r="BY74" s="43">
        <v>88350</v>
      </c>
      <c r="BZ74" s="43">
        <v>88720</v>
      </c>
      <c r="CA74" s="43">
        <v>89034</v>
      </c>
      <c r="CB74" s="43">
        <v>89308</v>
      </c>
      <c r="CC74" s="43">
        <v>89551</v>
      </c>
      <c r="CD74" s="43">
        <v>89783</v>
      </c>
      <c r="CE74" s="43">
        <v>90017</v>
      </c>
      <c r="CF74" s="43">
        <v>90250</v>
      </c>
      <c r="CG74" s="43">
        <v>90489</v>
      </c>
      <c r="CH74" s="43">
        <v>90702</v>
      </c>
      <c r="CI74" s="43">
        <v>90946</v>
      </c>
      <c r="CJ74" s="43">
        <v>91133</v>
      </c>
      <c r="CK74" s="43">
        <v>91332</v>
      </c>
      <c r="CL74" s="43">
        <v>91562</v>
      </c>
      <c r="CM74" s="43">
        <v>91737</v>
      </c>
      <c r="CN74" s="43">
        <v>91934</v>
      </c>
      <c r="CO74" s="43">
        <v>92099</v>
      </c>
      <c r="CP74" s="43">
        <v>92297</v>
      </c>
      <c r="CQ74" s="43">
        <v>92469</v>
      </c>
      <c r="CR74" s="43">
        <v>92621</v>
      </c>
      <c r="CS74" s="43">
        <v>92794</v>
      </c>
      <c r="CT74" s="43">
        <v>92949</v>
      </c>
      <c r="CU74" s="43">
        <v>93099</v>
      </c>
      <c r="CV74" s="43">
        <v>93220</v>
      </c>
      <c r="CW74" s="43">
        <v>93371</v>
      </c>
      <c r="CX74" s="43">
        <v>93512</v>
      </c>
      <c r="CY74" s="43">
        <v>93643</v>
      </c>
      <c r="CZ74" s="43">
        <v>93741</v>
      </c>
      <c r="DA74" s="43">
        <v>93869</v>
      </c>
      <c r="DB74" s="43">
        <v>93990</v>
      </c>
      <c r="DC74" s="43">
        <v>94133</v>
      </c>
      <c r="DD74" s="43">
        <v>94243</v>
      </c>
      <c r="DE74" s="43">
        <v>94363</v>
      </c>
      <c r="DF74" s="43">
        <v>94505</v>
      </c>
      <c r="DG74" s="43">
        <v>94590</v>
      </c>
      <c r="DH74" s="43">
        <v>94711</v>
      </c>
      <c r="DI74" s="43">
        <v>94790</v>
      </c>
      <c r="DJ74" s="43">
        <v>94909</v>
      </c>
      <c r="DK74" s="43">
        <v>95014</v>
      </c>
      <c r="DL74" s="43">
        <v>95107</v>
      </c>
      <c r="DM74" s="43">
        <v>95212</v>
      </c>
      <c r="DN74" s="43">
        <v>95315</v>
      </c>
      <c r="DO74" s="43">
        <v>95416</v>
      </c>
    </row>
    <row r="75" spans="1:119">
      <c r="A75" s="42">
        <v>73</v>
      </c>
      <c r="W75" s="43">
        <v>60077</v>
      </c>
      <c r="X75" s="43">
        <v>61147</v>
      </c>
      <c r="Y75" s="43">
        <v>61512</v>
      </c>
      <c r="Z75" s="43">
        <v>63514</v>
      </c>
      <c r="AA75" s="43">
        <v>64155</v>
      </c>
      <c r="AB75" s="43">
        <v>65008</v>
      </c>
      <c r="AC75" s="43">
        <v>66157</v>
      </c>
      <c r="AD75" s="43">
        <v>67103</v>
      </c>
      <c r="AE75" s="43">
        <v>67555</v>
      </c>
      <c r="AF75" s="43">
        <v>68713</v>
      </c>
      <c r="AG75" s="43">
        <v>69538</v>
      </c>
      <c r="AH75" s="43">
        <v>70066</v>
      </c>
      <c r="AI75" s="43">
        <v>70786</v>
      </c>
      <c r="AJ75" s="43">
        <v>72352</v>
      </c>
      <c r="AK75" s="43">
        <v>72869</v>
      </c>
      <c r="AL75" s="43">
        <v>73786</v>
      </c>
      <c r="AM75" s="43">
        <v>74495</v>
      </c>
      <c r="AN75" s="43">
        <v>75279</v>
      </c>
      <c r="AO75" s="43">
        <v>75604</v>
      </c>
      <c r="AP75" s="43">
        <v>75880</v>
      </c>
      <c r="AQ75" s="43">
        <v>75998</v>
      </c>
      <c r="AR75" s="43">
        <v>75964</v>
      </c>
      <c r="AS75" s="43">
        <v>75527</v>
      </c>
      <c r="AT75" s="43">
        <v>74763</v>
      </c>
      <c r="AU75" s="43">
        <v>73943</v>
      </c>
      <c r="AV75" s="43">
        <v>74097</v>
      </c>
      <c r="AW75" s="43">
        <v>74784</v>
      </c>
      <c r="AX75" s="43">
        <v>76501</v>
      </c>
      <c r="AY75" s="43">
        <v>78129</v>
      </c>
      <c r="AZ75" s="43">
        <v>78378</v>
      </c>
      <c r="BA75" s="43">
        <v>78652</v>
      </c>
      <c r="BB75" s="43">
        <v>79342</v>
      </c>
      <c r="BC75" s="43">
        <v>79741</v>
      </c>
      <c r="BD75" s="43">
        <v>80168</v>
      </c>
      <c r="BE75" s="43">
        <v>80444</v>
      </c>
      <c r="BF75" s="43">
        <v>80971</v>
      </c>
      <c r="BG75" s="43">
        <v>81394</v>
      </c>
      <c r="BH75" s="43">
        <v>81843</v>
      </c>
      <c r="BI75" s="43">
        <v>82154</v>
      </c>
      <c r="BJ75" s="43">
        <v>82575</v>
      </c>
      <c r="BK75" s="43">
        <v>83054</v>
      </c>
      <c r="BL75" s="43">
        <v>83575</v>
      </c>
      <c r="BM75" s="43">
        <v>84054</v>
      </c>
      <c r="BN75" s="43">
        <v>84492</v>
      </c>
      <c r="BO75" s="43">
        <v>84850</v>
      </c>
      <c r="BP75" s="43">
        <v>85248</v>
      </c>
      <c r="BQ75" s="43">
        <v>85542</v>
      </c>
      <c r="BR75" s="43">
        <v>85835</v>
      </c>
      <c r="BS75" s="43">
        <v>86057</v>
      </c>
      <c r="BT75" s="43">
        <v>86333</v>
      </c>
      <c r="BU75" s="43">
        <v>86579</v>
      </c>
      <c r="BV75" s="43">
        <v>86867</v>
      </c>
      <c r="BW75" s="43">
        <v>87128</v>
      </c>
      <c r="BX75" s="43">
        <v>87421</v>
      </c>
      <c r="BY75" s="43">
        <v>87695</v>
      </c>
      <c r="BZ75" s="43">
        <v>88075</v>
      </c>
      <c r="CA75" s="43">
        <v>88400</v>
      </c>
      <c r="CB75" s="43">
        <v>88684</v>
      </c>
      <c r="CC75" s="43">
        <v>88937</v>
      </c>
      <c r="CD75" s="43">
        <v>89180</v>
      </c>
      <c r="CE75" s="43">
        <v>89424</v>
      </c>
      <c r="CF75" s="43">
        <v>89667</v>
      </c>
      <c r="CG75" s="43">
        <v>89917</v>
      </c>
      <c r="CH75" s="43">
        <v>90140</v>
      </c>
      <c r="CI75" s="43">
        <v>90394</v>
      </c>
      <c r="CJ75" s="43">
        <v>90590</v>
      </c>
      <c r="CK75" s="43">
        <v>90799</v>
      </c>
      <c r="CL75" s="43">
        <v>91038</v>
      </c>
      <c r="CM75" s="43">
        <v>91223</v>
      </c>
      <c r="CN75" s="43">
        <v>91429</v>
      </c>
      <c r="CO75" s="43">
        <v>91603</v>
      </c>
      <c r="CP75" s="43">
        <v>91810</v>
      </c>
      <c r="CQ75" s="43">
        <v>91990</v>
      </c>
      <c r="CR75" s="43">
        <v>92151</v>
      </c>
      <c r="CS75" s="43">
        <v>92332</v>
      </c>
      <c r="CT75" s="43">
        <v>92495</v>
      </c>
      <c r="CU75" s="43">
        <v>92653</v>
      </c>
      <c r="CV75" s="43">
        <v>92783</v>
      </c>
      <c r="CW75" s="43">
        <v>92942</v>
      </c>
      <c r="CX75" s="43">
        <v>93091</v>
      </c>
      <c r="CY75" s="43">
        <v>93229</v>
      </c>
      <c r="CZ75" s="43">
        <v>93335</v>
      </c>
      <c r="DA75" s="43">
        <v>93471</v>
      </c>
      <c r="DB75" s="43">
        <v>93600</v>
      </c>
      <c r="DC75" s="43">
        <v>93749</v>
      </c>
      <c r="DD75" s="43">
        <v>93866</v>
      </c>
      <c r="DE75" s="43">
        <v>93993</v>
      </c>
      <c r="DF75" s="43">
        <v>94143</v>
      </c>
      <c r="DG75" s="43">
        <v>94234</v>
      </c>
      <c r="DH75" s="43">
        <v>94362</v>
      </c>
      <c r="DI75" s="43">
        <v>94448</v>
      </c>
      <c r="DJ75" s="43">
        <v>94573</v>
      </c>
      <c r="DK75" s="43">
        <v>94684</v>
      </c>
      <c r="DL75" s="43">
        <v>94783</v>
      </c>
      <c r="DM75" s="43">
        <v>94894</v>
      </c>
      <c r="DN75" s="43">
        <v>95003</v>
      </c>
      <c r="DO75" s="43">
        <v>95110</v>
      </c>
    </row>
    <row r="76" spans="1:119">
      <c r="A76" s="42">
        <v>74</v>
      </c>
      <c r="W76" s="43">
        <v>58549</v>
      </c>
      <c r="X76" s="43">
        <v>59573</v>
      </c>
      <c r="Y76" s="43">
        <v>60043</v>
      </c>
      <c r="Z76" s="43">
        <v>62061</v>
      </c>
      <c r="AA76" s="43">
        <v>62671</v>
      </c>
      <c r="AB76" s="43">
        <v>63592</v>
      </c>
      <c r="AC76" s="43">
        <v>64752</v>
      </c>
      <c r="AD76" s="43">
        <v>65703</v>
      </c>
      <c r="AE76" s="43">
        <v>66147</v>
      </c>
      <c r="AF76" s="43">
        <v>67360</v>
      </c>
      <c r="AG76" s="43">
        <v>68184</v>
      </c>
      <c r="AH76" s="43">
        <v>68773</v>
      </c>
      <c r="AI76" s="43">
        <v>69520</v>
      </c>
      <c r="AJ76" s="43">
        <v>71077</v>
      </c>
      <c r="AK76" s="43">
        <v>71589</v>
      </c>
      <c r="AL76" s="43">
        <v>72574</v>
      </c>
      <c r="AM76" s="43">
        <v>73304</v>
      </c>
      <c r="AN76" s="43">
        <v>74091</v>
      </c>
      <c r="AO76" s="43">
        <v>74421</v>
      </c>
      <c r="AP76" s="43">
        <v>74727</v>
      </c>
      <c r="AQ76" s="43">
        <v>74811</v>
      </c>
      <c r="AR76" s="43">
        <v>74778</v>
      </c>
      <c r="AS76" s="43">
        <v>74372</v>
      </c>
      <c r="AT76" s="43">
        <v>73643</v>
      </c>
      <c r="AU76" s="43">
        <v>72857</v>
      </c>
      <c r="AV76" s="43">
        <v>73031</v>
      </c>
      <c r="AW76" s="43">
        <v>73730</v>
      </c>
      <c r="AX76" s="43">
        <v>75444</v>
      </c>
      <c r="AY76" s="43">
        <v>77071</v>
      </c>
      <c r="AZ76" s="43">
        <v>77338</v>
      </c>
      <c r="BA76" s="43">
        <v>77630</v>
      </c>
      <c r="BB76" s="43">
        <v>78332</v>
      </c>
      <c r="BC76" s="43">
        <v>78746</v>
      </c>
      <c r="BD76" s="43">
        <v>79188</v>
      </c>
      <c r="BE76" s="43">
        <v>79480</v>
      </c>
      <c r="BF76" s="43">
        <v>80021</v>
      </c>
      <c r="BG76" s="43">
        <v>80458</v>
      </c>
      <c r="BH76" s="43">
        <v>80920</v>
      </c>
      <c r="BI76" s="43">
        <v>81245</v>
      </c>
      <c r="BJ76" s="43">
        <v>81679</v>
      </c>
      <c r="BK76" s="43">
        <v>82171</v>
      </c>
      <c r="BL76" s="43">
        <v>82704</v>
      </c>
      <c r="BM76" s="43">
        <v>83195</v>
      </c>
      <c r="BN76" s="43">
        <v>83645</v>
      </c>
      <c r="BO76" s="43">
        <v>84016</v>
      </c>
      <c r="BP76" s="43">
        <v>84427</v>
      </c>
      <c r="BQ76" s="43">
        <v>84734</v>
      </c>
      <c r="BR76" s="43">
        <v>85040</v>
      </c>
      <c r="BS76" s="43">
        <v>85275</v>
      </c>
      <c r="BT76" s="43">
        <v>85564</v>
      </c>
      <c r="BU76" s="43">
        <v>85822</v>
      </c>
      <c r="BV76" s="43">
        <v>86123</v>
      </c>
      <c r="BW76" s="43">
        <v>86397</v>
      </c>
      <c r="BX76" s="43">
        <v>86701</v>
      </c>
      <c r="BY76" s="43">
        <v>86986</v>
      </c>
      <c r="BZ76" s="43">
        <v>87378</v>
      </c>
      <c r="CA76" s="43">
        <v>87713</v>
      </c>
      <c r="CB76" s="43">
        <v>88008</v>
      </c>
      <c r="CC76" s="43">
        <v>88273</v>
      </c>
      <c r="CD76" s="43">
        <v>88527</v>
      </c>
      <c r="CE76" s="43">
        <v>88782</v>
      </c>
      <c r="CF76" s="43">
        <v>89036</v>
      </c>
      <c r="CG76" s="43">
        <v>89296</v>
      </c>
      <c r="CH76" s="43">
        <v>89529</v>
      </c>
      <c r="CI76" s="43">
        <v>89794</v>
      </c>
      <c r="CJ76" s="43">
        <v>90000</v>
      </c>
      <c r="CK76" s="43">
        <v>90219</v>
      </c>
      <c r="CL76" s="43">
        <v>90468</v>
      </c>
      <c r="CM76" s="43">
        <v>90663</v>
      </c>
      <c r="CN76" s="43">
        <v>90879</v>
      </c>
      <c r="CO76" s="43">
        <v>91062</v>
      </c>
      <c r="CP76" s="43">
        <v>91279</v>
      </c>
      <c r="CQ76" s="43">
        <v>91468</v>
      </c>
      <c r="CR76" s="43">
        <v>91638</v>
      </c>
      <c r="CS76" s="43">
        <v>91828</v>
      </c>
      <c r="CT76" s="43">
        <v>92001</v>
      </c>
      <c r="CU76" s="43">
        <v>92168</v>
      </c>
      <c r="CV76" s="43">
        <v>92306</v>
      </c>
      <c r="CW76" s="43">
        <v>92473</v>
      </c>
      <c r="CX76" s="43">
        <v>92631</v>
      </c>
      <c r="CY76" s="43">
        <v>92777</v>
      </c>
      <c r="CZ76" s="43">
        <v>92892</v>
      </c>
      <c r="DA76" s="43">
        <v>93035</v>
      </c>
      <c r="DB76" s="43">
        <v>93172</v>
      </c>
      <c r="DC76" s="43">
        <v>93329</v>
      </c>
      <c r="DD76" s="43">
        <v>93454</v>
      </c>
      <c r="DE76" s="43">
        <v>93588</v>
      </c>
      <c r="DF76" s="43">
        <v>93745</v>
      </c>
      <c r="DG76" s="43">
        <v>93844</v>
      </c>
      <c r="DH76" s="43">
        <v>93979</v>
      </c>
      <c r="DI76" s="43">
        <v>94071</v>
      </c>
      <c r="DJ76" s="43">
        <v>94203</v>
      </c>
      <c r="DK76" s="43">
        <v>94322</v>
      </c>
      <c r="DL76" s="43">
        <v>94427</v>
      </c>
      <c r="DM76" s="43">
        <v>94545</v>
      </c>
      <c r="DN76" s="43">
        <v>94660</v>
      </c>
      <c r="DO76" s="43">
        <v>94773</v>
      </c>
    </row>
    <row r="77" spans="1:119">
      <c r="A77" s="42">
        <v>75</v>
      </c>
      <c r="W77" s="43">
        <v>56841</v>
      </c>
      <c r="X77" s="43">
        <v>57930</v>
      </c>
      <c r="Y77" s="43">
        <v>58470</v>
      </c>
      <c r="Z77" s="43">
        <v>60457</v>
      </c>
      <c r="AA77" s="43">
        <v>61152</v>
      </c>
      <c r="AB77" s="43">
        <v>62082</v>
      </c>
      <c r="AC77" s="43">
        <v>63256</v>
      </c>
      <c r="AD77" s="43">
        <v>64157</v>
      </c>
      <c r="AE77" s="43">
        <v>64678</v>
      </c>
      <c r="AF77" s="43">
        <v>65910</v>
      </c>
      <c r="AG77" s="43">
        <v>66767</v>
      </c>
      <c r="AH77" s="43">
        <v>67387</v>
      </c>
      <c r="AI77" s="43">
        <v>68154</v>
      </c>
      <c r="AJ77" s="43">
        <v>69704</v>
      </c>
      <c r="AK77" s="43">
        <v>70260</v>
      </c>
      <c r="AL77" s="43">
        <v>71229</v>
      </c>
      <c r="AM77" s="43">
        <v>71989</v>
      </c>
      <c r="AN77" s="43">
        <v>72793</v>
      </c>
      <c r="AO77" s="43">
        <v>73175</v>
      </c>
      <c r="AP77" s="43">
        <v>73433</v>
      </c>
      <c r="AQ77" s="43">
        <v>73520</v>
      </c>
      <c r="AR77" s="43">
        <v>73514</v>
      </c>
      <c r="AS77" s="43">
        <v>73139</v>
      </c>
      <c r="AT77" s="43">
        <v>72446</v>
      </c>
      <c r="AU77" s="43">
        <v>71697</v>
      </c>
      <c r="AV77" s="43">
        <v>71891</v>
      </c>
      <c r="AW77" s="43">
        <v>72602</v>
      </c>
      <c r="AX77" s="43">
        <v>74313</v>
      </c>
      <c r="AY77" s="43">
        <v>75938</v>
      </c>
      <c r="AZ77" s="43">
        <v>76224</v>
      </c>
      <c r="BA77" s="43">
        <v>76534</v>
      </c>
      <c r="BB77" s="43">
        <v>77247</v>
      </c>
      <c r="BC77" s="43">
        <v>77678</v>
      </c>
      <c r="BD77" s="43">
        <v>78135</v>
      </c>
      <c r="BE77" s="43">
        <v>78444</v>
      </c>
      <c r="BF77" s="43">
        <v>78998</v>
      </c>
      <c r="BG77" s="43">
        <v>79449</v>
      </c>
      <c r="BH77" s="43">
        <v>79925</v>
      </c>
      <c r="BI77" s="43">
        <v>80265</v>
      </c>
      <c r="BJ77" s="43">
        <v>80713</v>
      </c>
      <c r="BK77" s="43">
        <v>81217</v>
      </c>
      <c r="BL77" s="43">
        <v>81762</v>
      </c>
      <c r="BM77" s="43">
        <v>82266</v>
      </c>
      <c r="BN77" s="43">
        <v>82728</v>
      </c>
      <c r="BO77" s="43">
        <v>83113</v>
      </c>
      <c r="BP77" s="43">
        <v>83537</v>
      </c>
      <c r="BQ77" s="43">
        <v>83858</v>
      </c>
      <c r="BR77" s="43">
        <v>84177</v>
      </c>
      <c r="BS77" s="43">
        <v>84426</v>
      </c>
      <c r="BT77" s="43">
        <v>84729</v>
      </c>
      <c r="BU77" s="43">
        <v>85001</v>
      </c>
      <c r="BV77" s="43">
        <v>85315</v>
      </c>
      <c r="BW77" s="43">
        <v>85601</v>
      </c>
      <c r="BX77" s="43">
        <v>85917</v>
      </c>
      <c r="BY77" s="43">
        <v>86215</v>
      </c>
      <c r="BZ77" s="43">
        <v>86618</v>
      </c>
      <c r="CA77" s="43">
        <v>86965</v>
      </c>
      <c r="CB77" s="43">
        <v>87272</v>
      </c>
      <c r="CC77" s="43">
        <v>87548</v>
      </c>
      <c r="CD77" s="43">
        <v>87815</v>
      </c>
      <c r="CE77" s="43">
        <v>88081</v>
      </c>
      <c r="CF77" s="43">
        <v>88346</v>
      </c>
      <c r="CG77" s="43">
        <v>88618</v>
      </c>
      <c r="CH77" s="43">
        <v>88862</v>
      </c>
      <c r="CI77" s="43">
        <v>89137</v>
      </c>
      <c r="CJ77" s="43">
        <v>89355</v>
      </c>
      <c r="CK77" s="43">
        <v>89584</v>
      </c>
      <c r="CL77" s="43">
        <v>89844</v>
      </c>
      <c r="CM77" s="43">
        <v>90049</v>
      </c>
      <c r="CN77" s="43">
        <v>90275</v>
      </c>
      <c r="CO77" s="43">
        <v>90469</v>
      </c>
      <c r="CP77" s="43">
        <v>90695</v>
      </c>
      <c r="CQ77" s="43">
        <v>90895</v>
      </c>
      <c r="CR77" s="43">
        <v>91075</v>
      </c>
      <c r="CS77" s="43">
        <v>91274</v>
      </c>
      <c r="CT77" s="43">
        <v>91457</v>
      </c>
      <c r="CU77" s="43">
        <v>91633</v>
      </c>
      <c r="CV77" s="43">
        <v>91780</v>
      </c>
      <c r="CW77" s="43">
        <v>91957</v>
      </c>
      <c r="CX77" s="43">
        <v>92123</v>
      </c>
      <c r="CY77" s="43">
        <v>92279</v>
      </c>
      <c r="CZ77" s="43">
        <v>92402</v>
      </c>
      <c r="DA77" s="43">
        <v>92554</v>
      </c>
      <c r="DB77" s="43">
        <v>92699</v>
      </c>
      <c r="DC77" s="43">
        <v>92865</v>
      </c>
      <c r="DD77" s="43">
        <v>92998</v>
      </c>
      <c r="DE77" s="43">
        <v>93140</v>
      </c>
      <c r="DF77" s="43">
        <v>93305</v>
      </c>
      <c r="DG77" s="43">
        <v>93411</v>
      </c>
      <c r="DH77" s="43">
        <v>93554</v>
      </c>
      <c r="DI77" s="43">
        <v>93654</v>
      </c>
      <c r="DJ77" s="43">
        <v>93794</v>
      </c>
      <c r="DK77" s="43">
        <v>93919</v>
      </c>
      <c r="DL77" s="43">
        <v>94032</v>
      </c>
      <c r="DM77" s="43">
        <v>94157</v>
      </c>
      <c r="DN77" s="43">
        <v>94279</v>
      </c>
      <c r="DO77" s="43">
        <v>94399</v>
      </c>
    </row>
    <row r="78" spans="1:119">
      <c r="A78" s="42">
        <v>76</v>
      </c>
      <c r="W78" s="43">
        <v>55099</v>
      </c>
      <c r="X78" s="43">
        <v>56228</v>
      </c>
      <c r="Y78" s="43">
        <v>56764</v>
      </c>
      <c r="Z78" s="43">
        <v>58791</v>
      </c>
      <c r="AA78" s="43">
        <v>59513</v>
      </c>
      <c r="AB78" s="43">
        <v>60467</v>
      </c>
      <c r="AC78" s="43">
        <v>61540</v>
      </c>
      <c r="AD78" s="43">
        <v>62504</v>
      </c>
      <c r="AE78" s="43">
        <v>63133</v>
      </c>
      <c r="AF78" s="43">
        <v>64356</v>
      </c>
      <c r="AG78" s="43">
        <v>65232</v>
      </c>
      <c r="AH78" s="43">
        <v>65840</v>
      </c>
      <c r="AI78" s="43">
        <v>66611</v>
      </c>
      <c r="AJ78" s="43">
        <v>68196</v>
      </c>
      <c r="AK78" s="43">
        <v>68772</v>
      </c>
      <c r="AL78" s="43">
        <v>69746</v>
      </c>
      <c r="AM78" s="43">
        <v>70535</v>
      </c>
      <c r="AN78" s="43">
        <v>71410</v>
      </c>
      <c r="AO78" s="43">
        <v>71753</v>
      </c>
      <c r="AP78" s="43">
        <v>72019</v>
      </c>
      <c r="AQ78" s="43">
        <v>72133</v>
      </c>
      <c r="AR78" s="43">
        <v>72153</v>
      </c>
      <c r="AS78" s="43">
        <v>71812</v>
      </c>
      <c r="AT78" s="43">
        <v>71157</v>
      </c>
      <c r="AU78" s="43">
        <v>70446</v>
      </c>
      <c r="AV78" s="43">
        <v>70661</v>
      </c>
      <c r="AW78" s="43">
        <v>71384</v>
      </c>
      <c r="AX78" s="43">
        <v>73090</v>
      </c>
      <c r="AY78" s="43">
        <v>74713</v>
      </c>
      <c r="AZ78" s="43">
        <v>75018</v>
      </c>
      <c r="BA78" s="43">
        <v>75347</v>
      </c>
      <c r="BB78" s="43">
        <v>76073</v>
      </c>
      <c r="BC78" s="43">
        <v>76520</v>
      </c>
      <c r="BD78" s="43">
        <v>76993</v>
      </c>
      <c r="BE78" s="43">
        <v>77320</v>
      </c>
      <c r="BF78" s="43">
        <v>77887</v>
      </c>
      <c r="BG78" s="43">
        <v>78353</v>
      </c>
      <c r="BH78" s="43">
        <v>78843</v>
      </c>
      <c r="BI78" s="43">
        <v>79198</v>
      </c>
      <c r="BJ78" s="43">
        <v>79660</v>
      </c>
      <c r="BK78" s="43">
        <v>80178</v>
      </c>
      <c r="BL78" s="43">
        <v>80735</v>
      </c>
      <c r="BM78" s="43">
        <v>81252</v>
      </c>
      <c r="BN78" s="43">
        <v>81728</v>
      </c>
      <c r="BO78" s="43">
        <v>82127</v>
      </c>
      <c r="BP78" s="43">
        <v>82564</v>
      </c>
      <c r="BQ78" s="43">
        <v>82899</v>
      </c>
      <c r="BR78" s="43">
        <v>83233</v>
      </c>
      <c r="BS78" s="43">
        <v>83497</v>
      </c>
      <c r="BT78" s="43">
        <v>83814</v>
      </c>
      <c r="BU78" s="43">
        <v>84100</v>
      </c>
      <c r="BV78" s="43">
        <v>84427</v>
      </c>
      <c r="BW78" s="43">
        <v>84727</v>
      </c>
      <c r="BX78" s="43">
        <v>85057</v>
      </c>
      <c r="BY78" s="43">
        <v>85368</v>
      </c>
      <c r="BZ78" s="43">
        <v>85782</v>
      </c>
      <c r="CA78" s="43">
        <v>86142</v>
      </c>
      <c r="CB78" s="43">
        <v>86461</v>
      </c>
      <c r="CC78" s="43">
        <v>86751</v>
      </c>
      <c r="CD78" s="43">
        <v>87029</v>
      </c>
      <c r="CE78" s="43">
        <v>87308</v>
      </c>
      <c r="CF78" s="43">
        <v>87585</v>
      </c>
      <c r="CG78" s="43">
        <v>87869</v>
      </c>
      <c r="CH78" s="43">
        <v>88125</v>
      </c>
      <c r="CI78" s="43">
        <v>88412</v>
      </c>
      <c r="CJ78" s="43">
        <v>88641</v>
      </c>
      <c r="CK78" s="43">
        <v>88882</v>
      </c>
      <c r="CL78" s="43">
        <v>89153</v>
      </c>
      <c r="CM78" s="43">
        <v>89370</v>
      </c>
      <c r="CN78" s="43">
        <v>89606</v>
      </c>
      <c r="CO78" s="43">
        <v>89812</v>
      </c>
      <c r="CP78" s="43">
        <v>90048</v>
      </c>
      <c r="CQ78" s="43">
        <v>90259</v>
      </c>
      <c r="CR78" s="43">
        <v>90449</v>
      </c>
      <c r="CS78" s="43">
        <v>90659</v>
      </c>
      <c r="CT78" s="43">
        <v>90852</v>
      </c>
      <c r="CU78" s="43">
        <v>91038</v>
      </c>
      <c r="CV78" s="43">
        <v>91196</v>
      </c>
      <c r="CW78" s="43">
        <v>91382</v>
      </c>
      <c r="CX78" s="43">
        <v>91558</v>
      </c>
      <c r="CY78" s="43">
        <v>91723</v>
      </c>
      <c r="CZ78" s="43">
        <v>91856</v>
      </c>
      <c r="DA78" s="43">
        <v>92018</v>
      </c>
      <c r="DB78" s="43">
        <v>92172</v>
      </c>
      <c r="DC78" s="43">
        <v>92347</v>
      </c>
      <c r="DD78" s="43">
        <v>92488</v>
      </c>
      <c r="DE78" s="43">
        <v>92640</v>
      </c>
      <c r="DF78" s="43">
        <v>92812</v>
      </c>
      <c r="DG78" s="43">
        <v>92928</v>
      </c>
      <c r="DH78" s="43">
        <v>93079</v>
      </c>
      <c r="DI78" s="43">
        <v>93188</v>
      </c>
      <c r="DJ78" s="43">
        <v>93335</v>
      </c>
      <c r="DK78" s="43">
        <v>93469</v>
      </c>
      <c r="DL78" s="43">
        <v>93589</v>
      </c>
      <c r="DM78" s="43">
        <v>93722</v>
      </c>
      <c r="DN78" s="43">
        <v>93852</v>
      </c>
      <c r="DO78" s="43">
        <v>93979</v>
      </c>
    </row>
    <row r="79" spans="1:119">
      <c r="A79" s="42">
        <v>77</v>
      </c>
      <c r="W79" s="43">
        <v>53279</v>
      </c>
      <c r="X79" s="43">
        <v>54371</v>
      </c>
      <c r="Y79" s="43">
        <v>54975</v>
      </c>
      <c r="Z79" s="43">
        <v>57003</v>
      </c>
      <c r="AA79" s="43">
        <v>57742</v>
      </c>
      <c r="AB79" s="43">
        <v>58668</v>
      </c>
      <c r="AC79" s="43">
        <v>59782</v>
      </c>
      <c r="AD79" s="43">
        <v>60761</v>
      </c>
      <c r="AE79" s="43">
        <v>61426</v>
      </c>
      <c r="AF79" s="43">
        <v>62712</v>
      </c>
      <c r="AG79" s="43">
        <v>63532</v>
      </c>
      <c r="AH79" s="43">
        <v>64185</v>
      </c>
      <c r="AI79" s="43">
        <v>64942</v>
      </c>
      <c r="AJ79" s="43">
        <v>66541</v>
      </c>
      <c r="AK79" s="43">
        <v>67149</v>
      </c>
      <c r="AL79" s="43">
        <v>68119</v>
      </c>
      <c r="AM79" s="43">
        <v>69004</v>
      </c>
      <c r="AN79" s="43">
        <v>69814</v>
      </c>
      <c r="AO79" s="43">
        <v>70195</v>
      </c>
      <c r="AP79" s="43">
        <v>70486</v>
      </c>
      <c r="AQ79" s="43">
        <v>70626</v>
      </c>
      <c r="AR79" s="43">
        <v>70675</v>
      </c>
      <c r="AS79" s="43">
        <v>70369</v>
      </c>
      <c r="AT79" s="43">
        <v>69754</v>
      </c>
      <c r="AU79" s="43">
        <v>69083</v>
      </c>
      <c r="AV79" s="43">
        <v>69321</v>
      </c>
      <c r="AW79" s="43">
        <v>70056</v>
      </c>
      <c r="AX79" s="43">
        <v>71757</v>
      </c>
      <c r="AY79" s="43">
        <v>73376</v>
      </c>
      <c r="AZ79" s="43">
        <v>73701</v>
      </c>
      <c r="BA79" s="43">
        <v>74049</v>
      </c>
      <c r="BB79" s="43">
        <v>74787</v>
      </c>
      <c r="BC79" s="43">
        <v>75252</v>
      </c>
      <c r="BD79" s="43">
        <v>75741</v>
      </c>
      <c r="BE79" s="43">
        <v>76086</v>
      </c>
      <c r="BF79" s="43">
        <v>76667</v>
      </c>
      <c r="BG79" s="43">
        <v>77148</v>
      </c>
      <c r="BH79" s="43">
        <v>77652</v>
      </c>
      <c r="BI79" s="43">
        <v>78025</v>
      </c>
      <c r="BJ79" s="43">
        <v>78501</v>
      </c>
      <c r="BK79" s="43">
        <v>79033</v>
      </c>
      <c r="BL79" s="43">
        <v>79603</v>
      </c>
      <c r="BM79" s="43">
        <v>80134</v>
      </c>
      <c r="BN79" s="43">
        <v>80623</v>
      </c>
      <c r="BO79" s="43">
        <v>81037</v>
      </c>
      <c r="BP79" s="43">
        <v>81488</v>
      </c>
      <c r="BQ79" s="43">
        <v>81839</v>
      </c>
      <c r="BR79" s="43">
        <v>82188</v>
      </c>
      <c r="BS79" s="43">
        <v>82468</v>
      </c>
      <c r="BT79" s="43">
        <v>82800</v>
      </c>
      <c r="BU79" s="43">
        <v>83101</v>
      </c>
      <c r="BV79" s="43">
        <v>83443</v>
      </c>
      <c r="BW79" s="43">
        <v>83757</v>
      </c>
      <c r="BX79" s="43">
        <v>84101</v>
      </c>
      <c r="BY79" s="43">
        <v>84426</v>
      </c>
      <c r="BZ79" s="43">
        <v>84853</v>
      </c>
      <c r="CA79" s="43">
        <v>85226</v>
      </c>
      <c r="CB79" s="43">
        <v>85559</v>
      </c>
      <c r="CC79" s="43">
        <v>85862</v>
      </c>
      <c r="CD79" s="43">
        <v>86154</v>
      </c>
      <c r="CE79" s="43">
        <v>86446</v>
      </c>
      <c r="CF79" s="43">
        <v>86736</v>
      </c>
      <c r="CG79" s="43">
        <v>87032</v>
      </c>
      <c r="CH79" s="43">
        <v>87302</v>
      </c>
      <c r="CI79" s="43">
        <v>87601</v>
      </c>
      <c r="CJ79" s="43">
        <v>87843</v>
      </c>
      <c r="CK79" s="43">
        <v>88097</v>
      </c>
      <c r="CL79" s="43">
        <v>88379</v>
      </c>
      <c r="CM79" s="43">
        <v>88608</v>
      </c>
      <c r="CN79" s="43">
        <v>88857</v>
      </c>
      <c r="CO79" s="43">
        <v>89074</v>
      </c>
      <c r="CP79" s="43">
        <v>89323</v>
      </c>
      <c r="CQ79" s="43">
        <v>89545</v>
      </c>
      <c r="CR79" s="43">
        <v>89747</v>
      </c>
      <c r="CS79" s="43">
        <v>89968</v>
      </c>
      <c r="CT79" s="43">
        <v>90172</v>
      </c>
      <c r="CU79" s="43">
        <v>90369</v>
      </c>
      <c r="CV79" s="43">
        <v>90538</v>
      </c>
      <c r="CW79" s="43">
        <v>90735</v>
      </c>
      <c r="CX79" s="43">
        <v>90922</v>
      </c>
      <c r="CY79" s="43">
        <v>91098</v>
      </c>
      <c r="CZ79" s="43">
        <v>91241</v>
      </c>
      <c r="DA79" s="43">
        <v>91413</v>
      </c>
      <c r="DB79" s="43">
        <v>91577</v>
      </c>
      <c r="DC79" s="43">
        <v>91761</v>
      </c>
      <c r="DD79" s="43">
        <v>91913</v>
      </c>
      <c r="DE79" s="43">
        <v>92074</v>
      </c>
      <c r="DF79" s="43">
        <v>92256</v>
      </c>
      <c r="DG79" s="43">
        <v>92381</v>
      </c>
      <c r="DH79" s="43">
        <v>92541</v>
      </c>
      <c r="DI79" s="43">
        <v>92659</v>
      </c>
      <c r="DJ79" s="43">
        <v>92815</v>
      </c>
      <c r="DK79" s="43">
        <v>92958</v>
      </c>
      <c r="DL79" s="43">
        <v>93087</v>
      </c>
      <c r="DM79" s="43">
        <v>93228</v>
      </c>
      <c r="DN79" s="43">
        <v>93366</v>
      </c>
      <c r="DO79" s="43">
        <v>93501</v>
      </c>
    </row>
    <row r="80" spans="1:119">
      <c r="A80" s="42">
        <v>78</v>
      </c>
      <c r="W80" s="43">
        <v>51316</v>
      </c>
      <c r="X80" s="43">
        <v>52455</v>
      </c>
      <c r="Y80" s="43">
        <v>53099</v>
      </c>
      <c r="Z80" s="43">
        <v>55098</v>
      </c>
      <c r="AA80" s="43">
        <v>55811</v>
      </c>
      <c r="AB80" s="43">
        <v>56784</v>
      </c>
      <c r="AC80" s="43">
        <v>57954</v>
      </c>
      <c r="AD80" s="43">
        <v>58918</v>
      </c>
      <c r="AE80" s="43">
        <v>59615</v>
      </c>
      <c r="AF80" s="43">
        <v>60888</v>
      </c>
      <c r="AG80" s="43">
        <v>61689</v>
      </c>
      <c r="AH80" s="43">
        <v>62357</v>
      </c>
      <c r="AI80" s="43">
        <v>63163</v>
      </c>
      <c r="AJ80" s="43">
        <v>64751</v>
      </c>
      <c r="AK80" s="43">
        <v>65334</v>
      </c>
      <c r="AL80" s="43">
        <v>66408</v>
      </c>
      <c r="AM80" s="43">
        <v>67262</v>
      </c>
      <c r="AN80" s="43">
        <v>68084</v>
      </c>
      <c r="AO80" s="43">
        <v>68488</v>
      </c>
      <c r="AP80" s="43">
        <v>68804</v>
      </c>
      <c r="AQ80" s="43">
        <v>68973</v>
      </c>
      <c r="AR80" s="43">
        <v>69051</v>
      </c>
      <c r="AS80" s="43">
        <v>68783</v>
      </c>
      <c r="AT80" s="43">
        <v>68212</v>
      </c>
      <c r="AU80" s="43">
        <v>67584</v>
      </c>
      <c r="AV80" s="43">
        <v>67844</v>
      </c>
      <c r="AW80" s="43">
        <v>68592</v>
      </c>
      <c r="AX80" s="43">
        <v>70285</v>
      </c>
      <c r="AY80" s="43">
        <v>71900</v>
      </c>
      <c r="AZ80" s="43">
        <v>72246</v>
      </c>
      <c r="BA80" s="43">
        <v>72615</v>
      </c>
      <c r="BB80" s="43">
        <v>73366</v>
      </c>
      <c r="BC80" s="43">
        <v>73848</v>
      </c>
      <c r="BD80" s="43">
        <v>74354</v>
      </c>
      <c r="BE80" s="43">
        <v>74717</v>
      </c>
      <c r="BF80" s="43">
        <v>75312</v>
      </c>
      <c r="BG80" s="43">
        <v>75809</v>
      </c>
      <c r="BH80" s="43">
        <v>76329</v>
      </c>
      <c r="BI80" s="43">
        <v>76719</v>
      </c>
      <c r="BJ80" s="43">
        <v>77211</v>
      </c>
      <c r="BK80" s="43">
        <v>77757</v>
      </c>
      <c r="BL80" s="43">
        <v>78341</v>
      </c>
      <c r="BM80" s="43">
        <v>78886</v>
      </c>
      <c r="BN80" s="43">
        <v>79390</v>
      </c>
      <c r="BO80" s="43">
        <v>79820</v>
      </c>
      <c r="BP80" s="43">
        <v>80286</v>
      </c>
      <c r="BQ80" s="43">
        <v>80654</v>
      </c>
      <c r="BR80" s="43">
        <v>81019</v>
      </c>
      <c r="BS80" s="43">
        <v>81316</v>
      </c>
      <c r="BT80" s="43">
        <v>81664</v>
      </c>
      <c r="BU80" s="43">
        <v>81981</v>
      </c>
      <c r="BV80" s="43">
        <v>82339</v>
      </c>
      <c r="BW80" s="43">
        <v>82669</v>
      </c>
      <c r="BX80" s="43">
        <v>83027</v>
      </c>
      <c r="BY80" s="43">
        <v>83368</v>
      </c>
      <c r="BZ80" s="43">
        <v>83809</v>
      </c>
      <c r="CA80" s="43">
        <v>84196</v>
      </c>
      <c r="CB80" s="43">
        <v>84543</v>
      </c>
      <c r="CC80" s="43">
        <v>84860</v>
      </c>
      <c r="CD80" s="43">
        <v>85167</v>
      </c>
      <c r="CE80" s="43">
        <v>85474</v>
      </c>
      <c r="CF80" s="43">
        <v>85778</v>
      </c>
      <c r="CG80" s="43">
        <v>86088</v>
      </c>
      <c r="CH80" s="43">
        <v>86372</v>
      </c>
      <c r="CI80" s="43">
        <v>86684</v>
      </c>
      <c r="CJ80" s="43">
        <v>86940</v>
      </c>
      <c r="CK80" s="43">
        <v>87208</v>
      </c>
      <c r="CL80" s="43">
        <v>87503</v>
      </c>
      <c r="CM80" s="43">
        <v>87746</v>
      </c>
      <c r="CN80" s="43">
        <v>88008</v>
      </c>
      <c r="CO80" s="43">
        <v>88238</v>
      </c>
      <c r="CP80" s="43">
        <v>88499</v>
      </c>
      <c r="CQ80" s="43">
        <v>88734</v>
      </c>
      <c r="CR80" s="43">
        <v>88949</v>
      </c>
      <c r="CS80" s="43">
        <v>89182</v>
      </c>
      <c r="CT80" s="43">
        <v>89398</v>
      </c>
      <c r="CU80" s="43">
        <v>89608</v>
      </c>
      <c r="CV80" s="43">
        <v>89789</v>
      </c>
      <c r="CW80" s="43">
        <v>89998</v>
      </c>
      <c r="CX80" s="43">
        <v>90196</v>
      </c>
      <c r="CY80" s="43">
        <v>90383</v>
      </c>
      <c r="CZ80" s="43">
        <v>90539</v>
      </c>
      <c r="DA80" s="43">
        <v>90722</v>
      </c>
      <c r="DB80" s="43">
        <v>90897</v>
      </c>
      <c r="DC80" s="43">
        <v>91092</v>
      </c>
      <c r="DD80" s="43">
        <v>91255</v>
      </c>
      <c r="DE80" s="43">
        <v>91426</v>
      </c>
      <c r="DF80" s="43">
        <v>91619</v>
      </c>
      <c r="DG80" s="43">
        <v>91754</v>
      </c>
      <c r="DH80" s="43">
        <v>91925</v>
      </c>
      <c r="DI80" s="43">
        <v>92053</v>
      </c>
      <c r="DJ80" s="43">
        <v>92219</v>
      </c>
      <c r="DK80" s="43">
        <v>92371</v>
      </c>
      <c r="DL80" s="43">
        <v>92510</v>
      </c>
      <c r="DM80" s="43">
        <v>92660</v>
      </c>
      <c r="DN80" s="43">
        <v>92808</v>
      </c>
      <c r="DO80" s="43">
        <v>92952</v>
      </c>
    </row>
    <row r="81" spans="1:119">
      <c r="A81" s="42">
        <v>79</v>
      </c>
      <c r="W81" s="43">
        <v>49256</v>
      </c>
      <c r="X81" s="43">
        <v>50462</v>
      </c>
      <c r="Y81" s="43">
        <v>51068</v>
      </c>
      <c r="Z81" s="43">
        <v>52976</v>
      </c>
      <c r="AA81" s="43">
        <v>53779</v>
      </c>
      <c r="AB81" s="43">
        <v>54770</v>
      </c>
      <c r="AC81" s="43">
        <v>55982</v>
      </c>
      <c r="AD81" s="43">
        <v>56959</v>
      </c>
      <c r="AE81" s="43">
        <v>57604</v>
      </c>
      <c r="AF81" s="43">
        <v>58862</v>
      </c>
      <c r="AG81" s="43">
        <v>59704</v>
      </c>
      <c r="AH81" s="43">
        <v>60382</v>
      </c>
      <c r="AI81" s="43">
        <v>61172</v>
      </c>
      <c r="AJ81" s="43">
        <v>62732</v>
      </c>
      <c r="AK81" s="43">
        <v>63463</v>
      </c>
      <c r="AL81" s="43">
        <v>64459</v>
      </c>
      <c r="AM81" s="43">
        <v>65343</v>
      </c>
      <c r="AN81" s="43">
        <v>66177</v>
      </c>
      <c r="AO81" s="43">
        <v>66605</v>
      </c>
      <c r="AP81" s="43">
        <v>66947</v>
      </c>
      <c r="AQ81" s="43">
        <v>67145</v>
      </c>
      <c r="AR81" s="43">
        <v>67255</v>
      </c>
      <c r="AS81" s="43">
        <v>67026</v>
      </c>
      <c r="AT81" s="43">
        <v>66502</v>
      </c>
      <c r="AU81" s="43">
        <v>65921</v>
      </c>
      <c r="AV81" s="43">
        <v>66206</v>
      </c>
      <c r="AW81" s="43">
        <v>66966</v>
      </c>
      <c r="AX81" s="43">
        <v>68649</v>
      </c>
      <c r="AY81" s="43">
        <v>70257</v>
      </c>
      <c r="AZ81" s="43">
        <v>70626</v>
      </c>
      <c r="BA81" s="43">
        <v>71016</v>
      </c>
      <c r="BB81" s="43">
        <v>71780</v>
      </c>
      <c r="BC81" s="43">
        <v>72280</v>
      </c>
      <c r="BD81" s="43">
        <v>72803</v>
      </c>
      <c r="BE81" s="43">
        <v>73185</v>
      </c>
      <c r="BF81" s="43">
        <v>73796</v>
      </c>
      <c r="BG81" s="43">
        <v>74309</v>
      </c>
      <c r="BH81" s="43">
        <v>74845</v>
      </c>
      <c r="BI81" s="43">
        <v>75253</v>
      </c>
      <c r="BJ81" s="43">
        <v>75762</v>
      </c>
      <c r="BK81" s="43">
        <v>76323</v>
      </c>
      <c r="BL81" s="43">
        <v>76922</v>
      </c>
      <c r="BM81" s="43">
        <v>77482</v>
      </c>
      <c r="BN81" s="43">
        <v>78002</v>
      </c>
      <c r="BO81" s="43">
        <v>78449</v>
      </c>
      <c r="BP81" s="43">
        <v>78931</v>
      </c>
      <c r="BQ81" s="43">
        <v>79317</v>
      </c>
      <c r="BR81" s="43">
        <v>79699</v>
      </c>
      <c r="BS81" s="43">
        <v>80014</v>
      </c>
      <c r="BT81" s="43">
        <v>80380</v>
      </c>
      <c r="BU81" s="43">
        <v>80714</v>
      </c>
      <c r="BV81" s="43">
        <v>81089</v>
      </c>
      <c r="BW81" s="43">
        <v>81436</v>
      </c>
      <c r="BX81" s="43">
        <v>81811</v>
      </c>
      <c r="BY81" s="43">
        <v>82167</v>
      </c>
      <c r="BZ81" s="43">
        <v>82623</v>
      </c>
      <c r="CA81" s="43">
        <v>83025</v>
      </c>
      <c r="CB81" s="43">
        <v>83389</v>
      </c>
      <c r="CC81" s="43">
        <v>83722</v>
      </c>
      <c r="CD81" s="43">
        <v>84045</v>
      </c>
      <c r="CE81" s="43">
        <v>84367</v>
      </c>
      <c r="CF81" s="43">
        <v>84687</v>
      </c>
      <c r="CG81" s="43">
        <v>85012</v>
      </c>
      <c r="CH81" s="43">
        <v>85311</v>
      </c>
      <c r="CI81" s="43">
        <v>85638</v>
      </c>
      <c r="CJ81" s="43">
        <v>85910</v>
      </c>
      <c r="CK81" s="43">
        <v>86192</v>
      </c>
      <c r="CL81" s="43">
        <v>86502</v>
      </c>
      <c r="CM81" s="43">
        <v>86759</v>
      </c>
      <c r="CN81" s="43">
        <v>87035</v>
      </c>
      <c r="CO81" s="43">
        <v>87280</v>
      </c>
      <c r="CP81" s="43">
        <v>87555</v>
      </c>
      <c r="CQ81" s="43">
        <v>87804</v>
      </c>
      <c r="CR81" s="43">
        <v>88033</v>
      </c>
      <c r="CS81" s="43">
        <v>88280</v>
      </c>
      <c r="CT81" s="43">
        <v>88510</v>
      </c>
      <c r="CU81" s="43">
        <v>88733</v>
      </c>
      <c r="CV81" s="43">
        <v>88928</v>
      </c>
      <c r="CW81" s="43">
        <v>89149</v>
      </c>
      <c r="CX81" s="43">
        <v>89361</v>
      </c>
      <c r="CY81" s="43">
        <v>89561</v>
      </c>
      <c r="CZ81" s="43">
        <v>89729</v>
      </c>
      <c r="DA81" s="43">
        <v>89925</v>
      </c>
      <c r="DB81" s="43">
        <v>90113</v>
      </c>
      <c r="DC81" s="43">
        <v>90320</v>
      </c>
      <c r="DD81" s="43">
        <v>90494</v>
      </c>
      <c r="DE81" s="43">
        <v>90678</v>
      </c>
      <c r="DF81" s="43">
        <v>90882</v>
      </c>
      <c r="DG81" s="43">
        <v>91029</v>
      </c>
      <c r="DH81" s="43">
        <v>91211</v>
      </c>
      <c r="DI81" s="43">
        <v>91351</v>
      </c>
      <c r="DJ81" s="43">
        <v>91528</v>
      </c>
      <c r="DK81" s="43">
        <v>91691</v>
      </c>
      <c r="DL81" s="43">
        <v>91841</v>
      </c>
      <c r="DM81" s="43">
        <v>92002</v>
      </c>
      <c r="DN81" s="43">
        <v>92160</v>
      </c>
      <c r="DO81" s="43">
        <v>92315</v>
      </c>
    </row>
    <row r="82" spans="1:119">
      <c r="A82" s="42">
        <v>80</v>
      </c>
      <c r="W82" s="43">
        <v>47085</v>
      </c>
      <c r="X82" s="43">
        <v>48254</v>
      </c>
      <c r="Y82" s="43">
        <v>48862</v>
      </c>
      <c r="Z82" s="43">
        <v>50786</v>
      </c>
      <c r="AA82" s="43">
        <v>51588</v>
      </c>
      <c r="AB82" s="43">
        <v>52609</v>
      </c>
      <c r="AC82" s="43">
        <v>53867</v>
      </c>
      <c r="AD82" s="43">
        <v>54802</v>
      </c>
      <c r="AE82" s="43">
        <v>55435</v>
      </c>
      <c r="AF82" s="43">
        <v>56716</v>
      </c>
      <c r="AG82" s="43">
        <v>57555</v>
      </c>
      <c r="AH82" s="43">
        <v>58248</v>
      </c>
      <c r="AI82" s="43">
        <v>58955</v>
      </c>
      <c r="AJ82" s="43">
        <v>60636</v>
      </c>
      <c r="AK82" s="43">
        <v>61318</v>
      </c>
      <c r="AL82" s="43">
        <v>62327</v>
      </c>
      <c r="AM82" s="43">
        <v>63220</v>
      </c>
      <c r="AN82" s="43">
        <v>64066</v>
      </c>
      <c r="AO82" s="43">
        <v>64518</v>
      </c>
      <c r="AP82" s="43">
        <v>64887</v>
      </c>
      <c r="AQ82" s="43">
        <v>65117</v>
      </c>
      <c r="AR82" s="43">
        <v>65260</v>
      </c>
      <c r="AS82" s="43">
        <v>65074</v>
      </c>
      <c r="AT82" s="43">
        <v>64599</v>
      </c>
      <c r="AU82" s="43">
        <v>64069</v>
      </c>
      <c r="AV82" s="43">
        <v>64379</v>
      </c>
      <c r="AW82" s="43">
        <v>65151</v>
      </c>
      <c r="AX82" s="43">
        <v>66823</v>
      </c>
      <c r="AY82" s="43">
        <v>68421</v>
      </c>
      <c r="AZ82" s="43">
        <v>68814</v>
      </c>
      <c r="BA82" s="43">
        <v>69227</v>
      </c>
      <c r="BB82" s="43">
        <v>70003</v>
      </c>
      <c r="BC82" s="43">
        <v>70521</v>
      </c>
      <c r="BD82" s="43">
        <v>71061</v>
      </c>
      <c r="BE82" s="43">
        <v>71465</v>
      </c>
      <c r="BF82" s="43">
        <v>72090</v>
      </c>
      <c r="BG82" s="43">
        <v>72621</v>
      </c>
      <c r="BH82" s="43">
        <v>73174</v>
      </c>
      <c r="BI82" s="43">
        <v>73602</v>
      </c>
      <c r="BJ82" s="43">
        <v>74128</v>
      </c>
      <c r="BK82" s="43">
        <v>74705</v>
      </c>
      <c r="BL82" s="43">
        <v>75319</v>
      </c>
      <c r="BM82" s="43">
        <v>75895</v>
      </c>
      <c r="BN82" s="43">
        <v>76432</v>
      </c>
      <c r="BO82" s="43">
        <v>76897</v>
      </c>
      <c r="BP82" s="43">
        <v>77396</v>
      </c>
      <c r="BQ82" s="43">
        <v>77800</v>
      </c>
      <c r="BR82" s="43">
        <v>78201</v>
      </c>
      <c r="BS82" s="43">
        <v>78537</v>
      </c>
      <c r="BT82" s="43">
        <v>78920</v>
      </c>
      <c r="BU82" s="43">
        <v>79274</v>
      </c>
      <c r="BV82" s="43">
        <v>79666</v>
      </c>
      <c r="BW82" s="43">
        <v>80032</v>
      </c>
      <c r="BX82" s="43">
        <v>80424</v>
      </c>
      <c r="BY82" s="43">
        <v>80799</v>
      </c>
      <c r="BZ82" s="43">
        <v>81271</v>
      </c>
      <c r="CA82" s="43">
        <v>81690</v>
      </c>
      <c r="CB82" s="43">
        <v>82070</v>
      </c>
      <c r="CC82" s="43">
        <v>82420</v>
      </c>
      <c r="CD82" s="43">
        <v>82760</v>
      </c>
      <c r="CE82" s="43">
        <v>83100</v>
      </c>
      <c r="CF82" s="43">
        <v>83437</v>
      </c>
      <c r="CG82" s="43">
        <v>83779</v>
      </c>
      <c r="CH82" s="43">
        <v>84094</v>
      </c>
      <c r="CI82" s="43">
        <v>84438</v>
      </c>
      <c r="CJ82" s="43">
        <v>84726</v>
      </c>
      <c r="CK82" s="43">
        <v>85025</v>
      </c>
      <c r="CL82" s="43">
        <v>85351</v>
      </c>
      <c r="CM82" s="43">
        <v>85624</v>
      </c>
      <c r="CN82" s="43">
        <v>85916</v>
      </c>
      <c r="CO82" s="43">
        <v>86177</v>
      </c>
      <c r="CP82" s="43">
        <v>86468</v>
      </c>
      <c r="CQ82" s="43">
        <v>86732</v>
      </c>
      <c r="CR82" s="43">
        <v>86976</v>
      </c>
      <c r="CS82" s="43">
        <v>87239</v>
      </c>
      <c r="CT82" s="43">
        <v>87483</v>
      </c>
      <c r="CU82" s="43">
        <v>87721</v>
      </c>
      <c r="CV82" s="43">
        <v>87931</v>
      </c>
      <c r="CW82" s="43">
        <v>88168</v>
      </c>
      <c r="CX82" s="43">
        <v>88394</v>
      </c>
      <c r="CY82" s="43">
        <v>88608</v>
      </c>
      <c r="CZ82" s="43">
        <v>88791</v>
      </c>
      <c r="DA82" s="43">
        <v>89001</v>
      </c>
      <c r="DB82" s="43">
        <v>89203</v>
      </c>
      <c r="DC82" s="43">
        <v>89423</v>
      </c>
      <c r="DD82" s="43">
        <v>89611</v>
      </c>
      <c r="DE82" s="43">
        <v>89808</v>
      </c>
      <c r="DF82" s="43">
        <v>90025</v>
      </c>
      <c r="DG82" s="43">
        <v>90186</v>
      </c>
      <c r="DH82" s="43">
        <v>90380</v>
      </c>
      <c r="DI82" s="43">
        <v>90533</v>
      </c>
      <c r="DJ82" s="43">
        <v>90722</v>
      </c>
      <c r="DK82" s="43">
        <v>90898</v>
      </c>
      <c r="DL82" s="43">
        <v>91060</v>
      </c>
      <c r="DM82" s="43">
        <v>91233</v>
      </c>
      <c r="DN82" s="43">
        <v>91403</v>
      </c>
      <c r="DO82" s="43">
        <v>91570</v>
      </c>
    </row>
    <row r="83" spans="1:119">
      <c r="A83" s="42">
        <v>81</v>
      </c>
      <c r="W83" s="43">
        <v>44734</v>
      </c>
      <c r="X83" s="43">
        <v>45814</v>
      </c>
      <c r="Y83" s="43">
        <v>46542</v>
      </c>
      <c r="Z83" s="43">
        <v>48444</v>
      </c>
      <c r="AA83" s="43">
        <v>49253</v>
      </c>
      <c r="AB83" s="43">
        <v>50254</v>
      </c>
      <c r="AC83" s="43">
        <v>51507</v>
      </c>
      <c r="AD83" s="43">
        <v>52421</v>
      </c>
      <c r="AE83" s="43">
        <v>53112</v>
      </c>
      <c r="AF83" s="43">
        <v>54393</v>
      </c>
      <c r="AG83" s="43">
        <v>55214</v>
      </c>
      <c r="AH83" s="43">
        <v>55856</v>
      </c>
      <c r="AI83" s="43">
        <v>56680</v>
      </c>
      <c r="AJ83" s="43">
        <v>58240</v>
      </c>
      <c r="AK83" s="43">
        <v>58960</v>
      </c>
      <c r="AL83" s="43">
        <v>59971</v>
      </c>
      <c r="AM83" s="43">
        <v>60873</v>
      </c>
      <c r="AN83" s="43">
        <v>61730</v>
      </c>
      <c r="AO83" s="43">
        <v>62207</v>
      </c>
      <c r="AP83" s="43">
        <v>62604</v>
      </c>
      <c r="AQ83" s="43">
        <v>62865</v>
      </c>
      <c r="AR83" s="43">
        <v>63044</v>
      </c>
      <c r="AS83" s="43">
        <v>62903</v>
      </c>
      <c r="AT83" s="43">
        <v>62482</v>
      </c>
      <c r="AU83" s="43">
        <v>62006</v>
      </c>
      <c r="AV83" s="43">
        <v>62343</v>
      </c>
      <c r="AW83" s="43">
        <v>63127</v>
      </c>
      <c r="AX83" s="43">
        <v>64783</v>
      </c>
      <c r="AY83" s="43">
        <v>66369</v>
      </c>
      <c r="AZ83" s="43">
        <v>66787</v>
      </c>
      <c r="BA83" s="43">
        <v>67222</v>
      </c>
      <c r="BB83" s="43">
        <v>68009</v>
      </c>
      <c r="BC83" s="43">
        <v>68545</v>
      </c>
      <c r="BD83" s="43">
        <v>69104</v>
      </c>
      <c r="BE83" s="43">
        <v>69529</v>
      </c>
      <c r="BF83" s="43">
        <v>70170</v>
      </c>
      <c r="BG83" s="43">
        <v>70719</v>
      </c>
      <c r="BH83" s="43">
        <v>71290</v>
      </c>
      <c r="BI83" s="43">
        <v>71738</v>
      </c>
      <c r="BJ83" s="43">
        <v>72282</v>
      </c>
      <c r="BK83" s="43">
        <v>72876</v>
      </c>
      <c r="BL83" s="43">
        <v>73505</v>
      </c>
      <c r="BM83" s="43">
        <v>74098</v>
      </c>
      <c r="BN83" s="43">
        <v>74653</v>
      </c>
      <c r="BO83" s="43">
        <v>75136</v>
      </c>
      <c r="BP83" s="43">
        <v>75654</v>
      </c>
      <c r="BQ83" s="43">
        <v>76078</v>
      </c>
      <c r="BR83" s="43">
        <v>76499</v>
      </c>
      <c r="BS83" s="43">
        <v>76856</v>
      </c>
      <c r="BT83" s="43">
        <v>77260</v>
      </c>
      <c r="BU83" s="43">
        <v>77634</v>
      </c>
      <c r="BV83" s="43">
        <v>78045</v>
      </c>
      <c r="BW83" s="43">
        <v>78430</v>
      </c>
      <c r="BX83" s="43">
        <v>78842</v>
      </c>
      <c r="BY83" s="43">
        <v>79236</v>
      </c>
      <c r="BZ83" s="43">
        <v>79725</v>
      </c>
      <c r="CA83" s="43">
        <v>80161</v>
      </c>
      <c r="CB83" s="43">
        <v>80560</v>
      </c>
      <c r="CC83" s="43">
        <v>80930</v>
      </c>
      <c r="CD83" s="43">
        <v>81289</v>
      </c>
      <c r="CE83" s="43">
        <v>81646</v>
      </c>
      <c r="CF83" s="43">
        <v>82002</v>
      </c>
      <c r="CG83" s="43">
        <v>82362</v>
      </c>
      <c r="CH83" s="43">
        <v>82696</v>
      </c>
      <c r="CI83" s="43">
        <v>83057</v>
      </c>
      <c r="CJ83" s="43">
        <v>83364</v>
      </c>
      <c r="CK83" s="43">
        <v>83680</v>
      </c>
      <c r="CL83" s="43">
        <v>84024</v>
      </c>
      <c r="CM83" s="43">
        <v>84315</v>
      </c>
      <c r="CN83" s="43">
        <v>84625</v>
      </c>
      <c r="CO83" s="43">
        <v>84903</v>
      </c>
      <c r="CP83" s="43">
        <v>85211</v>
      </c>
      <c r="CQ83" s="43">
        <v>85492</v>
      </c>
      <c r="CR83" s="43">
        <v>85754</v>
      </c>
      <c r="CS83" s="43">
        <v>86033</v>
      </c>
      <c r="CT83" s="43">
        <v>86295</v>
      </c>
      <c r="CU83" s="43">
        <v>86549</v>
      </c>
      <c r="CV83" s="43">
        <v>86776</v>
      </c>
      <c r="CW83" s="43">
        <v>87029</v>
      </c>
      <c r="CX83" s="43">
        <v>87271</v>
      </c>
      <c r="CY83" s="43">
        <v>87502</v>
      </c>
      <c r="CZ83" s="43">
        <v>87701</v>
      </c>
      <c r="DA83" s="43">
        <v>87926</v>
      </c>
      <c r="DB83" s="43">
        <v>88143</v>
      </c>
      <c r="DC83" s="43">
        <v>88379</v>
      </c>
      <c r="DD83" s="43">
        <v>88582</v>
      </c>
      <c r="DE83" s="43">
        <v>88794</v>
      </c>
      <c r="DF83" s="43">
        <v>89026</v>
      </c>
      <c r="DG83" s="43">
        <v>89201</v>
      </c>
      <c r="DH83" s="43">
        <v>89410</v>
      </c>
      <c r="DI83" s="43">
        <v>89577</v>
      </c>
      <c r="DJ83" s="43">
        <v>89781</v>
      </c>
      <c r="DK83" s="43">
        <v>89970</v>
      </c>
      <c r="DL83" s="43">
        <v>90146</v>
      </c>
      <c r="DM83" s="43">
        <v>90333</v>
      </c>
      <c r="DN83" s="43">
        <v>90516</v>
      </c>
      <c r="DO83" s="43">
        <v>90696</v>
      </c>
    </row>
    <row r="84" spans="1:119">
      <c r="A84" s="42">
        <v>82</v>
      </c>
      <c r="W84" s="43">
        <v>42148</v>
      </c>
      <c r="X84" s="43">
        <v>43322</v>
      </c>
      <c r="Y84" s="43">
        <v>44087</v>
      </c>
      <c r="Z84" s="43">
        <v>45953</v>
      </c>
      <c r="AA84" s="43">
        <v>46766</v>
      </c>
      <c r="AB84" s="43">
        <v>47741</v>
      </c>
      <c r="AC84" s="43">
        <v>48969</v>
      </c>
      <c r="AD84" s="43">
        <v>49903</v>
      </c>
      <c r="AE84" s="43">
        <v>50608</v>
      </c>
      <c r="AF84" s="43">
        <v>51858</v>
      </c>
      <c r="AG84" s="43">
        <v>52611</v>
      </c>
      <c r="AH84" s="43">
        <v>53403</v>
      </c>
      <c r="AI84" s="43">
        <v>54080</v>
      </c>
      <c r="AJ84" s="43">
        <v>55636</v>
      </c>
      <c r="AK84" s="43">
        <v>56369</v>
      </c>
      <c r="AL84" s="43">
        <v>57381</v>
      </c>
      <c r="AM84" s="43">
        <v>58289</v>
      </c>
      <c r="AN84" s="43">
        <v>59155</v>
      </c>
      <c r="AO84" s="43">
        <v>59657</v>
      </c>
      <c r="AP84" s="43">
        <v>60082</v>
      </c>
      <c r="AQ84" s="43">
        <v>60376</v>
      </c>
      <c r="AR84" s="43">
        <v>60590</v>
      </c>
      <c r="AS84" s="43">
        <v>60497</v>
      </c>
      <c r="AT84" s="43">
        <v>60134</v>
      </c>
      <c r="AU84" s="43">
        <v>59716</v>
      </c>
      <c r="AV84" s="43">
        <v>60080</v>
      </c>
      <c r="AW84" s="43">
        <v>60875</v>
      </c>
      <c r="AX84" s="43">
        <v>62512</v>
      </c>
      <c r="AY84" s="43">
        <v>64083</v>
      </c>
      <c r="AZ84" s="43">
        <v>64523</v>
      </c>
      <c r="BA84" s="43">
        <v>64980</v>
      </c>
      <c r="BB84" s="43">
        <v>65778</v>
      </c>
      <c r="BC84" s="43">
        <v>66334</v>
      </c>
      <c r="BD84" s="43">
        <v>66910</v>
      </c>
      <c r="BE84" s="43">
        <v>67358</v>
      </c>
      <c r="BF84" s="43">
        <v>68015</v>
      </c>
      <c r="BG84" s="43">
        <v>68582</v>
      </c>
      <c r="BH84" s="43">
        <v>69171</v>
      </c>
      <c r="BI84" s="43">
        <v>69640</v>
      </c>
      <c r="BJ84" s="43">
        <v>70202</v>
      </c>
      <c r="BK84" s="43">
        <v>70813</v>
      </c>
      <c r="BL84" s="43">
        <v>71459</v>
      </c>
      <c r="BM84" s="43">
        <v>72069</v>
      </c>
      <c r="BN84" s="43">
        <v>72641</v>
      </c>
      <c r="BO84" s="43">
        <v>73145</v>
      </c>
      <c r="BP84" s="43">
        <v>73682</v>
      </c>
      <c r="BQ84" s="43">
        <v>74127</v>
      </c>
      <c r="BR84" s="43">
        <v>74569</v>
      </c>
      <c r="BS84" s="43">
        <v>74948</v>
      </c>
      <c r="BT84" s="43">
        <v>75373</v>
      </c>
      <c r="BU84" s="43">
        <v>75769</v>
      </c>
      <c r="BV84" s="43">
        <v>76201</v>
      </c>
      <c r="BW84" s="43">
        <v>76607</v>
      </c>
      <c r="BX84" s="43">
        <v>77039</v>
      </c>
      <c r="BY84" s="43">
        <v>77453</v>
      </c>
      <c r="BZ84" s="43">
        <v>77960</v>
      </c>
      <c r="CA84" s="43">
        <v>78416</v>
      </c>
      <c r="CB84" s="43">
        <v>78835</v>
      </c>
      <c r="CC84" s="43">
        <v>79225</v>
      </c>
      <c r="CD84" s="43">
        <v>79604</v>
      </c>
      <c r="CE84" s="43">
        <v>79982</v>
      </c>
      <c r="CF84" s="43">
        <v>80357</v>
      </c>
      <c r="CG84" s="43">
        <v>80737</v>
      </c>
      <c r="CH84" s="43">
        <v>81091</v>
      </c>
      <c r="CI84" s="43">
        <v>81471</v>
      </c>
      <c r="CJ84" s="43">
        <v>81798</v>
      </c>
      <c r="CK84" s="43">
        <v>82134</v>
      </c>
      <c r="CL84" s="43">
        <v>82497</v>
      </c>
      <c r="CM84" s="43">
        <v>82808</v>
      </c>
      <c r="CN84" s="43">
        <v>83136</v>
      </c>
      <c r="CO84" s="43">
        <v>83434</v>
      </c>
      <c r="CP84" s="43">
        <v>83761</v>
      </c>
      <c r="CQ84" s="43">
        <v>84061</v>
      </c>
      <c r="CR84" s="43">
        <v>84342</v>
      </c>
      <c r="CS84" s="43">
        <v>84639</v>
      </c>
      <c r="CT84" s="43">
        <v>84919</v>
      </c>
      <c r="CU84" s="43">
        <v>85192</v>
      </c>
      <c r="CV84" s="43">
        <v>85437</v>
      </c>
      <c r="CW84" s="43">
        <v>85708</v>
      </c>
      <c r="CX84" s="43">
        <v>85968</v>
      </c>
      <c r="CY84" s="43">
        <v>86217</v>
      </c>
      <c r="CZ84" s="43">
        <v>86434</v>
      </c>
      <c r="DA84" s="43">
        <v>86676</v>
      </c>
      <c r="DB84" s="43">
        <v>86911</v>
      </c>
      <c r="DC84" s="43">
        <v>87163</v>
      </c>
      <c r="DD84" s="43">
        <v>87384</v>
      </c>
      <c r="DE84" s="43">
        <v>87612</v>
      </c>
      <c r="DF84" s="43">
        <v>87860</v>
      </c>
      <c r="DG84" s="43">
        <v>88052</v>
      </c>
      <c r="DH84" s="43">
        <v>88277</v>
      </c>
      <c r="DI84" s="43">
        <v>88461</v>
      </c>
      <c r="DJ84" s="43">
        <v>88680</v>
      </c>
      <c r="DK84" s="43">
        <v>88885</v>
      </c>
      <c r="DL84" s="43">
        <v>89076</v>
      </c>
      <c r="DM84" s="43">
        <v>89278</v>
      </c>
      <c r="DN84" s="43">
        <v>89477</v>
      </c>
      <c r="DO84" s="43">
        <v>89671</v>
      </c>
    </row>
    <row r="85" spans="1:119">
      <c r="A85" s="42">
        <v>83</v>
      </c>
      <c r="W85" s="43">
        <v>39560</v>
      </c>
      <c r="X85" s="43">
        <v>40721</v>
      </c>
      <c r="Y85" s="43">
        <v>41476</v>
      </c>
      <c r="Z85" s="43">
        <v>43340</v>
      </c>
      <c r="AA85" s="43">
        <v>44096</v>
      </c>
      <c r="AB85" s="43">
        <v>44990</v>
      </c>
      <c r="AC85" s="43">
        <v>46289</v>
      </c>
      <c r="AD85" s="43">
        <v>47162</v>
      </c>
      <c r="AE85" s="43">
        <v>47871</v>
      </c>
      <c r="AF85" s="43">
        <v>49031</v>
      </c>
      <c r="AG85" s="43">
        <v>49922</v>
      </c>
      <c r="AH85" s="43">
        <v>50591</v>
      </c>
      <c r="AI85" s="43">
        <v>51277</v>
      </c>
      <c r="AJ85" s="43">
        <v>52801</v>
      </c>
      <c r="AK85" s="43">
        <v>53545</v>
      </c>
      <c r="AL85" s="43">
        <v>54555</v>
      </c>
      <c r="AM85" s="43">
        <v>55467</v>
      </c>
      <c r="AN85" s="43">
        <v>56338</v>
      </c>
      <c r="AO85" s="43">
        <v>56865</v>
      </c>
      <c r="AP85" s="43">
        <v>57317</v>
      </c>
      <c r="AQ85" s="43">
        <v>57645</v>
      </c>
      <c r="AR85" s="43">
        <v>57895</v>
      </c>
      <c r="AS85" s="43">
        <v>57851</v>
      </c>
      <c r="AT85" s="43">
        <v>57548</v>
      </c>
      <c r="AU85" s="43">
        <v>57192</v>
      </c>
      <c r="AV85" s="43">
        <v>57583</v>
      </c>
      <c r="AW85" s="43">
        <v>58387</v>
      </c>
      <c r="AX85" s="43">
        <v>60001</v>
      </c>
      <c r="AY85" s="43">
        <v>61549</v>
      </c>
      <c r="AZ85" s="43">
        <v>62012</v>
      </c>
      <c r="BA85" s="43">
        <v>62492</v>
      </c>
      <c r="BB85" s="43">
        <v>63299</v>
      </c>
      <c r="BC85" s="43">
        <v>63873</v>
      </c>
      <c r="BD85" s="43">
        <v>64468</v>
      </c>
      <c r="BE85" s="43">
        <v>64938</v>
      </c>
      <c r="BF85" s="43">
        <v>65610</v>
      </c>
      <c r="BG85" s="43">
        <v>66196</v>
      </c>
      <c r="BH85" s="43">
        <v>66802</v>
      </c>
      <c r="BI85" s="43">
        <v>67293</v>
      </c>
      <c r="BJ85" s="43">
        <v>67874</v>
      </c>
      <c r="BK85" s="43">
        <v>68502</v>
      </c>
      <c r="BL85" s="43">
        <v>69163</v>
      </c>
      <c r="BM85" s="43">
        <v>69790</v>
      </c>
      <c r="BN85" s="43">
        <v>70381</v>
      </c>
      <c r="BO85" s="43">
        <v>70905</v>
      </c>
      <c r="BP85" s="43">
        <v>71461</v>
      </c>
      <c r="BQ85" s="43">
        <v>71928</v>
      </c>
      <c r="BR85" s="43">
        <v>72393</v>
      </c>
      <c r="BS85" s="43">
        <v>72795</v>
      </c>
      <c r="BT85" s="43">
        <v>73242</v>
      </c>
      <c r="BU85" s="43">
        <v>73661</v>
      </c>
      <c r="BV85" s="43">
        <v>74115</v>
      </c>
      <c r="BW85" s="43">
        <v>74543</v>
      </c>
      <c r="BX85" s="43">
        <v>74996</v>
      </c>
      <c r="BY85" s="43">
        <v>75432</v>
      </c>
      <c r="BZ85" s="43">
        <v>75958</v>
      </c>
      <c r="CA85" s="43">
        <v>76434</v>
      </c>
      <c r="CB85" s="43">
        <v>76874</v>
      </c>
      <c r="CC85" s="43">
        <v>77285</v>
      </c>
      <c r="CD85" s="43">
        <v>77686</v>
      </c>
      <c r="CE85" s="43">
        <v>78085</v>
      </c>
      <c r="CF85" s="43">
        <v>78482</v>
      </c>
      <c r="CG85" s="43">
        <v>78882</v>
      </c>
      <c r="CH85" s="43">
        <v>79258</v>
      </c>
      <c r="CI85" s="43">
        <v>79659</v>
      </c>
      <c r="CJ85" s="43">
        <v>80007</v>
      </c>
      <c r="CK85" s="43">
        <v>80364</v>
      </c>
      <c r="CL85" s="43">
        <v>80747</v>
      </c>
      <c r="CM85" s="43">
        <v>81079</v>
      </c>
      <c r="CN85" s="43">
        <v>81428</v>
      </c>
      <c r="CO85" s="43">
        <v>81747</v>
      </c>
      <c r="CP85" s="43">
        <v>82094</v>
      </c>
      <c r="CQ85" s="43">
        <v>82415</v>
      </c>
      <c r="CR85" s="43">
        <v>82716</v>
      </c>
      <c r="CS85" s="43">
        <v>83034</v>
      </c>
      <c r="CT85" s="43">
        <v>83334</v>
      </c>
      <c r="CU85" s="43">
        <v>83627</v>
      </c>
      <c r="CV85" s="43">
        <v>83893</v>
      </c>
      <c r="CW85" s="43">
        <v>84183</v>
      </c>
      <c r="CX85" s="43">
        <v>84463</v>
      </c>
      <c r="CY85" s="43">
        <v>84731</v>
      </c>
      <c r="CZ85" s="43">
        <v>84968</v>
      </c>
      <c r="DA85" s="43">
        <v>85229</v>
      </c>
      <c r="DB85" s="43">
        <v>85483</v>
      </c>
      <c r="DC85" s="43">
        <v>85754</v>
      </c>
      <c r="DD85" s="43">
        <v>85993</v>
      </c>
      <c r="DE85" s="43">
        <v>86241</v>
      </c>
      <c r="DF85" s="43">
        <v>86506</v>
      </c>
      <c r="DG85" s="43">
        <v>86717</v>
      </c>
      <c r="DH85" s="43">
        <v>86960</v>
      </c>
      <c r="DI85" s="43">
        <v>87161</v>
      </c>
      <c r="DJ85" s="43">
        <v>87398</v>
      </c>
      <c r="DK85" s="43">
        <v>87620</v>
      </c>
      <c r="DL85" s="43">
        <v>87829</v>
      </c>
      <c r="DM85" s="43">
        <v>88048</v>
      </c>
      <c r="DN85" s="43">
        <v>88263</v>
      </c>
      <c r="DO85" s="43">
        <v>88474</v>
      </c>
    </row>
    <row r="86" spans="1:119">
      <c r="A86" s="42">
        <v>84</v>
      </c>
      <c r="W86" s="43">
        <v>36826</v>
      </c>
      <c r="X86" s="43">
        <v>37965</v>
      </c>
      <c r="Y86" s="43">
        <v>38744</v>
      </c>
      <c r="Z86" s="43">
        <v>40514</v>
      </c>
      <c r="AA86" s="43">
        <v>41194</v>
      </c>
      <c r="AB86" s="43">
        <v>42151</v>
      </c>
      <c r="AC86" s="43">
        <v>43384</v>
      </c>
      <c r="AD86" s="43">
        <v>44255</v>
      </c>
      <c r="AE86" s="43">
        <v>44877</v>
      </c>
      <c r="AF86" s="43">
        <v>46178</v>
      </c>
      <c r="AG86" s="43">
        <v>46925</v>
      </c>
      <c r="AH86" s="43">
        <v>47566</v>
      </c>
      <c r="AI86" s="43">
        <v>48263</v>
      </c>
      <c r="AJ86" s="43">
        <v>49748</v>
      </c>
      <c r="AK86" s="43">
        <v>50499</v>
      </c>
      <c r="AL86" s="43">
        <v>51503</v>
      </c>
      <c r="AM86" s="43">
        <v>52415</v>
      </c>
      <c r="AN86" s="43">
        <v>53289</v>
      </c>
      <c r="AO86" s="43">
        <v>53838</v>
      </c>
      <c r="AP86" s="43">
        <v>54316</v>
      </c>
      <c r="AQ86" s="43">
        <v>54676</v>
      </c>
      <c r="AR86" s="43">
        <v>54963</v>
      </c>
      <c r="AS86" s="43">
        <v>54969</v>
      </c>
      <c r="AT86" s="43">
        <v>54728</v>
      </c>
      <c r="AU86" s="43">
        <v>54435</v>
      </c>
      <c r="AV86" s="43">
        <v>54853</v>
      </c>
      <c r="AW86" s="43">
        <v>55665</v>
      </c>
      <c r="AX86" s="43">
        <v>57246</v>
      </c>
      <c r="AY86" s="43">
        <v>58767</v>
      </c>
      <c r="AZ86" s="43">
        <v>59253</v>
      </c>
      <c r="BA86" s="43">
        <v>59754</v>
      </c>
      <c r="BB86" s="43">
        <v>60568</v>
      </c>
      <c r="BC86" s="43">
        <v>61160</v>
      </c>
      <c r="BD86" s="43">
        <v>61772</v>
      </c>
      <c r="BE86" s="43">
        <v>62264</v>
      </c>
      <c r="BF86" s="43">
        <v>62950</v>
      </c>
      <c r="BG86" s="43">
        <v>63553</v>
      </c>
      <c r="BH86" s="43">
        <v>64176</v>
      </c>
      <c r="BI86" s="43">
        <v>64689</v>
      </c>
      <c r="BJ86" s="43">
        <v>65288</v>
      </c>
      <c r="BK86" s="43">
        <v>65932</v>
      </c>
      <c r="BL86" s="43">
        <v>66609</v>
      </c>
      <c r="BM86" s="43">
        <v>67252</v>
      </c>
      <c r="BN86" s="43">
        <v>67861</v>
      </c>
      <c r="BO86" s="43">
        <v>68405</v>
      </c>
      <c r="BP86" s="43">
        <v>68980</v>
      </c>
      <c r="BQ86" s="43">
        <v>69470</v>
      </c>
      <c r="BR86" s="43">
        <v>69957</v>
      </c>
      <c r="BS86" s="43">
        <v>70383</v>
      </c>
      <c r="BT86" s="43">
        <v>70853</v>
      </c>
      <c r="BU86" s="43">
        <v>71295</v>
      </c>
      <c r="BV86" s="43">
        <v>71771</v>
      </c>
      <c r="BW86" s="43">
        <v>72222</v>
      </c>
      <c r="BX86" s="43">
        <v>72697</v>
      </c>
      <c r="BY86" s="43">
        <v>73155</v>
      </c>
      <c r="BZ86" s="43">
        <v>73700</v>
      </c>
      <c r="CA86" s="43">
        <v>74197</v>
      </c>
      <c r="CB86" s="43">
        <v>74659</v>
      </c>
      <c r="CC86" s="43">
        <v>75093</v>
      </c>
      <c r="CD86" s="43">
        <v>75516</v>
      </c>
      <c r="CE86" s="43">
        <v>75938</v>
      </c>
      <c r="CF86" s="43">
        <v>76357</v>
      </c>
      <c r="CG86" s="43">
        <v>76779</v>
      </c>
      <c r="CH86" s="43">
        <v>77177</v>
      </c>
      <c r="CI86" s="43">
        <v>77600</v>
      </c>
      <c r="CJ86" s="43">
        <v>77971</v>
      </c>
      <c r="CK86" s="43">
        <v>78351</v>
      </c>
      <c r="CL86" s="43">
        <v>78755</v>
      </c>
      <c r="CM86" s="43">
        <v>79110</v>
      </c>
      <c r="CN86" s="43">
        <v>79481</v>
      </c>
      <c r="CO86" s="43">
        <v>79823</v>
      </c>
      <c r="CP86" s="43">
        <v>80191</v>
      </c>
      <c r="CQ86" s="43">
        <v>80534</v>
      </c>
      <c r="CR86" s="43">
        <v>80858</v>
      </c>
      <c r="CS86" s="43">
        <v>81197</v>
      </c>
      <c r="CT86" s="43">
        <v>81519</v>
      </c>
      <c r="CU86" s="43">
        <v>81834</v>
      </c>
      <c r="CV86" s="43">
        <v>82121</v>
      </c>
      <c r="CW86" s="43">
        <v>82433</v>
      </c>
      <c r="CX86" s="43">
        <v>82734</v>
      </c>
      <c r="CY86" s="43">
        <v>83023</v>
      </c>
      <c r="CZ86" s="43">
        <v>83281</v>
      </c>
      <c r="DA86" s="43">
        <v>83564</v>
      </c>
      <c r="DB86" s="43">
        <v>83838</v>
      </c>
      <c r="DC86" s="43">
        <v>84130</v>
      </c>
      <c r="DD86" s="43">
        <v>84390</v>
      </c>
      <c r="DE86" s="43">
        <v>84657</v>
      </c>
      <c r="DF86" s="43">
        <v>84942</v>
      </c>
      <c r="DG86" s="43">
        <v>85173</v>
      </c>
      <c r="DH86" s="43">
        <v>85435</v>
      </c>
      <c r="DI86" s="43">
        <v>85657</v>
      </c>
      <c r="DJ86" s="43">
        <v>85913</v>
      </c>
      <c r="DK86" s="43">
        <v>86154</v>
      </c>
      <c r="DL86" s="43">
        <v>86382</v>
      </c>
      <c r="DM86" s="43">
        <v>86620</v>
      </c>
      <c r="DN86" s="43">
        <v>86854</v>
      </c>
      <c r="DO86" s="43">
        <v>87083</v>
      </c>
    </row>
    <row r="87" spans="1:119">
      <c r="A87" s="42">
        <v>85</v>
      </c>
      <c r="W87" s="43">
        <v>34044</v>
      </c>
      <c r="X87" s="43">
        <v>35150</v>
      </c>
      <c r="Y87" s="43">
        <v>35879</v>
      </c>
      <c r="Z87" s="43">
        <v>37470</v>
      </c>
      <c r="AA87" s="43">
        <v>38201</v>
      </c>
      <c r="AB87" s="43">
        <v>39133</v>
      </c>
      <c r="AC87" s="43">
        <v>40332</v>
      </c>
      <c r="AD87" s="43">
        <v>41049</v>
      </c>
      <c r="AE87" s="43">
        <v>41855</v>
      </c>
      <c r="AF87" s="43">
        <v>42983</v>
      </c>
      <c r="AG87" s="43">
        <v>43702</v>
      </c>
      <c r="AH87" s="43">
        <v>44352</v>
      </c>
      <c r="AI87" s="43">
        <v>45053</v>
      </c>
      <c r="AJ87" s="43">
        <v>46493</v>
      </c>
      <c r="AK87" s="43">
        <v>47248</v>
      </c>
      <c r="AL87" s="43">
        <v>48240</v>
      </c>
      <c r="AM87" s="43">
        <v>49147</v>
      </c>
      <c r="AN87" s="43">
        <v>50021</v>
      </c>
      <c r="AO87" s="43">
        <v>50588</v>
      </c>
      <c r="AP87" s="43">
        <v>51090</v>
      </c>
      <c r="AQ87" s="43">
        <v>51481</v>
      </c>
      <c r="AR87" s="43">
        <v>51802</v>
      </c>
      <c r="AS87" s="43">
        <v>51859</v>
      </c>
      <c r="AT87" s="43">
        <v>51681</v>
      </c>
      <c r="AU87" s="43">
        <v>51453</v>
      </c>
      <c r="AV87" s="43">
        <v>51896</v>
      </c>
      <c r="AW87" s="43">
        <v>52709</v>
      </c>
      <c r="AX87" s="43">
        <v>54252</v>
      </c>
      <c r="AY87" s="43">
        <v>55739</v>
      </c>
      <c r="AZ87" s="43">
        <v>56245</v>
      </c>
      <c r="BA87" s="43">
        <v>56767</v>
      </c>
      <c r="BB87" s="43">
        <v>57586</v>
      </c>
      <c r="BC87" s="43">
        <v>58194</v>
      </c>
      <c r="BD87" s="43">
        <v>58820</v>
      </c>
      <c r="BE87" s="43">
        <v>59334</v>
      </c>
      <c r="BF87" s="43">
        <v>60032</v>
      </c>
      <c r="BG87" s="43">
        <v>60651</v>
      </c>
      <c r="BH87" s="43">
        <v>61290</v>
      </c>
      <c r="BI87" s="43">
        <v>61823</v>
      </c>
      <c r="BJ87" s="43">
        <v>62438</v>
      </c>
      <c r="BK87" s="43">
        <v>63098</v>
      </c>
      <c r="BL87" s="43">
        <v>63788</v>
      </c>
      <c r="BM87" s="43">
        <v>64447</v>
      </c>
      <c r="BN87" s="43">
        <v>65073</v>
      </c>
      <c r="BO87" s="43">
        <v>65637</v>
      </c>
      <c r="BP87" s="43">
        <v>66230</v>
      </c>
      <c r="BQ87" s="43">
        <v>66742</v>
      </c>
      <c r="BR87" s="43">
        <v>67250</v>
      </c>
      <c r="BS87" s="43">
        <v>67701</v>
      </c>
      <c r="BT87" s="43">
        <v>68194</v>
      </c>
      <c r="BU87" s="43">
        <v>68659</v>
      </c>
      <c r="BV87" s="43">
        <v>69157</v>
      </c>
      <c r="BW87" s="43">
        <v>69631</v>
      </c>
      <c r="BX87" s="43">
        <v>70128</v>
      </c>
      <c r="BY87" s="43">
        <v>70608</v>
      </c>
      <c r="BZ87" s="43">
        <v>71173</v>
      </c>
      <c r="CA87" s="43">
        <v>71691</v>
      </c>
      <c r="CB87" s="43">
        <v>72175</v>
      </c>
      <c r="CC87" s="43">
        <v>72632</v>
      </c>
      <c r="CD87" s="43">
        <v>73078</v>
      </c>
      <c r="CE87" s="43">
        <v>73523</v>
      </c>
      <c r="CF87" s="43">
        <v>73965</v>
      </c>
      <c r="CG87" s="43">
        <v>74411</v>
      </c>
      <c r="CH87" s="43">
        <v>74832</v>
      </c>
      <c r="CI87" s="43">
        <v>75277</v>
      </c>
      <c r="CJ87" s="43">
        <v>75672</v>
      </c>
      <c r="CK87" s="43">
        <v>76075</v>
      </c>
      <c r="CL87" s="43">
        <v>76502</v>
      </c>
      <c r="CM87" s="43">
        <v>76881</v>
      </c>
      <c r="CN87" s="43">
        <v>77275</v>
      </c>
      <c r="CO87" s="43">
        <v>77640</v>
      </c>
      <c r="CP87" s="43">
        <v>78031</v>
      </c>
      <c r="CQ87" s="43">
        <v>78397</v>
      </c>
      <c r="CR87" s="43">
        <v>78744</v>
      </c>
      <c r="CS87" s="43">
        <v>79106</v>
      </c>
      <c r="CT87" s="43">
        <v>79451</v>
      </c>
      <c r="CU87" s="43">
        <v>79789</v>
      </c>
      <c r="CV87" s="43">
        <v>80101</v>
      </c>
      <c r="CW87" s="43">
        <v>80435</v>
      </c>
      <c r="CX87" s="43">
        <v>80758</v>
      </c>
      <c r="CY87" s="43">
        <v>81070</v>
      </c>
      <c r="CZ87" s="43">
        <v>81352</v>
      </c>
      <c r="DA87" s="43">
        <v>81657</v>
      </c>
      <c r="DB87" s="43">
        <v>81954</v>
      </c>
      <c r="DC87" s="43">
        <v>82267</v>
      </c>
      <c r="DD87" s="43">
        <v>82549</v>
      </c>
      <c r="DE87" s="43">
        <v>82838</v>
      </c>
      <c r="DF87" s="43">
        <v>83145</v>
      </c>
      <c r="DG87" s="43">
        <v>83398</v>
      </c>
      <c r="DH87" s="43">
        <v>83681</v>
      </c>
      <c r="DI87" s="43">
        <v>83925</v>
      </c>
      <c r="DJ87" s="43">
        <v>84201</v>
      </c>
      <c r="DK87" s="43">
        <v>84464</v>
      </c>
      <c r="DL87" s="43">
        <v>84713</v>
      </c>
      <c r="DM87" s="43">
        <v>84971</v>
      </c>
      <c r="DN87" s="43">
        <v>85225</v>
      </c>
      <c r="DO87" s="43">
        <v>85475</v>
      </c>
    </row>
    <row r="88" spans="1:119">
      <c r="A88" s="42">
        <v>86</v>
      </c>
      <c r="W88" s="43">
        <v>31157</v>
      </c>
      <c r="X88" s="43">
        <v>32127</v>
      </c>
      <c r="Y88" s="43">
        <v>32773</v>
      </c>
      <c r="Z88" s="43">
        <v>34374</v>
      </c>
      <c r="AA88" s="43">
        <v>35081</v>
      </c>
      <c r="AB88" s="43">
        <v>35945</v>
      </c>
      <c r="AC88" s="43">
        <v>37017</v>
      </c>
      <c r="AD88" s="43">
        <v>37886</v>
      </c>
      <c r="AE88" s="43">
        <v>38534</v>
      </c>
      <c r="AF88" s="43">
        <v>39601</v>
      </c>
      <c r="AG88" s="43">
        <v>40317</v>
      </c>
      <c r="AH88" s="43">
        <v>40970</v>
      </c>
      <c r="AI88" s="43">
        <v>41672</v>
      </c>
      <c r="AJ88" s="43">
        <v>43058</v>
      </c>
      <c r="AK88" s="43">
        <v>43812</v>
      </c>
      <c r="AL88" s="43">
        <v>44787</v>
      </c>
      <c r="AM88" s="43">
        <v>45684</v>
      </c>
      <c r="AN88" s="43">
        <v>46550</v>
      </c>
      <c r="AO88" s="43">
        <v>47133</v>
      </c>
      <c r="AP88" s="43">
        <v>47655</v>
      </c>
      <c r="AQ88" s="43">
        <v>48074</v>
      </c>
      <c r="AR88" s="43">
        <v>48427</v>
      </c>
      <c r="AS88" s="43">
        <v>48533</v>
      </c>
      <c r="AT88" s="43">
        <v>48418</v>
      </c>
      <c r="AU88" s="43">
        <v>48255</v>
      </c>
      <c r="AV88" s="43">
        <v>48718</v>
      </c>
      <c r="AW88" s="43">
        <v>49528</v>
      </c>
      <c r="AX88" s="43">
        <v>51025</v>
      </c>
      <c r="AY88" s="43">
        <v>52472</v>
      </c>
      <c r="AZ88" s="43">
        <v>52996</v>
      </c>
      <c r="BA88" s="43">
        <v>53535</v>
      </c>
      <c r="BB88" s="43">
        <v>54355</v>
      </c>
      <c r="BC88" s="43">
        <v>54976</v>
      </c>
      <c r="BD88" s="43">
        <v>55615</v>
      </c>
      <c r="BE88" s="43">
        <v>56148</v>
      </c>
      <c r="BF88" s="43">
        <v>56855</v>
      </c>
      <c r="BG88" s="43">
        <v>57489</v>
      </c>
      <c r="BH88" s="43">
        <v>58140</v>
      </c>
      <c r="BI88" s="43">
        <v>58692</v>
      </c>
      <c r="BJ88" s="43">
        <v>59322</v>
      </c>
      <c r="BK88" s="43">
        <v>59994</v>
      </c>
      <c r="BL88" s="43">
        <v>60696</v>
      </c>
      <c r="BM88" s="43">
        <v>61369</v>
      </c>
      <c r="BN88" s="43">
        <v>62010</v>
      </c>
      <c r="BO88" s="43">
        <v>62592</v>
      </c>
      <c r="BP88" s="43">
        <v>63203</v>
      </c>
      <c r="BQ88" s="43">
        <v>63735</v>
      </c>
      <c r="BR88" s="43">
        <v>64265</v>
      </c>
      <c r="BS88" s="43">
        <v>64739</v>
      </c>
      <c r="BT88" s="43">
        <v>65253</v>
      </c>
      <c r="BU88" s="43">
        <v>65742</v>
      </c>
      <c r="BV88" s="43">
        <v>66261</v>
      </c>
      <c r="BW88" s="43">
        <v>66758</v>
      </c>
      <c r="BX88" s="43">
        <v>67276</v>
      </c>
      <c r="BY88" s="43">
        <v>67779</v>
      </c>
      <c r="BZ88" s="43">
        <v>68363</v>
      </c>
      <c r="CA88" s="43">
        <v>68901</v>
      </c>
      <c r="CB88" s="43">
        <v>69407</v>
      </c>
      <c r="CC88" s="43">
        <v>69887</v>
      </c>
      <c r="CD88" s="43">
        <v>70356</v>
      </c>
      <c r="CE88" s="43">
        <v>70824</v>
      </c>
      <c r="CF88" s="43">
        <v>71290</v>
      </c>
      <c r="CG88" s="43">
        <v>71758</v>
      </c>
      <c r="CH88" s="43">
        <v>72203</v>
      </c>
      <c r="CI88" s="43">
        <v>72671</v>
      </c>
      <c r="CJ88" s="43">
        <v>73090</v>
      </c>
      <c r="CK88" s="43">
        <v>73517</v>
      </c>
      <c r="CL88" s="43">
        <v>73967</v>
      </c>
      <c r="CM88" s="43">
        <v>74370</v>
      </c>
      <c r="CN88" s="43">
        <v>74788</v>
      </c>
      <c r="CO88" s="43">
        <v>75178</v>
      </c>
      <c r="CP88" s="43">
        <v>75592</v>
      </c>
      <c r="CQ88" s="43">
        <v>75983</v>
      </c>
      <c r="CR88" s="43">
        <v>76354</v>
      </c>
      <c r="CS88" s="43">
        <v>76740</v>
      </c>
      <c r="CT88" s="43">
        <v>77110</v>
      </c>
      <c r="CU88" s="43">
        <v>77472</v>
      </c>
      <c r="CV88" s="43">
        <v>77808</v>
      </c>
      <c r="CW88" s="43">
        <v>78166</v>
      </c>
      <c r="CX88" s="43">
        <v>78513</v>
      </c>
      <c r="CY88" s="43">
        <v>78849</v>
      </c>
      <c r="CZ88" s="43">
        <v>79156</v>
      </c>
      <c r="DA88" s="43">
        <v>79485</v>
      </c>
      <c r="DB88" s="43">
        <v>79805</v>
      </c>
      <c r="DC88" s="43">
        <v>80141</v>
      </c>
      <c r="DD88" s="43">
        <v>80447</v>
      </c>
      <c r="DE88" s="43">
        <v>80760</v>
      </c>
      <c r="DF88" s="43">
        <v>81088</v>
      </c>
      <c r="DG88" s="43">
        <v>81365</v>
      </c>
      <c r="DH88" s="43">
        <v>81671</v>
      </c>
      <c r="DI88" s="43">
        <v>81938</v>
      </c>
      <c r="DJ88" s="43">
        <v>82237</v>
      </c>
      <c r="DK88" s="43">
        <v>82522</v>
      </c>
      <c r="DL88" s="43">
        <v>82794</v>
      </c>
      <c r="DM88" s="43">
        <v>83074</v>
      </c>
      <c r="DN88" s="43">
        <v>83350</v>
      </c>
      <c r="DO88" s="43">
        <v>83622</v>
      </c>
    </row>
    <row r="89" spans="1:119">
      <c r="A89" s="42">
        <v>87</v>
      </c>
      <c r="W89" s="43">
        <v>28147</v>
      </c>
      <c r="X89" s="43">
        <v>28968</v>
      </c>
      <c r="Y89" s="43">
        <v>29668</v>
      </c>
      <c r="Z89" s="43">
        <v>31163</v>
      </c>
      <c r="AA89" s="43">
        <v>31819</v>
      </c>
      <c r="AB89" s="43">
        <v>32572</v>
      </c>
      <c r="AC89" s="43">
        <v>33720</v>
      </c>
      <c r="AD89" s="43">
        <v>34398</v>
      </c>
      <c r="AE89" s="43">
        <v>35068</v>
      </c>
      <c r="AF89" s="43">
        <v>36093</v>
      </c>
      <c r="AG89" s="43">
        <v>36800</v>
      </c>
      <c r="AH89" s="43">
        <v>37450</v>
      </c>
      <c r="AI89" s="43">
        <v>38146</v>
      </c>
      <c r="AJ89" s="43">
        <v>39470</v>
      </c>
      <c r="AK89" s="43">
        <v>40216</v>
      </c>
      <c r="AL89" s="43">
        <v>41167</v>
      </c>
      <c r="AM89" s="43">
        <v>42048</v>
      </c>
      <c r="AN89" s="43">
        <v>42901</v>
      </c>
      <c r="AO89" s="43">
        <v>43495</v>
      </c>
      <c r="AP89" s="43">
        <v>44032</v>
      </c>
      <c r="AQ89" s="43">
        <v>44474</v>
      </c>
      <c r="AR89" s="43">
        <v>44856</v>
      </c>
      <c r="AS89" s="43">
        <v>45009</v>
      </c>
      <c r="AT89" s="43">
        <v>44956</v>
      </c>
      <c r="AU89" s="43">
        <v>44853</v>
      </c>
      <c r="AV89" s="43">
        <v>45331</v>
      </c>
      <c r="AW89" s="43">
        <v>46133</v>
      </c>
      <c r="AX89" s="43">
        <v>47577</v>
      </c>
      <c r="AY89" s="43">
        <v>48976</v>
      </c>
      <c r="AZ89" s="43">
        <v>49515</v>
      </c>
      <c r="BA89" s="43">
        <v>50068</v>
      </c>
      <c r="BB89" s="43">
        <v>50884</v>
      </c>
      <c r="BC89" s="43">
        <v>51515</v>
      </c>
      <c r="BD89" s="43">
        <v>52163</v>
      </c>
      <c r="BE89" s="43">
        <v>52712</v>
      </c>
      <c r="BF89" s="43">
        <v>53425</v>
      </c>
      <c r="BG89" s="43">
        <v>54069</v>
      </c>
      <c r="BH89" s="43">
        <v>54730</v>
      </c>
      <c r="BI89" s="43">
        <v>55298</v>
      </c>
      <c r="BJ89" s="43">
        <v>55940</v>
      </c>
      <c r="BK89" s="43">
        <v>56622</v>
      </c>
      <c r="BL89" s="43">
        <v>57333</v>
      </c>
      <c r="BM89" s="43">
        <v>58015</v>
      </c>
      <c r="BN89" s="43">
        <v>58669</v>
      </c>
      <c r="BO89" s="43">
        <v>59268</v>
      </c>
      <c r="BP89" s="43">
        <v>59893</v>
      </c>
      <c r="BQ89" s="43">
        <v>60444</v>
      </c>
      <c r="BR89" s="43">
        <v>60993</v>
      </c>
      <c r="BS89" s="43">
        <v>61490</v>
      </c>
      <c r="BT89" s="43">
        <v>62024</v>
      </c>
      <c r="BU89" s="43">
        <v>62534</v>
      </c>
      <c r="BV89" s="43">
        <v>63074</v>
      </c>
      <c r="BW89" s="43">
        <v>63592</v>
      </c>
      <c r="BX89" s="43">
        <v>64130</v>
      </c>
      <c r="BY89" s="43">
        <v>64654</v>
      </c>
      <c r="BZ89" s="43">
        <v>65255</v>
      </c>
      <c r="CA89" s="43">
        <v>65814</v>
      </c>
      <c r="CB89" s="43">
        <v>66340</v>
      </c>
      <c r="CC89" s="43">
        <v>66842</v>
      </c>
      <c r="CD89" s="43">
        <v>67334</v>
      </c>
      <c r="CE89" s="43">
        <v>67825</v>
      </c>
      <c r="CF89" s="43">
        <v>68313</v>
      </c>
      <c r="CG89" s="43">
        <v>68804</v>
      </c>
      <c r="CH89" s="43">
        <v>69273</v>
      </c>
      <c r="CI89" s="43">
        <v>69763</v>
      </c>
      <c r="CJ89" s="43">
        <v>70207</v>
      </c>
      <c r="CK89" s="43">
        <v>70658</v>
      </c>
      <c r="CL89" s="43">
        <v>71130</v>
      </c>
      <c r="CM89" s="43">
        <v>71558</v>
      </c>
      <c r="CN89" s="43">
        <v>72000</v>
      </c>
      <c r="CO89" s="43">
        <v>72415</v>
      </c>
      <c r="CP89" s="43">
        <v>72853</v>
      </c>
      <c r="CQ89" s="43">
        <v>73268</v>
      </c>
      <c r="CR89" s="43">
        <v>73665</v>
      </c>
      <c r="CS89" s="43">
        <v>74075</v>
      </c>
      <c r="CT89" s="43">
        <v>74469</v>
      </c>
      <c r="CU89" s="43">
        <v>74856</v>
      </c>
      <c r="CV89" s="43">
        <v>75218</v>
      </c>
      <c r="CW89" s="43">
        <v>75601</v>
      </c>
      <c r="CX89" s="43">
        <v>75973</v>
      </c>
      <c r="CY89" s="43">
        <v>76334</v>
      </c>
      <c r="CZ89" s="43">
        <v>76666</v>
      </c>
      <c r="DA89" s="43">
        <v>77020</v>
      </c>
      <c r="DB89" s="43">
        <v>77365</v>
      </c>
      <c r="DC89" s="43">
        <v>77726</v>
      </c>
      <c r="DD89" s="43">
        <v>78056</v>
      </c>
      <c r="DE89" s="43">
        <v>78393</v>
      </c>
      <c r="DF89" s="43">
        <v>78746</v>
      </c>
      <c r="DG89" s="43">
        <v>79048</v>
      </c>
      <c r="DH89" s="43">
        <v>79378</v>
      </c>
      <c r="DI89" s="43">
        <v>79670</v>
      </c>
      <c r="DJ89" s="43">
        <v>79992</v>
      </c>
      <c r="DK89" s="43">
        <v>80301</v>
      </c>
      <c r="DL89" s="43">
        <v>80597</v>
      </c>
      <c r="DM89" s="43">
        <v>80901</v>
      </c>
      <c r="DN89" s="43">
        <v>81200</v>
      </c>
      <c r="DO89" s="43">
        <v>81495</v>
      </c>
    </row>
    <row r="90" spans="1:119">
      <c r="A90" s="42">
        <v>88</v>
      </c>
      <c r="W90" s="43">
        <v>24960</v>
      </c>
      <c r="X90" s="43">
        <v>25839</v>
      </c>
      <c r="Y90" s="43">
        <v>26502</v>
      </c>
      <c r="Z90" s="43">
        <v>27852</v>
      </c>
      <c r="AA90" s="43">
        <v>28393</v>
      </c>
      <c r="AB90" s="43">
        <v>29296</v>
      </c>
      <c r="AC90" s="43">
        <v>30191</v>
      </c>
      <c r="AD90" s="43">
        <v>30865</v>
      </c>
      <c r="AE90" s="43">
        <v>31519</v>
      </c>
      <c r="AF90" s="43">
        <v>32494</v>
      </c>
      <c r="AG90" s="43">
        <v>33185</v>
      </c>
      <c r="AH90" s="43">
        <v>33826</v>
      </c>
      <c r="AI90" s="43">
        <v>34508</v>
      </c>
      <c r="AJ90" s="43">
        <v>35761</v>
      </c>
      <c r="AK90" s="43">
        <v>36493</v>
      </c>
      <c r="AL90" s="43">
        <v>37412</v>
      </c>
      <c r="AM90" s="43">
        <v>38269</v>
      </c>
      <c r="AN90" s="43">
        <v>39103</v>
      </c>
      <c r="AO90" s="43">
        <v>39700</v>
      </c>
      <c r="AP90" s="43">
        <v>40247</v>
      </c>
      <c r="AQ90" s="43">
        <v>40708</v>
      </c>
      <c r="AR90" s="43">
        <v>41114</v>
      </c>
      <c r="AS90" s="43">
        <v>41308</v>
      </c>
      <c r="AT90" s="43">
        <v>41310</v>
      </c>
      <c r="AU90" s="43">
        <v>41265</v>
      </c>
      <c r="AV90" s="43">
        <v>41754</v>
      </c>
      <c r="AW90" s="43">
        <v>42543</v>
      </c>
      <c r="AX90" s="43">
        <v>43924</v>
      </c>
      <c r="AY90" s="43">
        <v>45267</v>
      </c>
      <c r="AZ90" s="43">
        <v>45816</v>
      </c>
      <c r="BA90" s="43">
        <v>46379</v>
      </c>
      <c r="BB90" s="43">
        <v>47186</v>
      </c>
      <c r="BC90" s="43">
        <v>47822</v>
      </c>
      <c r="BD90" s="43">
        <v>48474</v>
      </c>
      <c r="BE90" s="43">
        <v>49035</v>
      </c>
      <c r="BF90" s="43">
        <v>49749</v>
      </c>
      <c r="BG90" s="43">
        <v>50399</v>
      </c>
      <c r="BH90" s="43">
        <v>51066</v>
      </c>
      <c r="BI90" s="43">
        <v>51646</v>
      </c>
      <c r="BJ90" s="43">
        <v>52296</v>
      </c>
      <c r="BK90" s="43">
        <v>52984</v>
      </c>
      <c r="BL90" s="43">
        <v>53699</v>
      </c>
      <c r="BM90" s="43">
        <v>54388</v>
      </c>
      <c r="BN90" s="43">
        <v>55051</v>
      </c>
      <c r="BO90" s="43">
        <v>55662</v>
      </c>
      <c r="BP90" s="43">
        <v>56299</v>
      </c>
      <c r="BQ90" s="43">
        <v>56867</v>
      </c>
      <c r="BR90" s="43">
        <v>57432</v>
      </c>
      <c r="BS90" s="43">
        <v>57949</v>
      </c>
      <c r="BT90" s="43">
        <v>58501</v>
      </c>
      <c r="BU90" s="43">
        <v>59030</v>
      </c>
      <c r="BV90" s="43">
        <v>59588</v>
      </c>
      <c r="BW90" s="43">
        <v>60124</v>
      </c>
      <c r="BX90" s="43">
        <v>60681</v>
      </c>
      <c r="BY90" s="43">
        <v>61224</v>
      </c>
      <c r="BZ90" s="43">
        <v>61841</v>
      </c>
      <c r="CA90" s="43">
        <v>62416</v>
      </c>
      <c r="CB90" s="43">
        <v>62963</v>
      </c>
      <c r="CC90" s="43">
        <v>63485</v>
      </c>
      <c r="CD90" s="43">
        <v>63999</v>
      </c>
      <c r="CE90" s="43">
        <v>64511</v>
      </c>
      <c r="CF90" s="43">
        <v>65020</v>
      </c>
      <c r="CG90" s="43">
        <v>65533</v>
      </c>
      <c r="CH90" s="43">
        <v>66024</v>
      </c>
      <c r="CI90" s="43">
        <v>66536</v>
      </c>
      <c r="CJ90" s="43">
        <v>67003</v>
      </c>
      <c r="CK90" s="43">
        <v>67477</v>
      </c>
      <c r="CL90" s="43">
        <v>67972</v>
      </c>
      <c r="CM90" s="43">
        <v>68424</v>
      </c>
      <c r="CN90" s="43">
        <v>68890</v>
      </c>
      <c r="CO90" s="43">
        <v>69329</v>
      </c>
      <c r="CP90" s="43">
        <v>69791</v>
      </c>
      <c r="CQ90" s="43">
        <v>70230</v>
      </c>
      <c r="CR90" s="43">
        <v>70652</v>
      </c>
      <c r="CS90" s="43">
        <v>71087</v>
      </c>
      <c r="CT90" s="43">
        <v>71506</v>
      </c>
      <c r="CU90" s="43">
        <v>71918</v>
      </c>
      <c r="CV90" s="43">
        <v>72305</v>
      </c>
      <c r="CW90" s="43">
        <v>72713</v>
      </c>
      <c r="CX90" s="43">
        <v>73111</v>
      </c>
      <c r="CY90" s="43">
        <v>73497</v>
      </c>
      <c r="CZ90" s="43">
        <v>73856</v>
      </c>
      <c r="DA90" s="43">
        <v>74235</v>
      </c>
      <c r="DB90" s="43">
        <v>74606</v>
      </c>
      <c r="DC90" s="43">
        <v>74991</v>
      </c>
      <c r="DD90" s="43">
        <v>75348</v>
      </c>
      <c r="DE90" s="43">
        <v>75710</v>
      </c>
      <c r="DF90" s="43">
        <v>76087</v>
      </c>
      <c r="DG90" s="43">
        <v>76415</v>
      </c>
      <c r="DH90" s="43">
        <v>76770</v>
      </c>
      <c r="DI90" s="43">
        <v>77088</v>
      </c>
      <c r="DJ90" s="43">
        <v>77435</v>
      </c>
      <c r="DK90" s="43">
        <v>77769</v>
      </c>
      <c r="DL90" s="43">
        <v>78090</v>
      </c>
      <c r="DM90" s="43">
        <v>78418</v>
      </c>
      <c r="DN90" s="43">
        <v>78743</v>
      </c>
      <c r="DO90" s="43">
        <v>79062</v>
      </c>
    </row>
    <row r="91" spans="1:119">
      <c r="A91" s="42">
        <v>89</v>
      </c>
      <c r="W91" s="43">
        <v>21908</v>
      </c>
      <c r="X91" s="43">
        <v>22705</v>
      </c>
      <c r="Y91" s="43">
        <v>23326</v>
      </c>
      <c r="Z91" s="43">
        <v>24401</v>
      </c>
      <c r="AA91" s="43">
        <v>25133</v>
      </c>
      <c r="AB91" s="43">
        <v>25820</v>
      </c>
      <c r="AC91" s="43">
        <v>26652</v>
      </c>
      <c r="AD91" s="43">
        <v>27298</v>
      </c>
      <c r="AE91" s="43">
        <v>27929</v>
      </c>
      <c r="AF91" s="43">
        <v>28846</v>
      </c>
      <c r="AG91" s="43">
        <v>29512</v>
      </c>
      <c r="AH91" s="43">
        <v>30135</v>
      </c>
      <c r="AI91" s="43">
        <v>30797</v>
      </c>
      <c r="AJ91" s="43">
        <v>31970</v>
      </c>
      <c r="AK91" s="43">
        <v>32680</v>
      </c>
      <c r="AL91" s="43">
        <v>33559</v>
      </c>
      <c r="AM91" s="43">
        <v>34383</v>
      </c>
      <c r="AN91" s="43">
        <v>35189</v>
      </c>
      <c r="AO91" s="43">
        <v>35784</v>
      </c>
      <c r="AP91" s="43">
        <v>36334</v>
      </c>
      <c r="AQ91" s="43">
        <v>36806</v>
      </c>
      <c r="AR91" s="43">
        <v>37229</v>
      </c>
      <c r="AS91" s="43">
        <v>37457</v>
      </c>
      <c r="AT91" s="43">
        <v>37509</v>
      </c>
      <c r="AU91" s="43">
        <v>37518</v>
      </c>
      <c r="AV91" s="43">
        <v>38012</v>
      </c>
      <c r="AW91" s="43">
        <v>38780</v>
      </c>
      <c r="AX91" s="43">
        <v>40090</v>
      </c>
      <c r="AY91" s="43">
        <v>41368</v>
      </c>
      <c r="AZ91" s="43">
        <v>41921</v>
      </c>
      <c r="BA91" s="43">
        <v>42488</v>
      </c>
      <c r="BB91" s="43">
        <v>43279</v>
      </c>
      <c r="BC91" s="43">
        <v>43914</v>
      </c>
      <c r="BD91" s="43">
        <v>44566</v>
      </c>
      <c r="BE91" s="43">
        <v>45133</v>
      </c>
      <c r="BF91" s="43">
        <v>45842</v>
      </c>
      <c r="BG91" s="43">
        <v>46493</v>
      </c>
      <c r="BH91" s="43">
        <v>47160</v>
      </c>
      <c r="BI91" s="43">
        <v>47748</v>
      </c>
      <c r="BJ91" s="43">
        <v>48400</v>
      </c>
      <c r="BK91" s="43">
        <v>49089</v>
      </c>
      <c r="BL91" s="43">
        <v>49803</v>
      </c>
      <c r="BM91" s="43">
        <v>50494</v>
      </c>
      <c r="BN91" s="43">
        <v>51161</v>
      </c>
      <c r="BO91" s="43">
        <v>51781</v>
      </c>
      <c r="BP91" s="43">
        <v>52425</v>
      </c>
      <c r="BQ91" s="43">
        <v>53005</v>
      </c>
      <c r="BR91" s="43">
        <v>53583</v>
      </c>
      <c r="BS91" s="43">
        <v>54116</v>
      </c>
      <c r="BT91" s="43">
        <v>54682</v>
      </c>
      <c r="BU91" s="43">
        <v>55227</v>
      </c>
      <c r="BV91" s="43">
        <v>55799</v>
      </c>
      <c r="BW91" s="43">
        <v>56352</v>
      </c>
      <c r="BX91" s="43">
        <v>56924</v>
      </c>
      <c r="BY91" s="43">
        <v>57483</v>
      </c>
      <c r="BZ91" s="43">
        <v>58111</v>
      </c>
      <c r="CA91" s="43">
        <v>58702</v>
      </c>
      <c r="CB91" s="43">
        <v>59265</v>
      </c>
      <c r="CC91" s="43">
        <v>59805</v>
      </c>
      <c r="CD91" s="43">
        <v>60338</v>
      </c>
      <c r="CE91" s="43">
        <v>60869</v>
      </c>
      <c r="CF91" s="43">
        <v>61398</v>
      </c>
      <c r="CG91" s="43">
        <v>61930</v>
      </c>
      <c r="CH91" s="43">
        <v>62442</v>
      </c>
      <c r="CI91" s="43">
        <v>62973</v>
      </c>
      <c r="CJ91" s="43">
        <v>63462</v>
      </c>
      <c r="CK91" s="43">
        <v>63958</v>
      </c>
      <c r="CL91" s="43">
        <v>64474</v>
      </c>
      <c r="CM91" s="43">
        <v>64949</v>
      </c>
      <c r="CN91" s="43">
        <v>65437</v>
      </c>
      <c r="CO91" s="43">
        <v>65900</v>
      </c>
      <c r="CP91" s="43">
        <v>66384</v>
      </c>
      <c r="CQ91" s="43">
        <v>66847</v>
      </c>
      <c r="CR91" s="43">
        <v>67293</v>
      </c>
      <c r="CS91" s="43">
        <v>67751</v>
      </c>
      <c r="CT91" s="43">
        <v>68195</v>
      </c>
      <c r="CU91" s="43">
        <v>68632</v>
      </c>
      <c r="CV91" s="43">
        <v>69045</v>
      </c>
      <c r="CW91" s="43">
        <v>69477</v>
      </c>
      <c r="CX91" s="43">
        <v>69900</v>
      </c>
      <c r="CY91" s="43">
        <v>70312</v>
      </c>
      <c r="CZ91" s="43">
        <v>70697</v>
      </c>
      <c r="DA91" s="43">
        <v>71101</v>
      </c>
      <c r="DB91" s="43">
        <v>71498</v>
      </c>
      <c r="DC91" s="43">
        <v>71908</v>
      </c>
      <c r="DD91" s="43">
        <v>72290</v>
      </c>
      <c r="DE91" s="43">
        <v>72678</v>
      </c>
      <c r="DF91" s="43">
        <v>73080</v>
      </c>
      <c r="DG91" s="43">
        <v>73435</v>
      </c>
      <c r="DH91" s="43">
        <v>73815</v>
      </c>
      <c r="DI91" s="43">
        <v>74160</v>
      </c>
      <c r="DJ91" s="43">
        <v>74533</v>
      </c>
      <c r="DK91" s="43">
        <v>74892</v>
      </c>
      <c r="DL91" s="43">
        <v>75239</v>
      </c>
      <c r="DM91" s="43">
        <v>75593</v>
      </c>
      <c r="DN91" s="43">
        <v>75943</v>
      </c>
      <c r="DO91" s="43">
        <v>76288</v>
      </c>
    </row>
    <row r="92" spans="1:119">
      <c r="A92" s="42">
        <v>90</v>
      </c>
      <c r="W92" s="43">
        <v>18898</v>
      </c>
      <c r="X92" s="43">
        <v>19580</v>
      </c>
      <c r="Y92" s="43">
        <v>20056</v>
      </c>
      <c r="Z92" s="43">
        <v>21244</v>
      </c>
      <c r="AA92" s="43">
        <v>21723</v>
      </c>
      <c r="AB92" s="43">
        <v>22369</v>
      </c>
      <c r="AC92" s="43">
        <v>23139</v>
      </c>
      <c r="AD92" s="43">
        <v>23750</v>
      </c>
      <c r="AE92" s="43">
        <v>24349</v>
      </c>
      <c r="AF92" s="43">
        <v>25199</v>
      </c>
      <c r="AG92" s="43">
        <v>25833</v>
      </c>
      <c r="AH92" s="43">
        <v>26430</v>
      </c>
      <c r="AI92" s="43">
        <v>27063</v>
      </c>
      <c r="AJ92" s="43">
        <v>28148</v>
      </c>
      <c r="AK92" s="43">
        <v>28827</v>
      </c>
      <c r="AL92" s="43">
        <v>29656</v>
      </c>
      <c r="AM92" s="43">
        <v>30440</v>
      </c>
      <c r="AN92" s="43">
        <v>31210</v>
      </c>
      <c r="AO92" s="43">
        <v>31793</v>
      </c>
      <c r="AP92" s="43">
        <v>32337</v>
      </c>
      <c r="AQ92" s="43">
        <v>32813</v>
      </c>
      <c r="AR92" s="43">
        <v>33242</v>
      </c>
      <c r="AS92" s="43">
        <v>33496</v>
      </c>
      <c r="AT92" s="43">
        <v>33592</v>
      </c>
      <c r="AU92" s="43">
        <v>33650</v>
      </c>
      <c r="AV92" s="43">
        <v>34143</v>
      </c>
      <c r="AW92" s="43">
        <v>34882</v>
      </c>
      <c r="AX92" s="43">
        <v>36112</v>
      </c>
      <c r="AY92" s="43">
        <v>37314</v>
      </c>
      <c r="AZ92" s="43">
        <v>37866</v>
      </c>
      <c r="BA92" s="43">
        <v>38429</v>
      </c>
      <c r="BB92" s="43">
        <v>39197</v>
      </c>
      <c r="BC92" s="43">
        <v>39825</v>
      </c>
      <c r="BD92" s="43">
        <v>40468</v>
      </c>
      <c r="BE92" s="43">
        <v>41035</v>
      </c>
      <c r="BF92" s="43">
        <v>41733</v>
      </c>
      <c r="BG92" s="43">
        <v>42378</v>
      </c>
      <c r="BH92" s="43">
        <v>43039</v>
      </c>
      <c r="BI92" s="43">
        <v>43628</v>
      </c>
      <c r="BJ92" s="43">
        <v>44277</v>
      </c>
      <c r="BK92" s="43">
        <v>44959</v>
      </c>
      <c r="BL92" s="43">
        <v>45666</v>
      </c>
      <c r="BM92" s="43">
        <v>46353</v>
      </c>
      <c r="BN92" s="43">
        <v>47018</v>
      </c>
      <c r="BO92" s="43">
        <v>47641</v>
      </c>
      <c r="BP92" s="43">
        <v>48286</v>
      </c>
      <c r="BQ92" s="43">
        <v>48873</v>
      </c>
      <c r="BR92" s="43">
        <v>49459</v>
      </c>
      <c r="BS92" s="43">
        <v>50004</v>
      </c>
      <c r="BT92" s="43">
        <v>50580</v>
      </c>
      <c r="BU92" s="43">
        <v>51136</v>
      </c>
      <c r="BV92" s="43">
        <v>51718</v>
      </c>
      <c r="BW92" s="43">
        <v>52283</v>
      </c>
      <c r="BX92" s="43">
        <v>52865</v>
      </c>
      <c r="BY92" s="43">
        <v>53436</v>
      </c>
      <c r="BZ92" s="43">
        <v>54072</v>
      </c>
      <c r="CA92" s="43">
        <v>54673</v>
      </c>
      <c r="CB92" s="43">
        <v>55248</v>
      </c>
      <c r="CC92" s="43">
        <v>55804</v>
      </c>
      <c r="CD92" s="43">
        <v>56352</v>
      </c>
      <c r="CE92" s="43">
        <v>56899</v>
      </c>
      <c r="CF92" s="43">
        <v>57444</v>
      </c>
      <c r="CG92" s="43">
        <v>57992</v>
      </c>
      <c r="CH92" s="43">
        <v>58521</v>
      </c>
      <c r="CI92" s="43">
        <v>59069</v>
      </c>
      <c r="CJ92" s="43">
        <v>59578</v>
      </c>
      <c r="CK92" s="43">
        <v>60093</v>
      </c>
      <c r="CL92" s="43">
        <v>60626</v>
      </c>
      <c r="CM92" s="43">
        <v>61122</v>
      </c>
      <c r="CN92" s="43">
        <v>61630</v>
      </c>
      <c r="CO92" s="43">
        <v>62114</v>
      </c>
      <c r="CP92" s="43">
        <v>62619</v>
      </c>
      <c r="CQ92" s="43">
        <v>63103</v>
      </c>
      <c r="CR92" s="43">
        <v>63572</v>
      </c>
      <c r="CS92" s="43">
        <v>64052</v>
      </c>
      <c r="CT92" s="43">
        <v>64519</v>
      </c>
      <c r="CU92" s="43">
        <v>64979</v>
      </c>
      <c r="CV92" s="43">
        <v>65416</v>
      </c>
      <c r="CW92" s="43">
        <v>65872</v>
      </c>
      <c r="CX92" s="43">
        <v>66318</v>
      </c>
      <c r="CY92" s="43">
        <v>66755</v>
      </c>
      <c r="CZ92" s="43">
        <v>67165</v>
      </c>
      <c r="DA92" s="43">
        <v>67595</v>
      </c>
      <c r="DB92" s="43">
        <v>68016</v>
      </c>
      <c r="DC92" s="43">
        <v>68451</v>
      </c>
      <c r="DD92" s="43">
        <v>68859</v>
      </c>
      <c r="DE92" s="43">
        <v>69272</v>
      </c>
      <c r="DF92" s="43">
        <v>69698</v>
      </c>
      <c r="DG92" s="43">
        <v>70079</v>
      </c>
      <c r="DH92" s="43">
        <v>70485</v>
      </c>
      <c r="DI92" s="43">
        <v>70856</v>
      </c>
      <c r="DJ92" s="43">
        <v>71254</v>
      </c>
      <c r="DK92" s="43">
        <v>71640</v>
      </c>
      <c r="DL92" s="43">
        <v>72013</v>
      </c>
      <c r="DM92" s="43">
        <v>72393</v>
      </c>
      <c r="DN92" s="43">
        <v>72768</v>
      </c>
      <c r="DO92" s="43">
        <v>73139</v>
      </c>
    </row>
    <row r="93" spans="1:119">
      <c r="A93" s="42">
        <v>91</v>
      </c>
      <c r="W93" s="43">
        <v>15959</v>
      </c>
      <c r="X93" s="43">
        <v>16491</v>
      </c>
      <c r="Y93" s="43">
        <v>17136</v>
      </c>
      <c r="Z93" s="43">
        <v>17958</v>
      </c>
      <c r="AA93" s="43">
        <v>18423</v>
      </c>
      <c r="AB93" s="43">
        <v>19017</v>
      </c>
      <c r="AC93" s="43">
        <v>19718</v>
      </c>
      <c r="AD93" s="43">
        <v>20285</v>
      </c>
      <c r="AE93" s="43">
        <v>20844</v>
      </c>
      <c r="AF93" s="43">
        <v>21621</v>
      </c>
      <c r="AG93" s="43">
        <v>22213</v>
      </c>
      <c r="AH93" s="43">
        <v>22776</v>
      </c>
      <c r="AI93" s="43">
        <v>23372</v>
      </c>
      <c r="AJ93" s="43">
        <v>24359</v>
      </c>
      <c r="AK93" s="43">
        <v>24999</v>
      </c>
      <c r="AL93" s="43">
        <v>25771</v>
      </c>
      <c r="AM93" s="43">
        <v>26505</v>
      </c>
      <c r="AN93" s="43">
        <v>27229</v>
      </c>
      <c r="AO93" s="43">
        <v>27792</v>
      </c>
      <c r="AP93" s="43">
        <v>28322</v>
      </c>
      <c r="AQ93" s="43">
        <v>28789</v>
      </c>
      <c r="AR93" s="43">
        <v>29214</v>
      </c>
      <c r="AS93" s="43">
        <v>29486</v>
      </c>
      <c r="AT93" s="43">
        <v>29620</v>
      </c>
      <c r="AU93" s="43">
        <v>29719</v>
      </c>
      <c r="AV93" s="43">
        <v>30203</v>
      </c>
      <c r="AW93" s="43">
        <v>30906</v>
      </c>
      <c r="AX93" s="43">
        <v>32045</v>
      </c>
      <c r="AY93" s="43">
        <v>33163</v>
      </c>
      <c r="AZ93" s="43">
        <v>33705</v>
      </c>
      <c r="BA93" s="43">
        <v>34257</v>
      </c>
      <c r="BB93" s="43">
        <v>34994</v>
      </c>
      <c r="BC93" s="43">
        <v>35606</v>
      </c>
      <c r="BD93" s="43">
        <v>36233</v>
      </c>
      <c r="BE93" s="43">
        <v>36793</v>
      </c>
      <c r="BF93" s="43">
        <v>37470</v>
      </c>
      <c r="BG93" s="43">
        <v>38102</v>
      </c>
      <c r="BH93" s="43">
        <v>38749</v>
      </c>
      <c r="BI93" s="43">
        <v>39332</v>
      </c>
      <c r="BJ93" s="43">
        <v>39971</v>
      </c>
      <c r="BK93" s="43">
        <v>40640</v>
      </c>
      <c r="BL93" s="43">
        <v>41332</v>
      </c>
      <c r="BM93" s="43">
        <v>42007</v>
      </c>
      <c r="BN93" s="43">
        <v>42663</v>
      </c>
      <c r="BO93" s="43">
        <v>43282</v>
      </c>
      <c r="BP93" s="43">
        <v>43922</v>
      </c>
      <c r="BQ93" s="43">
        <v>44509</v>
      </c>
      <c r="BR93" s="43">
        <v>45097</v>
      </c>
      <c r="BS93" s="43">
        <v>45647</v>
      </c>
      <c r="BT93" s="43">
        <v>46226</v>
      </c>
      <c r="BU93" s="43">
        <v>46788</v>
      </c>
      <c r="BV93" s="43">
        <v>47374</v>
      </c>
      <c r="BW93" s="43">
        <v>47944</v>
      </c>
      <c r="BX93" s="43">
        <v>48532</v>
      </c>
      <c r="BY93" s="43">
        <v>49109</v>
      </c>
      <c r="BZ93" s="43">
        <v>49746</v>
      </c>
      <c r="CA93" s="43">
        <v>50352</v>
      </c>
      <c r="CB93" s="43">
        <v>50935</v>
      </c>
      <c r="CC93" s="43">
        <v>51500</v>
      </c>
      <c r="CD93" s="43">
        <v>52058</v>
      </c>
      <c r="CE93" s="43">
        <v>52616</v>
      </c>
      <c r="CF93" s="43">
        <v>53173</v>
      </c>
      <c r="CG93" s="43">
        <v>53732</v>
      </c>
      <c r="CH93" s="43">
        <v>54275</v>
      </c>
      <c r="CI93" s="43">
        <v>54835</v>
      </c>
      <c r="CJ93" s="43">
        <v>55359</v>
      </c>
      <c r="CK93" s="43">
        <v>55890</v>
      </c>
      <c r="CL93" s="43">
        <v>56437</v>
      </c>
      <c r="CM93" s="43">
        <v>56950</v>
      </c>
      <c r="CN93" s="43">
        <v>57474</v>
      </c>
      <c r="CO93" s="43">
        <v>57977</v>
      </c>
      <c r="CP93" s="43">
        <v>58498</v>
      </c>
      <c r="CQ93" s="43">
        <v>59001</v>
      </c>
      <c r="CR93" s="43">
        <v>59490</v>
      </c>
      <c r="CS93" s="43">
        <v>59989</v>
      </c>
      <c r="CT93" s="43">
        <v>60476</v>
      </c>
      <c r="CU93" s="43">
        <v>60956</v>
      </c>
      <c r="CV93" s="43">
        <v>61416</v>
      </c>
      <c r="CW93" s="43">
        <v>61892</v>
      </c>
      <c r="CX93" s="43">
        <v>62361</v>
      </c>
      <c r="CY93" s="43">
        <v>62819</v>
      </c>
      <c r="CZ93" s="43">
        <v>63254</v>
      </c>
      <c r="DA93" s="43">
        <v>63706</v>
      </c>
      <c r="DB93" s="43">
        <v>64151</v>
      </c>
      <c r="DC93" s="43">
        <v>64608</v>
      </c>
      <c r="DD93" s="43">
        <v>65040</v>
      </c>
      <c r="DE93" s="43">
        <v>65476</v>
      </c>
      <c r="DF93" s="43">
        <v>65926</v>
      </c>
      <c r="DG93" s="43">
        <v>66332</v>
      </c>
      <c r="DH93" s="43">
        <v>66762</v>
      </c>
      <c r="DI93" s="43">
        <v>67159</v>
      </c>
      <c r="DJ93" s="43">
        <v>67582</v>
      </c>
      <c r="DK93" s="43">
        <v>67992</v>
      </c>
      <c r="DL93" s="43">
        <v>68390</v>
      </c>
      <c r="DM93" s="43">
        <v>68796</v>
      </c>
      <c r="DN93" s="43">
        <v>69196</v>
      </c>
      <c r="DO93" s="43">
        <v>69592</v>
      </c>
    </row>
    <row r="94" spans="1:119">
      <c r="A94" s="42">
        <v>92</v>
      </c>
      <c r="W94" s="43">
        <v>13142</v>
      </c>
      <c r="X94" s="43">
        <v>13758</v>
      </c>
      <c r="Y94" s="43">
        <v>14147</v>
      </c>
      <c r="Z94" s="43">
        <v>14874</v>
      </c>
      <c r="AA94" s="43">
        <v>15300</v>
      </c>
      <c r="AB94" s="43">
        <v>15834</v>
      </c>
      <c r="AC94" s="43">
        <v>16460</v>
      </c>
      <c r="AD94" s="43">
        <v>16977</v>
      </c>
      <c r="AE94" s="43">
        <v>17489</v>
      </c>
      <c r="AF94" s="43">
        <v>18185</v>
      </c>
      <c r="AG94" s="43">
        <v>18729</v>
      </c>
      <c r="AH94" s="43">
        <v>19249</v>
      </c>
      <c r="AI94" s="43">
        <v>19799</v>
      </c>
      <c r="AJ94" s="43">
        <v>20684</v>
      </c>
      <c r="AK94" s="43">
        <v>21275</v>
      </c>
      <c r="AL94" s="43">
        <v>21981</v>
      </c>
      <c r="AM94" s="43">
        <v>22658</v>
      </c>
      <c r="AN94" s="43">
        <v>23328</v>
      </c>
      <c r="AO94" s="43">
        <v>23861</v>
      </c>
      <c r="AP94" s="43">
        <v>24363</v>
      </c>
      <c r="AQ94" s="43">
        <v>24811</v>
      </c>
      <c r="AR94" s="43">
        <v>25224</v>
      </c>
      <c r="AS94" s="43">
        <v>25506</v>
      </c>
      <c r="AT94" s="43">
        <v>25669</v>
      </c>
      <c r="AU94" s="43">
        <v>25801</v>
      </c>
      <c r="AV94" s="43">
        <v>26267</v>
      </c>
      <c r="AW94" s="43">
        <v>26925</v>
      </c>
      <c r="AX94" s="43">
        <v>27966</v>
      </c>
      <c r="AY94" s="43">
        <v>28991</v>
      </c>
      <c r="AZ94" s="43">
        <v>29513</v>
      </c>
      <c r="BA94" s="43">
        <v>30046</v>
      </c>
      <c r="BB94" s="43">
        <v>30742</v>
      </c>
      <c r="BC94" s="43">
        <v>31330</v>
      </c>
      <c r="BD94" s="43">
        <v>31933</v>
      </c>
      <c r="BE94" s="43">
        <v>32477</v>
      </c>
      <c r="BF94" s="43">
        <v>33126</v>
      </c>
      <c r="BG94" s="43">
        <v>33736</v>
      </c>
      <c r="BH94" s="43">
        <v>34361</v>
      </c>
      <c r="BI94" s="43">
        <v>34930</v>
      </c>
      <c r="BJ94" s="43">
        <v>35548</v>
      </c>
      <c r="BK94" s="43">
        <v>36196</v>
      </c>
      <c r="BL94" s="43">
        <v>36865</v>
      </c>
      <c r="BM94" s="43">
        <v>37520</v>
      </c>
      <c r="BN94" s="43">
        <v>38159</v>
      </c>
      <c r="BO94" s="43">
        <v>38765</v>
      </c>
      <c r="BP94" s="43">
        <v>39392</v>
      </c>
      <c r="BQ94" s="43">
        <v>39972</v>
      </c>
      <c r="BR94" s="43">
        <v>40553</v>
      </c>
      <c r="BS94" s="43">
        <v>41101</v>
      </c>
      <c r="BT94" s="43">
        <v>41676</v>
      </c>
      <c r="BU94" s="43">
        <v>42236</v>
      </c>
      <c r="BV94" s="43">
        <v>42819</v>
      </c>
      <c r="BW94" s="43">
        <v>43388</v>
      </c>
      <c r="BX94" s="43">
        <v>43973</v>
      </c>
      <c r="BY94" s="43">
        <v>44550</v>
      </c>
      <c r="BZ94" s="43">
        <v>45182</v>
      </c>
      <c r="CA94" s="43">
        <v>45786</v>
      </c>
      <c r="CB94" s="43">
        <v>46370</v>
      </c>
      <c r="CC94" s="43">
        <v>46938</v>
      </c>
      <c r="CD94" s="43">
        <v>47500</v>
      </c>
      <c r="CE94" s="43">
        <v>48063</v>
      </c>
      <c r="CF94" s="43">
        <v>48625</v>
      </c>
      <c r="CG94" s="43">
        <v>49190</v>
      </c>
      <c r="CH94" s="43">
        <v>49740</v>
      </c>
      <c r="CI94" s="43">
        <v>50307</v>
      </c>
      <c r="CJ94" s="43">
        <v>50841</v>
      </c>
      <c r="CK94" s="43">
        <v>51381</v>
      </c>
      <c r="CL94" s="43">
        <v>51937</v>
      </c>
      <c r="CM94" s="43">
        <v>52462</v>
      </c>
      <c r="CN94" s="43">
        <v>52997</v>
      </c>
      <c r="CO94" s="43">
        <v>53513</v>
      </c>
      <c r="CP94" s="43">
        <v>54047</v>
      </c>
      <c r="CQ94" s="43">
        <v>54564</v>
      </c>
      <c r="CR94" s="43">
        <v>55068</v>
      </c>
      <c r="CS94" s="43">
        <v>55582</v>
      </c>
      <c r="CT94" s="43">
        <v>56084</v>
      </c>
      <c r="CU94" s="43">
        <v>56581</v>
      </c>
      <c r="CV94" s="43">
        <v>57059</v>
      </c>
      <c r="CW94" s="43">
        <v>57553</v>
      </c>
      <c r="CX94" s="43">
        <v>58039</v>
      </c>
      <c r="CY94" s="43">
        <v>58517</v>
      </c>
      <c r="CZ94" s="43">
        <v>58972</v>
      </c>
      <c r="DA94" s="43">
        <v>59443</v>
      </c>
      <c r="DB94" s="43">
        <v>59909</v>
      </c>
      <c r="DC94" s="43">
        <v>60385</v>
      </c>
      <c r="DD94" s="43">
        <v>60838</v>
      </c>
      <c r="DE94" s="43">
        <v>61296</v>
      </c>
      <c r="DF94" s="43">
        <v>61765</v>
      </c>
      <c r="DG94" s="43">
        <v>62195</v>
      </c>
      <c r="DH94" s="43">
        <v>62646</v>
      </c>
      <c r="DI94" s="43">
        <v>63067</v>
      </c>
      <c r="DJ94" s="43">
        <v>63512</v>
      </c>
      <c r="DK94" s="43">
        <v>63945</v>
      </c>
      <c r="DL94" s="43">
        <v>64367</v>
      </c>
      <c r="DM94" s="43">
        <v>64795</v>
      </c>
      <c r="DN94" s="43">
        <v>65220</v>
      </c>
      <c r="DO94" s="43">
        <v>65640</v>
      </c>
    </row>
    <row r="95" spans="1:119">
      <c r="A95" s="42">
        <v>93</v>
      </c>
      <c r="W95" s="43">
        <v>10727</v>
      </c>
      <c r="X95" s="43">
        <v>11082</v>
      </c>
      <c r="Y95" s="43">
        <v>11418</v>
      </c>
      <c r="Z95" s="43">
        <v>12040</v>
      </c>
      <c r="AA95" s="43">
        <v>12421</v>
      </c>
      <c r="AB95" s="43">
        <v>12892</v>
      </c>
      <c r="AC95" s="43">
        <v>13440</v>
      </c>
      <c r="AD95" s="43">
        <v>13900</v>
      </c>
      <c r="AE95" s="43">
        <v>14358</v>
      </c>
      <c r="AF95" s="43">
        <v>14970</v>
      </c>
      <c r="AG95" s="43">
        <v>15458</v>
      </c>
      <c r="AH95" s="43">
        <v>15930</v>
      </c>
      <c r="AI95" s="43">
        <v>16427</v>
      </c>
      <c r="AJ95" s="43">
        <v>17204</v>
      </c>
      <c r="AK95" s="43">
        <v>17740</v>
      </c>
      <c r="AL95" s="43">
        <v>18375</v>
      </c>
      <c r="AM95" s="43">
        <v>18986</v>
      </c>
      <c r="AN95" s="43">
        <v>19594</v>
      </c>
      <c r="AO95" s="43">
        <v>20084</v>
      </c>
      <c r="AP95" s="43">
        <v>20550</v>
      </c>
      <c r="AQ95" s="43">
        <v>20971</v>
      </c>
      <c r="AR95" s="43">
        <v>21363</v>
      </c>
      <c r="AS95" s="43">
        <v>21646</v>
      </c>
      <c r="AT95" s="43">
        <v>21827</v>
      </c>
      <c r="AU95" s="43">
        <v>21982</v>
      </c>
      <c r="AV95" s="43">
        <v>22422</v>
      </c>
      <c r="AW95" s="43">
        <v>23028</v>
      </c>
      <c r="AX95" s="43">
        <v>23963</v>
      </c>
      <c r="AY95" s="43">
        <v>24887</v>
      </c>
      <c r="AZ95" s="43">
        <v>25382</v>
      </c>
      <c r="BA95" s="43">
        <v>25887</v>
      </c>
      <c r="BB95" s="43">
        <v>26534</v>
      </c>
      <c r="BC95" s="43">
        <v>27089</v>
      </c>
      <c r="BD95" s="43">
        <v>27658</v>
      </c>
      <c r="BE95" s="43">
        <v>28178</v>
      </c>
      <c r="BF95" s="43">
        <v>28790</v>
      </c>
      <c r="BG95" s="43">
        <v>29369</v>
      </c>
      <c r="BH95" s="43">
        <v>29962</v>
      </c>
      <c r="BI95" s="43">
        <v>30508</v>
      </c>
      <c r="BJ95" s="43">
        <v>31098</v>
      </c>
      <c r="BK95" s="43">
        <v>31715</v>
      </c>
      <c r="BL95" s="43">
        <v>32352</v>
      </c>
      <c r="BM95" s="43">
        <v>32978</v>
      </c>
      <c r="BN95" s="43">
        <v>33591</v>
      </c>
      <c r="BO95" s="43">
        <v>34176</v>
      </c>
      <c r="BP95" s="43">
        <v>34780</v>
      </c>
      <c r="BQ95" s="43">
        <v>35345</v>
      </c>
      <c r="BR95" s="43">
        <v>35911</v>
      </c>
      <c r="BS95" s="43">
        <v>36448</v>
      </c>
      <c r="BT95" s="43">
        <v>37010</v>
      </c>
      <c r="BU95" s="43">
        <v>37561</v>
      </c>
      <c r="BV95" s="43">
        <v>38131</v>
      </c>
      <c r="BW95" s="43">
        <v>38691</v>
      </c>
      <c r="BX95" s="43">
        <v>39266</v>
      </c>
      <c r="BY95" s="43">
        <v>39834</v>
      </c>
      <c r="BZ95" s="43">
        <v>40452</v>
      </c>
      <c r="CA95" s="43">
        <v>41046</v>
      </c>
      <c r="CB95" s="43">
        <v>41622</v>
      </c>
      <c r="CC95" s="43">
        <v>42186</v>
      </c>
      <c r="CD95" s="43">
        <v>42745</v>
      </c>
      <c r="CE95" s="43">
        <v>43304</v>
      </c>
      <c r="CF95" s="43">
        <v>43864</v>
      </c>
      <c r="CG95" s="43">
        <v>44427</v>
      </c>
      <c r="CH95" s="43">
        <v>44978</v>
      </c>
      <c r="CI95" s="43">
        <v>45544</v>
      </c>
      <c r="CJ95" s="43">
        <v>46081</v>
      </c>
      <c r="CK95" s="43">
        <v>46623</v>
      </c>
      <c r="CL95" s="43">
        <v>47182</v>
      </c>
      <c r="CM95" s="43">
        <v>47712</v>
      </c>
      <c r="CN95" s="43">
        <v>48252</v>
      </c>
      <c r="CO95" s="43">
        <v>48775</v>
      </c>
      <c r="CP95" s="43">
        <v>49315</v>
      </c>
      <c r="CQ95" s="43">
        <v>49839</v>
      </c>
      <c r="CR95" s="43">
        <v>50353</v>
      </c>
      <c r="CS95" s="43">
        <v>50876</v>
      </c>
      <c r="CT95" s="43">
        <v>51388</v>
      </c>
      <c r="CU95" s="43">
        <v>51896</v>
      </c>
      <c r="CV95" s="43">
        <v>52387</v>
      </c>
      <c r="CW95" s="43">
        <v>52893</v>
      </c>
      <c r="CX95" s="43">
        <v>53392</v>
      </c>
      <c r="CY95" s="43">
        <v>53883</v>
      </c>
      <c r="CZ95" s="43">
        <v>54354</v>
      </c>
      <c r="DA95" s="43">
        <v>54841</v>
      </c>
      <c r="DB95" s="43">
        <v>55321</v>
      </c>
      <c r="DC95" s="43">
        <v>55812</v>
      </c>
      <c r="DD95" s="43">
        <v>56282</v>
      </c>
      <c r="DE95" s="43">
        <v>56757</v>
      </c>
      <c r="DF95" s="43">
        <v>57243</v>
      </c>
      <c r="DG95" s="43">
        <v>57691</v>
      </c>
      <c r="DH95" s="43">
        <v>58160</v>
      </c>
      <c r="DI95" s="43">
        <v>58601</v>
      </c>
      <c r="DJ95" s="43">
        <v>59064</v>
      </c>
      <c r="DK95" s="43">
        <v>59517</v>
      </c>
      <c r="DL95" s="43">
        <v>59959</v>
      </c>
      <c r="DM95" s="43">
        <v>60408</v>
      </c>
      <c r="DN95" s="43">
        <v>60852</v>
      </c>
      <c r="DO95" s="43">
        <v>61293</v>
      </c>
    </row>
    <row r="96" spans="1:119">
      <c r="A96" s="42">
        <v>94</v>
      </c>
      <c r="W96" s="43">
        <v>8402</v>
      </c>
      <c r="X96" s="43">
        <v>8701</v>
      </c>
      <c r="Y96" s="43">
        <v>8994</v>
      </c>
      <c r="Z96" s="43">
        <v>9514</v>
      </c>
      <c r="AA96" s="43">
        <v>9846</v>
      </c>
      <c r="AB96" s="43">
        <v>10251</v>
      </c>
      <c r="AC96" s="43">
        <v>10719</v>
      </c>
      <c r="AD96" s="43">
        <v>11120</v>
      </c>
      <c r="AE96" s="43">
        <v>11520</v>
      </c>
      <c r="AF96" s="43">
        <v>12046</v>
      </c>
      <c r="AG96" s="43">
        <v>12475</v>
      </c>
      <c r="AH96" s="43">
        <v>12892</v>
      </c>
      <c r="AI96" s="43">
        <v>13331</v>
      </c>
      <c r="AJ96" s="43">
        <v>14001</v>
      </c>
      <c r="AK96" s="43">
        <v>14476</v>
      </c>
      <c r="AL96" s="43">
        <v>15034</v>
      </c>
      <c r="AM96" s="43">
        <v>15575</v>
      </c>
      <c r="AN96" s="43">
        <v>16111</v>
      </c>
      <c r="AO96" s="43">
        <v>16552</v>
      </c>
      <c r="AP96" s="43">
        <v>16973</v>
      </c>
      <c r="AQ96" s="43">
        <v>17360</v>
      </c>
      <c r="AR96" s="43">
        <v>17724</v>
      </c>
      <c r="AS96" s="43">
        <v>17997</v>
      </c>
      <c r="AT96" s="43">
        <v>18186</v>
      </c>
      <c r="AU96" s="43">
        <v>18354</v>
      </c>
      <c r="AV96" s="43">
        <v>18761</v>
      </c>
      <c r="AW96" s="43">
        <v>19308</v>
      </c>
      <c r="AX96" s="43">
        <v>20133</v>
      </c>
      <c r="AY96" s="43">
        <v>20951</v>
      </c>
      <c r="AZ96" s="43">
        <v>21410</v>
      </c>
      <c r="BA96" s="43">
        <v>21880</v>
      </c>
      <c r="BB96" s="43">
        <v>22470</v>
      </c>
      <c r="BC96" s="43">
        <v>22984</v>
      </c>
      <c r="BD96" s="43">
        <v>23511</v>
      </c>
      <c r="BE96" s="43">
        <v>23997</v>
      </c>
      <c r="BF96" s="43">
        <v>24564</v>
      </c>
      <c r="BG96" s="43">
        <v>25104</v>
      </c>
      <c r="BH96" s="43">
        <v>25656</v>
      </c>
      <c r="BI96" s="43">
        <v>26170</v>
      </c>
      <c r="BJ96" s="43">
        <v>26723</v>
      </c>
      <c r="BK96" s="43">
        <v>27300</v>
      </c>
      <c r="BL96" s="43">
        <v>27896</v>
      </c>
      <c r="BM96" s="43">
        <v>28484</v>
      </c>
      <c r="BN96" s="43">
        <v>29062</v>
      </c>
      <c r="BO96" s="43">
        <v>29617</v>
      </c>
      <c r="BP96" s="43">
        <v>30190</v>
      </c>
      <c r="BQ96" s="43">
        <v>30729</v>
      </c>
      <c r="BR96" s="43">
        <v>31271</v>
      </c>
      <c r="BS96" s="43">
        <v>31789</v>
      </c>
      <c r="BT96" s="43">
        <v>32329</v>
      </c>
      <c r="BU96" s="43">
        <v>32860</v>
      </c>
      <c r="BV96" s="43">
        <v>33409</v>
      </c>
      <c r="BW96" s="43">
        <v>33950</v>
      </c>
      <c r="BX96" s="43">
        <v>34506</v>
      </c>
      <c r="BY96" s="43">
        <v>35056</v>
      </c>
      <c r="BZ96" s="43">
        <v>35651</v>
      </c>
      <c r="CA96" s="43">
        <v>36226</v>
      </c>
      <c r="CB96" s="43">
        <v>36787</v>
      </c>
      <c r="CC96" s="43">
        <v>37337</v>
      </c>
      <c r="CD96" s="43">
        <v>37883</v>
      </c>
      <c r="CE96" s="43">
        <v>38432</v>
      </c>
      <c r="CF96" s="43">
        <v>38980</v>
      </c>
      <c r="CG96" s="43">
        <v>39533</v>
      </c>
      <c r="CH96" s="43">
        <v>40075</v>
      </c>
      <c r="CI96" s="43">
        <v>40632</v>
      </c>
      <c r="CJ96" s="43">
        <v>41164</v>
      </c>
      <c r="CK96" s="43">
        <v>41701</v>
      </c>
      <c r="CL96" s="43">
        <v>42254</v>
      </c>
      <c r="CM96" s="43">
        <v>42781</v>
      </c>
      <c r="CN96" s="43">
        <v>43318</v>
      </c>
      <c r="CO96" s="43">
        <v>43840</v>
      </c>
      <c r="CP96" s="43">
        <v>44378</v>
      </c>
      <c r="CQ96" s="43">
        <v>44903</v>
      </c>
      <c r="CR96" s="43">
        <v>45418</v>
      </c>
      <c r="CS96" s="43">
        <v>45943</v>
      </c>
      <c r="CT96" s="43">
        <v>46458</v>
      </c>
      <c r="CU96" s="43">
        <v>46970</v>
      </c>
      <c r="CV96" s="43">
        <v>47467</v>
      </c>
      <c r="CW96" s="43">
        <v>47978</v>
      </c>
      <c r="CX96" s="43">
        <v>48483</v>
      </c>
      <c r="CY96" s="43">
        <v>48982</v>
      </c>
      <c r="CZ96" s="43">
        <v>49462</v>
      </c>
      <c r="DA96" s="43">
        <v>49957</v>
      </c>
      <c r="DB96" s="43">
        <v>50447</v>
      </c>
      <c r="DC96" s="43">
        <v>50947</v>
      </c>
      <c r="DD96" s="43">
        <v>51428</v>
      </c>
      <c r="DE96" s="43">
        <v>51913</v>
      </c>
      <c r="DF96" s="43">
        <v>52409</v>
      </c>
      <c r="DG96" s="43">
        <v>52872</v>
      </c>
      <c r="DH96" s="43">
        <v>53353</v>
      </c>
      <c r="DI96" s="43">
        <v>53808</v>
      </c>
      <c r="DJ96" s="43">
        <v>54285</v>
      </c>
      <c r="DK96" s="43">
        <v>54752</v>
      </c>
      <c r="DL96" s="43">
        <v>55209</v>
      </c>
      <c r="DM96" s="43">
        <v>55673</v>
      </c>
      <c r="DN96" s="43">
        <v>56133</v>
      </c>
      <c r="DO96" s="43">
        <v>56590</v>
      </c>
    </row>
    <row r="97" spans="1:119">
      <c r="A97" s="42">
        <v>95</v>
      </c>
      <c r="W97" s="43">
        <v>6411</v>
      </c>
      <c r="X97" s="43">
        <v>6662</v>
      </c>
      <c r="Y97" s="43">
        <v>6910</v>
      </c>
      <c r="Z97" s="43">
        <v>7335</v>
      </c>
      <c r="AA97" s="43">
        <v>7616</v>
      </c>
      <c r="AB97" s="43">
        <v>7956</v>
      </c>
      <c r="AC97" s="43">
        <v>8346</v>
      </c>
      <c r="AD97" s="43">
        <v>8686</v>
      </c>
      <c r="AE97" s="43">
        <v>9027</v>
      </c>
      <c r="AF97" s="43">
        <v>9469</v>
      </c>
      <c r="AG97" s="43">
        <v>9836</v>
      </c>
      <c r="AH97" s="43">
        <v>10196</v>
      </c>
      <c r="AI97" s="43">
        <v>10575</v>
      </c>
      <c r="AJ97" s="43">
        <v>11139</v>
      </c>
      <c r="AK97" s="43">
        <v>11550</v>
      </c>
      <c r="AL97" s="43">
        <v>12030</v>
      </c>
      <c r="AM97" s="43">
        <v>12494</v>
      </c>
      <c r="AN97" s="43">
        <v>12956</v>
      </c>
      <c r="AO97" s="43">
        <v>13343</v>
      </c>
      <c r="AP97" s="43">
        <v>13716</v>
      </c>
      <c r="AQ97" s="43">
        <v>14062</v>
      </c>
      <c r="AR97" s="43">
        <v>14390</v>
      </c>
      <c r="AS97" s="43">
        <v>14646</v>
      </c>
      <c r="AT97" s="43">
        <v>14834</v>
      </c>
      <c r="AU97" s="43">
        <v>15005</v>
      </c>
      <c r="AV97" s="43">
        <v>15372</v>
      </c>
      <c r="AW97" s="43">
        <v>15855</v>
      </c>
      <c r="AX97" s="43">
        <v>16569</v>
      </c>
      <c r="AY97" s="43">
        <v>17280</v>
      </c>
      <c r="AZ97" s="43">
        <v>17696</v>
      </c>
      <c r="BA97" s="43">
        <v>18122</v>
      </c>
      <c r="BB97" s="43">
        <v>18649</v>
      </c>
      <c r="BC97" s="43">
        <v>19115</v>
      </c>
      <c r="BD97" s="43">
        <v>19593</v>
      </c>
      <c r="BE97" s="43">
        <v>20039</v>
      </c>
      <c r="BF97" s="43">
        <v>20552</v>
      </c>
      <c r="BG97" s="43">
        <v>21045</v>
      </c>
      <c r="BH97" s="43">
        <v>21550</v>
      </c>
      <c r="BI97" s="43">
        <v>22024</v>
      </c>
      <c r="BJ97" s="43">
        <v>22532</v>
      </c>
      <c r="BK97" s="43">
        <v>23061</v>
      </c>
      <c r="BL97" s="43">
        <v>23608</v>
      </c>
      <c r="BM97" s="43">
        <v>24150</v>
      </c>
      <c r="BN97" s="43">
        <v>24684</v>
      </c>
      <c r="BO97" s="43">
        <v>25200</v>
      </c>
      <c r="BP97" s="43">
        <v>25733</v>
      </c>
      <c r="BQ97" s="43">
        <v>26238</v>
      </c>
      <c r="BR97" s="43">
        <v>26746</v>
      </c>
      <c r="BS97" s="43">
        <v>27235</v>
      </c>
      <c r="BT97" s="43">
        <v>27745</v>
      </c>
      <c r="BU97" s="43">
        <v>28247</v>
      </c>
      <c r="BV97" s="43">
        <v>28767</v>
      </c>
      <c r="BW97" s="43">
        <v>29280</v>
      </c>
      <c r="BX97" s="43">
        <v>29807</v>
      </c>
      <c r="BY97" s="43">
        <v>30330</v>
      </c>
      <c r="BZ97" s="43">
        <v>30893</v>
      </c>
      <c r="CA97" s="43">
        <v>31440</v>
      </c>
      <c r="CB97" s="43">
        <v>31975</v>
      </c>
      <c r="CC97" s="43">
        <v>32502</v>
      </c>
      <c r="CD97" s="43">
        <v>33027</v>
      </c>
      <c r="CE97" s="43">
        <v>33555</v>
      </c>
      <c r="CF97" s="43">
        <v>34083</v>
      </c>
      <c r="CG97" s="43">
        <v>34617</v>
      </c>
      <c r="CH97" s="43">
        <v>35141</v>
      </c>
      <c r="CI97" s="43">
        <v>35680</v>
      </c>
      <c r="CJ97" s="43">
        <v>36197</v>
      </c>
      <c r="CK97" s="43">
        <v>36720</v>
      </c>
      <c r="CL97" s="43">
        <v>37257</v>
      </c>
      <c r="CM97" s="43">
        <v>37773</v>
      </c>
      <c r="CN97" s="43">
        <v>38298</v>
      </c>
      <c r="CO97" s="43">
        <v>38811</v>
      </c>
      <c r="CP97" s="43">
        <v>39338</v>
      </c>
      <c r="CQ97" s="43">
        <v>39855</v>
      </c>
      <c r="CR97" s="43">
        <v>40363</v>
      </c>
      <c r="CS97" s="43">
        <v>40881</v>
      </c>
      <c r="CT97" s="43">
        <v>41391</v>
      </c>
      <c r="CU97" s="43">
        <v>41898</v>
      </c>
      <c r="CV97" s="43">
        <v>42393</v>
      </c>
      <c r="CW97" s="43">
        <v>42901</v>
      </c>
      <c r="CX97" s="43">
        <v>43404</v>
      </c>
      <c r="CY97" s="43">
        <v>43902</v>
      </c>
      <c r="CZ97" s="43">
        <v>44384</v>
      </c>
      <c r="DA97" s="43">
        <v>44879</v>
      </c>
      <c r="DB97" s="43">
        <v>45371</v>
      </c>
      <c r="DC97" s="43">
        <v>45872</v>
      </c>
      <c r="DD97" s="43">
        <v>46356</v>
      </c>
      <c r="DE97" s="43">
        <v>46845</v>
      </c>
      <c r="DF97" s="43">
        <v>47344</v>
      </c>
      <c r="DG97" s="43">
        <v>47813</v>
      </c>
      <c r="DH97" s="43">
        <v>48300</v>
      </c>
      <c r="DI97" s="43">
        <v>48763</v>
      </c>
      <c r="DJ97" s="43">
        <v>49246</v>
      </c>
      <c r="DK97" s="43">
        <v>49721</v>
      </c>
      <c r="DL97" s="43">
        <v>50187</v>
      </c>
      <c r="DM97" s="43">
        <v>50659</v>
      </c>
      <c r="DN97" s="43">
        <v>51129</v>
      </c>
      <c r="DO97" s="43">
        <v>51595</v>
      </c>
    </row>
    <row r="98" spans="1:119">
      <c r="A98" s="42">
        <v>96</v>
      </c>
      <c r="W98" s="43">
        <v>4754</v>
      </c>
      <c r="X98" s="43">
        <v>4958</v>
      </c>
      <c r="Y98" s="43">
        <v>5161</v>
      </c>
      <c r="Z98" s="43">
        <v>5498</v>
      </c>
      <c r="AA98" s="43">
        <v>5728</v>
      </c>
      <c r="AB98" s="43">
        <v>6004</v>
      </c>
      <c r="AC98" s="43">
        <v>6320</v>
      </c>
      <c r="AD98" s="43">
        <v>6599</v>
      </c>
      <c r="AE98" s="43">
        <v>6881</v>
      </c>
      <c r="AF98" s="43">
        <v>7241</v>
      </c>
      <c r="AG98" s="43">
        <v>7545</v>
      </c>
      <c r="AH98" s="43">
        <v>7846</v>
      </c>
      <c r="AI98" s="43">
        <v>8162</v>
      </c>
      <c r="AJ98" s="43">
        <v>8624</v>
      </c>
      <c r="AK98" s="43">
        <v>8969</v>
      </c>
      <c r="AL98" s="43">
        <v>9369</v>
      </c>
      <c r="AM98" s="43">
        <v>9756</v>
      </c>
      <c r="AN98" s="43">
        <v>10142</v>
      </c>
      <c r="AO98" s="43">
        <v>10471</v>
      </c>
      <c r="AP98" s="43">
        <v>10791</v>
      </c>
      <c r="AQ98" s="43">
        <v>11090</v>
      </c>
      <c r="AR98" s="43">
        <v>11376</v>
      </c>
      <c r="AS98" s="43">
        <v>11606</v>
      </c>
      <c r="AT98" s="43">
        <v>11783</v>
      </c>
      <c r="AU98" s="43">
        <v>11946</v>
      </c>
      <c r="AV98" s="43">
        <v>12267</v>
      </c>
      <c r="AW98" s="43">
        <v>12681</v>
      </c>
      <c r="AX98" s="43">
        <v>13281</v>
      </c>
      <c r="AY98" s="43">
        <v>13882</v>
      </c>
      <c r="AZ98" s="43">
        <v>14247</v>
      </c>
      <c r="BA98" s="43">
        <v>14622</v>
      </c>
      <c r="BB98" s="43">
        <v>15080</v>
      </c>
      <c r="BC98" s="43">
        <v>15489</v>
      </c>
      <c r="BD98" s="43">
        <v>15909</v>
      </c>
      <c r="BE98" s="43">
        <v>16305</v>
      </c>
      <c r="BF98" s="43">
        <v>16757</v>
      </c>
      <c r="BG98" s="43">
        <v>17193</v>
      </c>
      <c r="BH98" s="43">
        <v>17641</v>
      </c>
      <c r="BI98" s="43">
        <v>18064</v>
      </c>
      <c r="BJ98" s="43">
        <v>18516</v>
      </c>
      <c r="BK98" s="43">
        <v>18988</v>
      </c>
      <c r="BL98" s="43">
        <v>19475</v>
      </c>
      <c r="BM98" s="43">
        <v>19959</v>
      </c>
      <c r="BN98" s="43">
        <v>20438</v>
      </c>
      <c r="BO98" s="43">
        <v>20903</v>
      </c>
      <c r="BP98" s="43">
        <v>21384</v>
      </c>
      <c r="BQ98" s="43">
        <v>21842</v>
      </c>
      <c r="BR98" s="43">
        <v>22305</v>
      </c>
      <c r="BS98" s="43">
        <v>22752</v>
      </c>
      <c r="BT98" s="43">
        <v>23218</v>
      </c>
      <c r="BU98" s="43">
        <v>23678</v>
      </c>
      <c r="BV98" s="43">
        <v>24154</v>
      </c>
      <c r="BW98" s="43">
        <v>24626</v>
      </c>
      <c r="BX98" s="43">
        <v>25110</v>
      </c>
      <c r="BY98" s="43">
        <v>25592</v>
      </c>
      <c r="BZ98" s="43">
        <v>26109</v>
      </c>
      <c r="CA98" s="43">
        <v>26614</v>
      </c>
      <c r="CB98" s="43">
        <v>27109</v>
      </c>
      <c r="CC98" s="43">
        <v>27599</v>
      </c>
      <c r="CD98" s="43">
        <v>28087</v>
      </c>
      <c r="CE98" s="43">
        <v>28579</v>
      </c>
      <c r="CF98" s="43">
        <v>29073</v>
      </c>
      <c r="CG98" s="43">
        <v>29572</v>
      </c>
      <c r="CH98" s="43">
        <v>30064</v>
      </c>
      <c r="CI98" s="43">
        <v>30568</v>
      </c>
      <c r="CJ98" s="43">
        <v>31056</v>
      </c>
      <c r="CK98" s="43">
        <v>31549</v>
      </c>
      <c r="CL98" s="43">
        <v>32055</v>
      </c>
      <c r="CM98" s="43">
        <v>32544</v>
      </c>
      <c r="CN98" s="43">
        <v>33041</v>
      </c>
      <c r="CO98" s="43">
        <v>33529</v>
      </c>
      <c r="CP98" s="43">
        <v>34029</v>
      </c>
      <c r="CQ98" s="43">
        <v>34522</v>
      </c>
      <c r="CR98" s="43">
        <v>35008</v>
      </c>
      <c r="CS98" s="43">
        <v>35502</v>
      </c>
      <c r="CT98" s="43">
        <v>35991</v>
      </c>
      <c r="CU98" s="43">
        <v>36478</v>
      </c>
      <c r="CV98" s="43">
        <v>36955</v>
      </c>
      <c r="CW98" s="43">
        <v>37443</v>
      </c>
      <c r="CX98" s="43">
        <v>37929</v>
      </c>
      <c r="CY98" s="43">
        <v>38410</v>
      </c>
      <c r="CZ98" s="43">
        <v>38878</v>
      </c>
      <c r="DA98" s="43">
        <v>39358</v>
      </c>
      <c r="DB98" s="43">
        <v>39835</v>
      </c>
      <c r="DC98" s="43">
        <v>40322</v>
      </c>
      <c r="DD98" s="43">
        <v>40794</v>
      </c>
      <c r="DE98" s="43">
        <v>41270</v>
      </c>
      <c r="DF98" s="43">
        <v>41756</v>
      </c>
      <c r="DG98" s="43">
        <v>42216</v>
      </c>
      <c r="DH98" s="43">
        <v>42692</v>
      </c>
      <c r="DI98" s="43">
        <v>43148</v>
      </c>
      <c r="DJ98" s="43">
        <v>43622</v>
      </c>
      <c r="DK98" s="43">
        <v>44089</v>
      </c>
      <c r="DL98" s="43">
        <v>44549</v>
      </c>
      <c r="DM98" s="43">
        <v>45014</v>
      </c>
      <c r="DN98" s="43">
        <v>45477</v>
      </c>
      <c r="DO98" s="43">
        <v>45939</v>
      </c>
    </row>
    <row r="99" spans="1:119">
      <c r="A99" s="42">
        <v>97</v>
      </c>
      <c r="W99" s="43">
        <v>3422</v>
      </c>
      <c r="X99" s="43">
        <v>3582</v>
      </c>
      <c r="Y99" s="43">
        <v>3743</v>
      </c>
      <c r="Z99" s="43">
        <v>4001</v>
      </c>
      <c r="AA99" s="43">
        <v>4184</v>
      </c>
      <c r="AB99" s="43">
        <v>4401</v>
      </c>
      <c r="AC99" s="43">
        <v>4648</v>
      </c>
      <c r="AD99" s="43">
        <v>4870</v>
      </c>
      <c r="AE99" s="43">
        <v>5095</v>
      </c>
      <c r="AF99" s="43">
        <v>5379</v>
      </c>
      <c r="AG99" s="43">
        <v>5624</v>
      </c>
      <c r="AH99" s="43">
        <v>5866</v>
      </c>
      <c r="AI99" s="43">
        <v>6122</v>
      </c>
      <c r="AJ99" s="43">
        <v>6489</v>
      </c>
      <c r="AK99" s="43">
        <v>6769</v>
      </c>
      <c r="AL99" s="43">
        <v>7093</v>
      </c>
      <c r="AM99" s="43">
        <v>7405</v>
      </c>
      <c r="AN99" s="43">
        <v>7718</v>
      </c>
      <c r="AO99" s="43">
        <v>7989</v>
      </c>
      <c r="AP99" s="43">
        <v>8254</v>
      </c>
      <c r="AQ99" s="43">
        <v>8504</v>
      </c>
      <c r="AR99" s="43">
        <v>8746</v>
      </c>
      <c r="AS99" s="43">
        <v>8944</v>
      </c>
      <c r="AT99" s="43">
        <v>9103</v>
      </c>
      <c r="AU99" s="43">
        <v>9251</v>
      </c>
      <c r="AV99" s="43">
        <v>9522</v>
      </c>
      <c r="AW99" s="43">
        <v>9866</v>
      </c>
      <c r="AX99" s="43">
        <v>10357</v>
      </c>
      <c r="AY99" s="43">
        <v>10850</v>
      </c>
      <c r="AZ99" s="43">
        <v>11161</v>
      </c>
      <c r="BA99" s="43">
        <v>11479</v>
      </c>
      <c r="BB99" s="43">
        <v>11865</v>
      </c>
      <c r="BC99" s="43">
        <v>12213</v>
      </c>
      <c r="BD99" s="43">
        <v>12572</v>
      </c>
      <c r="BE99" s="43">
        <v>12911</v>
      </c>
      <c r="BF99" s="43">
        <v>13297</v>
      </c>
      <c r="BG99" s="43">
        <v>13671</v>
      </c>
      <c r="BH99" s="43">
        <v>14056</v>
      </c>
      <c r="BI99" s="43">
        <v>14422</v>
      </c>
      <c r="BJ99" s="43">
        <v>14813</v>
      </c>
      <c r="BK99" s="43">
        <v>15220</v>
      </c>
      <c r="BL99" s="43">
        <v>15641</v>
      </c>
      <c r="BM99" s="43">
        <v>16060</v>
      </c>
      <c r="BN99" s="43">
        <v>16477</v>
      </c>
      <c r="BO99" s="43">
        <v>16884</v>
      </c>
      <c r="BP99" s="43">
        <v>17304</v>
      </c>
      <c r="BQ99" s="43">
        <v>17707</v>
      </c>
      <c r="BR99" s="43">
        <v>18115</v>
      </c>
      <c r="BS99" s="43">
        <v>18511</v>
      </c>
      <c r="BT99" s="43">
        <v>18923</v>
      </c>
      <c r="BU99" s="43">
        <v>19333</v>
      </c>
      <c r="BV99" s="43">
        <v>19755</v>
      </c>
      <c r="BW99" s="43">
        <v>20175</v>
      </c>
      <c r="BX99" s="43">
        <v>20607</v>
      </c>
      <c r="BY99" s="43">
        <v>21037</v>
      </c>
      <c r="BZ99" s="43">
        <v>21498</v>
      </c>
      <c r="CA99" s="43">
        <v>21949</v>
      </c>
      <c r="CB99" s="43">
        <v>22393</v>
      </c>
      <c r="CC99" s="43">
        <v>22834</v>
      </c>
      <c r="CD99" s="43">
        <v>23275</v>
      </c>
      <c r="CE99" s="43">
        <v>23719</v>
      </c>
      <c r="CF99" s="43">
        <v>24166</v>
      </c>
      <c r="CG99" s="43">
        <v>24618</v>
      </c>
      <c r="CH99" s="43">
        <v>25065</v>
      </c>
      <c r="CI99" s="43">
        <v>25523</v>
      </c>
      <c r="CJ99" s="43">
        <v>25968</v>
      </c>
      <c r="CK99" s="43">
        <v>26419</v>
      </c>
      <c r="CL99" s="43">
        <v>26881</v>
      </c>
      <c r="CM99" s="43">
        <v>27329</v>
      </c>
      <c r="CN99" s="43">
        <v>27786</v>
      </c>
      <c r="CO99" s="43">
        <v>28235</v>
      </c>
      <c r="CP99" s="43">
        <v>28696</v>
      </c>
      <c r="CQ99" s="43">
        <v>29150</v>
      </c>
      <c r="CR99" s="43">
        <v>29600</v>
      </c>
      <c r="CS99" s="43">
        <v>30058</v>
      </c>
      <c r="CT99" s="43">
        <v>30512</v>
      </c>
      <c r="CU99" s="43">
        <v>30965</v>
      </c>
      <c r="CV99" s="43">
        <v>31409</v>
      </c>
      <c r="CW99" s="43">
        <v>31865</v>
      </c>
      <c r="CX99" s="43">
        <v>32318</v>
      </c>
      <c r="CY99" s="43">
        <v>32768</v>
      </c>
      <c r="CZ99" s="43">
        <v>33208</v>
      </c>
      <c r="DA99" s="43">
        <v>33659</v>
      </c>
      <c r="DB99" s="43">
        <v>34108</v>
      </c>
      <c r="DC99" s="43">
        <v>34565</v>
      </c>
      <c r="DD99" s="43">
        <v>35010</v>
      </c>
      <c r="DE99" s="43">
        <v>35460</v>
      </c>
      <c r="DF99" s="43">
        <v>35919</v>
      </c>
      <c r="DG99" s="43">
        <v>36355</v>
      </c>
      <c r="DH99" s="43">
        <v>36806</v>
      </c>
      <c r="DI99" s="43">
        <v>37240</v>
      </c>
      <c r="DJ99" s="43">
        <v>37690</v>
      </c>
      <c r="DK99" s="43">
        <v>38135</v>
      </c>
      <c r="DL99" s="43">
        <v>38574</v>
      </c>
      <c r="DM99" s="43">
        <v>39018</v>
      </c>
      <c r="DN99" s="43">
        <v>39460</v>
      </c>
      <c r="DO99" s="43">
        <v>39902</v>
      </c>
    </row>
    <row r="100" spans="1:119">
      <c r="A100" s="42">
        <v>98</v>
      </c>
      <c r="W100" s="43">
        <v>2388</v>
      </c>
      <c r="X100" s="43">
        <v>2509</v>
      </c>
      <c r="Y100" s="43">
        <v>2632</v>
      </c>
      <c r="Z100" s="43">
        <v>2824</v>
      </c>
      <c r="AA100" s="43">
        <v>2964</v>
      </c>
      <c r="AB100" s="43">
        <v>3128</v>
      </c>
      <c r="AC100" s="43">
        <v>3316</v>
      </c>
      <c r="AD100" s="43">
        <v>3487</v>
      </c>
      <c r="AE100" s="43">
        <v>3660</v>
      </c>
      <c r="AF100" s="43">
        <v>3878</v>
      </c>
      <c r="AG100" s="43">
        <v>4068</v>
      </c>
      <c r="AH100" s="43">
        <v>4257</v>
      </c>
      <c r="AI100" s="43">
        <v>4458</v>
      </c>
      <c r="AJ100" s="43">
        <v>4740</v>
      </c>
      <c r="AK100" s="43">
        <v>4960</v>
      </c>
      <c r="AL100" s="43">
        <v>5213</v>
      </c>
      <c r="AM100" s="43">
        <v>5458</v>
      </c>
      <c r="AN100" s="43">
        <v>5704</v>
      </c>
      <c r="AO100" s="43">
        <v>5920</v>
      </c>
      <c r="AP100" s="43">
        <v>6132</v>
      </c>
      <c r="AQ100" s="43">
        <v>6334</v>
      </c>
      <c r="AR100" s="43">
        <v>6531</v>
      </c>
      <c r="AS100" s="43">
        <v>6696</v>
      </c>
      <c r="AT100" s="43">
        <v>6832</v>
      </c>
      <c r="AU100" s="43">
        <v>6960</v>
      </c>
      <c r="AV100" s="43">
        <v>7181</v>
      </c>
      <c r="AW100" s="43">
        <v>7459</v>
      </c>
      <c r="AX100" s="43">
        <v>7849</v>
      </c>
      <c r="AY100" s="43">
        <v>8242</v>
      </c>
      <c r="AZ100" s="43">
        <v>8497</v>
      </c>
      <c r="BA100" s="43">
        <v>8760</v>
      </c>
      <c r="BB100" s="43">
        <v>9075</v>
      </c>
      <c r="BC100" s="43">
        <v>9362</v>
      </c>
      <c r="BD100" s="43">
        <v>9658</v>
      </c>
      <c r="BE100" s="43">
        <v>9940</v>
      </c>
      <c r="BF100" s="43">
        <v>10259</v>
      </c>
      <c r="BG100" s="43">
        <v>10571</v>
      </c>
      <c r="BH100" s="43">
        <v>10891</v>
      </c>
      <c r="BI100" s="43">
        <v>11198</v>
      </c>
      <c r="BJ100" s="43">
        <v>11524</v>
      </c>
      <c r="BK100" s="43">
        <v>11865</v>
      </c>
      <c r="BL100" s="43">
        <v>12218</v>
      </c>
      <c r="BM100" s="43">
        <v>12570</v>
      </c>
      <c r="BN100" s="43">
        <v>12921</v>
      </c>
      <c r="BO100" s="43">
        <v>13266</v>
      </c>
      <c r="BP100" s="43">
        <v>13622</v>
      </c>
      <c r="BQ100" s="43">
        <v>13966</v>
      </c>
      <c r="BR100" s="43">
        <v>14314</v>
      </c>
      <c r="BS100" s="43">
        <v>14654</v>
      </c>
      <c r="BT100" s="43">
        <v>15007</v>
      </c>
      <c r="BU100" s="43">
        <v>15359</v>
      </c>
      <c r="BV100" s="43">
        <v>15723</v>
      </c>
      <c r="BW100" s="43">
        <v>16086</v>
      </c>
      <c r="BX100" s="43">
        <v>16458</v>
      </c>
      <c r="BY100" s="43">
        <v>16831</v>
      </c>
      <c r="BZ100" s="43">
        <v>17228</v>
      </c>
      <c r="CA100" s="43">
        <v>17619</v>
      </c>
      <c r="CB100" s="43">
        <v>18005</v>
      </c>
      <c r="CC100" s="43">
        <v>18389</v>
      </c>
      <c r="CD100" s="43">
        <v>18775</v>
      </c>
      <c r="CE100" s="43">
        <v>19164</v>
      </c>
      <c r="CF100" s="43">
        <v>19556</v>
      </c>
      <c r="CG100" s="43">
        <v>19952</v>
      </c>
      <c r="CH100" s="43">
        <v>20346</v>
      </c>
      <c r="CI100" s="43">
        <v>20750</v>
      </c>
      <c r="CJ100" s="43">
        <v>21143</v>
      </c>
      <c r="CK100" s="43">
        <v>21542</v>
      </c>
      <c r="CL100" s="43">
        <v>21951</v>
      </c>
      <c r="CM100" s="43">
        <v>22350</v>
      </c>
      <c r="CN100" s="43">
        <v>22756</v>
      </c>
      <c r="CO100" s="43">
        <v>23156</v>
      </c>
      <c r="CP100" s="43">
        <v>23567</v>
      </c>
      <c r="CQ100" s="43">
        <v>23974</v>
      </c>
      <c r="CR100" s="43">
        <v>24377</v>
      </c>
      <c r="CS100" s="43">
        <v>24788</v>
      </c>
      <c r="CT100" s="43">
        <v>25195</v>
      </c>
      <c r="CU100" s="43">
        <v>25603</v>
      </c>
      <c r="CV100" s="43">
        <v>26005</v>
      </c>
      <c r="CW100" s="43">
        <v>26417</v>
      </c>
      <c r="CX100" s="43">
        <v>26827</v>
      </c>
      <c r="CY100" s="43">
        <v>27235</v>
      </c>
      <c r="CZ100" s="43">
        <v>27635</v>
      </c>
      <c r="DA100" s="43">
        <v>28045</v>
      </c>
      <c r="DB100" s="43">
        <v>28454</v>
      </c>
      <c r="DC100" s="43">
        <v>28870</v>
      </c>
      <c r="DD100" s="43">
        <v>29277</v>
      </c>
      <c r="DE100" s="43">
        <v>29688</v>
      </c>
      <c r="DF100" s="43">
        <v>30107</v>
      </c>
      <c r="DG100" s="43">
        <v>30509</v>
      </c>
      <c r="DH100" s="43">
        <v>30922</v>
      </c>
      <c r="DI100" s="43">
        <v>31322</v>
      </c>
      <c r="DJ100" s="43">
        <v>31736</v>
      </c>
      <c r="DK100" s="43">
        <v>32146</v>
      </c>
      <c r="DL100" s="43">
        <v>32552</v>
      </c>
      <c r="DM100" s="43">
        <v>32962</v>
      </c>
      <c r="DN100" s="43">
        <v>33371</v>
      </c>
      <c r="DO100" s="43">
        <v>33780</v>
      </c>
    </row>
    <row r="101" spans="1:119">
      <c r="A101" s="42">
        <v>99</v>
      </c>
      <c r="W101" s="43">
        <v>1614</v>
      </c>
      <c r="X101" s="43">
        <v>1703</v>
      </c>
      <c r="Y101" s="43">
        <v>1792</v>
      </c>
      <c r="Z101" s="43">
        <v>1931</v>
      </c>
      <c r="AA101" s="43">
        <v>2034</v>
      </c>
      <c r="AB101" s="43">
        <v>2155</v>
      </c>
      <c r="AC101" s="43">
        <v>2293</v>
      </c>
      <c r="AD101" s="43">
        <v>2420</v>
      </c>
      <c r="AE101" s="43">
        <v>2549</v>
      </c>
      <c r="AF101" s="43">
        <v>2710</v>
      </c>
      <c r="AG101" s="43">
        <v>2853</v>
      </c>
      <c r="AH101" s="43">
        <v>2996</v>
      </c>
      <c r="AI101" s="43">
        <v>3148</v>
      </c>
      <c r="AJ101" s="43">
        <v>3358</v>
      </c>
      <c r="AK101" s="43">
        <v>3526</v>
      </c>
      <c r="AL101" s="43">
        <v>3717</v>
      </c>
      <c r="AM101" s="43">
        <v>3903</v>
      </c>
      <c r="AN101" s="43">
        <v>4090</v>
      </c>
      <c r="AO101" s="43">
        <v>4257</v>
      </c>
      <c r="AP101" s="43">
        <v>4421</v>
      </c>
      <c r="AQ101" s="43">
        <v>4579</v>
      </c>
      <c r="AR101" s="43">
        <v>4734</v>
      </c>
      <c r="AS101" s="43">
        <v>4866</v>
      </c>
      <c r="AT101" s="43">
        <v>4977</v>
      </c>
      <c r="AU101" s="43">
        <v>5084</v>
      </c>
      <c r="AV101" s="43">
        <v>5258</v>
      </c>
      <c r="AW101" s="43">
        <v>5475</v>
      </c>
      <c r="AX101" s="43">
        <v>5775</v>
      </c>
      <c r="AY101" s="43">
        <v>6079</v>
      </c>
      <c r="AZ101" s="43">
        <v>6283</v>
      </c>
      <c r="BA101" s="43">
        <v>6492</v>
      </c>
      <c r="BB101" s="43">
        <v>6741</v>
      </c>
      <c r="BC101" s="43">
        <v>6970</v>
      </c>
      <c r="BD101" s="43">
        <v>7207</v>
      </c>
      <c r="BE101" s="43">
        <v>7434</v>
      </c>
      <c r="BF101" s="43">
        <v>7690</v>
      </c>
      <c r="BG101" s="43">
        <v>7941</v>
      </c>
      <c r="BH101" s="43">
        <v>8199</v>
      </c>
      <c r="BI101" s="43">
        <v>8448</v>
      </c>
      <c r="BJ101" s="43">
        <v>8713</v>
      </c>
      <c r="BK101" s="43">
        <v>8989</v>
      </c>
      <c r="BL101" s="43">
        <v>9275</v>
      </c>
      <c r="BM101" s="43">
        <v>9562</v>
      </c>
      <c r="BN101" s="43">
        <v>9849</v>
      </c>
      <c r="BO101" s="43">
        <v>10132</v>
      </c>
      <c r="BP101" s="43">
        <v>10424</v>
      </c>
      <c r="BQ101" s="43">
        <v>10708</v>
      </c>
      <c r="BR101" s="43">
        <v>10995</v>
      </c>
      <c r="BS101" s="43">
        <v>11278</v>
      </c>
      <c r="BT101" s="43">
        <v>11572</v>
      </c>
      <c r="BU101" s="43">
        <v>11865</v>
      </c>
      <c r="BV101" s="43">
        <v>12168</v>
      </c>
      <c r="BW101" s="43">
        <v>12471</v>
      </c>
      <c r="BX101" s="43">
        <v>12782</v>
      </c>
      <c r="BY101" s="43">
        <v>13095</v>
      </c>
      <c r="BZ101" s="43">
        <v>13427</v>
      </c>
      <c r="CA101" s="43">
        <v>13755</v>
      </c>
      <c r="CB101" s="43">
        <v>14081</v>
      </c>
      <c r="CC101" s="43">
        <v>14406</v>
      </c>
      <c r="CD101" s="43">
        <v>14732</v>
      </c>
      <c r="CE101" s="43">
        <v>15062</v>
      </c>
      <c r="CF101" s="43">
        <v>15395</v>
      </c>
      <c r="CG101" s="43">
        <v>15732</v>
      </c>
      <c r="CH101" s="43">
        <v>16068</v>
      </c>
      <c r="CI101" s="43">
        <v>16412</v>
      </c>
      <c r="CJ101" s="43">
        <v>16749</v>
      </c>
      <c r="CK101" s="43">
        <v>17092</v>
      </c>
      <c r="CL101" s="43">
        <v>17442</v>
      </c>
      <c r="CM101" s="43">
        <v>17786</v>
      </c>
      <c r="CN101" s="43">
        <v>18136</v>
      </c>
      <c r="CO101" s="43">
        <v>18482</v>
      </c>
      <c r="CP101" s="43">
        <v>18837</v>
      </c>
      <c r="CQ101" s="43">
        <v>19189</v>
      </c>
      <c r="CR101" s="43">
        <v>19539</v>
      </c>
      <c r="CS101" s="43">
        <v>19896</v>
      </c>
      <c r="CT101" s="43">
        <v>20251</v>
      </c>
      <c r="CU101" s="43">
        <v>20607</v>
      </c>
      <c r="CV101" s="43">
        <v>20959</v>
      </c>
      <c r="CW101" s="43">
        <v>21319</v>
      </c>
      <c r="CX101" s="43">
        <v>21678</v>
      </c>
      <c r="CY101" s="43">
        <v>22037</v>
      </c>
      <c r="CZ101" s="43">
        <v>22389</v>
      </c>
      <c r="DA101" s="43">
        <v>22750</v>
      </c>
      <c r="DB101" s="43">
        <v>23111</v>
      </c>
      <c r="DC101" s="43">
        <v>23478</v>
      </c>
      <c r="DD101" s="43">
        <v>23839</v>
      </c>
      <c r="DE101" s="43">
        <v>24203</v>
      </c>
      <c r="DF101" s="43">
        <v>24574</v>
      </c>
      <c r="DG101" s="43">
        <v>24931</v>
      </c>
      <c r="DH101" s="43">
        <v>25299</v>
      </c>
      <c r="DI101" s="43">
        <v>25656</v>
      </c>
      <c r="DJ101" s="43">
        <v>26025</v>
      </c>
      <c r="DK101" s="43">
        <v>26391</v>
      </c>
      <c r="DL101" s="43">
        <v>26754</v>
      </c>
      <c r="DM101" s="43">
        <v>27121</v>
      </c>
      <c r="DN101" s="43">
        <v>27488</v>
      </c>
      <c r="DO101" s="43">
        <v>27855</v>
      </c>
    </row>
    <row r="102" spans="1:119">
      <c r="A102" s="42">
        <v>100</v>
      </c>
      <c r="W102" s="43">
        <v>1055</v>
      </c>
      <c r="X102" s="43">
        <v>1118</v>
      </c>
      <c r="Y102" s="43">
        <v>1182</v>
      </c>
      <c r="Z102" s="43">
        <v>1278</v>
      </c>
      <c r="AA102" s="43">
        <v>1352</v>
      </c>
      <c r="AB102" s="43">
        <v>1438</v>
      </c>
      <c r="AC102" s="43">
        <v>1536</v>
      </c>
      <c r="AD102" s="43">
        <v>1626</v>
      </c>
      <c r="AE102" s="43">
        <v>1720</v>
      </c>
      <c r="AF102" s="43">
        <v>1835</v>
      </c>
      <c r="AG102" s="43">
        <v>1939</v>
      </c>
      <c r="AH102" s="43">
        <v>2043</v>
      </c>
      <c r="AI102" s="43">
        <v>2154</v>
      </c>
      <c r="AJ102" s="43">
        <v>2306</v>
      </c>
      <c r="AK102" s="43">
        <v>2429</v>
      </c>
      <c r="AL102" s="43">
        <v>2570</v>
      </c>
      <c r="AM102" s="43">
        <v>2705</v>
      </c>
      <c r="AN102" s="43">
        <v>2843</v>
      </c>
      <c r="AO102" s="43">
        <v>2968</v>
      </c>
      <c r="AP102" s="43">
        <v>3091</v>
      </c>
      <c r="AQ102" s="43">
        <v>3210</v>
      </c>
      <c r="AR102" s="43">
        <v>3328</v>
      </c>
      <c r="AS102" s="43">
        <v>3430</v>
      </c>
      <c r="AT102" s="43">
        <v>3518</v>
      </c>
      <c r="AU102" s="43">
        <v>3602</v>
      </c>
      <c r="AV102" s="43">
        <v>3736</v>
      </c>
      <c r="AW102" s="43">
        <v>3900</v>
      </c>
      <c r="AX102" s="43">
        <v>4124</v>
      </c>
      <c r="AY102" s="43">
        <v>4351</v>
      </c>
      <c r="AZ102" s="43">
        <v>4508</v>
      </c>
      <c r="BA102" s="43">
        <v>4670</v>
      </c>
      <c r="BB102" s="43">
        <v>4860</v>
      </c>
      <c r="BC102" s="43">
        <v>5038</v>
      </c>
      <c r="BD102" s="43">
        <v>5221</v>
      </c>
      <c r="BE102" s="43">
        <v>5398</v>
      </c>
      <c r="BF102" s="43">
        <v>5596</v>
      </c>
      <c r="BG102" s="43">
        <v>5792</v>
      </c>
      <c r="BH102" s="43">
        <v>5993</v>
      </c>
      <c r="BI102" s="43">
        <v>6189</v>
      </c>
      <c r="BJ102" s="43">
        <v>6397</v>
      </c>
      <c r="BK102" s="43">
        <v>6614</v>
      </c>
      <c r="BL102" s="43">
        <v>6839</v>
      </c>
      <c r="BM102" s="43">
        <v>7065</v>
      </c>
      <c r="BN102" s="43">
        <v>7292</v>
      </c>
      <c r="BO102" s="43">
        <v>7517</v>
      </c>
      <c r="BP102" s="43">
        <v>7749</v>
      </c>
      <c r="BQ102" s="43">
        <v>7976</v>
      </c>
      <c r="BR102" s="43">
        <v>8207</v>
      </c>
      <c r="BS102" s="43">
        <v>8434</v>
      </c>
      <c r="BT102" s="43">
        <v>8670</v>
      </c>
      <c r="BU102" s="43">
        <v>8907</v>
      </c>
      <c r="BV102" s="43">
        <v>9151</v>
      </c>
      <c r="BW102" s="43">
        <v>9397</v>
      </c>
      <c r="BX102" s="43">
        <v>9649</v>
      </c>
      <c r="BY102" s="43">
        <v>9903</v>
      </c>
      <c r="BZ102" s="43">
        <v>10172</v>
      </c>
      <c r="CA102" s="43">
        <v>10439</v>
      </c>
      <c r="CB102" s="43">
        <v>10705</v>
      </c>
      <c r="CC102" s="43">
        <v>10971</v>
      </c>
      <c r="CD102" s="43">
        <v>11239</v>
      </c>
      <c r="CE102" s="43">
        <v>11510</v>
      </c>
      <c r="CF102" s="43">
        <v>11784</v>
      </c>
      <c r="CG102" s="43">
        <v>12062</v>
      </c>
      <c r="CH102" s="43">
        <v>12339</v>
      </c>
      <c r="CI102" s="43">
        <v>12624</v>
      </c>
      <c r="CJ102" s="43">
        <v>12904</v>
      </c>
      <c r="CK102" s="43">
        <v>13188</v>
      </c>
      <c r="CL102" s="43">
        <v>13480</v>
      </c>
      <c r="CM102" s="43">
        <v>13766</v>
      </c>
      <c r="CN102" s="43">
        <v>14058</v>
      </c>
      <c r="CO102" s="43">
        <v>14348</v>
      </c>
      <c r="CP102" s="43">
        <v>14645</v>
      </c>
      <c r="CQ102" s="43">
        <v>14941</v>
      </c>
      <c r="CR102" s="43">
        <v>15236</v>
      </c>
      <c r="CS102" s="43">
        <v>15536</v>
      </c>
      <c r="CT102" s="43">
        <v>15836</v>
      </c>
      <c r="CU102" s="43">
        <v>16137</v>
      </c>
      <c r="CV102" s="43">
        <v>16435</v>
      </c>
      <c r="CW102" s="43">
        <v>16740</v>
      </c>
      <c r="CX102" s="43">
        <v>17045</v>
      </c>
      <c r="CY102" s="43">
        <v>17351</v>
      </c>
      <c r="CZ102" s="43">
        <v>17651</v>
      </c>
      <c r="DA102" s="43">
        <v>17959</v>
      </c>
      <c r="DB102" s="43">
        <v>18268</v>
      </c>
      <c r="DC102" s="43">
        <v>18582</v>
      </c>
      <c r="DD102" s="43">
        <v>18891</v>
      </c>
      <c r="DE102" s="43">
        <v>19203</v>
      </c>
      <c r="DF102" s="43">
        <v>19522</v>
      </c>
      <c r="DG102" s="43">
        <v>19830</v>
      </c>
      <c r="DH102" s="43">
        <v>20147</v>
      </c>
      <c r="DI102" s="43">
        <v>20455</v>
      </c>
      <c r="DJ102" s="43">
        <v>20774</v>
      </c>
      <c r="DK102" s="43">
        <v>21091</v>
      </c>
      <c r="DL102" s="43">
        <v>21405</v>
      </c>
      <c r="DM102" s="43">
        <v>21724</v>
      </c>
      <c r="DN102" s="43">
        <v>22043</v>
      </c>
      <c r="DO102" s="43">
        <v>22362</v>
      </c>
    </row>
  </sheetData>
  <sheetProtection algorithmName="SHA-512" hashValue="z2yxNIigmN1Nld/F4n/k/Rk0kwiDp7kQJn4+PiHw9wVjE9VvTsKgLxfQoJksDw6xRgHzyhMzyk8YdTG9pwOMTQ==" saltValue="QFs4/2K+ijrSWbhD22FETQ==" spinCount="100000" sheet="1" objects="1" scenarios="1" formatColumns="0" autoFilter="0"/>
  <conditionalFormatting sqref="AC1:DO150">
    <cfRule type="expression" dxfId="45" priority="1" stopIfTrue="1">
      <formula>YEAR(E_Datum1)=AC$1</formula>
    </cfRule>
  </conditionalFormatting>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8487C-D273-4E25-BA97-D0BE5F1BF001}">
  <sheetPr codeName="Tabelle15"/>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13</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1928</v>
      </c>
    </row>
    <row r="4" spans="1:6" ht="195">
      <c r="A4" s="7">
        <f>ROW()</f>
        <v>4</v>
      </c>
      <c r="B4" s="8" t="s">
        <v>1479</v>
      </c>
      <c r="C4" s="1"/>
      <c r="D4" s="8" t="str">
        <f t="shared" ref="D4:D34" si="0">+E4</f>
        <v>Grundprinzipien</v>
      </c>
      <c r="E4" s="22" t="s">
        <v>1468</v>
      </c>
      <c r="F4" s="2" t="s">
        <v>1929</v>
      </c>
    </row>
    <row r="5" spans="1:6" ht="188.25">
      <c r="A5" s="7">
        <f>ROW()</f>
        <v>5</v>
      </c>
      <c r="B5" s="8" t="s">
        <v>1479</v>
      </c>
      <c r="C5" s="1"/>
      <c r="D5" s="8" t="str">
        <f t="shared" si="0"/>
        <v>Gedecktes Risiko: Definition</v>
      </c>
      <c r="E5" s="22" t="s">
        <v>1630</v>
      </c>
      <c r="F5" s="2" t="s">
        <v>1930</v>
      </c>
    </row>
    <row r="6" spans="1:6" ht="165">
      <c r="A6" s="7">
        <f>ROW()</f>
        <v>6</v>
      </c>
      <c r="B6" s="8" t="s">
        <v>1479</v>
      </c>
      <c r="C6" s="8" t="s">
        <v>1453</v>
      </c>
      <c r="D6" s="8" t="str">
        <f t="shared" si="0"/>
        <v>Versicherte Personen</v>
      </c>
      <c r="E6" s="23" t="s">
        <v>1453</v>
      </c>
      <c r="F6" s="2" t="s">
        <v>1931</v>
      </c>
    </row>
    <row r="7" spans="1:6" ht="273">
      <c r="A7" s="7">
        <f>ROW()</f>
        <v>7</v>
      </c>
      <c r="B7" s="8" t="s">
        <v>1479</v>
      </c>
      <c r="C7" s="8" t="str">
        <f>+E6</f>
        <v>Versicherte Personen</v>
      </c>
      <c r="D7" s="8" t="str">
        <f t="shared" si="0"/>
        <v>Ausnahmen von der Versicherungspflicht</v>
      </c>
      <c r="E7" s="23" t="s">
        <v>1458</v>
      </c>
      <c r="F7" s="2" t="s">
        <v>3412</v>
      </c>
    </row>
    <row r="8" spans="1:6" ht="194.25">
      <c r="A8" s="7">
        <f>ROW()</f>
        <v>8</v>
      </c>
      <c r="B8" s="8" t="s">
        <v>1479</v>
      </c>
      <c r="C8" s="9" t="s">
        <v>128</v>
      </c>
      <c r="D8" s="8" t="str">
        <f t="shared" si="0"/>
        <v>1. Anwartschaftszeit</v>
      </c>
      <c r="E8" s="23" t="s">
        <v>1483</v>
      </c>
      <c r="F8" s="2" t="s">
        <v>1932</v>
      </c>
    </row>
    <row r="9" spans="1:6" ht="409.5">
      <c r="A9" s="7">
        <f>ROW()</f>
        <v>9</v>
      </c>
      <c r="B9" s="8" t="s">
        <v>1479</v>
      </c>
      <c r="C9" s="9" t="s">
        <v>128</v>
      </c>
      <c r="D9" s="8" t="str">
        <f t="shared" si="0"/>
        <v xml:space="preserve">2. Begutachtungskriterien und Kategorien der Arbeitsunfähigkeit/Arbeitsfähigkeit  </v>
      </c>
      <c r="E9" s="23" t="s">
        <v>1484</v>
      </c>
      <c r="F9" s="2" t="s">
        <v>3413</v>
      </c>
    </row>
    <row r="10" spans="1:6" ht="222">
      <c r="A10" s="7">
        <f>ROW()</f>
        <v>10</v>
      </c>
      <c r="B10" s="8" t="s">
        <v>1479</v>
      </c>
      <c r="C10" s="9" t="s">
        <v>128</v>
      </c>
      <c r="D10" s="8" t="str">
        <f t="shared" si="0"/>
        <v>3. Zeitraum der Leistungszahlung</v>
      </c>
      <c r="E10" s="23" t="s">
        <v>1486</v>
      </c>
      <c r="F10" s="2" t="s">
        <v>1933</v>
      </c>
    </row>
    <row r="11" spans="1:6" ht="135">
      <c r="A11" s="7">
        <f>ROW()</f>
        <v>11</v>
      </c>
      <c r="B11" s="8" t="s">
        <v>1479</v>
      </c>
      <c r="C11" s="9" t="s">
        <v>1488</v>
      </c>
      <c r="D11" s="8" t="str">
        <f t="shared" si="0"/>
        <v>1. Gutachter</v>
      </c>
      <c r="E11" s="23" t="s">
        <v>1489</v>
      </c>
      <c r="F11" s="2" t="s">
        <v>1934</v>
      </c>
    </row>
    <row r="12" spans="1:6" ht="111.75">
      <c r="A12" s="7">
        <f>ROW()</f>
        <v>12</v>
      </c>
      <c r="B12" s="8" t="s">
        <v>1479</v>
      </c>
      <c r="C12" s="9" t="s">
        <v>1488</v>
      </c>
      <c r="D12" s="8" t="str">
        <f t="shared" si="0"/>
        <v xml:space="preserve">2. Überprüfung  </v>
      </c>
      <c r="E12" s="23" t="s">
        <v>1490</v>
      </c>
      <c r="F12" s="2" t="s">
        <v>1935</v>
      </c>
    </row>
    <row r="13" spans="1:6" ht="291.75">
      <c r="A13" s="7">
        <f>ROW()</f>
        <v>13</v>
      </c>
      <c r="B13" s="8" t="s">
        <v>1479</v>
      </c>
      <c r="C13" s="8" t="s">
        <v>1459</v>
      </c>
      <c r="D13" s="8" t="str">
        <f t="shared" si="0"/>
        <v>1. Berechnungsmethode bzw. Rentenformel</v>
      </c>
      <c r="E13" s="23" t="s">
        <v>1492</v>
      </c>
      <c r="F13" s="2" t="s">
        <v>3414</v>
      </c>
    </row>
    <row r="14" spans="1:6" ht="343.5">
      <c r="A14" s="7">
        <f>ROW()</f>
        <v>14</v>
      </c>
      <c r="B14" s="8" t="s">
        <v>1479</v>
      </c>
      <c r="C14" s="8" t="s">
        <v>1459</v>
      </c>
      <c r="D14" s="8" t="str">
        <f t="shared" si="0"/>
        <v>2. Referenzeinkommen bzw. Berechnungsgrundlage</v>
      </c>
      <c r="E14" s="23" t="s">
        <v>1493</v>
      </c>
      <c r="F14" s="2" t="s">
        <v>3415</v>
      </c>
    </row>
    <row r="15" spans="1:6" ht="226.5">
      <c r="A15" s="7">
        <f>ROW()</f>
        <v>15</v>
      </c>
      <c r="B15" s="8" t="s">
        <v>1479</v>
      </c>
      <c r="C15" s="8" t="s">
        <v>1459</v>
      </c>
      <c r="D15" s="8" t="str">
        <f t="shared" si="0"/>
        <v>3. Mindest- und Höchstleistungen</v>
      </c>
      <c r="E15" s="23" t="s">
        <v>1495</v>
      </c>
      <c r="F15" s="2" t="s">
        <v>1936</v>
      </c>
    </row>
    <row r="16" spans="1:6" ht="405">
      <c r="A16" s="7">
        <f>ROW()</f>
        <v>16</v>
      </c>
      <c r="B16" s="8" t="s">
        <v>1479</v>
      </c>
      <c r="C16" s="8" t="s">
        <v>1459</v>
      </c>
      <c r="D16" s="8" t="str">
        <f t="shared" si="0"/>
        <v>4. Anrechenbare oder als Beitragszeiten gewertete Zeiträume</v>
      </c>
      <c r="E16" s="23" t="s">
        <v>1496</v>
      </c>
      <c r="F16" s="2" t="s">
        <v>1937</v>
      </c>
    </row>
    <row r="17" spans="1:6" ht="250.5">
      <c r="A17" s="7">
        <f>ROW()</f>
        <v>17</v>
      </c>
      <c r="B17" s="8" t="s">
        <v>1479</v>
      </c>
      <c r="C17" s="8" t="s">
        <v>1459</v>
      </c>
      <c r="D17" s="8" t="str">
        <f t="shared" si="0"/>
        <v xml:space="preserve">5. Zulagen für Unterhaltsberechtigte  </v>
      </c>
      <c r="E17" s="23" t="s">
        <v>1498</v>
      </c>
      <c r="F17" s="2" t="s">
        <v>3416</v>
      </c>
    </row>
    <row r="18" spans="1:6" ht="135">
      <c r="A18" s="7">
        <f>ROW()</f>
        <v>18</v>
      </c>
      <c r="B18" s="8" t="s">
        <v>1479</v>
      </c>
      <c r="C18" s="8" t="str">
        <f>+E18</f>
        <v>Sonstige Leistungen</v>
      </c>
      <c r="D18" s="8" t="str">
        <f>+E18</f>
        <v>Sonstige Leistungen</v>
      </c>
      <c r="E18" s="22" t="s">
        <v>1455</v>
      </c>
      <c r="F18" s="2" t="s">
        <v>1938</v>
      </c>
    </row>
    <row r="19" spans="1:6" ht="300.75">
      <c r="A19" s="7">
        <f>ROW()</f>
        <v>19</v>
      </c>
      <c r="B19" s="8" t="s">
        <v>1479</v>
      </c>
      <c r="C19" s="8" t="s">
        <v>1500</v>
      </c>
      <c r="D19" s="8" t="str">
        <f t="shared" si="0"/>
        <v>Umschulung, berufsbezogene Rehabilitation</v>
      </c>
      <c r="E19" s="23" t="s">
        <v>1501</v>
      </c>
      <c r="F19" s="2" t="s">
        <v>1939</v>
      </c>
    </row>
    <row r="20" spans="1:6" ht="409.5">
      <c r="A20" s="7">
        <f>ROW()</f>
        <v>20</v>
      </c>
      <c r="B20" s="8" t="s">
        <v>1479</v>
      </c>
      <c r="C20" s="8" t="s">
        <v>1500</v>
      </c>
      <c r="D20" s="8" t="str">
        <f t="shared" si="0"/>
        <v xml:space="preserve">Bevorzugte und reservierte Beschäftigung von Menschen mit Behinderungen  </v>
      </c>
      <c r="E20" s="23" t="s">
        <v>1502</v>
      </c>
      <c r="F20" s="2" t="s">
        <v>1940</v>
      </c>
    </row>
    <row r="21" spans="1:6" ht="171.75">
      <c r="A21" s="7">
        <f>ROW()</f>
        <v>21</v>
      </c>
      <c r="B21" s="8" t="s">
        <v>1479</v>
      </c>
      <c r="C21" s="8" t="s">
        <v>1504</v>
      </c>
      <c r="D21" s="8" t="str">
        <f t="shared" si="0"/>
        <v>Indexbindung/Anpassung</v>
      </c>
      <c r="E21" s="22" t="s">
        <v>1505</v>
      </c>
      <c r="F21" s="2" t="s">
        <v>1941</v>
      </c>
    </row>
    <row r="22" spans="1:6" ht="242.25">
      <c r="A22" s="7">
        <f>ROW()</f>
        <v>22</v>
      </c>
      <c r="B22" s="8" t="s">
        <v>1479</v>
      </c>
      <c r="C22" s="8" t="s">
        <v>1504</v>
      </c>
      <c r="D22" s="8" t="str">
        <f>+E22</f>
        <v>Kumulation mit Erwerbseinkommen</v>
      </c>
      <c r="E22" s="22" t="s">
        <v>1471</v>
      </c>
      <c r="F22" s="2" t="s">
        <v>1942</v>
      </c>
    </row>
    <row r="23" spans="1:6" ht="275.25">
      <c r="A23" s="7">
        <f>ROW()</f>
        <v>23</v>
      </c>
      <c r="B23" s="8" t="s">
        <v>1479</v>
      </c>
      <c r="C23" s="8" t="s">
        <v>1504</v>
      </c>
      <c r="D23" s="8" t="str">
        <f t="shared" si="0"/>
        <v>Kumulation mit anderen Sozialleistungen</v>
      </c>
      <c r="E23" s="22" t="s">
        <v>1460</v>
      </c>
      <c r="F23" s="2" t="s">
        <v>3417</v>
      </c>
    </row>
    <row r="24" spans="1:6" ht="232.5">
      <c r="A24" s="7">
        <f>ROW()</f>
        <v>24</v>
      </c>
      <c r="B24" s="8" t="s">
        <v>1479</v>
      </c>
      <c r="C24" s="8" t="s">
        <v>1465</v>
      </c>
      <c r="D24" s="8" t="str">
        <f t="shared" si="0"/>
        <v>1. Besteuerung von Geldleistungen</v>
      </c>
      <c r="E24" s="23" t="s">
        <v>1509</v>
      </c>
      <c r="F24" s="2" t="s">
        <v>1943</v>
      </c>
    </row>
    <row r="25" spans="1:6" ht="387">
      <c r="A25" s="7">
        <f>ROW()</f>
        <v>25</v>
      </c>
      <c r="B25" s="8" t="s">
        <v>1479</v>
      </c>
      <c r="C25" s="8" t="s">
        <v>1465</v>
      </c>
      <c r="D25" s="8" t="str">
        <f t="shared" si="0"/>
        <v>2. Einkommensgrenze für Besteuerung von Geldleistungen</v>
      </c>
      <c r="E25" s="23" t="s">
        <v>1511</v>
      </c>
      <c r="F25" s="2" t="s">
        <v>1944</v>
      </c>
    </row>
    <row r="26" spans="1:6" ht="288.75">
      <c r="A26" s="7">
        <f>ROW()</f>
        <v>26</v>
      </c>
      <c r="B26" s="8" t="s">
        <v>1479</v>
      </c>
      <c r="C26" s="8" t="s">
        <v>1465</v>
      </c>
      <c r="D26" s="8" t="str">
        <f t="shared" si="0"/>
        <v>3. Auf Leistungen anfallende Sozialabgaben</v>
      </c>
      <c r="E26" s="23" t="s">
        <v>1512</v>
      </c>
      <c r="F26" s="2" t="s">
        <v>1945</v>
      </c>
    </row>
    <row r="27" spans="1:6" ht="138">
      <c r="A27" s="7">
        <f>ROW()</f>
        <v>27</v>
      </c>
      <c r="B27" s="8" t="s">
        <v>1479</v>
      </c>
      <c r="C27" s="8" t="s">
        <v>1514</v>
      </c>
      <c r="D27" s="8" t="str">
        <f t="shared" si="0"/>
        <v>Anwendungsbereich</v>
      </c>
      <c r="E27" s="23" t="s">
        <v>1467</v>
      </c>
      <c r="F27" s="2" t="s">
        <v>1946</v>
      </c>
    </row>
    <row r="28" spans="1:6" ht="110.25">
      <c r="A28" s="7">
        <f>ROW()</f>
        <v>28</v>
      </c>
      <c r="B28" s="8" t="s">
        <v>1479</v>
      </c>
      <c r="C28" s="8" t="s">
        <v>1514</v>
      </c>
      <c r="D28" s="8" t="str">
        <f t="shared" si="0"/>
        <v>Grundprinzipien</v>
      </c>
      <c r="E28" s="23" t="s">
        <v>1468</v>
      </c>
      <c r="F28" s="2" t="s">
        <v>723</v>
      </c>
    </row>
    <row r="29" spans="1:6" ht="224.25">
      <c r="A29" s="7">
        <f>ROW()</f>
        <v>29</v>
      </c>
      <c r="B29" s="8" t="s">
        <v>1479</v>
      </c>
      <c r="C29" s="8" t="s">
        <v>1514</v>
      </c>
      <c r="D29" s="8" t="str">
        <f t="shared" si="0"/>
        <v>Voraussetzungen für die Deckung</v>
      </c>
      <c r="E29" s="23" t="s">
        <v>1469</v>
      </c>
      <c r="F29" s="2" t="s">
        <v>744</v>
      </c>
    </row>
    <row r="30" spans="1:6" ht="409.5">
      <c r="A30" s="7">
        <f>ROW()</f>
        <v>30</v>
      </c>
      <c r="B30" s="8" t="s">
        <v>1479</v>
      </c>
      <c r="C30" s="8" t="s">
        <v>1514</v>
      </c>
      <c r="D30" s="9" t="str">
        <f t="shared" si="0"/>
        <v>Kombination von selbstständiger und unselbstständiger Tätigkeit</v>
      </c>
      <c r="E30" s="23" t="s">
        <v>1462</v>
      </c>
      <c r="F30" s="2" t="s">
        <v>1449</v>
      </c>
    </row>
    <row r="31" spans="1:6" ht="376.5">
      <c r="A31" s="7">
        <f>ROW()</f>
        <v>31</v>
      </c>
      <c r="B31" s="8" t="s">
        <v>1479</v>
      </c>
      <c r="C31" s="8" t="s">
        <v>1459</v>
      </c>
      <c r="D31" s="9" t="str">
        <f t="shared" si="0"/>
        <v xml:space="preserve">Voraussetzungen für den Zugang zu Diensten/Leistungen </v>
      </c>
      <c r="E31" s="23" t="s">
        <v>1463</v>
      </c>
      <c r="F31" s="2" t="s">
        <v>1947</v>
      </c>
    </row>
    <row r="32" spans="1:6" ht="253.5">
      <c r="A32" s="7">
        <f>ROW()</f>
        <v>32</v>
      </c>
      <c r="B32" s="8" t="s">
        <v>1479</v>
      </c>
      <c r="C32" s="8" t="s">
        <v>1459</v>
      </c>
      <c r="D32" s="8" t="str">
        <f t="shared" si="0"/>
        <v>Beträge, Dauer und Kostenbeteiligung</v>
      </c>
      <c r="E32" s="23" t="s">
        <v>1464</v>
      </c>
      <c r="F32" s="2" t="s">
        <v>1451</v>
      </c>
    </row>
    <row r="33" spans="1:6" ht="216">
      <c r="A33" s="7">
        <f>ROW()</f>
        <v>33</v>
      </c>
      <c r="B33" s="8" t="s">
        <v>1479</v>
      </c>
      <c r="C33" s="8" t="s">
        <v>1459</v>
      </c>
      <c r="D33" s="8" t="str">
        <f t="shared" si="0"/>
        <v>Besteuerung von Geldleistungen</v>
      </c>
      <c r="E33" s="23" t="s">
        <v>1456</v>
      </c>
      <c r="F33" s="2" t="s">
        <v>1948</v>
      </c>
    </row>
    <row r="34" spans="1:6" ht="276.75">
      <c r="A34" s="7">
        <f>ROW()</f>
        <v>34</v>
      </c>
      <c r="B34" s="8" t="s">
        <v>1479</v>
      </c>
      <c r="C34" s="8" t="s">
        <v>1459</v>
      </c>
      <c r="D34" s="8" t="str">
        <f t="shared" si="0"/>
        <v xml:space="preserve"> Auf Leistungen anfallende Sozialabgaben</v>
      </c>
      <c r="E34" s="23" t="s">
        <v>1518</v>
      </c>
      <c r="F34" s="2" t="s">
        <v>1949</v>
      </c>
    </row>
    <row r="35" spans="1:6" ht="177">
      <c r="A35" s="7">
        <f>ROW()</f>
        <v>35</v>
      </c>
      <c r="B35" s="8" t="s">
        <v>1519</v>
      </c>
      <c r="C35" s="8" t="str">
        <f>+D35</f>
        <v>Geltende Rechtsgrundlage</v>
      </c>
      <c r="D35" s="8" t="str">
        <f>+E35</f>
        <v>Geltende Rechtsgrundlage</v>
      </c>
      <c r="E35" s="22" t="s">
        <v>1472</v>
      </c>
      <c r="F35" s="2" t="s">
        <v>43</v>
      </c>
    </row>
    <row r="36" spans="1:6" ht="225">
      <c r="A36" s="7">
        <f>ROW()</f>
        <v>36</v>
      </c>
      <c r="B36" s="8" t="s">
        <v>1519</v>
      </c>
      <c r="C36" s="8" t="str">
        <f>+D36</f>
        <v>Grundprinzipien</v>
      </c>
      <c r="D36" s="8" t="str">
        <f>+E36</f>
        <v>Grundprinzipien</v>
      </c>
      <c r="E36" s="22" t="s">
        <v>1468</v>
      </c>
      <c r="F36" s="2" t="s">
        <v>71</v>
      </c>
    </row>
    <row r="37" spans="1:6" ht="159.75">
      <c r="A37" s="7">
        <f>ROW()</f>
        <v>37</v>
      </c>
      <c r="B37" s="8" t="s">
        <v>1519</v>
      </c>
      <c r="C37" s="8" t="s">
        <v>1467</v>
      </c>
      <c r="D37" s="8" t="str">
        <f>+E37</f>
        <v>1. Versicherte Personen</v>
      </c>
      <c r="E37" s="23" t="s">
        <v>1520</v>
      </c>
      <c r="F37" s="2" t="s">
        <v>96</v>
      </c>
    </row>
    <row r="38" spans="1:6" ht="371.25">
      <c r="A38" s="7">
        <f>ROW()</f>
        <v>38</v>
      </c>
      <c r="B38" s="8" t="s">
        <v>1519</v>
      </c>
      <c r="C38" s="8" t="s">
        <v>1467</v>
      </c>
      <c r="D38" s="8" t="str">
        <f t="shared" ref="D38:D58" si="1">+E38</f>
        <v>2. Ausnahmen von der Deckung  der Pflichtversicherung</v>
      </c>
      <c r="E38" s="23" t="s">
        <v>1521</v>
      </c>
      <c r="F38" s="2" t="s">
        <v>3418</v>
      </c>
    </row>
    <row r="39" spans="1:6" ht="194.25">
      <c r="A39" s="7">
        <f>ROW()</f>
        <v>39</v>
      </c>
      <c r="B39" s="8" t="s">
        <v>1519</v>
      </c>
      <c r="C39" s="8" t="s">
        <v>128</v>
      </c>
      <c r="D39" s="8" t="str">
        <f t="shared" si="1"/>
        <v>1. Rentenalter</v>
      </c>
      <c r="E39" s="23" t="s">
        <v>1523</v>
      </c>
      <c r="F39" s="2" t="s">
        <v>138</v>
      </c>
    </row>
    <row r="40" spans="1:6" ht="409.5">
      <c r="A40" s="7">
        <f>ROW()</f>
        <v>40</v>
      </c>
      <c r="B40" s="8" t="s">
        <v>1519</v>
      </c>
      <c r="C40" s="8" t="s">
        <v>128</v>
      </c>
      <c r="D40" s="8" t="str">
        <f t="shared" si="1"/>
        <v>2. Anwartschaftszeit und sonstige Anspruchsvoraussetzungen für den Bezug einer Altersrente</v>
      </c>
      <c r="E40" s="23" t="s">
        <v>1524</v>
      </c>
      <c r="F40" s="2" t="s">
        <v>160</v>
      </c>
    </row>
    <row r="41" spans="1:6" ht="194.25">
      <c r="A41" s="7">
        <f>ROW()</f>
        <v>41</v>
      </c>
      <c r="B41" s="8" t="s">
        <v>1519</v>
      </c>
      <c r="C41" s="8" t="s">
        <v>128</v>
      </c>
      <c r="D41" s="8" t="str">
        <f t="shared" si="1"/>
        <v>3. Vorruhestand</v>
      </c>
      <c r="E41" s="23" t="s">
        <v>1525</v>
      </c>
      <c r="F41" s="2" t="s">
        <v>180</v>
      </c>
    </row>
    <row r="42" spans="1:6" ht="264">
      <c r="A42" s="7">
        <f>ROW()</f>
        <v>42</v>
      </c>
      <c r="B42" s="8" t="s">
        <v>1519</v>
      </c>
      <c r="C42" s="8" t="s">
        <v>128</v>
      </c>
      <c r="D42" s="8" t="str">
        <f t="shared" si="1"/>
        <v>4. Beschwerliche und gefährliche Arbeit</v>
      </c>
      <c r="E42" s="23" t="s">
        <v>1526</v>
      </c>
      <c r="F42" s="2" t="s">
        <v>198</v>
      </c>
    </row>
    <row r="43" spans="1:6" ht="194.25">
      <c r="A43" s="7">
        <f>ROW()</f>
        <v>43</v>
      </c>
      <c r="B43" s="8" t="s">
        <v>1519</v>
      </c>
      <c r="C43" s="8" t="s">
        <v>128</v>
      </c>
      <c r="D43" s="8" t="str">
        <f t="shared" si="1"/>
        <v>5. Rentenaufschub</v>
      </c>
      <c r="E43" s="23" t="s">
        <v>1527</v>
      </c>
      <c r="F43" s="2" t="s">
        <v>220</v>
      </c>
    </row>
    <row r="44" spans="1:6" ht="174">
      <c r="A44" s="7">
        <f>ROW()</f>
        <v>44</v>
      </c>
      <c r="B44" s="8" t="s">
        <v>1519</v>
      </c>
      <c r="C44" s="8" t="s">
        <v>1459</v>
      </c>
      <c r="D44" s="8" t="str">
        <f t="shared" si="1"/>
        <v>1. Bestimmende Faktoren</v>
      </c>
      <c r="E44" s="23" t="s">
        <v>1528</v>
      </c>
      <c r="F44" s="2" t="s">
        <v>3419</v>
      </c>
    </row>
    <row r="45" spans="1:6" ht="349.5">
      <c r="A45" s="7">
        <f>ROW()</f>
        <v>45</v>
      </c>
      <c r="B45" s="8" t="s">
        <v>1519</v>
      </c>
      <c r="C45" s="8" t="s">
        <v>1459</v>
      </c>
      <c r="D45" s="8" t="str">
        <f t="shared" si="1"/>
        <v>2. Berechnungsmethode, Rentenformel bzw. Beträge</v>
      </c>
      <c r="E45" s="23" t="s">
        <v>1529</v>
      </c>
      <c r="F45" s="2" t="s">
        <v>3420</v>
      </c>
    </row>
    <row r="46" spans="1:6" ht="343.5">
      <c r="A46" s="7">
        <f>ROW()</f>
        <v>46</v>
      </c>
      <c r="B46" s="8" t="s">
        <v>1519</v>
      </c>
      <c r="C46" s="8" t="s">
        <v>1459</v>
      </c>
      <c r="D46" s="8" t="str">
        <f t="shared" si="1"/>
        <v>3. Referenzeinkommen bzw. Berechnungsgrundlage</v>
      </c>
      <c r="E46" s="23" t="s">
        <v>1530</v>
      </c>
      <c r="F46" s="2" t="s">
        <v>3421</v>
      </c>
    </row>
    <row r="47" spans="1:6" ht="405">
      <c r="A47" s="7">
        <f>ROW()</f>
        <v>47</v>
      </c>
      <c r="B47" s="8" t="s">
        <v>1519</v>
      </c>
      <c r="C47" s="8" t="s">
        <v>1459</v>
      </c>
      <c r="D47" s="8" t="str">
        <f t="shared" si="1"/>
        <v>4. Anrechenbare oder als Beitragszeiten gewertete Zeiträume</v>
      </c>
      <c r="E47" s="23" t="s">
        <v>1496</v>
      </c>
      <c r="F47" s="2" t="s">
        <v>3422</v>
      </c>
    </row>
    <row r="48" spans="1:6" ht="243.75">
      <c r="A48" s="7">
        <f>ROW()</f>
        <v>48</v>
      </c>
      <c r="B48" s="8" t="s">
        <v>1519</v>
      </c>
      <c r="C48" s="8" t="s">
        <v>1459</v>
      </c>
      <c r="D48" s="8" t="str">
        <f t="shared" si="1"/>
        <v>5. Rückkauf von Versicherungszeiten</v>
      </c>
      <c r="E48" s="23" t="s">
        <v>1531</v>
      </c>
      <c r="F48" s="2" t="s">
        <v>319</v>
      </c>
    </row>
    <row r="49" spans="1:6" ht="246">
      <c r="A49" s="7">
        <f>ROW()</f>
        <v>49</v>
      </c>
      <c r="B49" s="8" t="s">
        <v>1519</v>
      </c>
      <c r="C49" s="8" t="s">
        <v>1459</v>
      </c>
      <c r="D49" s="8" t="str">
        <f t="shared" si="1"/>
        <v>6.  Zulagen für Unterhaltsberechtigte</v>
      </c>
      <c r="E49" s="23" t="s">
        <v>1631</v>
      </c>
      <c r="F49" s="2" t="s">
        <v>3423</v>
      </c>
    </row>
    <row r="50" spans="1:6" ht="145.5">
      <c r="A50" s="7">
        <f>ROW()</f>
        <v>50</v>
      </c>
      <c r="B50" s="8" t="s">
        <v>1519</v>
      </c>
      <c r="C50" s="8" t="s">
        <v>1459</v>
      </c>
      <c r="D50" s="8" t="str">
        <f t="shared" si="1"/>
        <v>7. Besondere Zulagen</v>
      </c>
      <c r="E50" s="23" t="s">
        <v>1532</v>
      </c>
      <c r="F50" s="2" t="s">
        <v>351</v>
      </c>
    </row>
    <row r="51" spans="1:6" ht="360.75">
      <c r="A51" s="7">
        <f>ROW()</f>
        <v>51</v>
      </c>
      <c r="B51" s="8" t="s">
        <v>1519</v>
      </c>
      <c r="C51" s="8" t="s">
        <v>1459</v>
      </c>
      <c r="D51" s="8" t="str">
        <f t="shared" si="1"/>
        <v>8. Mindestrente und bedürftigkeitsabhängige Leistung</v>
      </c>
      <c r="E51" s="23" t="s">
        <v>1533</v>
      </c>
      <c r="F51" s="2" t="s">
        <v>382</v>
      </c>
    </row>
    <row r="52" spans="1:6" ht="101.25">
      <c r="A52" s="7">
        <f>ROW()</f>
        <v>52</v>
      </c>
      <c r="B52" s="8" t="s">
        <v>1519</v>
      </c>
      <c r="C52" s="8" t="s">
        <v>1459</v>
      </c>
      <c r="D52" s="8" t="str">
        <f t="shared" si="1"/>
        <v>9. Höchstrente</v>
      </c>
      <c r="E52" s="23" t="s">
        <v>1534</v>
      </c>
      <c r="F52" s="2" t="s">
        <v>405</v>
      </c>
    </row>
    <row r="53" spans="1:6" ht="119.25">
      <c r="A53" s="7">
        <f>ROW()</f>
        <v>53</v>
      </c>
      <c r="B53" s="8" t="s">
        <v>1519</v>
      </c>
      <c r="C53" s="8" t="s">
        <v>1459</v>
      </c>
      <c r="D53" s="8" t="str">
        <f t="shared" si="1"/>
        <v>10. Vorruhestand</v>
      </c>
      <c r="E53" s="23" t="s">
        <v>1535</v>
      </c>
      <c r="F53" s="2" t="s">
        <v>433</v>
      </c>
    </row>
    <row r="54" spans="1:6" ht="272.25">
      <c r="A54" s="7">
        <f>ROW()</f>
        <v>54</v>
      </c>
      <c r="B54" s="8" t="s">
        <v>1519</v>
      </c>
      <c r="C54" s="8" t="s">
        <v>1459</v>
      </c>
      <c r="D54" s="8" t="str">
        <f t="shared" si="1"/>
        <v>11. Beschwerliche und gefährliche Arbeit</v>
      </c>
      <c r="E54" s="23" t="s">
        <v>1536</v>
      </c>
      <c r="F54" s="2" t="s">
        <v>451</v>
      </c>
    </row>
    <row r="55" spans="1:6" ht="90">
      <c r="A55" s="7">
        <f>ROW()</f>
        <v>55</v>
      </c>
      <c r="B55" s="8" t="s">
        <v>1519</v>
      </c>
      <c r="C55" s="8" t="s">
        <v>1459</v>
      </c>
      <c r="D55" s="8" t="str">
        <f t="shared" si="1"/>
        <v>12. Teilrente</v>
      </c>
      <c r="E55" s="23" t="s">
        <v>1537</v>
      </c>
      <c r="F55" s="2" t="s">
        <v>484</v>
      </c>
    </row>
    <row r="56" spans="1:6" ht="171.75">
      <c r="A56" s="7">
        <f>ROW()</f>
        <v>56</v>
      </c>
      <c r="B56" s="8" t="s">
        <v>1519</v>
      </c>
      <c r="C56" s="8" t="s">
        <v>1459</v>
      </c>
      <c r="D56" s="8" t="str">
        <f t="shared" si="1"/>
        <v>13. Aufgeschobene Rente</v>
      </c>
      <c r="E56" s="23" t="s">
        <v>1632</v>
      </c>
      <c r="F56" s="2" t="s">
        <v>511</v>
      </c>
    </row>
    <row r="57" spans="1:6" ht="179.25">
      <c r="A57" s="7">
        <f>ROW()</f>
        <v>57</v>
      </c>
      <c r="B57" s="8" t="s">
        <v>1519</v>
      </c>
      <c r="C57" s="8" t="s">
        <v>1538</v>
      </c>
      <c r="D57" s="8" t="s">
        <v>1538</v>
      </c>
      <c r="E57" s="22" t="s">
        <v>1538</v>
      </c>
      <c r="F57" s="2" t="s">
        <v>540</v>
      </c>
    </row>
    <row r="58" spans="1:6" ht="246">
      <c r="A58" s="7">
        <f>ROW()</f>
        <v>58</v>
      </c>
      <c r="B58" s="8" t="s">
        <v>1519</v>
      </c>
      <c r="C58" s="8" t="s">
        <v>1538</v>
      </c>
      <c r="D58" s="8" t="str">
        <f t="shared" si="1"/>
        <v xml:space="preserve">Kumulation mit Erwerbseinkommen </v>
      </c>
      <c r="E58" s="22" t="s">
        <v>1461</v>
      </c>
      <c r="F58" s="2" t="s">
        <v>567</v>
      </c>
    </row>
    <row r="59" spans="1:6" ht="286.5">
      <c r="A59" s="7">
        <f>ROW()</f>
        <v>59</v>
      </c>
      <c r="B59" s="8" t="s">
        <v>1519</v>
      </c>
      <c r="C59" s="8" t="s">
        <v>1538</v>
      </c>
      <c r="D59" s="8" t="s">
        <v>1539</v>
      </c>
      <c r="E59" s="22" t="s">
        <v>1460</v>
      </c>
      <c r="F59" s="2" t="s">
        <v>595</v>
      </c>
    </row>
    <row r="60" spans="1:6" ht="225.75">
      <c r="A60" s="7">
        <f>ROW()</f>
        <v>60</v>
      </c>
      <c r="B60" s="8" t="s">
        <v>1519</v>
      </c>
      <c r="C60" s="8" t="s">
        <v>612</v>
      </c>
      <c r="D60" s="8" t="str">
        <f t="shared" ref="D60:D70" si="2">+E60</f>
        <v>1. Besteuerung von Renten</v>
      </c>
      <c r="E60" s="23" t="s">
        <v>1540</v>
      </c>
      <c r="F60" s="2" t="s">
        <v>624</v>
      </c>
    </row>
    <row r="61" spans="1:6" ht="335.25">
      <c r="A61" s="7">
        <f>ROW()</f>
        <v>61</v>
      </c>
      <c r="B61" s="8" t="s">
        <v>1519</v>
      </c>
      <c r="C61" s="8" t="s">
        <v>612</v>
      </c>
      <c r="D61" s="8" t="str">
        <f t="shared" si="2"/>
        <v>2. Einkommensgrenze für Besteuerung von Renten</v>
      </c>
      <c r="E61" s="23" t="s">
        <v>1541</v>
      </c>
      <c r="F61" s="2" t="s">
        <v>650</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697</v>
      </c>
    </row>
    <row r="64" spans="1:6" ht="132.75">
      <c r="A64" s="7">
        <f>ROW()</f>
        <v>64</v>
      </c>
      <c r="B64" s="8" t="s">
        <v>1543</v>
      </c>
      <c r="C64" s="8" t="s">
        <v>1514</v>
      </c>
      <c r="D64" s="8" t="str">
        <f t="shared" si="2"/>
        <v>Grundprinzipien</v>
      </c>
      <c r="E64" s="23" t="s">
        <v>1468</v>
      </c>
      <c r="F64" s="2" t="s">
        <v>723</v>
      </c>
    </row>
    <row r="65" spans="1:6" ht="224.25">
      <c r="A65" s="7">
        <f>ROW()</f>
        <v>65</v>
      </c>
      <c r="B65" s="8" t="s">
        <v>1543</v>
      </c>
      <c r="C65" s="8" t="s">
        <v>1514</v>
      </c>
      <c r="D65" s="8" t="str">
        <f t="shared" si="2"/>
        <v>Voraussetzungen für die Deckung</v>
      </c>
      <c r="E65" s="23" t="s">
        <v>1469</v>
      </c>
      <c r="F65" s="2" t="s">
        <v>744</v>
      </c>
    </row>
    <row r="66" spans="1:6" ht="409.5">
      <c r="A66" s="7">
        <f>ROW()</f>
        <v>66</v>
      </c>
      <c r="B66" s="8" t="s">
        <v>1543</v>
      </c>
      <c r="C66" s="8" t="s">
        <v>1514</v>
      </c>
      <c r="D66" s="8" t="str">
        <f t="shared" si="2"/>
        <v>Kombination von selbstständiger und unselbstständiger Tätigkeit</v>
      </c>
      <c r="E66" s="23" t="s">
        <v>1462</v>
      </c>
      <c r="F66" s="2" t="s">
        <v>772</v>
      </c>
    </row>
    <row r="67" spans="1:6" ht="376.5">
      <c r="A67" s="7">
        <f>ROW()</f>
        <v>67</v>
      </c>
      <c r="B67" s="8" t="s">
        <v>1543</v>
      </c>
      <c r="C67" s="8" t="s">
        <v>1459</v>
      </c>
      <c r="D67" s="9" t="str">
        <f t="shared" si="2"/>
        <v xml:space="preserve">Voraussetzungen für den Zugang zu Diensten/Leistungen </v>
      </c>
      <c r="E67" s="23" t="s">
        <v>1463</v>
      </c>
      <c r="F67" s="2" t="s">
        <v>785</v>
      </c>
    </row>
    <row r="68" spans="1:6" ht="253.5">
      <c r="A68" s="7">
        <f>ROW()</f>
        <v>68</v>
      </c>
      <c r="B68" s="8" t="s">
        <v>1543</v>
      </c>
      <c r="C68" s="8" t="s">
        <v>1459</v>
      </c>
      <c r="D68" s="9" t="str">
        <f t="shared" si="2"/>
        <v>Beträge, Dauer und Kostenbeteiligung</v>
      </c>
      <c r="E68" s="23" t="s">
        <v>1464</v>
      </c>
      <c r="F68" s="2" t="s">
        <v>800</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827</v>
      </c>
    </row>
    <row r="71" spans="1:6" ht="177">
      <c r="A71" s="7">
        <f>ROW()</f>
        <v>71</v>
      </c>
      <c r="B71" s="8" t="s">
        <v>1466</v>
      </c>
      <c r="C71" s="8" t="str">
        <f t="shared" ref="C71:D75" si="3">+D71</f>
        <v>Geltende Rechtsgrundlage</v>
      </c>
      <c r="D71" s="9" t="str">
        <f t="shared" si="3"/>
        <v>Geltende Rechtsgrundlage</v>
      </c>
      <c r="E71" s="22" t="s">
        <v>1472</v>
      </c>
      <c r="F71" s="2" t="s">
        <v>845</v>
      </c>
    </row>
    <row r="72" spans="1:6" ht="165">
      <c r="A72" s="7">
        <f>ROW()</f>
        <v>72</v>
      </c>
      <c r="B72" s="8" t="s">
        <v>1466</v>
      </c>
      <c r="C72" s="8" t="str">
        <f t="shared" si="3"/>
        <v>Grundprinzipien</v>
      </c>
      <c r="D72" s="9" t="str">
        <f t="shared" si="3"/>
        <v>Grundprinzipien</v>
      </c>
      <c r="E72" s="22" t="s">
        <v>1468</v>
      </c>
      <c r="F72" s="2" t="s">
        <v>3424</v>
      </c>
    </row>
    <row r="73" spans="1:6" ht="315">
      <c r="A73" s="7">
        <f>ROW()</f>
        <v>73</v>
      </c>
      <c r="B73" s="8" t="s">
        <v>1466</v>
      </c>
      <c r="C73" s="9" t="str">
        <f t="shared" si="3"/>
        <v>Anwendungsbereich (in Bezug auf Verstorbene)</v>
      </c>
      <c r="D73" s="9" t="str">
        <f t="shared" si="3"/>
        <v>Anwendungsbereich (in Bezug auf Verstorbene)</v>
      </c>
      <c r="E73" s="22" t="s">
        <v>1473</v>
      </c>
      <c r="F73" s="2" t="s">
        <v>3425</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3426</v>
      </c>
    </row>
    <row r="75" spans="1:6" ht="180">
      <c r="A75" s="7">
        <f>ROW()</f>
        <v>75</v>
      </c>
      <c r="B75" s="8" t="s">
        <v>1466</v>
      </c>
      <c r="C75" s="9" t="str">
        <f t="shared" si="3"/>
        <v>Berechtigte Personen</v>
      </c>
      <c r="D75" s="9" t="str">
        <f t="shared" si="3"/>
        <v>Berechtigte Personen</v>
      </c>
      <c r="E75" s="22" t="s">
        <v>1477</v>
      </c>
      <c r="F75" s="2" t="s">
        <v>3427</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953</v>
      </c>
    </row>
    <row r="78" spans="1:6" ht="185.25">
      <c r="A78" s="7">
        <f>ROW()</f>
        <v>78</v>
      </c>
      <c r="B78" s="8" t="s">
        <v>1466</v>
      </c>
      <c r="C78" s="8" t="s">
        <v>1544</v>
      </c>
      <c r="D78" s="8" t="str">
        <f t="shared" si="4"/>
        <v>2. Hinterbliebener Ehegatte</v>
      </c>
      <c r="E78" s="23" t="s">
        <v>1546</v>
      </c>
      <c r="F78" s="2" t="s">
        <v>3428</v>
      </c>
    </row>
    <row r="79" spans="1:6" ht="181.5">
      <c r="A79" s="7">
        <f>ROW()</f>
        <v>79</v>
      </c>
      <c r="B79" s="8" t="s">
        <v>1466</v>
      </c>
      <c r="C79" s="8" t="s">
        <v>1544</v>
      </c>
      <c r="D79" s="8" t="str">
        <f t="shared" si="4"/>
        <v>3. Geschiedener Ehegatte</v>
      </c>
      <c r="E79" s="23" t="s">
        <v>1547</v>
      </c>
      <c r="F79" s="2" t="s">
        <v>992</v>
      </c>
    </row>
    <row r="80" spans="1:6" ht="216">
      <c r="A80" s="7">
        <f>ROW()</f>
        <v>80</v>
      </c>
      <c r="B80" s="8" t="s">
        <v>1466</v>
      </c>
      <c r="C80" s="8" t="s">
        <v>1544</v>
      </c>
      <c r="D80" s="8" t="str">
        <f t="shared" si="4"/>
        <v>4. Hinterbliebene Lebenspartner</v>
      </c>
      <c r="E80" s="23" t="s">
        <v>1548</v>
      </c>
      <c r="F80" s="2" t="s">
        <v>1014</v>
      </c>
    </row>
    <row r="81" spans="1:6" ht="181.5">
      <c r="A81" s="7">
        <f>ROW()</f>
        <v>81</v>
      </c>
      <c r="B81" s="8" t="s">
        <v>1466</v>
      </c>
      <c r="C81" s="8" t="s">
        <v>1544</v>
      </c>
      <c r="D81" s="8" t="str">
        <f t="shared" si="4"/>
        <v>5. Kinder</v>
      </c>
      <c r="E81" s="23" t="s">
        <v>1549</v>
      </c>
      <c r="F81" s="2" t="s">
        <v>1038</v>
      </c>
    </row>
    <row r="82" spans="1:6" ht="181.5">
      <c r="A82" s="7">
        <f>ROW()</f>
        <v>82</v>
      </c>
      <c r="B82" s="8" t="s">
        <v>1466</v>
      </c>
      <c r="C82" s="8" t="s">
        <v>1544</v>
      </c>
      <c r="D82" s="8" t="str">
        <f t="shared" si="4"/>
        <v>6. Andere Personen</v>
      </c>
      <c r="E82" s="23" t="s">
        <v>1550</v>
      </c>
      <c r="F82" s="2" t="s">
        <v>1056</v>
      </c>
    </row>
    <row r="83" spans="1:6" ht="409.5">
      <c r="A83" s="7">
        <f>ROW()</f>
        <v>83</v>
      </c>
      <c r="B83" s="8" t="s">
        <v>1466</v>
      </c>
      <c r="C83" s="8" t="s">
        <v>1459</v>
      </c>
      <c r="D83" s="9" t="str">
        <f t="shared" si="4"/>
        <v>1. Hinterbliebener Ehegatte, geschiedener Ehegatte, hinterbliebene Lebenspartner</v>
      </c>
      <c r="E83" s="23" t="s">
        <v>1551</v>
      </c>
      <c r="F83" s="2" t="s">
        <v>1071</v>
      </c>
    </row>
    <row r="84" spans="1:6" ht="280.5">
      <c r="A84" s="7">
        <f>ROW()</f>
        <v>84</v>
      </c>
      <c r="B84" s="8" t="s">
        <v>1466</v>
      </c>
      <c r="C84" s="8" t="s">
        <v>1459</v>
      </c>
      <c r="D84" s="9" t="str">
        <f t="shared" si="4"/>
        <v>2. Hinterbliebener Ehegatte: Wiederheirat</v>
      </c>
      <c r="E84" s="23" t="s">
        <v>1552</v>
      </c>
      <c r="F84" s="2" t="s">
        <v>1095</v>
      </c>
    </row>
    <row r="85" spans="1:6" ht="180">
      <c r="A85" s="7">
        <f>ROW()</f>
        <v>85</v>
      </c>
      <c r="B85" s="8" t="s">
        <v>1466</v>
      </c>
      <c r="C85" s="8" t="s">
        <v>1459</v>
      </c>
      <c r="D85" s="9" t="str">
        <f t="shared" si="4"/>
        <v>3. Kinder</v>
      </c>
      <c r="E85" s="23" t="s">
        <v>1553</v>
      </c>
      <c r="F85" s="2" t="s">
        <v>3429</v>
      </c>
    </row>
    <row r="86" spans="1:6" ht="147">
      <c r="A86" s="7">
        <f>ROW()</f>
        <v>86</v>
      </c>
      <c r="B86" s="8" t="s">
        <v>1466</v>
      </c>
      <c r="C86" s="8" t="s">
        <v>1459</v>
      </c>
      <c r="D86" s="9" t="str">
        <f t="shared" si="4"/>
        <v>4. Andere Berechtigte</v>
      </c>
      <c r="E86" s="23" t="s">
        <v>1554</v>
      </c>
      <c r="F86" s="2" t="s">
        <v>1135</v>
      </c>
    </row>
    <row r="87" spans="1:6" ht="381">
      <c r="A87" s="7">
        <f>ROW()</f>
        <v>87</v>
      </c>
      <c r="B87" s="8" t="s">
        <v>1466</v>
      </c>
      <c r="C87" s="8" t="s">
        <v>1459</v>
      </c>
      <c r="D87" s="9" t="str">
        <f t="shared" si="4"/>
        <v xml:space="preserve"> 5. Höchster zahlbarer Gesamtbetrag für alle Berechtigten</v>
      </c>
      <c r="E87" s="23" t="s">
        <v>1555</v>
      </c>
      <c r="F87" s="2" t="s">
        <v>1153</v>
      </c>
    </row>
    <row r="88" spans="1:6" ht="151.5">
      <c r="A88" s="7">
        <f>ROW()</f>
        <v>88</v>
      </c>
      <c r="B88" s="8" t="s">
        <v>1466</v>
      </c>
      <c r="C88" s="8" t="s">
        <v>1459</v>
      </c>
      <c r="D88" s="9" t="str">
        <f t="shared" si="4"/>
        <v>6. Sonstige Leistungen</v>
      </c>
      <c r="E88" s="23" t="s">
        <v>1556</v>
      </c>
      <c r="F88" s="2" t="s">
        <v>1178</v>
      </c>
    </row>
    <row r="89" spans="1:6" ht="150">
      <c r="A89" s="7">
        <f>ROW()</f>
        <v>89</v>
      </c>
      <c r="B89" s="8" t="s">
        <v>1466</v>
      </c>
      <c r="C89" s="8" t="s">
        <v>1459</v>
      </c>
      <c r="D89" s="9" t="str">
        <f>+E89</f>
        <v>7. Mindestleistung</v>
      </c>
      <c r="E89" s="23" t="s">
        <v>1557</v>
      </c>
      <c r="F89" s="2" t="s">
        <v>3430</v>
      </c>
    </row>
    <row r="90" spans="1:6" ht="122.25">
      <c r="A90" s="7">
        <f>ROW()</f>
        <v>90</v>
      </c>
      <c r="B90" s="8" t="s">
        <v>1466</v>
      </c>
      <c r="C90" s="8" t="s">
        <v>1459</v>
      </c>
      <c r="D90" s="9" t="str">
        <f t="shared" si="4"/>
        <v xml:space="preserve"> 8. Höchstleistung</v>
      </c>
      <c r="E90" s="23" t="s">
        <v>1558</v>
      </c>
      <c r="F90" s="2" t="s">
        <v>3431</v>
      </c>
    </row>
    <row r="91" spans="1:6" ht="179.25">
      <c r="A91" s="7">
        <f>ROW()</f>
        <v>91</v>
      </c>
      <c r="B91" s="8" t="s">
        <v>1466</v>
      </c>
      <c r="C91" s="8" t="s">
        <v>1538</v>
      </c>
      <c r="D91" s="9" t="str">
        <f>+C91</f>
        <v>Indexbindung / Anpassung</v>
      </c>
      <c r="E91" s="22" t="s">
        <v>1538</v>
      </c>
      <c r="F91" s="2" t="s">
        <v>1246</v>
      </c>
    </row>
    <row r="92" spans="1:6" ht="242.25">
      <c r="A92" s="7">
        <f>ROW()</f>
        <v>92</v>
      </c>
      <c r="B92" s="8" t="s">
        <v>1466</v>
      </c>
      <c r="C92" s="8" t="s">
        <v>1538</v>
      </c>
      <c r="D92" s="9" t="str">
        <f t="shared" ref="D92:D105" si="5">+E92</f>
        <v>Kumulation mit Erwerbseinkommen</v>
      </c>
      <c r="E92" s="22" t="s">
        <v>1471</v>
      </c>
      <c r="F92" s="2" t="s">
        <v>1271</v>
      </c>
    </row>
    <row r="93" spans="1:6" ht="275.25">
      <c r="A93" s="7">
        <f>ROW()</f>
        <v>93</v>
      </c>
      <c r="B93" s="8" t="s">
        <v>1466</v>
      </c>
      <c r="C93" s="8" t="s">
        <v>1538</v>
      </c>
      <c r="D93" s="9" t="str">
        <f t="shared" si="5"/>
        <v>Kumulation mit anderen Sozialleistungen</v>
      </c>
      <c r="E93" s="22" t="s">
        <v>1460</v>
      </c>
      <c r="F93" s="2" t="s">
        <v>1299</v>
      </c>
    </row>
    <row r="94" spans="1:6" ht="232.5">
      <c r="A94" s="7">
        <f>ROW()</f>
        <v>94</v>
      </c>
      <c r="B94" s="8" t="s">
        <v>1466</v>
      </c>
      <c r="C94" s="9" t="s">
        <v>1465</v>
      </c>
      <c r="D94" s="9" t="str">
        <f t="shared" si="5"/>
        <v>1. Besteuerung von Geldleistungen</v>
      </c>
      <c r="E94" s="23" t="s">
        <v>1509</v>
      </c>
      <c r="F94" s="2" t="s">
        <v>1325</v>
      </c>
    </row>
    <row r="95" spans="1:6" ht="387">
      <c r="A95" s="7">
        <f>ROW()</f>
        <v>95</v>
      </c>
      <c r="B95" s="8" t="s">
        <v>1466</v>
      </c>
      <c r="C95" s="9" t="s">
        <v>1465</v>
      </c>
      <c r="D95" s="9" t="str">
        <f t="shared" si="5"/>
        <v>2. Einkommensgrenze für Besteuerung von Geldleistungen</v>
      </c>
      <c r="E95" s="23" t="s">
        <v>1511</v>
      </c>
      <c r="F95" s="2" t="s">
        <v>1344</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697</v>
      </c>
    </row>
    <row r="98" spans="1:6" ht="110.25">
      <c r="A98" s="7">
        <f>ROW()</f>
        <v>98</v>
      </c>
      <c r="B98" s="8" t="s">
        <v>1466</v>
      </c>
      <c r="C98" s="9" t="s">
        <v>1514</v>
      </c>
      <c r="D98" s="9" t="str">
        <f t="shared" si="5"/>
        <v>Grundprinzipien</v>
      </c>
      <c r="E98" s="23" t="s">
        <v>1468</v>
      </c>
      <c r="F98" s="2" t="s">
        <v>1397</v>
      </c>
    </row>
    <row r="99" spans="1:6" ht="224.25">
      <c r="A99" s="7">
        <f>ROW()</f>
        <v>99</v>
      </c>
      <c r="B99" s="8" t="s">
        <v>1466</v>
      </c>
      <c r="C99" s="9" t="s">
        <v>1514</v>
      </c>
      <c r="D99" s="9" t="str">
        <f t="shared" si="5"/>
        <v>Voraussetzungen für die Deckung</v>
      </c>
      <c r="E99" s="23" t="s">
        <v>1469</v>
      </c>
      <c r="F99" s="2" t="s">
        <v>744</v>
      </c>
    </row>
    <row r="100" spans="1:6" ht="409.5">
      <c r="A100" s="7">
        <f>ROW()</f>
        <v>100</v>
      </c>
      <c r="B100" s="8" t="s">
        <v>1466</v>
      </c>
      <c r="C100" s="9" t="s">
        <v>1514</v>
      </c>
      <c r="D100" s="9" t="str">
        <f t="shared" si="5"/>
        <v>Kombination von selbstständiger und unselbstständiger Tätigkeit</v>
      </c>
      <c r="E100" s="23" t="s">
        <v>1462</v>
      </c>
      <c r="F100" s="2" t="s">
        <v>772</v>
      </c>
    </row>
    <row r="101" spans="1:6" ht="376.5">
      <c r="A101" s="7">
        <f>ROW()</f>
        <v>101</v>
      </c>
      <c r="B101" s="8" t="s">
        <v>1466</v>
      </c>
      <c r="C101" s="9" t="s">
        <v>1514</v>
      </c>
      <c r="D101" s="9" t="str">
        <f t="shared" si="5"/>
        <v xml:space="preserve">Voraussetzungen für den Zugang zu Diensten/Leistungen </v>
      </c>
      <c r="E101" s="23" t="s">
        <v>1463</v>
      </c>
      <c r="F101" s="2" t="s">
        <v>1428</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3QF/o8bKyst+dB4hv9TEa9XyS2Rro5JqniiglSQ7Usr63GKf8lCdtQ2n0yGCy0s1vmFK34xmQ0xDc0uNg3G4RA==" saltValue="HmlGQO+HNocLCP1lGMYtkg==" spinCount="100000" sheet="1" objects="1" scenarios="1" formatColumns="0" autoFilter="0"/>
  <autoFilter ref="A2:F2" xr:uid="{62E8487C-D273-4E25-BA97-D0BE5F1BF001}"/>
  <pageMargins left="0.7" right="0.7" top="0.78740157499999996" bottom="0.78740157499999996"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AEBB2-9C2F-43F9-BEDB-BE02755FA6FE}">
  <sheetPr codeName="Tabelle16"/>
  <dimension ref="A1:F113"/>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14</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1913</v>
      </c>
    </row>
    <row r="4" spans="1:6" ht="110.25">
      <c r="A4" s="7">
        <f>ROW()</f>
        <v>4</v>
      </c>
      <c r="B4" s="8" t="s">
        <v>1479</v>
      </c>
      <c r="C4" s="1"/>
      <c r="D4" s="8" t="str">
        <f t="shared" ref="D4:D34" si="0">+E4</f>
        <v>Grundprinzipien</v>
      </c>
      <c r="E4" s="22" t="s">
        <v>1468</v>
      </c>
      <c r="F4" s="2" t="s">
        <v>1914</v>
      </c>
    </row>
    <row r="5" spans="1:6" ht="188.25">
      <c r="A5" s="7">
        <f>ROW()</f>
        <v>5</v>
      </c>
      <c r="B5" s="8" t="s">
        <v>1479</v>
      </c>
      <c r="C5" s="1"/>
      <c r="D5" s="8" t="str">
        <f t="shared" si="0"/>
        <v>Gedecktes Risiko: Definition</v>
      </c>
      <c r="E5" s="22" t="s">
        <v>1630</v>
      </c>
      <c r="F5" s="2" t="s">
        <v>1915</v>
      </c>
    </row>
    <row r="6" spans="1:6" ht="144">
      <c r="A6" s="7">
        <f>ROW()</f>
        <v>6</v>
      </c>
      <c r="B6" s="8" t="s">
        <v>1479</v>
      </c>
      <c r="C6" s="8" t="s">
        <v>1453</v>
      </c>
      <c r="D6" s="8" t="str">
        <f t="shared" si="0"/>
        <v>Versicherte Personen</v>
      </c>
      <c r="E6" s="23" t="s">
        <v>1453</v>
      </c>
      <c r="F6" s="2" t="s">
        <v>1916</v>
      </c>
    </row>
    <row r="7" spans="1:6" ht="273">
      <c r="A7" s="7">
        <f>ROW()</f>
        <v>7</v>
      </c>
      <c r="B7" s="8" t="s">
        <v>1479</v>
      </c>
      <c r="C7" s="8" t="str">
        <f>+E6</f>
        <v>Versicherte Personen</v>
      </c>
      <c r="D7" s="8" t="str">
        <f t="shared" si="0"/>
        <v>Ausnahmen von der Versicherungspflicht</v>
      </c>
      <c r="E7" s="23" t="s">
        <v>1458</v>
      </c>
      <c r="F7" s="2" t="s">
        <v>914</v>
      </c>
    </row>
    <row r="8" spans="1:6" ht="240">
      <c r="A8" s="7">
        <f>ROW()</f>
        <v>8</v>
      </c>
      <c r="B8" s="8" t="s">
        <v>1479</v>
      </c>
      <c r="C8" s="9" t="s">
        <v>128</v>
      </c>
      <c r="D8" s="8" t="str">
        <f t="shared" si="0"/>
        <v>1. Anwartschaftszeit</v>
      </c>
      <c r="E8" s="23" t="s">
        <v>1483</v>
      </c>
      <c r="F8" s="2" t="s">
        <v>3432</v>
      </c>
    </row>
    <row r="9" spans="1:6" ht="409.5">
      <c r="A9" s="7">
        <f>ROW()</f>
        <v>9</v>
      </c>
      <c r="B9" s="8" t="s">
        <v>1479</v>
      </c>
      <c r="C9" s="9" t="s">
        <v>128</v>
      </c>
      <c r="D9" s="8" t="str">
        <f t="shared" si="0"/>
        <v xml:space="preserve">2. Begutachtungskriterien und Kategorien der Arbeitsunfähigkeit/Arbeitsfähigkeit  </v>
      </c>
      <c r="E9" s="23" t="s">
        <v>1484</v>
      </c>
      <c r="F9" s="2" t="s">
        <v>3433</v>
      </c>
    </row>
    <row r="10" spans="1:6" ht="222">
      <c r="A10" s="7">
        <f>ROW()</f>
        <v>10</v>
      </c>
      <c r="B10" s="8" t="s">
        <v>1479</v>
      </c>
      <c r="C10" s="9" t="s">
        <v>128</v>
      </c>
      <c r="D10" s="8" t="str">
        <f t="shared" si="0"/>
        <v>3. Zeitraum der Leistungszahlung</v>
      </c>
      <c r="E10" s="23" t="s">
        <v>1486</v>
      </c>
      <c r="F10" s="2" t="s">
        <v>1917</v>
      </c>
    </row>
    <row r="11" spans="1:6" ht="135">
      <c r="A11" s="7">
        <f>ROW()</f>
        <v>11</v>
      </c>
      <c r="B11" s="8" t="s">
        <v>1479</v>
      </c>
      <c r="C11" s="9" t="s">
        <v>1488</v>
      </c>
      <c r="D11" s="8" t="str">
        <f t="shared" si="0"/>
        <v>1. Gutachter</v>
      </c>
      <c r="E11" s="23" t="s">
        <v>1489</v>
      </c>
      <c r="F11" s="2" t="s">
        <v>1918</v>
      </c>
    </row>
    <row r="12" spans="1:6" ht="111.75">
      <c r="A12" s="7">
        <f>ROW()</f>
        <v>12</v>
      </c>
      <c r="B12" s="8" t="s">
        <v>1479</v>
      </c>
      <c r="C12" s="9" t="s">
        <v>1488</v>
      </c>
      <c r="D12" s="8" t="str">
        <f t="shared" si="0"/>
        <v xml:space="preserve">2. Überprüfung  </v>
      </c>
      <c r="E12" s="23" t="s">
        <v>1490</v>
      </c>
      <c r="F12" s="2" t="s">
        <v>3434</v>
      </c>
    </row>
    <row r="13" spans="1:6" ht="360">
      <c r="A13" s="7">
        <f>ROW()</f>
        <v>13</v>
      </c>
      <c r="B13" s="8" t="s">
        <v>1479</v>
      </c>
      <c r="C13" s="8" t="s">
        <v>1459</v>
      </c>
      <c r="D13" s="8" t="str">
        <f t="shared" si="0"/>
        <v>1. Berechnungsmethode bzw. Rentenformel</v>
      </c>
      <c r="E13" s="23" t="s">
        <v>1492</v>
      </c>
      <c r="F13" s="3" t="s">
        <v>3445</v>
      </c>
    </row>
    <row r="14" spans="1:6" ht="343.5">
      <c r="A14" s="7">
        <f>ROW()</f>
        <v>14</v>
      </c>
      <c r="B14" s="8" t="s">
        <v>1479</v>
      </c>
      <c r="C14" s="8" t="s">
        <v>1459</v>
      </c>
      <c r="D14" s="8" t="str">
        <f t="shared" si="0"/>
        <v>2. Referenzeinkommen bzw. Berechnungsgrundlage</v>
      </c>
      <c r="E14" s="23" t="s">
        <v>1493</v>
      </c>
      <c r="F14" s="2" t="s">
        <v>1919</v>
      </c>
    </row>
    <row r="15" spans="1:6" ht="226.5">
      <c r="A15" s="7">
        <f>ROW()</f>
        <v>15</v>
      </c>
      <c r="B15" s="8" t="s">
        <v>1479</v>
      </c>
      <c r="C15" s="8" t="s">
        <v>1459</v>
      </c>
      <c r="D15" s="8" t="str">
        <f t="shared" si="0"/>
        <v>3. Mindest- und Höchstleistungen</v>
      </c>
      <c r="E15" s="23" t="s">
        <v>1495</v>
      </c>
      <c r="F15" s="2" t="s">
        <v>1920</v>
      </c>
    </row>
    <row r="16" spans="1:6" ht="405">
      <c r="A16" s="7">
        <f>ROW()</f>
        <v>16</v>
      </c>
      <c r="B16" s="8" t="s">
        <v>1479</v>
      </c>
      <c r="C16" s="8" t="s">
        <v>1459</v>
      </c>
      <c r="D16" s="8" t="str">
        <f t="shared" si="0"/>
        <v>4. Anrechenbare oder als Beitragszeiten gewertete Zeiträume</v>
      </c>
      <c r="E16" s="23" t="s">
        <v>1496</v>
      </c>
      <c r="F16" s="2" t="s">
        <v>3435</v>
      </c>
    </row>
    <row r="17" spans="1:6" ht="250.5">
      <c r="A17" s="7">
        <f>ROW()</f>
        <v>17</v>
      </c>
      <c r="B17" s="8" t="s">
        <v>1479</v>
      </c>
      <c r="C17" s="8" t="s">
        <v>1459</v>
      </c>
      <c r="D17" s="8" t="str">
        <f t="shared" si="0"/>
        <v xml:space="preserve">5. Zulagen für Unterhaltsberechtigte  </v>
      </c>
      <c r="E17" s="23" t="s">
        <v>1498</v>
      </c>
      <c r="F17" s="2" t="s">
        <v>1441</v>
      </c>
    </row>
    <row r="18" spans="1:6" ht="135">
      <c r="A18" s="7">
        <f>ROW()</f>
        <v>18</v>
      </c>
      <c r="B18" s="8" t="s">
        <v>1479</v>
      </c>
      <c r="C18" s="8" t="str">
        <f>+E18</f>
        <v>Sonstige Leistungen</v>
      </c>
      <c r="D18" s="8" t="str">
        <f>+E18</f>
        <v>Sonstige Leistungen</v>
      </c>
      <c r="E18" s="22" t="s">
        <v>1455</v>
      </c>
      <c r="F18" s="2" t="s">
        <v>1921</v>
      </c>
    </row>
    <row r="19" spans="1:6" ht="300.75">
      <c r="A19" s="7">
        <f>ROW()</f>
        <v>19</v>
      </c>
      <c r="B19" s="8" t="s">
        <v>1479</v>
      </c>
      <c r="C19" s="8" t="s">
        <v>1500</v>
      </c>
      <c r="D19" s="8" t="str">
        <f t="shared" si="0"/>
        <v>Umschulung, berufsbezogene Rehabilitation</v>
      </c>
      <c r="E19" s="23" t="s">
        <v>1501</v>
      </c>
      <c r="F19" s="2" t="s">
        <v>1922</v>
      </c>
    </row>
    <row r="20" spans="1:6" ht="409.5">
      <c r="A20" s="7">
        <f>ROW()</f>
        <v>20</v>
      </c>
      <c r="B20" s="8" t="s">
        <v>1479</v>
      </c>
      <c r="C20" s="8" t="s">
        <v>1500</v>
      </c>
      <c r="D20" s="8" t="str">
        <f t="shared" si="0"/>
        <v xml:space="preserve">Bevorzugte und reservierte Beschäftigung von Menschen mit Behinderungen  </v>
      </c>
      <c r="E20" s="23" t="s">
        <v>1502</v>
      </c>
      <c r="F20" s="2" t="s">
        <v>3436</v>
      </c>
    </row>
    <row r="21" spans="1:6" ht="270">
      <c r="A21" s="7">
        <f>ROW()</f>
        <v>21</v>
      </c>
      <c r="B21" s="8" t="s">
        <v>1479</v>
      </c>
      <c r="C21" s="8" t="s">
        <v>1504</v>
      </c>
      <c r="D21" s="8" t="str">
        <f t="shared" si="0"/>
        <v>Indexbindung/Anpassung</v>
      </c>
      <c r="E21" s="22" t="s">
        <v>1505</v>
      </c>
      <c r="F21" s="2" t="s">
        <v>1923</v>
      </c>
    </row>
    <row r="22" spans="1:6" ht="242.25">
      <c r="A22" s="7">
        <f>ROW()</f>
        <v>22</v>
      </c>
      <c r="B22" s="8" t="s">
        <v>1479</v>
      </c>
      <c r="C22" s="8" t="s">
        <v>1504</v>
      </c>
      <c r="D22" s="8" t="str">
        <f>+E22</f>
        <v>Kumulation mit Erwerbseinkommen</v>
      </c>
      <c r="E22" s="22" t="s">
        <v>1471</v>
      </c>
      <c r="F22" s="2" t="s">
        <v>1924</v>
      </c>
    </row>
    <row r="23" spans="1:6" ht="275.25">
      <c r="A23" s="7">
        <f>ROW()</f>
        <v>23</v>
      </c>
      <c r="B23" s="8" t="s">
        <v>1479</v>
      </c>
      <c r="C23" s="8" t="s">
        <v>1504</v>
      </c>
      <c r="D23" s="8" t="str">
        <f t="shared" si="0"/>
        <v>Kumulation mit anderen Sozialleistungen</v>
      </c>
      <c r="E23" s="22" t="s">
        <v>1460</v>
      </c>
      <c r="F23" s="2" t="s">
        <v>1925</v>
      </c>
    </row>
    <row r="24" spans="1:6" ht="232.5">
      <c r="A24" s="7">
        <f>ROW()</f>
        <v>24</v>
      </c>
      <c r="B24" s="8" t="s">
        <v>1479</v>
      </c>
      <c r="C24" s="8" t="s">
        <v>1465</v>
      </c>
      <c r="D24" s="8" t="str">
        <f t="shared" si="0"/>
        <v>1. Besteuerung von Geldleistungen</v>
      </c>
      <c r="E24" s="23" t="s">
        <v>1509</v>
      </c>
      <c r="F24" s="2" t="s">
        <v>1444</v>
      </c>
    </row>
    <row r="25" spans="1:6" ht="387">
      <c r="A25" s="7">
        <f>ROW()</f>
        <v>25</v>
      </c>
      <c r="B25" s="8" t="s">
        <v>1479</v>
      </c>
      <c r="C25" s="8" t="s">
        <v>1465</v>
      </c>
      <c r="D25" s="8" t="str">
        <f t="shared" si="0"/>
        <v>2. Einkommensgrenze für Besteuerung von Geldleistungen</v>
      </c>
      <c r="E25" s="23" t="s">
        <v>1511</v>
      </c>
      <c r="F25" s="2" t="s">
        <v>660</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707</v>
      </c>
    </row>
    <row r="28" spans="1:6" ht="110.25">
      <c r="A28" s="7">
        <f>ROW()</f>
        <v>28</v>
      </c>
      <c r="B28" s="8" t="s">
        <v>1479</v>
      </c>
      <c r="C28" s="8" t="s">
        <v>1514</v>
      </c>
      <c r="D28" s="8" t="str">
        <f t="shared" si="0"/>
        <v>Grundprinzipien</v>
      </c>
      <c r="E28" s="23" t="s">
        <v>1468</v>
      </c>
      <c r="F28" s="2" t="s">
        <v>1398</v>
      </c>
    </row>
    <row r="29" spans="1:6" ht="224.25">
      <c r="A29" s="7">
        <f>ROW()</f>
        <v>29</v>
      </c>
      <c r="B29" s="8" t="s">
        <v>1479</v>
      </c>
      <c r="C29" s="8" t="s">
        <v>1514</v>
      </c>
      <c r="D29" s="8" t="str">
        <f t="shared" si="0"/>
        <v>Voraussetzungen für die Deckung</v>
      </c>
      <c r="E29" s="23" t="s">
        <v>1469</v>
      </c>
      <c r="F29" s="2" t="s">
        <v>750</v>
      </c>
    </row>
    <row r="30" spans="1:6" ht="409.5">
      <c r="A30" s="7">
        <f>ROW()</f>
        <v>30</v>
      </c>
      <c r="B30" s="8" t="s">
        <v>1479</v>
      </c>
      <c r="C30" s="8" t="s">
        <v>1514</v>
      </c>
      <c r="D30" s="9" t="str">
        <f t="shared" si="0"/>
        <v>Kombination von selbstständiger und unselbstständiger Tätigkeit</v>
      </c>
      <c r="E30" s="23" t="s">
        <v>1462</v>
      </c>
      <c r="F30" s="2" t="s">
        <v>1926</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1927</v>
      </c>
    </row>
    <row r="34" spans="1:6" ht="276.75">
      <c r="A34" s="7">
        <f>ROW()</f>
        <v>34</v>
      </c>
      <c r="B34" s="8" t="s">
        <v>1479</v>
      </c>
      <c r="C34" s="8" t="s">
        <v>1459</v>
      </c>
      <c r="D34" s="8" t="str">
        <f t="shared" si="0"/>
        <v xml:space="preserve"> Auf Leistungen anfallende Sozialabgaben</v>
      </c>
      <c r="E34" s="23" t="s">
        <v>1518</v>
      </c>
      <c r="F34" s="2" t="s">
        <v>1438</v>
      </c>
    </row>
    <row r="35" spans="1:6" ht="177">
      <c r="A35" s="7">
        <f>ROW()</f>
        <v>35</v>
      </c>
      <c r="B35" s="8" t="s">
        <v>1519</v>
      </c>
      <c r="C35" s="8" t="str">
        <f>+D35</f>
        <v>Geltende Rechtsgrundlage</v>
      </c>
      <c r="D35" s="8" t="str">
        <f>+E35</f>
        <v>Geltende Rechtsgrundlage</v>
      </c>
      <c r="E35" s="22" t="s">
        <v>1472</v>
      </c>
      <c r="F35" s="2" t="s">
        <v>44</v>
      </c>
    </row>
    <row r="36" spans="1:6" ht="210">
      <c r="A36" s="7">
        <f>ROW()</f>
        <v>36</v>
      </c>
      <c r="B36" s="8" t="s">
        <v>1519</v>
      </c>
      <c r="C36" s="8" t="str">
        <f>+D36</f>
        <v>Grundprinzipien</v>
      </c>
      <c r="D36" s="8" t="str">
        <f>+E36</f>
        <v>Grundprinzipien</v>
      </c>
      <c r="E36" s="22" t="s">
        <v>1468</v>
      </c>
      <c r="F36" s="2" t="s">
        <v>72</v>
      </c>
    </row>
    <row r="37" spans="1:6" ht="159.75">
      <c r="A37" s="7">
        <f>ROW()</f>
        <v>37</v>
      </c>
      <c r="B37" s="8" t="s">
        <v>1519</v>
      </c>
      <c r="C37" s="8" t="s">
        <v>1467</v>
      </c>
      <c r="D37" s="8" t="str">
        <f>+E37</f>
        <v>1. Versicherte Personen</v>
      </c>
      <c r="E37" s="23" t="s">
        <v>1520</v>
      </c>
      <c r="F37" s="2" t="s">
        <v>97</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3437</v>
      </c>
    </row>
    <row r="40" spans="1:6" ht="409.5">
      <c r="A40" s="7">
        <f>ROW()</f>
        <v>40</v>
      </c>
      <c r="B40" s="8" t="s">
        <v>1519</v>
      </c>
      <c r="C40" s="8" t="s">
        <v>128</v>
      </c>
      <c r="D40" s="8" t="str">
        <f t="shared" si="1"/>
        <v>2. Anwartschaftszeit und sonstige Anspruchsvoraussetzungen für den Bezug einer Altersrente</v>
      </c>
      <c r="E40" s="23" t="s">
        <v>1524</v>
      </c>
      <c r="F40" s="2" t="s">
        <v>161</v>
      </c>
    </row>
    <row r="41" spans="1:6" ht="195">
      <c r="A41" s="7">
        <f>ROW()</f>
        <v>41</v>
      </c>
      <c r="B41" s="8" t="s">
        <v>1519</v>
      </c>
      <c r="C41" s="8" t="s">
        <v>128</v>
      </c>
      <c r="D41" s="8" t="str">
        <f t="shared" si="1"/>
        <v>3. Vorruhestand</v>
      </c>
      <c r="E41" s="23" t="s">
        <v>1525</v>
      </c>
      <c r="F41" s="2" t="s">
        <v>3438</v>
      </c>
    </row>
    <row r="42" spans="1:6" ht="264">
      <c r="A42" s="7">
        <f>ROW()</f>
        <v>42</v>
      </c>
      <c r="B42" s="8" t="s">
        <v>1519</v>
      </c>
      <c r="C42" s="8" t="s">
        <v>128</v>
      </c>
      <c r="D42" s="8" t="str">
        <f t="shared" si="1"/>
        <v>4. Beschwerliche und gefährliche Arbeit</v>
      </c>
      <c r="E42" s="23" t="s">
        <v>1526</v>
      </c>
      <c r="F42" s="2" t="s">
        <v>199</v>
      </c>
    </row>
    <row r="43" spans="1:6" ht="194.25">
      <c r="A43" s="7">
        <f>ROW()</f>
        <v>43</v>
      </c>
      <c r="B43" s="8" t="s">
        <v>1519</v>
      </c>
      <c r="C43" s="8" t="s">
        <v>128</v>
      </c>
      <c r="D43" s="8" t="str">
        <f t="shared" si="1"/>
        <v>5. Rentenaufschub</v>
      </c>
      <c r="E43" s="23" t="s">
        <v>1527</v>
      </c>
      <c r="F43" s="2" t="s">
        <v>221</v>
      </c>
    </row>
    <row r="44" spans="1:6" ht="174">
      <c r="A44" s="7">
        <f>ROW()</f>
        <v>44</v>
      </c>
      <c r="B44" s="8" t="s">
        <v>1519</v>
      </c>
      <c r="C44" s="8" t="s">
        <v>1459</v>
      </c>
      <c r="D44" s="8" t="str">
        <f t="shared" si="1"/>
        <v>1. Bestimmende Faktoren</v>
      </c>
      <c r="E44" s="23" t="s">
        <v>1528</v>
      </c>
      <c r="F44" s="2" t="s">
        <v>242</v>
      </c>
    </row>
    <row r="45" spans="1:6" ht="349.5">
      <c r="A45" s="7">
        <f>ROW()</f>
        <v>45</v>
      </c>
      <c r="B45" s="8" t="s">
        <v>1519</v>
      </c>
      <c r="C45" s="8" t="s">
        <v>1459</v>
      </c>
      <c r="D45" s="8" t="str">
        <f t="shared" si="1"/>
        <v>2. Berechnungsmethode, Rentenformel bzw. Beträge</v>
      </c>
      <c r="E45" s="23" t="s">
        <v>1529</v>
      </c>
      <c r="F45" s="2" t="s">
        <v>3439</v>
      </c>
    </row>
    <row r="46" spans="1:6" ht="343.5">
      <c r="A46" s="7">
        <f>ROW()</f>
        <v>46</v>
      </c>
      <c r="B46" s="8" t="s">
        <v>1519</v>
      </c>
      <c r="C46" s="8" t="s">
        <v>1459</v>
      </c>
      <c r="D46" s="8" t="str">
        <f t="shared" si="1"/>
        <v>3. Referenzeinkommen bzw. Berechnungsgrundlage</v>
      </c>
      <c r="E46" s="23" t="s">
        <v>1530</v>
      </c>
      <c r="F46" s="2" t="s">
        <v>282</v>
      </c>
    </row>
    <row r="47" spans="1:6" ht="405">
      <c r="A47" s="7">
        <f>ROW()</f>
        <v>47</v>
      </c>
      <c r="B47" s="8" t="s">
        <v>1519</v>
      </c>
      <c r="C47" s="8" t="s">
        <v>1459</v>
      </c>
      <c r="D47" s="8" t="str">
        <f t="shared" si="1"/>
        <v>4. Anrechenbare oder als Beitragszeiten gewertete Zeiträume</v>
      </c>
      <c r="E47" s="23" t="s">
        <v>1496</v>
      </c>
      <c r="F47" s="2" t="s">
        <v>304</v>
      </c>
    </row>
    <row r="48" spans="1:6" ht="243.75">
      <c r="A48" s="7">
        <f>ROW()</f>
        <v>48</v>
      </c>
      <c r="B48" s="8" t="s">
        <v>1519</v>
      </c>
      <c r="C48" s="8" t="s">
        <v>1459</v>
      </c>
      <c r="D48" s="8" t="str">
        <f t="shared" si="1"/>
        <v>5. Rückkauf von Versicherungszeiten</v>
      </c>
      <c r="E48" s="23" t="s">
        <v>1531</v>
      </c>
      <c r="F48" s="2" t="s">
        <v>320</v>
      </c>
    </row>
    <row r="49" spans="1:6" ht="246">
      <c r="A49" s="7">
        <f>ROW()</f>
        <v>49</v>
      </c>
      <c r="B49" s="8" t="s">
        <v>1519</v>
      </c>
      <c r="C49" s="8" t="s">
        <v>1459</v>
      </c>
      <c r="D49" s="8" t="str">
        <f t="shared" si="1"/>
        <v>6.  Zulagen für Unterhaltsberechtigte</v>
      </c>
      <c r="E49" s="23" t="s">
        <v>1631</v>
      </c>
      <c r="F49" s="2" t="s">
        <v>329</v>
      </c>
    </row>
    <row r="50" spans="1:6" ht="145.5">
      <c r="A50" s="7">
        <f>ROW()</f>
        <v>50</v>
      </c>
      <c r="B50" s="8" t="s">
        <v>1519</v>
      </c>
      <c r="C50" s="8" t="s">
        <v>1459</v>
      </c>
      <c r="D50" s="8" t="str">
        <f t="shared" si="1"/>
        <v>7. Besondere Zulagen</v>
      </c>
      <c r="E50" s="23" t="s">
        <v>1532</v>
      </c>
      <c r="F50" s="2" t="s">
        <v>356</v>
      </c>
    </row>
    <row r="51" spans="1:6" ht="360.75">
      <c r="A51" s="7">
        <f>ROW()</f>
        <v>51</v>
      </c>
      <c r="B51" s="8" t="s">
        <v>1519</v>
      </c>
      <c r="C51" s="8" t="s">
        <v>1459</v>
      </c>
      <c r="D51" s="8" t="str">
        <f t="shared" si="1"/>
        <v>8. Mindestrente und bedürftigkeitsabhängige Leistung</v>
      </c>
      <c r="E51" s="23" t="s">
        <v>1533</v>
      </c>
      <c r="F51" s="2" t="s">
        <v>383</v>
      </c>
    </row>
    <row r="52" spans="1:6" ht="101.25">
      <c r="A52" s="7">
        <f>ROW()</f>
        <v>52</v>
      </c>
      <c r="B52" s="8" t="s">
        <v>1519</v>
      </c>
      <c r="C52" s="8" t="s">
        <v>1459</v>
      </c>
      <c r="D52" s="8" t="str">
        <f t="shared" si="1"/>
        <v>9. Höchstrente</v>
      </c>
      <c r="E52" s="23" t="s">
        <v>1534</v>
      </c>
      <c r="F52" s="2" t="s">
        <v>406</v>
      </c>
    </row>
    <row r="53" spans="1:6" ht="119.25">
      <c r="A53" s="7">
        <f>ROW()</f>
        <v>53</v>
      </c>
      <c r="B53" s="8" t="s">
        <v>1519</v>
      </c>
      <c r="C53" s="8" t="s">
        <v>1459</v>
      </c>
      <c r="D53" s="8" t="str">
        <f t="shared" si="1"/>
        <v>10. Vorruhestand</v>
      </c>
      <c r="E53" s="23" t="s">
        <v>1535</v>
      </c>
      <c r="F53" s="2" t="s">
        <v>434</v>
      </c>
    </row>
    <row r="54" spans="1:6" ht="272.25">
      <c r="A54" s="7">
        <f>ROW()</f>
        <v>54</v>
      </c>
      <c r="B54" s="8" t="s">
        <v>1519</v>
      </c>
      <c r="C54" s="8" t="s">
        <v>1459</v>
      </c>
      <c r="D54" s="8" t="str">
        <f t="shared" si="1"/>
        <v>11. Beschwerliche und gefährliche Arbeit</v>
      </c>
      <c r="E54" s="23" t="s">
        <v>1536</v>
      </c>
      <c r="F54" s="2" t="s">
        <v>459</v>
      </c>
    </row>
    <row r="55" spans="1:6" ht="87.75">
      <c r="A55" s="7">
        <f>ROW()</f>
        <v>55</v>
      </c>
      <c r="B55" s="8" t="s">
        <v>1519</v>
      </c>
      <c r="C55" s="8" t="s">
        <v>1459</v>
      </c>
      <c r="D55" s="8" t="str">
        <f t="shared" si="1"/>
        <v>12. Teilrente</v>
      </c>
      <c r="E55" s="23" t="s">
        <v>1537</v>
      </c>
      <c r="F55" s="2" t="s">
        <v>479</v>
      </c>
    </row>
    <row r="56" spans="1:6" ht="171.75">
      <c r="A56" s="7">
        <f>ROW()</f>
        <v>56</v>
      </c>
      <c r="B56" s="8" t="s">
        <v>1519</v>
      </c>
      <c r="C56" s="8" t="s">
        <v>1459</v>
      </c>
      <c r="D56" s="8" t="str">
        <f t="shared" si="1"/>
        <v>13. Aufgeschobene Rente</v>
      </c>
      <c r="E56" s="23" t="s">
        <v>1632</v>
      </c>
      <c r="F56" s="2" t="s">
        <v>512</v>
      </c>
    </row>
    <row r="57" spans="1:6" ht="285">
      <c r="A57" s="7">
        <f>ROW()</f>
        <v>57</v>
      </c>
      <c r="B57" s="8" t="s">
        <v>1519</v>
      </c>
      <c r="C57" s="8" t="s">
        <v>1538</v>
      </c>
      <c r="D57" s="8" t="s">
        <v>1538</v>
      </c>
      <c r="E57" s="22" t="s">
        <v>1538</v>
      </c>
      <c r="F57" s="2" t="s">
        <v>541</v>
      </c>
    </row>
    <row r="58" spans="1:6" ht="246">
      <c r="A58" s="7">
        <f>ROW()</f>
        <v>58</v>
      </c>
      <c r="B58" s="8" t="s">
        <v>1519</v>
      </c>
      <c r="C58" s="8" t="s">
        <v>1538</v>
      </c>
      <c r="D58" s="8" t="str">
        <f t="shared" si="1"/>
        <v xml:space="preserve">Kumulation mit Erwerbseinkommen </v>
      </c>
      <c r="E58" s="22" t="s">
        <v>1461</v>
      </c>
      <c r="F58" s="2" t="s">
        <v>568</v>
      </c>
    </row>
    <row r="59" spans="1:6" ht="286.5">
      <c r="A59" s="7">
        <f>ROW()</f>
        <v>59</v>
      </c>
      <c r="B59" s="8" t="s">
        <v>1519</v>
      </c>
      <c r="C59" s="8" t="s">
        <v>1538</v>
      </c>
      <c r="D59" s="8" t="s">
        <v>1539</v>
      </c>
      <c r="E59" s="22" t="s">
        <v>1460</v>
      </c>
      <c r="F59" s="2" t="s">
        <v>596</v>
      </c>
    </row>
    <row r="60" spans="1:6" ht="225.75">
      <c r="A60" s="7">
        <f>ROW()</f>
        <v>60</v>
      </c>
      <c r="B60" s="8" t="s">
        <v>1519</v>
      </c>
      <c r="C60" s="8" t="s">
        <v>612</v>
      </c>
      <c r="D60" s="8" t="str">
        <f t="shared" ref="D60:D70" si="2">+E60</f>
        <v>1. Besteuerung von Renten</v>
      </c>
      <c r="E60" s="23" t="s">
        <v>1540</v>
      </c>
      <c r="F60" s="2" t="s">
        <v>625</v>
      </c>
    </row>
    <row r="61" spans="1:6" ht="335.25">
      <c r="A61" s="7">
        <f>ROW()</f>
        <v>61</v>
      </c>
      <c r="B61" s="8" t="s">
        <v>1519</v>
      </c>
      <c r="C61" s="8" t="s">
        <v>612</v>
      </c>
      <c r="D61" s="8" t="str">
        <f t="shared" si="2"/>
        <v>2. Einkommensgrenze für Besteuerung von Renten</v>
      </c>
      <c r="E61" s="23" t="s">
        <v>1541</v>
      </c>
      <c r="F61" s="2" t="s">
        <v>639</v>
      </c>
    </row>
    <row r="62" spans="1:6" ht="264">
      <c r="A62" s="7">
        <f>ROW()</f>
        <v>62</v>
      </c>
      <c r="B62" s="8" t="s">
        <v>1519</v>
      </c>
      <c r="C62" s="8" t="s">
        <v>612</v>
      </c>
      <c r="D62" s="8" t="str">
        <f t="shared" si="2"/>
        <v>3. Auf Renten anfallende Sozialabgaben</v>
      </c>
      <c r="E62" s="23" t="s">
        <v>1542</v>
      </c>
      <c r="F62" s="2" t="s">
        <v>675</v>
      </c>
    </row>
    <row r="63" spans="1:6" ht="138">
      <c r="A63" s="7">
        <f>ROW()</f>
        <v>63</v>
      </c>
      <c r="B63" s="8" t="s">
        <v>1543</v>
      </c>
      <c r="C63" s="8" t="str">
        <f>+E63</f>
        <v>Anwendungsbereich</v>
      </c>
      <c r="D63" s="8" t="str">
        <f t="shared" si="2"/>
        <v>Anwendungsbereich</v>
      </c>
      <c r="E63" s="23" t="s">
        <v>1467</v>
      </c>
      <c r="F63" s="2" t="s">
        <v>698</v>
      </c>
    </row>
    <row r="64" spans="1:6" ht="132.75">
      <c r="A64" s="7">
        <f>ROW()</f>
        <v>64</v>
      </c>
      <c r="B64" s="8" t="s">
        <v>1543</v>
      </c>
      <c r="C64" s="8" t="s">
        <v>1514</v>
      </c>
      <c r="D64" s="8" t="str">
        <f t="shared" si="2"/>
        <v>Grundprinzipien</v>
      </c>
      <c r="E64" s="23" t="s">
        <v>1468</v>
      </c>
      <c r="F64" s="2" t="s">
        <v>724</v>
      </c>
    </row>
    <row r="65" spans="1:6" ht="224.25">
      <c r="A65" s="7">
        <f>ROW()</f>
        <v>65</v>
      </c>
      <c r="B65" s="8" t="s">
        <v>1543</v>
      </c>
      <c r="C65" s="8" t="s">
        <v>1514</v>
      </c>
      <c r="D65" s="8" t="str">
        <f t="shared" si="2"/>
        <v>Voraussetzungen für die Deckung</v>
      </c>
      <c r="E65" s="23" t="s">
        <v>1469</v>
      </c>
      <c r="F65" s="2" t="s">
        <v>750</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814</v>
      </c>
    </row>
    <row r="70" spans="1:6" ht="272.25">
      <c r="A70" s="7">
        <f>ROW()</f>
        <v>70</v>
      </c>
      <c r="B70" s="8" t="s">
        <v>1543</v>
      </c>
      <c r="C70" s="8" t="s">
        <v>1459</v>
      </c>
      <c r="D70" s="9" t="str">
        <f t="shared" si="2"/>
        <v>Auf Leistungen anfallende Sozialabgaben</v>
      </c>
      <c r="E70" s="23" t="s">
        <v>1457</v>
      </c>
      <c r="F70" s="2" t="s">
        <v>828</v>
      </c>
    </row>
    <row r="71" spans="1:6" ht="177">
      <c r="A71" s="7">
        <f>ROW()</f>
        <v>71</v>
      </c>
      <c r="B71" s="8" t="s">
        <v>1466</v>
      </c>
      <c r="C71" s="8" t="str">
        <f t="shared" ref="C71:D75" si="3">+D71</f>
        <v>Geltende Rechtsgrundlage</v>
      </c>
      <c r="D71" s="9" t="str">
        <f t="shared" si="3"/>
        <v>Geltende Rechtsgrundlage</v>
      </c>
      <c r="E71" s="22" t="s">
        <v>1472</v>
      </c>
      <c r="F71" s="2" t="s">
        <v>846</v>
      </c>
    </row>
    <row r="72" spans="1:6" ht="110.25">
      <c r="A72" s="7">
        <f>ROW()</f>
        <v>72</v>
      </c>
      <c r="B72" s="8" t="s">
        <v>1466</v>
      </c>
      <c r="C72" s="8" t="str">
        <f t="shared" si="3"/>
        <v>Grundprinzipien</v>
      </c>
      <c r="D72" s="9" t="str">
        <f t="shared" si="3"/>
        <v>Grundprinzipien</v>
      </c>
      <c r="E72" s="22" t="s">
        <v>1468</v>
      </c>
      <c r="F72" s="2" t="s">
        <v>871</v>
      </c>
    </row>
    <row r="73" spans="1:6" ht="315">
      <c r="A73" s="7">
        <f>ROW()</f>
        <v>73</v>
      </c>
      <c r="B73" s="8" t="s">
        <v>1466</v>
      </c>
      <c r="C73" s="9" t="str">
        <f t="shared" si="3"/>
        <v>Anwendungsbereich (in Bezug auf Verstorbene)</v>
      </c>
      <c r="D73" s="9" t="str">
        <f t="shared" si="3"/>
        <v>Anwendungsbereich (in Bezug auf Verstorbene)</v>
      </c>
      <c r="E73" s="22" t="s">
        <v>1473</v>
      </c>
      <c r="F73" s="2" t="s">
        <v>897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914</v>
      </c>
    </row>
    <row r="75" spans="1:6" ht="144.75">
      <c r="A75" s="7">
        <f>ROW()</f>
        <v>75</v>
      </c>
      <c r="B75" s="8" t="s">
        <v>1466</v>
      </c>
      <c r="C75" s="9" t="str">
        <f t="shared" si="3"/>
        <v>Berechtigte Personen</v>
      </c>
      <c r="D75" s="9" t="str">
        <f t="shared" si="3"/>
        <v>Berechtigte Personen</v>
      </c>
      <c r="E75" s="22" t="s">
        <v>1477</v>
      </c>
      <c r="F75" s="2" t="s">
        <v>3440</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954</v>
      </c>
    </row>
    <row r="78" spans="1:6" ht="185.25">
      <c r="A78" s="7">
        <f>ROW()</f>
        <v>78</v>
      </c>
      <c r="B78" s="8" t="s">
        <v>1466</v>
      </c>
      <c r="C78" s="8" t="s">
        <v>1544</v>
      </c>
      <c r="D78" s="8" t="str">
        <f t="shared" si="4"/>
        <v>2. Hinterbliebener Ehegatte</v>
      </c>
      <c r="E78" s="23" t="s">
        <v>1546</v>
      </c>
      <c r="F78" s="2" t="s">
        <v>3441</v>
      </c>
    </row>
    <row r="79" spans="1:6" ht="181.5">
      <c r="A79" s="7">
        <f>ROW()</f>
        <v>79</v>
      </c>
      <c r="B79" s="8" t="s">
        <v>1466</v>
      </c>
      <c r="C79" s="8" t="s">
        <v>1544</v>
      </c>
      <c r="D79" s="8" t="str">
        <f t="shared" si="4"/>
        <v>3. Geschiedener Ehegatte</v>
      </c>
      <c r="E79" s="23" t="s">
        <v>1547</v>
      </c>
      <c r="F79" s="2" t="s">
        <v>3442</v>
      </c>
    </row>
    <row r="80" spans="1:6" ht="216">
      <c r="A80" s="7">
        <f>ROW()</f>
        <v>80</v>
      </c>
      <c r="B80" s="8" t="s">
        <v>1466</v>
      </c>
      <c r="C80" s="8" t="s">
        <v>1544</v>
      </c>
      <c r="D80" s="8" t="str">
        <f t="shared" si="4"/>
        <v>4. Hinterbliebene Lebenspartner</v>
      </c>
      <c r="E80" s="23" t="s">
        <v>1548</v>
      </c>
      <c r="F80" s="2" t="s">
        <v>1015</v>
      </c>
    </row>
    <row r="81" spans="1:6" ht="181.5">
      <c r="A81" s="7">
        <f>ROW()</f>
        <v>81</v>
      </c>
      <c r="B81" s="8" t="s">
        <v>1466</v>
      </c>
      <c r="C81" s="8" t="s">
        <v>1544</v>
      </c>
      <c r="D81" s="8" t="str">
        <f t="shared" si="4"/>
        <v>5. Kinder</v>
      </c>
      <c r="E81" s="23" t="s">
        <v>1549</v>
      </c>
      <c r="F81" s="2" t="s">
        <v>3443</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1072</v>
      </c>
    </row>
    <row r="84" spans="1:6" ht="280.5">
      <c r="A84" s="7">
        <f>ROW()</f>
        <v>84</v>
      </c>
      <c r="B84" s="8" t="s">
        <v>1466</v>
      </c>
      <c r="C84" s="8" t="s">
        <v>1459</v>
      </c>
      <c r="D84" s="9" t="str">
        <f t="shared" si="4"/>
        <v>2. Hinterbliebener Ehegatte: Wiederheirat</v>
      </c>
      <c r="E84" s="23" t="s">
        <v>1552</v>
      </c>
      <c r="F84" s="2" t="s">
        <v>282</v>
      </c>
    </row>
    <row r="85" spans="1:6" ht="135">
      <c r="A85" s="7">
        <f>ROW()</f>
        <v>85</v>
      </c>
      <c r="B85" s="8" t="s">
        <v>1466</v>
      </c>
      <c r="C85" s="8" t="s">
        <v>1459</v>
      </c>
      <c r="D85" s="9" t="str">
        <f t="shared" si="4"/>
        <v>3. Kinder</v>
      </c>
      <c r="E85" s="23" t="s">
        <v>1553</v>
      </c>
      <c r="F85" s="2" t="s">
        <v>1119</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1154</v>
      </c>
    </row>
    <row r="88" spans="1:6" ht="180">
      <c r="A88" s="7">
        <f>ROW()</f>
        <v>88</v>
      </c>
      <c r="B88" s="8" t="s">
        <v>1466</v>
      </c>
      <c r="C88" s="8" t="s">
        <v>1459</v>
      </c>
      <c r="D88" s="9" t="str">
        <f t="shared" si="4"/>
        <v>6. Sonstige Leistungen</v>
      </c>
      <c r="E88" s="23" t="s">
        <v>1556</v>
      </c>
      <c r="F88" s="2" t="s">
        <v>3444</v>
      </c>
    </row>
    <row r="89" spans="1:6" ht="126.75">
      <c r="A89" s="7">
        <f>ROW()</f>
        <v>89</v>
      </c>
      <c r="B89" s="8" t="s">
        <v>1466</v>
      </c>
      <c r="C89" s="8" t="s">
        <v>1459</v>
      </c>
      <c r="D89" s="9" t="str">
        <f>+E89</f>
        <v>7. Mindestleistung</v>
      </c>
      <c r="E89" s="23" t="s">
        <v>1557</v>
      </c>
      <c r="F89" s="2" t="s">
        <v>372</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1247</v>
      </c>
    </row>
    <row r="92" spans="1:6" ht="242.25">
      <c r="A92" s="7">
        <f>ROW()</f>
        <v>92</v>
      </c>
      <c r="B92" s="8" t="s">
        <v>1466</v>
      </c>
      <c r="C92" s="8" t="s">
        <v>1538</v>
      </c>
      <c r="D92" s="9" t="str">
        <f t="shared" ref="D92:D105" si="5">+E92</f>
        <v>Kumulation mit Erwerbseinkommen</v>
      </c>
      <c r="E92" s="22" t="s">
        <v>1471</v>
      </c>
      <c r="F92" s="2" t="s">
        <v>1272</v>
      </c>
    </row>
    <row r="93" spans="1:6" ht="275.25">
      <c r="A93" s="7">
        <f>ROW()</f>
        <v>93</v>
      </c>
      <c r="B93" s="8" t="s">
        <v>1466</v>
      </c>
      <c r="C93" s="8" t="s">
        <v>1538</v>
      </c>
      <c r="D93" s="9" t="str">
        <f t="shared" si="5"/>
        <v>Kumulation mit anderen Sozialleistungen</v>
      </c>
      <c r="E93" s="22" t="s">
        <v>1460</v>
      </c>
      <c r="F93" s="2" t="s">
        <v>1300</v>
      </c>
    </row>
    <row r="94" spans="1:6" ht="232.5">
      <c r="A94" s="7">
        <f>ROW()</f>
        <v>94</v>
      </c>
      <c r="B94" s="8" t="s">
        <v>1466</v>
      </c>
      <c r="C94" s="9" t="s">
        <v>1465</v>
      </c>
      <c r="D94" s="9" t="str">
        <f t="shared" si="5"/>
        <v>1. Besteuerung von Geldleistungen</v>
      </c>
      <c r="E94" s="23" t="s">
        <v>1509</v>
      </c>
      <c r="F94" s="2" t="s">
        <v>1317</v>
      </c>
    </row>
    <row r="95" spans="1:6" ht="387">
      <c r="A95" s="7">
        <f>ROW()</f>
        <v>95</v>
      </c>
      <c r="B95" s="8" t="s">
        <v>1466</v>
      </c>
      <c r="C95" s="9" t="s">
        <v>1465</v>
      </c>
      <c r="D95" s="9" t="str">
        <f t="shared" si="5"/>
        <v>2. Einkommensgrenze für Besteuerung von Geldleistungen</v>
      </c>
      <c r="E95" s="23" t="s">
        <v>1511</v>
      </c>
      <c r="F95" s="2" t="s">
        <v>639</v>
      </c>
    </row>
    <row r="96" spans="1:6" ht="288.75">
      <c r="A96" s="7">
        <f>ROW()</f>
        <v>96</v>
      </c>
      <c r="B96" s="8" t="s">
        <v>1466</v>
      </c>
      <c r="C96" s="9" t="s">
        <v>1465</v>
      </c>
      <c r="D96" s="9" t="str">
        <f t="shared" si="5"/>
        <v>3. Auf Leistungen anfallende Sozialabgaben</v>
      </c>
      <c r="E96" s="23" t="s">
        <v>1512</v>
      </c>
      <c r="F96" s="2" t="s">
        <v>1364</v>
      </c>
    </row>
    <row r="97" spans="1:6" ht="138">
      <c r="A97" s="7">
        <f>ROW()</f>
        <v>97</v>
      </c>
      <c r="B97" s="8" t="s">
        <v>1466</v>
      </c>
      <c r="C97" s="9" t="s">
        <v>1514</v>
      </c>
      <c r="D97" s="9" t="str">
        <f t="shared" si="5"/>
        <v>Anwendungsbereich</v>
      </c>
      <c r="E97" s="23" t="s">
        <v>1467</v>
      </c>
      <c r="F97" s="2" t="s">
        <v>707</v>
      </c>
    </row>
    <row r="98" spans="1:6" ht="110.25">
      <c r="A98" s="7">
        <f>ROW()</f>
        <v>98</v>
      </c>
      <c r="B98" s="8" t="s">
        <v>1466</v>
      </c>
      <c r="C98" s="9" t="s">
        <v>1514</v>
      </c>
      <c r="D98" s="9" t="str">
        <f t="shared" si="5"/>
        <v>Grundprinzipien</v>
      </c>
      <c r="E98" s="23" t="s">
        <v>1468</v>
      </c>
      <c r="F98" s="2" t="s">
        <v>1398</v>
      </c>
    </row>
    <row r="99" spans="1:6" ht="224.25">
      <c r="A99" s="7">
        <f>ROW()</f>
        <v>99</v>
      </c>
      <c r="B99" s="8" t="s">
        <v>1466</v>
      </c>
      <c r="C99" s="9" t="s">
        <v>1514</v>
      </c>
      <c r="D99" s="9" t="str">
        <f t="shared" si="5"/>
        <v>Voraussetzungen für die Deckung</v>
      </c>
      <c r="E99" s="23" t="s">
        <v>1469</v>
      </c>
      <c r="F99" s="2" t="s">
        <v>744</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762</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814</v>
      </c>
    </row>
    <row r="105" spans="1:6" ht="272.25">
      <c r="A105" s="7">
        <f>ROW()</f>
        <v>105</v>
      </c>
      <c r="B105" s="8" t="s">
        <v>1466</v>
      </c>
      <c r="C105" s="9" t="s">
        <v>1514</v>
      </c>
      <c r="D105" s="9" t="str">
        <f t="shared" si="5"/>
        <v>Auf Leistungen anfallende Sozialabgaben</v>
      </c>
      <c r="E105" s="23" t="s">
        <v>1457</v>
      </c>
      <c r="F105" s="2" t="s">
        <v>1438</v>
      </c>
    </row>
    <row r="106" spans="1:6"/>
    <row r="107" spans="1:6"/>
    <row r="108" spans="1:6"/>
    <row r="109" spans="1:6"/>
    <row r="110" spans="1:6"/>
    <row r="111" spans="1:6"/>
    <row r="112" spans="1:6"/>
    <row r="113"/>
  </sheetData>
  <sheetProtection algorithmName="SHA-512" hashValue="Hy55NCk/P/IkxFMVHEvirS0+QGt9GkF7BxkFgDo4rB/eZcopdXUzEXSnBZlFYM4RzW6UZkV2t9A0BxvuGZ7HEQ==" saltValue="TuG3Z31iYwPzEiEK9Bl0lg==" spinCount="100000" sheet="1" objects="1" scenarios="1" formatColumns="0" autoFilter="0"/>
  <autoFilter ref="A2:F2" xr:uid="{34CAEBB2-9C2F-43F9-BEDB-BE02755FA6FE}"/>
  <pageMargins left="0.7" right="0.7" top="0.78740157499999996" bottom="0.78740157499999996"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751D-3FC5-444A-887D-2A020C8CE173}">
  <sheetPr codeName="Tabelle17" filterMode="1"/>
  <dimension ref="A1:F113"/>
  <sheetViews>
    <sheetView workbookViewId="0">
      <pane xSplit="5" ySplit="2" topLeftCell="F49"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15</v>
      </c>
    </row>
    <row r="2" spans="1:6" ht="39.75" customHeight="1">
      <c r="A2" s="128"/>
      <c r="B2" s="129"/>
      <c r="C2" s="126"/>
      <c r="D2" s="126"/>
      <c r="E2" s="124"/>
      <c r="F2" s="162" t="str" cm="1">
        <f t="array" ref="F2">_xlfn.TEXTJOIN("; ", TRUE, IF(Entscheidungen!A2:A100=F1, Entscheidungen!B2:B100, ""))</f>
        <v>OLG Saarbrücken, 17.05.2011 – 6 UF 60/11; OLG Koblenz, 29.05.2015 – 9 UF 386/14 (Juris)</v>
      </c>
    </row>
    <row r="3" spans="1:6" ht="177" hidden="1">
      <c r="A3" s="7">
        <f>ROW()</f>
        <v>3</v>
      </c>
      <c r="B3" s="8" t="s">
        <v>1479</v>
      </c>
      <c r="C3" s="8"/>
      <c r="D3" s="8" t="str">
        <f>+E3</f>
        <v>Geltende Rechtsgrundlage</v>
      </c>
      <c r="E3" s="21" t="s">
        <v>1472</v>
      </c>
      <c r="F3" s="2" t="s">
        <v>1891</v>
      </c>
    </row>
    <row r="4" spans="1:6" ht="120" hidden="1">
      <c r="A4" s="7">
        <f>ROW()</f>
        <v>4</v>
      </c>
      <c r="B4" s="8" t="s">
        <v>1479</v>
      </c>
      <c r="C4" s="1"/>
      <c r="D4" s="8" t="str">
        <f t="shared" ref="D4:D34" si="0">+E4</f>
        <v>Grundprinzipien</v>
      </c>
      <c r="E4" s="22" t="s">
        <v>1468</v>
      </c>
      <c r="F4" s="2" t="s">
        <v>1892</v>
      </c>
    </row>
    <row r="5" spans="1:6" ht="188.25" hidden="1">
      <c r="A5" s="7">
        <f>ROW()</f>
        <v>5</v>
      </c>
      <c r="B5" s="8" t="s">
        <v>1479</v>
      </c>
      <c r="C5" s="1"/>
      <c r="D5" s="8" t="str">
        <f t="shared" si="0"/>
        <v>Gedecktes Risiko: Definition</v>
      </c>
      <c r="E5" s="22" t="s">
        <v>1630</v>
      </c>
      <c r="F5" s="2" t="s">
        <v>1893</v>
      </c>
    </row>
    <row r="6" spans="1:6" ht="165" hidden="1">
      <c r="A6" s="7">
        <f>ROW()</f>
        <v>6</v>
      </c>
      <c r="B6" s="8" t="s">
        <v>1479</v>
      </c>
      <c r="C6" s="8" t="s">
        <v>1453</v>
      </c>
      <c r="D6" s="8" t="str">
        <f t="shared" si="0"/>
        <v>Versicherte Personen</v>
      </c>
      <c r="E6" s="23" t="s">
        <v>1453</v>
      </c>
      <c r="F6" s="2" t="s">
        <v>1894</v>
      </c>
    </row>
    <row r="7" spans="1:6" ht="273" hidden="1">
      <c r="A7" s="7">
        <f>ROW()</f>
        <v>7</v>
      </c>
      <c r="B7" s="8" t="s">
        <v>1479</v>
      </c>
      <c r="C7" s="8" t="str">
        <f>+E6</f>
        <v>Versicherte Personen</v>
      </c>
      <c r="D7" s="8" t="str">
        <f t="shared" si="0"/>
        <v>Ausnahmen von der Versicherungspflicht</v>
      </c>
      <c r="E7" s="23" t="s">
        <v>1458</v>
      </c>
      <c r="F7" s="2" t="s">
        <v>1895</v>
      </c>
    </row>
    <row r="8" spans="1:6" ht="194.25" hidden="1">
      <c r="A8" s="7">
        <f>ROW()</f>
        <v>8</v>
      </c>
      <c r="B8" s="8" t="s">
        <v>1479</v>
      </c>
      <c r="C8" s="9" t="s">
        <v>128</v>
      </c>
      <c r="D8" s="8" t="str">
        <f t="shared" si="0"/>
        <v>1. Anwartschaftszeit</v>
      </c>
      <c r="E8" s="23" t="s">
        <v>1483</v>
      </c>
      <c r="F8" s="2" t="s">
        <v>1896</v>
      </c>
    </row>
    <row r="9" spans="1:6" ht="409.5" hidden="1">
      <c r="A9" s="7">
        <f>ROW()</f>
        <v>9</v>
      </c>
      <c r="B9" s="8" t="s">
        <v>1479</v>
      </c>
      <c r="C9" s="9" t="s">
        <v>128</v>
      </c>
      <c r="D9" s="8" t="str">
        <f t="shared" si="0"/>
        <v xml:space="preserve">2. Begutachtungskriterien und Kategorien der Arbeitsunfähigkeit/Arbeitsfähigkeit  </v>
      </c>
      <c r="E9" s="23" t="s">
        <v>1484</v>
      </c>
      <c r="F9" s="2" t="s">
        <v>1897</v>
      </c>
    </row>
    <row r="10" spans="1:6" ht="285" hidden="1">
      <c r="A10" s="7">
        <f>ROW()</f>
        <v>10</v>
      </c>
      <c r="B10" s="8" t="s">
        <v>1479</v>
      </c>
      <c r="C10" s="9" t="s">
        <v>128</v>
      </c>
      <c r="D10" s="8" t="str">
        <f t="shared" si="0"/>
        <v>3. Zeitraum der Leistungszahlung</v>
      </c>
      <c r="E10" s="23" t="s">
        <v>1486</v>
      </c>
      <c r="F10" s="2" t="s">
        <v>1898</v>
      </c>
    </row>
    <row r="11" spans="1:6" ht="195" hidden="1">
      <c r="A11" s="7">
        <f>ROW()</f>
        <v>11</v>
      </c>
      <c r="B11" s="8" t="s">
        <v>1479</v>
      </c>
      <c r="C11" s="9" t="s">
        <v>1488</v>
      </c>
      <c r="D11" s="8" t="str">
        <f t="shared" si="0"/>
        <v>1. Gutachter</v>
      </c>
      <c r="E11" s="23" t="s">
        <v>1489</v>
      </c>
      <c r="F11" s="2" t="s">
        <v>1899</v>
      </c>
    </row>
    <row r="12" spans="1:6" ht="111.75" hidden="1">
      <c r="A12" s="7">
        <f>ROW()</f>
        <v>12</v>
      </c>
      <c r="B12" s="8" t="s">
        <v>1479</v>
      </c>
      <c r="C12" s="9" t="s">
        <v>1488</v>
      </c>
      <c r="D12" s="8" t="str">
        <f t="shared" si="0"/>
        <v xml:space="preserve">2. Überprüfung  </v>
      </c>
      <c r="E12" s="23" t="s">
        <v>1490</v>
      </c>
      <c r="F12" s="2" t="s">
        <v>1900</v>
      </c>
    </row>
    <row r="13" spans="1:6" ht="330" hidden="1">
      <c r="A13" s="7">
        <f>ROW()</f>
        <v>13</v>
      </c>
      <c r="B13" s="8" t="s">
        <v>1479</v>
      </c>
      <c r="C13" s="8" t="s">
        <v>1459</v>
      </c>
      <c r="D13" s="8" t="str">
        <f t="shared" si="0"/>
        <v>1. Berechnungsmethode bzw. Rentenformel</v>
      </c>
      <c r="E13" s="23" t="s">
        <v>1492</v>
      </c>
      <c r="F13" s="2" t="s">
        <v>1901</v>
      </c>
    </row>
    <row r="14" spans="1:6" ht="343.5" hidden="1">
      <c r="A14" s="7">
        <f>ROW()</f>
        <v>14</v>
      </c>
      <c r="B14" s="8" t="s">
        <v>1479</v>
      </c>
      <c r="C14" s="8" t="s">
        <v>1459</v>
      </c>
      <c r="D14" s="8" t="str">
        <f t="shared" si="0"/>
        <v>2. Referenzeinkommen bzw. Berechnungsgrundlage</v>
      </c>
      <c r="E14" s="23" t="s">
        <v>1493</v>
      </c>
      <c r="F14" s="2" t="s">
        <v>1902</v>
      </c>
    </row>
    <row r="15" spans="1:6" ht="226.5" hidden="1">
      <c r="A15" s="7">
        <f>ROW()</f>
        <v>15</v>
      </c>
      <c r="B15" s="8" t="s">
        <v>1479</v>
      </c>
      <c r="C15" s="8" t="s">
        <v>1459</v>
      </c>
      <c r="D15" s="8" t="str">
        <f t="shared" si="0"/>
        <v>3. Mindest- und Höchstleistungen</v>
      </c>
      <c r="E15" s="23" t="s">
        <v>1495</v>
      </c>
      <c r="F15" s="2" t="s">
        <v>1903</v>
      </c>
    </row>
    <row r="16" spans="1:6" ht="405" hidden="1">
      <c r="A16" s="7">
        <f>ROW()</f>
        <v>16</v>
      </c>
      <c r="B16" s="8" t="s">
        <v>1479</v>
      </c>
      <c r="C16" s="8" t="s">
        <v>1459</v>
      </c>
      <c r="D16" s="8" t="str">
        <f t="shared" si="0"/>
        <v>4. Anrechenbare oder als Beitragszeiten gewertete Zeiträume</v>
      </c>
      <c r="E16" s="23" t="s">
        <v>1496</v>
      </c>
      <c r="F16" s="2" t="s">
        <v>1904</v>
      </c>
    </row>
    <row r="17" spans="1:6" ht="250.5" hidden="1">
      <c r="A17" s="7">
        <f>ROW()</f>
        <v>17</v>
      </c>
      <c r="B17" s="8" t="s">
        <v>1479</v>
      </c>
      <c r="C17" s="8" t="s">
        <v>1459</v>
      </c>
      <c r="D17" s="8" t="str">
        <f t="shared" si="0"/>
        <v xml:space="preserve">5. Zulagen für Unterhaltsberechtigte  </v>
      </c>
      <c r="E17" s="23" t="s">
        <v>1498</v>
      </c>
      <c r="F17" s="2" t="s">
        <v>1440</v>
      </c>
    </row>
    <row r="18" spans="1:6" ht="135" hidden="1">
      <c r="A18" s="7">
        <f>ROW()</f>
        <v>18</v>
      </c>
      <c r="B18" s="8" t="s">
        <v>1479</v>
      </c>
      <c r="C18" s="8" t="str">
        <f>+E18</f>
        <v>Sonstige Leistungen</v>
      </c>
      <c r="D18" s="8" t="str">
        <f>+E18</f>
        <v>Sonstige Leistungen</v>
      </c>
      <c r="E18" s="22" t="s">
        <v>1455</v>
      </c>
      <c r="F18" s="2" t="s">
        <v>1905</v>
      </c>
    </row>
    <row r="19" spans="1:6" ht="300.75" hidden="1">
      <c r="A19" s="7">
        <f>ROW()</f>
        <v>19</v>
      </c>
      <c r="B19" s="8" t="s">
        <v>1479</v>
      </c>
      <c r="C19" s="8" t="s">
        <v>1500</v>
      </c>
      <c r="D19" s="8" t="str">
        <f t="shared" si="0"/>
        <v>Umschulung, berufsbezogene Rehabilitation</v>
      </c>
      <c r="E19" s="23" t="s">
        <v>1501</v>
      </c>
      <c r="F19" s="2" t="s">
        <v>1906</v>
      </c>
    </row>
    <row r="20" spans="1:6" ht="409.5" hidden="1">
      <c r="A20" s="7">
        <f>ROW()</f>
        <v>20</v>
      </c>
      <c r="B20" s="8" t="s">
        <v>1479</v>
      </c>
      <c r="C20" s="8" t="s">
        <v>1500</v>
      </c>
      <c r="D20" s="8" t="str">
        <f t="shared" si="0"/>
        <v xml:space="preserve">Bevorzugte und reservierte Beschäftigung von Menschen mit Behinderungen  </v>
      </c>
      <c r="E20" s="23" t="s">
        <v>1502</v>
      </c>
      <c r="F20" s="2" t="s">
        <v>1907</v>
      </c>
    </row>
    <row r="21" spans="1:6" ht="171.75" hidden="1">
      <c r="A21" s="7">
        <f>ROW()</f>
        <v>21</v>
      </c>
      <c r="B21" s="8" t="s">
        <v>1479</v>
      </c>
      <c r="C21" s="8" t="s">
        <v>1504</v>
      </c>
      <c r="D21" s="8" t="str">
        <f t="shared" si="0"/>
        <v>Indexbindung/Anpassung</v>
      </c>
      <c r="E21" s="22" t="s">
        <v>1505</v>
      </c>
      <c r="F21" s="2" t="s">
        <v>1908</v>
      </c>
    </row>
    <row r="22" spans="1:6" ht="242.25" hidden="1">
      <c r="A22" s="7">
        <f>ROW()</f>
        <v>22</v>
      </c>
      <c r="B22" s="8" t="s">
        <v>1479</v>
      </c>
      <c r="C22" s="8" t="s">
        <v>1504</v>
      </c>
      <c r="D22" s="8" t="str">
        <f>+E22</f>
        <v>Kumulation mit Erwerbseinkommen</v>
      </c>
      <c r="E22" s="22" t="s">
        <v>1471</v>
      </c>
      <c r="F22" s="2" t="s">
        <v>1909</v>
      </c>
    </row>
    <row r="23" spans="1:6" ht="275.25" hidden="1">
      <c r="A23" s="7">
        <f>ROW()</f>
        <v>23</v>
      </c>
      <c r="B23" s="8" t="s">
        <v>1479</v>
      </c>
      <c r="C23" s="8" t="s">
        <v>1504</v>
      </c>
      <c r="D23" s="8" t="str">
        <f t="shared" si="0"/>
        <v>Kumulation mit anderen Sozialleistungen</v>
      </c>
      <c r="E23" s="22" t="s">
        <v>1460</v>
      </c>
      <c r="F23" s="2" t="s">
        <v>1910</v>
      </c>
    </row>
    <row r="24" spans="1:6" ht="232.5" hidden="1">
      <c r="A24" s="7">
        <f>ROW()</f>
        <v>24</v>
      </c>
      <c r="B24" s="8" t="s">
        <v>1479</v>
      </c>
      <c r="C24" s="8" t="s">
        <v>1465</v>
      </c>
      <c r="D24" s="8" t="str">
        <f t="shared" si="0"/>
        <v>1. Besteuerung von Geldleistungen</v>
      </c>
      <c r="E24" s="23" t="s">
        <v>1509</v>
      </c>
      <c r="F24" s="2" t="s">
        <v>613</v>
      </c>
    </row>
    <row r="25" spans="1:6" ht="387" hidden="1">
      <c r="A25" s="7">
        <f>ROW()</f>
        <v>25</v>
      </c>
      <c r="B25" s="8" t="s">
        <v>1479</v>
      </c>
      <c r="C25" s="8" t="s">
        <v>1465</v>
      </c>
      <c r="D25" s="8" t="str">
        <f t="shared" si="0"/>
        <v>2. Einkommensgrenze für Besteuerung von Geldleistungen</v>
      </c>
      <c r="E25" s="23" t="s">
        <v>1511</v>
      </c>
      <c r="F25" s="2" t="s">
        <v>1911</v>
      </c>
    </row>
    <row r="26" spans="1:6" ht="288.75" hidden="1">
      <c r="A26" s="7">
        <f>ROW()</f>
        <v>26</v>
      </c>
      <c r="B26" s="8" t="s">
        <v>1479</v>
      </c>
      <c r="C26" s="8" t="s">
        <v>1465</v>
      </c>
      <c r="D26" s="8" t="str">
        <f t="shared" si="0"/>
        <v>3. Auf Leistungen anfallende Sozialabgaben</v>
      </c>
      <c r="E26" s="23" t="s">
        <v>1512</v>
      </c>
      <c r="F26" s="2" t="s">
        <v>1912</v>
      </c>
    </row>
    <row r="27" spans="1:6" ht="138" hidden="1">
      <c r="A27" s="7">
        <f>ROW()</f>
        <v>27</v>
      </c>
      <c r="B27" s="8" t="s">
        <v>1479</v>
      </c>
      <c r="C27" s="8" t="s">
        <v>1514</v>
      </c>
      <c r="D27" s="8" t="str">
        <f t="shared" si="0"/>
        <v>Anwendungsbereich</v>
      </c>
      <c r="E27" s="23" t="s">
        <v>1467</v>
      </c>
      <c r="F27" s="2" t="s">
        <v>699</v>
      </c>
    </row>
    <row r="28" spans="1:6" ht="110.25" hidden="1">
      <c r="A28" s="7">
        <f>ROW()</f>
        <v>28</v>
      </c>
      <c r="B28" s="8" t="s">
        <v>1479</v>
      </c>
      <c r="C28" s="8" t="s">
        <v>1514</v>
      </c>
      <c r="D28" s="8" t="str">
        <f t="shared" si="0"/>
        <v>Grundprinzipien</v>
      </c>
      <c r="E28" s="23" t="s">
        <v>1468</v>
      </c>
      <c r="F28" s="2" t="s">
        <v>725</v>
      </c>
    </row>
    <row r="29" spans="1:6" ht="224.25" hidden="1">
      <c r="A29" s="7">
        <f>ROW()</f>
        <v>29</v>
      </c>
      <c r="B29" s="8" t="s">
        <v>1479</v>
      </c>
      <c r="C29" s="8" t="s">
        <v>1514</v>
      </c>
      <c r="D29" s="8" t="str">
        <f t="shared" si="0"/>
        <v>Voraussetzungen für die Deckung</v>
      </c>
      <c r="E29" s="23" t="s">
        <v>1469</v>
      </c>
      <c r="F29" s="2" t="s">
        <v>744</v>
      </c>
    </row>
    <row r="30" spans="1:6" ht="409.5" hidden="1">
      <c r="A30" s="7">
        <f>ROW()</f>
        <v>30</v>
      </c>
      <c r="B30" s="8" t="s">
        <v>1479</v>
      </c>
      <c r="C30" s="8" t="s">
        <v>1514</v>
      </c>
      <c r="D30" s="9" t="str">
        <f t="shared" si="0"/>
        <v>Kombination von selbstständiger und unselbstständiger Tätigkeit</v>
      </c>
      <c r="E30" s="23" t="s">
        <v>1462</v>
      </c>
      <c r="F30" s="2" t="s">
        <v>765</v>
      </c>
    </row>
    <row r="31" spans="1:6" ht="376.5" hidden="1">
      <c r="A31" s="7">
        <f>ROW()</f>
        <v>31</v>
      </c>
      <c r="B31" s="8" t="s">
        <v>1479</v>
      </c>
      <c r="C31" s="8" t="s">
        <v>1459</v>
      </c>
      <c r="D31" s="9" t="str">
        <f t="shared" si="0"/>
        <v xml:space="preserve">Voraussetzungen für den Zugang zu Diensten/Leistungen </v>
      </c>
      <c r="E31" s="23" t="s">
        <v>1463</v>
      </c>
      <c r="F31" s="2" t="s">
        <v>785</v>
      </c>
    </row>
    <row r="32" spans="1:6" ht="253.5" hidden="1">
      <c r="A32" s="7">
        <f>ROW()</f>
        <v>32</v>
      </c>
      <c r="B32" s="8" t="s">
        <v>1479</v>
      </c>
      <c r="C32" s="8" t="s">
        <v>1459</v>
      </c>
      <c r="D32" s="8" t="str">
        <f t="shared" si="0"/>
        <v>Beträge, Dauer und Kostenbeteiligung</v>
      </c>
      <c r="E32" s="23" t="s">
        <v>1464</v>
      </c>
      <c r="F32" s="2" t="s">
        <v>785</v>
      </c>
    </row>
    <row r="33" spans="1:6" ht="216" hidden="1">
      <c r="A33" s="7">
        <f>ROW()</f>
        <v>33</v>
      </c>
      <c r="B33" s="8" t="s">
        <v>1479</v>
      </c>
      <c r="C33" s="8" t="s">
        <v>1459</v>
      </c>
      <c r="D33" s="8" t="str">
        <f t="shared" si="0"/>
        <v>Besteuerung von Geldleistungen</v>
      </c>
      <c r="E33" s="23" t="s">
        <v>1456</v>
      </c>
      <c r="F33" s="2" t="s">
        <v>785</v>
      </c>
    </row>
    <row r="34" spans="1:6" ht="276.75" hidden="1">
      <c r="A34" s="7">
        <f>ROW()</f>
        <v>34</v>
      </c>
      <c r="B34" s="8" t="s">
        <v>1479</v>
      </c>
      <c r="C34" s="8" t="s">
        <v>1459</v>
      </c>
      <c r="D34" s="8" t="str">
        <f t="shared" si="0"/>
        <v xml:space="preserve"> Auf Leistungen anfallende Sozialabgaben</v>
      </c>
      <c r="E34" s="23" t="s">
        <v>1518</v>
      </c>
      <c r="F34" s="2" t="s">
        <v>785</v>
      </c>
    </row>
    <row r="35" spans="1:6" ht="177" hidden="1">
      <c r="A35" s="7">
        <f>ROW()</f>
        <v>35</v>
      </c>
      <c r="B35" s="8" t="s">
        <v>1519</v>
      </c>
      <c r="C35" s="8" t="str">
        <f>+D35</f>
        <v>Geltende Rechtsgrundlage</v>
      </c>
      <c r="D35" s="8" t="str">
        <f>+E35</f>
        <v>Geltende Rechtsgrundlage</v>
      </c>
      <c r="E35" s="22" t="s">
        <v>1472</v>
      </c>
      <c r="F35" s="2" t="s">
        <v>45</v>
      </c>
    </row>
    <row r="36" spans="1:6" ht="225" hidden="1">
      <c r="A36" s="7">
        <f>ROW()</f>
        <v>36</v>
      </c>
      <c r="B36" s="8" t="s">
        <v>1519</v>
      </c>
      <c r="C36" s="8" t="str">
        <f>+D36</f>
        <v>Grundprinzipien</v>
      </c>
      <c r="D36" s="8" t="str">
        <f>+E36</f>
        <v>Grundprinzipien</v>
      </c>
      <c r="E36" s="22" t="s">
        <v>1468</v>
      </c>
      <c r="F36" s="2" t="s">
        <v>73</v>
      </c>
    </row>
    <row r="37" spans="1:6" ht="159.75" hidden="1">
      <c r="A37" s="7">
        <f>ROW()</f>
        <v>37</v>
      </c>
      <c r="B37" s="8" t="s">
        <v>1519</v>
      </c>
      <c r="C37" s="8" t="s">
        <v>1467</v>
      </c>
      <c r="D37" s="8" t="str">
        <f>+E37</f>
        <v>1. Versicherte Personen</v>
      </c>
      <c r="E37" s="23" t="s">
        <v>1520</v>
      </c>
      <c r="F37" s="2" t="s">
        <v>98</v>
      </c>
    </row>
    <row r="38" spans="1:6" ht="371.25" hidden="1">
      <c r="A38" s="7">
        <f>ROW()</f>
        <v>38</v>
      </c>
      <c r="B38" s="8" t="s">
        <v>1519</v>
      </c>
      <c r="C38" s="8" t="s">
        <v>1467</v>
      </c>
      <c r="D38" s="8" t="str">
        <f t="shared" ref="D38:D58" si="1">+E38</f>
        <v>2. Ausnahmen von der Deckung  der Pflichtversicherung</v>
      </c>
      <c r="E38" s="23" t="s">
        <v>1521</v>
      </c>
      <c r="F38" s="2" t="s">
        <v>121</v>
      </c>
    </row>
    <row r="39" spans="1:6" ht="194.25" hidden="1">
      <c r="A39" s="7">
        <f>ROW()</f>
        <v>39</v>
      </c>
      <c r="B39" s="8" t="s">
        <v>1519</v>
      </c>
      <c r="C39" s="8" t="s">
        <v>128</v>
      </c>
      <c r="D39" s="8" t="str">
        <f t="shared" si="1"/>
        <v>1. Rentenalter</v>
      </c>
      <c r="E39" s="23" t="s">
        <v>1523</v>
      </c>
      <c r="F39" s="2" t="s">
        <v>139</v>
      </c>
    </row>
    <row r="40" spans="1:6" ht="409.5" hidden="1">
      <c r="A40" s="7">
        <f>ROW()</f>
        <v>40</v>
      </c>
      <c r="B40" s="8" t="s">
        <v>1519</v>
      </c>
      <c r="C40" s="8" t="s">
        <v>128</v>
      </c>
      <c r="D40" s="8" t="str">
        <f t="shared" si="1"/>
        <v>2. Anwartschaftszeit und sonstige Anspruchsvoraussetzungen für den Bezug einer Altersrente</v>
      </c>
      <c r="E40" s="23" t="s">
        <v>1524</v>
      </c>
      <c r="F40" s="2" t="s">
        <v>162</v>
      </c>
    </row>
    <row r="41" spans="1:6" ht="194.25" hidden="1">
      <c r="A41" s="7">
        <f>ROW()</f>
        <v>41</v>
      </c>
      <c r="B41" s="8" t="s">
        <v>1519</v>
      </c>
      <c r="C41" s="8" t="s">
        <v>128</v>
      </c>
      <c r="D41" s="8" t="str">
        <f t="shared" si="1"/>
        <v>3. Vorruhestand</v>
      </c>
      <c r="E41" s="23" t="s">
        <v>1525</v>
      </c>
      <c r="F41" s="2" t="s">
        <v>181</v>
      </c>
    </row>
    <row r="42" spans="1:6" ht="264" hidden="1">
      <c r="A42" s="7">
        <f>ROW()</f>
        <v>42</v>
      </c>
      <c r="B42" s="8" t="s">
        <v>1519</v>
      </c>
      <c r="C42" s="8" t="s">
        <v>128</v>
      </c>
      <c r="D42" s="8" t="str">
        <f t="shared" si="1"/>
        <v>4. Beschwerliche und gefährliche Arbeit</v>
      </c>
      <c r="E42" s="23" t="s">
        <v>1526</v>
      </c>
      <c r="F42" s="2" t="s">
        <v>200</v>
      </c>
    </row>
    <row r="43" spans="1:6" ht="194.25" hidden="1">
      <c r="A43" s="7">
        <f>ROW()</f>
        <v>43</v>
      </c>
      <c r="B43" s="8" t="s">
        <v>1519</v>
      </c>
      <c r="C43" s="8" t="s">
        <v>128</v>
      </c>
      <c r="D43" s="8" t="str">
        <f t="shared" si="1"/>
        <v>5. Rentenaufschub</v>
      </c>
      <c r="E43" s="23" t="s">
        <v>1527</v>
      </c>
      <c r="F43" s="2" t="s">
        <v>222</v>
      </c>
    </row>
    <row r="44" spans="1:6" ht="174">
      <c r="A44" s="7">
        <f>ROW()</f>
        <v>44</v>
      </c>
      <c r="B44" s="8" t="s">
        <v>1519</v>
      </c>
      <c r="C44" s="8" t="s">
        <v>1459</v>
      </c>
      <c r="D44" s="8" t="str">
        <f t="shared" si="1"/>
        <v>1. Bestimmende Faktoren</v>
      </c>
      <c r="E44" s="23" t="s">
        <v>1528</v>
      </c>
      <c r="F44" s="2" t="s">
        <v>243</v>
      </c>
    </row>
    <row r="45" spans="1:6" ht="349.5">
      <c r="A45" s="7">
        <f>ROW()</f>
        <v>45</v>
      </c>
      <c r="B45" s="8" t="s">
        <v>1519</v>
      </c>
      <c r="C45" s="8" t="s">
        <v>1459</v>
      </c>
      <c r="D45" s="8" t="str">
        <f t="shared" si="1"/>
        <v>2. Berechnungsmethode, Rentenformel bzw. Beträge</v>
      </c>
      <c r="E45" s="23" t="s">
        <v>1529</v>
      </c>
      <c r="F45" s="2" t="s">
        <v>3446</v>
      </c>
    </row>
    <row r="46" spans="1:6" ht="343.5">
      <c r="A46" s="7">
        <f>ROW()</f>
        <v>46</v>
      </c>
      <c r="B46" s="8" t="s">
        <v>1519</v>
      </c>
      <c r="C46" s="8" t="s">
        <v>1459</v>
      </c>
      <c r="D46" s="8" t="str">
        <f t="shared" si="1"/>
        <v>3. Referenzeinkommen bzw. Berechnungsgrundlage</v>
      </c>
      <c r="E46" s="23" t="s">
        <v>1530</v>
      </c>
      <c r="F46" s="2" t="s">
        <v>283</v>
      </c>
    </row>
    <row r="47" spans="1:6" ht="405">
      <c r="A47" s="7">
        <f>ROW()</f>
        <v>47</v>
      </c>
      <c r="B47" s="8" t="s">
        <v>1519</v>
      </c>
      <c r="C47" s="8" t="s">
        <v>1459</v>
      </c>
      <c r="D47" s="8" t="str">
        <f t="shared" si="1"/>
        <v>4. Anrechenbare oder als Beitragszeiten gewertete Zeiträume</v>
      </c>
      <c r="E47" s="23" t="s">
        <v>1496</v>
      </c>
      <c r="F47" s="2" t="s">
        <v>3447</v>
      </c>
    </row>
    <row r="48" spans="1:6" ht="243.75">
      <c r="A48" s="7">
        <f>ROW()</f>
        <v>48</v>
      </c>
      <c r="B48" s="8" t="s">
        <v>1519</v>
      </c>
      <c r="C48" s="8" t="s">
        <v>1459</v>
      </c>
      <c r="D48" s="8" t="str">
        <f t="shared" si="1"/>
        <v>5. Rückkauf von Versicherungszeiten</v>
      </c>
      <c r="E48" s="23" t="s">
        <v>1531</v>
      </c>
      <c r="F48" s="2" t="s">
        <v>321</v>
      </c>
    </row>
    <row r="49" spans="1:6" ht="246">
      <c r="A49" s="7">
        <f>ROW()</f>
        <v>49</v>
      </c>
      <c r="B49" s="8" t="s">
        <v>1519</v>
      </c>
      <c r="C49" s="8" t="s">
        <v>1459</v>
      </c>
      <c r="D49" s="8" t="str">
        <f t="shared" si="1"/>
        <v>6.  Zulagen für Unterhaltsberechtigte</v>
      </c>
      <c r="E49" s="23" t="s">
        <v>1631</v>
      </c>
      <c r="F49" s="2" t="s">
        <v>338</v>
      </c>
    </row>
    <row r="50" spans="1:6" ht="145.5">
      <c r="A50" s="7">
        <f>ROW()</f>
        <v>50</v>
      </c>
      <c r="B50" s="8" t="s">
        <v>1519</v>
      </c>
      <c r="C50" s="8" t="s">
        <v>1459</v>
      </c>
      <c r="D50" s="8" t="str">
        <f t="shared" si="1"/>
        <v>7. Besondere Zulagen</v>
      </c>
      <c r="E50" s="23" t="s">
        <v>1532</v>
      </c>
      <c r="F50" s="2" t="s">
        <v>357</v>
      </c>
    </row>
    <row r="51" spans="1:6" ht="360.75">
      <c r="A51" s="7">
        <f>ROW()</f>
        <v>51</v>
      </c>
      <c r="B51" s="8" t="s">
        <v>1519</v>
      </c>
      <c r="C51" s="8" t="s">
        <v>1459</v>
      </c>
      <c r="D51" s="8" t="str">
        <f t="shared" si="1"/>
        <v>8. Mindestrente und bedürftigkeitsabhängige Leistung</v>
      </c>
      <c r="E51" s="23" t="s">
        <v>1533</v>
      </c>
      <c r="F51" s="2" t="s">
        <v>384</v>
      </c>
    </row>
    <row r="52" spans="1:6" ht="101.25">
      <c r="A52" s="7">
        <f>ROW()</f>
        <v>52</v>
      </c>
      <c r="B52" s="8" t="s">
        <v>1519</v>
      </c>
      <c r="C52" s="8" t="s">
        <v>1459</v>
      </c>
      <c r="D52" s="8" t="str">
        <f t="shared" si="1"/>
        <v>9. Höchstrente</v>
      </c>
      <c r="E52" s="23" t="s">
        <v>1534</v>
      </c>
      <c r="F52" s="2" t="s">
        <v>407</v>
      </c>
    </row>
    <row r="53" spans="1:6" ht="119.25">
      <c r="A53" s="7">
        <f>ROW()</f>
        <v>53</v>
      </c>
      <c r="B53" s="8" t="s">
        <v>1519</v>
      </c>
      <c r="C53" s="8" t="s">
        <v>1459</v>
      </c>
      <c r="D53" s="8" t="str">
        <f t="shared" si="1"/>
        <v>10. Vorruhestand</v>
      </c>
      <c r="E53" s="23" t="s">
        <v>1535</v>
      </c>
      <c r="F53" s="2" t="s">
        <v>435</v>
      </c>
    </row>
    <row r="54" spans="1:6" ht="272.25">
      <c r="A54" s="7">
        <f>ROW()</f>
        <v>54</v>
      </c>
      <c r="B54" s="8" t="s">
        <v>1519</v>
      </c>
      <c r="C54" s="8" t="s">
        <v>1459</v>
      </c>
      <c r="D54" s="8" t="str">
        <f t="shared" si="1"/>
        <v>11. Beschwerliche und gefährliche Arbeit</v>
      </c>
      <c r="E54" s="23" t="s">
        <v>1536</v>
      </c>
      <c r="F54" s="2" t="s">
        <v>460</v>
      </c>
    </row>
    <row r="55" spans="1:6" ht="87.75">
      <c r="A55" s="7">
        <f>ROW()</f>
        <v>55</v>
      </c>
      <c r="B55" s="8" t="s">
        <v>1519</v>
      </c>
      <c r="C55" s="8" t="s">
        <v>1459</v>
      </c>
      <c r="D55" s="8" t="str">
        <f t="shared" si="1"/>
        <v>12. Teilrente</v>
      </c>
      <c r="E55" s="23" t="s">
        <v>1537</v>
      </c>
      <c r="F55" s="2" t="s">
        <v>485</v>
      </c>
    </row>
    <row r="56" spans="1:6" ht="171.75">
      <c r="A56" s="7">
        <f>ROW()</f>
        <v>56</v>
      </c>
      <c r="B56" s="8" t="s">
        <v>1519</v>
      </c>
      <c r="C56" s="8" t="s">
        <v>1459</v>
      </c>
      <c r="D56" s="8" t="str">
        <f t="shared" si="1"/>
        <v>13. Aufgeschobene Rente</v>
      </c>
      <c r="E56" s="23" t="s">
        <v>1632</v>
      </c>
      <c r="F56" s="2" t="s">
        <v>513</v>
      </c>
    </row>
    <row r="57" spans="1:6" ht="179.25">
      <c r="A57" s="7">
        <f>ROW()</f>
        <v>57</v>
      </c>
      <c r="B57" s="8" t="s">
        <v>1519</v>
      </c>
      <c r="C57" s="8" t="s">
        <v>1538</v>
      </c>
      <c r="D57" s="8" t="s">
        <v>1538</v>
      </c>
      <c r="E57" s="22" t="s">
        <v>1538</v>
      </c>
      <c r="F57" s="2" t="s">
        <v>542</v>
      </c>
    </row>
    <row r="58" spans="1:6" ht="246">
      <c r="A58" s="7">
        <f>ROW()</f>
        <v>58</v>
      </c>
      <c r="B58" s="8" t="s">
        <v>1519</v>
      </c>
      <c r="C58" s="8" t="s">
        <v>1538</v>
      </c>
      <c r="D58" s="8" t="str">
        <f t="shared" si="1"/>
        <v xml:space="preserve">Kumulation mit Erwerbseinkommen </v>
      </c>
      <c r="E58" s="22" t="s">
        <v>1461</v>
      </c>
      <c r="F58" s="2" t="s">
        <v>569</v>
      </c>
    </row>
    <row r="59" spans="1:6" ht="286.5">
      <c r="A59" s="7">
        <f>ROW()</f>
        <v>59</v>
      </c>
      <c r="B59" s="8" t="s">
        <v>1519</v>
      </c>
      <c r="C59" s="8" t="s">
        <v>1538</v>
      </c>
      <c r="D59" s="8" t="s">
        <v>1539</v>
      </c>
      <c r="E59" s="22" t="s">
        <v>1460</v>
      </c>
      <c r="F59" s="2" t="s">
        <v>597</v>
      </c>
    </row>
    <row r="60" spans="1:6" ht="225.75">
      <c r="A60" s="7">
        <f>ROW()</f>
        <v>60</v>
      </c>
      <c r="B60" s="8" t="s">
        <v>1519</v>
      </c>
      <c r="C60" s="8" t="s">
        <v>612</v>
      </c>
      <c r="D60" s="8" t="str">
        <f t="shared" ref="D60:D70" si="2">+E60</f>
        <v>1. Besteuerung von Renten</v>
      </c>
      <c r="E60" s="23" t="s">
        <v>1540</v>
      </c>
      <c r="F60" s="2" t="s">
        <v>626</v>
      </c>
    </row>
    <row r="61" spans="1:6" ht="335.25">
      <c r="A61" s="7">
        <f>ROW()</f>
        <v>61</v>
      </c>
      <c r="B61" s="8" t="s">
        <v>1519</v>
      </c>
      <c r="C61" s="8" t="s">
        <v>612</v>
      </c>
      <c r="D61" s="8" t="str">
        <f t="shared" si="2"/>
        <v>2. Einkommensgrenze für Besteuerung von Renten</v>
      </c>
      <c r="E61" s="23" t="s">
        <v>1541</v>
      </c>
      <c r="F61" s="2" t="s">
        <v>651</v>
      </c>
    </row>
    <row r="62" spans="1:6" ht="264">
      <c r="A62" s="7">
        <f>ROW()</f>
        <v>62</v>
      </c>
      <c r="B62" s="8" t="s">
        <v>1519</v>
      </c>
      <c r="C62" s="8" t="s">
        <v>612</v>
      </c>
      <c r="D62" s="8" t="str">
        <f t="shared" si="2"/>
        <v>3. Auf Renten anfallende Sozialabgaben</v>
      </c>
      <c r="E62" s="23" t="s">
        <v>1542</v>
      </c>
      <c r="F62" s="2" t="s">
        <v>676</v>
      </c>
    </row>
    <row r="63" spans="1:6" ht="138" hidden="1">
      <c r="A63" s="7">
        <f>ROW()</f>
        <v>63</v>
      </c>
      <c r="B63" s="8" t="s">
        <v>1543</v>
      </c>
      <c r="C63" s="8" t="str">
        <f>+E63</f>
        <v>Anwendungsbereich</v>
      </c>
      <c r="D63" s="8" t="str">
        <f t="shared" si="2"/>
        <v>Anwendungsbereich</v>
      </c>
      <c r="E63" s="23" t="s">
        <v>1467</v>
      </c>
      <c r="F63" s="2" t="s">
        <v>699</v>
      </c>
    </row>
    <row r="64" spans="1:6" ht="132.75" hidden="1">
      <c r="A64" s="7">
        <f>ROW()</f>
        <v>64</v>
      </c>
      <c r="B64" s="8" t="s">
        <v>1543</v>
      </c>
      <c r="C64" s="8" t="s">
        <v>1514</v>
      </c>
      <c r="D64" s="8" t="str">
        <f t="shared" si="2"/>
        <v>Grundprinzipien</v>
      </c>
      <c r="E64" s="23" t="s">
        <v>1468</v>
      </c>
      <c r="F64" s="2" t="s">
        <v>725</v>
      </c>
    </row>
    <row r="65" spans="1:6" ht="224.25" hidden="1">
      <c r="A65" s="7">
        <f>ROW()</f>
        <v>65</v>
      </c>
      <c r="B65" s="8" t="s">
        <v>1543</v>
      </c>
      <c r="C65" s="8" t="s">
        <v>1514</v>
      </c>
      <c r="D65" s="8" t="str">
        <f t="shared" si="2"/>
        <v>Voraussetzungen für die Deckung</v>
      </c>
      <c r="E65" s="23" t="s">
        <v>1469</v>
      </c>
      <c r="F65" s="2" t="s">
        <v>744</v>
      </c>
    </row>
    <row r="66" spans="1:6" ht="409.5" hidden="1">
      <c r="A66" s="7">
        <f>ROW()</f>
        <v>66</v>
      </c>
      <c r="B66" s="8" t="s">
        <v>1543</v>
      </c>
      <c r="C66" s="8" t="s">
        <v>1514</v>
      </c>
      <c r="D66" s="8" t="str">
        <f t="shared" si="2"/>
        <v>Kombination von selbstständiger und unselbstständiger Tätigkeit</v>
      </c>
      <c r="E66" s="23" t="s">
        <v>1462</v>
      </c>
      <c r="F66" s="2" t="s">
        <v>765</v>
      </c>
    </row>
    <row r="67" spans="1:6" ht="376.5" hidden="1">
      <c r="A67" s="7">
        <f>ROW()</f>
        <v>67</v>
      </c>
      <c r="B67" s="8" t="s">
        <v>1543</v>
      </c>
      <c r="C67" s="8" t="s">
        <v>1459</v>
      </c>
      <c r="D67" s="9" t="str">
        <f t="shared" si="2"/>
        <v xml:space="preserve">Voraussetzungen für den Zugang zu Diensten/Leistungen </v>
      </c>
      <c r="E67" s="23" t="s">
        <v>1463</v>
      </c>
      <c r="F67" s="2" t="s">
        <v>791</v>
      </c>
    </row>
    <row r="68" spans="1:6" ht="253.5" hidden="1">
      <c r="A68" s="7">
        <f>ROW()</f>
        <v>68</v>
      </c>
      <c r="B68" s="8" t="s">
        <v>1543</v>
      </c>
      <c r="C68" s="8" t="s">
        <v>1459</v>
      </c>
      <c r="D68" s="9" t="str">
        <f t="shared" si="2"/>
        <v>Beträge, Dauer und Kostenbeteiligung</v>
      </c>
      <c r="E68" s="23" t="s">
        <v>1464</v>
      </c>
      <c r="F68" s="2" t="s">
        <v>785</v>
      </c>
    </row>
    <row r="69" spans="1:6" ht="216" hidden="1">
      <c r="A69" s="7">
        <f>ROW()</f>
        <v>69</v>
      </c>
      <c r="B69" s="8" t="s">
        <v>1543</v>
      </c>
      <c r="C69" s="8" t="s">
        <v>1459</v>
      </c>
      <c r="D69" s="9" t="str">
        <f t="shared" si="2"/>
        <v>Besteuerung von Geldleistungen</v>
      </c>
      <c r="E69" s="23" t="s">
        <v>1456</v>
      </c>
      <c r="F69" s="2" t="s">
        <v>785</v>
      </c>
    </row>
    <row r="70" spans="1:6" ht="272.25" hidden="1">
      <c r="A70" s="7">
        <f>ROW()</f>
        <v>70</v>
      </c>
      <c r="B70" s="8" t="s">
        <v>1543</v>
      </c>
      <c r="C70" s="8" t="s">
        <v>1459</v>
      </c>
      <c r="D70" s="9" t="str">
        <f t="shared" si="2"/>
        <v>Auf Leistungen anfallende Sozialabgaben</v>
      </c>
      <c r="E70" s="23" t="s">
        <v>1457</v>
      </c>
      <c r="F70" s="2" t="s">
        <v>785</v>
      </c>
    </row>
    <row r="71" spans="1:6" ht="177" hidden="1">
      <c r="A71" s="7">
        <f>ROW()</f>
        <v>71</v>
      </c>
      <c r="B71" s="8" t="s">
        <v>1466</v>
      </c>
      <c r="C71" s="8" t="str">
        <f t="shared" ref="C71:D75" si="3">+D71</f>
        <v>Geltende Rechtsgrundlage</v>
      </c>
      <c r="D71" s="9" t="str">
        <f t="shared" si="3"/>
        <v>Geltende Rechtsgrundlage</v>
      </c>
      <c r="E71" s="22" t="s">
        <v>1472</v>
      </c>
      <c r="F71" s="2" t="s">
        <v>45</v>
      </c>
    </row>
    <row r="72" spans="1:6" ht="110.25" hidden="1">
      <c r="A72" s="7">
        <f>ROW()</f>
        <v>72</v>
      </c>
      <c r="B72" s="8" t="s">
        <v>1466</v>
      </c>
      <c r="C72" s="8" t="str">
        <f t="shared" si="3"/>
        <v>Grundprinzipien</v>
      </c>
      <c r="D72" s="9" t="str">
        <f t="shared" si="3"/>
        <v>Grundprinzipien</v>
      </c>
      <c r="E72" s="22" t="s">
        <v>1468</v>
      </c>
      <c r="F72" s="2" t="s">
        <v>872</v>
      </c>
    </row>
    <row r="73" spans="1:6" ht="315" hidden="1">
      <c r="A73" s="7">
        <f>ROW()</f>
        <v>73</v>
      </c>
      <c r="B73" s="8" t="s">
        <v>1466</v>
      </c>
      <c r="C73" s="9" t="str">
        <f t="shared" si="3"/>
        <v>Anwendungsbereich (in Bezug auf Verstorbene)</v>
      </c>
      <c r="D73" s="9" t="str">
        <f t="shared" si="3"/>
        <v>Anwendungsbereich (in Bezug auf Verstorbene)</v>
      </c>
      <c r="E73" s="22" t="s">
        <v>1473</v>
      </c>
      <c r="F73" s="2" t="s">
        <v>898</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915</v>
      </c>
    </row>
    <row r="75" spans="1:6" ht="144.75" hidden="1">
      <c r="A75" s="7">
        <f>ROW()</f>
        <v>75</v>
      </c>
      <c r="B75" s="8" t="s">
        <v>1466</v>
      </c>
      <c r="C75" s="9" t="str">
        <f t="shared" si="3"/>
        <v>Berechtigte Personen</v>
      </c>
      <c r="D75" s="9" t="str">
        <f t="shared" si="3"/>
        <v>Berechtigte Personen</v>
      </c>
      <c r="E75" s="22" t="s">
        <v>1477</v>
      </c>
      <c r="F75" s="2" t="s">
        <v>931</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955</v>
      </c>
    </row>
    <row r="78" spans="1:6" ht="185.25" hidden="1">
      <c r="A78" s="7">
        <f>ROW()</f>
        <v>78</v>
      </c>
      <c r="B78" s="8" t="s">
        <v>1466</v>
      </c>
      <c r="C78" s="8" t="s">
        <v>1544</v>
      </c>
      <c r="D78" s="8" t="str">
        <f t="shared" si="4"/>
        <v>2. Hinterbliebener Ehegatte</v>
      </c>
      <c r="E78" s="23" t="s">
        <v>1546</v>
      </c>
      <c r="F78" s="2" t="s">
        <v>974</v>
      </c>
    </row>
    <row r="79" spans="1:6" ht="181.5" hidden="1">
      <c r="A79" s="7">
        <f>ROW()</f>
        <v>79</v>
      </c>
      <c r="B79" s="8" t="s">
        <v>1466</v>
      </c>
      <c r="C79" s="8" t="s">
        <v>1544</v>
      </c>
      <c r="D79" s="8" t="str">
        <f t="shared" si="4"/>
        <v>3. Geschiedener Ehegatte</v>
      </c>
      <c r="E79" s="23" t="s">
        <v>1547</v>
      </c>
      <c r="F79" s="2" t="s">
        <v>993</v>
      </c>
    </row>
    <row r="80" spans="1:6" ht="216" hidden="1">
      <c r="A80" s="7">
        <f>ROW()</f>
        <v>80</v>
      </c>
      <c r="B80" s="8" t="s">
        <v>1466</v>
      </c>
      <c r="C80" s="8" t="s">
        <v>1544</v>
      </c>
      <c r="D80" s="8" t="str">
        <f t="shared" si="4"/>
        <v>4. Hinterbliebene Lebenspartner</v>
      </c>
      <c r="E80" s="23" t="s">
        <v>1548</v>
      </c>
      <c r="F80" s="2" t="s">
        <v>1016</v>
      </c>
    </row>
    <row r="81" spans="1:6" ht="181.5" hidden="1">
      <c r="A81" s="7">
        <f>ROW()</f>
        <v>81</v>
      </c>
      <c r="B81" s="8" t="s">
        <v>1466</v>
      </c>
      <c r="C81" s="8" t="s">
        <v>1544</v>
      </c>
      <c r="D81" s="8" t="str">
        <f t="shared" si="4"/>
        <v>5. Kinder</v>
      </c>
      <c r="E81" s="23" t="s">
        <v>1549</v>
      </c>
      <c r="F81" s="2" t="s">
        <v>1039</v>
      </c>
    </row>
    <row r="82" spans="1:6" ht="181.5" hidden="1">
      <c r="A82" s="7">
        <f>ROW()</f>
        <v>82</v>
      </c>
      <c r="B82" s="8" t="s">
        <v>1466</v>
      </c>
      <c r="C82" s="8" t="s">
        <v>1544</v>
      </c>
      <c r="D82" s="8" t="str">
        <f t="shared" si="4"/>
        <v>6. Andere Personen</v>
      </c>
      <c r="E82" s="23" t="s">
        <v>1550</v>
      </c>
      <c r="F82" s="2" t="s">
        <v>1057</v>
      </c>
    </row>
    <row r="83" spans="1:6" ht="409.5" hidden="1">
      <c r="A83" s="7">
        <f>ROW()</f>
        <v>83</v>
      </c>
      <c r="B83" s="8" t="s">
        <v>1466</v>
      </c>
      <c r="C83" s="8" t="s">
        <v>1459</v>
      </c>
      <c r="D83" s="9" t="str">
        <f t="shared" si="4"/>
        <v>1. Hinterbliebener Ehegatte, geschiedener Ehegatte, hinterbliebene Lebenspartner</v>
      </c>
      <c r="E83" s="23" t="s">
        <v>1551</v>
      </c>
      <c r="F83" s="2" t="s">
        <v>1073</v>
      </c>
    </row>
    <row r="84" spans="1:6" ht="280.5" hidden="1">
      <c r="A84" s="7">
        <f>ROW()</f>
        <v>84</v>
      </c>
      <c r="B84" s="8" t="s">
        <v>1466</v>
      </c>
      <c r="C84" s="8" t="s">
        <v>1459</v>
      </c>
      <c r="D84" s="9" t="str">
        <f t="shared" si="4"/>
        <v>2. Hinterbliebener Ehegatte: Wiederheirat</v>
      </c>
      <c r="E84" s="23" t="s">
        <v>1552</v>
      </c>
      <c r="F84" s="2" t="s">
        <v>1096</v>
      </c>
    </row>
    <row r="85" spans="1:6" ht="195" hidden="1">
      <c r="A85" s="7">
        <f>ROW()</f>
        <v>85</v>
      </c>
      <c r="B85" s="8" t="s">
        <v>1466</v>
      </c>
      <c r="C85" s="8" t="s">
        <v>1459</v>
      </c>
      <c r="D85" s="9" t="str">
        <f t="shared" si="4"/>
        <v>3. Kinder</v>
      </c>
      <c r="E85" s="23" t="s">
        <v>1553</v>
      </c>
      <c r="F85" s="2" t="s">
        <v>1120</v>
      </c>
    </row>
    <row r="86" spans="1:6" ht="147" hidden="1">
      <c r="A86" s="7">
        <f>ROW()</f>
        <v>86</v>
      </c>
      <c r="B86" s="8" t="s">
        <v>1466</v>
      </c>
      <c r="C86" s="8" t="s">
        <v>1459</v>
      </c>
      <c r="D86" s="9" t="str">
        <f t="shared" si="4"/>
        <v>4. Andere Berechtigte</v>
      </c>
      <c r="E86" s="23" t="s">
        <v>1554</v>
      </c>
      <c r="F86" s="2" t="s">
        <v>1136</v>
      </c>
    </row>
    <row r="87" spans="1:6" ht="381" hidden="1">
      <c r="A87" s="7">
        <f>ROW()</f>
        <v>87</v>
      </c>
      <c r="B87" s="8" t="s">
        <v>1466</v>
      </c>
      <c r="C87" s="8" t="s">
        <v>1459</v>
      </c>
      <c r="D87" s="9" t="str">
        <f t="shared" si="4"/>
        <v xml:space="preserve"> 5. Höchster zahlbarer Gesamtbetrag für alle Berechtigten</v>
      </c>
      <c r="E87" s="23" t="s">
        <v>1555</v>
      </c>
      <c r="F87" s="2" t="s">
        <v>1155</v>
      </c>
    </row>
    <row r="88" spans="1:6" ht="151.5" hidden="1">
      <c r="A88" s="7">
        <f>ROW()</f>
        <v>88</v>
      </c>
      <c r="B88" s="8" t="s">
        <v>1466</v>
      </c>
      <c r="C88" s="8" t="s">
        <v>1459</v>
      </c>
      <c r="D88" s="9" t="str">
        <f t="shared" si="4"/>
        <v>6. Sonstige Leistungen</v>
      </c>
      <c r="E88" s="23" t="s">
        <v>1556</v>
      </c>
      <c r="F88" s="2" t="s">
        <v>1179</v>
      </c>
    </row>
    <row r="89" spans="1:6" ht="126.75" hidden="1">
      <c r="A89" s="7">
        <f>ROW()</f>
        <v>89</v>
      </c>
      <c r="B89" s="8" t="s">
        <v>1466</v>
      </c>
      <c r="C89" s="8" t="s">
        <v>1459</v>
      </c>
      <c r="D89" s="9" t="str">
        <f>+E89</f>
        <v>7. Mindestleistung</v>
      </c>
      <c r="E89" s="23" t="s">
        <v>1557</v>
      </c>
      <c r="F89" s="2" t="s">
        <v>1201</v>
      </c>
    </row>
    <row r="90" spans="1:6" ht="122.25" hidden="1">
      <c r="A90" s="7">
        <f>ROW()</f>
        <v>90</v>
      </c>
      <c r="B90" s="8" t="s">
        <v>1466</v>
      </c>
      <c r="C90" s="8" t="s">
        <v>1459</v>
      </c>
      <c r="D90" s="9" t="str">
        <f t="shared" si="4"/>
        <v xml:space="preserve"> 8. Höchstleistung</v>
      </c>
      <c r="E90" s="23" t="s">
        <v>1558</v>
      </c>
      <c r="F90" s="2" t="s">
        <v>1221</v>
      </c>
    </row>
    <row r="91" spans="1:6" ht="179.25" hidden="1">
      <c r="A91" s="7">
        <f>ROW()</f>
        <v>91</v>
      </c>
      <c r="B91" s="8" t="s">
        <v>1466</v>
      </c>
      <c r="C91" s="8" t="s">
        <v>1538</v>
      </c>
      <c r="D91" s="9" t="str">
        <f>+C91</f>
        <v>Indexbindung / Anpassung</v>
      </c>
      <c r="E91" s="22" t="s">
        <v>1538</v>
      </c>
      <c r="F91" s="2" t="s">
        <v>1248</v>
      </c>
    </row>
    <row r="92" spans="1:6" ht="242.25" hidden="1">
      <c r="A92" s="7">
        <f>ROW()</f>
        <v>92</v>
      </c>
      <c r="B92" s="8" t="s">
        <v>1466</v>
      </c>
      <c r="C92" s="8" t="s">
        <v>1538</v>
      </c>
      <c r="D92" s="9" t="str">
        <f t="shared" ref="D92:D105" si="5">+E92</f>
        <v>Kumulation mit Erwerbseinkommen</v>
      </c>
      <c r="E92" s="22" t="s">
        <v>1471</v>
      </c>
      <c r="F92" s="2" t="s">
        <v>1273</v>
      </c>
    </row>
    <row r="93" spans="1:6" ht="275.25" hidden="1">
      <c r="A93" s="7">
        <f>ROW()</f>
        <v>93</v>
      </c>
      <c r="B93" s="8" t="s">
        <v>1466</v>
      </c>
      <c r="C93" s="8" t="s">
        <v>1538</v>
      </c>
      <c r="D93" s="9" t="str">
        <f t="shared" si="5"/>
        <v>Kumulation mit anderen Sozialleistungen</v>
      </c>
      <c r="E93" s="22" t="s">
        <v>1460</v>
      </c>
      <c r="F93" s="2" t="s">
        <v>1301</v>
      </c>
    </row>
    <row r="94" spans="1:6" ht="232.5" hidden="1">
      <c r="A94" s="7">
        <f>ROW()</f>
        <v>94</v>
      </c>
      <c r="B94" s="8" t="s">
        <v>1466</v>
      </c>
      <c r="C94" s="9" t="s">
        <v>1465</v>
      </c>
      <c r="D94" s="9" t="str">
        <f t="shared" si="5"/>
        <v>1. Besteuerung von Geldleistungen</v>
      </c>
      <c r="E94" s="23" t="s">
        <v>1509</v>
      </c>
      <c r="F94" s="2" t="s">
        <v>1316</v>
      </c>
    </row>
    <row r="95" spans="1:6" ht="387" hidden="1">
      <c r="A95" s="7">
        <f>ROW()</f>
        <v>95</v>
      </c>
      <c r="B95" s="8" t="s">
        <v>1466</v>
      </c>
      <c r="C95" s="9" t="s">
        <v>1465</v>
      </c>
      <c r="D95" s="9" t="str">
        <f t="shared" si="5"/>
        <v>2. Einkommensgrenze für Besteuerung von Geldleistungen</v>
      </c>
      <c r="E95" s="23" t="s">
        <v>1511</v>
      </c>
      <c r="F95" s="2" t="s">
        <v>1345</v>
      </c>
    </row>
    <row r="96" spans="1:6" ht="288.75" hidden="1">
      <c r="A96" s="7">
        <f>ROW()</f>
        <v>96</v>
      </c>
      <c r="B96" s="8" t="s">
        <v>1466</v>
      </c>
      <c r="C96" s="9" t="s">
        <v>1465</v>
      </c>
      <c r="D96" s="9" t="str">
        <f t="shared" si="5"/>
        <v>3. Auf Leistungen anfallende Sozialabgaben</v>
      </c>
      <c r="E96" s="23" t="s">
        <v>1512</v>
      </c>
      <c r="F96" s="2" t="s">
        <v>1365</v>
      </c>
    </row>
    <row r="97" spans="1:6" ht="138" hidden="1">
      <c r="A97" s="7">
        <f>ROW()</f>
        <v>97</v>
      </c>
      <c r="B97" s="8" t="s">
        <v>1466</v>
      </c>
      <c r="C97" s="9" t="s">
        <v>1514</v>
      </c>
      <c r="D97" s="9" t="str">
        <f t="shared" si="5"/>
        <v>Anwendungsbereich</v>
      </c>
      <c r="E97" s="23" t="s">
        <v>1467</v>
      </c>
      <c r="F97" s="2" t="s">
        <v>699</v>
      </c>
    </row>
    <row r="98" spans="1:6" ht="110.25" hidden="1">
      <c r="A98" s="7">
        <f>ROW()</f>
        <v>98</v>
      </c>
      <c r="B98" s="8" t="s">
        <v>1466</v>
      </c>
      <c r="C98" s="9" t="s">
        <v>1514</v>
      </c>
      <c r="D98" s="9" t="str">
        <f t="shared" si="5"/>
        <v>Grundprinzipien</v>
      </c>
      <c r="E98" s="23" t="s">
        <v>1468</v>
      </c>
      <c r="F98" s="2" t="s">
        <v>725</v>
      </c>
    </row>
    <row r="99" spans="1:6" ht="224.25" hidden="1">
      <c r="A99" s="7">
        <f>ROW()</f>
        <v>99</v>
      </c>
      <c r="B99" s="8" t="s">
        <v>1466</v>
      </c>
      <c r="C99" s="9" t="s">
        <v>1514</v>
      </c>
      <c r="D99" s="9" t="str">
        <f t="shared" si="5"/>
        <v>Voraussetzungen für die Deckung</v>
      </c>
      <c r="E99" s="23" t="s">
        <v>1469</v>
      </c>
      <c r="F99" s="2" t="s">
        <v>744</v>
      </c>
    </row>
    <row r="100" spans="1:6" ht="409.5" hidden="1">
      <c r="A100" s="7">
        <f>ROW()</f>
        <v>100</v>
      </c>
      <c r="B100" s="8" t="s">
        <v>1466</v>
      </c>
      <c r="C100" s="9" t="s">
        <v>1514</v>
      </c>
      <c r="D100" s="9" t="str">
        <f t="shared" si="5"/>
        <v>Kombination von selbstständiger und unselbstständiger Tätigkeit</v>
      </c>
      <c r="E100" s="23" t="s">
        <v>1462</v>
      </c>
      <c r="F100" s="2" t="s">
        <v>765</v>
      </c>
    </row>
    <row r="101" spans="1:6" ht="376.5" hidden="1">
      <c r="A101" s="7">
        <f>ROW()</f>
        <v>101</v>
      </c>
      <c r="B101" s="8" t="s">
        <v>1466</v>
      </c>
      <c r="C101" s="9" t="s">
        <v>1514</v>
      </c>
      <c r="D101" s="9" t="str">
        <f t="shared" si="5"/>
        <v xml:space="preserve">Voraussetzungen für den Zugang zu Diensten/Leistungen </v>
      </c>
      <c r="E101" s="23" t="s">
        <v>1463</v>
      </c>
      <c r="F101" s="2" t="s">
        <v>785</v>
      </c>
    </row>
    <row r="102" spans="1:6" ht="253.5" hidden="1">
      <c r="A102" s="7">
        <f>ROW()</f>
        <v>102</v>
      </c>
      <c r="B102" s="8" t="s">
        <v>1466</v>
      </c>
      <c r="C102" s="9" t="s">
        <v>1514</v>
      </c>
      <c r="D102" s="9" t="str">
        <f t="shared" si="5"/>
        <v>Beträge, Dauer und Kostenbeteiligung</v>
      </c>
      <c r="E102" s="23" t="s">
        <v>1464</v>
      </c>
      <c r="F102" s="2" t="s">
        <v>785</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785</v>
      </c>
    </row>
    <row r="105" spans="1:6" ht="272.25" hidden="1">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6fVEEspGapsddilyneFddSjE5viE5Lz2EO14WMRqWXbFkv6g73igTaXQro+hguPAeN7lu6EzHVO2Pam02iJKFA==" saltValue="q8iuZGhhndCMYOh1z7l7/g==" spinCount="100000" sheet="1" objects="1" scenarios="1" formatColumns="0" autoFilter="0"/>
  <autoFilter ref="A2:F105" xr:uid="{A224751D-3FC5-444A-887D-2A020C8CE173}">
    <filterColumn colId="1">
      <filters>
        <filter val="Alter"/>
      </filters>
    </filterColumn>
    <filterColumn colId="2">
      <filters>
        <filter val="Besteuerung und Sozialabgaben"/>
        <filter val="Indexbindung / Anpassung"/>
        <filter val="Leistungen"/>
      </filters>
    </filterColumn>
  </autoFilter>
  <pageMargins left="0.7" right="0.7" top="0.78740157499999996" bottom="0.78740157499999996"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0AE3-7F45-4BD3-B5E6-2EC852A95D97}">
  <sheetPr codeName="Tabelle18"/>
  <dimension ref="A1:F113"/>
  <sheetViews>
    <sheetView workbookViewId="0">
      <pane xSplit="5" ySplit="2" topLeftCell="F39" activePane="bottomRight" state="frozen"/>
      <selection activeCell="B15" sqref="B15:I21"/>
      <selection pane="topRight" activeCell="B15" sqref="B15:I21"/>
      <selection pane="bottomLeft" activeCell="B15" sqref="B15:I21"/>
      <selection pane="bottomRight" activeCell="F2" sqref="F2"/>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16</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1872</v>
      </c>
    </row>
    <row r="4" spans="1:6" ht="110.25">
      <c r="A4" s="7">
        <f>ROW()</f>
        <v>4</v>
      </c>
      <c r="B4" s="8" t="s">
        <v>1479</v>
      </c>
      <c r="C4" s="1"/>
      <c r="D4" s="8" t="str">
        <f t="shared" ref="D4:D34" si="0">+E4</f>
        <v>Grundprinzipien</v>
      </c>
      <c r="E4" s="22" t="s">
        <v>1468</v>
      </c>
      <c r="F4" s="2" t="s">
        <v>1873</v>
      </c>
    </row>
    <row r="5" spans="1:6" ht="188.25">
      <c r="A5" s="7">
        <f>ROW()</f>
        <v>5</v>
      </c>
      <c r="B5" s="8" t="s">
        <v>1479</v>
      </c>
      <c r="C5" s="1"/>
      <c r="D5" s="8" t="str">
        <f t="shared" si="0"/>
        <v>Gedecktes Risiko: Definition</v>
      </c>
      <c r="E5" s="22" t="s">
        <v>1630</v>
      </c>
      <c r="F5" s="2" t="s">
        <v>3448</v>
      </c>
    </row>
    <row r="6" spans="1:6" ht="144">
      <c r="A6" s="7">
        <f>ROW()</f>
        <v>6</v>
      </c>
      <c r="B6" s="8" t="s">
        <v>1479</v>
      </c>
      <c r="C6" s="8" t="s">
        <v>1453</v>
      </c>
      <c r="D6" s="8" t="str">
        <f t="shared" si="0"/>
        <v>Versicherte Personen</v>
      </c>
      <c r="E6" s="23" t="s">
        <v>1453</v>
      </c>
      <c r="F6" s="2" t="s">
        <v>1874</v>
      </c>
    </row>
    <row r="7" spans="1:6" ht="273">
      <c r="A7" s="7">
        <f>ROW()</f>
        <v>7</v>
      </c>
      <c r="B7" s="8" t="s">
        <v>1479</v>
      </c>
      <c r="C7" s="8" t="str">
        <f>+E6</f>
        <v>Versicherte Personen</v>
      </c>
      <c r="D7" s="8" t="str">
        <f t="shared" si="0"/>
        <v>Ausnahmen von der Versicherungspflicht</v>
      </c>
      <c r="E7" s="23" t="s">
        <v>1458</v>
      </c>
      <c r="F7" s="2" t="s">
        <v>3449</v>
      </c>
    </row>
    <row r="8" spans="1:6" ht="194.25">
      <c r="A8" s="7">
        <f>ROW()</f>
        <v>8</v>
      </c>
      <c r="B8" s="8" t="s">
        <v>1479</v>
      </c>
      <c r="C8" s="9" t="s">
        <v>128</v>
      </c>
      <c r="D8" s="8" t="str">
        <f t="shared" si="0"/>
        <v>1. Anwartschaftszeit</v>
      </c>
      <c r="E8" s="23" t="s">
        <v>1483</v>
      </c>
      <c r="F8" s="2" t="s">
        <v>1875</v>
      </c>
    </row>
    <row r="9" spans="1:6" ht="409.5">
      <c r="A9" s="7">
        <f>ROW()</f>
        <v>9</v>
      </c>
      <c r="B9" s="8" t="s">
        <v>1479</v>
      </c>
      <c r="C9" s="9" t="s">
        <v>128</v>
      </c>
      <c r="D9" s="8" t="str">
        <f t="shared" si="0"/>
        <v xml:space="preserve">2. Begutachtungskriterien und Kategorien der Arbeitsunfähigkeit/Arbeitsfähigkeit  </v>
      </c>
      <c r="E9" s="23" t="s">
        <v>1484</v>
      </c>
      <c r="F9" s="2" t="s">
        <v>3450</v>
      </c>
    </row>
    <row r="10" spans="1:6" ht="222">
      <c r="A10" s="7">
        <f>ROW()</f>
        <v>10</v>
      </c>
      <c r="B10" s="8" t="s">
        <v>1479</v>
      </c>
      <c r="C10" s="9" t="s">
        <v>128</v>
      </c>
      <c r="D10" s="8" t="str">
        <f t="shared" si="0"/>
        <v>3. Zeitraum der Leistungszahlung</v>
      </c>
      <c r="E10" s="23" t="s">
        <v>1486</v>
      </c>
      <c r="F10" s="2" t="s">
        <v>1876</v>
      </c>
    </row>
    <row r="11" spans="1:6" ht="120">
      <c r="A11" s="7">
        <f>ROW()</f>
        <v>11</v>
      </c>
      <c r="B11" s="8" t="s">
        <v>1479</v>
      </c>
      <c r="C11" s="9" t="s">
        <v>1488</v>
      </c>
      <c r="D11" s="8" t="str">
        <f t="shared" si="0"/>
        <v>1. Gutachter</v>
      </c>
      <c r="E11" s="23" t="s">
        <v>1489</v>
      </c>
      <c r="F11" s="2" t="s">
        <v>1877</v>
      </c>
    </row>
    <row r="12" spans="1:6" ht="111.75">
      <c r="A12" s="7">
        <f>ROW()</f>
        <v>12</v>
      </c>
      <c r="B12" s="8" t="s">
        <v>1479</v>
      </c>
      <c r="C12" s="9" t="s">
        <v>1488</v>
      </c>
      <c r="D12" s="8" t="str">
        <f t="shared" si="0"/>
        <v xml:space="preserve">2. Überprüfung  </v>
      </c>
      <c r="E12" s="23" t="s">
        <v>1490</v>
      </c>
      <c r="F12" s="2" t="s">
        <v>1878</v>
      </c>
    </row>
    <row r="13" spans="1:6" ht="291.75">
      <c r="A13" s="7">
        <f>ROW()</f>
        <v>13</v>
      </c>
      <c r="B13" s="8" t="s">
        <v>1479</v>
      </c>
      <c r="C13" s="8" t="s">
        <v>1459</v>
      </c>
      <c r="D13" s="8" t="str">
        <f t="shared" si="0"/>
        <v>1. Berechnungsmethode bzw. Rentenformel</v>
      </c>
      <c r="E13" s="23" t="s">
        <v>1492</v>
      </c>
      <c r="F13" s="2" t="s">
        <v>3451</v>
      </c>
    </row>
    <row r="14" spans="1:6" ht="343.5">
      <c r="A14" s="7">
        <f>ROW()</f>
        <v>14</v>
      </c>
      <c r="B14" s="8" t="s">
        <v>1479</v>
      </c>
      <c r="C14" s="8" t="s">
        <v>1459</v>
      </c>
      <c r="D14" s="8" t="str">
        <f t="shared" si="0"/>
        <v>2. Referenzeinkommen bzw. Berechnungsgrundlage</v>
      </c>
      <c r="E14" s="23" t="s">
        <v>1493</v>
      </c>
      <c r="F14" s="2" t="s">
        <v>1879</v>
      </c>
    </row>
    <row r="15" spans="1:6" ht="226.5">
      <c r="A15" s="7">
        <f>ROW()</f>
        <v>15</v>
      </c>
      <c r="B15" s="8" t="s">
        <v>1479</v>
      </c>
      <c r="C15" s="8" t="s">
        <v>1459</v>
      </c>
      <c r="D15" s="8" t="str">
        <f t="shared" si="0"/>
        <v>3. Mindest- und Höchstleistungen</v>
      </c>
      <c r="E15" s="23" t="s">
        <v>1495</v>
      </c>
      <c r="F15" s="2" t="s">
        <v>3452</v>
      </c>
    </row>
    <row r="16" spans="1:6" ht="405">
      <c r="A16" s="7">
        <f>ROW()</f>
        <v>16</v>
      </c>
      <c r="B16" s="8" t="s">
        <v>1479</v>
      </c>
      <c r="C16" s="8" t="s">
        <v>1459</v>
      </c>
      <c r="D16" s="8" t="str">
        <f t="shared" si="0"/>
        <v>4. Anrechenbare oder als Beitragszeiten gewertete Zeiträume</v>
      </c>
      <c r="E16" s="23" t="s">
        <v>1496</v>
      </c>
      <c r="F16" s="2" t="s">
        <v>3453</v>
      </c>
    </row>
    <row r="17" spans="1:6" ht="250.5">
      <c r="A17" s="7">
        <f>ROW()</f>
        <v>17</v>
      </c>
      <c r="B17" s="8" t="s">
        <v>1479</v>
      </c>
      <c r="C17" s="8" t="s">
        <v>1459</v>
      </c>
      <c r="D17" s="8" t="str">
        <f t="shared" si="0"/>
        <v xml:space="preserve">5. Zulagen für Unterhaltsberechtigte  </v>
      </c>
      <c r="E17" s="23" t="s">
        <v>1498</v>
      </c>
      <c r="F17" s="2" t="s">
        <v>1880</v>
      </c>
    </row>
    <row r="18" spans="1:6" ht="135">
      <c r="A18" s="7">
        <f>ROW()</f>
        <v>18</v>
      </c>
      <c r="B18" s="8" t="s">
        <v>1479</v>
      </c>
      <c r="C18" s="8" t="str">
        <f>+E18</f>
        <v>Sonstige Leistungen</v>
      </c>
      <c r="D18" s="8" t="str">
        <f>+E18</f>
        <v>Sonstige Leistungen</v>
      </c>
      <c r="E18" s="22" t="s">
        <v>1455</v>
      </c>
      <c r="F18" s="2" t="s">
        <v>1881</v>
      </c>
    </row>
    <row r="19" spans="1:6" ht="300.75">
      <c r="A19" s="7">
        <f>ROW()</f>
        <v>19</v>
      </c>
      <c r="B19" s="8" t="s">
        <v>1479</v>
      </c>
      <c r="C19" s="8" t="s">
        <v>1500</v>
      </c>
      <c r="D19" s="8" t="str">
        <f t="shared" si="0"/>
        <v>Umschulung, berufsbezogene Rehabilitation</v>
      </c>
      <c r="E19" s="23" t="s">
        <v>1501</v>
      </c>
      <c r="F19" s="2" t="s">
        <v>1882</v>
      </c>
    </row>
    <row r="20" spans="1:6" ht="409.5">
      <c r="A20" s="7">
        <f>ROW()</f>
        <v>20</v>
      </c>
      <c r="B20" s="8" t="s">
        <v>1479</v>
      </c>
      <c r="C20" s="8" t="s">
        <v>1500</v>
      </c>
      <c r="D20" s="8" t="str">
        <f t="shared" si="0"/>
        <v xml:space="preserve">Bevorzugte und reservierte Beschäftigung von Menschen mit Behinderungen  </v>
      </c>
      <c r="E20" s="23" t="s">
        <v>1502</v>
      </c>
      <c r="F20" s="2" t="s">
        <v>1883</v>
      </c>
    </row>
    <row r="21" spans="1:6" ht="171.75">
      <c r="A21" s="7">
        <f>ROW()</f>
        <v>21</v>
      </c>
      <c r="B21" s="8" t="s">
        <v>1479</v>
      </c>
      <c r="C21" s="8" t="s">
        <v>1504</v>
      </c>
      <c r="D21" s="8" t="str">
        <f t="shared" si="0"/>
        <v>Indexbindung/Anpassung</v>
      </c>
      <c r="E21" s="22" t="s">
        <v>1505</v>
      </c>
      <c r="F21" s="2" t="s">
        <v>1884</v>
      </c>
    </row>
    <row r="22" spans="1:6" ht="242.25">
      <c r="A22" s="7">
        <f>ROW()</f>
        <v>22</v>
      </c>
      <c r="B22" s="8" t="s">
        <v>1479</v>
      </c>
      <c r="C22" s="8" t="s">
        <v>1504</v>
      </c>
      <c r="D22" s="8" t="str">
        <f>+E22</f>
        <v>Kumulation mit Erwerbseinkommen</v>
      </c>
      <c r="E22" s="22" t="s">
        <v>1471</v>
      </c>
      <c r="F22" s="2" t="s">
        <v>1885</v>
      </c>
    </row>
    <row r="23" spans="1:6" ht="275.25">
      <c r="A23" s="7">
        <f>ROW()</f>
        <v>23</v>
      </c>
      <c r="B23" s="8" t="s">
        <v>1479</v>
      </c>
      <c r="C23" s="8" t="s">
        <v>1504</v>
      </c>
      <c r="D23" s="8" t="str">
        <f t="shared" si="0"/>
        <v>Kumulation mit anderen Sozialleistungen</v>
      </c>
      <c r="E23" s="22" t="s">
        <v>1460</v>
      </c>
      <c r="F23" s="2" t="s">
        <v>1886</v>
      </c>
    </row>
    <row r="24" spans="1:6" ht="232.5">
      <c r="A24" s="7">
        <f>ROW()</f>
        <v>24</v>
      </c>
      <c r="B24" s="8" t="s">
        <v>1479</v>
      </c>
      <c r="C24" s="8" t="s">
        <v>1465</v>
      </c>
      <c r="D24" s="8" t="str">
        <f t="shared" si="0"/>
        <v>1. Besteuerung von Geldleistungen</v>
      </c>
      <c r="E24" s="23" t="s">
        <v>1509</v>
      </c>
      <c r="F24" s="2" t="s">
        <v>1317</v>
      </c>
    </row>
    <row r="25" spans="1:6" ht="387">
      <c r="A25" s="7">
        <f>ROW()</f>
        <v>25</v>
      </c>
      <c r="B25" s="8" t="s">
        <v>1479</v>
      </c>
      <c r="C25" s="8" t="s">
        <v>1465</v>
      </c>
      <c r="D25" s="8" t="str">
        <f t="shared" si="0"/>
        <v>2. Einkommensgrenze für Besteuerung von Geldleistungen</v>
      </c>
      <c r="E25" s="23" t="s">
        <v>1511</v>
      </c>
      <c r="F25" s="2" t="s">
        <v>1887</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1888</v>
      </c>
    </row>
    <row r="28" spans="1:6" ht="110.25">
      <c r="A28" s="7">
        <f>ROW()</f>
        <v>28</v>
      </c>
      <c r="B28" s="8" t="s">
        <v>1479</v>
      </c>
      <c r="C28" s="8" t="s">
        <v>1514</v>
      </c>
      <c r="D28" s="8" t="str">
        <f t="shared" si="0"/>
        <v>Grundprinzipien</v>
      </c>
      <c r="E28" s="23" t="s">
        <v>1468</v>
      </c>
      <c r="F28" s="2" t="s">
        <v>1889</v>
      </c>
    </row>
    <row r="29" spans="1:6" ht="224.25">
      <c r="A29" s="7">
        <f>ROW()</f>
        <v>29</v>
      </c>
      <c r="B29" s="8" t="s">
        <v>1479</v>
      </c>
      <c r="C29" s="8" t="s">
        <v>1514</v>
      </c>
      <c r="D29" s="8" t="str">
        <f t="shared" si="0"/>
        <v>Voraussetzungen für die Deckung</v>
      </c>
      <c r="E29" s="23" t="s">
        <v>1469</v>
      </c>
      <c r="F29" s="2" t="s">
        <v>1448</v>
      </c>
    </row>
    <row r="30" spans="1:6" ht="409.5">
      <c r="A30" s="7">
        <f>ROW()</f>
        <v>30</v>
      </c>
      <c r="B30" s="8" t="s">
        <v>1479</v>
      </c>
      <c r="C30" s="8" t="s">
        <v>1514</v>
      </c>
      <c r="D30" s="9" t="str">
        <f t="shared" si="0"/>
        <v>Kombination von selbstständiger und unselbstständiger Tätigkeit</v>
      </c>
      <c r="E30" s="23" t="s">
        <v>1462</v>
      </c>
      <c r="F30" s="2" t="s">
        <v>1890</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787</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46</v>
      </c>
    </row>
    <row r="36" spans="1:6" ht="180">
      <c r="A36" s="7">
        <f>ROW()</f>
        <v>36</v>
      </c>
      <c r="B36" s="8" t="s">
        <v>1519</v>
      </c>
      <c r="C36" s="8" t="str">
        <f>+D36</f>
        <v>Grundprinzipien</v>
      </c>
      <c r="D36" s="8" t="str">
        <f>+E36</f>
        <v>Grundprinzipien</v>
      </c>
      <c r="E36" s="22" t="s">
        <v>1468</v>
      </c>
      <c r="F36" s="2" t="s">
        <v>74</v>
      </c>
    </row>
    <row r="37" spans="1:6" ht="159.75">
      <c r="A37" s="7">
        <f>ROW()</f>
        <v>37</v>
      </c>
      <c r="B37" s="8" t="s">
        <v>1519</v>
      </c>
      <c r="C37" s="8" t="s">
        <v>1467</v>
      </c>
      <c r="D37" s="8" t="str">
        <f>+E37</f>
        <v>1. Versicherte Personen</v>
      </c>
      <c r="E37" s="23" t="s">
        <v>1520</v>
      </c>
      <c r="F37" s="2" t="s">
        <v>99</v>
      </c>
    </row>
    <row r="38" spans="1:6" ht="371.25">
      <c r="A38" s="7">
        <f>ROW()</f>
        <v>38</v>
      </c>
      <c r="B38" s="8" t="s">
        <v>1519</v>
      </c>
      <c r="C38" s="8" t="s">
        <v>1467</v>
      </c>
      <c r="D38" s="8" t="str">
        <f t="shared" ref="D38:D58" si="1">+E38</f>
        <v>2. Ausnahmen von der Deckung  der Pflichtversicherung</v>
      </c>
      <c r="E38" s="23" t="s">
        <v>1521</v>
      </c>
      <c r="F38" s="2" t="s">
        <v>3454</v>
      </c>
    </row>
    <row r="39" spans="1:6" ht="194.25">
      <c r="A39" s="7">
        <f>ROW()</f>
        <v>39</v>
      </c>
      <c r="B39" s="8" t="s">
        <v>1519</v>
      </c>
      <c r="C39" s="8" t="s">
        <v>128</v>
      </c>
      <c r="D39" s="8" t="str">
        <f t="shared" si="1"/>
        <v>1. Rentenalter</v>
      </c>
      <c r="E39" s="23" t="s">
        <v>1523</v>
      </c>
      <c r="F39" s="2" t="s">
        <v>3455</v>
      </c>
    </row>
    <row r="40" spans="1:6" ht="409.5">
      <c r="A40" s="7">
        <f>ROW()</f>
        <v>40</v>
      </c>
      <c r="B40" s="8" t="s">
        <v>1519</v>
      </c>
      <c r="C40" s="8" t="s">
        <v>128</v>
      </c>
      <c r="D40" s="8" t="str">
        <f t="shared" si="1"/>
        <v>2. Anwartschaftszeit und sonstige Anspruchsvoraussetzungen für den Bezug einer Altersrente</v>
      </c>
      <c r="E40" s="23" t="s">
        <v>1524</v>
      </c>
      <c r="F40" s="2" t="s">
        <v>3456</v>
      </c>
    </row>
    <row r="41" spans="1:6" ht="194.25">
      <c r="A41" s="7">
        <f>ROW()</f>
        <v>41</v>
      </c>
      <c r="B41" s="8" t="s">
        <v>1519</v>
      </c>
      <c r="C41" s="8" t="s">
        <v>128</v>
      </c>
      <c r="D41" s="8" t="str">
        <f t="shared" si="1"/>
        <v>3. Vorruhestand</v>
      </c>
      <c r="E41" s="23" t="s">
        <v>1525</v>
      </c>
      <c r="F41" s="2" t="s">
        <v>182</v>
      </c>
    </row>
    <row r="42" spans="1:6" ht="264">
      <c r="A42" s="7">
        <f>ROW()</f>
        <v>42</v>
      </c>
      <c r="B42" s="8" t="s">
        <v>1519</v>
      </c>
      <c r="C42" s="8" t="s">
        <v>128</v>
      </c>
      <c r="D42" s="8" t="str">
        <f t="shared" si="1"/>
        <v>4. Beschwerliche und gefährliche Arbeit</v>
      </c>
      <c r="E42" s="23" t="s">
        <v>1526</v>
      </c>
      <c r="F42" s="2" t="s">
        <v>201</v>
      </c>
    </row>
    <row r="43" spans="1:6" ht="194.25">
      <c r="A43" s="7">
        <f>ROW()</f>
        <v>43</v>
      </c>
      <c r="B43" s="8" t="s">
        <v>1519</v>
      </c>
      <c r="C43" s="8" t="s">
        <v>128</v>
      </c>
      <c r="D43" s="8" t="str">
        <f t="shared" si="1"/>
        <v>5. Rentenaufschub</v>
      </c>
      <c r="E43" s="23" t="s">
        <v>1527</v>
      </c>
      <c r="F43" s="2" t="s">
        <v>223</v>
      </c>
    </row>
    <row r="44" spans="1:6" ht="174">
      <c r="A44" s="7">
        <f>ROW()</f>
        <v>44</v>
      </c>
      <c r="B44" s="8" t="s">
        <v>1519</v>
      </c>
      <c r="C44" s="8" t="s">
        <v>1459</v>
      </c>
      <c r="D44" s="8" t="str">
        <f t="shared" si="1"/>
        <v>1. Bestimmende Faktoren</v>
      </c>
      <c r="E44" s="23" t="s">
        <v>1528</v>
      </c>
      <c r="F44" s="2" t="s">
        <v>244</v>
      </c>
    </row>
    <row r="45" spans="1:6" ht="409.5">
      <c r="A45" s="7">
        <f>ROW()</f>
        <v>45</v>
      </c>
      <c r="B45" s="8" t="s">
        <v>1519</v>
      </c>
      <c r="C45" s="8" t="s">
        <v>1459</v>
      </c>
      <c r="D45" s="8" t="str">
        <f t="shared" si="1"/>
        <v>2. Berechnungsmethode, Rentenformel bzw. Beträge</v>
      </c>
      <c r="E45" s="23" t="s">
        <v>1529</v>
      </c>
      <c r="F45" s="2" t="s">
        <v>3457</v>
      </c>
    </row>
    <row r="46" spans="1:6" ht="343.5">
      <c r="A46" s="7">
        <f>ROW()</f>
        <v>46</v>
      </c>
      <c r="B46" s="8" t="s">
        <v>1519</v>
      </c>
      <c r="C46" s="8" t="s">
        <v>1459</v>
      </c>
      <c r="D46" s="8" t="str">
        <f t="shared" si="1"/>
        <v>3. Referenzeinkommen bzw. Berechnungsgrundlage</v>
      </c>
      <c r="E46" s="23" t="s">
        <v>1530</v>
      </c>
      <c r="F46" s="2" t="s">
        <v>284</v>
      </c>
    </row>
    <row r="47" spans="1:6" ht="405">
      <c r="A47" s="7">
        <f>ROW()</f>
        <v>47</v>
      </c>
      <c r="B47" s="8" t="s">
        <v>1519</v>
      </c>
      <c r="C47" s="8" t="s">
        <v>1459</v>
      </c>
      <c r="D47" s="8" t="str">
        <f t="shared" si="1"/>
        <v>4. Anrechenbare oder als Beitragszeiten gewertete Zeiträume</v>
      </c>
      <c r="E47" s="23" t="s">
        <v>1496</v>
      </c>
      <c r="F47" s="2" t="s">
        <v>3458</v>
      </c>
    </row>
    <row r="48" spans="1:6" ht="345">
      <c r="A48" s="7">
        <f>ROW()</f>
        <v>48</v>
      </c>
      <c r="B48" s="8" t="s">
        <v>1519</v>
      </c>
      <c r="C48" s="8" t="s">
        <v>1459</v>
      </c>
      <c r="D48" s="8" t="str">
        <f t="shared" si="1"/>
        <v>5. Rückkauf von Versicherungszeiten</v>
      </c>
      <c r="E48" s="23" t="s">
        <v>1531</v>
      </c>
      <c r="F48" s="2" t="s">
        <v>3459</v>
      </c>
    </row>
    <row r="49" spans="1:6" ht="246">
      <c r="A49" s="7">
        <f>ROW()</f>
        <v>49</v>
      </c>
      <c r="B49" s="8" t="s">
        <v>1519</v>
      </c>
      <c r="C49" s="8" t="s">
        <v>1459</v>
      </c>
      <c r="D49" s="8" t="str">
        <f t="shared" si="1"/>
        <v>6.  Zulagen für Unterhaltsberechtigte</v>
      </c>
      <c r="E49" s="23" t="s">
        <v>1631</v>
      </c>
      <c r="F49" s="2" t="s">
        <v>339</v>
      </c>
    </row>
    <row r="50" spans="1:6" ht="145.5">
      <c r="A50" s="7">
        <f>ROW()</f>
        <v>50</v>
      </c>
      <c r="B50" s="8" t="s">
        <v>1519</v>
      </c>
      <c r="C50" s="8" t="s">
        <v>1459</v>
      </c>
      <c r="D50" s="8" t="str">
        <f t="shared" si="1"/>
        <v>7. Besondere Zulagen</v>
      </c>
      <c r="E50" s="23" t="s">
        <v>1532</v>
      </c>
      <c r="F50" s="2" t="s">
        <v>358</v>
      </c>
    </row>
    <row r="51" spans="1:6" ht="360.75">
      <c r="A51" s="7">
        <f>ROW()</f>
        <v>51</v>
      </c>
      <c r="B51" s="8" t="s">
        <v>1519</v>
      </c>
      <c r="C51" s="8" t="s">
        <v>1459</v>
      </c>
      <c r="D51" s="8" t="str">
        <f t="shared" si="1"/>
        <v>8. Mindestrente und bedürftigkeitsabhängige Leistung</v>
      </c>
      <c r="E51" s="23" t="s">
        <v>1533</v>
      </c>
      <c r="F51" s="2" t="s">
        <v>385</v>
      </c>
    </row>
    <row r="52" spans="1:6" ht="101.25">
      <c r="A52" s="7">
        <f>ROW()</f>
        <v>52</v>
      </c>
      <c r="B52" s="8" t="s">
        <v>1519</v>
      </c>
      <c r="C52" s="8" t="s">
        <v>1459</v>
      </c>
      <c r="D52" s="8" t="str">
        <f t="shared" si="1"/>
        <v>9. Höchstrente</v>
      </c>
      <c r="E52" s="23" t="s">
        <v>1534</v>
      </c>
      <c r="F52" s="2" t="s">
        <v>408</v>
      </c>
    </row>
    <row r="53" spans="1:6" ht="119.25">
      <c r="A53" s="7">
        <f>ROW()</f>
        <v>53</v>
      </c>
      <c r="B53" s="8" t="s">
        <v>1519</v>
      </c>
      <c r="C53" s="8" t="s">
        <v>1459</v>
      </c>
      <c r="D53" s="8" t="str">
        <f t="shared" si="1"/>
        <v>10. Vorruhestand</v>
      </c>
      <c r="E53" s="23" t="s">
        <v>1535</v>
      </c>
      <c r="F53" s="2" t="s">
        <v>436</v>
      </c>
    </row>
    <row r="54" spans="1:6" ht="272.25">
      <c r="A54" s="7">
        <f>ROW()</f>
        <v>54</v>
      </c>
      <c r="B54" s="8" t="s">
        <v>1519</v>
      </c>
      <c r="C54" s="8" t="s">
        <v>1459</v>
      </c>
      <c r="D54" s="8" t="str">
        <f t="shared" si="1"/>
        <v>11. Beschwerliche und gefährliche Arbeit</v>
      </c>
      <c r="E54" s="23" t="s">
        <v>1536</v>
      </c>
      <c r="F54" s="2" t="s">
        <v>461</v>
      </c>
    </row>
    <row r="55" spans="1:6" ht="87.75">
      <c r="A55" s="7">
        <f>ROW()</f>
        <v>55</v>
      </c>
      <c r="B55" s="8" t="s">
        <v>1519</v>
      </c>
      <c r="C55" s="8" t="s">
        <v>1459</v>
      </c>
      <c r="D55" s="8" t="str">
        <f t="shared" si="1"/>
        <v>12. Teilrente</v>
      </c>
      <c r="E55" s="23" t="s">
        <v>1537</v>
      </c>
      <c r="F55" s="2" t="s">
        <v>486</v>
      </c>
    </row>
    <row r="56" spans="1:6" ht="171.75">
      <c r="A56" s="7">
        <f>ROW()</f>
        <v>56</v>
      </c>
      <c r="B56" s="8" t="s">
        <v>1519</v>
      </c>
      <c r="C56" s="8" t="s">
        <v>1459</v>
      </c>
      <c r="D56" s="8" t="str">
        <f t="shared" si="1"/>
        <v>13. Aufgeschobene Rente</v>
      </c>
      <c r="E56" s="23" t="s">
        <v>1632</v>
      </c>
      <c r="F56" s="2" t="s">
        <v>514</v>
      </c>
    </row>
    <row r="57" spans="1:6" ht="179.25">
      <c r="A57" s="7">
        <f>ROW()</f>
        <v>57</v>
      </c>
      <c r="B57" s="8" t="s">
        <v>1519</v>
      </c>
      <c r="C57" s="8" t="s">
        <v>1538</v>
      </c>
      <c r="D57" s="8" t="s">
        <v>1538</v>
      </c>
      <c r="E57" s="22" t="s">
        <v>1538</v>
      </c>
      <c r="F57" s="2" t="s">
        <v>543</v>
      </c>
    </row>
    <row r="58" spans="1:6" ht="246">
      <c r="A58" s="7">
        <f>ROW()</f>
        <v>58</v>
      </c>
      <c r="B58" s="8" t="s">
        <v>1519</v>
      </c>
      <c r="C58" s="8" t="s">
        <v>1538</v>
      </c>
      <c r="D58" s="8" t="str">
        <f t="shared" si="1"/>
        <v xml:space="preserve">Kumulation mit Erwerbseinkommen </v>
      </c>
      <c r="E58" s="22" t="s">
        <v>1461</v>
      </c>
      <c r="F58" s="2" t="s">
        <v>570</v>
      </c>
    </row>
    <row r="59" spans="1:6" ht="286.5">
      <c r="A59" s="7">
        <f>ROW()</f>
        <v>59</v>
      </c>
      <c r="B59" s="8" t="s">
        <v>1519</v>
      </c>
      <c r="C59" s="8" t="s">
        <v>1538</v>
      </c>
      <c r="D59" s="8" t="s">
        <v>1539</v>
      </c>
      <c r="E59" s="22" t="s">
        <v>1460</v>
      </c>
      <c r="F59" s="2" t="s">
        <v>598</v>
      </c>
    </row>
    <row r="60" spans="1:6" ht="225.75">
      <c r="A60" s="7">
        <f>ROW()</f>
        <v>60</v>
      </c>
      <c r="B60" s="8" t="s">
        <v>1519</v>
      </c>
      <c r="C60" s="8" t="s">
        <v>612</v>
      </c>
      <c r="D60" s="8" t="str">
        <f t="shared" ref="D60:D70" si="2">+E60</f>
        <v>1. Besteuerung von Renten</v>
      </c>
      <c r="E60" s="23" t="s">
        <v>1540</v>
      </c>
      <c r="F60" s="2" t="s">
        <v>627</v>
      </c>
    </row>
    <row r="61" spans="1:6" ht="335.25">
      <c r="A61" s="7">
        <f>ROW()</f>
        <v>61</v>
      </c>
      <c r="B61" s="8" t="s">
        <v>1519</v>
      </c>
      <c r="C61" s="8" t="s">
        <v>612</v>
      </c>
      <c r="D61" s="8" t="str">
        <f t="shared" si="2"/>
        <v>2. Einkommensgrenze für Besteuerung von Renten</v>
      </c>
      <c r="E61" s="23" t="s">
        <v>1541</v>
      </c>
      <c r="F61" s="2" t="s">
        <v>652</v>
      </c>
    </row>
    <row r="62" spans="1:6" ht="264">
      <c r="A62" s="7">
        <f>ROW()</f>
        <v>62</v>
      </c>
      <c r="B62" s="8" t="s">
        <v>1519</v>
      </c>
      <c r="C62" s="8" t="s">
        <v>612</v>
      </c>
      <c r="D62" s="8" t="str">
        <f t="shared" si="2"/>
        <v>3. Auf Renten anfallende Sozialabgaben</v>
      </c>
      <c r="E62" s="23" t="s">
        <v>1542</v>
      </c>
      <c r="F62" s="2" t="s">
        <v>673</v>
      </c>
    </row>
    <row r="63" spans="1:6" ht="138">
      <c r="A63" s="7">
        <f>ROW()</f>
        <v>63</v>
      </c>
      <c r="B63" s="8" t="s">
        <v>1543</v>
      </c>
      <c r="C63" s="8" t="str">
        <f>+E63</f>
        <v>Anwendungsbereich</v>
      </c>
      <c r="D63" s="8" t="str">
        <f t="shared" si="2"/>
        <v>Anwendungsbereich</v>
      </c>
      <c r="E63" s="23" t="s">
        <v>1467</v>
      </c>
      <c r="F63" s="2" t="s">
        <v>700</v>
      </c>
    </row>
    <row r="64" spans="1:6" ht="132.75">
      <c r="A64" s="7">
        <f>ROW()</f>
        <v>64</v>
      </c>
      <c r="B64" s="8" t="s">
        <v>1543</v>
      </c>
      <c r="C64" s="8" t="s">
        <v>1514</v>
      </c>
      <c r="D64" s="8" t="str">
        <f t="shared" si="2"/>
        <v>Grundprinzipien</v>
      </c>
      <c r="E64" s="23" t="s">
        <v>1468</v>
      </c>
      <c r="F64" s="2" t="s">
        <v>726</v>
      </c>
    </row>
    <row r="65" spans="1:6" ht="224.25">
      <c r="A65" s="7">
        <f>ROW()</f>
        <v>65</v>
      </c>
      <c r="B65" s="8" t="s">
        <v>1543</v>
      </c>
      <c r="C65" s="8" t="s">
        <v>1514</v>
      </c>
      <c r="D65" s="8" t="str">
        <f t="shared" si="2"/>
        <v>Voraussetzungen für die Deckung</v>
      </c>
      <c r="E65" s="23" t="s">
        <v>1469</v>
      </c>
      <c r="F65" s="2" t="s">
        <v>751</v>
      </c>
    </row>
    <row r="66" spans="1:6" ht="409.5">
      <c r="A66" s="7">
        <f>ROW()</f>
        <v>66</v>
      </c>
      <c r="B66" s="8" t="s">
        <v>1543</v>
      </c>
      <c r="C66" s="8" t="s">
        <v>1514</v>
      </c>
      <c r="D66" s="8" t="str">
        <f t="shared" si="2"/>
        <v>Kombination von selbstständiger und unselbstständiger Tätigkeit</v>
      </c>
      <c r="E66" s="23" t="s">
        <v>1462</v>
      </c>
      <c r="F66" s="2" t="s">
        <v>773</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801</v>
      </c>
    </row>
    <row r="69" spans="1:6" ht="216">
      <c r="A69" s="7">
        <f>ROW()</f>
        <v>69</v>
      </c>
      <c r="B69" s="8" t="s">
        <v>1543</v>
      </c>
      <c r="C69" s="8" t="s">
        <v>1459</v>
      </c>
      <c r="D69" s="9" t="str">
        <f t="shared" si="2"/>
        <v>Besteuerung von Geldleistungen</v>
      </c>
      <c r="E69" s="23" t="s">
        <v>1456</v>
      </c>
      <c r="F69" s="2" t="s">
        <v>787</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847</v>
      </c>
    </row>
    <row r="72" spans="1:6" ht="110.25">
      <c r="A72" s="7">
        <f>ROW()</f>
        <v>72</v>
      </c>
      <c r="B72" s="8" t="s">
        <v>1466</v>
      </c>
      <c r="C72" s="8" t="str">
        <f t="shared" si="3"/>
        <v>Grundprinzipien</v>
      </c>
      <c r="D72" s="9" t="str">
        <f t="shared" si="3"/>
        <v>Grundprinzipien</v>
      </c>
      <c r="E72" s="22" t="s">
        <v>1468</v>
      </c>
      <c r="F72" s="2" t="s">
        <v>873</v>
      </c>
    </row>
    <row r="73" spans="1:6" ht="315">
      <c r="A73" s="7">
        <f>ROW()</f>
        <v>73</v>
      </c>
      <c r="B73" s="8" t="s">
        <v>1466</v>
      </c>
      <c r="C73" s="9" t="str">
        <f t="shared" si="3"/>
        <v>Anwendungsbereich (in Bezug auf Verstorbene)</v>
      </c>
      <c r="D73" s="9" t="str">
        <f t="shared" si="3"/>
        <v>Anwendungsbereich (in Bezug auf Verstorbene)</v>
      </c>
      <c r="E73" s="22" t="s">
        <v>1473</v>
      </c>
      <c r="F73" s="2" t="s">
        <v>899</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3460</v>
      </c>
    </row>
    <row r="75" spans="1:6" ht="144.75">
      <c r="A75" s="7">
        <f>ROW()</f>
        <v>75</v>
      </c>
      <c r="B75" s="8" t="s">
        <v>1466</v>
      </c>
      <c r="C75" s="9" t="str">
        <f t="shared" si="3"/>
        <v>Berechtigte Personen</v>
      </c>
      <c r="D75" s="9" t="str">
        <f t="shared" si="3"/>
        <v>Berechtigte Personen</v>
      </c>
      <c r="E75" s="22" t="s">
        <v>1477</v>
      </c>
      <c r="F75" s="2" t="s">
        <v>932</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956</v>
      </c>
    </row>
    <row r="78" spans="1:6" ht="185.25">
      <c r="A78" s="7">
        <f>ROW()</f>
        <v>78</v>
      </c>
      <c r="B78" s="8" t="s">
        <v>1466</v>
      </c>
      <c r="C78" s="8" t="s">
        <v>1544</v>
      </c>
      <c r="D78" s="8" t="str">
        <f t="shared" si="4"/>
        <v>2. Hinterbliebener Ehegatte</v>
      </c>
      <c r="E78" s="23" t="s">
        <v>1546</v>
      </c>
      <c r="F78" s="2" t="s">
        <v>975</v>
      </c>
    </row>
    <row r="79" spans="1:6" ht="181.5">
      <c r="A79" s="7">
        <f>ROW()</f>
        <v>79</v>
      </c>
      <c r="B79" s="8" t="s">
        <v>1466</v>
      </c>
      <c r="C79" s="8" t="s">
        <v>1544</v>
      </c>
      <c r="D79" s="8" t="str">
        <f t="shared" si="4"/>
        <v>3. Geschiedener Ehegatte</v>
      </c>
      <c r="E79" s="23" t="s">
        <v>1547</v>
      </c>
      <c r="F79" s="2" t="s">
        <v>994</v>
      </c>
    </row>
    <row r="80" spans="1:6" ht="216">
      <c r="A80" s="7">
        <f>ROW()</f>
        <v>80</v>
      </c>
      <c r="B80" s="8" t="s">
        <v>1466</v>
      </c>
      <c r="C80" s="8" t="s">
        <v>1544</v>
      </c>
      <c r="D80" s="8" t="str">
        <f t="shared" si="4"/>
        <v>4. Hinterbliebene Lebenspartner</v>
      </c>
      <c r="E80" s="23" t="s">
        <v>1548</v>
      </c>
      <c r="F80" s="2" t="s">
        <v>1017</v>
      </c>
    </row>
    <row r="81" spans="1:6" ht="181.5">
      <c r="A81" s="7">
        <f>ROW()</f>
        <v>81</v>
      </c>
      <c r="B81" s="8" t="s">
        <v>1466</v>
      </c>
      <c r="C81" s="8" t="s">
        <v>1544</v>
      </c>
      <c r="D81" s="8" t="str">
        <f t="shared" si="4"/>
        <v>5. Kinder</v>
      </c>
      <c r="E81" s="23" t="s">
        <v>1549</v>
      </c>
      <c r="F81" s="2" t="s">
        <v>1040</v>
      </c>
    </row>
    <row r="82" spans="1:6" ht="181.5">
      <c r="A82" s="7">
        <f>ROW()</f>
        <v>82</v>
      </c>
      <c r="B82" s="8" t="s">
        <v>1466</v>
      </c>
      <c r="C82" s="8" t="s">
        <v>1544</v>
      </c>
      <c r="D82" s="8" t="str">
        <f t="shared" si="4"/>
        <v>6. Andere Personen</v>
      </c>
      <c r="E82" s="23" t="s">
        <v>1550</v>
      </c>
      <c r="F82" s="2" t="s">
        <v>1058</v>
      </c>
    </row>
    <row r="83" spans="1:6" ht="409.5">
      <c r="A83" s="7">
        <f>ROW()</f>
        <v>83</v>
      </c>
      <c r="B83" s="8" t="s">
        <v>1466</v>
      </c>
      <c r="C83" s="8" t="s">
        <v>1459</v>
      </c>
      <c r="D83" s="9" t="str">
        <f t="shared" si="4"/>
        <v>1. Hinterbliebener Ehegatte, geschiedener Ehegatte, hinterbliebene Lebenspartner</v>
      </c>
      <c r="E83" s="23" t="s">
        <v>1551</v>
      </c>
      <c r="F83" s="2" t="s">
        <v>1074</v>
      </c>
    </row>
    <row r="84" spans="1:6" ht="280.5">
      <c r="A84" s="7">
        <f>ROW()</f>
        <v>84</v>
      </c>
      <c r="B84" s="8" t="s">
        <v>1466</v>
      </c>
      <c r="C84" s="8" t="s">
        <v>1459</v>
      </c>
      <c r="D84" s="9" t="str">
        <f t="shared" si="4"/>
        <v>2. Hinterbliebener Ehegatte: Wiederheirat</v>
      </c>
      <c r="E84" s="23" t="s">
        <v>1552</v>
      </c>
      <c r="F84" s="2" t="s">
        <v>1097</v>
      </c>
    </row>
    <row r="85" spans="1:6" ht="180">
      <c r="A85" s="7">
        <f>ROW()</f>
        <v>85</v>
      </c>
      <c r="B85" s="8" t="s">
        <v>1466</v>
      </c>
      <c r="C85" s="8" t="s">
        <v>1459</v>
      </c>
      <c r="D85" s="9" t="str">
        <f t="shared" si="4"/>
        <v>3. Kinder</v>
      </c>
      <c r="E85" s="23" t="s">
        <v>1553</v>
      </c>
      <c r="F85" s="2" t="s">
        <v>1121</v>
      </c>
    </row>
    <row r="86" spans="1:6" ht="147">
      <c r="A86" s="7">
        <f>ROW()</f>
        <v>86</v>
      </c>
      <c r="B86" s="8" t="s">
        <v>1466</v>
      </c>
      <c r="C86" s="8" t="s">
        <v>1459</v>
      </c>
      <c r="D86" s="9" t="str">
        <f t="shared" si="4"/>
        <v>4. Andere Berechtigte</v>
      </c>
      <c r="E86" s="23" t="s">
        <v>1554</v>
      </c>
      <c r="F86" s="2" t="s">
        <v>1137</v>
      </c>
    </row>
    <row r="87" spans="1:6" ht="381">
      <c r="A87" s="7">
        <f>ROW()</f>
        <v>87</v>
      </c>
      <c r="B87" s="8" t="s">
        <v>1466</v>
      </c>
      <c r="C87" s="8" t="s">
        <v>1459</v>
      </c>
      <c r="D87" s="9" t="str">
        <f t="shared" si="4"/>
        <v xml:space="preserve"> 5. Höchster zahlbarer Gesamtbetrag für alle Berechtigten</v>
      </c>
      <c r="E87" s="23" t="s">
        <v>1555</v>
      </c>
      <c r="F87" s="2" t="s">
        <v>1156</v>
      </c>
    </row>
    <row r="88" spans="1:6" ht="151.5">
      <c r="A88" s="7">
        <f>ROW()</f>
        <v>88</v>
      </c>
      <c r="B88" s="8" t="s">
        <v>1466</v>
      </c>
      <c r="C88" s="8" t="s">
        <v>1459</v>
      </c>
      <c r="D88" s="9" t="str">
        <f t="shared" si="4"/>
        <v>6. Sonstige Leistungen</v>
      </c>
      <c r="E88" s="23" t="s">
        <v>1556</v>
      </c>
      <c r="F88" s="2" t="s">
        <v>1180</v>
      </c>
    </row>
    <row r="89" spans="1:6" ht="126.75">
      <c r="A89" s="7">
        <f>ROW()</f>
        <v>89</v>
      </c>
      <c r="B89" s="8" t="s">
        <v>1466</v>
      </c>
      <c r="C89" s="8" t="s">
        <v>1459</v>
      </c>
      <c r="D89" s="9" t="str">
        <f>+E89</f>
        <v>7. Mindestleistung</v>
      </c>
      <c r="E89" s="23" t="s">
        <v>1557</v>
      </c>
      <c r="F89" s="2" t="s">
        <v>1202</v>
      </c>
    </row>
    <row r="90" spans="1:6" ht="122.25">
      <c r="A90" s="7">
        <f>ROW()</f>
        <v>90</v>
      </c>
      <c r="B90" s="8" t="s">
        <v>1466</v>
      </c>
      <c r="C90" s="8" t="s">
        <v>1459</v>
      </c>
      <c r="D90" s="9" t="str">
        <f t="shared" si="4"/>
        <v xml:space="preserve"> 8. Höchstleistung</v>
      </c>
      <c r="E90" s="23" t="s">
        <v>1558</v>
      </c>
      <c r="F90" s="2" t="s">
        <v>1222</v>
      </c>
    </row>
    <row r="91" spans="1:6" ht="179.25">
      <c r="A91" s="7">
        <f>ROW()</f>
        <v>91</v>
      </c>
      <c r="B91" s="8" t="s">
        <v>1466</v>
      </c>
      <c r="C91" s="8" t="s">
        <v>1538</v>
      </c>
      <c r="D91" s="9" t="str">
        <f>+C91</f>
        <v>Indexbindung / Anpassung</v>
      </c>
      <c r="E91" s="22" t="s">
        <v>1538</v>
      </c>
      <c r="F91" s="2" t="s">
        <v>1249</v>
      </c>
    </row>
    <row r="92" spans="1:6" ht="242.25">
      <c r="A92" s="7">
        <f>ROW()</f>
        <v>92</v>
      </c>
      <c r="B92" s="8" t="s">
        <v>1466</v>
      </c>
      <c r="C92" s="8" t="s">
        <v>1538</v>
      </c>
      <c r="D92" s="9" t="str">
        <f t="shared" ref="D92:D105" si="5">+E92</f>
        <v>Kumulation mit Erwerbseinkommen</v>
      </c>
      <c r="E92" s="22" t="s">
        <v>1471</v>
      </c>
      <c r="F92" s="2" t="s">
        <v>1274</v>
      </c>
    </row>
    <row r="93" spans="1:6" ht="275.25">
      <c r="A93" s="7">
        <f>ROW()</f>
        <v>93</v>
      </c>
      <c r="B93" s="8" t="s">
        <v>1466</v>
      </c>
      <c r="C93" s="8" t="s">
        <v>1538</v>
      </c>
      <c r="D93" s="9" t="str">
        <f t="shared" si="5"/>
        <v>Kumulation mit anderen Sozialleistungen</v>
      </c>
      <c r="E93" s="22" t="s">
        <v>1460</v>
      </c>
      <c r="F93" s="2" t="s">
        <v>1302</v>
      </c>
    </row>
    <row r="94" spans="1:6" ht="232.5">
      <c r="A94" s="7">
        <f>ROW()</f>
        <v>94</v>
      </c>
      <c r="B94" s="8" t="s">
        <v>1466</v>
      </c>
      <c r="C94" s="9" t="s">
        <v>1465</v>
      </c>
      <c r="D94" s="9" t="str">
        <f t="shared" si="5"/>
        <v>1. Besteuerung von Geldleistungen</v>
      </c>
      <c r="E94" s="23" t="s">
        <v>1509</v>
      </c>
      <c r="F94" s="2" t="s">
        <v>1316</v>
      </c>
    </row>
    <row r="95" spans="1:6" ht="387">
      <c r="A95" s="7">
        <f>ROW()</f>
        <v>95</v>
      </c>
      <c r="B95" s="8" t="s">
        <v>1466</v>
      </c>
      <c r="C95" s="9" t="s">
        <v>1465</v>
      </c>
      <c r="D95" s="9" t="str">
        <f t="shared" si="5"/>
        <v>2. Einkommensgrenze für Besteuerung von Geldleistungen</v>
      </c>
      <c r="E95" s="23" t="s">
        <v>1511</v>
      </c>
      <c r="F95" s="2" t="s">
        <v>1346</v>
      </c>
    </row>
    <row r="96" spans="1:6" ht="288.75">
      <c r="A96" s="7">
        <f>ROW()</f>
        <v>96</v>
      </c>
      <c r="B96" s="8" t="s">
        <v>1466</v>
      </c>
      <c r="C96" s="9" t="s">
        <v>1465</v>
      </c>
      <c r="D96" s="9" t="str">
        <f t="shared" si="5"/>
        <v>3. Auf Leistungen anfallende Sozialabgaben</v>
      </c>
      <c r="E96" s="23" t="s">
        <v>1512</v>
      </c>
      <c r="F96" s="2" t="s">
        <v>673</v>
      </c>
    </row>
    <row r="97" spans="1:6" ht="138">
      <c r="A97" s="7">
        <f>ROW()</f>
        <v>97</v>
      </c>
      <c r="B97" s="8" t="s">
        <v>1466</v>
      </c>
      <c r="C97" s="9" t="s">
        <v>1514</v>
      </c>
      <c r="D97" s="9" t="str">
        <f t="shared" si="5"/>
        <v>Anwendungsbereich</v>
      </c>
      <c r="E97" s="23" t="s">
        <v>1467</v>
      </c>
      <c r="F97" s="2" t="s">
        <v>1382</v>
      </c>
    </row>
    <row r="98" spans="1:6" ht="110.25">
      <c r="A98" s="7">
        <f>ROW()</f>
        <v>98</v>
      </c>
      <c r="B98" s="8" t="s">
        <v>1466</v>
      </c>
      <c r="C98" s="9" t="s">
        <v>1514</v>
      </c>
      <c r="D98" s="9" t="str">
        <f t="shared" si="5"/>
        <v>Grundprinzipien</v>
      </c>
      <c r="E98" s="23" t="s">
        <v>1468</v>
      </c>
      <c r="F98" s="2" t="s">
        <v>726</v>
      </c>
    </row>
    <row r="99" spans="1:6" ht="224.25">
      <c r="A99" s="7">
        <f>ROW()</f>
        <v>99</v>
      </c>
      <c r="B99" s="8" t="s">
        <v>1466</v>
      </c>
      <c r="C99" s="9" t="s">
        <v>1514</v>
      </c>
      <c r="D99" s="9" t="str">
        <f t="shared" si="5"/>
        <v>Voraussetzungen für die Deckung</v>
      </c>
      <c r="E99" s="23" t="s">
        <v>1469</v>
      </c>
      <c r="F99" s="2" t="s">
        <v>751</v>
      </c>
    </row>
    <row r="100" spans="1:6" ht="409.5">
      <c r="A100" s="7">
        <f>ROW()</f>
        <v>100</v>
      </c>
      <c r="B100" s="8" t="s">
        <v>1466</v>
      </c>
      <c r="C100" s="9" t="s">
        <v>1514</v>
      </c>
      <c r="D100" s="9" t="str">
        <f t="shared" si="5"/>
        <v>Kombination von selbstständiger und unselbstständiger Tätigkeit</v>
      </c>
      <c r="E100" s="23" t="s">
        <v>1462</v>
      </c>
      <c r="F100" s="2" t="s">
        <v>773</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787</v>
      </c>
    </row>
    <row r="105" spans="1:6" ht="272.25">
      <c r="A105" s="7">
        <f>ROW()</f>
        <v>105</v>
      </c>
      <c r="B105" s="8" t="s">
        <v>1466</v>
      </c>
      <c r="C105" s="9" t="s">
        <v>1514</v>
      </c>
      <c r="D105" s="9" t="str">
        <f t="shared" si="5"/>
        <v>Auf Leistungen anfallende Sozialabgaben</v>
      </c>
      <c r="E105" s="23" t="s">
        <v>1457</v>
      </c>
      <c r="F105" s="2" t="s">
        <v>787</v>
      </c>
    </row>
    <row r="106" spans="1:6"/>
    <row r="107" spans="1:6"/>
    <row r="108" spans="1:6"/>
    <row r="109" spans="1:6"/>
    <row r="110" spans="1:6"/>
    <row r="111" spans="1:6"/>
    <row r="112" spans="1:6"/>
    <row r="113"/>
  </sheetData>
  <sheetProtection algorithmName="SHA-512" hashValue="n1oOoG0RkYTyzmoTWOXsL8mFteqBv/rq4MMsNBwnw4bwKUwA4QgWq2h5J0nm5qiY2dDPaS9sLvOZqE0wrRq5DA==" saltValue="QWt37cdAk6S9adcx6phYrw==" spinCount="100000" sheet="1" objects="1" scenarios="1" formatColumns="0" autoFilter="0"/>
  <autoFilter ref="A2:F105" xr:uid="{73180AE3-7F45-4BD3-B5E6-2EC852A95D97}"/>
  <pageMargins left="0.7" right="0.7" top="0.78740157499999996" bottom="0.78740157499999996"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E397-7A7C-4634-8AEC-79BD199475A4}">
  <sheetPr codeName="Tabelle19"/>
  <dimension ref="A1:F113"/>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17</v>
      </c>
    </row>
    <row r="2" spans="1:6" ht="39.75" customHeight="1">
      <c r="A2" s="128"/>
      <c r="B2" s="129"/>
      <c r="C2" s="126"/>
      <c r="D2" s="126"/>
      <c r="E2" s="124"/>
      <c r="F2" s="162" t="str" cm="1">
        <f t="array" ref="F2">_xlfn.TEXTJOIN("; ", TRUE, IF(Entscheidungen!A2:A100=F1, Entscheidungen!B2:B100, ""))</f>
        <v>OLG Köln, 17.05.2011 – II-27 UF 54/11; OLG Düsseldorf, 09.02.2015 – 8 UF 72/14</v>
      </c>
    </row>
    <row r="3" spans="1:6" ht="177">
      <c r="A3" s="7">
        <f>ROW()</f>
        <v>3</v>
      </c>
      <c r="B3" s="8" t="s">
        <v>1479</v>
      </c>
      <c r="C3" s="8"/>
      <c r="D3" s="8" t="str">
        <f>+E3</f>
        <v>Geltende Rechtsgrundlage</v>
      </c>
      <c r="E3" s="21" t="s">
        <v>1472</v>
      </c>
      <c r="F3" s="2" t="s">
        <v>1851</v>
      </c>
    </row>
    <row r="4" spans="1:6" ht="360">
      <c r="A4" s="7">
        <f>ROW()</f>
        <v>4</v>
      </c>
      <c r="B4" s="8" t="s">
        <v>1479</v>
      </c>
      <c r="C4" s="1"/>
      <c r="D4" s="8" t="str">
        <f t="shared" ref="D4:D34" si="0">+E4</f>
        <v>Grundprinzipien</v>
      </c>
      <c r="E4" s="22" t="s">
        <v>1468</v>
      </c>
      <c r="F4" s="2" t="s">
        <v>3461</v>
      </c>
    </row>
    <row r="5" spans="1:6" ht="188.25">
      <c r="A5" s="7">
        <f>ROW()</f>
        <v>5</v>
      </c>
      <c r="B5" s="8" t="s">
        <v>1479</v>
      </c>
      <c r="C5" s="1"/>
      <c r="D5" s="8" t="str">
        <f t="shared" si="0"/>
        <v>Gedecktes Risiko: Definition</v>
      </c>
      <c r="E5" s="22" t="s">
        <v>1630</v>
      </c>
      <c r="F5" s="2" t="s">
        <v>1852</v>
      </c>
    </row>
    <row r="6" spans="1:6" ht="144">
      <c r="A6" s="7">
        <f>ROW()</f>
        <v>6</v>
      </c>
      <c r="B6" s="8" t="s">
        <v>1479</v>
      </c>
      <c r="C6" s="8" t="s">
        <v>1453</v>
      </c>
      <c r="D6" s="8" t="str">
        <f t="shared" si="0"/>
        <v>Versicherte Personen</v>
      </c>
      <c r="E6" s="23" t="s">
        <v>1453</v>
      </c>
      <c r="F6" s="2" t="s">
        <v>1853</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1854</v>
      </c>
    </row>
    <row r="9" spans="1:6" ht="409.5">
      <c r="A9" s="7">
        <f>ROW()</f>
        <v>9</v>
      </c>
      <c r="B9" s="8" t="s">
        <v>1479</v>
      </c>
      <c r="C9" s="9" t="s">
        <v>128</v>
      </c>
      <c r="D9" s="8" t="str">
        <f t="shared" si="0"/>
        <v xml:space="preserve">2. Begutachtungskriterien und Kategorien der Arbeitsunfähigkeit/Arbeitsfähigkeit  </v>
      </c>
      <c r="E9" s="23" t="s">
        <v>1484</v>
      </c>
      <c r="F9" s="2" t="s">
        <v>3462</v>
      </c>
    </row>
    <row r="10" spans="1:6" ht="409.5">
      <c r="A10" s="7">
        <f>ROW()</f>
        <v>10</v>
      </c>
      <c r="B10" s="8" t="s">
        <v>1479</v>
      </c>
      <c r="C10" s="9" t="s">
        <v>128</v>
      </c>
      <c r="D10" s="8" t="str">
        <f t="shared" si="0"/>
        <v>3. Zeitraum der Leistungszahlung</v>
      </c>
      <c r="E10" s="23" t="s">
        <v>1486</v>
      </c>
      <c r="F10" s="2" t="s">
        <v>3463</v>
      </c>
    </row>
    <row r="11" spans="1:6" ht="210">
      <c r="A11" s="7">
        <f>ROW()</f>
        <v>11</v>
      </c>
      <c r="B11" s="8" t="s">
        <v>1479</v>
      </c>
      <c r="C11" s="9" t="s">
        <v>1488</v>
      </c>
      <c r="D11" s="8" t="str">
        <f t="shared" si="0"/>
        <v>1. Gutachter</v>
      </c>
      <c r="E11" s="23" t="s">
        <v>1489</v>
      </c>
      <c r="F11" s="2" t="s">
        <v>1855</v>
      </c>
    </row>
    <row r="12" spans="1:6" ht="111.75">
      <c r="A12" s="7">
        <f>ROW()</f>
        <v>12</v>
      </c>
      <c r="B12" s="8" t="s">
        <v>1479</v>
      </c>
      <c r="C12" s="9" t="s">
        <v>1488</v>
      </c>
      <c r="D12" s="8" t="str">
        <f t="shared" si="0"/>
        <v xml:space="preserve">2. Überprüfung  </v>
      </c>
      <c r="E12" s="23" t="s">
        <v>1490</v>
      </c>
      <c r="F12" s="2" t="s">
        <v>1856</v>
      </c>
    </row>
    <row r="13" spans="1:6" ht="409.5">
      <c r="A13" s="7">
        <f>ROW()</f>
        <v>13</v>
      </c>
      <c r="B13" s="8" t="s">
        <v>1479</v>
      </c>
      <c r="C13" s="8" t="s">
        <v>1459</v>
      </c>
      <c r="D13" s="8" t="str">
        <f t="shared" si="0"/>
        <v>1. Berechnungsmethode bzw. Rentenformel</v>
      </c>
      <c r="E13" s="23" t="s">
        <v>1492</v>
      </c>
      <c r="F13" s="2" t="s">
        <v>3464</v>
      </c>
    </row>
    <row r="14" spans="1:6" ht="343.5">
      <c r="A14" s="7">
        <f>ROW()</f>
        <v>14</v>
      </c>
      <c r="B14" s="8" t="s">
        <v>1479</v>
      </c>
      <c r="C14" s="8" t="s">
        <v>1459</v>
      </c>
      <c r="D14" s="8" t="str">
        <f t="shared" si="0"/>
        <v>2. Referenzeinkommen bzw. Berechnungsgrundlage</v>
      </c>
      <c r="E14" s="23" t="s">
        <v>1493</v>
      </c>
      <c r="F14" s="2" t="s">
        <v>1857</v>
      </c>
    </row>
    <row r="15" spans="1:6" ht="375">
      <c r="A15" s="7">
        <f>ROW()</f>
        <v>15</v>
      </c>
      <c r="B15" s="8" t="s">
        <v>1479</v>
      </c>
      <c r="C15" s="8" t="s">
        <v>1459</v>
      </c>
      <c r="D15" s="8" t="str">
        <f t="shared" si="0"/>
        <v>3. Mindest- und Höchstleistungen</v>
      </c>
      <c r="E15" s="23" t="s">
        <v>1495</v>
      </c>
      <c r="F15" s="2" t="s">
        <v>3465</v>
      </c>
    </row>
    <row r="16" spans="1:6" ht="405">
      <c r="A16" s="7">
        <f>ROW()</f>
        <v>16</v>
      </c>
      <c r="B16" s="8" t="s">
        <v>1479</v>
      </c>
      <c r="C16" s="8" t="s">
        <v>1459</v>
      </c>
      <c r="D16" s="8" t="str">
        <f t="shared" si="0"/>
        <v>4. Anrechenbare oder als Beitragszeiten gewertete Zeiträume</v>
      </c>
      <c r="E16" s="23" t="s">
        <v>1496</v>
      </c>
      <c r="F16" s="2" t="s">
        <v>1584</v>
      </c>
    </row>
    <row r="17" spans="1:6" ht="250.5">
      <c r="A17" s="7">
        <f>ROW()</f>
        <v>17</v>
      </c>
      <c r="B17" s="8" t="s">
        <v>1479</v>
      </c>
      <c r="C17" s="8" t="s">
        <v>1459</v>
      </c>
      <c r="D17" s="8" t="str">
        <f t="shared" si="0"/>
        <v xml:space="preserve">5. Zulagen für Unterhaltsberechtigte  </v>
      </c>
      <c r="E17" s="23" t="s">
        <v>1498</v>
      </c>
      <c r="F17" s="2" t="s">
        <v>1441</v>
      </c>
    </row>
    <row r="18" spans="1:6" ht="135">
      <c r="A18" s="7">
        <f>ROW()</f>
        <v>18</v>
      </c>
      <c r="B18" s="8" t="s">
        <v>1479</v>
      </c>
      <c r="C18" s="8" t="str">
        <f>+E18</f>
        <v>Sonstige Leistungen</v>
      </c>
      <c r="D18" s="8" t="str">
        <f>+E18</f>
        <v>Sonstige Leistungen</v>
      </c>
      <c r="E18" s="22" t="s">
        <v>1455</v>
      </c>
      <c r="F18" s="2" t="s">
        <v>1858</v>
      </c>
    </row>
    <row r="19" spans="1:6" ht="360">
      <c r="A19" s="7">
        <f>ROW()</f>
        <v>19</v>
      </c>
      <c r="B19" s="8" t="s">
        <v>1479</v>
      </c>
      <c r="C19" s="8" t="s">
        <v>1500</v>
      </c>
      <c r="D19" s="8" t="str">
        <f t="shared" si="0"/>
        <v>Umschulung, berufsbezogene Rehabilitation</v>
      </c>
      <c r="E19" s="23" t="s">
        <v>1501</v>
      </c>
      <c r="F19" s="2" t="s">
        <v>1859</v>
      </c>
    </row>
    <row r="20" spans="1:6" ht="409.5">
      <c r="A20" s="7">
        <f>ROW()</f>
        <v>20</v>
      </c>
      <c r="B20" s="8" t="s">
        <v>1479</v>
      </c>
      <c r="C20" s="8" t="s">
        <v>1500</v>
      </c>
      <c r="D20" s="8" t="str">
        <f t="shared" si="0"/>
        <v xml:space="preserve">Bevorzugte und reservierte Beschäftigung von Menschen mit Behinderungen  </v>
      </c>
      <c r="E20" s="23" t="s">
        <v>1502</v>
      </c>
      <c r="F20" s="2" t="s">
        <v>1860</v>
      </c>
    </row>
    <row r="21" spans="1:6" ht="171.75">
      <c r="A21" s="7">
        <f>ROW()</f>
        <v>21</v>
      </c>
      <c r="B21" s="8" t="s">
        <v>1479</v>
      </c>
      <c r="C21" s="8" t="s">
        <v>1504</v>
      </c>
      <c r="D21" s="8" t="str">
        <f t="shared" si="0"/>
        <v>Indexbindung/Anpassung</v>
      </c>
      <c r="E21" s="22" t="s">
        <v>1505</v>
      </c>
      <c r="F21" s="2" t="s">
        <v>1861</v>
      </c>
    </row>
    <row r="22" spans="1:6" ht="242.25">
      <c r="A22" s="7">
        <f>ROW()</f>
        <v>22</v>
      </c>
      <c r="B22" s="8" t="s">
        <v>1479</v>
      </c>
      <c r="C22" s="8" t="s">
        <v>1504</v>
      </c>
      <c r="D22" s="8" t="str">
        <f>+E22</f>
        <v>Kumulation mit Erwerbseinkommen</v>
      </c>
      <c r="E22" s="22" t="s">
        <v>1471</v>
      </c>
      <c r="F22" s="2" t="s">
        <v>1862</v>
      </c>
    </row>
    <row r="23" spans="1:6" ht="275.25">
      <c r="A23" s="7">
        <f>ROW()</f>
        <v>23</v>
      </c>
      <c r="B23" s="8" t="s">
        <v>1479</v>
      </c>
      <c r="C23" s="8" t="s">
        <v>1504</v>
      </c>
      <c r="D23" s="8" t="str">
        <f t="shared" si="0"/>
        <v>Kumulation mit anderen Sozialleistungen</v>
      </c>
      <c r="E23" s="22" t="s">
        <v>1460</v>
      </c>
      <c r="F23" s="2" t="s">
        <v>1863</v>
      </c>
    </row>
    <row r="24" spans="1:6" ht="232.5">
      <c r="A24" s="7">
        <f>ROW()</f>
        <v>24</v>
      </c>
      <c r="B24" s="8" t="s">
        <v>1479</v>
      </c>
      <c r="C24" s="8" t="s">
        <v>1465</v>
      </c>
      <c r="D24" s="8" t="str">
        <f t="shared" si="0"/>
        <v>1. Besteuerung von Geldleistungen</v>
      </c>
      <c r="E24" s="23" t="s">
        <v>1509</v>
      </c>
      <c r="F24" s="2" t="s">
        <v>1864</v>
      </c>
    </row>
    <row r="25" spans="1:6" ht="387">
      <c r="A25" s="7">
        <f>ROW()</f>
        <v>25</v>
      </c>
      <c r="B25" s="8" t="s">
        <v>1479</v>
      </c>
      <c r="C25" s="8" t="s">
        <v>1465</v>
      </c>
      <c r="D25" s="8" t="str">
        <f t="shared" si="0"/>
        <v>2. Einkommensgrenze für Besteuerung von Geldleistungen</v>
      </c>
      <c r="E25" s="23" t="s">
        <v>1511</v>
      </c>
      <c r="F25" s="2" t="s">
        <v>1865</v>
      </c>
    </row>
    <row r="26" spans="1:6" ht="288.75">
      <c r="A26" s="7">
        <f>ROW()</f>
        <v>26</v>
      </c>
      <c r="B26" s="8" t="s">
        <v>1479</v>
      </c>
      <c r="C26" s="8" t="s">
        <v>1465</v>
      </c>
      <c r="D26" s="8" t="str">
        <f t="shared" si="0"/>
        <v>3. Auf Leistungen anfallende Sozialabgaben</v>
      </c>
      <c r="E26" s="23" t="s">
        <v>1512</v>
      </c>
      <c r="F26" s="2" t="s">
        <v>1866</v>
      </c>
    </row>
    <row r="27" spans="1:6" ht="138">
      <c r="A27" s="7">
        <f>ROW()</f>
        <v>27</v>
      </c>
      <c r="B27" s="8" t="s">
        <v>1479</v>
      </c>
      <c r="C27" s="8" t="s">
        <v>1514</v>
      </c>
      <c r="D27" s="8" t="str">
        <f t="shared" si="0"/>
        <v>Anwendungsbereich</v>
      </c>
      <c r="E27" s="23" t="s">
        <v>1467</v>
      </c>
      <c r="F27" s="2" t="s">
        <v>1867</v>
      </c>
    </row>
    <row r="28" spans="1:6" ht="110.25">
      <c r="A28" s="7">
        <f>ROW()</f>
        <v>28</v>
      </c>
      <c r="B28" s="8" t="s">
        <v>1479</v>
      </c>
      <c r="C28" s="8" t="s">
        <v>1514</v>
      </c>
      <c r="D28" s="8" t="str">
        <f t="shared" si="0"/>
        <v>Grundprinzipien</v>
      </c>
      <c r="E28" s="23" t="s">
        <v>1468</v>
      </c>
      <c r="F28" s="2" t="s">
        <v>1868</v>
      </c>
    </row>
    <row r="29" spans="1:6" ht="224.25">
      <c r="A29" s="7">
        <f>ROW()</f>
        <v>29</v>
      </c>
      <c r="B29" s="8" t="s">
        <v>1479</v>
      </c>
      <c r="C29" s="8" t="s">
        <v>1514</v>
      </c>
      <c r="D29" s="8" t="str">
        <f t="shared" si="0"/>
        <v>Voraussetzungen für die Deckung</v>
      </c>
      <c r="E29" s="23" t="s">
        <v>1469</v>
      </c>
      <c r="F29" s="2" t="s">
        <v>1869</v>
      </c>
    </row>
    <row r="30" spans="1:6" ht="409.5">
      <c r="A30" s="7">
        <f>ROW()</f>
        <v>30</v>
      </c>
      <c r="B30" s="8" t="s">
        <v>1479</v>
      </c>
      <c r="C30" s="8" t="s">
        <v>1514</v>
      </c>
      <c r="D30" s="9" t="str">
        <f t="shared" si="0"/>
        <v>Kombination von selbstständiger und unselbstständiger Tätigkeit</v>
      </c>
      <c r="E30" s="23" t="s">
        <v>1462</v>
      </c>
      <c r="F30" s="2" t="s">
        <v>1870</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1871</v>
      </c>
    </row>
    <row r="34" spans="1:6" ht="276.75">
      <c r="A34" s="7">
        <f>ROW()</f>
        <v>34</v>
      </c>
      <c r="B34" s="8" t="s">
        <v>1479</v>
      </c>
      <c r="C34" s="8" t="s">
        <v>1459</v>
      </c>
      <c r="D34" s="8" t="str">
        <f t="shared" si="0"/>
        <v xml:space="preserve"> Auf Leistungen anfallende Sozialabgaben</v>
      </c>
      <c r="E34" s="23" t="s">
        <v>1518</v>
      </c>
      <c r="F34" s="2" t="s">
        <v>829</v>
      </c>
    </row>
    <row r="35" spans="1:6" ht="177">
      <c r="A35" s="7">
        <f>ROW()</f>
        <v>35</v>
      </c>
      <c r="B35" s="8" t="s">
        <v>1519</v>
      </c>
      <c r="C35" s="8" t="str">
        <f>+D35</f>
        <v>Geltende Rechtsgrundlage</v>
      </c>
      <c r="D35" s="8" t="str">
        <f>+E35</f>
        <v>Geltende Rechtsgrundlage</v>
      </c>
      <c r="E35" s="22" t="s">
        <v>1472</v>
      </c>
      <c r="F35" s="2" t="s">
        <v>47</v>
      </c>
    </row>
    <row r="36" spans="1:6" ht="165">
      <c r="A36" s="7">
        <f>ROW()</f>
        <v>36</v>
      </c>
      <c r="B36" s="8" t="s">
        <v>1519</v>
      </c>
      <c r="C36" s="8" t="str">
        <f>+D36</f>
        <v>Grundprinzipien</v>
      </c>
      <c r="D36" s="8" t="str">
        <f>+E36</f>
        <v>Grundprinzipien</v>
      </c>
      <c r="E36" s="22" t="s">
        <v>1468</v>
      </c>
      <c r="F36" s="2" t="s">
        <v>3466</v>
      </c>
    </row>
    <row r="37" spans="1:6" ht="159.75">
      <c r="A37" s="7">
        <f>ROW()</f>
        <v>37</v>
      </c>
      <c r="B37" s="8" t="s">
        <v>1519</v>
      </c>
      <c r="C37" s="8" t="s">
        <v>1467</v>
      </c>
      <c r="D37" s="8" t="str">
        <f>+E37</f>
        <v>1. Versicherte Personen</v>
      </c>
      <c r="E37" s="23" t="s">
        <v>1520</v>
      </c>
      <c r="F37" s="2" t="s">
        <v>100</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3467</v>
      </c>
    </row>
    <row r="40" spans="1:6" ht="409.5">
      <c r="A40" s="7">
        <f>ROW()</f>
        <v>40</v>
      </c>
      <c r="B40" s="8" t="s">
        <v>1519</v>
      </c>
      <c r="C40" s="8" t="s">
        <v>128</v>
      </c>
      <c r="D40" s="8" t="str">
        <f t="shared" si="1"/>
        <v>2. Anwartschaftszeit und sonstige Anspruchsvoraussetzungen für den Bezug einer Altersrente</v>
      </c>
      <c r="E40" s="23" t="s">
        <v>1524</v>
      </c>
      <c r="F40" s="2" t="s">
        <v>163</v>
      </c>
    </row>
    <row r="41" spans="1:6" ht="194.25">
      <c r="A41" s="7">
        <f>ROW()</f>
        <v>41</v>
      </c>
      <c r="B41" s="8" t="s">
        <v>1519</v>
      </c>
      <c r="C41" s="8" t="s">
        <v>128</v>
      </c>
      <c r="D41" s="8" t="str">
        <f t="shared" si="1"/>
        <v>3. Vorruhestand</v>
      </c>
      <c r="E41" s="23" t="s">
        <v>1525</v>
      </c>
      <c r="F41" s="2" t="s">
        <v>183</v>
      </c>
    </row>
    <row r="42" spans="1:6" ht="264">
      <c r="A42" s="7">
        <f>ROW()</f>
        <v>42</v>
      </c>
      <c r="B42" s="8" t="s">
        <v>1519</v>
      </c>
      <c r="C42" s="8" t="s">
        <v>128</v>
      </c>
      <c r="D42" s="8" t="str">
        <f t="shared" si="1"/>
        <v>4. Beschwerliche und gefährliche Arbeit</v>
      </c>
      <c r="E42" s="23" t="s">
        <v>1526</v>
      </c>
      <c r="F42" s="2" t="s">
        <v>197</v>
      </c>
    </row>
    <row r="43" spans="1:6" ht="194.25">
      <c r="A43" s="7">
        <f>ROW()</f>
        <v>43</v>
      </c>
      <c r="B43" s="8" t="s">
        <v>1519</v>
      </c>
      <c r="C43" s="8" t="s">
        <v>128</v>
      </c>
      <c r="D43" s="8" t="str">
        <f t="shared" si="1"/>
        <v>5. Rentenaufschub</v>
      </c>
      <c r="E43" s="23" t="s">
        <v>1527</v>
      </c>
      <c r="F43" s="2" t="s">
        <v>224</v>
      </c>
    </row>
    <row r="44" spans="1:6" ht="174">
      <c r="A44" s="7">
        <f>ROW()</f>
        <v>44</v>
      </c>
      <c r="B44" s="8" t="s">
        <v>1519</v>
      </c>
      <c r="C44" s="8" t="s">
        <v>1459</v>
      </c>
      <c r="D44" s="8" t="str">
        <f t="shared" si="1"/>
        <v>1. Bestimmende Faktoren</v>
      </c>
      <c r="E44" s="23" t="s">
        <v>1528</v>
      </c>
      <c r="F44" s="2" t="s">
        <v>245</v>
      </c>
    </row>
    <row r="45" spans="1:6" ht="349.5">
      <c r="A45" s="7">
        <f>ROW()</f>
        <v>45</v>
      </c>
      <c r="B45" s="8" t="s">
        <v>1519</v>
      </c>
      <c r="C45" s="8" t="s">
        <v>1459</v>
      </c>
      <c r="D45" s="8" t="str">
        <f t="shared" si="1"/>
        <v>2. Berechnungsmethode, Rentenformel bzw. Beträge</v>
      </c>
      <c r="E45" s="23" t="s">
        <v>1529</v>
      </c>
      <c r="F45" s="2" t="s">
        <v>3468</v>
      </c>
    </row>
    <row r="46" spans="1:6" ht="343.5">
      <c r="A46" s="7">
        <f>ROW()</f>
        <v>46</v>
      </c>
      <c r="B46" s="8" t="s">
        <v>1519</v>
      </c>
      <c r="C46" s="8" t="s">
        <v>1459</v>
      </c>
      <c r="D46" s="8" t="str">
        <f t="shared" si="1"/>
        <v>3. Referenzeinkommen bzw. Berechnungsgrundlage</v>
      </c>
      <c r="E46" s="23" t="s">
        <v>1530</v>
      </c>
      <c r="F46" s="2" t="s">
        <v>285</v>
      </c>
    </row>
    <row r="47" spans="1:6" ht="405">
      <c r="A47" s="7">
        <f>ROW()</f>
        <v>47</v>
      </c>
      <c r="B47" s="8" t="s">
        <v>1519</v>
      </c>
      <c r="C47" s="8" t="s">
        <v>1459</v>
      </c>
      <c r="D47" s="8" t="str">
        <f t="shared" si="1"/>
        <v>4. Anrechenbare oder als Beitragszeiten gewertete Zeiträume</v>
      </c>
      <c r="E47" s="23" t="s">
        <v>1496</v>
      </c>
      <c r="F47" s="2" t="s">
        <v>282</v>
      </c>
    </row>
    <row r="48" spans="1:6" ht="243.75">
      <c r="A48" s="7">
        <f>ROW()</f>
        <v>48</v>
      </c>
      <c r="B48" s="8" t="s">
        <v>1519</v>
      </c>
      <c r="C48" s="8" t="s">
        <v>1459</v>
      </c>
      <c r="D48" s="8" t="str">
        <f t="shared" si="1"/>
        <v>5. Rückkauf von Versicherungszeiten</v>
      </c>
      <c r="E48" s="23" t="s">
        <v>1531</v>
      </c>
      <c r="F48" s="2" t="s">
        <v>282</v>
      </c>
    </row>
    <row r="49" spans="1:6" ht="246">
      <c r="A49" s="7">
        <f>ROW()</f>
        <v>49</v>
      </c>
      <c r="B49" s="8" t="s">
        <v>1519</v>
      </c>
      <c r="C49" s="8" t="s">
        <v>1459</v>
      </c>
      <c r="D49" s="8" t="str">
        <f t="shared" si="1"/>
        <v>6.  Zulagen für Unterhaltsberechtigte</v>
      </c>
      <c r="E49" s="23" t="s">
        <v>1631</v>
      </c>
      <c r="F49" s="2" t="s">
        <v>340</v>
      </c>
    </row>
    <row r="50" spans="1:6" ht="145.5">
      <c r="A50" s="7">
        <f>ROW()</f>
        <v>50</v>
      </c>
      <c r="B50" s="8" t="s">
        <v>1519</v>
      </c>
      <c r="C50" s="8" t="s">
        <v>1459</v>
      </c>
      <c r="D50" s="8" t="str">
        <f t="shared" si="1"/>
        <v>7. Besondere Zulagen</v>
      </c>
      <c r="E50" s="23" t="s">
        <v>1532</v>
      </c>
      <c r="F50" s="2" t="s">
        <v>359</v>
      </c>
    </row>
    <row r="51" spans="1:6" ht="360.75">
      <c r="A51" s="7">
        <f>ROW()</f>
        <v>51</v>
      </c>
      <c r="B51" s="8" t="s">
        <v>1519</v>
      </c>
      <c r="C51" s="8" t="s">
        <v>1459</v>
      </c>
      <c r="D51" s="8" t="str">
        <f t="shared" si="1"/>
        <v>8. Mindestrente und bedürftigkeitsabhängige Leistung</v>
      </c>
      <c r="E51" s="23" t="s">
        <v>1533</v>
      </c>
      <c r="F51" s="2" t="s">
        <v>386</v>
      </c>
    </row>
    <row r="52" spans="1:6" ht="101.25">
      <c r="A52" s="7">
        <f>ROW()</f>
        <v>52</v>
      </c>
      <c r="B52" s="8" t="s">
        <v>1519</v>
      </c>
      <c r="C52" s="8" t="s">
        <v>1459</v>
      </c>
      <c r="D52" s="8" t="str">
        <f t="shared" si="1"/>
        <v>9. Höchstrente</v>
      </c>
      <c r="E52" s="23" t="s">
        <v>1534</v>
      </c>
      <c r="F52" s="2" t="s">
        <v>386</v>
      </c>
    </row>
    <row r="53" spans="1:6" ht="119.25">
      <c r="A53" s="7">
        <f>ROW()</f>
        <v>53</v>
      </c>
      <c r="B53" s="8" t="s">
        <v>1519</v>
      </c>
      <c r="C53" s="8" t="s">
        <v>1459</v>
      </c>
      <c r="D53" s="8" t="str">
        <f t="shared" si="1"/>
        <v>10. Vorruhestand</v>
      </c>
      <c r="E53" s="23" t="s">
        <v>1535</v>
      </c>
      <c r="F53" s="2" t="s">
        <v>183</v>
      </c>
    </row>
    <row r="54" spans="1:6" ht="272.25">
      <c r="A54" s="7">
        <f>ROW()</f>
        <v>54</v>
      </c>
      <c r="B54" s="8" t="s">
        <v>1519</v>
      </c>
      <c r="C54" s="8" t="s">
        <v>1459</v>
      </c>
      <c r="D54" s="8" t="str">
        <f t="shared" si="1"/>
        <v>11. Beschwerliche und gefährliche Arbeit</v>
      </c>
      <c r="E54" s="23" t="s">
        <v>1536</v>
      </c>
      <c r="F54" s="2" t="s">
        <v>197</v>
      </c>
    </row>
    <row r="55" spans="1:6" ht="87.75">
      <c r="A55" s="7">
        <f>ROW()</f>
        <v>55</v>
      </c>
      <c r="B55" s="8" t="s">
        <v>1519</v>
      </c>
      <c r="C55" s="8" t="s">
        <v>1459</v>
      </c>
      <c r="D55" s="8" t="str">
        <f t="shared" si="1"/>
        <v>12. Teilrente</v>
      </c>
      <c r="E55" s="23" t="s">
        <v>1537</v>
      </c>
      <c r="F55" s="2" t="s">
        <v>479</v>
      </c>
    </row>
    <row r="56" spans="1:6" ht="171.75">
      <c r="A56" s="7">
        <f>ROW()</f>
        <v>56</v>
      </c>
      <c r="B56" s="8" t="s">
        <v>1519</v>
      </c>
      <c r="C56" s="8" t="s">
        <v>1459</v>
      </c>
      <c r="D56" s="8" t="str">
        <f t="shared" si="1"/>
        <v>13. Aufgeschobene Rente</v>
      </c>
      <c r="E56" s="23" t="s">
        <v>1632</v>
      </c>
      <c r="F56" s="2" t="s">
        <v>515</v>
      </c>
    </row>
    <row r="57" spans="1:6" ht="179.25">
      <c r="A57" s="7">
        <f>ROW()</f>
        <v>57</v>
      </c>
      <c r="B57" s="8" t="s">
        <v>1519</v>
      </c>
      <c r="C57" s="8" t="s">
        <v>1538</v>
      </c>
      <c r="D57" s="8" t="s">
        <v>1538</v>
      </c>
      <c r="E57" s="22" t="s">
        <v>1538</v>
      </c>
      <c r="F57" s="2" t="s">
        <v>544</v>
      </c>
    </row>
    <row r="58" spans="1:6" ht="246">
      <c r="A58" s="7">
        <f>ROW()</f>
        <v>58</v>
      </c>
      <c r="B58" s="8" t="s">
        <v>1519</v>
      </c>
      <c r="C58" s="8" t="s">
        <v>1538</v>
      </c>
      <c r="D58" s="8" t="str">
        <f t="shared" si="1"/>
        <v xml:space="preserve">Kumulation mit Erwerbseinkommen </v>
      </c>
      <c r="E58" s="22" t="s">
        <v>1461</v>
      </c>
      <c r="F58" s="2" t="s">
        <v>571</v>
      </c>
    </row>
    <row r="59" spans="1:6" ht="286.5">
      <c r="A59" s="7">
        <f>ROW()</f>
        <v>59</v>
      </c>
      <c r="B59" s="8" t="s">
        <v>1519</v>
      </c>
      <c r="C59" s="8" t="s">
        <v>1538</v>
      </c>
      <c r="D59" s="8" t="s">
        <v>1539</v>
      </c>
      <c r="E59" s="22" t="s">
        <v>1460</v>
      </c>
      <c r="F59" s="2" t="s">
        <v>599</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653</v>
      </c>
    </row>
    <row r="62" spans="1:6" ht="264">
      <c r="A62" s="7">
        <f>ROW()</f>
        <v>62</v>
      </c>
      <c r="B62" s="8" t="s">
        <v>1519</v>
      </c>
      <c r="C62" s="8" t="s">
        <v>612</v>
      </c>
      <c r="D62" s="8" t="str">
        <f t="shared" si="2"/>
        <v>3. Auf Renten anfallende Sozialabgaben</v>
      </c>
      <c r="E62" s="23" t="s">
        <v>1542</v>
      </c>
      <c r="F62" s="2" t="s">
        <v>677</v>
      </c>
    </row>
    <row r="63" spans="1:6" ht="138">
      <c r="A63" s="7">
        <f>ROW()</f>
        <v>63</v>
      </c>
      <c r="B63" s="8" t="s">
        <v>1543</v>
      </c>
      <c r="C63" s="8" t="str">
        <f>+E63</f>
        <v>Anwendungsbereich</v>
      </c>
      <c r="D63" s="8" t="str">
        <f t="shared" si="2"/>
        <v>Anwendungsbereich</v>
      </c>
      <c r="E63" s="23" t="s">
        <v>1467</v>
      </c>
      <c r="F63" s="2" t="s">
        <v>701</v>
      </c>
    </row>
    <row r="64" spans="1:6" ht="132.75">
      <c r="A64" s="7">
        <f>ROW()</f>
        <v>64</v>
      </c>
      <c r="B64" s="8" t="s">
        <v>1543</v>
      </c>
      <c r="C64" s="8" t="s">
        <v>1514</v>
      </c>
      <c r="D64" s="8" t="str">
        <f t="shared" si="2"/>
        <v>Grundprinzipien</v>
      </c>
      <c r="E64" s="23" t="s">
        <v>1468</v>
      </c>
      <c r="F64" s="2" t="s">
        <v>727</v>
      </c>
    </row>
    <row r="65" spans="1:6" ht="224.25">
      <c r="A65" s="7">
        <f>ROW()</f>
        <v>65</v>
      </c>
      <c r="B65" s="8" t="s">
        <v>1543</v>
      </c>
      <c r="C65" s="8" t="s">
        <v>1514</v>
      </c>
      <c r="D65" s="8" t="str">
        <f t="shared" si="2"/>
        <v>Voraussetzungen für die Deckung</v>
      </c>
      <c r="E65" s="23" t="s">
        <v>1469</v>
      </c>
      <c r="F65" s="2" t="s">
        <v>282</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802</v>
      </c>
    </row>
    <row r="69" spans="1:6" ht="216">
      <c r="A69" s="7">
        <f>ROW()</f>
        <v>69</v>
      </c>
      <c r="B69" s="8" t="s">
        <v>1543</v>
      </c>
      <c r="C69" s="8" t="s">
        <v>1459</v>
      </c>
      <c r="D69" s="9" t="str">
        <f t="shared" si="2"/>
        <v>Besteuerung von Geldleistungen</v>
      </c>
      <c r="E69" s="23" t="s">
        <v>1456</v>
      </c>
      <c r="F69" s="2" t="s">
        <v>815</v>
      </c>
    </row>
    <row r="70" spans="1:6" ht="272.25">
      <c r="A70" s="7">
        <f>ROW()</f>
        <v>70</v>
      </c>
      <c r="B70" s="8" t="s">
        <v>1543</v>
      </c>
      <c r="C70" s="8" t="s">
        <v>1459</v>
      </c>
      <c r="D70" s="9" t="str">
        <f t="shared" si="2"/>
        <v>Auf Leistungen anfallende Sozialabgaben</v>
      </c>
      <c r="E70" s="23" t="s">
        <v>1457</v>
      </c>
      <c r="F70" s="2" t="s">
        <v>829</v>
      </c>
    </row>
    <row r="71" spans="1:6" ht="177">
      <c r="A71" s="7">
        <f>ROW()</f>
        <v>71</v>
      </c>
      <c r="B71" s="8" t="s">
        <v>1466</v>
      </c>
      <c r="C71" s="8" t="str">
        <f t="shared" ref="C71:D75" si="3">+D71</f>
        <v>Geltende Rechtsgrundlage</v>
      </c>
      <c r="D71" s="9" t="str">
        <f t="shared" si="3"/>
        <v>Geltende Rechtsgrundlage</v>
      </c>
      <c r="E71" s="22" t="s">
        <v>1472</v>
      </c>
      <c r="F71" s="2" t="s">
        <v>848</v>
      </c>
    </row>
    <row r="72" spans="1:6" ht="110.25">
      <c r="A72" s="7">
        <f>ROW()</f>
        <v>72</v>
      </c>
      <c r="B72" s="8" t="s">
        <v>1466</v>
      </c>
      <c r="C72" s="8" t="str">
        <f t="shared" si="3"/>
        <v>Grundprinzipien</v>
      </c>
      <c r="D72" s="9" t="str">
        <f t="shared" si="3"/>
        <v>Grundprinzipien</v>
      </c>
      <c r="E72" s="22" t="s">
        <v>1468</v>
      </c>
      <c r="F72" s="2" t="s">
        <v>3469</v>
      </c>
    </row>
    <row r="73" spans="1:6" ht="315">
      <c r="A73" s="7">
        <f>ROW()</f>
        <v>73</v>
      </c>
      <c r="B73" s="8" t="s">
        <v>1466</v>
      </c>
      <c r="C73" s="9" t="str">
        <f t="shared" si="3"/>
        <v>Anwendungsbereich (in Bezug auf Verstorbene)</v>
      </c>
      <c r="D73" s="9" t="str">
        <f t="shared" si="3"/>
        <v>Anwendungsbereich (in Bezug auf Verstorbene)</v>
      </c>
      <c r="E73" s="22" t="s">
        <v>1473</v>
      </c>
      <c r="F73" s="2" t="s">
        <v>900</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933</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957</v>
      </c>
    </row>
    <row r="78" spans="1:6" ht="185.25">
      <c r="A78" s="7">
        <f>ROW()</f>
        <v>78</v>
      </c>
      <c r="B78" s="8" t="s">
        <v>1466</v>
      </c>
      <c r="C78" s="8" t="s">
        <v>1544</v>
      </c>
      <c r="D78" s="8" t="str">
        <f t="shared" si="4"/>
        <v>2. Hinterbliebener Ehegatte</v>
      </c>
      <c r="E78" s="23" t="s">
        <v>1546</v>
      </c>
      <c r="F78" s="2" t="s">
        <v>3470</v>
      </c>
    </row>
    <row r="79" spans="1:6" ht="181.5">
      <c r="A79" s="7">
        <f>ROW()</f>
        <v>79</v>
      </c>
      <c r="B79" s="8" t="s">
        <v>1466</v>
      </c>
      <c r="C79" s="8" t="s">
        <v>1544</v>
      </c>
      <c r="D79" s="8" t="str">
        <f t="shared" si="4"/>
        <v>3. Geschiedener Ehegatte</v>
      </c>
      <c r="E79" s="23" t="s">
        <v>1547</v>
      </c>
      <c r="F79" s="2" t="s">
        <v>3471</v>
      </c>
    </row>
    <row r="80" spans="1:6" ht="216">
      <c r="A80" s="7">
        <f>ROW()</f>
        <v>80</v>
      </c>
      <c r="B80" s="8" t="s">
        <v>1466</v>
      </c>
      <c r="C80" s="8" t="s">
        <v>1544</v>
      </c>
      <c r="D80" s="8" t="str">
        <f t="shared" si="4"/>
        <v>4. Hinterbliebene Lebenspartner</v>
      </c>
      <c r="E80" s="23" t="s">
        <v>1548</v>
      </c>
      <c r="F80" s="2" t="s">
        <v>3472</v>
      </c>
    </row>
    <row r="81" spans="1:6" ht="210">
      <c r="A81" s="7">
        <f>ROW()</f>
        <v>81</v>
      </c>
      <c r="B81" s="8" t="s">
        <v>1466</v>
      </c>
      <c r="C81" s="8" t="s">
        <v>1544</v>
      </c>
      <c r="D81" s="8" t="str">
        <f t="shared" si="4"/>
        <v>5. Kinder</v>
      </c>
      <c r="E81" s="23" t="s">
        <v>1549</v>
      </c>
      <c r="F81" s="2" t="s">
        <v>3473</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1075</v>
      </c>
    </row>
    <row r="84" spans="1:6" ht="280.5">
      <c r="A84" s="7">
        <f>ROW()</f>
        <v>84</v>
      </c>
      <c r="B84" s="8" t="s">
        <v>1466</v>
      </c>
      <c r="C84" s="8" t="s">
        <v>1459</v>
      </c>
      <c r="D84" s="9" t="str">
        <f t="shared" si="4"/>
        <v>2. Hinterbliebener Ehegatte: Wiederheirat</v>
      </c>
      <c r="E84" s="23" t="s">
        <v>1552</v>
      </c>
      <c r="F84" s="2" t="s">
        <v>1098</v>
      </c>
    </row>
    <row r="85" spans="1:6" ht="225">
      <c r="A85" s="7">
        <f>ROW()</f>
        <v>85</v>
      </c>
      <c r="B85" s="8" t="s">
        <v>1466</v>
      </c>
      <c r="C85" s="8" t="s">
        <v>1459</v>
      </c>
      <c r="D85" s="9" t="str">
        <f t="shared" si="4"/>
        <v>3. Kinder</v>
      </c>
      <c r="E85" s="23" t="s">
        <v>1553</v>
      </c>
      <c r="F85" s="2" t="s">
        <v>3474</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1181</v>
      </c>
    </row>
    <row r="89" spans="1:6" ht="126.75">
      <c r="A89" s="7">
        <f>ROW()</f>
        <v>89</v>
      </c>
      <c r="B89" s="8" t="s">
        <v>1466</v>
      </c>
      <c r="C89" s="8" t="s">
        <v>1459</v>
      </c>
      <c r="D89" s="9" t="str">
        <f>+E89</f>
        <v>7. Mindestleistung</v>
      </c>
      <c r="E89" s="23" t="s">
        <v>1557</v>
      </c>
      <c r="F89" s="2" t="s">
        <v>1203</v>
      </c>
    </row>
    <row r="90" spans="1:6" ht="122.25">
      <c r="A90" s="7">
        <f>ROW()</f>
        <v>90</v>
      </c>
      <c r="B90" s="8" t="s">
        <v>1466</v>
      </c>
      <c r="C90" s="8" t="s">
        <v>1459</v>
      </c>
      <c r="D90" s="9" t="str">
        <f t="shared" si="4"/>
        <v xml:space="preserve"> 8. Höchstleistung</v>
      </c>
      <c r="E90" s="23" t="s">
        <v>1558</v>
      </c>
      <c r="F90" s="2" t="s">
        <v>1223</v>
      </c>
    </row>
    <row r="91" spans="1:6" ht="179.25">
      <c r="A91" s="7">
        <f>ROW()</f>
        <v>91</v>
      </c>
      <c r="B91" s="8" t="s">
        <v>1466</v>
      </c>
      <c r="C91" s="8" t="s">
        <v>1538</v>
      </c>
      <c r="D91" s="9" t="str">
        <f>+C91</f>
        <v>Indexbindung / Anpassung</v>
      </c>
      <c r="E91" s="22" t="s">
        <v>1538</v>
      </c>
      <c r="F91" s="2" t="s">
        <v>1250</v>
      </c>
    </row>
    <row r="92" spans="1:6" ht="242.25">
      <c r="A92" s="7">
        <f>ROW()</f>
        <v>92</v>
      </c>
      <c r="B92" s="8" t="s">
        <v>1466</v>
      </c>
      <c r="C92" s="8" t="s">
        <v>1538</v>
      </c>
      <c r="D92" s="9" t="str">
        <f t="shared" ref="D92:D105" si="5">+E92</f>
        <v>Kumulation mit Erwerbseinkommen</v>
      </c>
      <c r="E92" s="22" t="s">
        <v>1471</v>
      </c>
      <c r="F92" s="2" t="s">
        <v>1275</v>
      </c>
    </row>
    <row r="93" spans="1:6" ht="275.25">
      <c r="A93" s="7">
        <f>ROW()</f>
        <v>93</v>
      </c>
      <c r="B93" s="8" t="s">
        <v>1466</v>
      </c>
      <c r="C93" s="8" t="s">
        <v>1538</v>
      </c>
      <c r="D93" s="9" t="str">
        <f t="shared" si="5"/>
        <v>Kumulation mit anderen Sozialleistungen</v>
      </c>
      <c r="E93" s="22" t="s">
        <v>1460</v>
      </c>
      <c r="F93" s="2" t="s">
        <v>1303</v>
      </c>
    </row>
    <row r="94" spans="1:6" ht="232.5">
      <c r="A94" s="7">
        <f>ROW()</f>
        <v>94</v>
      </c>
      <c r="B94" s="8" t="s">
        <v>1466</v>
      </c>
      <c r="C94" s="9" t="s">
        <v>1465</v>
      </c>
      <c r="D94" s="9" t="str">
        <f t="shared" si="5"/>
        <v>1. Besteuerung von Geldleistungen</v>
      </c>
      <c r="E94" s="23" t="s">
        <v>1509</v>
      </c>
      <c r="F94" s="2" t="s">
        <v>613</v>
      </c>
    </row>
    <row r="95" spans="1:6" ht="387">
      <c r="A95" s="7">
        <f>ROW()</f>
        <v>95</v>
      </c>
      <c r="B95" s="8" t="s">
        <v>1466</v>
      </c>
      <c r="C95" s="9" t="s">
        <v>1465</v>
      </c>
      <c r="D95" s="9" t="str">
        <f t="shared" si="5"/>
        <v>2. Einkommensgrenze für Besteuerung von Geldleistungen</v>
      </c>
      <c r="E95" s="23" t="s">
        <v>1511</v>
      </c>
      <c r="F95" s="2" t="s">
        <v>1347</v>
      </c>
    </row>
    <row r="96" spans="1:6" ht="288.75">
      <c r="A96" s="7">
        <f>ROW()</f>
        <v>96</v>
      </c>
      <c r="B96" s="8" t="s">
        <v>1466</v>
      </c>
      <c r="C96" s="9" t="s">
        <v>1465</v>
      </c>
      <c r="D96" s="9" t="str">
        <f t="shared" si="5"/>
        <v>3. Auf Leistungen anfallende Sozialabgaben</v>
      </c>
      <c r="E96" s="23" t="s">
        <v>1512</v>
      </c>
      <c r="F96" s="2" t="s">
        <v>1366</v>
      </c>
    </row>
    <row r="97" spans="1:6" ht="138">
      <c r="A97" s="7">
        <f>ROW()</f>
        <v>97</v>
      </c>
      <c r="B97" s="8" t="s">
        <v>1466</v>
      </c>
      <c r="C97" s="9" t="s">
        <v>1514</v>
      </c>
      <c r="D97" s="9" t="str">
        <f t="shared" si="5"/>
        <v>Anwendungsbereich</v>
      </c>
      <c r="E97" s="23" t="s">
        <v>1467</v>
      </c>
      <c r="F97" s="2" t="s">
        <v>1383</v>
      </c>
    </row>
    <row r="98" spans="1:6" ht="110.25">
      <c r="A98" s="7">
        <f>ROW()</f>
        <v>98</v>
      </c>
      <c r="B98" s="8" t="s">
        <v>1466</v>
      </c>
      <c r="C98" s="9" t="s">
        <v>1514</v>
      </c>
      <c r="D98" s="9" t="str">
        <f t="shared" si="5"/>
        <v>Grundprinzipien</v>
      </c>
      <c r="E98" s="23" t="s">
        <v>1468</v>
      </c>
      <c r="F98" s="2" t="s">
        <v>1399</v>
      </c>
    </row>
    <row r="99" spans="1:6" ht="224.25">
      <c r="A99" s="7">
        <f>ROW()</f>
        <v>99</v>
      </c>
      <c r="B99" s="8" t="s">
        <v>1466</v>
      </c>
      <c r="C99" s="9" t="s">
        <v>1514</v>
      </c>
      <c r="D99" s="9" t="str">
        <f t="shared" si="5"/>
        <v>Voraussetzungen für die Deckung</v>
      </c>
      <c r="E99" s="23" t="s">
        <v>1469</v>
      </c>
      <c r="F99" s="2" t="s">
        <v>744</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802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815</v>
      </c>
    </row>
    <row r="105" spans="1:6" ht="272.25">
      <c r="A105" s="7">
        <f>ROW()</f>
        <v>105</v>
      </c>
      <c r="B105" s="8" t="s">
        <v>1466</v>
      </c>
      <c r="C105" s="9" t="s">
        <v>1514</v>
      </c>
      <c r="D105" s="9" t="str">
        <f t="shared" si="5"/>
        <v>Auf Leistungen anfallende Sozialabgaben</v>
      </c>
      <c r="E105" s="23" t="s">
        <v>1457</v>
      </c>
      <c r="F105" s="2" t="s">
        <v>829</v>
      </c>
    </row>
    <row r="106" spans="1:6"/>
    <row r="107" spans="1:6"/>
    <row r="108" spans="1:6"/>
    <row r="109" spans="1:6"/>
    <row r="110" spans="1:6"/>
    <row r="111" spans="1:6"/>
    <row r="112" spans="1:6"/>
    <row r="113"/>
  </sheetData>
  <sheetProtection algorithmName="SHA-512" hashValue="IE4NniFSDkb9cQ+ITTc08H+naBMmbD1h+ILnPlDIn7OefR7bkW8t4XjuFA+BFgxVaVL6+fgimKzz724EL9XJMw==" saltValue="0fCDpfv5S/fyzCHJdYxk6A==" spinCount="100000" sheet="1" objects="1" scenarios="1" formatColumns="0" autoFilter="0"/>
  <autoFilter ref="A2:F2" xr:uid="{6EEDE397-7A7C-4634-8AEC-79BD199475A4}"/>
  <pageMargins left="0.7" right="0.7" top="0.78740157499999996" bottom="0.78740157499999996"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1BD2-0941-4A32-B397-148BEE11D5D4}">
  <sheetPr codeName="Tabelle20"/>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18</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1827</v>
      </c>
    </row>
    <row r="4" spans="1:6" ht="150">
      <c r="A4" s="7">
        <f>ROW()</f>
        <v>4</v>
      </c>
      <c r="B4" s="8" t="s">
        <v>1479</v>
      </c>
      <c r="C4" s="1"/>
      <c r="D4" s="8" t="str">
        <f t="shared" ref="D4:D34" si="0">+E4</f>
        <v>Grundprinzipien</v>
      </c>
      <c r="E4" s="22" t="s">
        <v>1468</v>
      </c>
      <c r="F4" s="2" t="s">
        <v>3475</v>
      </c>
    </row>
    <row r="5" spans="1:6" ht="188.25">
      <c r="A5" s="7">
        <f>ROW()</f>
        <v>5</v>
      </c>
      <c r="B5" s="8" t="s">
        <v>1479</v>
      </c>
      <c r="C5" s="1"/>
      <c r="D5" s="8" t="str">
        <f t="shared" si="0"/>
        <v>Gedecktes Risiko: Definition</v>
      </c>
      <c r="E5" s="22" t="s">
        <v>1630</v>
      </c>
      <c r="F5" s="2" t="s">
        <v>1828</v>
      </c>
    </row>
    <row r="6" spans="1:6" ht="144">
      <c r="A6" s="7">
        <f>ROW()</f>
        <v>6</v>
      </c>
      <c r="B6" s="8" t="s">
        <v>1479</v>
      </c>
      <c r="C6" s="8" t="s">
        <v>1453</v>
      </c>
      <c r="D6" s="8" t="str">
        <f t="shared" si="0"/>
        <v>Versicherte Personen</v>
      </c>
      <c r="E6" s="23" t="s">
        <v>1453</v>
      </c>
      <c r="F6" s="2" t="s">
        <v>1829</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1830</v>
      </c>
    </row>
    <row r="9" spans="1:6" ht="409.5">
      <c r="A9" s="7">
        <f>ROW()</f>
        <v>9</v>
      </c>
      <c r="B9" s="8" t="s">
        <v>1479</v>
      </c>
      <c r="C9" s="9" t="s">
        <v>128</v>
      </c>
      <c r="D9" s="8" t="str">
        <f t="shared" si="0"/>
        <v xml:space="preserve">2. Begutachtungskriterien und Kategorien der Arbeitsunfähigkeit/Arbeitsfähigkeit  </v>
      </c>
      <c r="E9" s="23" t="s">
        <v>1484</v>
      </c>
      <c r="F9" s="2" t="s">
        <v>1831</v>
      </c>
    </row>
    <row r="10" spans="1:6" ht="222">
      <c r="A10" s="7">
        <f>ROW()</f>
        <v>10</v>
      </c>
      <c r="B10" s="8" t="s">
        <v>1479</v>
      </c>
      <c r="C10" s="9" t="s">
        <v>128</v>
      </c>
      <c r="D10" s="8" t="str">
        <f t="shared" si="0"/>
        <v>3. Zeitraum der Leistungszahlung</v>
      </c>
      <c r="E10" s="23" t="s">
        <v>1486</v>
      </c>
      <c r="F10" s="2" t="s">
        <v>1832</v>
      </c>
    </row>
    <row r="11" spans="1:6" ht="135">
      <c r="A11" s="7">
        <f>ROW()</f>
        <v>11</v>
      </c>
      <c r="B11" s="8" t="s">
        <v>1479</v>
      </c>
      <c r="C11" s="9" t="s">
        <v>1488</v>
      </c>
      <c r="D11" s="8" t="str">
        <f t="shared" si="0"/>
        <v>1. Gutachter</v>
      </c>
      <c r="E11" s="23" t="s">
        <v>1489</v>
      </c>
      <c r="F11" s="2" t="s">
        <v>1833</v>
      </c>
    </row>
    <row r="12" spans="1:6" ht="111.75">
      <c r="A12" s="7">
        <f>ROW()</f>
        <v>12</v>
      </c>
      <c r="B12" s="8" t="s">
        <v>1479</v>
      </c>
      <c r="C12" s="9" t="s">
        <v>1488</v>
      </c>
      <c r="D12" s="8" t="str">
        <f t="shared" si="0"/>
        <v xml:space="preserve">2. Überprüfung  </v>
      </c>
      <c r="E12" s="23" t="s">
        <v>1490</v>
      </c>
      <c r="F12" s="2" t="s">
        <v>1834</v>
      </c>
    </row>
    <row r="13" spans="1:6" ht="291.75">
      <c r="A13" s="7">
        <f>ROW()</f>
        <v>13</v>
      </c>
      <c r="B13" s="8" t="s">
        <v>1479</v>
      </c>
      <c r="C13" s="8" t="s">
        <v>1459</v>
      </c>
      <c r="D13" s="8" t="str">
        <f t="shared" si="0"/>
        <v>1. Berechnungsmethode bzw. Rentenformel</v>
      </c>
      <c r="E13" s="23" t="s">
        <v>1492</v>
      </c>
      <c r="F13" s="2" t="s">
        <v>1835</v>
      </c>
    </row>
    <row r="14" spans="1:6" ht="343.5">
      <c r="A14" s="7">
        <f>ROW()</f>
        <v>14</v>
      </c>
      <c r="B14" s="8" t="s">
        <v>1479</v>
      </c>
      <c r="C14" s="8" t="s">
        <v>1459</v>
      </c>
      <c r="D14" s="8" t="str">
        <f t="shared" si="0"/>
        <v>2. Referenzeinkommen bzw. Berechnungsgrundlage</v>
      </c>
      <c r="E14" s="23" t="s">
        <v>1493</v>
      </c>
      <c r="F14" s="2" t="s">
        <v>1836</v>
      </c>
    </row>
    <row r="15" spans="1:6" ht="226.5">
      <c r="A15" s="7">
        <f>ROW()</f>
        <v>15</v>
      </c>
      <c r="B15" s="8" t="s">
        <v>1479</v>
      </c>
      <c r="C15" s="8" t="s">
        <v>1459</v>
      </c>
      <c r="D15" s="8" t="str">
        <f t="shared" si="0"/>
        <v>3. Mindest- und Höchstleistungen</v>
      </c>
      <c r="E15" s="23" t="s">
        <v>1495</v>
      </c>
      <c r="F15" s="2" t="s">
        <v>1837</v>
      </c>
    </row>
    <row r="16" spans="1:6" ht="405">
      <c r="A16" s="7">
        <f>ROW()</f>
        <v>16</v>
      </c>
      <c r="B16" s="8" t="s">
        <v>1479</v>
      </c>
      <c r="C16" s="8" t="s">
        <v>1459</v>
      </c>
      <c r="D16" s="8" t="str">
        <f t="shared" si="0"/>
        <v>4. Anrechenbare oder als Beitragszeiten gewertete Zeiträume</v>
      </c>
      <c r="E16" s="23" t="s">
        <v>1496</v>
      </c>
      <c r="F16" s="2" t="s">
        <v>1838</v>
      </c>
    </row>
    <row r="17" spans="1:6" ht="250.5">
      <c r="A17" s="7">
        <f>ROW()</f>
        <v>17</v>
      </c>
      <c r="B17" s="8" t="s">
        <v>1479</v>
      </c>
      <c r="C17" s="8" t="s">
        <v>1459</v>
      </c>
      <c r="D17" s="8" t="str">
        <f t="shared" si="0"/>
        <v xml:space="preserve">5. Zulagen für Unterhaltsberechtigte  </v>
      </c>
      <c r="E17" s="23" t="s">
        <v>1498</v>
      </c>
      <c r="F17" s="2" t="s">
        <v>1839</v>
      </c>
    </row>
    <row r="18" spans="1:6" ht="135">
      <c r="A18" s="7">
        <f>ROW()</f>
        <v>18</v>
      </c>
      <c r="B18" s="8" t="s">
        <v>1479</v>
      </c>
      <c r="C18" s="8" t="str">
        <f>+E18</f>
        <v>Sonstige Leistungen</v>
      </c>
      <c r="D18" s="8" t="str">
        <f>+E18</f>
        <v>Sonstige Leistungen</v>
      </c>
      <c r="E18" s="22" t="s">
        <v>1455</v>
      </c>
      <c r="F18" s="2" t="s">
        <v>1840</v>
      </c>
    </row>
    <row r="19" spans="1:6" ht="300.75">
      <c r="A19" s="7">
        <f>ROW()</f>
        <v>19</v>
      </c>
      <c r="B19" s="8" t="s">
        <v>1479</v>
      </c>
      <c r="C19" s="8" t="s">
        <v>1500</v>
      </c>
      <c r="D19" s="8" t="str">
        <f t="shared" si="0"/>
        <v>Umschulung, berufsbezogene Rehabilitation</v>
      </c>
      <c r="E19" s="23" t="s">
        <v>1501</v>
      </c>
      <c r="F19" s="2" t="s">
        <v>1841</v>
      </c>
    </row>
    <row r="20" spans="1:6" ht="409.5">
      <c r="A20" s="7">
        <f>ROW()</f>
        <v>20</v>
      </c>
      <c r="B20" s="8" t="s">
        <v>1479</v>
      </c>
      <c r="C20" s="8" t="s">
        <v>1500</v>
      </c>
      <c r="D20" s="8" t="str">
        <f t="shared" si="0"/>
        <v xml:space="preserve">Bevorzugte und reservierte Beschäftigung von Menschen mit Behinderungen  </v>
      </c>
      <c r="E20" s="23" t="s">
        <v>1502</v>
      </c>
      <c r="F20" s="2" t="s">
        <v>1842</v>
      </c>
    </row>
    <row r="21" spans="1:6" ht="171.75">
      <c r="A21" s="7">
        <f>ROW()</f>
        <v>21</v>
      </c>
      <c r="B21" s="8" t="s">
        <v>1479</v>
      </c>
      <c r="C21" s="8" t="s">
        <v>1504</v>
      </c>
      <c r="D21" s="8" t="str">
        <f t="shared" si="0"/>
        <v>Indexbindung/Anpassung</v>
      </c>
      <c r="E21" s="22" t="s">
        <v>1505</v>
      </c>
      <c r="F21" s="2" t="s">
        <v>1843</v>
      </c>
    </row>
    <row r="22" spans="1:6" ht="242.25">
      <c r="A22" s="7">
        <f>ROW()</f>
        <v>22</v>
      </c>
      <c r="B22" s="8" t="s">
        <v>1479</v>
      </c>
      <c r="C22" s="8" t="s">
        <v>1504</v>
      </c>
      <c r="D22" s="8" t="str">
        <f>+E22</f>
        <v>Kumulation mit Erwerbseinkommen</v>
      </c>
      <c r="E22" s="22" t="s">
        <v>1471</v>
      </c>
      <c r="F22" s="2" t="s">
        <v>1844</v>
      </c>
    </row>
    <row r="23" spans="1:6" ht="275.25">
      <c r="A23" s="7">
        <f>ROW()</f>
        <v>23</v>
      </c>
      <c r="B23" s="8" t="s">
        <v>1479</v>
      </c>
      <c r="C23" s="8" t="s">
        <v>1504</v>
      </c>
      <c r="D23" s="8" t="str">
        <f t="shared" si="0"/>
        <v>Kumulation mit anderen Sozialleistungen</v>
      </c>
      <c r="E23" s="22" t="s">
        <v>1460</v>
      </c>
      <c r="F23" s="2" t="s">
        <v>1845</v>
      </c>
    </row>
    <row r="24" spans="1:6" ht="232.5">
      <c r="A24" s="7">
        <f>ROW()</f>
        <v>24</v>
      </c>
      <c r="B24" s="8" t="s">
        <v>1479</v>
      </c>
      <c r="C24" s="8" t="s">
        <v>1465</v>
      </c>
      <c r="D24" s="8" t="str">
        <f t="shared" si="0"/>
        <v>1. Besteuerung von Geldleistungen</v>
      </c>
      <c r="E24" s="23" t="s">
        <v>1509</v>
      </c>
      <c r="F24" s="2" t="s">
        <v>1846</v>
      </c>
    </row>
    <row r="25" spans="1:6" ht="387">
      <c r="A25" s="7">
        <f>ROW()</f>
        <v>25</v>
      </c>
      <c r="B25" s="8" t="s">
        <v>1479</v>
      </c>
      <c r="C25" s="8" t="s">
        <v>1465</v>
      </c>
      <c r="D25" s="8" t="str">
        <f t="shared" si="0"/>
        <v>2. Einkommensgrenze für Besteuerung von Geldleistungen</v>
      </c>
      <c r="E25" s="23" t="s">
        <v>1511</v>
      </c>
      <c r="F25" s="2" t="s">
        <v>1847</v>
      </c>
    </row>
    <row r="26" spans="1:6" ht="288.75">
      <c r="A26" s="7">
        <f>ROW()</f>
        <v>26</v>
      </c>
      <c r="B26" s="8" t="s">
        <v>1479</v>
      </c>
      <c r="C26" s="8" t="s">
        <v>1465</v>
      </c>
      <c r="D26" s="8" t="str">
        <f t="shared" si="0"/>
        <v>3. Auf Leistungen anfallende Sozialabgaben</v>
      </c>
      <c r="E26" s="23" t="s">
        <v>1512</v>
      </c>
      <c r="F26" s="2" t="s">
        <v>1848</v>
      </c>
    </row>
    <row r="27" spans="1:6" ht="138">
      <c r="A27" s="7">
        <f>ROW()</f>
        <v>27</v>
      </c>
      <c r="B27" s="8" t="s">
        <v>1479</v>
      </c>
      <c r="C27" s="8" t="s">
        <v>1514</v>
      </c>
      <c r="D27" s="8" t="str">
        <f t="shared" si="0"/>
        <v>Anwendungsbereich</v>
      </c>
      <c r="E27" s="23" t="s">
        <v>1467</v>
      </c>
      <c r="F27" s="2" t="s">
        <v>1384</v>
      </c>
    </row>
    <row r="28" spans="1:6" ht="110.25">
      <c r="A28" s="7">
        <f>ROW()</f>
        <v>28</v>
      </c>
      <c r="B28" s="8" t="s">
        <v>1479</v>
      </c>
      <c r="C28" s="8" t="s">
        <v>1514</v>
      </c>
      <c r="D28" s="8" t="str">
        <f t="shared" si="0"/>
        <v>Grundprinzipien</v>
      </c>
      <c r="E28" s="23" t="s">
        <v>1468</v>
      </c>
      <c r="F28" s="2" t="s">
        <v>1849</v>
      </c>
    </row>
    <row r="29" spans="1:6" ht="224.25">
      <c r="A29" s="7">
        <f>ROW()</f>
        <v>29</v>
      </c>
      <c r="B29" s="8" t="s">
        <v>1479</v>
      </c>
      <c r="C29" s="8" t="s">
        <v>1514</v>
      </c>
      <c r="D29" s="8" t="str">
        <f t="shared" si="0"/>
        <v>Voraussetzungen für die Deckung</v>
      </c>
      <c r="E29" s="23" t="s">
        <v>1469</v>
      </c>
      <c r="F29" s="2" t="s">
        <v>1409</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1850</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48</v>
      </c>
    </row>
    <row r="36" spans="1:6" ht="390">
      <c r="A36" s="7">
        <f>ROW()</f>
        <v>36</v>
      </c>
      <c r="B36" s="8" t="s">
        <v>1519</v>
      </c>
      <c r="C36" s="8" t="str">
        <f>+D36</f>
        <v>Grundprinzipien</v>
      </c>
      <c r="D36" s="8" t="str">
        <f>+E36</f>
        <v>Grundprinzipien</v>
      </c>
      <c r="E36" s="22" t="s">
        <v>1468</v>
      </c>
      <c r="F36" s="2" t="s">
        <v>3476</v>
      </c>
    </row>
    <row r="37" spans="1:6" ht="159.75">
      <c r="A37" s="7">
        <f>ROW()</f>
        <v>37</v>
      </c>
      <c r="B37" s="8" t="s">
        <v>1519</v>
      </c>
      <c r="C37" s="8" t="s">
        <v>1467</v>
      </c>
      <c r="D37" s="8" t="str">
        <f>+E37</f>
        <v>1. Versicherte Personen</v>
      </c>
      <c r="E37" s="23" t="s">
        <v>1520</v>
      </c>
      <c r="F37" s="2" t="s">
        <v>101</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140</v>
      </c>
    </row>
    <row r="40" spans="1:6" ht="409.5">
      <c r="A40" s="7">
        <f>ROW()</f>
        <v>40</v>
      </c>
      <c r="B40" s="8" t="s">
        <v>1519</v>
      </c>
      <c r="C40" s="8" t="s">
        <v>128</v>
      </c>
      <c r="D40" s="8" t="str">
        <f t="shared" si="1"/>
        <v>2. Anwartschaftszeit und sonstige Anspruchsvoraussetzungen für den Bezug einer Altersrente</v>
      </c>
      <c r="E40" s="23" t="s">
        <v>1524</v>
      </c>
      <c r="F40" s="2" t="s">
        <v>164</v>
      </c>
    </row>
    <row r="41" spans="1:6" ht="194.25">
      <c r="A41" s="7">
        <f>ROW()</f>
        <v>41</v>
      </c>
      <c r="B41" s="8" t="s">
        <v>1519</v>
      </c>
      <c r="C41" s="8" t="s">
        <v>128</v>
      </c>
      <c r="D41" s="8" t="str">
        <f t="shared" si="1"/>
        <v>3. Vorruhestand</v>
      </c>
      <c r="E41" s="23" t="s">
        <v>1525</v>
      </c>
      <c r="F41" s="2" t="s">
        <v>184</v>
      </c>
    </row>
    <row r="42" spans="1:6" ht="264">
      <c r="A42" s="7">
        <f>ROW()</f>
        <v>42</v>
      </c>
      <c r="B42" s="8" t="s">
        <v>1519</v>
      </c>
      <c r="C42" s="8" t="s">
        <v>128</v>
      </c>
      <c r="D42" s="8" t="str">
        <f t="shared" si="1"/>
        <v>4. Beschwerliche und gefährliche Arbeit</v>
      </c>
      <c r="E42" s="23" t="s">
        <v>1526</v>
      </c>
      <c r="F42" s="2" t="s">
        <v>202</v>
      </c>
    </row>
    <row r="43" spans="1:6" ht="194.25">
      <c r="A43" s="7">
        <f>ROW()</f>
        <v>43</v>
      </c>
      <c r="B43" s="8" t="s">
        <v>1519</v>
      </c>
      <c r="C43" s="8" t="s">
        <v>128</v>
      </c>
      <c r="D43" s="8" t="str">
        <f t="shared" si="1"/>
        <v>5. Rentenaufschub</v>
      </c>
      <c r="E43" s="23" t="s">
        <v>1527</v>
      </c>
      <c r="F43" s="2" t="s">
        <v>225</v>
      </c>
    </row>
    <row r="44" spans="1:6" ht="174">
      <c r="A44" s="7">
        <f>ROW()</f>
        <v>44</v>
      </c>
      <c r="B44" s="8" t="s">
        <v>1519</v>
      </c>
      <c r="C44" s="8" t="s">
        <v>1459</v>
      </c>
      <c r="D44" s="8" t="str">
        <f t="shared" si="1"/>
        <v>1. Bestimmende Faktoren</v>
      </c>
      <c r="E44" s="23" t="s">
        <v>1528</v>
      </c>
      <c r="F44" s="2" t="s">
        <v>3477</v>
      </c>
    </row>
    <row r="45" spans="1:6" ht="409.5">
      <c r="A45" s="7">
        <f>ROW()</f>
        <v>45</v>
      </c>
      <c r="B45" s="8" t="s">
        <v>1519</v>
      </c>
      <c r="C45" s="8" t="s">
        <v>1459</v>
      </c>
      <c r="D45" s="8" t="str">
        <f t="shared" si="1"/>
        <v>2. Berechnungsmethode, Rentenformel bzw. Beträge</v>
      </c>
      <c r="E45" s="23" t="s">
        <v>1529</v>
      </c>
      <c r="F45" s="2" t="s">
        <v>262</v>
      </c>
    </row>
    <row r="46" spans="1:6" ht="343.5">
      <c r="A46" s="7">
        <f>ROW()</f>
        <v>46</v>
      </c>
      <c r="B46" s="8" t="s">
        <v>1519</v>
      </c>
      <c r="C46" s="8" t="s">
        <v>1459</v>
      </c>
      <c r="D46" s="8" t="str">
        <f t="shared" si="1"/>
        <v>3. Referenzeinkommen bzw. Berechnungsgrundlage</v>
      </c>
      <c r="E46" s="23" t="s">
        <v>1530</v>
      </c>
      <c r="F46" s="2" t="s">
        <v>286</v>
      </c>
    </row>
    <row r="47" spans="1:6" ht="405">
      <c r="A47" s="7">
        <f>ROW()</f>
        <v>47</v>
      </c>
      <c r="B47" s="8" t="s">
        <v>1519</v>
      </c>
      <c r="C47" s="8" t="s">
        <v>1459</v>
      </c>
      <c r="D47" s="8" t="str">
        <f t="shared" si="1"/>
        <v>4. Anrechenbare oder als Beitragszeiten gewertete Zeiträume</v>
      </c>
      <c r="E47" s="23" t="s">
        <v>1496</v>
      </c>
      <c r="F47" s="2" t="s">
        <v>3478</v>
      </c>
    </row>
    <row r="48" spans="1:6" ht="243.75">
      <c r="A48" s="7">
        <f>ROW()</f>
        <v>48</v>
      </c>
      <c r="B48" s="8" t="s">
        <v>1519</v>
      </c>
      <c r="C48" s="8" t="s">
        <v>1459</v>
      </c>
      <c r="D48" s="8" t="str">
        <f t="shared" si="1"/>
        <v>5. Rückkauf von Versicherungszeiten</v>
      </c>
      <c r="E48" s="23" t="s">
        <v>1531</v>
      </c>
      <c r="F48" s="2" t="s">
        <v>322</v>
      </c>
    </row>
    <row r="49" spans="1:6" ht="246">
      <c r="A49" s="7">
        <f>ROW()</f>
        <v>49</v>
      </c>
      <c r="B49" s="8" t="s">
        <v>1519</v>
      </c>
      <c r="C49" s="8" t="s">
        <v>1459</v>
      </c>
      <c r="D49" s="8" t="str">
        <f t="shared" si="1"/>
        <v>6.  Zulagen für Unterhaltsberechtigte</v>
      </c>
      <c r="E49" s="23" t="s">
        <v>1631</v>
      </c>
      <c r="F49" s="2" t="s">
        <v>329</v>
      </c>
    </row>
    <row r="50" spans="1:6" ht="145.5">
      <c r="A50" s="7">
        <f>ROW()</f>
        <v>50</v>
      </c>
      <c r="B50" s="8" t="s">
        <v>1519</v>
      </c>
      <c r="C50" s="8" t="s">
        <v>1459</v>
      </c>
      <c r="D50" s="8" t="str">
        <f t="shared" si="1"/>
        <v>7. Besondere Zulagen</v>
      </c>
      <c r="E50" s="23" t="s">
        <v>1532</v>
      </c>
      <c r="F50" s="2" t="s">
        <v>351</v>
      </c>
    </row>
    <row r="51" spans="1:6" ht="360.75">
      <c r="A51" s="7">
        <f>ROW()</f>
        <v>51</v>
      </c>
      <c r="B51" s="8" t="s">
        <v>1519</v>
      </c>
      <c r="C51" s="8" t="s">
        <v>1459</v>
      </c>
      <c r="D51" s="8" t="str">
        <f t="shared" si="1"/>
        <v>8. Mindestrente und bedürftigkeitsabhängige Leistung</v>
      </c>
      <c r="E51" s="23" t="s">
        <v>1533</v>
      </c>
      <c r="F51" s="2" t="s">
        <v>387</v>
      </c>
    </row>
    <row r="52" spans="1:6" ht="101.25">
      <c r="A52" s="7">
        <f>ROW()</f>
        <v>52</v>
      </c>
      <c r="B52" s="8" t="s">
        <v>1519</v>
      </c>
      <c r="C52" s="8" t="s">
        <v>1459</v>
      </c>
      <c r="D52" s="8" t="str">
        <f t="shared" si="1"/>
        <v>9. Höchstrente</v>
      </c>
      <c r="E52" s="23" t="s">
        <v>1534</v>
      </c>
      <c r="F52" s="2" t="s">
        <v>409</v>
      </c>
    </row>
    <row r="53" spans="1:6" ht="119.25">
      <c r="A53" s="7">
        <f>ROW()</f>
        <v>53</v>
      </c>
      <c r="B53" s="8" t="s">
        <v>1519</v>
      </c>
      <c r="C53" s="8" t="s">
        <v>1459</v>
      </c>
      <c r="D53" s="8" t="str">
        <f t="shared" si="1"/>
        <v>10. Vorruhestand</v>
      </c>
      <c r="E53" s="23" t="s">
        <v>1535</v>
      </c>
      <c r="F53" s="2" t="s">
        <v>437</v>
      </c>
    </row>
    <row r="54" spans="1:6" ht="272.25">
      <c r="A54" s="7">
        <f>ROW()</f>
        <v>54</v>
      </c>
      <c r="B54" s="8" t="s">
        <v>1519</v>
      </c>
      <c r="C54" s="8" t="s">
        <v>1459</v>
      </c>
      <c r="D54" s="8" t="str">
        <f t="shared" si="1"/>
        <v>11. Beschwerliche und gefährliche Arbeit</v>
      </c>
      <c r="E54" s="23" t="s">
        <v>1536</v>
      </c>
      <c r="F54" s="2" t="s">
        <v>462</v>
      </c>
    </row>
    <row r="55" spans="1:6" ht="120">
      <c r="A55" s="7">
        <f>ROW()</f>
        <v>55</v>
      </c>
      <c r="B55" s="8" t="s">
        <v>1519</v>
      </c>
      <c r="C55" s="8" t="s">
        <v>1459</v>
      </c>
      <c r="D55" s="8" t="str">
        <f t="shared" si="1"/>
        <v>12. Teilrente</v>
      </c>
      <c r="E55" s="23" t="s">
        <v>1537</v>
      </c>
      <c r="F55" s="2" t="s">
        <v>487</v>
      </c>
    </row>
    <row r="56" spans="1:6" ht="171.75">
      <c r="A56" s="7">
        <f>ROW()</f>
        <v>56</v>
      </c>
      <c r="B56" s="8" t="s">
        <v>1519</v>
      </c>
      <c r="C56" s="8" t="s">
        <v>1459</v>
      </c>
      <c r="D56" s="8" t="str">
        <f t="shared" si="1"/>
        <v>13. Aufgeschobene Rente</v>
      </c>
      <c r="E56" s="23" t="s">
        <v>1632</v>
      </c>
      <c r="F56" s="2" t="s">
        <v>516</v>
      </c>
    </row>
    <row r="57" spans="1:6" ht="179.25">
      <c r="A57" s="7">
        <f>ROW()</f>
        <v>57</v>
      </c>
      <c r="B57" s="8" t="s">
        <v>1519</v>
      </c>
      <c r="C57" s="8" t="s">
        <v>1538</v>
      </c>
      <c r="D57" s="8" t="s">
        <v>1538</v>
      </c>
      <c r="E57" s="22" t="s">
        <v>1538</v>
      </c>
      <c r="F57" s="2" t="s">
        <v>3479</v>
      </c>
    </row>
    <row r="58" spans="1:6" ht="246">
      <c r="A58" s="7">
        <f>ROW()</f>
        <v>58</v>
      </c>
      <c r="B58" s="8" t="s">
        <v>1519</v>
      </c>
      <c r="C58" s="8" t="s">
        <v>1538</v>
      </c>
      <c r="D58" s="8" t="str">
        <f t="shared" si="1"/>
        <v xml:space="preserve">Kumulation mit Erwerbseinkommen </v>
      </c>
      <c r="E58" s="22" t="s">
        <v>1461</v>
      </c>
      <c r="F58" s="2" t="s">
        <v>572</v>
      </c>
    </row>
    <row r="59" spans="1:6" ht="286.5">
      <c r="A59" s="7">
        <f>ROW()</f>
        <v>59</v>
      </c>
      <c r="B59" s="8" t="s">
        <v>1519</v>
      </c>
      <c r="C59" s="8" t="s">
        <v>1538</v>
      </c>
      <c r="D59" s="8" t="s">
        <v>1539</v>
      </c>
      <c r="E59" s="22" t="s">
        <v>1460</v>
      </c>
      <c r="F59" s="2" t="s">
        <v>600</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654</v>
      </c>
    </row>
    <row r="62" spans="1:6" ht="264">
      <c r="A62" s="7">
        <f>ROW()</f>
        <v>62</v>
      </c>
      <c r="B62" s="8" t="s">
        <v>1519</v>
      </c>
      <c r="C62" s="8" t="s">
        <v>612</v>
      </c>
      <c r="D62" s="8" t="str">
        <f t="shared" si="2"/>
        <v>3. Auf Renten anfallende Sozialabgaben</v>
      </c>
      <c r="E62" s="23" t="s">
        <v>1542</v>
      </c>
      <c r="F62" s="2" t="s">
        <v>678</v>
      </c>
    </row>
    <row r="63" spans="1:6" ht="138">
      <c r="A63" s="7">
        <f>ROW()</f>
        <v>63</v>
      </c>
      <c r="B63" s="8" t="s">
        <v>1543</v>
      </c>
      <c r="C63" s="8" t="str">
        <f>+E63</f>
        <v>Anwendungsbereich</v>
      </c>
      <c r="D63" s="8" t="str">
        <f t="shared" si="2"/>
        <v>Anwendungsbereich</v>
      </c>
      <c r="E63" s="23" t="s">
        <v>1467</v>
      </c>
      <c r="F63" s="2" t="s">
        <v>702</v>
      </c>
    </row>
    <row r="64" spans="1:6" ht="132.75">
      <c r="A64" s="7">
        <f>ROW()</f>
        <v>64</v>
      </c>
      <c r="B64" s="8" t="s">
        <v>1543</v>
      </c>
      <c r="C64" s="8" t="s">
        <v>1514</v>
      </c>
      <c r="D64" s="8" t="str">
        <f t="shared" si="2"/>
        <v>Grundprinzipien</v>
      </c>
      <c r="E64" s="23" t="s">
        <v>1468</v>
      </c>
      <c r="F64" s="2" t="s">
        <v>728</v>
      </c>
    </row>
    <row r="65" spans="1:6" ht="224.25">
      <c r="A65" s="7">
        <f>ROW()</f>
        <v>65</v>
      </c>
      <c r="B65" s="8" t="s">
        <v>1543</v>
      </c>
      <c r="C65" s="8" t="s">
        <v>1514</v>
      </c>
      <c r="D65" s="8" t="str">
        <f t="shared" si="2"/>
        <v>Voraussetzungen für die Deckung</v>
      </c>
      <c r="E65" s="23" t="s">
        <v>1469</v>
      </c>
      <c r="F65" s="2" t="s">
        <v>752</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787</v>
      </c>
    </row>
    <row r="69" spans="1:6" ht="216">
      <c r="A69" s="7">
        <f>ROW()</f>
        <v>69</v>
      </c>
      <c r="B69" s="8" t="s">
        <v>1543</v>
      </c>
      <c r="C69" s="8" t="s">
        <v>1459</v>
      </c>
      <c r="D69" s="9" t="str">
        <f t="shared" si="2"/>
        <v>Besteuerung von Geldleistungen</v>
      </c>
      <c r="E69" s="23" t="s">
        <v>1456</v>
      </c>
      <c r="F69" s="2" t="s">
        <v>816</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849</v>
      </c>
    </row>
    <row r="72" spans="1:6" ht="195">
      <c r="A72" s="7">
        <f>ROW()</f>
        <v>72</v>
      </c>
      <c r="B72" s="8" t="s">
        <v>1466</v>
      </c>
      <c r="C72" s="8" t="str">
        <f t="shared" si="3"/>
        <v>Grundprinzipien</v>
      </c>
      <c r="D72" s="9" t="str">
        <f t="shared" si="3"/>
        <v>Grundprinzipien</v>
      </c>
      <c r="E72" s="22" t="s">
        <v>1468</v>
      </c>
      <c r="F72" s="2" t="s">
        <v>874</v>
      </c>
    </row>
    <row r="73" spans="1:6" ht="315">
      <c r="A73" s="7">
        <f>ROW()</f>
        <v>73</v>
      </c>
      <c r="B73" s="8" t="s">
        <v>1466</v>
      </c>
      <c r="C73" s="9" t="str">
        <f t="shared" si="3"/>
        <v>Anwendungsbereich (in Bezug auf Verstorbene)</v>
      </c>
      <c r="D73" s="9" t="str">
        <f t="shared" si="3"/>
        <v>Anwendungsbereich (in Bezug auf Verstorbene)</v>
      </c>
      <c r="E73" s="22" t="s">
        <v>1473</v>
      </c>
      <c r="F73" s="2" t="s">
        <v>889</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934</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958</v>
      </c>
    </row>
    <row r="78" spans="1:6" ht="185.25">
      <c r="A78" s="7">
        <f>ROW()</f>
        <v>78</v>
      </c>
      <c r="B78" s="8" t="s">
        <v>1466</v>
      </c>
      <c r="C78" s="8" t="s">
        <v>1544</v>
      </c>
      <c r="D78" s="8" t="str">
        <f t="shared" si="4"/>
        <v>2. Hinterbliebener Ehegatte</v>
      </c>
      <c r="E78" s="23" t="s">
        <v>1546</v>
      </c>
      <c r="F78" s="2" t="s">
        <v>976</v>
      </c>
    </row>
    <row r="79" spans="1:6" ht="181.5">
      <c r="A79" s="7">
        <f>ROW()</f>
        <v>79</v>
      </c>
      <c r="B79" s="8" t="s">
        <v>1466</v>
      </c>
      <c r="C79" s="8" t="s">
        <v>1544</v>
      </c>
      <c r="D79" s="8" t="str">
        <f t="shared" si="4"/>
        <v>3. Geschiedener Ehegatte</v>
      </c>
      <c r="E79" s="23" t="s">
        <v>1547</v>
      </c>
      <c r="F79" s="2" t="s">
        <v>995</v>
      </c>
    </row>
    <row r="80" spans="1:6" ht="216">
      <c r="A80" s="7">
        <f>ROW()</f>
        <v>80</v>
      </c>
      <c r="B80" s="8" t="s">
        <v>1466</v>
      </c>
      <c r="C80" s="8" t="s">
        <v>1544</v>
      </c>
      <c r="D80" s="8" t="str">
        <f t="shared" si="4"/>
        <v>4. Hinterbliebene Lebenspartner</v>
      </c>
      <c r="E80" s="23" t="s">
        <v>1548</v>
      </c>
      <c r="F80" s="2" t="s">
        <v>1018</v>
      </c>
    </row>
    <row r="81" spans="1:6" ht="181.5">
      <c r="A81" s="7">
        <f>ROW()</f>
        <v>81</v>
      </c>
      <c r="B81" s="8" t="s">
        <v>1466</v>
      </c>
      <c r="C81" s="8" t="s">
        <v>1544</v>
      </c>
      <c r="D81" s="8" t="str">
        <f t="shared" si="4"/>
        <v>5. Kinder</v>
      </c>
      <c r="E81" s="23" t="s">
        <v>1549</v>
      </c>
      <c r="F81" s="2" t="s">
        <v>1041</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1076</v>
      </c>
    </row>
    <row r="84" spans="1:6" ht="280.5">
      <c r="A84" s="7">
        <f>ROW()</f>
        <v>84</v>
      </c>
      <c r="B84" s="8" t="s">
        <v>1466</v>
      </c>
      <c r="C84" s="8" t="s">
        <v>1459</v>
      </c>
      <c r="D84" s="9" t="str">
        <f t="shared" si="4"/>
        <v>2. Hinterbliebener Ehegatte: Wiederheirat</v>
      </c>
      <c r="E84" s="23" t="s">
        <v>1552</v>
      </c>
      <c r="F84" s="2" t="s">
        <v>1099</v>
      </c>
    </row>
    <row r="85" spans="1:6" ht="195">
      <c r="A85" s="7">
        <f>ROW()</f>
        <v>85</v>
      </c>
      <c r="B85" s="8" t="s">
        <v>1466</v>
      </c>
      <c r="C85" s="8" t="s">
        <v>1459</v>
      </c>
      <c r="D85" s="9" t="str">
        <f t="shared" si="4"/>
        <v>3. Kinder</v>
      </c>
      <c r="E85" s="23" t="s">
        <v>1553</v>
      </c>
      <c r="F85" s="2" t="s">
        <v>3480</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1182</v>
      </c>
    </row>
    <row r="89" spans="1:6" ht="126.75">
      <c r="A89" s="7">
        <f>ROW()</f>
        <v>89</v>
      </c>
      <c r="B89" s="8" t="s">
        <v>1466</v>
      </c>
      <c r="C89" s="8" t="s">
        <v>1459</v>
      </c>
      <c r="D89" s="9" t="str">
        <f>+E89</f>
        <v>7. Mindestleistung</v>
      </c>
      <c r="E89" s="23" t="s">
        <v>1557</v>
      </c>
      <c r="F89" s="2" t="s">
        <v>1204</v>
      </c>
    </row>
    <row r="90" spans="1:6" ht="122.25">
      <c r="A90" s="7">
        <f>ROW()</f>
        <v>90</v>
      </c>
      <c r="B90" s="8" t="s">
        <v>1466</v>
      </c>
      <c r="C90" s="8" t="s">
        <v>1459</v>
      </c>
      <c r="D90" s="9" t="str">
        <f t="shared" si="4"/>
        <v xml:space="preserve"> 8. Höchstleistung</v>
      </c>
      <c r="E90" s="23" t="s">
        <v>1558</v>
      </c>
      <c r="F90" s="2" t="s">
        <v>1224</v>
      </c>
    </row>
    <row r="91" spans="1:6" ht="179.25">
      <c r="A91" s="7">
        <f>ROW()</f>
        <v>91</v>
      </c>
      <c r="B91" s="8" t="s">
        <v>1466</v>
      </c>
      <c r="C91" s="8" t="s">
        <v>1538</v>
      </c>
      <c r="D91" s="9" t="str">
        <f>+C91</f>
        <v>Indexbindung / Anpassung</v>
      </c>
      <c r="E91" s="22" t="s">
        <v>1538</v>
      </c>
      <c r="F91" s="2" t="s">
        <v>1251</v>
      </c>
    </row>
    <row r="92" spans="1:6" ht="242.25">
      <c r="A92" s="7">
        <f>ROW()</f>
        <v>92</v>
      </c>
      <c r="B92" s="8" t="s">
        <v>1466</v>
      </c>
      <c r="C92" s="8" t="s">
        <v>1538</v>
      </c>
      <c r="D92" s="9" t="str">
        <f t="shared" ref="D92:D105" si="5">+E92</f>
        <v>Kumulation mit Erwerbseinkommen</v>
      </c>
      <c r="E92" s="22" t="s">
        <v>1471</v>
      </c>
      <c r="F92" s="2" t="s">
        <v>1276</v>
      </c>
    </row>
    <row r="93" spans="1:6" ht="275.25">
      <c r="A93" s="7">
        <f>ROW()</f>
        <v>93</v>
      </c>
      <c r="B93" s="8" t="s">
        <v>1466</v>
      </c>
      <c r="C93" s="8" t="s">
        <v>1538</v>
      </c>
      <c r="D93" s="9" t="str">
        <f t="shared" si="5"/>
        <v>Kumulation mit anderen Sozialleistungen</v>
      </c>
      <c r="E93" s="22" t="s">
        <v>1460</v>
      </c>
      <c r="F93" s="2" t="s">
        <v>1304</v>
      </c>
    </row>
    <row r="94" spans="1:6" ht="232.5">
      <c r="A94" s="7">
        <f>ROW()</f>
        <v>94</v>
      </c>
      <c r="B94" s="8" t="s">
        <v>1466</v>
      </c>
      <c r="C94" s="9" t="s">
        <v>1465</v>
      </c>
      <c r="D94" s="9" t="str">
        <f t="shared" si="5"/>
        <v>1. Besteuerung von Geldleistungen</v>
      </c>
      <c r="E94" s="23" t="s">
        <v>1509</v>
      </c>
      <c r="F94" s="2" t="s">
        <v>1326</v>
      </c>
    </row>
    <row r="95" spans="1:6" ht="387">
      <c r="A95" s="7">
        <f>ROW()</f>
        <v>95</v>
      </c>
      <c r="B95" s="8" t="s">
        <v>1466</v>
      </c>
      <c r="C95" s="9" t="s">
        <v>1465</v>
      </c>
      <c r="D95" s="9" t="str">
        <f t="shared" si="5"/>
        <v>2. Einkommensgrenze für Besteuerung von Geldleistungen</v>
      </c>
      <c r="E95" s="23" t="s">
        <v>1511</v>
      </c>
      <c r="F95" s="2" t="s">
        <v>1348</v>
      </c>
    </row>
    <row r="96" spans="1:6" ht="288.75">
      <c r="A96" s="7">
        <f>ROW()</f>
        <v>96</v>
      </c>
      <c r="B96" s="8" t="s">
        <v>1466</v>
      </c>
      <c r="C96" s="9" t="s">
        <v>1465</v>
      </c>
      <c r="D96" s="9" t="str">
        <f t="shared" si="5"/>
        <v>3. Auf Leistungen anfallende Sozialabgaben</v>
      </c>
      <c r="E96" s="23" t="s">
        <v>1512</v>
      </c>
      <c r="F96" s="2" t="s">
        <v>1367</v>
      </c>
    </row>
    <row r="97" spans="1:6" ht="138">
      <c r="A97" s="7">
        <f>ROW()</f>
        <v>97</v>
      </c>
      <c r="B97" s="8" t="s">
        <v>1466</v>
      </c>
      <c r="C97" s="9" t="s">
        <v>1514</v>
      </c>
      <c r="D97" s="9" t="str">
        <f t="shared" si="5"/>
        <v>Anwendungsbereich</v>
      </c>
      <c r="E97" s="23" t="s">
        <v>1467</v>
      </c>
      <c r="F97" s="2" t="s">
        <v>1384</v>
      </c>
    </row>
    <row r="98" spans="1:6" ht="110.25">
      <c r="A98" s="7">
        <f>ROW()</f>
        <v>98</v>
      </c>
      <c r="B98" s="8" t="s">
        <v>1466</v>
      </c>
      <c r="C98" s="9" t="s">
        <v>1514</v>
      </c>
      <c r="D98" s="9" t="str">
        <f t="shared" si="5"/>
        <v>Grundprinzipien</v>
      </c>
      <c r="E98" s="23" t="s">
        <v>1468</v>
      </c>
      <c r="F98" s="2" t="s">
        <v>728</v>
      </c>
    </row>
    <row r="99" spans="1:6" ht="224.25">
      <c r="A99" s="7">
        <f>ROW()</f>
        <v>99</v>
      </c>
      <c r="B99" s="8" t="s">
        <v>1466</v>
      </c>
      <c r="C99" s="9" t="s">
        <v>1514</v>
      </c>
      <c r="D99" s="9" t="str">
        <f t="shared" si="5"/>
        <v>Voraussetzungen für die Deckung</v>
      </c>
      <c r="E99" s="23" t="s">
        <v>1469</v>
      </c>
      <c r="F99" s="2" t="s">
        <v>1409</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787</v>
      </c>
    </row>
    <row r="105" spans="1:6" ht="272.25">
      <c r="A105" s="7">
        <f>ROW()</f>
        <v>105</v>
      </c>
      <c r="B105" s="8" t="s">
        <v>1466</v>
      </c>
      <c r="C105" s="9" t="s">
        <v>1514</v>
      </c>
      <c r="D105" s="9" t="str">
        <f t="shared" si="5"/>
        <v>Auf Leistungen anfallende Sozialabgaben</v>
      </c>
      <c r="E105" s="23" t="s">
        <v>1457</v>
      </c>
      <c r="F105" s="2" t="s">
        <v>787</v>
      </c>
    </row>
  </sheetData>
  <sheetProtection algorithmName="SHA-512" hashValue="7/yv/hxymXThsY7oQIRtEz0MkDUYPiwWBQZFUqzp+aeS8dYkRJPSXQ8Eham8QzHXNniofCdiJ23QjEZfU995lg==" saltValue="j8oBfW0bZNoMNXz3YwZIQg==" spinCount="100000" sheet="1" objects="1" scenarios="1" formatColumns="0" autoFilter="0"/>
  <autoFilter ref="A2:F2" xr:uid="{88061BD2-0941-4A32-B397-148BEE11D5D4}"/>
  <pageMargins left="0.7" right="0.7" top="0.78740157499999996" bottom="0.78740157499999996"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5D1F-1D07-4596-8D79-300672BC6B03}">
  <sheetPr codeName="Tabelle21"/>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19</v>
      </c>
    </row>
    <row r="2" spans="1:6" ht="39.75" customHeight="1">
      <c r="A2" s="128"/>
      <c r="B2" s="129"/>
      <c r="C2" s="126"/>
      <c r="D2" s="126"/>
      <c r="E2" s="124"/>
      <c r="F2" s="162" t="str" cm="1">
        <f t="array" ref="F2">_xlfn.TEXTJOIN("; ", TRUE, IF(Entscheidungen!A2:A100=F1, Entscheidungen!B2:B100, ""))</f>
        <v>AG Schöneberg, 13.07.2015 – 21 F 62/14; AG Schöneberg, 13.07.2015 – 21 F 62/14; KG Berlin, 16.02.2016 – 3 UF 140/15; KG Berlin, 16.02.2016 – 3 UF 140/15; OLG Stuttgart, 26.06.2025 – 11 UF 241/24</v>
      </c>
    </row>
    <row r="3" spans="1:6" ht="177">
      <c r="A3" s="7">
        <f>ROW()</f>
        <v>3</v>
      </c>
      <c r="B3" s="8" t="s">
        <v>1479</v>
      </c>
      <c r="C3" s="8"/>
      <c r="D3" s="8" t="str">
        <f>+E3</f>
        <v>Geltende Rechtsgrundlage</v>
      </c>
      <c r="E3" s="21" t="s">
        <v>1472</v>
      </c>
      <c r="F3" s="2" t="s">
        <v>1806</v>
      </c>
    </row>
    <row r="4" spans="1:6" ht="195">
      <c r="A4" s="7">
        <f>ROW()</f>
        <v>4</v>
      </c>
      <c r="B4" s="8" t="s">
        <v>1479</v>
      </c>
      <c r="C4" s="1"/>
      <c r="D4" s="8" t="str">
        <f t="shared" ref="D4:D34" si="0">+E4</f>
        <v>Grundprinzipien</v>
      </c>
      <c r="E4" s="22" t="s">
        <v>1468</v>
      </c>
      <c r="F4" s="2" t="s">
        <v>3481</v>
      </c>
    </row>
    <row r="5" spans="1:6" ht="375">
      <c r="A5" s="7">
        <f>ROW()</f>
        <v>5</v>
      </c>
      <c r="B5" s="8" t="s">
        <v>1479</v>
      </c>
      <c r="C5" s="1"/>
      <c r="D5" s="8" t="str">
        <f t="shared" si="0"/>
        <v>Gedecktes Risiko: Definition</v>
      </c>
      <c r="E5" s="22" t="s">
        <v>1630</v>
      </c>
      <c r="F5" s="2" t="s">
        <v>3482</v>
      </c>
    </row>
    <row r="6" spans="1:6" ht="144">
      <c r="A6" s="7">
        <f>ROW()</f>
        <v>6</v>
      </c>
      <c r="B6" s="8" t="s">
        <v>1479</v>
      </c>
      <c r="C6" s="8" t="s">
        <v>1453</v>
      </c>
      <c r="D6" s="8" t="str">
        <f t="shared" si="0"/>
        <v>Versicherte Personen</v>
      </c>
      <c r="E6" s="23" t="s">
        <v>1453</v>
      </c>
      <c r="F6" s="2" t="s">
        <v>3483</v>
      </c>
    </row>
    <row r="7" spans="1:6" ht="273">
      <c r="A7" s="7">
        <f>ROW()</f>
        <v>7</v>
      </c>
      <c r="B7" s="8" t="s">
        <v>1479</v>
      </c>
      <c r="C7" s="8" t="str">
        <f>+E6</f>
        <v>Versicherte Personen</v>
      </c>
      <c r="D7" s="8" t="str">
        <f t="shared" si="0"/>
        <v>Ausnahmen von der Versicherungspflicht</v>
      </c>
      <c r="E7" s="23" t="s">
        <v>1458</v>
      </c>
      <c r="F7" s="2" t="s">
        <v>1807</v>
      </c>
    </row>
    <row r="8" spans="1:6" ht="194.25">
      <c r="A8" s="7">
        <f>ROW()</f>
        <v>8</v>
      </c>
      <c r="B8" s="8" t="s">
        <v>1479</v>
      </c>
      <c r="C8" s="9" t="s">
        <v>128</v>
      </c>
      <c r="D8" s="8" t="str">
        <f t="shared" si="0"/>
        <v>1. Anwartschaftszeit</v>
      </c>
      <c r="E8" s="23" t="s">
        <v>1483</v>
      </c>
      <c r="F8" s="2" t="s">
        <v>1808</v>
      </c>
    </row>
    <row r="9" spans="1:6" ht="409.5">
      <c r="A9" s="7">
        <f>ROW()</f>
        <v>9</v>
      </c>
      <c r="B9" s="8" t="s">
        <v>1479</v>
      </c>
      <c r="C9" s="9" t="s">
        <v>128</v>
      </c>
      <c r="D9" s="8" t="str">
        <f t="shared" si="0"/>
        <v xml:space="preserve">2. Begutachtungskriterien und Kategorien der Arbeitsunfähigkeit/Arbeitsfähigkeit  </v>
      </c>
      <c r="E9" s="23" t="s">
        <v>1484</v>
      </c>
      <c r="F9" s="2" t="s">
        <v>1809</v>
      </c>
    </row>
    <row r="10" spans="1:6" ht="222">
      <c r="A10" s="7">
        <f>ROW()</f>
        <v>10</v>
      </c>
      <c r="B10" s="8" t="s">
        <v>1479</v>
      </c>
      <c r="C10" s="9" t="s">
        <v>128</v>
      </c>
      <c r="D10" s="8" t="str">
        <f t="shared" si="0"/>
        <v>3. Zeitraum der Leistungszahlung</v>
      </c>
      <c r="E10" s="23" t="s">
        <v>1486</v>
      </c>
      <c r="F10" s="2" t="s">
        <v>3484</v>
      </c>
    </row>
    <row r="11" spans="1:6" ht="270">
      <c r="A11" s="7">
        <f>ROW()</f>
        <v>11</v>
      </c>
      <c r="B11" s="8" t="s">
        <v>1479</v>
      </c>
      <c r="C11" s="9" t="s">
        <v>1488</v>
      </c>
      <c r="D11" s="8" t="str">
        <f t="shared" si="0"/>
        <v>1. Gutachter</v>
      </c>
      <c r="E11" s="23" t="s">
        <v>1489</v>
      </c>
      <c r="F11" s="2" t="s">
        <v>1810</v>
      </c>
    </row>
    <row r="12" spans="1:6" ht="180">
      <c r="A12" s="7">
        <f>ROW()</f>
        <v>12</v>
      </c>
      <c r="B12" s="8" t="s">
        <v>1479</v>
      </c>
      <c r="C12" s="9" t="s">
        <v>1488</v>
      </c>
      <c r="D12" s="8" t="str">
        <f t="shared" si="0"/>
        <v xml:space="preserve">2. Überprüfung  </v>
      </c>
      <c r="E12" s="23" t="s">
        <v>1490</v>
      </c>
      <c r="F12" s="2" t="s">
        <v>1811</v>
      </c>
    </row>
    <row r="13" spans="1:6" ht="291.75">
      <c r="A13" s="7">
        <f>ROW()</f>
        <v>13</v>
      </c>
      <c r="B13" s="8" t="s">
        <v>1479</v>
      </c>
      <c r="C13" s="8" t="s">
        <v>1459</v>
      </c>
      <c r="D13" s="8" t="str">
        <f t="shared" si="0"/>
        <v>1. Berechnungsmethode bzw. Rentenformel</v>
      </c>
      <c r="E13" s="23" t="s">
        <v>1492</v>
      </c>
      <c r="F13" s="2" t="s">
        <v>1812</v>
      </c>
    </row>
    <row r="14" spans="1:6" ht="343.5">
      <c r="A14" s="7">
        <f>ROW()</f>
        <v>14</v>
      </c>
      <c r="B14" s="8" t="s">
        <v>1479</v>
      </c>
      <c r="C14" s="8" t="s">
        <v>1459</v>
      </c>
      <c r="D14" s="8" t="str">
        <f t="shared" si="0"/>
        <v>2. Referenzeinkommen bzw. Berechnungsgrundlage</v>
      </c>
      <c r="E14" s="23" t="s">
        <v>1493</v>
      </c>
      <c r="F14" s="2" t="s">
        <v>1813</v>
      </c>
    </row>
    <row r="15" spans="1:6" ht="345">
      <c r="A15" s="7">
        <f>ROW()</f>
        <v>15</v>
      </c>
      <c r="B15" s="8" t="s">
        <v>1479</v>
      </c>
      <c r="C15" s="8" t="s">
        <v>1459</v>
      </c>
      <c r="D15" s="8" t="str">
        <f t="shared" si="0"/>
        <v>3. Mindest- und Höchstleistungen</v>
      </c>
      <c r="E15" s="23" t="s">
        <v>1495</v>
      </c>
      <c r="F15" s="2" t="s">
        <v>3485</v>
      </c>
    </row>
    <row r="16" spans="1:6" ht="405">
      <c r="A16" s="7">
        <f>ROW()</f>
        <v>16</v>
      </c>
      <c r="B16" s="8" t="s">
        <v>1479</v>
      </c>
      <c r="C16" s="8" t="s">
        <v>1459</v>
      </c>
      <c r="D16" s="8" t="str">
        <f t="shared" si="0"/>
        <v>4. Anrechenbare oder als Beitragszeiten gewertete Zeiträume</v>
      </c>
      <c r="E16" s="23" t="s">
        <v>1496</v>
      </c>
      <c r="F16" s="2" t="s">
        <v>3486</v>
      </c>
    </row>
    <row r="17" spans="1:6" ht="250.5">
      <c r="A17" s="7">
        <f>ROW()</f>
        <v>17</v>
      </c>
      <c r="B17" s="8" t="s">
        <v>1479</v>
      </c>
      <c r="C17" s="8" t="s">
        <v>1459</v>
      </c>
      <c r="D17" s="8" t="str">
        <f t="shared" si="0"/>
        <v xml:space="preserve">5. Zulagen für Unterhaltsberechtigte  </v>
      </c>
      <c r="E17" s="23" t="s">
        <v>1498</v>
      </c>
      <c r="F17" s="2" t="s">
        <v>1814</v>
      </c>
    </row>
    <row r="18" spans="1:6" ht="135">
      <c r="A18" s="7">
        <f>ROW()</f>
        <v>18</v>
      </c>
      <c r="B18" s="8" t="s">
        <v>1479</v>
      </c>
      <c r="C18" s="8" t="str">
        <f>+E18</f>
        <v>Sonstige Leistungen</v>
      </c>
      <c r="D18" s="8" t="str">
        <f>+E18</f>
        <v>Sonstige Leistungen</v>
      </c>
      <c r="E18" s="22" t="s">
        <v>1455</v>
      </c>
      <c r="F18" s="2" t="s">
        <v>1815</v>
      </c>
    </row>
    <row r="19" spans="1:6" ht="409.5">
      <c r="A19" s="7">
        <f>ROW()</f>
        <v>19</v>
      </c>
      <c r="B19" s="8" t="s">
        <v>1479</v>
      </c>
      <c r="C19" s="8" t="s">
        <v>1500</v>
      </c>
      <c r="D19" s="8" t="str">
        <f t="shared" si="0"/>
        <v>Umschulung, berufsbezogene Rehabilitation</v>
      </c>
      <c r="E19" s="23" t="s">
        <v>1501</v>
      </c>
      <c r="F19" s="2" t="s">
        <v>3487</v>
      </c>
    </row>
    <row r="20" spans="1:6" ht="409.5">
      <c r="A20" s="7">
        <f>ROW()</f>
        <v>20</v>
      </c>
      <c r="B20" s="8" t="s">
        <v>1479</v>
      </c>
      <c r="C20" s="8" t="s">
        <v>1500</v>
      </c>
      <c r="D20" s="8" t="str">
        <f t="shared" si="0"/>
        <v xml:space="preserve">Bevorzugte und reservierte Beschäftigung von Menschen mit Behinderungen  </v>
      </c>
      <c r="E20" s="23" t="s">
        <v>1502</v>
      </c>
      <c r="F20" s="2" t="s">
        <v>3488</v>
      </c>
    </row>
    <row r="21" spans="1:6" ht="171.75">
      <c r="A21" s="7">
        <f>ROW()</f>
        <v>21</v>
      </c>
      <c r="B21" s="8" t="s">
        <v>1479</v>
      </c>
      <c r="C21" s="8" t="s">
        <v>1504</v>
      </c>
      <c r="D21" s="8" t="str">
        <f t="shared" si="0"/>
        <v>Indexbindung/Anpassung</v>
      </c>
      <c r="E21" s="22" t="s">
        <v>1505</v>
      </c>
      <c r="F21" s="2" t="s">
        <v>3489</v>
      </c>
    </row>
    <row r="22" spans="1:6" ht="242.25">
      <c r="A22" s="7">
        <f>ROW()</f>
        <v>22</v>
      </c>
      <c r="B22" s="8" t="s">
        <v>1479</v>
      </c>
      <c r="C22" s="8" t="s">
        <v>1504</v>
      </c>
      <c r="D22" s="8" t="str">
        <f>+E22</f>
        <v>Kumulation mit Erwerbseinkommen</v>
      </c>
      <c r="E22" s="22" t="s">
        <v>1471</v>
      </c>
      <c r="F22" s="2" t="s">
        <v>1816</v>
      </c>
    </row>
    <row r="23" spans="1:6" ht="275.25">
      <c r="A23" s="7">
        <f>ROW()</f>
        <v>23</v>
      </c>
      <c r="B23" s="8" t="s">
        <v>1479</v>
      </c>
      <c r="C23" s="8" t="s">
        <v>1504</v>
      </c>
      <c r="D23" s="8" t="str">
        <f t="shared" si="0"/>
        <v>Kumulation mit anderen Sozialleistungen</v>
      </c>
      <c r="E23" s="22" t="s">
        <v>1460</v>
      </c>
      <c r="F23" s="2" t="s">
        <v>1817</v>
      </c>
    </row>
    <row r="24" spans="1:6" ht="232.5">
      <c r="A24" s="7">
        <f>ROW()</f>
        <v>24</v>
      </c>
      <c r="B24" s="8" t="s">
        <v>1479</v>
      </c>
      <c r="C24" s="8" t="s">
        <v>1465</v>
      </c>
      <c r="D24" s="8" t="str">
        <f t="shared" si="0"/>
        <v>1. Besteuerung von Geldleistungen</v>
      </c>
      <c r="E24" s="23" t="s">
        <v>1509</v>
      </c>
      <c r="F24" s="2" t="s">
        <v>622</v>
      </c>
    </row>
    <row r="25" spans="1:6" ht="387">
      <c r="A25" s="7">
        <f>ROW()</f>
        <v>25</v>
      </c>
      <c r="B25" s="8" t="s">
        <v>1479</v>
      </c>
      <c r="C25" s="8" t="s">
        <v>1465</v>
      </c>
      <c r="D25" s="8" t="str">
        <f t="shared" si="0"/>
        <v>2. Einkommensgrenze für Besteuerung von Geldleistungen</v>
      </c>
      <c r="E25" s="23" t="s">
        <v>1511</v>
      </c>
      <c r="F25" s="2" t="s">
        <v>1818</v>
      </c>
    </row>
    <row r="26" spans="1:6" ht="288.75">
      <c r="A26" s="7">
        <f>ROW()</f>
        <v>26</v>
      </c>
      <c r="B26" s="8" t="s">
        <v>1479</v>
      </c>
      <c r="C26" s="8" t="s">
        <v>1465</v>
      </c>
      <c r="D26" s="8" t="str">
        <f t="shared" si="0"/>
        <v>3. Auf Leistungen anfallende Sozialabgaben</v>
      </c>
      <c r="E26" s="23" t="s">
        <v>1512</v>
      </c>
      <c r="F26" s="2" t="s">
        <v>1819</v>
      </c>
    </row>
    <row r="27" spans="1:6" ht="138">
      <c r="A27" s="7">
        <f>ROW()</f>
        <v>27</v>
      </c>
      <c r="B27" s="8" t="s">
        <v>1479</v>
      </c>
      <c r="C27" s="8" t="s">
        <v>1514</v>
      </c>
      <c r="D27" s="8" t="str">
        <f t="shared" si="0"/>
        <v>Anwendungsbereich</v>
      </c>
      <c r="E27" s="23" t="s">
        <v>1467</v>
      </c>
      <c r="F27" s="2" t="s">
        <v>1820</v>
      </c>
    </row>
    <row r="28" spans="1:6" ht="330">
      <c r="A28" s="7">
        <f>ROW()</f>
        <v>28</v>
      </c>
      <c r="B28" s="8" t="s">
        <v>1479</v>
      </c>
      <c r="C28" s="8" t="s">
        <v>1514</v>
      </c>
      <c r="D28" s="8" t="str">
        <f t="shared" si="0"/>
        <v>Grundprinzipien</v>
      </c>
      <c r="E28" s="23" t="s">
        <v>1468</v>
      </c>
      <c r="F28" s="2" t="s">
        <v>3490</v>
      </c>
    </row>
    <row r="29" spans="1:6" ht="224.25">
      <c r="A29" s="7">
        <f>ROW()</f>
        <v>29</v>
      </c>
      <c r="B29" s="8" t="s">
        <v>1479</v>
      </c>
      <c r="C29" s="8" t="s">
        <v>1514</v>
      </c>
      <c r="D29" s="8" t="str">
        <f t="shared" si="0"/>
        <v>Voraussetzungen für die Deckung</v>
      </c>
      <c r="E29" s="23" t="s">
        <v>1469</v>
      </c>
      <c r="F29" s="2" t="s">
        <v>1821</v>
      </c>
    </row>
    <row r="30" spans="1:6" ht="409.5">
      <c r="A30" s="7">
        <f>ROW()</f>
        <v>30</v>
      </c>
      <c r="B30" s="8" t="s">
        <v>1479</v>
      </c>
      <c r="C30" s="8" t="s">
        <v>1514</v>
      </c>
      <c r="D30" s="9" t="str">
        <f t="shared" si="0"/>
        <v>Kombination von selbstständiger und unselbstständiger Tätigkeit</v>
      </c>
      <c r="E30" s="23" t="s">
        <v>1462</v>
      </c>
      <c r="F30" s="2" t="s">
        <v>774</v>
      </c>
    </row>
    <row r="31" spans="1:6" ht="376.5">
      <c r="A31" s="7">
        <f>ROW()</f>
        <v>31</v>
      </c>
      <c r="B31" s="8" t="s">
        <v>1479</v>
      </c>
      <c r="C31" s="8" t="s">
        <v>1459</v>
      </c>
      <c r="D31" s="9" t="str">
        <f t="shared" si="0"/>
        <v xml:space="preserve">Voraussetzungen für den Zugang zu Diensten/Leistungen </v>
      </c>
      <c r="E31" s="23" t="s">
        <v>1463</v>
      </c>
      <c r="F31" s="2" t="s">
        <v>1822</v>
      </c>
    </row>
    <row r="32" spans="1:6" ht="253.5">
      <c r="A32" s="7">
        <f>ROW()</f>
        <v>32</v>
      </c>
      <c r="B32" s="8" t="s">
        <v>1479</v>
      </c>
      <c r="C32" s="8" t="s">
        <v>1459</v>
      </c>
      <c r="D32" s="8" t="str">
        <f t="shared" si="0"/>
        <v>Beträge, Dauer und Kostenbeteiligung</v>
      </c>
      <c r="E32" s="23" t="s">
        <v>1464</v>
      </c>
      <c r="F32" s="2" t="s">
        <v>1823</v>
      </c>
    </row>
    <row r="33" spans="1:6" ht="216">
      <c r="A33" s="7">
        <f>ROW()</f>
        <v>33</v>
      </c>
      <c r="B33" s="8" t="s">
        <v>1479</v>
      </c>
      <c r="C33" s="8" t="s">
        <v>1459</v>
      </c>
      <c r="D33" s="8" t="str">
        <f t="shared" si="0"/>
        <v>Besteuerung von Geldleistungen</v>
      </c>
      <c r="E33" s="23" t="s">
        <v>1456</v>
      </c>
      <c r="F33" s="2" t="s">
        <v>1824</v>
      </c>
    </row>
    <row r="34" spans="1:6" ht="276.75">
      <c r="A34" s="7">
        <f>ROW()</f>
        <v>34</v>
      </c>
      <c r="B34" s="8" t="s">
        <v>1479</v>
      </c>
      <c r="C34" s="8" t="s">
        <v>1459</v>
      </c>
      <c r="D34" s="8" t="str">
        <f t="shared" si="0"/>
        <v xml:space="preserve"> Auf Leistungen anfallende Sozialabgaben</v>
      </c>
      <c r="E34" s="23" t="s">
        <v>1518</v>
      </c>
      <c r="F34" s="2" t="s">
        <v>792</v>
      </c>
    </row>
    <row r="35" spans="1:6" ht="177">
      <c r="A35" s="7">
        <f>ROW()</f>
        <v>35</v>
      </c>
      <c r="B35" s="8" t="s">
        <v>1519</v>
      </c>
      <c r="C35" s="8" t="str">
        <f>+D35</f>
        <v>Geltende Rechtsgrundlage</v>
      </c>
      <c r="D35" s="8" t="str">
        <f>+E35</f>
        <v>Geltende Rechtsgrundlage</v>
      </c>
      <c r="E35" s="22" t="s">
        <v>1472</v>
      </c>
      <c r="F35" s="2" t="s">
        <v>49</v>
      </c>
    </row>
    <row r="36" spans="1:6" ht="135">
      <c r="A36" s="7">
        <f>ROW()</f>
        <v>36</v>
      </c>
      <c r="B36" s="8" t="s">
        <v>1519</v>
      </c>
      <c r="C36" s="8" t="str">
        <f>+D36</f>
        <v>Grundprinzipien</v>
      </c>
      <c r="D36" s="8" t="str">
        <f>+E36</f>
        <v>Grundprinzipien</v>
      </c>
      <c r="E36" s="22" t="s">
        <v>1468</v>
      </c>
      <c r="F36" s="2" t="s">
        <v>75</v>
      </c>
    </row>
    <row r="37" spans="1:6" ht="159.75">
      <c r="A37" s="7">
        <f>ROW()</f>
        <v>37</v>
      </c>
      <c r="B37" s="8" t="s">
        <v>1519</v>
      </c>
      <c r="C37" s="8" t="s">
        <v>1467</v>
      </c>
      <c r="D37" s="8" t="str">
        <f>+E37</f>
        <v>1. Versicherte Personen</v>
      </c>
      <c r="E37" s="23" t="s">
        <v>1520</v>
      </c>
      <c r="F37" s="2" t="s">
        <v>3491</v>
      </c>
    </row>
    <row r="38" spans="1:6" ht="371.25">
      <c r="A38" s="7">
        <f>ROW()</f>
        <v>38</v>
      </c>
      <c r="B38" s="8" t="s">
        <v>1519</v>
      </c>
      <c r="C38" s="8" t="s">
        <v>1467</v>
      </c>
      <c r="D38" s="8" t="str">
        <f t="shared" ref="D38:D58" si="1">+E38</f>
        <v>2. Ausnahmen von der Deckung  der Pflichtversicherung</v>
      </c>
      <c r="E38" s="23" t="s">
        <v>1521</v>
      </c>
      <c r="F38" s="2" t="s">
        <v>122</v>
      </c>
    </row>
    <row r="39" spans="1:6" ht="194.25">
      <c r="A39" s="7">
        <f>ROW()</f>
        <v>39</v>
      </c>
      <c r="B39" s="8" t="s">
        <v>1519</v>
      </c>
      <c r="C39" s="8" t="s">
        <v>128</v>
      </c>
      <c r="D39" s="8" t="str">
        <f t="shared" si="1"/>
        <v>1. Rentenalter</v>
      </c>
      <c r="E39" s="23" t="s">
        <v>1523</v>
      </c>
      <c r="F39" s="3" t="s">
        <v>1825</v>
      </c>
    </row>
    <row r="40" spans="1:6" ht="409.5">
      <c r="A40" s="7">
        <f>ROW()</f>
        <v>40</v>
      </c>
      <c r="B40" s="8" t="s">
        <v>1519</v>
      </c>
      <c r="C40" s="8" t="s">
        <v>128</v>
      </c>
      <c r="D40" s="8" t="str">
        <f t="shared" si="1"/>
        <v>2. Anwartschaftszeit und sonstige Anspruchsvoraussetzungen für den Bezug einer Altersrente</v>
      </c>
      <c r="E40" s="23" t="s">
        <v>1524</v>
      </c>
      <c r="F40" s="2" t="s">
        <v>1826</v>
      </c>
    </row>
    <row r="41" spans="1:6" ht="194.25">
      <c r="A41" s="7">
        <f>ROW()</f>
        <v>41</v>
      </c>
      <c r="B41" s="8" t="s">
        <v>1519</v>
      </c>
      <c r="C41" s="8" t="s">
        <v>128</v>
      </c>
      <c r="D41" s="8" t="str">
        <f t="shared" si="1"/>
        <v>3. Vorruhestand</v>
      </c>
      <c r="E41" s="23" t="s">
        <v>1525</v>
      </c>
      <c r="F41" s="2" t="s">
        <v>185</v>
      </c>
    </row>
    <row r="42" spans="1:6" ht="264">
      <c r="A42" s="7">
        <f>ROW()</f>
        <v>42</v>
      </c>
      <c r="B42" s="8" t="s">
        <v>1519</v>
      </c>
      <c r="C42" s="8" t="s">
        <v>128</v>
      </c>
      <c r="D42" s="8" t="str">
        <f t="shared" si="1"/>
        <v>4. Beschwerliche und gefährliche Arbeit</v>
      </c>
      <c r="E42" s="23" t="s">
        <v>1526</v>
      </c>
      <c r="F42" s="2" t="s">
        <v>3492</v>
      </c>
    </row>
    <row r="43" spans="1:6" ht="194.25">
      <c r="A43" s="7">
        <f>ROW()</f>
        <v>43</v>
      </c>
      <c r="B43" s="8" t="s">
        <v>1519</v>
      </c>
      <c r="C43" s="8" t="s">
        <v>128</v>
      </c>
      <c r="D43" s="8" t="str">
        <f t="shared" si="1"/>
        <v>5. Rentenaufschub</v>
      </c>
      <c r="E43" s="23" t="s">
        <v>1527</v>
      </c>
      <c r="F43" s="2" t="s">
        <v>226</v>
      </c>
    </row>
    <row r="44" spans="1:6" ht="174">
      <c r="A44" s="7">
        <f>ROW()</f>
        <v>44</v>
      </c>
      <c r="B44" s="8" t="s">
        <v>1519</v>
      </c>
      <c r="C44" s="8" t="s">
        <v>1459</v>
      </c>
      <c r="D44" s="8" t="str">
        <f t="shared" si="1"/>
        <v>1. Bestimmende Faktoren</v>
      </c>
      <c r="E44" s="23" t="s">
        <v>1528</v>
      </c>
      <c r="F44" s="2" t="s">
        <v>246</v>
      </c>
    </row>
    <row r="45" spans="1:6" ht="349.5">
      <c r="A45" s="7">
        <f>ROW()</f>
        <v>45</v>
      </c>
      <c r="B45" s="8" t="s">
        <v>1519</v>
      </c>
      <c r="C45" s="8" t="s">
        <v>1459</v>
      </c>
      <c r="D45" s="8" t="str">
        <f t="shared" si="1"/>
        <v>2. Berechnungsmethode, Rentenformel bzw. Beträge</v>
      </c>
      <c r="E45" s="23" t="s">
        <v>1529</v>
      </c>
      <c r="F45" s="2" t="s">
        <v>263</v>
      </c>
    </row>
    <row r="46" spans="1:6" ht="343.5">
      <c r="A46" s="7">
        <f>ROW()</f>
        <v>46</v>
      </c>
      <c r="B46" s="8" t="s">
        <v>1519</v>
      </c>
      <c r="C46" s="8" t="s">
        <v>1459</v>
      </c>
      <c r="D46" s="8" t="str">
        <f t="shared" si="1"/>
        <v>3. Referenzeinkommen bzw. Berechnungsgrundlage</v>
      </c>
      <c r="E46" s="23" t="s">
        <v>1530</v>
      </c>
      <c r="F46" s="2" t="s">
        <v>287</v>
      </c>
    </row>
    <row r="47" spans="1:6" ht="405">
      <c r="A47" s="7">
        <f>ROW()</f>
        <v>47</v>
      </c>
      <c r="B47" s="8" t="s">
        <v>1519</v>
      </c>
      <c r="C47" s="8" t="s">
        <v>1459</v>
      </c>
      <c r="D47" s="8" t="str">
        <f t="shared" si="1"/>
        <v>4. Anrechenbare oder als Beitragszeiten gewertete Zeiträume</v>
      </c>
      <c r="E47" s="23" t="s">
        <v>1496</v>
      </c>
      <c r="F47" s="2" t="s">
        <v>3493</v>
      </c>
    </row>
    <row r="48" spans="1:6" ht="243.75">
      <c r="A48" s="7">
        <f>ROW()</f>
        <v>48</v>
      </c>
      <c r="B48" s="8" t="s">
        <v>1519</v>
      </c>
      <c r="C48" s="8" t="s">
        <v>1459</v>
      </c>
      <c r="D48" s="8" t="str">
        <f t="shared" si="1"/>
        <v>5. Rückkauf von Versicherungszeiten</v>
      </c>
      <c r="E48" s="23" t="s">
        <v>1531</v>
      </c>
      <c r="F48" s="2" t="s">
        <v>3494</v>
      </c>
    </row>
    <row r="49" spans="1:6" ht="246">
      <c r="A49" s="7">
        <f>ROW()</f>
        <v>49</v>
      </c>
      <c r="B49" s="8" t="s">
        <v>1519</v>
      </c>
      <c r="C49" s="8" t="s">
        <v>1459</v>
      </c>
      <c r="D49" s="8" t="str">
        <f t="shared" si="1"/>
        <v>6.  Zulagen für Unterhaltsberechtigte</v>
      </c>
      <c r="E49" s="23" t="s">
        <v>1631</v>
      </c>
      <c r="F49" s="2" t="s">
        <v>341</v>
      </c>
    </row>
    <row r="50" spans="1:6" ht="145.5">
      <c r="A50" s="7">
        <f>ROW()</f>
        <v>50</v>
      </c>
      <c r="B50" s="8" t="s">
        <v>1519</v>
      </c>
      <c r="C50" s="8" t="s">
        <v>1459</v>
      </c>
      <c r="D50" s="8" t="str">
        <f t="shared" si="1"/>
        <v>7. Besondere Zulagen</v>
      </c>
      <c r="E50" s="23" t="s">
        <v>1532</v>
      </c>
      <c r="F50" s="2" t="s">
        <v>360</v>
      </c>
    </row>
    <row r="51" spans="1:6" ht="360.75">
      <c r="A51" s="7">
        <f>ROW()</f>
        <v>51</v>
      </c>
      <c r="B51" s="8" t="s">
        <v>1519</v>
      </c>
      <c r="C51" s="8" t="s">
        <v>1459</v>
      </c>
      <c r="D51" s="8" t="str">
        <f t="shared" si="1"/>
        <v>8. Mindestrente und bedürftigkeitsabhängige Leistung</v>
      </c>
      <c r="E51" s="23" t="s">
        <v>1533</v>
      </c>
      <c r="F51" s="2" t="s">
        <v>3495</v>
      </c>
    </row>
    <row r="52" spans="1:6" ht="101.25">
      <c r="A52" s="7">
        <f>ROW()</f>
        <v>52</v>
      </c>
      <c r="B52" s="8" t="s">
        <v>1519</v>
      </c>
      <c r="C52" s="8" t="s">
        <v>1459</v>
      </c>
      <c r="D52" s="8" t="str">
        <f t="shared" si="1"/>
        <v>9. Höchstrente</v>
      </c>
      <c r="E52" s="23" t="s">
        <v>1534</v>
      </c>
      <c r="F52" s="2" t="s">
        <v>410</v>
      </c>
    </row>
    <row r="53" spans="1:6" ht="119.25">
      <c r="A53" s="7">
        <f>ROW()</f>
        <v>53</v>
      </c>
      <c r="B53" s="8" t="s">
        <v>1519</v>
      </c>
      <c r="C53" s="8" t="s">
        <v>1459</v>
      </c>
      <c r="D53" s="8" t="str">
        <f t="shared" si="1"/>
        <v>10. Vorruhestand</v>
      </c>
      <c r="E53" s="23" t="s">
        <v>1535</v>
      </c>
      <c r="F53" s="2" t="s">
        <v>438</v>
      </c>
    </row>
    <row r="54" spans="1:6" ht="272.25">
      <c r="A54" s="7">
        <f>ROW()</f>
        <v>54</v>
      </c>
      <c r="B54" s="8" t="s">
        <v>1519</v>
      </c>
      <c r="C54" s="8" t="s">
        <v>1459</v>
      </c>
      <c r="D54" s="8" t="str">
        <f t="shared" si="1"/>
        <v>11. Beschwerliche und gefährliche Arbeit</v>
      </c>
      <c r="E54" s="23" t="s">
        <v>1536</v>
      </c>
      <c r="F54" s="2" t="s">
        <v>463</v>
      </c>
    </row>
    <row r="55" spans="1:6" ht="180">
      <c r="A55" s="7">
        <f>ROW()</f>
        <v>55</v>
      </c>
      <c r="B55" s="8" t="s">
        <v>1519</v>
      </c>
      <c r="C55" s="8" t="s">
        <v>1459</v>
      </c>
      <c r="D55" s="8" t="str">
        <f t="shared" si="1"/>
        <v>12. Teilrente</v>
      </c>
      <c r="E55" s="23" t="s">
        <v>1537</v>
      </c>
      <c r="F55" s="2" t="s">
        <v>488</v>
      </c>
    </row>
    <row r="56" spans="1:6" ht="171.75">
      <c r="A56" s="7">
        <f>ROW()</f>
        <v>56</v>
      </c>
      <c r="B56" s="8" t="s">
        <v>1519</v>
      </c>
      <c r="C56" s="8" t="s">
        <v>1459</v>
      </c>
      <c r="D56" s="8" t="str">
        <f t="shared" si="1"/>
        <v>13. Aufgeschobene Rente</v>
      </c>
      <c r="E56" s="23" t="s">
        <v>1632</v>
      </c>
      <c r="F56" s="2" t="s">
        <v>517</v>
      </c>
    </row>
    <row r="57" spans="1:6" ht="180">
      <c r="A57" s="7">
        <f>ROW()</f>
        <v>57</v>
      </c>
      <c r="B57" s="8" t="s">
        <v>1519</v>
      </c>
      <c r="C57" s="8" t="s">
        <v>1538</v>
      </c>
      <c r="D57" s="8" t="s">
        <v>1538</v>
      </c>
      <c r="E57" s="22" t="s">
        <v>1538</v>
      </c>
      <c r="F57" s="2" t="s">
        <v>3496</v>
      </c>
    </row>
    <row r="58" spans="1:6" ht="246">
      <c r="A58" s="7">
        <f>ROW()</f>
        <v>58</v>
      </c>
      <c r="B58" s="8" t="s">
        <v>1519</v>
      </c>
      <c r="C58" s="8" t="s">
        <v>1538</v>
      </c>
      <c r="D58" s="8" t="str">
        <f t="shared" si="1"/>
        <v xml:space="preserve">Kumulation mit Erwerbseinkommen </v>
      </c>
      <c r="E58" s="22" t="s">
        <v>1461</v>
      </c>
      <c r="F58" s="2" t="s">
        <v>573</v>
      </c>
    </row>
    <row r="59" spans="1:6" ht="286.5">
      <c r="A59" s="7">
        <f>ROW()</f>
        <v>59</v>
      </c>
      <c r="B59" s="8" t="s">
        <v>1519</v>
      </c>
      <c r="C59" s="8" t="s">
        <v>1538</v>
      </c>
      <c r="D59" s="8" t="s">
        <v>1539</v>
      </c>
      <c r="E59" s="22" t="s">
        <v>1460</v>
      </c>
      <c r="F59" s="2" t="s">
        <v>601</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655</v>
      </c>
    </row>
    <row r="62" spans="1:6" ht="264">
      <c r="A62" s="7">
        <f>ROW()</f>
        <v>62</v>
      </c>
      <c r="B62" s="8" t="s">
        <v>1519</v>
      </c>
      <c r="C62" s="8" t="s">
        <v>612</v>
      </c>
      <c r="D62" s="8" t="str">
        <f t="shared" si="2"/>
        <v>3. Auf Renten anfallende Sozialabgaben</v>
      </c>
      <c r="E62" s="23" t="s">
        <v>1542</v>
      </c>
      <c r="F62" s="2" t="s">
        <v>679</v>
      </c>
    </row>
    <row r="63" spans="1:6" ht="138">
      <c r="A63" s="7">
        <f>ROW()</f>
        <v>63</v>
      </c>
      <c r="B63" s="8" t="s">
        <v>1543</v>
      </c>
      <c r="C63" s="8" t="str">
        <f>+E63</f>
        <v>Anwendungsbereich</v>
      </c>
      <c r="D63" s="8" t="str">
        <f t="shared" si="2"/>
        <v>Anwendungsbereich</v>
      </c>
      <c r="E63" s="23" t="s">
        <v>1467</v>
      </c>
      <c r="F63" s="2" t="s">
        <v>703</v>
      </c>
    </row>
    <row r="64" spans="1:6" ht="360">
      <c r="A64" s="7">
        <f>ROW()</f>
        <v>64</v>
      </c>
      <c r="B64" s="8" t="s">
        <v>1543</v>
      </c>
      <c r="C64" s="8" t="s">
        <v>1514</v>
      </c>
      <c r="D64" s="8" t="str">
        <f t="shared" si="2"/>
        <v>Grundprinzipien</v>
      </c>
      <c r="E64" s="23" t="s">
        <v>1468</v>
      </c>
      <c r="F64" s="2" t="s">
        <v>3497</v>
      </c>
    </row>
    <row r="65" spans="1:6" ht="224.25">
      <c r="A65" s="7">
        <f>ROW()</f>
        <v>65</v>
      </c>
      <c r="B65" s="8" t="s">
        <v>1543</v>
      </c>
      <c r="C65" s="8" t="s">
        <v>1514</v>
      </c>
      <c r="D65" s="8" t="str">
        <f t="shared" si="2"/>
        <v>Voraussetzungen für die Deckung</v>
      </c>
      <c r="E65" s="23" t="s">
        <v>1469</v>
      </c>
      <c r="F65" s="2" t="s">
        <v>753</v>
      </c>
    </row>
    <row r="66" spans="1:6" ht="409.5">
      <c r="A66" s="7">
        <f>ROW()</f>
        <v>66</v>
      </c>
      <c r="B66" s="8" t="s">
        <v>1543</v>
      </c>
      <c r="C66" s="8" t="s">
        <v>1514</v>
      </c>
      <c r="D66" s="8" t="str">
        <f t="shared" si="2"/>
        <v>Kombination von selbstständiger und unselbstständiger Tätigkeit</v>
      </c>
      <c r="E66" s="23" t="s">
        <v>1462</v>
      </c>
      <c r="F66" s="2" t="s">
        <v>774</v>
      </c>
    </row>
    <row r="67" spans="1:6" ht="376.5">
      <c r="A67" s="7">
        <f>ROW()</f>
        <v>67</v>
      </c>
      <c r="B67" s="8" t="s">
        <v>1543</v>
      </c>
      <c r="C67" s="8" t="s">
        <v>1459</v>
      </c>
      <c r="D67" s="9" t="str">
        <f t="shared" si="2"/>
        <v xml:space="preserve">Voraussetzungen für den Zugang zu Diensten/Leistungen </v>
      </c>
      <c r="E67" s="23" t="s">
        <v>1463</v>
      </c>
      <c r="F67" s="2" t="s">
        <v>792</v>
      </c>
    </row>
    <row r="68" spans="1:6" ht="253.5">
      <c r="A68" s="7">
        <f>ROW()</f>
        <v>68</v>
      </c>
      <c r="B68" s="8" t="s">
        <v>1543</v>
      </c>
      <c r="C68" s="8" t="s">
        <v>1459</v>
      </c>
      <c r="D68" s="9" t="str">
        <f t="shared" si="2"/>
        <v>Beträge, Dauer und Kostenbeteiligung</v>
      </c>
      <c r="E68" s="23" t="s">
        <v>1464</v>
      </c>
      <c r="F68" s="2" t="s">
        <v>803</v>
      </c>
    </row>
    <row r="69" spans="1:6" ht="216">
      <c r="A69" s="7">
        <f>ROW()</f>
        <v>69</v>
      </c>
      <c r="B69" s="8" t="s">
        <v>1543</v>
      </c>
      <c r="C69" s="8" t="s">
        <v>1459</v>
      </c>
      <c r="D69" s="9" t="str">
        <f t="shared" si="2"/>
        <v>Besteuerung von Geldleistungen</v>
      </c>
      <c r="E69" s="23" t="s">
        <v>1456</v>
      </c>
      <c r="F69" s="2" t="s">
        <v>817</v>
      </c>
    </row>
    <row r="70" spans="1:6" ht="272.25">
      <c r="A70" s="7">
        <f>ROW()</f>
        <v>70</v>
      </c>
      <c r="B70" s="8" t="s">
        <v>1543</v>
      </c>
      <c r="C70" s="8" t="s">
        <v>1459</v>
      </c>
      <c r="D70" s="9" t="str">
        <f t="shared" si="2"/>
        <v>Auf Leistungen anfallende Sozialabgaben</v>
      </c>
      <c r="E70" s="23" t="s">
        <v>1457</v>
      </c>
      <c r="F70" s="2" t="s">
        <v>792</v>
      </c>
    </row>
    <row r="71" spans="1:6" ht="177">
      <c r="A71" s="7">
        <f>ROW()</f>
        <v>71</v>
      </c>
      <c r="B71" s="8" t="s">
        <v>1466</v>
      </c>
      <c r="C71" s="8" t="str">
        <f t="shared" ref="C71:D75" si="3">+D71</f>
        <v>Geltende Rechtsgrundlage</v>
      </c>
      <c r="D71" s="9" t="str">
        <f t="shared" si="3"/>
        <v>Geltende Rechtsgrundlage</v>
      </c>
      <c r="E71" s="22" t="s">
        <v>1472</v>
      </c>
      <c r="F71" s="2" t="s">
        <v>49</v>
      </c>
    </row>
    <row r="72" spans="1:6" ht="110.25">
      <c r="A72" s="7">
        <f>ROW()</f>
        <v>72</v>
      </c>
      <c r="B72" s="8" t="s">
        <v>1466</v>
      </c>
      <c r="C72" s="8" t="str">
        <f t="shared" si="3"/>
        <v>Grundprinzipien</v>
      </c>
      <c r="D72" s="9" t="str">
        <f t="shared" si="3"/>
        <v>Grundprinzipien</v>
      </c>
      <c r="E72" s="22" t="s">
        <v>1468</v>
      </c>
      <c r="F72" s="2" t="s">
        <v>875</v>
      </c>
    </row>
    <row r="73" spans="1:6" ht="315">
      <c r="A73" s="7">
        <f>ROW()</f>
        <v>73</v>
      </c>
      <c r="B73" s="8" t="s">
        <v>1466</v>
      </c>
      <c r="C73" s="9" t="str">
        <f t="shared" si="3"/>
        <v>Anwendungsbereich (in Bezug auf Verstorbene)</v>
      </c>
      <c r="D73" s="9" t="str">
        <f t="shared" si="3"/>
        <v>Anwendungsbereich (in Bezug auf Verstorbene)</v>
      </c>
      <c r="E73" s="22" t="s">
        <v>1473</v>
      </c>
      <c r="F73" s="2" t="s">
        <v>3498</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122</v>
      </c>
    </row>
    <row r="75" spans="1:6" ht="165">
      <c r="A75" s="7">
        <f>ROW()</f>
        <v>75</v>
      </c>
      <c r="B75" s="8" t="s">
        <v>1466</v>
      </c>
      <c r="C75" s="9" t="str">
        <f t="shared" si="3"/>
        <v>Berechtigte Personen</v>
      </c>
      <c r="D75" s="9" t="str">
        <f t="shared" si="3"/>
        <v>Berechtigte Personen</v>
      </c>
      <c r="E75" s="22" t="s">
        <v>1477</v>
      </c>
      <c r="F75" s="2" t="s">
        <v>935</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959</v>
      </c>
    </row>
    <row r="78" spans="1:6" ht="185.25">
      <c r="A78" s="7">
        <f>ROW()</f>
        <v>78</v>
      </c>
      <c r="B78" s="8" t="s">
        <v>1466</v>
      </c>
      <c r="C78" s="8" t="s">
        <v>1544</v>
      </c>
      <c r="D78" s="8" t="str">
        <f t="shared" si="4"/>
        <v>2. Hinterbliebener Ehegatte</v>
      </c>
      <c r="E78" s="23" t="s">
        <v>1546</v>
      </c>
      <c r="F78" s="2" t="s">
        <v>977</v>
      </c>
    </row>
    <row r="79" spans="1:6" ht="181.5">
      <c r="A79" s="7">
        <f>ROW()</f>
        <v>79</v>
      </c>
      <c r="B79" s="8" t="s">
        <v>1466</v>
      </c>
      <c r="C79" s="8" t="s">
        <v>1544</v>
      </c>
      <c r="D79" s="8" t="str">
        <f t="shared" si="4"/>
        <v>3. Geschiedener Ehegatte</v>
      </c>
      <c r="E79" s="23" t="s">
        <v>1547</v>
      </c>
      <c r="F79" s="2" t="s">
        <v>996</v>
      </c>
    </row>
    <row r="80" spans="1:6" ht="216">
      <c r="A80" s="7">
        <f>ROW()</f>
        <v>80</v>
      </c>
      <c r="B80" s="8" t="s">
        <v>1466</v>
      </c>
      <c r="C80" s="8" t="s">
        <v>1544</v>
      </c>
      <c r="D80" s="8" t="str">
        <f t="shared" si="4"/>
        <v>4. Hinterbliebene Lebenspartner</v>
      </c>
      <c r="E80" s="23" t="s">
        <v>1548</v>
      </c>
      <c r="F80" s="2" t="s">
        <v>1019</v>
      </c>
    </row>
    <row r="81" spans="1:6" ht="181.5">
      <c r="A81" s="7">
        <f>ROW()</f>
        <v>81</v>
      </c>
      <c r="B81" s="8" t="s">
        <v>1466</v>
      </c>
      <c r="C81" s="8" t="s">
        <v>1544</v>
      </c>
      <c r="D81" s="8" t="str">
        <f t="shared" si="4"/>
        <v>5. Kinder</v>
      </c>
      <c r="E81" s="23" t="s">
        <v>1549</v>
      </c>
      <c r="F81" s="2" t="s">
        <v>1042</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3" t="s">
        <v>3152</v>
      </c>
    </row>
    <row r="84" spans="1:6" ht="280.5">
      <c r="A84" s="7">
        <f>ROW()</f>
        <v>84</v>
      </c>
      <c r="B84" s="8" t="s">
        <v>1466</v>
      </c>
      <c r="C84" s="8" t="s">
        <v>1459</v>
      </c>
      <c r="D84" s="9" t="str">
        <f t="shared" si="4"/>
        <v>2. Hinterbliebener Ehegatte: Wiederheirat</v>
      </c>
      <c r="E84" s="23" t="s">
        <v>1552</v>
      </c>
      <c r="F84" s="2" t="s">
        <v>1100</v>
      </c>
    </row>
    <row r="85" spans="1:6" ht="105">
      <c r="A85" s="7">
        <f>ROW()</f>
        <v>85</v>
      </c>
      <c r="B85" s="8" t="s">
        <v>1466</v>
      </c>
      <c r="C85" s="8" t="s">
        <v>1459</v>
      </c>
      <c r="D85" s="9" t="str">
        <f t="shared" si="4"/>
        <v>3. Kinder</v>
      </c>
      <c r="E85" s="23" t="s">
        <v>1553</v>
      </c>
      <c r="F85" s="2" t="s">
        <v>1122</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1157</v>
      </c>
    </row>
    <row r="88" spans="1:6" ht="285">
      <c r="A88" s="7">
        <f>ROW()</f>
        <v>88</v>
      </c>
      <c r="B88" s="8" t="s">
        <v>1466</v>
      </c>
      <c r="C88" s="8" t="s">
        <v>1459</v>
      </c>
      <c r="D88" s="9" t="str">
        <f t="shared" si="4"/>
        <v>6. Sonstige Leistungen</v>
      </c>
      <c r="E88" s="23" t="s">
        <v>1556</v>
      </c>
      <c r="F88" s="2" t="s">
        <v>3499</v>
      </c>
    </row>
    <row r="89" spans="1:6" ht="165">
      <c r="A89" s="7">
        <f>ROW()</f>
        <v>89</v>
      </c>
      <c r="B89" s="8" t="s">
        <v>1466</v>
      </c>
      <c r="C89" s="8" t="s">
        <v>1459</v>
      </c>
      <c r="D89" s="9" t="str">
        <f>+E89</f>
        <v>7. Mindestleistung</v>
      </c>
      <c r="E89" s="23" t="s">
        <v>1557</v>
      </c>
      <c r="F89" s="2" t="s">
        <v>3500</v>
      </c>
    </row>
    <row r="90" spans="1:6" ht="122.25">
      <c r="A90" s="7">
        <f>ROW()</f>
        <v>90</v>
      </c>
      <c r="B90" s="8" t="s">
        <v>1466</v>
      </c>
      <c r="C90" s="8" t="s">
        <v>1459</v>
      </c>
      <c r="D90" s="9" t="str">
        <f t="shared" si="4"/>
        <v xml:space="preserve"> 8. Höchstleistung</v>
      </c>
      <c r="E90" s="23" t="s">
        <v>1558</v>
      </c>
      <c r="F90" s="2" t="s">
        <v>1225</v>
      </c>
    </row>
    <row r="91" spans="1:6" ht="180">
      <c r="A91" s="7">
        <f>ROW()</f>
        <v>91</v>
      </c>
      <c r="B91" s="8" t="s">
        <v>1466</v>
      </c>
      <c r="C91" s="8" t="s">
        <v>1538</v>
      </c>
      <c r="D91" s="9" t="str">
        <f>+C91</f>
        <v>Indexbindung / Anpassung</v>
      </c>
      <c r="E91" s="22" t="s">
        <v>1538</v>
      </c>
      <c r="F91" s="2" t="s">
        <v>3501</v>
      </c>
    </row>
    <row r="92" spans="1:6" ht="242.25">
      <c r="A92" s="7">
        <f>ROW()</f>
        <v>92</v>
      </c>
      <c r="B92" s="8" t="s">
        <v>1466</v>
      </c>
      <c r="C92" s="8" t="s">
        <v>1538</v>
      </c>
      <c r="D92" s="9" t="str">
        <f t="shared" ref="D92:D105" si="5">+E92</f>
        <v>Kumulation mit Erwerbseinkommen</v>
      </c>
      <c r="E92" s="22" t="s">
        <v>1471</v>
      </c>
      <c r="F92" s="2" t="s">
        <v>1277</v>
      </c>
    </row>
    <row r="93" spans="1:6" ht="275.25">
      <c r="A93" s="7">
        <f>ROW()</f>
        <v>93</v>
      </c>
      <c r="B93" s="8" t="s">
        <v>1466</v>
      </c>
      <c r="C93" s="8" t="s">
        <v>1538</v>
      </c>
      <c r="D93" s="9" t="str">
        <f t="shared" si="5"/>
        <v>Kumulation mit anderen Sozialleistungen</v>
      </c>
      <c r="E93" s="22" t="s">
        <v>1460</v>
      </c>
      <c r="F93" s="2" t="s">
        <v>1305</v>
      </c>
    </row>
    <row r="94" spans="1:6" ht="232.5">
      <c r="A94" s="7">
        <f>ROW()</f>
        <v>94</v>
      </c>
      <c r="B94" s="8" t="s">
        <v>1466</v>
      </c>
      <c r="C94" s="9" t="s">
        <v>1465</v>
      </c>
      <c r="D94" s="9" t="str">
        <f t="shared" si="5"/>
        <v>1. Besteuerung von Geldleistungen</v>
      </c>
      <c r="E94" s="23" t="s">
        <v>1509</v>
      </c>
      <c r="F94" s="2" t="s">
        <v>622</v>
      </c>
    </row>
    <row r="95" spans="1:6" ht="387">
      <c r="A95" s="7">
        <f>ROW()</f>
        <v>95</v>
      </c>
      <c r="B95" s="8" t="s">
        <v>1466</v>
      </c>
      <c r="C95" s="9" t="s">
        <v>1465</v>
      </c>
      <c r="D95" s="9" t="str">
        <f t="shared" si="5"/>
        <v>2. Einkommensgrenze für Besteuerung von Geldleistungen</v>
      </c>
      <c r="E95" s="23" t="s">
        <v>1511</v>
      </c>
      <c r="F95" s="2" t="s">
        <v>1349</v>
      </c>
    </row>
    <row r="96" spans="1:6" ht="288.75">
      <c r="A96" s="7">
        <f>ROW()</f>
        <v>96</v>
      </c>
      <c r="B96" s="8" t="s">
        <v>1466</v>
      </c>
      <c r="C96" s="9" t="s">
        <v>1465</v>
      </c>
      <c r="D96" s="9" t="str">
        <f t="shared" si="5"/>
        <v>3. Auf Leistungen anfallende Sozialabgaben</v>
      </c>
      <c r="E96" s="23" t="s">
        <v>1512</v>
      </c>
      <c r="F96" s="2" t="s">
        <v>1368</v>
      </c>
    </row>
    <row r="97" spans="1:6" ht="138">
      <c r="A97" s="7">
        <f>ROW()</f>
        <v>97</v>
      </c>
      <c r="B97" s="8" t="s">
        <v>1466</v>
      </c>
      <c r="C97" s="9" t="s">
        <v>1514</v>
      </c>
      <c r="D97" s="9" t="str">
        <f t="shared" si="5"/>
        <v>Anwendungsbereich</v>
      </c>
      <c r="E97" s="23" t="s">
        <v>1467</v>
      </c>
      <c r="F97" s="2" t="s">
        <v>1385</v>
      </c>
    </row>
    <row r="98" spans="1:6" ht="409.5">
      <c r="A98" s="7">
        <f>ROW()</f>
        <v>98</v>
      </c>
      <c r="B98" s="8" t="s">
        <v>1466</v>
      </c>
      <c r="C98" s="9" t="s">
        <v>1514</v>
      </c>
      <c r="D98" s="9" t="str">
        <f t="shared" si="5"/>
        <v>Grundprinzipien</v>
      </c>
      <c r="E98" s="23" t="s">
        <v>1468</v>
      </c>
      <c r="F98" s="2" t="s">
        <v>1400</v>
      </c>
    </row>
    <row r="99" spans="1:6" ht="224.25">
      <c r="A99" s="7">
        <f>ROW()</f>
        <v>99</v>
      </c>
      <c r="B99" s="8" t="s">
        <v>1466</v>
      </c>
      <c r="C99" s="9" t="s">
        <v>1514</v>
      </c>
      <c r="D99" s="9" t="str">
        <f t="shared" si="5"/>
        <v>Voraussetzungen für die Deckung</v>
      </c>
      <c r="E99" s="23" t="s">
        <v>1469</v>
      </c>
      <c r="F99" s="2" t="s">
        <v>1410</v>
      </c>
    </row>
    <row r="100" spans="1:6" ht="409.5">
      <c r="A100" s="7">
        <f>ROW()</f>
        <v>100</v>
      </c>
      <c r="B100" s="8" t="s">
        <v>1466</v>
      </c>
      <c r="C100" s="9" t="s">
        <v>1514</v>
      </c>
      <c r="D100" s="9" t="str">
        <f t="shared" si="5"/>
        <v>Kombination von selbstständiger und unselbstständiger Tätigkeit</v>
      </c>
      <c r="E100" s="23" t="s">
        <v>1462</v>
      </c>
      <c r="F100" s="2" t="s">
        <v>1419</v>
      </c>
    </row>
    <row r="101" spans="1:6" ht="376.5">
      <c r="A101" s="7">
        <f>ROW()</f>
        <v>101</v>
      </c>
      <c r="B101" s="8" t="s">
        <v>1466</v>
      </c>
      <c r="C101" s="9" t="s">
        <v>1514</v>
      </c>
      <c r="D101" s="9" t="str">
        <f t="shared" si="5"/>
        <v xml:space="preserve">Voraussetzungen für den Zugang zu Diensten/Leistungen </v>
      </c>
      <c r="E101" s="23" t="s">
        <v>1463</v>
      </c>
      <c r="F101" s="2" t="s">
        <v>792</v>
      </c>
    </row>
    <row r="102" spans="1:6" ht="253.5">
      <c r="A102" s="7">
        <f>ROW()</f>
        <v>102</v>
      </c>
      <c r="B102" s="8" t="s">
        <v>1466</v>
      </c>
      <c r="C102" s="9" t="s">
        <v>1514</v>
      </c>
      <c r="D102" s="9" t="str">
        <f t="shared" si="5"/>
        <v>Beträge, Dauer und Kostenbeteiligung</v>
      </c>
      <c r="E102" s="23" t="s">
        <v>1464</v>
      </c>
      <c r="F102" s="2" t="s">
        <v>1431</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1433</v>
      </c>
    </row>
    <row r="105" spans="1:6" ht="272.25">
      <c r="A105" s="7">
        <f>ROW()</f>
        <v>105</v>
      </c>
      <c r="B105" s="8" t="s">
        <v>1466</v>
      </c>
      <c r="C105" s="9" t="s">
        <v>1514</v>
      </c>
      <c r="D105" s="9" t="str">
        <f t="shared" si="5"/>
        <v>Auf Leistungen anfallende Sozialabgaben</v>
      </c>
      <c r="E105" s="23" t="s">
        <v>1457</v>
      </c>
      <c r="F105" s="2" t="s">
        <v>792</v>
      </c>
    </row>
  </sheetData>
  <sheetProtection algorithmName="SHA-512" hashValue="VNQW97U7q53yJ2W/CEY0CyEIqxwOEXpa7RtLoWfWSa/dz5HV2CwPJPX++3kbjDKqlYho2Nmj6M1rYG1xFNWJIQ==" saltValue="K90cboAcn7rdELCvIP2KRA==" spinCount="100000" sheet="1" objects="1" scenarios="1" formatColumns="0" autoFilter="0"/>
  <autoFilter ref="A2:F2" xr:uid="{2D915D1F-1D07-4596-8D79-300672BC6B03}"/>
  <pageMargins left="0.7" right="0.7" top="0.78740157499999996" bottom="0.78740157499999996"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53747-D088-4F16-BE28-A1F640B9F358}">
  <sheetPr codeName="Tabelle22"/>
  <dimension ref="A1:F105"/>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20</v>
      </c>
    </row>
    <row r="2" spans="1:6" ht="39.75" customHeight="1">
      <c r="A2" s="128"/>
      <c r="B2" s="129"/>
      <c r="C2" s="126"/>
      <c r="D2" s="126"/>
      <c r="E2" s="124"/>
      <c r="F2" s="162" t="str" cm="1">
        <f t="array" ref="F2">_xlfn.TEXTJOIN("; ", TRUE, IF(Entscheidungen!A2:A100=F1, Entscheidungen!B2:B100, ""))</f>
        <v>OLG Koblenz, 07.11.2016 – 11 UF 180/16</v>
      </c>
    </row>
    <row r="3" spans="1:6" ht="177">
      <c r="A3" s="7">
        <f>ROW()</f>
        <v>3</v>
      </c>
      <c r="B3" s="8" t="s">
        <v>1479</v>
      </c>
      <c r="C3" s="8"/>
      <c r="D3" s="8" t="str">
        <f>+E3</f>
        <v>Geltende Rechtsgrundlage</v>
      </c>
      <c r="E3" s="21" t="s">
        <v>1472</v>
      </c>
      <c r="F3" s="2" t="s">
        <v>1792</v>
      </c>
    </row>
    <row r="4" spans="1:6" ht="110.25">
      <c r="A4" s="7">
        <f>ROW()</f>
        <v>4</v>
      </c>
      <c r="B4" s="8" t="s">
        <v>1479</v>
      </c>
      <c r="C4" s="1"/>
      <c r="D4" s="8" t="str">
        <f t="shared" ref="D4:D34" si="0">+E4</f>
        <v>Grundprinzipien</v>
      </c>
      <c r="E4" s="22" t="s">
        <v>1468</v>
      </c>
      <c r="F4" s="2" t="s">
        <v>1793</v>
      </c>
    </row>
    <row r="5" spans="1:6" ht="188.25">
      <c r="A5" s="7">
        <f>ROW()</f>
        <v>5</v>
      </c>
      <c r="B5" s="8" t="s">
        <v>1479</v>
      </c>
      <c r="C5" s="1"/>
      <c r="D5" s="8" t="str">
        <f t="shared" si="0"/>
        <v>Gedecktes Risiko: Definition</v>
      </c>
      <c r="E5" s="22" t="s">
        <v>1630</v>
      </c>
      <c r="F5" s="2" t="s">
        <v>1794</v>
      </c>
    </row>
    <row r="6" spans="1:6" ht="144">
      <c r="A6" s="7">
        <f>ROW()</f>
        <v>6</v>
      </c>
      <c r="B6" s="8" t="s">
        <v>1479</v>
      </c>
      <c r="C6" s="8" t="s">
        <v>1453</v>
      </c>
      <c r="D6" s="8" t="str">
        <f t="shared" si="0"/>
        <v>Versicherte Personen</v>
      </c>
      <c r="E6" s="23" t="s">
        <v>1453</v>
      </c>
      <c r="F6" s="2" t="s">
        <v>1795</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3502</v>
      </c>
    </row>
    <row r="9" spans="1:6" ht="409.5">
      <c r="A9" s="7">
        <f>ROW()</f>
        <v>9</v>
      </c>
      <c r="B9" s="8" t="s">
        <v>1479</v>
      </c>
      <c r="C9" s="9" t="s">
        <v>128</v>
      </c>
      <c r="D9" s="8" t="str">
        <f t="shared" si="0"/>
        <v xml:space="preserve">2. Begutachtungskriterien und Kategorien der Arbeitsunfähigkeit/Arbeitsfähigkeit  </v>
      </c>
      <c r="E9" s="23" t="s">
        <v>1484</v>
      </c>
      <c r="F9" s="2" t="s">
        <v>3503</v>
      </c>
    </row>
    <row r="10" spans="1:6" ht="222">
      <c r="A10" s="7">
        <f>ROW()</f>
        <v>10</v>
      </c>
      <c r="B10" s="8" t="s">
        <v>1479</v>
      </c>
      <c r="C10" s="9" t="s">
        <v>128</v>
      </c>
      <c r="D10" s="8" t="str">
        <f t="shared" si="0"/>
        <v>3. Zeitraum der Leistungszahlung</v>
      </c>
      <c r="E10" s="23" t="s">
        <v>1486</v>
      </c>
      <c r="F10" s="2" t="s">
        <v>1796</v>
      </c>
    </row>
    <row r="11" spans="1:6" ht="330">
      <c r="A11" s="7">
        <f>ROW()</f>
        <v>11</v>
      </c>
      <c r="B11" s="8" t="s">
        <v>1479</v>
      </c>
      <c r="C11" s="9" t="s">
        <v>1488</v>
      </c>
      <c r="D11" s="8" t="str">
        <f t="shared" si="0"/>
        <v>1. Gutachter</v>
      </c>
      <c r="E11" s="23" t="s">
        <v>1489</v>
      </c>
      <c r="F11" s="2" t="s">
        <v>3504</v>
      </c>
    </row>
    <row r="12" spans="1:6" ht="120">
      <c r="A12" s="7">
        <f>ROW()</f>
        <v>12</v>
      </c>
      <c r="B12" s="8" t="s">
        <v>1479</v>
      </c>
      <c r="C12" s="9" t="s">
        <v>1488</v>
      </c>
      <c r="D12" s="8" t="str">
        <f t="shared" si="0"/>
        <v xml:space="preserve">2. Überprüfung  </v>
      </c>
      <c r="E12" s="23" t="s">
        <v>1490</v>
      </c>
      <c r="F12" s="2" t="s">
        <v>1797</v>
      </c>
    </row>
    <row r="13" spans="1:6" ht="405">
      <c r="A13" s="7">
        <f>ROW()</f>
        <v>13</v>
      </c>
      <c r="B13" s="8" t="s">
        <v>1479</v>
      </c>
      <c r="C13" s="8" t="s">
        <v>1459</v>
      </c>
      <c r="D13" s="8" t="str">
        <f t="shared" si="0"/>
        <v>1. Berechnungsmethode bzw. Rentenformel</v>
      </c>
      <c r="E13" s="23" t="s">
        <v>1492</v>
      </c>
      <c r="F13" s="2" t="s">
        <v>3505</v>
      </c>
    </row>
    <row r="14" spans="1:6" ht="343.5">
      <c r="A14" s="7">
        <f>ROW()</f>
        <v>14</v>
      </c>
      <c r="B14" s="8" t="s">
        <v>1479</v>
      </c>
      <c r="C14" s="8" t="s">
        <v>1459</v>
      </c>
      <c r="D14" s="8" t="str">
        <f t="shared" si="0"/>
        <v>2. Referenzeinkommen bzw. Berechnungsgrundlage</v>
      </c>
      <c r="E14" s="23" t="s">
        <v>1493</v>
      </c>
      <c r="F14" s="2" t="s">
        <v>1798</v>
      </c>
    </row>
    <row r="15" spans="1:6" ht="226.5">
      <c r="A15" s="7">
        <f>ROW()</f>
        <v>15</v>
      </c>
      <c r="B15" s="8" t="s">
        <v>1479</v>
      </c>
      <c r="C15" s="8" t="s">
        <v>1459</v>
      </c>
      <c r="D15" s="8" t="str">
        <f t="shared" si="0"/>
        <v>3. Mindest- und Höchstleistungen</v>
      </c>
      <c r="E15" s="23" t="s">
        <v>1495</v>
      </c>
      <c r="F15" s="2" t="s">
        <v>3506</v>
      </c>
    </row>
    <row r="16" spans="1:6" ht="405">
      <c r="A16" s="7">
        <f>ROW()</f>
        <v>16</v>
      </c>
      <c r="B16" s="8" t="s">
        <v>1479</v>
      </c>
      <c r="C16" s="8" t="s">
        <v>1459</v>
      </c>
      <c r="D16" s="8" t="str">
        <f t="shared" si="0"/>
        <v>4. Anrechenbare oder als Beitragszeiten gewertete Zeiträume</v>
      </c>
      <c r="E16" s="23" t="s">
        <v>1496</v>
      </c>
      <c r="F16" s="2" t="s">
        <v>3507</v>
      </c>
    </row>
    <row r="17" spans="1:6" ht="250.5">
      <c r="A17" s="7">
        <f>ROW()</f>
        <v>17</v>
      </c>
      <c r="B17" s="8" t="s">
        <v>1479</v>
      </c>
      <c r="C17" s="8" t="s">
        <v>1459</v>
      </c>
      <c r="D17" s="8" t="str">
        <f t="shared" si="0"/>
        <v xml:space="preserve">5. Zulagen für Unterhaltsberechtigte  </v>
      </c>
      <c r="E17" s="23" t="s">
        <v>1498</v>
      </c>
      <c r="F17" s="2" t="s">
        <v>1441</v>
      </c>
    </row>
    <row r="18" spans="1:6" ht="135">
      <c r="A18" s="7">
        <f>ROW()</f>
        <v>18</v>
      </c>
      <c r="B18" s="8" t="s">
        <v>1479</v>
      </c>
      <c r="C18" s="8" t="str">
        <f>+E18</f>
        <v>Sonstige Leistungen</v>
      </c>
      <c r="D18" s="8" t="str">
        <f>+E18</f>
        <v>Sonstige Leistungen</v>
      </c>
      <c r="E18" s="22" t="s">
        <v>1455</v>
      </c>
      <c r="F18" s="2" t="s">
        <v>1799</v>
      </c>
    </row>
    <row r="19" spans="1:6" ht="300.75">
      <c r="A19" s="7">
        <f>ROW()</f>
        <v>19</v>
      </c>
      <c r="B19" s="8" t="s">
        <v>1479</v>
      </c>
      <c r="C19" s="8" t="s">
        <v>1500</v>
      </c>
      <c r="D19" s="8" t="str">
        <f t="shared" si="0"/>
        <v>Umschulung, berufsbezogene Rehabilitation</v>
      </c>
      <c r="E19" s="23" t="s">
        <v>1501</v>
      </c>
      <c r="F19" s="2" t="s">
        <v>3508</v>
      </c>
    </row>
    <row r="20" spans="1:6" ht="409.5">
      <c r="A20" s="7">
        <f>ROW()</f>
        <v>20</v>
      </c>
      <c r="B20" s="8" t="s">
        <v>1479</v>
      </c>
      <c r="C20" s="8" t="s">
        <v>1500</v>
      </c>
      <c r="D20" s="8" t="str">
        <f t="shared" si="0"/>
        <v xml:space="preserve">Bevorzugte und reservierte Beschäftigung von Menschen mit Behinderungen  </v>
      </c>
      <c r="E20" s="23" t="s">
        <v>1502</v>
      </c>
      <c r="F20" s="2" t="s">
        <v>1800</v>
      </c>
    </row>
    <row r="21" spans="1:6" ht="171.75">
      <c r="A21" s="7">
        <f>ROW()</f>
        <v>21</v>
      </c>
      <c r="B21" s="8" t="s">
        <v>1479</v>
      </c>
      <c r="C21" s="8" t="s">
        <v>1504</v>
      </c>
      <c r="D21" s="8" t="str">
        <f t="shared" si="0"/>
        <v>Indexbindung/Anpassung</v>
      </c>
      <c r="E21" s="22" t="s">
        <v>1505</v>
      </c>
      <c r="F21" s="2" t="s">
        <v>545</v>
      </c>
    </row>
    <row r="22" spans="1:6" ht="242.25">
      <c r="A22" s="7">
        <f>ROW()</f>
        <v>22</v>
      </c>
      <c r="B22" s="8" t="s">
        <v>1479</v>
      </c>
      <c r="C22" s="8" t="s">
        <v>1504</v>
      </c>
      <c r="D22" s="8" t="str">
        <f>+E22</f>
        <v>Kumulation mit Erwerbseinkommen</v>
      </c>
      <c r="E22" s="22" t="s">
        <v>1471</v>
      </c>
      <c r="F22" s="2" t="s">
        <v>3509</v>
      </c>
    </row>
    <row r="23" spans="1:6" ht="275.25">
      <c r="A23" s="7">
        <f>ROW()</f>
        <v>23</v>
      </c>
      <c r="B23" s="8" t="s">
        <v>1479</v>
      </c>
      <c r="C23" s="8" t="s">
        <v>1504</v>
      </c>
      <c r="D23" s="8" t="str">
        <f t="shared" si="0"/>
        <v>Kumulation mit anderen Sozialleistungen</v>
      </c>
      <c r="E23" s="22" t="s">
        <v>1460</v>
      </c>
      <c r="F23" s="2" t="s">
        <v>3510</v>
      </c>
    </row>
    <row r="24" spans="1:6" ht="232.5">
      <c r="A24" s="7">
        <f>ROW()</f>
        <v>24</v>
      </c>
      <c r="B24" s="8" t="s">
        <v>1479</v>
      </c>
      <c r="C24" s="8" t="s">
        <v>1465</v>
      </c>
      <c r="D24" s="8" t="str">
        <f t="shared" si="0"/>
        <v>1. Besteuerung von Geldleistungen</v>
      </c>
      <c r="E24" s="23" t="s">
        <v>1509</v>
      </c>
      <c r="F24" s="2" t="s">
        <v>1801</v>
      </c>
    </row>
    <row r="25" spans="1:6" ht="387">
      <c r="A25" s="7">
        <f>ROW()</f>
        <v>25</v>
      </c>
      <c r="B25" s="8" t="s">
        <v>1479</v>
      </c>
      <c r="C25" s="8" t="s">
        <v>1465</v>
      </c>
      <c r="D25" s="8" t="str">
        <f t="shared" si="0"/>
        <v>2. Einkommensgrenze für Besteuerung von Geldleistungen</v>
      </c>
      <c r="E25" s="23" t="s">
        <v>1511</v>
      </c>
      <c r="F25" s="2" t="s">
        <v>1802</v>
      </c>
    </row>
    <row r="26" spans="1:6" ht="288.75">
      <c r="A26" s="7">
        <f>ROW()</f>
        <v>26</v>
      </c>
      <c r="B26" s="8" t="s">
        <v>1479</v>
      </c>
      <c r="C26" s="8" t="s">
        <v>1465</v>
      </c>
      <c r="D26" s="8" t="str">
        <f t="shared" si="0"/>
        <v>3. Auf Leistungen anfallende Sozialabgaben</v>
      </c>
      <c r="E26" s="23" t="s">
        <v>1512</v>
      </c>
      <c r="F26" s="2" t="s">
        <v>1803</v>
      </c>
    </row>
    <row r="27" spans="1:6" ht="138">
      <c r="A27" s="7">
        <f>ROW()</f>
        <v>27</v>
      </c>
      <c r="B27" s="8" t="s">
        <v>1479</v>
      </c>
      <c r="C27" s="8" t="s">
        <v>1514</v>
      </c>
      <c r="D27" s="8" t="str">
        <f t="shared" si="0"/>
        <v>Anwendungsbereich</v>
      </c>
      <c r="E27" s="23" t="s">
        <v>1467</v>
      </c>
      <c r="F27" s="2" t="s">
        <v>704</v>
      </c>
    </row>
    <row r="28" spans="1:6" ht="110.25">
      <c r="A28" s="7">
        <f>ROW()</f>
        <v>28</v>
      </c>
      <c r="B28" s="8" t="s">
        <v>1479</v>
      </c>
      <c r="C28" s="8" t="s">
        <v>1514</v>
      </c>
      <c r="D28" s="8" t="str">
        <f t="shared" si="0"/>
        <v>Grundprinzipien</v>
      </c>
      <c r="E28" s="23" t="s">
        <v>1468</v>
      </c>
      <c r="F28" s="2" t="s">
        <v>729</v>
      </c>
    </row>
    <row r="29" spans="1:6" ht="224.25">
      <c r="A29" s="7">
        <f>ROW()</f>
        <v>29</v>
      </c>
      <c r="B29" s="8" t="s">
        <v>1479</v>
      </c>
      <c r="C29" s="8" t="s">
        <v>1514</v>
      </c>
      <c r="D29" s="8" t="str">
        <f t="shared" si="0"/>
        <v>Voraussetzungen für die Deckung</v>
      </c>
      <c r="E29" s="23" t="s">
        <v>1469</v>
      </c>
      <c r="F29" s="2" t="s">
        <v>754</v>
      </c>
    </row>
    <row r="30" spans="1:6" ht="409.5">
      <c r="A30" s="7">
        <f>ROW()</f>
        <v>30</v>
      </c>
      <c r="B30" s="8" t="s">
        <v>1479</v>
      </c>
      <c r="C30" s="8" t="s">
        <v>1514</v>
      </c>
      <c r="D30" s="9" t="str">
        <f t="shared" si="0"/>
        <v>Kombination von selbstständiger und unselbstständiger Tätigkeit</v>
      </c>
      <c r="E30" s="23" t="s">
        <v>1462</v>
      </c>
      <c r="F30" s="2" t="s">
        <v>1804</v>
      </c>
    </row>
    <row r="31" spans="1:6" ht="376.5">
      <c r="A31" s="7">
        <f>ROW()</f>
        <v>31</v>
      </c>
      <c r="B31" s="8" t="s">
        <v>1479</v>
      </c>
      <c r="C31" s="8" t="s">
        <v>1459</v>
      </c>
      <c r="D31" s="9" t="str">
        <f t="shared" si="0"/>
        <v xml:space="preserve">Voraussetzungen für den Zugang zu Diensten/Leistungen </v>
      </c>
      <c r="E31" s="23" t="s">
        <v>1463</v>
      </c>
      <c r="F31" s="2" t="s">
        <v>3511</v>
      </c>
    </row>
    <row r="32" spans="1:6" ht="253.5">
      <c r="A32" s="7">
        <f>ROW()</f>
        <v>32</v>
      </c>
      <c r="B32" s="8" t="s">
        <v>1479</v>
      </c>
      <c r="C32" s="8" t="s">
        <v>1459</v>
      </c>
      <c r="D32" s="8" t="str">
        <f t="shared" si="0"/>
        <v>Beträge, Dauer und Kostenbeteiligung</v>
      </c>
      <c r="E32" s="23" t="s">
        <v>1464</v>
      </c>
      <c r="F32" s="2" t="s">
        <v>1805</v>
      </c>
    </row>
    <row r="33" spans="1:6" ht="216">
      <c r="A33" s="7">
        <f>ROW()</f>
        <v>33</v>
      </c>
      <c r="B33" s="8" t="s">
        <v>1479</v>
      </c>
      <c r="C33" s="8" t="s">
        <v>1459</v>
      </c>
      <c r="D33" s="8" t="str">
        <f t="shared" si="0"/>
        <v>Besteuerung von Geldleistungen</v>
      </c>
      <c r="E33" s="23" t="s">
        <v>1456</v>
      </c>
      <c r="F33" s="2" t="s">
        <v>818</v>
      </c>
    </row>
    <row r="34" spans="1:6" ht="276.75">
      <c r="A34" s="7">
        <f>ROW()</f>
        <v>34</v>
      </c>
      <c r="B34" s="8" t="s">
        <v>1479</v>
      </c>
      <c r="C34" s="8" t="s">
        <v>1459</v>
      </c>
      <c r="D34" s="8" t="str">
        <f t="shared" si="0"/>
        <v xml:space="preserve"> Auf Leistungen anfallende Sozialabgaben</v>
      </c>
      <c r="E34" s="23" t="s">
        <v>1518</v>
      </c>
      <c r="F34" s="2" t="s">
        <v>1452</v>
      </c>
    </row>
    <row r="35" spans="1:6" ht="177">
      <c r="A35" s="7">
        <f>ROW()</f>
        <v>35</v>
      </c>
      <c r="B35" s="8" t="s">
        <v>1519</v>
      </c>
      <c r="C35" s="8" t="str">
        <f>+D35</f>
        <v>Geltende Rechtsgrundlage</v>
      </c>
      <c r="D35" s="8" t="str">
        <f>+E35</f>
        <v>Geltende Rechtsgrundlage</v>
      </c>
      <c r="E35" s="22" t="s">
        <v>1472</v>
      </c>
      <c r="F35" s="2" t="s">
        <v>50</v>
      </c>
    </row>
    <row r="36" spans="1:6" ht="240">
      <c r="A36" s="7">
        <f>ROW()</f>
        <v>36</v>
      </c>
      <c r="B36" s="8" t="s">
        <v>1519</v>
      </c>
      <c r="C36" s="8" t="str">
        <f>+D36</f>
        <v>Grundprinzipien</v>
      </c>
      <c r="D36" s="8" t="str">
        <f>+E36</f>
        <v>Grundprinzipien</v>
      </c>
      <c r="E36" s="22" t="s">
        <v>1468</v>
      </c>
      <c r="F36" s="2" t="s">
        <v>76</v>
      </c>
    </row>
    <row r="37" spans="1:6" ht="159.75">
      <c r="A37" s="7">
        <f>ROW()</f>
        <v>37</v>
      </c>
      <c r="B37" s="8" t="s">
        <v>1519</v>
      </c>
      <c r="C37" s="8" t="s">
        <v>1467</v>
      </c>
      <c r="D37" s="8" t="str">
        <f>+E37</f>
        <v>1. Versicherte Personen</v>
      </c>
      <c r="E37" s="23" t="s">
        <v>1520</v>
      </c>
      <c r="F37" s="2" t="s">
        <v>102</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141</v>
      </c>
    </row>
    <row r="40" spans="1:6" ht="409.5">
      <c r="A40" s="7">
        <f>ROW()</f>
        <v>40</v>
      </c>
      <c r="B40" s="8" t="s">
        <v>1519</v>
      </c>
      <c r="C40" s="8" t="s">
        <v>128</v>
      </c>
      <c r="D40" s="8" t="str">
        <f t="shared" si="1"/>
        <v>2. Anwartschaftszeit und sonstige Anspruchsvoraussetzungen für den Bezug einer Altersrente</v>
      </c>
      <c r="E40" s="23" t="s">
        <v>1524</v>
      </c>
      <c r="F40" s="2" t="s">
        <v>3512</v>
      </c>
    </row>
    <row r="41" spans="1:6" ht="194.25">
      <c r="A41" s="7">
        <f>ROW()</f>
        <v>41</v>
      </c>
      <c r="B41" s="8" t="s">
        <v>1519</v>
      </c>
      <c r="C41" s="8" t="s">
        <v>128</v>
      </c>
      <c r="D41" s="8" t="str">
        <f t="shared" si="1"/>
        <v>3. Vorruhestand</v>
      </c>
      <c r="E41" s="23" t="s">
        <v>1525</v>
      </c>
      <c r="F41" s="2" t="s">
        <v>3513</v>
      </c>
    </row>
    <row r="42" spans="1:6" ht="330">
      <c r="A42" s="7">
        <f>ROW()</f>
        <v>42</v>
      </c>
      <c r="B42" s="8" t="s">
        <v>1519</v>
      </c>
      <c r="C42" s="8" t="s">
        <v>128</v>
      </c>
      <c r="D42" s="8" t="str">
        <f t="shared" si="1"/>
        <v>4. Beschwerliche und gefährliche Arbeit</v>
      </c>
      <c r="E42" s="23" t="s">
        <v>1526</v>
      </c>
      <c r="F42" s="2" t="s">
        <v>3514</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3515</v>
      </c>
    </row>
    <row r="45" spans="1:6" ht="349.5">
      <c r="A45" s="7">
        <f>ROW()</f>
        <v>45</v>
      </c>
      <c r="B45" s="8" t="s">
        <v>1519</v>
      </c>
      <c r="C45" s="8" t="s">
        <v>1459</v>
      </c>
      <c r="D45" s="8" t="str">
        <f t="shared" si="1"/>
        <v>2. Berechnungsmethode, Rentenformel bzw. Beträge</v>
      </c>
      <c r="E45" s="23" t="s">
        <v>1529</v>
      </c>
      <c r="F45" s="2" t="s">
        <v>3516</v>
      </c>
    </row>
    <row r="46" spans="1:6" ht="343.5">
      <c r="A46" s="7">
        <f>ROW()</f>
        <v>46</v>
      </c>
      <c r="B46" s="8" t="s">
        <v>1519</v>
      </c>
      <c r="C46" s="8" t="s">
        <v>1459</v>
      </c>
      <c r="D46" s="8" t="str">
        <f t="shared" si="1"/>
        <v>3. Referenzeinkommen bzw. Berechnungsgrundlage</v>
      </c>
      <c r="E46" s="23" t="s">
        <v>1530</v>
      </c>
      <c r="F46" s="2" t="s">
        <v>288</v>
      </c>
    </row>
    <row r="47" spans="1:6" ht="405">
      <c r="A47" s="7">
        <f>ROW()</f>
        <v>47</v>
      </c>
      <c r="B47" s="8" t="s">
        <v>1519</v>
      </c>
      <c r="C47" s="8" t="s">
        <v>1459</v>
      </c>
      <c r="D47" s="8" t="str">
        <f t="shared" si="1"/>
        <v>4. Anrechenbare oder als Beitragszeiten gewertete Zeiträume</v>
      </c>
      <c r="E47" s="23" t="s">
        <v>1496</v>
      </c>
      <c r="F47" s="2" t="s">
        <v>305</v>
      </c>
    </row>
    <row r="48" spans="1:6" ht="243.75">
      <c r="A48" s="7">
        <f>ROW()</f>
        <v>48</v>
      </c>
      <c r="B48" s="8" t="s">
        <v>1519</v>
      </c>
      <c r="C48" s="8" t="s">
        <v>1459</v>
      </c>
      <c r="D48" s="8" t="str">
        <f t="shared" si="1"/>
        <v>5. Rückkauf von Versicherungszeiten</v>
      </c>
      <c r="E48" s="23" t="s">
        <v>1531</v>
      </c>
      <c r="F48" s="2" t="s">
        <v>317</v>
      </c>
    </row>
    <row r="49" spans="1:6" ht="246">
      <c r="A49" s="7">
        <f>ROW()</f>
        <v>49</v>
      </c>
      <c r="B49" s="8" t="s">
        <v>1519</v>
      </c>
      <c r="C49" s="8" t="s">
        <v>1459</v>
      </c>
      <c r="D49" s="8" t="str">
        <f t="shared" si="1"/>
        <v>6.  Zulagen für Unterhaltsberechtigte</v>
      </c>
      <c r="E49" s="23" t="s">
        <v>1631</v>
      </c>
      <c r="F49" s="2" t="s">
        <v>342</v>
      </c>
    </row>
    <row r="50" spans="1:6" ht="145.5">
      <c r="A50" s="7">
        <f>ROW()</f>
        <v>50</v>
      </c>
      <c r="B50" s="8" t="s">
        <v>1519</v>
      </c>
      <c r="C50" s="8" t="s">
        <v>1459</v>
      </c>
      <c r="D50" s="8" t="str">
        <f t="shared" si="1"/>
        <v>7. Besondere Zulagen</v>
      </c>
      <c r="E50" s="23" t="s">
        <v>1532</v>
      </c>
      <c r="F50" s="2" t="s">
        <v>361</v>
      </c>
    </row>
    <row r="51" spans="1:6" ht="360.75">
      <c r="A51" s="7">
        <f>ROW()</f>
        <v>51</v>
      </c>
      <c r="B51" s="8" t="s">
        <v>1519</v>
      </c>
      <c r="C51" s="8" t="s">
        <v>1459</v>
      </c>
      <c r="D51" s="8" t="str">
        <f t="shared" si="1"/>
        <v>8. Mindestrente und bedürftigkeitsabhängige Leistung</v>
      </c>
      <c r="E51" s="23" t="s">
        <v>1533</v>
      </c>
      <c r="F51" s="2" t="s">
        <v>3517</v>
      </c>
    </row>
    <row r="52" spans="1:6" ht="101.25">
      <c r="A52" s="7">
        <f>ROW()</f>
        <v>52</v>
      </c>
      <c r="B52" s="8" t="s">
        <v>1519</v>
      </c>
      <c r="C52" s="8" t="s">
        <v>1459</v>
      </c>
      <c r="D52" s="8" t="str">
        <f t="shared" si="1"/>
        <v>9. Höchstrente</v>
      </c>
      <c r="E52" s="23" t="s">
        <v>1534</v>
      </c>
      <c r="F52" s="2" t="s">
        <v>411</v>
      </c>
    </row>
    <row r="53" spans="1:6" ht="119.25">
      <c r="A53" s="7">
        <f>ROW()</f>
        <v>53</v>
      </c>
      <c r="B53" s="8" t="s">
        <v>1519</v>
      </c>
      <c r="C53" s="8" t="s">
        <v>1459</v>
      </c>
      <c r="D53" s="8" t="str">
        <f t="shared" si="1"/>
        <v>10. Vorruhestand</v>
      </c>
      <c r="E53" s="23" t="s">
        <v>1535</v>
      </c>
      <c r="F53" s="2" t="s">
        <v>439</v>
      </c>
    </row>
    <row r="54" spans="1:6" ht="272.25">
      <c r="A54" s="7">
        <f>ROW()</f>
        <v>54</v>
      </c>
      <c r="B54" s="8" t="s">
        <v>1519</v>
      </c>
      <c r="C54" s="8" t="s">
        <v>1459</v>
      </c>
      <c r="D54" s="8" t="str">
        <f t="shared" si="1"/>
        <v>11. Beschwerliche und gefährliche Arbeit</v>
      </c>
      <c r="E54" s="23" t="s">
        <v>1536</v>
      </c>
      <c r="F54" s="2" t="s">
        <v>464</v>
      </c>
    </row>
    <row r="55" spans="1:6" ht="87.75">
      <c r="A55" s="7">
        <f>ROW()</f>
        <v>55</v>
      </c>
      <c r="B55" s="8" t="s">
        <v>1519</v>
      </c>
      <c r="C55" s="8" t="s">
        <v>1459</v>
      </c>
      <c r="D55" s="8" t="str">
        <f t="shared" si="1"/>
        <v>12. Teilrente</v>
      </c>
      <c r="E55" s="23" t="s">
        <v>1537</v>
      </c>
      <c r="F55" s="2" t="s">
        <v>489</v>
      </c>
    </row>
    <row r="56" spans="1:6" ht="171.75">
      <c r="A56" s="7">
        <f>ROW()</f>
        <v>56</v>
      </c>
      <c r="B56" s="8" t="s">
        <v>1519</v>
      </c>
      <c r="C56" s="8" t="s">
        <v>1459</v>
      </c>
      <c r="D56" s="8" t="str">
        <f t="shared" si="1"/>
        <v>13. Aufgeschobene Rente</v>
      </c>
      <c r="E56" s="23" t="s">
        <v>1632</v>
      </c>
      <c r="F56" s="2" t="s">
        <v>3518</v>
      </c>
    </row>
    <row r="57" spans="1:6" ht="179.25">
      <c r="A57" s="7">
        <f>ROW()</f>
        <v>57</v>
      </c>
      <c r="B57" s="8" t="s">
        <v>1519</v>
      </c>
      <c r="C57" s="8" t="s">
        <v>1538</v>
      </c>
      <c r="D57" s="8" t="s">
        <v>1538</v>
      </c>
      <c r="E57" s="22" t="s">
        <v>1538</v>
      </c>
      <c r="F57" s="2" t="s">
        <v>545</v>
      </c>
    </row>
    <row r="58" spans="1:6" ht="246">
      <c r="A58" s="7">
        <f>ROW()</f>
        <v>58</v>
      </c>
      <c r="B58" s="8" t="s">
        <v>1519</v>
      </c>
      <c r="C58" s="8" t="s">
        <v>1538</v>
      </c>
      <c r="D58" s="8" t="str">
        <f t="shared" si="1"/>
        <v xml:space="preserve">Kumulation mit Erwerbseinkommen </v>
      </c>
      <c r="E58" s="22" t="s">
        <v>1461</v>
      </c>
      <c r="F58" s="2" t="s">
        <v>3519</v>
      </c>
    </row>
    <row r="59" spans="1:6" ht="286.5">
      <c r="A59" s="7">
        <f>ROW()</f>
        <v>59</v>
      </c>
      <c r="B59" s="8" t="s">
        <v>1519</v>
      </c>
      <c r="C59" s="8" t="s">
        <v>1538</v>
      </c>
      <c r="D59" s="8" t="s">
        <v>1539</v>
      </c>
      <c r="E59" s="22" t="s">
        <v>1460</v>
      </c>
      <c r="F59" s="2" t="s">
        <v>3520</v>
      </c>
    </row>
    <row r="60" spans="1:6" ht="225.75">
      <c r="A60" s="7">
        <f>ROW()</f>
        <v>60</v>
      </c>
      <c r="B60" s="8" t="s">
        <v>1519</v>
      </c>
      <c r="C60" s="8" t="s">
        <v>612</v>
      </c>
      <c r="D60" s="8" t="str">
        <f t="shared" ref="D60:D70" si="2">+E60</f>
        <v>1. Besteuerung von Renten</v>
      </c>
      <c r="E60" s="23" t="s">
        <v>1540</v>
      </c>
      <c r="F60" s="2" t="s">
        <v>628</v>
      </c>
    </row>
    <row r="61" spans="1:6" ht="335.25">
      <c r="A61" s="7">
        <f>ROW()</f>
        <v>61</v>
      </c>
      <c r="B61" s="8" t="s">
        <v>1519</v>
      </c>
      <c r="C61" s="8" t="s">
        <v>612</v>
      </c>
      <c r="D61" s="8" t="str">
        <f t="shared" si="2"/>
        <v>2. Einkommensgrenze für Besteuerung von Renten</v>
      </c>
      <c r="E61" s="23" t="s">
        <v>1541</v>
      </c>
      <c r="F61" s="2" t="s">
        <v>656</v>
      </c>
    </row>
    <row r="62" spans="1:6" ht="264">
      <c r="A62" s="7">
        <f>ROW()</f>
        <v>62</v>
      </c>
      <c r="B62" s="8" t="s">
        <v>1519</v>
      </c>
      <c r="C62" s="8" t="s">
        <v>612</v>
      </c>
      <c r="D62" s="8" t="str">
        <f t="shared" si="2"/>
        <v>3. Auf Renten anfallende Sozialabgaben</v>
      </c>
      <c r="E62" s="23" t="s">
        <v>1542</v>
      </c>
      <c r="F62" s="2" t="s">
        <v>680</v>
      </c>
    </row>
    <row r="63" spans="1:6" ht="138">
      <c r="A63" s="7">
        <f>ROW()</f>
        <v>63</v>
      </c>
      <c r="B63" s="8" t="s">
        <v>1543</v>
      </c>
      <c r="C63" s="8" t="str">
        <f>+E63</f>
        <v>Anwendungsbereich</v>
      </c>
      <c r="D63" s="8" t="str">
        <f t="shared" si="2"/>
        <v>Anwendungsbereich</v>
      </c>
      <c r="E63" s="23" t="s">
        <v>1467</v>
      </c>
      <c r="F63" s="2" t="s">
        <v>704</v>
      </c>
    </row>
    <row r="64" spans="1:6" ht="132.75">
      <c r="A64" s="7">
        <f>ROW()</f>
        <v>64</v>
      </c>
      <c r="B64" s="8" t="s">
        <v>1543</v>
      </c>
      <c r="C64" s="8" t="s">
        <v>1514</v>
      </c>
      <c r="D64" s="8" t="str">
        <f t="shared" si="2"/>
        <v>Grundprinzipien</v>
      </c>
      <c r="E64" s="23" t="s">
        <v>1468</v>
      </c>
      <c r="F64" s="2" t="s">
        <v>729</v>
      </c>
    </row>
    <row r="65" spans="1:6" ht="224.25">
      <c r="A65" s="7">
        <f>ROW()</f>
        <v>65</v>
      </c>
      <c r="B65" s="8" t="s">
        <v>1543</v>
      </c>
      <c r="C65" s="8" t="s">
        <v>1514</v>
      </c>
      <c r="D65" s="8" t="str">
        <f t="shared" si="2"/>
        <v>Voraussetzungen für die Deckung</v>
      </c>
      <c r="E65" s="23" t="s">
        <v>1469</v>
      </c>
      <c r="F65" s="2" t="s">
        <v>754</v>
      </c>
    </row>
    <row r="66" spans="1:6" ht="409.5">
      <c r="A66" s="7">
        <f>ROW()</f>
        <v>66</v>
      </c>
      <c r="B66" s="8" t="s">
        <v>1543</v>
      </c>
      <c r="C66" s="8" t="s">
        <v>1514</v>
      </c>
      <c r="D66" s="8" t="str">
        <f t="shared" si="2"/>
        <v>Kombination von selbstständiger und unselbstständiger Tätigkeit</v>
      </c>
      <c r="E66" s="23" t="s">
        <v>1462</v>
      </c>
      <c r="F66" s="2" t="s">
        <v>775</v>
      </c>
    </row>
    <row r="67" spans="1:6" ht="376.5">
      <c r="A67" s="7">
        <f>ROW()</f>
        <v>67</v>
      </c>
      <c r="B67" s="8" t="s">
        <v>1543</v>
      </c>
      <c r="C67" s="8" t="s">
        <v>1459</v>
      </c>
      <c r="D67" s="9" t="str">
        <f t="shared" si="2"/>
        <v xml:space="preserve">Voraussetzungen für den Zugang zu Diensten/Leistungen </v>
      </c>
      <c r="E67" s="23" t="s">
        <v>1463</v>
      </c>
      <c r="F67" s="2" t="s">
        <v>3521</v>
      </c>
    </row>
    <row r="68" spans="1:6" ht="253.5">
      <c r="A68" s="7">
        <f>ROW()</f>
        <v>68</v>
      </c>
      <c r="B68" s="8" t="s">
        <v>1543</v>
      </c>
      <c r="C68" s="8" t="s">
        <v>1459</v>
      </c>
      <c r="D68" s="9" t="str">
        <f t="shared" si="2"/>
        <v>Beträge, Dauer und Kostenbeteiligung</v>
      </c>
      <c r="E68" s="23" t="s">
        <v>1464</v>
      </c>
      <c r="F68" s="2" t="s">
        <v>804</v>
      </c>
    </row>
    <row r="69" spans="1:6" ht="216">
      <c r="A69" s="7">
        <f>ROW()</f>
        <v>69</v>
      </c>
      <c r="B69" s="8" t="s">
        <v>1543</v>
      </c>
      <c r="C69" s="8" t="s">
        <v>1459</v>
      </c>
      <c r="D69" s="9" t="str">
        <f t="shared" si="2"/>
        <v>Besteuerung von Geldleistungen</v>
      </c>
      <c r="E69" s="23" t="s">
        <v>1456</v>
      </c>
      <c r="F69" s="2" t="s">
        <v>818</v>
      </c>
    </row>
    <row r="70" spans="1:6" ht="272.25">
      <c r="A70" s="7">
        <f>ROW()</f>
        <v>70</v>
      </c>
      <c r="B70" s="8" t="s">
        <v>1543</v>
      </c>
      <c r="C70" s="8" t="s">
        <v>1459</v>
      </c>
      <c r="D70" s="9" t="str">
        <f t="shared" si="2"/>
        <v>Auf Leistungen anfallende Sozialabgaben</v>
      </c>
      <c r="E70" s="23" t="s">
        <v>1457</v>
      </c>
      <c r="F70" s="2" t="s">
        <v>818</v>
      </c>
    </row>
    <row r="71" spans="1:6" ht="177">
      <c r="A71" s="7">
        <f>ROW()</f>
        <v>71</v>
      </c>
      <c r="B71" s="8" t="s">
        <v>1466</v>
      </c>
      <c r="C71" s="8" t="str">
        <f t="shared" ref="C71:D75" si="3">+D71</f>
        <v>Geltende Rechtsgrundlage</v>
      </c>
      <c r="D71" s="9" t="str">
        <f t="shared" si="3"/>
        <v>Geltende Rechtsgrundlage</v>
      </c>
      <c r="E71" s="22" t="s">
        <v>1472</v>
      </c>
      <c r="F71" s="2" t="s">
        <v>850</v>
      </c>
    </row>
    <row r="72" spans="1:6" ht="110.25">
      <c r="A72" s="7">
        <f>ROW()</f>
        <v>72</v>
      </c>
      <c r="B72" s="8" t="s">
        <v>1466</v>
      </c>
      <c r="C72" s="8" t="str">
        <f t="shared" si="3"/>
        <v>Grundprinzipien</v>
      </c>
      <c r="D72" s="9" t="str">
        <f t="shared" si="3"/>
        <v>Grundprinzipien</v>
      </c>
      <c r="E72" s="22" t="s">
        <v>1468</v>
      </c>
      <c r="F72" s="2" t="s">
        <v>876</v>
      </c>
    </row>
    <row r="73" spans="1:6" ht="315">
      <c r="A73" s="7">
        <f>ROW()</f>
        <v>73</v>
      </c>
      <c r="B73" s="8" t="s">
        <v>1466</v>
      </c>
      <c r="C73" s="9" t="str">
        <f t="shared" si="3"/>
        <v>Anwendungsbereich (in Bezug auf Verstorbene)</v>
      </c>
      <c r="D73" s="9" t="str">
        <f t="shared" si="3"/>
        <v>Anwendungsbereich (in Bezug auf Verstorbene)</v>
      </c>
      <c r="E73" s="22" t="s">
        <v>1473</v>
      </c>
      <c r="F73" s="2" t="s">
        <v>901</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936</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960</v>
      </c>
    </row>
    <row r="78" spans="1:6" ht="185.25">
      <c r="A78" s="7">
        <f>ROW()</f>
        <v>78</v>
      </c>
      <c r="B78" s="8" t="s">
        <v>1466</v>
      </c>
      <c r="C78" s="8" t="s">
        <v>1544</v>
      </c>
      <c r="D78" s="8" t="str">
        <f t="shared" si="4"/>
        <v>2. Hinterbliebener Ehegatte</v>
      </c>
      <c r="E78" s="23" t="s">
        <v>1546</v>
      </c>
      <c r="F78" s="2" t="s">
        <v>978</v>
      </c>
    </row>
    <row r="79" spans="1:6" ht="181.5">
      <c r="A79" s="7">
        <f>ROW()</f>
        <v>79</v>
      </c>
      <c r="B79" s="8" t="s">
        <v>1466</v>
      </c>
      <c r="C79" s="8" t="s">
        <v>1544</v>
      </c>
      <c r="D79" s="8" t="str">
        <f t="shared" si="4"/>
        <v>3. Geschiedener Ehegatte</v>
      </c>
      <c r="E79" s="23" t="s">
        <v>1547</v>
      </c>
      <c r="F79" s="2" t="s">
        <v>997</v>
      </c>
    </row>
    <row r="80" spans="1:6" ht="216">
      <c r="A80" s="7">
        <f>ROW()</f>
        <v>80</v>
      </c>
      <c r="B80" s="8" t="s">
        <v>1466</v>
      </c>
      <c r="C80" s="8" t="s">
        <v>1544</v>
      </c>
      <c r="D80" s="8" t="str">
        <f t="shared" si="4"/>
        <v>4. Hinterbliebene Lebenspartner</v>
      </c>
      <c r="E80" s="23" t="s">
        <v>1548</v>
      </c>
      <c r="F80" s="2" t="s">
        <v>282</v>
      </c>
    </row>
    <row r="81" spans="1:6" ht="181.5">
      <c r="A81" s="7">
        <f>ROW()</f>
        <v>81</v>
      </c>
      <c r="B81" s="8" t="s">
        <v>1466</v>
      </c>
      <c r="C81" s="8" t="s">
        <v>1544</v>
      </c>
      <c r="D81" s="8" t="str">
        <f t="shared" si="4"/>
        <v>5. Kinder</v>
      </c>
      <c r="E81" s="23" t="s">
        <v>1549</v>
      </c>
      <c r="F81" s="2" t="s">
        <v>3522</v>
      </c>
    </row>
    <row r="82" spans="1:6" ht="181.5">
      <c r="A82" s="7">
        <f>ROW()</f>
        <v>82</v>
      </c>
      <c r="B82" s="8" t="s">
        <v>1466</v>
      </c>
      <c r="C82" s="8" t="s">
        <v>1544</v>
      </c>
      <c r="D82" s="8" t="str">
        <f t="shared" si="4"/>
        <v>6. Andere Personen</v>
      </c>
      <c r="E82" s="23" t="s">
        <v>1550</v>
      </c>
      <c r="F82" s="2" t="s">
        <v>1059</v>
      </c>
    </row>
    <row r="83" spans="1:6" ht="409.5">
      <c r="A83" s="7">
        <f>ROW()</f>
        <v>83</v>
      </c>
      <c r="B83" s="8" t="s">
        <v>1466</v>
      </c>
      <c r="C83" s="8" t="s">
        <v>1459</v>
      </c>
      <c r="D83" s="9" t="str">
        <f t="shared" si="4"/>
        <v>1. Hinterbliebener Ehegatte, geschiedener Ehegatte, hinterbliebene Lebenspartner</v>
      </c>
      <c r="E83" s="23" t="s">
        <v>1551</v>
      </c>
      <c r="F83" s="2" t="s">
        <v>3523</v>
      </c>
    </row>
    <row r="84" spans="1:6" ht="280.5">
      <c r="A84" s="7">
        <f>ROW()</f>
        <v>84</v>
      </c>
      <c r="B84" s="8" t="s">
        <v>1466</v>
      </c>
      <c r="C84" s="8" t="s">
        <v>1459</v>
      </c>
      <c r="D84" s="9" t="str">
        <f t="shared" si="4"/>
        <v>2. Hinterbliebener Ehegatte: Wiederheirat</v>
      </c>
      <c r="E84" s="23" t="s">
        <v>1552</v>
      </c>
      <c r="F84" s="2" t="s">
        <v>1101</v>
      </c>
    </row>
    <row r="85" spans="1:6" ht="240">
      <c r="A85" s="7">
        <f>ROW()</f>
        <v>85</v>
      </c>
      <c r="B85" s="8" t="s">
        <v>1466</v>
      </c>
      <c r="C85" s="8" t="s">
        <v>1459</v>
      </c>
      <c r="D85" s="9" t="str">
        <f t="shared" si="4"/>
        <v>3. Kinder</v>
      </c>
      <c r="E85" s="23" t="s">
        <v>1553</v>
      </c>
      <c r="F85" s="2" t="s">
        <v>3524</v>
      </c>
    </row>
    <row r="86" spans="1:6" ht="165">
      <c r="A86" s="7">
        <f>ROW()</f>
        <v>86</v>
      </c>
      <c r="B86" s="8" t="s">
        <v>1466</v>
      </c>
      <c r="C86" s="8" t="s">
        <v>1459</v>
      </c>
      <c r="D86" s="9" t="str">
        <f t="shared" si="4"/>
        <v>4. Andere Berechtigte</v>
      </c>
      <c r="E86" s="23" t="s">
        <v>1554</v>
      </c>
      <c r="F86" s="2" t="s">
        <v>3525</v>
      </c>
    </row>
    <row r="87" spans="1:6" ht="381">
      <c r="A87" s="7">
        <f>ROW()</f>
        <v>87</v>
      </c>
      <c r="B87" s="8" t="s">
        <v>1466</v>
      </c>
      <c r="C87" s="8" t="s">
        <v>1459</v>
      </c>
      <c r="D87" s="9" t="str">
        <f t="shared" si="4"/>
        <v xml:space="preserve"> 5. Höchster zahlbarer Gesamtbetrag für alle Berechtigten</v>
      </c>
      <c r="E87" s="23" t="s">
        <v>1555</v>
      </c>
      <c r="F87" s="2" t="s">
        <v>1158</v>
      </c>
    </row>
    <row r="88" spans="1:6" ht="165">
      <c r="A88" s="7">
        <f>ROW()</f>
        <v>88</v>
      </c>
      <c r="B88" s="8" t="s">
        <v>1466</v>
      </c>
      <c r="C88" s="8" t="s">
        <v>1459</v>
      </c>
      <c r="D88" s="9" t="str">
        <f t="shared" si="4"/>
        <v>6. Sonstige Leistungen</v>
      </c>
      <c r="E88" s="23" t="s">
        <v>1556</v>
      </c>
      <c r="F88" s="2" t="s">
        <v>1183</v>
      </c>
    </row>
    <row r="89" spans="1:6" ht="126.75">
      <c r="A89" s="7">
        <f>ROW()</f>
        <v>89</v>
      </c>
      <c r="B89" s="8" t="s">
        <v>1466</v>
      </c>
      <c r="C89" s="8" t="s">
        <v>1459</v>
      </c>
      <c r="D89" s="9" t="str">
        <f>+E89</f>
        <v>7. Mindestleistung</v>
      </c>
      <c r="E89" s="23" t="s">
        <v>1557</v>
      </c>
      <c r="F89" s="2" t="s">
        <v>1205</v>
      </c>
    </row>
    <row r="90" spans="1:6" ht="122.25">
      <c r="A90" s="7">
        <f>ROW()</f>
        <v>90</v>
      </c>
      <c r="B90" s="8" t="s">
        <v>1466</v>
      </c>
      <c r="C90" s="8" t="s">
        <v>1459</v>
      </c>
      <c r="D90" s="9" t="str">
        <f t="shared" si="4"/>
        <v xml:space="preserve"> 8. Höchstleistung</v>
      </c>
      <c r="E90" s="23" t="s">
        <v>1558</v>
      </c>
      <c r="F90" s="2" t="s">
        <v>1226</v>
      </c>
    </row>
    <row r="91" spans="1:6" ht="179.25">
      <c r="A91" s="7">
        <f>ROW()</f>
        <v>91</v>
      </c>
      <c r="B91" s="8" t="s">
        <v>1466</v>
      </c>
      <c r="C91" s="8" t="s">
        <v>1538</v>
      </c>
      <c r="D91" s="9" t="str">
        <f>+C91</f>
        <v>Indexbindung / Anpassung</v>
      </c>
      <c r="E91" s="22" t="s">
        <v>1538</v>
      </c>
      <c r="F91" s="2" t="s">
        <v>1252</v>
      </c>
    </row>
    <row r="92" spans="1:6" ht="242.25">
      <c r="A92" s="7">
        <f>ROW()</f>
        <v>92</v>
      </c>
      <c r="B92" s="8" t="s">
        <v>1466</v>
      </c>
      <c r="C92" s="8" t="s">
        <v>1538</v>
      </c>
      <c r="D92" s="9" t="str">
        <f t="shared" ref="D92:D105" si="5">+E92</f>
        <v>Kumulation mit Erwerbseinkommen</v>
      </c>
      <c r="E92" s="22" t="s">
        <v>1471</v>
      </c>
      <c r="F92" s="2" t="s">
        <v>3526</v>
      </c>
    </row>
    <row r="93" spans="1:6" ht="275.25">
      <c r="A93" s="7">
        <f>ROW()</f>
        <v>93</v>
      </c>
      <c r="B93" s="8" t="s">
        <v>1466</v>
      </c>
      <c r="C93" s="8" t="s">
        <v>1538</v>
      </c>
      <c r="D93" s="9" t="str">
        <f t="shared" si="5"/>
        <v>Kumulation mit anderen Sozialleistungen</v>
      </c>
      <c r="E93" s="22" t="s">
        <v>1460</v>
      </c>
      <c r="F93" s="2" t="s">
        <v>1306</v>
      </c>
    </row>
    <row r="94" spans="1:6" ht="232.5">
      <c r="A94" s="7">
        <f>ROW()</f>
        <v>94</v>
      </c>
      <c r="B94" s="8" t="s">
        <v>1466</v>
      </c>
      <c r="C94" s="9" t="s">
        <v>1465</v>
      </c>
      <c r="D94" s="9" t="str">
        <f t="shared" si="5"/>
        <v>1. Besteuerung von Geldleistungen</v>
      </c>
      <c r="E94" s="23" t="s">
        <v>1509</v>
      </c>
      <c r="F94" s="2" t="s">
        <v>1327</v>
      </c>
    </row>
    <row r="95" spans="1:6" ht="387">
      <c r="A95" s="7">
        <f>ROW()</f>
        <v>95</v>
      </c>
      <c r="B95" s="8" t="s">
        <v>1466</v>
      </c>
      <c r="C95" s="9" t="s">
        <v>1465</v>
      </c>
      <c r="D95" s="9" t="str">
        <f t="shared" si="5"/>
        <v>2. Einkommensgrenze für Besteuerung von Geldleistungen</v>
      </c>
      <c r="E95" s="23" t="s">
        <v>1511</v>
      </c>
      <c r="F95" s="2" t="s">
        <v>1350</v>
      </c>
    </row>
    <row r="96" spans="1:6" ht="288.75">
      <c r="A96" s="7">
        <f>ROW()</f>
        <v>96</v>
      </c>
      <c r="B96" s="8" t="s">
        <v>1466</v>
      </c>
      <c r="C96" s="9" t="s">
        <v>1465</v>
      </c>
      <c r="D96" s="9" t="str">
        <f t="shared" si="5"/>
        <v>3. Auf Leistungen anfallende Sozialabgaben</v>
      </c>
      <c r="E96" s="23" t="s">
        <v>1512</v>
      </c>
      <c r="F96" s="2" t="s">
        <v>1369</v>
      </c>
    </row>
    <row r="97" spans="1:6" ht="138">
      <c r="A97" s="7">
        <f>ROW()</f>
        <v>97</v>
      </c>
      <c r="B97" s="8" t="s">
        <v>1466</v>
      </c>
      <c r="C97" s="9" t="s">
        <v>1514</v>
      </c>
      <c r="D97" s="9" t="str">
        <f t="shared" si="5"/>
        <v>Anwendungsbereich</v>
      </c>
      <c r="E97" s="23" t="s">
        <v>1467</v>
      </c>
      <c r="F97" s="2" t="s">
        <v>1386</v>
      </c>
    </row>
    <row r="98" spans="1:6" ht="110.25">
      <c r="A98" s="7">
        <f>ROW()</f>
        <v>98</v>
      </c>
      <c r="B98" s="8" t="s">
        <v>1466</v>
      </c>
      <c r="C98" s="9" t="s">
        <v>1514</v>
      </c>
      <c r="D98" s="9" t="str">
        <f t="shared" si="5"/>
        <v>Grundprinzipien</v>
      </c>
      <c r="E98" s="23" t="s">
        <v>1468</v>
      </c>
      <c r="F98" s="2" t="s">
        <v>729</v>
      </c>
    </row>
    <row r="99" spans="1:6" ht="224.25">
      <c r="A99" s="7">
        <f>ROW()</f>
        <v>99</v>
      </c>
      <c r="B99" s="8" t="s">
        <v>1466</v>
      </c>
      <c r="C99" s="9" t="s">
        <v>1514</v>
      </c>
      <c r="D99" s="9" t="str">
        <f t="shared" si="5"/>
        <v>Voraussetzungen für die Deckung</v>
      </c>
      <c r="E99" s="23" t="s">
        <v>1469</v>
      </c>
      <c r="F99" s="2" t="s">
        <v>754</v>
      </c>
    </row>
    <row r="100" spans="1:6" ht="409.5">
      <c r="A100" s="7">
        <f>ROW()</f>
        <v>100</v>
      </c>
      <c r="B100" s="8" t="s">
        <v>1466</v>
      </c>
      <c r="C100" s="9" t="s">
        <v>1514</v>
      </c>
      <c r="D100" s="9" t="str">
        <f t="shared" si="5"/>
        <v>Kombination von selbstständiger und unselbstständiger Tätigkeit</v>
      </c>
      <c r="E100" s="23" t="s">
        <v>1462</v>
      </c>
      <c r="F100" s="2" t="s">
        <v>775</v>
      </c>
    </row>
    <row r="101" spans="1:6" ht="376.5">
      <c r="A101" s="7">
        <f>ROW()</f>
        <v>101</v>
      </c>
      <c r="B101" s="8" t="s">
        <v>1466</v>
      </c>
      <c r="C101" s="9" t="s">
        <v>1514</v>
      </c>
      <c r="D101" s="9" t="str">
        <f t="shared" si="5"/>
        <v xml:space="preserve">Voraussetzungen für den Zugang zu Diensten/Leistungen </v>
      </c>
      <c r="E101" s="23" t="s">
        <v>1463</v>
      </c>
      <c r="F101" s="2" t="s">
        <v>818</v>
      </c>
    </row>
    <row r="102" spans="1:6" ht="253.5">
      <c r="A102" s="7">
        <f>ROW()</f>
        <v>102</v>
      </c>
      <c r="B102" s="8" t="s">
        <v>1466</v>
      </c>
      <c r="C102" s="9" t="s">
        <v>1514</v>
      </c>
      <c r="D102" s="9" t="str">
        <f t="shared" si="5"/>
        <v>Beträge, Dauer und Kostenbeteiligung</v>
      </c>
      <c r="E102" s="23" t="s">
        <v>1464</v>
      </c>
      <c r="F102" s="2" t="s">
        <v>818</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818</v>
      </c>
    </row>
    <row r="105" spans="1:6" ht="272.25">
      <c r="A105" s="7">
        <f>ROW()</f>
        <v>105</v>
      </c>
      <c r="B105" s="8" t="s">
        <v>1466</v>
      </c>
      <c r="C105" s="9" t="s">
        <v>1514</v>
      </c>
      <c r="D105" s="9" t="str">
        <f t="shared" si="5"/>
        <v>Auf Leistungen anfallende Sozialabgaben</v>
      </c>
      <c r="E105" s="23" t="s">
        <v>1457</v>
      </c>
      <c r="F105" s="2" t="s">
        <v>818</v>
      </c>
    </row>
  </sheetData>
  <sheetProtection algorithmName="SHA-512" hashValue="nD6PdPmbkGY+i4hdFOLX27u8Kxjw54vjCQFzD56ylqXbDYWbViTn05HrBSaEu1xn8P200pPNzsMbxfgMMi1bPA==" saltValue="WCFdASTla4wzfA7qto+5yw==" spinCount="100000" sheet="1" objects="1" scenarios="1" formatColumns="0" autoFilter="0"/>
  <autoFilter ref="A2:F2" xr:uid="{36A53747-D088-4F16-BE28-A1F640B9F358}"/>
  <pageMargins left="0.7" right="0.7" top="0.78740157499999996" bottom="0.78740157499999996"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2324A-4C85-46B0-B0C6-A982FB91EA3D}">
  <sheetPr codeName="Tabelle23"/>
  <dimension ref="A1:AR105"/>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44" width="26.5703125" hidden="1" customWidth="1"/>
    <col min="45" max="16384" width="0.140625" hidden="1"/>
  </cols>
  <sheetData>
    <row r="1" spans="1:6" ht="64.5" customHeight="1">
      <c r="B1" s="129" t="s">
        <v>1474</v>
      </c>
      <c r="C1" s="126" t="s">
        <v>1478</v>
      </c>
      <c r="D1" s="126" t="s">
        <v>1475</v>
      </c>
      <c r="E1" s="118" t="s">
        <v>2245</v>
      </c>
      <c r="F1" s="6" t="s">
        <v>21</v>
      </c>
    </row>
    <row r="2" spans="1:6" ht="39.75" customHeight="1">
      <c r="A2" s="128"/>
      <c r="B2" s="129"/>
      <c r="C2" s="126"/>
      <c r="D2" s="126"/>
      <c r="E2" s="124"/>
      <c r="F2" s="162" t="str" cm="1">
        <f t="array" ref="F2">_xlfn.TEXTJOIN("; ", TRUE, IF(Entscheidungen!A2:A100=F1, Entscheidungen!B2:B100, ""))</f>
        <v>OLG Frankfurt, 10.08.2017 – 3 UF 401/11</v>
      </c>
    </row>
    <row r="3" spans="1:6" ht="195">
      <c r="A3" s="7">
        <f>ROW()</f>
        <v>3</v>
      </c>
      <c r="B3" s="8" t="s">
        <v>1479</v>
      </c>
      <c r="C3" s="8"/>
      <c r="D3" s="8" t="str">
        <f>+E3</f>
        <v>Geltende Rechtsgrundlage</v>
      </c>
      <c r="E3" s="21" t="s">
        <v>1472</v>
      </c>
      <c r="F3" s="2" t="s">
        <v>1770</v>
      </c>
    </row>
    <row r="4" spans="1:6" ht="135">
      <c r="A4" s="7">
        <f>ROW()</f>
        <v>4</v>
      </c>
      <c r="B4" s="8" t="s">
        <v>1479</v>
      </c>
      <c r="C4" s="1"/>
      <c r="D4" s="8" t="str">
        <f t="shared" ref="D4:D34" si="0">+E4</f>
        <v>Grundprinzipien</v>
      </c>
      <c r="E4" s="22" t="s">
        <v>1468</v>
      </c>
      <c r="F4" s="2" t="s">
        <v>1771</v>
      </c>
    </row>
    <row r="5" spans="1:6" ht="188.25">
      <c r="A5" s="7">
        <f>ROW()</f>
        <v>5</v>
      </c>
      <c r="B5" s="8" t="s">
        <v>1479</v>
      </c>
      <c r="C5" s="1"/>
      <c r="D5" s="8" t="str">
        <f t="shared" si="0"/>
        <v>Gedecktes Risiko: Definition</v>
      </c>
      <c r="E5" s="22" t="s">
        <v>1630</v>
      </c>
      <c r="F5" s="2" t="s">
        <v>1772</v>
      </c>
    </row>
    <row r="6" spans="1:6" ht="270">
      <c r="A6" s="7">
        <f>ROW()</f>
        <v>6</v>
      </c>
      <c r="B6" s="8" t="s">
        <v>1479</v>
      </c>
      <c r="C6" s="8" t="s">
        <v>1453</v>
      </c>
      <c r="D6" s="8" t="str">
        <f t="shared" si="0"/>
        <v>Versicherte Personen</v>
      </c>
      <c r="E6" s="23" t="s">
        <v>1453</v>
      </c>
      <c r="F6" s="2" t="s">
        <v>3527</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1773</v>
      </c>
    </row>
    <row r="9" spans="1:6" ht="409.5">
      <c r="A9" s="7">
        <f>ROW()</f>
        <v>9</v>
      </c>
      <c r="B9" s="8" t="s">
        <v>1479</v>
      </c>
      <c r="C9" s="9" t="s">
        <v>128</v>
      </c>
      <c r="D9" s="8" t="str">
        <f t="shared" si="0"/>
        <v xml:space="preserve">2. Begutachtungskriterien und Kategorien der Arbeitsunfähigkeit/Arbeitsfähigkeit  </v>
      </c>
      <c r="E9" s="23" t="s">
        <v>1484</v>
      </c>
      <c r="F9" s="2" t="s">
        <v>1774</v>
      </c>
    </row>
    <row r="10" spans="1:6" ht="222">
      <c r="A10" s="7">
        <f>ROW()</f>
        <v>10</v>
      </c>
      <c r="B10" s="8" t="s">
        <v>1479</v>
      </c>
      <c r="C10" s="9" t="s">
        <v>128</v>
      </c>
      <c r="D10" s="8" t="str">
        <f t="shared" si="0"/>
        <v>3. Zeitraum der Leistungszahlung</v>
      </c>
      <c r="E10" s="23" t="s">
        <v>1486</v>
      </c>
      <c r="F10" s="2" t="s">
        <v>1775</v>
      </c>
    </row>
    <row r="11" spans="1:6" ht="240">
      <c r="A11" s="7">
        <f>ROW()</f>
        <v>11</v>
      </c>
      <c r="B11" s="8" t="s">
        <v>1479</v>
      </c>
      <c r="C11" s="9" t="s">
        <v>1488</v>
      </c>
      <c r="D11" s="8" t="str">
        <f t="shared" si="0"/>
        <v>1. Gutachter</v>
      </c>
      <c r="E11" s="23" t="s">
        <v>1489</v>
      </c>
      <c r="F11" s="2" t="s">
        <v>1776</v>
      </c>
    </row>
    <row r="12" spans="1:6" ht="111.75">
      <c r="A12" s="7">
        <f>ROW()</f>
        <v>12</v>
      </c>
      <c r="B12" s="8" t="s">
        <v>1479</v>
      </c>
      <c r="C12" s="9" t="s">
        <v>1488</v>
      </c>
      <c r="D12" s="8" t="str">
        <f t="shared" si="0"/>
        <v xml:space="preserve">2. Überprüfung  </v>
      </c>
      <c r="E12" s="23" t="s">
        <v>1490</v>
      </c>
      <c r="F12" s="2" t="s">
        <v>1777</v>
      </c>
    </row>
    <row r="13" spans="1:6" ht="300">
      <c r="A13" s="7">
        <f>ROW()</f>
        <v>13</v>
      </c>
      <c r="B13" s="8" t="s">
        <v>1479</v>
      </c>
      <c r="C13" s="8" t="s">
        <v>1459</v>
      </c>
      <c r="D13" s="8" t="str">
        <f t="shared" si="0"/>
        <v>1. Berechnungsmethode bzw. Rentenformel</v>
      </c>
      <c r="E13" s="23" t="s">
        <v>1492</v>
      </c>
      <c r="F13" s="2" t="s">
        <v>3528</v>
      </c>
    </row>
    <row r="14" spans="1:6" ht="343.5">
      <c r="A14" s="7">
        <f>ROW()</f>
        <v>14</v>
      </c>
      <c r="B14" s="8" t="s">
        <v>1479</v>
      </c>
      <c r="C14" s="8" t="s">
        <v>1459</v>
      </c>
      <c r="D14" s="8" t="str">
        <f t="shared" si="0"/>
        <v>2. Referenzeinkommen bzw. Berechnungsgrundlage</v>
      </c>
      <c r="E14" s="23" t="s">
        <v>1493</v>
      </c>
      <c r="F14" s="2" t="s">
        <v>1778</v>
      </c>
    </row>
    <row r="15" spans="1:6" ht="226.5">
      <c r="A15" s="7">
        <f>ROW()</f>
        <v>15</v>
      </c>
      <c r="B15" s="8" t="s">
        <v>1479</v>
      </c>
      <c r="C15" s="8" t="s">
        <v>1459</v>
      </c>
      <c r="D15" s="8" t="str">
        <f t="shared" si="0"/>
        <v>3. Mindest- und Höchstleistungen</v>
      </c>
      <c r="E15" s="23" t="s">
        <v>1495</v>
      </c>
      <c r="F15" s="2" t="s">
        <v>3529</v>
      </c>
    </row>
    <row r="16" spans="1:6" ht="405">
      <c r="A16" s="7">
        <f>ROW()</f>
        <v>16</v>
      </c>
      <c r="B16" s="8" t="s">
        <v>1479</v>
      </c>
      <c r="C16" s="8" t="s">
        <v>1459</v>
      </c>
      <c r="D16" s="8" t="str">
        <f t="shared" si="0"/>
        <v>4. Anrechenbare oder als Beitragszeiten gewertete Zeiträume</v>
      </c>
      <c r="E16" s="23" t="s">
        <v>1496</v>
      </c>
      <c r="F16" s="2" t="s">
        <v>1779</v>
      </c>
    </row>
    <row r="17" spans="1:6" ht="250.5">
      <c r="A17" s="7">
        <f>ROW()</f>
        <v>17</v>
      </c>
      <c r="B17" s="8" t="s">
        <v>1479</v>
      </c>
      <c r="C17" s="8" t="s">
        <v>1459</v>
      </c>
      <c r="D17" s="8" t="str">
        <f t="shared" si="0"/>
        <v xml:space="preserve">5. Zulagen für Unterhaltsberechtigte  </v>
      </c>
      <c r="E17" s="23" t="s">
        <v>1498</v>
      </c>
      <c r="F17" s="2" t="s">
        <v>1780</v>
      </c>
    </row>
    <row r="18" spans="1:6" ht="165">
      <c r="A18" s="7">
        <f>ROW()</f>
        <v>18</v>
      </c>
      <c r="B18" s="8" t="s">
        <v>1479</v>
      </c>
      <c r="C18" s="8" t="str">
        <f>+E18</f>
        <v>Sonstige Leistungen</v>
      </c>
      <c r="D18" s="8" t="str">
        <f>+E18</f>
        <v>Sonstige Leistungen</v>
      </c>
      <c r="E18" s="22" t="s">
        <v>1455</v>
      </c>
      <c r="F18" s="2" t="s">
        <v>1781</v>
      </c>
    </row>
    <row r="19" spans="1:6" ht="300.75">
      <c r="A19" s="7">
        <f>ROW()</f>
        <v>19</v>
      </c>
      <c r="B19" s="8" t="s">
        <v>1479</v>
      </c>
      <c r="C19" s="8" t="s">
        <v>1500</v>
      </c>
      <c r="D19" s="8" t="str">
        <f t="shared" si="0"/>
        <v>Umschulung, berufsbezogene Rehabilitation</v>
      </c>
      <c r="E19" s="23" t="s">
        <v>1501</v>
      </c>
      <c r="F19" s="2" t="s">
        <v>1782</v>
      </c>
    </row>
    <row r="20" spans="1:6" ht="409.5">
      <c r="A20" s="7">
        <f>ROW()</f>
        <v>20</v>
      </c>
      <c r="B20" s="8" t="s">
        <v>1479</v>
      </c>
      <c r="C20" s="8" t="s">
        <v>1500</v>
      </c>
      <c r="D20" s="8" t="str">
        <f t="shared" si="0"/>
        <v xml:space="preserve">Bevorzugte und reservierte Beschäftigung von Menschen mit Behinderungen  </v>
      </c>
      <c r="E20" s="23" t="s">
        <v>1502</v>
      </c>
      <c r="F20" s="2" t="s">
        <v>1783</v>
      </c>
    </row>
    <row r="21" spans="1:6" ht="171.75">
      <c r="A21" s="7">
        <f>ROW()</f>
        <v>21</v>
      </c>
      <c r="B21" s="8" t="s">
        <v>1479</v>
      </c>
      <c r="C21" s="8" t="s">
        <v>1504</v>
      </c>
      <c r="D21" s="8" t="str">
        <f t="shared" si="0"/>
        <v>Indexbindung/Anpassung</v>
      </c>
      <c r="E21" s="22" t="s">
        <v>1505</v>
      </c>
      <c r="F21" s="2" t="s">
        <v>1784</v>
      </c>
    </row>
    <row r="22" spans="1:6" ht="242.25">
      <c r="A22" s="7">
        <f>ROW()</f>
        <v>22</v>
      </c>
      <c r="B22" s="8" t="s">
        <v>1479</v>
      </c>
      <c r="C22" s="8" t="s">
        <v>1504</v>
      </c>
      <c r="D22" s="8" t="str">
        <f>+E22</f>
        <v>Kumulation mit Erwerbseinkommen</v>
      </c>
      <c r="E22" s="22" t="s">
        <v>1471</v>
      </c>
      <c r="F22" s="2" t="s">
        <v>3530</v>
      </c>
    </row>
    <row r="23" spans="1:6" ht="275.25">
      <c r="A23" s="7">
        <f>ROW()</f>
        <v>23</v>
      </c>
      <c r="B23" s="8" t="s">
        <v>1479</v>
      </c>
      <c r="C23" s="8" t="s">
        <v>1504</v>
      </c>
      <c r="D23" s="8" t="str">
        <f t="shared" si="0"/>
        <v>Kumulation mit anderen Sozialleistungen</v>
      </c>
      <c r="E23" s="22" t="s">
        <v>1460</v>
      </c>
      <c r="F23" s="2" t="s">
        <v>1785</v>
      </c>
    </row>
    <row r="24" spans="1:6" ht="232.5">
      <c r="A24" s="7">
        <f>ROW()</f>
        <v>24</v>
      </c>
      <c r="B24" s="8" t="s">
        <v>1479</v>
      </c>
      <c r="C24" s="8" t="s">
        <v>1465</v>
      </c>
      <c r="D24" s="8" t="str">
        <f t="shared" si="0"/>
        <v>1. Besteuerung von Geldleistungen</v>
      </c>
      <c r="E24" s="23" t="s">
        <v>1509</v>
      </c>
      <c r="F24" s="2" t="s">
        <v>1786</v>
      </c>
    </row>
    <row r="25" spans="1:6" ht="387">
      <c r="A25" s="7">
        <f>ROW()</f>
        <v>25</v>
      </c>
      <c r="B25" s="8" t="s">
        <v>1479</v>
      </c>
      <c r="C25" s="8" t="s">
        <v>1465</v>
      </c>
      <c r="D25" s="8" t="str">
        <f t="shared" si="0"/>
        <v>2. Einkommensgrenze für Besteuerung von Geldleistungen</v>
      </c>
      <c r="E25" s="23" t="s">
        <v>1511</v>
      </c>
      <c r="F25" s="2" t="s">
        <v>1787</v>
      </c>
    </row>
    <row r="26" spans="1:6" ht="288.75">
      <c r="A26" s="7">
        <f>ROW()</f>
        <v>26</v>
      </c>
      <c r="B26" s="8" t="s">
        <v>1479</v>
      </c>
      <c r="C26" s="8" t="s">
        <v>1465</v>
      </c>
      <c r="D26" s="8" t="str">
        <f t="shared" si="0"/>
        <v>3. Auf Leistungen anfallende Sozialabgaben</v>
      </c>
      <c r="E26" s="23" t="s">
        <v>1512</v>
      </c>
      <c r="F26" s="2" t="s">
        <v>1788</v>
      </c>
    </row>
    <row r="27" spans="1:6" ht="138">
      <c r="A27" s="7">
        <f>ROW()</f>
        <v>27</v>
      </c>
      <c r="B27" s="8" t="s">
        <v>1479</v>
      </c>
      <c r="C27" s="8" t="s">
        <v>1514</v>
      </c>
      <c r="D27" s="8" t="str">
        <f t="shared" si="0"/>
        <v>Anwendungsbereich</v>
      </c>
      <c r="E27" s="23" t="s">
        <v>1467</v>
      </c>
      <c r="F27" s="2" t="s">
        <v>705</v>
      </c>
    </row>
    <row r="28" spans="1:6" ht="110.25">
      <c r="A28" s="7">
        <f>ROW()</f>
        <v>28</v>
      </c>
      <c r="B28" s="8" t="s">
        <v>1479</v>
      </c>
      <c r="C28" s="8" t="s">
        <v>1514</v>
      </c>
      <c r="D28" s="8" t="str">
        <f t="shared" si="0"/>
        <v>Grundprinzipien</v>
      </c>
      <c r="E28" s="23" t="s">
        <v>1468</v>
      </c>
      <c r="F28" s="2" t="s">
        <v>730</v>
      </c>
    </row>
    <row r="29" spans="1:6" ht="224.25">
      <c r="A29" s="7">
        <f>ROW()</f>
        <v>29</v>
      </c>
      <c r="B29" s="8" t="s">
        <v>1479</v>
      </c>
      <c r="C29" s="8" t="s">
        <v>1514</v>
      </c>
      <c r="D29" s="8" t="str">
        <f t="shared" si="0"/>
        <v>Voraussetzungen für die Deckung</v>
      </c>
      <c r="E29" s="23" t="s">
        <v>1469</v>
      </c>
      <c r="F29" s="2" t="s">
        <v>755</v>
      </c>
    </row>
    <row r="30" spans="1:6" ht="409.5">
      <c r="A30" s="7">
        <f>ROW()</f>
        <v>30</v>
      </c>
      <c r="B30" s="8" t="s">
        <v>1479</v>
      </c>
      <c r="C30" s="8" t="s">
        <v>1514</v>
      </c>
      <c r="D30" s="9" t="str">
        <f t="shared" si="0"/>
        <v>Kombination von selbstständiger und unselbstständiger Tätigkeit</v>
      </c>
      <c r="E30" s="23" t="s">
        <v>1462</v>
      </c>
      <c r="F30" s="2" t="s">
        <v>1789</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1790</v>
      </c>
    </row>
    <row r="34" spans="1:6" ht="276.75">
      <c r="A34" s="7">
        <f>ROW()</f>
        <v>34</v>
      </c>
      <c r="B34" s="8" t="s">
        <v>1479</v>
      </c>
      <c r="C34" s="8" t="s">
        <v>1459</v>
      </c>
      <c r="D34" s="8" t="str">
        <f t="shared" si="0"/>
        <v xml:space="preserve"> Auf Leistungen anfallende Sozialabgaben</v>
      </c>
      <c r="E34" s="23" t="s">
        <v>1518</v>
      </c>
      <c r="F34" s="2" t="s">
        <v>1791</v>
      </c>
    </row>
    <row r="35" spans="1:6" ht="177">
      <c r="A35" s="7">
        <f>ROW()</f>
        <v>35</v>
      </c>
      <c r="B35" s="8" t="s">
        <v>1519</v>
      </c>
      <c r="C35" s="8" t="str">
        <f>+D35</f>
        <v>Geltende Rechtsgrundlage</v>
      </c>
      <c r="D35" s="8" t="str">
        <f>+E35</f>
        <v>Geltende Rechtsgrundlage</v>
      </c>
      <c r="E35" s="22" t="s">
        <v>1472</v>
      </c>
      <c r="F35" s="2" t="s">
        <v>51</v>
      </c>
    </row>
    <row r="36" spans="1:6" ht="255">
      <c r="A36" s="7">
        <f>ROW()</f>
        <v>36</v>
      </c>
      <c r="B36" s="8" t="s">
        <v>1519</v>
      </c>
      <c r="C36" s="8" t="str">
        <f>+D36</f>
        <v>Grundprinzipien</v>
      </c>
      <c r="D36" s="8" t="str">
        <f>+E36</f>
        <v>Grundprinzipien</v>
      </c>
      <c r="E36" s="22" t="s">
        <v>1468</v>
      </c>
      <c r="F36" s="2" t="s">
        <v>77</v>
      </c>
    </row>
    <row r="37" spans="1:6" ht="270">
      <c r="A37" s="7">
        <f>ROW()</f>
        <v>37</v>
      </c>
      <c r="B37" s="8" t="s">
        <v>1519</v>
      </c>
      <c r="C37" s="8" t="s">
        <v>1467</v>
      </c>
      <c r="D37" s="8" t="str">
        <f>+E37</f>
        <v>1. Versicherte Personen</v>
      </c>
      <c r="E37" s="23" t="s">
        <v>1520</v>
      </c>
      <c r="F37" s="2" t="s">
        <v>103</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142</v>
      </c>
    </row>
    <row r="40" spans="1:6" ht="409.5">
      <c r="A40" s="7">
        <f>ROW()</f>
        <v>40</v>
      </c>
      <c r="B40" s="8" t="s">
        <v>1519</v>
      </c>
      <c r="C40" s="8" t="s">
        <v>128</v>
      </c>
      <c r="D40" s="8" t="str">
        <f t="shared" si="1"/>
        <v>2. Anwartschaftszeit und sonstige Anspruchsvoraussetzungen für den Bezug einer Altersrente</v>
      </c>
      <c r="E40" s="23" t="s">
        <v>1524</v>
      </c>
      <c r="F40" s="2" t="s">
        <v>165</v>
      </c>
    </row>
    <row r="41" spans="1:6" ht="270">
      <c r="A41" s="7">
        <f>ROW()</f>
        <v>41</v>
      </c>
      <c r="B41" s="8" t="s">
        <v>1519</v>
      </c>
      <c r="C41" s="8" t="s">
        <v>128</v>
      </c>
      <c r="D41" s="8" t="str">
        <f t="shared" si="1"/>
        <v>3. Vorruhestand</v>
      </c>
      <c r="E41" s="23" t="s">
        <v>1525</v>
      </c>
      <c r="F41" s="2" t="s">
        <v>3531</v>
      </c>
    </row>
    <row r="42" spans="1:6" ht="264">
      <c r="A42" s="7">
        <f>ROW()</f>
        <v>42</v>
      </c>
      <c r="B42" s="8" t="s">
        <v>1519</v>
      </c>
      <c r="C42" s="8" t="s">
        <v>128</v>
      </c>
      <c r="D42" s="8" t="str">
        <f t="shared" si="1"/>
        <v>4. Beschwerliche und gefährliche Arbeit</v>
      </c>
      <c r="E42" s="23" t="s">
        <v>1526</v>
      </c>
      <c r="F42" s="2" t="s">
        <v>203</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3532</v>
      </c>
    </row>
    <row r="45" spans="1:6" ht="349.5">
      <c r="A45" s="7">
        <f>ROW()</f>
        <v>45</v>
      </c>
      <c r="B45" s="8" t="s">
        <v>1519</v>
      </c>
      <c r="C45" s="8" t="s">
        <v>1459</v>
      </c>
      <c r="D45" s="8" t="str">
        <f t="shared" si="1"/>
        <v>2. Berechnungsmethode, Rentenformel bzw. Beträge</v>
      </c>
      <c r="E45" s="23" t="s">
        <v>1529</v>
      </c>
      <c r="F45" s="2" t="s">
        <v>3533</v>
      </c>
    </row>
    <row r="46" spans="1:6" ht="343.5">
      <c r="A46" s="7">
        <f>ROW()</f>
        <v>46</v>
      </c>
      <c r="B46" s="8" t="s">
        <v>1519</v>
      </c>
      <c r="C46" s="8" t="s">
        <v>1459</v>
      </c>
      <c r="D46" s="8" t="str">
        <f t="shared" si="1"/>
        <v>3. Referenzeinkommen bzw. Berechnungsgrundlage</v>
      </c>
      <c r="E46" s="23" t="s">
        <v>1530</v>
      </c>
      <c r="F46" s="2" t="s">
        <v>289</v>
      </c>
    </row>
    <row r="47" spans="1:6" ht="405">
      <c r="A47" s="7">
        <f>ROW()</f>
        <v>47</v>
      </c>
      <c r="B47" s="8" t="s">
        <v>1519</v>
      </c>
      <c r="C47" s="8" t="s">
        <v>1459</v>
      </c>
      <c r="D47" s="8" t="str">
        <f t="shared" si="1"/>
        <v>4. Anrechenbare oder als Beitragszeiten gewertete Zeiträume</v>
      </c>
      <c r="E47" s="23" t="s">
        <v>1496</v>
      </c>
      <c r="F47" s="2" t="s">
        <v>306</v>
      </c>
    </row>
    <row r="48" spans="1:6" ht="243.75">
      <c r="A48" s="7">
        <f>ROW()</f>
        <v>48</v>
      </c>
      <c r="B48" s="8" t="s">
        <v>1519</v>
      </c>
      <c r="C48" s="8" t="s">
        <v>1459</v>
      </c>
      <c r="D48" s="8" t="str">
        <f t="shared" si="1"/>
        <v>5. Rückkauf von Versicherungszeiten</v>
      </c>
      <c r="E48" s="23" t="s">
        <v>1531</v>
      </c>
      <c r="F48" s="2" t="s">
        <v>323</v>
      </c>
    </row>
    <row r="49" spans="1:6" ht="246">
      <c r="A49" s="7">
        <f>ROW()</f>
        <v>49</v>
      </c>
      <c r="B49" s="8" t="s">
        <v>1519</v>
      </c>
      <c r="C49" s="8" t="s">
        <v>1459</v>
      </c>
      <c r="D49" s="8" t="str">
        <f t="shared" si="1"/>
        <v>6.  Zulagen für Unterhaltsberechtigte</v>
      </c>
      <c r="E49" s="23" t="s">
        <v>1631</v>
      </c>
      <c r="F49" s="2" t="s">
        <v>343</v>
      </c>
    </row>
    <row r="50" spans="1:6" ht="255">
      <c r="A50" s="7">
        <f>ROW()</f>
        <v>50</v>
      </c>
      <c r="B50" s="8" t="s">
        <v>1519</v>
      </c>
      <c r="C50" s="8" t="s">
        <v>1459</v>
      </c>
      <c r="D50" s="8" t="str">
        <f t="shared" si="1"/>
        <v>7. Besondere Zulagen</v>
      </c>
      <c r="E50" s="23" t="s">
        <v>1532</v>
      </c>
      <c r="F50" s="2" t="s">
        <v>3534</v>
      </c>
    </row>
    <row r="51" spans="1:6" ht="360.75">
      <c r="A51" s="7">
        <f>ROW()</f>
        <v>51</v>
      </c>
      <c r="B51" s="8" t="s">
        <v>1519</v>
      </c>
      <c r="C51" s="8" t="s">
        <v>1459</v>
      </c>
      <c r="D51" s="8" t="str">
        <f t="shared" si="1"/>
        <v>8. Mindestrente und bedürftigkeitsabhängige Leistung</v>
      </c>
      <c r="E51" s="23" t="s">
        <v>1533</v>
      </c>
      <c r="F51" s="2" t="s">
        <v>3535</v>
      </c>
    </row>
    <row r="52" spans="1:6" ht="101.25">
      <c r="A52" s="7">
        <f>ROW()</f>
        <v>52</v>
      </c>
      <c r="B52" s="8" t="s">
        <v>1519</v>
      </c>
      <c r="C52" s="8" t="s">
        <v>1459</v>
      </c>
      <c r="D52" s="8" t="str">
        <f t="shared" si="1"/>
        <v>9. Höchstrente</v>
      </c>
      <c r="E52" s="23" t="s">
        <v>1534</v>
      </c>
      <c r="F52" s="2" t="s">
        <v>396</v>
      </c>
    </row>
    <row r="53" spans="1:6" ht="225">
      <c r="A53" s="7">
        <f>ROW()</f>
        <v>53</v>
      </c>
      <c r="B53" s="8" t="s">
        <v>1519</v>
      </c>
      <c r="C53" s="8" t="s">
        <v>1459</v>
      </c>
      <c r="D53" s="8" t="str">
        <f t="shared" si="1"/>
        <v>10. Vorruhestand</v>
      </c>
      <c r="E53" s="23" t="s">
        <v>1535</v>
      </c>
      <c r="F53" s="2" t="s">
        <v>3536</v>
      </c>
    </row>
    <row r="54" spans="1:6" ht="272.25">
      <c r="A54" s="7">
        <f>ROW()</f>
        <v>54</v>
      </c>
      <c r="B54" s="8" t="s">
        <v>1519</v>
      </c>
      <c r="C54" s="8" t="s">
        <v>1459</v>
      </c>
      <c r="D54" s="8" t="str">
        <f t="shared" si="1"/>
        <v>11. Beschwerliche und gefährliche Arbeit</v>
      </c>
      <c r="E54" s="23" t="s">
        <v>1536</v>
      </c>
      <c r="F54" s="2" t="s">
        <v>465</v>
      </c>
    </row>
    <row r="55" spans="1:6" ht="87.75">
      <c r="A55" s="7">
        <f>ROW()</f>
        <v>55</v>
      </c>
      <c r="B55" s="8" t="s">
        <v>1519</v>
      </c>
      <c r="C55" s="8" t="s">
        <v>1459</v>
      </c>
      <c r="D55" s="8" t="str">
        <f t="shared" si="1"/>
        <v>12. Teilrente</v>
      </c>
      <c r="E55" s="23" t="s">
        <v>1537</v>
      </c>
      <c r="F55" s="2" t="s">
        <v>490</v>
      </c>
    </row>
    <row r="56" spans="1:6" ht="171.75">
      <c r="A56" s="7">
        <f>ROW()</f>
        <v>56</v>
      </c>
      <c r="B56" s="8" t="s">
        <v>1519</v>
      </c>
      <c r="C56" s="8" t="s">
        <v>1459</v>
      </c>
      <c r="D56" s="8" t="str">
        <f t="shared" si="1"/>
        <v>13. Aufgeschobene Rente</v>
      </c>
      <c r="E56" s="23" t="s">
        <v>1632</v>
      </c>
      <c r="F56" s="2" t="s">
        <v>518</v>
      </c>
    </row>
    <row r="57" spans="1:6" ht="179.25">
      <c r="A57" s="7">
        <f>ROW()</f>
        <v>57</v>
      </c>
      <c r="B57" s="8" t="s">
        <v>1519</v>
      </c>
      <c r="C57" s="8" t="s">
        <v>1538</v>
      </c>
      <c r="D57" s="8" t="s">
        <v>1538</v>
      </c>
      <c r="E57" s="22" t="s">
        <v>1538</v>
      </c>
      <c r="F57" s="2" t="s">
        <v>546</v>
      </c>
    </row>
    <row r="58" spans="1:6" ht="246">
      <c r="A58" s="7">
        <f>ROW()</f>
        <v>58</v>
      </c>
      <c r="B58" s="8" t="s">
        <v>1519</v>
      </c>
      <c r="C58" s="8" t="s">
        <v>1538</v>
      </c>
      <c r="D58" s="8" t="str">
        <f t="shared" si="1"/>
        <v xml:space="preserve">Kumulation mit Erwerbseinkommen </v>
      </c>
      <c r="E58" s="22" t="s">
        <v>1461</v>
      </c>
      <c r="F58" s="2" t="s">
        <v>574</v>
      </c>
    </row>
    <row r="59" spans="1:6" ht="286.5">
      <c r="A59" s="7">
        <f>ROW()</f>
        <v>59</v>
      </c>
      <c r="B59" s="8" t="s">
        <v>1519</v>
      </c>
      <c r="C59" s="8" t="s">
        <v>1538</v>
      </c>
      <c r="D59" s="8" t="s">
        <v>1539</v>
      </c>
      <c r="E59" s="22" t="s">
        <v>1460</v>
      </c>
      <c r="F59" s="2" t="s">
        <v>602</v>
      </c>
    </row>
    <row r="60" spans="1:6" ht="225.75">
      <c r="A60" s="7">
        <f>ROW()</f>
        <v>60</v>
      </c>
      <c r="B60" s="8" t="s">
        <v>1519</v>
      </c>
      <c r="C60" s="8" t="s">
        <v>612</v>
      </c>
      <c r="D60" s="8" t="str">
        <f t="shared" ref="D60:D70" si="2">+E60</f>
        <v>1. Besteuerung von Renten</v>
      </c>
      <c r="E60" s="23" t="s">
        <v>1540</v>
      </c>
      <c r="F60" s="2" t="s">
        <v>629</v>
      </c>
    </row>
    <row r="61" spans="1:6" ht="335.25">
      <c r="A61" s="7">
        <f>ROW()</f>
        <v>61</v>
      </c>
      <c r="B61" s="8" t="s">
        <v>1519</v>
      </c>
      <c r="C61" s="8" t="s">
        <v>612</v>
      </c>
      <c r="D61" s="8" t="str">
        <f t="shared" si="2"/>
        <v>2. Einkommensgrenze für Besteuerung von Renten</v>
      </c>
      <c r="E61" s="23" t="s">
        <v>1541</v>
      </c>
      <c r="F61" s="2" t="s">
        <v>657</v>
      </c>
    </row>
    <row r="62" spans="1:6" ht="264">
      <c r="A62" s="7">
        <f>ROW()</f>
        <v>62</v>
      </c>
      <c r="B62" s="8" t="s">
        <v>1519</v>
      </c>
      <c r="C62" s="8" t="s">
        <v>612</v>
      </c>
      <c r="D62" s="8" t="str">
        <f t="shared" si="2"/>
        <v>3. Auf Renten anfallende Sozialabgaben</v>
      </c>
      <c r="E62" s="23" t="s">
        <v>1542</v>
      </c>
      <c r="F62" s="2" t="s">
        <v>681</v>
      </c>
    </row>
    <row r="63" spans="1:6" ht="138">
      <c r="A63" s="7">
        <f>ROW()</f>
        <v>63</v>
      </c>
      <c r="B63" s="8" t="s">
        <v>1543</v>
      </c>
      <c r="C63" s="8" t="str">
        <f>+E63</f>
        <v>Anwendungsbereich</v>
      </c>
      <c r="D63" s="8" t="str">
        <f t="shared" si="2"/>
        <v>Anwendungsbereich</v>
      </c>
      <c r="E63" s="23" t="s">
        <v>1467</v>
      </c>
      <c r="F63" s="2" t="s">
        <v>705</v>
      </c>
    </row>
    <row r="64" spans="1:6" ht="132.75">
      <c r="A64" s="7">
        <f>ROW()</f>
        <v>64</v>
      </c>
      <c r="B64" s="8" t="s">
        <v>1543</v>
      </c>
      <c r="C64" s="8" t="s">
        <v>1514</v>
      </c>
      <c r="D64" s="8" t="str">
        <f t="shared" si="2"/>
        <v>Grundprinzipien</v>
      </c>
      <c r="E64" s="23" t="s">
        <v>1468</v>
      </c>
      <c r="F64" s="2" t="s">
        <v>730</v>
      </c>
    </row>
    <row r="65" spans="1:6" ht="224.25">
      <c r="A65" s="7">
        <f>ROW()</f>
        <v>65</v>
      </c>
      <c r="B65" s="8" t="s">
        <v>1543</v>
      </c>
      <c r="C65" s="8" t="s">
        <v>1514</v>
      </c>
      <c r="D65" s="8" t="str">
        <f t="shared" si="2"/>
        <v>Voraussetzungen für die Deckung</v>
      </c>
      <c r="E65" s="23" t="s">
        <v>1469</v>
      </c>
      <c r="F65" s="2" t="s">
        <v>755</v>
      </c>
    </row>
    <row r="66" spans="1:6" ht="409.5">
      <c r="A66" s="7">
        <f>ROW()</f>
        <v>66</v>
      </c>
      <c r="B66" s="8" t="s">
        <v>1543</v>
      </c>
      <c r="C66" s="8" t="s">
        <v>1514</v>
      </c>
      <c r="D66" s="8" t="str">
        <f t="shared" si="2"/>
        <v>Kombination von selbstständiger und unselbstständiger Tätigkeit</v>
      </c>
      <c r="E66" s="23" t="s">
        <v>1462</v>
      </c>
      <c r="F66" s="2" t="s">
        <v>776</v>
      </c>
    </row>
    <row r="67" spans="1:6" ht="376.5">
      <c r="A67" s="7">
        <f>ROW()</f>
        <v>67</v>
      </c>
      <c r="B67" s="8" t="s">
        <v>1543</v>
      </c>
      <c r="C67" s="8" t="s">
        <v>1459</v>
      </c>
      <c r="D67" s="9" t="str">
        <f t="shared" si="2"/>
        <v xml:space="preserve">Voraussetzungen für den Zugang zu Diensten/Leistungen </v>
      </c>
      <c r="E67" s="23" t="s">
        <v>1463</v>
      </c>
      <c r="F67" s="2" t="s">
        <v>793</v>
      </c>
    </row>
    <row r="68" spans="1:6" ht="253.5">
      <c r="A68" s="7">
        <f>ROW()</f>
        <v>68</v>
      </c>
      <c r="B68" s="8" t="s">
        <v>1543</v>
      </c>
      <c r="C68" s="8" t="s">
        <v>1459</v>
      </c>
      <c r="D68" s="9" t="str">
        <f t="shared" si="2"/>
        <v>Beträge, Dauer und Kostenbeteiligung</v>
      </c>
      <c r="E68" s="23" t="s">
        <v>1464</v>
      </c>
      <c r="F68" s="2" t="s">
        <v>805</v>
      </c>
    </row>
    <row r="69" spans="1:6" ht="216">
      <c r="A69" s="7">
        <f>ROW()</f>
        <v>69</v>
      </c>
      <c r="B69" s="8" t="s">
        <v>1543</v>
      </c>
      <c r="C69" s="8" t="s">
        <v>1459</v>
      </c>
      <c r="D69" s="9" t="str">
        <f t="shared" si="2"/>
        <v>Besteuerung von Geldleistungen</v>
      </c>
      <c r="E69" s="23" t="s">
        <v>1456</v>
      </c>
      <c r="F69" s="2" t="s">
        <v>819</v>
      </c>
    </row>
    <row r="70" spans="1:6" ht="272.25">
      <c r="A70" s="7">
        <f>ROW()</f>
        <v>70</v>
      </c>
      <c r="B70" s="8" t="s">
        <v>1543</v>
      </c>
      <c r="C70" s="8" t="s">
        <v>1459</v>
      </c>
      <c r="D70" s="9" t="str">
        <f t="shared" si="2"/>
        <v>Auf Leistungen anfallende Sozialabgaben</v>
      </c>
      <c r="E70" s="23" t="s">
        <v>1457</v>
      </c>
      <c r="F70" s="2" t="s">
        <v>830</v>
      </c>
    </row>
    <row r="71" spans="1:6" ht="177">
      <c r="A71" s="7">
        <f>ROW()</f>
        <v>71</v>
      </c>
      <c r="B71" s="8" t="s">
        <v>1466</v>
      </c>
      <c r="C71" s="8" t="str">
        <f t="shared" ref="C71:D75" si="3">+D71</f>
        <v>Geltende Rechtsgrundlage</v>
      </c>
      <c r="D71" s="9" t="str">
        <f t="shared" si="3"/>
        <v>Geltende Rechtsgrundlage</v>
      </c>
      <c r="E71" s="22" t="s">
        <v>1472</v>
      </c>
      <c r="F71" s="2" t="s">
        <v>851</v>
      </c>
    </row>
    <row r="72" spans="1:6" ht="110.25">
      <c r="A72" s="7">
        <f>ROW()</f>
        <v>72</v>
      </c>
      <c r="B72" s="8" t="s">
        <v>1466</v>
      </c>
      <c r="C72" s="8" t="str">
        <f t="shared" si="3"/>
        <v>Grundprinzipien</v>
      </c>
      <c r="D72" s="9" t="str">
        <f t="shared" si="3"/>
        <v>Grundprinzipien</v>
      </c>
      <c r="E72" s="22" t="s">
        <v>1468</v>
      </c>
      <c r="F72" s="2" t="s">
        <v>877</v>
      </c>
    </row>
    <row r="73" spans="1:6" ht="315">
      <c r="A73" s="7">
        <f>ROW()</f>
        <v>73</v>
      </c>
      <c r="B73" s="8" t="s">
        <v>1466</v>
      </c>
      <c r="C73" s="9" t="str">
        <f t="shared" si="3"/>
        <v>Anwendungsbereich (in Bezug auf Verstorbene)</v>
      </c>
      <c r="D73" s="9" t="str">
        <f t="shared" si="3"/>
        <v>Anwendungsbereich (in Bezug auf Verstorbene)</v>
      </c>
      <c r="E73" s="22" t="s">
        <v>1473</v>
      </c>
      <c r="F73" s="2" t="s">
        <v>902</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3537</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961</v>
      </c>
    </row>
    <row r="78" spans="1:6" ht="185.25">
      <c r="A78" s="7">
        <f>ROW()</f>
        <v>78</v>
      </c>
      <c r="B78" s="8" t="s">
        <v>1466</v>
      </c>
      <c r="C78" s="8" t="s">
        <v>1544</v>
      </c>
      <c r="D78" s="8" t="str">
        <f t="shared" si="4"/>
        <v>2. Hinterbliebener Ehegatte</v>
      </c>
      <c r="E78" s="23" t="s">
        <v>1546</v>
      </c>
      <c r="F78" s="2" t="s">
        <v>3538</v>
      </c>
    </row>
    <row r="79" spans="1:6" ht="181.5">
      <c r="A79" s="7">
        <f>ROW()</f>
        <v>79</v>
      </c>
      <c r="B79" s="8" t="s">
        <v>1466</v>
      </c>
      <c r="C79" s="8" t="s">
        <v>1544</v>
      </c>
      <c r="D79" s="8" t="str">
        <f t="shared" si="4"/>
        <v>3. Geschiedener Ehegatte</v>
      </c>
      <c r="E79" s="23" t="s">
        <v>1547</v>
      </c>
      <c r="F79" s="2" t="s">
        <v>998</v>
      </c>
    </row>
    <row r="80" spans="1:6" ht="216">
      <c r="A80" s="7">
        <f>ROW()</f>
        <v>80</v>
      </c>
      <c r="B80" s="8" t="s">
        <v>1466</v>
      </c>
      <c r="C80" s="8" t="s">
        <v>1544</v>
      </c>
      <c r="D80" s="8" t="str">
        <f t="shared" si="4"/>
        <v>4. Hinterbliebene Lebenspartner</v>
      </c>
      <c r="E80" s="23" t="s">
        <v>1548</v>
      </c>
      <c r="F80" s="2" t="s">
        <v>1020</v>
      </c>
    </row>
    <row r="81" spans="1:6" ht="181.5">
      <c r="A81" s="7">
        <f>ROW()</f>
        <v>81</v>
      </c>
      <c r="B81" s="8" t="s">
        <v>1466</v>
      </c>
      <c r="C81" s="8" t="s">
        <v>1544</v>
      </c>
      <c r="D81" s="8" t="str">
        <f t="shared" si="4"/>
        <v>5. Kinder</v>
      </c>
      <c r="E81" s="23" t="s">
        <v>1549</v>
      </c>
      <c r="F81" s="2" t="s">
        <v>1043</v>
      </c>
    </row>
    <row r="82" spans="1:6" ht="181.5">
      <c r="A82" s="7">
        <f>ROW()</f>
        <v>82</v>
      </c>
      <c r="B82" s="8" t="s">
        <v>1466</v>
      </c>
      <c r="C82" s="8" t="s">
        <v>1544</v>
      </c>
      <c r="D82" s="8" t="str">
        <f t="shared" si="4"/>
        <v>6. Andere Personen</v>
      </c>
      <c r="E82" s="23" t="s">
        <v>1550</v>
      </c>
      <c r="F82" s="2" t="s">
        <v>1060</v>
      </c>
    </row>
    <row r="83" spans="1:6" ht="409.5">
      <c r="A83" s="7">
        <f>ROW()</f>
        <v>83</v>
      </c>
      <c r="B83" s="8" t="s">
        <v>1466</v>
      </c>
      <c r="C83" s="8" t="s">
        <v>1459</v>
      </c>
      <c r="D83" s="9" t="str">
        <f t="shared" si="4"/>
        <v>1. Hinterbliebener Ehegatte, geschiedener Ehegatte, hinterbliebene Lebenspartner</v>
      </c>
      <c r="E83" s="23" t="s">
        <v>1551</v>
      </c>
      <c r="F83" s="2" t="s">
        <v>3539</v>
      </c>
    </row>
    <row r="84" spans="1:6" ht="280.5">
      <c r="A84" s="7">
        <f>ROW()</f>
        <v>84</v>
      </c>
      <c r="B84" s="8" t="s">
        <v>1466</v>
      </c>
      <c r="C84" s="8" t="s">
        <v>1459</v>
      </c>
      <c r="D84" s="9" t="str">
        <f t="shared" si="4"/>
        <v>2. Hinterbliebener Ehegatte: Wiederheirat</v>
      </c>
      <c r="E84" s="23" t="s">
        <v>1552</v>
      </c>
      <c r="F84" s="2" t="s">
        <v>1102</v>
      </c>
    </row>
    <row r="85" spans="1:6" ht="135">
      <c r="A85" s="7">
        <f>ROW()</f>
        <v>85</v>
      </c>
      <c r="B85" s="8" t="s">
        <v>1466</v>
      </c>
      <c r="C85" s="8" t="s">
        <v>1459</v>
      </c>
      <c r="D85" s="9" t="str">
        <f t="shared" si="4"/>
        <v>3. Kinder</v>
      </c>
      <c r="E85" s="23" t="s">
        <v>1553</v>
      </c>
      <c r="F85" s="2" t="s">
        <v>1123</v>
      </c>
    </row>
    <row r="86" spans="1:6" ht="147">
      <c r="A86" s="7">
        <f>ROW()</f>
        <v>86</v>
      </c>
      <c r="B86" s="8" t="s">
        <v>1466</v>
      </c>
      <c r="C86" s="8" t="s">
        <v>1459</v>
      </c>
      <c r="D86" s="9" t="str">
        <f t="shared" si="4"/>
        <v>4. Andere Berechtigte</v>
      </c>
      <c r="E86" s="23" t="s">
        <v>1554</v>
      </c>
      <c r="F86" s="2" t="s">
        <v>1138</v>
      </c>
    </row>
    <row r="87" spans="1:6" ht="381">
      <c r="A87" s="7">
        <f>ROW()</f>
        <v>87</v>
      </c>
      <c r="B87" s="8" t="s">
        <v>1466</v>
      </c>
      <c r="C87" s="8" t="s">
        <v>1459</v>
      </c>
      <c r="D87" s="9" t="str">
        <f t="shared" si="4"/>
        <v xml:space="preserve"> 5. Höchster zahlbarer Gesamtbetrag für alle Berechtigten</v>
      </c>
      <c r="E87" s="23" t="s">
        <v>1555</v>
      </c>
      <c r="F87" s="2" t="s">
        <v>1159</v>
      </c>
    </row>
    <row r="88" spans="1:6" ht="210">
      <c r="A88" s="7">
        <f>ROW()</f>
        <v>88</v>
      </c>
      <c r="B88" s="8" t="s">
        <v>1466</v>
      </c>
      <c r="C88" s="8" t="s">
        <v>1459</v>
      </c>
      <c r="D88" s="9" t="str">
        <f t="shared" si="4"/>
        <v>6. Sonstige Leistungen</v>
      </c>
      <c r="E88" s="23" t="s">
        <v>1556</v>
      </c>
      <c r="F88" s="2" t="s">
        <v>1184</v>
      </c>
    </row>
    <row r="89" spans="1:6" ht="126.75">
      <c r="A89" s="7">
        <f>ROW()</f>
        <v>89</v>
      </c>
      <c r="B89" s="8" t="s">
        <v>1466</v>
      </c>
      <c r="C89" s="8" t="s">
        <v>1459</v>
      </c>
      <c r="D89" s="9" t="str">
        <f>+E89</f>
        <v>7. Mindestleistung</v>
      </c>
      <c r="E89" s="23" t="s">
        <v>1557</v>
      </c>
      <c r="F89" s="2" t="s">
        <v>1206</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1253</v>
      </c>
    </row>
    <row r="92" spans="1:6" ht="242.25">
      <c r="A92" s="7">
        <f>ROW()</f>
        <v>92</v>
      </c>
      <c r="B92" s="8" t="s">
        <v>1466</v>
      </c>
      <c r="C92" s="8" t="s">
        <v>1538</v>
      </c>
      <c r="D92" s="9" t="str">
        <f t="shared" ref="D92:D105" si="5">+E92</f>
        <v>Kumulation mit Erwerbseinkommen</v>
      </c>
      <c r="E92" s="22" t="s">
        <v>1471</v>
      </c>
      <c r="F92" s="2" t="s">
        <v>1278</v>
      </c>
    </row>
    <row r="93" spans="1:6" ht="275.25">
      <c r="A93" s="7">
        <f>ROW()</f>
        <v>93</v>
      </c>
      <c r="B93" s="8" t="s">
        <v>1466</v>
      </c>
      <c r="C93" s="8" t="s">
        <v>1538</v>
      </c>
      <c r="D93" s="9" t="str">
        <f t="shared" si="5"/>
        <v>Kumulation mit anderen Sozialleistungen</v>
      </c>
      <c r="E93" s="22" t="s">
        <v>1460</v>
      </c>
      <c r="F93" s="2" t="s">
        <v>3540</v>
      </c>
    </row>
    <row r="94" spans="1:6" ht="232.5">
      <c r="A94" s="7">
        <f>ROW()</f>
        <v>94</v>
      </c>
      <c r="B94" s="8" t="s">
        <v>1466</v>
      </c>
      <c r="C94" s="9" t="s">
        <v>1465</v>
      </c>
      <c r="D94" s="9" t="str">
        <f t="shared" si="5"/>
        <v>1. Besteuerung von Geldleistungen</v>
      </c>
      <c r="E94" s="23" t="s">
        <v>1509</v>
      </c>
      <c r="F94" s="2" t="s">
        <v>1316</v>
      </c>
    </row>
    <row r="95" spans="1:6" ht="387">
      <c r="A95" s="7">
        <f>ROW()</f>
        <v>95</v>
      </c>
      <c r="B95" s="8" t="s">
        <v>1466</v>
      </c>
      <c r="C95" s="9" t="s">
        <v>1465</v>
      </c>
      <c r="D95" s="9" t="str">
        <f t="shared" si="5"/>
        <v>2. Einkommensgrenze für Besteuerung von Geldleistungen</v>
      </c>
      <c r="E95" s="23" t="s">
        <v>1511</v>
      </c>
      <c r="F95" s="2" t="s">
        <v>657</v>
      </c>
    </row>
    <row r="96" spans="1:6" ht="288.75">
      <c r="A96" s="7">
        <f>ROW()</f>
        <v>96</v>
      </c>
      <c r="B96" s="8" t="s">
        <v>1466</v>
      </c>
      <c r="C96" s="9" t="s">
        <v>1465</v>
      </c>
      <c r="D96" s="9" t="str">
        <f t="shared" si="5"/>
        <v>3. Auf Leistungen anfallende Sozialabgaben</v>
      </c>
      <c r="E96" s="23" t="s">
        <v>1512</v>
      </c>
      <c r="F96" s="2" t="s">
        <v>1370</v>
      </c>
    </row>
    <row r="97" spans="1:6" ht="138">
      <c r="A97" s="7">
        <f>ROW()</f>
        <v>97</v>
      </c>
      <c r="B97" s="8" t="s">
        <v>1466</v>
      </c>
      <c r="C97" s="9" t="s">
        <v>1514</v>
      </c>
      <c r="D97" s="9" t="str">
        <f t="shared" si="5"/>
        <v>Anwendungsbereich</v>
      </c>
      <c r="E97" s="23" t="s">
        <v>1467</v>
      </c>
      <c r="F97" s="2" t="s">
        <v>705</v>
      </c>
    </row>
    <row r="98" spans="1:6" ht="110.25">
      <c r="A98" s="7">
        <f>ROW()</f>
        <v>98</v>
      </c>
      <c r="B98" s="8" t="s">
        <v>1466</v>
      </c>
      <c r="C98" s="9" t="s">
        <v>1514</v>
      </c>
      <c r="D98" s="9" t="str">
        <f t="shared" si="5"/>
        <v>Grundprinzipien</v>
      </c>
      <c r="E98" s="23" t="s">
        <v>1468</v>
      </c>
      <c r="F98" s="2" t="s">
        <v>730</v>
      </c>
    </row>
    <row r="99" spans="1:6" ht="224.25">
      <c r="A99" s="7">
        <f>ROW()</f>
        <v>99</v>
      </c>
      <c r="B99" s="8" t="s">
        <v>1466</v>
      </c>
      <c r="C99" s="9" t="s">
        <v>1514</v>
      </c>
      <c r="D99" s="9" t="str">
        <f t="shared" si="5"/>
        <v>Voraussetzungen für die Deckung</v>
      </c>
      <c r="E99" s="23" t="s">
        <v>1469</v>
      </c>
      <c r="F99" s="2" t="s">
        <v>755</v>
      </c>
    </row>
    <row r="100" spans="1:6" ht="409.5">
      <c r="A100" s="7">
        <f>ROW()</f>
        <v>100</v>
      </c>
      <c r="B100" s="8" t="s">
        <v>1466</v>
      </c>
      <c r="C100" s="9" t="s">
        <v>1514</v>
      </c>
      <c r="D100" s="9" t="str">
        <f t="shared" si="5"/>
        <v>Kombination von selbstständiger und unselbstständiger Tätigkeit</v>
      </c>
      <c r="E100" s="23" t="s">
        <v>1462</v>
      </c>
      <c r="F100" s="2" t="s">
        <v>755</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807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819</v>
      </c>
    </row>
    <row r="105" spans="1:6" ht="272.25">
      <c r="A105" s="7">
        <f>ROW()</f>
        <v>105</v>
      </c>
      <c r="B105" s="8" t="s">
        <v>1466</v>
      </c>
      <c r="C105" s="9" t="s">
        <v>1514</v>
      </c>
      <c r="D105" s="9" t="str">
        <f t="shared" si="5"/>
        <v>Auf Leistungen anfallende Sozialabgaben</v>
      </c>
      <c r="E105" s="23" t="s">
        <v>1457</v>
      </c>
      <c r="F105" s="2" t="s">
        <v>830</v>
      </c>
    </row>
  </sheetData>
  <sheetProtection algorithmName="SHA-512" hashValue="yCW1Dcp2CLNGRFzZAC6ttPPZ9RtxYlONM1utMvJgjXtmFdGyGhOvN6lbBnR4JOYgemnwYmAerfYY+Hh3ze17Gg==" saltValue="ikHSA9kicYaSdY45hVv+LA==" spinCount="100000" sheet="1" objects="1" scenarios="1" formatColumns="0" autoFilter="0"/>
  <autoFilter ref="A2:F2" xr:uid="{2332324A-4C85-46B0-B0C6-A982FB91EA3D}"/>
  <pageMargins left="0.7" right="0.7" top="0.78740157499999996" bottom="0.78740157499999996"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977FB-F523-4A96-957C-7B9481026FC9}">
  <sheetPr codeName="Tabelle24"/>
  <dimension ref="A1:F105"/>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22</v>
      </c>
    </row>
    <row r="2" spans="1:6" ht="39.75" customHeight="1">
      <c r="A2" s="128"/>
      <c r="B2" s="129"/>
      <c r="C2" s="126"/>
      <c r="D2" s="126"/>
      <c r="E2" s="124"/>
      <c r="F2" s="162" t="str" cm="1">
        <f t="array" ref="F2">_xlfn.TEXTJOIN("; ", TRUE, IF(Entscheidungen!A2:A100=F1, Entscheidungen!B2:B100, ""))</f>
        <v>OLG Zweibrücken, 23.11.2012 – 6 UF 60/12; OLG Düsseldorf, 17.08.2021 – II-7 UF 77/21</v>
      </c>
    </row>
    <row r="3" spans="1:6" ht="180">
      <c r="A3" s="7">
        <f>ROW()</f>
        <v>3</v>
      </c>
      <c r="B3" s="8" t="s">
        <v>1479</v>
      </c>
      <c r="C3" s="8"/>
      <c r="D3" s="8" t="str">
        <f>+E3</f>
        <v>Geltende Rechtsgrundlage</v>
      </c>
      <c r="E3" s="21" t="s">
        <v>1472</v>
      </c>
      <c r="F3" s="2" t="s">
        <v>1754</v>
      </c>
    </row>
    <row r="4" spans="1:6" ht="110.25">
      <c r="A4" s="7">
        <f>ROW()</f>
        <v>4</v>
      </c>
      <c r="B4" s="8" t="s">
        <v>1479</v>
      </c>
      <c r="C4" s="1"/>
      <c r="D4" s="8" t="str">
        <f t="shared" ref="D4:D34" si="0">+E4</f>
        <v>Grundprinzipien</v>
      </c>
      <c r="E4" s="22" t="s">
        <v>1468</v>
      </c>
      <c r="F4" s="2" t="s">
        <v>1755</v>
      </c>
    </row>
    <row r="5" spans="1:6" ht="188.25">
      <c r="A5" s="7">
        <f>ROW()</f>
        <v>5</v>
      </c>
      <c r="B5" s="8" t="s">
        <v>1479</v>
      </c>
      <c r="C5" s="1"/>
      <c r="D5" s="8" t="str">
        <f t="shared" si="0"/>
        <v>Gedecktes Risiko: Definition</v>
      </c>
      <c r="E5" s="22" t="s">
        <v>1630</v>
      </c>
      <c r="F5" s="2" t="s">
        <v>3541</v>
      </c>
    </row>
    <row r="6" spans="1:6" ht="150">
      <c r="A6" s="7">
        <f>ROW()</f>
        <v>6</v>
      </c>
      <c r="B6" s="8" t="s">
        <v>1479</v>
      </c>
      <c r="C6" s="8" t="s">
        <v>1453</v>
      </c>
      <c r="D6" s="8" t="str">
        <f t="shared" si="0"/>
        <v>Versicherte Personen</v>
      </c>
      <c r="E6" s="23" t="s">
        <v>1453</v>
      </c>
      <c r="F6" s="2" t="s">
        <v>3542</v>
      </c>
    </row>
    <row r="7" spans="1:6" ht="273">
      <c r="A7" s="7">
        <f>ROW()</f>
        <v>7</v>
      </c>
      <c r="B7" s="8" t="s">
        <v>1479</v>
      </c>
      <c r="C7" s="8" t="str">
        <f>+E6</f>
        <v>Versicherte Personen</v>
      </c>
      <c r="D7" s="8" t="str">
        <f t="shared" si="0"/>
        <v>Ausnahmen von der Versicherungspflicht</v>
      </c>
      <c r="E7" s="23" t="s">
        <v>1458</v>
      </c>
      <c r="F7" s="2" t="s">
        <v>3543</v>
      </c>
    </row>
    <row r="8" spans="1:6" ht="194.25">
      <c r="A8" s="7">
        <f>ROW()</f>
        <v>8</v>
      </c>
      <c r="B8" s="8" t="s">
        <v>1479</v>
      </c>
      <c r="C8" s="9" t="s">
        <v>128</v>
      </c>
      <c r="D8" s="8" t="str">
        <f t="shared" si="0"/>
        <v>1. Anwartschaftszeit</v>
      </c>
      <c r="E8" s="23" t="s">
        <v>1483</v>
      </c>
      <c r="F8" s="2" t="s">
        <v>1756</v>
      </c>
    </row>
    <row r="9" spans="1:6" ht="409.5">
      <c r="A9" s="7">
        <f>ROW()</f>
        <v>9</v>
      </c>
      <c r="B9" s="8" t="s">
        <v>1479</v>
      </c>
      <c r="C9" s="9" t="s">
        <v>128</v>
      </c>
      <c r="D9" s="8" t="str">
        <f t="shared" si="0"/>
        <v xml:space="preserve">2. Begutachtungskriterien und Kategorien der Arbeitsunfähigkeit/Arbeitsfähigkeit  </v>
      </c>
      <c r="E9" s="23" t="s">
        <v>1484</v>
      </c>
      <c r="F9" s="2" t="s">
        <v>3544</v>
      </c>
    </row>
    <row r="10" spans="1:6" ht="255">
      <c r="A10" s="7">
        <f>ROW()</f>
        <v>10</v>
      </c>
      <c r="B10" s="8" t="s">
        <v>1479</v>
      </c>
      <c r="C10" s="9" t="s">
        <v>128</v>
      </c>
      <c r="D10" s="8" t="str">
        <f t="shared" si="0"/>
        <v>3. Zeitraum der Leistungszahlung</v>
      </c>
      <c r="E10" s="23" t="s">
        <v>1486</v>
      </c>
      <c r="F10" s="2" t="s">
        <v>3545</v>
      </c>
    </row>
    <row r="11" spans="1:6" ht="135">
      <c r="A11" s="7">
        <f>ROW()</f>
        <v>11</v>
      </c>
      <c r="B11" s="8" t="s">
        <v>1479</v>
      </c>
      <c r="C11" s="9" t="s">
        <v>1488</v>
      </c>
      <c r="D11" s="8" t="str">
        <f t="shared" si="0"/>
        <v>1. Gutachter</v>
      </c>
      <c r="E11" s="23" t="s">
        <v>1489</v>
      </c>
      <c r="F11" s="2" t="s">
        <v>1757</v>
      </c>
    </row>
    <row r="12" spans="1:6" ht="150">
      <c r="A12" s="7">
        <f>ROW()</f>
        <v>12</v>
      </c>
      <c r="B12" s="8" t="s">
        <v>1479</v>
      </c>
      <c r="C12" s="9" t="s">
        <v>1488</v>
      </c>
      <c r="D12" s="8" t="str">
        <f t="shared" si="0"/>
        <v xml:space="preserve">2. Überprüfung  </v>
      </c>
      <c r="E12" s="23" t="s">
        <v>1490</v>
      </c>
      <c r="F12" s="2" t="s">
        <v>3546</v>
      </c>
    </row>
    <row r="13" spans="1:6" ht="409.5">
      <c r="A13" s="7">
        <f>ROW()</f>
        <v>13</v>
      </c>
      <c r="B13" s="8" t="s">
        <v>1479</v>
      </c>
      <c r="C13" s="8" t="s">
        <v>1459</v>
      </c>
      <c r="D13" s="8" t="str">
        <f t="shared" si="0"/>
        <v>1. Berechnungsmethode bzw. Rentenformel</v>
      </c>
      <c r="E13" s="23" t="s">
        <v>1492</v>
      </c>
      <c r="F13" s="2" t="s">
        <v>1758</v>
      </c>
    </row>
    <row r="14" spans="1:6" ht="343.5">
      <c r="A14" s="7">
        <f>ROW()</f>
        <v>14</v>
      </c>
      <c r="B14" s="8" t="s">
        <v>1479</v>
      </c>
      <c r="C14" s="8" t="s">
        <v>1459</v>
      </c>
      <c r="D14" s="8" t="str">
        <f t="shared" si="0"/>
        <v>2. Referenzeinkommen bzw. Berechnungsgrundlage</v>
      </c>
      <c r="E14" s="23" t="s">
        <v>1493</v>
      </c>
      <c r="F14" s="2" t="s">
        <v>1759</v>
      </c>
    </row>
    <row r="15" spans="1:6" ht="226.5">
      <c r="A15" s="7">
        <f>ROW()</f>
        <v>15</v>
      </c>
      <c r="B15" s="8" t="s">
        <v>1479</v>
      </c>
      <c r="C15" s="8" t="s">
        <v>1459</v>
      </c>
      <c r="D15" s="8" t="str">
        <f t="shared" si="0"/>
        <v>3. Mindest- und Höchstleistungen</v>
      </c>
      <c r="E15" s="23" t="s">
        <v>1495</v>
      </c>
      <c r="F15" s="2" t="s">
        <v>1760</v>
      </c>
    </row>
    <row r="16" spans="1:6" ht="405">
      <c r="A16" s="7">
        <f>ROW()</f>
        <v>16</v>
      </c>
      <c r="B16" s="8" t="s">
        <v>1479</v>
      </c>
      <c r="C16" s="8" t="s">
        <v>1459</v>
      </c>
      <c r="D16" s="8" t="str">
        <f t="shared" si="0"/>
        <v>4. Anrechenbare oder als Beitragszeiten gewertete Zeiträume</v>
      </c>
      <c r="E16" s="23" t="s">
        <v>1496</v>
      </c>
      <c r="F16" s="2" t="s">
        <v>3547</v>
      </c>
    </row>
    <row r="17" spans="1:6" ht="250.5">
      <c r="A17" s="7">
        <f>ROW()</f>
        <v>17</v>
      </c>
      <c r="B17" s="8" t="s">
        <v>1479</v>
      </c>
      <c r="C17" s="8" t="s">
        <v>1459</v>
      </c>
      <c r="D17" s="8" t="str">
        <f t="shared" si="0"/>
        <v xml:space="preserve">5. Zulagen für Unterhaltsberechtigte  </v>
      </c>
      <c r="E17" s="23" t="s">
        <v>1498</v>
      </c>
      <c r="F17" s="2" t="s">
        <v>331</v>
      </c>
    </row>
    <row r="18" spans="1:6" ht="135">
      <c r="A18" s="7">
        <f>ROW()</f>
        <v>18</v>
      </c>
      <c r="B18" s="8" t="s">
        <v>1479</v>
      </c>
      <c r="C18" s="8" t="str">
        <f>+E18</f>
        <v>Sonstige Leistungen</v>
      </c>
      <c r="D18" s="8" t="str">
        <f>+E18</f>
        <v>Sonstige Leistungen</v>
      </c>
      <c r="E18" s="22" t="s">
        <v>1455</v>
      </c>
      <c r="F18" s="2" t="s">
        <v>1761</v>
      </c>
    </row>
    <row r="19" spans="1:6" ht="300.75">
      <c r="A19" s="7">
        <f>ROW()</f>
        <v>19</v>
      </c>
      <c r="B19" s="8" t="s">
        <v>1479</v>
      </c>
      <c r="C19" s="8" t="s">
        <v>1500</v>
      </c>
      <c r="D19" s="8" t="str">
        <f t="shared" si="0"/>
        <v>Umschulung, berufsbezogene Rehabilitation</v>
      </c>
      <c r="E19" s="23" t="s">
        <v>1501</v>
      </c>
      <c r="F19" s="2" t="s">
        <v>1762</v>
      </c>
    </row>
    <row r="20" spans="1:6" ht="409.5">
      <c r="A20" s="7">
        <f>ROW()</f>
        <v>20</v>
      </c>
      <c r="B20" s="8" t="s">
        <v>1479</v>
      </c>
      <c r="C20" s="8" t="s">
        <v>1500</v>
      </c>
      <c r="D20" s="8" t="str">
        <f t="shared" si="0"/>
        <v xml:space="preserve">Bevorzugte und reservierte Beschäftigung von Menschen mit Behinderungen  </v>
      </c>
      <c r="E20" s="23" t="s">
        <v>1502</v>
      </c>
      <c r="F20" s="2" t="s">
        <v>1763</v>
      </c>
    </row>
    <row r="21" spans="1:6" ht="171.75">
      <c r="A21" s="7">
        <f>ROW()</f>
        <v>21</v>
      </c>
      <c r="B21" s="8" t="s">
        <v>1479</v>
      </c>
      <c r="C21" s="8" t="s">
        <v>1504</v>
      </c>
      <c r="D21" s="8" t="str">
        <f t="shared" si="0"/>
        <v>Indexbindung/Anpassung</v>
      </c>
      <c r="E21" s="22" t="s">
        <v>1505</v>
      </c>
      <c r="F21" s="2" t="s">
        <v>1764</v>
      </c>
    </row>
    <row r="22" spans="1:6" ht="242.25">
      <c r="A22" s="7">
        <f>ROW()</f>
        <v>22</v>
      </c>
      <c r="B22" s="8" t="s">
        <v>1479</v>
      </c>
      <c r="C22" s="8" t="s">
        <v>1504</v>
      </c>
      <c r="D22" s="8" t="str">
        <f>+E22</f>
        <v>Kumulation mit Erwerbseinkommen</v>
      </c>
      <c r="E22" s="22" t="s">
        <v>1471</v>
      </c>
      <c r="F22" s="2" t="s">
        <v>1765</v>
      </c>
    </row>
    <row r="23" spans="1:6" ht="275.25">
      <c r="A23" s="7">
        <f>ROW()</f>
        <v>23</v>
      </c>
      <c r="B23" s="8" t="s">
        <v>1479</v>
      </c>
      <c r="C23" s="8" t="s">
        <v>1504</v>
      </c>
      <c r="D23" s="8" t="str">
        <f t="shared" si="0"/>
        <v>Kumulation mit anderen Sozialleistungen</v>
      </c>
      <c r="E23" s="22" t="s">
        <v>1460</v>
      </c>
      <c r="F23" s="2" t="s">
        <v>1766</v>
      </c>
    </row>
    <row r="24" spans="1:6" ht="232.5">
      <c r="A24" s="7">
        <f>ROW()</f>
        <v>24</v>
      </c>
      <c r="B24" s="8" t="s">
        <v>1479</v>
      </c>
      <c r="C24" s="8" t="s">
        <v>1465</v>
      </c>
      <c r="D24" s="8" t="str">
        <f t="shared" si="0"/>
        <v>1. Besteuerung von Geldleistungen</v>
      </c>
      <c r="E24" s="23" t="s">
        <v>1509</v>
      </c>
      <c r="F24" s="2" t="s">
        <v>1767</v>
      </c>
    </row>
    <row r="25" spans="1:6" ht="387">
      <c r="A25" s="7">
        <f>ROW()</f>
        <v>25</v>
      </c>
      <c r="B25" s="8" t="s">
        <v>1479</v>
      </c>
      <c r="C25" s="8" t="s">
        <v>1465</v>
      </c>
      <c r="D25" s="8" t="str">
        <f t="shared" si="0"/>
        <v>2. Einkommensgrenze für Besteuerung von Geldleistungen</v>
      </c>
      <c r="E25" s="23" t="s">
        <v>1511</v>
      </c>
      <c r="F25" s="2" t="s">
        <v>1351</v>
      </c>
    </row>
    <row r="26" spans="1:6" ht="288.75">
      <c r="A26" s="7">
        <f>ROW()</f>
        <v>26</v>
      </c>
      <c r="B26" s="8" t="s">
        <v>1479</v>
      </c>
      <c r="C26" s="8" t="s">
        <v>1465</v>
      </c>
      <c r="D26" s="8" t="str">
        <f t="shared" si="0"/>
        <v>3. Auf Leistungen anfallende Sozialabgaben</v>
      </c>
      <c r="E26" s="23" t="s">
        <v>1512</v>
      </c>
      <c r="F26" s="2" t="s">
        <v>675</v>
      </c>
    </row>
    <row r="27" spans="1:6" ht="138">
      <c r="A27" s="7">
        <f>ROW()</f>
        <v>27</v>
      </c>
      <c r="B27" s="8" t="s">
        <v>1479</v>
      </c>
      <c r="C27" s="8" t="s">
        <v>1514</v>
      </c>
      <c r="D27" s="8" t="str">
        <f t="shared" si="0"/>
        <v>Anwendungsbereich</v>
      </c>
      <c r="E27" s="23" t="s">
        <v>1467</v>
      </c>
      <c r="F27" s="2" t="s">
        <v>696</v>
      </c>
    </row>
    <row r="28" spans="1:6" ht="110.25">
      <c r="A28" s="7">
        <f>ROW()</f>
        <v>28</v>
      </c>
      <c r="B28" s="8" t="s">
        <v>1479</v>
      </c>
      <c r="C28" s="8" t="s">
        <v>1514</v>
      </c>
      <c r="D28" s="8" t="str">
        <f t="shared" si="0"/>
        <v>Grundprinzipien</v>
      </c>
      <c r="E28" s="23" t="s">
        <v>1468</v>
      </c>
      <c r="F28" s="2" t="s">
        <v>1768</v>
      </c>
    </row>
    <row r="29" spans="1:6" ht="224.25">
      <c r="A29" s="7">
        <f>ROW()</f>
        <v>29</v>
      </c>
      <c r="B29" s="8" t="s">
        <v>1479</v>
      </c>
      <c r="C29" s="8" t="s">
        <v>1514</v>
      </c>
      <c r="D29" s="8" t="str">
        <f t="shared" si="0"/>
        <v>Voraussetzungen für die Deckung</v>
      </c>
      <c r="E29" s="23" t="s">
        <v>1469</v>
      </c>
      <c r="F29" s="2" t="s">
        <v>1769</v>
      </c>
    </row>
    <row r="30" spans="1:6" ht="409.5">
      <c r="A30" s="7">
        <f>ROW()</f>
        <v>30</v>
      </c>
      <c r="B30" s="8" t="s">
        <v>1479</v>
      </c>
      <c r="C30" s="8" t="s">
        <v>1514</v>
      </c>
      <c r="D30" s="9" t="str">
        <f t="shared" si="0"/>
        <v>Kombination von selbstständiger und unselbstständiger Tätigkeit</v>
      </c>
      <c r="E30" s="23" t="s">
        <v>1462</v>
      </c>
      <c r="F30" s="2" t="s">
        <v>777</v>
      </c>
    </row>
    <row r="31" spans="1:6" ht="376.5">
      <c r="A31" s="7">
        <f>ROW()</f>
        <v>31</v>
      </c>
      <c r="B31" s="8" t="s">
        <v>1479</v>
      </c>
      <c r="C31" s="8" t="s">
        <v>1459</v>
      </c>
      <c r="D31" s="9" t="str">
        <f t="shared" si="0"/>
        <v xml:space="preserve">Voraussetzungen für den Zugang zu Diensten/Leistungen </v>
      </c>
      <c r="E31" s="23" t="s">
        <v>1463</v>
      </c>
      <c r="F31" s="2" t="s">
        <v>785</v>
      </c>
    </row>
    <row r="32" spans="1:6" ht="253.5">
      <c r="A32" s="7">
        <f>ROW()</f>
        <v>32</v>
      </c>
      <c r="B32" s="8" t="s">
        <v>1479</v>
      </c>
      <c r="C32" s="8" t="s">
        <v>1459</v>
      </c>
      <c r="D32" s="8" t="str">
        <f t="shared" si="0"/>
        <v>Beträge, Dauer und Kostenbeteiligung</v>
      </c>
      <c r="E32" s="23" t="s">
        <v>1464</v>
      </c>
      <c r="F32" s="2" t="s">
        <v>785</v>
      </c>
    </row>
    <row r="33" spans="1:6" ht="216">
      <c r="A33" s="7">
        <f>ROW()</f>
        <v>33</v>
      </c>
      <c r="B33" s="8" t="s">
        <v>1479</v>
      </c>
      <c r="C33" s="8" t="s">
        <v>1459</v>
      </c>
      <c r="D33" s="8" t="str">
        <f t="shared" si="0"/>
        <v>Besteuerung von Geldleistungen</v>
      </c>
      <c r="E33" s="23" t="s">
        <v>1456</v>
      </c>
      <c r="F33" s="2" t="s">
        <v>785</v>
      </c>
    </row>
    <row r="34" spans="1:6" ht="276.75">
      <c r="A34" s="7">
        <f>ROW()</f>
        <v>34</v>
      </c>
      <c r="B34" s="8" t="s">
        <v>1479</v>
      </c>
      <c r="C34" s="8" t="s">
        <v>1459</v>
      </c>
      <c r="D34" s="8" t="str">
        <f t="shared" si="0"/>
        <v xml:space="preserve"> Auf Leistungen anfallende Sozialabgaben</v>
      </c>
      <c r="E34" s="23" t="s">
        <v>1518</v>
      </c>
      <c r="F34" s="2" t="s">
        <v>785</v>
      </c>
    </row>
    <row r="35" spans="1:6" ht="177">
      <c r="A35" s="7">
        <f>ROW()</f>
        <v>35</v>
      </c>
      <c r="B35" s="8" t="s">
        <v>1519</v>
      </c>
      <c r="C35" s="8" t="str">
        <f>+D35</f>
        <v>Geltende Rechtsgrundlage</v>
      </c>
      <c r="D35" s="8" t="str">
        <f>+E35</f>
        <v>Geltende Rechtsgrundlage</v>
      </c>
      <c r="E35" s="22" t="s">
        <v>1472</v>
      </c>
      <c r="F35" s="2" t="s">
        <v>52</v>
      </c>
    </row>
    <row r="36" spans="1:6" ht="180">
      <c r="A36" s="7">
        <f>ROW()</f>
        <v>36</v>
      </c>
      <c r="B36" s="8" t="s">
        <v>1519</v>
      </c>
      <c r="C36" s="8" t="str">
        <f>+D36</f>
        <v>Grundprinzipien</v>
      </c>
      <c r="D36" s="8" t="str">
        <f>+E36</f>
        <v>Grundprinzipien</v>
      </c>
      <c r="E36" s="22" t="s">
        <v>1468</v>
      </c>
      <c r="F36" s="2" t="s">
        <v>3548</v>
      </c>
    </row>
    <row r="37" spans="1:6" ht="315">
      <c r="A37" s="7">
        <f>ROW()</f>
        <v>37</v>
      </c>
      <c r="B37" s="8" t="s">
        <v>1519</v>
      </c>
      <c r="C37" s="8" t="s">
        <v>1467</v>
      </c>
      <c r="D37" s="8" t="str">
        <f>+E37</f>
        <v>1. Versicherte Personen</v>
      </c>
      <c r="E37" s="23" t="s">
        <v>1520</v>
      </c>
      <c r="F37" s="2" t="s">
        <v>3549</v>
      </c>
    </row>
    <row r="38" spans="1:6" ht="371.25">
      <c r="A38" s="7">
        <f>ROW()</f>
        <v>38</v>
      </c>
      <c r="B38" s="8" t="s">
        <v>1519</v>
      </c>
      <c r="C38" s="8" t="s">
        <v>1467</v>
      </c>
      <c r="D38" s="8" t="str">
        <f t="shared" ref="D38:D58" si="1">+E38</f>
        <v>2. Ausnahmen von der Deckung  der Pflichtversicherung</v>
      </c>
      <c r="E38" s="23" t="s">
        <v>1521</v>
      </c>
      <c r="F38" s="2" t="s">
        <v>3550</v>
      </c>
    </row>
    <row r="39" spans="1:6" ht="194.25">
      <c r="A39" s="7">
        <f>ROW()</f>
        <v>39</v>
      </c>
      <c r="B39" s="8" t="s">
        <v>1519</v>
      </c>
      <c r="C39" s="8" t="s">
        <v>128</v>
      </c>
      <c r="D39" s="8" t="str">
        <f t="shared" si="1"/>
        <v>1. Rentenalter</v>
      </c>
      <c r="E39" s="23" t="s">
        <v>1523</v>
      </c>
      <c r="F39" s="2" t="s">
        <v>143</v>
      </c>
    </row>
    <row r="40" spans="1:6" ht="409.5">
      <c r="A40" s="7">
        <f>ROW()</f>
        <v>40</v>
      </c>
      <c r="B40" s="8" t="s">
        <v>1519</v>
      </c>
      <c r="C40" s="8" t="s">
        <v>128</v>
      </c>
      <c r="D40" s="8" t="str">
        <f t="shared" si="1"/>
        <v>2. Anwartschaftszeit und sonstige Anspruchsvoraussetzungen für den Bezug einer Altersrente</v>
      </c>
      <c r="E40" s="23" t="s">
        <v>1524</v>
      </c>
      <c r="F40" s="2" t="s">
        <v>166</v>
      </c>
    </row>
    <row r="41" spans="1:6" ht="330">
      <c r="A41" s="7">
        <f>ROW()</f>
        <v>41</v>
      </c>
      <c r="B41" s="8" t="s">
        <v>1519</v>
      </c>
      <c r="C41" s="8" t="s">
        <v>128</v>
      </c>
      <c r="D41" s="8" t="str">
        <f t="shared" si="1"/>
        <v>3. Vorruhestand</v>
      </c>
      <c r="E41" s="23" t="s">
        <v>1525</v>
      </c>
      <c r="F41" s="2" t="s">
        <v>3551</v>
      </c>
    </row>
    <row r="42" spans="1:6" ht="315">
      <c r="A42" s="7">
        <f>ROW()</f>
        <v>42</v>
      </c>
      <c r="B42" s="8" t="s">
        <v>1519</v>
      </c>
      <c r="C42" s="8" t="s">
        <v>128</v>
      </c>
      <c r="D42" s="8" t="str">
        <f t="shared" si="1"/>
        <v>4. Beschwerliche und gefährliche Arbeit</v>
      </c>
      <c r="E42" s="23" t="s">
        <v>1526</v>
      </c>
      <c r="F42" s="2" t="s">
        <v>3552</v>
      </c>
    </row>
    <row r="43" spans="1:6" ht="194.25">
      <c r="A43" s="7">
        <f>ROW()</f>
        <v>43</v>
      </c>
      <c r="B43" s="8" t="s">
        <v>1519</v>
      </c>
      <c r="C43" s="8" t="s">
        <v>128</v>
      </c>
      <c r="D43" s="8" t="str">
        <f t="shared" si="1"/>
        <v>5. Rentenaufschub</v>
      </c>
      <c r="E43" s="23" t="s">
        <v>1527</v>
      </c>
      <c r="F43" s="2" t="s">
        <v>227</v>
      </c>
    </row>
    <row r="44" spans="1:6" ht="174">
      <c r="A44" s="7">
        <f>ROW()</f>
        <v>44</v>
      </c>
      <c r="B44" s="8" t="s">
        <v>1519</v>
      </c>
      <c r="C44" s="8" t="s">
        <v>1459</v>
      </c>
      <c r="D44" s="8" t="str">
        <f t="shared" si="1"/>
        <v>1. Bestimmende Faktoren</v>
      </c>
      <c r="E44" s="23" t="s">
        <v>1528</v>
      </c>
      <c r="F44" s="2" t="s">
        <v>247</v>
      </c>
    </row>
    <row r="45" spans="1:6" ht="390">
      <c r="A45" s="7">
        <f>ROW()</f>
        <v>45</v>
      </c>
      <c r="B45" s="8" t="s">
        <v>1519</v>
      </c>
      <c r="C45" s="8" t="s">
        <v>1459</v>
      </c>
      <c r="D45" s="8" t="str">
        <f t="shared" si="1"/>
        <v>2. Berechnungsmethode, Rentenformel bzw. Beträge</v>
      </c>
      <c r="E45" s="23" t="s">
        <v>1529</v>
      </c>
      <c r="F45" s="2" t="s">
        <v>264</v>
      </c>
    </row>
    <row r="46" spans="1:6" ht="343.5">
      <c r="A46" s="7">
        <f>ROW()</f>
        <v>46</v>
      </c>
      <c r="B46" s="8" t="s">
        <v>1519</v>
      </c>
      <c r="C46" s="8" t="s">
        <v>1459</v>
      </c>
      <c r="D46" s="8" t="str">
        <f t="shared" si="1"/>
        <v>3. Referenzeinkommen bzw. Berechnungsgrundlage</v>
      </c>
      <c r="E46" s="23" t="s">
        <v>1530</v>
      </c>
      <c r="F46" s="2" t="s">
        <v>290</v>
      </c>
    </row>
    <row r="47" spans="1:6" ht="405">
      <c r="A47" s="7">
        <f>ROW()</f>
        <v>47</v>
      </c>
      <c r="B47" s="8" t="s">
        <v>1519</v>
      </c>
      <c r="C47" s="8" t="s">
        <v>1459</v>
      </c>
      <c r="D47" s="8" t="str">
        <f t="shared" si="1"/>
        <v>4. Anrechenbare oder als Beitragszeiten gewertete Zeiträume</v>
      </c>
      <c r="E47" s="23" t="s">
        <v>1496</v>
      </c>
      <c r="F47" s="2" t="s">
        <v>3553</v>
      </c>
    </row>
    <row r="48" spans="1:6" ht="243.75">
      <c r="A48" s="7">
        <f>ROW()</f>
        <v>48</v>
      </c>
      <c r="B48" s="8" t="s">
        <v>1519</v>
      </c>
      <c r="C48" s="8" t="s">
        <v>1459</v>
      </c>
      <c r="D48" s="8" t="str">
        <f t="shared" si="1"/>
        <v>5. Rückkauf von Versicherungszeiten</v>
      </c>
      <c r="E48" s="23" t="s">
        <v>1531</v>
      </c>
      <c r="F48" s="2" t="s">
        <v>3554</v>
      </c>
    </row>
    <row r="49" spans="1:6" ht="246">
      <c r="A49" s="7">
        <f>ROW()</f>
        <v>49</v>
      </c>
      <c r="B49" s="8" t="s">
        <v>1519</v>
      </c>
      <c r="C49" s="8" t="s">
        <v>1459</v>
      </c>
      <c r="D49" s="8" t="str">
        <f t="shared" si="1"/>
        <v>6.  Zulagen für Unterhaltsberechtigte</v>
      </c>
      <c r="E49" s="23" t="s">
        <v>1631</v>
      </c>
      <c r="F49" s="2" t="s">
        <v>344</v>
      </c>
    </row>
    <row r="50" spans="1:6" ht="145.5">
      <c r="A50" s="7">
        <f>ROW()</f>
        <v>50</v>
      </c>
      <c r="B50" s="8" t="s">
        <v>1519</v>
      </c>
      <c r="C50" s="8" t="s">
        <v>1459</v>
      </c>
      <c r="D50" s="8" t="str">
        <f t="shared" si="1"/>
        <v>7. Besondere Zulagen</v>
      </c>
      <c r="E50" s="23" t="s">
        <v>1532</v>
      </c>
      <c r="F50" s="2" t="s">
        <v>362</v>
      </c>
    </row>
    <row r="51" spans="1:6" ht="360.75">
      <c r="A51" s="7">
        <f>ROW()</f>
        <v>51</v>
      </c>
      <c r="B51" s="8" t="s">
        <v>1519</v>
      </c>
      <c r="C51" s="8" t="s">
        <v>1459</v>
      </c>
      <c r="D51" s="8" t="str">
        <f t="shared" si="1"/>
        <v>8. Mindestrente und bedürftigkeitsabhängige Leistung</v>
      </c>
      <c r="E51" s="23" t="s">
        <v>1533</v>
      </c>
      <c r="F51" s="2" t="s">
        <v>388</v>
      </c>
    </row>
    <row r="52" spans="1:6" ht="101.25">
      <c r="A52" s="7">
        <f>ROW()</f>
        <v>52</v>
      </c>
      <c r="B52" s="8" t="s">
        <v>1519</v>
      </c>
      <c r="C52" s="8" t="s">
        <v>1459</v>
      </c>
      <c r="D52" s="8" t="str">
        <f t="shared" si="1"/>
        <v>9. Höchstrente</v>
      </c>
      <c r="E52" s="23" t="s">
        <v>1534</v>
      </c>
      <c r="F52" s="2" t="s">
        <v>412</v>
      </c>
    </row>
    <row r="53" spans="1:6" ht="255">
      <c r="A53" s="7">
        <f>ROW()</f>
        <v>53</v>
      </c>
      <c r="B53" s="8" t="s">
        <v>1519</v>
      </c>
      <c r="C53" s="8" t="s">
        <v>1459</v>
      </c>
      <c r="D53" s="8" t="str">
        <f t="shared" si="1"/>
        <v>10. Vorruhestand</v>
      </c>
      <c r="E53" s="23" t="s">
        <v>1535</v>
      </c>
      <c r="F53" s="2" t="s">
        <v>440</v>
      </c>
    </row>
    <row r="54" spans="1:6" ht="272.25">
      <c r="A54" s="7">
        <f>ROW()</f>
        <v>54</v>
      </c>
      <c r="B54" s="8" t="s">
        <v>1519</v>
      </c>
      <c r="C54" s="8" t="s">
        <v>1459</v>
      </c>
      <c r="D54" s="8" t="str">
        <f t="shared" si="1"/>
        <v>11. Beschwerliche und gefährliche Arbeit</v>
      </c>
      <c r="E54" s="23" t="s">
        <v>1536</v>
      </c>
      <c r="F54" s="2" t="s">
        <v>466</v>
      </c>
    </row>
    <row r="55" spans="1:6" ht="87.75">
      <c r="A55" s="7">
        <f>ROW()</f>
        <v>55</v>
      </c>
      <c r="B55" s="8" t="s">
        <v>1519</v>
      </c>
      <c r="C55" s="8" t="s">
        <v>1459</v>
      </c>
      <c r="D55" s="8" t="str">
        <f t="shared" si="1"/>
        <v>12. Teilrente</v>
      </c>
      <c r="E55" s="23" t="s">
        <v>1537</v>
      </c>
      <c r="F55" s="2" t="s">
        <v>491</v>
      </c>
    </row>
    <row r="56" spans="1:6" ht="171.75">
      <c r="A56" s="7">
        <f>ROW()</f>
        <v>56</v>
      </c>
      <c r="B56" s="8" t="s">
        <v>1519</v>
      </c>
      <c r="C56" s="8" t="s">
        <v>1459</v>
      </c>
      <c r="D56" s="8" t="str">
        <f t="shared" si="1"/>
        <v>13. Aufgeschobene Rente</v>
      </c>
      <c r="E56" s="23" t="s">
        <v>1632</v>
      </c>
      <c r="F56" s="2" t="s">
        <v>519</v>
      </c>
    </row>
    <row r="57" spans="1:6" ht="179.25">
      <c r="A57" s="7">
        <f>ROW()</f>
        <v>57</v>
      </c>
      <c r="B57" s="8" t="s">
        <v>1519</v>
      </c>
      <c r="C57" s="8" t="s">
        <v>1538</v>
      </c>
      <c r="D57" s="8" t="s">
        <v>1538</v>
      </c>
      <c r="E57" s="22" t="s">
        <v>1538</v>
      </c>
      <c r="F57" s="2" t="s">
        <v>547</v>
      </c>
    </row>
    <row r="58" spans="1:6" ht="246">
      <c r="A58" s="7">
        <f>ROW()</f>
        <v>58</v>
      </c>
      <c r="B58" s="8" t="s">
        <v>1519</v>
      </c>
      <c r="C58" s="8" t="s">
        <v>1538</v>
      </c>
      <c r="D58" s="8" t="str">
        <f t="shared" si="1"/>
        <v xml:space="preserve">Kumulation mit Erwerbseinkommen </v>
      </c>
      <c r="E58" s="22" t="s">
        <v>1461</v>
      </c>
      <c r="F58" s="2" t="s">
        <v>3555</v>
      </c>
    </row>
    <row r="59" spans="1:6" ht="286.5">
      <c r="A59" s="7">
        <f>ROW()</f>
        <v>59</v>
      </c>
      <c r="B59" s="8" t="s">
        <v>1519</v>
      </c>
      <c r="C59" s="8" t="s">
        <v>1538</v>
      </c>
      <c r="D59" s="8" t="s">
        <v>1539</v>
      </c>
      <c r="E59" s="22" t="s">
        <v>1460</v>
      </c>
      <c r="F59" s="2" t="s">
        <v>603</v>
      </c>
    </row>
    <row r="60" spans="1:6" ht="225.75">
      <c r="A60" s="7">
        <f>ROW()</f>
        <v>60</v>
      </c>
      <c r="B60" s="8" t="s">
        <v>1519</v>
      </c>
      <c r="C60" s="8" t="s">
        <v>612</v>
      </c>
      <c r="D60" s="8" t="str">
        <f t="shared" ref="D60:D70" si="2">+E60</f>
        <v>1. Besteuerung von Renten</v>
      </c>
      <c r="E60" s="23" t="s">
        <v>1540</v>
      </c>
      <c r="F60" s="2" t="s">
        <v>630</v>
      </c>
    </row>
    <row r="61" spans="1:6" ht="335.25">
      <c r="A61" s="7">
        <f>ROW()</f>
        <v>61</v>
      </c>
      <c r="B61" s="8" t="s">
        <v>1519</v>
      </c>
      <c r="C61" s="8" t="s">
        <v>612</v>
      </c>
      <c r="D61" s="8" t="str">
        <f t="shared" si="2"/>
        <v>2. Einkommensgrenze für Besteuerung von Renten</v>
      </c>
      <c r="E61" s="23" t="s">
        <v>1541</v>
      </c>
      <c r="F61" s="2" t="s">
        <v>658</v>
      </c>
    </row>
    <row r="62" spans="1:6" ht="264">
      <c r="A62" s="7">
        <f>ROW()</f>
        <v>62</v>
      </c>
      <c r="B62" s="8" t="s">
        <v>1519</v>
      </c>
      <c r="C62" s="8" t="s">
        <v>612</v>
      </c>
      <c r="D62" s="8" t="str">
        <f t="shared" si="2"/>
        <v>3. Auf Renten anfallende Sozialabgaben</v>
      </c>
      <c r="E62" s="23" t="s">
        <v>1542</v>
      </c>
      <c r="F62" s="2" t="s">
        <v>675</v>
      </c>
    </row>
    <row r="63" spans="1:6" ht="138">
      <c r="A63" s="7">
        <f>ROW()</f>
        <v>63</v>
      </c>
      <c r="B63" s="8" t="s">
        <v>1543</v>
      </c>
      <c r="C63" s="8" t="str">
        <f>+E63</f>
        <v>Anwendungsbereich</v>
      </c>
      <c r="D63" s="8" t="str">
        <f t="shared" si="2"/>
        <v>Anwendungsbereich</v>
      </c>
      <c r="E63" s="23" t="s">
        <v>1467</v>
      </c>
      <c r="F63" s="2" t="s">
        <v>696</v>
      </c>
    </row>
    <row r="64" spans="1:6" ht="132.75">
      <c r="A64" s="7">
        <f>ROW()</f>
        <v>64</v>
      </c>
      <c r="B64" s="8" t="s">
        <v>1543</v>
      </c>
      <c r="C64" s="8" t="s">
        <v>1514</v>
      </c>
      <c r="D64" s="8" t="str">
        <f t="shared" si="2"/>
        <v>Grundprinzipien</v>
      </c>
      <c r="E64" s="23" t="s">
        <v>1468</v>
      </c>
      <c r="F64" s="2" t="s">
        <v>731</v>
      </c>
    </row>
    <row r="65" spans="1:6" ht="224.25">
      <c r="A65" s="7">
        <f>ROW()</f>
        <v>65</v>
      </c>
      <c r="B65" s="8" t="s">
        <v>1543</v>
      </c>
      <c r="C65" s="8" t="s">
        <v>1514</v>
      </c>
      <c r="D65" s="8" t="str">
        <f t="shared" si="2"/>
        <v>Voraussetzungen für die Deckung</v>
      </c>
      <c r="E65" s="23" t="s">
        <v>1469</v>
      </c>
      <c r="F65" s="2" t="s">
        <v>756</v>
      </c>
    </row>
    <row r="66" spans="1:6" ht="409.5">
      <c r="A66" s="7">
        <f>ROW()</f>
        <v>66</v>
      </c>
      <c r="B66" s="8" t="s">
        <v>1543</v>
      </c>
      <c r="C66" s="8" t="s">
        <v>1514</v>
      </c>
      <c r="D66" s="8" t="str">
        <f t="shared" si="2"/>
        <v>Kombination von selbstständiger und unselbstständiger Tätigkeit</v>
      </c>
      <c r="E66" s="23" t="s">
        <v>1462</v>
      </c>
      <c r="F66" s="2" t="s">
        <v>777</v>
      </c>
    </row>
    <row r="67" spans="1:6" ht="376.5">
      <c r="A67" s="7">
        <f>ROW()</f>
        <v>67</v>
      </c>
      <c r="B67" s="8" t="s">
        <v>1543</v>
      </c>
      <c r="C67" s="8" t="s">
        <v>1459</v>
      </c>
      <c r="D67" s="9" t="str">
        <f t="shared" si="2"/>
        <v xml:space="preserve">Voraussetzungen für den Zugang zu Diensten/Leistungen </v>
      </c>
      <c r="E67" s="23" t="s">
        <v>1463</v>
      </c>
      <c r="F67" s="2" t="s">
        <v>785</v>
      </c>
    </row>
    <row r="68" spans="1:6" ht="253.5">
      <c r="A68" s="7">
        <f>ROW()</f>
        <v>68</v>
      </c>
      <c r="B68" s="8" t="s">
        <v>1543</v>
      </c>
      <c r="C68" s="8" t="s">
        <v>1459</v>
      </c>
      <c r="D68" s="9" t="str">
        <f t="shared" si="2"/>
        <v>Beträge, Dauer und Kostenbeteiligung</v>
      </c>
      <c r="E68" s="23" t="s">
        <v>1464</v>
      </c>
      <c r="F68" s="2" t="s">
        <v>785</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785</v>
      </c>
    </row>
    <row r="71" spans="1:6" ht="177">
      <c r="A71" s="7">
        <f>ROW()</f>
        <v>71</v>
      </c>
      <c r="B71" s="8" t="s">
        <v>1466</v>
      </c>
      <c r="C71" s="8" t="str">
        <f t="shared" ref="C71:D75" si="3">+D71</f>
        <v>Geltende Rechtsgrundlage</v>
      </c>
      <c r="D71" s="9" t="str">
        <f t="shared" si="3"/>
        <v>Geltende Rechtsgrundlage</v>
      </c>
      <c r="E71" s="22" t="s">
        <v>1472</v>
      </c>
      <c r="F71" s="2" t="s">
        <v>852</v>
      </c>
    </row>
    <row r="72" spans="1:6" ht="110.25">
      <c r="A72" s="7">
        <f>ROW()</f>
        <v>72</v>
      </c>
      <c r="B72" s="8" t="s">
        <v>1466</v>
      </c>
      <c r="C72" s="8" t="str">
        <f t="shared" si="3"/>
        <v>Grundprinzipien</v>
      </c>
      <c r="D72" s="9" t="str">
        <f t="shared" si="3"/>
        <v>Grundprinzipien</v>
      </c>
      <c r="E72" s="22" t="s">
        <v>1468</v>
      </c>
      <c r="F72" s="2" t="s">
        <v>878</v>
      </c>
    </row>
    <row r="73" spans="1:6" ht="315">
      <c r="A73" s="7">
        <f>ROW()</f>
        <v>73</v>
      </c>
      <c r="B73" s="8" t="s">
        <v>1466</v>
      </c>
      <c r="C73" s="9" t="str">
        <f t="shared" si="3"/>
        <v>Anwendungsbereich (in Bezug auf Verstorbene)</v>
      </c>
      <c r="D73" s="9" t="str">
        <f t="shared" si="3"/>
        <v>Anwendungsbereich (in Bezug auf Verstorbene)</v>
      </c>
      <c r="E73" s="22" t="s">
        <v>1473</v>
      </c>
      <c r="F73" s="2" t="s">
        <v>3556</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916</v>
      </c>
    </row>
    <row r="75" spans="1:6" ht="144.75">
      <c r="A75" s="7">
        <f>ROW()</f>
        <v>75</v>
      </c>
      <c r="B75" s="8" t="s">
        <v>1466</v>
      </c>
      <c r="C75" s="9" t="str">
        <f t="shared" si="3"/>
        <v>Berechtigte Personen</v>
      </c>
      <c r="D75" s="9" t="str">
        <f t="shared" si="3"/>
        <v>Berechtigte Personen</v>
      </c>
      <c r="E75" s="22" t="s">
        <v>1477</v>
      </c>
      <c r="F75" s="2" t="s">
        <v>937</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962</v>
      </c>
    </row>
    <row r="78" spans="1:6" ht="185.25">
      <c r="A78" s="7">
        <f>ROW()</f>
        <v>78</v>
      </c>
      <c r="B78" s="8" t="s">
        <v>1466</v>
      </c>
      <c r="C78" s="8" t="s">
        <v>1544</v>
      </c>
      <c r="D78" s="8" t="str">
        <f t="shared" si="4"/>
        <v>2. Hinterbliebener Ehegatte</v>
      </c>
      <c r="E78" s="23" t="s">
        <v>1546</v>
      </c>
      <c r="F78" s="2" t="s">
        <v>3557</v>
      </c>
    </row>
    <row r="79" spans="1:6" ht="181.5">
      <c r="A79" s="7">
        <f>ROW()</f>
        <v>79</v>
      </c>
      <c r="B79" s="8" t="s">
        <v>1466</v>
      </c>
      <c r="C79" s="8" t="s">
        <v>1544</v>
      </c>
      <c r="D79" s="8" t="str">
        <f t="shared" si="4"/>
        <v>3. Geschiedener Ehegatte</v>
      </c>
      <c r="E79" s="23" t="s">
        <v>1547</v>
      </c>
      <c r="F79" s="2" t="s">
        <v>999</v>
      </c>
    </row>
    <row r="80" spans="1:6" ht="216">
      <c r="A80" s="7">
        <f>ROW()</f>
        <v>80</v>
      </c>
      <c r="B80" s="8" t="s">
        <v>1466</v>
      </c>
      <c r="C80" s="8" t="s">
        <v>1544</v>
      </c>
      <c r="D80" s="8" t="str">
        <f t="shared" si="4"/>
        <v>4. Hinterbliebene Lebenspartner</v>
      </c>
      <c r="E80" s="23" t="s">
        <v>1548</v>
      </c>
      <c r="F80" s="2" t="s">
        <v>999</v>
      </c>
    </row>
    <row r="81" spans="1:6" ht="181.5">
      <c r="A81" s="7">
        <f>ROW()</f>
        <v>81</v>
      </c>
      <c r="B81" s="8" t="s">
        <v>1466</v>
      </c>
      <c r="C81" s="8" t="s">
        <v>1544</v>
      </c>
      <c r="D81" s="8" t="str">
        <f t="shared" si="4"/>
        <v>5. Kinder</v>
      </c>
      <c r="E81" s="23" t="s">
        <v>1549</v>
      </c>
      <c r="F81" s="2" t="s">
        <v>1044</v>
      </c>
    </row>
    <row r="82" spans="1:6" ht="181.5">
      <c r="A82" s="7">
        <f>ROW()</f>
        <v>82</v>
      </c>
      <c r="B82" s="8" t="s">
        <v>1466</v>
      </c>
      <c r="C82" s="8" t="s">
        <v>1544</v>
      </c>
      <c r="D82" s="8" t="str">
        <f t="shared" si="4"/>
        <v>6. Andere Personen</v>
      </c>
      <c r="E82" s="23" t="s">
        <v>1550</v>
      </c>
      <c r="F82" s="2" t="s">
        <v>1061</v>
      </c>
    </row>
    <row r="83" spans="1:6" ht="409.5">
      <c r="A83" s="7">
        <f>ROW()</f>
        <v>83</v>
      </c>
      <c r="B83" s="8" t="s">
        <v>1466</v>
      </c>
      <c r="C83" s="8" t="s">
        <v>1459</v>
      </c>
      <c r="D83" s="9" t="str">
        <f t="shared" si="4"/>
        <v>1. Hinterbliebener Ehegatte, geschiedener Ehegatte, hinterbliebene Lebenspartner</v>
      </c>
      <c r="E83" s="23" t="s">
        <v>1551</v>
      </c>
      <c r="F83" s="2" t="s">
        <v>1077</v>
      </c>
    </row>
    <row r="84" spans="1:6" ht="280.5">
      <c r="A84" s="7">
        <f>ROW()</f>
        <v>84</v>
      </c>
      <c r="B84" s="8" t="s">
        <v>1466</v>
      </c>
      <c r="C84" s="8" t="s">
        <v>1459</v>
      </c>
      <c r="D84" s="9" t="str">
        <f t="shared" si="4"/>
        <v>2. Hinterbliebener Ehegatte: Wiederheirat</v>
      </c>
      <c r="E84" s="23" t="s">
        <v>1552</v>
      </c>
      <c r="F84" s="2" t="s">
        <v>1103</v>
      </c>
    </row>
    <row r="85" spans="1:6" ht="135">
      <c r="A85" s="7">
        <f>ROW()</f>
        <v>85</v>
      </c>
      <c r="B85" s="8" t="s">
        <v>1466</v>
      </c>
      <c r="C85" s="8" t="s">
        <v>1459</v>
      </c>
      <c r="D85" s="9" t="str">
        <f t="shared" si="4"/>
        <v>3. Kinder</v>
      </c>
      <c r="E85" s="23" t="s">
        <v>1553</v>
      </c>
      <c r="F85" s="2" t="s">
        <v>1124</v>
      </c>
    </row>
    <row r="86" spans="1:6" ht="147">
      <c r="A86" s="7">
        <f>ROW()</f>
        <v>86</v>
      </c>
      <c r="B86" s="8" t="s">
        <v>1466</v>
      </c>
      <c r="C86" s="8" t="s">
        <v>1459</v>
      </c>
      <c r="D86" s="9" t="str">
        <f t="shared" si="4"/>
        <v>4. Andere Berechtigte</v>
      </c>
      <c r="E86" s="23" t="s">
        <v>1554</v>
      </c>
      <c r="F86" s="2" t="s">
        <v>1050</v>
      </c>
    </row>
    <row r="87" spans="1:6" ht="381">
      <c r="A87" s="7">
        <f>ROW()</f>
        <v>87</v>
      </c>
      <c r="B87" s="8" t="s">
        <v>1466</v>
      </c>
      <c r="C87" s="8" t="s">
        <v>1459</v>
      </c>
      <c r="D87" s="9" t="str">
        <f t="shared" si="4"/>
        <v xml:space="preserve"> 5. Höchster zahlbarer Gesamtbetrag für alle Berechtigten</v>
      </c>
      <c r="E87" s="23" t="s">
        <v>1555</v>
      </c>
      <c r="F87" s="2" t="s">
        <v>1160</v>
      </c>
    </row>
    <row r="88" spans="1:6" ht="151.5">
      <c r="A88" s="7">
        <f>ROW()</f>
        <v>88</v>
      </c>
      <c r="B88" s="8" t="s">
        <v>1466</v>
      </c>
      <c r="C88" s="8" t="s">
        <v>1459</v>
      </c>
      <c r="D88" s="9" t="str">
        <f t="shared" si="4"/>
        <v>6. Sonstige Leistungen</v>
      </c>
      <c r="E88" s="23" t="s">
        <v>1556</v>
      </c>
      <c r="F88" s="2" t="s">
        <v>1185</v>
      </c>
    </row>
    <row r="89" spans="1:6" ht="126.75">
      <c r="A89" s="7">
        <f>ROW()</f>
        <v>89</v>
      </c>
      <c r="B89" s="8" t="s">
        <v>1466</v>
      </c>
      <c r="C89" s="8" t="s">
        <v>1459</v>
      </c>
      <c r="D89" s="9" t="str">
        <f>+E89</f>
        <v>7. Mindestleistung</v>
      </c>
      <c r="E89" s="23" t="s">
        <v>1557</v>
      </c>
      <c r="F89" s="2" t="s">
        <v>1207</v>
      </c>
    </row>
    <row r="90" spans="1:6" ht="122.25">
      <c r="A90" s="7">
        <f>ROW()</f>
        <v>90</v>
      </c>
      <c r="B90" s="8" t="s">
        <v>1466</v>
      </c>
      <c r="C90" s="8" t="s">
        <v>1459</v>
      </c>
      <c r="D90" s="9" t="str">
        <f t="shared" si="4"/>
        <v xml:space="preserve"> 8. Höchstleistung</v>
      </c>
      <c r="E90" s="23" t="s">
        <v>1558</v>
      </c>
      <c r="F90" s="2" t="s">
        <v>1227</v>
      </c>
    </row>
    <row r="91" spans="1:6" ht="179.25">
      <c r="A91" s="7">
        <f>ROW()</f>
        <v>91</v>
      </c>
      <c r="B91" s="8" t="s">
        <v>1466</v>
      </c>
      <c r="C91" s="8" t="s">
        <v>1538</v>
      </c>
      <c r="D91" s="9" t="str">
        <f>+C91</f>
        <v>Indexbindung / Anpassung</v>
      </c>
      <c r="E91" s="22" t="s">
        <v>1538</v>
      </c>
      <c r="F91" s="2" t="s">
        <v>1254</v>
      </c>
    </row>
    <row r="92" spans="1:6" ht="242.25">
      <c r="A92" s="7">
        <f>ROW()</f>
        <v>92</v>
      </c>
      <c r="B92" s="8" t="s">
        <v>1466</v>
      </c>
      <c r="C92" s="8" t="s">
        <v>1538</v>
      </c>
      <c r="D92" s="9" t="str">
        <f t="shared" ref="D92:D105" si="5">+E92</f>
        <v>Kumulation mit Erwerbseinkommen</v>
      </c>
      <c r="E92" s="22" t="s">
        <v>1471</v>
      </c>
      <c r="F92" s="2" t="s">
        <v>3558</v>
      </c>
    </row>
    <row r="93" spans="1:6" ht="275.25">
      <c r="A93" s="7">
        <f>ROW()</f>
        <v>93</v>
      </c>
      <c r="B93" s="8" t="s">
        <v>1466</v>
      </c>
      <c r="C93" s="8" t="s">
        <v>1538</v>
      </c>
      <c r="D93" s="9" t="str">
        <f t="shared" si="5"/>
        <v>Kumulation mit anderen Sozialleistungen</v>
      </c>
      <c r="E93" s="22" t="s">
        <v>1460</v>
      </c>
      <c r="F93" s="2" t="s">
        <v>1307</v>
      </c>
    </row>
    <row r="94" spans="1:6" ht="232.5">
      <c r="A94" s="7">
        <f>ROW()</f>
        <v>94</v>
      </c>
      <c r="B94" s="8" t="s">
        <v>1466</v>
      </c>
      <c r="C94" s="9" t="s">
        <v>1465</v>
      </c>
      <c r="D94" s="9" t="str">
        <f t="shared" si="5"/>
        <v>1. Besteuerung von Geldleistungen</v>
      </c>
      <c r="E94" s="23" t="s">
        <v>1509</v>
      </c>
      <c r="F94" s="2" t="s">
        <v>1328</v>
      </c>
    </row>
    <row r="95" spans="1:6" ht="387">
      <c r="A95" s="7">
        <f>ROW()</f>
        <v>95</v>
      </c>
      <c r="B95" s="8" t="s">
        <v>1466</v>
      </c>
      <c r="C95" s="9" t="s">
        <v>1465</v>
      </c>
      <c r="D95" s="9" t="str">
        <f t="shared" si="5"/>
        <v>2. Einkommensgrenze für Besteuerung von Geldleistungen</v>
      </c>
      <c r="E95" s="23" t="s">
        <v>1511</v>
      </c>
      <c r="F95" s="2" t="s">
        <v>1351</v>
      </c>
    </row>
    <row r="96" spans="1:6" ht="288.75">
      <c r="A96" s="7">
        <f>ROW()</f>
        <v>96</v>
      </c>
      <c r="B96" s="8" t="s">
        <v>1466</v>
      </c>
      <c r="C96" s="9" t="s">
        <v>1465</v>
      </c>
      <c r="D96" s="9" t="str">
        <f t="shared" si="5"/>
        <v>3. Auf Leistungen anfallende Sozialabgaben</v>
      </c>
      <c r="E96" s="23" t="s">
        <v>1512</v>
      </c>
      <c r="F96" s="2" t="s">
        <v>675</v>
      </c>
    </row>
    <row r="97" spans="1:6" ht="138">
      <c r="A97" s="7">
        <f>ROW()</f>
        <v>97</v>
      </c>
      <c r="B97" s="8" t="s">
        <v>1466</v>
      </c>
      <c r="C97" s="9" t="s">
        <v>1514</v>
      </c>
      <c r="D97" s="9" t="str">
        <f t="shared" si="5"/>
        <v>Anwendungsbereich</v>
      </c>
      <c r="E97" s="23" t="s">
        <v>1467</v>
      </c>
      <c r="F97" s="2" t="s">
        <v>696</v>
      </c>
    </row>
    <row r="98" spans="1:6" ht="110.25">
      <c r="A98" s="7">
        <f>ROW()</f>
        <v>98</v>
      </c>
      <c r="B98" s="8" t="s">
        <v>1466</v>
      </c>
      <c r="C98" s="9" t="s">
        <v>1514</v>
      </c>
      <c r="D98" s="9" t="str">
        <f t="shared" si="5"/>
        <v>Grundprinzipien</v>
      </c>
      <c r="E98" s="23" t="s">
        <v>1468</v>
      </c>
      <c r="F98" s="2" t="s">
        <v>1401</v>
      </c>
    </row>
    <row r="99" spans="1:6" ht="224.25">
      <c r="A99" s="7">
        <f>ROW()</f>
        <v>99</v>
      </c>
      <c r="B99" s="8" t="s">
        <v>1466</v>
      </c>
      <c r="C99" s="9" t="s">
        <v>1514</v>
      </c>
      <c r="D99" s="9" t="str">
        <f t="shared" si="5"/>
        <v>Voraussetzungen für die Deckung</v>
      </c>
      <c r="E99" s="23" t="s">
        <v>1469</v>
      </c>
      <c r="F99" s="2" t="s">
        <v>1401</v>
      </c>
    </row>
    <row r="100" spans="1:6" ht="409.5">
      <c r="A100" s="7">
        <f>ROW()</f>
        <v>100</v>
      </c>
      <c r="B100" s="8" t="s">
        <v>1466</v>
      </c>
      <c r="C100" s="9" t="s">
        <v>1514</v>
      </c>
      <c r="D100" s="9" t="str">
        <f t="shared" si="5"/>
        <v>Kombination von selbstständiger und unselbstständiger Tätigkeit</v>
      </c>
      <c r="E100" s="23" t="s">
        <v>1462</v>
      </c>
      <c r="F100" s="2" t="s">
        <v>1401</v>
      </c>
    </row>
    <row r="101" spans="1:6" ht="376.5">
      <c r="A101" s="7">
        <f>ROW()</f>
        <v>101</v>
      </c>
      <c r="B101" s="8" t="s">
        <v>1466</v>
      </c>
      <c r="C101" s="9" t="s">
        <v>1514</v>
      </c>
      <c r="D101" s="9" t="str">
        <f t="shared" si="5"/>
        <v xml:space="preserve">Voraussetzungen für den Zugang zu Diensten/Leistungen </v>
      </c>
      <c r="E101" s="23" t="s">
        <v>1463</v>
      </c>
      <c r="F101" s="2" t="s">
        <v>785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sheetData>
  <sheetProtection algorithmName="SHA-512" hashValue="m7ssqnWcOtTbtXCLp55RZDgncs6TdlDo0aMHI/ETq04G5c8euUmGISEtj47L2khWLTQSKhf5+fVsBIzPyANLnQ==" saltValue="sIW/2vrFtMGCizbtFsfnhg==" spinCount="100000" sheet="1" objects="1" scenarios="1" formatColumns="0" autoFilter="0"/>
  <autoFilter ref="A2:F2" xr:uid="{258977FB-F523-4A96-957C-7B9481026FC9}"/>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B887-7DF1-41B7-990A-E477F2F74B0D}">
  <sheetPr codeName="Tabelle37"/>
  <dimension ref="A1:DU102"/>
  <sheetViews>
    <sheetView workbookViewId="0">
      <pane xSplit="22" ySplit="1" topLeftCell="W43" activePane="bottomRight" state="frozen"/>
      <selection pane="topRight" activeCell="W1" sqref="W1"/>
      <selection pane="bottomLeft" activeCell="A2" sqref="A2"/>
      <selection pane="bottomRight" activeCell="AW64" sqref="AW64"/>
    </sheetView>
  </sheetViews>
  <sheetFormatPr baseColWidth="10" defaultColWidth="12.7109375" defaultRowHeight="15"/>
  <cols>
    <col min="1" max="1" width="3" style="43" customWidth="1"/>
    <col min="2" max="22" width="7" hidden="1" customWidth="1"/>
    <col min="23" max="119" width="7" customWidth="1"/>
  </cols>
  <sheetData>
    <row r="1" spans="1:125" s="39" customFormat="1" ht="11.25">
      <c r="A1" s="44"/>
      <c r="B1" s="39">
        <v>1900</v>
      </c>
      <c r="C1" s="39">
        <v>1901</v>
      </c>
      <c r="D1" s="39">
        <v>1902</v>
      </c>
      <c r="E1" s="39">
        <v>1903</v>
      </c>
      <c r="F1" s="39">
        <v>1904</v>
      </c>
      <c r="G1" s="39">
        <v>1905</v>
      </c>
      <c r="H1" s="39">
        <v>1906</v>
      </c>
      <c r="I1" s="39">
        <v>1907</v>
      </c>
      <c r="J1" s="39">
        <v>1908</v>
      </c>
      <c r="K1" s="39">
        <v>1909</v>
      </c>
      <c r="L1" s="39">
        <v>1910</v>
      </c>
      <c r="M1" s="39">
        <v>1911</v>
      </c>
      <c r="N1" s="39">
        <v>1912</v>
      </c>
      <c r="O1" s="39">
        <v>1913</v>
      </c>
      <c r="P1" s="39">
        <v>1914</v>
      </c>
      <c r="Q1" s="39">
        <v>1915</v>
      </c>
      <c r="R1" s="39">
        <v>1916</v>
      </c>
      <c r="S1" s="39">
        <v>1917</v>
      </c>
      <c r="T1" s="39">
        <v>1918</v>
      </c>
      <c r="U1" s="39">
        <v>1919</v>
      </c>
      <c r="V1" s="39">
        <v>1920</v>
      </c>
      <c r="W1" s="39">
        <v>1921</v>
      </c>
      <c r="X1" s="39">
        <v>1922</v>
      </c>
      <c r="Y1" s="39">
        <v>1923</v>
      </c>
      <c r="Z1" s="39">
        <v>1924</v>
      </c>
      <c r="AA1" s="39">
        <v>1925</v>
      </c>
      <c r="AB1" s="39">
        <v>1926</v>
      </c>
      <c r="AC1" s="39">
        <v>1927</v>
      </c>
      <c r="AD1" s="39">
        <v>1928</v>
      </c>
      <c r="AE1" s="39">
        <v>1929</v>
      </c>
      <c r="AF1" s="39">
        <v>1930</v>
      </c>
      <c r="AG1" s="39">
        <v>1931</v>
      </c>
      <c r="AH1" s="39">
        <v>1932</v>
      </c>
      <c r="AI1" s="39">
        <v>1933</v>
      </c>
      <c r="AJ1" s="39">
        <v>1934</v>
      </c>
      <c r="AK1" s="39">
        <v>1935</v>
      </c>
      <c r="AL1" s="39">
        <v>1936</v>
      </c>
      <c r="AM1" s="39">
        <v>1937</v>
      </c>
      <c r="AN1" s="39">
        <v>1938</v>
      </c>
      <c r="AO1" s="39">
        <v>1939</v>
      </c>
      <c r="AP1" s="39">
        <v>1940</v>
      </c>
      <c r="AQ1" s="39">
        <v>1941</v>
      </c>
      <c r="AR1" s="39">
        <v>1942</v>
      </c>
      <c r="AS1" s="39">
        <v>1943</v>
      </c>
      <c r="AT1" s="39">
        <v>1944</v>
      </c>
      <c r="AU1" s="39">
        <v>1945</v>
      </c>
      <c r="AV1" s="39">
        <v>1946</v>
      </c>
      <c r="AW1" s="39">
        <v>1947</v>
      </c>
      <c r="AX1" s="39">
        <v>1948</v>
      </c>
      <c r="AY1" s="39">
        <v>1949</v>
      </c>
      <c r="AZ1" s="39">
        <v>1950</v>
      </c>
      <c r="BA1" s="39">
        <v>1951</v>
      </c>
      <c r="BB1" s="39">
        <v>1952</v>
      </c>
      <c r="BC1" s="39">
        <v>1953</v>
      </c>
      <c r="BD1" s="39">
        <v>1954</v>
      </c>
      <c r="BE1" s="39">
        <v>1955</v>
      </c>
      <c r="BF1" s="39">
        <v>1956</v>
      </c>
      <c r="BG1" s="39">
        <v>1957</v>
      </c>
      <c r="BH1" s="39">
        <v>1958</v>
      </c>
      <c r="BI1" s="39">
        <v>1959</v>
      </c>
      <c r="BJ1" s="39">
        <v>1960</v>
      </c>
      <c r="BK1" s="39">
        <v>1961</v>
      </c>
      <c r="BL1" s="39">
        <v>1962</v>
      </c>
      <c r="BM1" s="39">
        <v>1963</v>
      </c>
      <c r="BN1" s="39">
        <v>1964</v>
      </c>
      <c r="BO1" s="39">
        <v>1965</v>
      </c>
      <c r="BP1" s="39">
        <v>1966</v>
      </c>
      <c r="BQ1" s="39">
        <v>1967</v>
      </c>
      <c r="BR1" s="39">
        <v>1968</v>
      </c>
      <c r="BS1" s="39">
        <v>1969</v>
      </c>
      <c r="BT1" s="39">
        <v>1970</v>
      </c>
      <c r="BU1" s="39">
        <v>1971</v>
      </c>
      <c r="BV1" s="39">
        <v>1972</v>
      </c>
      <c r="BW1" s="39">
        <v>1973</v>
      </c>
      <c r="BX1" s="39">
        <v>1974</v>
      </c>
      <c r="BY1" s="39">
        <v>1975</v>
      </c>
      <c r="BZ1" s="39">
        <v>1976</v>
      </c>
      <c r="CA1" s="39">
        <v>1977</v>
      </c>
      <c r="CB1" s="39">
        <v>1978</v>
      </c>
      <c r="CC1" s="39">
        <v>1979</v>
      </c>
      <c r="CD1" s="39">
        <v>1980</v>
      </c>
      <c r="CE1" s="39">
        <v>1981</v>
      </c>
      <c r="CF1" s="39">
        <v>1982</v>
      </c>
      <c r="CG1" s="39">
        <v>1983</v>
      </c>
      <c r="CH1" s="39">
        <v>1984</v>
      </c>
      <c r="CI1" s="39">
        <v>1985</v>
      </c>
      <c r="CJ1" s="39">
        <v>1986</v>
      </c>
      <c r="CK1" s="39">
        <v>1987</v>
      </c>
      <c r="CL1" s="39">
        <v>1988</v>
      </c>
      <c r="CM1" s="39">
        <v>1989</v>
      </c>
      <c r="CN1" s="39">
        <v>1990</v>
      </c>
      <c r="CO1" s="39">
        <v>1991</v>
      </c>
      <c r="CP1" s="39">
        <v>1992</v>
      </c>
      <c r="CQ1" s="39">
        <v>1993</v>
      </c>
      <c r="CR1" s="39">
        <v>1994</v>
      </c>
      <c r="CS1" s="39">
        <v>1995</v>
      </c>
      <c r="CT1" s="39">
        <v>1996</v>
      </c>
      <c r="CU1" s="39">
        <v>1997</v>
      </c>
      <c r="CV1" s="39">
        <v>1998</v>
      </c>
      <c r="CW1" s="39">
        <v>1999</v>
      </c>
      <c r="CX1" s="39">
        <v>2000</v>
      </c>
      <c r="CY1" s="39">
        <v>2001</v>
      </c>
      <c r="CZ1" s="39">
        <v>2002</v>
      </c>
      <c r="DA1" s="39">
        <v>2003</v>
      </c>
      <c r="DB1" s="39">
        <v>2004</v>
      </c>
      <c r="DC1" s="39">
        <v>2005</v>
      </c>
      <c r="DD1" s="39">
        <v>2006</v>
      </c>
      <c r="DE1" s="39">
        <v>2007</v>
      </c>
      <c r="DF1" s="39">
        <v>2008</v>
      </c>
      <c r="DG1" s="39">
        <v>2009</v>
      </c>
      <c r="DH1" s="39">
        <v>2010</v>
      </c>
      <c r="DI1" s="39">
        <v>2011</v>
      </c>
      <c r="DJ1" s="39">
        <v>2012</v>
      </c>
      <c r="DK1" s="39">
        <v>2013</v>
      </c>
      <c r="DL1" s="39">
        <v>2014</v>
      </c>
      <c r="DM1" s="39">
        <v>2015</v>
      </c>
      <c r="DN1" s="39">
        <v>2016</v>
      </c>
      <c r="DO1" s="39">
        <v>2017</v>
      </c>
      <c r="DP1" s="39">
        <v>2018</v>
      </c>
      <c r="DQ1" s="39">
        <v>2019</v>
      </c>
      <c r="DR1" s="39">
        <v>2020</v>
      </c>
      <c r="DS1" s="39">
        <v>2021</v>
      </c>
      <c r="DT1" s="39">
        <v>2022</v>
      </c>
      <c r="DU1" s="39">
        <v>2023</v>
      </c>
    </row>
    <row r="2" spans="1:125">
      <c r="A2" s="42">
        <v>0</v>
      </c>
      <c r="B2" s="45"/>
      <c r="C2" s="45"/>
      <c r="D2" s="45"/>
      <c r="E2" s="45"/>
      <c r="F2" s="45"/>
      <c r="G2" s="45"/>
      <c r="H2" s="45"/>
      <c r="I2" s="45"/>
      <c r="J2" s="45"/>
      <c r="K2" s="45"/>
      <c r="L2" s="45"/>
      <c r="M2" s="45"/>
      <c r="N2" s="45"/>
      <c r="O2" s="45"/>
      <c r="P2" s="45"/>
      <c r="Q2" s="45"/>
      <c r="R2" s="45"/>
      <c r="S2" s="45"/>
      <c r="T2" s="45"/>
      <c r="U2" s="45"/>
      <c r="V2" s="45"/>
      <c r="W2" s="45">
        <v>100000</v>
      </c>
      <c r="X2" s="45">
        <v>100000</v>
      </c>
      <c r="Y2" s="45">
        <v>100000</v>
      </c>
      <c r="Z2" s="45">
        <v>100000</v>
      </c>
      <c r="AA2" s="45">
        <v>100000</v>
      </c>
      <c r="AB2" s="45">
        <v>100000</v>
      </c>
      <c r="AC2" s="45">
        <v>100000</v>
      </c>
      <c r="AD2" s="45">
        <v>100000</v>
      </c>
      <c r="AE2" s="45">
        <v>100000</v>
      </c>
      <c r="AF2" s="45">
        <v>100000</v>
      </c>
      <c r="AG2" s="45">
        <v>100000</v>
      </c>
      <c r="AH2" s="45">
        <v>100000</v>
      </c>
      <c r="AI2" s="45">
        <v>100000</v>
      </c>
      <c r="AJ2" s="45">
        <v>100000</v>
      </c>
      <c r="AK2" s="45">
        <v>100000</v>
      </c>
      <c r="AL2" s="45">
        <v>100000</v>
      </c>
      <c r="AM2" s="45">
        <v>100000</v>
      </c>
      <c r="AN2" s="45">
        <v>100000</v>
      </c>
      <c r="AO2" s="45">
        <v>100000</v>
      </c>
      <c r="AP2" s="45">
        <v>100000</v>
      </c>
      <c r="AQ2" s="45">
        <v>100000</v>
      </c>
      <c r="AR2" s="45">
        <v>100000</v>
      </c>
      <c r="AS2" s="45">
        <v>100000</v>
      </c>
      <c r="AT2" s="45">
        <v>100000</v>
      </c>
      <c r="AU2" s="45">
        <v>100000</v>
      </c>
      <c r="AV2" s="45">
        <v>100000</v>
      </c>
      <c r="AW2" s="45">
        <v>100000</v>
      </c>
      <c r="AX2" s="45">
        <v>100000</v>
      </c>
      <c r="AY2" s="45">
        <v>100000</v>
      </c>
      <c r="AZ2" s="45">
        <v>100000</v>
      </c>
      <c r="BA2" s="45">
        <v>100000</v>
      </c>
      <c r="BB2" s="45">
        <v>100000</v>
      </c>
      <c r="BC2" s="45">
        <v>100000</v>
      </c>
      <c r="BD2" s="45">
        <v>100000</v>
      </c>
      <c r="BE2" s="45">
        <v>100000</v>
      </c>
      <c r="BF2" s="45">
        <v>100000</v>
      </c>
      <c r="BG2" s="45">
        <v>100000</v>
      </c>
      <c r="BH2" s="45">
        <v>100000</v>
      </c>
      <c r="BI2" s="45">
        <v>100000</v>
      </c>
      <c r="BJ2" s="45">
        <v>100000</v>
      </c>
      <c r="BK2" s="45">
        <v>100000</v>
      </c>
      <c r="BL2" s="45">
        <v>100000</v>
      </c>
      <c r="BM2" s="45">
        <v>100000</v>
      </c>
      <c r="BN2" s="45">
        <v>100000</v>
      </c>
      <c r="BO2" s="45">
        <v>100000</v>
      </c>
      <c r="BP2" s="45">
        <v>100000</v>
      </c>
      <c r="BQ2" s="45">
        <v>100000</v>
      </c>
      <c r="BR2" s="45">
        <v>100000</v>
      </c>
      <c r="BS2" s="45">
        <v>100000</v>
      </c>
      <c r="BT2" s="45">
        <v>100000</v>
      </c>
      <c r="BU2" s="45">
        <v>100000</v>
      </c>
      <c r="BV2" s="45">
        <v>100000</v>
      </c>
      <c r="BW2" s="45">
        <v>100000</v>
      </c>
      <c r="BX2" s="45">
        <v>100000</v>
      </c>
      <c r="BY2" s="45">
        <v>100000</v>
      </c>
      <c r="BZ2" s="45">
        <v>100000</v>
      </c>
      <c r="CA2" s="45">
        <v>100000</v>
      </c>
      <c r="CB2" s="45">
        <v>100000</v>
      </c>
      <c r="CC2" s="45">
        <v>100000</v>
      </c>
      <c r="CD2" s="45">
        <v>100000</v>
      </c>
      <c r="CE2" s="45">
        <v>100000</v>
      </c>
      <c r="CF2" s="45">
        <v>100000</v>
      </c>
      <c r="CG2" s="45">
        <v>100000</v>
      </c>
      <c r="CH2" s="45">
        <v>100000</v>
      </c>
      <c r="CI2" s="45">
        <v>100000</v>
      </c>
      <c r="CJ2" s="45">
        <v>100000</v>
      </c>
      <c r="CK2" s="45">
        <v>100000</v>
      </c>
      <c r="CL2" s="45">
        <v>100000</v>
      </c>
      <c r="CM2" s="45">
        <v>100000</v>
      </c>
      <c r="CN2" s="45">
        <v>100000</v>
      </c>
      <c r="CO2" s="45">
        <v>100000</v>
      </c>
      <c r="CP2" s="45">
        <v>100000</v>
      </c>
      <c r="CQ2" s="45">
        <v>100000</v>
      </c>
      <c r="CR2" s="45">
        <v>100000</v>
      </c>
      <c r="CS2" s="45">
        <v>100000</v>
      </c>
      <c r="CT2" s="45">
        <v>100000</v>
      </c>
      <c r="CU2" s="45">
        <v>100000</v>
      </c>
      <c r="CV2" s="45">
        <v>100000</v>
      </c>
      <c r="CW2" s="45">
        <v>100000</v>
      </c>
      <c r="CX2" s="45">
        <v>100000</v>
      </c>
      <c r="CY2" s="45">
        <v>100000</v>
      </c>
      <c r="CZ2" s="45">
        <v>100000</v>
      </c>
      <c r="DA2" s="45">
        <v>100000</v>
      </c>
      <c r="DB2" s="45">
        <v>100000</v>
      </c>
      <c r="DC2" s="45">
        <v>100000</v>
      </c>
      <c r="DD2" s="45">
        <v>100000</v>
      </c>
      <c r="DE2" s="45">
        <v>100000</v>
      </c>
      <c r="DF2" s="45">
        <v>100000</v>
      </c>
      <c r="DG2" s="45">
        <v>100000</v>
      </c>
      <c r="DH2" s="45">
        <v>100000</v>
      </c>
      <c r="DI2" s="45">
        <v>100000</v>
      </c>
      <c r="DJ2" s="45">
        <v>100000</v>
      </c>
      <c r="DK2" s="45">
        <v>100000</v>
      </c>
      <c r="DL2" s="45">
        <v>100000</v>
      </c>
      <c r="DM2" s="45">
        <v>100000</v>
      </c>
      <c r="DN2" s="45">
        <v>100000</v>
      </c>
      <c r="DO2" s="45">
        <v>100000</v>
      </c>
      <c r="DP2">
        <v>100000</v>
      </c>
      <c r="DQ2">
        <v>100000</v>
      </c>
      <c r="DR2">
        <v>100000</v>
      </c>
      <c r="DS2">
        <v>100000</v>
      </c>
      <c r="DT2">
        <v>100000</v>
      </c>
      <c r="DU2">
        <v>100000</v>
      </c>
    </row>
    <row r="3" spans="1:125">
      <c r="A3" s="42">
        <v>1</v>
      </c>
      <c r="B3" s="45"/>
      <c r="C3" s="45"/>
      <c r="D3" s="45"/>
      <c r="E3" s="45"/>
      <c r="F3" s="45"/>
      <c r="G3" s="45"/>
      <c r="H3" s="45"/>
      <c r="I3" s="45"/>
      <c r="J3" s="45"/>
      <c r="K3" s="45"/>
      <c r="L3" s="45"/>
      <c r="M3" s="45"/>
      <c r="N3" s="45"/>
      <c r="O3" s="45"/>
      <c r="P3" s="45"/>
      <c r="Q3" s="45"/>
      <c r="R3" s="45"/>
      <c r="S3" s="45"/>
      <c r="T3" s="45"/>
      <c r="U3" s="45"/>
      <c r="V3" s="45"/>
      <c r="W3" s="45">
        <v>86672</v>
      </c>
      <c r="X3" s="45">
        <v>87100</v>
      </c>
      <c r="Y3" s="45">
        <v>86850</v>
      </c>
      <c r="Z3" s="45">
        <v>89150</v>
      </c>
      <c r="AA3" s="45">
        <v>89500</v>
      </c>
      <c r="AB3" s="45">
        <v>89850</v>
      </c>
      <c r="AC3" s="45">
        <v>90350</v>
      </c>
      <c r="AD3" s="45">
        <v>91100</v>
      </c>
      <c r="AE3" s="45">
        <v>90501</v>
      </c>
      <c r="AF3" s="45">
        <v>91585.5</v>
      </c>
      <c r="AG3" s="45">
        <v>91894.5</v>
      </c>
      <c r="AH3" s="45">
        <v>92100</v>
      </c>
      <c r="AI3" s="45">
        <v>92350</v>
      </c>
      <c r="AJ3" s="45">
        <v>93400</v>
      </c>
      <c r="AK3" s="45">
        <v>93189.5</v>
      </c>
      <c r="AL3" s="45">
        <v>93400</v>
      </c>
      <c r="AM3" s="45">
        <v>93574</v>
      </c>
      <c r="AN3" s="45">
        <v>93967.5</v>
      </c>
      <c r="AO3" s="45">
        <v>93841</v>
      </c>
      <c r="AP3" s="45">
        <v>93841</v>
      </c>
      <c r="AQ3" s="45">
        <v>93841</v>
      </c>
      <c r="AR3" s="45">
        <v>93841</v>
      </c>
      <c r="AS3" s="45">
        <v>93225.1</v>
      </c>
      <c r="AT3" s="45">
        <v>92301.25</v>
      </c>
      <c r="AU3" s="45">
        <v>90761.5</v>
      </c>
      <c r="AV3" s="45">
        <v>90889</v>
      </c>
      <c r="AW3" s="45">
        <v>90889</v>
      </c>
      <c r="AX3" s="45">
        <v>92673</v>
      </c>
      <c r="AY3" s="45">
        <v>94457</v>
      </c>
      <c r="AZ3" s="45">
        <v>94457</v>
      </c>
      <c r="BA3" s="45">
        <v>94457</v>
      </c>
      <c r="BB3" s="45">
        <v>95091.383568757883</v>
      </c>
      <c r="BC3" s="45">
        <v>95283.584103461064</v>
      </c>
      <c r="BD3" s="45">
        <v>95659.960407440856</v>
      </c>
      <c r="BE3" s="45">
        <v>95710.406384744885</v>
      </c>
      <c r="BF3" s="45">
        <v>96027.228951182449</v>
      </c>
      <c r="BG3" s="45">
        <v>96091.779843695156</v>
      </c>
      <c r="BH3" s="45">
        <v>96312.030082233425</v>
      </c>
      <c r="BI3" s="45">
        <v>96441.103033548163</v>
      </c>
      <c r="BJ3" s="45">
        <v>96561.278250814066</v>
      </c>
      <c r="BK3" s="45">
        <v>96813.771872334997</v>
      </c>
      <c r="BL3" s="45">
        <v>97056.827927848528</v>
      </c>
      <c r="BM3" s="45">
        <v>97247.492827081878</v>
      </c>
      <c r="BN3" s="45">
        <v>97484.827592588932</v>
      </c>
      <c r="BO3" s="45">
        <v>97620.566203456881</v>
      </c>
      <c r="BP3" s="45">
        <v>97695.551591638883</v>
      </c>
      <c r="BQ3" s="45">
        <v>97746.370524491766</v>
      </c>
      <c r="BR3" s="45">
        <v>97815.674735775829</v>
      </c>
      <c r="BS3" s="45">
        <v>97745.326178516145</v>
      </c>
      <c r="BT3" s="45">
        <v>97773.27582964304</v>
      </c>
      <c r="BU3" s="45">
        <v>97823.237806628429</v>
      </c>
      <c r="BV3" s="45">
        <v>97879.328414118325</v>
      </c>
      <c r="BW3" s="45">
        <v>97917.725309912232</v>
      </c>
      <c r="BX3" s="45">
        <v>98009.141927216813</v>
      </c>
      <c r="BY3" s="45">
        <v>98124.11934150217</v>
      </c>
      <c r="BZ3" s="45">
        <v>98370.07447491854</v>
      </c>
      <c r="CA3" s="45">
        <v>98521.059659232051</v>
      </c>
      <c r="CB3" s="45">
        <v>98578.451557733933</v>
      </c>
      <c r="CC3" s="45">
        <v>98688.28412745893</v>
      </c>
      <c r="CD3" s="45">
        <v>98749.445658638055</v>
      </c>
      <c r="CE3" s="45">
        <v>98820.346746970084</v>
      </c>
      <c r="CF3" s="45">
        <v>98914.169363233261</v>
      </c>
      <c r="CG3" s="45">
        <v>98979.611524526583</v>
      </c>
      <c r="CH3" s="45">
        <v>99034.229456769768</v>
      </c>
      <c r="CI3" s="45">
        <v>99092.033150683492</v>
      </c>
      <c r="CJ3" s="45">
        <v>99134.220527184661</v>
      </c>
      <c r="CK3" s="45">
        <v>99165.211028230973</v>
      </c>
      <c r="CL3" s="45">
        <v>99238.039184140944</v>
      </c>
      <c r="CM3" s="45">
        <v>99254.429313817149</v>
      </c>
      <c r="CN3" s="45">
        <v>99295.426093055692</v>
      </c>
      <c r="CO3" s="45">
        <v>99346.735758759198</v>
      </c>
      <c r="CP3" s="45">
        <v>99394.688279374852</v>
      </c>
      <c r="CQ3" s="45">
        <v>99437.33666896791</v>
      </c>
      <c r="CR3" s="45">
        <v>99450.216509153121</v>
      </c>
      <c r="CS3" s="45">
        <v>99479.221083186829</v>
      </c>
      <c r="CT3" s="45">
        <v>99501.126362194598</v>
      </c>
      <c r="CU3" s="45">
        <v>99522.246773279971</v>
      </c>
      <c r="CV3" s="45">
        <v>99538.193494849227</v>
      </c>
      <c r="CW3" s="45">
        <v>99551.234555579926</v>
      </c>
      <c r="CX3" s="45">
        <v>99573.615903579368</v>
      </c>
      <c r="CY3" s="45">
        <v>99575.522344303739</v>
      </c>
      <c r="CZ3" s="45">
        <v>99579.663928224414</v>
      </c>
      <c r="DA3" s="45">
        <v>99573.958910564688</v>
      </c>
      <c r="DB3" s="45">
        <v>99595.046766867221</v>
      </c>
      <c r="DC3" s="45">
        <v>99617.634654003603</v>
      </c>
      <c r="DD3" s="45">
        <v>99615.019670207403</v>
      </c>
      <c r="DE3" s="45">
        <v>99616.782153496315</v>
      </c>
      <c r="DF3" s="45">
        <v>99650.872962758236</v>
      </c>
      <c r="DG3" s="45">
        <v>99649.172807328388</v>
      </c>
      <c r="DH3" s="45">
        <v>99654.519301015738</v>
      </c>
      <c r="DI3" s="45">
        <v>99644.200130965764</v>
      </c>
      <c r="DJ3" s="45">
        <v>99674.573904996214</v>
      </c>
      <c r="DK3" s="45">
        <v>99677.528467660042</v>
      </c>
      <c r="DL3" s="45">
        <v>99674.148365179775</v>
      </c>
      <c r="DM3" s="45">
        <v>99672.855473056552</v>
      </c>
      <c r="DN3" s="45">
        <v>99660.09547876686</v>
      </c>
      <c r="DO3" s="45">
        <v>99674.47273895386</v>
      </c>
      <c r="DP3">
        <v>99685.100519500294</v>
      </c>
      <c r="DQ3">
        <v>99682.823866248887</v>
      </c>
      <c r="DR3">
        <v>99700.188512776804</v>
      </c>
      <c r="DS3">
        <v>99696.942891694023</v>
      </c>
      <c r="DT3">
        <v>99709.85417485662</v>
      </c>
      <c r="DU3">
        <v>99722.206692135995</v>
      </c>
    </row>
    <row r="4" spans="1:125">
      <c r="A4" s="42">
        <v>2</v>
      </c>
      <c r="B4" s="45"/>
      <c r="C4" s="45"/>
      <c r="D4" s="45"/>
      <c r="E4" s="45"/>
      <c r="F4" s="45"/>
      <c r="G4" s="45"/>
      <c r="H4" s="45"/>
      <c r="I4" s="45"/>
      <c r="J4" s="45"/>
      <c r="K4" s="45"/>
      <c r="L4" s="45"/>
      <c r="M4" s="45"/>
      <c r="N4" s="45"/>
      <c r="O4" s="45"/>
      <c r="P4" s="45"/>
      <c r="Q4" s="45"/>
      <c r="R4" s="45"/>
      <c r="S4" s="45"/>
      <c r="T4" s="45"/>
      <c r="U4" s="45"/>
      <c r="V4" s="45"/>
      <c r="W4" s="45">
        <v>85010.5</v>
      </c>
      <c r="X4" s="45">
        <v>85397</v>
      </c>
      <c r="Y4" s="45">
        <v>85499.401500000007</v>
      </c>
      <c r="Z4" s="45">
        <v>87763.487499999988</v>
      </c>
      <c r="AA4" s="45">
        <v>88108.073000000004</v>
      </c>
      <c r="AB4" s="45">
        <v>88562.025955765232</v>
      </c>
      <c r="AC4" s="45">
        <v>89295.892715391761</v>
      </c>
      <c r="AD4" s="45">
        <v>89965.441924278406</v>
      </c>
      <c r="AE4" s="45">
        <v>89635.196490603717</v>
      </c>
      <c r="AF4" s="45">
        <v>90741.831507821189</v>
      </c>
      <c r="AG4" s="45">
        <v>91091.371075000003</v>
      </c>
      <c r="AH4" s="45">
        <v>91294.997499999998</v>
      </c>
      <c r="AI4" s="45">
        <v>91542.837</v>
      </c>
      <c r="AJ4" s="45">
        <v>92677.154247075741</v>
      </c>
      <c r="AK4" s="45">
        <v>92490.623503613228</v>
      </c>
      <c r="AL4" s="45">
        <v>92718.001083004419</v>
      </c>
      <c r="AM4" s="45">
        <v>92932.928176362082</v>
      </c>
      <c r="AN4" s="45">
        <v>93310.268252937603</v>
      </c>
      <c r="AO4" s="45">
        <v>93184.665704883562</v>
      </c>
      <c r="AP4" s="45">
        <v>93184.665704883562</v>
      </c>
      <c r="AQ4" s="45">
        <v>93184.665704883562</v>
      </c>
      <c r="AR4" s="45">
        <v>93119.032275371923</v>
      </c>
      <c r="AS4" s="45">
        <v>92410.127360544662</v>
      </c>
      <c r="AT4" s="45">
        <v>91333.084245645965</v>
      </c>
      <c r="AU4" s="45">
        <v>89862.926517500004</v>
      </c>
      <c r="AV4" s="45">
        <v>89989.106360000005</v>
      </c>
      <c r="AW4" s="45">
        <v>90165.292785606856</v>
      </c>
      <c r="AX4" s="45">
        <v>92313.664380000002</v>
      </c>
      <c r="AY4" s="45">
        <v>94090.684359999999</v>
      </c>
      <c r="AZ4" s="45">
        <v>94090.684359999999</v>
      </c>
      <c r="BA4" s="45">
        <v>94118.354488310724</v>
      </c>
      <c r="BB4" s="45">
        <v>94770.351315016887</v>
      </c>
      <c r="BC4" s="45">
        <v>94995.943609024223</v>
      </c>
      <c r="BD4" s="45">
        <v>95360.36570894238</v>
      </c>
      <c r="BE4" s="45">
        <v>95431.773857401524</v>
      </c>
      <c r="BF4" s="45">
        <v>95745.571431460354</v>
      </c>
      <c r="BG4" s="45">
        <v>95838.487758162315</v>
      </c>
      <c r="BH4" s="45">
        <v>96054.788203795761</v>
      </c>
      <c r="BI4" s="45">
        <v>96209.947389307024</v>
      </c>
      <c r="BJ4" s="45">
        <v>96341.011285784349</v>
      </c>
      <c r="BK4" s="45">
        <v>96601.48786242702</v>
      </c>
      <c r="BL4" s="45">
        <v>96860.217123328446</v>
      </c>
      <c r="BM4" s="45">
        <v>97072.77433186867</v>
      </c>
      <c r="BN4" s="45">
        <v>97307.883236813766</v>
      </c>
      <c r="BO4" s="45">
        <v>97453.149782023451</v>
      </c>
      <c r="BP4" s="45">
        <v>97532.483169204235</v>
      </c>
      <c r="BQ4" s="45">
        <v>97593.489484019781</v>
      </c>
      <c r="BR4" s="45">
        <v>97648.884541156411</v>
      </c>
      <c r="BS4" s="45">
        <v>97599.232751224394</v>
      </c>
      <c r="BT4" s="45">
        <v>97639.394288690499</v>
      </c>
      <c r="BU4" s="45">
        <v>97696.567953758349</v>
      </c>
      <c r="BV4" s="45">
        <v>97762.921908280987</v>
      </c>
      <c r="BW4" s="45">
        <v>97801.018169431089</v>
      </c>
      <c r="BX4" s="45">
        <v>97893.823373867839</v>
      </c>
      <c r="BY4" s="45">
        <v>98019.955646555725</v>
      </c>
      <c r="BZ4" s="45">
        <v>98269.139554052002</v>
      </c>
      <c r="CA4" s="45">
        <v>98421.349212967354</v>
      </c>
      <c r="CB4" s="45">
        <v>98483.083623794446</v>
      </c>
      <c r="CC4" s="45">
        <v>98596.607139135682</v>
      </c>
      <c r="CD4" s="45">
        <v>98659.700320897915</v>
      </c>
      <c r="CE4" s="45">
        <v>98730.736546165543</v>
      </c>
      <c r="CF4" s="45">
        <v>98830.678598532017</v>
      </c>
      <c r="CG4" s="45">
        <v>98900.345712143884</v>
      </c>
      <c r="CH4" s="45">
        <v>98954.299507711752</v>
      </c>
      <c r="CI4" s="45">
        <v>99023.201692051836</v>
      </c>
      <c r="CJ4" s="45">
        <v>99060.706140409777</v>
      </c>
      <c r="CK4" s="45">
        <v>99098.919265650387</v>
      </c>
      <c r="CL4" s="45">
        <v>99175.397482042841</v>
      </c>
      <c r="CM4" s="45">
        <v>99191.0875082274</v>
      </c>
      <c r="CN4" s="45">
        <v>99237.474759754768</v>
      </c>
      <c r="CO4" s="45">
        <v>99294.409822899703</v>
      </c>
      <c r="CP4" s="45">
        <v>99342.404847555823</v>
      </c>
      <c r="CQ4" s="45">
        <v>99384.801972942078</v>
      </c>
      <c r="CR4" s="45">
        <v>99401.060312812653</v>
      </c>
      <c r="CS4" s="45">
        <v>99439.037120139983</v>
      </c>
      <c r="CT4" s="45">
        <v>99454.314074216905</v>
      </c>
      <c r="CU4" s="45">
        <v>99480.881457748124</v>
      </c>
      <c r="CV4" s="45">
        <v>99500.130302588906</v>
      </c>
      <c r="CW4" s="45">
        <v>99509.331617884396</v>
      </c>
      <c r="CX4" s="45">
        <v>99535.121837230981</v>
      </c>
      <c r="CY4" s="45">
        <v>99533.948572859226</v>
      </c>
      <c r="CZ4" s="45">
        <v>99541.186520697986</v>
      </c>
      <c r="DA4" s="45">
        <v>99538.960254025791</v>
      </c>
      <c r="DB4" s="45">
        <v>99565.68893162976</v>
      </c>
      <c r="DC4" s="45">
        <v>99583.477700734016</v>
      </c>
      <c r="DD4" s="45">
        <v>99584.142907810223</v>
      </c>
      <c r="DE4" s="45">
        <v>99587.622077596927</v>
      </c>
      <c r="DF4" s="45">
        <v>99621.912195576631</v>
      </c>
      <c r="DG4" s="45">
        <v>99617.295149768819</v>
      </c>
      <c r="DH4" s="45">
        <v>99629.997034471045</v>
      </c>
      <c r="DI4" s="45">
        <v>99617.139731951305</v>
      </c>
      <c r="DJ4" s="45">
        <v>99648.065787360305</v>
      </c>
      <c r="DK4" s="45">
        <v>99653.318410935855</v>
      </c>
      <c r="DL4" s="45">
        <v>99647.284088188608</v>
      </c>
      <c r="DM4" s="45">
        <v>99646.633440114092</v>
      </c>
      <c r="DN4" s="45">
        <v>99633.685972023814</v>
      </c>
      <c r="DO4" s="45">
        <v>99650.265382229045</v>
      </c>
      <c r="DP4">
        <v>99663.658589199302</v>
      </c>
      <c r="DQ4">
        <v>99663.128124843512</v>
      </c>
      <c r="DR4">
        <v>99678.308693479499</v>
      </c>
      <c r="DS4">
        <v>99678.087073856004</v>
      </c>
      <c r="DT4">
        <v>99691.783485355263</v>
      </c>
      <c r="DU4">
        <v>99704.888406653161</v>
      </c>
    </row>
    <row r="5" spans="1:125">
      <c r="A5" s="42">
        <v>3</v>
      </c>
      <c r="B5" s="45"/>
      <c r="C5" s="45"/>
      <c r="D5" s="45"/>
      <c r="E5" s="45"/>
      <c r="F5" s="45"/>
      <c r="G5" s="45"/>
      <c r="H5" s="45"/>
      <c r="I5" s="45"/>
      <c r="J5" s="45"/>
      <c r="K5" s="45"/>
      <c r="L5" s="45"/>
      <c r="M5" s="45"/>
      <c r="N5" s="45"/>
      <c r="O5" s="45"/>
      <c r="P5" s="45"/>
      <c r="Q5" s="45"/>
      <c r="R5" s="45"/>
      <c r="S5" s="45"/>
      <c r="T5" s="45"/>
      <c r="U5" s="45"/>
      <c r="V5" s="45"/>
      <c r="W5" s="45">
        <v>84076.5</v>
      </c>
      <c r="X5" s="45">
        <v>84881</v>
      </c>
      <c r="Y5" s="45">
        <v>84982.528553229989</v>
      </c>
      <c r="Z5" s="45">
        <v>87232.85624683999</v>
      </c>
      <c r="AA5" s="45">
        <v>87542.004324952199</v>
      </c>
      <c r="AB5" s="45">
        <v>88058.876578287978</v>
      </c>
      <c r="AC5" s="45">
        <v>88717.792210997868</v>
      </c>
      <c r="AD5" s="45">
        <v>89485.781242476776</v>
      </c>
      <c r="AE5" s="45">
        <v>89224.150836509449</v>
      </c>
      <c r="AF5" s="45">
        <v>90357.337162154785</v>
      </c>
      <c r="AG5" s="45">
        <v>90705.400419711092</v>
      </c>
      <c r="AH5" s="45">
        <v>90908.125223830008</v>
      </c>
      <c r="AI5" s="45">
        <v>91091.134275730205</v>
      </c>
      <c r="AJ5" s="45">
        <v>92196.652497623771</v>
      </c>
      <c r="AK5" s="45">
        <v>92061.845729914392</v>
      </c>
      <c r="AL5" s="45">
        <v>92315.852117311573</v>
      </c>
      <c r="AM5" s="45">
        <v>92502.171167434048</v>
      </c>
      <c r="AN5" s="45">
        <v>92877.765712098844</v>
      </c>
      <c r="AO5" s="45">
        <v>92752.755379416049</v>
      </c>
      <c r="AP5" s="45">
        <v>92752.755379416049</v>
      </c>
      <c r="AQ5" s="45">
        <v>92709.564346869302</v>
      </c>
      <c r="AR5" s="45">
        <v>92579.527605153693</v>
      </c>
      <c r="AS5" s="45">
        <v>91767.7131902642</v>
      </c>
      <c r="AT5" s="45">
        <v>90851.428589365591</v>
      </c>
      <c r="AU5" s="45">
        <v>89389.116775684553</v>
      </c>
      <c r="AV5" s="45">
        <v>89679.447937285644</v>
      </c>
      <c r="AW5" s="45">
        <v>89957.626961724207</v>
      </c>
      <c r="AX5" s="45">
        <v>92101.015332034207</v>
      </c>
      <c r="AY5" s="45">
        <v>93873.907320696395</v>
      </c>
      <c r="AZ5" s="45">
        <v>93923.055328809103</v>
      </c>
      <c r="BA5" s="45">
        <v>93957.480980896435</v>
      </c>
      <c r="BB5" s="45">
        <v>94611.913995575102</v>
      </c>
      <c r="BC5" s="45">
        <v>94839.91701364622</v>
      </c>
      <c r="BD5" s="45">
        <v>95219.235224852499</v>
      </c>
      <c r="BE5" s="45">
        <v>95288.924800928595</v>
      </c>
      <c r="BF5" s="45">
        <v>95616.688666709495</v>
      </c>
      <c r="BG5" s="45">
        <v>95703.064519038628</v>
      </c>
      <c r="BH5" s="45">
        <v>95930.398066366237</v>
      </c>
      <c r="BI5" s="45">
        <v>96091.116651013872</v>
      </c>
      <c r="BJ5" s="45">
        <v>96219.702322725905</v>
      </c>
      <c r="BK5" s="45">
        <v>96489.988543122046</v>
      </c>
      <c r="BL5" s="45">
        <v>96757.673163559986</v>
      </c>
      <c r="BM5" s="45">
        <v>96973.124516202137</v>
      </c>
      <c r="BN5" s="45">
        <v>97207.015400265198</v>
      </c>
      <c r="BO5" s="45">
        <v>97364.366157096025</v>
      </c>
      <c r="BP5" s="45">
        <v>97442.179103860501</v>
      </c>
      <c r="BQ5" s="45">
        <v>97498.540480190975</v>
      </c>
      <c r="BR5" s="45">
        <v>97563.406502045822</v>
      </c>
      <c r="BS5" s="45">
        <v>97514.12729129431</v>
      </c>
      <c r="BT5" s="45">
        <v>97562.745104611968</v>
      </c>
      <c r="BU5" s="45">
        <v>97619.605610043509</v>
      </c>
      <c r="BV5" s="45">
        <v>97683.644946343469</v>
      </c>
      <c r="BW5" s="45">
        <v>97729.483005793445</v>
      </c>
      <c r="BX5" s="45">
        <v>97826.633171112058</v>
      </c>
      <c r="BY5" s="45">
        <v>97955.402659361047</v>
      </c>
      <c r="BZ5" s="45">
        <v>98204.816503714042</v>
      </c>
      <c r="CA5" s="45">
        <v>98361.520636920584</v>
      </c>
      <c r="CB5" s="45">
        <v>98427.020550937203</v>
      </c>
      <c r="CC5" s="45">
        <v>98539.536865740432</v>
      </c>
      <c r="CD5" s="45">
        <v>98609.437300854246</v>
      </c>
      <c r="CE5" s="45">
        <v>98683.707743814753</v>
      </c>
      <c r="CF5" s="45">
        <v>98784.583499442437</v>
      </c>
      <c r="CG5" s="45">
        <v>98855.180878009909</v>
      </c>
      <c r="CH5" s="45">
        <v>98910.684321491804</v>
      </c>
      <c r="CI5" s="45">
        <v>98980.927152902921</v>
      </c>
      <c r="CJ5" s="45">
        <v>99015.116547048645</v>
      </c>
      <c r="CK5" s="45">
        <v>99059.626477481783</v>
      </c>
      <c r="CL5" s="45">
        <v>99136.770618998184</v>
      </c>
      <c r="CM5" s="45">
        <v>99152.752030834919</v>
      </c>
      <c r="CN5" s="45">
        <v>99207.148497275251</v>
      </c>
      <c r="CO5" s="45">
        <v>99261.396090767201</v>
      </c>
      <c r="CP5" s="45">
        <v>99308.287725215341</v>
      </c>
      <c r="CQ5" s="45">
        <v>99354.389625607553</v>
      </c>
      <c r="CR5" s="45">
        <v>99375.361956864741</v>
      </c>
      <c r="CS5" s="45">
        <v>99412.012441035025</v>
      </c>
      <c r="CT5" s="45">
        <v>99427.277609206896</v>
      </c>
      <c r="CU5" s="45">
        <v>99455.958845047877</v>
      </c>
      <c r="CV5" s="45">
        <v>99474.403903464292</v>
      </c>
      <c r="CW5" s="45">
        <v>99486.322104304767</v>
      </c>
      <c r="CX5" s="45">
        <v>99517.501411949313</v>
      </c>
      <c r="CY5" s="45">
        <v>99513.020260930673</v>
      </c>
      <c r="CZ5" s="45">
        <v>99521.257935473026</v>
      </c>
      <c r="DA5" s="45">
        <v>99520.03261400781</v>
      </c>
      <c r="DB5" s="45">
        <v>99548.805499581969</v>
      </c>
      <c r="DC5" s="45">
        <v>99563.69528086533</v>
      </c>
      <c r="DD5" s="45">
        <v>99565.565296073095</v>
      </c>
      <c r="DE5" s="45">
        <v>99571.108437277071</v>
      </c>
      <c r="DF5" s="45">
        <v>99605.268163401692</v>
      </c>
      <c r="DG5" s="45">
        <v>99601.110714362774</v>
      </c>
      <c r="DH5" s="45">
        <v>99615.060036727678</v>
      </c>
      <c r="DI5" s="45">
        <v>99607.208673926652</v>
      </c>
      <c r="DJ5" s="45">
        <v>99634.20196088207</v>
      </c>
      <c r="DK5" s="45">
        <v>99638.432359147846</v>
      </c>
      <c r="DL5" s="45">
        <v>99632.968366708781</v>
      </c>
      <c r="DM5" s="45">
        <v>99632.660178834674</v>
      </c>
      <c r="DN5" s="45">
        <v>99619.551522680267</v>
      </c>
      <c r="DO5" s="45">
        <v>99637.842762577871</v>
      </c>
      <c r="DP5">
        <v>99653.53908440136</v>
      </c>
      <c r="DQ5">
        <v>99651.171895243431</v>
      </c>
      <c r="DR5">
        <v>99664.451976625278</v>
      </c>
      <c r="DS5">
        <v>99664.803288353403</v>
      </c>
      <c r="DT5">
        <v>99679.046988579328</v>
      </c>
      <c r="DU5">
        <v>99692.676636453398</v>
      </c>
    </row>
    <row r="6" spans="1:125">
      <c r="A6" s="42">
        <v>4</v>
      </c>
      <c r="B6" s="45"/>
      <c r="C6" s="45"/>
      <c r="D6" s="45"/>
      <c r="E6" s="45"/>
      <c r="F6" s="45"/>
      <c r="G6" s="45"/>
      <c r="H6" s="45"/>
      <c r="I6" s="45"/>
      <c r="J6" s="45"/>
      <c r="K6" s="45"/>
      <c r="L6" s="45"/>
      <c r="M6" s="45"/>
      <c r="N6" s="45"/>
      <c r="O6" s="45"/>
      <c r="P6" s="45"/>
      <c r="Q6" s="45"/>
      <c r="R6" s="45"/>
      <c r="S6" s="45"/>
      <c r="T6" s="45"/>
      <c r="U6" s="45"/>
      <c r="V6" s="45"/>
      <c r="W6" s="45">
        <v>83755</v>
      </c>
      <c r="X6" s="45">
        <v>84556</v>
      </c>
      <c r="Y6" s="45">
        <v>84657.319307707337</v>
      </c>
      <c r="Z6" s="45">
        <v>86878.070447437785</v>
      </c>
      <c r="AA6" s="45">
        <v>87199.471154330924</v>
      </c>
      <c r="AB6" s="45">
        <v>87666.067497324184</v>
      </c>
      <c r="AC6" s="45">
        <v>88365.374363801297</v>
      </c>
      <c r="AD6" s="45">
        <v>89180.011710136227</v>
      </c>
      <c r="AE6" s="45">
        <v>88942.514354139857</v>
      </c>
      <c r="AF6" s="45">
        <v>90072.083765683987</v>
      </c>
      <c r="AG6" s="45">
        <v>90419.053322129563</v>
      </c>
      <c r="AH6" s="45">
        <v>90573.808883647871</v>
      </c>
      <c r="AI6" s="45">
        <v>90739.484391103862</v>
      </c>
      <c r="AJ6" s="45">
        <v>91878.067539488038</v>
      </c>
      <c r="AK6" s="45">
        <v>91764.18995733124</v>
      </c>
      <c r="AL6" s="45">
        <v>91996.739006262651</v>
      </c>
      <c r="AM6" s="45">
        <v>92182.409794082341</v>
      </c>
      <c r="AN6" s="45">
        <v>92556.709304697026</v>
      </c>
      <c r="AO6" s="45">
        <v>92432.140646389526</v>
      </c>
      <c r="AP6" s="45">
        <v>92400.07917308688</v>
      </c>
      <c r="AQ6" s="45">
        <v>92308.984794508433</v>
      </c>
      <c r="AR6" s="45">
        <v>92099.51380364917</v>
      </c>
      <c r="AS6" s="45">
        <v>91413.851323413197</v>
      </c>
      <c r="AT6" s="45">
        <v>90501.146463592857</v>
      </c>
      <c r="AU6" s="45">
        <v>89164.195561827481</v>
      </c>
      <c r="AV6" s="45">
        <v>89519.085030662041</v>
      </c>
      <c r="AW6" s="45">
        <v>89796.764385087241</v>
      </c>
      <c r="AX6" s="45">
        <v>91936.285989604134</v>
      </c>
      <c r="AY6" s="45">
        <v>93751.476686017035</v>
      </c>
      <c r="AZ6" s="45">
        <v>93805.006399830585</v>
      </c>
      <c r="BA6" s="45">
        <v>93850.19479324446</v>
      </c>
      <c r="BB6" s="45">
        <v>94505.027488527776</v>
      </c>
      <c r="BC6" s="45">
        <v>94735.450057651062</v>
      </c>
      <c r="BD6" s="45">
        <v>95116.747334453481</v>
      </c>
      <c r="BE6" s="45">
        <v>95199.239717473858</v>
      </c>
      <c r="BF6" s="45">
        <v>95518.755855210766</v>
      </c>
      <c r="BG6" s="45">
        <v>95609.884921569406</v>
      </c>
      <c r="BH6" s="45">
        <v>95838.095159173827</v>
      </c>
      <c r="BI6" s="45">
        <v>96007.267129345928</v>
      </c>
      <c r="BJ6" s="45">
        <v>96139.638093882735</v>
      </c>
      <c r="BK6" s="45">
        <v>96414.050960305642</v>
      </c>
      <c r="BL6" s="45">
        <v>96681.036488954705</v>
      </c>
      <c r="BM6" s="45">
        <v>96894.776567217021</v>
      </c>
      <c r="BN6" s="45">
        <v>97132.248225831572</v>
      </c>
      <c r="BO6" s="45">
        <v>97291.622476478355</v>
      </c>
      <c r="BP6" s="45">
        <v>97368.153046268504</v>
      </c>
      <c r="BQ6" s="45">
        <v>97426.698966006734</v>
      </c>
      <c r="BR6" s="45">
        <v>97492.50860882143</v>
      </c>
      <c r="BS6" s="45">
        <v>97444.691709162493</v>
      </c>
      <c r="BT6" s="45">
        <v>97500.881087524816</v>
      </c>
      <c r="BU6" s="45">
        <v>97558.111501244333</v>
      </c>
      <c r="BV6" s="45">
        <v>97626.554915520188</v>
      </c>
      <c r="BW6" s="45">
        <v>97672.598948945903</v>
      </c>
      <c r="BX6" s="45">
        <v>97772.735676271026</v>
      </c>
      <c r="BY6" s="45">
        <v>97902.601212583773</v>
      </c>
      <c r="BZ6" s="45">
        <v>98155.378764338297</v>
      </c>
      <c r="CA6" s="45">
        <v>98313.718640523279</v>
      </c>
      <c r="CB6" s="45">
        <v>98381.662231563503</v>
      </c>
      <c r="CC6" s="45">
        <v>98494.919549998944</v>
      </c>
      <c r="CD6" s="45">
        <v>98571.929113747203</v>
      </c>
      <c r="CE6" s="45">
        <v>98646.358026077069</v>
      </c>
      <c r="CF6" s="45">
        <v>98751.377720573801</v>
      </c>
      <c r="CG6" s="45">
        <v>98822.149026237079</v>
      </c>
      <c r="CH6" s="45">
        <v>98879.736024695958</v>
      </c>
      <c r="CI6" s="45">
        <v>98948.247788799548</v>
      </c>
      <c r="CJ6" s="45">
        <v>98983.645568863401</v>
      </c>
      <c r="CK6" s="45">
        <v>99024.256850156511</v>
      </c>
      <c r="CL6" s="45">
        <v>99107.533629751037</v>
      </c>
      <c r="CM6" s="45">
        <v>99125.107890008687</v>
      </c>
      <c r="CN6" s="45">
        <v>99181.665728230495</v>
      </c>
      <c r="CO6" s="45">
        <v>99238.833517486957</v>
      </c>
      <c r="CP6" s="45">
        <v>99285.11094171906</v>
      </c>
      <c r="CQ6" s="45">
        <v>99332.815162894534</v>
      </c>
      <c r="CR6" s="45">
        <v>99355.943784106115</v>
      </c>
      <c r="CS6" s="45">
        <v>99392.939762663023</v>
      </c>
      <c r="CT6" s="45">
        <v>99409.118663625137</v>
      </c>
      <c r="CU6" s="45">
        <v>99436.742550747527</v>
      </c>
      <c r="CV6" s="45">
        <v>99454.866596525273</v>
      </c>
      <c r="CW6" s="45">
        <v>99466.921615573752</v>
      </c>
      <c r="CX6" s="45">
        <v>99500.840304183541</v>
      </c>
      <c r="CY6" s="45">
        <v>99496.973184672912</v>
      </c>
      <c r="CZ6" s="45">
        <v>99507.29439003185</v>
      </c>
      <c r="DA6" s="45">
        <v>99505.488278591831</v>
      </c>
      <c r="DB6" s="45">
        <v>99533.633179916797</v>
      </c>
      <c r="DC6" s="45">
        <v>99549.231291542295</v>
      </c>
      <c r="DD6" s="45">
        <v>99553.877325803158</v>
      </c>
      <c r="DE6" s="45">
        <v>99557.108727335872</v>
      </c>
      <c r="DF6" s="45">
        <v>99594.8563112353</v>
      </c>
      <c r="DG6" s="45">
        <v>99587.529421789106</v>
      </c>
      <c r="DH6" s="45">
        <v>99603.132295058196</v>
      </c>
      <c r="DI6" s="45">
        <v>99594.355124969763</v>
      </c>
      <c r="DJ6" s="45">
        <v>99622.328927589726</v>
      </c>
      <c r="DK6" s="45">
        <v>99627.859497448779</v>
      </c>
      <c r="DL6" s="45">
        <v>99623.664908402236</v>
      </c>
      <c r="DM6" s="45">
        <v>99620.38623005405</v>
      </c>
      <c r="DN6" s="45">
        <v>99609.4567386079</v>
      </c>
      <c r="DO6" s="45">
        <v>99627.321390579367</v>
      </c>
      <c r="DP6">
        <v>99642.457866893572</v>
      </c>
      <c r="DQ6">
        <v>99640.469725028641</v>
      </c>
      <c r="DR6">
        <v>99654.185430361191</v>
      </c>
      <c r="DS6">
        <v>99654.956069917316</v>
      </c>
      <c r="DT6">
        <v>99669.600489353674</v>
      </c>
      <c r="DU6">
        <v>99683.614545078075</v>
      </c>
    </row>
    <row r="7" spans="1:125">
      <c r="A7" s="42">
        <v>5</v>
      </c>
      <c r="B7" s="45"/>
      <c r="C7" s="45"/>
      <c r="D7" s="45"/>
      <c r="E7" s="45"/>
      <c r="F7" s="45"/>
      <c r="G7" s="45"/>
      <c r="H7" s="45"/>
      <c r="I7" s="45"/>
      <c r="J7" s="45"/>
      <c r="K7" s="45"/>
      <c r="L7" s="45"/>
      <c r="M7" s="45"/>
      <c r="N7" s="45"/>
      <c r="O7" s="45"/>
      <c r="P7" s="45"/>
      <c r="Q7" s="45"/>
      <c r="R7" s="45"/>
      <c r="S7" s="45"/>
      <c r="T7" s="45"/>
      <c r="U7" s="45"/>
      <c r="V7" s="45"/>
      <c r="W7" s="45">
        <v>83503</v>
      </c>
      <c r="X7" s="45">
        <v>84301.5</v>
      </c>
      <c r="Y7" s="45">
        <v>84386.752132727372</v>
      </c>
      <c r="Z7" s="45">
        <v>86604.10128744418</v>
      </c>
      <c r="AA7" s="45">
        <v>86886.179041499767</v>
      </c>
      <c r="AB7" s="45">
        <v>87378.901551539137</v>
      </c>
      <c r="AC7" s="45">
        <v>88116.402942719695</v>
      </c>
      <c r="AD7" s="45">
        <v>88947.846067462058</v>
      </c>
      <c r="AE7" s="45">
        <v>88710.972350486132</v>
      </c>
      <c r="AF7" s="45">
        <v>89837.581952475448</v>
      </c>
      <c r="AG7" s="45">
        <v>90144.966542266993</v>
      </c>
      <c r="AH7" s="45">
        <v>90285.212826519113</v>
      </c>
      <c r="AI7" s="45">
        <v>90481.064807747025</v>
      </c>
      <c r="AJ7" s="45">
        <v>91633.264022401403</v>
      </c>
      <c r="AK7" s="45">
        <v>91502.958822498767</v>
      </c>
      <c r="AL7" s="45">
        <v>91734.842157841253</v>
      </c>
      <c r="AM7" s="45">
        <v>91919.98194784543</v>
      </c>
      <c r="AN7" s="45">
        <v>92293.217809607013</v>
      </c>
      <c r="AO7" s="45">
        <v>92142.696154277568</v>
      </c>
      <c r="AP7" s="45">
        <v>92071.28030191733</v>
      </c>
      <c r="AQ7" s="45">
        <v>91914.818910234288</v>
      </c>
      <c r="AR7" s="45">
        <v>91851.066751239152</v>
      </c>
      <c r="AS7" s="45">
        <v>91167.271593899699</v>
      </c>
      <c r="AT7" s="45">
        <v>90341.789885813574</v>
      </c>
      <c r="AU7" s="45">
        <v>89039.5330396512</v>
      </c>
      <c r="AV7" s="45">
        <v>89393.901338187192</v>
      </c>
      <c r="AW7" s="45">
        <v>89671.190450672118</v>
      </c>
      <c r="AX7" s="45">
        <v>91839.932561747497</v>
      </c>
      <c r="AY7" s="45">
        <v>93655.886094974616</v>
      </c>
      <c r="AZ7" s="45">
        <v>93714.799600266764</v>
      </c>
      <c r="BA7" s="45">
        <v>93770.341885720351</v>
      </c>
      <c r="BB7" s="45">
        <v>94424.133328342723</v>
      </c>
      <c r="BC7" s="45">
        <v>94653.518044722354</v>
      </c>
      <c r="BD7" s="45">
        <v>95038.62434637628</v>
      </c>
      <c r="BE7" s="45">
        <v>95123.503072683132</v>
      </c>
      <c r="BF7" s="45">
        <v>95445.432362072024</v>
      </c>
      <c r="BG7" s="45">
        <v>95536.656152209631</v>
      </c>
      <c r="BH7" s="45">
        <v>95775.107002594421</v>
      </c>
      <c r="BI7" s="45">
        <v>95939.732448563242</v>
      </c>
      <c r="BJ7" s="45">
        <v>96073.02555673648</v>
      </c>
      <c r="BK7" s="45">
        <v>96347.254178680523</v>
      </c>
      <c r="BL7" s="45">
        <v>96616.385562629002</v>
      </c>
      <c r="BM7" s="45">
        <v>96827.519391177397</v>
      </c>
      <c r="BN7" s="45">
        <v>97067.825557232718</v>
      </c>
      <c r="BO7" s="45">
        <v>97224.90956115126</v>
      </c>
      <c r="BP7" s="45">
        <v>97305.567705547612</v>
      </c>
      <c r="BQ7" s="45">
        <v>97367.865734850871</v>
      </c>
      <c r="BR7" s="45">
        <v>97432.896938963298</v>
      </c>
      <c r="BS7" s="45">
        <v>97393.192354299768</v>
      </c>
      <c r="BT7" s="45">
        <v>97449.70476675281</v>
      </c>
      <c r="BU7" s="45">
        <v>97506.002827415214</v>
      </c>
      <c r="BV7" s="45">
        <v>97578.886644818485</v>
      </c>
      <c r="BW7" s="45">
        <v>97625.446921096533</v>
      </c>
      <c r="BX7" s="45">
        <v>97728.072372001261</v>
      </c>
      <c r="BY7" s="45">
        <v>97857.655488701188</v>
      </c>
      <c r="BZ7" s="45">
        <v>98116.081022504077</v>
      </c>
      <c r="CA7" s="45">
        <v>98277.670272439456</v>
      </c>
      <c r="CB7" s="45">
        <v>98346.485008359799</v>
      </c>
      <c r="CC7" s="45">
        <v>98463.811003986513</v>
      </c>
      <c r="CD7" s="45">
        <v>98540.35269273266</v>
      </c>
      <c r="CE7" s="45">
        <v>98616.095518309536</v>
      </c>
      <c r="CF7" s="45">
        <v>98722.1538167986</v>
      </c>
      <c r="CG7" s="45">
        <v>98796.96996736963</v>
      </c>
      <c r="CH7" s="45">
        <v>98852.407679751341</v>
      </c>
      <c r="CI7" s="45">
        <v>98923.060554853437</v>
      </c>
      <c r="CJ7" s="45">
        <v>98958.568554160142</v>
      </c>
      <c r="CK7" s="45">
        <v>99000.176677550015</v>
      </c>
      <c r="CL7" s="45">
        <v>99084.367055144074</v>
      </c>
      <c r="CM7" s="45">
        <v>99103.528156941888</v>
      </c>
      <c r="CN7" s="45">
        <v>99160.755073542241</v>
      </c>
      <c r="CO7" s="45">
        <v>99219.805574244063</v>
      </c>
      <c r="CP7" s="45">
        <v>99267.910019310715</v>
      </c>
      <c r="CQ7" s="45">
        <v>99315.92289366413</v>
      </c>
      <c r="CR7" s="45">
        <v>99339.986352921842</v>
      </c>
      <c r="CS7" s="45">
        <v>99377.541503755405</v>
      </c>
      <c r="CT7" s="45">
        <v>99394.240130395308</v>
      </c>
      <c r="CU7" s="45">
        <v>99424.067783579871</v>
      </c>
      <c r="CV7" s="45">
        <v>99440.963683194394</v>
      </c>
      <c r="CW7" s="45">
        <v>99453.816753886596</v>
      </c>
      <c r="CX7" s="45">
        <v>99487.117836758727</v>
      </c>
      <c r="CY7" s="45">
        <v>99485.238906790299</v>
      </c>
      <c r="CZ7" s="45">
        <v>99495.234995509236</v>
      </c>
      <c r="DA7" s="45">
        <v>99491.938104259127</v>
      </c>
      <c r="DB7" s="45">
        <v>99521.136650645494</v>
      </c>
      <c r="DC7" s="45">
        <v>99536.549468172539</v>
      </c>
      <c r="DD7" s="45">
        <v>99541.350369468768</v>
      </c>
      <c r="DE7" s="45">
        <v>99545.718584883274</v>
      </c>
      <c r="DF7" s="45">
        <v>99584.277582005976</v>
      </c>
      <c r="DG7" s="45">
        <v>99578.731416529394</v>
      </c>
      <c r="DH7" s="45">
        <v>99592.341411132365</v>
      </c>
      <c r="DI7" s="45">
        <v>99583.431512563257</v>
      </c>
      <c r="DJ7" s="45">
        <v>99612.261998428512</v>
      </c>
      <c r="DK7" s="45">
        <v>99618.908375731582</v>
      </c>
      <c r="DL7" s="45">
        <v>99612.509039592231</v>
      </c>
      <c r="DM7" s="45">
        <v>99609.609440085536</v>
      </c>
      <c r="DN7" s="45">
        <v>99599.657308597438</v>
      </c>
      <c r="DO7" s="45">
        <v>99618.408410760574</v>
      </c>
      <c r="DP7">
        <v>99633.790095627744</v>
      </c>
      <c r="DQ7">
        <v>99632.151422197043</v>
      </c>
      <c r="DR7">
        <v>99646.201068919938</v>
      </c>
      <c r="DS7">
        <v>99647.293393300031</v>
      </c>
      <c r="DT7">
        <v>99662.24537461318</v>
      </c>
      <c r="DU7">
        <v>99676.554647564175</v>
      </c>
    </row>
    <row r="8" spans="1:125">
      <c r="A8" s="42">
        <v>6</v>
      </c>
      <c r="B8" s="45"/>
      <c r="C8" s="45"/>
      <c r="D8" s="45"/>
      <c r="E8" s="45"/>
      <c r="F8" s="45"/>
      <c r="G8" s="45"/>
      <c r="H8" s="45"/>
      <c r="I8" s="45"/>
      <c r="J8" s="45"/>
      <c r="K8" s="45"/>
      <c r="L8" s="45"/>
      <c r="M8" s="45"/>
      <c r="N8" s="45"/>
      <c r="O8" s="45"/>
      <c r="P8" s="45"/>
      <c r="Q8" s="45"/>
      <c r="R8" s="45"/>
      <c r="S8" s="45"/>
      <c r="T8" s="45"/>
      <c r="U8" s="45"/>
      <c r="V8" s="45"/>
      <c r="W8" s="45">
        <v>83311</v>
      </c>
      <c r="X8" s="45">
        <v>84095</v>
      </c>
      <c r="Y8" s="45">
        <v>84170.661319775536</v>
      </c>
      <c r="Z8" s="45">
        <v>86351.463002595148</v>
      </c>
      <c r="AA8" s="45">
        <v>86641.97005350329</v>
      </c>
      <c r="AB8" s="45">
        <v>87167.650792056389</v>
      </c>
      <c r="AC8" s="45">
        <v>87919.561628058495</v>
      </c>
      <c r="AD8" s="45">
        <v>88749.141778034347</v>
      </c>
      <c r="AE8" s="45">
        <v>88512.800584918528</v>
      </c>
      <c r="AF8" s="45">
        <v>89603.929626912286</v>
      </c>
      <c r="AG8" s="45">
        <v>89898.428106609295</v>
      </c>
      <c r="AH8" s="45">
        <v>90064.613737832158</v>
      </c>
      <c r="AI8" s="45">
        <v>90274.262319088797</v>
      </c>
      <c r="AJ8" s="45">
        <v>91409.532056240685</v>
      </c>
      <c r="AK8" s="45">
        <v>91279.551932270959</v>
      </c>
      <c r="AL8" s="45">
        <v>91510.866452504473</v>
      </c>
      <c r="AM8" s="45">
        <v>91695.552463719971</v>
      </c>
      <c r="AN8" s="45">
        <v>92045.344486096277</v>
      </c>
      <c r="AO8" s="45">
        <v>91861.486787300499</v>
      </c>
      <c r="AP8" s="45">
        <v>91734.092600605072</v>
      </c>
      <c r="AQ8" s="45">
        <v>91727.546594711719</v>
      </c>
      <c r="AR8" s="45">
        <v>91663.926305685745</v>
      </c>
      <c r="AS8" s="45">
        <v>91046.13934487183</v>
      </c>
      <c r="AT8" s="45">
        <v>90242.541345434205</v>
      </c>
      <c r="AU8" s="45">
        <v>88941.732235316987</v>
      </c>
      <c r="AV8" s="45">
        <v>89295.690179887286</v>
      </c>
      <c r="AW8" s="45">
        <v>89595.731435958558</v>
      </c>
      <c r="AX8" s="45">
        <v>91766.727906097018</v>
      </c>
      <c r="AY8" s="45">
        <v>93578.095992266579</v>
      </c>
      <c r="AZ8" s="45">
        <v>93641.66615224845</v>
      </c>
      <c r="BA8" s="45">
        <v>93699.64317728857</v>
      </c>
      <c r="BB8" s="45">
        <v>94352.620202898077</v>
      </c>
      <c r="BC8" s="45">
        <v>94592.634663708348</v>
      </c>
      <c r="BD8" s="45">
        <v>94976.408046606084</v>
      </c>
      <c r="BE8" s="45">
        <v>95058.605871529391</v>
      </c>
      <c r="BF8" s="45">
        <v>95383.67063582316</v>
      </c>
      <c r="BG8" s="45">
        <v>95476.324476947048</v>
      </c>
      <c r="BH8" s="45">
        <v>95717.167808619546</v>
      </c>
      <c r="BI8" s="45">
        <v>95884.163841520698</v>
      </c>
      <c r="BJ8" s="45">
        <v>96016.599818807605</v>
      </c>
      <c r="BK8" s="45">
        <v>96288.029922482616</v>
      </c>
      <c r="BL8" s="45">
        <v>96556.85746915765</v>
      </c>
      <c r="BM8" s="45">
        <v>96772.438754541668</v>
      </c>
      <c r="BN8" s="45">
        <v>97005.592751843957</v>
      </c>
      <c r="BO8" s="45">
        <v>97168.240559603408</v>
      </c>
      <c r="BP8" s="45">
        <v>97251.028255139827</v>
      </c>
      <c r="BQ8" s="45">
        <v>97316.027987843627</v>
      </c>
      <c r="BR8" s="45">
        <v>97383.098309235822</v>
      </c>
      <c r="BS8" s="45">
        <v>97341.508766587212</v>
      </c>
      <c r="BT8" s="45">
        <v>97403.231767884412</v>
      </c>
      <c r="BU8" s="45">
        <v>97461.158347500925</v>
      </c>
      <c r="BV8" s="45">
        <v>97539.472550909937</v>
      </c>
      <c r="BW8" s="45">
        <v>97582.897628480307</v>
      </c>
      <c r="BX8" s="45">
        <v>97690.46721670909</v>
      </c>
      <c r="BY8" s="45">
        <v>97820.28185696897</v>
      </c>
      <c r="BZ8" s="45">
        <v>98079.354750004437</v>
      </c>
      <c r="CA8" s="45">
        <v>98246.12904883294</v>
      </c>
      <c r="CB8" s="45">
        <v>98317.981476685964</v>
      </c>
      <c r="CC8" s="45">
        <v>98433.5867444045</v>
      </c>
      <c r="CD8" s="45">
        <v>98516.281067639429</v>
      </c>
      <c r="CE8" s="45">
        <v>98591.037421801579</v>
      </c>
      <c r="CF8" s="45">
        <v>98696.656404540365</v>
      </c>
      <c r="CG8" s="45">
        <v>98772.782472277308</v>
      </c>
      <c r="CH8" s="45">
        <v>98827.788015787897</v>
      </c>
      <c r="CI8" s="45">
        <v>98898.846504492743</v>
      </c>
      <c r="CJ8" s="45">
        <v>98934.945302531531</v>
      </c>
      <c r="CK8" s="45">
        <v>98981.43284786705</v>
      </c>
      <c r="CL8" s="45">
        <v>99068.044099608131</v>
      </c>
      <c r="CM8" s="45">
        <v>99083.934980344871</v>
      </c>
      <c r="CN8" s="45">
        <v>99143.687394829409</v>
      </c>
      <c r="CO8" s="45">
        <v>99207.253148355871</v>
      </c>
      <c r="CP8" s="45">
        <v>99254.65469017993</v>
      </c>
      <c r="CQ8" s="45">
        <v>99304.854988853753</v>
      </c>
      <c r="CR8" s="45">
        <v>99328.805884853762</v>
      </c>
      <c r="CS8" s="45">
        <v>99365.91327092392</v>
      </c>
      <c r="CT8" s="45">
        <v>99381.780372157504</v>
      </c>
      <c r="CU8" s="45">
        <v>99410.682071485076</v>
      </c>
      <c r="CV8" s="45">
        <v>99427.443704904435</v>
      </c>
      <c r="CW8" s="45">
        <v>99442.007629739936</v>
      </c>
      <c r="CX8" s="45">
        <v>99477.096241274354</v>
      </c>
      <c r="CY8" s="45">
        <v>99474.213072855942</v>
      </c>
      <c r="CZ8" s="45">
        <v>99484.243616478445</v>
      </c>
      <c r="DA8" s="45">
        <v>99482.585089150089</v>
      </c>
      <c r="DB8" s="45">
        <v>99511.019957345998</v>
      </c>
      <c r="DC8" s="45">
        <v>99525.388050140813</v>
      </c>
      <c r="DD8" s="45">
        <v>99529.138150743849</v>
      </c>
      <c r="DE8" s="45">
        <v>99535.403655087401</v>
      </c>
      <c r="DF8" s="45">
        <v>99576.190986019312</v>
      </c>
      <c r="DG8" s="45">
        <v>99570.649961108313</v>
      </c>
      <c r="DH8" s="45">
        <v>99583.438604812429</v>
      </c>
      <c r="DI8" s="45">
        <v>99573.194307738187</v>
      </c>
      <c r="DJ8" s="45">
        <v>99603.565398750099</v>
      </c>
      <c r="DK8" s="45">
        <v>99611.090091763312</v>
      </c>
      <c r="DL8" s="45">
        <v>99604.538710617169</v>
      </c>
      <c r="DM8" s="45">
        <v>99600.798853446468</v>
      </c>
      <c r="DN8" s="45">
        <v>99592.626658316149</v>
      </c>
      <c r="DO8" s="45">
        <v>99611.054674436222</v>
      </c>
      <c r="DP8">
        <v>99626.727388288709</v>
      </c>
      <c r="DQ8">
        <v>99625.369299575337</v>
      </c>
      <c r="DR8">
        <v>99639.687213998579</v>
      </c>
      <c r="DS8">
        <v>99641.038137261465</v>
      </c>
      <c r="DT8">
        <v>99656.237503860088</v>
      </c>
      <c r="DU8">
        <v>99670.784381189689</v>
      </c>
    </row>
    <row r="9" spans="1:125">
      <c r="A9" s="42">
        <v>7</v>
      </c>
      <c r="B9" s="45"/>
      <c r="C9" s="45"/>
      <c r="D9" s="45"/>
      <c r="E9" s="45"/>
      <c r="F9" s="45"/>
      <c r="G9" s="45"/>
      <c r="H9" s="45"/>
      <c r="I9" s="45"/>
      <c r="J9" s="45"/>
      <c r="K9" s="45"/>
      <c r="L9" s="45"/>
      <c r="M9" s="45"/>
      <c r="N9" s="45"/>
      <c r="O9" s="45"/>
      <c r="P9" s="45"/>
      <c r="Q9" s="45"/>
      <c r="R9" s="45"/>
      <c r="S9" s="45"/>
      <c r="T9" s="45"/>
      <c r="U9" s="45"/>
      <c r="V9" s="45"/>
      <c r="W9" s="45">
        <v>83143</v>
      </c>
      <c r="X9" s="45">
        <v>83908.5</v>
      </c>
      <c r="Y9" s="45">
        <v>83957.702884419472</v>
      </c>
      <c r="Z9" s="45">
        <v>86129.940640123765</v>
      </c>
      <c r="AA9" s="45">
        <v>86450.794085888163</v>
      </c>
      <c r="AB9" s="45">
        <v>86989.932344480927</v>
      </c>
      <c r="AC9" s="45">
        <v>87740.310822893225</v>
      </c>
      <c r="AD9" s="45">
        <v>88568.19367102762</v>
      </c>
      <c r="AE9" s="45">
        <v>88302.700279088021</v>
      </c>
      <c r="AF9" s="45">
        <v>89380.298364253104</v>
      </c>
      <c r="AG9" s="45">
        <v>89697.953370430754</v>
      </c>
      <c r="AH9" s="45">
        <v>89876.707877569075</v>
      </c>
      <c r="AI9" s="45">
        <v>90073.060686862882</v>
      </c>
      <c r="AJ9" s="45">
        <v>91205.790131324466</v>
      </c>
      <c r="AK9" s="45">
        <v>91076.106544141774</v>
      </c>
      <c r="AL9" s="45">
        <v>91306.902878356967</v>
      </c>
      <c r="AM9" s="45">
        <v>91470.737834288884</v>
      </c>
      <c r="AN9" s="45">
        <v>91788.900838122892</v>
      </c>
      <c r="AO9" s="45">
        <v>91554.37623521348</v>
      </c>
      <c r="AP9" s="45">
        <v>91582.986580840166</v>
      </c>
      <c r="AQ9" s="45">
        <v>91576.454769338365</v>
      </c>
      <c r="AR9" s="45">
        <v>91565.575113229846</v>
      </c>
      <c r="AS9" s="45">
        <v>90962.482979349181</v>
      </c>
      <c r="AT9" s="45">
        <v>90159.634917813994</v>
      </c>
      <c r="AU9" s="45">
        <v>88860.036389330984</v>
      </c>
      <c r="AV9" s="45">
        <v>89231.214024556655</v>
      </c>
      <c r="AW9" s="45">
        <v>89534.547736303546</v>
      </c>
      <c r="AX9" s="45">
        <v>91705.400254258682</v>
      </c>
      <c r="AY9" s="45">
        <v>93517.359489977636</v>
      </c>
      <c r="AZ9" s="45">
        <v>93579.596878643759</v>
      </c>
      <c r="BA9" s="45">
        <v>93642.037372564489</v>
      </c>
      <c r="BB9" s="45">
        <v>94299.852919854427</v>
      </c>
      <c r="BC9" s="45">
        <v>94540.509389343497</v>
      </c>
      <c r="BD9" s="45">
        <v>94919.011690317886</v>
      </c>
      <c r="BE9" s="45">
        <v>95003.799767839519</v>
      </c>
      <c r="BF9" s="45">
        <v>95332.470118854922</v>
      </c>
      <c r="BG9" s="45">
        <v>95422.769552109021</v>
      </c>
      <c r="BH9" s="45">
        <v>95665.922654381036</v>
      </c>
      <c r="BI9" s="45">
        <v>95833.147094801519</v>
      </c>
      <c r="BJ9" s="45">
        <v>95964.939296337951</v>
      </c>
      <c r="BK9" s="45">
        <v>96233.794241513198</v>
      </c>
      <c r="BL9" s="45">
        <v>96501.546081630455</v>
      </c>
      <c r="BM9" s="45">
        <v>96718.934416552627</v>
      </c>
      <c r="BN9" s="45">
        <v>96952.997591906285</v>
      </c>
      <c r="BO9" s="45">
        <v>97113.033348861223</v>
      </c>
      <c r="BP9" s="45">
        <v>97197.951220155694</v>
      </c>
      <c r="BQ9" s="45">
        <v>97271.161877226608</v>
      </c>
      <c r="BR9" s="45">
        <v>97338.572675164469</v>
      </c>
      <c r="BS9" s="45">
        <v>97298.273703860614</v>
      </c>
      <c r="BT9" s="45">
        <v>97361.603787986242</v>
      </c>
      <c r="BU9" s="45">
        <v>97421.026698546106</v>
      </c>
      <c r="BV9" s="45">
        <v>97501.764903817922</v>
      </c>
      <c r="BW9" s="45">
        <v>97547.830010394391</v>
      </c>
      <c r="BX9" s="45">
        <v>97659.230292808134</v>
      </c>
      <c r="BY9" s="45">
        <v>97788.718858838634</v>
      </c>
      <c r="BZ9" s="45">
        <v>98049.55326421783</v>
      </c>
      <c r="CA9" s="45">
        <v>98220.247185777393</v>
      </c>
      <c r="CB9" s="45">
        <v>98293.227539017535</v>
      </c>
      <c r="CC9" s="45">
        <v>98408.375417948148</v>
      </c>
      <c r="CD9" s="45">
        <v>98494.086526670522</v>
      </c>
      <c r="CE9" s="45">
        <v>98569.636246614915</v>
      </c>
      <c r="CF9" s="45">
        <v>98672.458421155083</v>
      </c>
      <c r="CG9" s="45">
        <v>98753.300348514284</v>
      </c>
      <c r="CH9" s="45">
        <v>98806.875514058396</v>
      </c>
      <c r="CI9" s="45">
        <v>98879.951303587179</v>
      </c>
      <c r="CJ9" s="45">
        <v>98915.615386695572</v>
      </c>
      <c r="CK9" s="45">
        <v>98965.442680363485</v>
      </c>
      <c r="CL9" s="45">
        <v>99052.350188838027</v>
      </c>
      <c r="CM9" s="45">
        <v>99067.435908970045</v>
      </c>
      <c r="CN9" s="45">
        <v>99128.482068149737</v>
      </c>
      <c r="CO9" s="45">
        <v>99194.130149327349</v>
      </c>
      <c r="CP9" s="45">
        <v>99242.407887660811</v>
      </c>
      <c r="CQ9" s="45">
        <v>99292.263311355753</v>
      </c>
      <c r="CR9" s="45">
        <v>99314.23902641944</v>
      </c>
      <c r="CS9" s="45">
        <v>99355.03415102158</v>
      </c>
      <c r="CT9" s="45">
        <v>99369.324238609493</v>
      </c>
      <c r="CU9" s="45">
        <v>99401.878017895418</v>
      </c>
      <c r="CV9" s="45">
        <v>99416.428454666428</v>
      </c>
      <c r="CW9" s="45">
        <v>99430.743701756233</v>
      </c>
      <c r="CX9" s="45">
        <v>99469.532640100544</v>
      </c>
      <c r="CY9" s="45">
        <v>99465.153107272607</v>
      </c>
      <c r="CZ9" s="45">
        <v>99473.907320648999</v>
      </c>
      <c r="DA9" s="45">
        <v>99474.431806164124</v>
      </c>
      <c r="DB9" s="45">
        <v>99500.181493626573</v>
      </c>
      <c r="DC9" s="45">
        <v>99516.904263659439</v>
      </c>
      <c r="DD9" s="45">
        <v>99522.265282074804</v>
      </c>
      <c r="DE9" s="45">
        <v>99527.305137318763</v>
      </c>
      <c r="DF9" s="45">
        <v>99569.194477438839</v>
      </c>
      <c r="DG9" s="45">
        <v>99562.742389851221</v>
      </c>
      <c r="DH9" s="45">
        <v>99573.701392083894</v>
      </c>
      <c r="DI9" s="45">
        <v>99564.707075177139</v>
      </c>
      <c r="DJ9" s="45">
        <v>99593.978887614096</v>
      </c>
      <c r="DK9" s="45">
        <v>99603.767768936144</v>
      </c>
      <c r="DL9" s="45">
        <v>99598.251183888729</v>
      </c>
      <c r="DM9" s="45">
        <v>99593.02585456302</v>
      </c>
      <c r="DN9" s="45">
        <v>99586.089438889307</v>
      </c>
      <c r="DO9" s="45">
        <v>99604.771991500762</v>
      </c>
      <c r="DP9">
        <v>99620.689517666207</v>
      </c>
      <c r="DQ9">
        <v>99619.567625277123</v>
      </c>
      <c r="DR9">
        <v>99634.11150375256</v>
      </c>
      <c r="DS9">
        <v>99635.680389165238</v>
      </c>
      <c r="DT9">
        <v>99651.088392579084</v>
      </c>
      <c r="DU9">
        <v>99665.835786587486</v>
      </c>
    </row>
    <row r="10" spans="1:125">
      <c r="A10" s="42">
        <v>8</v>
      </c>
      <c r="B10" s="45"/>
      <c r="C10" s="45"/>
      <c r="D10" s="45"/>
      <c r="E10" s="45"/>
      <c r="F10" s="45"/>
      <c r="G10" s="45"/>
      <c r="H10" s="45"/>
      <c r="I10" s="45"/>
      <c r="J10" s="45"/>
      <c r="K10" s="45"/>
      <c r="L10" s="45"/>
      <c r="M10" s="45"/>
      <c r="N10" s="45"/>
      <c r="O10" s="45"/>
      <c r="P10" s="45"/>
      <c r="Q10" s="45"/>
      <c r="R10" s="45"/>
      <c r="S10" s="45"/>
      <c r="T10" s="45"/>
      <c r="U10" s="45"/>
      <c r="V10" s="45"/>
      <c r="W10" s="45">
        <v>82985.5</v>
      </c>
      <c r="X10" s="45">
        <v>83736.5</v>
      </c>
      <c r="Y10" s="45">
        <v>83790.089003916219</v>
      </c>
      <c r="Z10" s="45">
        <v>85983.759122610456</v>
      </c>
      <c r="AA10" s="45">
        <v>86292.307198998591</v>
      </c>
      <c r="AB10" s="45">
        <v>86830.450339234114</v>
      </c>
      <c r="AC10" s="45">
        <v>87579.454016837757</v>
      </c>
      <c r="AD10" s="45">
        <v>88373.669781096178</v>
      </c>
      <c r="AE10" s="45">
        <v>88117.575076846086</v>
      </c>
      <c r="AF10" s="45">
        <v>89210.739951935917</v>
      </c>
      <c r="AG10" s="45">
        <v>89532.324176287992</v>
      </c>
      <c r="AH10" s="45">
        <v>89701.756982236126</v>
      </c>
      <c r="AI10" s="45">
        <v>89897.736275041389</v>
      </c>
      <c r="AJ10" s="45">
        <v>91028.252446422237</v>
      </c>
      <c r="AK10" s="45">
        <v>90898.827050012085</v>
      </c>
      <c r="AL10" s="45">
        <v>91111.398828360194</v>
      </c>
      <c r="AM10" s="45">
        <v>91248.173992778437</v>
      </c>
      <c r="AN10" s="45">
        <v>91520.897898778523</v>
      </c>
      <c r="AO10" s="45">
        <v>91426.458196783264</v>
      </c>
      <c r="AP10" s="45">
        <v>91455.031412743265</v>
      </c>
      <c r="AQ10" s="45">
        <v>91475.98103240857</v>
      </c>
      <c r="AR10" s="45">
        <v>91493.853273275541</v>
      </c>
      <c r="AS10" s="45">
        <v>90891.243118297367</v>
      </c>
      <c r="AT10" s="45">
        <v>90089.041737881082</v>
      </c>
      <c r="AU10" s="45">
        <v>88805.028719514652</v>
      </c>
      <c r="AV10" s="45">
        <v>89177.393460606778</v>
      </c>
      <c r="AW10" s="45">
        <v>89481.482495578661</v>
      </c>
      <c r="AX10" s="45">
        <v>91653.726284697856</v>
      </c>
      <c r="AY10" s="45">
        <v>93463.845392806164</v>
      </c>
      <c r="AZ10" s="45">
        <v>93525.081891076872</v>
      </c>
      <c r="BA10" s="45">
        <v>93592.419007541088</v>
      </c>
      <c r="BB10" s="45">
        <v>94244.971353003551</v>
      </c>
      <c r="BC10" s="45">
        <v>94494.615016903175</v>
      </c>
      <c r="BD10" s="45">
        <v>94870.250204836731</v>
      </c>
      <c r="BE10" s="45">
        <v>94955.161586242786</v>
      </c>
      <c r="BF10" s="45">
        <v>95284.254936253754</v>
      </c>
      <c r="BG10" s="45">
        <v>95380.376147443851</v>
      </c>
      <c r="BH10" s="45">
        <v>95617.561450760637</v>
      </c>
      <c r="BI10" s="45">
        <v>95784.904011351377</v>
      </c>
      <c r="BJ10" s="45">
        <v>95914.692269605264</v>
      </c>
      <c r="BK10" s="45">
        <v>96189.301329908776</v>
      </c>
      <c r="BL10" s="45">
        <v>96453.880349826868</v>
      </c>
      <c r="BM10" s="45">
        <v>96669.852631225018</v>
      </c>
      <c r="BN10" s="45">
        <v>96907.583453419298</v>
      </c>
      <c r="BO10" s="45">
        <v>97066.141287006874</v>
      </c>
      <c r="BP10" s="45">
        <v>97154.781033795531</v>
      </c>
      <c r="BQ10" s="45">
        <v>97230.246398544754</v>
      </c>
      <c r="BR10" s="45">
        <v>97297.127313845558</v>
      </c>
      <c r="BS10" s="45">
        <v>97260.473775597668</v>
      </c>
      <c r="BT10" s="45">
        <v>97324.272315019349</v>
      </c>
      <c r="BU10" s="45">
        <v>97386.221540360202</v>
      </c>
      <c r="BV10" s="45">
        <v>97467.149139722373</v>
      </c>
      <c r="BW10" s="45">
        <v>97514.953203206096</v>
      </c>
      <c r="BX10" s="45">
        <v>97628.154718543548</v>
      </c>
      <c r="BY10" s="45">
        <v>97759.506609017961</v>
      </c>
      <c r="BZ10" s="45">
        <v>98025.351894414023</v>
      </c>
      <c r="CA10" s="45">
        <v>98196.233349911039</v>
      </c>
      <c r="CB10" s="45">
        <v>98269.300509767665</v>
      </c>
      <c r="CC10" s="45">
        <v>98386.242589031637</v>
      </c>
      <c r="CD10" s="45">
        <v>98474.250172887405</v>
      </c>
      <c r="CE10" s="45">
        <v>98545.976405750902</v>
      </c>
      <c r="CF10" s="45">
        <v>98651.970405451095</v>
      </c>
      <c r="CG10" s="45">
        <v>98731.053321074578</v>
      </c>
      <c r="CH10" s="45">
        <v>98791.047865939792</v>
      </c>
      <c r="CI10" s="45">
        <v>98864.635541939497</v>
      </c>
      <c r="CJ10" s="45">
        <v>98899.312556155768</v>
      </c>
      <c r="CK10" s="45">
        <v>98949.776751601021</v>
      </c>
      <c r="CL10" s="45">
        <v>99037.63486024976</v>
      </c>
      <c r="CM10" s="45">
        <v>99056.133267423691</v>
      </c>
      <c r="CN10" s="45">
        <v>99116.115666857891</v>
      </c>
      <c r="CO10" s="45">
        <v>99181.892282385437</v>
      </c>
      <c r="CP10" s="45">
        <v>99229.433655189277</v>
      </c>
      <c r="CQ10" s="45">
        <v>99282.171983387059</v>
      </c>
      <c r="CR10" s="45">
        <v>99305.574115015348</v>
      </c>
      <c r="CS10" s="45">
        <v>99343.557378110316</v>
      </c>
      <c r="CT10" s="45">
        <v>99358.003163864341</v>
      </c>
      <c r="CU10" s="45">
        <v>99393.524555492535</v>
      </c>
      <c r="CV10" s="45">
        <v>99406.437743151211</v>
      </c>
      <c r="CW10" s="45">
        <v>99422.069135043101</v>
      </c>
      <c r="CX10" s="45">
        <v>99460.179544075363</v>
      </c>
      <c r="CY10" s="45">
        <v>99457.328059513355</v>
      </c>
      <c r="CZ10" s="45">
        <v>99464.394443481957</v>
      </c>
      <c r="DA10" s="45">
        <v>99467.928106146544</v>
      </c>
      <c r="DB10" s="45">
        <v>99492.175618105772</v>
      </c>
      <c r="DC10" s="45">
        <v>99506.250527642114</v>
      </c>
      <c r="DD10" s="45">
        <v>99516.201080510538</v>
      </c>
      <c r="DE10" s="45">
        <v>99520.556908124097</v>
      </c>
      <c r="DF10" s="45">
        <v>99562.743592363156</v>
      </c>
      <c r="DG10" s="45">
        <v>99556.489140844467</v>
      </c>
      <c r="DH10" s="45">
        <v>99567.08948507825</v>
      </c>
      <c r="DI10" s="45">
        <v>99556.778600517602</v>
      </c>
      <c r="DJ10" s="45">
        <v>99587.176074346586</v>
      </c>
      <c r="DK10" s="45">
        <v>99597.396921157328</v>
      </c>
      <c r="DL10" s="45">
        <v>99590.394759201256</v>
      </c>
      <c r="DM10" s="45">
        <v>99586.932396589589</v>
      </c>
      <c r="DN10" s="45">
        <v>99580.231110647408</v>
      </c>
      <c r="DO10" s="45">
        <v>99599.138174610343</v>
      </c>
      <c r="DP10">
        <v>99615.27177246529</v>
      </c>
      <c r="DQ10">
        <v>99614.358499445691</v>
      </c>
      <c r="DR10">
        <v>99629.102082846744</v>
      </c>
      <c r="DS10">
        <v>99630.863723733841</v>
      </c>
      <c r="DT10">
        <v>99646.456349532193</v>
      </c>
      <c r="DU10">
        <v>99661.381295062354</v>
      </c>
    </row>
    <row r="11" spans="1:125">
      <c r="A11" s="42">
        <v>9</v>
      </c>
      <c r="B11" s="45"/>
      <c r="C11" s="45"/>
      <c r="D11" s="45"/>
      <c r="E11" s="45"/>
      <c r="F11" s="45"/>
      <c r="G11" s="45"/>
      <c r="H11" s="45"/>
      <c r="I11" s="45"/>
      <c r="J11" s="45"/>
      <c r="K11" s="45"/>
      <c r="L11" s="45"/>
      <c r="M11" s="45"/>
      <c r="N11" s="45"/>
      <c r="O11" s="45"/>
      <c r="P11" s="45"/>
      <c r="Q11" s="45"/>
      <c r="R11" s="45"/>
      <c r="S11" s="45"/>
      <c r="T11" s="45"/>
      <c r="U11" s="45"/>
      <c r="V11" s="45"/>
      <c r="W11" s="45">
        <v>82835</v>
      </c>
      <c r="X11" s="45">
        <v>83591.5</v>
      </c>
      <c r="Y11" s="45">
        <v>83666.151961027383</v>
      </c>
      <c r="Z11" s="45">
        <v>85846.335205638679</v>
      </c>
      <c r="AA11" s="45">
        <v>86154.396958502766</v>
      </c>
      <c r="AB11" s="45">
        <v>86691.673057904147</v>
      </c>
      <c r="AC11" s="45">
        <v>87411.822089303692</v>
      </c>
      <c r="AD11" s="45">
        <v>88212.19090928798</v>
      </c>
      <c r="AE11" s="45">
        <v>87971.888284699497</v>
      </c>
      <c r="AF11" s="45">
        <v>89067.102281831249</v>
      </c>
      <c r="AG11" s="45">
        <v>89380.389154339588</v>
      </c>
      <c r="AH11" s="45">
        <v>89549.513047315384</v>
      </c>
      <c r="AI11" s="45">
        <v>89745.168580335361</v>
      </c>
      <c r="AJ11" s="45">
        <v>90873.75751489932</v>
      </c>
      <c r="AK11" s="45">
        <v>90729.130703224801</v>
      </c>
      <c r="AL11" s="45">
        <v>90918.108551906043</v>
      </c>
      <c r="AM11" s="45">
        <v>91015.876086655146</v>
      </c>
      <c r="AN11" s="45">
        <v>91405.354745397621</v>
      </c>
      <c r="AO11" s="45">
        <v>91311.042266672215</v>
      </c>
      <c r="AP11" s="45">
        <v>91364.368603953801</v>
      </c>
      <c r="AQ11" s="45">
        <v>91413.428566152841</v>
      </c>
      <c r="AR11" s="45">
        <v>91431.287837764889</v>
      </c>
      <c r="AS11" s="45">
        <v>90829.096249384049</v>
      </c>
      <c r="AT11" s="45">
        <v>90040.899326690298</v>
      </c>
      <c r="AU11" s="45">
        <v>88758.808699310277</v>
      </c>
      <c r="AV11" s="45">
        <v>89131.920227355789</v>
      </c>
      <c r="AW11" s="45">
        <v>89440.649927963852</v>
      </c>
      <c r="AX11" s="45">
        <v>91608.457499720345</v>
      </c>
      <c r="AY11" s="45">
        <v>93417.210283162291</v>
      </c>
      <c r="AZ11" s="45">
        <v>93483.20371340643</v>
      </c>
      <c r="BA11" s="45">
        <v>93548.150712713963</v>
      </c>
      <c r="BB11" s="45">
        <v>94202.251283860402</v>
      </c>
      <c r="BC11" s="45">
        <v>94448.477153013024</v>
      </c>
      <c r="BD11" s="45">
        <v>94826.313267975682</v>
      </c>
      <c r="BE11" s="45">
        <v>94912.515283230954</v>
      </c>
      <c r="BF11" s="45">
        <v>95243.453880948669</v>
      </c>
      <c r="BG11" s="45">
        <v>95338.107778877908</v>
      </c>
      <c r="BH11" s="45">
        <v>95573.844464863854</v>
      </c>
      <c r="BI11" s="45">
        <v>95740.478056429885</v>
      </c>
      <c r="BJ11" s="45">
        <v>95871.599714427837</v>
      </c>
      <c r="BK11" s="45">
        <v>96147.097794361965</v>
      </c>
      <c r="BL11" s="45">
        <v>96408.422160218703</v>
      </c>
      <c r="BM11" s="45">
        <v>96627.600532774755</v>
      </c>
      <c r="BN11" s="45">
        <v>96867.040112756455</v>
      </c>
      <c r="BO11" s="45">
        <v>97032.032964111451</v>
      </c>
      <c r="BP11" s="45">
        <v>97119.421320802358</v>
      </c>
      <c r="BQ11" s="45">
        <v>97194.992982156371</v>
      </c>
      <c r="BR11" s="45">
        <v>97266.166907885286</v>
      </c>
      <c r="BS11" s="45">
        <v>97228.556502744439</v>
      </c>
      <c r="BT11" s="45">
        <v>97290.082208517269</v>
      </c>
      <c r="BU11" s="45">
        <v>97356.09731674545</v>
      </c>
      <c r="BV11" s="45">
        <v>97437.88232491797</v>
      </c>
      <c r="BW11" s="45">
        <v>97489.268171112111</v>
      </c>
      <c r="BX11" s="45">
        <v>97603.233984705526</v>
      </c>
      <c r="BY11" s="45">
        <v>97736.240027425578</v>
      </c>
      <c r="BZ11" s="45">
        <v>98002.999070234844</v>
      </c>
      <c r="CA11" s="45">
        <v>98172.967751537915</v>
      </c>
      <c r="CB11" s="45">
        <v>98247.26871647907</v>
      </c>
      <c r="CC11" s="45">
        <v>98367.891772778719</v>
      </c>
      <c r="CD11" s="45">
        <v>98454.593214858731</v>
      </c>
      <c r="CE11" s="45">
        <v>98520.983751768843</v>
      </c>
      <c r="CF11" s="45">
        <v>98632.392802346993</v>
      </c>
      <c r="CG11" s="45">
        <v>98712.623485257529</v>
      </c>
      <c r="CH11" s="45">
        <v>98776.352373052796</v>
      </c>
      <c r="CI11" s="45">
        <v>98850.031525938248</v>
      </c>
      <c r="CJ11" s="45">
        <v>98886.346904665988</v>
      </c>
      <c r="CK11" s="45">
        <v>98936.307602975925</v>
      </c>
      <c r="CL11" s="45">
        <v>99027.134088706604</v>
      </c>
      <c r="CM11" s="45">
        <v>99043.768033251312</v>
      </c>
      <c r="CN11" s="45">
        <v>99104.635859454342</v>
      </c>
      <c r="CO11" s="45">
        <v>99168.815864294578</v>
      </c>
      <c r="CP11" s="45">
        <v>99220.060433719307</v>
      </c>
      <c r="CQ11" s="45">
        <v>99272.811044104048</v>
      </c>
      <c r="CR11" s="45">
        <v>99295.42498322048</v>
      </c>
      <c r="CS11" s="45">
        <v>99330.043993004263</v>
      </c>
      <c r="CT11" s="45">
        <v>99348.899238087353</v>
      </c>
      <c r="CU11" s="45">
        <v>99384.43892314937</v>
      </c>
      <c r="CV11" s="45">
        <v>99398.329670712556</v>
      </c>
      <c r="CW11" s="45">
        <v>99412.16135649741</v>
      </c>
      <c r="CX11" s="45">
        <v>99453.495075318977</v>
      </c>
      <c r="CY11" s="45">
        <v>99450.328685219167</v>
      </c>
      <c r="CZ11" s="45">
        <v>99454.852221952242</v>
      </c>
      <c r="DA11" s="45">
        <v>99458.798833147477</v>
      </c>
      <c r="DB11" s="45">
        <v>99483.88625032673</v>
      </c>
      <c r="DC11" s="45">
        <v>99501.273891116725</v>
      </c>
      <c r="DD11" s="45">
        <v>99509.591392986476</v>
      </c>
      <c r="DE11" s="45">
        <v>99512.382640557247</v>
      </c>
      <c r="DF11" s="45">
        <v>99555.596064173908</v>
      </c>
      <c r="DG11" s="45">
        <v>99547.936272506064</v>
      </c>
      <c r="DH11" s="45">
        <v>99559.691351142916</v>
      </c>
      <c r="DI11" s="45">
        <v>99550.729195413704</v>
      </c>
      <c r="DJ11" s="45">
        <v>99580.792929678777</v>
      </c>
      <c r="DK11" s="45">
        <v>99590.843376034507</v>
      </c>
      <c r="DL11" s="45">
        <v>99584.441107078237</v>
      </c>
      <c r="DM11" s="45">
        <v>99581.204580013698</v>
      </c>
      <c r="DN11" s="45">
        <v>99574.720836255292</v>
      </c>
      <c r="DO11" s="45">
        <v>99593.835734133681</v>
      </c>
      <c r="DP11">
        <v>99610.169479453849</v>
      </c>
      <c r="DQ11">
        <v>99609.449590290606</v>
      </c>
      <c r="DR11">
        <v>99624.378405886819</v>
      </c>
      <c r="DS11">
        <v>99626.318947000575</v>
      </c>
      <c r="DT11">
        <v>99642.08302809624</v>
      </c>
      <c r="DU11">
        <v>99657.172967610386</v>
      </c>
    </row>
    <row r="12" spans="1:125">
      <c r="A12" s="42">
        <v>10</v>
      </c>
      <c r="B12" s="45"/>
      <c r="C12" s="45"/>
      <c r="D12" s="45"/>
      <c r="E12" s="45"/>
      <c r="F12" s="45"/>
      <c r="G12" s="45"/>
      <c r="H12" s="45"/>
      <c r="I12" s="45"/>
      <c r="J12" s="45"/>
      <c r="K12" s="45"/>
      <c r="L12" s="45"/>
      <c r="M12" s="45"/>
      <c r="N12" s="45"/>
      <c r="O12" s="45"/>
      <c r="P12" s="45"/>
      <c r="Q12" s="45"/>
      <c r="R12" s="45"/>
      <c r="S12" s="45"/>
      <c r="T12" s="45"/>
      <c r="U12" s="45"/>
      <c r="V12" s="45"/>
      <c r="W12" s="45">
        <v>82709</v>
      </c>
      <c r="X12" s="45">
        <v>83483.5</v>
      </c>
      <c r="Y12" s="45">
        <v>83549.592803134845</v>
      </c>
      <c r="Z12" s="45">
        <v>85726.713419705891</v>
      </c>
      <c r="AA12" s="45">
        <v>86034.351925558789</v>
      </c>
      <c r="AB12" s="45">
        <v>86547.007182598027</v>
      </c>
      <c r="AC12" s="45">
        <v>87272.578174617316</v>
      </c>
      <c r="AD12" s="45">
        <v>88085.035043758195</v>
      </c>
      <c r="AE12" s="45">
        <v>87848.413428394677</v>
      </c>
      <c r="AF12" s="45">
        <v>88935.321007899824</v>
      </c>
      <c r="AG12" s="45">
        <v>89248.147940064518</v>
      </c>
      <c r="AH12" s="45">
        <v>89417.002747217164</v>
      </c>
      <c r="AI12" s="45">
        <v>89612.376574418828</v>
      </c>
      <c r="AJ12" s="45">
        <v>90725.841040477244</v>
      </c>
      <c r="AK12" s="45">
        <v>90561.318008697737</v>
      </c>
      <c r="AL12" s="45">
        <v>90716.311594230356</v>
      </c>
      <c r="AM12" s="45">
        <v>90905.982664548355</v>
      </c>
      <c r="AN12" s="45">
        <v>91294.994822509223</v>
      </c>
      <c r="AO12" s="45">
        <v>91224.476574414715</v>
      </c>
      <c r="AP12" s="45">
        <v>91306.4720365947</v>
      </c>
      <c r="AQ12" s="45">
        <v>91355.500983899823</v>
      </c>
      <c r="AR12" s="45">
        <v>91373.348119649338</v>
      </c>
      <c r="AS12" s="45">
        <v>90781.412031729647</v>
      </c>
      <c r="AT12" s="45">
        <v>89996.823474173289</v>
      </c>
      <c r="AU12" s="45">
        <v>88717.879668909678</v>
      </c>
      <c r="AV12" s="45">
        <v>89089.367950266344</v>
      </c>
      <c r="AW12" s="45">
        <v>89397.850836093261</v>
      </c>
      <c r="AX12" s="45">
        <v>91566.968059911334</v>
      </c>
      <c r="AY12" s="45">
        <v>93374.515922082413</v>
      </c>
      <c r="AZ12" s="45">
        <v>93442.11045451455</v>
      </c>
      <c r="BA12" s="45">
        <v>93509.594434036931</v>
      </c>
      <c r="BB12" s="45">
        <v>94161.2208157391</v>
      </c>
      <c r="BC12" s="45">
        <v>94410.838977156192</v>
      </c>
      <c r="BD12" s="45">
        <v>94786.586704601927</v>
      </c>
      <c r="BE12" s="45">
        <v>94874.0080291552</v>
      </c>
      <c r="BF12" s="45">
        <v>95205.980788161221</v>
      </c>
      <c r="BG12" s="45">
        <v>95299.845299140608</v>
      </c>
      <c r="BH12" s="45">
        <v>95534.866264133423</v>
      </c>
      <c r="BI12" s="45">
        <v>95701.515446794132</v>
      </c>
      <c r="BJ12" s="45">
        <v>95831.752753342822</v>
      </c>
      <c r="BK12" s="45">
        <v>96109.120662801404</v>
      </c>
      <c r="BL12" s="45">
        <v>96371.61291465367</v>
      </c>
      <c r="BM12" s="45">
        <v>96590.735758932889</v>
      </c>
      <c r="BN12" s="45">
        <v>96833.913220437506</v>
      </c>
      <c r="BO12" s="45">
        <v>97002.313285024124</v>
      </c>
      <c r="BP12" s="45">
        <v>97088.48246931062</v>
      </c>
      <c r="BQ12" s="45">
        <v>97166.741295829357</v>
      </c>
      <c r="BR12" s="45">
        <v>97234.535718936473</v>
      </c>
      <c r="BS12" s="45">
        <v>97199.985678304482</v>
      </c>
      <c r="BT12" s="45">
        <v>97263.116701544059</v>
      </c>
      <c r="BU12" s="45">
        <v>97331.909183009426</v>
      </c>
      <c r="BV12" s="45">
        <v>97414.272788128903</v>
      </c>
      <c r="BW12" s="45">
        <v>97467.782374397793</v>
      </c>
      <c r="BX12" s="45">
        <v>97579.255669597624</v>
      </c>
      <c r="BY12" s="45">
        <v>97713.996181402385</v>
      </c>
      <c r="BZ12" s="45">
        <v>97984.637287149148</v>
      </c>
      <c r="CA12" s="45">
        <v>98154.018827120599</v>
      </c>
      <c r="CB12" s="45">
        <v>98227.295275416516</v>
      </c>
      <c r="CC12" s="45">
        <v>98348.711666937073</v>
      </c>
      <c r="CD12" s="45">
        <v>98439.698114812549</v>
      </c>
      <c r="CE12" s="45">
        <v>98502.922426423131</v>
      </c>
      <c r="CF12" s="45">
        <v>98617.070066702232</v>
      </c>
      <c r="CG12" s="45">
        <v>98698.759238895829</v>
      </c>
      <c r="CH12" s="45">
        <v>98763.311391638228</v>
      </c>
      <c r="CI12" s="45">
        <v>98835.121558303174</v>
      </c>
      <c r="CJ12" s="45">
        <v>98874.287996535873</v>
      </c>
      <c r="CK12" s="45">
        <v>98923.597149208188</v>
      </c>
      <c r="CL12" s="45">
        <v>99016.612415631418</v>
      </c>
      <c r="CM12" s="45">
        <v>99033.80618484084</v>
      </c>
      <c r="CN12" s="45">
        <v>99093.418239613879</v>
      </c>
      <c r="CO12" s="45">
        <v>99157.375873414712</v>
      </c>
      <c r="CP12" s="45">
        <v>99210.46607510504</v>
      </c>
      <c r="CQ12" s="45">
        <v>99264.741641898523</v>
      </c>
      <c r="CR12" s="45">
        <v>99286.150219418298</v>
      </c>
      <c r="CS12" s="45">
        <v>99322.193357536133</v>
      </c>
      <c r="CT12" s="45">
        <v>99340.430345040397</v>
      </c>
      <c r="CU12" s="45">
        <v>99376.332792229485</v>
      </c>
      <c r="CV12" s="45">
        <v>99390.459162865387</v>
      </c>
      <c r="CW12" s="45">
        <v>99405.240162287519</v>
      </c>
      <c r="CX12" s="45">
        <v>99446.310376213223</v>
      </c>
      <c r="CY12" s="45">
        <v>99442.214094216804</v>
      </c>
      <c r="CZ12" s="45">
        <v>99447.852355997107</v>
      </c>
      <c r="DA12" s="45">
        <v>99451.020398203924</v>
      </c>
      <c r="DB12" s="45">
        <v>99475.276756073436</v>
      </c>
      <c r="DC12" s="45">
        <v>99494.645083483425</v>
      </c>
      <c r="DD12" s="45">
        <v>99502.396905738977</v>
      </c>
      <c r="DE12" s="45">
        <v>99505.857174310804</v>
      </c>
      <c r="DF12" s="45">
        <v>99548.913575664264</v>
      </c>
      <c r="DG12" s="45">
        <v>99541.412215786579</v>
      </c>
      <c r="DH12" s="45">
        <v>99553.143704490736</v>
      </c>
      <c r="DI12" s="45">
        <v>99544.214999781732</v>
      </c>
      <c r="DJ12" s="45">
        <v>99574.468547986675</v>
      </c>
      <c r="DK12" s="45">
        <v>99584.761234074133</v>
      </c>
      <c r="DL12" s="45">
        <v>99578.586376127816</v>
      </c>
      <c r="DM12" s="45">
        <v>99575.568444423581</v>
      </c>
      <c r="DN12" s="45">
        <v>99569.295395904061</v>
      </c>
      <c r="DO12" s="45">
        <v>99588.611694443331</v>
      </c>
      <c r="DP12">
        <v>99605.139513472095</v>
      </c>
      <c r="DQ12">
        <v>99604.607272457433</v>
      </c>
      <c r="DR12">
        <v>99619.715930876118</v>
      </c>
      <c r="DS12">
        <v>99621.830279031841</v>
      </c>
      <c r="DT12">
        <v>99637.761031552538</v>
      </c>
      <c r="DU12">
        <v>99653.011462170776</v>
      </c>
    </row>
    <row r="13" spans="1:125">
      <c r="A13" s="42">
        <v>11</v>
      </c>
      <c r="B13" s="45"/>
      <c r="C13" s="45"/>
      <c r="D13" s="45"/>
      <c r="E13" s="45"/>
      <c r="F13" s="45"/>
      <c r="G13" s="45"/>
      <c r="H13" s="45"/>
      <c r="I13" s="45"/>
      <c r="J13" s="45"/>
      <c r="K13" s="45"/>
      <c r="L13" s="45"/>
      <c r="M13" s="45"/>
      <c r="N13" s="45"/>
      <c r="O13" s="45"/>
      <c r="P13" s="45"/>
      <c r="Q13" s="45"/>
      <c r="R13" s="45"/>
      <c r="S13" s="45"/>
      <c r="T13" s="45"/>
      <c r="U13" s="45"/>
      <c r="V13" s="45"/>
      <c r="W13" s="45">
        <v>82614.5</v>
      </c>
      <c r="X13" s="45">
        <v>83380.5</v>
      </c>
      <c r="Y13" s="45">
        <v>83446.537937301968</v>
      </c>
      <c r="Z13" s="45">
        <v>85620.952285380437</v>
      </c>
      <c r="AA13" s="45">
        <v>85907.229177881643</v>
      </c>
      <c r="AB13" s="45">
        <v>86424.930661770501</v>
      </c>
      <c r="AC13" s="45">
        <v>87161.19403519269</v>
      </c>
      <c r="AD13" s="45">
        <v>87975.577589996305</v>
      </c>
      <c r="AE13" s="45">
        <v>87733.358146927203</v>
      </c>
      <c r="AF13" s="45">
        <v>88818.826490070234</v>
      </c>
      <c r="AG13" s="45">
        <v>89131.246638812197</v>
      </c>
      <c r="AH13" s="45">
        <v>89299.864606813877</v>
      </c>
      <c r="AI13" s="45">
        <v>89483.250220866903</v>
      </c>
      <c r="AJ13" s="45">
        <v>90577.275612611294</v>
      </c>
      <c r="AK13" s="45">
        <v>90383.369767824697</v>
      </c>
      <c r="AL13" s="45">
        <v>90609.526376263151</v>
      </c>
      <c r="AM13" s="45">
        <v>90798.974412270691</v>
      </c>
      <c r="AN13" s="45">
        <v>91210.616612357466</v>
      </c>
      <c r="AO13" s="45">
        <v>91171.231137014562</v>
      </c>
      <c r="AP13" s="45">
        <v>91253.178689374239</v>
      </c>
      <c r="AQ13" s="45">
        <v>91302.179093488317</v>
      </c>
      <c r="AR13" s="45">
        <v>91328.62497858025</v>
      </c>
      <c r="AS13" s="45">
        <v>90741.390462743351</v>
      </c>
      <c r="AT13" s="45">
        <v>89958.178034480283</v>
      </c>
      <c r="AU13" s="45">
        <v>88680.909516879474</v>
      </c>
      <c r="AV13" s="45">
        <v>89052.144771134597</v>
      </c>
      <c r="AW13" s="45">
        <v>89358.252836024069</v>
      </c>
      <c r="AX13" s="45">
        <v>91532.418751109304</v>
      </c>
      <c r="AY13" s="45">
        <v>93337.897619518451</v>
      </c>
      <c r="AZ13" s="45">
        <v>93409.439757512446</v>
      </c>
      <c r="BA13" s="45">
        <v>93473.472702181432</v>
      </c>
      <c r="BB13" s="45">
        <v>94127.940342695307</v>
      </c>
      <c r="BC13" s="45">
        <v>94379.01055417872</v>
      </c>
      <c r="BD13" s="45">
        <v>94748.93769025775</v>
      </c>
      <c r="BE13" s="45">
        <v>94837.598338505733</v>
      </c>
      <c r="BF13" s="45">
        <v>95169.258084727946</v>
      </c>
      <c r="BG13" s="45">
        <v>95262.836192942661</v>
      </c>
      <c r="BH13" s="45">
        <v>95497.079006499611</v>
      </c>
      <c r="BI13" s="45">
        <v>95661.23237794431</v>
      </c>
      <c r="BJ13" s="45">
        <v>95795.231805744261</v>
      </c>
      <c r="BK13" s="45">
        <v>96072.716980656667</v>
      </c>
      <c r="BL13" s="45">
        <v>96338.506224830679</v>
      </c>
      <c r="BM13" s="45">
        <v>96561.269735374139</v>
      </c>
      <c r="BN13" s="45">
        <v>96807.746900399448</v>
      </c>
      <c r="BO13" s="45">
        <v>96973.563631601908</v>
      </c>
      <c r="BP13" s="45">
        <v>97061.729633647366</v>
      </c>
      <c r="BQ13" s="45">
        <v>97141.178889400966</v>
      </c>
      <c r="BR13" s="45">
        <v>97210.17657470527</v>
      </c>
      <c r="BS13" s="45">
        <v>97175.639705170077</v>
      </c>
      <c r="BT13" s="45">
        <v>97236.547634036513</v>
      </c>
      <c r="BU13" s="45">
        <v>97311.040451548004</v>
      </c>
      <c r="BV13" s="45">
        <v>97394.956868669396</v>
      </c>
      <c r="BW13" s="45">
        <v>97448.411107378721</v>
      </c>
      <c r="BX13" s="45">
        <v>97561.615738684253</v>
      </c>
      <c r="BY13" s="45">
        <v>97696.118827578626</v>
      </c>
      <c r="BZ13" s="45">
        <v>97964.825553084869</v>
      </c>
      <c r="CA13" s="45">
        <v>98137.57625466559</v>
      </c>
      <c r="CB13" s="45">
        <v>98211.986509953102</v>
      </c>
      <c r="CC13" s="45">
        <v>98331.358000575536</v>
      </c>
      <c r="CD13" s="45">
        <v>98423.847755201117</v>
      </c>
      <c r="CE13" s="45">
        <v>98488.578061157197</v>
      </c>
      <c r="CF13" s="45">
        <v>98601.630974033804</v>
      </c>
      <c r="CG13" s="45">
        <v>98683.519290326774</v>
      </c>
      <c r="CH13" s="45">
        <v>98751.492047026666</v>
      </c>
      <c r="CI13" s="45">
        <v>98822.217714392435</v>
      </c>
      <c r="CJ13" s="45">
        <v>98862.807839059678</v>
      </c>
      <c r="CK13" s="45">
        <v>98911.531837985589</v>
      </c>
      <c r="CL13" s="45">
        <v>99006.527362294262</v>
      </c>
      <c r="CM13" s="45">
        <v>99022.88839968745</v>
      </c>
      <c r="CN13" s="45">
        <v>99083.614870816833</v>
      </c>
      <c r="CO13" s="45">
        <v>99148.628273318609</v>
      </c>
      <c r="CP13" s="45">
        <v>99200.422205338269</v>
      </c>
      <c r="CQ13" s="45">
        <v>99257.267264138412</v>
      </c>
      <c r="CR13" s="45">
        <v>99276.94300168191</v>
      </c>
      <c r="CS13" s="45">
        <v>99314.815479686134</v>
      </c>
      <c r="CT13" s="45">
        <v>99333.380138376408</v>
      </c>
      <c r="CU13" s="45">
        <v>99367.017183789139</v>
      </c>
      <c r="CV13" s="45">
        <v>99382.651138702291</v>
      </c>
      <c r="CW13" s="45">
        <v>99397.194546220213</v>
      </c>
      <c r="CX13" s="45">
        <v>99437.6528342768</v>
      </c>
      <c r="CY13" s="45">
        <v>99435.81550558313</v>
      </c>
      <c r="CZ13" s="45">
        <v>99441.387294175744</v>
      </c>
      <c r="DA13" s="45">
        <v>99445.33856444752</v>
      </c>
      <c r="DB13" s="45">
        <v>99468.916761527275</v>
      </c>
      <c r="DC13" s="45">
        <v>99487.147465469869</v>
      </c>
      <c r="DD13" s="45">
        <v>99495.760373656827</v>
      </c>
      <c r="DE13" s="45">
        <v>99499.639201287559</v>
      </c>
      <c r="DF13" s="45">
        <v>99541.901242976426</v>
      </c>
      <c r="DG13" s="45">
        <v>99535.316351400557</v>
      </c>
      <c r="DH13" s="45">
        <v>99548.117408580729</v>
      </c>
      <c r="DI13" s="45">
        <v>99538.292926433307</v>
      </c>
      <c r="DJ13" s="45">
        <v>99567.997164176806</v>
      </c>
      <c r="DK13" s="45">
        <v>99578.527024010895</v>
      </c>
      <c r="DL13" s="45">
        <v>99572.581601842336</v>
      </c>
      <c r="DM13" s="45">
        <v>99569.784348368514</v>
      </c>
      <c r="DN13" s="45">
        <v>99563.724133558542</v>
      </c>
      <c r="DO13" s="45">
        <v>99583.243981602121</v>
      </c>
      <c r="DP13">
        <v>99599.968067306094</v>
      </c>
      <c r="DQ13">
        <v>99599.625726418046</v>
      </c>
      <c r="DR13">
        <v>99614.91648740627</v>
      </c>
      <c r="DS13">
        <v>99617.206941976503</v>
      </c>
      <c r="DT13">
        <v>99633.306665919983</v>
      </c>
      <c r="DU13">
        <v>99648.719902800047</v>
      </c>
    </row>
    <row r="14" spans="1:125">
      <c r="A14" s="42">
        <v>12</v>
      </c>
      <c r="B14" s="45"/>
      <c r="C14" s="45"/>
      <c r="D14" s="45"/>
      <c r="E14" s="45"/>
      <c r="F14" s="45"/>
      <c r="G14" s="45"/>
      <c r="H14" s="45"/>
      <c r="I14" s="45"/>
      <c r="J14" s="45"/>
      <c r="K14" s="45"/>
      <c r="L14" s="45"/>
      <c r="M14" s="45"/>
      <c r="N14" s="45"/>
      <c r="O14" s="45"/>
      <c r="P14" s="45"/>
      <c r="Q14" s="45"/>
      <c r="R14" s="45"/>
      <c r="S14" s="45"/>
      <c r="T14" s="45"/>
      <c r="U14" s="45"/>
      <c r="V14" s="45"/>
      <c r="W14" s="45">
        <v>82521.5</v>
      </c>
      <c r="X14" s="45">
        <v>83286.5</v>
      </c>
      <c r="Y14" s="45">
        <v>83352.366011044534</v>
      </c>
      <c r="Z14" s="45">
        <v>85505.204774936356</v>
      </c>
      <c r="AA14" s="45">
        <v>85796.372389088094</v>
      </c>
      <c r="AB14" s="45">
        <v>86324.014463694504</v>
      </c>
      <c r="AC14" s="45">
        <v>87062.100888105721</v>
      </c>
      <c r="AD14" s="45">
        <v>87870.149507037655</v>
      </c>
      <c r="AE14" s="45">
        <v>87628.225155686232</v>
      </c>
      <c r="AF14" s="45">
        <v>88712.377943637141</v>
      </c>
      <c r="AG14" s="45">
        <v>89024.426471207553</v>
      </c>
      <c r="AH14" s="45">
        <v>89182.123885999899</v>
      </c>
      <c r="AI14" s="45">
        <v>89349.186965206114</v>
      </c>
      <c r="AJ14" s="45">
        <v>90414.424355828931</v>
      </c>
      <c r="AK14" s="45">
        <v>90279.237036276289</v>
      </c>
      <c r="AL14" s="45">
        <v>90505.133115998207</v>
      </c>
      <c r="AM14" s="45">
        <v>90716.834747685818</v>
      </c>
      <c r="AN14" s="45">
        <v>91158.290153683658</v>
      </c>
      <c r="AO14" s="45">
        <v>91118.929696234743</v>
      </c>
      <c r="AP14" s="45">
        <v>91200.830187327607</v>
      </c>
      <c r="AQ14" s="45">
        <v>91257.175472267001</v>
      </c>
      <c r="AR14" s="45">
        <v>91289.699039873434</v>
      </c>
      <c r="AS14" s="45">
        <v>90701.552407756797</v>
      </c>
      <c r="AT14" s="45">
        <v>89919.455661085216</v>
      </c>
      <c r="AU14" s="45">
        <v>88641.67710856082</v>
      </c>
      <c r="AV14" s="45">
        <v>89018.062367094375</v>
      </c>
      <c r="AW14" s="45">
        <v>89323.219557901146</v>
      </c>
      <c r="AX14" s="45">
        <v>91497.728140906664</v>
      </c>
      <c r="AY14" s="45">
        <v>93303.896010813114</v>
      </c>
      <c r="AZ14" s="45">
        <v>93372.775936719438</v>
      </c>
      <c r="BA14" s="45">
        <v>93441.345821231575</v>
      </c>
      <c r="BB14" s="45">
        <v>94095.567917639069</v>
      </c>
      <c r="BC14" s="45">
        <v>94344.778629697874</v>
      </c>
      <c r="BD14" s="45">
        <v>94712.660446603317</v>
      </c>
      <c r="BE14" s="45">
        <v>94802.646767161612</v>
      </c>
      <c r="BF14" s="45">
        <v>95132.223801983142</v>
      </c>
      <c r="BG14" s="45">
        <v>95230.824581339431</v>
      </c>
      <c r="BH14" s="45">
        <v>95464.076600249449</v>
      </c>
      <c r="BI14" s="45">
        <v>95628.357032995453</v>
      </c>
      <c r="BJ14" s="45">
        <v>95764.038293383957</v>
      </c>
      <c r="BK14" s="45">
        <v>96041.212746990699</v>
      </c>
      <c r="BL14" s="45">
        <v>96310.222249973827</v>
      </c>
      <c r="BM14" s="45">
        <v>96533.646474815861</v>
      </c>
      <c r="BN14" s="45">
        <v>96778.342404219438</v>
      </c>
      <c r="BO14" s="45">
        <v>96944.286235991342</v>
      </c>
      <c r="BP14" s="45">
        <v>97035.492677949864</v>
      </c>
      <c r="BQ14" s="45">
        <v>97115.616247311948</v>
      </c>
      <c r="BR14" s="45">
        <v>97187.321991279576</v>
      </c>
      <c r="BS14" s="45">
        <v>97151.138966827581</v>
      </c>
      <c r="BT14" s="45">
        <v>97211.196118431399</v>
      </c>
      <c r="BU14" s="45">
        <v>97289.633296090833</v>
      </c>
      <c r="BV14" s="45">
        <v>97375.524490537093</v>
      </c>
      <c r="BW14" s="45">
        <v>97431.711371631041</v>
      </c>
      <c r="BX14" s="45">
        <v>97542.251332474028</v>
      </c>
      <c r="BY14" s="45">
        <v>97681.202125210286</v>
      </c>
      <c r="BZ14" s="45">
        <v>97944.670041567151</v>
      </c>
      <c r="CA14" s="45">
        <v>98122.889446003159</v>
      </c>
      <c r="CB14" s="45">
        <v>98193.223105509591</v>
      </c>
      <c r="CC14" s="45">
        <v>98312.216510507045</v>
      </c>
      <c r="CD14" s="45">
        <v>98407.89844516234</v>
      </c>
      <c r="CE14" s="45">
        <v>98473.830990520495</v>
      </c>
      <c r="CF14" s="45">
        <v>98584.596801277818</v>
      </c>
      <c r="CG14" s="45">
        <v>98668.80313012065</v>
      </c>
      <c r="CH14" s="45">
        <v>98738.908709270458</v>
      </c>
      <c r="CI14" s="45">
        <v>98811.381000719499</v>
      </c>
      <c r="CJ14" s="45">
        <v>98850.906475589916</v>
      </c>
      <c r="CK14" s="45">
        <v>98899.766230887588</v>
      </c>
      <c r="CL14" s="45">
        <v>98994.356821655558</v>
      </c>
      <c r="CM14" s="45">
        <v>99012.035152845056</v>
      </c>
      <c r="CN14" s="45">
        <v>99071.47771505604</v>
      </c>
      <c r="CO14" s="45">
        <v>99137.10880123105</v>
      </c>
      <c r="CP14" s="45">
        <v>99188.099170369562</v>
      </c>
      <c r="CQ14" s="45">
        <v>99246.462491825921</v>
      </c>
      <c r="CR14" s="45">
        <v>99266.707943982241</v>
      </c>
      <c r="CS14" s="45">
        <v>99307.182152860682</v>
      </c>
      <c r="CT14" s="45">
        <v>99323.752928566828</v>
      </c>
      <c r="CU14" s="45">
        <v>99358.92249774831</v>
      </c>
      <c r="CV14" s="45">
        <v>99373.596377572991</v>
      </c>
      <c r="CW14" s="45">
        <v>99390.596599487573</v>
      </c>
      <c r="CX14" s="45">
        <v>99428.959450073991</v>
      </c>
      <c r="CY14" s="45">
        <v>99429.79584491998</v>
      </c>
      <c r="CZ14" s="45">
        <v>99434.980599334303</v>
      </c>
      <c r="DA14" s="45">
        <v>99437.004696251373</v>
      </c>
      <c r="DB14" s="45">
        <v>99460.697949599649</v>
      </c>
      <c r="DC14" s="45">
        <v>99479.631270191443</v>
      </c>
      <c r="DD14" s="45">
        <v>99487.745154887263</v>
      </c>
      <c r="DE14" s="45">
        <v>99491.970854057319</v>
      </c>
      <c r="DF14" s="45">
        <v>99534.871176482993</v>
      </c>
      <c r="DG14" s="45">
        <v>99529.920552969081</v>
      </c>
      <c r="DH14" s="45">
        <v>99541.408326310659</v>
      </c>
      <c r="DI14" s="45">
        <v>99531.147874764865</v>
      </c>
      <c r="DJ14" s="45">
        <v>99561.108449393403</v>
      </c>
      <c r="DK14" s="45">
        <v>99571.886800499036</v>
      </c>
      <c r="DL14" s="45">
        <v>99566.181925730489</v>
      </c>
      <c r="DM14" s="45">
        <v>99563.616173539165</v>
      </c>
      <c r="DN14" s="45">
        <v>99557.779371404948</v>
      </c>
      <c r="DO14" s="45">
        <v>99577.512991225114</v>
      </c>
      <c r="DP14">
        <v>99594.443328285968</v>
      </c>
      <c r="DQ14">
        <v>99594.300683653026</v>
      </c>
      <c r="DR14">
        <v>99609.783042728726</v>
      </c>
      <c r="DS14">
        <v>99612.258911047014</v>
      </c>
      <c r="DT14">
        <v>99628.536632566262</v>
      </c>
      <c r="DU14">
        <v>99644.121476617816</v>
      </c>
    </row>
    <row r="15" spans="1:125">
      <c r="A15" s="42">
        <v>13</v>
      </c>
      <c r="B15" s="45"/>
      <c r="C15" s="45"/>
      <c r="D15" s="45"/>
      <c r="E15" s="45"/>
      <c r="F15" s="45"/>
      <c r="G15" s="45"/>
      <c r="H15" s="45"/>
      <c r="I15" s="45"/>
      <c r="J15" s="45"/>
      <c r="K15" s="45"/>
      <c r="L15" s="45"/>
      <c r="M15" s="45"/>
      <c r="N15" s="45"/>
      <c r="O15" s="45"/>
      <c r="P15" s="45"/>
      <c r="Q15" s="45"/>
      <c r="R15" s="45"/>
      <c r="S15" s="45"/>
      <c r="T15" s="45"/>
      <c r="U15" s="45"/>
      <c r="V15" s="45"/>
      <c r="W15" s="45">
        <v>82433</v>
      </c>
      <c r="X15" s="45">
        <v>83197</v>
      </c>
      <c r="Y15" s="45">
        <v>83235.891438944556</v>
      </c>
      <c r="Z15" s="45">
        <v>85385.699873433303</v>
      </c>
      <c r="AA15" s="45">
        <v>85685.033692741214</v>
      </c>
      <c r="AB15" s="45">
        <v>86220.607185025772</v>
      </c>
      <c r="AC15" s="45">
        <v>86949.114909177893</v>
      </c>
      <c r="AD15" s="45">
        <v>87756.10838328251</v>
      </c>
      <c r="AE15" s="45">
        <v>87514.502546648611</v>
      </c>
      <c r="AF15" s="45">
        <v>88597.234399441746</v>
      </c>
      <c r="AG15" s="45">
        <v>88897.32595956765</v>
      </c>
      <c r="AH15" s="45">
        <v>89037.418388156526</v>
      </c>
      <c r="AI15" s="45">
        <v>89175.224075920167</v>
      </c>
      <c r="AJ15" s="45">
        <v>90312.931029932704</v>
      </c>
      <c r="AK15" s="45">
        <v>90177.9072805006</v>
      </c>
      <c r="AL15" s="45">
        <v>90428.393984465496</v>
      </c>
      <c r="AM15" s="45">
        <v>90663.426488207784</v>
      </c>
      <c r="AN15" s="45">
        <v>91104.622294385626</v>
      </c>
      <c r="AO15" s="45">
        <v>91065.287325952231</v>
      </c>
      <c r="AP15" s="45">
        <v>91158.286803088442</v>
      </c>
      <c r="AQ15" s="45">
        <v>91215.951107283472</v>
      </c>
      <c r="AR15" s="45">
        <v>91252.27841028641</v>
      </c>
      <c r="AS15" s="45">
        <v>90663.232502929546</v>
      </c>
      <c r="AT15" s="45">
        <v>89882.290318281419</v>
      </c>
      <c r="AU15" s="45">
        <v>88606.29622901167</v>
      </c>
      <c r="AV15" s="45">
        <v>88982.605080243855</v>
      </c>
      <c r="AW15" s="45">
        <v>89288.789815324475</v>
      </c>
      <c r="AX15" s="45">
        <v>91467.135053548453</v>
      </c>
      <c r="AY15" s="45">
        <v>93268.46892841364</v>
      </c>
      <c r="AZ15" s="45">
        <v>93339.248584189249</v>
      </c>
      <c r="BA15" s="45">
        <v>93404.85652703009</v>
      </c>
      <c r="BB15" s="45">
        <v>94060.176668294094</v>
      </c>
      <c r="BC15" s="45">
        <v>94308.088891214196</v>
      </c>
      <c r="BD15" s="45">
        <v>94677.391707602219</v>
      </c>
      <c r="BE15" s="45">
        <v>94768.630180185835</v>
      </c>
      <c r="BF15" s="45">
        <v>95101.771315358579</v>
      </c>
      <c r="BG15" s="45">
        <v>95195.659176365836</v>
      </c>
      <c r="BH15" s="45">
        <v>95426.449093866366</v>
      </c>
      <c r="BI15" s="45">
        <v>95595.030921944621</v>
      </c>
      <c r="BJ15" s="45">
        <v>95728.688880717353</v>
      </c>
      <c r="BK15" s="45">
        <v>96013.1863861577</v>
      </c>
      <c r="BL15" s="45">
        <v>96280.397527077381</v>
      </c>
      <c r="BM15" s="45">
        <v>96503.827971743798</v>
      </c>
      <c r="BN15" s="45">
        <v>96748.100428063393</v>
      </c>
      <c r="BO15" s="45">
        <v>96916.325440518151</v>
      </c>
      <c r="BP15" s="45">
        <v>97009.658289673651</v>
      </c>
      <c r="BQ15" s="45">
        <v>97091.486503655498</v>
      </c>
      <c r="BR15" s="45">
        <v>97162.833608377536</v>
      </c>
      <c r="BS15" s="45">
        <v>97129.473855555101</v>
      </c>
      <c r="BT15" s="45">
        <v>97189.480680912442</v>
      </c>
      <c r="BU15" s="45">
        <v>97268.982593928129</v>
      </c>
      <c r="BV15" s="45">
        <v>97357.468557355125</v>
      </c>
      <c r="BW15" s="45">
        <v>97412.522311113149</v>
      </c>
      <c r="BX15" s="45">
        <v>97524.92963118339</v>
      </c>
      <c r="BY15" s="45">
        <v>97663.27751443864</v>
      </c>
      <c r="BZ15" s="45">
        <v>97928.154709836992</v>
      </c>
      <c r="CA15" s="45">
        <v>98107.158848362247</v>
      </c>
      <c r="CB15" s="45">
        <v>98177.501629377075</v>
      </c>
      <c r="CC15" s="45">
        <v>98294.914452331679</v>
      </c>
      <c r="CD15" s="45">
        <v>98391.083282523134</v>
      </c>
      <c r="CE15" s="45">
        <v>98457.403364469181</v>
      </c>
      <c r="CF15" s="45">
        <v>98571.781791341724</v>
      </c>
      <c r="CG15" s="45">
        <v>98656.136154799722</v>
      </c>
      <c r="CH15" s="45">
        <v>98724.579650072366</v>
      </c>
      <c r="CI15" s="45">
        <v>98799.291332953057</v>
      </c>
      <c r="CJ15" s="45">
        <v>98837.597591371072</v>
      </c>
      <c r="CK15" s="45">
        <v>98887.47434946656</v>
      </c>
      <c r="CL15" s="45">
        <v>98981.27334567724</v>
      </c>
      <c r="CM15" s="45">
        <v>98998.767697678035</v>
      </c>
      <c r="CN15" s="45">
        <v>99060.82035548627</v>
      </c>
      <c r="CO15" s="45">
        <v>99127.98700983233</v>
      </c>
      <c r="CP15" s="45">
        <v>99177.086145169334</v>
      </c>
      <c r="CQ15" s="45">
        <v>99235.555211217434</v>
      </c>
      <c r="CR15" s="45">
        <v>99256.3218950999</v>
      </c>
      <c r="CS15" s="45">
        <v>99297.562569372545</v>
      </c>
      <c r="CT15" s="45">
        <v>99316.105356462707</v>
      </c>
      <c r="CU15" s="45">
        <v>99349.875204639073</v>
      </c>
      <c r="CV15" s="45">
        <v>99363.70939780114</v>
      </c>
      <c r="CW15" s="45">
        <v>99380.47100373001</v>
      </c>
      <c r="CX15" s="45">
        <v>99421.506497394163</v>
      </c>
      <c r="CY15" s="45">
        <v>99422.082598629233</v>
      </c>
      <c r="CZ15" s="45">
        <v>99426.153605429907</v>
      </c>
      <c r="DA15" s="45">
        <v>99428.844535529715</v>
      </c>
      <c r="DB15" s="45">
        <v>99454.501740050444</v>
      </c>
      <c r="DC15" s="45">
        <v>99471.983654885495</v>
      </c>
      <c r="DD15" s="45">
        <v>99478.894539277302</v>
      </c>
      <c r="DE15" s="45">
        <v>99485.37202362009</v>
      </c>
      <c r="DF15" s="45">
        <v>99527.509824095876</v>
      </c>
      <c r="DG15" s="45">
        <v>99523.25666524109</v>
      </c>
      <c r="DH15" s="45">
        <v>99533.246594871482</v>
      </c>
      <c r="DI15" s="45">
        <v>99523.277509699954</v>
      </c>
      <c r="DJ15" s="45">
        <v>99553.515968860389</v>
      </c>
      <c r="DK15" s="45">
        <v>99564.563890904727</v>
      </c>
      <c r="DL15" s="45">
        <v>99559.120143557404</v>
      </c>
      <c r="DM15" s="45">
        <v>99556.805836711806</v>
      </c>
      <c r="DN15" s="45">
        <v>99551.211851989894</v>
      </c>
      <c r="DO15" s="45">
        <v>99571.177918857487</v>
      </c>
      <c r="DP15">
        <v>99588.332665002992</v>
      </c>
      <c r="DQ15">
        <v>99588.407441132702</v>
      </c>
      <c r="DR15">
        <v>99604.098508730356</v>
      </c>
      <c r="DS15">
        <v>99606.776488737727</v>
      </c>
      <c r="DT15">
        <v>99623.248337591969</v>
      </c>
      <c r="DU15">
        <v>99639.019747344108</v>
      </c>
    </row>
    <row r="16" spans="1:125">
      <c r="A16" s="42">
        <v>14</v>
      </c>
      <c r="B16" s="45"/>
      <c r="C16" s="45"/>
      <c r="D16" s="45"/>
      <c r="E16" s="45"/>
      <c r="F16" s="45"/>
      <c r="G16" s="45"/>
      <c r="H16" s="45"/>
      <c r="I16" s="45"/>
      <c r="J16" s="45"/>
      <c r="K16" s="45"/>
      <c r="L16" s="45"/>
      <c r="M16" s="45"/>
      <c r="N16" s="45"/>
      <c r="O16" s="45"/>
      <c r="P16" s="45"/>
      <c r="Q16" s="45"/>
      <c r="R16" s="45"/>
      <c r="S16" s="45"/>
      <c r="T16" s="45"/>
      <c r="U16" s="45"/>
      <c r="V16" s="45"/>
      <c r="W16" s="45">
        <v>82341.5</v>
      </c>
      <c r="X16" s="45">
        <v>83070.5</v>
      </c>
      <c r="Y16" s="45">
        <v>83111.298272962595</v>
      </c>
      <c r="Z16" s="45">
        <v>85270.416264744184</v>
      </c>
      <c r="AA16" s="45">
        <v>85577.111791092349</v>
      </c>
      <c r="AB16" s="45">
        <v>86104.196047172183</v>
      </c>
      <c r="AC16" s="45">
        <v>86831.720749866479</v>
      </c>
      <c r="AD16" s="45">
        <v>87637.619992151507</v>
      </c>
      <c r="AE16" s="45">
        <v>87396.343637543789</v>
      </c>
      <c r="AF16" s="45">
        <v>88465.640510955258</v>
      </c>
      <c r="AG16" s="45">
        <v>88747.283401792258</v>
      </c>
      <c r="AH16" s="45">
        <v>88857.068824957678</v>
      </c>
      <c r="AI16" s="45">
        <v>89072.88068470209</v>
      </c>
      <c r="AJ16" s="45">
        <v>90209.273139666155</v>
      </c>
      <c r="AK16" s="45">
        <v>90099.675162323954</v>
      </c>
      <c r="AL16" s="45">
        <v>90369.752954191092</v>
      </c>
      <c r="AM16" s="45">
        <v>90604.632000946469</v>
      </c>
      <c r="AN16" s="45">
        <v>91045.542050591903</v>
      </c>
      <c r="AO16" s="45">
        <v>91018.388336393517</v>
      </c>
      <c r="AP16" s="45">
        <v>91113.346113731444</v>
      </c>
      <c r="AQ16" s="45">
        <v>91175.576825613811</v>
      </c>
      <c r="AR16" s="45">
        <v>91211.086665632654</v>
      </c>
      <c r="AS16" s="45">
        <v>90623.373330815419</v>
      </c>
      <c r="AT16" s="45">
        <v>89844.096257772355</v>
      </c>
      <c r="AU16" s="45">
        <v>88568.439302824729</v>
      </c>
      <c r="AV16" s="45">
        <v>88945.42524751366</v>
      </c>
      <c r="AW16" s="45">
        <v>89251.497247328181</v>
      </c>
      <c r="AX16" s="45">
        <v>91426.970343792636</v>
      </c>
      <c r="AY16" s="45">
        <v>93234.072964832099</v>
      </c>
      <c r="AZ16" s="45">
        <v>93303.886705736077</v>
      </c>
      <c r="BA16" s="45">
        <v>93370.352829049662</v>
      </c>
      <c r="BB16" s="45">
        <v>94022.743087752431</v>
      </c>
      <c r="BC16" s="45">
        <v>94271.378159565153</v>
      </c>
      <c r="BD16" s="45">
        <v>94640.532035801851</v>
      </c>
      <c r="BE16" s="45">
        <v>94732.354832461075</v>
      </c>
      <c r="BF16" s="45">
        <v>95065.077238797297</v>
      </c>
      <c r="BG16" s="45">
        <v>95158.574827878067</v>
      </c>
      <c r="BH16" s="45">
        <v>95390.035900181974</v>
      </c>
      <c r="BI16" s="45">
        <v>95560.832716950099</v>
      </c>
      <c r="BJ16" s="45">
        <v>95696.87908439929</v>
      </c>
      <c r="BK16" s="45">
        <v>95981.399925961334</v>
      </c>
      <c r="BL16" s="45">
        <v>96250.501132340665</v>
      </c>
      <c r="BM16" s="45">
        <v>96473.834776065749</v>
      </c>
      <c r="BN16" s="45">
        <v>96717.655767622535</v>
      </c>
      <c r="BO16" s="45">
        <v>96889.208658302989</v>
      </c>
      <c r="BP16" s="45">
        <v>96980.912154248246</v>
      </c>
      <c r="BQ16" s="45">
        <v>97066.534770181315</v>
      </c>
      <c r="BR16" s="45">
        <v>97139.09410806527</v>
      </c>
      <c r="BS16" s="45">
        <v>97105.365626157698</v>
      </c>
      <c r="BT16" s="45">
        <v>97165.708179677094</v>
      </c>
      <c r="BU16" s="45">
        <v>97246.195134602051</v>
      </c>
      <c r="BV16" s="45">
        <v>97336.240275420088</v>
      </c>
      <c r="BW16" s="45">
        <v>97391.94200010132</v>
      </c>
      <c r="BX16" s="45">
        <v>97506.231354415431</v>
      </c>
      <c r="BY16" s="45">
        <v>97644.696490015311</v>
      </c>
      <c r="BZ16" s="45">
        <v>97907.634841157269</v>
      </c>
      <c r="CA16" s="45">
        <v>98089.877017811086</v>
      </c>
      <c r="CB16" s="45">
        <v>98160.148950981136</v>
      </c>
      <c r="CC16" s="45">
        <v>98277.709710313997</v>
      </c>
      <c r="CD16" s="45">
        <v>98373.017698931639</v>
      </c>
      <c r="CE16" s="45">
        <v>98441.118092333811</v>
      </c>
      <c r="CF16" s="45">
        <v>98555.799530245553</v>
      </c>
      <c r="CG16" s="45">
        <v>98642.599307059863</v>
      </c>
      <c r="CH16" s="45">
        <v>98705.913409735629</v>
      </c>
      <c r="CI16" s="45">
        <v>98786.198428237753</v>
      </c>
      <c r="CJ16" s="45">
        <v>98824.391412758458</v>
      </c>
      <c r="CK16" s="45">
        <v>98872.936273756379</v>
      </c>
      <c r="CL16" s="45">
        <v>98965.271214753739</v>
      </c>
      <c r="CM16" s="45">
        <v>98986.883881549613</v>
      </c>
      <c r="CN16" s="45">
        <v>99051.591411540008</v>
      </c>
      <c r="CO16" s="45">
        <v>99117.177782581231</v>
      </c>
      <c r="CP16" s="45">
        <v>99163.040817199028</v>
      </c>
      <c r="CQ16" s="45">
        <v>99224.548141248961</v>
      </c>
      <c r="CR16" s="45">
        <v>99247.132834766468</v>
      </c>
      <c r="CS16" s="45">
        <v>99287.842182319931</v>
      </c>
      <c r="CT16" s="45">
        <v>99306.390491731159</v>
      </c>
      <c r="CU16" s="45">
        <v>99341.738260831073</v>
      </c>
      <c r="CV16" s="45">
        <v>99349.949782792828</v>
      </c>
      <c r="CW16" s="45">
        <v>99372.322815019754</v>
      </c>
      <c r="CX16" s="45">
        <v>99413.08891360923</v>
      </c>
      <c r="CY16" s="45">
        <v>99413.99444087813</v>
      </c>
      <c r="CZ16" s="45">
        <v>99415.632953771914</v>
      </c>
      <c r="DA16" s="45">
        <v>99419.291582882375</v>
      </c>
      <c r="DB16" s="45">
        <v>99446.1067690864</v>
      </c>
      <c r="DC16" s="45">
        <v>99462.859475076286</v>
      </c>
      <c r="DD16" s="45">
        <v>99470.471092650056</v>
      </c>
      <c r="DE16" s="45">
        <v>99476.466380889484</v>
      </c>
      <c r="DF16" s="45">
        <v>99518.185581426369</v>
      </c>
      <c r="DG16" s="45">
        <v>99513.651525812515</v>
      </c>
      <c r="DH16" s="45">
        <v>99523.977336522832</v>
      </c>
      <c r="DI16" s="45">
        <v>99514.333967527811</v>
      </c>
      <c r="DJ16" s="45">
        <v>99544.883199866541</v>
      </c>
      <c r="DK16" s="45">
        <v>99556.232816712087</v>
      </c>
      <c r="DL16" s="45">
        <v>99551.081506158807</v>
      </c>
      <c r="DM16" s="45">
        <v>99549.048936246894</v>
      </c>
      <c r="DN16" s="45">
        <v>99543.727204395691</v>
      </c>
      <c r="DO16" s="45">
        <v>99563.954010382426</v>
      </c>
      <c r="DP16">
        <v>99581.360636413374</v>
      </c>
      <c r="DQ16">
        <v>99581.67960615395</v>
      </c>
      <c r="DR16">
        <v>99597.605192599673</v>
      </c>
      <c r="DS16">
        <v>99600.510441842329</v>
      </c>
      <c r="DT16">
        <v>99617.199749407591</v>
      </c>
      <c r="DU16">
        <v>99633.181113068917</v>
      </c>
    </row>
    <row r="17" spans="1:125">
      <c r="A17" s="42">
        <v>15</v>
      </c>
      <c r="B17" s="45"/>
      <c r="C17" s="45"/>
      <c r="D17" s="45"/>
      <c r="E17" s="45"/>
      <c r="F17" s="45"/>
      <c r="G17" s="45"/>
      <c r="H17" s="45"/>
      <c r="I17" s="45"/>
      <c r="J17" s="45"/>
      <c r="K17" s="45"/>
      <c r="L17" s="45"/>
      <c r="M17" s="45"/>
      <c r="N17" s="45"/>
      <c r="O17" s="45"/>
      <c r="P17" s="45"/>
      <c r="Q17" s="45"/>
      <c r="R17" s="45"/>
      <c r="S17" s="45"/>
      <c r="T17" s="45"/>
      <c r="U17" s="45"/>
      <c r="V17" s="45"/>
      <c r="W17" s="45">
        <v>82207</v>
      </c>
      <c r="X17" s="45">
        <v>82938</v>
      </c>
      <c r="Y17" s="45">
        <v>82989.319589749008</v>
      </c>
      <c r="Z17" s="45">
        <v>85152.575956254033</v>
      </c>
      <c r="AA17" s="45">
        <v>85451.494828914903</v>
      </c>
      <c r="AB17" s="45">
        <v>85977.799436674934</v>
      </c>
      <c r="AC17" s="45">
        <v>86704.257053076813</v>
      </c>
      <c r="AD17" s="45">
        <v>87508.966127501801</v>
      </c>
      <c r="AE17" s="45">
        <v>87255.21950834665</v>
      </c>
      <c r="AF17" s="45">
        <v>88303.290947444009</v>
      </c>
      <c r="AG17" s="45">
        <v>88551.84837100259</v>
      </c>
      <c r="AH17" s="45">
        <v>88741.741696368044</v>
      </c>
      <c r="AI17" s="45">
        <v>88957.286811749014</v>
      </c>
      <c r="AJ17" s="45">
        <v>90120.712430420142</v>
      </c>
      <c r="AK17" s="45">
        <v>90033.60729705228</v>
      </c>
      <c r="AL17" s="45">
        <v>90303.48607335164</v>
      </c>
      <c r="AM17" s="45">
        <v>90538.191723938158</v>
      </c>
      <c r="AN17" s="45">
        <v>90992.157120030024</v>
      </c>
      <c r="AO17" s="45">
        <v>90971.054514302901</v>
      </c>
      <c r="AP17" s="45">
        <v>91067.302515583666</v>
      </c>
      <c r="AQ17" s="45">
        <v>91129.241793699373</v>
      </c>
      <c r="AR17" s="45">
        <v>91165.630926120037</v>
      </c>
      <c r="AS17" s="45">
        <v>90574.587240799883</v>
      </c>
      <c r="AT17" s="45">
        <v>89795.410800954502</v>
      </c>
      <c r="AU17" s="45">
        <v>88527.774559416415</v>
      </c>
      <c r="AV17" s="45">
        <v>88907.42513850554</v>
      </c>
      <c r="AW17" s="45">
        <v>89211.522103275172</v>
      </c>
      <c r="AX17" s="45">
        <v>91384.616199667973</v>
      </c>
      <c r="AY17" s="45">
        <v>93194.869634719988</v>
      </c>
      <c r="AZ17" s="45">
        <v>93260.759175649437</v>
      </c>
      <c r="BA17" s="45">
        <v>93326.607248239307</v>
      </c>
      <c r="BB17" s="45">
        <v>93978.930449426902</v>
      </c>
      <c r="BC17" s="45">
        <v>94227.171375439124</v>
      </c>
      <c r="BD17" s="45">
        <v>94599.875944745989</v>
      </c>
      <c r="BE17" s="45">
        <v>94686.942425494548</v>
      </c>
      <c r="BF17" s="45">
        <v>95022.712614751319</v>
      </c>
      <c r="BG17" s="45">
        <v>95115.261610066576</v>
      </c>
      <c r="BH17" s="45">
        <v>95351.263027006527</v>
      </c>
      <c r="BI17" s="45">
        <v>95523.84992967124</v>
      </c>
      <c r="BJ17" s="45">
        <v>95658.905634974828</v>
      </c>
      <c r="BK17" s="45">
        <v>95941.198294061833</v>
      </c>
      <c r="BL17" s="45">
        <v>96215.876826862499</v>
      </c>
      <c r="BM17" s="45">
        <v>96436.982808068322</v>
      </c>
      <c r="BN17" s="45">
        <v>96683.912966021802</v>
      </c>
      <c r="BO17" s="45">
        <v>96855.453399008053</v>
      </c>
      <c r="BP17" s="45">
        <v>96948.467205965251</v>
      </c>
      <c r="BQ17" s="45">
        <v>97038.333934591792</v>
      </c>
      <c r="BR17" s="45">
        <v>97109.46589356169</v>
      </c>
      <c r="BS17" s="45">
        <v>97080.231130076601</v>
      </c>
      <c r="BT17" s="45">
        <v>97140.423956620012</v>
      </c>
      <c r="BU17" s="45">
        <v>97221.028534915153</v>
      </c>
      <c r="BV17" s="45">
        <v>97313.742758052234</v>
      </c>
      <c r="BW17" s="45">
        <v>97367.918233656965</v>
      </c>
      <c r="BX17" s="45">
        <v>97485.128583440339</v>
      </c>
      <c r="BY17" s="45">
        <v>97624.708703087323</v>
      </c>
      <c r="BZ17" s="45">
        <v>97879.189568731614</v>
      </c>
      <c r="CA17" s="45">
        <v>98071.398217806389</v>
      </c>
      <c r="CB17" s="45">
        <v>98139.710247905692</v>
      </c>
      <c r="CC17" s="45">
        <v>98258.048826826154</v>
      </c>
      <c r="CD17" s="45">
        <v>98353.700487346126</v>
      </c>
      <c r="CE17" s="45">
        <v>98420.907527297677</v>
      </c>
      <c r="CF17" s="45">
        <v>98537.269637042089</v>
      </c>
      <c r="CG17" s="45">
        <v>98624.883538295559</v>
      </c>
      <c r="CH17" s="45">
        <v>98687.323407325021</v>
      </c>
      <c r="CI17" s="45">
        <v>98768.741896303662</v>
      </c>
      <c r="CJ17" s="45">
        <v>98806.383139986254</v>
      </c>
      <c r="CK17" s="45">
        <v>98857.182352832373</v>
      </c>
      <c r="CL17" s="45">
        <v>98949.504451504225</v>
      </c>
      <c r="CM17" s="45">
        <v>98972.730955945153</v>
      </c>
      <c r="CN17" s="45">
        <v>99037.301838876621</v>
      </c>
      <c r="CO17" s="45">
        <v>99103.127148947518</v>
      </c>
      <c r="CP17" s="45">
        <v>99149.135140043334</v>
      </c>
      <c r="CQ17" s="45">
        <v>99211.992965184676</v>
      </c>
      <c r="CR17" s="45">
        <v>99231.012072843092</v>
      </c>
      <c r="CS17" s="45">
        <v>99276.052865879901</v>
      </c>
      <c r="CT17" s="45">
        <v>99293.298103513371</v>
      </c>
      <c r="CU17" s="45">
        <v>99331.440571343235</v>
      </c>
      <c r="CV17" s="45">
        <v>99339.823982260146</v>
      </c>
      <c r="CW17" s="45">
        <v>99361.381026768853</v>
      </c>
      <c r="CX17" s="45">
        <v>99400.823818091798</v>
      </c>
      <c r="CY17" s="45">
        <v>99403.707598556866</v>
      </c>
      <c r="CZ17" s="45">
        <v>99404.888974150032</v>
      </c>
      <c r="DA17" s="45">
        <v>99407.391134571255</v>
      </c>
      <c r="DB17" s="45">
        <v>99435.316132960405</v>
      </c>
      <c r="DC17" s="45">
        <v>99452.655149511891</v>
      </c>
      <c r="DD17" s="45">
        <v>99457.930024266199</v>
      </c>
      <c r="DE17" s="45">
        <v>99466.061498786017</v>
      </c>
      <c r="DF17" s="45">
        <v>99506.604535910155</v>
      </c>
      <c r="DG17" s="45">
        <v>99502.470513704902</v>
      </c>
      <c r="DH17" s="45">
        <v>99513.181209603048</v>
      </c>
      <c r="DI17" s="45">
        <v>99503.911290427495</v>
      </c>
      <c r="DJ17" s="45">
        <v>99534.816983384138</v>
      </c>
      <c r="DK17" s="45">
        <v>99546.51290824762</v>
      </c>
      <c r="DL17" s="45">
        <v>99541.697493413521</v>
      </c>
      <c r="DM17" s="45">
        <v>99539.988674562614</v>
      </c>
      <c r="DN17" s="45">
        <v>99534.980018460599</v>
      </c>
      <c r="DO17" s="45">
        <v>99555.506779393691</v>
      </c>
      <c r="DP17">
        <v>99573.203351097967</v>
      </c>
      <c r="DQ17">
        <v>99573.803593392178</v>
      </c>
      <c r="DR17">
        <v>99589.999423755682</v>
      </c>
      <c r="DS17">
        <v>99593.165413750248</v>
      </c>
      <c r="DT17">
        <v>99610.105459992061</v>
      </c>
      <c r="DU17">
        <v>99626.32905277182</v>
      </c>
    </row>
    <row r="18" spans="1:125">
      <c r="A18" s="42">
        <v>16</v>
      </c>
      <c r="B18" s="45"/>
      <c r="C18" s="45"/>
      <c r="D18" s="45"/>
      <c r="E18" s="45"/>
      <c r="F18" s="45"/>
      <c r="G18" s="45"/>
      <c r="H18" s="45"/>
      <c r="I18" s="45"/>
      <c r="J18" s="45"/>
      <c r="K18" s="45"/>
      <c r="L18" s="45"/>
      <c r="M18" s="45"/>
      <c r="N18" s="45"/>
      <c r="O18" s="45"/>
      <c r="P18" s="45"/>
      <c r="Q18" s="45"/>
      <c r="R18" s="45"/>
      <c r="S18" s="45"/>
      <c r="T18" s="45"/>
      <c r="U18" s="45"/>
      <c r="V18" s="45"/>
      <c r="W18" s="45">
        <v>82067.5</v>
      </c>
      <c r="X18" s="45">
        <v>82800.5</v>
      </c>
      <c r="Y18" s="45">
        <v>82858.557040454893</v>
      </c>
      <c r="Z18" s="45">
        <v>85010.96565425364</v>
      </c>
      <c r="AA18" s="45">
        <v>85309.399219130108</v>
      </c>
      <c r="AB18" s="45">
        <v>85834.816414672037</v>
      </c>
      <c r="AC18" s="45">
        <v>86560.067730662995</v>
      </c>
      <c r="AD18" s="45">
        <v>87348.869639515877</v>
      </c>
      <c r="AE18" s="45">
        <v>87073.832334721956</v>
      </c>
      <c r="AF18" s="45">
        <v>88076.533145714609</v>
      </c>
      <c r="AG18" s="45">
        <v>88414.393225165782</v>
      </c>
      <c r="AH18" s="45">
        <v>88603.963316821901</v>
      </c>
      <c r="AI18" s="45">
        <v>88852.803172523971</v>
      </c>
      <c r="AJ18" s="45">
        <v>90043.395210123839</v>
      </c>
      <c r="AK18" s="45">
        <v>89956.373509938247</v>
      </c>
      <c r="AL18" s="45">
        <v>90226.019566897114</v>
      </c>
      <c r="AM18" s="45">
        <v>90474.764013193577</v>
      </c>
      <c r="AN18" s="45">
        <v>90934.655085434206</v>
      </c>
      <c r="AO18" s="45">
        <v>90911.005702469149</v>
      </c>
      <c r="AP18" s="45">
        <v>91009.15702141542</v>
      </c>
      <c r="AQ18" s="45">
        <v>91068.840600497642</v>
      </c>
      <c r="AR18" s="45">
        <v>91108.233634021162</v>
      </c>
      <c r="AS18" s="45">
        <v>90520.165907663453</v>
      </c>
      <c r="AT18" s="45">
        <v>89744.258231550572</v>
      </c>
      <c r="AU18" s="45">
        <v>88480.433937844369</v>
      </c>
      <c r="AV18" s="45">
        <v>88857.155666355902</v>
      </c>
      <c r="AW18" s="45">
        <v>89163.245723757835</v>
      </c>
      <c r="AX18" s="45">
        <v>91335.910498073994</v>
      </c>
      <c r="AY18" s="45">
        <v>93147.157044084684</v>
      </c>
      <c r="AZ18" s="45">
        <v>93212.327616416092</v>
      </c>
      <c r="BA18" s="45">
        <v>93278.647577209209</v>
      </c>
      <c r="BB18" s="45">
        <v>93929.606260910557</v>
      </c>
      <c r="BC18" s="45">
        <v>94176.2259654339</v>
      </c>
      <c r="BD18" s="45">
        <v>94546.90847169375</v>
      </c>
      <c r="BE18" s="45">
        <v>94630.063685347879</v>
      </c>
      <c r="BF18" s="45">
        <v>94968.800110811862</v>
      </c>
      <c r="BG18" s="45">
        <v>95062.356863999623</v>
      </c>
      <c r="BH18" s="45">
        <v>95302.423266141763</v>
      </c>
      <c r="BI18" s="45">
        <v>95473.268012003085</v>
      </c>
      <c r="BJ18" s="45">
        <v>95607.596696917171</v>
      </c>
      <c r="BK18" s="45">
        <v>95888.726257588642</v>
      </c>
      <c r="BL18" s="45">
        <v>96163.449114630057</v>
      </c>
      <c r="BM18" s="45">
        <v>96389.623517266125</v>
      </c>
      <c r="BN18" s="45">
        <v>96637.903375328111</v>
      </c>
      <c r="BO18" s="45">
        <v>96810.839185124001</v>
      </c>
      <c r="BP18" s="45">
        <v>96904.736763382622</v>
      </c>
      <c r="BQ18" s="45">
        <v>97000.630163076377</v>
      </c>
      <c r="BR18" s="45">
        <v>97071.286704191501</v>
      </c>
      <c r="BS18" s="45">
        <v>97046.986261241749</v>
      </c>
      <c r="BT18" s="45">
        <v>97107.174980072654</v>
      </c>
      <c r="BU18" s="45">
        <v>97188.836734078373</v>
      </c>
      <c r="BV18" s="45">
        <v>97281.755673329841</v>
      </c>
      <c r="BW18" s="45">
        <v>97338.759257878672</v>
      </c>
      <c r="BX18" s="45">
        <v>97456.522351412161</v>
      </c>
      <c r="BY18" s="45">
        <v>97593.449406983331</v>
      </c>
      <c r="BZ18" s="45">
        <v>97853.305752952292</v>
      </c>
      <c r="CA18" s="45">
        <v>98042.865004233754</v>
      </c>
      <c r="CB18" s="45">
        <v>98111.939619752142</v>
      </c>
      <c r="CC18" s="45">
        <v>98229.609817857068</v>
      </c>
      <c r="CD18" s="45">
        <v>98323.83111659206</v>
      </c>
      <c r="CE18" s="45">
        <v>98398.377807646524</v>
      </c>
      <c r="CF18" s="45">
        <v>98513.532640593592</v>
      </c>
      <c r="CG18" s="45">
        <v>98599.973952704866</v>
      </c>
      <c r="CH18" s="45">
        <v>98665.788866326329</v>
      </c>
      <c r="CI18" s="45">
        <v>98749.577122543415</v>
      </c>
      <c r="CJ18" s="45">
        <v>98785.133758846598</v>
      </c>
      <c r="CK18" s="45">
        <v>98836.809835162654</v>
      </c>
      <c r="CL18" s="45">
        <v>98928.347808244318</v>
      </c>
      <c r="CM18" s="45">
        <v>98954.234064473654</v>
      </c>
      <c r="CN18" s="45">
        <v>99021.027420805302</v>
      </c>
      <c r="CO18" s="45">
        <v>99087.836784007479</v>
      </c>
      <c r="CP18" s="45">
        <v>99132.15856279619</v>
      </c>
      <c r="CQ18" s="45">
        <v>99194.377535629072</v>
      </c>
      <c r="CR18" s="45">
        <v>99212.892665759486</v>
      </c>
      <c r="CS18" s="45">
        <v>99261.611867437663</v>
      </c>
      <c r="CT18" s="45">
        <v>99282.709125064997</v>
      </c>
      <c r="CU18" s="45">
        <v>99315.969815820936</v>
      </c>
      <c r="CV18" s="45">
        <v>99325.169954440251</v>
      </c>
      <c r="CW18" s="45">
        <v>99348.525746204745</v>
      </c>
      <c r="CX18" s="45">
        <v>99386.80698046257</v>
      </c>
      <c r="CY18" s="45">
        <v>99389.865763497233</v>
      </c>
      <c r="CZ18" s="45">
        <v>99391.366299434158</v>
      </c>
      <c r="DA18" s="45">
        <v>99391.99240726298</v>
      </c>
      <c r="DB18" s="45">
        <v>99422.914491420117</v>
      </c>
      <c r="DC18" s="45">
        <v>99440.819773231473</v>
      </c>
      <c r="DD18" s="45">
        <v>99442.591341220075</v>
      </c>
      <c r="DE18" s="45">
        <v>99451.925723140739</v>
      </c>
      <c r="DF18" s="45">
        <v>99492.943800280467</v>
      </c>
      <c r="DG18" s="45">
        <v>99489.274289378824</v>
      </c>
      <c r="DH18" s="45">
        <v>99500.43221102799</v>
      </c>
      <c r="DI18" s="45">
        <v>99491.596450267461</v>
      </c>
      <c r="DJ18" s="45">
        <v>99522.916714252176</v>
      </c>
      <c r="DK18" s="45">
        <v>99535.01571903631</v>
      </c>
      <c r="DL18" s="45">
        <v>99530.591508200232</v>
      </c>
      <c r="DM18" s="45">
        <v>99529.259892093454</v>
      </c>
      <c r="DN18" s="45">
        <v>99524.616279416194</v>
      </c>
      <c r="DO18" s="45">
        <v>99545.492909000459</v>
      </c>
      <c r="DP18">
        <v>99563.527890560566</v>
      </c>
      <c r="DQ18">
        <v>99564.456615246163</v>
      </c>
      <c r="DR18">
        <v>99580.966144113278</v>
      </c>
      <c r="DS18">
        <v>99584.436720407481</v>
      </c>
      <c r="DT18">
        <v>99601.669793104287</v>
      </c>
      <c r="DU18">
        <v>99618.176635797921</v>
      </c>
    </row>
    <row r="19" spans="1:125">
      <c r="A19" s="42">
        <v>17</v>
      </c>
      <c r="B19" s="45"/>
      <c r="C19" s="45"/>
      <c r="D19" s="45"/>
      <c r="E19" s="45"/>
      <c r="F19" s="45"/>
      <c r="G19" s="45"/>
      <c r="H19" s="45"/>
      <c r="I19" s="45"/>
      <c r="J19" s="45"/>
      <c r="K19" s="45"/>
      <c r="L19" s="45"/>
      <c r="M19" s="45"/>
      <c r="N19" s="45"/>
      <c r="O19" s="45"/>
      <c r="P19" s="45"/>
      <c r="Q19" s="45"/>
      <c r="R19" s="45"/>
      <c r="S19" s="45"/>
      <c r="T19" s="45"/>
      <c r="U19" s="45"/>
      <c r="V19" s="45"/>
      <c r="W19" s="45">
        <v>81912.5</v>
      </c>
      <c r="X19" s="45">
        <v>82651</v>
      </c>
      <c r="Y19" s="45">
        <v>82701.73096841498</v>
      </c>
      <c r="Z19" s="45">
        <v>84849.981547982665</v>
      </c>
      <c r="AA19" s="45">
        <v>85147.869684813661</v>
      </c>
      <c r="AB19" s="45">
        <v>85672.271595151833</v>
      </c>
      <c r="AC19" s="45">
        <v>86379.76102041456</v>
      </c>
      <c r="AD19" s="45">
        <v>87142.078741272795</v>
      </c>
      <c r="AE19" s="45">
        <v>86813.079086246085</v>
      </c>
      <c r="AF19" s="45">
        <v>87915.231146196908</v>
      </c>
      <c r="AG19" s="45">
        <v>88252.479826385999</v>
      </c>
      <c r="AH19" s="45">
        <v>88481.223195364495</v>
      </c>
      <c r="AI19" s="45">
        <v>88765.944116479746</v>
      </c>
      <c r="AJ19" s="45">
        <v>89955.363073746237</v>
      </c>
      <c r="AK19" s="45">
        <v>89868.436113288801</v>
      </c>
      <c r="AL19" s="45">
        <v>90150.385603861592</v>
      </c>
      <c r="AM19" s="45">
        <v>90404.863817421123</v>
      </c>
      <c r="AN19" s="45">
        <v>90867.578975934739</v>
      </c>
      <c r="AO19" s="45">
        <v>90846.308069242004</v>
      </c>
      <c r="AP19" s="45">
        <v>90944.215573878275</v>
      </c>
      <c r="AQ19" s="45">
        <v>90998.641881484466</v>
      </c>
      <c r="AR19" s="45">
        <v>91042.852000531246</v>
      </c>
      <c r="AS19" s="45">
        <v>90452.390327713423</v>
      </c>
      <c r="AT19" s="45">
        <v>89679.177591682237</v>
      </c>
      <c r="AU19" s="45">
        <v>88419.216619187704</v>
      </c>
      <c r="AV19" s="45">
        <v>88792.754950003859</v>
      </c>
      <c r="AW19" s="45">
        <v>89099.623984643389</v>
      </c>
      <c r="AX19" s="45">
        <v>91269.171981996071</v>
      </c>
      <c r="AY19" s="45">
        <v>93079.207600941285</v>
      </c>
      <c r="AZ19" s="45">
        <v>93140.081839331629</v>
      </c>
      <c r="BA19" s="45">
        <v>93203.088039515715</v>
      </c>
      <c r="BB19" s="45">
        <v>93860.260853403859</v>
      </c>
      <c r="BC19" s="45">
        <v>94096.314591094691</v>
      </c>
      <c r="BD19" s="45">
        <v>94467.265193274419</v>
      </c>
      <c r="BE19" s="45">
        <v>94544.531496416734</v>
      </c>
      <c r="BF19" s="45">
        <v>94887.319255775132</v>
      </c>
      <c r="BG19" s="45">
        <v>94986.486085384589</v>
      </c>
      <c r="BH19" s="45">
        <v>95223.216638614031</v>
      </c>
      <c r="BI19" s="45">
        <v>95396.197677918943</v>
      </c>
      <c r="BJ19" s="45">
        <v>95529.542402827763</v>
      </c>
      <c r="BK19" s="45">
        <v>95810.523785801692</v>
      </c>
      <c r="BL19" s="45">
        <v>96093.540391741582</v>
      </c>
      <c r="BM19" s="45">
        <v>96318.969150867153</v>
      </c>
      <c r="BN19" s="45">
        <v>96572.593369220544</v>
      </c>
      <c r="BO19" s="45">
        <v>96751.906705131463</v>
      </c>
      <c r="BP19" s="45">
        <v>96844.713801424601</v>
      </c>
      <c r="BQ19" s="45">
        <v>96943.627961840306</v>
      </c>
      <c r="BR19" s="45">
        <v>97021.668410929764</v>
      </c>
      <c r="BS19" s="45">
        <v>97002.99236232361</v>
      </c>
      <c r="BT19" s="45">
        <v>97061.217590395419</v>
      </c>
      <c r="BU19" s="45">
        <v>97147.173914103303</v>
      </c>
      <c r="BV19" s="45">
        <v>97240.199161062788</v>
      </c>
      <c r="BW19" s="45">
        <v>97300.959560162679</v>
      </c>
      <c r="BX19" s="45">
        <v>97416.507064222649</v>
      </c>
      <c r="BY19" s="45">
        <v>97550.936755345494</v>
      </c>
      <c r="BZ19" s="45">
        <v>97816.306993822014</v>
      </c>
      <c r="CA19" s="45">
        <v>98000.802604049881</v>
      </c>
      <c r="CB19" s="45">
        <v>98072.146993713337</v>
      </c>
      <c r="CC19" s="45">
        <v>98190.178129780863</v>
      </c>
      <c r="CD19" s="45">
        <v>98284.114331789213</v>
      </c>
      <c r="CE19" s="45">
        <v>98361.92435762813</v>
      </c>
      <c r="CF19" s="45">
        <v>98482.80514478551</v>
      </c>
      <c r="CG19" s="45">
        <v>98568.169923095906</v>
      </c>
      <c r="CH19" s="45">
        <v>98634.136315844313</v>
      </c>
      <c r="CI19" s="45">
        <v>98717.103889468039</v>
      </c>
      <c r="CJ19" s="45">
        <v>98755.318548756026</v>
      </c>
      <c r="CK19" s="45">
        <v>98809.235574089122</v>
      </c>
      <c r="CL19" s="45">
        <v>98903.723401252588</v>
      </c>
      <c r="CM19" s="45">
        <v>98931.756699081277</v>
      </c>
      <c r="CN19" s="45">
        <v>98996.622187538582</v>
      </c>
      <c r="CO19" s="45">
        <v>99065.144625479705</v>
      </c>
      <c r="CP19" s="45">
        <v>99110.779808152758</v>
      </c>
      <c r="CQ19" s="45">
        <v>99174.772566507731</v>
      </c>
      <c r="CR19" s="45">
        <v>99191.202145447154</v>
      </c>
      <c r="CS19" s="45">
        <v>99244.212296255224</v>
      </c>
      <c r="CT19" s="45">
        <v>99264.177599986317</v>
      </c>
      <c r="CU19" s="45">
        <v>99295.017914684053</v>
      </c>
      <c r="CV19" s="45">
        <v>99305.723996773741</v>
      </c>
      <c r="CW19" s="45">
        <v>99327.822322698237</v>
      </c>
      <c r="CX19" s="45">
        <v>99367.706969457591</v>
      </c>
      <c r="CY19" s="45">
        <v>99369.551840536034</v>
      </c>
      <c r="CZ19" s="45">
        <v>99374.348347229286</v>
      </c>
      <c r="DA19" s="45">
        <v>99374.580712221359</v>
      </c>
      <c r="DB19" s="45">
        <v>99406.347406910296</v>
      </c>
      <c r="DC19" s="45">
        <v>99420.838265427854</v>
      </c>
      <c r="DD19" s="45">
        <v>99425.340814312629</v>
      </c>
      <c r="DE19" s="45">
        <v>99435.251217759505</v>
      </c>
      <c r="DF19" s="45">
        <v>99476.820918324825</v>
      </c>
      <c r="DG19" s="45">
        <v>99473.69109076864</v>
      </c>
      <c r="DH19" s="45">
        <v>99485.368993734548</v>
      </c>
      <c r="DI19" s="45">
        <v>99477.038247898992</v>
      </c>
      <c r="DJ19" s="45">
        <v>99508.840929996761</v>
      </c>
      <c r="DK19" s="45">
        <v>99521.40936713983</v>
      </c>
      <c r="DL19" s="45">
        <v>99517.4410350002</v>
      </c>
      <c r="DM19" s="45">
        <v>99516.549119331743</v>
      </c>
      <c r="DN19" s="45">
        <v>99512.331380739051</v>
      </c>
      <c r="DO19" s="45">
        <v>99533.61630879929</v>
      </c>
      <c r="DP19">
        <v>99552.046473548777</v>
      </c>
      <c r="DQ19">
        <v>99553.355974047066</v>
      </c>
      <c r="DR19">
        <v>99570.231715310714</v>
      </c>
      <c r="DS19">
        <v>99574.058196100174</v>
      </c>
      <c r="DT19">
        <v>99591.633799795687</v>
      </c>
      <c r="DU19">
        <v>99608.47194219142</v>
      </c>
    </row>
    <row r="20" spans="1:125">
      <c r="A20" s="42">
        <v>18</v>
      </c>
      <c r="B20" s="45"/>
      <c r="C20" s="45"/>
      <c r="D20" s="45"/>
      <c r="E20" s="45"/>
      <c r="F20" s="45"/>
      <c r="G20" s="45"/>
      <c r="H20" s="45"/>
      <c r="I20" s="45"/>
      <c r="J20" s="45"/>
      <c r="K20" s="45"/>
      <c r="L20" s="45"/>
      <c r="M20" s="45"/>
      <c r="N20" s="45"/>
      <c r="O20" s="45"/>
      <c r="P20" s="45"/>
      <c r="Q20" s="45"/>
      <c r="R20" s="45"/>
      <c r="S20" s="45"/>
      <c r="T20" s="45"/>
      <c r="U20" s="45"/>
      <c r="V20" s="45"/>
      <c r="W20" s="45">
        <v>81757.5</v>
      </c>
      <c r="X20" s="45">
        <v>82490.5</v>
      </c>
      <c r="Y20" s="45">
        <v>82541.12491833925</v>
      </c>
      <c r="Z20" s="45">
        <v>84685.126440687862</v>
      </c>
      <c r="AA20" s="45">
        <v>84982.453881463647</v>
      </c>
      <c r="AB20" s="45">
        <v>85489.17298286999</v>
      </c>
      <c r="AC20" s="45">
        <v>86169.981096288044</v>
      </c>
      <c r="AD20" s="45">
        <v>86837.293582938219</v>
      </c>
      <c r="AE20" s="45">
        <v>86628.21074146335</v>
      </c>
      <c r="AF20" s="45">
        <v>87727.959770444373</v>
      </c>
      <c r="AG20" s="45">
        <v>88111.743283991236</v>
      </c>
      <c r="AH20" s="45">
        <v>88383.267135682894</v>
      </c>
      <c r="AI20" s="45">
        <v>88667.688959535124</v>
      </c>
      <c r="AJ20" s="45">
        <v>89855.779853835644</v>
      </c>
      <c r="AK20" s="45">
        <v>89782.504066681897</v>
      </c>
      <c r="AL20" s="45">
        <v>90070.257345162667</v>
      </c>
      <c r="AM20" s="45">
        <v>90331.520680892761</v>
      </c>
      <c r="AN20" s="45">
        <v>90789.95630041667</v>
      </c>
      <c r="AO20" s="45">
        <v>90773.156048268662</v>
      </c>
      <c r="AP20" s="45">
        <v>90869.627721308614</v>
      </c>
      <c r="AQ20" s="45">
        <v>90923.42788493415</v>
      </c>
      <c r="AR20" s="45">
        <v>90969.642428429681</v>
      </c>
      <c r="AS20" s="45">
        <v>90377.598129186546</v>
      </c>
      <c r="AT20" s="45">
        <v>89602.353252255634</v>
      </c>
      <c r="AU20" s="45">
        <v>88351.480180633458</v>
      </c>
      <c r="AV20" s="45">
        <v>88712.701156651368</v>
      </c>
      <c r="AW20" s="45">
        <v>89029.76973138559</v>
      </c>
      <c r="AX20" s="45">
        <v>91191.334654198319</v>
      </c>
      <c r="AY20" s="45">
        <v>92996.046358871274</v>
      </c>
      <c r="AZ20" s="45">
        <v>93057.725247040202</v>
      </c>
      <c r="BA20" s="45">
        <v>93115.147176071041</v>
      </c>
      <c r="BB20" s="45">
        <v>93768.04361029109</v>
      </c>
      <c r="BC20" s="45">
        <v>94004.142861402273</v>
      </c>
      <c r="BD20" s="45">
        <v>94372.964820297784</v>
      </c>
      <c r="BE20" s="45">
        <v>94452.082092498254</v>
      </c>
      <c r="BF20" s="45">
        <v>94804.033225156483</v>
      </c>
      <c r="BG20" s="45">
        <v>94898.97884692048</v>
      </c>
      <c r="BH20" s="45">
        <v>95131.460870343552</v>
      </c>
      <c r="BI20" s="45">
        <v>95304.125251346035</v>
      </c>
      <c r="BJ20" s="45">
        <v>95442.387070773329</v>
      </c>
      <c r="BK20" s="45">
        <v>95731.059579878012</v>
      </c>
      <c r="BL20" s="45">
        <v>96013.444523299026</v>
      </c>
      <c r="BM20" s="45">
        <v>96241.967838770477</v>
      </c>
      <c r="BN20" s="45">
        <v>96496.348629071421</v>
      </c>
      <c r="BO20" s="45">
        <v>96680.57025573554</v>
      </c>
      <c r="BP20" s="45">
        <v>96779.984947162127</v>
      </c>
      <c r="BQ20" s="45">
        <v>96883.214211556609</v>
      </c>
      <c r="BR20" s="45">
        <v>96964.340763567714</v>
      </c>
      <c r="BS20" s="45">
        <v>96949.522822666419</v>
      </c>
      <c r="BT20" s="45">
        <v>97010.212456905603</v>
      </c>
      <c r="BU20" s="45">
        <v>97097.288738494419</v>
      </c>
      <c r="BV20" s="45">
        <v>97191.988594402821</v>
      </c>
      <c r="BW20" s="45">
        <v>97250.475421233408</v>
      </c>
      <c r="BX20" s="45">
        <v>97364.206951684348</v>
      </c>
      <c r="BY20" s="45">
        <v>97501.640303838329</v>
      </c>
      <c r="BZ20" s="45">
        <v>97771.735120235593</v>
      </c>
      <c r="CA20" s="45">
        <v>97952.575755157479</v>
      </c>
      <c r="CB20" s="45">
        <v>98024.295535353172</v>
      </c>
      <c r="CC20" s="45">
        <v>98148.421150978582</v>
      </c>
      <c r="CD20" s="45">
        <v>98241.359486489411</v>
      </c>
      <c r="CE20" s="45">
        <v>98316.255292406655</v>
      </c>
      <c r="CF20" s="45">
        <v>98438.885481826495</v>
      </c>
      <c r="CG20" s="45">
        <v>98532.39715241456</v>
      </c>
      <c r="CH20" s="45">
        <v>98597.534375174757</v>
      </c>
      <c r="CI20" s="45">
        <v>98680.008998362333</v>
      </c>
      <c r="CJ20" s="45">
        <v>98720.195343972067</v>
      </c>
      <c r="CK20" s="45">
        <v>98778.977019877886</v>
      </c>
      <c r="CL20" s="45">
        <v>98874.987981213606</v>
      </c>
      <c r="CM20" s="45">
        <v>98904.121086359781</v>
      </c>
      <c r="CN20" s="45">
        <v>98973.342087900819</v>
      </c>
      <c r="CO20" s="45">
        <v>99038.56238365591</v>
      </c>
      <c r="CP20" s="45">
        <v>99085.122998666047</v>
      </c>
      <c r="CQ20" s="45">
        <v>99149.32689363294</v>
      </c>
      <c r="CR20" s="45">
        <v>99166.249672483682</v>
      </c>
      <c r="CS20" s="45">
        <v>99220.042986783898</v>
      </c>
      <c r="CT20" s="45">
        <v>99242.931710496865</v>
      </c>
      <c r="CU20" s="45">
        <v>99274.996234711027</v>
      </c>
      <c r="CV20" s="45">
        <v>99282.952079835435</v>
      </c>
      <c r="CW20" s="45">
        <v>99306.994659442484</v>
      </c>
      <c r="CX20" s="45">
        <v>99348.108493522945</v>
      </c>
      <c r="CY20" s="45">
        <v>99348.637909000856</v>
      </c>
      <c r="CZ20" s="45">
        <v>99356.470689059643</v>
      </c>
      <c r="DA20" s="45">
        <v>99354.045014932984</v>
      </c>
      <c r="DB20" s="45">
        <v>99385.331103433273</v>
      </c>
      <c r="DC20" s="45">
        <v>99400.070677018055</v>
      </c>
      <c r="DD20" s="45">
        <v>99405.256510104053</v>
      </c>
      <c r="DE20" s="45">
        <v>99415.827177342377</v>
      </c>
      <c r="DF20" s="45">
        <v>99458.029431523668</v>
      </c>
      <c r="DG20" s="45">
        <v>99455.518756306177</v>
      </c>
      <c r="DH20" s="45">
        <v>99467.793677696638</v>
      </c>
      <c r="DI20" s="45">
        <v>99460.042995934491</v>
      </c>
      <c r="DJ20" s="45">
        <v>99492.400000038266</v>
      </c>
      <c r="DK20" s="45">
        <v>99505.508303083363</v>
      </c>
      <c r="DL20" s="45">
        <v>99502.064563200591</v>
      </c>
      <c r="DM20" s="45">
        <v>99501.678750072548</v>
      </c>
      <c r="DN20" s="45">
        <v>99497.951627211718</v>
      </c>
      <c r="DO20" s="45">
        <v>99519.707053004095</v>
      </c>
      <c r="DP20">
        <v>99538.588466123299</v>
      </c>
      <c r="DQ20">
        <v>99540.336669766839</v>
      </c>
      <c r="DR20">
        <v>99557.634466417134</v>
      </c>
      <c r="DS20">
        <v>99561.871530464472</v>
      </c>
      <c r="DT20">
        <v>99579.842431437166</v>
      </c>
      <c r="DU20">
        <v>99597.063137463512</v>
      </c>
    </row>
    <row r="21" spans="1:125">
      <c r="A21" s="42">
        <v>19</v>
      </c>
      <c r="B21" s="45"/>
      <c r="C21" s="45"/>
      <c r="D21" s="45"/>
      <c r="E21" s="45"/>
      <c r="F21" s="45"/>
      <c r="G21" s="45"/>
      <c r="H21" s="45"/>
      <c r="I21" s="45"/>
      <c r="J21" s="45"/>
      <c r="K21" s="45"/>
      <c r="L21" s="45"/>
      <c r="M21" s="45"/>
      <c r="N21" s="45"/>
      <c r="O21" s="45"/>
      <c r="P21" s="45"/>
      <c r="Q21" s="45"/>
      <c r="R21" s="45"/>
      <c r="S21" s="45"/>
      <c r="T21" s="45"/>
      <c r="U21" s="45"/>
      <c r="V21" s="45"/>
      <c r="W21" s="45">
        <v>81579.5</v>
      </c>
      <c r="X21" s="45">
        <v>82311.5</v>
      </c>
      <c r="Y21" s="45">
        <v>82361.771626677626</v>
      </c>
      <c r="Z21" s="45">
        <v>84501.028395112255</v>
      </c>
      <c r="AA21" s="45">
        <v>84779.257198769774</v>
      </c>
      <c r="AB21" s="45">
        <v>85256.866215657661</v>
      </c>
      <c r="AC21" s="45">
        <v>85832.806401400157</v>
      </c>
      <c r="AD21" s="45">
        <v>86620.85552418197</v>
      </c>
      <c r="AE21" s="45">
        <v>86412.304938442801</v>
      </c>
      <c r="AF21" s="45">
        <v>87564.150669140043</v>
      </c>
      <c r="AG21" s="45">
        <v>88001.515591249161</v>
      </c>
      <c r="AH21" s="45">
        <v>88272.656878578011</v>
      </c>
      <c r="AI21" s="45">
        <v>88556.741744539671</v>
      </c>
      <c r="AJ21" s="45">
        <v>89759.353908500081</v>
      </c>
      <c r="AK21" s="45">
        <v>89690.868586882629</v>
      </c>
      <c r="AL21" s="45">
        <v>89976.090154531106</v>
      </c>
      <c r="AM21" s="45">
        <v>90239.681141265304</v>
      </c>
      <c r="AN21" s="45">
        <v>90693.63328583652</v>
      </c>
      <c r="AO21" s="45">
        <v>90679.216097197379</v>
      </c>
      <c r="AP21" s="45">
        <v>90778.923625277443</v>
      </c>
      <c r="AQ21" s="45">
        <v>90829.477567407535</v>
      </c>
      <c r="AR21" s="45">
        <v>90876.31612743673</v>
      </c>
      <c r="AS21" s="45">
        <v>90285.398731943045</v>
      </c>
      <c r="AT21" s="45">
        <v>89508.556243764178</v>
      </c>
      <c r="AU21" s="45">
        <v>88263.444054452732</v>
      </c>
      <c r="AV21" s="45">
        <v>88618.803763666307</v>
      </c>
      <c r="AW21" s="45">
        <v>88938.825664134594</v>
      </c>
      <c r="AX21" s="45">
        <v>91092.161790963815</v>
      </c>
      <c r="AY21" s="45">
        <v>92895.796619289627</v>
      </c>
      <c r="AZ21" s="45">
        <v>92957.158258084557</v>
      </c>
      <c r="BA21" s="45">
        <v>92999.628412168851</v>
      </c>
      <c r="BB21" s="45">
        <v>93651.968013973907</v>
      </c>
      <c r="BC21" s="45">
        <v>93884.155583701373</v>
      </c>
      <c r="BD21" s="45">
        <v>94258.263091875851</v>
      </c>
      <c r="BE21" s="45">
        <v>94346.270540776895</v>
      </c>
      <c r="BF21" s="45">
        <v>94693.065608157543</v>
      </c>
      <c r="BG21" s="45">
        <v>94783.72437264098</v>
      </c>
      <c r="BH21" s="45">
        <v>95015.462168610597</v>
      </c>
      <c r="BI21" s="45">
        <v>95190.183085779456</v>
      </c>
      <c r="BJ21" s="45">
        <v>95333.204434842191</v>
      </c>
      <c r="BK21" s="45">
        <v>95627.326000253248</v>
      </c>
      <c r="BL21" s="45">
        <v>95915.288202072508</v>
      </c>
      <c r="BM21" s="45">
        <v>96147.126777356578</v>
      </c>
      <c r="BN21" s="45">
        <v>96402.009808460512</v>
      </c>
      <c r="BO21" s="45">
        <v>96593.367761509668</v>
      </c>
      <c r="BP21" s="45">
        <v>96705.5813297805</v>
      </c>
      <c r="BQ21" s="45">
        <v>96809.849392690259</v>
      </c>
      <c r="BR21" s="45">
        <v>96897.538247093296</v>
      </c>
      <c r="BS21" s="45">
        <v>96878.41257136807</v>
      </c>
      <c r="BT21" s="45">
        <v>96945.361031262844</v>
      </c>
      <c r="BU21" s="45">
        <v>97028.004525635508</v>
      </c>
      <c r="BV21" s="45">
        <v>97119.188407296751</v>
      </c>
      <c r="BW21" s="45">
        <v>97179.235788290767</v>
      </c>
      <c r="BX21" s="45">
        <v>97294.581065868319</v>
      </c>
      <c r="BY21" s="45">
        <v>97430.719470305718</v>
      </c>
      <c r="BZ21" s="45">
        <v>97695.791274294999</v>
      </c>
      <c r="CA21" s="45">
        <v>97878.739335613674</v>
      </c>
      <c r="CB21" s="45">
        <v>97948.62618963205</v>
      </c>
      <c r="CC21" s="45">
        <v>98075.219591945497</v>
      </c>
      <c r="CD21" s="45">
        <v>98176.754453321817</v>
      </c>
      <c r="CE21" s="45">
        <v>98252.350142928597</v>
      </c>
      <c r="CF21" s="45">
        <v>98375.339193485328</v>
      </c>
      <c r="CG21" s="45">
        <v>98472.931555353905</v>
      </c>
      <c r="CH21" s="45">
        <v>98542.099118789221</v>
      </c>
      <c r="CI21" s="45">
        <v>98632.317509521963</v>
      </c>
      <c r="CJ21" s="45">
        <v>98675.941576543672</v>
      </c>
      <c r="CK21" s="45">
        <v>98733.862140789075</v>
      </c>
      <c r="CL21" s="45">
        <v>98834.893286979001</v>
      </c>
      <c r="CM21" s="45">
        <v>98866.750356278004</v>
      </c>
      <c r="CN21" s="45">
        <v>98937.498318711238</v>
      </c>
      <c r="CO21" s="45">
        <v>99001.026180737739</v>
      </c>
      <c r="CP21" s="45">
        <v>99049.284401430312</v>
      </c>
      <c r="CQ21" s="45">
        <v>99114.193510965881</v>
      </c>
      <c r="CR21" s="45">
        <v>99133.827202473272</v>
      </c>
      <c r="CS21" s="45">
        <v>99191.210728093574</v>
      </c>
      <c r="CT21" s="45">
        <v>99215.63610029273</v>
      </c>
      <c r="CU21" s="45">
        <v>99244.961604198936</v>
      </c>
      <c r="CV21" s="45">
        <v>99253.823044187098</v>
      </c>
      <c r="CW21" s="45">
        <v>99277.727121618387</v>
      </c>
      <c r="CX21" s="45">
        <v>99320.092069065897</v>
      </c>
      <c r="CY21" s="45">
        <v>99322.884340652032</v>
      </c>
      <c r="CZ21" s="45">
        <v>99331.692334591251</v>
      </c>
      <c r="DA21" s="45">
        <v>99324.338113379563</v>
      </c>
      <c r="DB21" s="45">
        <v>99360.986375997061</v>
      </c>
      <c r="DC21" s="45">
        <v>99376.513500826448</v>
      </c>
      <c r="DD21" s="45">
        <v>99382.462172841333</v>
      </c>
      <c r="DE21" s="45">
        <v>99393.770508241287</v>
      </c>
      <c r="DF21" s="45">
        <v>99436.679754460289</v>
      </c>
      <c r="DG21" s="45">
        <v>99434.861380654998</v>
      </c>
      <c r="DH21" s="45">
        <v>99447.804415701772</v>
      </c>
      <c r="DI21" s="45">
        <v>99440.703099996084</v>
      </c>
      <c r="DJ21" s="45">
        <v>99473.680889301206</v>
      </c>
      <c r="DK21" s="45">
        <v>99487.394334679877</v>
      </c>
      <c r="DL21" s="45">
        <v>99484.538964748397</v>
      </c>
      <c r="DM21" s="45">
        <v>99484.720894213984</v>
      </c>
      <c r="DN21" s="45">
        <v>99481.544651904682</v>
      </c>
      <c r="DO21" s="45">
        <v>99503.822286316456</v>
      </c>
      <c r="DP21">
        <v>99523.21006272774</v>
      </c>
      <c r="DQ21">
        <v>99525.450845711384</v>
      </c>
      <c r="DR21">
        <v>99543.222658811894</v>
      </c>
      <c r="DS21">
        <v>99547.921343029113</v>
      </c>
      <c r="DT21">
        <v>99566.336824517435</v>
      </c>
      <c r="DU21">
        <v>99583.988046956423</v>
      </c>
    </row>
    <row r="22" spans="1:125">
      <c r="A22" s="42">
        <v>20</v>
      </c>
      <c r="B22" s="45"/>
      <c r="C22" s="45"/>
      <c r="D22" s="45"/>
      <c r="E22" s="45"/>
      <c r="F22" s="45"/>
      <c r="G22" s="45"/>
      <c r="H22" s="45"/>
      <c r="I22" s="45"/>
      <c r="J22" s="45"/>
      <c r="K22" s="45"/>
      <c r="L22" s="45"/>
      <c r="M22" s="45"/>
      <c r="N22" s="45"/>
      <c r="O22" s="45"/>
      <c r="P22" s="45"/>
      <c r="Q22" s="45"/>
      <c r="R22" s="45"/>
      <c r="S22" s="45"/>
      <c r="T22" s="45"/>
      <c r="U22" s="45"/>
      <c r="V22" s="45"/>
      <c r="W22" s="45">
        <v>81388</v>
      </c>
      <c r="X22" s="45">
        <v>82118</v>
      </c>
      <c r="Y22" s="45">
        <v>82168.200093913532</v>
      </c>
      <c r="Z22" s="45">
        <v>84282.464490049344</v>
      </c>
      <c r="AA22" s="45">
        <v>84530.100977383729</v>
      </c>
      <c r="AB22" s="45">
        <v>84896.02472566544</v>
      </c>
      <c r="AC22" s="45">
        <v>85581.035979098029</v>
      </c>
      <c r="AD22" s="45">
        <v>86366.731518148968</v>
      </c>
      <c r="AE22" s="45">
        <v>86222.352420457959</v>
      </c>
      <c r="AF22" s="45">
        <v>87442.402064815105</v>
      </c>
      <c r="AG22" s="45">
        <v>87879.162030007894</v>
      </c>
      <c r="AH22" s="45">
        <v>88149.877691661939</v>
      </c>
      <c r="AI22" s="45">
        <v>88445.534401865298</v>
      </c>
      <c r="AJ22" s="45">
        <v>89651.652294050858</v>
      </c>
      <c r="AK22" s="45">
        <v>89591.963022046519</v>
      </c>
      <c r="AL22" s="45">
        <v>89871.882857371136</v>
      </c>
      <c r="AM22" s="45">
        <v>90130.425019103248</v>
      </c>
      <c r="AN22" s="45">
        <v>90584.946193008422</v>
      </c>
      <c r="AO22" s="45">
        <v>90574.176900950406</v>
      </c>
      <c r="AP22" s="45">
        <v>90670.774211890501</v>
      </c>
      <c r="AQ22" s="45">
        <v>90723.441562892083</v>
      </c>
      <c r="AR22" s="45">
        <v>90770.123679443597</v>
      </c>
      <c r="AS22" s="45">
        <v>90181.478813578433</v>
      </c>
      <c r="AT22" s="45">
        <v>89411.245438226557</v>
      </c>
      <c r="AU22" s="45">
        <v>88161.528480473047</v>
      </c>
      <c r="AV22" s="45">
        <v>88514.275084190449</v>
      </c>
      <c r="AW22" s="45">
        <v>88840.078832475658</v>
      </c>
      <c r="AX22" s="45">
        <v>90992.391065110191</v>
      </c>
      <c r="AY22" s="45">
        <v>92795.570829198507</v>
      </c>
      <c r="AZ22" s="45">
        <v>92846.151997326539</v>
      </c>
      <c r="BA22" s="45">
        <v>92880.259610116191</v>
      </c>
      <c r="BB22" s="45">
        <v>93532.223575894866</v>
      </c>
      <c r="BC22" s="45">
        <v>93765.79131107268</v>
      </c>
      <c r="BD22" s="45">
        <v>94152.952412931219</v>
      </c>
      <c r="BE22" s="45">
        <v>94232.913255157269</v>
      </c>
      <c r="BF22" s="45">
        <v>94579.755239448248</v>
      </c>
      <c r="BG22" s="45">
        <v>94670.657357197342</v>
      </c>
      <c r="BH22" s="45">
        <v>94899.984018650517</v>
      </c>
      <c r="BI22" s="45">
        <v>95080.569373804072</v>
      </c>
      <c r="BJ22" s="45">
        <v>95230.983517556568</v>
      </c>
      <c r="BK22" s="45">
        <v>95523.505207343638</v>
      </c>
      <c r="BL22" s="45">
        <v>95813.636375432921</v>
      </c>
      <c r="BM22" s="45">
        <v>96054.070569123898</v>
      </c>
      <c r="BN22" s="45">
        <v>96308.496645614097</v>
      </c>
      <c r="BO22" s="45">
        <v>96516.51620175202</v>
      </c>
      <c r="BP22" s="45">
        <v>96632.828167353669</v>
      </c>
      <c r="BQ22" s="45">
        <v>96735.487190243832</v>
      </c>
      <c r="BR22" s="45">
        <v>96825.283745845605</v>
      </c>
      <c r="BS22" s="45">
        <v>96812.7372930618</v>
      </c>
      <c r="BT22" s="45">
        <v>96878.406290086888</v>
      </c>
      <c r="BU22" s="45">
        <v>96947.914769535739</v>
      </c>
      <c r="BV22" s="45">
        <v>97037.261385356731</v>
      </c>
      <c r="BW22" s="45">
        <v>97103.070070035727</v>
      </c>
      <c r="BX22" s="45">
        <v>97219.049647666281</v>
      </c>
      <c r="BY22" s="45">
        <v>97357.534528234333</v>
      </c>
      <c r="BZ22" s="45">
        <v>97625.035976621555</v>
      </c>
      <c r="CA22" s="45">
        <v>97802.141160378844</v>
      </c>
      <c r="CB22" s="45">
        <v>97880.069154027093</v>
      </c>
      <c r="CC22" s="45">
        <v>98012.451134340488</v>
      </c>
      <c r="CD22" s="45">
        <v>98114.432515602486</v>
      </c>
      <c r="CE22" s="45">
        <v>98187.468197446738</v>
      </c>
      <c r="CF22" s="45">
        <v>98318.76851953796</v>
      </c>
      <c r="CG22" s="45">
        <v>98416.795088129962</v>
      </c>
      <c r="CH22" s="45">
        <v>98488.872331956532</v>
      </c>
      <c r="CI22" s="45">
        <v>98587.991854656691</v>
      </c>
      <c r="CJ22" s="45">
        <v>98634.740884791667</v>
      </c>
      <c r="CK22" s="45">
        <v>98688.485015129656</v>
      </c>
      <c r="CL22" s="45">
        <v>98797.005544074724</v>
      </c>
      <c r="CM22" s="45">
        <v>98833.430759070325</v>
      </c>
      <c r="CN22" s="45">
        <v>98902.377570415192</v>
      </c>
      <c r="CO22" s="45">
        <v>98963.895090704842</v>
      </c>
      <c r="CP22" s="45">
        <v>99016.458780736953</v>
      </c>
      <c r="CQ22" s="45">
        <v>99082.438931320561</v>
      </c>
      <c r="CR22" s="45">
        <v>99103.907494424493</v>
      </c>
      <c r="CS22" s="45">
        <v>99159.416260958242</v>
      </c>
      <c r="CT22" s="45">
        <v>99184.706967898193</v>
      </c>
      <c r="CU22" s="45">
        <v>99216.767367935099</v>
      </c>
      <c r="CV22" s="45">
        <v>99225.093783545599</v>
      </c>
      <c r="CW22" s="45">
        <v>99250.251050923864</v>
      </c>
      <c r="CX22" s="45">
        <v>99291.779676713486</v>
      </c>
      <c r="CY22" s="45">
        <v>99292.654652644735</v>
      </c>
      <c r="CZ22" s="45">
        <v>99300.255280023455</v>
      </c>
      <c r="DA22" s="45">
        <v>99296.897316173476</v>
      </c>
      <c r="DB22" s="45">
        <v>99334.410697018029</v>
      </c>
      <c r="DC22" s="45">
        <v>99350.784003381807</v>
      </c>
      <c r="DD22" s="45">
        <v>99357.552482710365</v>
      </c>
      <c r="DE22" s="45">
        <v>99369.654166269116</v>
      </c>
      <c r="DF22" s="45">
        <v>99413.32407128904</v>
      </c>
      <c r="DG22" s="45">
        <v>99412.250832040532</v>
      </c>
      <c r="DH22" s="45">
        <v>99425.913606902555</v>
      </c>
      <c r="DI22" s="45">
        <v>99419.512053894228</v>
      </c>
      <c r="DJ22" s="45">
        <v>99453.159061429076</v>
      </c>
      <c r="DK22" s="45">
        <v>99467.525477411633</v>
      </c>
      <c r="DL22" s="45">
        <v>99465.305355730961</v>
      </c>
      <c r="DM22" s="45">
        <v>99466.100354930866</v>
      </c>
      <c r="DN22" s="45">
        <v>99463.511396972914</v>
      </c>
      <c r="DO22" s="45">
        <v>99486.352709309707</v>
      </c>
      <c r="DP22">
        <v>99506.287477742517</v>
      </c>
      <c r="DQ22">
        <v>99509.060676963156</v>
      </c>
      <c r="DR22">
        <v>99527.344965765573</v>
      </c>
      <c r="DS22">
        <v>99532.543279939026</v>
      </c>
      <c r="DT22">
        <v>99551.440095200407</v>
      </c>
      <c r="DU22">
        <v>99569.557704243285</v>
      </c>
    </row>
    <row r="23" spans="1:125">
      <c r="A23" s="42">
        <v>21</v>
      </c>
      <c r="B23" s="45"/>
      <c r="C23" s="45"/>
      <c r="D23" s="45"/>
      <c r="E23" s="45"/>
      <c r="F23" s="45"/>
      <c r="G23" s="45"/>
      <c r="H23" s="45"/>
      <c r="I23" s="45"/>
      <c r="J23" s="45"/>
      <c r="K23" s="45"/>
      <c r="L23" s="45"/>
      <c r="M23" s="45"/>
      <c r="N23" s="45"/>
      <c r="O23" s="45"/>
      <c r="P23" s="45"/>
      <c r="Q23" s="45"/>
      <c r="R23" s="45"/>
      <c r="S23" s="45"/>
      <c r="T23" s="45"/>
      <c r="U23" s="45"/>
      <c r="V23" s="45"/>
      <c r="W23" s="45">
        <v>81184</v>
      </c>
      <c r="X23" s="45">
        <v>81912.5</v>
      </c>
      <c r="Y23" s="45">
        <v>81941.606894494529</v>
      </c>
      <c r="Z23" s="45">
        <v>84018.224417253368</v>
      </c>
      <c r="AA23" s="45">
        <v>84148.526391525171</v>
      </c>
      <c r="AB23" s="45">
        <v>84611.326836290435</v>
      </c>
      <c r="AC23" s="45">
        <v>85294.071563154212</v>
      </c>
      <c r="AD23" s="45">
        <v>86149.551612565148</v>
      </c>
      <c r="AE23" s="45">
        <v>86092.233306174167</v>
      </c>
      <c r="AF23" s="45">
        <v>87310.376429442302</v>
      </c>
      <c r="AG23" s="45">
        <v>87746.480378792767</v>
      </c>
      <c r="AH23" s="45">
        <v>88032.154950713782</v>
      </c>
      <c r="AI23" s="45">
        <v>88334.265066359192</v>
      </c>
      <c r="AJ23" s="45">
        <v>89537.270389358353</v>
      </c>
      <c r="AK23" s="45">
        <v>89479.788913151278</v>
      </c>
      <c r="AL23" s="45">
        <v>89750.478882873897</v>
      </c>
      <c r="AM23" s="45">
        <v>90016.659837962157</v>
      </c>
      <c r="AN23" s="45">
        <v>90472.907335669734</v>
      </c>
      <c r="AO23" s="45">
        <v>90459.532028364949</v>
      </c>
      <c r="AP23" s="45">
        <v>90564.476559679577</v>
      </c>
      <c r="AQ23" s="45">
        <v>90611.826022964786</v>
      </c>
      <c r="AR23" s="45">
        <v>90669.086779152567</v>
      </c>
      <c r="AS23" s="45">
        <v>90077.06509349306</v>
      </c>
      <c r="AT23" s="45">
        <v>89315.303001317705</v>
      </c>
      <c r="AU23" s="45">
        <v>88060.110668083391</v>
      </c>
      <c r="AV23" s="45">
        <v>88409.209928305645</v>
      </c>
      <c r="AW23" s="45">
        <v>88741.867320880527</v>
      </c>
      <c r="AX23" s="45">
        <v>90899.626143619098</v>
      </c>
      <c r="AY23" s="45">
        <v>92689.541480842279</v>
      </c>
      <c r="AZ23" s="45">
        <v>92732.353733535594</v>
      </c>
      <c r="BA23" s="45">
        <v>92760.719756267616</v>
      </c>
      <c r="BB23" s="45">
        <v>93419.000275341183</v>
      </c>
      <c r="BC23" s="45">
        <v>93662.247733203083</v>
      </c>
      <c r="BD23" s="45">
        <v>94043.081319290504</v>
      </c>
      <c r="BE23" s="45">
        <v>94124.012789033644</v>
      </c>
      <c r="BF23" s="45">
        <v>94466.188635892293</v>
      </c>
      <c r="BG23" s="45">
        <v>94557.19816051118</v>
      </c>
      <c r="BH23" s="45">
        <v>94797.386465610209</v>
      </c>
      <c r="BI23" s="45">
        <v>94978.398008577235</v>
      </c>
      <c r="BJ23" s="45">
        <v>95132.111579729113</v>
      </c>
      <c r="BK23" s="45">
        <v>95434.030283340035</v>
      </c>
      <c r="BL23" s="45">
        <v>95722.191458452959</v>
      </c>
      <c r="BM23" s="45">
        <v>95969.205861154362</v>
      </c>
      <c r="BN23" s="45">
        <v>96228.838197603531</v>
      </c>
      <c r="BO23" s="45">
        <v>96444.670214807935</v>
      </c>
      <c r="BP23" s="45">
        <v>96560.638640608653</v>
      </c>
      <c r="BQ23" s="45">
        <v>96661.612750535423</v>
      </c>
      <c r="BR23" s="45">
        <v>96757.234066592166</v>
      </c>
      <c r="BS23" s="45">
        <v>96740.089239867724</v>
      </c>
      <c r="BT23" s="45">
        <v>96803.601862425974</v>
      </c>
      <c r="BU23" s="45">
        <v>96874.641335000633</v>
      </c>
      <c r="BV23" s="45">
        <v>96968.909513233273</v>
      </c>
      <c r="BW23" s="45">
        <v>97031.251894219313</v>
      </c>
      <c r="BX23" s="45">
        <v>97154.94417001144</v>
      </c>
      <c r="BY23" s="45">
        <v>97286.779822903307</v>
      </c>
      <c r="BZ23" s="45">
        <v>97555.406604348711</v>
      </c>
      <c r="CA23" s="45">
        <v>97734.578389036498</v>
      </c>
      <c r="CB23" s="45">
        <v>97816.027494601716</v>
      </c>
      <c r="CC23" s="45">
        <v>97950.677142657863</v>
      </c>
      <c r="CD23" s="45">
        <v>98048.659379782039</v>
      </c>
      <c r="CE23" s="45">
        <v>98127.95973439404</v>
      </c>
      <c r="CF23" s="45">
        <v>98263.576863833339</v>
      </c>
      <c r="CG23" s="45">
        <v>98365.155843055414</v>
      </c>
      <c r="CH23" s="45">
        <v>98441.938380549487</v>
      </c>
      <c r="CI23" s="45">
        <v>98549.553488557111</v>
      </c>
      <c r="CJ23" s="45">
        <v>98592.199027989176</v>
      </c>
      <c r="CK23" s="45">
        <v>98646.245456990262</v>
      </c>
      <c r="CL23" s="45">
        <v>98760.055805073833</v>
      </c>
      <c r="CM23" s="45">
        <v>98797.06971062097</v>
      </c>
      <c r="CN23" s="45">
        <v>98864.052496014076</v>
      </c>
      <c r="CO23" s="45">
        <v>98927.385295727232</v>
      </c>
      <c r="CP23" s="45">
        <v>98985.551637147262</v>
      </c>
      <c r="CQ23" s="45">
        <v>99053.490422607836</v>
      </c>
      <c r="CR23" s="45">
        <v>99070.017185977165</v>
      </c>
      <c r="CS23" s="45">
        <v>99126.349687641632</v>
      </c>
      <c r="CT23" s="45">
        <v>99154.356256211089</v>
      </c>
      <c r="CU23" s="45">
        <v>99186.842155207589</v>
      </c>
      <c r="CV23" s="45">
        <v>99196.299202602269</v>
      </c>
      <c r="CW23" s="45">
        <v>99221.883454082956</v>
      </c>
      <c r="CX23" s="45">
        <v>99263.107841035948</v>
      </c>
      <c r="CY23" s="45">
        <v>99264.326184252539</v>
      </c>
      <c r="CZ23" s="45">
        <v>99270.673786258631</v>
      </c>
      <c r="DA23" s="45">
        <v>99268.246940907411</v>
      </c>
      <c r="DB23" s="45">
        <v>99306.648068442271</v>
      </c>
      <c r="DC23" s="45">
        <v>99323.890783196854</v>
      </c>
      <c r="DD23" s="45">
        <v>99331.501784461085</v>
      </c>
      <c r="DE23" s="45">
        <v>99344.419409697148</v>
      </c>
      <c r="DF23" s="45">
        <v>99388.87195113409</v>
      </c>
      <c r="DG23" s="45">
        <v>99388.565700277657</v>
      </c>
      <c r="DH23" s="45">
        <v>99402.969977594155</v>
      </c>
      <c r="DI23" s="45">
        <v>99397.289597062947</v>
      </c>
      <c r="DJ23" s="45">
        <v>99431.626561127341</v>
      </c>
      <c r="DK23" s="45">
        <v>99446.666824050917</v>
      </c>
      <c r="DL23" s="45">
        <v>99445.102662661666</v>
      </c>
      <c r="DM23" s="45">
        <v>99446.521026284769</v>
      </c>
      <c r="DN23" s="45">
        <v>99444.538484348072</v>
      </c>
      <c r="DO23" s="45">
        <v>99467.961979515065</v>
      </c>
      <c r="DP23">
        <v>99488.462127259685</v>
      </c>
      <c r="DQ23">
        <v>99491.785970809913</v>
      </c>
      <c r="DR23">
        <v>99510.60041348997</v>
      </c>
      <c r="DS23">
        <v>99516.316162369971</v>
      </c>
      <c r="DT23">
        <v>99535.711619851209</v>
      </c>
      <c r="DU23">
        <v>99554.312677467213</v>
      </c>
    </row>
    <row r="24" spans="1:125">
      <c r="A24" s="42">
        <v>22</v>
      </c>
      <c r="B24" s="45"/>
      <c r="C24" s="45"/>
      <c r="D24" s="45"/>
      <c r="E24" s="45"/>
      <c r="F24" s="45"/>
      <c r="G24" s="45"/>
      <c r="H24" s="45"/>
      <c r="I24" s="45"/>
      <c r="J24" s="45"/>
      <c r="K24" s="45"/>
      <c r="L24" s="45"/>
      <c r="M24" s="45"/>
      <c r="N24" s="45"/>
      <c r="O24" s="45"/>
      <c r="P24" s="45"/>
      <c r="Q24" s="45"/>
      <c r="R24" s="45"/>
      <c r="S24" s="45"/>
      <c r="T24" s="45"/>
      <c r="U24" s="45"/>
      <c r="V24" s="45"/>
      <c r="W24" s="45">
        <v>80971.5</v>
      </c>
      <c r="X24" s="45">
        <v>81675.5</v>
      </c>
      <c r="Y24" s="45">
        <v>81672.887980006286</v>
      </c>
      <c r="Z24" s="45">
        <v>83621.292371430114</v>
      </c>
      <c r="AA24" s="45">
        <v>83843.988789100797</v>
      </c>
      <c r="AB24" s="45">
        <v>84305.104290894611</v>
      </c>
      <c r="AC24" s="45">
        <v>85062.564931835092</v>
      </c>
      <c r="AD24" s="45">
        <v>86011.825259426303</v>
      </c>
      <c r="AE24" s="45">
        <v>85954.587943668521</v>
      </c>
      <c r="AF24" s="45">
        <v>87170.716465806996</v>
      </c>
      <c r="AG24" s="45">
        <v>87623.049272287812</v>
      </c>
      <c r="AH24" s="45">
        <v>87912.533164063381</v>
      </c>
      <c r="AI24" s="45">
        <v>88218.559989868212</v>
      </c>
      <c r="AJ24" s="45">
        <v>89423.944767414025</v>
      </c>
      <c r="AK24" s="45">
        <v>89354.318702310251</v>
      </c>
      <c r="AL24" s="45">
        <v>89632.424160358321</v>
      </c>
      <c r="AM24" s="45">
        <v>89904.450200480758</v>
      </c>
      <c r="AN24" s="45">
        <v>90364.212313340278</v>
      </c>
      <c r="AO24" s="45">
        <v>90355.207197047843</v>
      </c>
      <c r="AP24" s="45">
        <v>90443.136270618124</v>
      </c>
      <c r="AQ24" s="45">
        <v>90508.059686489534</v>
      </c>
      <c r="AR24" s="45">
        <v>90559.315039924491</v>
      </c>
      <c r="AS24" s="45">
        <v>89977.86301316836</v>
      </c>
      <c r="AT24" s="45">
        <v>89217.246794983308</v>
      </c>
      <c r="AU24" s="45">
        <v>87961.193938590004</v>
      </c>
      <c r="AV24" s="45">
        <v>88311.302239335375</v>
      </c>
      <c r="AW24" s="45">
        <v>88647.553964914128</v>
      </c>
      <c r="AX24" s="45">
        <v>90792.221825049317</v>
      </c>
      <c r="AY24" s="45">
        <v>92581.218484904821</v>
      </c>
      <c r="AZ24" s="45">
        <v>92619.85458242966</v>
      </c>
      <c r="BA24" s="45">
        <v>92648.906022954863</v>
      </c>
      <c r="BB24" s="45">
        <v>93316.222010439262</v>
      </c>
      <c r="BC24" s="45">
        <v>93558.070328736183</v>
      </c>
      <c r="BD24" s="45">
        <v>93942.623356716169</v>
      </c>
      <c r="BE24" s="45">
        <v>94013.503212309559</v>
      </c>
      <c r="BF24" s="45">
        <v>94363.277154606418</v>
      </c>
      <c r="BG24" s="45">
        <v>94454.305306053429</v>
      </c>
      <c r="BH24" s="45">
        <v>94699.958003239037</v>
      </c>
      <c r="BI24" s="45">
        <v>94884.985085982044</v>
      </c>
      <c r="BJ24" s="45">
        <v>95040.521040376014</v>
      </c>
      <c r="BK24" s="45">
        <v>95345.503661154857</v>
      </c>
      <c r="BL24" s="45">
        <v>95637.638348473643</v>
      </c>
      <c r="BM24" s="45">
        <v>95894.51769159222</v>
      </c>
      <c r="BN24" s="45">
        <v>96155.998927306617</v>
      </c>
      <c r="BO24" s="45">
        <v>96375.753060123767</v>
      </c>
      <c r="BP24" s="45">
        <v>96492.503938512527</v>
      </c>
      <c r="BQ24" s="45">
        <v>96594.275387213187</v>
      </c>
      <c r="BR24" s="45">
        <v>96687.893947935721</v>
      </c>
      <c r="BS24" s="45">
        <v>96664.747640080735</v>
      </c>
      <c r="BT24" s="45">
        <v>96731.127313594799</v>
      </c>
      <c r="BU24" s="45">
        <v>96801.750553694728</v>
      </c>
      <c r="BV24" s="45">
        <v>96903.431322929784</v>
      </c>
      <c r="BW24" s="45">
        <v>96963.177751157345</v>
      </c>
      <c r="BX24" s="45">
        <v>97083.483375037526</v>
      </c>
      <c r="BY24" s="45">
        <v>97230.21335071107</v>
      </c>
      <c r="BZ24" s="45">
        <v>97491.522693642823</v>
      </c>
      <c r="CA24" s="45">
        <v>97673.401888146662</v>
      </c>
      <c r="CB24" s="45">
        <v>97751.037575167575</v>
      </c>
      <c r="CC24" s="45">
        <v>97891.934546641482</v>
      </c>
      <c r="CD24" s="45">
        <v>97995.25275474081</v>
      </c>
      <c r="CE24" s="45">
        <v>98074.81635678286</v>
      </c>
      <c r="CF24" s="45">
        <v>98215.555138983167</v>
      </c>
      <c r="CG24" s="45">
        <v>98319.108992905793</v>
      </c>
      <c r="CH24" s="45">
        <v>98401.281471163835</v>
      </c>
      <c r="CI24" s="45">
        <v>98508.017738950846</v>
      </c>
      <c r="CJ24" s="45">
        <v>98552.129957490964</v>
      </c>
      <c r="CK24" s="45">
        <v>98610.490270818409</v>
      </c>
      <c r="CL24" s="45">
        <v>98722.747192598676</v>
      </c>
      <c r="CM24" s="45">
        <v>98755.94271228576</v>
      </c>
      <c r="CN24" s="45">
        <v>98829.042267966695</v>
      </c>
      <c r="CO24" s="45">
        <v>98896.399776973121</v>
      </c>
      <c r="CP24" s="45">
        <v>98955.705542752301</v>
      </c>
      <c r="CQ24" s="45">
        <v>99019.239013846527</v>
      </c>
      <c r="CR24" s="45">
        <v>99040.961870539875</v>
      </c>
      <c r="CS24" s="45">
        <v>99097.571829477121</v>
      </c>
      <c r="CT24" s="45">
        <v>99126.767581109103</v>
      </c>
      <c r="CU24" s="45">
        <v>99157.397870766741</v>
      </c>
      <c r="CV24" s="45">
        <v>99168.437638759555</v>
      </c>
      <c r="CW24" s="45">
        <v>99194.09443993133</v>
      </c>
      <c r="CX24" s="45">
        <v>99233.025891001947</v>
      </c>
      <c r="CY24" s="45">
        <v>99233.685339976451</v>
      </c>
      <c r="CZ24" s="45">
        <v>99240.974859577618</v>
      </c>
      <c r="DA24" s="45">
        <v>99239.466400439851</v>
      </c>
      <c r="DB24" s="45">
        <v>99278.743140294566</v>
      </c>
      <c r="DC24" s="45">
        <v>99296.844408161589</v>
      </c>
      <c r="DD24" s="45">
        <v>99305.287692339247</v>
      </c>
      <c r="DE24" s="45">
        <v>99319.011937372474</v>
      </c>
      <c r="DF24" s="45">
        <v>99364.238491788143</v>
      </c>
      <c r="DG24" s="45">
        <v>99364.691177577013</v>
      </c>
      <c r="DH24" s="45">
        <v>99379.82978596742</v>
      </c>
      <c r="DI24" s="45">
        <v>99374.863910908112</v>
      </c>
      <c r="DJ24" s="45">
        <v>99409.884713829742</v>
      </c>
      <c r="DK24" s="45">
        <v>99425.593475403934</v>
      </c>
      <c r="DL24" s="45">
        <v>99424.669694293028</v>
      </c>
      <c r="DM24" s="45">
        <v>99426.706666600177</v>
      </c>
      <c r="DN24" s="45">
        <v>99425.32650278548</v>
      </c>
      <c r="DO24" s="45">
        <v>99449.328462129546</v>
      </c>
      <c r="DP24">
        <v>99470.390794759442</v>
      </c>
      <c r="DQ24">
        <v>99474.262513137874</v>
      </c>
      <c r="DR24">
        <v>99493.604595904893</v>
      </c>
      <c r="DS24">
        <v>99499.835862011518</v>
      </c>
      <c r="DT24">
        <v>99519.728284723242</v>
      </c>
      <c r="DU24">
        <v>99538.811456558557</v>
      </c>
    </row>
    <row r="25" spans="1:125">
      <c r="A25" s="42">
        <v>23</v>
      </c>
      <c r="B25" s="45"/>
      <c r="C25" s="45"/>
      <c r="D25" s="45"/>
      <c r="E25" s="45"/>
      <c r="F25" s="45"/>
      <c r="G25" s="45"/>
      <c r="H25" s="45"/>
      <c r="I25" s="45"/>
      <c r="J25" s="45"/>
      <c r="K25" s="45"/>
      <c r="L25" s="45"/>
      <c r="M25" s="45"/>
      <c r="N25" s="45"/>
      <c r="O25" s="45"/>
      <c r="P25" s="45"/>
      <c r="Q25" s="45"/>
      <c r="R25" s="45"/>
      <c r="S25" s="45"/>
      <c r="T25" s="45"/>
      <c r="U25" s="45"/>
      <c r="V25" s="45"/>
      <c r="W25" s="45">
        <v>80740.5</v>
      </c>
      <c r="X25" s="45">
        <v>81411.5</v>
      </c>
      <c r="Y25" s="45">
        <v>81292.313760579098</v>
      </c>
      <c r="Z25" s="45">
        <v>83312.823686126023</v>
      </c>
      <c r="AA25" s="45">
        <v>83534.83667727084</v>
      </c>
      <c r="AB25" s="45">
        <v>84087.147334436537</v>
      </c>
      <c r="AC25" s="45">
        <v>84921.144913663535</v>
      </c>
      <c r="AD25" s="45">
        <v>85868.777425246386</v>
      </c>
      <c r="AE25" s="45">
        <v>85811.623967117368</v>
      </c>
      <c r="AF25" s="45">
        <v>87041.838580906246</v>
      </c>
      <c r="AG25" s="45">
        <v>87496.665745975857</v>
      </c>
      <c r="AH25" s="45">
        <v>87792.002760610048</v>
      </c>
      <c r="AI25" s="45">
        <v>88098.869570023206</v>
      </c>
      <c r="AJ25" s="45">
        <v>89308.869130962485</v>
      </c>
      <c r="AK25" s="45">
        <v>89235.162406201678</v>
      </c>
      <c r="AL25" s="45">
        <v>89520.197882379784</v>
      </c>
      <c r="AM25" s="45">
        <v>89791.195292439268</v>
      </c>
      <c r="AN25" s="45">
        <v>90257.510411794778</v>
      </c>
      <c r="AO25" s="45">
        <v>90246.854147851991</v>
      </c>
      <c r="AP25" s="45">
        <v>90339.583323352243</v>
      </c>
      <c r="AQ25" s="45">
        <v>90405.868879412854</v>
      </c>
      <c r="AR25" s="45">
        <v>90456.702349397267</v>
      </c>
      <c r="AS25" s="45">
        <v>89882.073055940709</v>
      </c>
      <c r="AT25" s="45">
        <v>89116.592509957001</v>
      </c>
      <c r="AU25" s="45">
        <v>87859.144442041623</v>
      </c>
      <c r="AV25" s="45">
        <v>88213.699086217443</v>
      </c>
      <c r="AW25" s="45">
        <v>88552.102993074135</v>
      </c>
      <c r="AX25" s="45">
        <v>90688.671241807475</v>
      </c>
      <c r="AY25" s="45">
        <v>92474.596183780843</v>
      </c>
      <c r="AZ25" s="45">
        <v>92510.321543660684</v>
      </c>
      <c r="BA25" s="45">
        <v>92554.817462225561</v>
      </c>
      <c r="BB25" s="45">
        <v>93223.263236245228</v>
      </c>
      <c r="BC25" s="45">
        <v>93459.25824016906</v>
      </c>
      <c r="BD25" s="45">
        <v>93842.840784781642</v>
      </c>
      <c r="BE25" s="45">
        <v>93915.022840236925</v>
      </c>
      <c r="BF25" s="45">
        <v>94259.581971978085</v>
      </c>
      <c r="BG25" s="45">
        <v>94356.85044101454</v>
      </c>
      <c r="BH25" s="45">
        <v>94612.904552252265</v>
      </c>
      <c r="BI25" s="45">
        <v>94804.196373025668</v>
      </c>
      <c r="BJ25" s="45">
        <v>94956.26070915148</v>
      </c>
      <c r="BK25" s="45">
        <v>95261.495023193769</v>
      </c>
      <c r="BL25" s="45">
        <v>95558.59441438358</v>
      </c>
      <c r="BM25" s="45">
        <v>95823.808707382414</v>
      </c>
      <c r="BN25" s="45">
        <v>96087.637147341389</v>
      </c>
      <c r="BO25" s="45">
        <v>96309.00539505799</v>
      </c>
      <c r="BP25" s="45">
        <v>96424.912770262628</v>
      </c>
      <c r="BQ25" s="45">
        <v>96524.948052340362</v>
      </c>
      <c r="BR25" s="45">
        <v>96615.262387875468</v>
      </c>
      <c r="BS25" s="45">
        <v>96592.738051649678</v>
      </c>
      <c r="BT25" s="45">
        <v>96662.522736902174</v>
      </c>
      <c r="BU25" s="45">
        <v>96734.141443977482</v>
      </c>
      <c r="BV25" s="45">
        <v>96837.769975425894</v>
      </c>
      <c r="BW25" s="45">
        <v>96899.925517522832</v>
      </c>
      <c r="BX25" s="45">
        <v>97020.861378138274</v>
      </c>
      <c r="BY25" s="45">
        <v>97173.892949935165</v>
      </c>
      <c r="BZ25" s="45">
        <v>97430.103328651225</v>
      </c>
      <c r="CA25" s="45">
        <v>97615.05107335496</v>
      </c>
      <c r="CB25" s="45">
        <v>97699.423736327706</v>
      </c>
      <c r="CC25" s="45">
        <v>97836.514709077426</v>
      </c>
      <c r="CD25" s="45">
        <v>97945.914101515198</v>
      </c>
      <c r="CE25" s="45">
        <v>98023.583898971701</v>
      </c>
      <c r="CF25" s="45">
        <v>98172.358099673263</v>
      </c>
      <c r="CG25" s="45">
        <v>98278.679048839782</v>
      </c>
      <c r="CH25" s="45">
        <v>98355.898527276513</v>
      </c>
      <c r="CI25" s="45">
        <v>98469.438429092406</v>
      </c>
      <c r="CJ25" s="45">
        <v>98514.852148310514</v>
      </c>
      <c r="CK25" s="45">
        <v>98572.924924675128</v>
      </c>
      <c r="CL25" s="45">
        <v>98686.48298391953</v>
      </c>
      <c r="CM25" s="45">
        <v>98716.946304400859</v>
      </c>
      <c r="CN25" s="45">
        <v>98796.928559372784</v>
      </c>
      <c r="CO25" s="45">
        <v>98868.433685890632</v>
      </c>
      <c r="CP25" s="45">
        <v>98926.963377157415</v>
      </c>
      <c r="CQ25" s="45">
        <v>98985.767253231694</v>
      </c>
      <c r="CR25" s="45">
        <v>99010.483831026912</v>
      </c>
      <c r="CS25" s="45">
        <v>99068.019878304345</v>
      </c>
      <c r="CT25" s="45">
        <v>99099.022602907091</v>
      </c>
      <c r="CU25" s="45">
        <v>99127.597341328597</v>
      </c>
      <c r="CV25" s="45">
        <v>99141.486814526696</v>
      </c>
      <c r="CW25" s="45">
        <v>99161.630913381407</v>
      </c>
      <c r="CX25" s="45">
        <v>99202.149574212483</v>
      </c>
      <c r="CY25" s="45">
        <v>99203.746548717434</v>
      </c>
      <c r="CZ25" s="45">
        <v>99211.93893205456</v>
      </c>
      <c r="DA25" s="45">
        <v>99211.311603823502</v>
      </c>
      <c r="DB25" s="45">
        <v>99251.428507896446</v>
      </c>
      <c r="DC25" s="45">
        <v>99270.354498602625</v>
      </c>
      <c r="DD25" s="45">
        <v>99279.597616780156</v>
      </c>
      <c r="DE25" s="45">
        <v>99294.097589975048</v>
      </c>
      <c r="DF25" s="45">
        <v>99340.06882550061</v>
      </c>
      <c r="DG25" s="45">
        <v>99341.252155623806</v>
      </c>
      <c r="DH25" s="45">
        <v>99357.098269952578</v>
      </c>
      <c r="DI25" s="45">
        <v>99352.821159386775</v>
      </c>
      <c r="DJ25" s="45">
        <v>99388.50141501255</v>
      </c>
      <c r="DK25" s="45">
        <v>99404.844316354953</v>
      </c>
      <c r="DL25" s="45">
        <v>99404.539089801561</v>
      </c>
      <c r="DM25" s="45">
        <v>99407.173787126871</v>
      </c>
      <c r="DN25" s="45">
        <v>99406.376192238298</v>
      </c>
      <c r="DO25" s="45">
        <v>99430.937764642789</v>
      </c>
      <c r="DP25">
        <v>99452.544352990473</v>
      </c>
      <c r="DQ25">
        <v>99456.946818546421</v>
      </c>
      <c r="DR25">
        <v>99476.800217697979</v>
      </c>
      <c r="DS25">
        <v>99483.531536618975</v>
      </c>
      <c r="DT25">
        <v>99503.906200381723</v>
      </c>
      <c r="DU25">
        <v>99523.457486976462</v>
      </c>
    </row>
    <row r="26" spans="1:125">
      <c r="A26" s="42">
        <v>24</v>
      </c>
      <c r="B26" s="45"/>
      <c r="C26" s="45"/>
      <c r="D26" s="45"/>
      <c r="E26" s="45"/>
      <c r="F26" s="45"/>
      <c r="G26" s="45"/>
      <c r="H26" s="45"/>
      <c r="I26" s="45"/>
      <c r="J26" s="45"/>
      <c r="K26" s="45"/>
      <c r="L26" s="45"/>
      <c r="M26" s="45"/>
      <c r="N26" s="45"/>
      <c r="O26" s="45"/>
      <c r="P26" s="45"/>
      <c r="Q26" s="45"/>
      <c r="R26" s="45"/>
      <c r="S26" s="45"/>
      <c r="T26" s="45"/>
      <c r="U26" s="45"/>
      <c r="V26" s="45"/>
      <c r="W26" s="45">
        <v>80478</v>
      </c>
      <c r="X26" s="45">
        <v>81030.5</v>
      </c>
      <c r="Y26" s="45">
        <v>80993.378282096004</v>
      </c>
      <c r="Z26" s="45">
        <v>83006.296012680599</v>
      </c>
      <c r="AA26" s="45">
        <v>83318.779156632925</v>
      </c>
      <c r="AB26" s="45">
        <v>83943.606640332466</v>
      </c>
      <c r="AC26" s="45">
        <v>84776.176428944047</v>
      </c>
      <c r="AD26" s="45">
        <v>85722.139835138529</v>
      </c>
      <c r="AE26" s="45">
        <v>85684.849598962261</v>
      </c>
      <c r="AF26" s="45">
        <v>86913.187888769666</v>
      </c>
      <c r="AG26" s="45">
        <v>87376.621681027478</v>
      </c>
      <c r="AH26" s="45">
        <v>87670.354560841166</v>
      </c>
      <c r="AI26" s="45">
        <v>87979.52867292297</v>
      </c>
      <c r="AJ26" s="45">
        <v>89195.233913170188</v>
      </c>
      <c r="AK26" s="45">
        <v>89126.929517567318</v>
      </c>
      <c r="AL26" s="45">
        <v>89414.758830470004</v>
      </c>
      <c r="AM26" s="45">
        <v>89685.330269208716</v>
      </c>
      <c r="AN26" s="45">
        <v>90146.808657463174</v>
      </c>
      <c r="AO26" s="45">
        <v>90144.24624629521</v>
      </c>
      <c r="AP26" s="45">
        <v>90237.698535506555</v>
      </c>
      <c r="AQ26" s="45">
        <v>90305.420364377438</v>
      </c>
      <c r="AR26" s="45">
        <v>90355.800463658408</v>
      </c>
      <c r="AS26" s="45">
        <v>89788.971960624418</v>
      </c>
      <c r="AT26" s="45">
        <v>89025.899392716354</v>
      </c>
      <c r="AU26" s="45">
        <v>87766.773804538185</v>
      </c>
      <c r="AV26" s="45">
        <v>88115.772575773721</v>
      </c>
      <c r="AW26" s="45">
        <v>88452.753361059134</v>
      </c>
      <c r="AX26" s="45">
        <v>90587.190470788177</v>
      </c>
      <c r="AY26" s="45">
        <v>92374.476977919257</v>
      </c>
      <c r="AZ26" s="45">
        <v>92422.286485512042</v>
      </c>
      <c r="BA26" s="45">
        <v>92464.067711702548</v>
      </c>
      <c r="BB26" s="45">
        <v>93129.264838671603</v>
      </c>
      <c r="BC26" s="45">
        <v>93362.523347120121</v>
      </c>
      <c r="BD26" s="45">
        <v>93745.248598626174</v>
      </c>
      <c r="BE26" s="45">
        <v>93820.763912234455</v>
      </c>
      <c r="BF26" s="45">
        <v>94168.159614976292</v>
      </c>
      <c r="BG26" s="45">
        <v>94267.837203828036</v>
      </c>
      <c r="BH26" s="45">
        <v>94528.317639642686</v>
      </c>
      <c r="BI26" s="45">
        <v>94721.83787663377</v>
      </c>
      <c r="BJ26" s="45">
        <v>94876.573012617126</v>
      </c>
      <c r="BK26" s="45">
        <v>95191.795890287205</v>
      </c>
      <c r="BL26" s="45">
        <v>95490.884941088676</v>
      </c>
      <c r="BM26" s="45">
        <v>95758.914477482394</v>
      </c>
      <c r="BN26" s="45">
        <v>96019.698879859308</v>
      </c>
      <c r="BO26" s="45">
        <v>96240.18934118496</v>
      </c>
      <c r="BP26" s="45">
        <v>96357.419750432076</v>
      </c>
      <c r="BQ26" s="45">
        <v>96451.39993226729</v>
      </c>
      <c r="BR26" s="45">
        <v>96544.647387390462</v>
      </c>
      <c r="BS26" s="45">
        <v>96526.049632306516</v>
      </c>
      <c r="BT26" s="45">
        <v>96596.599094837205</v>
      </c>
      <c r="BU26" s="45">
        <v>96675.719200494525</v>
      </c>
      <c r="BV26" s="45">
        <v>96773.325961391543</v>
      </c>
      <c r="BW26" s="45">
        <v>96834.890191877945</v>
      </c>
      <c r="BX26" s="45">
        <v>96962.162724066045</v>
      </c>
      <c r="BY26" s="45">
        <v>97120.070745136618</v>
      </c>
      <c r="BZ26" s="45">
        <v>97373.117310254194</v>
      </c>
      <c r="CA26" s="45">
        <v>97559.488750266173</v>
      </c>
      <c r="CB26" s="45">
        <v>97650.399378644186</v>
      </c>
      <c r="CC26" s="45">
        <v>97782.394915374578</v>
      </c>
      <c r="CD26" s="45">
        <v>97898.33977143935</v>
      </c>
      <c r="CE26" s="45">
        <v>97979.880743715941</v>
      </c>
      <c r="CF26" s="45">
        <v>98130.752286834235</v>
      </c>
      <c r="CG26" s="45">
        <v>98236.304789451737</v>
      </c>
      <c r="CH26" s="45">
        <v>98314.603722287458</v>
      </c>
      <c r="CI26" s="45">
        <v>98433.251872830791</v>
      </c>
      <c r="CJ26" s="45">
        <v>98479.6967588806</v>
      </c>
      <c r="CK26" s="45">
        <v>98532.793006734602</v>
      </c>
      <c r="CL26" s="45">
        <v>98647.340687497912</v>
      </c>
      <c r="CM26" s="45">
        <v>98683.792031369725</v>
      </c>
      <c r="CN26" s="45">
        <v>98761.731815619918</v>
      </c>
      <c r="CO26" s="45">
        <v>98831.757079292976</v>
      </c>
      <c r="CP26" s="45">
        <v>98896.770143852453</v>
      </c>
      <c r="CQ26" s="45">
        <v>98957.72874513868</v>
      </c>
      <c r="CR26" s="45">
        <v>98979.187025419422</v>
      </c>
      <c r="CS26" s="45">
        <v>99041.650695239281</v>
      </c>
      <c r="CT26" s="45">
        <v>99069.300787102809</v>
      </c>
      <c r="CU26" s="45">
        <v>99098.310144460251</v>
      </c>
      <c r="CV26" s="45">
        <v>99113.589221787755</v>
      </c>
      <c r="CW26" s="45">
        <v>99131.007355125359</v>
      </c>
      <c r="CX26" s="45">
        <v>99172.422046346299</v>
      </c>
      <c r="CY26" s="45">
        <v>99174.903780198641</v>
      </c>
      <c r="CZ26" s="45">
        <v>99183.948513859475</v>
      </c>
      <c r="DA26" s="45">
        <v>99184.153748272234</v>
      </c>
      <c r="DB26" s="45">
        <v>99225.06464557146</v>
      </c>
      <c r="DC26" s="45">
        <v>99244.770845972351</v>
      </c>
      <c r="DD26" s="45">
        <v>99254.771036586011</v>
      </c>
      <c r="DE26" s="45">
        <v>99270.005774796358</v>
      </c>
      <c r="DF26" s="45">
        <v>99316.682666408669</v>
      </c>
      <c r="DG26" s="45">
        <v>99318.558883897116</v>
      </c>
      <c r="DH26" s="45">
        <v>99335.076419366043</v>
      </c>
      <c r="DI26" s="45">
        <v>99331.453352724973</v>
      </c>
      <c r="DJ26" s="45">
        <v>99367.74922770432</v>
      </c>
      <c r="DK26" s="45">
        <v>99384.695470096689</v>
      </c>
      <c r="DL26" s="45">
        <v>99384.979172148189</v>
      </c>
      <c r="DM26" s="45">
        <v>99388.18320398443</v>
      </c>
      <c r="DN26" s="45">
        <v>99387.940962685476</v>
      </c>
      <c r="DO26" s="45">
        <v>99413.036189497449</v>
      </c>
      <c r="DP26">
        <v>99435.162147341442</v>
      </c>
      <c r="DQ26">
        <v>99440.071436201193</v>
      </c>
      <c r="DR26">
        <v>99460.413292970159</v>
      </c>
      <c r="DS26">
        <v>99467.622733298529</v>
      </c>
      <c r="DT26">
        <v>99488.4586831083</v>
      </c>
      <c r="DU26">
        <v>99508.458017448327</v>
      </c>
    </row>
    <row r="27" spans="1:125">
      <c r="A27" s="42">
        <v>25</v>
      </c>
      <c r="B27" s="45"/>
      <c r="C27" s="45"/>
      <c r="D27" s="45"/>
      <c r="E27" s="45"/>
      <c r="F27" s="45"/>
      <c r="G27" s="45"/>
      <c r="H27" s="45"/>
      <c r="I27" s="45"/>
      <c r="J27" s="45"/>
      <c r="K27" s="45"/>
      <c r="L27" s="45"/>
      <c r="M27" s="45"/>
      <c r="N27" s="45"/>
      <c r="O27" s="45"/>
      <c r="P27" s="45"/>
      <c r="Q27" s="45"/>
      <c r="R27" s="45"/>
      <c r="S27" s="45"/>
      <c r="T27" s="45"/>
      <c r="U27" s="45"/>
      <c r="V27" s="45"/>
      <c r="W27" s="45">
        <v>80098.5</v>
      </c>
      <c r="X27" s="45">
        <v>80736.5</v>
      </c>
      <c r="Y27" s="45">
        <v>80699.52035270966</v>
      </c>
      <c r="Z27" s="45">
        <v>82793.852876799458</v>
      </c>
      <c r="AA27" s="45">
        <v>83173.294630765624</v>
      </c>
      <c r="AB27" s="45">
        <v>83797.000581452041</v>
      </c>
      <c r="AC27" s="45">
        <v>84628.111992569509</v>
      </c>
      <c r="AD27" s="45">
        <v>85601.309914890589</v>
      </c>
      <c r="AE27" s="45">
        <v>85562.911200697476</v>
      </c>
      <c r="AF27" s="45">
        <v>86795.79310276825</v>
      </c>
      <c r="AG27" s="45">
        <v>87253.438082775363</v>
      </c>
      <c r="AH27" s="45">
        <v>87553.251152770972</v>
      </c>
      <c r="AI27" s="45">
        <v>87867.653190811368</v>
      </c>
      <c r="AJ27" s="45">
        <v>89087.005068965518</v>
      </c>
      <c r="AK27" s="45">
        <v>89015.436225505546</v>
      </c>
      <c r="AL27" s="45">
        <v>89311.93072550965</v>
      </c>
      <c r="AM27" s="45">
        <v>89581.456954973371</v>
      </c>
      <c r="AN27" s="45">
        <v>90047.77060761585</v>
      </c>
      <c r="AO27" s="45">
        <v>90041.514089650285</v>
      </c>
      <c r="AP27" s="45">
        <v>90136.877244517236</v>
      </c>
      <c r="AQ27" s="45">
        <v>90209.008496360504</v>
      </c>
      <c r="AR27" s="45">
        <v>90255.39679885935</v>
      </c>
      <c r="AS27" s="45">
        <v>89693.645386319899</v>
      </c>
      <c r="AT27" s="45">
        <v>88936.50554250725</v>
      </c>
      <c r="AU27" s="45">
        <v>87674.610236034787</v>
      </c>
      <c r="AV27" s="45">
        <v>88013.335374114889</v>
      </c>
      <c r="AW27" s="45">
        <v>88354.817019638387</v>
      </c>
      <c r="AX27" s="45">
        <v>90494.824957909907</v>
      </c>
      <c r="AY27" s="45">
        <v>92285.887150844035</v>
      </c>
      <c r="AZ27" s="45">
        <v>92338.147348784725</v>
      </c>
      <c r="BA27" s="45">
        <v>92374.336060481175</v>
      </c>
      <c r="BB27" s="45">
        <v>93038.939086686412</v>
      </c>
      <c r="BC27" s="45">
        <v>93267.309871247009</v>
      </c>
      <c r="BD27" s="45">
        <v>93654.87535405776</v>
      </c>
      <c r="BE27" s="45">
        <v>93728.271782948563</v>
      </c>
      <c r="BF27" s="45">
        <v>94084.636233883328</v>
      </c>
      <c r="BG27" s="45">
        <v>94184.832585699623</v>
      </c>
      <c r="BH27" s="45">
        <v>94449.629333897057</v>
      </c>
      <c r="BI27" s="45">
        <v>94644.625090559377</v>
      </c>
      <c r="BJ27" s="45">
        <v>94802.715181617212</v>
      </c>
      <c r="BK27" s="45">
        <v>95119.378278729855</v>
      </c>
      <c r="BL27" s="45">
        <v>95420.625938948491</v>
      </c>
      <c r="BM27" s="45">
        <v>95688.884376499584</v>
      </c>
      <c r="BN27" s="45">
        <v>95952.49629638152</v>
      </c>
      <c r="BO27" s="45">
        <v>96174.1089496528</v>
      </c>
      <c r="BP27" s="45">
        <v>96289.124265872437</v>
      </c>
      <c r="BQ27" s="45">
        <v>96385.69396841999</v>
      </c>
      <c r="BR27" s="45">
        <v>96476.281703036235</v>
      </c>
      <c r="BS27" s="45">
        <v>96458.964367802342</v>
      </c>
      <c r="BT27" s="45">
        <v>96533.459334990097</v>
      </c>
      <c r="BU27" s="45">
        <v>96608.945403047037</v>
      </c>
      <c r="BV27" s="45">
        <v>96716.83658872862</v>
      </c>
      <c r="BW27" s="45">
        <v>96777.320900752558</v>
      </c>
      <c r="BX27" s="45">
        <v>96907.303527099008</v>
      </c>
      <c r="BY27" s="45">
        <v>97058.520469345618</v>
      </c>
      <c r="BZ27" s="45">
        <v>97320.171127384776</v>
      </c>
      <c r="CA27" s="45">
        <v>97507.341288001277</v>
      </c>
      <c r="CB27" s="45">
        <v>97604.131351624528</v>
      </c>
      <c r="CC27" s="45">
        <v>97734.124344524011</v>
      </c>
      <c r="CD27" s="45">
        <v>97852.219801435014</v>
      </c>
      <c r="CE27" s="45">
        <v>97940.470022697787</v>
      </c>
      <c r="CF27" s="45">
        <v>98090.300643204493</v>
      </c>
      <c r="CG27" s="45">
        <v>98199.218994311188</v>
      </c>
      <c r="CH27" s="45">
        <v>98275.287735587626</v>
      </c>
      <c r="CI27" s="45">
        <v>98394.303602871165</v>
      </c>
      <c r="CJ27" s="45">
        <v>98440.222624245478</v>
      </c>
      <c r="CK27" s="45">
        <v>98496.710860842344</v>
      </c>
      <c r="CL27" s="45">
        <v>98611.630625354941</v>
      </c>
      <c r="CM27" s="45">
        <v>98651.429329502265</v>
      </c>
      <c r="CN27" s="45">
        <v>98729.459925486211</v>
      </c>
      <c r="CO27" s="45">
        <v>98800.77208997398</v>
      </c>
      <c r="CP27" s="45">
        <v>98864.659587545772</v>
      </c>
      <c r="CQ27" s="45">
        <v>98924.174083174308</v>
      </c>
      <c r="CR27" s="45">
        <v>98947.299544932786</v>
      </c>
      <c r="CS27" s="45">
        <v>99012.874077142507</v>
      </c>
      <c r="CT27" s="45">
        <v>99038.215834889823</v>
      </c>
      <c r="CU27" s="45">
        <v>99069.800526405743</v>
      </c>
      <c r="CV27" s="45">
        <v>99083.283861543605</v>
      </c>
      <c r="CW27" s="45">
        <v>99101.581444801413</v>
      </c>
      <c r="CX27" s="45">
        <v>99143.838668335593</v>
      </c>
      <c r="CY27" s="45">
        <v>99147.15320221422</v>
      </c>
      <c r="CZ27" s="45">
        <v>99157.000637541583</v>
      </c>
      <c r="DA27" s="45">
        <v>99157.990568756737</v>
      </c>
      <c r="DB27" s="45">
        <v>99199.650018003595</v>
      </c>
      <c r="DC27" s="45">
        <v>99220.092460508022</v>
      </c>
      <c r="DD27" s="45">
        <v>99230.807529961283</v>
      </c>
      <c r="DE27" s="45">
        <v>99246.736541857535</v>
      </c>
      <c r="DF27" s="45">
        <v>99294.080486774983</v>
      </c>
      <c r="DG27" s="45">
        <v>99296.612283799244</v>
      </c>
      <c r="DH27" s="45">
        <v>99313.765487097931</v>
      </c>
      <c r="DI27" s="45">
        <v>99310.75205422494</v>
      </c>
      <c r="DJ27" s="45">
        <v>99347.632224132554</v>
      </c>
      <c r="DK27" s="45">
        <v>99365.151572919043</v>
      </c>
      <c r="DL27" s="45">
        <v>99365.995094627855</v>
      </c>
      <c r="DM27" s="45">
        <v>99369.740596937481</v>
      </c>
      <c r="DN27" s="45">
        <v>99370.026909350883</v>
      </c>
      <c r="DO27" s="45">
        <v>99395.630234908051</v>
      </c>
      <c r="DP27">
        <v>99418.25101696729</v>
      </c>
      <c r="DQ27">
        <v>99423.643519836987</v>
      </c>
      <c r="DR27">
        <v>99444.451288010518</v>
      </c>
      <c r="DS27">
        <v>99452.117139912181</v>
      </c>
      <c r="DT27">
        <v>99473.393637137866</v>
      </c>
      <c r="DU27">
        <v>99493.821138065367</v>
      </c>
    </row>
    <row r="28" spans="1:125">
      <c r="A28" s="42">
        <v>26</v>
      </c>
      <c r="B28" s="45"/>
      <c r="C28" s="45"/>
      <c r="D28" s="45"/>
      <c r="E28" s="45"/>
      <c r="F28" s="45"/>
      <c r="G28" s="45"/>
      <c r="H28" s="45"/>
      <c r="I28" s="45"/>
      <c r="J28" s="45"/>
      <c r="K28" s="45"/>
      <c r="L28" s="45"/>
      <c r="M28" s="45"/>
      <c r="N28" s="45"/>
      <c r="O28" s="45"/>
      <c r="P28" s="45"/>
      <c r="Q28" s="45"/>
      <c r="R28" s="45"/>
      <c r="S28" s="45"/>
      <c r="T28" s="45"/>
      <c r="U28" s="45"/>
      <c r="V28" s="45"/>
      <c r="W28" s="45">
        <v>79814.5</v>
      </c>
      <c r="X28" s="45">
        <v>80451</v>
      </c>
      <c r="Y28" s="45">
        <v>80497.835193965351</v>
      </c>
      <c r="Z28" s="45">
        <v>82646.384860615974</v>
      </c>
      <c r="AA28" s="45">
        <v>83025.177503597763</v>
      </c>
      <c r="AB28" s="45">
        <v>83647.741936849401</v>
      </c>
      <c r="AC28" s="45">
        <v>84508.719639758812</v>
      </c>
      <c r="AD28" s="45">
        <v>85481.377539972644</v>
      </c>
      <c r="AE28" s="45">
        <v>85446.646354759025</v>
      </c>
      <c r="AF28" s="45">
        <v>86676.924126174927</v>
      </c>
      <c r="AG28" s="45">
        <v>87137.017340013947</v>
      </c>
      <c r="AH28" s="45">
        <v>87438.78774787829</v>
      </c>
      <c r="AI28" s="45">
        <v>87759.111184314679</v>
      </c>
      <c r="AJ28" s="45">
        <v>88975.970642927379</v>
      </c>
      <c r="AK28" s="45">
        <v>88915.469668496575</v>
      </c>
      <c r="AL28" s="45">
        <v>89207.847553488537</v>
      </c>
      <c r="AM28" s="45">
        <v>89483.237228338985</v>
      </c>
      <c r="AN28" s="45">
        <v>89949.872582587966</v>
      </c>
      <c r="AO28" s="45">
        <v>89939.031607782163</v>
      </c>
      <c r="AP28" s="45">
        <v>90035.599439580837</v>
      </c>
      <c r="AQ28" s="45">
        <v>90114.915270345402</v>
      </c>
      <c r="AR28" s="45">
        <v>90153.462108367879</v>
      </c>
      <c r="AS28" s="45">
        <v>89605.229559587489</v>
      </c>
      <c r="AT28" s="45">
        <v>88845.836259984397</v>
      </c>
      <c r="AU28" s="45">
        <v>87575.16171623813</v>
      </c>
      <c r="AV28" s="45">
        <v>87920.494714054134</v>
      </c>
      <c r="AW28" s="45">
        <v>88259.277256329951</v>
      </c>
      <c r="AX28" s="45">
        <v>90407.657280713669</v>
      </c>
      <c r="AY28" s="45">
        <v>92202.506374740275</v>
      </c>
      <c r="AZ28" s="45">
        <v>92253.125364492604</v>
      </c>
      <c r="BA28" s="45">
        <v>92284.566102296536</v>
      </c>
      <c r="BB28" s="45">
        <v>92948.931951009581</v>
      </c>
      <c r="BC28" s="45">
        <v>93177.648280970927</v>
      </c>
      <c r="BD28" s="45">
        <v>93565.026502562803</v>
      </c>
      <c r="BE28" s="45">
        <v>93642.62082026033</v>
      </c>
      <c r="BF28" s="45">
        <v>94001.593313118909</v>
      </c>
      <c r="BG28" s="45">
        <v>94102.939324195031</v>
      </c>
      <c r="BH28" s="45">
        <v>94376.132518734928</v>
      </c>
      <c r="BI28" s="45">
        <v>94573.029234841728</v>
      </c>
      <c r="BJ28" s="45">
        <v>94735.073895476002</v>
      </c>
      <c r="BK28" s="45">
        <v>95051.094118876616</v>
      </c>
      <c r="BL28" s="45">
        <v>95352.098179385939</v>
      </c>
      <c r="BM28" s="45">
        <v>95624.266336295288</v>
      </c>
      <c r="BN28" s="45">
        <v>95885.130770602234</v>
      </c>
      <c r="BO28" s="45">
        <v>96099.846266247783</v>
      </c>
      <c r="BP28" s="45">
        <v>96217.277083179943</v>
      </c>
      <c r="BQ28" s="45">
        <v>96314.178342814208</v>
      </c>
      <c r="BR28" s="45">
        <v>96411.302387957054</v>
      </c>
      <c r="BS28" s="45">
        <v>96397.945312342126</v>
      </c>
      <c r="BT28" s="45">
        <v>96472.879586078867</v>
      </c>
      <c r="BU28" s="45">
        <v>96551.526175549399</v>
      </c>
      <c r="BV28" s="45">
        <v>96658.86716956395</v>
      </c>
      <c r="BW28" s="45">
        <v>96722.506572993036</v>
      </c>
      <c r="BX28" s="45">
        <v>96854.104441303047</v>
      </c>
      <c r="BY28" s="45">
        <v>97007.863975844841</v>
      </c>
      <c r="BZ28" s="45">
        <v>97270.660562742793</v>
      </c>
      <c r="CA28" s="45">
        <v>97456.668141644055</v>
      </c>
      <c r="CB28" s="45">
        <v>97555.780842482563</v>
      </c>
      <c r="CC28" s="45">
        <v>97694.156479118727</v>
      </c>
      <c r="CD28" s="45">
        <v>97809.123399537086</v>
      </c>
      <c r="CE28" s="45">
        <v>97897.627386565553</v>
      </c>
      <c r="CF28" s="45">
        <v>98050.525137219578</v>
      </c>
      <c r="CG28" s="45">
        <v>98159.918850289352</v>
      </c>
      <c r="CH28" s="45">
        <v>98237.019315149169</v>
      </c>
      <c r="CI28" s="45">
        <v>98357.718490402083</v>
      </c>
      <c r="CJ28" s="45">
        <v>98401.268779596227</v>
      </c>
      <c r="CK28" s="45">
        <v>98459.733880133921</v>
      </c>
      <c r="CL28" s="45">
        <v>98576.536128025618</v>
      </c>
      <c r="CM28" s="45">
        <v>98616.935430203623</v>
      </c>
      <c r="CN28" s="45">
        <v>98698.937818431994</v>
      </c>
      <c r="CO28" s="45">
        <v>98769.62675389208</v>
      </c>
      <c r="CP28" s="45">
        <v>98834.701476627495</v>
      </c>
      <c r="CQ28" s="45">
        <v>98892.948414501472</v>
      </c>
      <c r="CR28" s="45">
        <v>98917.077869307221</v>
      </c>
      <c r="CS28" s="45">
        <v>98984.473237685044</v>
      </c>
      <c r="CT28" s="45">
        <v>99006.187116150861</v>
      </c>
      <c r="CU28" s="45">
        <v>99039.518453299024</v>
      </c>
      <c r="CV28" s="45">
        <v>99053.858783628821</v>
      </c>
      <c r="CW28" s="45">
        <v>99072.991344760376</v>
      </c>
      <c r="CX28" s="45">
        <v>99116.048919096414</v>
      </c>
      <c r="CY28" s="45">
        <v>99120.155308467482</v>
      </c>
      <c r="CZ28" s="45">
        <v>99130.766487736793</v>
      </c>
      <c r="DA28" s="45">
        <v>99132.503562358062</v>
      </c>
      <c r="DB28" s="45">
        <v>99174.876011221379</v>
      </c>
      <c r="DC28" s="45">
        <v>99196.020288302039</v>
      </c>
      <c r="DD28" s="45">
        <v>99207.417354921854</v>
      </c>
      <c r="DE28" s="45">
        <v>99224.009113568638</v>
      </c>
      <c r="DF28" s="45">
        <v>99271.990089373372</v>
      </c>
      <c r="DG28" s="45">
        <v>99275.148615504309</v>
      </c>
      <c r="DH28" s="45">
        <v>99292.900948060182</v>
      </c>
      <c r="DI28" s="45">
        <v>99290.472364193527</v>
      </c>
      <c r="DJ28" s="45">
        <v>99327.913245554068</v>
      </c>
      <c r="DK28" s="45">
        <v>99345.982967930715</v>
      </c>
      <c r="DL28" s="45">
        <v>99347.364492998546</v>
      </c>
      <c r="DM28" s="45">
        <v>99351.630677630863</v>
      </c>
      <c r="DN28" s="45">
        <v>99352.425555786729</v>
      </c>
      <c r="DO28" s="45">
        <v>99378.517974475806</v>
      </c>
      <c r="DP28">
        <v>99401.615363322664</v>
      </c>
      <c r="DQ28">
        <v>99407.473630080989</v>
      </c>
      <c r="DR28">
        <v>99428.730709134863</v>
      </c>
      <c r="DS28">
        <v>99436.837004511501</v>
      </c>
      <c r="DT28">
        <v>99458.538853351085</v>
      </c>
      <c r="DU28">
        <v>99479.380001519821</v>
      </c>
    </row>
    <row r="29" spans="1:125">
      <c r="A29" s="42">
        <v>27</v>
      </c>
      <c r="B29" s="45"/>
      <c r="C29" s="45"/>
      <c r="D29" s="45"/>
      <c r="E29" s="45"/>
      <c r="F29" s="45"/>
      <c r="G29" s="45"/>
      <c r="H29" s="45"/>
      <c r="I29" s="45"/>
      <c r="J29" s="45"/>
      <c r="K29" s="45"/>
      <c r="L29" s="45"/>
      <c r="M29" s="45"/>
      <c r="N29" s="45"/>
      <c r="O29" s="45"/>
      <c r="P29" s="45"/>
      <c r="Q29" s="45"/>
      <c r="R29" s="45"/>
      <c r="S29" s="45"/>
      <c r="T29" s="45"/>
      <c r="U29" s="45"/>
      <c r="V29" s="45"/>
      <c r="W29" s="45">
        <v>79538.5</v>
      </c>
      <c r="X29" s="45">
        <v>80254</v>
      </c>
      <c r="Y29" s="45">
        <v>80351.726353405335</v>
      </c>
      <c r="Z29" s="45">
        <v>82496.294409005757</v>
      </c>
      <c r="AA29" s="45">
        <v>82874.425522616832</v>
      </c>
      <c r="AB29" s="45">
        <v>83528.601612711078</v>
      </c>
      <c r="AC29" s="45">
        <v>84384.343072253687</v>
      </c>
      <c r="AD29" s="45">
        <v>85354.418825675413</v>
      </c>
      <c r="AE29" s="45">
        <v>85328.60635276942</v>
      </c>
      <c r="AF29" s="45">
        <v>86556.910324145458</v>
      </c>
      <c r="AG29" s="45">
        <v>87019.217320667842</v>
      </c>
      <c r="AH29" s="45">
        <v>87328.192635468353</v>
      </c>
      <c r="AI29" s="45">
        <v>87648.059500364092</v>
      </c>
      <c r="AJ29" s="45">
        <v>88865.967562482168</v>
      </c>
      <c r="AK29" s="45">
        <v>88807.512518216274</v>
      </c>
      <c r="AL29" s="45">
        <v>89108.935013577197</v>
      </c>
      <c r="AM29" s="45">
        <v>89383.375981202465</v>
      </c>
      <c r="AN29" s="45">
        <v>89853.847943183267</v>
      </c>
      <c r="AO29" s="45">
        <v>89839.034679942182</v>
      </c>
      <c r="AP29" s="45">
        <v>89938.660279427029</v>
      </c>
      <c r="AQ29" s="45">
        <v>90019.544450285379</v>
      </c>
      <c r="AR29" s="45">
        <v>90061.233318436105</v>
      </c>
      <c r="AS29" s="45">
        <v>89509.906106546012</v>
      </c>
      <c r="AT29" s="45">
        <v>88748.595830821025</v>
      </c>
      <c r="AU29" s="45">
        <v>87476.440554602625</v>
      </c>
      <c r="AV29" s="45">
        <v>87823.636740519985</v>
      </c>
      <c r="AW29" s="45">
        <v>88179.958825100708</v>
      </c>
      <c r="AX29" s="45">
        <v>90323.850825657311</v>
      </c>
      <c r="AY29" s="45">
        <v>92116.666273055933</v>
      </c>
      <c r="AZ29" s="45">
        <v>92163.08488654044</v>
      </c>
      <c r="BA29" s="45">
        <v>92193.472891394311</v>
      </c>
      <c r="BB29" s="45">
        <v>92860.237693882431</v>
      </c>
      <c r="BC29" s="45">
        <v>93092.97379994634</v>
      </c>
      <c r="BD29" s="45">
        <v>93478.840711883298</v>
      </c>
      <c r="BE29" s="45">
        <v>93558.723149422411</v>
      </c>
      <c r="BF29" s="45">
        <v>93918.751518134843</v>
      </c>
      <c r="BG29" s="45">
        <v>94027.09344877227</v>
      </c>
      <c r="BH29" s="45">
        <v>94301.969611608642</v>
      </c>
      <c r="BI29" s="45">
        <v>94502.512053823477</v>
      </c>
      <c r="BJ29" s="45">
        <v>94665.122080241315</v>
      </c>
      <c r="BK29" s="45">
        <v>94982.525620381464</v>
      </c>
      <c r="BL29" s="45">
        <v>95283.743427430178</v>
      </c>
      <c r="BM29" s="45">
        <v>95557.382825316396</v>
      </c>
      <c r="BN29" s="45">
        <v>95813.22694024205</v>
      </c>
      <c r="BO29" s="45">
        <v>96023.98046898935</v>
      </c>
      <c r="BP29" s="45">
        <v>96148.515157329253</v>
      </c>
      <c r="BQ29" s="45">
        <v>96250.593851264872</v>
      </c>
      <c r="BR29" s="45">
        <v>96349.225069705761</v>
      </c>
      <c r="BS29" s="45">
        <v>96339.862792572851</v>
      </c>
      <c r="BT29" s="45">
        <v>96415.330861231618</v>
      </c>
      <c r="BU29" s="45">
        <v>96498.010475544957</v>
      </c>
      <c r="BV29" s="45">
        <v>96601.220662102831</v>
      </c>
      <c r="BW29" s="45">
        <v>96668.3255439926</v>
      </c>
      <c r="BX29" s="45">
        <v>96804.765652648231</v>
      </c>
      <c r="BY29" s="45">
        <v>96957.638029779264</v>
      </c>
      <c r="BZ29" s="45">
        <v>97222.963543380989</v>
      </c>
      <c r="CA29" s="45">
        <v>97407.033230453308</v>
      </c>
      <c r="CB29" s="45">
        <v>97510.305226454104</v>
      </c>
      <c r="CC29" s="45">
        <v>97651.699844193266</v>
      </c>
      <c r="CD29" s="45">
        <v>97764.44170510961</v>
      </c>
      <c r="CE29" s="45">
        <v>97855.497761333128</v>
      </c>
      <c r="CF29" s="45">
        <v>98007.294553437358</v>
      </c>
      <c r="CG29" s="45">
        <v>98116.078354284487</v>
      </c>
      <c r="CH29" s="45">
        <v>98197.464170293242</v>
      </c>
      <c r="CI29" s="45">
        <v>98319.290243700816</v>
      </c>
      <c r="CJ29" s="45">
        <v>98363.175265076512</v>
      </c>
      <c r="CK29" s="45">
        <v>98425.316986070044</v>
      </c>
      <c r="CL29" s="45">
        <v>98545.646694834053</v>
      </c>
      <c r="CM29" s="45">
        <v>98583.122182186955</v>
      </c>
      <c r="CN29" s="45">
        <v>98666.720218112416</v>
      </c>
      <c r="CO29" s="45">
        <v>98736.793903952494</v>
      </c>
      <c r="CP29" s="45">
        <v>98804.884130646795</v>
      </c>
      <c r="CQ29" s="45">
        <v>98864.749721592336</v>
      </c>
      <c r="CR29" s="45">
        <v>98886.048067866417</v>
      </c>
      <c r="CS29" s="45">
        <v>98948.72762368765</v>
      </c>
      <c r="CT29" s="45">
        <v>98975.38692357234</v>
      </c>
      <c r="CU29" s="45">
        <v>99009.567067695447</v>
      </c>
      <c r="CV29" s="45">
        <v>99024.738684408367</v>
      </c>
      <c r="CW29" s="45">
        <v>99044.681508470356</v>
      </c>
      <c r="CX29" s="45">
        <v>99088.516184961365</v>
      </c>
      <c r="CY29" s="45">
        <v>99093.391983287322</v>
      </c>
      <c r="CZ29" s="45">
        <v>99104.745763380546</v>
      </c>
      <c r="DA29" s="45">
        <v>99107.209677436476</v>
      </c>
      <c r="DB29" s="45">
        <v>99150.276028619206</v>
      </c>
      <c r="DC29" s="45">
        <v>99172.103728181071</v>
      </c>
      <c r="DD29" s="45">
        <v>99184.165393216448</v>
      </c>
      <c r="DE29" s="45">
        <v>99201.403299722966</v>
      </c>
      <c r="DF29" s="45">
        <v>99250.005568542299</v>
      </c>
      <c r="DG29" s="45">
        <v>99253.768123341375</v>
      </c>
      <c r="DH29" s="45">
        <v>99272.106880868465</v>
      </c>
      <c r="DI29" s="45">
        <v>99270.251156118669</v>
      </c>
      <c r="DJ29" s="45">
        <v>99308.241385174246</v>
      </c>
      <c r="DK29" s="45">
        <v>99326.850623623672</v>
      </c>
      <c r="DL29" s="45">
        <v>99328.759864854132</v>
      </c>
      <c r="DM29" s="45">
        <v>99333.537073163403</v>
      </c>
      <c r="DN29" s="45">
        <v>99334.831290685863</v>
      </c>
      <c r="DO29" s="45">
        <v>99361.40411845324</v>
      </c>
      <c r="DP29">
        <v>99384.969878222095</v>
      </c>
      <c r="DQ29">
        <v>99391.286151560053</v>
      </c>
      <c r="DR29">
        <v>99412.985265022784</v>
      </c>
      <c r="DS29">
        <v>99421.525076724953</v>
      </c>
      <c r="DT29">
        <v>99443.645782744963</v>
      </c>
      <c r="DU29">
        <v>99464.894468259852</v>
      </c>
    </row>
    <row r="30" spans="1:125">
      <c r="A30" s="42">
        <v>28</v>
      </c>
      <c r="B30" s="45"/>
      <c r="C30" s="45"/>
      <c r="D30" s="45"/>
      <c r="E30" s="45"/>
      <c r="F30" s="45"/>
      <c r="G30" s="45"/>
      <c r="H30" s="45"/>
      <c r="I30" s="45"/>
      <c r="J30" s="45"/>
      <c r="K30" s="45"/>
      <c r="L30" s="45"/>
      <c r="M30" s="45"/>
      <c r="N30" s="45"/>
      <c r="O30" s="45"/>
      <c r="P30" s="45"/>
      <c r="Q30" s="45"/>
      <c r="R30" s="45"/>
      <c r="S30" s="45"/>
      <c r="T30" s="45"/>
      <c r="U30" s="45"/>
      <c r="V30" s="45"/>
      <c r="W30" s="45">
        <v>79329.5</v>
      </c>
      <c r="X30" s="45">
        <v>80107</v>
      </c>
      <c r="Y30" s="45">
        <v>80204.234797521072</v>
      </c>
      <c r="Z30" s="45">
        <v>82344.790271441569</v>
      </c>
      <c r="AA30" s="45">
        <v>82750.474158108176</v>
      </c>
      <c r="AB30" s="45">
        <v>83408.100610285648</v>
      </c>
      <c r="AC30" s="45">
        <v>84266.713902976713</v>
      </c>
      <c r="AD30" s="45">
        <v>85235.145582832454</v>
      </c>
      <c r="AE30" s="45">
        <v>85206.260258693117</v>
      </c>
      <c r="AF30" s="45">
        <v>86445.166185167385</v>
      </c>
      <c r="AG30" s="45">
        <v>86903.528378900417</v>
      </c>
      <c r="AH30" s="45">
        <v>87210.907812028367</v>
      </c>
      <c r="AI30" s="45">
        <v>87537.150080370717</v>
      </c>
      <c r="AJ30" s="45">
        <v>88760.906812385816</v>
      </c>
      <c r="AK30" s="45">
        <v>88704.36930960037</v>
      </c>
      <c r="AL30" s="45">
        <v>89010.273901755252</v>
      </c>
      <c r="AM30" s="45">
        <v>89284.927399767053</v>
      </c>
      <c r="AN30" s="45">
        <v>89753.31829872058</v>
      </c>
      <c r="AO30" s="45">
        <v>89734.113614044938</v>
      </c>
      <c r="AP30" s="45">
        <v>89844.252862390917</v>
      </c>
      <c r="AQ30" s="45">
        <v>89923.077208087852</v>
      </c>
      <c r="AR30" s="45">
        <v>89958.266206755419</v>
      </c>
      <c r="AS30" s="45">
        <v>89407.187091329397</v>
      </c>
      <c r="AT30" s="45">
        <v>88653.879488917912</v>
      </c>
      <c r="AU30" s="45">
        <v>87385.034091854744</v>
      </c>
      <c r="AV30" s="45">
        <v>87737.14724596517</v>
      </c>
      <c r="AW30" s="45">
        <v>88095.696171082425</v>
      </c>
      <c r="AX30" s="45">
        <v>90240.729331907351</v>
      </c>
      <c r="AY30" s="45">
        <v>92030.764717508602</v>
      </c>
      <c r="AZ30" s="45">
        <v>92063.162256155629</v>
      </c>
      <c r="BA30" s="45">
        <v>92104.059658845581</v>
      </c>
      <c r="BB30" s="45">
        <v>92772.897488847142</v>
      </c>
      <c r="BC30" s="45">
        <v>93012.485959751502</v>
      </c>
      <c r="BD30" s="45">
        <v>93397.0156948402</v>
      </c>
      <c r="BE30" s="45">
        <v>93474.579470662458</v>
      </c>
      <c r="BF30" s="45">
        <v>93839.465473835138</v>
      </c>
      <c r="BG30" s="45">
        <v>93950.116957452992</v>
      </c>
      <c r="BH30" s="45">
        <v>94231.589200746253</v>
      </c>
      <c r="BI30" s="45">
        <v>94427.969150271354</v>
      </c>
      <c r="BJ30" s="45">
        <v>94595.362733910966</v>
      </c>
      <c r="BK30" s="45">
        <v>94915.366474626004</v>
      </c>
      <c r="BL30" s="45">
        <v>95216.865240547515</v>
      </c>
      <c r="BM30" s="45">
        <v>95483.991722893377</v>
      </c>
      <c r="BN30" s="45">
        <v>95738.614393572236</v>
      </c>
      <c r="BO30" s="45">
        <v>95956.868819453026</v>
      </c>
      <c r="BP30" s="45">
        <v>96082.29716984235</v>
      </c>
      <c r="BQ30" s="45">
        <v>96184.815958973253</v>
      </c>
      <c r="BR30" s="45">
        <v>96284.24647679078</v>
      </c>
      <c r="BS30" s="45">
        <v>96277.76986854244</v>
      </c>
      <c r="BT30" s="45">
        <v>96357.236497929756</v>
      </c>
      <c r="BU30" s="45">
        <v>96446.538590673183</v>
      </c>
      <c r="BV30" s="45">
        <v>96544.883426636079</v>
      </c>
      <c r="BW30" s="45">
        <v>96610.808417163658</v>
      </c>
      <c r="BX30" s="45">
        <v>96755.131492985412</v>
      </c>
      <c r="BY30" s="45">
        <v>96908.729308247988</v>
      </c>
      <c r="BZ30" s="45">
        <v>97175.098002626037</v>
      </c>
      <c r="CA30" s="45">
        <v>97359.281368258235</v>
      </c>
      <c r="CB30" s="45">
        <v>97467.152659874788</v>
      </c>
      <c r="CC30" s="45">
        <v>97609.964616294819</v>
      </c>
      <c r="CD30" s="45">
        <v>97722.018510620022</v>
      </c>
      <c r="CE30" s="45">
        <v>97813.155149141137</v>
      </c>
      <c r="CF30" s="45">
        <v>97961.698828233843</v>
      </c>
      <c r="CG30" s="45">
        <v>98069.805265938601</v>
      </c>
      <c r="CH30" s="45">
        <v>98156.75636646917</v>
      </c>
      <c r="CI30" s="45">
        <v>98284.641508186774</v>
      </c>
      <c r="CJ30" s="45">
        <v>98326.650108307338</v>
      </c>
      <c r="CK30" s="45">
        <v>98387.258377564227</v>
      </c>
      <c r="CL30" s="45">
        <v>98509.48969670845</v>
      </c>
      <c r="CM30" s="45">
        <v>98549.022248814726</v>
      </c>
      <c r="CN30" s="45">
        <v>98634.226658594285</v>
      </c>
      <c r="CO30" s="45">
        <v>98705.392652994022</v>
      </c>
      <c r="CP30" s="45">
        <v>98773.722392550204</v>
      </c>
      <c r="CQ30" s="45">
        <v>98833.446752301446</v>
      </c>
      <c r="CR30" s="45">
        <v>98851.745254831272</v>
      </c>
      <c r="CS30" s="45">
        <v>98916.762094790975</v>
      </c>
      <c r="CT30" s="45">
        <v>98944.289516890043</v>
      </c>
      <c r="CU30" s="45">
        <v>98979.31034623197</v>
      </c>
      <c r="CV30" s="45">
        <v>98995.30584961205</v>
      </c>
      <c r="CW30" s="45">
        <v>99016.052005939171</v>
      </c>
      <c r="CX30" s="45">
        <v>99060.65759311369</v>
      </c>
      <c r="CY30" s="45">
        <v>99066.297176075692</v>
      </c>
      <c r="CZ30" s="45">
        <v>99078.388647164524</v>
      </c>
      <c r="DA30" s="45">
        <v>99081.57493267575</v>
      </c>
      <c r="DB30" s="45">
        <v>99125.331205063529</v>
      </c>
      <c r="DC30" s="45">
        <v>99147.838743920292</v>
      </c>
      <c r="DD30" s="45">
        <v>99160.56201786203</v>
      </c>
      <c r="DE30" s="45">
        <v>99178.443448040896</v>
      </c>
      <c r="DF30" s="45">
        <v>99227.657816053223</v>
      </c>
      <c r="DG30" s="45">
        <v>99232.024052164779</v>
      </c>
      <c r="DH30" s="45">
        <v>99250.949045292218</v>
      </c>
      <c r="DI30" s="45">
        <v>99249.666409553596</v>
      </c>
      <c r="DJ30" s="45">
        <v>99288.206326514453</v>
      </c>
      <c r="DK30" s="45">
        <v>99307.355688922078</v>
      </c>
      <c r="DL30" s="45">
        <v>99309.79355860682</v>
      </c>
      <c r="DM30" s="45">
        <v>99315.082976906284</v>
      </c>
      <c r="DN30" s="45">
        <v>99316.877875273698</v>
      </c>
      <c r="DO30" s="45">
        <v>99343.932590678975</v>
      </c>
      <c r="DP30">
        <v>99367.968375773708</v>
      </c>
      <c r="DQ30">
        <v>99374.744560117528</v>
      </c>
      <c r="DR30">
        <v>99396.887753887946</v>
      </c>
      <c r="DS30">
        <v>99405.863272454153</v>
      </c>
      <c r="DT30">
        <v>99428.405146962352</v>
      </c>
      <c r="DU30">
        <v>99450.063817721864</v>
      </c>
    </row>
    <row r="31" spans="1:125">
      <c r="A31" s="42">
        <v>29</v>
      </c>
      <c r="B31" s="45"/>
      <c r="C31" s="45"/>
      <c r="D31" s="45"/>
      <c r="E31" s="45"/>
      <c r="F31" s="45"/>
      <c r="G31" s="45"/>
      <c r="H31" s="45"/>
      <c r="I31" s="45"/>
      <c r="J31" s="45"/>
      <c r="K31" s="45"/>
      <c r="L31" s="45"/>
      <c r="M31" s="45"/>
      <c r="N31" s="45"/>
      <c r="O31" s="45"/>
      <c r="P31" s="45"/>
      <c r="Q31" s="45"/>
      <c r="R31" s="45"/>
      <c r="S31" s="45"/>
      <c r="T31" s="45"/>
      <c r="U31" s="45"/>
      <c r="V31" s="45"/>
      <c r="W31" s="45">
        <v>79181</v>
      </c>
      <c r="X31" s="45">
        <v>79957</v>
      </c>
      <c r="Y31" s="45">
        <v>80054.15352691419</v>
      </c>
      <c r="Z31" s="45">
        <v>82223.569934630359</v>
      </c>
      <c r="AA31" s="45">
        <v>82636.181859444056</v>
      </c>
      <c r="AB31" s="45">
        <v>83287.592895342343</v>
      </c>
      <c r="AC31" s="45">
        <v>84148.080087047798</v>
      </c>
      <c r="AD31" s="45">
        <v>85119.035317635309</v>
      </c>
      <c r="AE31" s="45">
        <v>85083.571666640753</v>
      </c>
      <c r="AF31" s="45">
        <v>86332.353901396185</v>
      </c>
      <c r="AG31" s="45">
        <v>86782.683857693366</v>
      </c>
      <c r="AH31" s="45">
        <v>87092.891539476957</v>
      </c>
      <c r="AI31" s="45">
        <v>87428.319801912468</v>
      </c>
      <c r="AJ31" s="45">
        <v>88660.181203778891</v>
      </c>
      <c r="AK31" s="45">
        <v>88596.490721538328</v>
      </c>
      <c r="AL31" s="45">
        <v>88914.084544021956</v>
      </c>
      <c r="AM31" s="45">
        <v>89186.208432059793</v>
      </c>
      <c r="AN31" s="45">
        <v>89654.788754675625</v>
      </c>
      <c r="AO31" s="45">
        <v>89633.104444727098</v>
      </c>
      <c r="AP31" s="45">
        <v>89747.183044094112</v>
      </c>
      <c r="AQ31" s="45">
        <v>89822.818756906825</v>
      </c>
      <c r="AR31" s="45">
        <v>89857.070826065057</v>
      </c>
      <c r="AS31" s="45">
        <v>89313.590057906084</v>
      </c>
      <c r="AT31" s="45">
        <v>88558.493236214723</v>
      </c>
      <c r="AU31" s="45">
        <v>87291.174511231497</v>
      </c>
      <c r="AV31" s="45">
        <v>87650.00800655401</v>
      </c>
      <c r="AW31" s="45">
        <v>88005.171802907891</v>
      </c>
      <c r="AX31" s="45">
        <v>90155.051546862756</v>
      </c>
      <c r="AY31" s="45">
        <v>91935.436347227747</v>
      </c>
      <c r="AZ31" s="45">
        <v>91978.349392123622</v>
      </c>
      <c r="BA31" s="45">
        <v>92013.290283799288</v>
      </c>
      <c r="BB31" s="45">
        <v>92686.440182331644</v>
      </c>
      <c r="BC31" s="45">
        <v>92923.885376787817</v>
      </c>
      <c r="BD31" s="45">
        <v>93311.549220394983</v>
      </c>
      <c r="BE31" s="45">
        <v>93389.22341903692</v>
      </c>
      <c r="BF31" s="45">
        <v>93764.218589722077</v>
      </c>
      <c r="BG31" s="45">
        <v>93872.319159178762</v>
      </c>
      <c r="BH31" s="45">
        <v>94160.677529520326</v>
      </c>
      <c r="BI31" s="45">
        <v>94356.900898258536</v>
      </c>
      <c r="BJ31" s="45">
        <v>94523.54220541066</v>
      </c>
      <c r="BK31" s="45">
        <v>94842.25337926326</v>
      </c>
      <c r="BL31" s="45">
        <v>95144.208050586458</v>
      </c>
      <c r="BM31" s="45">
        <v>95403.928780280781</v>
      </c>
      <c r="BN31" s="45">
        <v>95665.775484829137</v>
      </c>
      <c r="BO31" s="45">
        <v>95887.334325984979</v>
      </c>
      <c r="BP31" s="45">
        <v>96013.596028121479</v>
      </c>
      <c r="BQ31" s="45">
        <v>96116.565476526754</v>
      </c>
      <c r="BR31" s="45">
        <v>96216.283394869737</v>
      </c>
      <c r="BS31" s="45">
        <v>96216.896437221789</v>
      </c>
      <c r="BT31" s="45">
        <v>96301.666340354306</v>
      </c>
      <c r="BU31" s="45">
        <v>96386.174246762544</v>
      </c>
      <c r="BV31" s="45">
        <v>96491.089902506486</v>
      </c>
      <c r="BW31" s="45">
        <v>96562.996454671535</v>
      </c>
      <c r="BX31" s="45">
        <v>96704.044412919116</v>
      </c>
      <c r="BY31" s="45">
        <v>96857.300210063695</v>
      </c>
      <c r="BZ31" s="45">
        <v>97130.89457155444</v>
      </c>
      <c r="CA31" s="45">
        <v>97317.310350064115</v>
      </c>
      <c r="CB31" s="45">
        <v>97423.95142357322</v>
      </c>
      <c r="CC31" s="45">
        <v>97567.602631268266</v>
      </c>
      <c r="CD31" s="45">
        <v>97679.028429853934</v>
      </c>
      <c r="CE31" s="45">
        <v>97772.998593983124</v>
      </c>
      <c r="CF31" s="45">
        <v>97918.94984731538</v>
      </c>
      <c r="CG31" s="45">
        <v>98029.88273870619</v>
      </c>
      <c r="CH31" s="45">
        <v>98116.609867478401</v>
      </c>
      <c r="CI31" s="45">
        <v>98244.244067354055</v>
      </c>
      <c r="CJ31" s="45">
        <v>98287.012371932011</v>
      </c>
      <c r="CK31" s="45">
        <v>98351.039626986108</v>
      </c>
      <c r="CL31" s="45">
        <v>98475.583144686098</v>
      </c>
      <c r="CM31" s="45">
        <v>98513.560803946195</v>
      </c>
      <c r="CN31" s="45">
        <v>98598.51877329628</v>
      </c>
      <c r="CO31" s="45">
        <v>98670.250309495925</v>
      </c>
      <c r="CP31" s="45">
        <v>98740.117396329908</v>
      </c>
      <c r="CQ31" s="45">
        <v>98798.615897888914</v>
      </c>
      <c r="CR31" s="45">
        <v>98818.014806496809</v>
      </c>
      <c r="CS31" s="45">
        <v>98883.916187321011</v>
      </c>
      <c r="CT31" s="45">
        <v>98912.319039332229</v>
      </c>
      <c r="CU31" s="45">
        <v>98948.188108585775</v>
      </c>
      <c r="CV31" s="45">
        <v>98965.01544037339</v>
      </c>
      <c r="CW31" s="45">
        <v>98986.572926062072</v>
      </c>
      <c r="CX31" s="45">
        <v>99031.957554475754</v>
      </c>
      <c r="CY31" s="45">
        <v>99038.369458342611</v>
      </c>
      <c r="CZ31" s="45">
        <v>99051.207384560548</v>
      </c>
      <c r="DA31" s="45">
        <v>99055.124938744615</v>
      </c>
      <c r="DB31" s="45">
        <v>99099.579911210865</v>
      </c>
      <c r="DC31" s="45">
        <v>99122.77625324676</v>
      </c>
      <c r="DD31" s="45">
        <v>99136.170352651272</v>
      </c>
      <c r="DE31" s="45">
        <v>99154.698502766812</v>
      </c>
      <c r="DF31" s="45">
        <v>99204.535209671856</v>
      </c>
      <c r="DG31" s="45">
        <v>99209.515777462948</v>
      </c>
      <c r="DH31" s="45">
        <v>99229.037481513224</v>
      </c>
      <c r="DI31" s="45">
        <v>99228.33859247803</v>
      </c>
      <c r="DJ31" s="45">
        <v>99267.438531744963</v>
      </c>
      <c r="DK31" s="45">
        <v>99287.138436696841</v>
      </c>
      <c r="DL31" s="45">
        <v>99290.115446197422</v>
      </c>
      <c r="DM31" s="45">
        <v>99295.927564690035</v>
      </c>
      <c r="DN31" s="45">
        <v>99298.233568650277</v>
      </c>
      <c r="DO31" s="45">
        <v>99325.780391294742</v>
      </c>
      <c r="DP31">
        <v>99350.296376507875</v>
      </c>
      <c r="DQ31">
        <v>99357.54271328132</v>
      </c>
      <c r="DR31">
        <v>99380.140084144776</v>
      </c>
      <c r="DS31">
        <v>99389.561390676143</v>
      </c>
      <c r="DT31">
        <v>99412.534372651964</v>
      </c>
      <c r="DU31">
        <v>99434.61289995609</v>
      </c>
    </row>
    <row r="32" spans="1:125">
      <c r="A32" s="42">
        <v>30</v>
      </c>
      <c r="B32" s="45"/>
      <c r="C32" s="45"/>
      <c r="D32" s="45"/>
      <c r="E32" s="45"/>
      <c r="F32" s="45"/>
      <c r="G32" s="45"/>
      <c r="H32" s="45"/>
      <c r="I32" s="45"/>
      <c r="J32" s="45"/>
      <c r="K32" s="45"/>
      <c r="L32" s="45"/>
      <c r="M32" s="45"/>
      <c r="N32" s="45"/>
      <c r="O32" s="45"/>
      <c r="P32" s="45"/>
      <c r="Q32" s="45"/>
      <c r="R32" s="45"/>
      <c r="S32" s="45"/>
      <c r="T32" s="45"/>
      <c r="U32" s="45"/>
      <c r="V32" s="45"/>
      <c r="W32" s="45">
        <v>79030</v>
      </c>
      <c r="X32" s="45">
        <v>79804.5</v>
      </c>
      <c r="Y32" s="45">
        <v>79931.245560460404</v>
      </c>
      <c r="Z32" s="45">
        <v>82094.951848760422</v>
      </c>
      <c r="AA32" s="45">
        <v>82515.006763773301</v>
      </c>
      <c r="AB32" s="45">
        <v>83162.171987702692</v>
      </c>
      <c r="AC32" s="45">
        <v>84024.529304942611</v>
      </c>
      <c r="AD32" s="45">
        <v>85001.230348753801</v>
      </c>
      <c r="AE32" s="45">
        <v>84968.401793342287</v>
      </c>
      <c r="AF32" s="45">
        <v>86210.155449697209</v>
      </c>
      <c r="AG32" s="45">
        <v>86664.333344692219</v>
      </c>
      <c r="AH32" s="45">
        <v>86978.209510931425</v>
      </c>
      <c r="AI32" s="45">
        <v>87320.020417110209</v>
      </c>
      <c r="AJ32" s="45">
        <v>88549.164285067745</v>
      </c>
      <c r="AK32" s="45">
        <v>88490.461485647655</v>
      </c>
      <c r="AL32" s="45">
        <v>88814.342894208559</v>
      </c>
      <c r="AM32" s="45">
        <v>89081.936453284783</v>
      </c>
      <c r="AN32" s="45">
        <v>89544.131801570329</v>
      </c>
      <c r="AO32" s="45">
        <v>89533.789508005459</v>
      </c>
      <c r="AP32" s="45">
        <v>89641.589361654173</v>
      </c>
      <c r="AQ32" s="45">
        <v>89715.980976404229</v>
      </c>
      <c r="AR32" s="45">
        <v>89750.216749114334</v>
      </c>
      <c r="AS32" s="45">
        <v>89213.119629146866</v>
      </c>
      <c r="AT32" s="45">
        <v>88466.009648037754</v>
      </c>
      <c r="AU32" s="45">
        <v>87197.447193736312</v>
      </c>
      <c r="AV32" s="45">
        <v>87553.746157407659</v>
      </c>
      <c r="AW32" s="45">
        <v>87919.795400837509</v>
      </c>
      <c r="AX32" s="45">
        <v>90065.674926286229</v>
      </c>
      <c r="AY32" s="45">
        <v>91839.612729228684</v>
      </c>
      <c r="AZ32" s="45">
        <v>91883.534887362301</v>
      </c>
      <c r="BA32" s="45">
        <v>91922.741025197669</v>
      </c>
      <c r="BB32" s="45">
        <v>92594.34458959043</v>
      </c>
      <c r="BC32" s="45">
        <v>92833.750394734292</v>
      </c>
      <c r="BD32" s="45">
        <v>93228.508846434765</v>
      </c>
      <c r="BE32" s="45">
        <v>93306.791627412429</v>
      </c>
      <c r="BF32" s="45">
        <v>93684.959288548183</v>
      </c>
      <c r="BG32" s="45">
        <v>93802.726953433405</v>
      </c>
      <c r="BH32" s="45">
        <v>94078.562866693013</v>
      </c>
      <c r="BI32" s="45">
        <v>94275.971547933412</v>
      </c>
      <c r="BJ32" s="45">
        <v>94443.819867339305</v>
      </c>
      <c r="BK32" s="45">
        <v>94758.075354380009</v>
      </c>
      <c r="BL32" s="45">
        <v>95058.109106292701</v>
      </c>
      <c r="BM32" s="45">
        <v>95326.898409563903</v>
      </c>
      <c r="BN32" s="45">
        <v>95592.11476475207</v>
      </c>
      <c r="BO32" s="45">
        <v>95817.002237705805</v>
      </c>
      <c r="BP32" s="45">
        <v>95940.698897605762</v>
      </c>
      <c r="BQ32" s="45">
        <v>96052.160261755955</v>
      </c>
      <c r="BR32" s="45">
        <v>96155.59573485321</v>
      </c>
      <c r="BS32" s="45">
        <v>96157.723119094502</v>
      </c>
      <c r="BT32" s="45">
        <v>96242.714113032955</v>
      </c>
      <c r="BU32" s="45">
        <v>96331.370394957616</v>
      </c>
      <c r="BV32" s="45">
        <v>96439.28534770722</v>
      </c>
      <c r="BW32" s="45">
        <v>96514.154986345355</v>
      </c>
      <c r="BX32" s="45">
        <v>96657.565703701519</v>
      </c>
      <c r="BY32" s="45">
        <v>96810.484312087399</v>
      </c>
      <c r="BZ32" s="45">
        <v>97087.146295326995</v>
      </c>
      <c r="CA32" s="45">
        <v>97271.323391150858</v>
      </c>
      <c r="CB32" s="45">
        <v>97377.370833387176</v>
      </c>
      <c r="CC32" s="45">
        <v>97524.20097487804</v>
      </c>
      <c r="CD32" s="45">
        <v>97632.402172938804</v>
      </c>
      <c r="CE32" s="45">
        <v>97725.054581227319</v>
      </c>
      <c r="CF32" s="45">
        <v>97876.694594241271</v>
      </c>
      <c r="CG32" s="45">
        <v>97986.347570982034</v>
      </c>
      <c r="CH32" s="45">
        <v>98075.075626622245</v>
      </c>
      <c r="CI32" s="45">
        <v>98206.286375766547</v>
      </c>
      <c r="CJ32" s="45">
        <v>98243.087572368182</v>
      </c>
      <c r="CK32" s="45">
        <v>98311.31771949587</v>
      </c>
      <c r="CL32" s="45">
        <v>98437.234350116312</v>
      </c>
      <c r="CM32" s="45">
        <v>98479.440281081523</v>
      </c>
      <c r="CN32" s="45">
        <v>98560.659944216284</v>
      </c>
      <c r="CO32" s="45">
        <v>98635.187001646904</v>
      </c>
      <c r="CP32" s="45">
        <v>98703.739431805967</v>
      </c>
      <c r="CQ32" s="45">
        <v>98762.514282624063</v>
      </c>
      <c r="CR32" s="45">
        <v>98782.863041408535</v>
      </c>
      <c r="CS32" s="45">
        <v>98849.669362615678</v>
      </c>
      <c r="CT32" s="45">
        <v>98878.968436010284</v>
      </c>
      <c r="CU32" s="45">
        <v>98915.706356033275</v>
      </c>
      <c r="CV32" s="45">
        <v>98933.38625981065</v>
      </c>
      <c r="CW32" s="45">
        <v>98955.775557382265</v>
      </c>
      <c r="CX32" s="45">
        <v>99001.959333759878</v>
      </c>
      <c r="CY32" s="45">
        <v>99009.163974085473</v>
      </c>
      <c r="CZ32" s="45">
        <v>99022.768592996727</v>
      </c>
      <c r="DA32" s="45">
        <v>99027.437555190743</v>
      </c>
      <c r="DB32" s="45">
        <v>99072.610736963194</v>
      </c>
      <c r="DC32" s="45">
        <v>99096.51543012583</v>
      </c>
      <c r="DD32" s="45">
        <v>99110.594572055139</v>
      </c>
      <c r="DE32" s="45">
        <v>99129.789721703593</v>
      </c>
      <c r="DF32" s="45">
        <v>99180.268441930559</v>
      </c>
      <c r="DG32" s="45">
        <v>99185.883315777071</v>
      </c>
      <c r="DH32" s="45">
        <v>99206.021265834192</v>
      </c>
      <c r="DI32" s="45">
        <v>99205.925650904537</v>
      </c>
      <c r="DJ32" s="45">
        <v>99245.604453566761</v>
      </c>
      <c r="DK32" s="45">
        <v>99265.873691224784</v>
      </c>
      <c r="DL32" s="45">
        <v>99269.408557542629</v>
      </c>
      <c r="DM32" s="45">
        <v>99275.761825174763</v>
      </c>
      <c r="DN32" s="45">
        <v>99278.597148124449</v>
      </c>
      <c r="DO32" s="45">
        <v>99306.653796880797</v>
      </c>
      <c r="DP32">
        <v>99331.667480493605</v>
      </c>
      <c r="DQ32">
        <v>99339.401389073755</v>
      </c>
      <c r="DR32">
        <v>99362.469970021863</v>
      </c>
      <c r="DS32">
        <v>99372.353961533954</v>
      </c>
      <c r="DT32">
        <v>99395.774584098544</v>
      </c>
      <c r="DU32">
        <v>99418.289266572057</v>
      </c>
    </row>
    <row r="33" spans="1:125">
      <c r="A33" s="42">
        <v>31</v>
      </c>
      <c r="B33" s="45"/>
      <c r="C33" s="45"/>
      <c r="D33" s="45"/>
      <c r="E33" s="45"/>
      <c r="F33" s="45"/>
      <c r="G33" s="45"/>
      <c r="H33" s="45"/>
      <c r="I33" s="45"/>
      <c r="J33" s="45"/>
      <c r="K33" s="45"/>
      <c r="L33" s="45"/>
      <c r="M33" s="45"/>
      <c r="N33" s="45"/>
      <c r="O33" s="45"/>
      <c r="P33" s="45"/>
      <c r="Q33" s="45"/>
      <c r="R33" s="45"/>
      <c r="S33" s="45"/>
      <c r="T33" s="45"/>
      <c r="U33" s="45"/>
      <c r="V33" s="45"/>
      <c r="W33" s="45">
        <v>78875.5</v>
      </c>
      <c r="X33" s="45">
        <v>79679</v>
      </c>
      <c r="Y33" s="45">
        <v>79809.462481268332</v>
      </c>
      <c r="Z33" s="45">
        <v>81969.33037126319</v>
      </c>
      <c r="AA33" s="45">
        <v>82396.405946171406</v>
      </c>
      <c r="AB33" s="45">
        <v>83040.855377101543</v>
      </c>
      <c r="AC33" s="45">
        <v>83899.855980794324</v>
      </c>
      <c r="AD33" s="45">
        <v>84880.790838767658</v>
      </c>
      <c r="AE33" s="45">
        <v>84847.437573969917</v>
      </c>
      <c r="AF33" s="45">
        <v>86096.493319635018</v>
      </c>
      <c r="AG33" s="45">
        <v>86548.6444559027</v>
      </c>
      <c r="AH33" s="45">
        <v>86867.690847747232</v>
      </c>
      <c r="AI33" s="45">
        <v>87205.910097067885</v>
      </c>
      <c r="AJ33" s="45">
        <v>88440.495984658657</v>
      </c>
      <c r="AK33" s="45">
        <v>88380.904356586427</v>
      </c>
      <c r="AL33" s="45">
        <v>88701.816697094182</v>
      </c>
      <c r="AM33" s="45">
        <v>88975.004310226068</v>
      </c>
      <c r="AN33" s="45">
        <v>89438.605672170437</v>
      </c>
      <c r="AO33" s="45">
        <v>89424.77240092415</v>
      </c>
      <c r="AP33" s="45">
        <v>89533.502290837132</v>
      </c>
      <c r="AQ33" s="45">
        <v>89605.040549657337</v>
      </c>
      <c r="AR33" s="45">
        <v>89647.397875592214</v>
      </c>
      <c r="AS33" s="45">
        <v>89114.551284381188</v>
      </c>
      <c r="AT33" s="45">
        <v>88366.891705880349</v>
      </c>
      <c r="AU33" s="45">
        <v>87098.660955739848</v>
      </c>
      <c r="AV33" s="45">
        <v>87455.675409772113</v>
      </c>
      <c r="AW33" s="45">
        <v>87823.238785356923</v>
      </c>
      <c r="AX33" s="45">
        <v>89972.240197440246</v>
      </c>
      <c r="AY33" s="45">
        <v>91752.929364903714</v>
      </c>
      <c r="AZ33" s="45">
        <v>91790.753796357341</v>
      </c>
      <c r="BA33" s="45">
        <v>91830.488668203034</v>
      </c>
      <c r="BB33" s="45">
        <v>92500.923051160193</v>
      </c>
      <c r="BC33" s="45">
        <v>92751.786434482055</v>
      </c>
      <c r="BD33" s="45">
        <v>93145.24527638391</v>
      </c>
      <c r="BE33" s="45">
        <v>93224.423201036174</v>
      </c>
      <c r="BF33" s="45">
        <v>93602.202465655311</v>
      </c>
      <c r="BG33" s="45">
        <v>93719.370446465458</v>
      </c>
      <c r="BH33" s="45">
        <v>93998.579533035561</v>
      </c>
      <c r="BI33" s="45">
        <v>94191.714811997983</v>
      </c>
      <c r="BJ33" s="45">
        <v>94356.533129678617</v>
      </c>
      <c r="BK33" s="45">
        <v>94666.088646280958</v>
      </c>
      <c r="BL33" s="45">
        <v>94976.511485607552</v>
      </c>
      <c r="BM33" s="45">
        <v>95246.517823319504</v>
      </c>
      <c r="BN33" s="45">
        <v>95511.837253344798</v>
      </c>
      <c r="BO33" s="45">
        <v>95743.026326638996</v>
      </c>
      <c r="BP33" s="45">
        <v>95873.016988366348</v>
      </c>
      <c r="BQ33" s="45">
        <v>95988.546996929392</v>
      </c>
      <c r="BR33" s="45">
        <v>96096.077645849029</v>
      </c>
      <c r="BS33" s="45">
        <v>96097.824378118006</v>
      </c>
      <c r="BT33" s="45">
        <v>96189.862584916671</v>
      </c>
      <c r="BU33" s="45">
        <v>96276.193435673282</v>
      </c>
      <c r="BV33" s="45">
        <v>96389.090643597243</v>
      </c>
      <c r="BW33" s="45">
        <v>96463.736604099453</v>
      </c>
      <c r="BX33" s="45">
        <v>96608.122373595193</v>
      </c>
      <c r="BY33" s="45">
        <v>96764.105919713213</v>
      </c>
      <c r="BZ33" s="45">
        <v>97042.971700022885</v>
      </c>
      <c r="CA33" s="45">
        <v>97227.99889448355</v>
      </c>
      <c r="CB33" s="45">
        <v>97328.8981339202</v>
      </c>
      <c r="CC33" s="45">
        <v>97479.233180122712</v>
      </c>
      <c r="CD33" s="45">
        <v>97586.063907178963</v>
      </c>
      <c r="CE33" s="45">
        <v>97681.855425360947</v>
      </c>
      <c r="CF33" s="45">
        <v>97829.989802497119</v>
      </c>
      <c r="CG33" s="45">
        <v>97944.482758272832</v>
      </c>
      <c r="CH33" s="45">
        <v>98031.015836409686</v>
      </c>
      <c r="CI33" s="45">
        <v>98163.363605396458</v>
      </c>
      <c r="CJ33" s="45">
        <v>98198.867905736173</v>
      </c>
      <c r="CK33" s="45">
        <v>98269.727671265107</v>
      </c>
      <c r="CL33" s="45">
        <v>98394.930670484842</v>
      </c>
      <c r="CM33" s="45">
        <v>98442.812117732014</v>
      </c>
      <c r="CN33" s="45">
        <v>98521.50283544464</v>
      </c>
      <c r="CO33" s="45">
        <v>98594.933758824685</v>
      </c>
      <c r="CP33" s="45">
        <v>98664.7337376051</v>
      </c>
      <c r="CQ33" s="45">
        <v>98724.497616234265</v>
      </c>
      <c r="CR33" s="45">
        <v>98745.828870491634</v>
      </c>
      <c r="CS33" s="45">
        <v>98813.571527891821</v>
      </c>
      <c r="CT33" s="45">
        <v>98843.798541259006</v>
      </c>
      <c r="CU33" s="45">
        <v>98881.436508639366</v>
      </c>
      <c r="CV33" s="45">
        <v>98900.000131901761</v>
      </c>
      <c r="CW33" s="45">
        <v>98923.251907724771</v>
      </c>
      <c r="CX33" s="45">
        <v>98970.264692281693</v>
      </c>
      <c r="CY33" s="45">
        <v>98978.292205278587</v>
      </c>
      <c r="CZ33" s="45">
        <v>98992.693134141533</v>
      </c>
      <c r="DA33" s="45">
        <v>98998.142868466763</v>
      </c>
      <c r="DB33" s="45">
        <v>99044.062562543812</v>
      </c>
      <c r="DC33" s="45">
        <v>99068.699188121129</v>
      </c>
      <c r="DD33" s="45">
        <v>99083.492255145422</v>
      </c>
      <c r="DE33" s="45">
        <v>99103.382768934272</v>
      </c>
      <c r="DF33" s="45">
        <v>99154.530962483594</v>
      </c>
      <c r="DG33" s="45">
        <v>99160.807820776201</v>
      </c>
      <c r="DH33" s="45">
        <v>99181.58906105881</v>
      </c>
      <c r="DI33" s="45">
        <v>99182.12360560424</v>
      </c>
      <c r="DJ33" s="45">
        <v>99222.407175111846</v>
      </c>
      <c r="DK33" s="45">
        <v>99243.271510667691</v>
      </c>
      <c r="DL33" s="45">
        <v>99247.389801591067</v>
      </c>
      <c r="DM33" s="45">
        <v>99254.309312368991</v>
      </c>
      <c r="DN33" s="45">
        <v>99257.698694185441</v>
      </c>
      <c r="DO33" s="45">
        <v>99286.289173166821</v>
      </c>
      <c r="DP33">
        <v>99311.824206315214</v>
      </c>
      <c r="DQ33">
        <v>99320.069147556467</v>
      </c>
      <c r="DR33">
        <v>99343.631811079918</v>
      </c>
      <c r="DS33">
        <v>99354.001145037517</v>
      </c>
      <c r="DT33">
        <v>99377.891517266311</v>
      </c>
      <c r="DU33">
        <v>99400.864098024686</v>
      </c>
    </row>
    <row r="34" spans="1:125">
      <c r="A34" s="42">
        <v>32</v>
      </c>
      <c r="B34" s="45"/>
      <c r="C34" s="45"/>
      <c r="D34" s="45"/>
      <c r="E34" s="45"/>
      <c r="F34" s="45"/>
      <c r="G34" s="45"/>
      <c r="H34" s="45"/>
      <c r="I34" s="45"/>
      <c r="J34" s="45"/>
      <c r="K34" s="45"/>
      <c r="L34" s="45"/>
      <c r="M34" s="45"/>
      <c r="N34" s="45"/>
      <c r="O34" s="45"/>
      <c r="P34" s="45"/>
      <c r="Q34" s="45"/>
      <c r="R34" s="45"/>
      <c r="S34" s="45"/>
      <c r="T34" s="45"/>
      <c r="U34" s="45"/>
      <c r="V34" s="45"/>
      <c r="W34" s="45">
        <v>78746.5</v>
      </c>
      <c r="X34" s="45">
        <v>79555</v>
      </c>
      <c r="Y34" s="45">
        <v>79681.746052382005</v>
      </c>
      <c r="Z34" s="45">
        <v>81842.780233537895</v>
      </c>
      <c r="AA34" s="45">
        <v>82272.417369839328</v>
      </c>
      <c r="AB34" s="45">
        <v>82916.797992363514</v>
      </c>
      <c r="AC34" s="45">
        <v>83777.799839638232</v>
      </c>
      <c r="AD34" s="45">
        <v>84755.532900037011</v>
      </c>
      <c r="AE34" s="45">
        <v>84726.422944204765</v>
      </c>
      <c r="AF34" s="45">
        <v>85979.165288159216</v>
      </c>
      <c r="AG34" s="45">
        <v>86429.023220890842</v>
      </c>
      <c r="AH34" s="45">
        <v>86751.772913245921</v>
      </c>
      <c r="AI34" s="45">
        <v>87090.063860769966</v>
      </c>
      <c r="AJ34" s="45">
        <v>88318.87992767492</v>
      </c>
      <c r="AK34" s="45">
        <v>88270.956947032915</v>
      </c>
      <c r="AL34" s="45">
        <v>88592.305380560691</v>
      </c>
      <c r="AM34" s="45">
        <v>88867.30564994656</v>
      </c>
      <c r="AN34" s="45">
        <v>89324.967528430425</v>
      </c>
      <c r="AO34" s="45">
        <v>89311.404496578514</v>
      </c>
      <c r="AP34" s="45">
        <v>89420.988188675168</v>
      </c>
      <c r="AQ34" s="45">
        <v>89493.110063036671</v>
      </c>
      <c r="AR34" s="45">
        <v>89542.872849486128</v>
      </c>
      <c r="AS34" s="45">
        <v>89005.670044325205</v>
      </c>
      <c r="AT34" s="45">
        <v>88261.046851389518</v>
      </c>
      <c r="AU34" s="45">
        <v>86993.640781890514</v>
      </c>
      <c r="AV34" s="45">
        <v>87352.414599595853</v>
      </c>
      <c r="AW34" s="45">
        <v>87727.795552353564</v>
      </c>
      <c r="AX34" s="45">
        <v>89876.943718528797</v>
      </c>
      <c r="AY34" s="45">
        <v>91659.784941579826</v>
      </c>
      <c r="AZ34" s="45">
        <v>91691.516845011822</v>
      </c>
      <c r="BA34" s="45">
        <v>91734.231214223604</v>
      </c>
      <c r="BB34" s="45">
        <v>92409.731906439178</v>
      </c>
      <c r="BC34" s="45">
        <v>92664.784848534298</v>
      </c>
      <c r="BD34" s="45">
        <v>93056.684436459182</v>
      </c>
      <c r="BE34" s="45">
        <v>93138.492224675923</v>
      </c>
      <c r="BF34" s="45">
        <v>93514.652969731513</v>
      </c>
      <c r="BG34" s="45">
        <v>93633.250214665124</v>
      </c>
      <c r="BH34" s="45">
        <v>93912.040105384731</v>
      </c>
      <c r="BI34" s="45">
        <v>94099.302043046395</v>
      </c>
      <c r="BJ34" s="45">
        <v>94264.744311927701</v>
      </c>
      <c r="BK34" s="45">
        <v>94578.823255747528</v>
      </c>
      <c r="BL34" s="45">
        <v>94897.209634978426</v>
      </c>
      <c r="BM34" s="45">
        <v>95165.567771770322</v>
      </c>
      <c r="BN34" s="45">
        <v>95432.014635516127</v>
      </c>
      <c r="BO34" s="45">
        <v>95668.699346264388</v>
      </c>
      <c r="BP34" s="45">
        <v>95804.528471305792</v>
      </c>
      <c r="BQ34" s="45">
        <v>95925.822673765084</v>
      </c>
      <c r="BR34" s="45">
        <v>96035.46079518694</v>
      </c>
      <c r="BS34" s="45">
        <v>96036.923289416431</v>
      </c>
      <c r="BT34" s="45">
        <v>96135.561594093306</v>
      </c>
      <c r="BU34" s="45">
        <v>96219.203319985594</v>
      </c>
      <c r="BV34" s="45">
        <v>96334.091805617471</v>
      </c>
      <c r="BW34" s="45">
        <v>96411.333687390899</v>
      </c>
      <c r="BX34" s="45">
        <v>96557.013894610427</v>
      </c>
      <c r="BY34" s="45">
        <v>96714.885657619452</v>
      </c>
      <c r="BZ34" s="45">
        <v>96990.87580527387</v>
      </c>
      <c r="CA34" s="45">
        <v>97177.102531087643</v>
      </c>
      <c r="CB34" s="45">
        <v>97279.540949311777</v>
      </c>
      <c r="CC34" s="45">
        <v>97429.119724530407</v>
      </c>
      <c r="CD34" s="45">
        <v>97539.769294240803</v>
      </c>
      <c r="CE34" s="45">
        <v>97635.881294378371</v>
      </c>
      <c r="CF34" s="45">
        <v>97784.773815742141</v>
      </c>
      <c r="CG34" s="45">
        <v>97891.191367225256</v>
      </c>
      <c r="CH34" s="45">
        <v>97981.761604264961</v>
      </c>
      <c r="CI34" s="45">
        <v>98115.916176126804</v>
      </c>
      <c r="CJ34" s="45">
        <v>98154.820715922629</v>
      </c>
      <c r="CK34" s="45">
        <v>98225.737710643283</v>
      </c>
      <c r="CL34" s="45">
        <v>98348.981920745093</v>
      </c>
      <c r="CM34" s="45">
        <v>98401.903647602972</v>
      </c>
      <c r="CN34" s="45">
        <v>98478.91387947413</v>
      </c>
      <c r="CO34" s="45">
        <v>98552.503153184691</v>
      </c>
      <c r="CP34" s="45">
        <v>98623.358361586928</v>
      </c>
      <c r="CQ34" s="45">
        <v>98684.152881062619</v>
      </c>
      <c r="CR34" s="45">
        <v>98706.508644115078</v>
      </c>
      <c r="CS34" s="45">
        <v>98775.227897788151</v>
      </c>
      <c r="CT34" s="45">
        <v>98806.423423883927</v>
      </c>
      <c r="CU34" s="45">
        <v>98845.001215903874</v>
      </c>
      <c r="CV34" s="45">
        <v>98864.488164548398</v>
      </c>
      <c r="CW34" s="45">
        <v>98888.641405305796</v>
      </c>
      <c r="CX34" s="45">
        <v>98936.521007202813</v>
      </c>
      <c r="CY34" s="45">
        <v>98945.409501597198</v>
      </c>
      <c r="CZ34" s="45">
        <v>98960.644037592749</v>
      </c>
      <c r="DA34" s="45">
        <v>98966.91149855635</v>
      </c>
      <c r="DB34" s="45">
        <v>99013.609059296577</v>
      </c>
      <c r="DC34" s="45">
        <v>99039.013818669569</v>
      </c>
      <c r="DD34" s="45">
        <v>99054.556530535541</v>
      </c>
      <c r="DE34" s="45">
        <v>99075.177469624759</v>
      </c>
      <c r="DF34" s="45">
        <v>99127.029051672638</v>
      </c>
      <c r="DG34" s="45">
        <v>99134.001968374214</v>
      </c>
      <c r="DH34" s="45">
        <v>99155.459802395722</v>
      </c>
      <c r="DI34" s="45">
        <v>99156.657529791191</v>
      </c>
      <c r="DJ34" s="45">
        <v>99197.577666214929</v>
      </c>
      <c r="DK34" s="45">
        <v>99219.068715085436</v>
      </c>
      <c r="DL34" s="45">
        <v>99223.801758359681</v>
      </c>
      <c r="DM34" s="45">
        <v>99231.31819177579</v>
      </c>
      <c r="DN34" s="45">
        <v>99235.291883525875</v>
      </c>
      <c r="DO34" s="45">
        <v>99264.445504368356</v>
      </c>
      <c r="DP34">
        <v>99290.530749462734</v>
      </c>
      <c r="DQ34">
        <v>99299.315311725295</v>
      </c>
      <c r="DR34">
        <v>99323.399886638013</v>
      </c>
      <c r="DS34">
        <v>99334.282133756322</v>
      </c>
      <c r="DT34">
        <v>99358.669122589039</v>
      </c>
      <c r="DU34">
        <v>99382.125999981072</v>
      </c>
    </row>
    <row r="35" spans="1:125">
      <c r="A35" s="42">
        <v>33</v>
      </c>
      <c r="B35" s="45"/>
      <c r="C35" s="45"/>
      <c r="D35" s="45"/>
      <c r="E35" s="45"/>
      <c r="F35" s="45"/>
      <c r="G35" s="45"/>
      <c r="H35" s="45"/>
      <c r="I35" s="45"/>
      <c r="J35" s="45"/>
      <c r="K35" s="45"/>
      <c r="L35" s="45"/>
      <c r="M35" s="45"/>
      <c r="N35" s="45"/>
      <c r="O35" s="45"/>
      <c r="P35" s="45"/>
      <c r="Q35" s="45"/>
      <c r="R35" s="45"/>
      <c r="S35" s="45"/>
      <c r="T35" s="45"/>
      <c r="U35" s="45"/>
      <c r="V35" s="45"/>
      <c r="W35" s="45">
        <v>78616</v>
      </c>
      <c r="X35" s="45">
        <v>79422</v>
      </c>
      <c r="Y35" s="45">
        <v>79548.221293738898</v>
      </c>
      <c r="Z35" s="45">
        <v>81711.700380893075</v>
      </c>
      <c r="AA35" s="45">
        <v>82136.510497057097</v>
      </c>
      <c r="AB35" s="45">
        <v>82789.635515002912</v>
      </c>
      <c r="AC35" s="45">
        <v>83651.908295021203</v>
      </c>
      <c r="AD35" s="45">
        <v>84635.248460664181</v>
      </c>
      <c r="AE35" s="45">
        <v>84599.534803315779</v>
      </c>
      <c r="AF35" s="45">
        <v>85856.024171338475</v>
      </c>
      <c r="AG35" s="45">
        <v>86305.213892744709</v>
      </c>
      <c r="AH35" s="45">
        <v>86625.921773878159</v>
      </c>
      <c r="AI35" s="45">
        <v>86970.519649300666</v>
      </c>
      <c r="AJ35" s="45">
        <v>88201.367783462774</v>
      </c>
      <c r="AK35" s="45">
        <v>88155.54747700521</v>
      </c>
      <c r="AL35" s="45">
        <v>88479.724252202475</v>
      </c>
      <c r="AM35" s="45">
        <v>88750.818146787293</v>
      </c>
      <c r="AN35" s="45">
        <v>89206.832586679811</v>
      </c>
      <c r="AO35" s="45">
        <v>89195.355437563645</v>
      </c>
      <c r="AP35" s="45">
        <v>89305.017776808498</v>
      </c>
      <c r="AQ35" s="45">
        <v>89382.513026791188</v>
      </c>
      <c r="AR35" s="45">
        <v>89428.918281849852</v>
      </c>
      <c r="AS35" s="45">
        <v>88892.979888049464</v>
      </c>
      <c r="AT35" s="45">
        <v>88153.042258740839</v>
      </c>
      <c r="AU35" s="45">
        <v>86886.929871954009</v>
      </c>
      <c r="AV35" s="45">
        <v>87247.694430906631</v>
      </c>
      <c r="AW35" s="45">
        <v>87626.320131179426</v>
      </c>
      <c r="AX35" s="45">
        <v>89777.789117000444</v>
      </c>
      <c r="AY35" s="45">
        <v>91560.81533725193</v>
      </c>
      <c r="AZ35" s="45">
        <v>91590.492733857274</v>
      </c>
      <c r="BA35" s="45">
        <v>91641.112567338248</v>
      </c>
      <c r="BB35" s="45">
        <v>92317.589664854808</v>
      </c>
      <c r="BC35" s="45">
        <v>92572.899884387181</v>
      </c>
      <c r="BD35" s="45">
        <v>92967.924411428045</v>
      </c>
      <c r="BE35" s="45">
        <v>93040.158572074724</v>
      </c>
      <c r="BF35" s="45">
        <v>93420.02402610959</v>
      </c>
      <c r="BG35" s="45">
        <v>93534.58569968029</v>
      </c>
      <c r="BH35" s="45">
        <v>93816.4149817742</v>
      </c>
      <c r="BI35" s="45">
        <v>93998.484469233576</v>
      </c>
      <c r="BJ35" s="45">
        <v>94175.304080400296</v>
      </c>
      <c r="BK35" s="45">
        <v>94488.706783484027</v>
      </c>
      <c r="BL35" s="45">
        <v>94808.446612420899</v>
      </c>
      <c r="BM35" s="45">
        <v>95083.788896368802</v>
      </c>
      <c r="BN35" s="45">
        <v>95351.983146150538</v>
      </c>
      <c r="BO35" s="45">
        <v>95597.761658596326</v>
      </c>
      <c r="BP35" s="45">
        <v>95738.060702971416</v>
      </c>
      <c r="BQ35" s="45">
        <v>95858.130418855464</v>
      </c>
      <c r="BR35" s="45">
        <v>95971.908971398487</v>
      </c>
      <c r="BS35" s="45">
        <v>95977.749566955536</v>
      </c>
      <c r="BT35" s="45">
        <v>96079.500460233452</v>
      </c>
      <c r="BU35" s="45">
        <v>96165.288662308682</v>
      </c>
      <c r="BV35" s="45">
        <v>96276.542969391914</v>
      </c>
      <c r="BW35" s="45">
        <v>96360.688941117871</v>
      </c>
      <c r="BX35" s="45">
        <v>96505.575185860813</v>
      </c>
      <c r="BY35" s="45">
        <v>96662.346852264498</v>
      </c>
      <c r="BZ35" s="45">
        <v>96938.513011144387</v>
      </c>
      <c r="CA35" s="45">
        <v>97125.123236916523</v>
      </c>
      <c r="CB35" s="45">
        <v>97224.892524501716</v>
      </c>
      <c r="CC35" s="45">
        <v>97375.23834727853</v>
      </c>
      <c r="CD35" s="45">
        <v>97492.657221632413</v>
      </c>
      <c r="CE35" s="45">
        <v>97584.929218088146</v>
      </c>
      <c r="CF35" s="45">
        <v>97732.602971344197</v>
      </c>
      <c r="CG35" s="45">
        <v>97838.408992157158</v>
      </c>
      <c r="CH35" s="45">
        <v>97933.198189668416</v>
      </c>
      <c r="CI35" s="45">
        <v>98071.393056674075</v>
      </c>
      <c r="CJ35" s="45">
        <v>98108.877964321742</v>
      </c>
      <c r="CK35" s="45">
        <v>98177.570887908048</v>
      </c>
      <c r="CL35" s="45">
        <v>98305.669474026101</v>
      </c>
      <c r="CM35" s="45">
        <v>98353.823768798175</v>
      </c>
      <c r="CN35" s="45">
        <v>98432.515815449107</v>
      </c>
      <c r="CO35" s="45">
        <v>98507.23079590511</v>
      </c>
      <c r="CP35" s="45">
        <v>98579.192052168757</v>
      </c>
      <c r="CQ35" s="45">
        <v>98641.067434266064</v>
      </c>
      <c r="CR35" s="45">
        <v>98664.498407861596</v>
      </c>
      <c r="CS35" s="45">
        <v>98734.242734040396</v>
      </c>
      <c r="CT35" s="45">
        <v>98766.455584939074</v>
      </c>
      <c r="CU35" s="45">
        <v>98806.020974798419</v>
      </c>
      <c r="CV35" s="45">
        <v>98826.478758727375</v>
      </c>
      <c r="CW35" s="45">
        <v>98851.580247562466</v>
      </c>
      <c r="CX35" s="45">
        <v>98900.371925555519</v>
      </c>
      <c r="CY35" s="45">
        <v>98910.167013153201</v>
      </c>
      <c r="CZ35" s="45">
        <v>98926.279687022703</v>
      </c>
      <c r="DA35" s="45">
        <v>98933.405261612541</v>
      </c>
      <c r="DB35" s="45">
        <v>98980.923650917714</v>
      </c>
      <c r="DC35" s="45">
        <v>99007.139428644659</v>
      </c>
      <c r="DD35" s="45">
        <v>99023.474030679281</v>
      </c>
      <c r="DE35" s="45">
        <v>99044.866860535592</v>
      </c>
      <c r="DF35" s="45">
        <v>99097.461924946023</v>
      </c>
      <c r="DG35" s="45">
        <v>99105.171111601114</v>
      </c>
      <c r="DH35" s="45">
        <v>99127.344861615857</v>
      </c>
      <c r="DI35" s="45">
        <v>99129.244708553539</v>
      </c>
      <c r="DJ35" s="45">
        <v>99170.83889615869</v>
      </c>
      <c r="DK35" s="45">
        <v>99192.993929143529</v>
      </c>
      <c r="DL35" s="45">
        <v>99198.378632923865</v>
      </c>
      <c r="DM35" s="45">
        <v>99206.528085828002</v>
      </c>
      <c r="DN35" s="45">
        <v>99211.121696929113</v>
      </c>
      <c r="DO35" s="45">
        <v>99240.872935154111</v>
      </c>
      <c r="DP35">
        <v>99267.542335063772</v>
      </c>
      <c r="DQ35">
        <v>99276.900115861412</v>
      </c>
      <c r="DR35">
        <v>99301.53927718979</v>
      </c>
      <c r="DS35">
        <v>99312.966825049254</v>
      </c>
      <c r="DT35">
        <v>99337.881966644927</v>
      </c>
      <c r="DU35">
        <v>99361.854115243637</v>
      </c>
    </row>
    <row r="36" spans="1:125">
      <c r="A36" s="42">
        <v>34</v>
      </c>
      <c r="B36" s="45"/>
      <c r="C36" s="45"/>
      <c r="D36" s="45"/>
      <c r="E36" s="45"/>
      <c r="F36" s="45"/>
      <c r="G36" s="45"/>
      <c r="H36" s="45"/>
      <c r="I36" s="45"/>
      <c r="J36" s="45"/>
      <c r="K36" s="45"/>
      <c r="L36" s="45"/>
      <c r="M36" s="45"/>
      <c r="N36" s="45"/>
      <c r="O36" s="45"/>
      <c r="P36" s="45"/>
      <c r="Q36" s="45"/>
      <c r="R36" s="45"/>
      <c r="S36" s="45"/>
      <c r="T36" s="45"/>
      <c r="U36" s="45"/>
      <c r="V36" s="45"/>
      <c r="W36" s="45">
        <v>78484.5</v>
      </c>
      <c r="X36" s="45">
        <v>79284</v>
      </c>
      <c r="Y36" s="45">
        <v>79421.188424249791</v>
      </c>
      <c r="Z36" s="45">
        <v>81581.654708502552</v>
      </c>
      <c r="AA36" s="45">
        <v>82007.372534207563</v>
      </c>
      <c r="AB36" s="45">
        <v>82658.496489901154</v>
      </c>
      <c r="AC36" s="45">
        <v>83522.419139171165</v>
      </c>
      <c r="AD36" s="45">
        <v>84504.903966139536</v>
      </c>
      <c r="AE36" s="45">
        <v>84472.277654470759</v>
      </c>
      <c r="AF36" s="45">
        <v>85727.740041593177</v>
      </c>
      <c r="AG36" s="45">
        <v>86179.4776975563</v>
      </c>
      <c r="AH36" s="45">
        <v>86500.49765016028</v>
      </c>
      <c r="AI36" s="45">
        <v>86835.064899481833</v>
      </c>
      <c r="AJ36" s="45">
        <v>88080.378004884231</v>
      </c>
      <c r="AK36" s="45">
        <v>88036.911812066333</v>
      </c>
      <c r="AL36" s="45">
        <v>88357.870430826995</v>
      </c>
      <c r="AM36" s="45">
        <v>88622.664644513003</v>
      </c>
      <c r="AN36" s="45">
        <v>89087.186447892804</v>
      </c>
      <c r="AO36" s="45">
        <v>89069.100113006454</v>
      </c>
      <c r="AP36" s="45">
        <v>89187.350193162041</v>
      </c>
      <c r="AQ36" s="45">
        <v>89263.935511169169</v>
      </c>
      <c r="AR36" s="45">
        <v>89310.325215883073</v>
      </c>
      <c r="AS36" s="45">
        <v>88774.061878369263</v>
      </c>
      <c r="AT36" s="45">
        <v>88035.811332352663</v>
      </c>
      <c r="AU36" s="45">
        <v>86771.760125355897</v>
      </c>
      <c r="AV36" s="45">
        <v>87135.117339185817</v>
      </c>
      <c r="AW36" s="45">
        <v>87524.378515578865</v>
      </c>
      <c r="AX36" s="45">
        <v>89679.277121834573</v>
      </c>
      <c r="AY36" s="45">
        <v>91457.593857484142</v>
      </c>
      <c r="AZ36" s="45">
        <v>91493.001107242977</v>
      </c>
      <c r="BA36" s="45">
        <v>91544.695629913069</v>
      </c>
      <c r="BB36" s="45">
        <v>92223.64823540338</v>
      </c>
      <c r="BC36" s="45">
        <v>92479.67174495064</v>
      </c>
      <c r="BD36" s="45">
        <v>92874.335788389028</v>
      </c>
      <c r="BE36" s="45">
        <v>92941.927806266947</v>
      </c>
      <c r="BF36" s="45">
        <v>93319.564156863664</v>
      </c>
      <c r="BG36" s="45">
        <v>93426.38043653981</v>
      </c>
      <c r="BH36" s="45">
        <v>93710.757067356695</v>
      </c>
      <c r="BI36" s="45">
        <v>93895.998067975044</v>
      </c>
      <c r="BJ36" s="45">
        <v>94068.005342322722</v>
      </c>
      <c r="BK36" s="45">
        <v>94394.449545306561</v>
      </c>
      <c r="BL36" s="45">
        <v>94716.908360176327</v>
      </c>
      <c r="BM36" s="45">
        <v>94999.55701503958</v>
      </c>
      <c r="BN36" s="45">
        <v>95273.131126944223</v>
      </c>
      <c r="BO36" s="45">
        <v>95528.408609443519</v>
      </c>
      <c r="BP36" s="45">
        <v>95665.988459008513</v>
      </c>
      <c r="BQ36" s="45">
        <v>95791.872838944051</v>
      </c>
      <c r="BR36" s="45">
        <v>95909.776469666438</v>
      </c>
      <c r="BS36" s="45">
        <v>95915.707997467252</v>
      </c>
      <c r="BT36" s="45">
        <v>96019.869732376712</v>
      </c>
      <c r="BU36" s="45">
        <v>96104.658588417704</v>
      </c>
      <c r="BV36" s="45">
        <v>96220.197530185207</v>
      </c>
      <c r="BW36" s="45">
        <v>96306.616993426695</v>
      </c>
      <c r="BX36" s="45">
        <v>96452.063597521657</v>
      </c>
      <c r="BY36" s="45">
        <v>96608.269209713617</v>
      </c>
      <c r="BZ36" s="45">
        <v>96886.634841714636</v>
      </c>
      <c r="CA36" s="45">
        <v>97065.639911417005</v>
      </c>
      <c r="CB36" s="45">
        <v>97170.898744948732</v>
      </c>
      <c r="CC36" s="45">
        <v>97322.411548714968</v>
      </c>
      <c r="CD36" s="45">
        <v>97438.55893699787</v>
      </c>
      <c r="CE36" s="45">
        <v>97532.87735156565</v>
      </c>
      <c r="CF36" s="45">
        <v>97680.33653433295</v>
      </c>
      <c r="CG36" s="45">
        <v>97786.411030055926</v>
      </c>
      <c r="CH36" s="45">
        <v>97876.573163848516</v>
      </c>
      <c r="CI36" s="45">
        <v>98019.508714726311</v>
      </c>
      <c r="CJ36" s="45">
        <v>98057.926927914741</v>
      </c>
      <c r="CK36" s="45">
        <v>98129.180666165019</v>
      </c>
      <c r="CL36" s="45">
        <v>98255.844518104015</v>
      </c>
      <c r="CM36" s="45">
        <v>98302.87306579476</v>
      </c>
      <c r="CN36" s="45">
        <v>98382.784356328775</v>
      </c>
      <c r="CO36" s="45">
        <v>98458.684476700262</v>
      </c>
      <c r="CP36" s="45">
        <v>98531.810811086994</v>
      </c>
      <c r="CQ36" s="45">
        <v>98594.825314934686</v>
      </c>
      <c r="CR36" s="45">
        <v>98619.390343634746</v>
      </c>
      <c r="CS36" s="45">
        <v>98690.215918504429</v>
      </c>
      <c r="CT36" s="45">
        <v>98723.502655613149</v>
      </c>
      <c r="CU36" s="45">
        <v>98764.110948968446</v>
      </c>
      <c r="CV36" s="45">
        <v>98785.594544003805</v>
      </c>
      <c r="CW36" s="45">
        <v>98811.698443411573</v>
      </c>
      <c r="CX36" s="45">
        <v>98861.454513048375</v>
      </c>
      <c r="CY36" s="45">
        <v>98872.208938270036</v>
      </c>
      <c r="CZ36" s="45">
        <v>98889.247787568573</v>
      </c>
      <c r="DA36" s="45">
        <v>98897.282975144888</v>
      </c>
      <c r="DB36" s="45">
        <v>98945.671549733292</v>
      </c>
      <c r="DC36" s="45">
        <v>98972.74765721208</v>
      </c>
      <c r="DD36" s="45">
        <v>98989.922682254401</v>
      </c>
      <c r="DE36" s="45">
        <v>99012.135049094271</v>
      </c>
      <c r="DF36" s="45">
        <v>99065.519656985765</v>
      </c>
      <c r="DG36" s="45">
        <v>99074.011270690244</v>
      </c>
      <c r="DH36" s="45">
        <v>99096.94609724512</v>
      </c>
      <c r="DI36" s="45">
        <v>99099.592749180098</v>
      </c>
      <c r="DJ36" s="45">
        <v>99141.904000628652</v>
      </c>
      <c r="DK36" s="45">
        <v>99164.765801804664</v>
      </c>
      <c r="DL36" s="45">
        <v>99170.844526104833</v>
      </c>
      <c r="DM36" s="45">
        <v>99179.668395600354</v>
      </c>
      <c r="DN36" s="45">
        <v>99184.922787512332</v>
      </c>
      <c r="DO36" s="45">
        <v>99215.311184167076</v>
      </c>
      <c r="DP36">
        <v>99242.603674035432</v>
      </c>
      <c r="DQ36">
        <v>99252.573203291351</v>
      </c>
      <c r="DR36">
        <v>99277.804403107031</v>
      </c>
      <c r="DS36">
        <v>99289.814397051799</v>
      </c>
      <c r="DT36">
        <v>99315.293844658096</v>
      </c>
      <c r="DU36">
        <v>99339.816771246871</v>
      </c>
    </row>
    <row r="37" spans="1:125">
      <c r="A37" s="42">
        <v>35</v>
      </c>
      <c r="B37" s="45"/>
      <c r="C37" s="45"/>
      <c r="D37" s="45"/>
      <c r="E37" s="45"/>
      <c r="F37" s="45"/>
      <c r="G37" s="45"/>
      <c r="H37" s="45"/>
      <c r="I37" s="45"/>
      <c r="J37" s="45"/>
      <c r="K37" s="45"/>
      <c r="L37" s="45"/>
      <c r="M37" s="45"/>
      <c r="N37" s="45"/>
      <c r="O37" s="45"/>
      <c r="P37" s="45"/>
      <c r="Q37" s="45"/>
      <c r="R37" s="45"/>
      <c r="S37" s="45"/>
      <c r="T37" s="45"/>
      <c r="U37" s="45"/>
      <c r="V37" s="45"/>
      <c r="W37" s="45">
        <v>78346</v>
      </c>
      <c r="X37" s="45">
        <v>79146</v>
      </c>
      <c r="Y37" s="45">
        <v>79283.625063961372</v>
      </c>
      <c r="Z37" s="45">
        <v>81445.284358119607</v>
      </c>
      <c r="AA37" s="45">
        <v>81873.102735541514</v>
      </c>
      <c r="AB37" s="45">
        <v>82521.331768614531</v>
      </c>
      <c r="AC37" s="45">
        <v>83391.700481579028</v>
      </c>
      <c r="AD37" s="45">
        <v>84373.663323983346</v>
      </c>
      <c r="AE37" s="45">
        <v>84336.167805411154</v>
      </c>
      <c r="AF37" s="45">
        <v>85597.584698970051</v>
      </c>
      <c r="AG37" s="45">
        <v>86048.479430373089</v>
      </c>
      <c r="AH37" s="45">
        <v>86363.734149249853</v>
      </c>
      <c r="AI37" s="45">
        <v>86701.882410504069</v>
      </c>
      <c r="AJ37" s="45">
        <v>87958.375917508674</v>
      </c>
      <c r="AK37" s="45">
        <v>87897.756916366736</v>
      </c>
      <c r="AL37" s="45">
        <v>88229.009835476492</v>
      </c>
      <c r="AM37" s="45">
        <v>88495.635574286644</v>
      </c>
      <c r="AN37" s="45">
        <v>88960.356505222124</v>
      </c>
      <c r="AO37" s="45">
        <v>88941.431392415878</v>
      </c>
      <c r="AP37" s="45">
        <v>89058.069659905901</v>
      </c>
      <c r="AQ37" s="45">
        <v>89137.782392594439</v>
      </c>
      <c r="AR37" s="45">
        <v>89192.287723939517</v>
      </c>
      <c r="AS37" s="45">
        <v>88646.695642617051</v>
      </c>
      <c r="AT37" s="45">
        <v>87913.908804273378</v>
      </c>
      <c r="AU37" s="45">
        <v>86663.965924030941</v>
      </c>
      <c r="AV37" s="45">
        <v>87022.223950452855</v>
      </c>
      <c r="AW37" s="45">
        <v>87420.825456449165</v>
      </c>
      <c r="AX37" s="45">
        <v>89575.669014491374</v>
      </c>
      <c r="AY37" s="45">
        <v>91348.721124494856</v>
      </c>
      <c r="AZ37" s="45">
        <v>91391.482629718463</v>
      </c>
      <c r="BA37" s="45">
        <v>91437.888349938861</v>
      </c>
      <c r="BB37" s="45">
        <v>92121.809891520796</v>
      </c>
      <c r="BC37" s="45">
        <v>92379.750781547598</v>
      </c>
      <c r="BD37" s="45">
        <v>92771.044334377832</v>
      </c>
      <c r="BE37" s="45">
        <v>92830.739098094724</v>
      </c>
      <c r="BF37" s="45">
        <v>93204.401071807137</v>
      </c>
      <c r="BG37" s="45">
        <v>93311.344635922971</v>
      </c>
      <c r="BH37" s="45">
        <v>93601.298568622326</v>
      </c>
      <c r="BI37" s="45">
        <v>93786.964824221679</v>
      </c>
      <c r="BJ37" s="45">
        <v>93961.121327514571</v>
      </c>
      <c r="BK37" s="45">
        <v>94296.935255755845</v>
      </c>
      <c r="BL37" s="45">
        <v>94624.889378302119</v>
      </c>
      <c r="BM37" s="45">
        <v>94914.005172628327</v>
      </c>
      <c r="BN37" s="45">
        <v>95197.170310121786</v>
      </c>
      <c r="BO37" s="45">
        <v>95447.638520235472</v>
      </c>
      <c r="BP37" s="45">
        <v>95595.639842287972</v>
      </c>
      <c r="BQ37" s="45">
        <v>95723.122131006618</v>
      </c>
      <c r="BR37" s="45">
        <v>95839.783941230009</v>
      </c>
      <c r="BS37" s="45">
        <v>95847.940879416186</v>
      </c>
      <c r="BT37" s="45">
        <v>95959.727817751831</v>
      </c>
      <c r="BU37" s="45">
        <v>96043.230199057492</v>
      </c>
      <c r="BV37" s="45">
        <v>96160.025437795106</v>
      </c>
      <c r="BW37" s="45">
        <v>96250.448749352552</v>
      </c>
      <c r="BX37" s="45">
        <v>96395.651056536837</v>
      </c>
      <c r="BY37" s="45">
        <v>96546.233516120978</v>
      </c>
      <c r="BZ37" s="45">
        <v>96827.331116725225</v>
      </c>
      <c r="CA37" s="45">
        <v>97008.823999855318</v>
      </c>
      <c r="CB37" s="45">
        <v>97114.173978293285</v>
      </c>
      <c r="CC37" s="45">
        <v>97264.512026067154</v>
      </c>
      <c r="CD37" s="45">
        <v>97380.569716818092</v>
      </c>
      <c r="CE37" s="45">
        <v>97473.472069428797</v>
      </c>
      <c r="CF37" s="45">
        <v>97623.372943791852</v>
      </c>
      <c r="CG37" s="45">
        <v>97729.828099433129</v>
      </c>
      <c r="CH37" s="45">
        <v>97823.477717718793</v>
      </c>
      <c r="CI37" s="45">
        <v>97966.396176654787</v>
      </c>
      <c r="CJ37" s="45">
        <v>98002.771317637875</v>
      </c>
      <c r="CK37" s="45">
        <v>98071.552158076724</v>
      </c>
      <c r="CL37" s="45">
        <v>98199.731142166434</v>
      </c>
      <c r="CM37" s="45">
        <v>98248.096537191159</v>
      </c>
      <c r="CN37" s="45">
        <v>98329.295213513542</v>
      </c>
      <c r="CO37" s="45">
        <v>98406.44715172032</v>
      </c>
      <c r="CP37" s="45">
        <v>98480.804859688389</v>
      </c>
      <c r="CQ37" s="45">
        <v>98545.023874762002</v>
      </c>
      <c r="CR37" s="45">
        <v>98570.789056390204</v>
      </c>
      <c r="CS37" s="45">
        <v>98642.758915739832</v>
      </c>
      <c r="CT37" s="45">
        <v>98677.183031428518</v>
      </c>
      <c r="CU37" s="45">
        <v>98718.896283689144</v>
      </c>
      <c r="CV37" s="45">
        <v>98741.467376094224</v>
      </c>
      <c r="CW37" s="45">
        <v>98768.634493907797</v>
      </c>
      <c r="CX37" s="45">
        <v>98819.413633163989</v>
      </c>
      <c r="CY37" s="45">
        <v>98831.183517575395</v>
      </c>
      <c r="CZ37" s="45">
        <v>98849.20665372425</v>
      </c>
      <c r="DA37" s="45">
        <v>98858.209071591438</v>
      </c>
      <c r="DB37" s="45">
        <v>98907.523013997081</v>
      </c>
      <c r="DC37" s="45">
        <v>98935.514634020219</v>
      </c>
      <c r="DD37" s="45">
        <v>98953.584373423379</v>
      </c>
      <c r="DE37" s="45">
        <v>98976.669594010702</v>
      </c>
      <c r="DF37" s="45">
        <v>99030.895285057908</v>
      </c>
      <c r="DG37" s="45">
        <v>99040.220962681051</v>
      </c>
      <c r="DH37" s="45">
        <v>99063.967414011582</v>
      </c>
      <c r="DI37" s="45">
        <v>99067.410876331604</v>
      </c>
      <c r="DJ37" s="45">
        <v>99110.48732206304</v>
      </c>
      <c r="DK37" s="45">
        <v>99134.103792417387</v>
      </c>
      <c r="DL37" s="45">
        <v>99140.923969917727</v>
      </c>
      <c r="DM37" s="45">
        <v>99150.468593905709</v>
      </c>
      <c r="DN37" s="45">
        <v>99156.429532963346</v>
      </c>
      <c r="DO37" s="45">
        <v>99187.499364308838</v>
      </c>
      <c r="DP37">
        <v>99215.458554825542</v>
      </c>
      <c r="DQ37">
        <v>99226.08299330622</v>
      </c>
      <c r="DR37">
        <v>99251.948174508696</v>
      </c>
      <c r="DS37">
        <v>99264.582242003584</v>
      </c>
      <c r="DT37">
        <v>99290.666504286462</v>
      </c>
      <c r="DU37">
        <v>99315.779998574755</v>
      </c>
    </row>
    <row r="38" spans="1:125">
      <c r="A38" s="42">
        <v>36</v>
      </c>
      <c r="B38" s="45"/>
      <c r="C38" s="45"/>
      <c r="D38" s="45"/>
      <c r="E38" s="45"/>
      <c r="F38" s="45"/>
      <c r="G38" s="45"/>
      <c r="H38" s="45"/>
      <c r="I38" s="45"/>
      <c r="J38" s="45"/>
      <c r="K38" s="45"/>
      <c r="L38" s="45"/>
      <c r="M38" s="45"/>
      <c r="N38" s="45"/>
      <c r="O38" s="45"/>
      <c r="P38" s="45"/>
      <c r="Q38" s="45"/>
      <c r="R38" s="45"/>
      <c r="S38" s="45"/>
      <c r="T38" s="45"/>
      <c r="U38" s="45"/>
      <c r="V38" s="45"/>
      <c r="W38" s="45">
        <v>78197</v>
      </c>
      <c r="X38" s="45">
        <v>79001.5</v>
      </c>
      <c r="Y38" s="45">
        <v>79140.470486692997</v>
      </c>
      <c r="Z38" s="45">
        <v>81295.18147213888</v>
      </c>
      <c r="AA38" s="45">
        <v>81728.878286802705</v>
      </c>
      <c r="AB38" s="45">
        <v>82380.081817208906</v>
      </c>
      <c r="AC38" s="45">
        <v>83252.019143128797</v>
      </c>
      <c r="AD38" s="45">
        <v>84227.070819678105</v>
      </c>
      <c r="AE38" s="45">
        <v>84195.098934803013</v>
      </c>
      <c r="AF38" s="45">
        <v>85455.892257923566</v>
      </c>
      <c r="AG38" s="45">
        <v>85912.481611826108</v>
      </c>
      <c r="AH38" s="45">
        <v>86225.287176416838</v>
      </c>
      <c r="AI38" s="45">
        <v>86562.333016545308</v>
      </c>
      <c r="AJ38" s="45">
        <v>87811.562752666883</v>
      </c>
      <c r="AK38" s="45">
        <v>87754.354399095944</v>
      </c>
      <c r="AL38" s="45">
        <v>88088.110754559355</v>
      </c>
      <c r="AM38" s="45">
        <v>88361.764533550566</v>
      </c>
      <c r="AN38" s="45">
        <v>88830.098917248833</v>
      </c>
      <c r="AO38" s="45">
        <v>88809.94479649495</v>
      </c>
      <c r="AP38" s="45">
        <v>88928.876598224015</v>
      </c>
      <c r="AQ38" s="45">
        <v>89008.528166740987</v>
      </c>
      <c r="AR38" s="45">
        <v>89057.662342130265</v>
      </c>
      <c r="AS38" s="45">
        <v>88517.218639752187</v>
      </c>
      <c r="AT38" s="45">
        <v>87792.838654262057</v>
      </c>
      <c r="AU38" s="45">
        <v>86547.006602814887</v>
      </c>
      <c r="AV38" s="45">
        <v>86903.348954537127</v>
      </c>
      <c r="AW38" s="45">
        <v>87308.463501134596</v>
      </c>
      <c r="AX38" s="45">
        <v>89463.979919692079</v>
      </c>
      <c r="AY38" s="45">
        <v>91237.553200506256</v>
      </c>
      <c r="AZ38" s="45">
        <v>91286.891656673659</v>
      </c>
      <c r="BA38" s="45">
        <v>91327.760751596536</v>
      </c>
      <c r="BB38" s="45">
        <v>92009.762922555397</v>
      </c>
      <c r="BC38" s="45">
        <v>92270.268606239508</v>
      </c>
      <c r="BD38" s="45">
        <v>92655.165246507997</v>
      </c>
      <c r="BE38" s="45">
        <v>92709.573591830704</v>
      </c>
      <c r="BF38" s="45">
        <v>93081.690884650205</v>
      </c>
      <c r="BG38" s="45">
        <v>93194.171089866795</v>
      </c>
      <c r="BH38" s="45">
        <v>93490.149402093492</v>
      </c>
      <c r="BI38" s="45">
        <v>93675.399270153168</v>
      </c>
      <c r="BJ38" s="45">
        <v>93855.016250850924</v>
      </c>
      <c r="BK38" s="45">
        <v>94194.209165937325</v>
      </c>
      <c r="BL38" s="45">
        <v>94528.138810386561</v>
      </c>
      <c r="BM38" s="45">
        <v>94830.802387231481</v>
      </c>
      <c r="BN38" s="45">
        <v>95117.253138870001</v>
      </c>
      <c r="BO38" s="45">
        <v>95365.731476017638</v>
      </c>
      <c r="BP38" s="45">
        <v>95517.83410709961</v>
      </c>
      <c r="BQ38" s="45">
        <v>95644.446789275753</v>
      </c>
      <c r="BR38" s="45">
        <v>95766.789779924235</v>
      </c>
      <c r="BS38" s="45">
        <v>95778.886346526531</v>
      </c>
      <c r="BT38" s="45">
        <v>95894.801511945814</v>
      </c>
      <c r="BU38" s="45">
        <v>95978.109777307574</v>
      </c>
      <c r="BV38" s="45">
        <v>96099.334291096093</v>
      </c>
      <c r="BW38" s="45">
        <v>96185.949840614368</v>
      </c>
      <c r="BX38" s="45">
        <v>96332.04514606978</v>
      </c>
      <c r="BY38" s="45">
        <v>96490.613645267382</v>
      </c>
      <c r="BZ38" s="45">
        <v>96767.965135759528</v>
      </c>
      <c r="CA38" s="45">
        <v>96945.454801583808</v>
      </c>
      <c r="CB38" s="45">
        <v>97054.658542225283</v>
      </c>
      <c r="CC38" s="45">
        <v>97202.068406120437</v>
      </c>
      <c r="CD38" s="45">
        <v>97316.072530552381</v>
      </c>
      <c r="CE38" s="45">
        <v>97413.887260327523</v>
      </c>
      <c r="CF38" s="45">
        <v>97564.262919431305</v>
      </c>
      <c r="CG38" s="45">
        <v>97674.721411553866</v>
      </c>
      <c r="CH38" s="45">
        <v>97760.290337954153</v>
      </c>
      <c r="CI38" s="45">
        <v>97908.237068567731</v>
      </c>
      <c r="CJ38" s="45">
        <v>97937.908835902068</v>
      </c>
      <c r="CK38" s="45">
        <v>98009.74304976243</v>
      </c>
      <c r="CL38" s="45">
        <v>98139.31337718232</v>
      </c>
      <c r="CM38" s="45">
        <v>98189.092632399523</v>
      </c>
      <c r="CN38" s="45">
        <v>98271.653127522994</v>
      </c>
      <c r="CO38" s="45">
        <v>98350.129672658106</v>
      </c>
      <c r="CP38" s="45">
        <v>98425.791190656222</v>
      </c>
      <c r="CQ38" s="45">
        <v>98491.286154781963</v>
      </c>
      <c r="CR38" s="45">
        <v>98518.323765712092</v>
      </c>
      <c r="CS38" s="45">
        <v>98591.506791208594</v>
      </c>
      <c r="CT38" s="45">
        <v>98627.137710357332</v>
      </c>
      <c r="CU38" s="45">
        <v>98670.023767712381</v>
      </c>
      <c r="CV38" s="45">
        <v>98693.749820664278</v>
      </c>
      <c r="CW38" s="45">
        <v>98722.046695006255</v>
      </c>
      <c r="CX38" s="45">
        <v>98773.910234744195</v>
      </c>
      <c r="CY38" s="45">
        <v>98786.760751141934</v>
      </c>
      <c r="CZ38" s="45">
        <v>98805.83161872848</v>
      </c>
      <c r="DA38" s="45">
        <v>98815.864213007997</v>
      </c>
      <c r="DB38" s="45">
        <v>98866.163783744472</v>
      </c>
      <c r="DC38" s="45">
        <v>98895.131231113541</v>
      </c>
      <c r="DD38" s="45">
        <v>98914.155025839631</v>
      </c>
      <c r="DE38" s="45">
        <v>98938.171398241946</v>
      </c>
      <c r="DF38" s="45">
        <v>98993.294528028637</v>
      </c>
      <c r="DG38" s="45">
        <v>99003.510747069697</v>
      </c>
      <c r="DH38" s="45">
        <v>99028.124135651131</v>
      </c>
      <c r="DI38" s="45">
        <v>99032.41913460473</v>
      </c>
      <c r="DJ38" s="45">
        <v>99076.313447513559</v>
      </c>
      <c r="DK38" s="45">
        <v>99100.737042183726</v>
      </c>
      <c r="DL38" s="45">
        <v>99108.350633565613</v>
      </c>
      <c r="DM38" s="45">
        <v>99118.666770710697</v>
      </c>
      <c r="DN38" s="45">
        <v>99125.384419608017</v>
      </c>
      <c r="DO38" s="45">
        <v>99157.184211009357</v>
      </c>
      <c r="DP38">
        <v>99185.857916885754</v>
      </c>
      <c r="DQ38">
        <v>99197.184601175832</v>
      </c>
      <c r="DR38">
        <v>99223.729762654984</v>
      </c>
      <c r="DS38">
        <v>99237.033587717655</v>
      </c>
      <c r="DT38">
        <v>99263.767121482553</v>
      </c>
      <c r="DU38">
        <v>99289.514863252843</v>
      </c>
    </row>
    <row r="39" spans="1:125">
      <c r="A39" s="42">
        <v>37</v>
      </c>
      <c r="B39" s="45"/>
      <c r="C39" s="45"/>
      <c r="D39" s="45"/>
      <c r="E39" s="45"/>
      <c r="F39" s="45"/>
      <c r="G39" s="45"/>
      <c r="H39" s="45"/>
      <c r="I39" s="45"/>
      <c r="J39" s="45"/>
      <c r="K39" s="45"/>
      <c r="L39" s="45"/>
      <c r="M39" s="45"/>
      <c r="N39" s="45"/>
      <c r="O39" s="45"/>
      <c r="P39" s="45"/>
      <c r="Q39" s="45"/>
      <c r="R39" s="45"/>
      <c r="S39" s="45"/>
      <c r="T39" s="45"/>
      <c r="U39" s="45"/>
      <c r="V39" s="45"/>
      <c r="W39" s="45">
        <v>78043.5</v>
      </c>
      <c r="X39" s="45">
        <v>78853</v>
      </c>
      <c r="Y39" s="45">
        <v>78984.0427827331</v>
      </c>
      <c r="Z39" s="45">
        <v>81144.471852316376</v>
      </c>
      <c r="AA39" s="45">
        <v>81577.555257995642</v>
      </c>
      <c r="AB39" s="45">
        <v>82239.079911308232</v>
      </c>
      <c r="AC39" s="45">
        <v>83106.175075497886</v>
      </c>
      <c r="AD39" s="45">
        <v>84079.969129863894</v>
      </c>
      <c r="AE39" s="45">
        <v>84054.214377461351</v>
      </c>
      <c r="AF39" s="45">
        <v>85302.580854562853</v>
      </c>
      <c r="AG39" s="45">
        <v>85761.028767663898</v>
      </c>
      <c r="AH39" s="45">
        <v>86078.58220782128</v>
      </c>
      <c r="AI39" s="45">
        <v>86412.632828503672</v>
      </c>
      <c r="AJ39" s="45">
        <v>87661.751185386398</v>
      </c>
      <c r="AK39" s="45">
        <v>87608.1878235365</v>
      </c>
      <c r="AL39" s="45">
        <v>87935.981145940896</v>
      </c>
      <c r="AM39" s="45">
        <v>88222.245653947903</v>
      </c>
      <c r="AN39" s="45">
        <v>88683.833248942334</v>
      </c>
      <c r="AO39" s="45">
        <v>88659.12929176382</v>
      </c>
      <c r="AP39" s="45">
        <v>88788.405704686011</v>
      </c>
      <c r="AQ39" s="45">
        <v>88868.509140702168</v>
      </c>
      <c r="AR39" s="45">
        <v>88922.27538465301</v>
      </c>
      <c r="AS39" s="45">
        <v>88385.273022090492</v>
      </c>
      <c r="AT39" s="45">
        <v>87666.114813720036</v>
      </c>
      <c r="AU39" s="45">
        <v>86421.393643432384</v>
      </c>
      <c r="AV39" s="45">
        <v>86779.735969922884</v>
      </c>
      <c r="AW39" s="45">
        <v>87189.286389981105</v>
      </c>
      <c r="AX39" s="45">
        <v>89350.634427077515</v>
      </c>
      <c r="AY39" s="45">
        <v>91121.299746360426</v>
      </c>
      <c r="AZ39" s="45">
        <v>91172.567585900426</v>
      </c>
      <c r="BA39" s="45">
        <v>91211.575537830271</v>
      </c>
      <c r="BB39" s="45">
        <v>91886.689825088339</v>
      </c>
      <c r="BC39" s="45">
        <v>92144.286361156992</v>
      </c>
      <c r="BD39" s="45">
        <v>92523.192291752304</v>
      </c>
      <c r="BE39" s="45">
        <v>92577.63329108982</v>
      </c>
      <c r="BF39" s="45">
        <v>92960.239644787362</v>
      </c>
      <c r="BG39" s="45">
        <v>93066.691481585207</v>
      </c>
      <c r="BH39" s="45">
        <v>93366.703852987674</v>
      </c>
      <c r="BI39" s="45">
        <v>93559.019700695557</v>
      </c>
      <c r="BJ39" s="45">
        <v>93748.387356141713</v>
      </c>
      <c r="BK39" s="45">
        <v>94087.476541476004</v>
      </c>
      <c r="BL39" s="45">
        <v>94430.429027763836</v>
      </c>
      <c r="BM39" s="45">
        <v>94737.644825592055</v>
      </c>
      <c r="BN39" s="45">
        <v>95029.411119663113</v>
      </c>
      <c r="BO39" s="45">
        <v>95280.142665097548</v>
      </c>
      <c r="BP39" s="45">
        <v>95432.52578414767</v>
      </c>
      <c r="BQ39" s="45">
        <v>95566.868992940959</v>
      </c>
      <c r="BR39" s="45">
        <v>95690.74385408641</v>
      </c>
      <c r="BS39" s="45">
        <v>95708.056595067639</v>
      </c>
      <c r="BT39" s="45">
        <v>95826.339660224694</v>
      </c>
      <c r="BU39" s="45">
        <v>95911.97527147294</v>
      </c>
      <c r="BV39" s="45">
        <v>96033.868226890161</v>
      </c>
      <c r="BW39" s="45">
        <v>96118.077570428926</v>
      </c>
      <c r="BX39" s="45">
        <v>96267.491243205179</v>
      </c>
      <c r="BY39" s="45">
        <v>96426.18989578358</v>
      </c>
      <c r="BZ39" s="45">
        <v>96703.852990331216</v>
      </c>
      <c r="CA39" s="45">
        <v>96881.191420928313</v>
      </c>
      <c r="CB39" s="45">
        <v>96987.94744891458</v>
      </c>
      <c r="CC39" s="45">
        <v>97138.000557327265</v>
      </c>
      <c r="CD39" s="45">
        <v>97250.030659171403</v>
      </c>
      <c r="CE39" s="45">
        <v>97351.997933966428</v>
      </c>
      <c r="CF39" s="45">
        <v>97496.533471947143</v>
      </c>
      <c r="CG39" s="45">
        <v>97607.007301831938</v>
      </c>
      <c r="CH39" s="45">
        <v>97696.6119729942</v>
      </c>
      <c r="CI39" s="45">
        <v>97837.019640945931</v>
      </c>
      <c r="CJ39" s="45">
        <v>97869.809073341501</v>
      </c>
      <c r="CK39" s="45">
        <v>97943.193884043649</v>
      </c>
      <c r="CL39" s="45">
        <v>98074.234457267215</v>
      </c>
      <c r="CM39" s="45">
        <v>98125.509578659141</v>
      </c>
      <c r="CN39" s="45">
        <v>98209.51114964814</v>
      </c>
      <c r="CO39" s="45">
        <v>98289.389807570216</v>
      </c>
      <c r="CP39" s="45">
        <v>98366.432317474886</v>
      </c>
      <c r="CQ39" s="45">
        <v>98433.279367850861</v>
      </c>
      <c r="CR39" s="45">
        <v>98461.666508033784</v>
      </c>
      <c r="CS39" s="45">
        <v>98536.13615121445</v>
      </c>
      <c r="CT39" s="45">
        <v>98573.047961840261</v>
      </c>
      <c r="CU39" s="45">
        <v>98617.179237736636</v>
      </c>
      <c r="CV39" s="45">
        <v>98642.13229153218</v>
      </c>
      <c r="CW39" s="45">
        <v>98671.627323989669</v>
      </c>
      <c r="CX39" s="45">
        <v>98724.644097205062</v>
      </c>
      <c r="CY39" s="45">
        <v>98738.644791319675</v>
      </c>
      <c r="CZ39" s="45">
        <v>98758.831098128809</v>
      </c>
      <c r="DA39" s="45">
        <v>98769.961085628034</v>
      </c>
      <c r="DB39" s="45">
        <v>98821.310620642922</v>
      </c>
      <c r="DC39" s="45">
        <v>98851.31834106661</v>
      </c>
      <c r="DD39" s="45">
        <v>98871.359616783884</v>
      </c>
      <c r="DE39" s="45">
        <v>98896.369476620428</v>
      </c>
      <c r="DF39" s="45">
        <v>98952.450307080915</v>
      </c>
      <c r="DG39" s="45">
        <v>98963.617500134744</v>
      </c>
      <c r="DH39" s="45">
        <v>98989.157033889322</v>
      </c>
      <c r="DI39" s="45">
        <v>98994.362175727612</v>
      </c>
      <c r="DJ39" s="45">
        <v>99039.130762286019</v>
      </c>
      <c r="DK39" s="45">
        <v>99064.417691816547</v>
      </c>
      <c r="DL39" s="45">
        <v>99072.880406327575</v>
      </c>
      <c r="DM39" s="45">
        <v>99084.022488184448</v>
      </c>
      <c r="DN39" s="45">
        <v>99091.550668583426</v>
      </c>
      <c r="DO39" s="45">
        <v>99124.132487559342</v>
      </c>
      <c r="DP39">
        <v>99153.572036571757</v>
      </c>
      <c r="DQ39">
        <v>99165.651806358015</v>
      </c>
      <c r="DR39">
        <v>99192.926357392309</v>
      </c>
      <c r="DS39">
        <v>99206.94904232191</v>
      </c>
      <c r="DT39">
        <v>99234.379638693237</v>
      </c>
      <c r="DU39">
        <v>99260.808601244353</v>
      </c>
    </row>
    <row r="40" spans="1:125">
      <c r="A40" s="42">
        <v>38</v>
      </c>
      <c r="B40" s="45"/>
      <c r="C40" s="45"/>
      <c r="D40" s="45"/>
      <c r="E40" s="45"/>
      <c r="F40" s="45"/>
      <c r="G40" s="45"/>
      <c r="H40" s="45"/>
      <c r="I40" s="45"/>
      <c r="J40" s="45"/>
      <c r="K40" s="45"/>
      <c r="L40" s="45"/>
      <c r="M40" s="45"/>
      <c r="N40" s="45"/>
      <c r="O40" s="45"/>
      <c r="P40" s="45"/>
      <c r="Q40" s="45"/>
      <c r="R40" s="45"/>
      <c r="S40" s="45"/>
      <c r="T40" s="45"/>
      <c r="U40" s="45"/>
      <c r="V40" s="45"/>
      <c r="W40" s="45">
        <v>77882</v>
      </c>
      <c r="X40" s="45">
        <v>78695</v>
      </c>
      <c r="Y40" s="45">
        <v>78825.591583209811</v>
      </c>
      <c r="Z40" s="45">
        <v>80988.165905835456</v>
      </c>
      <c r="AA40" s="45">
        <v>81415.292071286676</v>
      </c>
      <c r="AB40" s="45">
        <v>82081.373421301469</v>
      </c>
      <c r="AC40" s="45">
        <v>82947.805711283538</v>
      </c>
      <c r="AD40" s="45">
        <v>83911.617532913719</v>
      </c>
      <c r="AE40" s="45">
        <v>83890.46260229341</v>
      </c>
      <c r="AF40" s="45">
        <v>85144.931404201838</v>
      </c>
      <c r="AG40" s="45">
        <v>85600.401561561506</v>
      </c>
      <c r="AH40" s="45">
        <v>85909.79146023051</v>
      </c>
      <c r="AI40" s="45">
        <v>86244.934529196529</v>
      </c>
      <c r="AJ40" s="45">
        <v>87490.266362916402</v>
      </c>
      <c r="AK40" s="45">
        <v>87443.995859697898</v>
      </c>
      <c r="AL40" s="45">
        <v>87781.391402726571</v>
      </c>
      <c r="AM40" s="45">
        <v>88067.094593727466</v>
      </c>
      <c r="AN40" s="45">
        <v>88533.51014482684</v>
      </c>
      <c r="AO40" s="45">
        <v>88505.560695607914</v>
      </c>
      <c r="AP40" s="45">
        <v>88634.036473374479</v>
      </c>
      <c r="AQ40" s="45">
        <v>88716.836446030153</v>
      </c>
      <c r="AR40" s="45">
        <v>88776.727381197677</v>
      </c>
      <c r="AS40" s="45">
        <v>88241.429383218492</v>
      </c>
      <c r="AT40" s="45">
        <v>87521.671981138265</v>
      </c>
      <c r="AU40" s="45">
        <v>86287.94925072405</v>
      </c>
      <c r="AV40" s="45">
        <v>86649.395076595771</v>
      </c>
      <c r="AW40" s="45">
        <v>87061.606013344019</v>
      </c>
      <c r="AX40" s="45">
        <v>89228.268367097116</v>
      </c>
      <c r="AY40" s="45">
        <v>90994.724499096803</v>
      </c>
      <c r="AZ40" s="45">
        <v>91045.238530677845</v>
      </c>
      <c r="BA40" s="45">
        <v>91087.354338406003</v>
      </c>
      <c r="BB40" s="45">
        <v>91753.420290212147</v>
      </c>
      <c r="BC40" s="45">
        <v>91996.51056635438</v>
      </c>
      <c r="BD40" s="45">
        <v>92382.583571091585</v>
      </c>
      <c r="BE40" s="45">
        <v>92438.934940925348</v>
      </c>
      <c r="BF40" s="45">
        <v>92824.358911463758</v>
      </c>
      <c r="BG40" s="45">
        <v>92932.061362136577</v>
      </c>
      <c r="BH40" s="45">
        <v>93242.070996484748</v>
      </c>
      <c r="BI40" s="45">
        <v>93436.783477652381</v>
      </c>
      <c r="BJ40" s="45">
        <v>93638.202001350423</v>
      </c>
      <c r="BK40" s="45">
        <v>93978.163130646091</v>
      </c>
      <c r="BL40" s="45">
        <v>94330.129917513608</v>
      </c>
      <c r="BM40" s="45">
        <v>94639.731738383372</v>
      </c>
      <c r="BN40" s="45">
        <v>94934.1923018175</v>
      </c>
      <c r="BO40" s="45">
        <v>95191.489305845244</v>
      </c>
      <c r="BP40" s="45">
        <v>95347.81482522274</v>
      </c>
      <c r="BQ40" s="45">
        <v>95485.679188808921</v>
      </c>
      <c r="BR40" s="45">
        <v>95615.461791583017</v>
      </c>
      <c r="BS40" s="45">
        <v>95632.2064671712</v>
      </c>
      <c r="BT40" s="45">
        <v>95755.642006573471</v>
      </c>
      <c r="BU40" s="45">
        <v>95837.77085095743</v>
      </c>
      <c r="BV40" s="45">
        <v>95964.682526831573</v>
      </c>
      <c r="BW40" s="45">
        <v>96043.108645967674</v>
      </c>
      <c r="BX40" s="45">
        <v>96197.855228692802</v>
      </c>
      <c r="BY40" s="45">
        <v>96359.471656273236</v>
      </c>
      <c r="BZ40" s="45">
        <v>96640.161143228266</v>
      </c>
      <c r="CA40" s="45">
        <v>96816.887823423545</v>
      </c>
      <c r="CB40" s="45">
        <v>96916.346907048064</v>
      </c>
      <c r="CC40" s="45">
        <v>97066.048439115752</v>
      </c>
      <c r="CD40" s="45">
        <v>97178.726801048673</v>
      </c>
      <c r="CE40" s="45">
        <v>97281.342502387997</v>
      </c>
      <c r="CF40" s="45">
        <v>97422.948165877111</v>
      </c>
      <c r="CG40" s="45">
        <v>97526.412781553663</v>
      </c>
      <c r="CH40" s="45">
        <v>97619.099556814588</v>
      </c>
      <c r="CI40" s="45">
        <v>97762.111202651082</v>
      </c>
      <c r="CJ40" s="45">
        <v>97796.60606657312</v>
      </c>
      <c r="CK40" s="45">
        <v>97871.627831820311</v>
      </c>
      <c r="CL40" s="45">
        <v>98004.220274951324</v>
      </c>
      <c r="CM40" s="45">
        <v>98057.076222289397</v>
      </c>
      <c r="CN40" s="45">
        <v>98142.600982790143</v>
      </c>
      <c r="CO40" s="45">
        <v>98223.962099173659</v>
      </c>
      <c r="CP40" s="45">
        <v>98302.465642970608</v>
      </c>
      <c r="CQ40" s="45">
        <v>98370.743786079343</v>
      </c>
      <c r="CR40" s="45">
        <v>98400.560529498034</v>
      </c>
      <c r="CS40" s="45">
        <v>98476.39306952263</v>
      </c>
      <c r="CT40" s="45">
        <v>98514.662778813072</v>
      </c>
      <c r="CU40" s="45">
        <v>98560.114567796118</v>
      </c>
      <c r="CV40" s="45">
        <v>98586.366949122516</v>
      </c>
      <c r="CW40" s="45">
        <v>98617.134303930885</v>
      </c>
      <c r="CX40" s="45">
        <v>98671.37583876081</v>
      </c>
      <c r="CY40" s="45">
        <v>98686.599046877411</v>
      </c>
      <c r="CZ40" s="45">
        <v>98707.97125008906</v>
      </c>
      <c r="DA40" s="45">
        <v>98720.268615525667</v>
      </c>
      <c r="DB40" s="45">
        <v>98772.735101163591</v>
      </c>
      <c r="DC40" s="45">
        <v>98803.850241622262</v>
      </c>
      <c r="DD40" s="45">
        <v>98824.975124361197</v>
      </c>
      <c r="DE40" s="45">
        <v>98851.043486707844</v>
      </c>
      <c r="DF40" s="45">
        <v>98908.144875646176</v>
      </c>
      <c r="DG40" s="45">
        <v>98920.326144928025</v>
      </c>
      <c r="DH40" s="45">
        <v>98946.853663335176</v>
      </c>
      <c r="DI40" s="45">
        <v>98953.030204126204</v>
      </c>
      <c r="DJ40" s="45">
        <v>98998.73202035448</v>
      </c>
      <c r="DK40" s="45">
        <v>99024.941075610637</v>
      </c>
      <c r="DL40" s="45">
        <v>99034.311218391114</v>
      </c>
      <c r="DM40" s="45">
        <v>99046.336238880074</v>
      </c>
      <c r="DN40" s="45">
        <v>99054.731332423049</v>
      </c>
      <c r="DO40" s="45">
        <v>99088.14973283268</v>
      </c>
      <c r="DP40">
        <v>99118.408929725061</v>
      </c>
      <c r="DQ40">
        <v>99131.295113384636</v>
      </c>
      <c r="DR40">
        <v>99159.350897134515</v>
      </c>
      <c r="DS40">
        <v>99174.143992607016</v>
      </c>
      <c r="DT40">
        <v>99202.321841265744</v>
      </c>
      <c r="DU40">
        <v>99229.481378107492</v>
      </c>
    </row>
    <row r="41" spans="1:125">
      <c r="A41" s="42">
        <v>39</v>
      </c>
      <c r="B41" s="45"/>
      <c r="C41" s="45"/>
      <c r="D41" s="45"/>
      <c r="E41" s="45"/>
      <c r="F41" s="45"/>
      <c r="G41" s="45"/>
      <c r="H41" s="45"/>
      <c r="I41" s="45"/>
      <c r="J41" s="45"/>
      <c r="K41" s="45"/>
      <c r="L41" s="45"/>
      <c r="M41" s="45"/>
      <c r="N41" s="45"/>
      <c r="O41" s="45"/>
      <c r="P41" s="45"/>
      <c r="Q41" s="45"/>
      <c r="R41" s="45"/>
      <c r="S41" s="45"/>
      <c r="T41" s="45"/>
      <c r="U41" s="45"/>
      <c r="V41" s="45"/>
      <c r="W41" s="45">
        <v>77715</v>
      </c>
      <c r="X41" s="45">
        <v>78528</v>
      </c>
      <c r="Y41" s="45">
        <v>78664.865290012123</v>
      </c>
      <c r="Z41" s="45">
        <v>80820.850275227043</v>
      </c>
      <c r="AA41" s="45">
        <v>81248.792898604239</v>
      </c>
      <c r="AB41" s="45">
        <v>81919.834112422963</v>
      </c>
      <c r="AC41" s="45">
        <v>82784.692258995346</v>
      </c>
      <c r="AD41" s="45">
        <v>83735.833618356206</v>
      </c>
      <c r="AE41" s="45">
        <v>83718.681888034509</v>
      </c>
      <c r="AF41" s="45">
        <v>84968.185866123124</v>
      </c>
      <c r="AG41" s="45">
        <v>85415.519414445793</v>
      </c>
      <c r="AH41" s="45">
        <v>85729.068960881079</v>
      </c>
      <c r="AI41" s="45">
        <v>86066.091814384621</v>
      </c>
      <c r="AJ41" s="45">
        <v>87309.399688220321</v>
      </c>
      <c r="AK41" s="45">
        <v>87274.146341451706</v>
      </c>
      <c r="AL41" s="45">
        <v>87611.625012973789</v>
      </c>
      <c r="AM41" s="45">
        <v>87892.483592776989</v>
      </c>
      <c r="AN41" s="45">
        <v>88368.5842451848</v>
      </c>
      <c r="AO41" s="45">
        <v>88343.284467392499</v>
      </c>
      <c r="AP41" s="45">
        <v>88474.990903788275</v>
      </c>
      <c r="AQ41" s="45">
        <v>88559.023510766347</v>
      </c>
      <c r="AR41" s="45">
        <v>88623.957561863383</v>
      </c>
      <c r="AS41" s="45">
        <v>88087.333343194652</v>
      </c>
      <c r="AT41" s="45">
        <v>87377.97832664795</v>
      </c>
      <c r="AU41" s="45">
        <v>86138.126071683306</v>
      </c>
      <c r="AV41" s="45">
        <v>86508.577497780279</v>
      </c>
      <c r="AW41" s="45">
        <v>86920.914742362918</v>
      </c>
      <c r="AX41" s="45">
        <v>89097.173135263554</v>
      </c>
      <c r="AY41" s="45">
        <v>90860.070154892019</v>
      </c>
      <c r="AZ41" s="45">
        <v>90903.97352038289</v>
      </c>
      <c r="BA41" s="45">
        <v>90948.004273016835</v>
      </c>
      <c r="BB41" s="45">
        <v>91602.963530665686</v>
      </c>
      <c r="BC41" s="45">
        <v>91840.957480228535</v>
      </c>
      <c r="BD41" s="45">
        <v>92230.753495116194</v>
      </c>
      <c r="BE41" s="45">
        <v>92300.411549620592</v>
      </c>
      <c r="BF41" s="45">
        <v>92687.267668552522</v>
      </c>
      <c r="BG41" s="45">
        <v>92789.445995928982</v>
      </c>
      <c r="BH41" s="45">
        <v>93112.124311355583</v>
      </c>
      <c r="BI41" s="45">
        <v>93315.263437653615</v>
      </c>
      <c r="BJ41" s="45">
        <v>93527.506109171605</v>
      </c>
      <c r="BK41" s="45">
        <v>93861.552360322574</v>
      </c>
      <c r="BL41" s="45">
        <v>94218.731724684767</v>
      </c>
      <c r="BM41" s="45">
        <v>94537.732273385176</v>
      </c>
      <c r="BN41" s="45">
        <v>94833.155305481749</v>
      </c>
      <c r="BO41" s="45">
        <v>95096.494079737284</v>
      </c>
      <c r="BP41" s="45">
        <v>95257.110728396889</v>
      </c>
      <c r="BQ41" s="45">
        <v>95401.462774839631</v>
      </c>
      <c r="BR41" s="45">
        <v>95534.477760651032</v>
      </c>
      <c r="BS41" s="45">
        <v>95553.02401468312</v>
      </c>
      <c r="BT41" s="45">
        <v>95674.550095562197</v>
      </c>
      <c r="BU41" s="45">
        <v>95756.940330135811</v>
      </c>
      <c r="BV41" s="45">
        <v>95881.323223324114</v>
      </c>
      <c r="BW41" s="45">
        <v>95970.69690181184</v>
      </c>
      <c r="BX41" s="45">
        <v>96121.610070176597</v>
      </c>
      <c r="BY41" s="45">
        <v>96279.63111025028</v>
      </c>
      <c r="BZ41" s="45">
        <v>96563.191059639532</v>
      </c>
      <c r="CA41" s="45">
        <v>96738.988753792073</v>
      </c>
      <c r="CB41" s="45">
        <v>96835.127577397536</v>
      </c>
      <c r="CC41" s="45">
        <v>96985.302614835993</v>
      </c>
      <c r="CD41" s="45">
        <v>97103.763742103285</v>
      </c>
      <c r="CE41" s="45">
        <v>97204.39123525066</v>
      </c>
      <c r="CF41" s="45">
        <v>97342.842314473732</v>
      </c>
      <c r="CG41" s="45">
        <v>97442.950460993656</v>
      </c>
      <c r="CH41" s="45">
        <v>97537.107314331573</v>
      </c>
      <c r="CI41" s="45">
        <v>97681.856638858386</v>
      </c>
      <c r="CJ41" s="45">
        <v>97718.146858808061</v>
      </c>
      <c r="CK41" s="45">
        <v>97794.892059961538</v>
      </c>
      <c r="CL41" s="45">
        <v>97929.118116165249</v>
      </c>
      <c r="CM41" s="45">
        <v>97983.640111664456</v>
      </c>
      <c r="CN41" s="45">
        <v>98070.770434159553</v>
      </c>
      <c r="CO41" s="45">
        <v>98153.694708497787</v>
      </c>
      <c r="CP41" s="45">
        <v>98233.739688071917</v>
      </c>
      <c r="CQ41" s="45">
        <v>98303.528365605249</v>
      </c>
      <c r="CR41" s="45">
        <v>98334.855292459892</v>
      </c>
      <c r="CS41" s="45">
        <v>98412.127510193444</v>
      </c>
      <c r="CT41" s="45">
        <v>98451.832708093061</v>
      </c>
      <c r="CU41" s="45">
        <v>98498.678212395331</v>
      </c>
      <c r="CV41" s="45">
        <v>98526.305597597617</v>
      </c>
      <c r="CW41" s="45">
        <v>98558.419983974367</v>
      </c>
      <c r="CX41" s="45">
        <v>98613.958380665223</v>
      </c>
      <c r="CY41" s="45">
        <v>98630.477085728926</v>
      </c>
      <c r="CZ41" s="45">
        <v>98653.106335753604</v>
      </c>
      <c r="DA41" s="45">
        <v>98666.641786599241</v>
      </c>
      <c r="DB41" s="45">
        <v>98720.292918879524</v>
      </c>
      <c r="DC41" s="45">
        <v>98752.583376063063</v>
      </c>
      <c r="DD41" s="45">
        <v>98774.858796629269</v>
      </c>
      <c r="DE41" s="45">
        <v>98802.051493445673</v>
      </c>
      <c r="DF41" s="45">
        <v>98860.237096224766</v>
      </c>
      <c r="DG41" s="45">
        <v>98873.496440940187</v>
      </c>
      <c r="DH41" s="45">
        <v>98901.074670665417</v>
      </c>
      <c r="DI41" s="45">
        <v>98908.284812295402</v>
      </c>
      <c r="DJ41" s="45">
        <v>98954.979723502081</v>
      </c>
      <c r="DK41" s="45">
        <v>98982.170643328544</v>
      </c>
      <c r="DL41" s="45">
        <v>98992.507509268995</v>
      </c>
      <c r="DM41" s="45">
        <v>99005.473473242397</v>
      </c>
      <c r="DN41" s="45">
        <v>99014.792883487447</v>
      </c>
      <c r="DO41" s="45">
        <v>99049.103426082758</v>
      </c>
      <c r="DP41">
        <v>99080.237097573554</v>
      </c>
      <c r="DQ41">
        <v>99093.984082955241</v>
      </c>
      <c r="DR41">
        <v>99122.873998139956</v>
      </c>
      <c r="DS41">
        <v>99138.490131004088</v>
      </c>
      <c r="DT41">
        <v>99167.466493810105</v>
      </c>
      <c r="DU41">
        <v>99195.407041087106</v>
      </c>
    </row>
    <row r="42" spans="1:125">
      <c r="A42" s="42">
        <v>40</v>
      </c>
      <c r="B42" s="45"/>
      <c r="C42" s="45"/>
      <c r="D42" s="45"/>
      <c r="E42" s="45"/>
      <c r="F42" s="45"/>
      <c r="G42" s="45"/>
      <c r="H42" s="45"/>
      <c r="I42" s="45"/>
      <c r="J42" s="45"/>
      <c r="K42" s="45"/>
      <c r="L42" s="45"/>
      <c r="M42" s="45"/>
      <c r="N42" s="45"/>
      <c r="O42" s="45"/>
      <c r="P42" s="45"/>
      <c r="Q42" s="45"/>
      <c r="R42" s="45"/>
      <c r="S42" s="45"/>
      <c r="T42" s="45"/>
      <c r="U42" s="45"/>
      <c r="V42" s="45"/>
      <c r="W42" s="45">
        <v>77532.5</v>
      </c>
      <c r="X42" s="45">
        <v>78347</v>
      </c>
      <c r="Y42" s="45">
        <v>78491.182167715742</v>
      </c>
      <c r="Z42" s="45">
        <v>80644.476698047889</v>
      </c>
      <c r="AA42" s="45">
        <v>81066.287054748929</v>
      </c>
      <c r="AB42" s="45">
        <v>81739.197067220608</v>
      </c>
      <c r="AC42" s="45">
        <v>82595.523063022818</v>
      </c>
      <c r="AD42" s="45">
        <v>83552.933622930053</v>
      </c>
      <c r="AE42" s="45">
        <v>83532.107285457023</v>
      </c>
      <c r="AF42" s="45">
        <v>84772.156371149584</v>
      </c>
      <c r="AG42" s="45">
        <v>85224.864984476371</v>
      </c>
      <c r="AH42" s="45">
        <v>85536.598455889442</v>
      </c>
      <c r="AI42" s="45">
        <v>85879.945988870357</v>
      </c>
      <c r="AJ42" s="45">
        <v>87122.606496347697</v>
      </c>
      <c r="AK42" s="45">
        <v>87088.47996934093</v>
      </c>
      <c r="AL42" s="45">
        <v>87427.899174705279</v>
      </c>
      <c r="AM42" s="45">
        <v>87716.150924275949</v>
      </c>
      <c r="AN42" s="45">
        <v>88187.097031020574</v>
      </c>
      <c r="AO42" s="45">
        <v>88170.00665806183</v>
      </c>
      <c r="AP42" s="45">
        <v>88299.203285388794</v>
      </c>
      <c r="AQ42" s="45">
        <v>88384.941090559325</v>
      </c>
      <c r="AR42" s="45">
        <v>88456.099997595651</v>
      </c>
      <c r="AS42" s="45">
        <v>87919.853249173015</v>
      </c>
      <c r="AT42" s="45">
        <v>87223.319871084168</v>
      </c>
      <c r="AU42" s="45">
        <v>85994.800457049889</v>
      </c>
      <c r="AV42" s="45">
        <v>86362.548041356</v>
      </c>
      <c r="AW42" s="45">
        <v>86779.212407026323</v>
      </c>
      <c r="AX42" s="45">
        <v>88948.180475958565</v>
      </c>
      <c r="AY42" s="45">
        <v>90716.479591119394</v>
      </c>
      <c r="AZ42" s="45">
        <v>90747.890744200762</v>
      </c>
      <c r="BA42" s="45">
        <v>90794.801410865242</v>
      </c>
      <c r="BB42" s="45">
        <v>91441.29164912022</v>
      </c>
      <c r="BC42" s="45">
        <v>91678.351463301195</v>
      </c>
      <c r="BD42" s="45">
        <v>92073.568075248593</v>
      </c>
      <c r="BE42" s="45">
        <v>92142.01812214966</v>
      </c>
      <c r="BF42" s="45">
        <v>92542.002954213065</v>
      </c>
      <c r="BG42" s="45">
        <v>92649.853778866251</v>
      </c>
      <c r="BH42" s="45">
        <v>92976.829002131766</v>
      </c>
      <c r="BI42" s="45">
        <v>93183.920901429345</v>
      </c>
      <c r="BJ42" s="45">
        <v>93398.901835735043</v>
      </c>
      <c r="BK42" s="45">
        <v>93742.28142133716</v>
      </c>
      <c r="BL42" s="45">
        <v>94101.899713435501</v>
      </c>
      <c r="BM42" s="45">
        <v>94424.005987074052</v>
      </c>
      <c r="BN42" s="45">
        <v>94724.269929321803</v>
      </c>
      <c r="BO42" s="45">
        <v>94996.198553647497</v>
      </c>
      <c r="BP42" s="45">
        <v>95155.235750692911</v>
      </c>
      <c r="BQ42" s="45">
        <v>95307.087940118538</v>
      </c>
      <c r="BR42" s="45">
        <v>95446.178413382673</v>
      </c>
      <c r="BS42" s="45">
        <v>95464.173649701115</v>
      </c>
      <c r="BT42" s="45">
        <v>95588.546988893126</v>
      </c>
      <c r="BU42" s="45">
        <v>95667.088976651066</v>
      </c>
      <c r="BV42" s="45">
        <v>95798.80656624859</v>
      </c>
      <c r="BW42" s="45">
        <v>95881.944307482976</v>
      </c>
      <c r="BX42" s="45">
        <v>96040.400296862208</v>
      </c>
      <c r="BY42" s="45">
        <v>96199.592770860705</v>
      </c>
      <c r="BZ42" s="45">
        <v>96481.766502717539</v>
      </c>
      <c r="CA42" s="45">
        <v>96657.037457521888</v>
      </c>
      <c r="CB42" s="45">
        <v>96750.101493980546</v>
      </c>
      <c r="CC42" s="45">
        <v>96900.514060159388</v>
      </c>
      <c r="CD42" s="45">
        <v>97016.116452931805</v>
      </c>
      <c r="CE42" s="45">
        <v>97118.112173702495</v>
      </c>
      <c r="CF42" s="45">
        <v>97253.98532051724</v>
      </c>
      <c r="CG42" s="45">
        <v>97353.54991370994</v>
      </c>
      <c r="CH42" s="45">
        <v>97449.613763969406</v>
      </c>
      <c r="CI42" s="45">
        <v>97596.183900005941</v>
      </c>
      <c r="CJ42" s="45">
        <v>97634.357933133942</v>
      </c>
      <c r="CK42" s="45">
        <v>97712.911636480363</v>
      </c>
      <c r="CL42" s="45">
        <v>97848.851733327727</v>
      </c>
      <c r="CM42" s="45">
        <v>97905.123759412643</v>
      </c>
      <c r="CN42" s="45">
        <v>97993.940822728444</v>
      </c>
      <c r="CO42" s="45">
        <v>98078.507920975608</v>
      </c>
      <c r="CP42" s="45">
        <v>98160.173689730378</v>
      </c>
      <c r="CQ42" s="45">
        <v>98231.551405084625</v>
      </c>
      <c r="CR42" s="45">
        <v>98264.46819599536</v>
      </c>
      <c r="CS42" s="45">
        <v>98343.256052919154</v>
      </c>
      <c r="CT42" s="45">
        <v>98384.470607280935</v>
      </c>
      <c r="CU42" s="45">
        <v>98432.784932548238</v>
      </c>
      <c r="CV42" s="45">
        <v>98461.862224707758</v>
      </c>
      <c r="CW42" s="45">
        <v>98495.3975940214</v>
      </c>
      <c r="CX42" s="45">
        <v>98552.304287453706</v>
      </c>
      <c r="CY42" s="45">
        <v>98570.190859979222</v>
      </c>
      <c r="CZ42" s="45">
        <v>98594.147793514552</v>
      </c>
      <c r="DA42" s="45">
        <v>98608.991552606341</v>
      </c>
      <c r="DB42" s="45">
        <v>98663.894592973083</v>
      </c>
      <c r="DC42" s="45">
        <v>98697.42785429192</v>
      </c>
      <c r="DD42" s="45">
        <v>98720.92042114948</v>
      </c>
      <c r="DE42" s="45">
        <v>98749.302989499134</v>
      </c>
      <c r="DF42" s="45">
        <v>98808.636183923431</v>
      </c>
      <c r="DG42" s="45">
        <v>98823.037437797204</v>
      </c>
      <c r="DH42" s="45">
        <v>98851.728942520087</v>
      </c>
      <c r="DI42" s="45">
        <v>98860.034804963565</v>
      </c>
      <c r="DJ42" s="45">
        <v>98907.782595161669</v>
      </c>
      <c r="DK42" s="45">
        <v>98936.015075519623</v>
      </c>
      <c r="DL42" s="45">
        <v>98947.37797118345</v>
      </c>
      <c r="DM42" s="45">
        <v>98961.342949094658</v>
      </c>
      <c r="DN42" s="45">
        <v>98971.64415966165</v>
      </c>
      <c r="DO42" s="45">
        <v>99006.902505533741</v>
      </c>
      <c r="DP42">
        <v>99038.965605616278</v>
      </c>
      <c r="DQ42">
        <v>99053.62795874718</v>
      </c>
      <c r="DR42">
        <v>99083.405109124666</v>
      </c>
      <c r="DS42">
        <v>99099.8971312215</v>
      </c>
      <c r="DT42">
        <v>99129.723518587532</v>
      </c>
      <c r="DU42">
        <v>99158.495787250751</v>
      </c>
    </row>
    <row r="43" spans="1:125">
      <c r="A43" s="42">
        <v>41</v>
      </c>
      <c r="B43" s="45"/>
      <c r="C43" s="45"/>
      <c r="D43" s="45"/>
      <c r="E43" s="45"/>
      <c r="F43" s="45"/>
      <c r="G43" s="45"/>
      <c r="H43" s="45"/>
      <c r="I43" s="45"/>
      <c r="J43" s="45"/>
      <c r="K43" s="45"/>
      <c r="L43" s="45"/>
      <c r="M43" s="45"/>
      <c r="N43" s="45"/>
      <c r="O43" s="45"/>
      <c r="P43" s="45"/>
      <c r="Q43" s="45"/>
      <c r="R43" s="45"/>
      <c r="S43" s="45"/>
      <c r="T43" s="45"/>
      <c r="U43" s="45"/>
      <c r="V43" s="45"/>
      <c r="W43" s="45">
        <v>77346.5</v>
      </c>
      <c r="X43" s="45">
        <v>78156.5</v>
      </c>
      <c r="Y43" s="45">
        <v>78299.720937893377</v>
      </c>
      <c r="Z43" s="45">
        <v>80451.854063393126</v>
      </c>
      <c r="AA43" s="45">
        <v>80876.732065035234</v>
      </c>
      <c r="AB43" s="45">
        <v>81541.717906138496</v>
      </c>
      <c r="AC43" s="45">
        <v>82403.124849524524</v>
      </c>
      <c r="AD43" s="45">
        <v>83358.164651639818</v>
      </c>
      <c r="AE43" s="45">
        <v>83317.838286896324</v>
      </c>
      <c r="AF43" s="45">
        <v>84564.350185123607</v>
      </c>
      <c r="AG43" s="45">
        <v>85020.746363644896</v>
      </c>
      <c r="AH43" s="45">
        <v>85338.987246465607</v>
      </c>
      <c r="AI43" s="45">
        <v>85679.056134253246</v>
      </c>
      <c r="AJ43" s="45">
        <v>86925.853071074234</v>
      </c>
      <c r="AK43" s="45">
        <v>86881.186814353932</v>
      </c>
      <c r="AL43" s="45">
        <v>87226.325773621415</v>
      </c>
      <c r="AM43" s="45">
        <v>87522.362627192313</v>
      </c>
      <c r="AN43" s="45">
        <v>87991.026953474415</v>
      </c>
      <c r="AO43" s="45">
        <v>87976.186713614137</v>
      </c>
      <c r="AP43" s="45">
        <v>88114.253768442184</v>
      </c>
      <c r="AQ43" s="45">
        <v>88200.145406623662</v>
      </c>
      <c r="AR43" s="45">
        <v>88275.312495486927</v>
      </c>
      <c r="AS43" s="45">
        <v>87745.906516186136</v>
      </c>
      <c r="AT43" s="45">
        <v>87058.351885477256</v>
      </c>
      <c r="AU43" s="45">
        <v>85836.799465554184</v>
      </c>
      <c r="AV43" s="45">
        <v>86207.723079965654</v>
      </c>
      <c r="AW43" s="45">
        <v>86629.510546857753</v>
      </c>
      <c r="AX43" s="45">
        <v>88790.520266462438</v>
      </c>
      <c r="AY43" s="45">
        <v>90548.917700425751</v>
      </c>
      <c r="AZ43" s="45">
        <v>90570.78847851514</v>
      </c>
      <c r="BA43" s="45">
        <v>90619.313354763086</v>
      </c>
      <c r="BB43" s="45">
        <v>91271.23848464826</v>
      </c>
      <c r="BC43" s="45">
        <v>91505.448758569197</v>
      </c>
      <c r="BD43" s="45">
        <v>91900.86907564287</v>
      </c>
      <c r="BE43" s="45">
        <v>91980.15719555493</v>
      </c>
      <c r="BF43" s="45">
        <v>92389.665377900004</v>
      </c>
      <c r="BG43" s="45">
        <v>92498.673816557639</v>
      </c>
      <c r="BH43" s="45">
        <v>92832.373955189687</v>
      </c>
      <c r="BI43" s="45">
        <v>93045.606290174677</v>
      </c>
      <c r="BJ43" s="45">
        <v>93264.770172917662</v>
      </c>
      <c r="BK43" s="45">
        <v>93606.282639091674</v>
      </c>
      <c r="BL43" s="45">
        <v>93980.609357359135</v>
      </c>
      <c r="BM43" s="45">
        <v>94308.241223399513</v>
      </c>
      <c r="BN43" s="45">
        <v>94610.297334147341</v>
      </c>
      <c r="BO43" s="45">
        <v>94883.712904724205</v>
      </c>
      <c r="BP43" s="45">
        <v>95051.018852814392</v>
      </c>
      <c r="BQ43" s="45">
        <v>95209.71548615527</v>
      </c>
      <c r="BR43" s="45">
        <v>95346.796012406383</v>
      </c>
      <c r="BS43" s="45">
        <v>95366.753902692697</v>
      </c>
      <c r="BT43" s="45">
        <v>95495.713197956225</v>
      </c>
      <c r="BU43" s="45">
        <v>95569.651717978675</v>
      </c>
      <c r="BV43" s="45">
        <v>95709.539376264322</v>
      </c>
      <c r="BW43" s="45">
        <v>95793.687334468559</v>
      </c>
      <c r="BX43" s="45">
        <v>95950.682087733643</v>
      </c>
      <c r="BY43" s="45">
        <v>96103.819321996387</v>
      </c>
      <c r="BZ43" s="45">
        <v>96385.742708869191</v>
      </c>
      <c r="CA43" s="45">
        <v>96566.486781808519</v>
      </c>
      <c r="CB43" s="45">
        <v>96660.799444521064</v>
      </c>
      <c r="CC43" s="45">
        <v>96813.604069209279</v>
      </c>
      <c r="CD43" s="45">
        <v>96925.381630787757</v>
      </c>
      <c r="CE43" s="45">
        <v>97018.677590826541</v>
      </c>
      <c r="CF43" s="45">
        <v>97156.80092154062</v>
      </c>
      <c r="CG43" s="45">
        <v>97258.405217559601</v>
      </c>
      <c r="CH43" s="45">
        <v>97356.463596578978</v>
      </c>
      <c r="CI43" s="45">
        <v>97504.938047543343</v>
      </c>
      <c r="CJ43" s="45">
        <v>97545.084885954653</v>
      </c>
      <c r="CK43" s="45">
        <v>97625.532662512065</v>
      </c>
      <c r="CL43" s="45">
        <v>97763.267720159536</v>
      </c>
      <c r="CM43" s="45">
        <v>97821.374364260613</v>
      </c>
      <c r="CN43" s="45">
        <v>97911.959929248842</v>
      </c>
      <c r="CO43" s="45">
        <v>97998.250194477223</v>
      </c>
      <c r="CP43" s="45">
        <v>98081.616753575334</v>
      </c>
      <c r="CQ43" s="45">
        <v>98154.662724020134</v>
      </c>
      <c r="CR43" s="45">
        <v>98189.249814939991</v>
      </c>
      <c r="CS43" s="45">
        <v>98269.626568868815</v>
      </c>
      <c r="CT43" s="45">
        <v>98312.427792475035</v>
      </c>
      <c r="CU43" s="45">
        <v>98362.286685610321</v>
      </c>
      <c r="CV43" s="45">
        <v>98392.889483317893</v>
      </c>
      <c r="CW43" s="45">
        <v>98427.920472168014</v>
      </c>
      <c r="CX43" s="45">
        <v>98486.267610064504</v>
      </c>
      <c r="CY43" s="45">
        <v>98505.595187593222</v>
      </c>
      <c r="CZ43" s="45">
        <v>98530.951255469234</v>
      </c>
      <c r="DA43" s="45">
        <v>98547.174371398796</v>
      </c>
      <c r="DB43" s="45">
        <v>98603.397393102379</v>
      </c>
      <c r="DC43" s="45">
        <v>98638.241777647592</v>
      </c>
      <c r="DD43" s="45">
        <v>98663.018984172173</v>
      </c>
      <c r="DE43" s="45">
        <v>98692.657846130693</v>
      </c>
      <c r="DF43" s="45">
        <v>98753.202868386434</v>
      </c>
      <c r="DG43" s="45">
        <v>98768.810821582971</v>
      </c>
      <c r="DH43" s="45">
        <v>98798.67909780232</v>
      </c>
      <c r="DI43" s="45">
        <v>98808.143791007984</v>
      </c>
      <c r="DJ43" s="45">
        <v>98857.005191486183</v>
      </c>
      <c r="DK43" s="45">
        <v>98886.339903004089</v>
      </c>
      <c r="DL43" s="45">
        <v>98898.789145880583</v>
      </c>
      <c r="DM43" s="45">
        <v>98913.812240918487</v>
      </c>
      <c r="DN43" s="45">
        <v>98925.153767377269</v>
      </c>
      <c r="DO43" s="45">
        <v>98961.416593313159</v>
      </c>
      <c r="DP43">
        <v>98994.465099894267</v>
      </c>
      <c r="DQ43">
        <v>99010.098444936622</v>
      </c>
      <c r="DR43">
        <v>99040.816988412393</v>
      </c>
      <c r="DS43">
        <v>99058.238816021039</v>
      </c>
      <c r="DT43">
        <v>99088.967798329162</v>
      </c>
      <c r="DU43">
        <v>99118.623566271388</v>
      </c>
    </row>
    <row r="44" spans="1:125">
      <c r="A44" s="42">
        <v>42</v>
      </c>
      <c r="B44" s="45"/>
      <c r="C44" s="45"/>
      <c r="D44" s="45"/>
      <c r="E44" s="45"/>
      <c r="F44" s="45"/>
      <c r="G44" s="45"/>
      <c r="H44" s="45"/>
      <c r="I44" s="45"/>
      <c r="J44" s="45"/>
      <c r="K44" s="45"/>
      <c r="L44" s="45"/>
      <c r="M44" s="45"/>
      <c r="N44" s="45"/>
      <c r="O44" s="45"/>
      <c r="P44" s="45"/>
      <c r="Q44" s="45"/>
      <c r="R44" s="45"/>
      <c r="S44" s="45"/>
      <c r="T44" s="45"/>
      <c r="U44" s="45"/>
      <c r="V44" s="45"/>
      <c r="W44" s="45">
        <v>77148</v>
      </c>
      <c r="X44" s="45">
        <v>77948</v>
      </c>
      <c r="Y44" s="45">
        <v>78105.237934188568</v>
      </c>
      <c r="Z44" s="45">
        <v>80243.820672764181</v>
      </c>
      <c r="AA44" s="45">
        <v>80667.119885629465</v>
      </c>
      <c r="AB44" s="45">
        <v>81334.892846900155</v>
      </c>
      <c r="AC44" s="45">
        <v>82194.140519607332</v>
      </c>
      <c r="AD44" s="45">
        <v>83133.638040106714</v>
      </c>
      <c r="AE44" s="45">
        <v>83096.286801363269</v>
      </c>
      <c r="AF44" s="45">
        <v>84333.253938631373</v>
      </c>
      <c r="AG44" s="45">
        <v>84795.206262900203</v>
      </c>
      <c r="AH44" s="45">
        <v>85126.187234849262</v>
      </c>
      <c r="AI44" s="45">
        <v>85459.82229875632</v>
      </c>
      <c r="AJ44" s="45">
        <v>86699.15016220801</v>
      </c>
      <c r="AK44" s="45">
        <v>86660.121268652292</v>
      </c>
      <c r="AL44" s="45">
        <v>87009.376970356709</v>
      </c>
      <c r="AM44" s="45">
        <v>87318.517734888854</v>
      </c>
      <c r="AN44" s="45">
        <v>87784.882678233349</v>
      </c>
      <c r="AO44" s="45">
        <v>87778.628077470639</v>
      </c>
      <c r="AP44" s="45">
        <v>87907.525628867006</v>
      </c>
      <c r="AQ44" s="45">
        <v>88004.303044225118</v>
      </c>
      <c r="AR44" s="45">
        <v>88088.312795477585</v>
      </c>
      <c r="AS44" s="45">
        <v>87563.07809290172</v>
      </c>
      <c r="AT44" s="45">
        <v>86885.231815875683</v>
      </c>
      <c r="AU44" s="45">
        <v>85661.751451460936</v>
      </c>
      <c r="AV44" s="45">
        <v>86041.887162804094</v>
      </c>
      <c r="AW44" s="45">
        <v>86465.842905641141</v>
      </c>
      <c r="AX44" s="45">
        <v>88616.59722607577</v>
      </c>
      <c r="AY44" s="45">
        <v>90370.438165544634</v>
      </c>
      <c r="AZ44" s="45">
        <v>90378.334634250365</v>
      </c>
      <c r="BA44" s="45">
        <v>90429.733856399325</v>
      </c>
      <c r="BB44" s="45">
        <v>91087.145897107752</v>
      </c>
      <c r="BC44" s="45">
        <v>91317.408551762841</v>
      </c>
      <c r="BD44" s="45">
        <v>91721.104148171813</v>
      </c>
      <c r="BE44" s="45">
        <v>91809.057685657128</v>
      </c>
      <c r="BF44" s="45">
        <v>92223.219524143031</v>
      </c>
      <c r="BG44" s="45">
        <v>92337.672259296407</v>
      </c>
      <c r="BH44" s="45">
        <v>92675.771994963579</v>
      </c>
      <c r="BI44" s="45">
        <v>92897.370516928568</v>
      </c>
      <c r="BJ44" s="45">
        <v>93124.408984071953</v>
      </c>
      <c r="BK44" s="45">
        <v>93465.983083775631</v>
      </c>
      <c r="BL44" s="45">
        <v>93845.744183720075</v>
      </c>
      <c r="BM44" s="45">
        <v>94184.417336768718</v>
      </c>
      <c r="BN44" s="45">
        <v>94493.512691042852</v>
      </c>
      <c r="BO44" s="45">
        <v>94763.446517308621</v>
      </c>
      <c r="BP44" s="45">
        <v>94940.845715979231</v>
      </c>
      <c r="BQ44" s="45">
        <v>95103.981155527974</v>
      </c>
      <c r="BR44" s="45">
        <v>95238.852387856576</v>
      </c>
      <c r="BS44" s="45">
        <v>95263.215319822659</v>
      </c>
      <c r="BT44" s="45">
        <v>95393.16311321166</v>
      </c>
      <c r="BU44" s="45">
        <v>95468.572086039931</v>
      </c>
      <c r="BV44" s="45">
        <v>95611.645187362534</v>
      </c>
      <c r="BW44" s="45">
        <v>95692.906352036051</v>
      </c>
      <c r="BX44" s="45">
        <v>95852.797945965402</v>
      </c>
      <c r="BY44" s="45">
        <v>96005.810807976872</v>
      </c>
      <c r="BZ44" s="45">
        <v>96282.829901132616</v>
      </c>
      <c r="CA44" s="45">
        <v>96466.626686322692</v>
      </c>
      <c r="CB44" s="45">
        <v>96554.314621432452</v>
      </c>
      <c r="CC44" s="45">
        <v>96707.063624691102</v>
      </c>
      <c r="CD44" s="45">
        <v>96819.746673715388</v>
      </c>
      <c r="CE44" s="45">
        <v>96913.24305182448</v>
      </c>
      <c r="CF44" s="45">
        <v>97053.488104415359</v>
      </c>
      <c r="CG44" s="45">
        <v>97157.224063905218</v>
      </c>
      <c r="CH44" s="45">
        <v>97257.367766665324</v>
      </c>
      <c r="CI44" s="45">
        <v>97407.833127354505</v>
      </c>
      <c r="CJ44" s="45">
        <v>97450.04513675932</v>
      </c>
      <c r="CK44" s="45">
        <v>97532.47578634489</v>
      </c>
      <c r="CL44" s="45">
        <v>97672.089776033739</v>
      </c>
      <c r="CM44" s="45">
        <v>97732.118865909579</v>
      </c>
      <c r="CN44" s="45">
        <v>97824.557815514912</v>
      </c>
      <c r="CO44" s="45">
        <v>97912.654713327851</v>
      </c>
      <c r="CP44" s="45">
        <v>97997.805153088935</v>
      </c>
      <c r="CQ44" s="45">
        <v>98072.601692048236</v>
      </c>
      <c r="CR44" s="45">
        <v>98108.93848183025</v>
      </c>
      <c r="CS44" s="45">
        <v>98190.983295024722</v>
      </c>
      <c r="CT44" s="45">
        <v>98235.451375834455</v>
      </c>
      <c r="CU44" s="45">
        <v>98286.933424227929</v>
      </c>
      <c r="CV44" s="45">
        <v>98319.140194562991</v>
      </c>
      <c r="CW44" s="45">
        <v>98355.744269818621</v>
      </c>
      <c r="CX44" s="45">
        <v>98415.606759495247</v>
      </c>
      <c r="CY44" s="45">
        <v>98436.451308497009</v>
      </c>
      <c r="CZ44" s="45">
        <v>98463.280760279667</v>
      </c>
      <c r="DA44" s="45">
        <v>98480.957075593557</v>
      </c>
      <c r="DB44" s="45">
        <v>98538.570834060127</v>
      </c>
      <c r="DC44" s="45">
        <v>98574.7973665178</v>
      </c>
      <c r="DD44" s="45">
        <v>98600.929416514467</v>
      </c>
      <c r="DE44" s="45">
        <v>98631.893669518904</v>
      </c>
      <c r="DF44" s="45">
        <v>98693.717340339892</v>
      </c>
      <c r="DG44" s="45">
        <v>98710.59944882206</v>
      </c>
      <c r="DH44" s="45">
        <v>98741.710602000618</v>
      </c>
      <c r="DI44" s="45">
        <v>98752.399868579509</v>
      </c>
      <c r="DJ44" s="45">
        <v>98802.438136158788</v>
      </c>
      <c r="DK44" s="45">
        <v>98832.938292868057</v>
      </c>
      <c r="DL44" s="45">
        <v>98846.536756650894</v>
      </c>
      <c r="DM44" s="45">
        <v>98862.679601511627</v>
      </c>
      <c r="DN44" s="45">
        <v>98875.122471344337</v>
      </c>
      <c r="DO44" s="45">
        <v>98912.448894060566</v>
      </c>
      <c r="DP44">
        <v>98946.541208747687</v>
      </c>
      <c r="DQ44">
        <v>98963.203605517163</v>
      </c>
      <c r="DR44">
        <v>98994.920084475598</v>
      </c>
      <c r="DS44">
        <v>99013.328020033485</v>
      </c>
      <c r="DT44">
        <v>99045.014506681357</v>
      </c>
      <c r="DU44">
        <v>99075.607870590306</v>
      </c>
    </row>
    <row r="45" spans="1:125">
      <c r="A45" s="42">
        <v>43</v>
      </c>
      <c r="B45" s="45"/>
      <c r="C45" s="45"/>
      <c r="D45" s="45"/>
      <c r="E45" s="45"/>
      <c r="F45" s="45"/>
      <c r="G45" s="45"/>
      <c r="H45" s="45"/>
      <c r="I45" s="45"/>
      <c r="J45" s="45"/>
      <c r="K45" s="45"/>
      <c r="L45" s="45"/>
      <c r="M45" s="45"/>
      <c r="N45" s="45"/>
      <c r="O45" s="45"/>
      <c r="P45" s="45"/>
      <c r="Q45" s="45"/>
      <c r="R45" s="45"/>
      <c r="S45" s="45"/>
      <c r="T45" s="45"/>
      <c r="U45" s="45"/>
      <c r="V45" s="45"/>
      <c r="W45" s="45">
        <v>76926</v>
      </c>
      <c r="X45" s="45">
        <v>77732</v>
      </c>
      <c r="Y45" s="45">
        <v>77880.901899103294</v>
      </c>
      <c r="Z45" s="45">
        <v>80010.154672693985</v>
      </c>
      <c r="AA45" s="45">
        <v>80443.41721666549</v>
      </c>
      <c r="AB45" s="45">
        <v>81115.65313382943</v>
      </c>
      <c r="AC45" s="45">
        <v>81947.759295001772</v>
      </c>
      <c r="AD45" s="45">
        <v>82890.284467755031</v>
      </c>
      <c r="AE45" s="45">
        <v>82847.238985288655</v>
      </c>
      <c r="AF45" s="45">
        <v>84089.391519700206</v>
      </c>
      <c r="AG45" s="45">
        <v>84556.840838907563</v>
      </c>
      <c r="AH45" s="45">
        <v>84884.633461666424</v>
      </c>
      <c r="AI45" s="45">
        <v>85221.020542699844</v>
      </c>
      <c r="AJ45" s="45">
        <v>86454.059357872873</v>
      </c>
      <c r="AK45" s="45">
        <v>86433.738347117935</v>
      </c>
      <c r="AL45" s="45">
        <v>86786.729860633495</v>
      </c>
      <c r="AM45" s="45">
        <v>87091.451411823888</v>
      </c>
      <c r="AN45" s="45">
        <v>87564.81170390069</v>
      </c>
      <c r="AO45" s="45">
        <v>87554.795081918914</v>
      </c>
      <c r="AP45" s="45">
        <v>87692.901950349275</v>
      </c>
      <c r="AQ45" s="45">
        <v>87798.616989616567</v>
      </c>
      <c r="AR45" s="45">
        <v>87896.527470334549</v>
      </c>
      <c r="AS45" s="45">
        <v>87371.344855969612</v>
      </c>
      <c r="AT45" s="45">
        <v>86689.170771261794</v>
      </c>
      <c r="AU45" s="45">
        <v>85480.297186569049</v>
      </c>
      <c r="AV45" s="45">
        <v>85850.775918987536</v>
      </c>
      <c r="AW45" s="45">
        <v>86276.124798962061</v>
      </c>
      <c r="AX45" s="45">
        <v>88424.600365628372</v>
      </c>
      <c r="AY45" s="45">
        <v>90173.440552477899</v>
      </c>
      <c r="AZ45" s="45">
        <v>90183.067312215251</v>
      </c>
      <c r="BA45" s="45">
        <v>90229.197800152062</v>
      </c>
      <c r="BB45" s="45">
        <v>90889.953893043741</v>
      </c>
      <c r="BC45" s="45">
        <v>91110.058786076479</v>
      </c>
      <c r="BD45" s="45">
        <v>91532.565178490506</v>
      </c>
      <c r="BE45" s="45">
        <v>91627.559723163911</v>
      </c>
      <c r="BF45" s="45">
        <v>92045.001391603189</v>
      </c>
      <c r="BG45" s="45">
        <v>92161.528542947301</v>
      </c>
      <c r="BH45" s="45">
        <v>92510.846832263691</v>
      </c>
      <c r="BI45" s="45">
        <v>92737.844101424067</v>
      </c>
      <c r="BJ45" s="45">
        <v>92963.881277180189</v>
      </c>
      <c r="BK45" s="45">
        <v>93316.177508100314</v>
      </c>
      <c r="BL45" s="45">
        <v>93701.683315579081</v>
      </c>
      <c r="BM45" s="45">
        <v>94047.188744801955</v>
      </c>
      <c r="BN45" s="45">
        <v>94361.789749363175</v>
      </c>
      <c r="BO45" s="45">
        <v>94634.787226926681</v>
      </c>
      <c r="BP45" s="45">
        <v>94824.475532810029</v>
      </c>
      <c r="BQ45" s="45">
        <v>94990.242597433127</v>
      </c>
      <c r="BR45" s="45">
        <v>95119.809115525859</v>
      </c>
      <c r="BS45" s="45">
        <v>95150.642642116291</v>
      </c>
      <c r="BT45" s="45">
        <v>95280.048412967386</v>
      </c>
      <c r="BU45" s="45">
        <v>95358.019666438951</v>
      </c>
      <c r="BV45" s="45">
        <v>95497.428828174845</v>
      </c>
      <c r="BW45" s="45">
        <v>95588.043361218923</v>
      </c>
      <c r="BX45" s="45">
        <v>95743.658994665078</v>
      </c>
      <c r="BY45" s="45">
        <v>95901.129980817699</v>
      </c>
      <c r="BZ45" s="45">
        <v>96174.553475363413</v>
      </c>
      <c r="CA45" s="45">
        <v>96363.578332628531</v>
      </c>
      <c r="CB45" s="45">
        <v>96445.481395558774</v>
      </c>
      <c r="CC45" s="45">
        <v>96587.27188653397</v>
      </c>
      <c r="CD45" s="45">
        <v>96705.285130244185</v>
      </c>
      <c r="CE45" s="45">
        <v>96801.113206549693</v>
      </c>
      <c r="CF45" s="45">
        <v>96943.576675215591</v>
      </c>
      <c r="CG45" s="45">
        <v>97049.542994168616</v>
      </c>
      <c r="CH45" s="45">
        <v>97151.869450920276</v>
      </c>
      <c r="CI45" s="45">
        <v>97304.418621246965</v>
      </c>
      <c r="CJ45" s="45">
        <v>97348.794912846701</v>
      </c>
      <c r="CK45" s="45">
        <v>97433.303701082681</v>
      </c>
      <c r="CL45" s="45">
        <v>97574.886681364354</v>
      </c>
      <c r="CM45" s="45">
        <v>97636.932427714462</v>
      </c>
      <c r="CN45" s="45">
        <v>97731.315797907679</v>
      </c>
      <c r="CO45" s="45">
        <v>97821.308834343654</v>
      </c>
      <c r="CP45" s="45">
        <v>97908.332256613678</v>
      </c>
      <c r="CQ45" s="45">
        <v>97984.962384987011</v>
      </c>
      <c r="CR45" s="45">
        <v>98023.137705846806</v>
      </c>
      <c r="CS45" s="45">
        <v>98106.935271516661</v>
      </c>
      <c r="CT45" s="45">
        <v>98153.156018497568</v>
      </c>
      <c r="CU45" s="45">
        <v>98206.345314958395</v>
      </c>
      <c r="CV45" s="45">
        <v>98240.240031525667</v>
      </c>
      <c r="CW45" s="45">
        <v>98278.500100054996</v>
      </c>
      <c r="CX45" s="45">
        <v>98339.958097782219</v>
      </c>
      <c r="CY45" s="45">
        <v>98362.40092923207</v>
      </c>
      <c r="CZ45" s="45">
        <v>98390.783234762755</v>
      </c>
      <c r="DA45" s="45">
        <v>98409.99179300433</v>
      </c>
      <c r="DB45" s="45">
        <v>98469.07201229874</v>
      </c>
      <c r="DC45" s="45">
        <v>98506.756720417761</v>
      </c>
      <c r="DD45" s="45">
        <v>98534.318768000958</v>
      </c>
      <c r="DE45" s="45">
        <v>98566.682385082269</v>
      </c>
      <c r="DF45" s="45">
        <v>98629.856232447055</v>
      </c>
      <c r="DG45" s="45">
        <v>98648.084723061358</v>
      </c>
      <c r="DH45" s="45">
        <v>98680.509535409743</v>
      </c>
      <c r="DI45" s="45">
        <v>98692.493779226643</v>
      </c>
      <c r="DJ45" s="45">
        <v>98743.776646230719</v>
      </c>
      <c r="DK45" s="45">
        <v>98775.509948069259</v>
      </c>
      <c r="DL45" s="45">
        <v>98790.324978985358</v>
      </c>
      <c r="DM45" s="45">
        <v>98807.653592854374</v>
      </c>
      <c r="DN45" s="45">
        <v>98821.263185411837</v>
      </c>
      <c r="DO45" s="45">
        <v>98859.71653281289</v>
      </c>
      <c r="DP45">
        <v>98894.915224461758</v>
      </c>
      <c r="DQ45">
        <v>98912.66888653778</v>
      </c>
      <c r="DR45">
        <v>98945.443887748756</v>
      </c>
      <c r="DS45">
        <v>98964.898272745864</v>
      </c>
      <c r="DT45">
        <v>98997.601112521224</v>
      </c>
      <c r="DU45">
        <v>99029.190056088322</v>
      </c>
    </row>
    <row r="46" spans="1:125">
      <c r="A46" s="42">
        <v>44</v>
      </c>
      <c r="B46" s="45"/>
      <c r="C46" s="45"/>
      <c r="D46" s="45"/>
      <c r="E46" s="45"/>
      <c r="F46" s="45"/>
      <c r="G46" s="45"/>
      <c r="H46" s="45"/>
      <c r="I46" s="45"/>
      <c r="J46" s="45"/>
      <c r="K46" s="45"/>
      <c r="L46" s="45"/>
      <c r="M46" s="45"/>
      <c r="N46" s="45"/>
      <c r="O46" s="45"/>
      <c r="P46" s="45"/>
      <c r="Q46" s="45"/>
      <c r="R46" s="45"/>
      <c r="S46" s="45"/>
      <c r="T46" s="45"/>
      <c r="U46" s="45"/>
      <c r="V46" s="45"/>
      <c r="W46" s="45">
        <v>76689</v>
      </c>
      <c r="X46" s="45">
        <v>77495.5</v>
      </c>
      <c r="Y46" s="45">
        <v>77634.396331098338</v>
      </c>
      <c r="Z46" s="45">
        <v>79758.516437998216</v>
      </c>
      <c r="AA46" s="45">
        <v>80193.396709318768</v>
      </c>
      <c r="AB46" s="45">
        <v>80854.348157881061</v>
      </c>
      <c r="AC46" s="45">
        <v>81690.607251896232</v>
      </c>
      <c r="AD46" s="45">
        <v>82630.640844592912</v>
      </c>
      <c r="AE46" s="45">
        <v>82590.253165238741</v>
      </c>
      <c r="AF46" s="45">
        <v>83829.647721206784</v>
      </c>
      <c r="AG46" s="45">
        <v>84278.262494069364</v>
      </c>
      <c r="AH46" s="45">
        <v>84615.863313908892</v>
      </c>
      <c r="AI46" s="45">
        <v>84963.53414174763</v>
      </c>
      <c r="AJ46" s="45">
        <v>86193.984756883263</v>
      </c>
      <c r="AK46" s="45">
        <v>86176.081450411977</v>
      </c>
      <c r="AL46" s="45">
        <v>86537.042042840927</v>
      </c>
      <c r="AM46" s="45">
        <v>86848.934121867351</v>
      </c>
      <c r="AN46" s="45">
        <v>87328.02019671294</v>
      </c>
      <c r="AO46" s="45">
        <v>87324.460847555893</v>
      </c>
      <c r="AP46" s="45">
        <v>87474.2068717371</v>
      </c>
      <c r="AQ46" s="45">
        <v>87580.433083073003</v>
      </c>
      <c r="AR46" s="45">
        <v>87678.920229555384</v>
      </c>
      <c r="AS46" s="45">
        <v>87164.466978007622</v>
      </c>
      <c r="AT46" s="45">
        <v>86483.402050270437</v>
      </c>
      <c r="AU46" s="45">
        <v>85286.532517507439</v>
      </c>
      <c r="AV46" s="45">
        <v>85646.403502768881</v>
      </c>
      <c r="AW46" s="45">
        <v>86070.686712630602</v>
      </c>
      <c r="AX46" s="45">
        <v>88212.336324504708</v>
      </c>
      <c r="AY46" s="45">
        <v>89956.697307671478</v>
      </c>
      <c r="AZ46" s="45">
        <v>89973.391607565281</v>
      </c>
      <c r="BA46" s="45">
        <v>90016.480253129004</v>
      </c>
      <c r="BB46" s="45">
        <v>90680.763803062844</v>
      </c>
      <c r="BC46" s="45">
        <v>90901.286334540986</v>
      </c>
      <c r="BD46" s="45">
        <v>91329.931735845443</v>
      </c>
      <c r="BE46" s="45">
        <v>91427.481179284587</v>
      </c>
      <c r="BF46" s="45">
        <v>91854.515003607958</v>
      </c>
      <c r="BG46" s="45">
        <v>91977.448313088738</v>
      </c>
      <c r="BH46" s="45">
        <v>92331.543191276112</v>
      </c>
      <c r="BI46" s="45">
        <v>92555.441407932623</v>
      </c>
      <c r="BJ46" s="45">
        <v>92795.479927610737</v>
      </c>
      <c r="BK46" s="45">
        <v>93155.441768121382</v>
      </c>
      <c r="BL46" s="45">
        <v>93543.702697597124</v>
      </c>
      <c r="BM46" s="45">
        <v>93898.547723723226</v>
      </c>
      <c r="BN46" s="45">
        <v>94220.162514571552</v>
      </c>
      <c r="BO46" s="45">
        <v>94498.200455720988</v>
      </c>
      <c r="BP46" s="45">
        <v>94689.31878389031</v>
      </c>
      <c r="BQ46" s="45">
        <v>94858.619695467671</v>
      </c>
      <c r="BR46" s="45">
        <v>94991.143422741938</v>
      </c>
      <c r="BS46" s="45">
        <v>95028.440454183903</v>
      </c>
      <c r="BT46" s="45">
        <v>95157.330795156886</v>
      </c>
      <c r="BU46" s="45">
        <v>95232.842636961912</v>
      </c>
      <c r="BV46" s="45">
        <v>95376.618604387564</v>
      </c>
      <c r="BW46" s="45">
        <v>95472.760515516347</v>
      </c>
      <c r="BX46" s="45">
        <v>95628.6197325557</v>
      </c>
      <c r="BY46" s="45">
        <v>95781.553564353104</v>
      </c>
      <c r="BZ46" s="45">
        <v>96057.011859579317</v>
      </c>
      <c r="CA46" s="45">
        <v>96235.736016016133</v>
      </c>
      <c r="CB46" s="45">
        <v>96314.928718351875</v>
      </c>
      <c r="CC46" s="45">
        <v>96462.833441568408</v>
      </c>
      <c r="CD46" s="45">
        <v>96583.306773603515</v>
      </c>
      <c r="CE46" s="45">
        <v>96681.579754897786</v>
      </c>
      <c r="CF46" s="45">
        <v>96826.369208677934</v>
      </c>
      <c r="CG46" s="45">
        <v>96934.675684813483</v>
      </c>
      <c r="CH46" s="45">
        <v>97039.29321774462</v>
      </c>
      <c r="CI46" s="45">
        <v>97194.029460098362</v>
      </c>
      <c r="CJ46" s="45">
        <v>97240.680154884409</v>
      </c>
      <c r="CK46" s="45">
        <v>97327.372907916098</v>
      </c>
      <c r="CL46" s="45">
        <v>97471.024869054585</v>
      </c>
      <c r="CM46" s="45">
        <v>97535.191849160939</v>
      </c>
      <c r="CN46" s="45">
        <v>97631.620672199293</v>
      </c>
      <c r="CO46" s="45">
        <v>97723.609102106566</v>
      </c>
      <c r="CP46" s="45">
        <v>97812.597725666361</v>
      </c>
      <c r="CQ46" s="45">
        <v>97891.158197014709</v>
      </c>
      <c r="CR46" s="45">
        <v>97931.270388536548</v>
      </c>
      <c r="CS46" s="45">
        <v>98016.914413480758</v>
      </c>
      <c r="CT46" s="45">
        <v>98064.982761344814</v>
      </c>
      <c r="CU46" s="45">
        <v>98119.97230930932</v>
      </c>
      <c r="CV46" s="45">
        <v>98155.647826311586</v>
      </c>
      <c r="CW46" s="45">
        <v>98195.655572467804</v>
      </c>
      <c r="CX46" s="45">
        <v>98258.797671808876</v>
      </c>
      <c r="CY46" s="45">
        <v>98282.928664536958</v>
      </c>
      <c r="CZ46" s="45">
        <v>98312.951621916756</v>
      </c>
      <c r="DA46" s="45">
        <v>98333.779757468874</v>
      </c>
      <c r="DB46" s="45">
        <v>98394.410068252255</v>
      </c>
      <c r="DC46" s="45">
        <v>98433.636934979237</v>
      </c>
      <c r="DD46" s="45">
        <v>98462.711966994219</v>
      </c>
      <c r="DE46" s="45">
        <v>98496.556629076818</v>
      </c>
      <c r="DF46" s="45">
        <v>98561.159621685219</v>
      </c>
      <c r="DG46" s="45">
        <v>98580.814208044787</v>
      </c>
      <c r="DH46" s="45">
        <v>98614.63080601109</v>
      </c>
      <c r="DI46" s="45">
        <v>98627.987712937727</v>
      </c>
      <c r="DJ46" s="45">
        <v>98680.589906913752</v>
      </c>
      <c r="DK46" s="45">
        <v>98713.631050938275</v>
      </c>
      <c r="DL46" s="45">
        <v>98729.736947433761</v>
      </c>
      <c r="DM46" s="45">
        <v>98748.324141843827</v>
      </c>
      <c r="DN46" s="45">
        <v>98763.172572361145</v>
      </c>
      <c r="DO46" s="45">
        <v>98802.822680202225</v>
      </c>
      <c r="DP46">
        <v>98839.196746768372</v>
      </c>
      <c r="DQ46">
        <v>98858.110272544422</v>
      </c>
      <c r="DR46">
        <v>98892.010584524571</v>
      </c>
      <c r="DS46">
        <v>98912.577948125458</v>
      </c>
      <c r="DT46">
        <v>98946.362011245597</v>
      </c>
      <c r="DU46">
        <v>98979.010446693137</v>
      </c>
    </row>
    <row r="47" spans="1:125">
      <c r="A47" s="42">
        <v>45</v>
      </c>
      <c r="B47" s="45"/>
      <c r="C47" s="45"/>
      <c r="D47" s="45"/>
      <c r="E47" s="45"/>
      <c r="F47" s="45"/>
      <c r="G47" s="45"/>
      <c r="H47" s="45"/>
      <c r="I47" s="45"/>
      <c r="J47" s="45"/>
      <c r="K47" s="45"/>
      <c r="L47" s="45"/>
      <c r="M47" s="45"/>
      <c r="N47" s="45"/>
      <c r="O47" s="45"/>
      <c r="P47" s="45"/>
      <c r="Q47" s="45"/>
      <c r="R47" s="45"/>
      <c r="S47" s="45"/>
      <c r="T47" s="45"/>
      <c r="U47" s="45"/>
      <c r="V47" s="45"/>
      <c r="W47" s="45">
        <v>76433</v>
      </c>
      <c r="X47" s="45">
        <v>77232.5</v>
      </c>
      <c r="Y47" s="45">
        <v>77371.199105038191</v>
      </c>
      <c r="Z47" s="45">
        <v>79488.967383863986</v>
      </c>
      <c r="AA47" s="45">
        <v>79912.277047031763</v>
      </c>
      <c r="AB47" s="45">
        <v>80581.215745590773</v>
      </c>
      <c r="AC47" s="45">
        <v>81414.066098950687</v>
      </c>
      <c r="AD47" s="45">
        <v>82345.943545717178</v>
      </c>
      <c r="AE47" s="45">
        <v>82304.692120790598</v>
      </c>
      <c r="AF47" s="45">
        <v>83549.71945608934</v>
      </c>
      <c r="AG47" s="45">
        <v>83986.935462519003</v>
      </c>
      <c r="AH47" s="45">
        <v>84331.638460348302</v>
      </c>
      <c r="AI47" s="45">
        <v>84687.485530121601</v>
      </c>
      <c r="AJ47" s="45">
        <v>85907.527538733179</v>
      </c>
      <c r="AK47" s="45">
        <v>85906.666481762455</v>
      </c>
      <c r="AL47" s="45">
        <v>86267.515098492819</v>
      </c>
      <c r="AM47" s="45">
        <v>86588.687054160517</v>
      </c>
      <c r="AN47" s="45">
        <v>87068.775583604671</v>
      </c>
      <c r="AO47" s="45">
        <v>87078.998242077578</v>
      </c>
      <c r="AP47" s="45">
        <v>87242.758531847649</v>
      </c>
      <c r="AQ47" s="45">
        <v>87349.20371395268</v>
      </c>
      <c r="AR47" s="45">
        <v>87452.110726283368</v>
      </c>
      <c r="AS47" s="45">
        <v>86936.513427404891</v>
      </c>
      <c r="AT47" s="45">
        <v>86258.586266957398</v>
      </c>
      <c r="AU47" s="45">
        <v>85063.403166190808</v>
      </c>
      <c r="AV47" s="45">
        <v>85425.24786843214</v>
      </c>
      <c r="AW47" s="45">
        <v>85847.663660004444</v>
      </c>
      <c r="AX47" s="45">
        <v>87987.64078985111</v>
      </c>
      <c r="AY47" s="45">
        <v>89722.46830159513</v>
      </c>
      <c r="AZ47" s="45">
        <v>89741.345239898335</v>
      </c>
      <c r="BA47" s="45">
        <v>89780.758126377506</v>
      </c>
      <c r="BB47" s="45">
        <v>90459.486276341646</v>
      </c>
      <c r="BC47" s="45">
        <v>90684.503603572433</v>
      </c>
      <c r="BD47" s="45">
        <v>91123.377456788614</v>
      </c>
      <c r="BE47" s="45">
        <v>91221.109519003017</v>
      </c>
      <c r="BF47" s="45">
        <v>91649.775782060198</v>
      </c>
      <c r="BG47" s="45">
        <v>91784.79724534991</v>
      </c>
      <c r="BH47" s="45">
        <v>92136.34047251087</v>
      </c>
      <c r="BI47" s="45">
        <v>92375.855630210892</v>
      </c>
      <c r="BJ47" s="45">
        <v>92614.174196723383</v>
      </c>
      <c r="BK47" s="45">
        <v>92984.703622697663</v>
      </c>
      <c r="BL47" s="45">
        <v>93378.15155485383</v>
      </c>
      <c r="BM47" s="45">
        <v>93747.620980339518</v>
      </c>
      <c r="BN47" s="45">
        <v>94068.616148004934</v>
      </c>
      <c r="BO47" s="45">
        <v>94347.937652892375</v>
      </c>
      <c r="BP47" s="45">
        <v>94544.283498102886</v>
      </c>
      <c r="BQ47" s="45">
        <v>94713.004550134006</v>
      </c>
      <c r="BR47" s="45">
        <v>94852.97778751349</v>
      </c>
      <c r="BS47" s="45">
        <v>94894.76269677619</v>
      </c>
      <c r="BT47" s="45">
        <v>95026.205665920905</v>
      </c>
      <c r="BU47" s="45">
        <v>95096.193003568274</v>
      </c>
      <c r="BV47" s="45">
        <v>95244.277043650742</v>
      </c>
      <c r="BW47" s="45">
        <v>95343.315371147066</v>
      </c>
      <c r="BX47" s="45">
        <v>95501.778252066026</v>
      </c>
      <c r="BY47" s="45">
        <v>95657.00103625466</v>
      </c>
      <c r="BZ47" s="45">
        <v>95921.140638176614</v>
      </c>
      <c r="CA47" s="45">
        <v>96093.012253828143</v>
      </c>
      <c r="CB47" s="45">
        <v>96179.235484919845</v>
      </c>
      <c r="CC47" s="45">
        <v>96329.728217656753</v>
      </c>
      <c r="CD47" s="45">
        <v>96452.791286683147</v>
      </c>
      <c r="CE47" s="45">
        <v>96553.639473478252</v>
      </c>
      <c r="CF47" s="45">
        <v>96700.878613702371</v>
      </c>
      <c r="CG47" s="45">
        <v>96811.651516638376</v>
      </c>
      <c r="CH47" s="45">
        <v>96918.68458147769</v>
      </c>
      <c r="CI47" s="45">
        <v>97075.726516775205</v>
      </c>
      <c r="CJ47" s="45">
        <v>97124.778010480106</v>
      </c>
      <c r="CK47" s="45">
        <v>97213.776171495483</v>
      </c>
      <c r="CL47" s="45">
        <v>97359.611783626751</v>
      </c>
      <c r="CM47" s="45">
        <v>97426.019871639204</v>
      </c>
      <c r="CN47" s="45">
        <v>97524.609934039821</v>
      </c>
      <c r="CO47" s="45">
        <v>97618.699009563483</v>
      </c>
      <c r="CP47" s="45">
        <v>97709.764592987616</v>
      </c>
      <c r="CQ47" s="45">
        <v>97790.366000968614</v>
      </c>
      <c r="CR47" s="45">
        <v>97832.527471348498</v>
      </c>
      <c r="CS47" s="45">
        <v>97920.124989201577</v>
      </c>
      <c r="CT47" s="45">
        <v>97970.149345616024</v>
      </c>
      <c r="CU47" s="45">
        <v>98027.045286917244</v>
      </c>
      <c r="CV47" s="45">
        <v>98064.607533610033</v>
      </c>
      <c r="CW47" s="45">
        <v>98106.467570655805</v>
      </c>
      <c r="CX47" s="45">
        <v>98171.394771713298</v>
      </c>
      <c r="CY47" s="45">
        <v>98197.316390716675</v>
      </c>
      <c r="CZ47" s="45">
        <v>98229.08000518076</v>
      </c>
      <c r="DA47" s="45">
        <v>98251.627202728152</v>
      </c>
      <c r="DB47" s="45">
        <v>98313.902813633918</v>
      </c>
      <c r="DC47" s="45">
        <v>98354.767469739105</v>
      </c>
      <c r="DD47" s="45">
        <v>98385.449915795354</v>
      </c>
      <c r="DE47" s="45">
        <v>98420.868561410985</v>
      </c>
      <c r="DF47" s="45">
        <v>98486.990535779085</v>
      </c>
      <c r="DG47" s="45">
        <v>98508.161829594188</v>
      </c>
      <c r="DH47" s="45">
        <v>98543.459035821637</v>
      </c>
      <c r="DI47" s="45">
        <v>98558.27687149508</v>
      </c>
      <c r="DJ47" s="45">
        <v>98612.283286470891</v>
      </c>
      <c r="DK47" s="45">
        <v>98646.717130652396</v>
      </c>
      <c r="DL47" s="45">
        <v>98664.198271039233</v>
      </c>
      <c r="DM47" s="45">
        <v>98684.126687422977</v>
      </c>
      <c r="DN47" s="45">
        <v>98700.295819061139</v>
      </c>
      <c r="DO47" s="45">
        <v>98741.22193422119</v>
      </c>
      <c r="DP47">
        <v>98778.849664352485</v>
      </c>
      <c r="DQ47">
        <v>98799.000862887449</v>
      </c>
      <c r="DR47">
        <v>98834.102210363664</v>
      </c>
      <c r="DS47">
        <v>98855.85799500483</v>
      </c>
      <c r="DT47">
        <v>98890.796816127026</v>
      </c>
      <c r="DU47">
        <v>98924.577177921208</v>
      </c>
    </row>
    <row r="48" spans="1:125">
      <c r="A48" s="42">
        <v>46</v>
      </c>
      <c r="B48" s="45"/>
      <c r="C48" s="45"/>
      <c r="D48" s="45"/>
      <c r="E48" s="45"/>
      <c r="F48" s="45"/>
      <c r="G48" s="45"/>
      <c r="H48" s="45"/>
      <c r="I48" s="45"/>
      <c r="J48" s="45"/>
      <c r="K48" s="45"/>
      <c r="L48" s="45"/>
      <c r="M48" s="45"/>
      <c r="N48" s="45"/>
      <c r="O48" s="45"/>
      <c r="P48" s="45"/>
      <c r="Q48" s="45"/>
      <c r="R48" s="45"/>
      <c r="S48" s="45"/>
      <c r="T48" s="45"/>
      <c r="U48" s="45"/>
      <c r="V48" s="45"/>
      <c r="W48" s="45">
        <v>76155.5</v>
      </c>
      <c r="X48" s="45">
        <v>76944.5</v>
      </c>
      <c r="Y48" s="45">
        <v>77085.257615137118</v>
      </c>
      <c r="Z48" s="45">
        <v>79184.69379698683</v>
      </c>
      <c r="AA48" s="45">
        <v>79621.832186106942</v>
      </c>
      <c r="AB48" s="45">
        <v>80283.877809349666</v>
      </c>
      <c r="AC48" s="45">
        <v>81113.095917214887</v>
      </c>
      <c r="AD48" s="45">
        <v>82042.046753601258</v>
      </c>
      <c r="AE48" s="45">
        <v>81991.598964699879</v>
      </c>
      <c r="AF48" s="45">
        <v>83235.651388540049</v>
      </c>
      <c r="AG48" s="45">
        <v>83678.480260262921</v>
      </c>
      <c r="AH48" s="45">
        <v>84022.350313206261</v>
      </c>
      <c r="AI48" s="45">
        <v>84373.778419599752</v>
      </c>
      <c r="AJ48" s="45">
        <v>85605.304459001913</v>
      </c>
      <c r="AK48" s="45">
        <v>85607.045845034416</v>
      </c>
      <c r="AL48" s="45">
        <v>85979.053058963007</v>
      </c>
      <c r="AM48" s="45">
        <v>86313.099133489013</v>
      </c>
      <c r="AN48" s="45">
        <v>86800.158327264915</v>
      </c>
      <c r="AO48" s="45">
        <v>86810.359786446992</v>
      </c>
      <c r="AP48" s="45">
        <v>86982.579450767982</v>
      </c>
      <c r="AQ48" s="45">
        <v>87095.950109548285</v>
      </c>
      <c r="AR48" s="45">
        <v>87204.942627787474</v>
      </c>
      <c r="AS48" s="45">
        <v>86688.668577446922</v>
      </c>
      <c r="AT48" s="45">
        <v>86014.268727663963</v>
      </c>
      <c r="AU48" s="45">
        <v>84807.649826617708</v>
      </c>
      <c r="AV48" s="45">
        <v>85174.266250412766</v>
      </c>
      <c r="AW48" s="45">
        <v>85611.046741464583</v>
      </c>
      <c r="AX48" s="45">
        <v>87739.17860306814</v>
      </c>
      <c r="AY48" s="45">
        <v>89477.842975171283</v>
      </c>
      <c r="AZ48" s="45">
        <v>89495.925563026598</v>
      </c>
      <c r="BA48" s="45">
        <v>89534.353608560355</v>
      </c>
      <c r="BB48" s="45">
        <v>90222.636519273437</v>
      </c>
      <c r="BC48" s="45">
        <v>90454.12132123491</v>
      </c>
      <c r="BD48" s="45">
        <v>90892.244315536052</v>
      </c>
      <c r="BE48" s="45">
        <v>91000.012527134822</v>
      </c>
      <c r="BF48" s="45">
        <v>91426.287742086497</v>
      </c>
      <c r="BG48" s="45">
        <v>91560.629693094932</v>
      </c>
      <c r="BH48" s="45">
        <v>91932.495760936727</v>
      </c>
      <c r="BI48" s="45">
        <v>92176.927770043898</v>
      </c>
      <c r="BJ48" s="45">
        <v>92424.247316883178</v>
      </c>
      <c r="BK48" s="45">
        <v>92796.577572962182</v>
      </c>
      <c r="BL48" s="45">
        <v>93200.157065192121</v>
      </c>
      <c r="BM48" s="45">
        <v>93574.597914035578</v>
      </c>
      <c r="BN48" s="45">
        <v>93902.339998870608</v>
      </c>
      <c r="BO48" s="45">
        <v>94184.643769512288</v>
      </c>
      <c r="BP48" s="45">
        <v>94388.032888851041</v>
      </c>
      <c r="BQ48" s="45">
        <v>94555.474793495086</v>
      </c>
      <c r="BR48" s="45">
        <v>94703.421479110009</v>
      </c>
      <c r="BS48" s="45">
        <v>94744.780809103569</v>
      </c>
      <c r="BT48" s="45">
        <v>94877.307436974574</v>
      </c>
      <c r="BU48" s="45">
        <v>94946.689349402819</v>
      </c>
      <c r="BV48" s="45">
        <v>95094.276027375425</v>
      </c>
      <c r="BW48" s="45">
        <v>95207.455697479192</v>
      </c>
      <c r="BX48" s="45">
        <v>95363.658906894707</v>
      </c>
      <c r="BY48" s="45">
        <v>95509.964861622735</v>
      </c>
      <c r="BZ48" s="45">
        <v>95779.818263022185</v>
      </c>
      <c r="CA48" s="45">
        <v>95944.236557772325</v>
      </c>
      <c r="CB48" s="45">
        <v>96033.395872209658</v>
      </c>
      <c r="CC48" s="45">
        <v>96186.626408933371</v>
      </c>
      <c r="CD48" s="45">
        <v>96312.430981219019</v>
      </c>
      <c r="CE48" s="45">
        <v>96416.006838212561</v>
      </c>
      <c r="CF48" s="45">
        <v>96565.840277606068</v>
      </c>
      <c r="CG48" s="45">
        <v>96679.227237801999</v>
      </c>
      <c r="CH48" s="45">
        <v>96788.821204406078</v>
      </c>
      <c r="CI48" s="45">
        <v>96948.307368337104</v>
      </c>
      <c r="CJ48" s="45">
        <v>96999.907151139545</v>
      </c>
      <c r="CK48" s="45">
        <v>97091.352410217805</v>
      </c>
      <c r="CL48" s="45">
        <v>97239.505372152067</v>
      </c>
      <c r="CM48" s="45">
        <v>97308.294267566205</v>
      </c>
      <c r="CN48" s="45">
        <v>97409.169962815213</v>
      </c>
      <c r="CO48" s="45">
        <v>97505.49009461276</v>
      </c>
      <c r="CP48" s="45">
        <v>97598.762677215695</v>
      </c>
      <c r="CQ48" s="45">
        <v>97681.533590863837</v>
      </c>
      <c r="CR48" s="45">
        <v>97725.875021298052</v>
      </c>
      <c r="CS48" s="45">
        <v>97815.550370508965</v>
      </c>
      <c r="CT48" s="45">
        <v>97867.656633373554</v>
      </c>
      <c r="CU48" s="45">
        <v>97926.582160082049</v>
      </c>
      <c r="CV48" s="45">
        <v>97966.154028313147</v>
      </c>
      <c r="CW48" s="45">
        <v>98009.987748442349</v>
      </c>
      <c r="CX48" s="45">
        <v>98076.817143257416</v>
      </c>
      <c r="CY48" s="45">
        <v>98104.648177101422</v>
      </c>
      <c r="CZ48" s="45">
        <v>98138.268274444868</v>
      </c>
      <c r="DA48" s="45">
        <v>98162.649767837502</v>
      </c>
      <c r="DB48" s="45">
        <v>98226.68089089531</v>
      </c>
      <c r="DC48" s="45">
        <v>98269.294064074929</v>
      </c>
      <c r="DD48" s="45">
        <v>98301.693174438537</v>
      </c>
      <c r="DE48" s="45">
        <v>98338.793323845515</v>
      </c>
      <c r="DF48" s="45">
        <v>98406.538194752589</v>
      </c>
      <c r="DG48" s="45">
        <v>98429.33090979798</v>
      </c>
      <c r="DH48" s="45">
        <v>98466.211392510799</v>
      </c>
      <c r="DI48" s="45">
        <v>98482.592106673605</v>
      </c>
      <c r="DJ48" s="45">
        <v>98538.100788768381</v>
      </c>
      <c r="DK48" s="45">
        <v>98574.025334383958</v>
      </c>
      <c r="DL48" s="45">
        <v>98592.979129596002</v>
      </c>
      <c r="DM48" s="45">
        <v>98614.34411087606</v>
      </c>
      <c r="DN48" s="45">
        <v>98631.928404363163</v>
      </c>
      <c r="DO48" s="45">
        <v>98674.22193341353</v>
      </c>
      <c r="DP48">
        <v>98713.193618254882</v>
      </c>
      <c r="DQ48">
        <v>98734.672191292862</v>
      </c>
      <c r="DR48">
        <v>98771.061832866544</v>
      </c>
      <c r="DS48">
        <v>98794.092985953088</v>
      </c>
      <c r="DT48">
        <v>98830.271279612469</v>
      </c>
      <c r="DU48">
        <v>98865.266995544443</v>
      </c>
    </row>
    <row r="49" spans="1:125">
      <c r="A49" s="42">
        <v>47</v>
      </c>
      <c r="B49" s="45"/>
      <c r="C49" s="45"/>
      <c r="D49" s="45"/>
      <c r="E49" s="45"/>
      <c r="F49" s="45"/>
      <c r="G49" s="45"/>
      <c r="H49" s="45"/>
      <c r="I49" s="45"/>
      <c r="J49" s="45"/>
      <c r="K49" s="45"/>
      <c r="L49" s="45"/>
      <c r="M49" s="45"/>
      <c r="N49" s="45"/>
      <c r="O49" s="45"/>
      <c r="P49" s="45"/>
      <c r="Q49" s="45"/>
      <c r="R49" s="45"/>
      <c r="S49" s="45"/>
      <c r="T49" s="45"/>
      <c r="U49" s="45"/>
      <c r="V49" s="45"/>
      <c r="W49" s="45">
        <v>75848</v>
      </c>
      <c r="X49" s="45">
        <v>76632.5</v>
      </c>
      <c r="Y49" s="45">
        <v>76753.582482537371</v>
      </c>
      <c r="Z49" s="45">
        <v>78859.727073538292</v>
      </c>
      <c r="AA49" s="45">
        <v>79290.297455888518</v>
      </c>
      <c r="AB49" s="45">
        <v>79961.335266599504</v>
      </c>
      <c r="AC49" s="45">
        <v>80784.866593970597</v>
      </c>
      <c r="AD49" s="45">
        <v>81708.688410028175</v>
      </c>
      <c r="AE49" s="45">
        <v>81659.02703901018</v>
      </c>
      <c r="AF49" s="45">
        <v>82899.910021679607</v>
      </c>
      <c r="AG49" s="45">
        <v>83339.558015920134</v>
      </c>
      <c r="AH49" s="45">
        <v>83696.712297887803</v>
      </c>
      <c r="AI49" s="45">
        <v>84048.941964561323</v>
      </c>
      <c r="AJ49" s="45">
        <v>85285.793517706858</v>
      </c>
      <c r="AK49" s="45">
        <v>85290.854550731194</v>
      </c>
      <c r="AL49" s="45">
        <v>85677.251265254483</v>
      </c>
      <c r="AM49" s="45">
        <v>86024.275408136746</v>
      </c>
      <c r="AN49" s="45">
        <v>86507.642313088378</v>
      </c>
      <c r="AO49" s="45">
        <v>86527.31301768258</v>
      </c>
      <c r="AP49" s="45">
        <v>86703.789703968359</v>
      </c>
      <c r="AQ49" s="45">
        <v>86819.571121090761</v>
      </c>
      <c r="AR49" s="45">
        <v>86925.851951717152</v>
      </c>
      <c r="AS49" s="45">
        <v>86419.882382717915</v>
      </c>
      <c r="AT49" s="45">
        <v>85735.053234936466</v>
      </c>
      <c r="AU49" s="45">
        <v>84533.955163306586</v>
      </c>
      <c r="AV49" s="45">
        <v>84907.470820292016</v>
      </c>
      <c r="AW49" s="45">
        <v>85354.795177647611</v>
      </c>
      <c r="AX49" s="45">
        <v>87480.674426881742</v>
      </c>
      <c r="AY49" s="45">
        <v>89219.320654564537</v>
      </c>
      <c r="AZ49" s="45">
        <v>89235.529558796436</v>
      </c>
      <c r="BA49" s="45">
        <v>89280.037852748239</v>
      </c>
      <c r="BB49" s="45">
        <v>89974.064319860598</v>
      </c>
      <c r="BC49" s="45">
        <v>90206.62891757203</v>
      </c>
      <c r="BD49" s="45">
        <v>90644.52347287751</v>
      </c>
      <c r="BE49" s="45">
        <v>90764.581502059373</v>
      </c>
      <c r="BF49" s="45">
        <v>91181.243401793341</v>
      </c>
      <c r="BG49" s="45">
        <v>91326.489078726532</v>
      </c>
      <c r="BH49" s="45">
        <v>91711.80909199387</v>
      </c>
      <c r="BI49" s="45">
        <v>91961.792207200866</v>
      </c>
      <c r="BJ49" s="45">
        <v>92221.136785821436</v>
      </c>
      <c r="BK49" s="45">
        <v>92594.010503275611</v>
      </c>
      <c r="BL49" s="45">
        <v>93001.087531878089</v>
      </c>
      <c r="BM49" s="45">
        <v>93388.597747504333</v>
      </c>
      <c r="BN49" s="45">
        <v>93724.518322081989</v>
      </c>
      <c r="BO49" s="45">
        <v>94008.023139923491</v>
      </c>
      <c r="BP49" s="45">
        <v>94211.502159348922</v>
      </c>
      <c r="BQ49" s="45">
        <v>94390.660933482461</v>
      </c>
      <c r="BR49" s="45">
        <v>94535.654193392445</v>
      </c>
      <c r="BS49" s="45">
        <v>94584.792913685757</v>
      </c>
      <c r="BT49" s="45">
        <v>94712.979128963692</v>
      </c>
      <c r="BU49" s="45">
        <v>94786.956540333922</v>
      </c>
      <c r="BV49" s="45">
        <v>94940.985922325708</v>
      </c>
      <c r="BW49" s="45">
        <v>95054.612192133151</v>
      </c>
      <c r="BX49" s="45">
        <v>95203.888218327687</v>
      </c>
      <c r="BY49" s="45">
        <v>95348.438560825191</v>
      </c>
      <c r="BZ49" s="45">
        <v>95616.222079496976</v>
      </c>
      <c r="CA49" s="45">
        <v>95783.6770925983</v>
      </c>
      <c r="CB49" s="45">
        <v>95875.959661222834</v>
      </c>
      <c r="CC49" s="45">
        <v>96032.100802864123</v>
      </c>
      <c r="CD49" s="45">
        <v>96160.821941621689</v>
      </c>
      <c r="CE49" s="45">
        <v>96267.301288675444</v>
      </c>
      <c r="CF49" s="45">
        <v>96419.895699316636</v>
      </c>
      <c r="CG49" s="45">
        <v>96536.066874034121</v>
      </c>
      <c r="CH49" s="45">
        <v>96648.38919296462</v>
      </c>
      <c r="CI49" s="45">
        <v>96810.479149017658</v>
      </c>
      <c r="CJ49" s="45">
        <v>96864.797005361877</v>
      </c>
      <c r="CK49" s="45">
        <v>96958.852453706815</v>
      </c>
      <c r="CL49" s="45">
        <v>97109.476593491345</v>
      </c>
      <c r="CM49" s="45">
        <v>97180.793801659107</v>
      </c>
      <c r="CN49" s="45">
        <v>97284.108168357954</v>
      </c>
      <c r="CO49" s="45">
        <v>97382.809174954687</v>
      </c>
      <c r="CP49" s="45">
        <v>97478.438198137577</v>
      </c>
      <c r="CQ49" s="45">
        <v>97563.526283970088</v>
      </c>
      <c r="CR49" s="45">
        <v>97610.197768674494</v>
      </c>
      <c r="CS49" s="45">
        <v>97702.093686992899</v>
      </c>
      <c r="CT49" s="45">
        <v>97756.426357165677</v>
      </c>
      <c r="CU49" s="45">
        <v>97817.522808500522</v>
      </c>
      <c r="CV49" s="45">
        <v>97859.245253159665</v>
      </c>
      <c r="CW49" s="45">
        <v>97905.191910659181</v>
      </c>
      <c r="CX49" s="45">
        <v>97974.057739558368</v>
      </c>
      <c r="CY49" s="45">
        <v>98003.934372903401</v>
      </c>
      <c r="CZ49" s="45">
        <v>98039.543657586095</v>
      </c>
      <c r="DA49" s="45">
        <v>98065.891481208149</v>
      </c>
      <c r="DB49" s="45">
        <v>98131.804343753698</v>
      </c>
      <c r="DC49" s="45">
        <v>98176.292872679056</v>
      </c>
      <c r="DD49" s="45">
        <v>98210.533728661452</v>
      </c>
      <c r="DE49" s="45">
        <v>98249.438478513825</v>
      </c>
      <c r="DF49" s="45">
        <v>98318.925201108897</v>
      </c>
      <c r="DG49" s="45">
        <v>98343.459134825986</v>
      </c>
      <c r="DH49" s="45">
        <v>98382.040367413196</v>
      </c>
      <c r="DI49" s="45">
        <v>98400.100555508805</v>
      </c>
      <c r="DJ49" s="45">
        <v>98457.223627413696</v>
      </c>
      <c r="DK49" s="45">
        <v>98494.750944237487</v>
      </c>
      <c r="DL49" s="45">
        <v>98515.288762004871</v>
      </c>
      <c r="DM49" s="45">
        <v>98538.199263716902</v>
      </c>
      <c r="DN49" s="45">
        <v>98557.306678768291</v>
      </c>
      <c r="DO49" s="45">
        <v>98601.072063192827</v>
      </c>
      <c r="DP49">
        <v>98641.49086232124</v>
      </c>
      <c r="DQ49">
        <v>98664.399269094487</v>
      </c>
      <c r="DR49">
        <v>98702.176842199799</v>
      </c>
      <c r="DS49">
        <v>98726.582657475665</v>
      </c>
      <c r="DT49">
        <v>98764.09714103103</v>
      </c>
      <c r="DU49">
        <v>98800.403444902506</v>
      </c>
    </row>
    <row r="50" spans="1:125">
      <c r="A50" s="42">
        <v>48</v>
      </c>
      <c r="B50" s="45"/>
      <c r="C50" s="45"/>
      <c r="D50" s="45"/>
      <c r="E50" s="45"/>
      <c r="F50" s="45"/>
      <c r="G50" s="45"/>
      <c r="H50" s="45"/>
      <c r="I50" s="45"/>
      <c r="J50" s="45"/>
      <c r="K50" s="45"/>
      <c r="L50" s="45"/>
      <c r="M50" s="45"/>
      <c r="N50" s="45"/>
      <c r="O50" s="45"/>
      <c r="P50" s="45"/>
      <c r="Q50" s="45"/>
      <c r="R50" s="45"/>
      <c r="S50" s="45"/>
      <c r="T50" s="45"/>
      <c r="U50" s="45"/>
      <c r="V50" s="45"/>
      <c r="W50" s="45">
        <v>75510.5</v>
      </c>
      <c r="X50" s="45">
        <v>76278.5</v>
      </c>
      <c r="Y50" s="45">
        <v>76415.070936926582</v>
      </c>
      <c r="Z50" s="45">
        <v>78519.596714339234</v>
      </c>
      <c r="AA50" s="45">
        <v>78945.406122797576</v>
      </c>
      <c r="AB50" s="45">
        <v>79604.703095740449</v>
      </c>
      <c r="AC50" s="45">
        <v>80430.436146290711</v>
      </c>
      <c r="AD50" s="45">
        <v>81342.254058621009</v>
      </c>
      <c r="AE50" s="45">
        <v>81296.76927308453</v>
      </c>
      <c r="AF50" s="45">
        <v>82531.938562641881</v>
      </c>
      <c r="AG50" s="45">
        <v>82972.710947525266</v>
      </c>
      <c r="AH50" s="45">
        <v>83335.747589085629</v>
      </c>
      <c r="AI50" s="45">
        <v>83699.115077808354</v>
      </c>
      <c r="AJ50" s="45">
        <v>84939.000886684604</v>
      </c>
      <c r="AK50" s="45">
        <v>84958.513407087943</v>
      </c>
      <c r="AL50" s="45">
        <v>85351.403568367547</v>
      </c>
      <c r="AM50" s="45">
        <v>85708.872839508753</v>
      </c>
      <c r="AN50" s="45">
        <v>86199.828842272633</v>
      </c>
      <c r="AO50" s="45">
        <v>86222.560532853153</v>
      </c>
      <c r="AP50" s="45">
        <v>86401.250623538581</v>
      </c>
      <c r="AQ50" s="45">
        <v>86517.668606243067</v>
      </c>
      <c r="AR50" s="45">
        <v>86633.090167366056</v>
      </c>
      <c r="AS50" s="45">
        <v>86122.024790195486</v>
      </c>
      <c r="AT50" s="45">
        <v>85440.700841145386</v>
      </c>
      <c r="AU50" s="45">
        <v>84244.891804126033</v>
      </c>
      <c r="AV50" s="45">
        <v>84624.496487910539</v>
      </c>
      <c r="AW50" s="45">
        <v>85067.258052100166</v>
      </c>
      <c r="AX50" s="45">
        <v>87197.110161982157</v>
      </c>
      <c r="AY50" s="45">
        <v>88941.810958966904</v>
      </c>
      <c r="AZ50" s="45">
        <v>88963.595153171758</v>
      </c>
      <c r="BA50" s="45">
        <v>89018.502835937892</v>
      </c>
      <c r="BB50" s="45">
        <v>89703.665887689407</v>
      </c>
      <c r="BC50" s="45">
        <v>89946.400821693183</v>
      </c>
      <c r="BD50" s="45">
        <v>90377.644635222619</v>
      </c>
      <c r="BE50" s="45">
        <v>90498.932365502507</v>
      </c>
      <c r="BF50" s="45">
        <v>90932.147132147526</v>
      </c>
      <c r="BG50" s="45">
        <v>91079.298651469493</v>
      </c>
      <c r="BH50" s="45">
        <v>91473.948414712984</v>
      </c>
      <c r="BI50" s="45">
        <v>91729.899520003921</v>
      </c>
      <c r="BJ50" s="45">
        <v>91994.142831013625</v>
      </c>
      <c r="BK50" s="45">
        <v>92376.238841990518</v>
      </c>
      <c r="BL50" s="45">
        <v>92789.264603765507</v>
      </c>
      <c r="BM50" s="45">
        <v>93178.219458053369</v>
      </c>
      <c r="BN50" s="45">
        <v>93524.462302865591</v>
      </c>
      <c r="BO50" s="45">
        <v>93809.684459444106</v>
      </c>
      <c r="BP50" s="45">
        <v>94030.218464510544</v>
      </c>
      <c r="BQ50" s="45">
        <v>94198.213033012464</v>
      </c>
      <c r="BR50" s="45">
        <v>94356.058699921676</v>
      </c>
      <c r="BS50" s="45">
        <v>94406.457059975946</v>
      </c>
      <c r="BT50" s="45">
        <v>94539.770187920163</v>
      </c>
      <c r="BU50" s="45">
        <v>94609.909991817069</v>
      </c>
      <c r="BV50" s="45">
        <v>94776.443217685097</v>
      </c>
      <c r="BW50" s="45">
        <v>94880.616761727637</v>
      </c>
      <c r="BX50" s="45">
        <v>95018.404275291803</v>
      </c>
      <c r="BY50" s="45">
        <v>95168.240461748486</v>
      </c>
      <c r="BZ50" s="45">
        <v>95439.112378826918</v>
      </c>
      <c r="CA50" s="45">
        <v>95609.807363334767</v>
      </c>
      <c r="CB50" s="45">
        <v>95705.425790611247</v>
      </c>
      <c r="CC50" s="45">
        <v>95864.673734365293</v>
      </c>
      <c r="CD50" s="45">
        <v>95996.510176697135</v>
      </c>
      <c r="CE50" s="45">
        <v>96106.09256937918</v>
      </c>
      <c r="CF50" s="45">
        <v>96261.637082969741</v>
      </c>
      <c r="CG50" s="45">
        <v>96380.78553897042</v>
      </c>
      <c r="CH50" s="45">
        <v>96496.026150413585</v>
      </c>
      <c r="CI50" s="45">
        <v>96660.90088326222</v>
      </c>
      <c r="CJ50" s="45">
        <v>96718.129319238185</v>
      </c>
      <c r="CK50" s="45">
        <v>96814.979862008739</v>
      </c>
      <c r="CL50" s="45">
        <v>96968.233248194505</v>
      </c>
      <c r="CM50" s="45">
        <v>97042.258410624083</v>
      </c>
      <c r="CN50" s="45">
        <v>97148.184907092858</v>
      </c>
      <c r="CO50" s="45">
        <v>97249.43652276753</v>
      </c>
      <c r="CP50" s="45">
        <v>97347.591306506743</v>
      </c>
      <c r="CQ50" s="45">
        <v>97435.163823715906</v>
      </c>
      <c r="CR50" s="45">
        <v>97484.33536015352</v>
      </c>
      <c r="CS50" s="45">
        <v>97578.613474997808</v>
      </c>
      <c r="CT50" s="45">
        <v>97635.336152449992</v>
      </c>
      <c r="CU50" s="45">
        <v>97698.763515118975</v>
      </c>
      <c r="CV50" s="45">
        <v>97742.796060180466</v>
      </c>
      <c r="CW50" s="45">
        <v>97791.013256896462</v>
      </c>
      <c r="CX50" s="45">
        <v>97862.067402789427</v>
      </c>
      <c r="CY50" s="45">
        <v>97894.143709604075</v>
      </c>
      <c r="CZ50" s="45">
        <v>97931.892271852426</v>
      </c>
      <c r="DA50" s="45">
        <v>97960.355755665034</v>
      </c>
      <c r="DB50" s="45">
        <v>98028.293089774845</v>
      </c>
      <c r="DC50" s="45">
        <v>98074.800401793167</v>
      </c>
      <c r="DD50" s="45">
        <v>98111.024406137672</v>
      </c>
      <c r="DE50" s="45">
        <v>98151.87290873559</v>
      </c>
      <c r="DF50" s="45">
        <v>98223.235942763364</v>
      </c>
      <c r="DG50" s="45">
        <v>98249.646465642116</v>
      </c>
      <c r="DH50" s="45">
        <v>98290.061196336508</v>
      </c>
      <c r="DI50" s="45">
        <v>98309.932582135545</v>
      </c>
      <c r="DJ50" s="45">
        <v>98368.796706658555</v>
      </c>
      <c r="DK50" s="45">
        <v>98408.053393008275</v>
      </c>
      <c r="DL50" s="45">
        <v>98430.301021320367</v>
      </c>
      <c r="DM50" s="45">
        <v>98454.880079143186</v>
      </c>
      <c r="DN50" s="45">
        <v>98475.632529944152</v>
      </c>
      <c r="DO50" s="45">
        <v>98520.987693595147</v>
      </c>
      <c r="DP50">
        <v>98562.970076725469</v>
      </c>
      <c r="DQ50">
        <v>98587.423979704705</v>
      </c>
      <c r="DR50">
        <v>98626.701942404849</v>
      </c>
      <c r="DS50">
        <v>98652.59449367394</v>
      </c>
      <c r="DT50">
        <v>98691.554316579932</v>
      </c>
      <c r="DU50">
        <v>98729.278673736902</v>
      </c>
    </row>
    <row r="51" spans="1:125">
      <c r="A51" s="42">
        <v>49</v>
      </c>
      <c r="B51" s="45"/>
      <c r="C51" s="45"/>
      <c r="D51" s="45"/>
      <c r="E51" s="45"/>
      <c r="F51" s="45"/>
      <c r="G51" s="45"/>
      <c r="H51" s="45"/>
      <c r="I51" s="45"/>
      <c r="J51" s="45"/>
      <c r="K51" s="45"/>
      <c r="L51" s="45"/>
      <c r="M51" s="45"/>
      <c r="N51" s="45"/>
      <c r="O51" s="45"/>
      <c r="P51" s="45"/>
      <c r="Q51" s="45"/>
      <c r="R51" s="45"/>
      <c r="S51" s="45"/>
      <c r="T51" s="45"/>
      <c r="U51" s="45"/>
      <c r="V51" s="45"/>
      <c r="W51" s="45">
        <v>75121.5</v>
      </c>
      <c r="X51" s="45">
        <v>75907</v>
      </c>
      <c r="Y51" s="45">
        <v>76038.447403496131</v>
      </c>
      <c r="Z51" s="45">
        <v>78137.35491623322</v>
      </c>
      <c r="AA51" s="45">
        <v>78567.855822869402</v>
      </c>
      <c r="AB51" s="45">
        <v>79215.266085180134</v>
      </c>
      <c r="AC51" s="45">
        <v>80049.105253116752</v>
      </c>
      <c r="AD51" s="45">
        <v>80958.680313856079</v>
      </c>
      <c r="AE51" s="45">
        <v>80905.841137883981</v>
      </c>
      <c r="AF51" s="45">
        <v>82130.880417720429</v>
      </c>
      <c r="AG51" s="45">
        <v>82589.238337088755</v>
      </c>
      <c r="AH51" s="45">
        <v>82944.455160295896</v>
      </c>
      <c r="AI51" s="45">
        <v>83325.672816730512</v>
      </c>
      <c r="AJ51" s="45">
        <v>84581.324115063238</v>
      </c>
      <c r="AK51" s="45">
        <v>84605.618911318365</v>
      </c>
      <c r="AL51" s="45">
        <v>85000.954696263143</v>
      </c>
      <c r="AM51" s="45">
        <v>85369.301647755026</v>
      </c>
      <c r="AN51" s="45">
        <v>85861.42410098172</v>
      </c>
      <c r="AO51" s="45">
        <v>85891.29098369446</v>
      </c>
      <c r="AP51" s="45">
        <v>86082.744118701201</v>
      </c>
      <c r="AQ51" s="45">
        <v>86190.145024070342</v>
      </c>
      <c r="AR51" s="45">
        <v>86309.008719983831</v>
      </c>
      <c r="AS51" s="45">
        <v>85797.249549748187</v>
      </c>
      <c r="AT51" s="45">
        <v>85113.490988316902</v>
      </c>
      <c r="AU51" s="45">
        <v>83931.235645698267</v>
      </c>
      <c r="AV51" s="45">
        <v>84321.452603906568</v>
      </c>
      <c r="AW51" s="45">
        <v>84768.865652914945</v>
      </c>
      <c r="AX51" s="45">
        <v>86904.695243275346</v>
      </c>
      <c r="AY51" s="45">
        <v>88648.227214563594</v>
      </c>
      <c r="AZ51" s="45">
        <v>88667.732861019118</v>
      </c>
      <c r="BA51" s="45">
        <v>88733.013871005882</v>
      </c>
      <c r="BB51" s="45">
        <v>89412.06145336639</v>
      </c>
      <c r="BC51" s="45">
        <v>89661.658782027342</v>
      </c>
      <c r="BD51" s="45">
        <v>90094.688189354347</v>
      </c>
      <c r="BE51" s="45">
        <v>90221.116075700673</v>
      </c>
      <c r="BF51" s="45">
        <v>90668.054249665496</v>
      </c>
      <c r="BG51" s="45">
        <v>90814.741486066559</v>
      </c>
      <c r="BH51" s="45">
        <v>91225.115374925255</v>
      </c>
      <c r="BI51" s="45">
        <v>91480.19935403578</v>
      </c>
      <c r="BJ51" s="45">
        <v>91755.993612150254</v>
      </c>
      <c r="BK51" s="45">
        <v>92138.884886074171</v>
      </c>
      <c r="BL51" s="45">
        <v>92559.398935641744</v>
      </c>
      <c r="BM51" s="45">
        <v>92961.505810069561</v>
      </c>
      <c r="BN51" s="45">
        <v>93311.789371874765</v>
      </c>
      <c r="BO51" s="45">
        <v>93601.274805897701</v>
      </c>
      <c r="BP51" s="45">
        <v>93824.145359704766</v>
      </c>
      <c r="BQ51" s="45">
        <v>93993.23495870312</v>
      </c>
      <c r="BR51" s="45">
        <v>94155.410269334592</v>
      </c>
      <c r="BS51" s="45">
        <v>94210.249210277456</v>
      </c>
      <c r="BT51" s="45">
        <v>94348.982036452275</v>
      </c>
      <c r="BU51" s="45">
        <v>94417.041431342237</v>
      </c>
      <c r="BV51" s="45">
        <v>94574.424273426266</v>
      </c>
      <c r="BW51" s="45">
        <v>94677.08925187093</v>
      </c>
      <c r="BX51" s="45">
        <v>94819.298036233115</v>
      </c>
      <c r="BY51" s="45">
        <v>94972.745008775091</v>
      </c>
      <c r="BZ51" s="45">
        <v>95246.917784387886</v>
      </c>
      <c r="CA51" s="45">
        <v>95421.080256420799</v>
      </c>
      <c r="CB51" s="45">
        <v>95520.272443545284</v>
      </c>
      <c r="CC51" s="45">
        <v>95682.846800018262</v>
      </c>
      <c r="CD51" s="45">
        <v>95818.020941808063</v>
      </c>
      <c r="CE51" s="45">
        <v>95930.929651032842</v>
      </c>
      <c r="CF51" s="45">
        <v>96089.635893581275</v>
      </c>
      <c r="CG51" s="45">
        <v>96211.977598525176</v>
      </c>
      <c r="CH51" s="45">
        <v>96330.348962082877</v>
      </c>
      <c r="CI51" s="45">
        <v>96498.210912560055</v>
      </c>
      <c r="CJ51" s="45">
        <v>96558.56518749363</v>
      </c>
      <c r="CK51" s="45">
        <v>96658.397764128895</v>
      </c>
      <c r="CL51" s="45">
        <v>96814.472616572733</v>
      </c>
      <c r="CM51" s="45">
        <v>96891.406681111213</v>
      </c>
      <c r="CN51" s="45">
        <v>97000.139326845616</v>
      </c>
      <c r="CO51" s="45">
        <v>97104.131399101228</v>
      </c>
      <c r="CP51" s="45">
        <v>97205.001293107111</v>
      </c>
      <c r="CQ51" s="45">
        <v>97295.245271330816</v>
      </c>
      <c r="CR51" s="45">
        <v>97347.106914624193</v>
      </c>
      <c r="CS51" s="45">
        <v>97443.947924194712</v>
      </c>
      <c r="CT51" s="45">
        <v>97503.243483264436</v>
      </c>
      <c r="CU51" s="45">
        <v>97569.18058073672</v>
      </c>
      <c r="CV51" s="45">
        <v>97615.701512314088</v>
      </c>
      <c r="CW51" s="45">
        <v>97666.365365083882</v>
      </c>
      <c r="CX51" s="45">
        <v>97739.777550210856</v>
      </c>
      <c r="CY51" s="45">
        <v>97774.22567480334</v>
      </c>
      <c r="CZ51" s="45">
        <v>97814.281201216509</v>
      </c>
      <c r="DA51" s="45">
        <v>97845.02716296188</v>
      </c>
      <c r="DB51" s="45">
        <v>97915.148412128998</v>
      </c>
      <c r="DC51" s="45">
        <v>97963.834706190202</v>
      </c>
      <c r="DD51" s="45">
        <v>98002.19978669993</v>
      </c>
      <c r="DE51" s="45">
        <v>98045.147443071182</v>
      </c>
      <c r="DF51" s="45">
        <v>98118.536940551247</v>
      </c>
      <c r="DG51" s="45">
        <v>98146.975209636003</v>
      </c>
      <c r="DH51" s="45">
        <v>98189.371654735616</v>
      </c>
      <c r="DI51" s="45">
        <v>98211.201301171488</v>
      </c>
      <c r="DJ51" s="45">
        <v>98271.947883419678</v>
      </c>
      <c r="DK51" s="45">
        <v>98313.075259542093</v>
      </c>
      <c r="DL51" s="45">
        <v>98337.173104004905</v>
      </c>
      <c r="DM51" s="45">
        <v>98363.558044643636</v>
      </c>
      <c r="DN51" s="45">
        <v>98386.091594994796</v>
      </c>
      <c r="DO51" s="45">
        <v>98433.168141881964</v>
      </c>
      <c r="DP51">
        <v>98476.844081302115</v>
      </c>
      <c r="DQ51">
        <v>98502.972544011631</v>
      </c>
      <c r="DR51">
        <v>98543.876378059533</v>
      </c>
      <c r="DS51">
        <v>98571.380709078338</v>
      </c>
      <c r="DT51">
        <v>98611.907646314328</v>
      </c>
      <c r="DU51">
        <v>98651.169946061316</v>
      </c>
    </row>
    <row r="52" spans="1:125">
      <c r="A52" s="42">
        <v>50</v>
      </c>
      <c r="B52" s="45"/>
      <c r="C52" s="45"/>
      <c r="D52" s="45"/>
      <c r="E52" s="45"/>
      <c r="F52" s="45"/>
      <c r="G52" s="45"/>
      <c r="H52" s="45"/>
      <c r="I52" s="45"/>
      <c r="J52" s="45"/>
      <c r="K52" s="45"/>
      <c r="L52" s="45"/>
      <c r="M52" s="45"/>
      <c r="N52" s="45"/>
      <c r="O52" s="45"/>
      <c r="P52" s="45"/>
      <c r="Q52" s="45"/>
      <c r="R52" s="45"/>
      <c r="S52" s="45"/>
      <c r="T52" s="45"/>
      <c r="U52" s="45"/>
      <c r="V52" s="45"/>
      <c r="W52" s="45">
        <v>74718</v>
      </c>
      <c r="X52" s="45">
        <v>75507.5</v>
      </c>
      <c r="Y52" s="45">
        <v>75633.333843215019</v>
      </c>
      <c r="Z52" s="45">
        <v>77729.483799538546</v>
      </c>
      <c r="AA52" s="45">
        <v>78152.640365866391</v>
      </c>
      <c r="AB52" s="45">
        <v>78802.627769692772</v>
      </c>
      <c r="AC52" s="45">
        <v>79641.020336989604</v>
      </c>
      <c r="AD52" s="45">
        <v>80540.559895605416</v>
      </c>
      <c r="AE52" s="45">
        <v>80475.663111078262</v>
      </c>
      <c r="AF52" s="45">
        <v>81707.679675314866</v>
      </c>
      <c r="AG52" s="45">
        <v>82166.851039020839</v>
      </c>
      <c r="AH52" s="45">
        <v>82531.381987431116</v>
      </c>
      <c r="AI52" s="45">
        <v>82926.381029191645</v>
      </c>
      <c r="AJ52" s="45">
        <v>84193.965714927996</v>
      </c>
      <c r="AK52" s="45">
        <v>84228.724097886152</v>
      </c>
      <c r="AL52" s="45">
        <v>84627.438897248445</v>
      </c>
      <c r="AM52" s="45">
        <v>85008.478997483646</v>
      </c>
      <c r="AN52" s="45">
        <v>85507.90476645017</v>
      </c>
      <c r="AO52" s="45">
        <v>85541.163423196514</v>
      </c>
      <c r="AP52" s="45">
        <v>85732.08990640835</v>
      </c>
      <c r="AQ52" s="45">
        <v>85827.447367915185</v>
      </c>
      <c r="AR52" s="45">
        <v>85967.286582932284</v>
      </c>
      <c r="AS52" s="45">
        <v>85448.248277722232</v>
      </c>
      <c r="AT52" s="45">
        <v>84777.112534229935</v>
      </c>
      <c r="AU52" s="45">
        <v>83594.021481799165</v>
      </c>
      <c r="AV52" s="45">
        <v>83986.096579969744</v>
      </c>
      <c r="AW52" s="45">
        <v>84455.494793192483</v>
      </c>
      <c r="AX52" s="45">
        <v>86596.259754238941</v>
      </c>
      <c r="AY52" s="45">
        <v>88342.750293142628</v>
      </c>
      <c r="AZ52" s="45">
        <v>88354.880815839308</v>
      </c>
      <c r="BA52" s="45">
        <v>88425.661698656477</v>
      </c>
      <c r="BB52" s="45">
        <v>89103.266807574546</v>
      </c>
      <c r="BC52" s="45">
        <v>89348.187478448672</v>
      </c>
      <c r="BD52" s="45">
        <v>89787.906632600294</v>
      </c>
      <c r="BE52" s="45">
        <v>89927.273708577181</v>
      </c>
      <c r="BF52" s="45">
        <v>90376.99735714616</v>
      </c>
      <c r="BG52" s="45">
        <v>90533.321663746319</v>
      </c>
      <c r="BH52" s="45">
        <v>90954.834416457597</v>
      </c>
      <c r="BI52" s="45">
        <v>91208.84594004025</v>
      </c>
      <c r="BJ52" s="45">
        <v>91494.450511331001</v>
      </c>
      <c r="BK52" s="45">
        <v>91877.806350317886</v>
      </c>
      <c r="BL52" s="45">
        <v>92308.705251332198</v>
      </c>
      <c r="BM52" s="45">
        <v>92720.477154342516</v>
      </c>
      <c r="BN52" s="45">
        <v>93078.10473747972</v>
      </c>
      <c r="BO52" s="45">
        <v>93366.614522800635</v>
      </c>
      <c r="BP52" s="45">
        <v>93595.218746175553</v>
      </c>
      <c r="BQ52" s="45">
        <v>93773.247565190948</v>
      </c>
      <c r="BR52" s="45">
        <v>93935.294133367846</v>
      </c>
      <c r="BS52" s="45">
        <v>93997.648087422363</v>
      </c>
      <c r="BT52" s="45">
        <v>94138.261067054933</v>
      </c>
      <c r="BU52" s="45">
        <v>94187.993658532825</v>
      </c>
      <c r="BV52" s="45">
        <v>94344.966377038334</v>
      </c>
      <c r="BW52" s="45">
        <v>94456.928133716036</v>
      </c>
      <c r="BX52" s="45">
        <v>94603.113460280001</v>
      </c>
      <c r="BY52" s="45">
        <v>94760.429670591446</v>
      </c>
      <c r="BZ52" s="45">
        <v>95038.137075314386</v>
      </c>
      <c r="CA52" s="45">
        <v>95216.017277014122</v>
      </c>
      <c r="CB52" s="45">
        <v>95319.044805434969</v>
      </c>
      <c r="CC52" s="45">
        <v>95485.187237594393</v>
      </c>
      <c r="CD52" s="45">
        <v>95623.943731288775</v>
      </c>
      <c r="CE52" s="45">
        <v>95740.424335920397</v>
      </c>
      <c r="CF52" s="45">
        <v>95902.52514453922</v>
      </c>
      <c r="CG52" s="45">
        <v>96028.29762248823</v>
      </c>
      <c r="CH52" s="45">
        <v>96150.033433204197</v>
      </c>
      <c r="CI52" s="45">
        <v>96321.105282032557</v>
      </c>
      <c r="CJ52" s="45">
        <v>96384.798435591307</v>
      </c>
      <c r="CK52" s="45">
        <v>96487.837501812202</v>
      </c>
      <c r="CL52" s="45">
        <v>96646.945449450825</v>
      </c>
      <c r="CM52" s="45">
        <v>96727.009588716552</v>
      </c>
      <c r="CN52" s="45">
        <v>96838.761923145823</v>
      </c>
      <c r="CO52" s="45">
        <v>96945.703451153255</v>
      </c>
      <c r="CP52" s="45">
        <v>97049.496835532656</v>
      </c>
      <c r="CQ52" s="45">
        <v>97142.61811658302</v>
      </c>
      <c r="CR52" s="45">
        <v>97197.37898395193</v>
      </c>
      <c r="CS52" s="45">
        <v>97296.981743913973</v>
      </c>
      <c r="CT52" s="45">
        <v>97359.051403861929</v>
      </c>
      <c r="CU52" s="45">
        <v>97427.69500592837</v>
      </c>
      <c r="CV52" s="45">
        <v>97476.900490495886</v>
      </c>
      <c r="CW52" s="45">
        <v>97530.204739764653</v>
      </c>
      <c r="CX52" s="45">
        <v>97606.161701220495</v>
      </c>
      <c r="CY52" s="45">
        <v>97643.171006335615</v>
      </c>
      <c r="CZ52" s="45">
        <v>97685.717983654307</v>
      </c>
      <c r="DA52" s="45">
        <v>97718.929921777803</v>
      </c>
      <c r="DB52" s="45">
        <v>97791.410492214636</v>
      </c>
      <c r="DC52" s="45">
        <v>97842.451964509863</v>
      </c>
      <c r="DD52" s="45">
        <v>97883.131833875043</v>
      </c>
      <c r="DE52" s="45">
        <v>97928.349559563052</v>
      </c>
      <c r="DF52" s="45">
        <v>98003.930657335135</v>
      </c>
      <c r="DG52" s="45">
        <v>98034.562928449959</v>
      </c>
      <c r="DH52" s="45">
        <v>98079.104083442478</v>
      </c>
      <c r="DI52" s="45">
        <v>98103.053728188475</v>
      </c>
      <c r="DJ52" s="45">
        <v>98165.838276987299</v>
      </c>
      <c r="DK52" s="45">
        <v>98208.991739324629</v>
      </c>
      <c r="DL52" s="45">
        <v>98235.094187297829</v>
      </c>
      <c r="DM52" s="45">
        <v>98263.436024350289</v>
      </c>
      <c r="DN52" s="45">
        <v>98287.900276489439</v>
      </c>
      <c r="DO52" s="45">
        <v>98336.842908960505</v>
      </c>
      <c r="DP52">
        <v>98382.355302691198</v>
      </c>
      <c r="DQ52">
        <v>98410.300223852915</v>
      </c>
      <c r="DR52">
        <v>98452.967895440583</v>
      </c>
      <c r="DS52">
        <v>98482.221470950491</v>
      </c>
      <c r="DT52">
        <v>98524.449397099379</v>
      </c>
      <c r="DU52">
        <v>98565.381437245305</v>
      </c>
    </row>
    <row r="53" spans="1:125">
      <c r="A53" s="42">
        <v>51</v>
      </c>
      <c r="B53" s="45"/>
      <c r="C53" s="45"/>
      <c r="D53" s="45"/>
      <c r="E53" s="45"/>
      <c r="F53" s="45"/>
      <c r="G53" s="45"/>
      <c r="H53" s="45"/>
      <c r="I53" s="45"/>
      <c r="J53" s="45"/>
      <c r="K53" s="45"/>
      <c r="L53" s="45"/>
      <c r="M53" s="45"/>
      <c r="N53" s="45"/>
      <c r="O53" s="45"/>
      <c r="P53" s="45"/>
      <c r="Q53" s="45"/>
      <c r="R53" s="45"/>
      <c r="S53" s="45"/>
      <c r="T53" s="45"/>
      <c r="U53" s="45"/>
      <c r="V53" s="45"/>
      <c r="W53" s="45">
        <v>74269.5</v>
      </c>
      <c r="X53" s="45">
        <v>75072.5</v>
      </c>
      <c r="Y53" s="45">
        <v>75208.123210746853</v>
      </c>
      <c r="Z53" s="45">
        <v>77288.80552657682</v>
      </c>
      <c r="AA53" s="45">
        <v>77705.534977898089</v>
      </c>
      <c r="AB53" s="45">
        <v>78357.829638159921</v>
      </c>
      <c r="AC53" s="45">
        <v>79190.133316593099</v>
      </c>
      <c r="AD53" s="45">
        <v>80090.645470673466</v>
      </c>
      <c r="AE53" s="45">
        <v>80022.826127861306</v>
      </c>
      <c r="AF53" s="45">
        <v>81256.88246337077</v>
      </c>
      <c r="AG53" s="45">
        <v>81721.496930758789</v>
      </c>
      <c r="AH53" s="45">
        <v>82084.391664308103</v>
      </c>
      <c r="AI53" s="45">
        <v>82481.74839931383</v>
      </c>
      <c r="AJ53" s="45">
        <v>83770.09286812543</v>
      </c>
      <c r="AK53" s="45">
        <v>83818.669030008314</v>
      </c>
      <c r="AL53" s="45">
        <v>84216.494885575376</v>
      </c>
      <c r="AM53" s="45">
        <v>84618.200830352725</v>
      </c>
      <c r="AN53" s="45">
        <v>85116.345900446977</v>
      </c>
      <c r="AO53" s="45">
        <v>85156.104540895263</v>
      </c>
      <c r="AP53" s="45">
        <v>85337.663679507881</v>
      </c>
      <c r="AQ53" s="45">
        <v>85439.463319934657</v>
      </c>
      <c r="AR53" s="45">
        <v>85593.661194218847</v>
      </c>
      <c r="AS53" s="45">
        <v>85067.099674608748</v>
      </c>
      <c r="AT53" s="45">
        <v>84409.453238909686</v>
      </c>
      <c r="AU53" s="45">
        <v>83230.98100979728</v>
      </c>
      <c r="AV53" s="45">
        <v>83642.619208197459</v>
      </c>
      <c r="AW53" s="45">
        <v>84119.291316545801</v>
      </c>
      <c r="AX53" s="45">
        <v>86267.494188324941</v>
      </c>
      <c r="AY53" s="45">
        <v>88003.781717556441</v>
      </c>
      <c r="AZ53" s="45">
        <v>88029.024998793029</v>
      </c>
      <c r="BA53" s="45">
        <v>88091.47111422813</v>
      </c>
      <c r="BB53" s="45">
        <v>88773.094353764915</v>
      </c>
      <c r="BC53" s="45">
        <v>89016.064552637021</v>
      </c>
      <c r="BD53" s="45">
        <v>89470.917185290076</v>
      </c>
      <c r="BE53" s="45">
        <v>89616.579487057752</v>
      </c>
      <c r="BF53" s="45">
        <v>90067.799386234576</v>
      </c>
      <c r="BG53" s="45">
        <v>90233.551821381319</v>
      </c>
      <c r="BH53" s="45">
        <v>90659.956144189389</v>
      </c>
      <c r="BI53" s="45">
        <v>90923.538342424552</v>
      </c>
      <c r="BJ53" s="45">
        <v>91212.641880727271</v>
      </c>
      <c r="BK53" s="45">
        <v>91596.473069934727</v>
      </c>
      <c r="BL53" s="45">
        <v>92040.075441659006</v>
      </c>
      <c r="BM53" s="45">
        <v>92465.312139923597</v>
      </c>
      <c r="BN53" s="45">
        <v>92820.045210725628</v>
      </c>
      <c r="BO53" s="45">
        <v>93112.87028440673</v>
      </c>
      <c r="BP53" s="45">
        <v>93360.068567473383</v>
      </c>
      <c r="BQ53" s="45">
        <v>93532.688216723691</v>
      </c>
      <c r="BR53" s="45">
        <v>93698.674401131007</v>
      </c>
      <c r="BS53" s="45">
        <v>93763.060850259702</v>
      </c>
      <c r="BT53" s="45">
        <v>93896.323938368907</v>
      </c>
      <c r="BU53" s="45">
        <v>93937.858608968789</v>
      </c>
      <c r="BV53" s="45">
        <v>94101.597414511518</v>
      </c>
      <c r="BW53" s="45">
        <v>94218.020713852879</v>
      </c>
      <c r="BX53" s="45">
        <v>94368.468725674349</v>
      </c>
      <c r="BY53" s="45">
        <v>94529.93326957844</v>
      </c>
      <c r="BZ53" s="45">
        <v>94811.427745653695</v>
      </c>
      <c r="CA53" s="45">
        <v>94993.295805632719</v>
      </c>
      <c r="CB53" s="45">
        <v>95100.440948527015</v>
      </c>
      <c r="CC53" s="45">
        <v>95270.41256974134</v>
      </c>
      <c r="CD53" s="45">
        <v>95413.015657066106</v>
      </c>
      <c r="CE53" s="45">
        <v>95533.333362766338</v>
      </c>
      <c r="CF53" s="45">
        <v>95699.080305523952</v>
      </c>
      <c r="CG53" s="45">
        <v>95828.540059965744</v>
      </c>
      <c r="CH53" s="45">
        <v>95953.892756591114</v>
      </c>
      <c r="CI53" s="45">
        <v>96128.387306834935</v>
      </c>
      <c r="CJ53" s="45">
        <v>96195.672078109521</v>
      </c>
      <c r="CK53" s="45">
        <v>96302.160370700294</v>
      </c>
      <c r="CL53" s="45">
        <v>96464.530365694518</v>
      </c>
      <c r="CM53" s="45">
        <v>96547.96377087984</v>
      </c>
      <c r="CN53" s="45">
        <v>96662.966727148843</v>
      </c>
      <c r="CO53" s="45">
        <v>96773.083847599439</v>
      </c>
      <c r="CP53" s="45">
        <v>96880.026073590256</v>
      </c>
      <c r="CQ53" s="45">
        <v>96976.247309347062</v>
      </c>
      <c r="CR53" s="45">
        <v>97034.133514940127</v>
      </c>
      <c r="CS53" s="45">
        <v>97136.713115905834</v>
      </c>
      <c r="CT53" s="45">
        <v>97201.774484775437</v>
      </c>
      <c r="CU53" s="45">
        <v>97273.33741551367</v>
      </c>
      <c r="CV53" s="45">
        <v>97325.439617783617</v>
      </c>
      <c r="CW53" s="45">
        <v>97381.59374236688</v>
      </c>
      <c r="CX53" s="45">
        <v>97460.297456602551</v>
      </c>
      <c r="CY53" s="45">
        <v>97500.072699650002</v>
      </c>
      <c r="CZ53" s="45">
        <v>97545.310677446629</v>
      </c>
      <c r="DA53" s="45">
        <v>97581.18702253254</v>
      </c>
      <c r="DB53" s="45">
        <v>97656.216639952792</v>
      </c>
      <c r="DC53" s="45">
        <v>97709.803803359653</v>
      </c>
      <c r="DD53" s="45">
        <v>97752.986328420782</v>
      </c>
      <c r="DE53" s="45">
        <v>97800.658940417619</v>
      </c>
      <c r="DF53" s="45">
        <v>97878.61020401874</v>
      </c>
      <c r="DG53" s="45">
        <v>97911.616291071739</v>
      </c>
      <c r="DH53" s="45">
        <v>97958.478401563523</v>
      </c>
      <c r="DI53" s="45">
        <v>97984.722960631596</v>
      </c>
      <c r="DJ53" s="45">
        <v>98049.713650529957</v>
      </c>
      <c r="DK53" s="45">
        <v>98095.061223079101</v>
      </c>
      <c r="DL53" s="45">
        <v>98123.335209172714</v>
      </c>
      <c r="DM53" s="45">
        <v>98153.797260556923</v>
      </c>
      <c r="DN53" s="45">
        <v>98180.353968428491</v>
      </c>
      <c r="DO53" s="45">
        <v>98231.319157085498</v>
      </c>
      <c r="DP53">
        <v>98278.822511142076</v>
      </c>
      <c r="DQ53">
        <v>98308.737322651519</v>
      </c>
      <c r="DR53">
        <v>98353.318029290036</v>
      </c>
      <c r="DS53">
        <v>98384.469470288415</v>
      </c>
      <c r="DT53">
        <v>98428.543137886882</v>
      </c>
      <c r="DU53">
        <v>98471.287423661939</v>
      </c>
    </row>
    <row r="54" spans="1:125">
      <c r="A54" s="42">
        <v>52</v>
      </c>
      <c r="B54" s="45"/>
      <c r="C54" s="45"/>
      <c r="D54" s="45"/>
      <c r="E54" s="45"/>
      <c r="F54" s="45"/>
      <c r="G54" s="45"/>
      <c r="H54" s="45"/>
      <c r="I54" s="45"/>
      <c r="J54" s="45"/>
      <c r="K54" s="45"/>
      <c r="L54" s="45"/>
      <c r="M54" s="45"/>
      <c r="N54" s="45"/>
      <c r="O54" s="45"/>
      <c r="P54" s="45"/>
      <c r="Q54" s="45"/>
      <c r="R54" s="45"/>
      <c r="S54" s="45"/>
      <c r="T54" s="45"/>
      <c r="U54" s="45"/>
      <c r="V54" s="45"/>
      <c r="W54" s="45">
        <v>73795.5</v>
      </c>
      <c r="X54" s="45">
        <v>74601.5</v>
      </c>
      <c r="Y54" s="45">
        <v>74710.82394820686</v>
      </c>
      <c r="Z54" s="45">
        <v>76805.38271382681</v>
      </c>
      <c r="AA54" s="45">
        <v>77231.12423869432</v>
      </c>
      <c r="AB54" s="45">
        <v>77883.683870027395</v>
      </c>
      <c r="AC54" s="45">
        <v>78720.040810299077</v>
      </c>
      <c r="AD54" s="45">
        <v>79605.993023944015</v>
      </c>
      <c r="AE54" s="45">
        <v>79546.587520357745</v>
      </c>
      <c r="AF54" s="45">
        <v>80762.461282910721</v>
      </c>
      <c r="AG54" s="45">
        <v>81248.388074323491</v>
      </c>
      <c r="AH54" s="45">
        <v>81627.893354716041</v>
      </c>
      <c r="AI54" s="45">
        <v>82028.280316934077</v>
      </c>
      <c r="AJ54" s="45">
        <v>83312.909625945205</v>
      </c>
      <c r="AK54" s="45">
        <v>83374.428694285161</v>
      </c>
      <c r="AL54" s="45">
        <v>83798.325077389163</v>
      </c>
      <c r="AM54" s="45">
        <v>84204.522841614278</v>
      </c>
      <c r="AN54" s="45">
        <v>84701.728038416913</v>
      </c>
      <c r="AO54" s="45">
        <v>84728.426081420708</v>
      </c>
      <c r="AP54" s="45">
        <v>84922.744335248164</v>
      </c>
      <c r="AQ54" s="45">
        <v>85037.402388300776</v>
      </c>
      <c r="AR54" s="45">
        <v>85200.376541188671</v>
      </c>
      <c r="AS54" s="45">
        <v>84666.567262338867</v>
      </c>
      <c r="AT54" s="45">
        <v>84010.193741264346</v>
      </c>
      <c r="AU54" s="45">
        <v>82866.634170869016</v>
      </c>
      <c r="AV54" s="45">
        <v>83273.511828221643</v>
      </c>
      <c r="AW54" s="45">
        <v>83769.747290756059</v>
      </c>
      <c r="AX54" s="45">
        <v>85908.888505366762</v>
      </c>
      <c r="AY54" s="45">
        <v>87653.355607106219</v>
      </c>
      <c r="AZ54" s="45">
        <v>87667.228413740842</v>
      </c>
      <c r="BA54" s="45">
        <v>87739.819124527072</v>
      </c>
      <c r="BB54" s="45">
        <v>88428.40326683785</v>
      </c>
      <c r="BC54" s="45">
        <v>88679.36922530859</v>
      </c>
      <c r="BD54" s="45">
        <v>89125.466761994132</v>
      </c>
      <c r="BE54" s="45">
        <v>89277.05136571583</v>
      </c>
      <c r="BF54" s="45">
        <v>89740.363590386842</v>
      </c>
      <c r="BG54" s="45">
        <v>89908.524320837838</v>
      </c>
      <c r="BH54" s="45">
        <v>90339.124837542826</v>
      </c>
      <c r="BI54" s="45">
        <v>90594.366915264152</v>
      </c>
      <c r="BJ54" s="45">
        <v>90905.636989863007</v>
      </c>
      <c r="BK54" s="45">
        <v>91295.68396932866</v>
      </c>
      <c r="BL54" s="45">
        <v>91744.688520542317</v>
      </c>
      <c r="BM54" s="45">
        <v>92179.292284771102</v>
      </c>
      <c r="BN54" s="45">
        <v>92549.094263616949</v>
      </c>
      <c r="BO54" s="45">
        <v>92841.624970311008</v>
      </c>
      <c r="BP54" s="45">
        <v>93088.524344576348</v>
      </c>
      <c r="BQ54" s="45">
        <v>93270.007390313462</v>
      </c>
      <c r="BR54" s="45">
        <v>93442.395640307979</v>
      </c>
      <c r="BS54" s="45">
        <v>93494.269307078081</v>
      </c>
      <c r="BT54" s="45">
        <v>93620.182691910362</v>
      </c>
      <c r="BU54" s="45">
        <v>93669.50742879411</v>
      </c>
      <c r="BV54" s="45">
        <v>93837.93661848786</v>
      </c>
      <c r="BW54" s="45">
        <v>93959.140090876826</v>
      </c>
      <c r="BX54" s="45">
        <v>94114.155214003185</v>
      </c>
      <c r="BY54" s="45">
        <v>94280.065126332032</v>
      </c>
      <c r="BZ54" s="45">
        <v>94565.615349429776</v>
      </c>
      <c r="CA54" s="45">
        <v>94751.758626201161</v>
      </c>
      <c r="CB54" s="45">
        <v>94863.321527442909</v>
      </c>
      <c r="CC54" s="45">
        <v>95037.400462282705</v>
      </c>
      <c r="CD54" s="45">
        <v>95184.131459440134</v>
      </c>
      <c r="CE54" s="45">
        <v>95308.568559854728</v>
      </c>
      <c r="CF54" s="45">
        <v>95478.229594243574</v>
      </c>
      <c r="CG54" s="45">
        <v>95611.649659019778</v>
      </c>
      <c r="CH54" s="45">
        <v>95740.856287313916</v>
      </c>
      <c r="CI54" s="45">
        <v>95919.026894313341</v>
      </c>
      <c r="CJ54" s="45">
        <v>95990.172812293822</v>
      </c>
      <c r="CK54" s="45">
        <v>96100.369202116883</v>
      </c>
      <c r="CL54" s="45">
        <v>96266.245548718231</v>
      </c>
      <c r="CM54" s="45">
        <v>96353.303321405168</v>
      </c>
      <c r="CN54" s="45">
        <v>96471.803195139742</v>
      </c>
      <c r="CO54" s="45">
        <v>96585.337256312981</v>
      </c>
      <c r="CP54" s="45">
        <v>96695.668667974824</v>
      </c>
      <c r="CQ54" s="45">
        <v>96795.227391891618</v>
      </c>
      <c r="CR54" s="45">
        <v>96856.480043871168</v>
      </c>
      <c r="CS54" s="45">
        <v>96962.265951325637</v>
      </c>
      <c r="CT54" s="45">
        <v>97030.551121538927</v>
      </c>
      <c r="CU54" s="45">
        <v>97105.260414534307</v>
      </c>
      <c r="CV54" s="45">
        <v>97160.485654720498</v>
      </c>
      <c r="CW54" s="45">
        <v>97219.713020649928</v>
      </c>
      <c r="CX54" s="45">
        <v>97301.378960651244</v>
      </c>
      <c r="CY54" s="45">
        <v>97344.138492123049</v>
      </c>
      <c r="CZ54" s="45">
        <v>97392.28036447597</v>
      </c>
      <c r="DA54" s="45">
        <v>97431.032743311487</v>
      </c>
      <c r="DB54" s="45">
        <v>97508.813823637611</v>
      </c>
      <c r="DC54" s="45">
        <v>97565.149833155272</v>
      </c>
      <c r="DD54" s="45">
        <v>97611.035405334405</v>
      </c>
      <c r="DE54" s="45">
        <v>97661.360006428033</v>
      </c>
      <c r="DF54" s="45">
        <v>97741.871871414449</v>
      </c>
      <c r="DG54" s="45">
        <v>97777.443594419456</v>
      </c>
      <c r="DH54" s="45">
        <v>97826.814613264694</v>
      </c>
      <c r="DI54" s="45">
        <v>97855.540665376699</v>
      </c>
      <c r="DJ54" s="45">
        <v>97922.916881017009</v>
      </c>
      <c r="DK54" s="45">
        <v>97970.63774280416</v>
      </c>
      <c r="DL54" s="45">
        <v>98001.261285328525</v>
      </c>
      <c r="DM54" s="45">
        <v>98034.017759770271</v>
      </c>
      <c r="DN54" s="45">
        <v>98062.839407212246</v>
      </c>
      <c r="DO54" s="45">
        <v>98115.994026506669</v>
      </c>
      <c r="DP54">
        <v>98165.653099490039</v>
      </c>
      <c r="DQ54">
        <v>98197.701422217593</v>
      </c>
      <c r="DR54">
        <v>98244.354297409431</v>
      </c>
      <c r="DS54">
        <v>98277.562069346372</v>
      </c>
      <c r="DT54">
        <v>98323.635839973256</v>
      </c>
      <c r="DU54">
        <v>98368.344333397079</v>
      </c>
    </row>
    <row r="55" spans="1:125">
      <c r="A55" s="42">
        <v>53</v>
      </c>
      <c r="B55" s="45"/>
      <c r="C55" s="45"/>
      <c r="D55" s="45"/>
      <c r="E55" s="45"/>
      <c r="F55" s="45"/>
      <c r="G55" s="45"/>
      <c r="H55" s="45"/>
      <c r="I55" s="45"/>
      <c r="J55" s="45"/>
      <c r="K55" s="45"/>
      <c r="L55" s="45"/>
      <c r="M55" s="45"/>
      <c r="N55" s="45"/>
      <c r="O55" s="45"/>
      <c r="P55" s="45"/>
      <c r="Q55" s="45"/>
      <c r="R55" s="45"/>
      <c r="S55" s="45"/>
      <c r="T55" s="45"/>
      <c r="U55" s="45"/>
      <c r="V55" s="45"/>
      <c r="W55" s="45">
        <v>73291.5</v>
      </c>
      <c r="X55" s="45">
        <v>74090</v>
      </c>
      <c r="Y55" s="45">
        <v>74197.536312385477</v>
      </c>
      <c r="Z55" s="45">
        <v>76295.612797033609</v>
      </c>
      <c r="AA55" s="45">
        <v>76724.105558258132</v>
      </c>
      <c r="AB55" s="45">
        <v>77380.624098982691</v>
      </c>
      <c r="AC55" s="45">
        <v>78195.847888927121</v>
      </c>
      <c r="AD55" s="45">
        <v>79080.36880024182</v>
      </c>
      <c r="AE55" s="45">
        <v>79027.124764383989</v>
      </c>
      <c r="AF55" s="45">
        <v>80251.75612950584</v>
      </c>
      <c r="AG55" s="45">
        <v>80747.385264703917</v>
      </c>
      <c r="AH55" s="45">
        <v>81132.784177320063</v>
      </c>
      <c r="AI55" s="45">
        <v>81536.708249696763</v>
      </c>
      <c r="AJ55" s="45">
        <v>82833.911198569447</v>
      </c>
      <c r="AK55" s="45">
        <v>82899.020355616667</v>
      </c>
      <c r="AL55" s="45">
        <v>83347.280721420015</v>
      </c>
      <c r="AM55" s="45">
        <v>83763.273456194933</v>
      </c>
      <c r="AN55" s="45">
        <v>84244.252473418979</v>
      </c>
      <c r="AO55" s="45">
        <v>84286.033573332941</v>
      </c>
      <c r="AP55" s="45">
        <v>84482.858326661284</v>
      </c>
      <c r="AQ55" s="45">
        <v>84595.723975198445</v>
      </c>
      <c r="AR55" s="45">
        <v>84768.465787478955</v>
      </c>
      <c r="AS55" s="45">
        <v>84245.830914178281</v>
      </c>
      <c r="AT55" s="45">
        <v>83591.252223843592</v>
      </c>
      <c r="AU55" s="45">
        <v>82472.873276248167</v>
      </c>
      <c r="AV55" s="45">
        <v>82896.617828011222</v>
      </c>
      <c r="AW55" s="45">
        <v>83387.691829510761</v>
      </c>
      <c r="AX55" s="45">
        <v>85535.074581101944</v>
      </c>
      <c r="AY55" s="45">
        <v>87263.103393687197</v>
      </c>
      <c r="AZ55" s="45">
        <v>87279.736590572778</v>
      </c>
      <c r="BA55" s="45">
        <v>87357.612020496323</v>
      </c>
      <c r="BB55" s="45">
        <v>88049.712347854744</v>
      </c>
      <c r="BC55" s="45">
        <v>88304.726271785854</v>
      </c>
      <c r="BD55" s="45">
        <v>88763.40192834608</v>
      </c>
      <c r="BE55" s="45">
        <v>88914.741440792743</v>
      </c>
      <c r="BF55" s="45">
        <v>89386.713617734291</v>
      </c>
      <c r="BG55" s="45">
        <v>89557.866574553889</v>
      </c>
      <c r="BH55" s="45">
        <v>89990.590323865559</v>
      </c>
      <c r="BI55" s="45">
        <v>90251.926915970733</v>
      </c>
      <c r="BJ55" s="45">
        <v>90566.429882308643</v>
      </c>
      <c r="BK55" s="45">
        <v>90972.124070715057</v>
      </c>
      <c r="BL55" s="45">
        <v>91426.582232108587</v>
      </c>
      <c r="BM55" s="45">
        <v>91865.30409007211</v>
      </c>
      <c r="BN55" s="45">
        <v>92252.782375459879</v>
      </c>
      <c r="BO55" s="45">
        <v>92546.075365922676</v>
      </c>
      <c r="BP55" s="45">
        <v>92795.639469599133</v>
      </c>
      <c r="BQ55" s="45">
        <v>92987.042647030656</v>
      </c>
      <c r="BR55" s="45">
        <v>93156.153960602387</v>
      </c>
      <c r="BS55" s="45">
        <v>93190.506149076769</v>
      </c>
      <c r="BT55" s="45">
        <v>93324.312688477483</v>
      </c>
      <c r="BU55" s="45">
        <v>93379.17415485048</v>
      </c>
      <c r="BV55" s="45">
        <v>93552.624780930259</v>
      </c>
      <c r="BW55" s="45">
        <v>93678.948628218437</v>
      </c>
      <c r="BX55" s="45">
        <v>93838.856120936514</v>
      </c>
      <c r="BY55" s="45">
        <v>94009.528854762815</v>
      </c>
      <c r="BZ55" s="45">
        <v>94299.422037148819</v>
      </c>
      <c r="CA55" s="45">
        <v>94490.147520897153</v>
      </c>
      <c r="CB55" s="45">
        <v>94606.448660929251</v>
      </c>
      <c r="CC55" s="45">
        <v>94784.932325126298</v>
      </c>
      <c r="CD55" s="45">
        <v>94936.091914031043</v>
      </c>
      <c r="CE55" s="45">
        <v>95064.950072524691</v>
      </c>
      <c r="CF55" s="45">
        <v>95238.81171480543</v>
      </c>
      <c r="CG55" s="45">
        <v>95376.448163114197</v>
      </c>
      <c r="CH55" s="45">
        <v>95509.793504020054</v>
      </c>
      <c r="CI55" s="45">
        <v>95691.911556672741</v>
      </c>
      <c r="CJ55" s="45">
        <v>95767.207146411311</v>
      </c>
      <c r="CK55" s="45">
        <v>95881.388766792195</v>
      </c>
      <c r="CL55" s="45">
        <v>96051.033142305241</v>
      </c>
      <c r="CM55" s="45">
        <v>96141.988354854853</v>
      </c>
      <c r="CN55" s="45">
        <v>96264.248798728935</v>
      </c>
      <c r="CO55" s="45">
        <v>96381.458291476752</v>
      </c>
      <c r="CP55" s="45">
        <v>96495.436144919222</v>
      </c>
      <c r="CQ55" s="45">
        <v>96598.586647968623</v>
      </c>
      <c r="CR55" s="45">
        <v>96663.463728053786</v>
      </c>
      <c r="CS55" s="45">
        <v>96772.701575488973</v>
      </c>
      <c r="CT55" s="45">
        <v>96844.458910665184</v>
      </c>
      <c r="CU55" s="45">
        <v>96922.55754631359</v>
      </c>
      <c r="CV55" s="45">
        <v>96981.148012052276</v>
      </c>
      <c r="CW55" s="45">
        <v>97043.687557558471</v>
      </c>
      <c r="CX55" s="45">
        <v>97128.54631178391</v>
      </c>
      <c r="CY55" s="45">
        <v>97174.523691772818</v>
      </c>
      <c r="CZ55" s="45">
        <v>97225.797259641899</v>
      </c>
      <c r="DA55" s="45">
        <v>97267.652037228167</v>
      </c>
      <c r="DB55" s="45">
        <v>97348.401163573144</v>
      </c>
      <c r="DC55" s="45">
        <v>97407.703284126968</v>
      </c>
      <c r="DD55" s="45">
        <v>97456.506249464277</v>
      </c>
      <c r="DE55" s="45">
        <v>97509.693627973727</v>
      </c>
      <c r="DF55" s="45">
        <v>97592.969754129212</v>
      </c>
      <c r="DG55" s="45">
        <v>97631.31227260844</v>
      </c>
      <c r="DH55" s="45">
        <v>97683.39316460921</v>
      </c>
      <c r="DI55" s="45">
        <v>97714.800226399791</v>
      </c>
      <c r="DJ55" s="45">
        <v>97784.753793176904</v>
      </c>
      <c r="DK55" s="45">
        <v>97835.039492647978</v>
      </c>
      <c r="DL55" s="45">
        <v>97868.202884220984</v>
      </c>
      <c r="DM55" s="45">
        <v>97903.440035355161</v>
      </c>
      <c r="DN55" s="45">
        <v>97934.710970591928</v>
      </c>
      <c r="DO55" s="45">
        <v>97990.233394241193</v>
      </c>
      <c r="DP55">
        <v>98042.224269479571</v>
      </c>
      <c r="DQ55">
        <v>98076.580962747219</v>
      </c>
      <c r="DR55">
        <v>98125.476091223885</v>
      </c>
      <c r="DS55">
        <v>98160.909504176467</v>
      </c>
      <c r="DT55">
        <v>98209.148317097191</v>
      </c>
      <c r="DU55">
        <v>98255.983381710015</v>
      </c>
    </row>
    <row r="56" spans="1:125">
      <c r="A56" s="42">
        <v>54</v>
      </c>
      <c r="B56" s="45"/>
      <c r="C56" s="45"/>
      <c r="D56" s="45"/>
      <c r="E56" s="45"/>
      <c r="F56" s="45"/>
      <c r="G56" s="45"/>
      <c r="H56" s="45"/>
      <c r="I56" s="45"/>
      <c r="J56" s="45"/>
      <c r="K56" s="45"/>
      <c r="L56" s="45"/>
      <c r="M56" s="45"/>
      <c r="N56" s="45"/>
      <c r="O56" s="45"/>
      <c r="P56" s="45"/>
      <c r="Q56" s="45"/>
      <c r="R56" s="45"/>
      <c r="S56" s="45"/>
      <c r="T56" s="45"/>
      <c r="U56" s="45"/>
      <c r="V56" s="45"/>
      <c r="W56" s="45">
        <v>72739</v>
      </c>
      <c r="X56" s="45">
        <v>73539.5</v>
      </c>
      <c r="Y56" s="45">
        <v>73653.713551813329</v>
      </c>
      <c r="Z56" s="45">
        <v>75746.585367057749</v>
      </c>
      <c r="AA56" s="45">
        <v>76183.483044370689</v>
      </c>
      <c r="AB56" s="45">
        <v>76834.721750225406</v>
      </c>
      <c r="AC56" s="45">
        <v>77654.877581646622</v>
      </c>
      <c r="AD56" s="45">
        <v>78518.766407701623</v>
      </c>
      <c r="AE56" s="45">
        <v>78475.187132212755</v>
      </c>
      <c r="AF56" s="45">
        <v>79698.130514508812</v>
      </c>
      <c r="AG56" s="45">
        <v>80212.071040984825</v>
      </c>
      <c r="AH56" s="45">
        <v>80604.634500004046</v>
      </c>
      <c r="AI56" s="45">
        <v>81024.074946833338</v>
      </c>
      <c r="AJ56" s="45">
        <v>82312.638324435771</v>
      </c>
      <c r="AK56" s="45">
        <v>82391.427504657462</v>
      </c>
      <c r="AL56" s="45">
        <v>82849.570989698783</v>
      </c>
      <c r="AM56" s="45">
        <v>83258.234451256882</v>
      </c>
      <c r="AN56" s="45">
        <v>83763.127706091327</v>
      </c>
      <c r="AO56" s="45">
        <v>83807.846190979821</v>
      </c>
      <c r="AP56" s="45">
        <v>84031.914998217806</v>
      </c>
      <c r="AQ56" s="45">
        <v>84139.568539762957</v>
      </c>
      <c r="AR56" s="45">
        <v>84313.247379988708</v>
      </c>
      <c r="AS56" s="45">
        <v>83805.841976585245</v>
      </c>
      <c r="AT56" s="45">
        <v>83153.56393946844</v>
      </c>
      <c r="AU56" s="45">
        <v>82065.162323022436</v>
      </c>
      <c r="AV56" s="45">
        <v>82474.391085028881</v>
      </c>
      <c r="AW56" s="45">
        <v>82995.147298458556</v>
      </c>
      <c r="AX56" s="45">
        <v>85134.87087793331</v>
      </c>
      <c r="AY56" s="45">
        <v>86848.584151986885</v>
      </c>
      <c r="AZ56" s="45">
        <v>86875.688156941702</v>
      </c>
      <c r="BA56" s="45">
        <v>86955.357642872041</v>
      </c>
      <c r="BB56" s="45">
        <v>87659.135282407748</v>
      </c>
      <c r="BC56" s="45">
        <v>87917.507376991678</v>
      </c>
      <c r="BD56" s="45">
        <v>88370.531751646253</v>
      </c>
      <c r="BE56" s="45">
        <v>88534.197962695383</v>
      </c>
      <c r="BF56" s="45">
        <v>89005.078108979185</v>
      </c>
      <c r="BG56" s="45">
        <v>89170.560251262505</v>
      </c>
      <c r="BH56" s="45">
        <v>89624.885072752979</v>
      </c>
      <c r="BI56" s="45">
        <v>89885.202918828028</v>
      </c>
      <c r="BJ56" s="45">
        <v>90203.308470046031</v>
      </c>
      <c r="BK56" s="45">
        <v>90611.713862330915</v>
      </c>
      <c r="BL56" s="45">
        <v>91076.187347542262</v>
      </c>
      <c r="BM56" s="45">
        <v>91535.764462480263</v>
      </c>
      <c r="BN56" s="45">
        <v>91922.464166746038</v>
      </c>
      <c r="BO56" s="45">
        <v>92225.989437307129</v>
      </c>
      <c r="BP56" s="45">
        <v>92474.220946006011</v>
      </c>
      <c r="BQ56" s="45">
        <v>92668.442402703891</v>
      </c>
      <c r="BR56" s="45">
        <v>92836.180415190349</v>
      </c>
      <c r="BS56" s="45">
        <v>92864.907384613063</v>
      </c>
      <c r="BT56" s="45">
        <v>93004.446057428941</v>
      </c>
      <c r="BU56" s="45">
        <v>93065.24012666216</v>
      </c>
      <c r="BV56" s="45">
        <v>93244.069162174943</v>
      </c>
      <c r="BW56" s="45">
        <v>93375.88003664164</v>
      </c>
      <c r="BX56" s="45">
        <v>93541.030603788633</v>
      </c>
      <c r="BY56" s="45">
        <v>93716.808505447116</v>
      </c>
      <c r="BZ56" s="45">
        <v>94011.354519169166</v>
      </c>
      <c r="CA56" s="45">
        <v>94206.993198197073</v>
      </c>
      <c r="CB56" s="45">
        <v>94328.377932873991</v>
      </c>
      <c r="CC56" s="45">
        <v>94511.5871399116</v>
      </c>
      <c r="CD56" s="45">
        <v>94667.499534517381</v>
      </c>
      <c r="CE56" s="45">
        <v>94801.103956064355</v>
      </c>
      <c r="CF56" s="45">
        <v>94979.435745974799</v>
      </c>
      <c r="CG56" s="45">
        <v>95121.600883001083</v>
      </c>
      <c r="CH56" s="45">
        <v>95259.392547190349</v>
      </c>
      <c r="CI56" s="45">
        <v>95445.751246981265</v>
      </c>
      <c r="CJ56" s="45">
        <v>95525.507989119767</v>
      </c>
      <c r="CK56" s="45">
        <v>95643.974050543882</v>
      </c>
      <c r="CL56" s="45">
        <v>95817.669094691693</v>
      </c>
      <c r="CM56" s="45">
        <v>95912.816502484158</v>
      </c>
      <c r="CN56" s="45">
        <v>96039.122118046827</v>
      </c>
      <c r="CO56" s="45">
        <v>96160.286131578789</v>
      </c>
      <c r="CP56" s="45">
        <v>96278.188067162104</v>
      </c>
      <c r="CQ56" s="45">
        <v>96385.204789509356</v>
      </c>
      <c r="CR56" s="45">
        <v>96453.984589972446</v>
      </c>
      <c r="CS56" s="45">
        <v>96566.939432971762</v>
      </c>
      <c r="CT56" s="45">
        <v>96642.436837957735</v>
      </c>
      <c r="CU56" s="45">
        <v>96724.186920249456</v>
      </c>
      <c r="CV56" s="45">
        <v>96786.403810584059</v>
      </c>
      <c r="CW56" s="45">
        <v>96852.513162664254</v>
      </c>
      <c r="CX56" s="45">
        <v>96940.81341115135</v>
      </c>
      <c r="CY56" s="45">
        <v>96990.26041374146</v>
      </c>
      <c r="CZ56" s="45">
        <v>97044.911276406958</v>
      </c>
      <c r="DA56" s="45">
        <v>97090.112432039547</v>
      </c>
      <c r="DB56" s="45">
        <v>97174.063093163189</v>
      </c>
      <c r="DC56" s="45">
        <v>97236.565451204486</v>
      </c>
      <c r="DD56" s="45">
        <v>97288.516789434027</v>
      </c>
      <c r="DE56" s="45">
        <v>97344.794053449092</v>
      </c>
      <c r="DF56" s="45">
        <v>97431.053872653749</v>
      </c>
      <c r="DG56" s="45">
        <v>97472.388201109774</v>
      </c>
      <c r="DH56" s="45">
        <v>97527.395418777945</v>
      </c>
      <c r="DI56" s="45">
        <v>97561.698367286648</v>
      </c>
      <c r="DJ56" s="45">
        <v>97634.435887278742</v>
      </c>
      <c r="DK56" s="45">
        <v>97687.492666254839</v>
      </c>
      <c r="DL56" s="45">
        <v>97723.400761983066</v>
      </c>
      <c r="DM56" s="45">
        <v>97761.319103004353</v>
      </c>
      <c r="DN56" s="45">
        <v>97795.237733259055</v>
      </c>
      <c r="DO56" s="45">
        <v>97853.31994935422</v>
      </c>
      <c r="DP56">
        <v>97907.832115603393</v>
      </c>
      <c r="DQ56">
        <v>97944.685322025631</v>
      </c>
      <c r="DR56">
        <v>97996.005715159772</v>
      </c>
      <c r="DS56">
        <v>98033.846888703891</v>
      </c>
      <c r="DT56">
        <v>98084.428162887183</v>
      </c>
      <c r="DU56">
        <v>98133.564425330449</v>
      </c>
    </row>
    <row r="57" spans="1:125">
      <c r="A57" s="42">
        <v>55</v>
      </c>
      <c r="B57" s="45"/>
      <c r="C57" s="45"/>
      <c r="D57" s="45"/>
      <c r="E57" s="45"/>
      <c r="F57" s="45"/>
      <c r="G57" s="45"/>
      <c r="H57" s="45"/>
      <c r="I57" s="45"/>
      <c r="J57" s="45"/>
      <c r="K57" s="45"/>
      <c r="L57" s="45"/>
      <c r="M57" s="45"/>
      <c r="N57" s="45"/>
      <c r="O57" s="45"/>
      <c r="P57" s="45"/>
      <c r="Q57" s="45"/>
      <c r="R57" s="45"/>
      <c r="S57" s="45"/>
      <c r="T57" s="45"/>
      <c r="U57" s="45"/>
      <c r="V57" s="45"/>
      <c r="W57" s="45">
        <v>72145</v>
      </c>
      <c r="X57" s="45">
        <v>72956.5</v>
      </c>
      <c r="Y57" s="45">
        <v>73087.086559572344</v>
      </c>
      <c r="Z57" s="45">
        <v>75161.502133469185</v>
      </c>
      <c r="AA57" s="45">
        <v>75603.326121511171</v>
      </c>
      <c r="AB57" s="45">
        <v>76244.424698591931</v>
      </c>
      <c r="AC57" s="45">
        <v>77068.408875173933</v>
      </c>
      <c r="AD57" s="45">
        <v>77926.997179837956</v>
      </c>
      <c r="AE57" s="45">
        <v>77897.183675280103</v>
      </c>
      <c r="AF57" s="45">
        <v>79112.216231173428</v>
      </c>
      <c r="AG57" s="45">
        <v>79627.906083362323</v>
      </c>
      <c r="AH57" s="45">
        <v>80038.212014847581</v>
      </c>
      <c r="AI57" s="45">
        <v>80448.969423353614</v>
      </c>
      <c r="AJ57" s="45">
        <v>81760.750144326681</v>
      </c>
      <c r="AK57" s="45">
        <v>81836.718817674511</v>
      </c>
      <c r="AL57" s="45">
        <v>82315.667122375584</v>
      </c>
      <c r="AM57" s="45">
        <v>82723.843616629907</v>
      </c>
      <c r="AN57" s="45">
        <v>83248.905254442245</v>
      </c>
      <c r="AO57" s="45">
        <v>83305.203384509834</v>
      </c>
      <c r="AP57" s="45">
        <v>83528.30805906665</v>
      </c>
      <c r="AQ57" s="45">
        <v>83648.228198890021</v>
      </c>
      <c r="AR57" s="45">
        <v>83845.174191194936</v>
      </c>
      <c r="AS57" s="45">
        <v>83350.975006939552</v>
      </c>
      <c r="AT57" s="45">
        <v>82698.270953743704</v>
      </c>
      <c r="AU57" s="45">
        <v>81611.965014773508</v>
      </c>
      <c r="AV57" s="45">
        <v>82037.254324053079</v>
      </c>
      <c r="AW57" s="45">
        <v>82564.82800979515</v>
      </c>
      <c r="AX57" s="45">
        <v>84690.37934330228</v>
      </c>
      <c r="AY57" s="45">
        <v>86418.876192017371</v>
      </c>
      <c r="AZ57" s="45">
        <v>86439.259817199694</v>
      </c>
      <c r="BA57" s="45">
        <v>86525.138233596488</v>
      </c>
      <c r="BB57" s="45">
        <v>87243.433987669676</v>
      </c>
      <c r="BC57" s="45">
        <v>87501.495396049577</v>
      </c>
      <c r="BD57" s="45">
        <v>87951.878953576059</v>
      </c>
      <c r="BE57" s="45">
        <v>88112.676779262853</v>
      </c>
      <c r="BF57" s="45">
        <v>88580.931886375911</v>
      </c>
      <c r="BG57" s="45">
        <v>88767.926908866531</v>
      </c>
      <c r="BH57" s="45">
        <v>89216.140685287552</v>
      </c>
      <c r="BI57" s="45">
        <v>89497.405014280608</v>
      </c>
      <c r="BJ57" s="45">
        <v>89807.683143699629</v>
      </c>
      <c r="BK57" s="45">
        <v>90225.735144539474</v>
      </c>
      <c r="BL57" s="45">
        <v>90705.506639652391</v>
      </c>
      <c r="BM57" s="45">
        <v>91164.961713866476</v>
      </c>
      <c r="BN57" s="45">
        <v>91567.993201810255</v>
      </c>
      <c r="BO57" s="45">
        <v>91875.677683788002</v>
      </c>
      <c r="BP57" s="45">
        <v>92121.68750518476</v>
      </c>
      <c r="BQ57" s="45">
        <v>92305.982484545864</v>
      </c>
      <c r="BR57" s="45">
        <v>92477.479910324328</v>
      </c>
      <c r="BS57" s="45">
        <v>92512.936965843692</v>
      </c>
      <c r="BT57" s="45">
        <v>92658.62040835782</v>
      </c>
      <c r="BU57" s="45">
        <v>92725.777903548384</v>
      </c>
      <c r="BV57" s="45">
        <v>92910.37406422029</v>
      </c>
      <c r="BW57" s="45">
        <v>93048.07109641796</v>
      </c>
      <c r="BX57" s="45">
        <v>93218.846585376799</v>
      </c>
      <c r="BY57" s="45">
        <v>93400.102420211624</v>
      </c>
      <c r="BZ57" s="45">
        <v>93699.638874938668</v>
      </c>
      <c r="CA57" s="45">
        <v>93900.551139341362</v>
      </c>
      <c r="CB57" s="45">
        <v>94027.395337886977</v>
      </c>
      <c r="CC57" s="45">
        <v>94215.679384896735</v>
      </c>
      <c r="CD57" s="45">
        <v>94376.697503967356</v>
      </c>
      <c r="CE57" s="45">
        <v>94515.35915888325</v>
      </c>
      <c r="CF57" s="45">
        <v>94698.495531365057</v>
      </c>
      <c r="CG57" s="45">
        <v>94845.529839918192</v>
      </c>
      <c r="CH57" s="45">
        <v>94988.103159345745</v>
      </c>
      <c r="CI57" s="45">
        <v>95179.022198383347</v>
      </c>
      <c r="CJ57" s="45">
        <v>95263.579453848215</v>
      </c>
      <c r="CK57" s="45">
        <v>95386.655988077197</v>
      </c>
      <c r="CL57" s="45">
        <v>95564.709760762722</v>
      </c>
      <c r="CM57" s="45">
        <v>95664.370430841431</v>
      </c>
      <c r="CN57" s="45">
        <v>95795.031247588893</v>
      </c>
      <c r="CO57" s="45">
        <v>95920.453779482268</v>
      </c>
      <c r="CP57" s="45">
        <v>96042.582161216851</v>
      </c>
      <c r="CQ57" s="45">
        <v>96153.763934706745</v>
      </c>
      <c r="CR57" s="45">
        <v>96226.749369258789</v>
      </c>
      <c r="CS57" s="45">
        <v>96343.709763214691</v>
      </c>
      <c r="CT57" s="45">
        <v>96423.238791500742</v>
      </c>
      <c r="CU57" s="45">
        <v>96508.925540421362</v>
      </c>
      <c r="CV57" s="45">
        <v>96575.053023159329</v>
      </c>
      <c r="CW57" s="45">
        <v>96645.012426051166</v>
      </c>
      <c r="CX57" s="45">
        <v>96737.024690534701</v>
      </c>
      <c r="CY57" s="45">
        <v>96790.215099479654</v>
      </c>
      <c r="CZ57" s="45">
        <v>96848.510308148849</v>
      </c>
      <c r="DA57" s="45">
        <v>96897.323075879744</v>
      </c>
      <c r="DB57" s="45">
        <v>96984.729130256615</v>
      </c>
      <c r="DC57" s="45">
        <v>97050.68620243945</v>
      </c>
      <c r="DD57" s="45">
        <v>97106.036926563625</v>
      </c>
      <c r="DE57" s="45">
        <v>97165.650850348437</v>
      </c>
      <c r="DF57" s="45">
        <v>97255.13280368151</v>
      </c>
      <c r="DG57" s="45">
        <v>97299.699013363104</v>
      </c>
      <c r="DH57" s="45">
        <v>97357.867651510722</v>
      </c>
      <c r="DI57" s="45">
        <v>97395.299814618746</v>
      </c>
      <c r="DJ57" s="45">
        <v>97471.04564630716</v>
      </c>
      <c r="DK57" s="45">
        <v>97527.097410138376</v>
      </c>
      <c r="DL57" s="45">
        <v>97565.972556339315</v>
      </c>
      <c r="DM57" s="45">
        <v>97606.789696075532</v>
      </c>
      <c r="DN57" s="45">
        <v>97643.57130248961</v>
      </c>
      <c r="DO57" s="45">
        <v>97704.421626624506</v>
      </c>
      <c r="DP57">
        <v>97761.660650516802</v>
      </c>
      <c r="DQ57">
        <v>97801.214426201826</v>
      </c>
      <c r="DR57">
        <v>97855.158563655175</v>
      </c>
      <c r="DS57">
        <v>97895.604959846038</v>
      </c>
      <c r="DT57">
        <v>97948.721046955732</v>
      </c>
      <c r="DU57">
        <v>98000.347800441115</v>
      </c>
    </row>
    <row r="58" spans="1:125">
      <c r="A58" s="42">
        <v>56</v>
      </c>
      <c r="B58" s="45"/>
      <c r="C58" s="45"/>
      <c r="D58" s="45"/>
      <c r="E58" s="45"/>
      <c r="F58" s="45"/>
      <c r="G58" s="45"/>
      <c r="H58" s="45"/>
      <c r="I58" s="45"/>
      <c r="J58" s="45"/>
      <c r="K58" s="45"/>
      <c r="L58" s="45"/>
      <c r="M58" s="45"/>
      <c r="N58" s="45"/>
      <c r="O58" s="45"/>
      <c r="P58" s="45"/>
      <c r="Q58" s="45"/>
      <c r="R58" s="45"/>
      <c r="S58" s="45"/>
      <c r="T58" s="45"/>
      <c r="U58" s="45"/>
      <c r="V58" s="45"/>
      <c r="W58" s="45">
        <v>71521</v>
      </c>
      <c r="X58" s="45">
        <v>72339</v>
      </c>
      <c r="Y58" s="45">
        <v>72472.465965507246</v>
      </c>
      <c r="Z58" s="45">
        <v>74529.210453528154</v>
      </c>
      <c r="AA58" s="45">
        <v>74988.520400510519</v>
      </c>
      <c r="AB58" s="45">
        <v>75619.11871515197</v>
      </c>
      <c r="AC58" s="45">
        <v>76446.159237290587</v>
      </c>
      <c r="AD58" s="45">
        <v>77297.559736902767</v>
      </c>
      <c r="AE58" s="45">
        <v>77268.341775439127</v>
      </c>
      <c r="AF58" s="45">
        <v>78490.020374276515</v>
      </c>
      <c r="AG58" s="45">
        <v>79015.383211741719</v>
      </c>
      <c r="AH58" s="45">
        <v>79431.682703711442</v>
      </c>
      <c r="AI58" s="45">
        <v>79851.81055999329</v>
      </c>
      <c r="AJ58" s="45">
        <v>81158.102671013577</v>
      </c>
      <c r="AK58" s="45">
        <v>81243.680479011411</v>
      </c>
      <c r="AL58" s="45">
        <v>81741.187975520676</v>
      </c>
      <c r="AM58" s="45">
        <v>82164.739433048642</v>
      </c>
      <c r="AN58" s="45">
        <v>82709.900898816471</v>
      </c>
      <c r="AO58" s="45">
        <v>82774.707331675192</v>
      </c>
      <c r="AP58" s="45">
        <v>82999.980102168382</v>
      </c>
      <c r="AQ58" s="45">
        <v>83141.590249497705</v>
      </c>
      <c r="AR58" s="45">
        <v>83357.975652378838</v>
      </c>
      <c r="AS58" s="45">
        <v>82864.938115592318</v>
      </c>
      <c r="AT58" s="45">
        <v>82219.01337885439</v>
      </c>
      <c r="AU58" s="45">
        <v>81144.993105162546</v>
      </c>
      <c r="AV58" s="45">
        <v>81565.070149696316</v>
      </c>
      <c r="AW58" s="45">
        <v>82100.507312663802</v>
      </c>
      <c r="AX58" s="45">
        <v>84239.630882005615</v>
      </c>
      <c r="AY58" s="45">
        <v>85940.207498367236</v>
      </c>
      <c r="AZ58" s="45">
        <v>85987.420074714522</v>
      </c>
      <c r="BA58" s="45">
        <v>86066.654753973678</v>
      </c>
      <c r="BB58" s="45">
        <v>86791.873781827133</v>
      </c>
      <c r="BC58" s="45">
        <v>87054.873424953403</v>
      </c>
      <c r="BD58" s="45">
        <v>87499.126938545203</v>
      </c>
      <c r="BE58" s="45">
        <v>87659.738215350866</v>
      </c>
      <c r="BF58" s="45">
        <v>88134.303981881239</v>
      </c>
      <c r="BG58" s="45">
        <v>88326.819084988325</v>
      </c>
      <c r="BH58" s="45">
        <v>88801.776075229238</v>
      </c>
      <c r="BI58" s="45">
        <v>89070.65006176896</v>
      </c>
      <c r="BJ58" s="45">
        <v>89379.41084657349</v>
      </c>
      <c r="BK58" s="45">
        <v>89812.912860464028</v>
      </c>
      <c r="BL58" s="45">
        <v>90300.37911530261</v>
      </c>
      <c r="BM58" s="45">
        <v>90768.663029385716</v>
      </c>
      <c r="BN58" s="45">
        <v>91184.891192483192</v>
      </c>
      <c r="BO58" s="45">
        <v>91467.666210177646</v>
      </c>
      <c r="BP58" s="45">
        <v>91715.733706664294</v>
      </c>
      <c r="BQ58" s="45">
        <v>91911.225609554735</v>
      </c>
      <c r="BR58" s="45">
        <v>92089.461304488999</v>
      </c>
      <c r="BS58" s="45">
        <v>92132.147989374658</v>
      </c>
      <c r="BT58" s="45">
        <v>92284.430730705746</v>
      </c>
      <c r="BU58" s="45">
        <v>92358.426057812176</v>
      </c>
      <c r="BV58" s="45">
        <v>92549.217564309773</v>
      </c>
      <c r="BW58" s="45">
        <v>92693.240386666497</v>
      </c>
      <c r="BX58" s="45">
        <v>92870.061393754528</v>
      </c>
      <c r="BY58" s="45">
        <v>93057.205738290504</v>
      </c>
      <c r="BZ58" s="45">
        <v>93362.104754527245</v>
      </c>
      <c r="CA58" s="45">
        <v>93568.687610111941</v>
      </c>
      <c r="CB58" s="45">
        <v>93701.405182327231</v>
      </c>
      <c r="CC58" s="45">
        <v>93895.148690074697</v>
      </c>
      <c r="CD58" s="45">
        <v>94061.614781564829</v>
      </c>
      <c r="CE58" s="45">
        <v>94205.721811952521</v>
      </c>
      <c r="CF58" s="45">
        <v>94394.031562714255</v>
      </c>
      <c r="CG58" s="45">
        <v>94546.310434212908</v>
      </c>
      <c r="CH58" s="45">
        <v>94694.035043329844</v>
      </c>
      <c r="CI58" s="45">
        <v>94889.866895767365</v>
      </c>
      <c r="CJ58" s="45">
        <v>94979.598540464678</v>
      </c>
      <c r="CK58" s="45">
        <v>95107.644789612736</v>
      </c>
      <c r="CL58" s="45">
        <v>95290.39678477362</v>
      </c>
      <c r="CM58" s="45">
        <v>95394.924344544299</v>
      </c>
      <c r="CN58" s="45">
        <v>95530.281865060359</v>
      </c>
      <c r="CO58" s="45">
        <v>95660.297665689141</v>
      </c>
      <c r="CP58" s="45">
        <v>95786.985448363339</v>
      </c>
      <c r="CQ58" s="45">
        <v>95902.661248135322</v>
      </c>
      <c r="CR58" s="45">
        <v>95980.185692246727</v>
      </c>
      <c r="CS58" s="45">
        <v>96101.469227922353</v>
      </c>
      <c r="CT58" s="45">
        <v>96185.350661140459</v>
      </c>
      <c r="CU58" s="45">
        <v>96275.287845048268</v>
      </c>
      <c r="CV58" s="45">
        <v>96345.638448063924</v>
      </c>
      <c r="CW58" s="45">
        <v>96419.756106847693</v>
      </c>
      <c r="CX58" s="45">
        <v>96515.777866618097</v>
      </c>
      <c r="CY58" s="45">
        <v>96573.012652430407</v>
      </c>
      <c r="CZ58" s="45">
        <v>96635.245710259827</v>
      </c>
      <c r="DA58" s="45">
        <v>96687.961556789625</v>
      </c>
      <c r="DB58" s="45">
        <v>96779.101977181213</v>
      </c>
      <c r="DC58" s="45">
        <v>96848.793362639379</v>
      </c>
      <c r="DD58" s="45">
        <v>96907.81918323171</v>
      </c>
      <c r="DE58" s="45">
        <v>96971.040797216527</v>
      </c>
      <c r="DF58" s="45">
        <v>97064.006774434791</v>
      </c>
      <c r="DG58" s="45">
        <v>97112.068402900259</v>
      </c>
      <c r="DH58" s="45">
        <v>97173.65653680361</v>
      </c>
      <c r="DI58" s="45">
        <v>97214.473956553033</v>
      </c>
      <c r="DJ58" s="45">
        <v>97293.474323303642</v>
      </c>
      <c r="DK58" s="45">
        <v>97352.766736847334</v>
      </c>
      <c r="DL58" s="45">
        <v>97394.852816593222</v>
      </c>
      <c r="DM58" s="45">
        <v>97438.80738749326</v>
      </c>
      <c r="DN58" s="45">
        <v>97478.688020339148</v>
      </c>
      <c r="DO58" s="45">
        <v>97542.534854026308</v>
      </c>
      <c r="DP58">
        <v>97602.726083594709</v>
      </c>
      <c r="DQ58">
        <v>97645.204050519591</v>
      </c>
      <c r="DR58">
        <v>97701.989415607546</v>
      </c>
      <c r="DS58">
        <v>97745.257360273157</v>
      </c>
      <c r="DT58">
        <v>97801.11895988982</v>
      </c>
      <c r="DU58">
        <v>97855.443513961349</v>
      </c>
    </row>
    <row r="59" spans="1:125">
      <c r="A59" s="42">
        <v>57</v>
      </c>
      <c r="B59" s="45"/>
      <c r="C59" s="45"/>
      <c r="D59" s="45"/>
      <c r="E59" s="45"/>
      <c r="F59" s="45"/>
      <c r="G59" s="45"/>
      <c r="H59" s="45"/>
      <c r="I59" s="45"/>
      <c r="J59" s="45"/>
      <c r="K59" s="45"/>
      <c r="L59" s="45"/>
      <c r="M59" s="45"/>
      <c r="N59" s="45"/>
      <c r="O59" s="45"/>
      <c r="P59" s="45"/>
      <c r="Q59" s="45"/>
      <c r="R59" s="45"/>
      <c r="S59" s="45"/>
      <c r="T59" s="45"/>
      <c r="U59" s="45"/>
      <c r="V59" s="45"/>
      <c r="W59" s="45">
        <v>70854</v>
      </c>
      <c r="X59" s="45">
        <v>71679</v>
      </c>
      <c r="Y59" s="45">
        <v>71802.757284614287</v>
      </c>
      <c r="Z59" s="45">
        <v>73847.280273076962</v>
      </c>
      <c r="AA59" s="45">
        <v>74319.580538639013</v>
      </c>
      <c r="AB59" s="45">
        <v>74954.190444057589</v>
      </c>
      <c r="AC59" s="45">
        <v>75778.450933510991</v>
      </c>
      <c r="AD59" s="45">
        <v>76609.96936010744</v>
      </c>
      <c r="AE59" s="45">
        <v>76593.710883368272</v>
      </c>
      <c r="AF59" s="45">
        <v>77814.027198670228</v>
      </c>
      <c r="AG59" s="45">
        <v>78359.246408057865</v>
      </c>
      <c r="AH59" s="45">
        <v>78778.313086786671</v>
      </c>
      <c r="AI59" s="45">
        <v>79198.540916567435</v>
      </c>
      <c r="AJ59" s="45">
        <v>80507.876032895801</v>
      </c>
      <c r="AK59" s="45">
        <v>80622.648463520338</v>
      </c>
      <c r="AL59" s="45">
        <v>81133.313102707223</v>
      </c>
      <c r="AM59" s="45">
        <v>81580.825837056633</v>
      </c>
      <c r="AN59" s="45">
        <v>82138.654398229497</v>
      </c>
      <c r="AO59" s="45">
        <v>82196.897467695933</v>
      </c>
      <c r="AP59" s="45">
        <v>82451.506281832146</v>
      </c>
      <c r="AQ59" s="45">
        <v>82608.784329022194</v>
      </c>
      <c r="AR59" s="45">
        <v>82841.877695970703</v>
      </c>
      <c r="AS59" s="45">
        <v>82343.753824370768</v>
      </c>
      <c r="AT59" s="45">
        <v>81719.960775010099</v>
      </c>
      <c r="AU59" s="45">
        <v>80655.82040200301</v>
      </c>
      <c r="AV59" s="45">
        <v>81070.045492746591</v>
      </c>
      <c r="AW59" s="45">
        <v>81625.515883709479</v>
      </c>
      <c r="AX59" s="45">
        <v>83752.474820249365</v>
      </c>
      <c r="AY59" s="45">
        <v>85444.32351147008</v>
      </c>
      <c r="AZ59" s="45">
        <v>85497.918909028071</v>
      </c>
      <c r="BA59" s="45">
        <v>85590.246823297552</v>
      </c>
      <c r="BB59" s="45">
        <v>86302.579656973408</v>
      </c>
      <c r="BC59" s="45">
        <v>86576.859148240517</v>
      </c>
      <c r="BD59" s="45">
        <v>87015.0673617188</v>
      </c>
      <c r="BE59" s="45">
        <v>87192.913020187072</v>
      </c>
      <c r="BF59" s="45">
        <v>87655.436359822052</v>
      </c>
      <c r="BG59" s="45">
        <v>87862.752013972684</v>
      </c>
      <c r="BH59" s="45">
        <v>88342.621334968935</v>
      </c>
      <c r="BI59" s="45">
        <v>88603.592166612521</v>
      </c>
      <c r="BJ59" s="45">
        <v>88925.272411152473</v>
      </c>
      <c r="BK59" s="45">
        <v>89358.046313080558</v>
      </c>
      <c r="BL59" s="45">
        <v>89870.500530264806</v>
      </c>
      <c r="BM59" s="45">
        <v>90337.998128905107</v>
      </c>
      <c r="BN59" s="45">
        <v>90749.724002981646</v>
      </c>
      <c r="BO59" s="45">
        <v>91020.614256694098</v>
      </c>
      <c r="BP59" s="45">
        <v>91280.841686125699</v>
      </c>
      <c r="BQ59" s="45">
        <v>91483.568312722928</v>
      </c>
      <c r="BR59" s="45">
        <v>91669.055403293576</v>
      </c>
      <c r="BS59" s="45">
        <v>91719.528066491359</v>
      </c>
      <c r="BT59" s="45">
        <v>91878.916444490867</v>
      </c>
      <c r="BU59" s="45">
        <v>91960.277982022264</v>
      </c>
      <c r="BV59" s="45">
        <v>92157.741873464984</v>
      </c>
      <c r="BW59" s="45">
        <v>92308.580278166657</v>
      </c>
      <c r="BX59" s="45">
        <v>92491.915298395586</v>
      </c>
      <c r="BY59" s="45">
        <v>92685.405436155008</v>
      </c>
      <c r="BZ59" s="45">
        <v>92996.081775629107</v>
      </c>
      <c r="CA59" s="45">
        <v>93208.777543585544</v>
      </c>
      <c r="CB59" s="45">
        <v>93347.829548840702</v>
      </c>
      <c r="CC59" s="45">
        <v>93547.41129711055</v>
      </c>
      <c r="CD59" s="45">
        <v>93719.75681567844</v>
      </c>
      <c r="CE59" s="45">
        <v>93869.741922574351</v>
      </c>
      <c r="CF59" s="45">
        <v>94063.636150455248</v>
      </c>
      <c r="CG59" s="45">
        <v>94221.578042714493</v>
      </c>
      <c r="CH59" s="45">
        <v>94374.865860580059</v>
      </c>
      <c r="CI59" s="45">
        <v>94576.00340985498</v>
      </c>
      <c r="CJ59" s="45">
        <v>94671.325910381711</v>
      </c>
      <c r="CK59" s="45">
        <v>94804.742103256081</v>
      </c>
      <c r="CL59" s="45">
        <v>94992.570561205386</v>
      </c>
      <c r="CM59" s="45">
        <v>95102.358821240938</v>
      </c>
      <c r="CN59" s="45">
        <v>95242.793396601017</v>
      </c>
      <c r="CO59" s="45">
        <v>95377.775102238695</v>
      </c>
      <c r="CP59" s="45">
        <v>95509.393003256206</v>
      </c>
      <c r="CQ59" s="45">
        <v>95629.928984369166</v>
      </c>
      <c r="CR59" s="45">
        <v>95712.363435632898</v>
      </c>
      <c r="CS59" s="45">
        <v>95838.323521853337</v>
      </c>
      <c r="CT59" s="45">
        <v>95926.914219266255</v>
      </c>
      <c r="CU59" s="45">
        <v>96021.450827203109</v>
      </c>
      <c r="CV59" s="45">
        <v>96096.372068784869</v>
      </c>
      <c r="CW59" s="45">
        <v>96174.990727851313</v>
      </c>
      <c r="CX59" s="45">
        <v>96275.352717242902</v>
      </c>
      <c r="CY59" s="45">
        <v>96336.966422673198</v>
      </c>
      <c r="CZ59" s="45">
        <v>96403.463453824428</v>
      </c>
      <c r="DA59" s="45">
        <v>96460.406227951418</v>
      </c>
      <c r="DB59" s="45">
        <v>96555.590960498826</v>
      </c>
      <c r="DC59" s="45">
        <v>96629.327283774619</v>
      </c>
      <c r="DD59" s="45">
        <v>96692.334382898553</v>
      </c>
      <c r="DE59" s="45">
        <v>96759.46466017465</v>
      </c>
      <c r="DF59" s="45">
        <v>96856.205500247364</v>
      </c>
      <c r="DG59" s="45">
        <v>96908.055023378256</v>
      </c>
      <c r="DH59" s="45">
        <v>96973.349095881626</v>
      </c>
      <c r="DI59" s="45">
        <v>97017.835828181574</v>
      </c>
      <c r="DJ59" s="45">
        <v>97100.363924997873</v>
      </c>
      <c r="DK59" s="45">
        <v>97163.169510808468</v>
      </c>
      <c r="DL59" s="45">
        <v>97208.73698501644</v>
      </c>
      <c r="DM59" s="45">
        <v>97256.093540317685</v>
      </c>
      <c r="DN59" s="45">
        <v>97299.334880425711</v>
      </c>
      <c r="DO59" s="45">
        <v>97366.431402312592</v>
      </c>
      <c r="DP59">
        <v>97429.824593896599</v>
      </c>
      <c r="DQ59">
        <v>97475.474507996405</v>
      </c>
      <c r="DR59">
        <v>97535.342010778331</v>
      </c>
      <c r="DS59">
        <v>97581.671104570152</v>
      </c>
      <c r="DT59">
        <v>97640.511543965549</v>
      </c>
      <c r="DU59">
        <v>97697.76342556774</v>
      </c>
    </row>
    <row r="60" spans="1:125">
      <c r="A60" s="42">
        <v>58</v>
      </c>
      <c r="B60" s="45"/>
      <c r="C60" s="45"/>
      <c r="D60" s="45"/>
      <c r="E60" s="45"/>
      <c r="F60" s="45"/>
      <c r="G60" s="45"/>
      <c r="H60" s="45"/>
      <c r="I60" s="45"/>
      <c r="J60" s="45"/>
      <c r="K60" s="45"/>
      <c r="L60" s="45"/>
      <c r="M60" s="45"/>
      <c r="N60" s="45"/>
      <c r="O60" s="45"/>
      <c r="P60" s="45"/>
      <c r="Q60" s="45"/>
      <c r="R60" s="45"/>
      <c r="S60" s="45"/>
      <c r="T60" s="45"/>
      <c r="U60" s="45"/>
      <c r="V60" s="45"/>
      <c r="W60" s="45">
        <v>70128</v>
      </c>
      <c r="X60" s="45">
        <v>70959.5</v>
      </c>
      <c r="Y60" s="45">
        <v>71073.892976948875</v>
      </c>
      <c r="Z60" s="45">
        <v>73134.79979209759</v>
      </c>
      <c r="AA60" s="45">
        <v>73600.116997306555</v>
      </c>
      <c r="AB60" s="45">
        <v>74254.53307909453</v>
      </c>
      <c r="AC60" s="45">
        <v>75073.395756490587</v>
      </c>
      <c r="AD60" s="45">
        <v>75898.859707463387</v>
      </c>
      <c r="AE60" s="45">
        <v>75883.86900813083</v>
      </c>
      <c r="AF60" s="45">
        <v>77106.597865990843</v>
      </c>
      <c r="AG60" s="45">
        <v>77666.787408170552</v>
      </c>
      <c r="AH60" s="45">
        <v>78071.240453497841</v>
      </c>
      <c r="AI60" s="45">
        <v>78495.36045267657</v>
      </c>
      <c r="AJ60" s="45">
        <v>79824.573529656045</v>
      </c>
      <c r="AK60" s="45">
        <v>79961.804189955757</v>
      </c>
      <c r="AL60" s="45">
        <v>80475.164007356972</v>
      </c>
      <c r="AM60" s="45">
        <v>80953.789060157651</v>
      </c>
      <c r="AN60" s="45">
        <v>81516.814246444235</v>
      </c>
      <c r="AO60" s="45">
        <v>81597.872808859975</v>
      </c>
      <c r="AP60" s="45">
        <v>81868.15403048147</v>
      </c>
      <c r="AQ60" s="45">
        <v>82044.509191490317</v>
      </c>
      <c r="AR60" s="45">
        <v>82285.142409734864</v>
      </c>
      <c r="AS60" s="45">
        <v>81793.595799293398</v>
      </c>
      <c r="AT60" s="45">
        <v>81171.894092426141</v>
      </c>
      <c r="AU60" s="45">
        <v>80121.442652314538</v>
      </c>
      <c r="AV60" s="45">
        <v>80541.631403556443</v>
      </c>
      <c r="AW60" s="45">
        <v>81112.859878802847</v>
      </c>
      <c r="AX60" s="45">
        <v>83234.734504713007</v>
      </c>
      <c r="AY60" s="45">
        <v>84947.083045996726</v>
      </c>
      <c r="AZ60" s="45">
        <v>84978.968218434078</v>
      </c>
      <c r="BA60" s="45">
        <v>85082.186476860428</v>
      </c>
      <c r="BB60" s="45">
        <v>85783.577243201056</v>
      </c>
      <c r="BC60" s="45">
        <v>86056.885694637051</v>
      </c>
      <c r="BD60" s="45">
        <v>86500.821573101493</v>
      </c>
      <c r="BE60" s="45">
        <v>86669.343957395497</v>
      </c>
      <c r="BF60" s="45">
        <v>87156.86169743145</v>
      </c>
      <c r="BG60" s="45">
        <v>87346.35038095701</v>
      </c>
      <c r="BH60" s="45">
        <v>87845.148976654469</v>
      </c>
      <c r="BI60" s="45">
        <v>88103.172418244474</v>
      </c>
      <c r="BJ60" s="45">
        <v>88440.119547747949</v>
      </c>
      <c r="BK60" s="45">
        <v>88869.300081159803</v>
      </c>
      <c r="BL60" s="45">
        <v>89400.299768563214</v>
      </c>
      <c r="BM60" s="45">
        <v>89867.981075670425</v>
      </c>
      <c r="BN60" s="45">
        <v>90264.834550532541</v>
      </c>
      <c r="BO60" s="45">
        <v>90540.79670515265</v>
      </c>
      <c r="BP60" s="45">
        <v>90808.733296406048</v>
      </c>
      <c r="BQ60" s="45">
        <v>91019.266612048959</v>
      </c>
      <c r="BR60" s="45">
        <v>91212.580961549451</v>
      </c>
      <c r="BS60" s="45">
        <v>91271.463822404039</v>
      </c>
      <c r="BT60" s="45">
        <v>91438.525985197688</v>
      </c>
      <c r="BU60" s="45">
        <v>91527.846614152106</v>
      </c>
      <c r="BV60" s="45">
        <v>91732.518160947424</v>
      </c>
      <c r="BW60" s="45">
        <v>91890.721900911158</v>
      </c>
      <c r="BX60" s="45">
        <v>92081.096613043293</v>
      </c>
      <c r="BY60" s="45">
        <v>92281.445571697303</v>
      </c>
      <c r="BZ60" s="45">
        <v>92598.364877671804</v>
      </c>
      <c r="CA60" s="45">
        <v>92817.670061533776</v>
      </c>
      <c r="CB60" s="45">
        <v>92963.521847304917</v>
      </c>
      <c r="CC60" s="45">
        <v>93169.421193395916</v>
      </c>
      <c r="CD60" s="45">
        <v>93348.130694000065</v>
      </c>
      <c r="CE60" s="45">
        <v>93504.479823265749</v>
      </c>
      <c r="CF60" s="45">
        <v>93704.420120345108</v>
      </c>
      <c r="CG60" s="45">
        <v>93868.49499170715</v>
      </c>
      <c r="CH60" s="45">
        <v>94027.808484244466</v>
      </c>
      <c r="CI60" s="45">
        <v>94234.692918743211</v>
      </c>
      <c r="CJ60" s="45">
        <v>94336.073723487731</v>
      </c>
      <c r="CK60" s="45">
        <v>94475.309158673452</v>
      </c>
      <c r="CL60" s="45">
        <v>94668.638664892904</v>
      </c>
      <c r="CM60" s="45">
        <v>94784.129563773458</v>
      </c>
      <c r="CN60" s="45">
        <v>94930.068084324768</v>
      </c>
      <c r="CO60" s="45">
        <v>95070.433661771007</v>
      </c>
      <c r="CP60" s="45">
        <v>95207.397656672591</v>
      </c>
      <c r="CQ60" s="45">
        <v>95333.204516508762</v>
      </c>
      <c r="CR60" s="45">
        <v>95420.965100373549</v>
      </c>
      <c r="CS60" s="45">
        <v>95551.998074152129</v>
      </c>
      <c r="CT60" s="45">
        <v>95645.698164950067</v>
      </c>
      <c r="CU60" s="45">
        <v>95745.225418295522</v>
      </c>
      <c r="CV60" s="45">
        <v>95825.106783416981</v>
      </c>
      <c r="CW60" s="45">
        <v>95908.610654684802</v>
      </c>
      <c r="CX60" s="45">
        <v>96013.683497981925</v>
      </c>
      <c r="CY60" s="45">
        <v>96080.050976251427</v>
      </c>
      <c r="CZ60" s="45">
        <v>96151.177240042016</v>
      </c>
      <c r="DA60" s="45">
        <v>96212.709672907804</v>
      </c>
      <c r="DB60" s="45">
        <v>96312.28583139964</v>
      </c>
      <c r="DC60" s="45">
        <v>96390.414990714125</v>
      </c>
      <c r="DD60" s="45">
        <v>96457.746139080147</v>
      </c>
      <c r="DE60" s="45">
        <v>96529.122024389362</v>
      </c>
      <c r="DF60" s="45">
        <v>96629.963349211233</v>
      </c>
      <c r="DG60" s="45">
        <v>96685.927992571204</v>
      </c>
      <c r="DH60" s="45">
        <v>96755.248538593383</v>
      </c>
      <c r="DI60" s="45">
        <v>96803.722290408332</v>
      </c>
      <c r="DJ60" s="45">
        <v>96890.083716831243</v>
      </c>
      <c r="DK60" s="45">
        <v>96956.707284376782</v>
      </c>
      <c r="DL60" s="45">
        <v>97006.058565169413</v>
      </c>
      <c r="DM60" s="45">
        <v>97057.112802173215</v>
      </c>
      <c r="DN60" s="45">
        <v>97104.007349905587</v>
      </c>
      <c r="DO60" s="45">
        <v>97174.63652472847</v>
      </c>
      <c r="DP60">
        <v>97241.510786736355</v>
      </c>
      <c r="DQ60">
        <v>97290.609423095011</v>
      </c>
      <c r="DR60">
        <v>97353.828132596391</v>
      </c>
      <c r="DS60">
        <v>97403.485974095674</v>
      </c>
      <c r="DT60">
        <v>97465.565792859314</v>
      </c>
      <c r="DU60">
        <v>97526.001249478097</v>
      </c>
    </row>
    <row r="61" spans="1:125">
      <c r="A61" s="42">
        <v>59</v>
      </c>
      <c r="B61" s="45"/>
      <c r="C61" s="45"/>
      <c r="D61" s="45"/>
      <c r="E61" s="45"/>
      <c r="F61" s="45"/>
      <c r="G61" s="45"/>
      <c r="H61" s="45"/>
      <c r="I61" s="45"/>
      <c r="J61" s="45"/>
      <c r="K61" s="45"/>
      <c r="L61" s="45"/>
      <c r="M61" s="45"/>
      <c r="N61" s="45"/>
      <c r="O61" s="45"/>
      <c r="P61" s="45"/>
      <c r="Q61" s="45"/>
      <c r="R61" s="45"/>
      <c r="S61" s="45"/>
      <c r="T61" s="45"/>
      <c r="U61" s="45"/>
      <c r="V61" s="45"/>
      <c r="W61" s="45">
        <v>69350.5</v>
      </c>
      <c r="X61" s="45">
        <v>70185</v>
      </c>
      <c r="Y61" s="45">
        <v>70295.625752412889</v>
      </c>
      <c r="Z61" s="45">
        <v>72368.681112504128</v>
      </c>
      <c r="AA61" s="45">
        <v>72851.281984294037</v>
      </c>
      <c r="AB61" s="45">
        <v>73485.93524518612</v>
      </c>
      <c r="AC61" s="45">
        <v>74323.111745990667</v>
      </c>
      <c r="AD61" s="45">
        <v>75129.083992016516</v>
      </c>
      <c r="AE61" s="45">
        <v>75137.804433327954</v>
      </c>
      <c r="AF61" s="45">
        <v>76348.737086255773</v>
      </c>
      <c r="AG61" s="45">
        <v>76909.71385516804</v>
      </c>
      <c r="AH61" s="45">
        <v>77324.41262578647</v>
      </c>
      <c r="AI61" s="45">
        <v>77753.537093780236</v>
      </c>
      <c r="AJ61" s="45">
        <v>79085.651830160801</v>
      </c>
      <c r="AK61" s="45">
        <v>79247.862999540026</v>
      </c>
      <c r="AL61" s="45">
        <v>79796.561331399949</v>
      </c>
      <c r="AM61" s="45">
        <v>80286.351664853835</v>
      </c>
      <c r="AN61" s="45">
        <v>80882.698671820588</v>
      </c>
      <c r="AO61" s="45">
        <v>80975.845470911605</v>
      </c>
      <c r="AP61" s="45">
        <v>81274.108070584654</v>
      </c>
      <c r="AQ61" s="45">
        <v>81445.752871640783</v>
      </c>
      <c r="AR61" s="45">
        <v>81697.608362916479</v>
      </c>
      <c r="AS61" s="45">
        <v>81211.759841853869</v>
      </c>
      <c r="AT61" s="45">
        <v>80583.42256965526</v>
      </c>
      <c r="AU61" s="45">
        <v>79551.188960395986</v>
      </c>
      <c r="AV61" s="45">
        <v>79974.575663961179</v>
      </c>
      <c r="AW61" s="45">
        <v>80570.319308428123</v>
      </c>
      <c r="AX61" s="45">
        <v>82671.35451367237</v>
      </c>
      <c r="AY61" s="45">
        <v>84388.038539734203</v>
      </c>
      <c r="AZ61" s="45">
        <v>84423.633143111481</v>
      </c>
      <c r="BA61" s="45">
        <v>84529.295344808474</v>
      </c>
      <c r="BB61" s="45">
        <v>85213.416805567846</v>
      </c>
      <c r="BC61" s="45">
        <v>85500.75940858401</v>
      </c>
      <c r="BD61" s="45">
        <v>85936.526143205527</v>
      </c>
      <c r="BE61" s="45">
        <v>86121.570587463008</v>
      </c>
      <c r="BF61" s="45">
        <v>86604.841967163637</v>
      </c>
      <c r="BG61" s="45">
        <v>86784.602459220914</v>
      </c>
      <c r="BH61" s="45">
        <v>87300.27438321455</v>
      </c>
      <c r="BI61" s="45">
        <v>87563.068772677623</v>
      </c>
      <c r="BJ61" s="45">
        <v>87928.462556123821</v>
      </c>
      <c r="BK61" s="45">
        <v>88347.909902543528</v>
      </c>
      <c r="BL61" s="45">
        <v>88873.278181534741</v>
      </c>
      <c r="BM61" s="45">
        <v>89332.493815840717</v>
      </c>
      <c r="BN61" s="45">
        <v>89734.973366214166</v>
      </c>
      <c r="BO61" s="45">
        <v>90019.209530816792</v>
      </c>
      <c r="BP61" s="45">
        <v>90295.479472514809</v>
      </c>
      <c r="BQ61" s="45">
        <v>90514.454483519032</v>
      </c>
      <c r="BR61" s="45">
        <v>90716.235695665498</v>
      </c>
      <c r="BS61" s="45">
        <v>90784.222054621438</v>
      </c>
      <c r="BT61" s="45">
        <v>90959.589097295699</v>
      </c>
      <c r="BU61" s="45">
        <v>91057.527462973201</v>
      </c>
      <c r="BV61" s="45">
        <v>91270.001344789634</v>
      </c>
      <c r="BW61" s="45">
        <v>91436.181384866184</v>
      </c>
      <c r="BX61" s="45">
        <v>91634.179913517641</v>
      </c>
      <c r="BY61" s="45">
        <v>91841.957750518835</v>
      </c>
      <c r="BZ61" s="45">
        <v>92165.637720701547</v>
      </c>
      <c r="CA61" s="45">
        <v>92392.049689079897</v>
      </c>
      <c r="CB61" s="45">
        <v>92545.276723667252</v>
      </c>
      <c r="CC61" s="45">
        <v>92758.027128580376</v>
      </c>
      <c r="CD61" s="45">
        <v>92943.639942110094</v>
      </c>
      <c r="CE61" s="45">
        <v>93106.893984233699</v>
      </c>
      <c r="CF61" s="45">
        <v>93313.394105793821</v>
      </c>
      <c r="CG61" s="45">
        <v>93484.125109786721</v>
      </c>
      <c r="CH61" s="45">
        <v>93649.978996343038</v>
      </c>
      <c r="CI61" s="45">
        <v>93863.101467770961</v>
      </c>
      <c r="CJ61" s="45">
        <v>93971.060759688204</v>
      </c>
      <c r="CK61" s="45">
        <v>94116.615515443613</v>
      </c>
      <c r="CL61" s="45">
        <v>94315.918662552504</v>
      </c>
      <c r="CM61" s="45">
        <v>94437.603987027367</v>
      </c>
      <c r="CN61" s="45">
        <v>94589.521565164556</v>
      </c>
      <c r="CO61" s="45">
        <v>94735.736002538819</v>
      </c>
      <c r="CP61" s="45">
        <v>94878.508995933662</v>
      </c>
      <c r="CQ61" s="45">
        <v>95010.043648155435</v>
      </c>
      <c r="CR61" s="45">
        <v>95103.593302721914</v>
      </c>
      <c r="CS61" s="45">
        <v>95240.140071567395</v>
      </c>
      <c r="CT61" s="45">
        <v>95339.394609133655</v>
      </c>
      <c r="CU61" s="45">
        <v>95444.347598251567</v>
      </c>
      <c r="CV61" s="45">
        <v>95529.622173206109</v>
      </c>
      <c r="CW61" s="45">
        <v>95618.438544181423</v>
      </c>
      <c r="CX61" s="45">
        <v>95728.634337217169</v>
      </c>
      <c r="CY61" s="45">
        <v>95800.172337699041</v>
      </c>
      <c r="CZ61" s="45">
        <v>95876.333798117645</v>
      </c>
      <c r="DA61" s="45">
        <v>95942.859054658213</v>
      </c>
      <c r="DB61" s="45">
        <v>96047.212431109292</v>
      </c>
      <c r="DC61" s="45">
        <v>96130.121096917734</v>
      </c>
      <c r="DD61" s="45">
        <v>96202.157142945478</v>
      </c>
      <c r="DE61" s="45">
        <v>96278.153016010547</v>
      </c>
      <c r="DF61" s="45">
        <v>96383.45665497391</v>
      </c>
      <c r="DG61" s="45">
        <v>96443.899828262889</v>
      </c>
      <c r="DH61" s="45">
        <v>96517.602875865879</v>
      </c>
      <c r="DI61" s="45">
        <v>96570.41639953712</v>
      </c>
      <c r="DJ61" s="45">
        <v>96660.950510930066</v>
      </c>
      <c r="DK61" s="45">
        <v>96731.730494483403</v>
      </c>
      <c r="DL61" s="45">
        <v>96785.201270558231</v>
      </c>
      <c r="DM61" s="45">
        <v>96840.281336204062</v>
      </c>
      <c r="DN61" s="45">
        <v>96891.153693388973</v>
      </c>
      <c r="DO61" s="45">
        <v>96965.629522156843</v>
      </c>
      <c r="DP61">
        <v>97036.294544293429</v>
      </c>
      <c r="DQ61">
        <v>97089.148913547149</v>
      </c>
      <c r="DR61">
        <v>97156.017248067539</v>
      </c>
      <c r="DS61">
        <v>97209.300605113283</v>
      </c>
      <c r="DT61">
        <v>97274.908701233013</v>
      </c>
      <c r="DU61">
        <v>97338.811826374673</v>
      </c>
    </row>
    <row r="62" spans="1:125">
      <c r="A62" s="42">
        <v>60</v>
      </c>
      <c r="B62" s="45"/>
      <c r="C62" s="45"/>
      <c r="D62" s="45"/>
      <c r="E62" s="45"/>
      <c r="F62" s="45"/>
      <c r="G62" s="45"/>
      <c r="H62" s="45"/>
      <c r="I62" s="45"/>
      <c r="J62" s="45"/>
      <c r="K62" s="45"/>
      <c r="L62" s="45"/>
      <c r="M62" s="45"/>
      <c r="N62" s="45"/>
      <c r="O62" s="45"/>
      <c r="P62" s="45"/>
      <c r="Q62" s="45"/>
      <c r="R62" s="45"/>
      <c r="S62" s="45"/>
      <c r="T62" s="45"/>
      <c r="U62" s="45"/>
      <c r="V62" s="45"/>
      <c r="W62" s="45">
        <v>68520</v>
      </c>
      <c r="X62" s="45">
        <v>69354</v>
      </c>
      <c r="Y62" s="45">
        <v>69472.078228742874</v>
      </c>
      <c r="Z62" s="45">
        <v>71560.314049507375</v>
      </c>
      <c r="AA62" s="45">
        <v>72041.717802339321</v>
      </c>
      <c r="AB62" s="45">
        <v>72686.474662369495</v>
      </c>
      <c r="AC62" s="45">
        <v>73527.546093045385</v>
      </c>
      <c r="AD62" s="45">
        <v>74310.801099151387</v>
      </c>
      <c r="AE62" s="45">
        <v>74334.558162764471</v>
      </c>
      <c r="AF62" s="45">
        <v>75534.005792432436</v>
      </c>
      <c r="AG62" s="45">
        <v>76089.975672309127</v>
      </c>
      <c r="AH62" s="45">
        <v>76520.980941111673</v>
      </c>
      <c r="AI62" s="45">
        <v>76959.653749042249</v>
      </c>
      <c r="AJ62" s="45">
        <v>78320.997405192349</v>
      </c>
      <c r="AK62" s="45">
        <v>78489.189855274963</v>
      </c>
      <c r="AL62" s="45">
        <v>79056.362019343564</v>
      </c>
      <c r="AM62" s="45">
        <v>79588.250987611245</v>
      </c>
      <c r="AN62" s="45">
        <v>80203.62394655947</v>
      </c>
      <c r="AO62" s="45">
        <v>80314.7923871245</v>
      </c>
      <c r="AP62" s="45">
        <v>80640.349420657541</v>
      </c>
      <c r="AQ62" s="45">
        <v>80805.878271014953</v>
      </c>
      <c r="AR62" s="45">
        <v>81083.353554443427</v>
      </c>
      <c r="AS62" s="45">
        <v>80585.861673906693</v>
      </c>
      <c r="AT62" s="45">
        <v>79976.633404020045</v>
      </c>
      <c r="AU62" s="45">
        <v>78951.62470874979</v>
      </c>
      <c r="AV62" s="45">
        <v>79381.329174798622</v>
      </c>
      <c r="AW62" s="45">
        <v>80004.11402839981</v>
      </c>
      <c r="AX62" s="45">
        <v>82087.609212396899</v>
      </c>
      <c r="AY62" s="45">
        <v>83781.710750857281</v>
      </c>
      <c r="AZ62" s="45">
        <v>83840.169583589566</v>
      </c>
      <c r="BA62" s="45">
        <v>83930.889838614763</v>
      </c>
      <c r="BB62" s="45">
        <v>84609.594841950835</v>
      </c>
      <c r="BC62" s="45">
        <v>84886.729181022471</v>
      </c>
      <c r="BD62" s="45">
        <v>85339.736405036267</v>
      </c>
      <c r="BE62" s="45">
        <v>85513.893634769192</v>
      </c>
      <c r="BF62" s="45">
        <v>86010.602554501485</v>
      </c>
      <c r="BG62" s="45">
        <v>86197.113100419534</v>
      </c>
      <c r="BH62" s="45">
        <v>86713.776690953644</v>
      </c>
      <c r="BI62" s="45">
        <v>86985.887521481432</v>
      </c>
      <c r="BJ62" s="45">
        <v>87362.41525539264</v>
      </c>
      <c r="BK62" s="45">
        <v>87756.947380459576</v>
      </c>
      <c r="BL62" s="45">
        <v>88288.089165952653</v>
      </c>
      <c r="BM62" s="45">
        <v>88748.056786650021</v>
      </c>
      <c r="BN62" s="45">
        <v>89158.871987345105</v>
      </c>
      <c r="BO62" s="45">
        <v>89452.055024600471</v>
      </c>
      <c r="BP62" s="45">
        <v>89737.339834906132</v>
      </c>
      <c r="BQ62" s="45">
        <v>89965.449943318032</v>
      </c>
      <c r="BR62" s="45">
        <v>90176.396672380099</v>
      </c>
      <c r="BS62" s="45">
        <v>90254.243979331222</v>
      </c>
      <c r="BT62" s="45">
        <v>90438.605550157808</v>
      </c>
      <c r="BU62" s="45">
        <v>90545.881547397425</v>
      </c>
      <c r="BV62" s="45">
        <v>90766.807893801626</v>
      </c>
      <c r="BW62" s="45">
        <v>90941.632331343106</v>
      </c>
      <c r="BX62" s="45">
        <v>91147.893506956811</v>
      </c>
      <c r="BY62" s="45">
        <v>91363.723763155911</v>
      </c>
      <c r="BZ62" s="45">
        <v>91694.675003924698</v>
      </c>
      <c r="CA62" s="45">
        <v>91928.798894766893</v>
      </c>
      <c r="CB62" s="45">
        <v>92090.03210144036</v>
      </c>
      <c r="CC62" s="45">
        <v>92310.218499667768</v>
      </c>
      <c r="CD62" s="45">
        <v>92503.326037569466</v>
      </c>
      <c r="CE62" s="45">
        <v>92674.078136016324</v>
      </c>
      <c r="CF62" s="45">
        <v>92887.701571635742</v>
      </c>
      <c r="CG62" s="45">
        <v>93065.662518520665</v>
      </c>
      <c r="CH62" s="45">
        <v>93238.621363448226</v>
      </c>
      <c r="CI62" s="45">
        <v>93458.520728913398</v>
      </c>
      <c r="CJ62" s="45">
        <v>93573.629018563675</v>
      </c>
      <c r="CK62" s="45">
        <v>93726.05166865018</v>
      </c>
      <c r="CL62" s="45">
        <v>93931.846997044748</v>
      </c>
      <c r="CM62" s="45">
        <v>94060.266206321656</v>
      </c>
      <c r="CN62" s="45">
        <v>94218.68409891933</v>
      </c>
      <c r="CO62" s="45">
        <v>94371.257498510386</v>
      </c>
      <c r="CP62" s="45">
        <v>94520.347353334975</v>
      </c>
      <c r="CQ62" s="45">
        <v>94658.1110481426</v>
      </c>
      <c r="CR62" s="45">
        <v>94757.957575202541</v>
      </c>
      <c r="CS62" s="45">
        <v>94900.50184641307</v>
      </c>
      <c r="CT62" s="45">
        <v>95005.799008790404</v>
      </c>
      <c r="CU62" s="45">
        <v>95116.654979223633</v>
      </c>
      <c r="CV62" s="45">
        <v>95207.797759043053</v>
      </c>
      <c r="CW62" s="45">
        <v>95302.395287381238</v>
      </c>
      <c r="CX62" s="45">
        <v>95418.166033406189</v>
      </c>
      <c r="CY62" s="45">
        <v>95495.331582130457</v>
      </c>
      <c r="CZ62" s="45">
        <v>95576.973403861964</v>
      </c>
      <c r="DA62" s="45">
        <v>95648.933559126817</v>
      </c>
      <c r="DB62" s="45">
        <v>95758.487224496115</v>
      </c>
      <c r="DC62" s="45">
        <v>95846.5993881998</v>
      </c>
      <c r="DD62" s="45">
        <v>95923.757875319177</v>
      </c>
      <c r="DE62" s="45">
        <v>96004.784181789772</v>
      </c>
      <c r="DF62" s="45">
        <v>96114.946861054312</v>
      </c>
      <c r="DG62" s="45">
        <v>96180.266881157251</v>
      </c>
      <c r="DH62" s="45">
        <v>96258.742674119974</v>
      </c>
      <c r="DI62" s="45">
        <v>96316.282535809223</v>
      </c>
      <c r="DJ62" s="45">
        <v>96411.361268185385</v>
      </c>
      <c r="DK62" s="45">
        <v>96486.66853350203</v>
      </c>
      <c r="DL62" s="45">
        <v>96544.626592925837</v>
      </c>
      <c r="DM62" s="45">
        <v>96604.091969159999</v>
      </c>
      <c r="DN62" s="45">
        <v>96659.297707736929</v>
      </c>
      <c r="DO62" s="45">
        <v>96737.964156826769</v>
      </c>
      <c r="DP62">
        <v>96812.759146394412</v>
      </c>
      <c r="DQ62">
        <v>96869.705448258144</v>
      </c>
      <c r="DR62">
        <v>96940.550182085542</v>
      </c>
      <c r="DS62">
        <v>96997.78397395878</v>
      </c>
      <c r="DT62">
        <v>97067.236631495587</v>
      </c>
      <c r="DU62">
        <v>97134.918410238286</v>
      </c>
    </row>
    <row r="63" spans="1:125">
      <c r="A63" s="42">
        <v>61</v>
      </c>
      <c r="B63" s="45"/>
      <c r="C63" s="45"/>
      <c r="D63" s="45"/>
      <c r="E63" s="45"/>
      <c r="F63" s="45"/>
      <c r="G63" s="45"/>
      <c r="H63" s="45"/>
      <c r="I63" s="45"/>
      <c r="J63" s="45"/>
      <c r="K63" s="45"/>
      <c r="L63" s="45"/>
      <c r="M63" s="45"/>
      <c r="N63" s="45"/>
      <c r="O63" s="45"/>
      <c r="P63" s="45"/>
      <c r="Q63" s="45"/>
      <c r="R63" s="45"/>
      <c r="S63" s="45"/>
      <c r="T63" s="45"/>
      <c r="U63" s="45"/>
      <c r="V63" s="45"/>
      <c r="W63" s="45">
        <v>67632.5</v>
      </c>
      <c r="X63" s="45">
        <v>68474.5</v>
      </c>
      <c r="Y63" s="45">
        <v>68607.168800267129</v>
      </c>
      <c r="Z63" s="45">
        <v>70685.372994910445</v>
      </c>
      <c r="AA63" s="45">
        <v>71172.268390060402</v>
      </c>
      <c r="AB63" s="45">
        <v>71833.704596346433</v>
      </c>
      <c r="AC63" s="45">
        <v>72674.892135362286</v>
      </c>
      <c r="AD63" s="45">
        <v>73437.509052414927</v>
      </c>
      <c r="AE63" s="45">
        <v>73469.420394083078</v>
      </c>
      <c r="AF63" s="45">
        <v>74634.570381780184</v>
      </c>
      <c r="AG63" s="45">
        <v>75225.229087348969</v>
      </c>
      <c r="AH63" s="45">
        <v>75665.826864742281</v>
      </c>
      <c r="AI63" s="45">
        <v>76129.180105831751</v>
      </c>
      <c r="AJ63" s="45">
        <v>77497.331619361154</v>
      </c>
      <c r="AK63" s="45">
        <v>77682.826715705858</v>
      </c>
      <c r="AL63" s="45">
        <v>78291.885770729292</v>
      </c>
      <c r="AM63" s="45">
        <v>78852.006889869692</v>
      </c>
      <c r="AN63" s="45">
        <v>79491.161865459406</v>
      </c>
      <c r="AO63" s="45">
        <v>79613.433299827971</v>
      </c>
      <c r="AP63" s="45">
        <v>79957.731773701205</v>
      </c>
      <c r="AQ63" s="45">
        <v>80135.159723357501</v>
      </c>
      <c r="AR63" s="45">
        <v>80419.091575695493</v>
      </c>
      <c r="AS63" s="45">
        <v>79940.194393950602</v>
      </c>
      <c r="AT63" s="45">
        <v>79325.129149937507</v>
      </c>
      <c r="AU63" s="45">
        <v>78324.572410373672</v>
      </c>
      <c r="AV63" s="45">
        <v>78750.646177033865</v>
      </c>
      <c r="AW63" s="45">
        <v>79380.822271121287</v>
      </c>
      <c r="AX63" s="45">
        <v>81441.359597740317</v>
      </c>
      <c r="AY63" s="45">
        <v>83135.858239323308</v>
      </c>
      <c r="AZ63" s="45">
        <v>83185.188233495501</v>
      </c>
      <c r="BA63" s="45">
        <v>83272.939038738929</v>
      </c>
      <c r="BB63" s="45">
        <v>83955.129180027317</v>
      </c>
      <c r="BC63" s="45">
        <v>84252.858678608012</v>
      </c>
      <c r="BD63" s="45">
        <v>84673.107790376656</v>
      </c>
      <c r="BE63" s="45">
        <v>84869.894461291784</v>
      </c>
      <c r="BF63" s="45">
        <v>85365.526051450404</v>
      </c>
      <c r="BG63" s="45">
        <v>85556.685014984512</v>
      </c>
      <c r="BH63" s="45">
        <v>86093.469470814191</v>
      </c>
      <c r="BI63" s="45">
        <v>86362.855035968416</v>
      </c>
      <c r="BJ63" s="45">
        <v>86721.551158558548</v>
      </c>
      <c r="BK63" s="45">
        <v>87090.845780351112</v>
      </c>
      <c r="BL63" s="45">
        <v>87644.694476123928</v>
      </c>
      <c r="BM63" s="45">
        <v>88113.325515954697</v>
      </c>
      <c r="BN63" s="45">
        <v>88533.140286606373</v>
      </c>
      <c r="BO63" s="45">
        <v>88835.989874472289</v>
      </c>
      <c r="BP63" s="45">
        <v>89131.018673613813</v>
      </c>
      <c r="BQ63" s="45">
        <v>89369.006186761835</v>
      </c>
      <c r="BR63" s="45">
        <v>89589.866603707895</v>
      </c>
      <c r="BS63" s="45">
        <v>89678.386382484983</v>
      </c>
      <c r="BT63" s="45">
        <v>89872.481576163875</v>
      </c>
      <c r="BU63" s="45">
        <v>89989.866982760956</v>
      </c>
      <c r="BV63" s="45">
        <v>90219.942999849009</v>
      </c>
      <c r="BW63" s="45">
        <v>90404.128496586898</v>
      </c>
      <c r="BX63" s="45">
        <v>90619.337831321114</v>
      </c>
      <c r="BY63" s="45">
        <v>90843.834291120205</v>
      </c>
      <c r="BZ63" s="45">
        <v>91182.667585514879</v>
      </c>
      <c r="CA63" s="45">
        <v>91425.15470942203</v>
      </c>
      <c r="CB63" s="45">
        <v>91595.073148042429</v>
      </c>
      <c r="CC63" s="45">
        <v>91823.325454459846</v>
      </c>
      <c r="CD63" s="45">
        <v>92024.564637167146</v>
      </c>
      <c r="CE63" s="45">
        <v>92203.453636490856</v>
      </c>
      <c r="CF63" s="45">
        <v>92424.807516753237</v>
      </c>
      <c r="CG63" s="45">
        <v>92610.616633020167</v>
      </c>
      <c r="CH63" s="45">
        <v>92791.288814654341</v>
      </c>
      <c r="CI63" s="45">
        <v>93018.545920749864</v>
      </c>
      <c r="CJ63" s="45">
        <v>93141.418030470493</v>
      </c>
      <c r="CK63" s="45">
        <v>93301.299893334348</v>
      </c>
      <c r="CL63" s="45">
        <v>93514.146554137755</v>
      </c>
      <c r="CM63" s="45">
        <v>93649.881232242406</v>
      </c>
      <c r="CN63" s="45">
        <v>93815.361509951763</v>
      </c>
      <c r="CO63" s="45">
        <v>93974.844014948059</v>
      </c>
      <c r="CP63" s="45">
        <v>94130.798441258157</v>
      </c>
      <c r="CQ63" s="45">
        <v>94275.331802829111</v>
      </c>
      <c r="CR63" s="45">
        <v>94382.022816608704</v>
      </c>
      <c r="CS63" s="45">
        <v>94531.086374235529</v>
      </c>
      <c r="CT63" s="45">
        <v>94642.952705070114</v>
      </c>
      <c r="CU63" s="45">
        <v>94760.226461023733</v>
      </c>
      <c r="CV63" s="45">
        <v>94857.749803089886</v>
      </c>
      <c r="CW63" s="45">
        <v>94958.634003781277</v>
      </c>
      <c r="CX63" s="45">
        <v>95080.467348973354</v>
      </c>
      <c r="CY63" s="45">
        <v>95163.753415523068</v>
      </c>
      <c r="CZ63" s="45">
        <v>95251.355827091204</v>
      </c>
      <c r="DA63" s="45">
        <v>95329.227737922803</v>
      </c>
      <c r="DB63" s="45">
        <v>95444.438153082854</v>
      </c>
      <c r="DC63" s="45">
        <v>95538.211191636132</v>
      </c>
      <c r="DD63" s="45">
        <v>95620.942540712858</v>
      </c>
      <c r="DE63" s="45">
        <v>95707.442036467284</v>
      </c>
      <c r="DF63" s="45">
        <v>95822.89176415703</v>
      </c>
      <c r="DG63" s="45">
        <v>95893.518281150638</v>
      </c>
      <c r="DH63" s="45">
        <v>95977.187755222461</v>
      </c>
      <c r="DI63" s="45">
        <v>96039.870889559475</v>
      </c>
      <c r="DJ63" s="45">
        <v>96139.895455490012</v>
      </c>
      <c r="DK63" s="45">
        <v>96220.129992623988</v>
      </c>
      <c r="DL63" s="45">
        <v>96282.971958461218</v>
      </c>
      <c r="DM63" s="45">
        <v>96347.210314628581</v>
      </c>
      <c r="DN63" s="45">
        <v>96407.132840111764</v>
      </c>
      <c r="DO63" s="45">
        <v>96490.36083390782</v>
      </c>
      <c r="DP63">
        <v>96569.651548335765</v>
      </c>
      <c r="DQ63">
        <v>96631.052246325955</v>
      </c>
      <c r="DR63">
        <v>96706.225694575362</v>
      </c>
      <c r="DS63">
        <v>96767.760168566427</v>
      </c>
      <c r="DT63">
        <v>96841.39833179611</v>
      </c>
      <c r="DU63">
        <v>96913.193967300758</v>
      </c>
    </row>
    <row r="64" spans="1:125">
      <c r="A64" s="42">
        <v>62</v>
      </c>
      <c r="B64" s="45"/>
      <c r="C64" s="45"/>
      <c r="D64" s="45"/>
      <c r="E64" s="45"/>
      <c r="F64" s="45"/>
      <c r="G64" s="45"/>
      <c r="H64" s="45"/>
      <c r="I64" s="45"/>
      <c r="J64" s="45"/>
      <c r="K64" s="45"/>
      <c r="L64" s="45"/>
      <c r="M64" s="45"/>
      <c r="N64" s="45"/>
      <c r="O64" s="45"/>
      <c r="P64" s="45"/>
      <c r="Q64" s="45"/>
      <c r="R64" s="45"/>
      <c r="S64" s="45"/>
      <c r="T64" s="45"/>
      <c r="U64" s="45"/>
      <c r="V64" s="45"/>
      <c r="W64" s="45">
        <v>66693</v>
      </c>
      <c r="X64" s="45">
        <v>67545.5</v>
      </c>
      <c r="Y64" s="45">
        <v>67673.551716910515</v>
      </c>
      <c r="Z64" s="45">
        <v>69745.787582184421</v>
      </c>
      <c r="AA64" s="45">
        <v>70254.133378740022</v>
      </c>
      <c r="AB64" s="45">
        <v>70923.739739697892</v>
      </c>
      <c r="AC64" s="45">
        <v>71757.572223008261</v>
      </c>
      <c r="AD64" s="45">
        <v>72484.416614021568</v>
      </c>
      <c r="AE64" s="45">
        <v>72529.101792374538</v>
      </c>
      <c r="AF64" s="45">
        <v>73697.210051930742</v>
      </c>
      <c r="AG64" s="45">
        <v>74319.960615482792</v>
      </c>
      <c r="AH64" s="45">
        <v>74765.945379800454</v>
      </c>
      <c r="AI64" s="45">
        <v>75247.461235559749</v>
      </c>
      <c r="AJ64" s="45">
        <v>76612.998575281788</v>
      </c>
      <c r="AK64" s="45">
        <v>76833.884218303603</v>
      </c>
      <c r="AL64" s="45">
        <v>77492.812788432435</v>
      </c>
      <c r="AM64" s="45">
        <v>78082.86176481453</v>
      </c>
      <c r="AN64" s="45">
        <v>78731.215527026507</v>
      </c>
      <c r="AO64" s="45">
        <v>78877.544139164864</v>
      </c>
      <c r="AP64" s="45">
        <v>79238.521108626097</v>
      </c>
      <c r="AQ64" s="45">
        <v>79424.8171234693</v>
      </c>
      <c r="AR64" s="45">
        <v>79730.213394126768</v>
      </c>
      <c r="AS64" s="45">
        <v>79256.512874962355</v>
      </c>
      <c r="AT64" s="45">
        <v>78647.147038071285</v>
      </c>
      <c r="AU64" s="45">
        <v>77650.850162555871</v>
      </c>
      <c r="AV64" s="45">
        <v>78074.025510909036</v>
      </c>
      <c r="AW64" s="45">
        <v>78711.788820566027</v>
      </c>
      <c r="AX64" s="45">
        <v>80770.632172963524</v>
      </c>
      <c r="AY64" s="45">
        <v>82427.440301386174</v>
      </c>
      <c r="AZ64" s="45">
        <v>82495.098161137576</v>
      </c>
      <c r="BA64" s="45">
        <v>82582.91731926598</v>
      </c>
      <c r="BB64" s="45">
        <v>83279.101892817955</v>
      </c>
      <c r="BC64" s="45">
        <v>83540.707446507367</v>
      </c>
      <c r="BD64" s="45">
        <v>83981.98322768815</v>
      </c>
      <c r="BE64" s="45">
        <v>84182.000073842588</v>
      </c>
      <c r="BF64" s="45">
        <v>84659.655387250823</v>
      </c>
      <c r="BG64" s="45">
        <v>84876.228755844873</v>
      </c>
      <c r="BH64" s="45">
        <v>85416.403941270444</v>
      </c>
      <c r="BI64" s="45">
        <v>85671.83109636922</v>
      </c>
      <c r="BJ64" s="45">
        <v>86001.616578657617</v>
      </c>
      <c r="BK64" s="45">
        <v>86385.119175876578</v>
      </c>
      <c r="BL64" s="45">
        <v>86947.779415249155</v>
      </c>
      <c r="BM64" s="45">
        <v>87425.733289367839</v>
      </c>
      <c r="BN64" s="45">
        <v>87855.238578945486</v>
      </c>
      <c r="BO64" s="45">
        <v>88168.504892414916</v>
      </c>
      <c r="BP64" s="45">
        <v>88474.037878412259</v>
      </c>
      <c r="BQ64" s="45">
        <v>88722.677635144792</v>
      </c>
      <c r="BR64" s="45">
        <v>88954.233039650455</v>
      </c>
      <c r="BS64" s="45">
        <v>89054.273542163908</v>
      </c>
      <c r="BT64" s="45">
        <v>89258.875098494784</v>
      </c>
      <c r="BU64" s="45">
        <v>89387.177330648454</v>
      </c>
      <c r="BV64" s="45">
        <v>89627.132629365617</v>
      </c>
      <c r="BW64" s="45">
        <v>89821.429467666021</v>
      </c>
      <c r="BX64" s="45">
        <v>90046.25177739124</v>
      </c>
      <c r="BY64" s="45">
        <v>90280.120397739141</v>
      </c>
      <c r="BZ64" s="45">
        <v>90627.477621944185</v>
      </c>
      <c r="CA64" s="45">
        <v>90879.012606074073</v>
      </c>
      <c r="CB64" s="45">
        <v>91058.330205195263</v>
      </c>
      <c r="CC64" s="45">
        <v>91295.311225237994</v>
      </c>
      <c r="CD64" s="45">
        <v>91505.352315821627</v>
      </c>
      <c r="CE64" s="45">
        <v>91693.050644587725</v>
      </c>
      <c r="CF64" s="45">
        <v>91922.774334144342</v>
      </c>
      <c r="CG64" s="45">
        <v>92117.082682056745</v>
      </c>
      <c r="CH64" s="45">
        <v>92306.109117994987</v>
      </c>
      <c r="CI64" s="45">
        <v>92541.336073854211</v>
      </c>
      <c r="CJ64" s="45">
        <v>92672.619905568499</v>
      </c>
      <c r="CK64" s="45">
        <v>92840.584280185227</v>
      </c>
      <c r="CL64" s="45">
        <v>93061.071934713429</v>
      </c>
      <c r="CM64" s="45">
        <v>93204.735358108737</v>
      </c>
      <c r="CN64" s="45">
        <v>93377.870860511161</v>
      </c>
      <c r="CO64" s="45">
        <v>93544.842961768736</v>
      </c>
      <c r="CP64" s="45">
        <v>93708.239849215694</v>
      </c>
      <c r="CQ64" s="45">
        <v>93860.113425802585</v>
      </c>
      <c r="CR64" s="45">
        <v>93974.226803066907</v>
      </c>
      <c r="CS64" s="45">
        <v>94130.360483431912</v>
      </c>
      <c r="CT64" s="45">
        <v>94249.351827797771</v>
      </c>
      <c r="CU64" s="45">
        <v>94373.586932697304</v>
      </c>
      <c r="CV64" s="45">
        <v>94478.031848639192</v>
      </c>
      <c r="CW64" s="45">
        <v>94585.736501118663</v>
      </c>
      <c r="CX64" s="45">
        <v>94714.147525435663</v>
      </c>
      <c r="CY64" s="45">
        <v>94804.074738655676</v>
      </c>
      <c r="CZ64" s="45">
        <v>94898.145043000433</v>
      </c>
      <c r="DA64" s="45">
        <v>94982.432419544435</v>
      </c>
      <c r="DB64" s="45">
        <v>95103.78189999098</v>
      </c>
      <c r="DC64" s="45">
        <v>95203.699018332103</v>
      </c>
      <c r="DD64" s="45">
        <v>95292.479147488571</v>
      </c>
      <c r="DE64" s="45">
        <v>95384.919655846359</v>
      </c>
      <c r="DF64" s="45">
        <v>95506.108740064374</v>
      </c>
      <c r="DG64" s="45">
        <v>95582.495794293354</v>
      </c>
      <c r="DH64" s="45">
        <v>95671.803768760175</v>
      </c>
      <c r="DI64" s="45">
        <v>95740.070786652446</v>
      </c>
      <c r="DJ64" s="45">
        <v>95845.465248831286</v>
      </c>
      <c r="DK64" s="45">
        <v>95931.049771212565</v>
      </c>
      <c r="DL64" s="45">
        <v>95999.194780775782</v>
      </c>
      <c r="DM64" s="45">
        <v>96068.615839183156</v>
      </c>
      <c r="DN64" s="45">
        <v>96133.660317248927</v>
      </c>
      <c r="DO64" s="45">
        <v>96221.841889366129</v>
      </c>
      <c r="DP64">
        <v>96306.014877928363</v>
      </c>
      <c r="DQ64">
        <v>96372.253017137293</v>
      </c>
      <c r="DR64">
        <v>96452.127541148453</v>
      </c>
      <c r="DS64">
        <v>96518.332802206511</v>
      </c>
      <c r="DT64">
        <v>96596.516774559408</v>
      </c>
      <c r="DU64">
        <v>96672.78048964373</v>
      </c>
    </row>
    <row r="65" spans="1:125">
      <c r="A65" s="42">
        <v>63</v>
      </c>
      <c r="B65" s="45"/>
      <c r="C65" s="45"/>
      <c r="D65" s="45"/>
      <c r="E65" s="45"/>
      <c r="F65" s="45"/>
      <c r="G65" s="45"/>
      <c r="H65" s="45"/>
      <c r="I65" s="45"/>
      <c r="J65" s="45"/>
      <c r="K65" s="45"/>
      <c r="L65" s="45"/>
      <c r="M65" s="45"/>
      <c r="N65" s="45"/>
      <c r="O65" s="45"/>
      <c r="P65" s="45"/>
      <c r="Q65" s="45"/>
      <c r="R65" s="45"/>
      <c r="S65" s="45"/>
      <c r="T65" s="45"/>
      <c r="U65" s="45"/>
      <c r="V65" s="45"/>
      <c r="W65" s="45">
        <v>65692.5</v>
      </c>
      <c r="X65" s="45">
        <v>66551.5</v>
      </c>
      <c r="Y65" s="45">
        <v>66694.787183055159</v>
      </c>
      <c r="Z65" s="45">
        <v>68748.199889297801</v>
      </c>
      <c r="AA65" s="45">
        <v>69274.329708799691</v>
      </c>
      <c r="AB65" s="45">
        <v>69962.32545150962</v>
      </c>
      <c r="AC65" s="45">
        <v>70766.618149209418</v>
      </c>
      <c r="AD65" s="45">
        <v>71475.708037065575</v>
      </c>
      <c r="AE65" s="45">
        <v>71542.334753980467</v>
      </c>
      <c r="AF65" s="45">
        <v>72696.745606386699</v>
      </c>
      <c r="AG65" s="45">
        <v>73347.933311575325</v>
      </c>
      <c r="AH65" s="45">
        <v>73812.91086215229</v>
      </c>
      <c r="AI65" s="45">
        <v>74296.001045252255</v>
      </c>
      <c r="AJ65" s="45">
        <v>75715.958649970853</v>
      </c>
      <c r="AK65" s="45">
        <v>75967.156476709919</v>
      </c>
      <c r="AL65" s="45">
        <v>76643.773410566762</v>
      </c>
      <c r="AM65" s="45">
        <v>77276.082067793555</v>
      </c>
      <c r="AN65" s="45">
        <v>77942.547450059123</v>
      </c>
      <c r="AO65" s="45">
        <v>78104.135534318804</v>
      </c>
      <c r="AP65" s="45">
        <v>78456.268428559095</v>
      </c>
      <c r="AQ65" s="45">
        <v>78675.883020477428</v>
      </c>
      <c r="AR65" s="45">
        <v>78981.287752086922</v>
      </c>
      <c r="AS65" s="45">
        <v>78527.638259935047</v>
      </c>
      <c r="AT65" s="45">
        <v>77933.927361641196</v>
      </c>
      <c r="AU65" s="45">
        <v>76935.642850416218</v>
      </c>
      <c r="AV65" s="45">
        <v>77344.009413662454</v>
      </c>
      <c r="AW65" s="45">
        <v>78012.524132942024</v>
      </c>
      <c r="AX65" s="45">
        <v>80044.417158204451</v>
      </c>
      <c r="AY65" s="45">
        <v>81695.967503392661</v>
      </c>
      <c r="AZ65" s="45">
        <v>81748.580211510911</v>
      </c>
      <c r="BA65" s="45">
        <v>81866.69920570674</v>
      </c>
      <c r="BB65" s="45">
        <v>82518.375906927555</v>
      </c>
      <c r="BC65" s="45">
        <v>82790.24172604701</v>
      </c>
      <c r="BD65" s="45">
        <v>83251.948124927614</v>
      </c>
      <c r="BE65" s="45">
        <v>83420.002527276127</v>
      </c>
      <c r="BF65" s="45">
        <v>83920.471478187304</v>
      </c>
      <c r="BG65" s="45">
        <v>84133.12858073524</v>
      </c>
      <c r="BH65" s="45">
        <v>84658.58844242245</v>
      </c>
      <c r="BI65" s="45">
        <v>84891.279328792676</v>
      </c>
      <c r="BJ65" s="45">
        <v>85229.179474887074</v>
      </c>
      <c r="BK65" s="45">
        <v>85623.87437417882</v>
      </c>
      <c r="BL65" s="45">
        <v>86195.965621324052</v>
      </c>
      <c r="BM65" s="45">
        <v>86683.906674459999</v>
      </c>
      <c r="BN65" s="45">
        <v>87123.799529493743</v>
      </c>
      <c r="BO65" s="45">
        <v>87448.241295526677</v>
      </c>
      <c r="BP65" s="45">
        <v>87765.04750606649</v>
      </c>
      <c r="BQ65" s="45">
        <v>88025.124770310271</v>
      </c>
      <c r="BR65" s="45">
        <v>88268.167436637552</v>
      </c>
      <c r="BS65" s="45">
        <v>88380.590135110062</v>
      </c>
      <c r="BT65" s="45">
        <v>88596.482999880798</v>
      </c>
      <c r="BU65" s="45">
        <v>88736.523032705678</v>
      </c>
      <c r="BV65" s="45">
        <v>88987.09966078974</v>
      </c>
      <c r="BW65" s="45">
        <v>89192.222846894729</v>
      </c>
      <c r="BX65" s="45">
        <v>89427.396294109785</v>
      </c>
      <c r="BY65" s="45">
        <v>89671.358542089409</v>
      </c>
      <c r="BZ65" s="45">
        <v>90027.895734379927</v>
      </c>
      <c r="CA65" s="45">
        <v>90289.178718683557</v>
      </c>
      <c r="CB65" s="45">
        <v>90478.625895446632</v>
      </c>
      <c r="CC65" s="45">
        <v>90725.014518139011</v>
      </c>
      <c r="CD65" s="45">
        <v>90944.544204473932</v>
      </c>
      <c r="CE65" s="45">
        <v>91141.74101493333</v>
      </c>
      <c r="CF65" s="45">
        <v>91380.490206582777</v>
      </c>
      <c r="CG65" s="45">
        <v>91583.965539722834</v>
      </c>
      <c r="CH65" s="45">
        <v>91782.003946340759</v>
      </c>
      <c r="CI65" s="45">
        <v>92025.829127595352</v>
      </c>
      <c r="CJ65" s="45">
        <v>92166.18996724108</v>
      </c>
      <c r="CK65" s="45">
        <v>92342.877074939635</v>
      </c>
      <c r="CL65" s="45">
        <v>92571.6117356584</v>
      </c>
      <c r="CM65" s="45">
        <v>92723.834257646318</v>
      </c>
      <c r="CN65" s="45">
        <v>92905.234506740322</v>
      </c>
      <c r="CO65" s="45">
        <v>93080.293424421659</v>
      </c>
      <c r="CP65" s="45">
        <v>93251.727266834525</v>
      </c>
      <c r="CQ65" s="45">
        <v>93411.528247172944</v>
      </c>
      <c r="CR65" s="45">
        <v>93533.658711217446</v>
      </c>
      <c r="CS65" s="45">
        <v>93697.429701336703</v>
      </c>
      <c r="CT65" s="45">
        <v>93824.118452037714</v>
      </c>
      <c r="CU65" s="45">
        <v>93955.87483589098</v>
      </c>
      <c r="CV65" s="45">
        <v>94067.79872536601</v>
      </c>
      <c r="CW65" s="45">
        <v>94182.873772474937</v>
      </c>
      <c r="CX65" s="45">
        <v>94318.393410384582</v>
      </c>
      <c r="CY65" s="45">
        <v>94415.498383228492</v>
      </c>
      <c r="CZ65" s="45">
        <v>94516.559683610481</v>
      </c>
      <c r="DA65" s="45">
        <v>94607.78190636923</v>
      </c>
      <c r="DB65" s="45">
        <v>94735.767977417534</v>
      </c>
      <c r="DC65" s="45">
        <v>94842.327542844752</v>
      </c>
      <c r="DD65" s="45">
        <v>94937.647445269686</v>
      </c>
      <c r="DE65" s="45">
        <v>95036.511629565008</v>
      </c>
      <c r="DF65" s="45">
        <v>95163.906812644011</v>
      </c>
      <c r="DG65" s="45">
        <v>95246.523024016933</v>
      </c>
      <c r="DH65" s="45">
        <v>95341.928583899848</v>
      </c>
      <c r="DI65" s="45">
        <v>95416.234316525486</v>
      </c>
      <c r="DJ65" s="45">
        <v>95527.436500763142</v>
      </c>
      <c r="DK65" s="45">
        <v>95618.807401550876</v>
      </c>
      <c r="DL65" s="45">
        <v>95692.688178304219</v>
      </c>
      <c r="DM65" s="45">
        <v>95767.715043858683</v>
      </c>
      <c r="DN65" s="45">
        <v>95838.299823007372</v>
      </c>
      <c r="DO65" s="45">
        <v>95931.839850105549</v>
      </c>
      <c r="DP65">
        <v>96021.294318848493</v>
      </c>
      <c r="DQ65">
        <v>96092.765500913229</v>
      </c>
      <c r="DR65">
        <v>96177.725743701769</v>
      </c>
      <c r="DS65">
        <v>96248.984032983222</v>
      </c>
      <c r="DT65">
        <v>96332.085991447471</v>
      </c>
      <c r="DU65">
        <v>96413.183689701575</v>
      </c>
    </row>
    <row r="66" spans="1:125">
      <c r="A66" s="42">
        <v>64</v>
      </c>
      <c r="B66" s="45"/>
      <c r="C66" s="45"/>
      <c r="D66" s="45"/>
      <c r="E66" s="45"/>
      <c r="F66" s="45"/>
      <c r="G66" s="45"/>
      <c r="H66" s="45"/>
      <c r="I66" s="45"/>
      <c r="J66" s="45"/>
      <c r="K66" s="45"/>
      <c r="L66" s="45"/>
      <c r="M66" s="45"/>
      <c r="N66" s="45"/>
      <c r="O66" s="45"/>
      <c r="P66" s="45"/>
      <c r="Q66" s="45"/>
      <c r="R66" s="45"/>
      <c r="S66" s="45"/>
      <c r="T66" s="45"/>
      <c r="U66" s="45"/>
      <c r="V66" s="45"/>
      <c r="W66" s="45">
        <v>64597</v>
      </c>
      <c r="X66" s="45">
        <v>65496.5</v>
      </c>
      <c r="Y66" s="45">
        <v>65654.299211126039</v>
      </c>
      <c r="Z66" s="45">
        <v>67688.067428075345</v>
      </c>
      <c r="AA66" s="45">
        <v>68250.192347121018</v>
      </c>
      <c r="AB66" s="45">
        <v>68913.745714931109</v>
      </c>
      <c r="AC66" s="45">
        <v>69709.229252012927</v>
      </c>
      <c r="AD66" s="45">
        <v>70407.905509282311</v>
      </c>
      <c r="AE66" s="45">
        <v>70498.566578275801</v>
      </c>
      <c r="AF66" s="45">
        <v>71641.776147138182</v>
      </c>
      <c r="AG66" s="45">
        <v>72321.995201547717</v>
      </c>
      <c r="AH66" s="45">
        <v>72795.563528495317</v>
      </c>
      <c r="AI66" s="45">
        <v>73321.887009427795</v>
      </c>
      <c r="AJ66" s="45">
        <v>74759.410681560228</v>
      </c>
      <c r="AK66" s="45">
        <v>75053.79612038887</v>
      </c>
      <c r="AL66" s="45">
        <v>75749.672152051353</v>
      </c>
      <c r="AM66" s="45">
        <v>76436.775547624653</v>
      </c>
      <c r="AN66" s="45">
        <v>77100.142844201415</v>
      </c>
      <c r="AO66" s="45">
        <v>77276.404089117888</v>
      </c>
      <c r="AP66" s="45">
        <v>77657.193386524392</v>
      </c>
      <c r="AQ66" s="45">
        <v>77884.500245296163</v>
      </c>
      <c r="AR66" s="45">
        <v>78217.987133410366</v>
      </c>
      <c r="AS66" s="45">
        <v>77760.372796672425</v>
      </c>
      <c r="AT66" s="45">
        <v>77161.88769960824</v>
      </c>
      <c r="AU66" s="45">
        <v>76171.446391607577</v>
      </c>
      <c r="AV66" s="45">
        <v>76581.546888491896</v>
      </c>
      <c r="AW66" s="45">
        <v>77257.500214682223</v>
      </c>
      <c r="AX66" s="45">
        <v>79273.064463034039</v>
      </c>
      <c r="AY66" s="45">
        <v>80904.798447126057</v>
      </c>
      <c r="AZ66" s="45">
        <v>80985.297238482366</v>
      </c>
      <c r="BA66" s="45">
        <v>81064.843251372222</v>
      </c>
      <c r="BB66" s="45">
        <v>81711.933470244752</v>
      </c>
      <c r="BC66" s="45">
        <v>81992.505167949595</v>
      </c>
      <c r="BD66" s="45">
        <v>82431.632339503703</v>
      </c>
      <c r="BE66" s="45">
        <v>82618.132179885593</v>
      </c>
      <c r="BF66" s="45">
        <v>83122.839712147688</v>
      </c>
      <c r="BG66" s="45">
        <v>83301.948622933473</v>
      </c>
      <c r="BH66" s="45">
        <v>83820.432011956378</v>
      </c>
      <c r="BI66" s="45">
        <v>84050.084918173539</v>
      </c>
      <c r="BJ66" s="45">
        <v>84400.600220410677</v>
      </c>
      <c r="BK66" s="45">
        <v>84807.208700616844</v>
      </c>
      <c r="BL66" s="45">
        <v>85389.330035285064</v>
      </c>
      <c r="BM66" s="45">
        <v>85887.903648311301</v>
      </c>
      <c r="BN66" s="45">
        <v>86338.862538610425</v>
      </c>
      <c r="BO66" s="45">
        <v>86675.221092174528</v>
      </c>
      <c r="BP66" s="45">
        <v>87004.052123229369</v>
      </c>
      <c r="BQ66" s="45">
        <v>87276.336384948052</v>
      </c>
      <c r="BR66" s="45">
        <v>87531.643293243746</v>
      </c>
      <c r="BS66" s="45">
        <v>87657.294969249109</v>
      </c>
      <c r="BT66" s="45">
        <v>87885.250804873736</v>
      </c>
      <c r="BU66" s="45">
        <v>88037.836899184331</v>
      </c>
      <c r="BV66" s="45">
        <v>88299.724373690129</v>
      </c>
      <c r="BW66" s="45">
        <v>88516.435914104775</v>
      </c>
      <c r="BX66" s="45">
        <v>88762.691052395792</v>
      </c>
      <c r="BY66" s="45">
        <v>89017.461588645601</v>
      </c>
      <c r="BZ66" s="45">
        <v>89383.828494204179</v>
      </c>
      <c r="CA66" s="45">
        <v>89655.553631121555</v>
      </c>
      <c r="CB66" s="45">
        <v>89855.855102656977</v>
      </c>
      <c r="CC66" s="45">
        <v>90112.325939410322</v>
      </c>
      <c r="CD66" s="45">
        <v>90342.026844869222</v>
      </c>
      <c r="CE66" s="45">
        <v>90549.407589655471</v>
      </c>
      <c r="CF66" s="45">
        <v>90797.835000818886</v>
      </c>
      <c r="CG66" s="45">
        <v>91011.142185923163</v>
      </c>
      <c r="CH66" s="45">
        <v>91218.847969286377</v>
      </c>
      <c r="CI66" s="45">
        <v>91471.897794312856</v>
      </c>
      <c r="CJ66" s="45">
        <v>91621.999254716357</v>
      </c>
      <c r="CK66" s="45">
        <v>91808.047942027493</v>
      </c>
      <c r="CL66" s="45">
        <v>92045.634737271059</v>
      </c>
      <c r="CM66" s="45">
        <v>92207.046013935833</v>
      </c>
      <c r="CN66" s="45">
        <v>92397.320072476723</v>
      </c>
      <c r="CO66" s="45">
        <v>92581.063157407945</v>
      </c>
      <c r="CP66" s="45">
        <v>92761.128521128994</v>
      </c>
      <c r="CQ66" s="45">
        <v>92929.444545389633</v>
      </c>
      <c r="CR66" s="45">
        <v>93060.187330128989</v>
      </c>
      <c r="CS66" s="45">
        <v>93232.163677317236</v>
      </c>
      <c r="CT66" s="45">
        <v>93367.123228950048</v>
      </c>
      <c r="CU66" s="45">
        <v>93506.962072277296</v>
      </c>
      <c r="CV66" s="45">
        <v>93626.923761467682</v>
      </c>
      <c r="CW66" s="45">
        <v>93749.920556959114</v>
      </c>
      <c r="CX66" s="45">
        <v>93893.081461635273</v>
      </c>
      <c r="CY66" s="45">
        <v>93997.902552692773</v>
      </c>
      <c r="CZ66" s="45">
        <v>94106.479988139166</v>
      </c>
      <c r="DA66" s="45">
        <v>94205.158463567393</v>
      </c>
      <c r="DB66" s="45">
        <v>94340.280856084486</v>
      </c>
      <c r="DC66" s="45">
        <v>94453.983383312021</v>
      </c>
      <c r="DD66" s="45">
        <v>94556.336402409739</v>
      </c>
      <c r="DE66" s="45">
        <v>94662.109282083169</v>
      </c>
      <c r="DF66" s="45">
        <v>94796.179693209386</v>
      </c>
      <c r="DG66" s="45">
        <v>94885.496280378749</v>
      </c>
      <c r="DH66" s="45">
        <v>94987.461036956403</v>
      </c>
      <c r="DI66" s="45">
        <v>95068.262991164127</v>
      </c>
      <c r="DJ66" s="45">
        <v>95185.713387382231</v>
      </c>
      <c r="DK66" s="45">
        <v>95283.309702600323</v>
      </c>
      <c r="DL66" s="45">
        <v>95363.361663296004</v>
      </c>
      <c r="DM66" s="45">
        <v>95444.420239389088</v>
      </c>
      <c r="DN66" s="45">
        <v>95520.966389332578</v>
      </c>
      <c r="DO66" s="45">
        <v>95620.272503411688</v>
      </c>
      <c r="DP66">
        <v>95715.41039184414</v>
      </c>
      <c r="DQ66">
        <v>95792.512988674163</v>
      </c>
      <c r="DR66">
        <v>95882.946401942711</v>
      </c>
      <c r="DS66">
        <v>95959.64268688063</v>
      </c>
      <c r="DT66">
        <v>96048.03755660876</v>
      </c>
      <c r="DU66">
        <v>96134.337878162623</v>
      </c>
    </row>
    <row r="67" spans="1:125">
      <c r="A67" s="42">
        <v>65</v>
      </c>
      <c r="B67" s="45"/>
      <c r="C67" s="45"/>
      <c r="D67" s="45"/>
      <c r="E67" s="45"/>
      <c r="F67" s="45"/>
      <c r="G67" s="45"/>
      <c r="H67" s="45"/>
      <c r="I67" s="45"/>
      <c r="J67" s="45"/>
      <c r="K67" s="45"/>
      <c r="L67" s="45"/>
      <c r="M67" s="45"/>
      <c r="N67" s="45"/>
      <c r="O67" s="45"/>
      <c r="P67" s="45"/>
      <c r="Q67" s="45"/>
      <c r="R67" s="45"/>
      <c r="S67" s="45"/>
      <c r="T67" s="45"/>
      <c r="U67" s="45"/>
      <c r="V67" s="45"/>
      <c r="W67" s="45">
        <v>63479</v>
      </c>
      <c r="X67" s="45">
        <v>64387</v>
      </c>
      <c r="Y67" s="45">
        <v>64562.843150799796</v>
      </c>
      <c r="Z67" s="45">
        <v>66598.926382181191</v>
      </c>
      <c r="AA67" s="45">
        <v>67137.608423301281</v>
      </c>
      <c r="AB67" s="45">
        <v>67799.456647222556</v>
      </c>
      <c r="AC67" s="45">
        <v>68585.564412068939</v>
      </c>
      <c r="AD67" s="45">
        <v>69275.929384991206</v>
      </c>
      <c r="AE67" s="45">
        <v>69383.477740404967</v>
      </c>
      <c r="AF67" s="45">
        <v>70537.598230499483</v>
      </c>
      <c r="AG67" s="45">
        <v>71226.518073759478</v>
      </c>
      <c r="AH67" s="45">
        <v>71747.387003283206</v>
      </c>
      <c r="AI67" s="45">
        <v>72311.559539086913</v>
      </c>
      <c r="AJ67" s="45">
        <v>73779.10288732202</v>
      </c>
      <c r="AK67" s="45">
        <v>74090.742759120621</v>
      </c>
      <c r="AL67" s="45">
        <v>74837.724005621189</v>
      </c>
      <c r="AM67" s="45">
        <v>75548.637136833029</v>
      </c>
      <c r="AN67" s="45">
        <v>76213.254885355971</v>
      </c>
      <c r="AO67" s="45">
        <v>76420.623344275868</v>
      </c>
      <c r="AP67" s="45">
        <v>76825.598165604606</v>
      </c>
      <c r="AQ67" s="45">
        <v>77075.470475939102</v>
      </c>
      <c r="AR67" s="45">
        <v>77404.504719813529</v>
      </c>
      <c r="AS67" s="45">
        <v>76948.144660264283</v>
      </c>
      <c r="AT67" s="45">
        <v>76350.800367997799</v>
      </c>
      <c r="AU67" s="45">
        <v>75362.842692622944</v>
      </c>
      <c r="AV67" s="45">
        <v>75753.80891566597</v>
      </c>
      <c r="AW67" s="45">
        <v>76447.500595414473</v>
      </c>
      <c r="AX67" s="45">
        <v>78416.52061814694</v>
      </c>
      <c r="AY67" s="45">
        <v>80071.372036789588</v>
      </c>
      <c r="AZ67" s="45">
        <v>80120.336225176288</v>
      </c>
      <c r="BA67" s="45">
        <v>80206.082613776205</v>
      </c>
      <c r="BB67" s="45">
        <v>80858.418783024463</v>
      </c>
      <c r="BC67" s="45">
        <v>81111.173778122349</v>
      </c>
      <c r="BD67" s="45">
        <v>81551.576449395056</v>
      </c>
      <c r="BE67" s="45">
        <v>81769.702127256169</v>
      </c>
      <c r="BF67" s="45">
        <v>82221.105192228948</v>
      </c>
      <c r="BG67" s="45">
        <v>82376.503179219551</v>
      </c>
      <c r="BH67" s="45">
        <v>82908.628572378482</v>
      </c>
      <c r="BI67" s="45">
        <v>83153.076941252482</v>
      </c>
      <c r="BJ67" s="45">
        <v>83516.927252432681</v>
      </c>
      <c r="BK67" s="45">
        <v>83936.129169750522</v>
      </c>
      <c r="BL67" s="45">
        <v>84528.842221794723</v>
      </c>
      <c r="BM67" s="45">
        <v>85038.657212082762</v>
      </c>
      <c r="BN67" s="45">
        <v>85501.324218668349</v>
      </c>
      <c r="BO67" s="45">
        <v>85850.304936572851</v>
      </c>
      <c r="BP67" s="45">
        <v>86191.876597058988</v>
      </c>
      <c r="BQ67" s="45">
        <v>86477.103152762909</v>
      </c>
      <c r="BR67" s="45">
        <v>86745.417777662224</v>
      </c>
      <c r="BS67" s="45">
        <v>86885.111548978079</v>
      </c>
      <c r="BT67" s="45">
        <v>87125.87113172331</v>
      </c>
      <c r="BU67" s="45">
        <v>87291.750044325832</v>
      </c>
      <c r="BV67" s="45">
        <v>87565.662989897508</v>
      </c>
      <c r="BW67" s="45">
        <v>87794.69935602686</v>
      </c>
      <c r="BX67" s="45">
        <v>88052.742999572016</v>
      </c>
      <c r="BY67" s="45">
        <v>88319.013998792216</v>
      </c>
      <c r="BZ67" s="45">
        <v>88695.839569718839</v>
      </c>
      <c r="CA67" s="45">
        <v>88978.680115468946</v>
      </c>
      <c r="CB67" s="45">
        <v>89190.539792363648</v>
      </c>
      <c r="CC67" s="45">
        <v>89457.748903767206</v>
      </c>
      <c r="CD67" s="45">
        <v>89698.285429485579</v>
      </c>
      <c r="CE67" s="45">
        <v>89916.517872993281</v>
      </c>
      <c r="CF67" s="45">
        <v>90175.25987418741</v>
      </c>
      <c r="CG67" s="45">
        <v>90399.04757252759</v>
      </c>
      <c r="CH67" s="45">
        <v>90617.060802027292</v>
      </c>
      <c r="CI67" s="45">
        <v>90879.947276761028</v>
      </c>
      <c r="CJ67" s="45">
        <v>91040.438521241944</v>
      </c>
      <c r="CK67" s="45">
        <v>91236.473989915248</v>
      </c>
      <c r="CL67" s="45">
        <v>91483.505482744324</v>
      </c>
      <c r="CM67" s="45">
        <v>91654.72263962563</v>
      </c>
      <c r="CN67" s="45">
        <v>91854.467707248245</v>
      </c>
      <c r="CO67" s="45">
        <v>92047.48129944496</v>
      </c>
      <c r="CP67" s="45">
        <v>92236.761899558405</v>
      </c>
      <c r="CQ67" s="45">
        <v>92414.170348318905</v>
      </c>
      <c r="CR67" s="45">
        <v>92554.110550402023</v>
      </c>
      <c r="CS67" s="45">
        <v>92734.850973307708</v>
      </c>
      <c r="CT67" s="45">
        <v>92878.645604006015</v>
      </c>
      <c r="CU67" s="45">
        <v>93027.119490061013</v>
      </c>
      <c r="CV67" s="45">
        <v>93155.669536317728</v>
      </c>
      <c r="CW67" s="45">
        <v>93287.131384216293</v>
      </c>
      <c r="CX67" s="45">
        <v>93438.45878949383</v>
      </c>
      <c r="CY67" s="45">
        <v>93551.527024833544</v>
      </c>
      <c r="CZ67" s="45">
        <v>93668.138939586352</v>
      </c>
      <c r="DA67" s="45">
        <v>93774.788438629985</v>
      </c>
      <c r="DB67" s="45">
        <v>93917.54077695348</v>
      </c>
      <c r="DC67" s="45">
        <v>94038.880729047407</v>
      </c>
      <c r="DD67" s="45">
        <v>94148.754526286371</v>
      </c>
      <c r="DE67" s="45">
        <v>94261.915647049143</v>
      </c>
      <c r="DF67" s="45">
        <v>94403.125252824306</v>
      </c>
      <c r="DG67" s="45">
        <v>94499.608530427184</v>
      </c>
      <c r="DH67" s="45">
        <v>94608.589333496609</v>
      </c>
      <c r="DI67" s="45">
        <v>94696.340522584171</v>
      </c>
      <c r="DJ67" s="45">
        <v>94820.475396159018</v>
      </c>
      <c r="DK67" s="45">
        <v>94924.732021556905</v>
      </c>
      <c r="DL67" s="45">
        <v>95011.386609738751</v>
      </c>
      <c r="DM67" s="45">
        <v>95098.899101555755</v>
      </c>
      <c r="DN67" s="45">
        <v>95181.824058404585</v>
      </c>
      <c r="DO67" s="45">
        <v>95287.300507112668</v>
      </c>
      <c r="DP67">
        <v>95388.520485016983</v>
      </c>
      <c r="DQ67">
        <v>95471.649738232605</v>
      </c>
      <c r="DR67">
        <v>95567.9408590987</v>
      </c>
      <c r="DS67">
        <v>95650.457213647169</v>
      </c>
      <c r="DT67">
        <v>95744.517212772189</v>
      </c>
      <c r="DU67">
        <v>95836.386206602998</v>
      </c>
    </row>
    <row r="68" spans="1:125">
      <c r="A68" s="42">
        <v>66</v>
      </c>
      <c r="B68" s="45"/>
      <c r="C68" s="45"/>
      <c r="D68" s="45"/>
      <c r="E68" s="45"/>
      <c r="F68" s="45"/>
      <c r="G68" s="45"/>
      <c r="H68" s="45"/>
      <c r="I68" s="45"/>
      <c r="J68" s="45"/>
      <c r="K68" s="45"/>
      <c r="L68" s="45"/>
      <c r="M68" s="45"/>
      <c r="N68" s="45"/>
      <c r="O68" s="45"/>
      <c r="P68" s="45"/>
      <c r="Q68" s="45"/>
      <c r="R68" s="45"/>
      <c r="S68" s="45"/>
      <c r="T68" s="45"/>
      <c r="U68" s="45"/>
      <c r="V68" s="45"/>
      <c r="W68" s="45">
        <v>62264.5</v>
      </c>
      <c r="X68" s="45">
        <v>63220</v>
      </c>
      <c r="Y68" s="45">
        <v>63396.651164195457</v>
      </c>
      <c r="Z68" s="45">
        <v>65381.255370684157</v>
      </c>
      <c r="AA68" s="45">
        <v>65943.693298052647</v>
      </c>
      <c r="AB68" s="45">
        <v>66635.15000672423</v>
      </c>
      <c r="AC68" s="45">
        <v>67419.773546265948</v>
      </c>
      <c r="AD68" s="45">
        <v>68095.09568632656</v>
      </c>
      <c r="AE68" s="45">
        <v>68218.426963827209</v>
      </c>
      <c r="AF68" s="45">
        <v>69350.310055804905</v>
      </c>
      <c r="AG68" s="45">
        <v>70078.537986508629</v>
      </c>
      <c r="AH68" s="45">
        <v>70660.156289056977</v>
      </c>
      <c r="AI68" s="45">
        <v>71247.016544950558</v>
      </c>
      <c r="AJ68" s="45">
        <v>72729.642687512518</v>
      </c>
      <c r="AK68" s="45">
        <v>73103.41570781068</v>
      </c>
      <c r="AL68" s="45">
        <v>73856.368194695839</v>
      </c>
      <c r="AM68" s="45">
        <v>74577.334106542839</v>
      </c>
      <c r="AN68" s="45">
        <v>75287.201734482631</v>
      </c>
      <c r="AO68" s="45">
        <v>75512.829505038186</v>
      </c>
      <c r="AP68" s="45">
        <v>75943.354073382157</v>
      </c>
      <c r="AQ68" s="45">
        <v>76197.532756642424</v>
      </c>
      <c r="AR68" s="45">
        <v>76536.267904617474</v>
      </c>
      <c r="AS68" s="45">
        <v>76072.445216018095</v>
      </c>
      <c r="AT68" s="45">
        <v>75498.649901872763</v>
      </c>
      <c r="AU68" s="45">
        <v>74503.986861906291</v>
      </c>
      <c r="AV68" s="45">
        <v>74869.623625066219</v>
      </c>
      <c r="AW68" s="45">
        <v>75573.480328685604</v>
      </c>
      <c r="AX68" s="45">
        <v>77543.424246511946</v>
      </c>
      <c r="AY68" s="45">
        <v>79150.235078420199</v>
      </c>
      <c r="AZ68" s="45">
        <v>79196.818593702599</v>
      </c>
      <c r="BA68" s="45">
        <v>79288.795771055899</v>
      </c>
      <c r="BB68" s="45">
        <v>79931.713750891446</v>
      </c>
      <c r="BC68" s="45">
        <v>80194.798952449579</v>
      </c>
      <c r="BD68" s="45">
        <v>80622.285353560583</v>
      </c>
      <c r="BE68" s="45">
        <v>80806.918827954738</v>
      </c>
      <c r="BF68" s="45">
        <v>81218.460024313623</v>
      </c>
      <c r="BG68" s="45">
        <v>81397.689593334755</v>
      </c>
      <c r="BH68" s="45">
        <v>81941.875841489411</v>
      </c>
      <c r="BI68" s="45">
        <v>82201.861045136349</v>
      </c>
      <c r="BJ68" s="45">
        <v>82579.707610929749</v>
      </c>
      <c r="BK68" s="45">
        <v>83012.127151707944</v>
      </c>
      <c r="BL68" s="45">
        <v>83615.943017808982</v>
      </c>
      <c r="BM68" s="45">
        <v>84137.558215152356</v>
      </c>
      <c r="BN68" s="45">
        <v>84612.525827652236</v>
      </c>
      <c r="BO68" s="45">
        <v>84974.784577945407</v>
      </c>
      <c r="BP68" s="45">
        <v>85329.76398167701</v>
      </c>
      <c r="BQ68" s="45">
        <v>85628.620861338903</v>
      </c>
      <c r="BR68" s="45">
        <v>85910.640526180534</v>
      </c>
      <c r="BS68" s="45">
        <v>86065.143115380313</v>
      </c>
      <c r="BT68" s="45">
        <v>86319.386066407707</v>
      </c>
      <c r="BU68" s="45">
        <v>86499.306918599352</v>
      </c>
      <c r="BV68" s="45">
        <v>86785.922403998382</v>
      </c>
      <c r="BW68" s="45">
        <v>87027.983036688471</v>
      </c>
      <c r="BX68" s="45">
        <v>87298.487034930135</v>
      </c>
      <c r="BY68" s="45">
        <v>87576.917237550864</v>
      </c>
      <c r="BZ68" s="45">
        <v>87964.799355586612</v>
      </c>
      <c r="CA68" s="45">
        <v>88259.397474113735</v>
      </c>
      <c r="CB68" s="45">
        <v>88483.48844606994</v>
      </c>
      <c r="CC68" s="45">
        <v>88762.063431553135</v>
      </c>
      <c r="CD68" s="45">
        <v>89014.072152607201</v>
      </c>
      <c r="CE68" s="45">
        <v>89243.797023523221</v>
      </c>
      <c r="CF68" s="45">
        <v>89513.464540484158</v>
      </c>
      <c r="CG68" s="45">
        <v>89748.35641655096</v>
      </c>
      <c r="CH68" s="45">
        <v>89977.293204388377</v>
      </c>
      <c r="CI68" s="45">
        <v>90250.605642545997</v>
      </c>
      <c r="CJ68" s="45">
        <v>90422.113183264955</v>
      </c>
      <c r="CK68" s="45">
        <v>90628.739110204595</v>
      </c>
      <c r="CL68" s="45">
        <v>90885.787658338624</v>
      </c>
      <c r="CM68" s="45">
        <v>91067.407800635672</v>
      </c>
      <c r="CN68" s="45">
        <v>91277.202006334817</v>
      </c>
      <c r="CO68" s="45">
        <v>91480.054290570231</v>
      </c>
      <c r="CP68" s="45">
        <v>91679.116181736084</v>
      </c>
      <c r="CQ68" s="45">
        <v>91866.177491551032</v>
      </c>
      <c r="CR68" s="45">
        <v>92015.883614956081</v>
      </c>
      <c r="CS68" s="45">
        <v>92205.931221811828</v>
      </c>
      <c r="CT68" s="45">
        <v>92359.109985921124</v>
      </c>
      <c r="CU68" s="45">
        <v>92516.756950821902</v>
      </c>
      <c r="CV68" s="45">
        <v>92654.431851435322</v>
      </c>
      <c r="CW68" s="45">
        <v>92794.888472839724</v>
      </c>
      <c r="CX68" s="45">
        <v>92954.894767527469</v>
      </c>
      <c r="CY68" s="45">
        <v>93076.728604601143</v>
      </c>
      <c r="CZ68" s="45">
        <v>93201.881396415891</v>
      </c>
      <c r="DA68" s="45">
        <v>93317.005113455787</v>
      </c>
      <c r="DB68" s="45">
        <v>93467.87010810824</v>
      </c>
      <c r="DC68" s="45">
        <v>93597.33130021012</v>
      </c>
      <c r="DD68" s="45">
        <v>93715.203339990723</v>
      </c>
      <c r="DE68" s="45">
        <v>93836.222435492295</v>
      </c>
      <c r="DF68" s="45">
        <v>93985.025866295589</v>
      </c>
      <c r="DG68" s="45">
        <v>94089.133112400246</v>
      </c>
      <c r="DH68" s="45">
        <v>94205.578114651522</v>
      </c>
      <c r="DI68" s="45">
        <v>94300.723190474819</v>
      </c>
      <c r="DJ68" s="45">
        <v>94431.970871025464</v>
      </c>
      <c r="DK68" s="45">
        <v>94543.314993582608</v>
      </c>
      <c r="DL68" s="45">
        <v>94636.996212207639</v>
      </c>
      <c r="DM68" s="45">
        <v>94731.377728693566</v>
      </c>
      <c r="DN68" s="45">
        <v>94821.092055864778</v>
      </c>
      <c r="DO68" s="45">
        <v>94933.136560473853</v>
      </c>
      <c r="DP68">
        <v>95040.831004272972</v>
      </c>
      <c r="DQ68">
        <v>95130.376082816147</v>
      </c>
      <c r="DR68">
        <v>95232.903668344166</v>
      </c>
      <c r="DS68">
        <v>95321.616544194898</v>
      </c>
      <c r="DT68">
        <v>95421.708531099634</v>
      </c>
      <c r="DU68">
        <v>95519.507091804582</v>
      </c>
    </row>
    <row r="69" spans="1:125">
      <c r="A69" s="42">
        <v>67</v>
      </c>
      <c r="B69" s="45"/>
      <c r="C69" s="45"/>
      <c r="D69" s="45"/>
      <c r="E69" s="45"/>
      <c r="F69" s="45"/>
      <c r="G69" s="45"/>
      <c r="H69" s="45"/>
      <c r="I69" s="45"/>
      <c r="J69" s="45"/>
      <c r="K69" s="45"/>
      <c r="L69" s="45"/>
      <c r="M69" s="45"/>
      <c r="N69" s="45"/>
      <c r="O69" s="45"/>
      <c r="P69" s="45"/>
      <c r="Q69" s="45"/>
      <c r="R69" s="45"/>
      <c r="S69" s="45"/>
      <c r="T69" s="45"/>
      <c r="U69" s="45"/>
      <c r="V69" s="45"/>
      <c r="W69" s="45">
        <v>61013.5</v>
      </c>
      <c r="X69" s="45">
        <v>61973.5</v>
      </c>
      <c r="Y69" s="45">
        <v>62137.459737069745</v>
      </c>
      <c r="Z69" s="45">
        <v>64100.689116435227</v>
      </c>
      <c r="AA69" s="45">
        <v>64695.152513859284</v>
      </c>
      <c r="AB69" s="45">
        <v>65398.152489420048</v>
      </c>
      <c r="AC69" s="45">
        <v>66171.706081482611</v>
      </c>
      <c r="AD69" s="45">
        <v>66856.575710870049</v>
      </c>
      <c r="AE69" s="45">
        <v>66970.811205179343</v>
      </c>
      <c r="AF69" s="45">
        <v>68170.664128945093</v>
      </c>
      <c r="AG69" s="45">
        <v>68906.827980062066</v>
      </c>
      <c r="AH69" s="45">
        <v>69515.331556063044</v>
      </c>
      <c r="AI69" s="45">
        <v>70126.939701103387</v>
      </c>
      <c r="AJ69" s="45">
        <v>71657.637168253452</v>
      </c>
      <c r="AK69" s="45">
        <v>72033.832067559473</v>
      </c>
      <c r="AL69" s="45">
        <v>72823.657813495782</v>
      </c>
      <c r="AM69" s="45">
        <v>73574.241539791634</v>
      </c>
      <c r="AN69" s="45">
        <v>74315.135356272731</v>
      </c>
      <c r="AO69" s="45">
        <v>74573.936682250336</v>
      </c>
      <c r="AP69" s="45">
        <v>75006.465951217135</v>
      </c>
      <c r="AQ69" s="45">
        <v>75256.857463716879</v>
      </c>
      <c r="AR69" s="45">
        <v>75607.961431514588</v>
      </c>
      <c r="AS69" s="45">
        <v>75159.345469099848</v>
      </c>
      <c r="AT69" s="45">
        <v>74551.818850759315</v>
      </c>
      <c r="AU69" s="45">
        <v>73597.910287667328</v>
      </c>
      <c r="AV69" s="45">
        <v>73923.607088728895</v>
      </c>
      <c r="AW69" s="45">
        <v>74651.603427323891</v>
      </c>
      <c r="AX69" s="45">
        <v>76571.906406963026</v>
      </c>
      <c r="AY69" s="45">
        <v>78180.486679871945</v>
      </c>
      <c r="AZ69" s="45">
        <v>78234.064241208122</v>
      </c>
      <c r="BA69" s="45">
        <v>78286.573994402046</v>
      </c>
      <c r="BB69" s="45">
        <v>78935.674763160554</v>
      </c>
      <c r="BC69" s="45">
        <v>79210.879859932553</v>
      </c>
      <c r="BD69" s="45">
        <v>79575.681925379249</v>
      </c>
      <c r="BE69" s="45">
        <v>79742.936334990431</v>
      </c>
      <c r="BF69" s="45">
        <v>80167.430026163114</v>
      </c>
      <c r="BG69" s="45">
        <v>80365.090038338705</v>
      </c>
      <c r="BH69" s="45">
        <v>80921.811329868535</v>
      </c>
      <c r="BI69" s="45">
        <v>81198.004428591172</v>
      </c>
      <c r="BJ69" s="45">
        <v>81590.442705926383</v>
      </c>
      <c r="BK69" s="45">
        <v>82036.641400968801</v>
      </c>
      <c r="BL69" s="45">
        <v>82652.013702829456</v>
      </c>
      <c r="BM69" s="45">
        <v>83185.931201128507</v>
      </c>
      <c r="BN69" s="45">
        <v>83673.735873410056</v>
      </c>
      <c r="BO69" s="45">
        <v>84049.872847507053</v>
      </c>
      <c r="BP69" s="45">
        <v>84418.872597463836</v>
      </c>
      <c r="BQ69" s="45">
        <v>84731.994930320943</v>
      </c>
      <c r="BR69" s="45">
        <v>85028.365468099932</v>
      </c>
      <c r="BS69" s="45">
        <v>85198.389531263441</v>
      </c>
      <c r="BT69" s="45">
        <v>85466.78154979847</v>
      </c>
      <c r="BU69" s="45">
        <v>85661.447733278939</v>
      </c>
      <c r="BV69" s="45">
        <v>85961.400404794666</v>
      </c>
      <c r="BW69" s="45">
        <v>86217.143175560312</v>
      </c>
      <c r="BX69" s="45">
        <v>86500.739982253232</v>
      </c>
      <c r="BY69" s="45">
        <v>86791.950426576339</v>
      </c>
      <c r="BZ69" s="45">
        <v>87191.451664606459</v>
      </c>
      <c r="CA69" s="45">
        <v>87498.414553943789</v>
      </c>
      <c r="CB69" s="45">
        <v>87735.375553451275</v>
      </c>
      <c r="CC69" s="45">
        <v>88025.911972672242</v>
      </c>
      <c r="CD69" s="45">
        <v>88289.998317296369</v>
      </c>
      <c r="CE69" s="45">
        <v>88531.826211992244</v>
      </c>
      <c r="CF69" s="45">
        <v>88813.001676300773</v>
      </c>
      <c r="CG69" s="45">
        <v>89059.593623118228</v>
      </c>
      <c r="CH69" s="45">
        <v>89300.043487457981</v>
      </c>
      <c r="CI69" s="45">
        <v>89584.345941031803</v>
      </c>
      <c r="CJ69" s="45">
        <v>89767.471426701406</v>
      </c>
      <c r="CK69" s="45">
        <v>89985.267832438694</v>
      </c>
      <c r="CL69" s="45">
        <v>90252.883461744423</v>
      </c>
      <c r="CM69" s="45">
        <v>90445.481853754318</v>
      </c>
      <c r="CN69" s="45">
        <v>90665.882515166624</v>
      </c>
      <c r="CO69" s="45">
        <v>90879.121858691535</v>
      </c>
      <c r="CP69" s="45">
        <v>91088.511958736839</v>
      </c>
      <c r="CQ69" s="45">
        <v>91285.768259966251</v>
      </c>
      <c r="CR69" s="45">
        <v>91445.791077869188</v>
      </c>
      <c r="CS69" s="45">
        <v>91645.672222765512</v>
      </c>
      <c r="CT69" s="45">
        <v>91808.768001575401</v>
      </c>
      <c r="CU69" s="45">
        <v>91976.110662492807</v>
      </c>
      <c r="CV69" s="45">
        <v>92123.432121671154</v>
      </c>
      <c r="CW69" s="45">
        <v>92273.399046299208</v>
      </c>
      <c r="CX69" s="45">
        <v>92442.583178484114</v>
      </c>
      <c r="CY69" s="45">
        <v>92573.68810392337</v>
      </c>
      <c r="CZ69" s="45">
        <v>92707.875860871194</v>
      </c>
      <c r="DA69" s="45">
        <v>92831.965180046696</v>
      </c>
      <c r="DB69" s="45">
        <v>92991.414375574794</v>
      </c>
      <c r="DC69" s="45">
        <v>93129.469878887321</v>
      </c>
      <c r="DD69" s="45">
        <v>93255.807401285798</v>
      </c>
      <c r="DE69" s="45">
        <v>93385.144444108184</v>
      </c>
      <c r="DF69" s="45">
        <v>93541.987060046158</v>
      </c>
      <c r="DG69" s="45">
        <v>93654.166704433548</v>
      </c>
      <c r="DH69" s="45">
        <v>93778.515614411721</v>
      </c>
      <c r="DI69" s="45">
        <v>93881.491197558702</v>
      </c>
      <c r="DJ69" s="45">
        <v>94020.272400211106</v>
      </c>
      <c r="DK69" s="45">
        <v>94139.123928928791</v>
      </c>
      <c r="DL69" s="45">
        <v>94240.248853109573</v>
      </c>
      <c r="DM69" s="45">
        <v>94341.907944211125</v>
      </c>
      <c r="DN69" s="45">
        <v>94438.815950151009</v>
      </c>
      <c r="DO69" s="45">
        <v>94557.820315073186</v>
      </c>
      <c r="DP69">
        <v>94672.375976568117</v>
      </c>
      <c r="DQ69">
        <v>94768.720713271017</v>
      </c>
      <c r="DR69">
        <v>94877.858477617541</v>
      </c>
      <c r="DS69">
        <v>94973.13952704001</v>
      </c>
      <c r="DT69">
        <v>95079.625826373085</v>
      </c>
      <c r="DU69">
        <v>95183.710557530794</v>
      </c>
    </row>
    <row r="70" spans="1:125">
      <c r="A70" s="42">
        <v>68</v>
      </c>
      <c r="B70" s="45"/>
      <c r="C70" s="45"/>
      <c r="D70" s="45"/>
      <c r="E70" s="45"/>
      <c r="F70" s="45"/>
      <c r="G70" s="45"/>
      <c r="H70" s="45"/>
      <c r="I70" s="45"/>
      <c r="J70" s="45"/>
      <c r="K70" s="45"/>
      <c r="L70" s="45"/>
      <c r="M70" s="45"/>
      <c r="N70" s="45"/>
      <c r="O70" s="45"/>
      <c r="P70" s="45"/>
      <c r="Q70" s="45"/>
      <c r="R70" s="45"/>
      <c r="S70" s="45"/>
      <c r="T70" s="45"/>
      <c r="U70" s="45"/>
      <c r="V70" s="45"/>
      <c r="W70" s="45">
        <v>59686</v>
      </c>
      <c r="X70" s="45">
        <v>60632</v>
      </c>
      <c r="Y70" s="45">
        <v>60819.349139785991</v>
      </c>
      <c r="Z70" s="45">
        <v>62762.620841063559</v>
      </c>
      <c r="AA70" s="45">
        <v>63385.178049277114</v>
      </c>
      <c r="AB70" s="45">
        <v>64099.722840822214</v>
      </c>
      <c r="AC70" s="45">
        <v>64847.25478757434</v>
      </c>
      <c r="AD70" s="45">
        <v>65510.403549696566</v>
      </c>
      <c r="AE70" s="45">
        <v>65705.349778512842</v>
      </c>
      <c r="AF70" s="45">
        <v>66916.14605103244</v>
      </c>
      <c r="AG70" s="45">
        <v>67674.501169018971</v>
      </c>
      <c r="AH70" s="45">
        <v>68305.581272557902</v>
      </c>
      <c r="AI70" s="45">
        <v>68974.295313661889</v>
      </c>
      <c r="AJ70" s="45">
        <v>70496.153625430379</v>
      </c>
      <c r="AK70" s="45">
        <v>70896.687047902989</v>
      </c>
      <c r="AL70" s="45">
        <v>71754.458480321642</v>
      </c>
      <c r="AM70" s="45">
        <v>72525.315718053665</v>
      </c>
      <c r="AN70" s="45">
        <v>73305.990867429471</v>
      </c>
      <c r="AO70" s="45">
        <v>73593.459103965142</v>
      </c>
      <c r="AP70" s="45">
        <v>74013.489919982036</v>
      </c>
      <c r="AQ70" s="45">
        <v>74266.358414613205</v>
      </c>
      <c r="AR70" s="45">
        <v>74629.821659544337</v>
      </c>
      <c r="AS70" s="45">
        <v>74169.060766185052</v>
      </c>
      <c r="AT70" s="45">
        <v>73572.750997348514</v>
      </c>
      <c r="AU70" s="45">
        <v>72618.170197695712</v>
      </c>
      <c r="AV70" s="45">
        <v>72936.204774224636</v>
      </c>
      <c r="AW70" s="45">
        <v>73661.976915449748</v>
      </c>
      <c r="AX70" s="45">
        <v>75532.356793238869</v>
      </c>
      <c r="AY70" s="45">
        <v>77136.871078051641</v>
      </c>
      <c r="AZ70" s="45">
        <v>77174.732094282343</v>
      </c>
      <c r="BA70" s="45">
        <v>77251.731192637875</v>
      </c>
      <c r="BB70" s="45">
        <v>77885.752133872433</v>
      </c>
      <c r="BC70" s="45">
        <v>78106.902150770329</v>
      </c>
      <c r="BD70" s="45">
        <v>78432.699010968907</v>
      </c>
      <c r="BE70" s="45">
        <v>78623.034098853153</v>
      </c>
      <c r="BF70" s="45">
        <v>79063.014734696306</v>
      </c>
      <c r="BG70" s="45">
        <v>79279.782125703117</v>
      </c>
      <c r="BH70" s="45">
        <v>79849.446619760216</v>
      </c>
      <c r="BI70" s="45">
        <v>80142.450260712125</v>
      </c>
      <c r="BJ70" s="45">
        <v>80550.010993710079</v>
      </c>
      <c r="BK70" s="45">
        <v>81010.488474895319</v>
      </c>
      <c r="BL70" s="45">
        <v>81637.812984540826</v>
      </c>
      <c r="BM70" s="45">
        <v>82184.478540913871</v>
      </c>
      <c r="BN70" s="45">
        <v>82685.601473811432</v>
      </c>
      <c r="BO70" s="45">
        <v>83076.162915852256</v>
      </c>
      <c r="BP70" s="45">
        <v>83459.742859195889</v>
      </c>
      <c r="BQ70" s="45">
        <v>83787.715194570366</v>
      </c>
      <c r="BR70" s="45">
        <v>84099.048470351583</v>
      </c>
      <c r="BS70" s="45">
        <v>84285.278884492756</v>
      </c>
      <c r="BT70" s="45">
        <v>84568.441707261503</v>
      </c>
      <c r="BU70" s="45">
        <v>84778.513937279393</v>
      </c>
      <c r="BV70" s="45">
        <v>85092.398501805743</v>
      </c>
      <c r="BW70" s="45">
        <v>85362.442525601669</v>
      </c>
      <c r="BX70" s="45">
        <v>85659.727961723111</v>
      </c>
      <c r="BY70" s="45">
        <v>85964.304796967568</v>
      </c>
      <c r="BZ70" s="45">
        <v>86375.954585812666</v>
      </c>
      <c r="CA70" s="45">
        <v>86695.857305851387</v>
      </c>
      <c r="CB70" s="45">
        <v>86946.29603368853</v>
      </c>
      <c r="CC70" s="45">
        <v>87249.360559384033</v>
      </c>
      <c r="CD70" s="45">
        <v>87526.102163926582</v>
      </c>
      <c r="CE70" s="45">
        <v>87780.617091096239</v>
      </c>
      <c r="CF70" s="45">
        <v>88073.857827786152</v>
      </c>
      <c r="CG70" s="45">
        <v>88332.721588954155</v>
      </c>
      <c r="CH70" s="45">
        <v>88585.251184923414</v>
      </c>
      <c r="CI70" s="45">
        <v>88881.085955781513</v>
      </c>
      <c r="CJ70" s="45">
        <v>89076.410332703585</v>
      </c>
      <c r="CK70" s="45">
        <v>89305.937569937581</v>
      </c>
      <c r="CL70" s="45">
        <v>89584.651726538606</v>
      </c>
      <c r="CM70" s="45">
        <v>89788.786010518612</v>
      </c>
      <c r="CN70" s="45">
        <v>90020.333719363232</v>
      </c>
      <c r="CO70" s="45">
        <v>90244.492860867715</v>
      </c>
      <c r="CP70" s="45">
        <v>90464.743160678452</v>
      </c>
      <c r="CQ70" s="45">
        <v>90672.72259451187</v>
      </c>
      <c r="CR70" s="45">
        <v>90843.599680402171</v>
      </c>
      <c r="CS70" s="45">
        <v>91053.82830482538</v>
      </c>
      <c r="CT70" s="45">
        <v>91227.36236167248</v>
      </c>
      <c r="CU70" s="45">
        <v>91404.912467113434</v>
      </c>
      <c r="CV70" s="45">
        <v>91562.392063919295</v>
      </c>
      <c r="CW70" s="45">
        <v>91722.375277388608</v>
      </c>
      <c r="CX70" s="45">
        <v>91901.227319381462</v>
      </c>
      <c r="CY70" s="45">
        <v>92042.100607553512</v>
      </c>
      <c r="CZ70" s="45">
        <v>92185.809862108988</v>
      </c>
      <c r="DA70" s="45">
        <v>92319.349151563249</v>
      </c>
      <c r="DB70" s="45">
        <v>92487.847544484306</v>
      </c>
      <c r="DC70" s="45">
        <v>92634.964397446223</v>
      </c>
      <c r="DD70" s="45">
        <v>92770.22918752805</v>
      </c>
      <c r="DE70" s="45">
        <v>92908.339130520384</v>
      </c>
      <c r="DF70" s="45">
        <v>93073.661619023085</v>
      </c>
      <c r="DG70" s="45">
        <v>93194.358051084753</v>
      </c>
      <c r="DH70" s="45">
        <v>93327.046862592426</v>
      </c>
      <c r="DI70" s="45">
        <v>93438.286360542144</v>
      </c>
      <c r="DJ70" s="45">
        <v>93585.018819428631</v>
      </c>
      <c r="DK70" s="45">
        <v>93711.795090557804</v>
      </c>
      <c r="DL70" s="45">
        <v>93820.778633879687</v>
      </c>
      <c r="DM70" s="45">
        <v>93930.122035536129</v>
      </c>
      <c r="DN70" s="45">
        <v>94034.626512903051</v>
      </c>
      <c r="DO70" s="45">
        <v>94160.981245958523</v>
      </c>
      <c r="DP70">
        <v>94282.783867592516</v>
      </c>
      <c r="DQ70">
        <v>94386.311427647161</v>
      </c>
      <c r="DR70">
        <v>94502.432631050382</v>
      </c>
      <c r="DS70">
        <v>94604.653324369865</v>
      </c>
      <c r="DT70">
        <v>94717.896270967074</v>
      </c>
      <c r="DU70">
        <v>94828.624010339525</v>
      </c>
    </row>
    <row r="71" spans="1:125">
      <c r="A71" s="42">
        <v>69</v>
      </c>
      <c r="B71" s="45"/>
      <c r="C71" s="45"/>
      <c r="D71" s="45"/>
      <c r="E71" s="45"/>
      <c r="F71" s="45"/>
      <c r="G71" s="45"/>
      <c r="H71" s="45"/>
      <c r="I71" s="45"/>
      <c r="J71" s="45"/>
      <c r="K71" s="45"/>
      <c r="L71" s="45"/>
      <c r="M71" s="45"/>
      <c r="N71" s="45"/>
      <c r="O71" s="45"/>
      <c r="P71" s="45"/>
      <c r="Q71" s="45"/>
      <c r="R71" s="45"/>
      <c r="S71" s="45"/>
      <c r="T71" s="45"/>
      <c r="U71" s="45"/>
      <c r="V71" s="45"/>
      <c r="W71" s="45">
        <v>58251</v>
      </c>
      <c r="X71" s="45">
        <v>59214</v>
      </c>
      <c r="Y71" s="45">
        <v>59431.443157328511</v>
      </c>
      <c r="Z71" s="45">
        <v>61360.177509539877</v>
      </c>
      <c r="AA71" s="45">
        <v>62005.642184544362</v>
      </c>
      <c r="AB71" s="45">
        <v>62738.533037463887</v>
      </c>
      <c r="AC71" s="45">
        <v>63456.019609683681</v>
      </c>
      <c r="AD71" s="45">
        <v>64131.204432232538</v>
      </c>
      <c r="AE71" s="45">
        <v>64369.669911000216</v>
      </c>
      <c r="AF71" s="45">
        <v>65592.301537625317</v>
      </c>
      <c r="AG71" s="45">
        <v>66372.87022138873</v>
      </c>
      <c r="AH71" s="45">
        <v>67068.856613325435</v>
      </c>
      <c r="AI71" s="45">
        <v>67750.486344132136</v>
      </c>
      <c r="AJ71" s="45">
        <v>69250.386502548005</v>
      </c>
      <c r="AK71" s="45">
        <v>69726.770496049619</v>
      </c>
      <c r="AL71" s="45">
        <v>70626.184409834575</v>
      </c>
      <c r="AM71" s="45">
        <v>71425.910010057327</v>
      </c>
      <c r="AN71" s="45">
        <v>72246.937314461509</v>
      </c>
      <c r="AO71" s="45">
        <v>72527.769128763815</v>
      </c>
      <c r="AP71" s="45">
        <v>72958.850707812817</v>
      </c>
      <c r="AQ71" s="45">
        <v>73224.012092041696</v>
      </c>
      <c r="AR71" s="45">
        <v>73569.880465023045</v>
      </c>
      <c r="AS71" s="45">
        <v>73130.460520034045</v>
      </c>
      <c r="AT71" s="45">
        <v>72490.486348628008</v>
      </c>
      <c r="AU71" s="45">
        <v>71585.266325886536</v>
      </c>
      <c r="AV71" s="45">
        <v>71872.729778170586</v>
      </c>
      <c r="AW71" s="45">
        <v>72613.659917554702</v>
      </c>
      <c r="AX71" s="45">
        <v>74431.882439911453</v>
      </c>
      <c r="AY71" s="45">
        <v>76002.171389485869</v>
      </c>
      <c r="AZ71" s="45">
        <v>76071.635120810213</v>
      </c>
      <c r="BA71" s="45">
        <v>76131.585840193351</v>
      </c>
      <c r="BB71" s="45">
        <v>76719.747838937765</v>
      </c>
      <c r="BC71" s="45">
        <v>76893.465628936232</v>
      </c>
      <c r="BD71" s="45">
        <v>77239.106525342431</v>
      </c>
      <c r="BE71" s="45">
        <v>77449.577399295376</v>
      </c>
      <c r="BF71" s="45">
        <v>77905.474594127707</v>
      </c>
      <c r="BG71" s="45">
        <v>78141.95376123875</v>
      </c>
      <c r="BH71" s="45">
        <v>78724.9056704291</v>
      </c>
      <c r="BI71" s="45">
        <v>79035.259131235391</v>
      </c>
      <c r="BJ71" s="45">
        <v>79458.412162588778</v>
      </c>
      <c r="BK71" s="45">
        <v>79933.609458164661</v>
      </c>
      <c r="BL71" s="45">
        <v>80573.225730814214</v>
      </c>
      <c r="BM71" s="45">
        <v>81133.031416811573</v>
      </c>
      <c r="BN71" s="45">
        <v>81647.901703622076</v>
      </c>
      <c r="BO71" s="45">
        <v>82053.384312234091</v>
      </c>
      <c r="BP71" s="45">
        <v>82452.055940824313</v>
      </c>
      <c r="BQ71" s="45">
        <v>82795.452250709684</v>
      </c>
      <c r="BR71" s="45">
        <v>83122.319916769135</v>
      </c>
      <c r="BS71" s="45">
        <v>83325.400721944403</v>
      </c>
      <c r="BT71" s="45">
        <v>83623.917342570261</v>
      </c>
      <c r="BU71" s="45">
        <v>83850.019598501443</v>
      </c>
      <c r="BV71" s="45">
        <v>84178.395893511071</v>
      </c>
      <c r="BW71" s="45">
        <v>84463.327008875727</v>
      </c>
      <c r="BX71" s="45">
        <v>84774.865601649188</v>
      </c>
      <c r="BY71" s="45">
        <v>85093.365435298241</v>
      </c>
      <c r="BZ71" s="45">
        <v>85517.664472396078</v>
      </c>
      <c r="CA71" s="45">
        <v>85851.0552181362</v>
      </c>
      <c r="CB71" s="45">
        <v>86115.554254377494</v>
      </c>
      <c r="CC71" s="45">
        <v>86431.690273012136</v>
      </c>
      <c r="CD71" s="45">
        <v>86721.642818181965</v>
      </c>
      <c r="CE71" s="45">
        <v>86989.408249311295</v>
      </c>
      <c r="CF71" s="45">
        <v>87295.252261179499</v>
      </c>
      <c r="CG71" s="45">
        <v>87566.941497975931</v>
      </c>
      <c r="CH71" s="45">
        <v>87832.100785530056</v>
      </c>
      <c r="CI71" s="45">
        <v>88139.994254993202</v>
      </c>
      <c r="CJ71" s="45">
        <v>88348.084436960577</v>
      </c>
      <c r="CK71" s="45">
        <v>88589.889587746628</v>
      </c>
      <c r="CL71" s="45">
        <v>88880.221174556806</v>
      </c>
      <c r="CM71" s="45">
        <v>89096.438001781571</v>
      </c>
      <c r="CN71" s="45">
        <v>89339.663039664636</v>
      </c>
      <c r="CO71" s="45">
        <v>89575.265603546519</v>
      </c>
      <c r="CP71" s="45">
        <v>89806.899680826726</v>
      </c>
      <c r="CQ71" s="45">
        <v>90026.123021215855</v>
      </c>
      <c r="CR71" s="45">
        <v>90208.38562755406</v>
      </c>
      <c r="CS71" s="45">
        <v>90429.469851804693</v>
      </c>
      <c r="CT71" s="45">
        <v>90613.958679072501</v>
      </c>
      <c r="CU71" s="45">
        <v>90802.223918732343</v>
      </c>
      <c r="CV71" s="45">
        <v>90970.370044664363</v>
      </c>
      <c r="CW71" s="45">
        <v>91140.872872534906</v>
      </c>
      <c r="CX71" s="45">
        <v>91329.880766339775</v>
      </c>
      <c r="CY71" s="45">
        <v>91481.018456634978</v>
      </c>
      <c r="CZ71" s="45">
        <v>91634.735129367473</v>
      </c>
      <c r="DA71" s="45">
        <v>91778.208714321663</v>
      </c>
      <c r="DB71" s="45">
        <v>91956.221468096046</v>
      </c>
      <c r="DC71" s="45">
        <v>92112.867492646095</v>
      </c>
      <c r="DD71" s="45">
        <v>92257.52274963299</v>
      </c>
      <c r="DE71" s="45">
        <v>92404.862336584425</v>
      </c>
      <c r="DF71" s="45">
        <v>92579.107312683598</v>
      </c>
      <c r="DG71" s="45">
        <v>92708.767736635433</v>
      </c>
      <c r="DH71" s="45">
        <v>92850.235461257107</v>
      </c>
      <c r="DI71" s="45">
        <v>92970.175897087407</v>
      </c>
      <c r="DJ71" s="45">
        <v>93125.280933004426</v>
      </c>
      <c r="DK71" s="45">
        <v>93260.403353529342</v>
      </c>
      <c r="DL71" s="45">
        <v>93377.664973289691</v>
      </c>
      <c r="DM71" s="45">
        <v>93495.10426679696</v>
      </c>
      <c r="DN71" s="45">
        <v>93607.613127397577</v>
      </c>
      <c r="DO71" s="45">
        <v>93741.7139027995</v>
      </c>
      <c r="DP71">
        <v>93871.154658142885</v>
      </c>
      <c r="DQ71">
        <v>93982.254033173405</v>
      </c>
      <c r="DR71">
        <v>94105.737857199463</v>
      </c>
      <c r="DS71">
        <v>94215.27588036831</v>
      </c>
      <c r="DT71">
        <v>94335.644106705484</v>
      </c>
      <c r="DU71">
        <v>94453.378175365273</v>
      </c>
    </row>
    <row r="72" spans="1:125">
      <c r="A72" s="42">
        <v>70</v>
      </c>
      <c r="B72" s="45"/>
      <c r="C72" s="45"/>
      <c r="D72" s="45"/>
      <c r="E72" s="45"/>
      <c r="F72" s="45"/>
      <c r="G72" s="45"/>
      <c r="H72" s="45"/>
      <c r="I72" s="45"/>
      <c r="J72" s="45"/>
      <c r="K72" s="45"/>
      <c r="L72" s="45"/>
      <c r="M72" s="45"/>
      <c r="N72" s="45"/>
      <c r="O72" s="45"/>
      <c r="P72" s="45"/>
      <c r="Q72" s="45"/>
      <c r="R72" s="45"/>
      <c r="S72" s="45"/>
      <c r="T72" s="45"/>
      <c r="U72" s="45"/>
      <c r="V72" s="45"/>
      <c r="W72" s="45">
        <v>56753.5</v>
      </c>
      <c r="X72" s="45">
        <v>57728.5</v>
      </c>
      <c r="Y72" s="45">
        <v>57980.509796737722</v>
      </c>
      <c r="Z72" s="45">
        <v>59884.90930356126</v>
      </c>
      <c r="AA72" s="45">
        <v>60551.088632960586</v>
      </c>
      <c r="AB72" s="45">
        <v>61253.349729996335</v>
      </c>
      <c r="AC72" s="45">
        <v>62023.317663669768</v>
      </c>
      <c r="AD72" s="45">
        <v>62711.929496337747</v>
      </c>
      <c r="AE72" s="45">
        <v>62976.181544441308</v>
      </c>
      <c r="AF72" s="45">
        <v>64239.679557423216</v>
      </c>
      <c r="AG72" s="45">
        <v>65045.313146816923</v>
      </c>
      <c r="AH72" s="45">
        <v>65765.008785186423</v>
      </c>
      <c r="AI72" s="45">
        <v>66452.784740966657</v>
      </c>
      <c r="AJ72" s="45">
        <v>67981.431306216778</v>
      </c>
      <c r="AK72" s="45">
        <v>68497.109966716496</v>
      </c>
      <c r="AL72" s="45">
        <v>69451.908049801001</v>
      </c>
      <c r="AM72" s="45">
        <v>70285.760475476854</v>
      </c>
      <c r="AN72" s="45">
        <v>71100.977167112535</v>
      </c>
      <c r="AO72" s="45">
        <v>71386.294157434633</v>
      </c>
      <c r="AP72" s="45">
        <v>71845.721522819818</v>
      </c>
      <c r="AQ72" s="45">
        <v>72103.577693780302</v>
      </c>
      <c r="AR72" s="45">
        <v>72455.82818867435</v>
      </c>
      <c r="AS72" s="45">
        <v>72001.971627386476</v>
      </c>
      <c r="AT72" s="45">
        <v>71398.966995596085</v>
      </c>
      <c r="AU72" s="45">
        <v>70466.826584485447</v>
      </c>
      <c r="AV72" s="45">
        <v>70721.488409119411</v>
      </c>
      <c r="AW72" s="45">
        <v>71472.467036758608</v>
      </c>
      <c r="AX72" s="45">
        <v>73242.273446437059</v>
      </c>
      <c r="AY72" s="45">
        <v>74812.713181345796</v>
      </c>
      <c r="AZ72" s="45">
        <v>74893.487228262791</v>
      </c>
      <c r="BA72" s="45">
        <v>74862.689933366695</v>
      </c>
      <c r="BB72" s="45">
        <v>75425.718260132096</v>
      </c>
      <c r="BC72" s="45">
        <v>75626.681054638408</v>
      </c>
      <c r="BD72" s="45">
        <v>75990.615320084442</v>
      </c>
      <c r="BE72" s="45">
        <v>76221.755421421709</v>
      </c>
      <c r="BF72" s="45">
        <v>76693.932482729724</v>
      </c>
      <c r="BG72" s="45">
        <v>76950.663044101253</v>
      </c>
      <c r="BH72" s="45">
        <v>77547.186165806517</v>
      </c>
      <c r="BI72" s="45">
        <v>77875.372627793753</v>
      </c>
      <c r="BJ72" s="45">
        <v>78314.53258391883</v>
      </c>
      <c r="BK72" s="45">
        <v>78804.837125455306</v>
      </c>
      <c r="BL72" s="45">
        <v>79457.031377550738</v>
      </c>
      <c r="BM72" s="45">
        <v>80030.319722263608</v>
      </c>
      <c r="BN72" s="45">
        <v>80559.319098039938</v>
      </c>
      <c r="BO72" s="45">
        <v>80980.17633870829</v>
      </c>
      <c r="BP72" s="45">
        <v>81394.465232201212</v>
      </c>
      <c r="BQ72" s="45">
        <v>81753.805502458039</v>
      </c>
      <c r="BR72" s="45">
        <v>82096.742913121125</v>
      </c>
      <c r="BS72" s="45">
        <v>82317.285685405484</v>
      </c>
      <c r="BT72" s="45">
        <v>82631.707640215027</v>
      </c>
      <c r="BU72" s="45">
        <v>82874.435337826697</v>
      </c>
      <c r="BV72" s="45">
        <v>83217.835373329028</v>
      </c>
      <c r="BW72" s="45">
        <v>83518.213681117049</v>
      </c>
      <c r="BX72" s="45">
        <v>83844.545996672183</v>
      </c>
      <c r="BY72" s="45">
        <v>84177.503213323696</v>
      </c>
      <c r="BZ72" s="45">
        <v>84614.929579153977</v>
      </c>
      <c r="CA72" s="45">
        <v>84962.336866146114</v>
      </c>
      <c r="CB72" s="45">
        <v>85241.4616379988</v>
      </c>
      <c r="CC72" s="45">
        <v>85571.196801444981</v>
      </c>
      <c r="CD72" s="45">
        <v>85874.901842117266</v>
      </c>
      <c r="CE72" s="45">
        <v>86156.468791546708</v>
      </c>
      <c r="CF72" s="45">
        <v>86475.442485526204</v>
      </c>
      <c r="CG72" s="45">
        <v>86760.500841481873</v>
      </c>
      <c r="CH72" s="45">
        <v>87038.831258121441</v>
      </c>
      <c r="CI72" s="45">
        <v>87359.301619273727</v>
      </c>
      <c r="CJ72" s="45">
        <v>87580.71925579384</v>
      </c>
      <c r="CK72" s="45">
        <v>87835.34454222949</v>
      </c>
      <c r="CL72" s="45">
        <v>88137.807862940419</v>
      </c>
      <c r="CM72" s="45">
        <v>88366.651566205168</v>
      </c>
      <c r="CN72" s="45">
        <v>88622.082293467945</v>
      </c>
      <c r="CO72" s="45">
        <v>88869.651287634915</v>
      </c>
      <c r="CP72" s="45">
        <v>89113.192790366214</v>
      </c>
      <c r="CQ72" s="45">
        <v>89344.182049317926</v>
      </c>
      <c r="CR72" s="45">
        <v>89538.364019751665</v>
      </c>
      <c r="CS72" s="45">
        <v>89770.814684706827</v>
      </c>
      <c r="CT72" s="45">
        <v>89966.778851792391</v>
      </c>
      <c r="CU72" s="45">
        <v>90166.271646556939</v>
      </c>
      <c r="CV72" s="45">
        <v>90345.598443078954</v>
      </c>
      <c r="CW72" s="45">
        <v>90527.130409853082</v>
      </c>
      <c r="CX72" s="45">
        <v>90726.788643616717</v>
      </c>
      <c r="CY72" s="45">
        <v>90888.694494138879</v>
      </c>
      <c r="CZ72" s="45">
        <v>91052.912796178629</v>
      </c>
      <c r="DA72" s="45">
        <v>91206.813887278055</v>
      </c>
      <c r="DB72" s="45">
        <v>91394.814930947352</v>
      </c>
      <c r="DC72" s="45">
        <v>91561.467446696784</v>
      </c>
      <c r="DD72" s="45">
        <v>91715.986555464449</v>
      </c>
      <c r="DE72" s="45">
        <v>91873.023010704666</v>
      </c>
      <c r="DF72" s="45">
        <v>92056.643436910526</v>
      </c>
      <c r="DG72" s="45">
        <v>92195.726600612485</v>
      </c>
      <c r="DH72" s="45">
        <v>92346.423835349706</v>
      </c>
      <c r="DI72" s="45">
        <v>92475.514527504391</v>
      </c>
      <c r="DJ72" s="45">
        <v>92639.425396296108</v>
      </c>
      <c r="DK72" s="45">
        <v>92783.327878282871</v>
      </c>
      <c r="DL72" s="45">
        <v>92909.300079197652</v>
      </c>
      <c r="DM72" s="45">
        <v>93035.260131886214</v>
      </c>
      <c r="DN72" s="45">
        <v>93156.194809259774</v>
      </c>
      <c r="DO72" s="45">
        <v>93298.45065109618</v>
      </c>
      <c r="DP72">
        <v>93435.934293698927</v>
      </c>
      <c r="DQ72">
        <v>93555.00851085977</v>
      </c>
      <c r="DR72">
        <v>93686.248114962087</v>
      </c>
      <c r="DS72">
        <v>93803.495446736692</v>
      </c>
      <c r="DT72">
        <v>93931.37181859772</v>
      </c>
      <c r="DU72">
        <v>94056.489903559559</v>
      </c>
    </row>
    <row r="73" spans="1:125">
      <c r="A73" s="42">
        <v>71</v>
      </c>
      <c r="B73" s="45"/>
      <c r="C73" s="45"/>
      <c r="D73" s="45"/>
      <c r="E73" s="45"/>
      <c r="F73" s="45"/>
      <c r="G73" s="45"/>
      <c r="H73" s="45"/>
      <c r="I73" s="45"/>
      <c r="J73" s="45"/>
      <c r="K73" s="45"/>
      <c r="L73" s="45"/>
      <c r="M73" s="45"/>
      <c r="N73" s="45"/>
      <c r="O73" s="45"/>
      <c r="P73" s="45"/>
      <c r="Q73" s="45"/>
      <c r="R73" s="45"/>
      <c r="S73" s="45"/>
      <c r="T73" s="45"/>
      <c r="U73" s="45"/>
      <c r="V73" s="45"/>
      <c r="W73" s="45">
        <v>55186.5</v>
      </c>
      <c r="X73" s="45">
        <v>56192</v>
      </c>
      <c r="Y73" s="45">
        <v>56444.946582325174</v>
      </c>
      <c r="Z73" s="45">
        <v>58308.274156450716</v>
      </c>
      <c r="AA73" s="45">
        <v>59007.879711731366</v>
      </c>
      <c r="AB73" s="45">
        <v>59770.027622504582</v>
      </c>
      <c r="AC73" s="45">
        <v>60534.80257071316</v>
      </c>
      <c r="AD73" s="45">
        <v>61231.409545937218</v>
      </c>
      <c r="AE73" s="45">
        <v>61530.733853353588</v>
      </c>
      <c r="AF73" s="45">
        <v>62798.958141003568</v>
      </c>
      <c r="AG73" s="45">
        <v>63645.897828824876</v>
      </c>
      <c r="AH73" s="45">
        <v>64351.746798094129</v>
      </c>
      <c r="AI73" s="45">
        <v>65113.30386636054</v>
      </c>
      <c r="AJ73" s="45">
        <v>66643.38661919639</v>
      </c>
      <c r="AK73" s="45">
        <v>67241.084485569299</v>
      </c>
      <c r="AL73" s="45">
        <v>68205.906759827572</v>
      </c>
      <c r="AM73" s="45">
        <v>69066.39818850522</v>
      </c>
      <c r="AN73" s="45">
        <v>69890.939409594983</v>
      </c>
      <c r="AO73" s="45">
        <v>70199.50317564336</v>
      </c>
      <c r="AP73" s="45">
        <v>70635.52924790082</v>
      </c>
      <c r="AQ73" s="45">
        <v>70914.24973878749</v>
      </c>
      <c r="AR73" s="45">
        <v>71239.526156846128</v>
      </c>
      <c r="AS73" s="45">
        <v>70837.006395016564</v>
      </c>
      <c r="AT73" s="45">
        <v>70179.94193289851</v>
      </c>
      <c r="AU73" s="45">
        <v>69239.212696556511</v>
      </c>
      <c r="AV73" s="45">
        <v>69473.056765534522</v>
      </c>
      <c r="AW73" s="45">
        <v>70249.941215009268</v>
      </c>
      <c r="AX73" s="45">
        <v>72009.03736885704</v>
      </c>
      <c r="AY73" s="45">
        <v>73546.421783498095</v>
      </c>
      <c r="AZ73" s="45">
        <v>73560.290348423907</v>
      </c>
      <c r="BA73" s="45">
        <v>73496.480871783962</v>
      </c>
      <c r="BB73" s="45">
        <v>74078.893690650919</v>
      </c>
      <c r="BC73" s="45">
        <v>74302.648061443775</v>
      </c>
      <c r="BD73" s="45">
        <v>74685.233526468015</v>
      </c>
      <c r="BE73" s="45">
        <v>74937.516382170696</v>
      </c>
      <c r="BF73" s="45">
        <v>75426.274850480448</v>
      </c>
      <c r="BG73" s="45">
        <v>75703.738761922694</v>
      </c>
      <c r="BH73" s="45">
        <v>76314.059655935416</v>
      </c>
      <c r="BI73" s="45">
        <v>76660.513280454266</v>
      </c>
      <c r="BJ73" s="45">
        <v>77116.044910532539</v>
      </c>
      <c r="BK73" s="45">
        <v>77621.795138277463</v>
      </c>
      <c r="BL73" s="45">
        <v>78286.80259582572</v>
      </c>
      <c r="BM73" s="45">
        <v>78873.870388171999</v>
      </c>
      <c r="BN73" s="45">
        <v>79417.337624051885</v>
      </c>
      <c r="BO73" s="45">
        <v>79854.06411871803</v>
      </c>
      <c r="BP73" s="45">
        <v>80284.422459555615</v>
      </c>
      <c r="BQ73" s="45">
        <v>80660.194941426656</v>
      </c>
      <c r="BR73" s="45">
        <v>81019.707747066539</v>
      </c>
      <c r="BS73" s="45">
        <v>81258.299867800568</v>
      </c>
      <c r="BT73" s="45">
        <v>81589.154405268695</v>
      </c>
      <c r="BU73" s="45">
        <v>81849.082505621031</v>
      </c>
      <c r="BV73" s="45">
        <v>82208.017438492592</v>
      </c>
      <c r="BW73" s="45">
        <v>82524.384765515337</v>
      </c>
      <c r="BX73" s="45">
        <v>82866.034734042551</v>
      </c>
      <c r="BY73" s="45">
        <v>83213.968849247351</v>
      </c>
      <c r="BZ73" s="45">
        <v>83664.984053857275</v>
      </c>
      <c r="CA73" s="45">
        <v>84026.923906201642</v>
      </c>
      <c r="CB73" s="45">
        <v>84321.230704066373</v>
      </c>
      <c r="CC73" s="45">
        <v>84665.084655686544</v>
      </c>
      <c r="CD73" s="45">
        <v>84983.07762301121</v>
      </c>
      <c r="CE73" s="45">
        <v>85278.99292357036</v>
      </c>
      <c r="CF73" s="45">
        <v>85611.619066214014</v>
      </c>
      <c r="CG73" s="45">
        <v>85910.588453189717</v>
      </c>
      <c r="CH73" s="45">
        <v>86202.631365684312</v>
      </c>
      <c r="CI73" s="45">
        <v>86536.196609808627</v>
      </c>
      <c r="CJ73" s="45">
        <v>86771.507204926223</v>
      </c>
      <c r="CK73" s="45">
        <v>87039.498729780084</v>
      </c>
      <c r="CL73" s="45">
        <v>87354.611769439856</v>
      </c>
      <c r="CM73" s="45">
        <v>87596.633433906914</v>
      </c>
      <c r="CN73" s="45">
        <v>87864.805061125604</v>
      </c>
      <c r="CO73" s="45">
        <v>88124.871842197026</v>
      </c>
      <c r="CP73" s="45">
        <v>88380.853400128763</v>
      </c>
      <c r="CQ73" s="45">
        <v>88624.140914732503</v>
      </c>
      <c r="CR73" s="45">
        <v>88830.788092861258</v>
      </c>
      <c r="CS73" s="45">
        <v>89075.127808045392</v>
      </c>
      <c r="CT73" s="45">
        <v>89283.101350065539</v>
      </c>
      <c r="CU73" s="45">
        <v>89494.348206601426</v>
      </c>
      <c r="CV73" s="45">
        <v>89685.385098384053</v>
      </c>
      <c r="CW73" s="45">
        <v>89878.471359028437</v>
      </c>
      <c r="CX73" s="45">
        <v>90089.2902455312</v>
      </c>
      <c r="CY73" s="45">
        <v>90262.485309568772</v>
      </c>
      <c r="CZ73" s="45">
        <v>90437.717310014472</v>
      </c>
      <c r="DA73" s="45">
        <v>90602.557590752505</v>
      </c>
      <c r="DB73" s="45">
        <v>90801.038874940772</v>
      </c>
      <c r="DC73" s="45">
        <v>90978.194066518001</v>
      </c>
      <c r="DD73" s="45">
        <v>91143.070064107407</v>
      </c>
      <c r="DE73" s="45">
        <v>91310.290469232874</v>
      </c>
      <c r="DF73" s="45">
        <v>91503.758742253427</v>
      </c>
      <c r="DG73" s="45">
        <v>91652.744404763478</v>
      </c>
      <c r="DH73" s="45">
        <v>91813.142610764437</v>
      </c>
      <c r="DI73" s="45">
        <v>91951.854607211586</v>
      </c>
      <c r="DJ73" s="45">
        <v>92125.025571446808</v>
      </c>
      <c r="DK73" s="45">
        <v>92278.163698829507</v>
      </c>
      <c r="DL73" s="45">
        <v>92413.301291784635</v>
      </c>
      <c r="DM73" s="45">
        <v>92548.229473637941</v>
      </c>
      <c r="DN73" s="45">
        <v>92678.034089807537</v>
      </c>
      <c r="DO73" s="45">
        <v>92828.876311613887</v>
      </c>
      <c r="DP73">
        <v>92974.830080362852</v>
      </c>
      <c r="DQ73">
        <v>93102.305190632367</v>
      </c>
      <c r="DR73">
        <v>93241.716548953467</v>
      </c>
      <c r="DS73">
        <v>93367.088314294582</v>
      </c>
      <c r="DT73">
        <v>93502.878642269352</v>
      </c>
      <c r="DU73">
        <v>93635.7814577799</v>
      </c>
    </row>
    <row r="74" spans="1:125">
      <c r="A74" s="42">
        <v>72</v>
      </c>
      <c r="B74" s="45"/>
      <c r="C74" s="45"/>
      <c r="D74" s="45"/>
      <c r="E74" s="45"/>
      <c r="F74" s="45"/>
      <c r="G74" s="45"/>
      <c r="H74" s="45"/>
      <c r="I74" s="45"/>
      <c r="J74" s="45"/>
      <c r="K74" s="45"/>
      <c r="L74" s="45"/>
      <c r="M74" s="45"/>
      <c r="N74" s="45"/>
      <c r="O74" s="45"/>
      <c r="P74" s="45"/>
      <c r="Q74" s="45"/>
      <c r="R74" s="45"/>
      <c r="S74" s="45"/>
      <c r="T74" s="45"/>
      <c r="U74" s="45"/>
      <c r="V74" s="45"/>
      <c r="W74" s="45">
        <v>53536</v>
      </c>
      <c r="X74" s="45">
        <v>54551.5</v>
      </c>
      <c r="Y74" s="45">
        <v>54839.770874842332</v>
      </c>
      <c r="Z74" s="45">
        <v>56648.964052919444</v>
      </c>
      <c r="AA74" s="45">
        <v>57407.096670533385</v>
      </c>
      <c r="AB74" s="45">
        <v>58199.243604599615</v>
      </c>
      <c r="AC74" s="45">
        <v>58963.460001913452</v>
      </c>
      <c r="AD74" s="45">
        <v>59692.809194527428</v>
      </c>
      <c r="AE74" s="45">
        <v>60031.271275474333</v>
      </c>
      <c r="AF74" s="45">
        <v>61292.243536039437</v>
      </c>
      <c r="AG74" s="45">
        <v>62141.916864039798</v>
      </c>
      <c r="AH74" s="45">
        <v>62913.445491201084</v>
      </c>
      <c r="AI74" s="45">
        <v>63704.78240117387</v>
      </c>
      <c r="AJ74" s="45">
        <v>65255.375553716236</v>
      </c>
      <c r="AK74" s="45">
        <v>65895.658863639328</v>
      </c>
      <c r="AL74" s="45">
        <v>66892.109003357808</v>
      </c>
      <c r="AM74" s="45">
        <v>67772.67768179602</v>
      </c>
      <c r="AN74" s="45">
        <v>68618.322384189509</v>
      </c>
      <c r="AO74" s="45">
        <v>68931.043076674134</v>
      </c>
      <c r="AP74" s="45">
        <v>69364.069309791201</v>
      </c>
      <c r="AQ74" s="45">
        <v>69633.426069757406</v>
      </c>
      <c r="AR74" s="45">
        <v>69988.236591366905</v>
      </c>
      <c r="AS74" s="45">
        <v>69525.388134151799</v>
      </c>
      <c r="AT74" s="45">
        <v>68901.39888611433</v>
      </c>
      <c r="AU74" s="45">
        <v>67924.705722606406</v>
      </c>
      <c r="AV74" s="45">
        <v>68141.936875396932</v>
      </c>
      <c r="AW74" s="45">
        <v>68975.128971105994</v>
      </c>
      <c r="AX74" s="45">
        <v>70673.173979259387</v>
      </c>
      <c r="AY74" s="45">
        <v>72129.44394014962</v>
      </c>
      <c r="AZ74" s="45">
        <v>72106.473867941299</v>
      </c>
      <c r="BA74" s="45">
        <v>72072.450267408072</v>
      </c>
      <c r="BB74" s="45">
        <v>72670.725618327968</v>
      </c>
      <c r="BC74" s="45">
        <v>72917.464745950943</v>
      </c>
      <c r="BD74" s="45">
        <v>73318.778628461252</v>
      </c>
      <c r="BE74" s="45">
        <v>73592.410958794411</v>
      </c>
      <c r="BF74" s="45">
        <v>74097.782677859912</v>
      </c>
      <c r="BG74" s="45">
        <v>74396.209483356681</v>
      </c>
      <c r="BH74" s="45">
        <v>75020.2966093625</v>
      </c>
      <c r="BI74" s="45">
        <v>75385.217415868479</v>
      </c>
      <c r="BJ74" s="45">
        <v>75857.251689281809</v>
      </c>
      <c r="BK74" s="45">
        <v>76378.556291223678</v>
      </c>
      <c r="BL74" s="45">
        <v>77056.377936098783</v>
      </c>
      <c r="BM74" s="45">
        <v>77657.301210261401</v>
      </c>
      <c r="BN74" s="45">
        <v>78215.46326647306</v>
      </c>
      <c r="BO74" s="45">
        <v>78668.298077267929</v>
      </c>
      <c r="BP74" s="45">
        <v>79114.988260975253</v>
      </c>
      <c r="BQ74" s="45">
        <v>79507.504427465552</v>
      </c>
      <c r="BR74" s="45">
        <v>79883.929893355613</v>
      </c>
      <c r="BS74" s="45">
        <v>80141.008418674755</v>
      </c>
      <c r="BT74" s="45">
        <v>80488.671952102944</v>
      </c>
      <c r="BU74" s="45">
        <v>80766.238056949049</v>
      </c>
      <c r="BV74" s="45">
        <v>81141.079782360204</v>
      </c>
      <c r="BW74" s="45">
        <v>81473.84910186792</v>
      </c>
      <c r="BX74" s="45">
        <v>81831.21619352221</v>
      </c>
      <c r="BY74" s="45">
        <v>82194.528033786832</v>
      </c>
      <c r="BZ74" s="45">
        <v>82659.470720831654</v>
      </c>
      <c r="CA74" s="45">
        <v>83036.350928151485</v>
      </c>
      <c r="CB74" s="45">
        <v>83346.300432985678</v>
      </c>
      <c r="CC74" s="45">
        <v>83704.6981224911</v>
      </c>
      <c r="CD74" s="45">
        <v>84037.427850019099</v>
      </c>
      <c r="CE74" s="45">
        <v>84348.159412928013</v>
      </c>
      <c r="CF74" s="45">
        <v>84694.883280101727</v>
      </c>
      <c r="CG74" s="45">
        <v>85008.236750706477</v>
      </c>
      <c r="CH74" s="45">
        <v>85314.47033624076</v>
      </c>
      <c r="CI74" s="45">
        <v>85661.585709980442</v>
      </c>
      <c r="CJ74" s="45">
        <v>85911.307127255452</v>
      </c>
      <c r="CK74" s="45">
        <v>86193.164496190439</v>
      </c>
      <c r="CL74" s="45">
        <v>86521.398040735396</v>
      </c>
      <c r="CM74" s="45">
        <v>86777.11370191694</v>
      </c>
      <c r="CN74" s="45">
        <v>87058.527794681228</v>
      </c>
      <c r="CO74" s="45">
        <v>87331.59467074227</v>
      </c>
      <c r="CP74" s="45">
        <v>87600.524469605589</v>
      </c>
      <c r="CQ74" s="45">
        <v>87856.62310926881</v>
      </c>
      <c r="CR74" s="45">
        <v>88076.269634406053</v>
      </c>
      <c r="CS74" s="45">
        <v>88333.008590994985</v>
      </c>
      <c r="CT74" s="45">
        <v>88553.52048705981</v>
      </c>
      <c r="CU74" s="45">
        <v>88777.045665077836</v>
      </c>
      <c r="CV74" s="45">
        <v>88980.325116895212</v>
      </c>
      <c r="CW74" s="45">
        <v>89185.496956387069</v>
      </c>
      <c r="CX74" s="45">
        <v>89407.993674435391</v>
      </c>
      <c r="CY74" s="45">
        <v>89593.012883121788</v>
      </c>
      <c r="CZ74" s="45">
        <v>89779.78665946926</v>
      </c>
      <c r="DA74" s="45">
        <v>89956.097737069038</v>
      </c>
      <c r="DB74" s="45">
        <v>90165.569877388247</v>
      </c>
      <c r="DC74" s="45">
        <v>90353.747570469539</v>
      </c>
      <c r="DD74" s="45">
        <v>90529.500423494013</v>
      </c>
      <c r="DE74" s="45">
        <v>90707.420890270936</v>
      </c>
      <c r="DF74" s="45">
        <v>90911.237901363813</v>
      </c>
      <c r="DG74" s="45">
        <v>91070.640525961426</v>
      </c>
      <c r="DH74" s="45">
        <v>91241.246929910674</v>
      </c>
      <c r="DI74" s="45">
        <v>91390.090779143138</v>
      </c>
      <c r="DJ74" s="45">
        <v>91573.013956339651</v>
      </c>
      <c r="DK74" s="45">
        <v>91735.885037606611</v>
      </c>
      <c r="DL74" s="45">
        <v>91880.687872103721</v>
      </c>
      <c r="DM74" s="45">
        <v>92025.07780964319</v>
      </c>
      <c r="DN74" s="45">
        <v>92164.244970363259</v>
      </c>
      <c r="DO74" s="45">
        <v>92324.152550755069</v>
      </c>
      <c r="DP74">
        <v>92479.053223994299</v>
      </c>
      <c r="DQ74">
        <v>92615.407703213714</v>
      </c>
      <c r="DR74">
        <v>92763.459036384011</v>
      </c>
      <c r="DS74">
        <v>92897.425331839622</v>
      </c>
      <c r="DT74">
        <v>93041.590294335576</v>
      </c>
      <c r="DU74">
        <v>93182.734653274281</v>
      </c>
    </row>
    <row r="75" spans="1:125">
      <c r="A75" s="42">
        <v>73</v>
      </c>
      <c r="B75" s="45"/>
      <c r="C75" s="45"/>
      <c r="D75" s="45"/>
      <c r="E75" s="45"/>
      <c r="F75" s="45"/>
      <c r="G75" s="45"/>
      <c r="H75" s="45"/>
      <c r="I75" s="45"/>
      <c r="J75" s="45"/>
      <c r="K75" s="45"/>
      <c r="L75" s="45"/>
      <c r="M75" s="45"/>
      <c r="N75" s="45"/>
      <c r="O75" s="45"/>
      <c r="P75" s="45"/>
      <c r="Q75" s="45"/>
      <c r="R75" s="45"/>
      <c r="S75" s="45"/>
      <c r="T75" s="45"/>
      <c r="U75" s="45"/>
      <c r="V75" s="45"/>
      <c r="W75" s="45">
        <v>51796.5</v>
      </c>
      <c r="X75" s="45">
        <v>52844.5</v>
      </c>
      <c r="Y75" s="45">
        <v>53102.205132940006</v>
      </c>
      <c r="Z75" s="45">
        <v>54970.894316336009</v>
      </c>
      <c r="AA75" s="45">
        <v>55727.827850288071</v>
      </c>
      <c r="AB75" s="45">
        <v>56541.383196979725</v>
      </c>
      <c r="AC75" s="45">
        <v>57354.425717648643</v>
      </c>
      <c r="AD75" s="45">
        <v>58110.853539327873</v>
      </c>
      <c r="AE75" s="45">
        <v>58451.489119894803</v>
      </c>
      <c r="AF75" s="45">
        <v>59686.958293098789</v>
      </c>
      <c r="AG75" s="45">
        <v>60591.323359942558</v>
      </c>
      <c r="AH75" s="45">
        <v>61422.564342938422</v>
      </c>
      <c r="AI75" s="45">
        <v>62228.328726731706</v>
      </c>
      <c r="AJ75" s="45">
        <v>63804.054687540498</v>
      </c>
      <c r="AK75" s="45">
        <v>64453.958517918523</v>
      </c>
      <c r="AL75" s="45">
        <v>65484.128949490732</v>
      </c>
      <c r="AM75" s="45">
        <v>66409.792647139635</v>
      </c>
      <c r="AN75" s="45">
        <v>67251.442421580417</v>
      </c>
      <c r="AO75" s="45">
        <v>67563.702790301671</v>
      </c>
      <c r="AP75" s="45">
        <v>67996.335033087453</v>
      </c>
      <c r="AQ75" s="45">
        <v>68299.221601011348</v>
      </c>
      <c r="AR75" s="45">
        <v>68610.201536727007</v>
      </c>
      <c r="AS75" s="45">
        <v>68170.720272994164</v>
      </c>
      <c r="AT75" s="45">
        <v>67514.810635915797</v>
      </c>
      <c r="AU75" s="45">
        <v>66536.847320865258</v>
      </c>
      <c r="AV75" s="45">
        <v>66758.787654976593</v>
      </c>
      <c r="AW75" s="45">
        <v>67598.524589153501</v>
      </c>
      <c r="AX75" s="45">
        <v>69200.865336112794</v>
      </c>
      <c r="AY75" s="45">
        <v>70595.197180140778</v>
      </c>
      <c r="AZ75" s="45">
        <v>70586.515059717145</v>
      </c>
      <c r="BA75" s="45">
        <v>70582.923714099685</v>
      </c>
      <c r="BB75" s="45">
        <v>71196.782544721471</v>
      </c>
      <c r="BC75" s="45">
        <v>71466.572619480314</v>
      </c>
      <c r="BD75" s="45">
        <v>71886.567494075862</v>
      </c>
      <c r="BE75" s="45">
        <v>72181.640770251455</v>
      </c>
      <c r="BF75" s="45">
        <v>72703.533516292111</v>
      </c>
      <c r="BG75" s="45">
        <v>73023.041331708024</v>
      </c>
      <c r="BH75" s="45">
        <v>73660.742136468776</v>
      </c>
      <c r="BI75" s="45">
        <v>74044.228483976243</v>
      </c>
      <c r="BJ75" s="45">
        <v>74532.791026720137</v>
      </c>
      <c r="BK75" s="45">
        <v>75069.653627288149</v>
      </c>
      <c r="BL75" s="45">
        <v>75760.178432734654</v>
      </c>
      <c r="BM75" s="45">
        <v>76375.046963582718</v>
      </c>
      <c r="BN75" s="45">
        <v>76947.947849691656</v>
      </c>
      <c r="BO75" s="45">
        <v>77417.040855824802</v>
      </c>
      <c r="BP75" s="45">
        <v>77880.238641942255</v>
      </c>
      <c r="BQ75" s="45">
        <v>78289.732357722649</v>
      </c>
      <c r="BR75" s="45">
        <v>78683.334359770612</v>
      </c>
      <c r="BS75" s="45">
        <v>78959.275210897322</v>
      </c>
      <c r="BT75" s="45">
        <v>79324.060698396628</v>
      </c>
      <c r="BU75" s="45">
        <v>79619.647427211821</v>
      </c>
      <c r="BV75" s="45">
        <v>80010.709828438587</v>
      </c>
      <c r="BW75" s="45">
        <v>80360.242045693623</v>
      </c>
      <c r="BX75" s="45">
        <v>80733.675794772455</v>
      </c>
      <c r="BY75" s="45">
        <v>81112.719274803225</v>
      </c>
      <c r="BZ75" s="45">
        <v>81591.876355991873</v>
      </c>
      <c r="CA75" s="45">
        <v>81984.062486056995</v>
      </c>
      <c r="CB75" s="45">
        <v>82310.081023286708</v>
      </c>
      <c r="CC75" s="45">
        <v>82683.413424833241</v>
      </c>
      <c r="CD75" s="45">
        <v>83031.299243152229</v>
      </c>
      <c r="CE75" s="45">
        <v>83357.289834905328</v>
      </c>
      <c r="CF75" s="45">
        <v>83718.531805303355</v>
      </c>
      <c r="CG75" s="45">
        <v>84046.722339798522</v>
      </c>
      <c r="CH75" s="45">
        <v>84367.6080124539</v>
      </c>
      <c r="CI75" s="45">
        <v>84728.711288399398</v>
      </c>
      <c r="CJ75" s="45">
        <v>84993.353779760393</v>
      </c>
      <c r="CK75" s="45">
        <v>85289.568798374006</v>
      </c>
      <c r="CL75" s="45">
        <v>85631.384686750593</v>
      </c>
      <c r="CM75" s="45">
        <v>85901.309100422222</v>
      </c>
      <c r="CN75" s="45">
        <v>86196.466049167517</v>
      </c>
      <c r="CO75" s="45">
        <v>86483.037100992922</v>
      </c>
      <c r="CP75" s="45">
        <v>86765.427143389563</v>
      </c>
      <c r="CQ75" s="45">
        <v>87034.856585376256</v>
      </c>
      <c r="CR75" s="45">
        <v>87268.047895560507</v>
      </c>
      <c r="CS75" s="45">
        <v>87537.706629177788</v>
      </c>
      <c r="CT75" s="45">
        <v>87771.300606098463</v>
      </c>
      <c r="CU75" s="45">
        <v>88007.644547423552</v>
      </c>
      <c r="CV75" s="45">
        <v>88223.718280667614</v>
      </c>
      <c r="CW75" s="45">
        <v>88441.527516736562</v>
      </c>
      <c r="CX75" s="45">
        <v>88676.239994545205</v>
      </c>
      <c r="CY75" s="45">
        <v>88873.643137308623</v>
      </c>
      <c r="CZ75" s="45">
        <v>89072.512843355653</v>
      </c>
      <c r="DA75" s="45">
        <v>89260.854375050651</v>
      </c>
      <c r="DB75" s="45">
        <v>89481.854826383729</v>
      </c>
      <c r="DC75" s="45">
        <v>89681.604357343924</v>
      </c>
      <c r="DD75" s="45">
        <v>89868.785532540147</v>
      </c>
      <c r="DE75" s="45">
        <v>90057.954542077263</v>
      </c>
      <c r="DF75" s="45">
        <v>90272.652703268803</v>
      </c>
      <c r="DG75" s="45">
        <v>90443.022339910705</v>
      </c>
      <c r="DH75" s="45">
        <v>90624.37985449034</v>
      </c>
      <c r="DI75" s="45">
        <v>90783.904113687851</v>
      </c>
      <c r="DJ75" s="45">
        <v>90977.108057878417</v>
      </c>
      <c r="DK75" s="45">
        <v>91150.247987119888</v>
      </c>
      <c r="DL75" s="45">
        <v>91305.256418987788</v>
      </c>
      <c r="DM75" s="45">
        <v>91459.642876295198</v>
      </c>
      <c r="DN75" s="45">
        <v>91608.707316517161</v>
      </c>
      <c r="DO75" s="45">
        <v>91778.200534943971</v>
      </c>
      <c r="DP75">
        <v>91942.567083719448</v>
      </c>
      <c r="DQ75">
        <v>92088.323294662943</v>
      </c>
      <c r="DR75">
        <v>92245.526372788503</v>
      </c>
      <c r="DS75">
        <v>92388.602234616294</v>
      </c>
      <c r="DT75">
        <v>92541.64716092599</v>
      </c>
      <c r="DU75">
        <v>92691.535080551199</v>
      </c>
    </row>
    <row r="76" spans="1:125">
      <c r="A76" s="42">
        <v>74</v>
      </c>
      <c r="B76" s="45"/>
      <c r="C76" s="45"/>
      <c r="D76" s="45"/>
      <c r="E76" s="45"/>
      <c r="F76" s="45"/>
      <c r="G76" s="45"/>
      <c r="H76" s="45"/>
      <c r="I76" s="45"/>
      <c r="J76" s="45"/>
      <c r="K76" s="45"/>
      <c r="L76" s="45"/>
      <c r="M76" s="45"/>
      <c r="N76" s="45"/>
      <c r="O76" s="45"/>
      <c r="P76" s="45"/>
      <c r="Q76" s="45"/>
      <c r="R76" s="45"/>
      <c r="S76" s="45"/>
      <c r="T76" s="45"/>
      <c r="U76" s="45"/>
      <c r="V76" s="45"/>
      <c r="W76" s="45">
        <v>49992</v>
      </c>
      <c r="X76" s="45">
        <v>51007.5</v>
      </c>
      <c r="Y76" s="45">
        <v>51360.523584198847</v>
      </c>
      <c r="Z76" s="45">
        <v>53248.356928075678</v>
      </c>
      <c r="AA76" s="45">
        <v>53978.172279872371</v>
      </c>
      <c r="AB76" s="45">
        <v>54862.159849618343</v>
      </c>
      <c r="AC76" s="45">
        <v>55704.733647843517</v>
      </c>
      <c r="AD76" s="45">
        <v>56435.716010604592</v>
      </c>
      <c r="AE76" s="45">
        <v>56759.589750796848</v>
      </c>
      <c r="AF76" s="45">
        <v>58052.727621339058</v>
      </c>
      <c r="AG76" s="45">
        <v>58963.861706771866</v>
      </c>
      <c r="AH76" s="45">
        <v>59881.369739057947</v>
      </c>
      <c r="AI76" s="45">
        <v>60692.746645700856</v>
      </c>
      <c r="AJ76" s="45">
        <v>62268.527204507191</v>
      </c>
      <c r="AK76" s="45">
        <v>62917.949319316038</v>
      </c>
      <c r="AL76" s="45">
        <v>64006.327270651964</v>
      </c>
      <c r="AM76" s="45">
        <v>64947.341148934029</v>
      </c>
      <c r="AN76" s="45">
        <v>65795.728278265451</v>
      </c>
      <c r="AO76" s="45">
        <v>66098.878340725234</v>
      </c>
      <c r="AP76" s="45">
        <v>66579.271624255925</v>
      </c>
      <c r="AQ76" s="45">
        <v>66818.247401592365</v>
      </c>
      <c r="AR76" s="45">
        <v>67153.915714749644</v>
      </c>
      <c r="AS76" s="45">
        <v>66701.081824509223</v>
      </c>
      <c r="AT76" s="45">
        <v>66014.174889393908</v>
      </c>
      <c r="AU76" s="45">
        <v>65059.379186435748</v>
      </c>
      <c r="AV76" s="45">
        <v>65287.184186279002</v>
      </c>
      <c r="AW76" s="45">
        <v>66075.878056323723</v>
      </c>
      <c r="AX76" s="45">
        <v>67588.899797928156</v>
      </c>
      <c r="AY76" s="45">
        <v>68973.444096090097</v>
      </c>
      <c r="AZ76" s="45">
        <v>68996.277190567766</v>
      </c>
      <c r="BA76" s="45">
        <v>69023.277335815874</v>
      </c>
      <c r="BB76" s="45">
        <v>69652.310586562249</v>
      </c>
      <c r="BC76" s="45">
        <v>69945.111426173156</v>
      </c>
      <c r="BD76" s="45">
        <v>70383.633260437549</v>
      </c>
      <c r="BE76" s="45">
        <v>70700.141811613779</v>
      </c>
      <c r="BF76" s="45">
        <v>71238.355483853346</v>
      </c>
      <c r="BG76" s="45">
        <v>71578.967805268869</v>
      </c>
      <c r="BH76" s="45">
        <v>72230.022688595971</v>
      </c>
      <c r="BI76" s="45">
        <v>72632.085627405089</v>
      </c>
      <c r="BJ76" s="45">
        <v>73137.110126623797</v>
      </c>
      <c r="BK76" s="45">
        <v>73689.441941274272</v>
      </c>
      <c r="BL76" s="45">
        <v>74392.587177806286</v>
      </c>
      <c r="BM76" s="45">
        <v>75021.292288704892</v>
      </c>
      <c r="BN76" s="45">
        <v>75608.886452991414</v>
      </c>
      <c r="BO76" s="45">
        <v>76094.309505777725</v>
      </c>
      <c r="BP76" s="45">
        <v>76574.114809141814</v>
      </c>
      <c r="BQ76" s="45">
        <v>77000.752533776307</v>
      </c>
      <c r="BR76" s="45">
        <v>77411.731326316629</v>
      </c>
      <c r="BS76" s="45">
        <v>77706.858749524719</v>
      </c>
      <c r="BT76" s="45">
        <v>78089.024422505536</v>
      </c>
      <c r="BU76" s="45">
        <v>78402.967781350511</v>
      </c>
      <c r="BV76" s="45">
        <v>78810.51442690898</v>
      </c>
      <c r="BW76" s="45">
        <v>79177.125741185533</v>
      </c>
      <c r="BX76" s="45">
        <v>79566.932593387362</v>
      </c>
      <c r="BY76" s="45">
        <v>79962.021132694688</v>
      </c>
      <c r="BZ76" s="45">
        <v>80455.633750229594</v>
      </c>
      <c r="CA76" s="45">
        <v>80863.454847165733</v>
      </c>
      <c r="CB76" s="45">
        <v>81205.939797466883</v>
      </c>
      <c r="CC76" s="45">
        <v>81594.568856746686</v>
      </c>
      <c r="CD76" s="45">
        <v>81958.00525844084</v>
      </c>
      <c r="CE76" s="45">
        <v>82299.676872143027</v>
      </c>
      <c r="CF76" s="45">
        <v>82675.836462873587</v>
      </c>
      <c r="CG76" s="45">
        <v>83019.300757490448</v>
      </c>
      <c r="CH76" s="45">
        <v>83355.286673139242</v>
      </c>
      <c r="CI76" s="45">
        <v>83730.801385201208</v>
      </c>
      <c r="CJ76" s="45">
        <v>84010.870603529445</v>
      </c>
      <c r="CK76" s="45">
        <v>84321.930043274217</v>
      </c>
      <c r="CL76" s="45">
        <v>84677.783693372243</v>
      </c>
      <c r="CM76" s="45">
        <v>84962.432657320751</v>
      </c>
      <c r="CN76" s="45">
        <v>85271.833789790486</v>
      </c>
      <c r="CO76" s="45">
        <v>85572.416782625194</v>
      </c>
      <c r="CP76" s="45">
        <v>85868.784616852558</v>
      </c>
      <c r="CQ76" s="45">
        <v>86152.072896112426</v>
      </c>
      <c r="CR76" s="45">
        <v>86399.367105126585</v>
      </c>
      <c r="CS76" s="45">
        <v>86682.477715113913</v>
      </c>
      <c r="CT76" s="45">
        <v>86929.713309688028</v>
      </c>
      <c r="CU76" s="45">
        <v>87179.433557393757</v>
      </c>
      <c r="CV76" s="45">
        <v>87408.873329704133</v>
      </c>
      <c r="CW76" s="45">
        <v>87639.89295568227</v>
      </c>
      <c r="CX76" s="45">
        <v>87887.380400420283</v>
      </c>
      <c r="CY76" s="45">
        <v>88097.752526239754</v>
      </c>
      <c r="CZ76" s="45">
        <v>88309.298693540099</v>
      </c>
      <c r="DA76" s="45">
        <v>88510.25857536793</v>
      </c>
      <c r="DB76" s="45">
        <v>88743.35173614572</v>
      </c>
      <c r="DC76" s="45">
        <v>88955.251948838733</v>
      </c>
      <c r="DD76" s="45">
        <v>89154.444330412996</v>
      </c>
      <c r="DE76" s="45">
        <v>89355.442564175304</v>
      </c>
      <c r="DF76" s="45">
        <v>89581.585565588655</v>
      </c>
      <c r="DG76" s="45">
        <v>89763.507542294858</v>
      </c>
      <c r="DH76" s="45">
        <v>89956.194380932604</v>
      </c>
      <c r="DI76" s="45">
        <v>90126.985175555834</v>
      </c>
      <c r="DJ76" s="45">
        <v>90331.034381548961</v>
      </c>
      <c r="DK76" s="45">
        <v>90515.017077539145</v>
      </c>
      <c r="DL76" s="45">
        <v>90680.811356867111</v>
      </c>
      <c r="DM76" s="45">
        <v>90845.769588955765</v>
      </c>
      <c r="DN76" s="45">
        <v>91005.307469548789</v>
      </c>
      <c r="DO76" s="45">
        <v>91184.947171034248</v>
      </c>
      <c r="DP76">
        <v>91359.3399818662</v>
      </c>
      <c r="DQ76">
        <v>91515.063365486945</v>
      </c>
      <c r="DR76">
        <v>91681.972677860904</v>
      </c>
      <c r="DS76">
        <v>91834.717208722868</v>
      </c>
      <c r="DT76">
        <v>91997.191187370117</v>
      </c>
      <c r="DU76">
        <v>92156.368974496727</v>
      </c>
    </row>
    <row r="77" spans="1:125">
      <c r="A77" s="42">
        <v>75</v>
      </c>
      <c r="B77" s="45"/>
      <c r="C77" s="45"/>
      <c r="D77" s="45"/>
      <c r="E77" s="45"/>
      <c r="F77" s="45"/>
      <c r="G77" s="45"/>
      <c r="H77" s="45"/>
      <c r="I77" s="45"/>
      <c r="J77" s="45"/>
      <c r="K77" s="45"/>
      <c r="L77" s="45"/>
      <c r="M77" s="45"/>
      <c r="N77" s="45"/>
      <c r="O77" s="45"/>
      <c r="P77" s="45"/>
      <c r="Q77" s="45"/>
      <c r="R77" s="45"/>
      <c r="S77" s="45"/>
      <c r="T77" s="45"/>
      <c r="U77" s="45"/>
      <c r="V77" s="45"/>
      <c r="W77" s="45">
        <v>48060</v>
      </c>
      <c r="X77" s="45">
        <v>49145.5</v>
      </c>
      <c r="Y77" s="45">
        <v>49541.815715608842</v>
      </c>
      <c r="Z77" s="45">
        <v>51408.907280913729</v>
      </c>
      <c r="AA77" s="45">
        <v>52198.461171799245</v>
      </c>
      <c r="AB77" s="45">
        <v>53105.788934441895</v>
      </c>
      <c r="AC77" s="45">
        <v>53967.483940237871</v>
      </c>
      <c r="AD77" s="45">
        <v>54627.497233490154</v>
      </c>
      <c r="AE77" s="45">
        <v>55029.165627366994</v>
      </c>
      <c r="AF77" s="45">
        <v>56348.342402756796</v>
      </c>
      <c r="AG77" s="45">
        <v>57298.592480904772</v>
      </c>
      <c r="AH77" s="45">
        <v>58231.179409935081</v>
      </c>
      <c r="AI77" s="45">
        <v>59059.074353502554</v>
      </c>
      <c r="AJ77" s="45">
        <v>60610.755238066806</v>
      </c>
      <c r="AK77" s="45">
        <v>61323.718832548839</v>
      </c>
      <c r="AL77" s="45">
        <v>62408.216649883529</v>
      </c>
      <c r="AM77" s="45">
        <v>63383.090310195083</v>
      </c>
      <c r="AN77" s="45">
        <v>64226.616480241348</v>
      </c>
      <c r="AO77" s="45">
        <v>64604.185075168942</v>
      </c>
      <c r="AP77" s="45">
        <v>64999.818994956309</v>
      </c>
      <c r="AQ77" s="45">
        <v>65283.532601929903</v>
      </c>
      <c r="AR77" s="45">
        <v>65586.459310370177</v>
      </c>
      <c r="AS77" s="45">
        <v>65112.809146551896</v>
      </c>
      <c r="AT77" s="45">
        <v>64449.20572781068</v>
      </c>
      <c r="AU77" s="45">
        <v>63482.30415394406</v>
      </c>
      <c r="AV77" s="45">
        <v>63637.448318983937</v>
      </c>
      <c r="AW77" s="45">
        <v>64411.920671463173</v>
      </c>
      <c r="AX77" s="45">
        <v>65895.461282844102</v>
      </c>
      <c r="AY77" s="45">
        <v>67276.710255559679</v>
      </c>
      <c r="AZ77" s="45">
        <v>67331.094886450606</v>
      </c>
      <c r="BA77" s="45">
        <v>67388.76138058363</v>
      </c>
      <c r="BB77" s="45">
        <v>68032.444685268085</v>
      </c>
      <c r="BC77" s="45">
        <v>68348.124846864841</v>
      </c>
      <c r="BD77" s="45">
        <v>68804.925976976607</v>
      </c>
      <c r="BE77" s="45">
        <v>69142.779993650634</v>
      </c>
      <c r="BF77" s="45">
        <v>69697.018442147411</v>
      </c>
      <c r="BG77" s="45">
        <v>70058.67643612808</v>
      </c>
      <c r="BH77" s="45">
        <v>70722.728864751844</v>
      </c>
      <c r="BI77" s="45">
        <v>71143.302241389028</v>
      </c>
      <c r="BJ77" s="45">
        <v>71664.640019046929</v>
      </c>
      <c r="BK77" s="45">
        <v>72232.407125242724</v>
      </c>
      <c r="BL77" s="45">
        <v>72947.874336321198</v>
      </c>
      <c r="BM77" s="45">
        <v>73590.221371302192</v>
      </c>
      <c r="BN77" s="45">
        <v>74192.38249064883</v>
      </c>
      <c r="BO77" s="45">
        <v>74694.137679864827</v>
      </c>
      <c r="BP77" s="45">
        <v>75190.58265618002</v>
      </c>
      <c r="BQ77" s="45">
        <v>75634.47089313835</v>
      </c>
      <c r="BR77" s="45">
        <v>76062.970241021074</v>
      </c>
      <c r="BS77" s="45">
        <v>76377.56354732727</v>
      </c>
      <c r="BT77" s="45">
        <v>76777.319152474782</v>
      </c>
      <c r="BU77" s="45">
        <v>77109.914420068279</v>
      </c>
      <c r="BV77" s="45">
        <v>77534.163995140319</v>
      </c>
      <c r="BW77" s="45">
        <v>77918.131055531558</v>
      </c>
      <c r="BX77" s="45">
        <v>78324.579094196291</v>
      </c>
      <c r="BY77" s="45">
        <v>78735.98998646265</v>
      </c>
      <c r="BZ77" s="45">
        <v>79244.257668498234</v>
      </c>
      <c r="CA77" s="45">
        <v>79668.01010297687</v>
      </c>
      <c r="CB77" s="45">
        <v>80027.333461854549</v>
      </c>
      <c r="CC77" s="45">
        <v>80431.595240004055</v>
      </c>
      <c r="CD77" s="45">
        <v>80810.954795906233</v>
      </c>
      <c r="CE77" s="45">
        <v>81168.711315569322</v>
      </c>
      <c r="CF77" s="45">
        <v>81560.169588119912</v>
      </c>
      <c r="CG77" s="45">
        <v>81919.330259733732</v>
      </c>
      <c r="CH77" s="45">
        <v>82270.853262439399</v>
      </c>
      <c r="CI77" s="45">
        <v>82661.190487173677</v>
      </c>
      <c r="CJ77" s="45">
        <v>82957.188980446124</v>
      </c>
      <c r="CK77" s="45">
        <v>83283.575917824448</v>
      </c>
      <c r="CL77" s="45">
        <v>83653.917505243197</v>
      </c>
      <c r="CM77" s="45">
        <v>83953.8088037665</v>
      </c>
      <c r="CN77" s="45">
        <v>84277.957195994124</v>
      </c>
      <c r="CO77" s="45">
        <v>84593.064180701156</v>
      </c>
      <c r="CP77" s="45">
        <v>84903.933387313446</v>
      </c>
      <c r="CQ77" s="45">
        <v>85201.617207938281</v>
      </c>
      <c r="CR77" s="45">
        <v>85463.585258456937</v>
      </c>
      <c r="CS77" s="45">
        <v>85760.691457309425</v>
      </c>
      <c r="CT77" s="45">
        <v>86022.143908047874</v>
      </c>
      <c r="CU77" s="45">
        <v>86285.814879091035</v>
      </c>
      <c r="CV77" s="45">
        <v>86529.212124174461</v>
      </c>
      <c r="CW77" s="45">
        <v>86774.035862434524</v>
      </c>
      <c r="CX77" s="45">
        <v>87034.878222101892</v>
      </c>
      <c r="CY77" s="45">
        <v>87258.82897473019</v>
      </c>
      <c r="CZ77" s="45">
        <v>87483.657751806837</v>
      </c>
      <c r="DA77" s="45">
        <v>87697.851273409149</v>
      </c>
      <c r="DB77" s="45">
        <v>87943.627597899293</v>
      </c>
      <c r="DC77" s="45">
        <v>88168.285868501785</v>
      </c>
      <c r="DD77" s="45">
        <v>88380.102696230228</v>
      </c>
      <c r="DE77" s="45">
        <v>88593.541917462775</v>
      </c>
      <c r="DF77" s="45">
        <v>88831.723580440652</v>
      </c>
      <c r="DG77" s="45">
        <v>89025.817248170904</v>
      </c>
      <c r="DH77" s="45">
        <v>89230.445635891432</v>
      </c>
      <c r="DI77" s="45">
        <v>89413.125298527681</v>
      </c>
      <c r="DJ77" s="45">
        <v>89628.618836184352</v>
      </c>
      <c r="DK77" s="45">
        <v>89824.054815824464</v>
      </c>
      <c r="DL77" s="45">
        <v>90001.253604763362</v>
      </c>
      <c r="DM77" s="45">
        <v>90177.397842629071</v>
      </c>
      <c r="DN77" s="45">
        <v>90348.025199768948</v>
      </c>
      <c r="DO77" s="45">
        <v>90538.411238462824</v>
      </c>
      <c r="DP77">
        <v>90723.430526262804</v>
      </c>
      <c r="DQ77">
        <v>90889.727974747308</v>
      </c>
      <c r="DR77">
        <v>91066.939096215297</v>
      </c>
      <c r="DS77">
        <v>91229.953798043221</v>
      </c>
      <c r="DT77">
        <v>91402.448005254686</v>
      </c>
      <c r="DU77">
        <v>91571.504568703909</v>
      </c>
    </row>
    <row r="78" spans="1:125">
      <c r="A78" s="42">
        <v>76</v>
      </c>
      <c r="B78" s="45"/>
      <c r="C78" s="45"/>
      <c r="D78" s="45"/>
      <c r="E78" s="45"/>
      <c r="F78" s="45"/>
      <c r="G78" s="45"/>
      <c r="H78" s="45"/>
      <c r="I78" s="45"/>
      <c r="J78" s="45"/>
      <c r="K78" s="45"/>
      <c r="L78" s="45"/>
      <c r="M78" s="45"/>
      <c r="N78" s="45"/>
      <c r="O78" s="45"/>
      <c r="P78" s="45"/>
      <c r="Q78" s="45"/>
      <c r="R78" s="45"/>
      <c r="S78" s="45"/>
      <c r="T78" s="45"/>
      <c r="U78" s="45"/>
      <c r="V78" s="45"/>
      <c r="W78" s="45">
        <v>46109.5</v>
      </c>
      <c r="X78" s="45">
        <v>47224</v>
      </c>
      <c r="Y78" s="45">
        <v>47639.7684159403</v>
      </c>
      <c r="Z78" s="45">
        <v>49546.573882049168</v>
      </c>
      <c r="AA78" s="45">
        <v>50340.015735109802</v>
      </c>
      <c r="AB78" s="45">
        <v>51286.025345509363</v>
      </c>
      <c r="AC78" s="45">
        <v>52060.881838815549</v>
      </c>
      <c r="AD78" s="45">
        <v>52763.243522382829</v>
      </c>
      <c r="AE78" s="45">
        <v>53232.761387015446</v>
      </c>
      <c r="AF78" s="45">
        <v>54579.933382348696</v>
      </c>
      <c r="AG78" s="45">
        <v>55538.0815027926</v>
      </c>
      <c r="AH78" s="45">
        <v>56447.685129141733</v>
      </c>
      <c r="AI78" s="45">
        <v>57299.402061581306</v>
      </c>
      <c r="AJ78" s="45">
        <v>58885.895793398122</v>
      </c>
      <c r="AK78" s="45">
        <v>59593.306506985275</v>
      </c>
      <c r="AL78" s="45">
        <v>60705.207247071245</v>
      </c>
      <c r="AM78" s="45">
        <v>61674.667108225331</v>
      </c>
      <c r="AN78" s="45">
        <v>62609.407670066394</v>
      </c>
      <c r="AO78" s="45">
        <v>62912.252113315415</v>
      </c>
      <c r="AP78" s="45">
        <v>63350.307052273041</v>
      </c>
      <c r="AQ78" s="45">
        <v>63608.333741479553</v>
      </c>
      <c r="AR78" s="45">
        <v>63889.363288187422</v>
      </c>
      <c r="AS78" s="45">
        <v>63446.55264291013</v>
      </c>
      <c r="AT78" s="45">
        <v>62766.746539277352</v>
      </c>
      <c r="AU78" s="45">
        <v>61744.551579222149</v>
      </c>
      <c r="AV78" s="45">
        <v>61820.80003965892</v>
      </c>
      <c r="AW78" s="45">
        <v>62650.642865594586</v>
      </c>
      <c r="AX78" s="45">
        <v>64124.15452430876</v>
      </c>
      <c r="AY78" s="45">
        <v>65500.461810369605</v>
      </c>
      <c r="AZ78" s="45">
        <v>65586.342136264197</v>
      </c>
      <c r="BA78" s="45">
        <v>65674.662370554477</v>
      </c>
      <c r="BB78" s="45">
        <v>66332.350880822341</v>
      </c>
      <c r="BC78" s="45">
        <v>66670.682935813282</v>
      </c>
      <c r="BD78" s="45">
        <v>67145.41572496017</v>
      </c>
      <c r="BE78" s="45">
        <v>67504.435510900294</v>
      </c>
      <c r="BF78" s="45">
        <v>68074.30031772246</v>
      </c>
      <c r="BG78" s="45">
        <v>68456.857721172244</v>
      </c>
      <c r="BH78" s="45">
        <v>69133.447151360815</v>
      </c>
      <c r="BI78" s="45">
        <v>69572.381008776414</v>
      </c>
      <c r="BJ78" s="45">
        <v>70109.939835023572</v>
      </c>
      <c r="BK78" s="45">
        <v>70692.88123766947</v>
      </c>
      <c r="BL78" s="45">
        <v>71420.270904706776</v>
      </c>
      <c r="BM78" s="45">
        <v>72075.972896641586</v>
      </c>
      <c r="BN78" s="45">
        <v>72692.487736628682</v>
      </c>
      <c r="BO78" s="45">
        <v>73210.501194061944</v>
      </c>
      <c r="BP78" s="45">
        <v>73723.544442406564</v>
      </c>
      <c r="BQ78" s="45">
        <v>74184.723704164382</v>
      </c>
      <c r="BR78" s="45">
        <v>74630.82506039791</v>
      </c>
      <c r="BS78" s="45">
        <v>74965.113096848683</v>
      </c>
      <c r="BT78" s="45">
        <v>75382.61408262873</v>
      </c>
      <c r="BU78" s="45">
        <v>75734.110253869279</v>
      </c>
      <c r="BV78" s="45">
        <v>76175.230671644647</v>
      </c>
      <c r="BW78" s="45">
        <v>76576.784985903927</v>
      </c>
      <c r="BX78" s="45">
        <v>77000.098158965615</v>
      </c>
      <c r="BY78" s="45">
        <v>77428.066768064426</v>
      </c>
      <c r="BZ78" s="45">
        <v>77951.141518433535</v>
      </c>
      <c r="CA78" s="45">
        <v>78391.083410138323</v>
      </c>
      <c r="CB78" s="45">
        <v>78767.586524164362</v>
      </c>
      <c r="CC78" s="45">
        <v>79187.785517262193</v>
      </c>
      <c r="CD78" s="45">
        <v>79583.413443883241</v>
      </c>
      <c r="CE78" s="45">
        <v>79957.635385462636</v>
      </c>
      <c r="CF78" s="45">
        <v>80364.749560191063</v>
      </c>
      <c r="CG78" s="45">
        <v>80740.010069190437</v>
      </c>
      <c r="CH78" s="45">
        <v>81107.490641571145</v>
      </c>
      <c r="CI78" s="45">
        <v>81513.043941128126</v>
      </c>
      <c r="CJ78" s="45">
        <v>81825.466476173635</v>
      </c>
      <c r="CK78" s="45">
        <v>82167.65564498154</v>
      </c>
      <c r="CL78" s="45">
        <v>82552.925344907082</v>
      </c>
      <c r="CM78" s="45">
        <v>82868.574340912048</v>
      </c>
      <c r="CN78" s="45">
        <v>83207.970456173513</v>
      </c>
      <c r="CO78" s="45">
        <v>83538.113384281445</v>
      </c>
      <c r="CP78" s="45">
        <v>83864.009443831834</v>
      </c>
      <c r="CQ78" s="45">
        <v>84176.630120191403</v>
      </c>
      <c r="CR78" s="45">
        <v>84453.852012285352</v>
      </c>
      <c r="CS78" s="45">
        <v>84765.505277436023</v>
      </c>
      <c r="CT78" s="45">
        <v>85041.761914556817</v>
      </c>
      <c r="CU78" s="45">
        <v>85319.971351314016</v>
      </c>
      <c r="CV78" s="45">
        <v>85577.933793119344</v>
      </c>
      <c r="CW78" s="45">
        <v>85837.17288710337</v>
      </c>
      <c r="CX78" s="45">
        <v>86111.967611651169</v>
      </c>
      <c r="CY78" s="45">
        <v>86350.12826362098</v>
      </c>
      <c r="CZ78" s="45">
        <v>86588.868465664083</v>
      </c>
      <c r="DA78" s="45">
        <v>86816.935553389267</v>
      </c>
      <c r="DB78" s="45">
        <v>87076.008748626598</v>
      </c>
      <c r="DC78" s="45">
        <v>87314.058424555435</v>
      </c>
      <c r="DD78" s="45">
        <v>87539.140814379251</v>
      </c>
      <c r="DE78" s="45">
        <v>87765.66151291487</v>
      </c>
      <c r="DF78" s="45">
        <v>88016.503463133995</v>
      </c>
      <c r="DG78" s="45">
        <v>88223.420037111093</v>
      </c>
      <c r="DH78" s="45">
        <v>88440.634170431382</v>
      </c>
      <c r="DI78" s="45">
        <v>88635.859314959947</v>
      </c>
      <c r="DJ78" s="45">
        <v>88863.428906319459</v>
      </c>
      <c r="DK78" s="45">
        <v>89070.963546470943</v>
      </c>
      <c r="DL78" s="45">
        <v>89260.222319157328</v>
      </c>
      <c r="DM78" s="45">
        <v>89448.204216776663</v>
      </c>
      <c r="DN78" s="45">
        <v>89630.575560060795</v>
      </c>
      <c r="DO78" s="45">
        <v>89832.345401745057</v>
      </c>
      <c r="DP78">
        <v>90028.629927431524</v>
      </c>
      <c r="DQ78">
        <v>90206.148628318129</v>
      </c>
      <c r="DR78">
        <v>90394.297084689795</v>
      </c>
      <c r="DS78">
        <v>90568.224889568533</v>
      </c>
      <c r="DT78">
        <v>90751.371648304979</v>
      </c>
      <c r="DU78">
        <v>90930.937643862679</v>
      </c>
    </row>
    <row r="79" spans="1:125">
      <c r="A79" s="42">
        <v>77</v>
      </c>
      <c r="B79" s="45"/>
      <c r="C79" s="45"/>
      <c r="D79" s="45"/>
      <c r="E79" s="45"/>
      <c r="F79" s="45"/>
      <c r="G79" s="45"/>
      <c r="H79" s="45"/>
      <c r="I79" s="45"/>
      <c r="J79" s="45"/>
      <c r="K79" s="45"/>
      <c r="L79" s="45"/>
      <c r="M79" s="45"/>
      <c r="N79" s="45"/>
      <c r="O79" s="45"/>
      <c r="P79" s="45"/>
      <c r="Q79" s="45"/>
      <c r="R79" s="45"/>
      <c r="S79" s="45"/>
      <c r="T79" s="45"/>
      <c r="U79" s="45"/>
      <c r="V79" s="45"/>
      <c r="W79" s="45">
        <v>44129.5</v>
      </c>
      <c r="X79" s="45">
        <v>45215.5</v>
      </c>
      <c r="Y79" s="45">
        <v>45713.817590372433</v>
      </c>
      <c r="Z79" s="45">
        <v>47627.816379097603</v>
      </c>
      <c r="AA79" s="45">
        <v>48409.565035598396</v>
      </c>
      <c r="AB79" s="45">
        <v>49310.040375128941</v>
      </c>
      <c r="AC79" s="45">
        <v>50136.94712006404</v>
      </c>
      <c r="AD79" s="45">
        <v>50836.528755464053</v>
      </c>
      <c r="AE79" s="45">
        <v>51341.451515208806</v>
      </c>
      <c r="AF79" s="45">
        <v>52725.438832587315</v>
      </c>
      <c r="AG79" s="45">
        <v>53657.102213437101</v>
      </c>
      <c r="AH79" s="45">
        <v>54589.457787071355</v>
      </c>
      <c r="AI79" s="45">
        <v>55454.644145449405</v>
      </c>
      <c r="AJ79" s="45">
        <v>57024.722174935108</v>
      </c>
      <c r="AK79" s="45">
        <v>57768.407997277551</v>
      </c>
      <c r="AL79" s="45">
        <v>58859.373028981034</v>
      </c>
      <c r="AM79" s="45">
        <v>59911.634813666446</v>
      </c>
      <c r="AN79" s="45">
        <v>60777.058952835985</v>
      </c>
      <c r="AO79" s="45">
        <v>61147.717763921537</v>
      </c>
      <c r="AP79" s="45">
        <v>61545.935694351938</v>
      </c>
      <c r="AQ79" s="45">
        <v>61792.778591185706</v>
      </c>
      <c r="AR79" s="45">
        <v>62134.08948320389</v>
      </c>
      <c r="AS79" s="45">
        <v>61656.380940699113</v>
      </c>
      <c r="AT79" s="45">
        <v>60886.686700615166</v>
      </c>
      <c r="AU79" s="45">
        <v>59852.997867570899</v>
      </c>
      <c r="AV79" s="45">
        <v>59972.403921309422</v>
      </c>
      <c r="AW79" s="45">
        <v>60809.109563356506</v>
      </c>
      <c r="AX79" s="45">
        <v>62270.611910210006</v>
      </c>
      <c r="AY79" s="45">
        <v>63640.134664440535</v>
      </c>
      <c r="AZ79" s="45">
        <v>63757.349586222816</v>
      </c>
      <c r="BA79" s="45">
        <v>63876.210030738053</v>
      </c>
      <c r="BB79" s="45">
        <v>64547.120955937775</v>
      </c>
      <c r="BC79" s="45">
        <v>64907.765824387185</v>
      </c>
      <c r="BD79" s="45">
        <v>65399.964410901521</v>
      </c>
      <c r="BE79" s="45">
        <v>65779.863788077695</v>
      </c>
      <c r="BF79" s="45">
        <v>66364.83677997491</v>
      </c>
      <c r="BG79" s="45">
        <v>66768.045154473832</v>
      </c>
      <c r="BH79" s="45">
        <v>67456.588498621917</v>
      </c>
      <c r="BI79" s="45">
        <v>67913.78265989403</v>
      </c>
      <c r="BJ79" s="45">
        <v>68467.217506702407</v>
      </c>
      <c r="BK79" s="45">
        <v>69064.963897436799</v>
      </c>
      <c r="BL79" s="45">
        <v>69803.758976235433</v>
      </c>
      <c r="BM79" s="45">
        <v>70472.420246788417</v>
      </c>
      <c r="BN79" s="45">
        <v>71102.972995280419</v>
      </c>
      <c r="BO79" s="45">
        <v>71637.07965951151</v>
      </c>
      <c r="BP79" s="45">
        <v>72166.592023704477</v>
      </c>
      <c r="BQ79" s="45">
        <v>72645.022597797579</v>
      </c>
      <c r="BR79" s="45">
        <v>73108.731575849641</v>
      </c>
      <c r="BS79" s="45">
        <v>73462.880310783919</v>
      </c>
      <c r="BT79" s="45">
        <v>73898.21489606089</v>
      </c>
      <c r="BU79" s="45">
        <v>74268.802656193729</v>
      </c>
      <c r="BV79" s="45">
        <v>74726.898371095536</v>
      </c>
      <c r="BW79" s="45">
        <v>75146.214518152323</v>
      </c>
      <c r="BX79" s="45">
        <v>75586.560630617867</v>
      </c>
      <c r="BY79" s="45">
        <v>76031.268492340198</v>
      </c>
      <c r="BZ79" s="45">
        <v>76569.242616654024</v>
      </c>
      <c r="CA79" s="45">
        <v>77025.582708261645</v>
      </c>
      <c r="CB79" s="45">
        <v>77419.566105971098</v>
      </c>
      <c r="CC79" s="45">
        <v>77855.964249615703</v>
      </c>
      <c r="CD79" s="45">
        <v>78268.168120255112</v>
      </c>
      <c r="CE79" s="45">
        <v>78659.202880316894</v>
      </c>
      <c r="CF79" s="45">
        <v>79082.296356779116</v>
      </c>
      <c r="CG79" s="45">
        <v>79474.031861298936</v>
      </c>
      <c r="CH79" s="45">
        <v>79857.865149593214</v>
      </c>
      <c r="CI79" s="45">
        <v>80279.001593187553</v>
      </c>
      <c r="CJ79" s="45">
        <v>80608.327268434135</v>
      </c>
      <c r="CK79" s="45">
        <v>80966.777251060004</v>
      </c>
      <c r="CL79" s="45">
        <v>81367.397170850178</v>
      </c>
      <c r="CM79" s="45">
        <v>81699.309695827134</v>
      </c>
      <c r="CN79" s="45">
        <v>82054.444389732365</v>
      </c>
      <c r="CO79" s="45">
        <v>82400.128116260632</v>
      </c>
      <c r="CP79" s="45">
        <v>82741.572029387462</v>
      </c>
      <c r="CQ79" s="45">
        <v>83069.669319153123</v>
      </c>
      <c r="CR79" s="45">
        <v>83362.728674493832</v>
      </c>
      <c r="CS79" s="45">
        <v>83689.482603955228</v>
      </c>
      <c r="CT79" s="45">
        <v>83981.137811192835</v>
      </c>
      <c r="CU79" s="45">
        <v>84274.481886300578</v>
      </c>
      <c r="CV79" s="45">
        <v>84547.629043773166</v>
      </c>
      <c r="CW79" s="45">
        <v>84821.908176712313</v>
      </c>
      <c r="CX79" s="45">
        <v>85111.266034609027</v>
      </c>
      <c r="CY79" s="45">
        <v>85364.28597078743</v>
      </c>
      <c r="CZ79" s="45">
        <v>85617.585574518656</v>
      </c>
      <c r="DA79" s="45">
        <v>85860.187735391664</v>
      </c>
      <c r="DB79" s="45">
        <v>86133.191543199326</v>
      </c>
      <c r="DC79" s="45">
        <v>86385.28929688636</v>
      </c>
      <c r="DD79" s="45">
        <v>86624.303761708055</v>
      </c>
      <c r="DE79" s="45">
        <v>86864.572941484774</v>
      </c>
      <c r="DF79" s="45">
        <v>87128.722418863181</v>
      </c>
      <c r="DG79" s="45">
        <v>87349.143167754752</v>
      </c>
      <c r="DH79" s="45">
        <v>87579.617652481946</v>
      </c>
      <c r="DI79" s="45">
        <v>87788.077846494038</v>
      </c>
      <c r="DJ79" s="45">
        <v>88028.386493578757</v>
      </c>
      <c r="DK79" s="45">
        <v>88248.699072327116</v>
      </c>
      <c r="DL79" s="45">
        <v>88450.709447322093</v>
      </c>
      <c r="DM79" s="45">
        <v>88651.217472392847</v>
      </c>
      <c r="DN79" s="45">
        <v>88846.025502866323</v>
      </c>
      <c r="DO79" s="45">
        <v>89059.853899095731</v>
      </c>
      <c r="DP79">
        <v>89268.080877817367</v>
      </c>
      <c r="DQ79">
        <v>89457.508476899995</v>
      </c>
      <c r="DR79">
        <v>89657.269902880187</v>
      </c>
      <c r="DS79">
        <v>89842.795691495121</v>
      </c>
      <c r="DT79">
        <v>90037.269002911635</v>
      </c>
      <c r="DU79">
        <v>90228.017521866583</v>
      </c>
    </row>
    <row r="80" spans="1:125">
      <c r="A80" s="42">
        <v>78</v>
      </c>
      <c r="B80" s="45"/>
      <c r="C80" s="45"/>
      <c r="D80" s="45"/>
      <c r="E80" s="45"/>
      <c r="F80" s="45"/>
      <c r="G80" s="45"/>
      <c r="H80" s="45"/>
      <c r="I80" s="45"/>
      <c r="J80" s="45"/>
      <c r="K80" s="45"/>
      <c r="L80" s="45"/>
      <c r="M80" s="45"/>
      <c r="N80" s="45"/>
      <c r="O80" s="45"/>
      <c r="P80" s="45"/>
      <c r="Q80" s="45"/>
      <c r="R80" s="45"/>
      <c r="S80" s="45"/>
      <c r="T80" s="45"/>
      <c r="U80" s="45"/>
      <c r="V80" s="45"/>
      <c r="W80" s="45">
        <v>42042</v>
      </c>
      <c r="X80" s="45">
        <v>43172.5</v>
      </c>
      <c r="Y80" s="45">
        <v>43715.085774258594</v>
      </c>
      <c r="Z80" s="45">
        <v>45595.04632466285</v>
      </c>
      <c r="AA80" s="45">
        <v>46343.98855087901</v>
      </c>
      <c r="AB80" s="45">
        <v>47296.30229256129</v>
      </c>
      <c r="AC80" s="45">
        <v>48137.195376183161</v>
      </c>
      <c r="AD80" s="45">
        <v>48848.099012974577</v>
      </c>
      <c r="AE80" s="45">
        <v>49388.058788811933</v>
      </c>
      <c r="AF80" s="45">
        <v>50742.311741514146</v>
      </c>
      <c r="AG80" s="45">
        <v>51650.785397109161</v>
      </c>
      <c r="AH80" s="45">
        <v>52614.752841757982</v>
      </c>
      <c r="AI80" s="45">
        <v>53474.544940697742</v>
      </c>
      <c r="AJ80" s="45">
        <v>55045.511930572378</v>
      </c>
      <c r="AK80" s="45">
        <v>55774.859930027014</v>
      </c>
      <c r="AL80" s="45">
        <v>56965.302714244128</v>
      </c>
      <c r="AM80" s="45">
        <v>57975.415776131631</v>
      </c>
      <c r="AN80" s="45">
        <v>58874.308321232907</v>
      </c>
      <c r="AO80" s="45">
        <v>59244.84572581519</v>
      </c>
      <c r="AP80" s="45">
        <v>59627.858136402421</v>
      </c>
      <c r="AQ80" s="45">
        <v>59902.780730635481</v>
      </c>
      <c r="AR80" s="45">
        <v>60250.621899426187</v>
      </c>
      <c r="AS80" s="45">
        <v>59624.346695045751</v>
      </c>
      <c r="AT80" s="45">
        <v>58844.548388098869</v>
      </c>
      <c r="AU80" s="45">
        <v>57891.760005720353</v>
      </c>
      <c r="AV80" s="45">
        <v>58040.419282892617</v>
      </c>
      <c r="AW80" s="45">
        <v>58882.598592335227</v>
      </c>
      <c r="AX80" s="45">
        <v>60329.87837785991</v>
      </c>
      <c r="AY80" s="45">
        <v>61690.550423981011</v>
      </c>
      <c r="AZ80" s="45">
        <v>61838.822107180837</v>
      </c>
      <c r="BA80" s="45">
        <v>61987.996509831763</v>
      </c>
      <c r="BB80" s="45">
        <v>62671.188180622295</v>
      </c>
      <c r="BC80" s="45">
        <v>63053.678954030416</v>
      </c>
      <c r="BD80" s="45">
        <v>63562.739207974533</v>
      </c>
      <c r="BE80" s="45">
        <v>63963.108286648407</v>
      </c>
      <c r="BF80" s="45">
        <v>64562.531602812931</v>
      </c>
      <c r="BG80" s="45">
        <v>64986.025008337216</v>
      </c>
      <c r="BH80" s="45">
        <v>65685.948296142073</v>
      </c>
      <c r="BI80" s="45">
        <v>66161.029644568611</v>
      </c>
      <c r="BJ80" s="45">
        <v>66729.870077924352</v>
      </c>
      <c r="BK80" s="45">
        <v>67341.925720178886</v>
      </c>
      <c r="BL80" s="45">
        <v>68091.471760641187</v>
      </c>
      <c r="BM80" s="45">
        <v>68772.568767760895</v>
      </c>
      <c r="BN80" s="45">
        <v>69416.723080982134</v>
      </c>
      <c r="BO80" s="45">
        <v>69966.65006591889</v>
      </c>
      <c r="BP80" s="45">
        <v>70512.39926254045</v>
      </c>
      <c r="BQ80" s="45">
        <v>71007.946257859207</v>
      </c>
      <c r="BR80" s="45">
        <v>71489.178641501145</v>
      </c>
      <c r="BS80" s="45">
        <v>71863.2793256648</v>
      </c>
      <c r="BT80" s="45">
        <v>72316.455491409593</v>
      </c>
      <c r="BU80" s="45">
        <v>72706.255769714175</v>
      </c>
      <c r="BV80" s="45">
        <v>73181.354955422896</v>
      </c>
      <c r="BW80" s="45">
        <v>73618.539124658113</v>
      </c>
      <c r="BX80" s="45">
        <v>74076.018002817844</v>
      </c>
      <c r="BY80" s="45">
        <v>74537.581115518609</v>
      </c>
      <c r="BZ80" s="45">
        <v>75090.474567739395</v>
      </c>
      <c r="CA80" s="45">
        <v>75563.361405463424</v>
      </c>
      <c r="CB80" s="45">
        <v>75975.075560583093</v>
      </c>
      <c r="CC80" s="45">
        <v>76427.881745217543</v>
      </c>
      <c r="CD80" s="45">
        <v>76856.922023983047</v>
      </c>
      <c r="CE80" s="45">
        <v>77265.075208043359</v>
      </c>
      <c r="CF80" s="45">
        <v>77704.428423436242</v>
      </c>
      <c r="CG80" s="45">
        <v>78112.977851506264</v>
      </c>
      <c r="CH80" s="45">
        <v>78513.525999219826</v>
      </c>
      <c r="CI80" s="45">
        <v>78950.578268767917</v>
      </c>
      <c r="CJ80" s="45">
        <v>79297.264504982537</v>
      </c>
      <c r="CK80" s="45">
        <v>79672.411641792714</v>
      </c>
      <c r="CL80" s="45">
        <v>80088.779163899831</v>
      </c>
      <c r="CM80" s="45">
        <v>80437.446429357078</v>
      </c>
      <c r="CN80" s="45">
        <v>80808.795863223524</v>
      </c>
      <c r="CO80" s="45">
        <v>81170.513098037016</v>
      </c>
      <c r="CP80" s="45">
        <v>81528.017115203576</v>
      </c>
      <c r="CQ80" s="45">
        <v>81872.125271145662</v>
      </c>
      <c r="CR80" s="45">
        <v>82181.606466267316</v>
      </c>
      <c r="CS80" s="45">
        <v>82524.013455006309</v>
      </c>
      <c r="CT80" s="45">
        <v>82831.666266409375</v>
      </c>
      <c r="CU80" s="45">
        <v>83140.747326800541</v>
      </c>
      <c r="CV80" s="45">
        <v>83429.708836450809</v>
      </c>
      <c r="CW80" s="45">
        <v>83719.664946626261</v>
      </c>
      <c r="CX80" s="45">
        <v>84024.208609641224</v>
      </c>
      <c r="CY80" s="45">
        <v>84292.754902649831</v>
      </c>
      <c r="CZ80" s="45">
        <v>84561.28060055674</v>
      </c>
      <c r="DA80" s="45">
        <v>84819.101066738862</v>
      </c>
      <c r="DB80" s="45">
        <v>85106.689031460555</v>
      </c>
      <c r="DC80" s="45">
        <v>85373.515422924203</v>
      </c>
      <c r="DD80" s="45">
        <v>85627.154669494703</v>
      </c>
      <c r="DE80" s="45">
        <v>85881.866949130053</v>
      </c>
      <c r="DF80" s="45">
        <v>86159.997804516403</v>
      </c>
      <c r="DG80" s="45">
        <v>86394.635676362333</v>
      </c>
      <c r="DH80" s="45">
        <v>86639.077399811969</v>
      </c>
      <c r="DI80" s="45">
        <v>86861.497386400995</v>
      </c>
      <c r="DJ80" s="45">
        <v>87115.241374347082</v>
      </c>
      <c r="DK80" s="45">
        <v>87349.047651916771</v>
      </c>
      <c r="DL80" s="45">
        <v>87564.540380680846</v>
      </c>
      <c r="DM80" s="45">
        <v>87778.30284099339</v>
      </c>
      <c r="DN80" s="45">
        <v>87986.281887745397</v>
      </c>
      <c r="DO80" s="45">
        <v>88212.884146497527</v>
      </c>
      <c r="DP80">
        <v>88433.77280613633</v>
      </c>
      <c r="DQ80">
        <v>88635.841322547843</v>
      </c>
      <c r="DR80">
        <v>88847.935292713024</v>
      </c>
      <c r="DS80">
        <v>89045.790209060127</v>
      </c>
      <c r="DT80">
        <v>89252.310013067268</v>
      </c>
      <c r="DU80">
        <v>89454.961021232899</v>
      </c>
    </row>
    <row r="81" spans="1:125">
      <c r="A81" s="42">
        <v>79</v>
      </c>
      <c r="B81" s="45"/>
      <c r="C81" s="45"/>
      <c r="D81" s="45"/>
      <c r="E81" s="45"/>
      <c r="F81" s="45"/>
      <c r="G81" s="45"/>
      <c r="H81" s="45"/>
      <c r="I81" s="45"/>
      <c r="J81" s="45"/>
      <c r="K81" s="45"/>
      <c r="L81" s="45"/>
      <c r="M81" s="45"/>
      <c r="N81" s="45"/>
      <c r="O81" s="45"/>
      <c r="P81" s="45"/>
      <c r="Q81" s="45"/>
      <c r="R81" s="45"/>
      <c r="S81" s="45"/>
      <c r="T81" s="45"/>
      <c r="U81" s="45"/>
      <c r="V81" s="45"/>
      <c r="W81" s="45">
        <v>39916</v>
      </c>
      <c r="X81" s="45">
        <v>41097.5</v>
      </c>
      <c r="Y81" s="45">
        <v>41618.361778090126</v>
      </c>
      <c r="Z81" s="45">
        <v>43413.752680934303</v>
      </c>
      <c r="AA81" s="45">
        <v>44222.440684752975</v>
      </c>
      <c r="AB81" s="45">
        <v>45198.143732492754</v>
      </c>
      <c r="AC81" s="45">
        <v>46051.585699401912</v>
      </c>
      <c r="AD81" s="45">
        <v>46777.998206080258</v>
      </c>
      <c r="AE81" s="45">
        <v>47273.899176206542</v>
      </c>
      <c r="AF81" s="45">
        <v>48604.55359258785</v>
      </c>
      <c r="AG81" s="45">
        <v>49554.080767504856</v>
      </c>
      <c r="AH81" s="45">
        <v>50492.53128619639</v>
      </c>
      <c r="AI81" s="45">
        <v>51360.61695169672</v>
      </c>
      <c r="AJ81" s="45">
        <v>52902.779648256168</v>
      </c>
      <c r="AK81" s="45">
        <v>53755.762305659147</v>
      </c>
      <c r="AL81" s="45">
        <v>54861.470001018752</v>
      </c>
      <c r="AM81" s="45">
        <v>55929.568657924785</v>
      </c>
      <c r="AN81" s="45">
        <v>56787.331765195122</v>
      </c>
      <c r="AO81" s="45">
        <v>57192.207692312935</v>
      </c>
      <c r="AP81" s="45">
        <v>57595.239539503906</v>
      </c>
      <c r="AQ81" s="45">
        <v>57875.887573958506</v>
      </c>
      <c r="AR81" s="45">
        <v>58075.368825831283</v>
      </c>
      <c r="AS81" s="45">
        <v>57474.110807736797</v>
      </c>
      <c r="AT81" s="45">
        <v>56723.637675614809</v>
      </c>
      <c r="AU81" s="45">
        <v>55840.763374310845</v>
      </c>
      <c r="AV81" s="45">
        <v>56018.101748857371</v>
      </c>
      <c r="AW81" s="45">
        <v>56864.161061516046</v>
      </c>
      <c r="AX81" s="45">
        <v>58294.729033346623</v>
      </c>
      <c r="AY81" s="45">
        <v>59644.220481939556</v>
      </c>
      <c r="AZ81" s="45">
        <v>59823.158856281414</v>
      </c>
      <c r="BA81" s="45">
        <v>60002.312883927094</v>
      </c>
      <c r="BB81" s="45">
        <v>60696.670473529914</v>
      </c>
      <c r="BC81" s="45">
        <v>61100.40910249274</v>
      </c>
      <c r="BD81" s="45">
        <v>61625.581280246734</v>
      </c>
      <c r="BE81" s="45">
        <v>62045.88295157798</v>
      </c>
      <c r="BF81" s="45">
        <v>62658.948548458851</v>
      </c>
      <c r="BG81" s="45">
        <v>63102.391569699721</v>
      </c>
      <c r="BH81" s="45">
        <v>63812.804219247082</v>
      </c>
      <c r="BI81" s="45">
        <v>64305.274259984006</v>
      </c>
      <c r="BJ81" s="45">
        <v>64888.915562725146</v>
      </c>
      <c r="BK81" s="45">
        <v>65514.648102781939</v>
      </c>
      <c r="BL81" s="45">
        <v>66274.138498399101</v>
      </c>
      <c r="BM81" s="45">
        <v>66967.007838469668</v>
      </c>
      <c r="BN81" s="45">
        <v>67624.196364130767</v>
      </c>
      <c r="BO81" s="45">
        <v>68189.556062835152</v>
      </c>
      <c r="BP81" s="45">
        <v>68751.200101347946</v>
      </c>
      <c r="BQ81" s="45">
        <v>69263.628922945005</v>
      </c>
      <c r="BR81" s="45">
        <v>69762.206853622425</v>
      </c>
      <c r="BS81" s="45">
        <v>70156.27609561196</v>
      </c>
      <c r="BT81" s="45">
        <v>70627.21924707375</v>
      </c>
      <c r="BU81" s="45">
        <v>71036.283259184478</v>
      </c>
      <c r="BV81" s="45">
        <v>71528.33526606641</v>
      </c>
      <c r="BW81" s="45">
        <v>71983.424235765924</v>
      </c>
      <c r="BX81" s="45">
        <v>72458.066316291515</v>
      </c>
      <c r="BY81" s="45">
        <v>72936.533872334694</v>
      </c>
      <c r="BZ81" s="45">
        <v>73504.290268418263</v>
      </c>
      <c r="CA81" s="45">
        <v>73993.811133278621</v>
      </c>
      <c r="CB81" s="45">
        <v>74423.457668954114</v>
      </c>
      <c r="CC81" s="45">
        <v>74892.827875979405</v>
      </c>
      <c r="CD81" s="45">
        <v>75338.919094225406</v>
      </c>
      <c r="CE81" s="45">
        <v>75764.45663046572</v>
      </c>
      <c r="CF81" s="45">
        <v>76220.308433375438</v>
      </c>
      <c r="CG81" s="45">
        <v>76645.977113649424</v>
      </c>
      <c r="CH81" s="45">
        <v>77063.57239220498</v>
      </c>
      <c r="CI81" s="45">
        <v>77516.841032181139</v>
      </c>
      <c r="CJ81" s="45">
        <v>77881.328892205434</v>
      </c>
      <c r="CK81" s="45">
        <v>78273.591962377221</v>
      </c>
      <c r="CL81" s="45">
        <v>78706.083386254992</v>
      </c>
      <c r="CM81" s="45">
        <v>79071.987948828319</v>
      </c>
      <c r="CN81" s="45">
        <v>79460.019101373124</v>
      </c>
      <c r="CO81" s="45">
        <v>79838.256392305935</v>
      </c>
      <c r="CP81" s="45">
        <v>80212.330391294774</v>
      </c>
      <c r="CQ81" s="45">
        <v>80572.985130030167</v>
      </c>
      <c r="CR81" s="45">
        <v>80899.481523859664</v>
      </c>
      <c r="CS81" s="45">
        <v>81258.100193089907</v>
      </c>
      <c r="CT81" s="45">
        <v>81582.362943715707</v>
      </c>
      <c r="CU81" s="45">
        <v>81907.798287616868</v>
      </c>
      <c r="CV81" s="45">
        <v>82213.223433492298</v>
      </c>
      <c r="CW81" s="45">
        <v>82519.515426814949</v>
      </c>
      <c r="CX81" s="45">
        <v>82839.888891174603</v>
      </c>
      <c r="CY81" s="45">
        <v>83124.656927825738</v>
      </c>
      <c r="CZ81" s="45">
        <v>83409.104851114796</v>
      </c>
      <c r="DA81" s="45">
        <v>83682.859776799742</v>
      </c>
      <c r="DB81" s="45">
        <v>83985.715731415024</v>
      </c>
      <c r="DC81" s="45">
        <v>84267.986452458543</v>
      </c>
      <c r="DD81" s="45">
        <v>84536.981068645691</v>
      </c>
      <c r="DE81" s="45">
        <v>84806.870483480801</v>
      </c>
      <c r="DF81" s="45">
        <v>85099.694486567198</v>
      </c>
      <c r="DG81" s="45">
        <v>85349.306624225777</v>
      </c>
      <c r="DH81" s="45">
        <v>85608.467162071393</v>
      </c>
      <c r="DI81" s="45">
        <v>85845.619890666552</v>
      </c>
      <c r="DJ81" s="45">
        <v>86113.541115317683</v>
      </c>
      <c r="DK81" s="45">
        <v>86361.606289693707</v>
      </c>
      <c r="DL81" s="45">
        <v>86591.364746047155</v>
      </c>
      <c r="DM81" s="45">
        <v>86819.163347519279</v>
      </c>
      <c r="DN81" s="45">
        <v>87041.103180517763</v>
      </c>
      <c r="DO81" s="45">
        <v>87281.248563585017</v>
      </c>
      <c r="DP81">
        <v>87515.573759139777</v>
      </c>
      <c r="DQ81">
        <v>87731.073692057238</v>
      </c>
      <c r="DR81">
        <v>87956.277604571747</v>
      </c>
      <c r="DS81">
        <v>88167.253368366786</v>
      </c>
      <c r="DT81">
        <v>88386.599666119437</v>
      </c>
      <c r="DU81">
        <v>88601.934249994054</v>
      </c>
    </row>
    <row r="82" spans="1:125">
      <c r="A82" s="42">
        <v>80</v>
      </c>
      <c r="B82" s="45"/>
      <c r="C82" s="45"/>
      <c r="D82" s="45"/>
      <c r="E82" s="45"/>
      <c r="F82" s="45"/>
      <c r="G82" s="45"/>
      <c r="H82" s="45"/>
      <c r="I82" s="45"/>
      <c r="J82" s="45"/>
      <c r="K82" s="45"/>
      <c r="L82" s="45"/>
      <c r="M82" s="45"/>
      <c r="N82" s="45"/>
      <c r="O82" s="45"/>
      <c r="P82" s="45"/>
      <c r="Q82" s="45"/>
      <c r="R82" s="45"/>
      <c r="S82" s="45"/>
      <c r="T82" s="45"/>
      <c r="U82" s="45"/>
      <c r="V82" s="45"/>
      <c r="W82" s="45">
        <v>37761.5</v>
      </c>
      <c r="X82" s="45">
        <v>38911</v>
      </c>
      <c r="Y82" s="45">
        <v>39396.398085455636</v>
      </c>
      <c r="Z82" s="45">
        <v>41215.59577399923</v>
      </c>
      <c r="AA82" s="45">
        <v>42013.096047177212</v>
      </c>
      <c r="AB82" s="45">
        <v>43016.199875628678</v>
      </c>
      <c r="AC82" s="45">
        <v>43916.378948035286</v>
      </c>
      <c r="AD82" s="45">
        <v>44571.536588512696</v>
      </c>
      <c r="AE82" s="45">
        <v>45053.857047198981</v>
      </c>
      <c r="AF82" s="45">
        <v>46399.296904509829</v>
      </c>
      <c r="AG82" s="45">
        <v>47320.012722176514</v>
      </c>
      <c r="AH82" s="45">
        <v>48260.240409813567</v>
      </c>
      <c r="AI82" s="45">
        <v>49069.24011101832</v>
      </c>
      <c r="AJ82" s="45">
        <v>50704.118447428125</v>
      </c>
      <c r="AK82" s="45">
        <v>51501.083781822272</v>
      </c>
      <c r="AL82" s="45">
        <v>52667.61620305921</v>
      </c>
      <c r="AM82" s="45">
        <v>53704.010046209689</v>
      </c>
      <c r="AN82" s="45">
        <v>54559.041730195691</v>
      </c>
      <c r="AO82" s="45">
        <v>55009.25728256577</v>
      </c>
      <c r="AP82" s="45">
        <v>55417.87732920397</v>
      </c>
      <c r="AQ82" s="45">
        <v>55571.403796777187</v>
      </c>
      <c r="AR82" s="45">
        <v>55746.450705912153</v>
      </c>
      <c r="AS82" s="45">
        <v>55186.178295984508</v>
      </c>
      <c r="AT82" s="45">
        <v>54502.432968804918</v>
      </c>
      <c r="AU82" s="45">
        <v>53690.567502384954</v>
      </c>
      <c r="AV82" s="45">
        <v>53895.886202476904</v>
      </c>
      <c r="AW82" s="45">
        <v>54743.996509404446</v>
      </c>
      <c r="AX82" s="45">
        <v>56155.028728632635</v>
      </c>
      <c r="AY82" s="45">
        <v>57490.68907188726</v>
      </c>
      <c r="AZ82" s="45">
        <v>57699.791207606409</v>
      </c>
      <c r="BA82" s="45">
        <v>57908.482477694517</v>
      </c>
      <c r="BB82" s="45">
        <v>58612.695502785326</v>
      </c>
      <c r="BC82" s="45">
        <v>59036.94394629357</v>
      </c>
      <c r="BD82" s="45">
        <v>59577.319974706785</v>
      </c>
      <c r="BE82" s="45">
        <v>60016.881664499859</v>
      </c>
      <c r="BF82" s="45">
        <v>60642.767131090004</v>
      </c>
      <c r="BG82" s="45">
        <v>61105.525690630064</v>
      </c>
      <c r="BH82" s="45">
        <v>61825.35682222934</v>
      </c>
      <c r="BI82" s="45">
        <v>62334.580868458943</v>
      </c>
      <c r="BJ82" s="45">
        <v>62932.269123431892</v>
      </c>
      <c r="BK82" s="45">
        <v>63570.893023629687</v>
      </c>
      <c r="BL82" s="45">
        <v>64339.346696227214</v>
      </c>
      <c r="BM82" s="45">
        <v>65043.166611166962</v>
      </c>
      <c r="BN82" s="45">
        <v>65712.674339220874</v>
      </c>
      <c r="BO82" s="45">
        <v>66292.952606815059</v>
      </c>
      <c r="BP82" s="45">
        <v>66870.028056553972</v>
      </c>
      <c r="BQ82" s="45">
        <v>67398.995686203023</v>
      </c>
      <c r="BR82" s="45">
        <v>67914.639752169809</v>
      </c>
      <c r="BS82" s="45">
        <v>68328.616619152002</v>
      </c>
      <c r="BT82" s="45">
        <v>68817.163791710875</v>
      </c>
      <c r="BU82" s="45">
        <v>69245.470288633631</v>
      </c>
      <c r="BV82" s="45">
        <v>69754.339805974683</v>
      </c>
      <c r="BW82" s="45">
        <v>70227.296953121608</v>
      </c>
      <c r="BX82" s="45">
        <v>70719.059035921106</v>
      </c>
      <c r="BY82" s="45">
        <v>71214.409491945727</v>
      </c>
      <c r="BZ82" s="45">
        <v>71796.888650342677</v>
      </c>
      <c r="CA82" s="45">
        <v>72303.065840587573</v>
      </c>
      <c r="CB82" s="45">
        <v>72750.79670736831</v>
      </c>
      <c r="CC82" s="45">
        <v>73236.832269135979</v>
      </c>
      <c r="CD82" s="45">
        <v>73700.142566036753</v>
      </c>
      <c r="CE82" s="45">
        <v>74143.291471256845</v>
      </c>
      <c r="CF82" s="45">
        <v>74615.8391140616</v>
      </c>
      <c r="CG82" s="45">
        <v>75058.900294558378</v>
      </c>
      <c r="CH82" s="45">
        <v>75493.84741406003</v>
      </c>
      <c r="CI82" s="45">
        <v>75963.602033992356</v>
      </c>
      <c r="CJ82" s="45">
        <v>76346.321437822131</v>
      </c>
      <c r="CK82" s="45">
        <v>76756.106070795999</v>
      </c>
      <c r="CL82" s="45">
        <v>77205.079811539501</v>
      </c>
      <c r="CM82" s="45">
        <v>77588.701787249884</v>
      </c>
      <c r="CN82" s="45">
        <v>77993.878101466893</v>
      </c>
      <c r="CO82" s="45">
        <v>78389.122322790252</v>
      </c>
      <c r="CP82" s="45">
        <v>78780.280688192215</v>
      </c>
      <c r="CQ82" s="45">
        <v>79158.026968731283</v>
      </c>
      <c r="CR82" s="45">
        <v>79502.150277717621</v>
      </c>
      <c r="CS82" s="45">
        <v>79877.553937602337</v>
      </c>
      <c r="CT82" s="45">
        <v>80219.062336123636</v>
      </c>
      <c r="CU82" s="45">
        <v>80561.494537015999</v>
      </c>
      <c r="CV82" s="45">
        <v>80884.063608853263</v>
      </c>
      <c r="CW82" s="45">
        <v>81207.383897198102</v>
      </c>
      <c r="CX82" s="45">
        <v>81544.263783995382</v>
      </c>
      <c r="CY82" s="45">
        <v>81845.990119451511</v>
      </c>
      <c r="CZ82" s="45">
        <v>82147.098965549434</v>
      </c>
      <c r="DA82" s="45">
        <v>82437.551141056552</v>
      </c>
      <c r="DB82" s="45">
        <v>82756.40208058813</v>
      </c>
      <c r="DC82" s="45">
        <v>83054.881764273785</v>
      </c>
      <c r="DD82" s="45">
        <v>83340.014724205976</v>
      </c>
      <c r="DE82" s="45">
        <v>83625.869374971749</v>
      </c>
      <c r="DF82" s="45">
        <v>83934.150226654558</v>
      </c>
      <c r="DG82" s="45">
        <v>84199.553701580982</v>
      </c>
      <c r="DH82" s="45">
        <v>84474.24486160028</v>
      </c>
      <c r="DI82" s="45">
        <v>84726.967956260982</v>
      </c>
      <c r="DJ82" s="45">
        <v>85009.869467049488</v>
      </c>
      <c r="DK82" s="45">
        <v>85273.024538564932</v>
      </c>
      <c r="DL82" s="45">
        <v>85517.90183409967</v>
      </c>
      <c r="DM82" s="45">
        <v>85760.588976021565</v>
      </c>
      <c r="DN82" s="45">
        <v>85997.352403023615</v>
      </c>
      <c r="DO82" s="45">
        <v>86251.881219604606</v>
      </c>
      <c r="DP82">
        <v>86500.490820987761</v>
      </c>
      <c r="DQ82">
        <v>86730.289240213431</v>
      </c>
      <c r="DR82">
        <v>86969.456168189616</v>
      </c>
      <c r="DS82">
        <v>87194.4234644971</v>
      </c>
      <c r="DT82">
        <v>87427.454504028545</v>
      </c>
      <c r="DU82">
        <v>87656.333245361253</v>
      </c>
    </row>
    <row r="83" spans="1:125">
      <c r="A83" s="42">
        <v>81</v>
      </c>
      <c r="B83" s="45"/>
      <c r="C83" s="45"/>
      <c r="D83" s="45"/>
      <c r="E83" s="45"/>
      <c r="F83" s="45"/>
      <c r="G83" s="45"/>
      <c r="H83" s="45"/>
      <c r="I83" s="45"/>
      <c r="J83" s="45"/>
      <c r="K83" s="45"/>
      <c r="L83" s="45"/>
      <c r="M83" s="45"/>
      <c r="N83" s="45"/>
      <c r="O83" s="45"/>
      <c r="P83" s="45"/>
      <c r="Q83" s="45"/>
      <c r="R83" s="45"/>
      <c r="S83" s="45"/>
      <c r="T83" s="45"/>
      <c r="U83" s="45"/>
      <c r="V83" s="45"/>
      <c r="W83" s="45">
        <v>35502.5</v>
      </c>
      <c r="X83" s="45">
        <v>36552.5</v>
      </c>
      <c r="Y83" s="45">
        <v>37138.665226694597</v>
      </c>
      <c r="Z83" s="45">
        <v>38925.491445771222</v>
      </c>
      <c r="AA83" s="45">
        <v>39747.26070980067</v>
      </c>
      <c r="AB83" s="45">
        <v>40715.521594552571</v>
      </c>
      <c r="AC83" s="45">
        <v>41577.562181419074</v>
      </c>
      <c r="AD83" s="45">
        <v>42205.086552990339</v>
      </c>
      <c r="AE83" s="45">
        <v>42751.20035232231</v>
      </c>
      <c r="AF83" s="45">
        <v>44067.435303881313</v>
      </c>
      <c r="AG83" s="45">
        <v>44976.178358252801</v>
      </c>
      <c r="AH83" s="45">
        <v>45851.596341357159</v>
      </c>
      <c r="AI83" s="45">
        <v>46760.800897301422</v>
      </c>
      <c r="AJ83" s="45">
        <v>48268.914400747803</v>
      </c>
      <c r="AK83" s="45">
        <v>49126.570573862671</v>
      </c>
      <c r="AL83" s="45">
        <v>50260.887436108605</v>
      </c>
      <c r="AM83" s="45">
        <v>51316.212236886233</v>
      </c>
      <c r="AN83" s="45">
        <v>52216.224961631924</v>
      </c>
      <c r="AO83" s="45">
        <v>52678.782661100959</v>
      </c>
      <c r="AP83" s="45">
        <v>52918.479379429875</v>
      </c>
      <c r="AQ83" s="45">
        <v>53060.804478902894</v>
      </c>
      <c r="AR83" s="45">
        <v>53279.82736423218</v>
      </c>
      <c r="AS83" s="45">
        <v>52784.486156778497</v>
      </c>
      <c r="AT83" s="45">
        <v>52168.312948641265</v>
      </c>
      <c r="AU83" s="45">
        <v>51428.64180037078</v>
      </c>
      <c r="AV83" s="45">
        <v>51661.105527476553</v>
      </c>
      <c r="AW83" s="45">
        <v>52509.155647788401</v>
      </c>
      <c r="AX83" s="45">
        <v>53897.41618029651</v>
      </c>
      <c r="AY83" s="45">
        <v>55216.197759835799</v>
      </c>
      <c r="AZ83" s="45">
        <v>55454.833217279884</v>
      </c>
      <c r="BA83" s="45">
        <v>55692.497865009311</v>
      </c>
      <c r="BB83" s="45">
        <v>56405.022656893954</v>
      </c>
      <c r="BC83" s="45">
        <v>56848.880541053819</v>
      </c>
      <c r="BD83" s="45">
        <v>57403.368192879949</v>
      </c>
      <c r="BE83" s="45">
        <v>57861.505380776784</v>
      </c>
      <c r="BF83" s="45">
        <v>58499.02132429061</v>
      </c>
      <c r="BG83" s="45">
        <v>58980.302310062572</v>
      </c>
      <c r="BH83" s="45">
        <v>59708.265825335067</v>
      </c>
      <c r="BI83" s="45">
        <v>60233.449706834435</v>
      </c>
      <c r="BJ83" s="45">
        <v>60844.253900337164</v>
      </c>
      <c r="BK83" s="45">
        <v>61494.800759081278</v>
      </c>
      <c r="BL83" s="45">
        <v>62271.025989174537</v>
      </c>
      <c r="BM83" s="45">
        <v>62984.784834480168</v>
      </c>
      <c r="BN83" s="45">
        <v>63665.719720034736</v>
      </c>
      <c r="BO83" s="45">
        <v>64260.252327729875</v>
      </c>
      <c r="BP83" s="45">
        <v>64852.150803460114</v>
      </c>
      <c r="BQ83" s="45">
        <v>65397.186115662364</v>
      </c>
      <c r="BR83" s="45">
        <v>65929.496676756375</v>
      </c>
      <c r="BS83" s="45">
        <v>66363.230028026854</v>
      </c>
      <c r="BT83" s="45">
        <v>66869.114072414493</v>
      </c>
      <c r="BU83" s="45">
        <v>67316.5572274429</v>
      </c>
      <c r="BV83" s="45">
        <v>67842.008791487111</v>
      </c>
      <c r="BW83" s="45">
        <v>68332.710846562724</v>
      </c>
      <c r="BX83" s="45">
        <v>68841.462801048707</v>
      </c>
      <c r="BY83" s="45">
        <v>69353.591153891874</v>
      </c>
      <c r="BZ83" s="45">
        <v>69950.552275992683</v>
      </c>
      <c r="CA83" s="45">
        <v>70473.330840883689</v>
      </c>
      <c r="CB83" s="45">
        <v>70939.239605048831</v>
      </c>
      <c r="CC83" s="45">
        <v>71441.97776228252</v>
      </c>
      <c r="CD83" s="45">
        <v>71922.6210610157</v>
      </c>
      <c r="CE83" s="45">
        <v>72383.563214911788</v>
      </c>
      <c r="CF83" s="45">
        <v>72872.955414162701</v>
      </c>
      <c r="CG83" s="45">
        <v>73333.645224143052</v>
      </c>
      <c r="CH83" s="45">
        <v>73786.217444945272</v>
      </c>
      <c r="CI83" s="45">
        <v>74272.691624094325</v>
      </c>
      <c r="CJ83" s="45">
        <v>74674.061243036878</v>
      </c>
      <c r="CK83" s="45">
        <v>75101.758970819035</v>
      </c>
      <c r="CL83" s="45">
        <v>75567.553323064087</v>
      </c>
      <c r="CM83" s="45">
        <v>75969.371930085617</v>
      </c>
      <c r="CN83" s="45">
        <v>76392.154290024031</v>
      </c>
      <c r="CO83" s="45">
        <v>76804.894877285435</v>
      </c>
      <c r="CP83" s="45">
        <v>77213.659258900851</v>
      </c>
      <c r="CQ83" s="45">
        <v>77609.055318371975</v>
      </c>
      <c r="CR83" s="45">
        <v>77971.441695893183</v>
      </c>
      <c r="CS83" s="45">
        <v>78364.223480942048</v>
      </c>
      <c r="CT83" s="45">
        <v>78723.643838790522</v>
      </c>
      <c r="CU83" s="45">
        <v>79083.748435823596</v>
      </c>
      <c r="CV83" s="45">
        <v>79424.181826194748</v>
      </c>
      <c r="CW83" s="45">
        <v>79765.265720410811</v>
      </c>
      <c r="CX83" s="45">
        <v>80119.370551801636</v>
      </c>
      <c r="CY83" s="45">
        <v>80438.844196832099</v>
      </c>
      <c r="CZ83" s="45">
        <v>80757.407033634605</v>
      </c>
      <c r="DA83" s="45">
        <v>81065.378498470614</v>
      </c>
      <c r="DB83" s="45">
        <v>81401.006293488987</v>
      </c>
      <c r="DC83" s="45">
        <v>81716.521455114489</v>
      </c>
      <c r="DD83" s="45">
        <v>82018.642080740537</v>
      </c>
      <c r="DE83" s="45">
        <v>82321.318362758844</v>
      </c>
      <c r="DF83" s="45">
        <v>82645.885226722166</v>
      </c>
      <c r="DG83" s="45">
        <v>82927.972881610287</v>
      </c>
      <c r="DH83" s="45">
        <v>83219.082371885874</v>
      </c>
      <c r="DI83" s="45">
        <v>83488.295099567738</v>
      </c>
      <c r="DJ83" s="45">
        <v>83787.056992983911</v>
      </c>
      <c r="DK83" s="45">
        <v>84066.215768955706</v>
      </c>
      <c r="DL83" s="45">
        <v>84327.152808836006</v>
      </c>
      <c r="DM83" s="45">
        <v>84585.669995483549</v>
      </c>
      <c r="DN83" s="45">
        <v>84838.211715212034</v>
      </c>
      <c r="DO83" s="45">
        <v>85108.053643268824</v>
      </c>
      <c r="DP83">
        <v>85371.887308143254</v>
      </c>
      <c r="DQ83">
        <v>85616.947618015271</v>
      </c>
      <c r="DR83">
        <v>85871.025875375766</v>
      </c>
      <c r="DS83">
        <v>86110.954658787872</v>
      </c>
      <c r="DT83">
        <v>86358.627078055084</v>
      </c>
      <c r="DU83">
        <v>86602.010520023789</v>
      </c>
    </row>
    <row r="84" spans="1:125">
      <c r="A84" s="42">
        <v>82</v>
      </c>
      <c r="B84" s="45"/>
      <c r="C84" s="45"/>
      <c r="D84" s="45"/>
      <c r="E84" s="45"/>
      <c r="F84" s="45"/>
      <c r="G84" s="45"/>
      <c r="H84" s="45"/>
      <c r="I84" s="45"/>
      <c r="J84" s="45"/>
      <c r="K84" s="45"/>
      <c r="L84" s="45"/>
      <c r="M84" s="45"/>
      <c r="N84" s="45"/>
      <c r="O84" s="45"/>
      <c r="P84" s="45"/>
      <c r="Q84" s="45"/>
      <c r="R84" s="45"/>
      <c r="S84" s="45"/>
      <c r="T84" s="45"/>
      <c r="U84" s="45"/>
      <c r="V84" s="45"/>
      <c r="W84" s="45">
        <v>33107</v>
      </c>
      <c r="X84" s="45">
        <v>34207</v>
      </c>
      <c r="Y84" s="45">
        <v>34806.557448439198</v>
      </c>
      <c r="Z84" s="45">
        <v>36572.170748322795</v>
      </c>
      <c r="AA84" s="45">
        <v>37366.608082449049</v>
      </c>
      <c r="AB84" s="45">
        <v>38294.012783524879</v>
      </c>
      <c r="AC84" s="45">
        <v>39107.315838574817</v>
      </c>
      <c r="AD84" s="45">
        <v>39777.695353002142</v>
      </c>
      <c r="AE84" s="45">
        <v>40314.203735896488</v>
      </c>
      <c r="AF84" s="45">
        <v>41599.831930008811</v>
      </c>
      <c r="AG84" s="45">
        <v>42419.322406860068</v>
      </c>
      <c r="AH84" s="45">
        <v>43404.383918624662</v>
      </c>
      <c r="AI84" s="45">
        <v>44198.442186299319</v>
      </c>
      <c r="AJ84" s="45">
        <v>45740.162452222226</v>
      </c>
      <c r="AK84" s="45">
        <v>46550.79918846683</v>
      </c>
      <c r="AL84" s="45">
        <v>47720.213425262496</v>
      </c>
      <c r="AM84" s="45">
        <v>48797.455542912932</v>
      </c>
      <c r="AN84" s="45">
        <v>49730.88479578025</v>
      </c>
      <c r="AO84" s="45">
        <v>50027.90441600878</v>
      </c>
      <c r="AP84" s="45">
        <v>50245.106778211688</v>
      </c>
      <c r="AQ84" s="45">
        <v>50436.538028947325</v>
      </c>
      <c r="AR84" s="45">
        <v>50682.928650398928</v>
      </c>
      <c r="AS84" s="45">
        <v>50253.009510755393</v>
      </c>
      <c r="AT84" s="45">
        <v>49705.328221130912</v>
      </c>
      <c r="AU84" s="45">
        <v>49039.154632572565</v>
      </c>
      <c r="AV84" s="45">
        <v>49297.761477833032</v>
      </c>
      <c r="AW84" s="45">
        <v>50143.291183639507</v>
      </c>
      <c r="AX84" s="45">
        <v>51505.032657944947</v>
      </c>
      <c r="AY84" s="45">
        <v>52803.390313445154</v>
      </c>
      <c r="AZ84" s="45">
        <v>53070.767020119674</v>
      </c>
      <c r="BA84" s="45">
        <v>53336.687466514908</v>
      </c>
      <c r="BB84" s="45">
        <v>54055.690015739325</v>
      </c>
      <c r="BC84" s="45">
        <v>54518.053895168719</v>
      </c>
      <c r="BD84" s="45">
        <v>55085.463117441992</v>
      </c>
      <c r="BE84" s="45">
        <v>55561.125023802262</v>
      </c>
      <c r="BF84" s="45">
        <v>56208.829780877655</v>
      </c>
      <c r="BG84" s="45">
        <v>56707.638405331541</v>
      </c>
      <c r="BH84" s="45">
        <v>57442.179599932046</v>
      </c>
      <c r="BI84" s="45">
        <v>57982.3292081006</v>
      </c>
      <c r="BJ84" s="45">
        <v>58605.095641231921</v>
      </c>
      <c r="BK84" s="45">
        <v>59266.366670757096</v>
      </c>
      <c r="BL84" s="45">
        <v>60048.906336623084</v>
      </c>
      <c r="BM84" s="45">
        <v>60771.353341554743</v>
      </c>
      <c r="BN84" s="45">
        <v>61462.599480038014</v>
      </c>
      <c r="BO84" s="45">
        <v>62070.532203975497</v>
      </c>
      <c r="BP84" s="45">
        <v>62676.460324442342</v>
      </c>
      <c r="BQ84" s="45">
        <v>63236.928830992758</v>
      </c>
      <c r="BR84" s="45">
        <v>63785.351947930976</v>
      </c>
      <c r="BS84" s="45">
        <v>64238.573433589234</v>
      </c>
      <c r="BT84" s="45">
        <v>64761.392662522434</v>
      </c>
      <c r="BU84" s="45">
        <v>65227.756123985295</v>
      </c>
      <c r="BV84" s="45">
        <v>65769.424553011122</v>
      </c>
      <c r="BW84" s="45">
        <v>66277.634687245853</v>
      </c>
      <c r="BX84" s="45">
        <v>66803.132793804849</v>
      </c>
      <c r="BY84" s="45">
        <v>67331.824812523526</v>
      </c>
      <c r="BZ84" s="45">
        <v>67942.89599788851</v>
      </c>
      <c r="CA84" s="45">
        <v>68482.118699330691</v>
      </c>
      <c r="CB84" s="45">
        <v>68966.219788221148</v>
      </c>
      <c r="CC84" s="45">
        <v>69485.612552615406</v>
      </c>
      <c r="CD84" s="45">
        <v>69983.629415237199</v>
      </c>
      <c r="CE84" s="45">
        <v>70462.484449924028</v>
      </c>
      <c r="CF84" s="45">
        <v>70968.803694998904</v>
      </c>
      <c r="CG84" s="45">
        <v>71447.305767492944</v>
      </c>
      <c r="CH84" s="45">
        <v>71917.731134451169</v>
      </c>
      <c r="CI84" s="45">
        <v>72421.107363572257</v>
      </c>
      <c r="CJ84" s="45">
        <v>72841.525693849486</v>
      </c>
      <c r="CK84" s="45">
        <v>73287.504167009727</v>
      </c>
      <c r="CL84" s="45">
        <v>73770.42620181157</v>
      </c>
      <c r="CM84" s="45">
        <v>74190.913335878577</v>
      </c>
      <c r="CN84" s="45">
        <v>74631.753105481723</v>
      </c>
      <c r="CO84" s="45">
        <v>75062.476917988053</v>
      </c>
      <c r="CP84" s="45">
        <v>75489.371761282469</v>
      </c>
      <c r="CQ84" s="45">
        <v>75902.986420998073</v>
      </c>
      <c r="CR84" s="45">
        <v>76284.296342775531</v>
      </c>
      <c r="CS84" s="45">
        <v>76695.068174106738</v>
      </c>
      <c r="CT84" s="45">
        <v>77073.099059291679</v>
      </c>
      <c r="CU84" s="45">
        <v>77451.586967669951</v>
      </c>
      <c r="CV84" s="45">
        <v>77810.649468386662</v>
      </c>
      <c r="CW84" s="45">
        <v>78170.279918061948</v>
      </c>
      <c r="CX84" s="45">
        <v>78542.374946745898</v>
      </c>
      <c r="CY84" s="45">
        <v>78880.444772646035</v>
      </c>
      <c r="CZ84" s="45">
        <v>79217.317315911874</v>
      </c>
      <c r="DA84" s="45">
        <v>79543.698728394098</v>
      </c>
      <c r="DB84" s="45">
        <v>79896.948573859801</v>
      </c>
      <c r="DC84" s="45">
        <v>80230.397647943377</v>
      </c>
      <c r="DD84" s="45">
        <v>80550.433113567924</v>
      </c>
      <c r="DE84" s="45">
        <v>80870.867662783567</v>
      </c>
      <c r="DF84" s="45">
        <v>81212.626368149125</v>
      </c>
      <c r="DG84" s="45">
        <v>81512.381105798937</v>
      </c>
      <c r="DH84" s="45">
        <v>81820.886681546763</v>
      </c>
      <c r="DI84" s="45">
        <v>82107.605908604353</v>
      </c>
      <c r="DJ84" s="45">
        <v>82423.200053074979</v>
      </c>
      <c r="DK84" s="45">
        <v>82719.375360920356</v>
      </c>
      <c r="DL84" s="45">
        <v>82997.418513176934</v>
      </c>
      <c r="DM84" s="45">
        <v>83272.814643097954</v>
      </c>
      <c r="DN84" s="45">
        <v>83542.200164036665</v>
      </c>
      <c r="DO84" s="45">
        <v>83828.392638311081</v>
      </c>
      <c r="DP84">
        <v>84108.500871473952</v>
      </c>
      <c r="DQ84">
        <v>84369.903254987585</v>
      </c>
      <c r="DR84">
        <v>84639.956731818427</v>
      </c>
      <c r="DS84">
        <v>84895.937564212742</v>
      </c>
      <c r="DT84">
        <v>85159.327656588255</v>
      </c>
      <c r="DU84">
        <v>85418.298088849842</v>
      </c>
    </row>
    <row r="85" spans="1:125">
      <c r="A85" s="42">
        <v>83</v>
      </c>
      <c r="B85" s="45"/>
      <c r="C85" s="45"/>
      <c r="D85" s="45"/>
      <c r="E85" s="45"/>
      <c r="F85" s="45"/>
      <c r="G85" s="45"/>
      <c r="H85" s="45"/>
      <c r="I85" s="45"/>
      <c r="J85" s="45"/>
      <c r="K85" s="45"/>
      <c r="L85" s="45"/>
      <c r="M85" s="45"/>
      <c r="N85" s="45"/>
      <c r="O85" s="45"/>
      <c r="P85" s="45"/>
      <c r="Q85" s="45"/>
      <c r="R85" s="45"/>
      <c r="S85" s="45"/>
      <c r="T85" s="45"/>
      <c r="U85" s="45"/>
      <c r="V85" s="45"/>
      <c r="W85" s="45">
        <v>30742.5</v>
      </c>
      <c r="X85" s="45">
        <v>31803.5</v>
      </c>
      <c r="Y85" s="45">
        <v>32415.555646266774</v>
      </c>
      <c r="Z85" s="45">
        <v>34141.046554697554</v>
      </c>
      <c r="AA85" s="45">
        <v>34868.756897804669</v>
      </c>
      <c r="AB85" s="45">
        <v>35721.126258685705</v>
      </c>
      <c r="AC85" s="45">
        <v>36606.13118590341</v>
      </c>
      <c r="AD85" s="45">
        <v>37196.766969916462</v>
      </c>
      <c r="AE85" s="45">
        <v>37740.710433212604</v>
      </c>
      <c r="AF85" s="45">
        <v>38911.227492965147</v>
      </c>
      <c r="AG85" s="45">
        <v>39844.678649301728</v>
      </c>
      <c r="AH85" s="45">
        <v>40705.797560643608</v>
      </c>
      <c r="AI85" s="45">
        <v>41569.08803063073</v>
      </c>
      <c r="AJ85" s="45">
        <v>42993.511482778064</v>
      </c>
      <c r="AK85" s="45">
        <v>43848.899880151388</v>
      </c>
      <c r="AL85" s="45">
        <v>45052.700645961275</v>
      </c>
      <c r="AM85" s="45">
        <v>46149.159955461917</v>
      </c>
      <c r="AN85" s="45">
        <v>46928.279871778635</v>
      </c>
      <c r="AO85" s="45">
        <v>47191.010446781802</v>
      </c>
      <c r="AP85" s="45">
        <v>47444.020618861723</v>
      </c>
      <c r="AQ85" s="45">
        <v>47665.211098766071</v>
      </c>
      <c r="AR85" s="45">
        <v>47937.509096829883</v>
      </c>
      <c r="AS85" s="45">
        <v>47573.474609646764</v>
      </c>
      <c r="AT85" s="45">
        <v>47095.248140441174</v>
      </c>
      <c r="AU85" s="45">
        <v>46503.963816803822</v>
      </c>
      <c r="AV85" s="45">
        <v>46787.483308353359</v>
      </c>
      <c r="AW85" s="45">
        <v>47627.598584909545</v>
      </c>
      <c r="AX85" s="45">
        <v>48958.456200272485</v>
      </c>
      <c r="AY85" s="45">
        <v>50232.231597111968</v>
      </c>
      <c r="AZ85" s="45">
        <v>50527.322543141781</v>
      </c>
      <c r="BA85" s="45">
        <v>50820.557507892852</v>
      </c>
      <c r="BB85" s="45">
        <v>51543.832434664408</v>
      </c>
      <c r="BC85" s="45">
        <v>52023.424551457458</v>
      </c>
      <c r="BD85" s="45">
        <v>52602.102813691279</v>
      </c>
      <c r="BE85" s="45">
        <v>53093.967754101541</v>
      </c>
      <c r="BF85" s="45">
        <v>53750.091337774727</v>
      </c>
      <c r="BG85" s="45">
        <v>54265.157091700399</v>
      </c>
      <c r="BH85" s="45">
        <v>55004.376884481317</v>
      </c>
      <c r="BI85" s="45">
        <v>55558.231309670693</v>
      </c>
      <c r="BJ85" s="45">
        <v>56191.512305996017</v>
      </c>
      <c r="BK85" s="45">
        <v>56862.005404407828</v>
      </c>
      <c r="BL85" s="45">
        <v>57649.058441041023</v>
      </c>
      <c r="BM85" s="45">
        <v>58378.63070136185</v>
      </c>
      <c r="BN85" s="45">
        <v>59078.776589102759</v>
      </c>
      <c r="BO85" s="45">
        <v>59699.000059472164</v>
      </c>
      <c r="BP85" s="45">
        <v>60317.912621716649</v>
      </c>
      <c r="BQ85" s="45">
        <v>60892.955242269723</v>
      </c>
      <c r="BR85" s="45">
        <v>61456.721914536203</v>
      </c>
      <c r="BS85" s="45">
        <v>61928.991231813852</v>
      </c>
      <c r="BT85" s="45">
        <v>62468.152800983677</v>
      </c>
      <c r="BU85" s="45">
        <v>62953.056783913737</v>
      </c>
      <c r="BV85" s="45">
        <v>63510.392285677983</v>
      </c>
      <c r="BW85" s="45">
        <v>64035.707059440843</v>
      </c>
      <c r="BX85" s="45">
        <v>64577.542332778867</v>
      </c>
      <c r="BY85" s="45">
        <v>65122.424326225911</v>
      </c>
      <c r="BZ85" s="45">
        <v>65747.048132104086</v>
      </c>
      <c r="CA85" s="45">
        <v>66302.405792471225</v>
      </c>
      <c r="CB85" s="45">
        <v>66804.588591079868</v>
      </c>
      <c r="CC85" s="45">
        <v>67340.458654319315</v>
      </c>
      <c r="CD85" s="45">
        <v>67855.7738266245</v>
      </c>
      <c r="CE85" s="45">
        <v>68352.558711866935</v>
      </c>
      <c r="CF85" s="45">
        <v>68875.781267070299</v>
      </c>
      <c r="CG85" s="45">
        <v>69372.188566596815</v>
      </c>
      <c r="CH85" s="45">
        <v>69860.614012872917</v>
      </c>
      <c r="CI85" s="45">
        <v>70380.986899788826</v>
      </c>
      <c r="CJ85" s="45">
        <v>70820.801495177264</v>
      </c>
      <c r="CK85" s="45">
        <v>71285.373205481708</v>
      </c>
      <c r="CL85" s="45">
        <v>71785.667014483712</v>
      </c>
      <c r="CM85" s="45">
        <v>72225.26009659181</v>
      </c>
      <c r="CN85" s="45">
        <v>72684.571742590575</v>
      </c>
      <c r="CO85" s="45">
        <v>73133.738609089749</v>
      </c>
      <c r="CP85" s="45">
        <v>73579.267010618991</v>
      </c>
      <c r="CQ85" s="45">
        <v>74011.658000876283</v>
      </c>
      <c r="CR85" s="45">
        <v>74412.557112255483</v>
      </c>
      <c r="CS85" s="45">
        <v>74841.930401722406</v>
      </c>
      <c r="CT85" s="45">
        <v>75239.286257228683</v>
      </c>
      <c r="CU85" s="45">
        <v>75636.888712640241</v>
      </c>
      <c r="CV85" s="45">
        <v>76015.376753542572</v>
      </c>
      <c r="CW85" s="45">
        <v>76394.371991864347</v>
      </c>
      <c r="CX85" s="45">
        <v>76785.257757137137</v>
      </c>
      <c r="CY85" s="45">
        <v>77142.823744056135</v>
      </c>
      <c r="CZ85" s="45">
        <v>77498.917324108421</v>
      </c>
      <c r="DA85" s="45">
        <v>77844.662101931346</v>
      </c>
      <c r="DB85" s="45">
        <v>78216.436323492628</v>
      </c>
      <c r="DC85" s="45">
        <v>78568.785048430087</v>
      </c>
      <c r="DD85" s="45">
        <v>78907.737957661244</v>
      </c>
      <c r="DE85" s="45">
        <v>79246.945860948559</v>
      </c>
      <c r="DF85" s="45">
        <v>79606.876608714898</v>
      </c>
      <c r="DG85" s="45">
        <v>79925.373053572985</v>
      </c>
      <c r="DH85" s="45">
        <v>80252.344041102348</v>
      </c>
      <c r="DI85" s="45">
        <v>80557.688278467569</v>
      </c>
      <c r="DJ85" s="45">
        <v>80891.181281318248</v>
      </c>
      <c r="DK85" s="45">
        <v>81205.489667532966</v>
      </c>
      <c r="DL85" s="45">
        <v>81501.797388082108</v>
      </c>
      <c r="DM85" s="45">
        <v>81795.236606028673</v>
      </c>
      <c r="DN85" s="45">
        <v>82082.650816659094</v>
      </c>
      <c r="DO85" s="45">
        <v>82386.347419244965</v>
      </c>
      <c r="DP85">
        <v>82683.900897926025</v>
      </c>
      <c r="DQ85">
        <v>82962.853524390783</v>
      </c>
      <c r="DR85">
        <v>83250.073197760037</v>
      </c>
      <c r="DS85">
        <v>83523.329898143333</v>
      </c>
      <c r="DT85">
        <v>83803.646564290306</v>
      </c>
      <c r="DU85">
        <v>84079.421818771021</v>
      </c>
    </row>
    <row r="86" spans="1:125">
      <c r="A86" s="42">
        <v>84</v>
      </c>
      <c r="B86" s="45"/>
      <c r="C86" s="45"/>
      <c r="D86" s="45"/>
      <c r="E86" s="45"/>
      <c r="F86" s="45"/>
      <c r="G86" s="45"/>
      <c r="H86" s="45"/>
      <c r="I86" s="45"/>
      <c r="J86" s="45"/>
      <c r="K86" s="45"/>
      <c r="L86" s="45"/>
      <c r="M86" s="45"/>
      <c r="N86" s="45"/>
      <c r="O86" s="45"/>
      <c r="P86" s="45"/>
      <c r="Q86" s="45"/>
      <c r="R86" s="45"/>
      <c r="S86" s="45"/>
      <c r="T86" s="45"/>
      <c r="U86" s="45"/>
      <c r="V86" s="45"/>
      <c r="W86" s="45">
        <v>28300.5</v>
      </c>
      <c r="X86" s="45">
        <v>29328.5</v>
      </c>
      <c r="Y86" s="45">
        <v>29975.421910849662</v>
      </c>
      <c r="Z86" s="45">
        <v>31596.035576269645</v>
      </c>
      <c r="AA86" s="45">
        <v>32260.374381173198</v>
      </c>
      <c r="AB86" s="45">
        <v>33136.663470335108</v>
      </c>
      <c r="AC86" s="45">
        <v>33956.900564102521</v>
      </c>
      <c r="AD86" s="45">
        <v>34529.193858744766</v>
      </c>
      <c r="AE86" s="45">
        <v>34983.198614045716</v>
      </c>
      <c r="AF86" s="45">
        <v>36244.350056225885</v>
      </c>
      <c r="AG86" s="45">
        <v>37046.282760710019</v>
      </c>
      <c r="AH86" s="45">
        <v>37945.901555439319</v>
      </c>
      <c r="AI86" s="45">
        <v>38759.929226706823</v>
      </c>
      <c r="AJ86" s="45">
        <v>40154.861497580765</v>
      </c>
      <c r="AK86" s="45">
        <v>41057.818148414386</v>
      </c>
      <c r="AL86" s="45">
        <v>42243.954866102045</v>
      </c>
      <c r="AM86" s="45">
        <v>43161.305600551364</v>
      </c>
      <c r="AN86" s="45">
        <v>43912.099335124964</v>
      </c>
      <c r="AO86" s="45">
        <v>44200.451087980153</v>
      </c>
      <c r="AP86" s="45">
        <v>44481.97206042074</v>
      </c>
      <c r="AQ86" s="45">
        <v>44731.173726403023</v>
      </c>
      <c r="AR86" s="45">
        <v>45027.575022694473</v>
      </c>
      <c r="AS86" s="45">
        <v>44729.680067345071</v>
      </c>
      <c r="AT86" s="45">
        <v>44321.747233715621</v>
      </c>
      <c r="AU86" s="45">
        <v>43806.66039830161</v>
      </c>
      <c r="AV86" s="45">
        <v>44113.509197665153</v>
      </c>
      <c r="AW86" s="45">
        <v>44944.783238924472</v>
      </c>
      <c r="AX86" s="45">
        <v>46239.694247611245</v>
      </c>
      <c r="AY86" s="45">
        <v>47484.014710658434</v>
      </c>
      <c r="AZ86" s="45">
        <v>47805.416932058419</v>
      </c>
      <c r="BA86" s="45">
        <v>48124.664523135056</v>
      </c>
      <c r="BB86" s="45">
        <v>48849.579862659491</v>
      </c>
      <c r="BC86" s="45">
        <v>49344.56432542266</v>
      </c>
      <c r="BD86" s="45">
        <v>49932.440707196743</v>
      </c>
      <c r="BE86" s="45">
        <v>50438.797242717046</v>
      </c>
      <c r="BF86" s="45">
        <v>51101.127665122171</v>
      </c>
      <c r="BG86" s="45">
        <v>51630.780377990683</v>
      </c>
      <c r="BH86" s="45">
        <v>52372.327575499286</v>
      </c>
      <c r="BI86" s="45">
        <v>52938.24674999644</v>
      </c>
      <c r="BJ86" s="45">
        <v>53580.188460204641</v>
      </c>
      <c r="BK86" s="45">
        <v>54257.986187009061</v>
      </c>
      <c r="BL86" s="45">
        <v>55047.296691616626</v>
      </c>
      <c r="BM86" s="45">
        <v>55782.010141486768</v>
      </c>
      <c r="BN86" s="45">
        <v>56489.238193156627</v>
      </c>
      <c r="BO86" s="45">
        <v>57120.279348224038</v>
      </c>
      <c r="BP86" s="45">
        <v>57750.767825023519</v>
      </c>
      <c r="BQ86" s="45">
        <v>58339.193122896933</v>
      </c>
      <c r="BR86" s="45">
        <v>58917.210863628163</v>
      </c>
      <c r="BS86" s="45">
        <v>59407.808333403795</v>
      </c>
      <c r="BT86" s="45">
        <v>59962.422982828633</v>
      </c>
      <c r="BU86" s="45">
        <v>60465.21981840823</v>
      </c>
      <c r="BV86" s="45">
        <v>61037.385832042652</v>
      </c>
      <c r="BW86" s="45">
        <v>61579.132931025553</v>
      </c>
      <c r="BX86" s="45">
        <v>62136.631675551296</v>
      </c>
      <c r="BY86" s="45">
        <v>62697.072987730462</v>
      </c>
      <c r="BZ86" s="45">
        <v>63334.408264700876</v>
      </c>
      <c r="CA86" s="45">
        <v>63905.343115677453</v>
      </c>
      <c r="CB86" s="45">
        <v>64425.276658731804</v>
      </c>
      <c r="CC86" s="45">
        <v>64977.226769915404</v>
      </c>
      <c r="CD86" s="45">
        <v>65509.559253105042</v>
      </c>
      <c r="CE86" s="45">
        <v>66024.099838962153</v>
      </c>
      <c r="CF86" s="45">
        <v>66564.009470498597</v>
      </c>
      <c r="CG86" s="45">
        <v>67078.238671690357</v>
      </c>
      <c r="CH86" s="45">
        <v>67584.647013456051</v>
      </c>
      <c r="CI86" s="45">
        <v>68121.940888507757</v>
      </c>
      <c r="CJ86" s="45">
        <v>68581.369401472242</v>
      </c>
      <c r="CK86" s="45">
        <v>69064.71348873309</v>
      </c>
      <c r="CL86" s="45">
        <v>69582.483447634499</v>
      </c>
      <c r="CM86" s="45">
        <v>70041.511527518334</v>
      </c>
      <c r="CN86" s="45">
        <v>70519.599561687646</v>
      </c>
      <c r="CO86" s="45">
        <v>70987.572871817276</v>
      </c>
      <c r="CP86" s="45">
        <v>71452.147346119396</v>
      </c>
      <c r="CQ86" s="45">
        <v>71903.794922484463</v>
      </c>
      <c r="CR86" s="45">
        <v>72324.889512212758</v>
      </c>
      <c r="CS86" s="45">
        <v>72773.412147537427</v>
      </c>
      <c r="CT86" s="45">
        <v>73190.762761580816</v>
      </c>
      <c r="CU86" s="45">
        <v>73608.172849848605</v>
      </c>
      <c r="CV86" s="45">
        <v>74006.858436947106</v>
      </c>
      <c r="CW86" s="45">
        <v>74406.016623967618</v>
      </c>
      <c r="CX86" s="45">
        <v>74816.475742424373</v>
      </c>
      <c r="CY86" s="45">
        <v>75194.438044025563</v>
      </c>
      <c r="CZ86" s="45">
        <v>75570.671339094304</v>
      </c>
      <c r="DA86" s="45">
        <v>75936.748720741394</v>
      </c>
      <c r="DB86" s="45">
        <v>76327.960893465031</v>
      </c>
      <c r="DC86" s="45">
        <v>76700.197878571766</v>
      </c>
      <c r="DD86" s="45">
        <v>77059.104626190761</v>
      </c>
      <c r="DE86" s="45">
        <v>77418.138911594375</v>
      </c>
      <c r="DF86" s="45">
        <v>77797.256223083255</v>
      </c>
      <c r="DG86" s="45">
        <v>78135.624771412447</v>
      </c>
      <c r="DH86" s="45">
        <v>78482.186504254234</v>
      </c>
      <c r="DI86" s="45">
        <v>78807.34334043847</v>
      </c>
      <c r="DJ86" s="45">
        <v>79159.863927704137</v>
      </c>
      <c r="DK86" s="45">
        <v>79493.494924555183</v>
      </c>
      <c r="DL86" s="45">
        <v>79809.309329001379</v>
      </c>
      <c r="DM86" s="45">
        <v>80122.044612311394</v>
      </c>
      <c r="DN86" s="45">
        <v>80428.766395993371</v>
      </c>
      <c r="DO86" s="45">
        <v>80751.212213039675</v>
      </c>
      <c r="DP86">
        <v>81067.478518625066</v>
      </c>
      <c r="DQ86">
        <v>81365.296582014358</v>
      </c>
      <c r="DR86">
        <v>81670.980676507708</v>
      </c>
      <c r="DS86">
        <v>81962.851836741072</v>
      </c>
      <c r="DT86">
        <v>82261.419162717008</v>
      </c>
      <c r="DU86">
        <v>82555.336562237848</v>
      </c>
    </row>
    <row r="87" spans="1:125">
      <c r="A87" s="42">
        <v>85</v>
      </c>
      <c r="B87" s="45"/>
      <c r="C87" s="45"/>
      <c r="D87" s="45"/>
      <c r="E87" s="45"/>
      <c r="F87" s="45"/>
      <c r="G87" s="45"/>
      <c r="H87" s="45"/>
      <c r="I87" s="45"/>
      <c r="J87" s="45"/>
      <c r="K87" s="45"/>
      <c r="L87" s="45"/>
      <c r="M87" s="45"/>
      <c r="N87" s="45"/>
      <c r="O87" s="45"/>
      <c r="P87" s="45"/>
      <c r="Q87" s="45"/>
      <c r="R87" s="45"/>
      <c r="S87" s="45"/>
      <c r="T87" s="45"/>
      <c r="U87" s="45"/>
      <c r="V87" s="45"/>
      <c r="W87" s="45">
        <v>25854</v>
      </c>
      <c r="X87" s="45">
        <v>26877</v>
      </c>
      <c r="Y87" s="45">
        <v>27464.56902488022</v>
      </c>
      <c r="Z87" s="45">
        <v>28930.068138813986</v>
      </c>
      <c r="AA87" s="45">
        <v>29600.11191459015</v>
      </c>
      <c r="AB87" s="45">
        <v>30437.605783587598</v>
      </c>
      <c r="AC87" s="45">
        <v>31215.258441759717</v>
      </c>
      <c r="AD87" s="45">
        <v>31676.041967176752</v>
      </c>
      <c r="AE87" s="45">
        <v>32270.838163220847</v>
      </c>
      <c r="AF87" s="45">
        <v>33346.68134906685</v>
      </c>
      <c r="AG87" s="45">
        <v>34224.794953023898</v>
      </c>
      <c r="AH87" s="45">
        <v>35018.423958255386</v>
      </c>
      <c r="AI87" s="45">
        <v>35808.432923783039</v>
      </c>
      <c r="AJ87" s="45">
        <v>37225.4834125825</v>
      </c>
      <c r="AK87" s="45">
        <v>38119.013784361276</v>
      </c>
      <c r="AL87" s="45">
        <v>39105.760854182139</v>
      </c>
      <c r="AM87" s="45">
        <v>40002.775033133439</v>
      </c>
      <c r="AN87" s="45">
        <v>40730.892499657471</v>
      </c>
      <c r="AO87" s="45">
        <v>41045.097138661062</v>
      </c>
      <c r="AP87" s="45">
        <v>41352.403019976446</v>
      </c>
      <c r="AQ87" s="45">
        <v>41627.30446491667</v>
      </c>
      <c r="AR87" s="45">
        <v>41945.457691300791</v>
      </c>
      <c r="AS87" s="45">
        <v>41713.428660641344</v>
      </c>
      <c r="AT87" s="45">
        <v>41376.176782418435</v>
      </c>
      <c r="AU87" s="45">
        <v>40938.17379812587</v>
      </c>
      <c r="AV87" s="45">
        <v>41266.225156087938</v>
      </c>
      <c r="AW87" s="45">
        <v>42084.593961835162</v>
      </c>
      <c r="AX87" s="45">
        <v>43337.761975224508</v>
      </c>
      <c r="AY87" s="45">
        <v>44546.982781287305</v>
      </c>
      <c r="AZ87" s="45">
        <v>44892.716015026919</v>
      </c>
      <c r="BA87" s="45">
        <v>45236.104055498108</v>
      </c>
      <c r="BB87" s="45">
        <v>45959.27003412108</v>
      </c>
      <c r="BC87" s="45">
        <v>46467.226998820435</v>
      </c>
      <c r="BD87" s="45">
        <v>47061.656662378475</v>
      </c>
      <c r="BE87" s="45">
        <v>47580.235524067459</v>
      </c>
      <c r="BF87" s="45">
        <v>48245.969704753334</v>
      </c>
      <c r="BG87" s="45">
        <v>48787.970751575544</v>
      </c>
      <c r="BH87" s="45">
        <v>49528.901949257524</v>
      </c>
      <c r="BI87" s="45">
        <v>50104.705731878523</v>
      </c>
      <c r="BJ87" s="45">
        <v>50752.894270461431</v>
      </c>
      <c r="BK87" s="45">
        <v>51435.512714431861</v>
      </c>
      <c r="BL87" s="45">
        <v>52224.228518582087</v>
      </c>
      <c r="BM87" s="45">
        <v>52961.5313391612</v>
      </c>
      <c r="BN87" s="45">
        <v>53673.467374142594</v>
      </c>
      <c r="BO87" s="45">
        <v>54313.333022183724</v>
      </c>
      <c r="BP87" s="45">
        <v>54953.467432248406</v>
      </c>
      <c r="BQ87" s="45">
        <v>55553.591973588591</v>
      </c>
      <c r="BR87" s="45">
        <v>56144.284209304722</v>
      </c>
      <c r="BS87" s="45">
        <v>56652.044713415053</v>
      </c>
      <c r="BT87" s="45">
        <v>57220.766847305633</v>
      </c>
      <c r="BU87" s="45">
        <v>57740.378475964098</v>
      </c>
      <c r="BV87" s="45">
        <v>58326.095437995282</v>
      </c>
      <c r="BW87" s="45">
        <v>58883.175944593502</v>
      </c>
      <c r="BX87" s="45">
        <v>59455.244984250588</v>
      </c>
      <c r="BY87" s="45">
        <v>60030.204947792445</v>
      </c>
      <c r="BZ87" s="45">
        <v>60678.978280171403</v>
      </c>
      <c r="CA87" s="45">
        <v>61264.532964751255</v>
      </c>
      <c r="CB87" s="45">
        <v>61801.513639715537</v>
      </c>
      <c r="CC87" s="45">
        <v>62368.779140640123</v>
      </c>
      <c r="CD87" s="45">
        <v>62917.494913670664</v>
      </c>
      <c r="CE87" s="45">
        <v>63449.27945913258</v>
      </c>
      <c r="CF87" s="45">
        <v>64005.324141442579</v>
      </c>
      <c r="CG87" s="45">
        <v>64536.972468642532</v>
      </c>
      <c r="CH87" s="45">
        <v>65061.041272627408</v>
      </c>
      <c r="CI87" s="45">
        <v>65614.871580492429</v>
      </c>
      <c r="CJ87" s="45">
        <v>66093.863024677848</v>
      </c>
      <c r="CK87" s="45">
        <v>66595.888981687065</v>
      </c>
      <c r="CL87" s="45">
        <v>67130.966508644255</v>
      </c>
      <c r="CM87" s="45">
        <v>67609.517670295754</v>
      </c>
      <c r="CN87" s="45">
        <v>68106.446302180149</v>
      </c>
      <c r="CO87" s="45">
        <v>68593.365464036673</v>
      </c>
      <c r="CP87" s="45">
        <v>69077.181605421589</v>
      </c>
      <c r="CQ87" s="45">
        <v>69548.364597809166</v>
      </c>
      <c r="CR87" s="45">
        <v>69990.07912549621</v>
      </c>
      <c r="CS87" s="45">
        <v>70458.115786245791</v>
      </c>
      <c r="CT87" s="45">
        <v>70895.968495150999</v>
      </c>
      <c r="CU87" s="45">
        <v>71333.725792725905</v>
      </c>
      <c r="CV87" s="45">
        <v>71753.243394687073</v>
      </c>
      <c r="CW87" s="45">
        <v>72173.231265159033</v>
      </c>
      <c r="CX87" s="45">
        <v>72603.91978786861</v>
      </c>
      <c r="CY87" s="45">
        <v>73003.072102938517</v>
      </c>
      <c r="CZ87" s="45">
        <v>73400.267305960268</v>
      </c>
      <c r="DA87" s="45">
        <v>73787.560475682927</v>
      </c>
      <c r="DB87" s="45">
        <v>74199.035846664643</v>
      </c>
      <c r="DC87" s="45">
        <v>74592.074879283595</v>
      </c>
      <c r="DD87" s="45">
        <v>74971.910668217868</v>
      </c>
      <c r="DE87" s="45">
        <v>75351.769308484581</v>
      </c>
      <c r="DF87" s="45">
        <v>75751.030827578157</v>
      </c>
      <c r="DG87" s="45">
        <v>76110.369616909054</v>
      </c>
      <c r="DH87" s="45">
        <v>76477.617053367372</v>
      </c>
      <c r="DI87" s="45">
        <v>76823.759579234058</v>
      </c>
      <c r="DJ87" s="45">
        <v>77196.416518776459</v>
      </c>
      <c r="DK87" s="45">
        <v>77550.552794189163</v>
      </c>
      <c r="DL87" s="45">
        <v>77887.122290412241</v>
      </c>
      <c r="DM87" s="45">
        <v>78220.420479707696</v>
      </c>
      <c r="DN87" s="45">
        <v>78547.749606787242</v>
      </c>
      <c r="DO87" s="45">
        <v>78890.209858013623</v>
      </c>
      <c r="DP87">
        <v>79226.484109091602</v>
      </c>
      <c r="DQ87">
        <v>79544.522949789549</v>
      </c>
      <c r="DR87">
        <v>79870.011926168736</v>
      </c>
      <c r="DS87">
        <v>80181.887886367331</v>
      </c>
      <c r="DT87">
        <v>80500.083917349926</v>
      </c>
      <c r="DU87">
        <v>80813.541008430024</v>
      </c>
    </row>
    <row r="88" spans="1:125">
      <c r="A88" s="42">
        <v>86</v>
      </c>
      <c r="B88" s="45"/>
      <c r="C88" s="45"/>
      <c r="D88" s="45"/>
      <c r="E88" s="45"/>
      <c r="F88" s="45"/>
      <c r="G88" s="45"/>
      <c r="H88" s="45"/>
      <c r="I88" s="45"/>
      <c r="J88" s="45"/>
      <c r="K88" s="45"/>
      <c r="L88" s="45"/>
      <c r="M88" s="45"/>
      <c r="N88" s="45"/>
      <c r="O88" s="45"/>
      <c r="P88" s="45"/>
      <c r="Q88" s="45"/>
      <c r="R88" s="45"/>
      <c r="S88" s="45"/>
      <c r="T88" s="45"/>
      <c r="U88" s="45"/>
      <c r="V88" s="45"/>
      <c r="W88" s="45">
        <v>23416.5</v>
      </c>
      <c r="X88" s="45">
        <v>24314</v>
      </c>
      <c r="Y88" s="45">
        <v>24822.59294499996</v>
      </c>
      <c r="Z88" s="45">
        <v>26277.24416477</v>
      </c>
      <c r="AA88" s="45">
        <v>26883.822592416444</v>
      </c>
      <c r="AB88" s="45">
        <v>27659.406713100281</v>
      </c>
      <c r="AC88" s="45">
        <v>28319.037783278956</v>
      </c>
      <c r="AD88" s="45">
        <v>28897.18368575519</v>
      </c>
      <c r="AE88" s="45">
        <v>29356.14103721187</v>
      </c>
      <c r="AF88" s="45">
        <v>30468.128716413667</v>
      </c>
      <c r="AG88" s="45">
        <v>31193.579444854186</v>
      </c>
      <c r="AH88" s="45">
        <v>31963.636731629485</v>
      </c>
      <c r="AI88" s="45">
        <v>32842.687659763687</v>
      </c>
      <c r="AJ88" s="45">
        <v>34198.9747142173</v>
      </c>
      <c r="AK88" s="45">
        <v>34839.069204547093</v>
      </c>
      <c r="AL88" s="45">
        <v>35831.961923837058</v>
      </c>
      <c r="AM88" s="45">
        <v>36679.13941420945</v>
      </c>
      <c r="AN88" s="45">
        <v>37395.036845087277</v>
      </c>
      <c r="AO88" s="45">
        <v>37731.314448405727</v>
      </c>
      <c r="AP88" s="45">
        <v>38060.829554496173</v>
      </c>
      <c r="AQ88" s="45">
        <v>38358.332896300781</v>
      </c>
      <c r="AR88" s="45">
        <v>38695.129860339221</v>
      </c>
      <c r="AS88" s="45">
        <v>38527.801801363079</v>
      </c>
      <c r="AT88" s="45">
        <v>38260.785212447525</v>
      </c>
      <c r="AU88" s="45">
        <v>37899.931119003981</v>
      </c>
      <c r="AV88" s="45">
        <v>38246.318802553025</v>
      </c>
      <c r="AW88" s="45">
        <v>39047.005514211822</v>
      </c>
      <c r="AX88" s="45">
        <v>40251.922732238905</v>
      </c>
      <c r="AY88" s="45">
        <v>41419.624413413847</v>
      </c>
      <c r="AZ88" s="45">
        <v>41786.830510079075</v>
      </c>
      <c r="BA88" s="45">
        <v>42151.617621277604</v>
      </c>
      <c r="BB88" s="45">
        <v>42868.882091371946</v>
      </c>
      <c r="BC88" s="45">
        <v>43386.634170087927</v>
      </c>
      <c r="BD88" s="45">
        <v>43984.243305251162</v>
      </c>
      <c r="BE88" s="45">
        <v>44512.043944204735</v>
      </c>
      <c r="BF88" s="45">
        <v>45177.641201257793</v>
      </c>
      <c r="BG88" s="45">
        <v>45729.008998804042</v>
      </c>
      <c r="BH88" s="45">
        <v>46465.651901048346</v>
      </c>
      <c r="BI88" s="45">
        <v>47048.450813708114</v>
      </c>
      <c r="BJ88" s="45">
        <v>47699.753403609924</v>
      </c>
      <c r="BK88" s="45">
        <v>48383.986788352035</v>
      </c>
      <c r="BL88" s="45">
        <v>49168.518684614559</v>
      </c>
      <c r="BM88" s="45">
        <v>49905.140305507106</v>
      </c>
      <c r="BN88" s="45">
        <v>50618.695883058535</v>
      </c>
      <c r="BO88" s="45">
        <v>51264.703273829771</v>
      </c>
      <c r="BP88" s="45">
        <v>51911.860382894505</v>
      </c>
      <c r="BQ88" s="45">
        <v>52521.331546268426</v>
      </c>
      <c r="BR88" s="45">
        <v>53122.458093771464</v>
      </c>
      <c r="BS88" s="45">
        <v>53645.580626804469</v>
      </c>
      <c r="BT88" s="45">
        <v>54226.426224439419</v>
      </c>
      <c r="BU88" s="45">
        <v>54761.156138889957</v>
      </c>
      <c r="BV88" s="45">
        <v>55358.522086356636</v>
      </c>
      <c r="BW88" s="45">
        <v>55929.227482921531</v>
      </c>
      <c r="BX88" s="45">
        <v>56514.17385733343</v>
      </c>
      <c r="BY88" s="45">
        <v>57102.022494486373</v>
      </c>
      <c r="BZ88" s="45">
        <v>57760.3562745081</v>
      </c>
      <c r="CA88" s="45">
        <v>58358.995765006686</v>
      </c>
      <c r="CB88" s="45">
        <v>58911.765105767445</v>
      </c>
      <c r="CC88" s="45">
        <v>59493.036903400556</v>
      </c>
      <c r="CD88" s="45">
        <v>60056.970805000048</v>
      </c>
      <c r="CE88" s="45">
        <v>60604.971450431978</v>
      </c>
      <c r="CF88" s="45">
        <v>61176.088451058931</v>
      </c>
      <c r="CG88" s="45">
        <v>61724.257562151099</v>
      </c>
      <c r="CH88" s="45">
        <v>62265.18424955185</v>
      </c>
      <c r="CI88" s="45">
        <v>62834.686028595737</v>
      </c>
      <c r="CJ88" s="45">
        <v>63332.745822228768</v>
      </c>
      <c r="CK88" s="45">
        <v>63852.921658897132</v>
      </c>
      <c r="CL88" s="45">
        <v>64404.697352090217</v>
      </c>
      <c r="CM88" s="45">
        <v>64902.449187158971</v>
      </c>
      <c r="CN88" s="45">
        <v>65417.87557517831</v>
      </c>
      <c r="CO88" s="45">
        <v>65923.491393756194</v>
      </c>
      <c r="CP88" s="45">
        <v>66426.364378015569</v>
      </c>
      <c r="CQ88" s="45">
        <v>66916.998482996059</v>
      </c>
      <c r="CR88" s="45">
        <v>67379.414393410712</v>
      </c>
      <c r="CS88" s="45">
        <v>67866.988943507808</v>
      </c>
      <c r="CT88" s="45">
        <v>68325.531966443508</v>
      </c>
      <c r="CU88" s="45">
        <v>68783.868325833042</v>
      </c>
      <c r="CV88" s="45">
        <v>69224.56241663426</v>
      </c>
      <c r="CW88" s="45">
        <v>69665.764786902233</v>
      </c>
      <c r="CX88" s="45">
        <v>70117.064770227807</v>
      </c>
      <c r="CY88" s="45">
        <v>70537.948213643394</v>
      </c>
      <c r="CZ88" s="45">
        <v>70956.687747545788</v>
      </c>
      <c r="DA88" s="45">
        <v>71365.852496272477</v>
      </c>
      <c r="DB88" s="45">
        <v>71798.189761823844</v>
      </c>
      <c r="DC88" s="45">
        <v>72212.73327002101</v>
      </c>
      <c r="DD88" s="45">
        <v>72614.278138827212</v>
      </c>
      <c r="DE88" s="45">
        <v>73015.772361978772</v>
      </c>
      <c r="DF88" s="45">
        <v>73435.949713607319</v>
      </c>
      <c r="DG88" s="45">
        <v>73817.197920784383</v>
      </c>
      <c r="DH88" s="45">
        <v>74206.071140058397</v>
      </c>
      <c r="DI88" s="45">
        <v>74574.236059855364</v>
      </c>
      <c r="DJ88" s="45">
        <v>74967.998704466998</v>
      </c>
      <c r="DK88" s="45">
        <v>75343.698794846074</v>
      </c>
      <c r="DL88" s="45">
        <v>75702.163283997157</v>
      </c>
      <c r="DM88" s="45">
        <v>76057.192956676037</v>
      </c>
      <c r="DN88" s="45">
        <v>76406.340129359422</v>
      </c>
      <c r="DO88" s="45">
        <v>76769.99261528028</v>
      </c>
      <c r="DP88">
        <v>77127.492200874869</v>
      </c>
      <c r="DQ88">
        <v>77467.044584598101</v>
      </c>
      <c r="DR88">
        <v>77813.620808790816</v>
      </c>
      <c r="DS88">
        <v>78146.845528822712</v>
      </c>
      <c r="DT88">
        <v>78486.006450985093</v>
      </c>
      <c r="DU88">
        <v>78820.367489710552</v>
      </c>
    </row>
    <row r="89" spans="1:125">
      <c r="A89" s="42">
        <v>87</v>
      </c>
      <c r="B89" s="45"/>
      <c r="C89" s="45"/>
      <c r="D89" s="45"/>
      <c r="E89" s="45"/>
      <c r="F89" s="45"/>
      <c r="G89" s="45"/>
      <c r="H89" s="45"/>
      <c r="I89" s="45"/>
      <c r="J89" s="45"/>
      <c r="K89" s="45"/>
      <c r="L89" s="45"/>
      <c r="M89" s="45"/>
      <c r="N89" s="45"/>
      <c r="O89" s="45"/>
      <c r="P89" s="45"/>
      <c r="Q89" s="45"/>
      <c r="R89" s="45"/>
      <c r="S89" s="45"/>
      <c r="T89" s="45"/>
      <c r="U89" s="45"/>
      <c r="V89" s="45"/>
      <c r="W89" s="45">
        <v>20910</v>
      </c>
      <c r="X89" s="45">
        <v>21705.5</v>
      </c>
      <c r="Y89" s="45">
        <v>22241.91441677657</v>
      </c>
      <c r="Z89" s="45">
        <v>23547.982266693205</v>
      </c>
      <c r="AA89" s="45">
        <v>24090.010944343412</v>
      </c>
      <c r="AB89" s="45">
        <v>24766.952466225252</v>
      </c>
      <c r="AC89" s="45">
        <v>25514.608340272862</v>
      </c>
      <c r="AD89" s="45">
        <v>25920.743895537053</v>
      </c>
      <c r="AE89" s="45">
        <v>26471.33422440874</v>
      </c>
      <c r="AF89" s="45">
        <v>27444.83541616935</v>
      </c>
      <c r="AG89" s="45">
        <v>28149.430308605279</v>
      </c>
      <c r="AH89" s="45">
        <v>28897.813724234547</v>
      </c>
      <c r="AI89" s="45">
        <v>29764.962053346051</v>
      </c>
      <c r="AJ89" s="45">
        <v>30867.366447191082</v>
      </c>
      <c r="AK89" s="45">
        <v>31474.648500788549</v>
      </c>
      <c r="AL89" s="45">
        <v>32416.396821967493</v>
      </c>
      <c r="AM89" s="45">
        <v>33229.799837537103</v>
      </c>
      <c r="AN89" s="45">
        <v>33927.201523926589</v>
      </c>
      <c r="AO89" s="45">
        <v>34280.733962440441</v>
      </c>
      <c r="AP89" s="45">
        <v>34627.858077819423</v>
      </c>
      <c r="AQ89" s="45">
        <v>34943.885881743081</v>
      </c>
      <c r="AR89" s="45">
        <v>35295.281183519866</v>
      </c>
      <c r="AS89" s="45">
        <v>35190.231005929782</v>
      </c>
      <c r="AT89" s="45">
        <v>34991.771779505798</v>
      </c>
      <c r="AU89" s="45">
        <v>34706.884664296769</v>
      </c>
      <c r="AV89" s="45">
        <v>35067.8319310347</v>
      </c>
      <c r="AW89" s="45">
        <v>35845.328556498949</v>
      </c>
      <c r="AX89" s="45">
        <v>36994.88375041206</v>
      </c>
      <c r="AY89" s="45">
        <v>38113.763385813552</v>
      </c>
      <c r="AZ89" s="45">
        <v>38498.5687142924</v>
      </c>
      <c r="BA89" s="45">
        <v>38881.040805066601</v>
      </c>
      <c r="BB89" s="45">
        <v>39587.407533991704</v>
      </c>
      <c r="BC89" s="45">
        <v>40110.871713887653</v>
      </c>
      <c r="BD89" s="45">
        <v>40707.42934671801</v>
      </c>
      <c r="BE89" s="45">
        <v>41240.566936636053</v>
      </c>
      <c r="BF89" s="45">
        <v>41901.630684384945</v>
      </c>
      <c r="BG89" s="45">
        <v>42458.485492779575</v>
      </c>
      <c r="BH89" s="45">
        <v>43186.330331990815</v>
      </c>
      <c r="BI89" s="45">
        <v>43772.371498601315</v>
      </c>
      <c r="BJ89" s="45">
        <v>44422.795998193702</v>
      </c>
      <c r="BK89" s="45">
        <v>45104.580059999993</v>
      </c>
      <c r="BL89" s="45">
        <v>45880.484796302044</v>
      </c>
      <c r="BM89" s="45">
        <v>46612.302719364372</v>
      </c>
      <c r="BN89" s="45">
        <v>47323.531946782903</v>
      </c>
      <c r="BO89" s="45">
        <v>47972.146879958076</v>
      </c>
      <c r="BP89" s="45">
        <v>48622.844843678577</v>
      </c>
      <c r="BQ89" s="45">
        <v>49238.465186295252</v>
      </c>
      <c r="BR89" s="45">
        <v>49846.94231112428</v>
      </c>
      <c r="BS89" s="45">
        <v>50382.792422362749</v>
      </c>
      <c r="BT89" s="45">
        <v>50972.951845814721</v>
      </c>
      <c r="BU89" s="45">
        <v>51520.287575429917</v>
      </c>
      <c r="BV89" s="45">
        <v>52126.591537951288</v>
      </c>
      <c r="BW89" s="45">
        <v>52708.410629599006</v>
      </c>
      <c r="BX89" s="45">
        <v>53303.750404848783</v>
      </c>
      <c r="BY89" s="45">
        <v>53902.076936287471</v>
      </c>
      <c r="BZ89" s="45">
        <v>54567.308253263865</v>
      </c>
      <c r="CA89" s="45">
        <v>55176.727770161539</v>
      </c>
      <c r="CB89" s="45">
        <v>55743.272454700767</v>
      </c>
      <c r="CC89" s="45">
        <v>56336.502100627884</v>
      </c>
      <c r="CD89" s="45">
        <v>56913.759864243431</v>
      </c>
      <c r="CE89" s="45">
        <v>57476.232351940198</v>
      </c>
      <c r="CF89" s="45">
        <v>58060.65164292643</v>
      </c>
      <c r="CG89" s="45">
        <v>58623.747804846287</v>
      </c>
      <c r="CH89" s="45">
        <v>59180.049610486341</v>
      </c>
      <c r="CI89" s="45">
        <v>59763.681466306902</v>
      </c>
      <c r="CJ89" s="45">
        <v>60279.66743905512</v>
      </c>
      <c r="CK89" s="45">
        <v>60816.819232046386</v>
      </c>
      <c r="CL89" s="45">
        <v>61384.0471252481</v>
      </c>
      <c r="CM89" s="45">
        <v>61900.066004892426</v>
      </c>
      <c r="CN89" s="45">
        <v>62433.042568411882</v>
      </c>
      <c r="CO89" s="45">
        <v>62956.520392176943</v>
      </c>
      <c r="CP89" s="45">
        <v>63477.688760084711</v>
      </c>
      <c r="CQ89" s="45">
        <v>63987.130935696492</v>
      </c>
      <c r="CR89" s="45">
        <v>64469.789945140823</v>
      </c>
      <c r="CS89" s="45">
        <v>64976.392913205753</v>
      </c>
      <c r="CT89" s="45">
        <v>65455.302149602532</v>
      </c>
      <c r="CU89" s="45">
        <v>65933.950563682098</v>
      </c>
      <c r="CV89" s="45">
        <v>66395.685204854963</v>
      </c>
      <c r="CW89" s="45">
        <v>66858.01640592824</v>
      </c>
      <c r="CX89" s="45">
        <v>67329.850484983428</v>
      </c>
      <c r="CY89" s="45">
        <v>67772.568128878353</v>
      </c>
      <c r="CZ89" s="45">
        <v>68213.011702955409</v>
      </c>
      <c r="DA89" s="45">
        <v>68644.295037967546</v>
      </c>
      <c r="DB89" s="45">
        <v>69097.688800754127</v>
      </c>
      <c r="DC89" s="45">
        <v>69534.051364151033</v>
      </c>
      <c r="DD89" s="45">
        <v>69957.715687827833</v>
      </c>
      <c r="DE89" s="45">
        <v>70381.297805401104</v>
      </c>
      <c r="DF89" s="45">
        <v>70822.807650560004</v>
      </c>
      <c r="DG89" s="45">
        <v>71226.577607907282</v>
      </c>
      <c r="DH89" s="45">
        <v>71637.696538870936</v>
      </c>
      <c r="DI89" s="45">
        <v>72028.620880724586</v>
      </c>
      <c r="DJ89" s="45">
        <v>72444.159278388077</v>
      </c>
      <c r="DK89" s="45">
        <v>72842.199490186031</v>
      </c>
      <c r="DL89" s="45">
        <v>73223.434364548943</v>
      </c>
      <c r="DM89" s="45">
        <v>73601.112545623386</v>
      </c>
      <c r="DN89" s="45">
        <v>73973.04838315511</v>
      </c>
      <c r="DO89" s="45">
        <v>74358.835493749735</v>
      </c>
      <c r="DP89">
        <v>74738.554442722918</v>
      </c>
      <c r="DQ89">
        <v>75100.707218862226</v>
      </c>
      <c r="DR89">
        <v>75469.45444340707</v>
      </c>
      <c r="DS89">
        <v>75825.187173100581</v>
      </c>
      <c r="DT89">
        <v>76186.471723721115</v>
      </c>
      <c r="DU89">
        <v>76542.93457617033</v>
      </c>
    </row>
    <row r="90" spans="1:125">
      <c r="A90" s="42">
        <v>88</v>
      </c>
      <c r="B90" s="45"/>
      <c r="C90" s="45"/>
      <c r="D90" s="45"/>
      <c r="E90" s="45"/>
      <c r="F90" s="45"/>
      <c r="G90" s="45"/>
      <c r="H90" s="45"/>
      <c r="I90" s="45"/>
      <c r="J90" s="45"/>
      <c r="K90" s="45"/>
      <c r="L90" s="45"/>
      <c r="M90" s="45"/>
      <c r="N90" s="45"/>
      <c r="O90" s="45"/>
      <c r="P90" s="45"/>
      <c r="Q90" s="45"/>
      <c r="R90" s="45"/>
      <c r="S90" s="45"/>
      <c r="T90" s="45"/>
      <c r="U90" s="45"/>
      <c r="V90" s="45"/>
      <c r="W90" s="45">
        <v>18366.5</v>
      </c>
      <c r="X90" s="45">
        <v>19161</v>
      </c>
      <c r="Y90" s="45">
        <v>19631.87192565564</v>
      </c>
      <c r="Z90" s="45">
        <v>20805.818118341187</v>
      </c>
      <c r="AA90" s="45">
        <v>21239.349396519559</v>
      </c>
      <c r="AB90" s="45">
        <v>22022.130863721162</v>
      </c>
      <c r="AC90" s="45">
        <v>22567.409329795166</v>
      </c>
      <c r="AD90" s="45">
        <v>23059.990372437456</v>
      </c>
      <c r="AE90" s="45">
        <v>23491.790986527511</v>
      </c>
      <c r="AF90" s="45">
        <v>24434.858513631243</v>
      </c>
      <c r="AG90" s="45">
        <v>25123.759583854848</v>
      </c>
      <c r="AH90" s="45">
        <v>25811.603603464984</v>
      </c>
      <c r="AI90" s="45">
        <v>26407.442295137014</v>
      </c>
      <c r="AJ90" s="45">
        <v>27423.707559170813</v>
      </c>
      <c r="AK90" s="45">
        <v>28039.19511239235</v>
      </c>
      <c r="AL90" s="45">
        <v>28923.086930122958</v>
      </c>
      <c r="AM90" s="45">
        <v>29695.712419065792</v>
      </c>
      <c r="AN90" s="45">
        <v>30367.655044771287</v>
      </c>
      <c r="AO90" s="45">
        <v>30732.512843122127</v>
      </c>
      <c r="AP90" s="45">
        <v>31091.535162528497</v>
      </c>
      <c r="AQ90" s="45">
        <v>31420.913379913116</v>
      </c>
      <c r="AR90" s="45">
        <v>31781.81726104347</v>
      </c>
      <c r="AS90" s="45">
        <v>31735.045608514192</v>
      </c>
      <c r="AT90" s="45">
        <v>31601.867479601548</v>
      </c>
      <c r="AU90" s="45">
        <v>31390.116970867879</v>
      </c>
      <c r="AV90" s="45">
        <v>31760.830601505604</v>
      </c>
      <c r="AW90" s="45">
        <v>32508.971856927197</v>
      </c>
      <c r="AX90" s="45">
        <v>33595.36651744516</v>
      </c>
      <c r="AY90" s="45">
        <v>34657.678644546555</v>
      </c>
      <c r="AZ90" s="45">
        <v>35055.102714543485</v>
      </c>
      <c r="BA90" s="45">
        <v>35450.44627459679</v>
      </c>
      <c r="BB90" s="45">
        <v>36140.071685890813</v>
      </c>
      <c r="BC90" s="45">
        <v>36664.173786706997</v>
      </c>
      <c r="BD90" s="45">
        <v>37254.52580115501</v>
      </c>
      <c r="BE90" s="45">
        <v>37788.134173170765</v>
      </c>
      <c r="BF90" s="45">
        <v>38439.356449385712</v>
      </c>
      <c r="BG90" s="45">
        <v>38996.819545649108</v>
      </c>
      <c r="BH90" s="45">
        <v>39710.472008744939</v>
      </c>
      <c r="BI90" s="45">
        <v>40295.033464748238</v>
      </c>
      <c r="BJ90" s="45">
        <v>40939.639121312837</v>
      </c>
      <c r="BK90" s="45">
        <v>41613.965746978225</v>
      </c>
      <c r="BL90" s="45">
        <v>42375.885083999412</v>
      </c>
      <c r="BM90" s="45">
        <v>43097.841096551754</v>
      </c>
      <c r="BN90" s="45">
        <v>43801.843101123683</v>
      </c>
      <c r="BO90" s="45">
        <v>44448.555824364405</v>
      </c>
      <c r="BP90" s="45">
        <v>45098.32531783991</v>
      </c>
      <c r="BQ90" s="45">
        <v>45715.907479909685</v>
      </c>
      <c r="BR90" s="45">
        <v>46327.656005465804</v>
      </c>
      <c r="BS90" s="45">
        <v>46872.58852772793</v>
      </c>
      <c r="BT90" s="45">
        <v>47468.261164584146</v>
      </c>
      <c r="BU90" s="45">
        <v>48024.693331715229</v>
      </c>
      <c r="BV90" s="45">
        <v>48636.247133961748</v>
      </c>
      <c r="BW90" s="45">
        <v>49225.687812959331</v>
      </c>
      <c r="BX90" s="45">
        <v>49827.968188061757</v>
      </c>
      <c r="BY90" s="45">
        <v>50433.400811102554</v>
      </c>
      <c r="BZ90" s="45">
        <v>51101.914633072884</v>
      </c>
      <c r="CA90" s="45">
        <v>51718.855956397674</v>
      </c>
      <c r="CB90" s="45">
        <v>52296.211410684336</v>
      </c>
      <c r="CC90" s="45">
        <v>52898.418874922441</v>
      </c>
      <c r="CD90" s="45">
        <v>53486.179184756009</v>
      </c>
      <c r="CE90" s="45">
        <v>54060.459907077617</v>
      </c>
      <c r="CF90" s="45">
        <v>54655.504411121212</v>
      </c>
      <c r="CG90" s="45">
        <v>55231.03273297799</v>
      </c>
      <c r="CH90" s="45">
        <v>55800.338455638725</v>
      </c>
      <c r="CI90" s="45">
        <v>56395.67862727584</v>
      </c>
      <c r="CJ90" s="45">
        <v>56927.583197809196</v>
      </c>
      <c r="CK90" s="45">
        <v>57479.680845285664</v>
      </c>
      <c r="CL90" s="45">
        <v>58060.269221521012</v>
      </c>
      <c r="CM90" s="45">
        <v>58592.791632192413</v>
      </c>
      <c r="CN90" s="45">
        <v>59141.550289692226</v>
      </c>
      <c r="CO90" s="45">
        <v>59681.252880182597</v>
      </c>
      <c r="CP90" s="45">
        <v>60219.161094257099</v>
      </c>
      <c r="CQ90" s="45">
        <v>60745.99072705095</v>
      </c>
      <c r="CR90" s="45">
        <v>61247.672430251579</v>
      </c>
      <c r="CS90" s="45">
        <v>61772.043055625443</v>
      </c>
      <c r="CT90" s="45">
        <v>62270.260947164628</v>
      </c>
      <c r="CU90" s="45">
        <v>62768.235492200714</v>
      </c>
      <c r="CV90" s="45">
        <v>63250.173194817835</v>
      </c>
      <c r="CW90" s="45">
        <v>63732.857251435344</v>
      </c>
      <c r="CX90" s="45">
        <v>64224.471529488357</v>
      </c>
      <c r="CY90" s="45">
        <v>64688.469126640688</v>
      </c>
      <c r="CZ90" s="45">
        <v>65150.136012828123</v>
      </c>
      <c r="DA90" s="45">
        <v>65603.159076249518</v>
      </c>
      <c r="DB90" s="45">
        <v>66077.187092059234</v>
      </c>
      <c r="DC90" s="45">
        <v>66535.082542287622</v>
      </c>
      <c r="DD90" s="45">
        <v>66980.694866112783</v>
      </c>
      <c r="DE90" s="45">
        <v>67426.248091989895</v>
      </c>
      <c r="DF90" s="45">
        <v>67888.945676574425</v>
      </c>
      <c r="DG90" s="45">
        <v>68315.315128292073</v>
      </c>
      <c r="DH90" s="45">
        <v>68748.774615372677</v>
      </c>
      <c r="DI90" s="45">
        <v>69162.69144454808</v>
      </c>
      <c r="DJ90" s="45">
        <v>69600.176382523612</v>
      </c>
      <c r="DK90" s="45">
        <v>70020.851699542443</v>
      </c>
      <c r="DL90" s="45">
        <v>70425.269911029056</v>
      </c>
      <c r="DM90" s="45">
        <v>70826.066458051995</v>
      </c>
      <c r="DN90" s="45">
        <v>71221.327940579591</v>
      </c>
      <c r="DO90" s="45">
        <v>71629.766581421427</v>
      </c>
      <c r="DP90">
        <v>72032.287576434814</v>
      </c>
      <c r="DQ90">
        <v>72417.735206600206</v>
      </c>
      <c r="DR90">
        <v>72809.355125968257</v>
      </c>
      <c r="DS90">
        <v>73188.3887822541</v>
      </c>
      <c r="DT90">
        <v>73572.599583233488</v>
      </c>
      <c r="DU90">
        <v>73952.019437728159</v>
      </c>
    </row>
    <row r="91" spans="1:125">
      <c r="A91" s="42">
        <v>89</v>
      </c>
      <c r="B91" s="45"/>
      <c r="C91" s="45"/>
      <c r="D91" s="45"/>
      <c r="E91" s="45"/>
      <c r="F91" s="45"/>
      <c r="G91" s="45"/>
      <c r="H91" s="45"/>
      <c r="I91" s="45"/>
      <c r="J91" s="45"/>
      <c r="K91" s="45"/>
      <c r="L91" s="45"/>
      <c r="M91" s="45"/>
      <c r="N91" s="45"/>
      <c r="O91" s="45"/>
      <c r="P91" s="45"/>
      <c r="Q91" s="45"/>
      <c r="R91" s="45"/>
      <c r="S91" s="45"/>
      <c r="T91" s="45"/>
      <c r="U91" s="45"/>
      <c r="V91" s="45"/>
      <c r="W91" s="45">
        <v>15979.5</v>
      </c>
      <c r="X91" s="45">
        <v>16632.5</v>
      </c>
      <c r="Y91" s="45">
        <v>17078.93694120878</v>
      </c>
      <c r="Z91" s="45">
        <v>18014.624269865504</v>
      </c>
      <c r="AA91" s="45">
        <v>18589.360271432433</v>
      </c>
      <c r="AB91" s="45">
        <v>19169.421004658117</v>
      </c>
      <c r="AC91" s="45">
        <v>19777.466220272014</v>
      </c>
      <c r="AD91" s="45">
        <v>20121.021287763961</v>
      </c>
      <c r="AE91" s="45">
        <v>20524.594321448487</v>
      </c>
      <c r="AF91" s="45">
        <v>21439.57313916452</v>
      </c>
      <c r="AG91" s="45">
        <v>22099.929241407946</v>
      </c>
      <c r="AH91" s="45">
        <v>22557.13290906349</v>
      </c>
      <c r="AI91" s="45">
        <v>23078.406524261292</v>
      </c>
      <c r="AJ91" s="45">
        <v>24008.364364786714</v>
      </c>
      <c r="AK91" s="45">
        <v>24591.19156883657</v>
      </c>
      <c r="AL91" s="45">
        <v>25410.394338366677</v>
      </c>
      <c r="AM91" s="45">
        <v>26135.099203573518</v>
      </c>
      <c r="AN91" s="45">
        <v>26774.201809554423</v>
      </c>
      <c r="AO91" s="45">
        <v>27143.422048394699</v>
      </c>
      <c r="AP91" s="45">
        <v>27507.580479109103</v>
      </c>
      <c r="AQ91" s="45">
        <v>27844.054691144585</v>
      </c>
      <c r="AR91" s="45">
        <v>28208.353577078396</v>
      </c>
      <c r="AS91" s="45">
        <v>28214.096450891971</v>
      </c>
      <c r="AT91" s="45">
        <v>28141.075109035621</v>
      </c>
      <c r="AU91" s="45">
        <v>27997.690440789374</v>
      </c>
      <c r="AV91" s="45">
        <v>28372.370311667502</v>
      </c>
      <c r="AW91" s="45">
        <v>29084.086633090854</v>
      </c>
      <c r="AX91" s="45">
        <v>30099.684539469781</v>
      </c>
      <c r="AY91" s="45">
        <v>31097.528104994759</v>
      </c>
      <c r="AZ91" s="45">
        <v>31501.481289316718</v>
      </c>
      <c r="BA91" s="45">
        <v>31903.768645255681</v>
      </c>
      <c r="BB91" s="45">
        <v>32570.074928280636</v>
      </c>
      <c r="BC91" s="45">
        <v>33088.772183215646</v>
      </c>
      <c r="BD91" s="45">
        <v>33666.87956412317</v>
      </c>
      <c r="BE91" s="45">
        <v>34195.114804180936</v>
      </c>
      <c r="BF91" s="45">
        <v>34830.323966006195</v>
      </c>
      <c r="BG91" s="45">
        <v>35382.515814157334</v>
      </c>
      <c r="BH91" s="45">
        <v>36075.749656716245</v>
      </c>
      <c r="BI91" s="45">
        <v>36653.125759253075</v>
      </c>
      <c r="BJ91" s="45">
        <v>37286.026179166001</v>
      </c>
      <c r="BK91" s="45">
        <v>37946.949535512846</v>
      </c>
      <c r="BL91" s="45">
        <v>38688.643296681264</v>
      </c>
      <c r="BM91" s="45">
        <v>39394.747997598744</v>
      </c>
      <c r="BN91" s="45">
        <v>40085.654672759716</v>
      </c>
      <c r="BO91" s="45">
        <v>40724.934275634892</v>
      </c>
      <c r="BP91" s="45">
        <v>41368.266984314148</v>
      </c>
      <c r="BQ91" s="45">
        <v>41982.560087643469</v>
      </c>
      <c r="BR91" s="45">
        <v>42592.422487055308</v>
      </c>
      <c r="BS91" s="45">
        <v>43141.666402675313</v>
      </c>
      <c r="BT91" s="45">
        <v>43737.957398489823</v>
      </c>
      <c r="BU91" s="45">
        <v>44298.855885379133</v>
      </c>
      <c r="BV91" s="45">
        <v>44910.883266654659</v>
      </c>
      <c r="BW91" s="45">
        <v>45503.348083519377</v>
      </c>
      <c r="BX91" s="45">
        <v>46108.020812424504</v>
      </c>
      <c r="BY91" s="45">
        <v>46716.095094993958</v>
      </c>
      <c r="BZ91" s="45">
        <v>47383.207888489589</v>
      </c>
      <c r="CA91" s="45">
        <v>48003.320422581513</v>
      </c>
      <c r="CB91" s="45">
        <v>48587.414369776299</v>
      </c>
      <c r="CC91" s="45">
        <v>49194.533430388008</v>
      </c>
      <c r="CD91" s="45">
        <v>49788.884593874733</v>
      </c>
      <c r="CE91" s="45">
        <v>50371.219088388374</v>
      </c>
      <c r="CF91" s="45">
        <v>50973.134872674229</v>
      </c>
      <c r="CG91" s="45">
        <v>51557.520408302415</v>
      </c>
      <c r="CH91" s="45">
        <v>52136.385994607946</v>
      </c>
      <c r="CI91" s="45">
        <v>52739.951741924262</v>
      </c>
      <c r="CJ91" s="45">
        <v>53284.701181248354</v>
      </c>
      <c r="CK91" s="45">
        <v>53848.660487435845</v>
      </c>
      <c r="CL91" s="45">
        <v>54439.478420236366</v>
      </c>
      <c r="CM91" s="45">
        <v>54985.703089787508</v>
      </c>
      <c r="CN91" s="45">
        <v>55547.449409683897</v>
      </c>
      <c r="CO91" s="45">
        <v>56100.72655720482</v>
      </c>
      <c r="CP91" s="45">
        <v>56652.812894548464</v>
      </c>
      <c r="CQ91" s="45">
        <v>57194.615477006228</v>
      </c>
      <c r="CR91" s="45">
        <v>57713.114460483819</v>
      </c>
      <c r="CS91" s="45">
        <v>58253.021610833639</v>
      </c>
      <c r="CT91" s="45">
        <v>58768.53171803803</v>
      </c>
      <c r="CU91" s="45">
        <v>59283.901436908629</v>
      </c>
      <c r="CV91" s="45">
        <v>59784.273434028175</v>
      </c>
      <c r="CW91" s="45">
        <v>60285.614569180456</v>
      </c>
      <c r="CX91" s="45">
        <v>60795.350543737113</v>
      </c>
      <c r="CY91" s="45">
        <v>61279.183533911433</v>
      </c>
      <c r="CZ91" s="45">
        <v>61760.719290817156</v>
      </c>
      <c r="DA91" s="45">
        <v>62234.243235993759</v>
      </c>
      <c r="DB91" s="45">
        <v>62727.636379553209</v>
      </c>
      <c r="DC91" s="45">
        <v>63205.945886810354</v>
      </c>
      <c r="DD91" s="45">
        <v>63672.519676286029</v>
      </c>
      <c r="DE91" s="45">
        <v>64139.125948820641</v>
      </c>
      <c r="DF91" s="45">
        <v>64622.076619021944</v>
      </c>
      <c r="DG91" s="45">
        <v>65070.355685899893</v>
      </c>
      <c r="DH91" s="45">
        <v>65525.495011798426</v>
      </c>
      <c r="DI91" s="45">
        <v>65961.90147310021</v>
      </c>
      <c r="DJ91" s="45">
        <v>66420.777336109255</v>
      </c>
      <c r="DK91" s="45">
        <v>66863.673639826549</v>
      </c>
      <c r="DL91" s="45">
        <v>67290.997486463428</v>
      </c>
      <c r="DM91" s="45">
        <v>67714.708118161972</v>
      </c>
      <c r="DN91" s="45">
        <v>68133.173007735269</v>
      </c>
      <c r="DO91" s="45">
        <v>68564.132461437664</v>
      </c>
      <c r="DP91">
        <v>68989.406010256003</v>
      </c>
      <c r="DQ91">
        <v>69398.229848823685</v>
      </c>
      <c r="DR91">
        <v>69812.824092264942</v>
      </c>
      <c r="DS91">
        <v>70215.368267426966</v>
      </c>
      <c r="DT91">
        <v>70622.737522143638</v>
      </c>
      <c r="DU91">
        <v>71025.414371801409</v>
      </c>
    </row>
    <row r="92" spans="1:125">
      <c r="A92" s="42">
        <v>90</v>
      </c>
      <c r="B92" s="45"/>
      <c r="C92" s="45"/>
      <c r="D92" s="45"/>
      <c r="E92" s="45"/>
      <c r="F92" s="45"/>
      <c r="G92" s="45"/>
      <c r="H92" s="45"/>
      <c r="I92" s="45"/>
      <c r="J92" s="45"/>
      <c r="K92" s="45"/>
      <c r="L92" s="45"/>
      <c r="M92" s="45"/>
      <c r="N92" s="45"/>
      <c r="O92" s="45"/>
      <c r="P92" s="45"/>
      <c r="Q92" s="45"/>
      <c r="R92" s="45"/>
      <c r="S92" s="45"/>
      <c r="T92" s="45"/>
      <c r="U92" s="45"/>
      <c r="V92" s="45"/>
      <c r="W92" s="45">
        <v>13617</v>
      </c>
      <c r="X92" s="45">
        <v>14181</v>
      </c>
      <c r="Y92" s="45">
        <v>14510.16601684234</v>
      </c>
      <c r="Z92" s="45">
        <v>15508.897537423338</v>
      </c>
      <c r="AA92" s="45">
        <v>15881.305683305363</v>
      </c>
      <c r="AB92" s="45">
        <v>16495.966562291527</v>
      </c>
      <c r="AC92" s="45">
        <v>16964.475819196967</v>
      </c>
      <c r="AD92" s="45">
        <v>17272.220556366665</v>
      </c>
      <c r="AE92" s="45">
        <v>17676.06340717119</v>
      </c>
      <c r="AF92" s="45">
        <v>18536.285852003461</v>
      </c>
      <c r="AG92" s="45">
        <v>18941.223294400872</v>
      </c>
      <c r="AH92" s="45">
        <v>19324.963858611012</v>
      </c>
      <c r="AI92" s="45">
        <v>19815.650669355826</v>
      </c>
      <c r="AJ92" s="45">
        <v>20655.368659293079</v>
      </c>
      <c r="AK92" s="45">
        <v>21198.8173039627</v>
      </c>
      <c r="AL92" s="45">
        <v>21947.151316005085</v>
      </c>
      <c r="AM92" s="45">
        <v>22617.092887979805</v>
      </c>
      <c r="AN92" s="45">
        <v>23215.960849095565</v>
      </c>
      <c r="AO92" s="45">
        <v>23581.822751917545</v>
      </c>
      <c r="AP92" s="45">
        <v>23943.560200878841</v>
      </c>
      <c r="AQ92" s="45">
        <v>24280.014226532025</v>
      </c>
      <c r="AR92" s="45">
        <v>24640.785624686439</v>
      </c>
      <c r="AS92" s="45">
        <v>24691.579272121337</v>
      </c>
      <c r="AT92" s="45">
        <v>24671.751919907427</v>
      </c>
      <c r="AU92" s="45">
        <v>24589.990064665311</v>
      </c>
      <c r="AV92" s="45">
        <v>24961.433967884463</v>
      </c>
      <c r="AW92" s="45">
        <v>25629.840493084961</v>
      </c>
      <c r="AX92" s="45">
        <v>26567.429766013829</v>
      </c>
      <c r="AY92" s="45">
        <v>27493.17642633367</v>
      </c>
      <c r="AZ92" s="45">
        <v>27896.619657049516</v>
      </c>
      <c r="BA92" s="45">
        <v>28298.954090337538</v>
      </c>
      <c r="BB92" s="45">
        <v>28934.870985972539</v>
      </c>
      <c r="BC92" s="45">
        <v>29441.319246952124</v>
      </c>
      <c r="BD92" s="45">
        <v>30000.434709016452</v>
      </c>
      <c r="BE92" s="45">
        <v>30516.620493253071</v>
      </c>
      <c r="BF92" s="45">
        <v>31128.959721040097</v>
      </c>
      <c r="BG92" s="45">
        <v>31669.134337530839</v>
      </c>
      <c r="BH92" s="45">
        <v>32335.069059281843</v>
      </c>
      <c r="BI92" s="45">
        <v>32898.68890281253</v>
      </c>
      <c r="BJ92" s="45">
        <v>33513.182447551058</v>
      </c>
      <c r="BK92" s="45">
        <v>34153.949461308875</v>
      </c>
      <c r="BL92" s="45">
        <v>34868.447020437212</v>
      </c>
      <c r="BM92" s="45">
        <v>35551.904527404608</v>
      </c>
      <c r="BN92" s="45">
        <v>36222.987999931152</v>
      </c>
      <c r="BO92" s="45">
        <v>36848.357969104589</v>
      </c>
      <c r="BP92" s="45">
        <v>37478.773700206773</v>
      </c>
      <c r="BQ92" s="45">
        <v>38083.50814862366</v>
      </c>
      <c r="BR92" s="45">
        <v>38685.281794590417</v>
      </c>
      <c r="BS92" s="45">
        <v>39232.940973647637</v>
      </c>
      <c r="BT92" s="45">
        <v>39823.869955373593</v>
      </c>
      <c r="BU92" s="45">
        <v>40383.47047843878</v>
      </c>
      <c r="BV92" s="45">
        <v>40990.103010167681</v>
      </c>
      <c r="BW92" s="45">
        <v>41579.869271781499</v>
      </c>
      <c r="BX92" s="45">
        <v>42181.26618321053</v>
      </c>
      <c r="BY92" s="45">
        <v>42786.393160520849</v>
      </c>
      <c r="BZ92" s="45">
        <v>43446.332721921397</v>
      </c>
      <c r="CA92" s="45">
        <v>44064.128953064603</v>
      </c>
      <c r="CB92" s="45">
        <v>44649.717043774785</v>
      </c>
      <c r="CC92" s="45">
        <v>45256.530774937215</v>
      </c>
      <c r="CD92" s="45">
        <v>45852.394799557835</v>
      </c>
      <c r="CE92" s="45">
        <v>46437.851033015075</v>
      </c>
      <c r="CF92" s="45">
        <v>47041.719916982838</v>
      </c>
      <c r="CG92" s="45">
        <v>47630.208322041966</v>
      </c>
      <c r="CH92" s="45">
        <v>48214.009629701723</v>
      </c>
      <c r="CI92" s="45">
        <v>48821.151236792823</v>
      </c>
      <c r="CJ92" s="45">
        <v>49374.476807157829</v>
      </c>
      <c r="CK92" s="45">
        <v>49946.030847261864</v>
      </c>
      <c r="CL92" s="45">
        <v>50542.781855447058</v>
      </c>
      <c r="CM92" s="45">
        <v>51098.726097086226</v>
      </c>
      <c r="CN92" s="45">
        <v>51669.495206572581</v>
      </c>
      <c r="CO92" s="45">
        <v>52232.533043309435</v>
      </c>
      <c r="CP92" s="45">
        <v>52795.074307149531</v>
      </c>
      <c r="CQ92" s="45">
        <v>53348.279644558992</v>
      </c>
      <c r="CR92" s="45">
        <v>53880.234237436918</v>
      </c>
      <c r="CS92" s="45">
        <v>54432.3070949713</v>
      </c>
      <c r="CT92" s="45">
        <v>54961.955749884088</v>
      </c>
      <c r="CU92" s="45">
        <v>55491.663451050241</v>
      </c>
      <c r="CV92" s="45">
        <v>56007.582457924625</v>
      </c>
      <c r="CW92" s="45">
        <v>56524.775607328796</v>
      </c>
      <c r="CX92" s="45">
        <v>57049.880382312876</v>
      </c>
      <c r="CY92" s="45">
        <v>57551.016482713385</v>
      </c>
      <c r="CZ92" s="45">
        <v>58049.99347574194</v>
      </c>
      <c r="DA92" s="45">
        <v>58541.71676404473</v>
      </c>
      <c r="DB92" s="45">
        <v>59052.158947093718</v>
      </c>
      <c r="DC92" s="45">
        <v>59548.726588648213</v>
      </c>
      <c r="DD92" s="45">
        <v>60034.252620132756</v>
      </c>
      <c r="DE92" s="45">
        <v>60519.984102811948</v>
      </c>
      <c r="DF92" s="45">
        <v>61021.256950210947</v>
      </c>
      <c r="DG92" s="45">
        <v>61489.775180887002</v>
      </c>
      <c r="DH92" s="45">
        <v>61964.965858004856</v>
      </c>
      <c r="DI92" s="45">
        <v>62422.40773114514</v>
      </c>
      <c r="DJ92" s="45">
        <v>62901.180603946297</v>
      </c>
      <c r="DK92" s="45">
        <v>63364.960177154309</v>
      </c>
      <c r="DL92" s="45">
        <v>63814.004639264385</v>
      </c>
      <c r="DM92" s="45">
        <v>64259.534198272187</v>
      </c>
      <c r="DN92" s="45">
        <v>64700.203978583108</v>
      </c>
      <c r="DO92" s="45">
        <v>65152.691222876718</v>
      </c>
      <c r="DP92">
        <v>65599.820800581947</v>
      </c>
      <c r="DQ92">
        <v>66031.272858427503</v>
      </c>
      <c r="DR92">
        <v>66468.128455876184</v>
      </c>
      <c r="DS92">
        <v>66893.59430681057</v>
      </c>
      <c r="DT92">
        <v>67323.570410956949</v>
      </c>
      <c r="DU92">
        <v>67749.036273771548</v>
      </c>
    </row>
    <row r="93" spans="1:125">
      <c r="A93" s="42">
        <v>91</v>
      </c>
      <c r="B93" s="45"/>
      <c r="C93" s="45"/>
      <c r="D93" s="45"/>
      <c r="E93" s="45"/>
      <c r="F93" s="45"/>
      <c r="G93" s="45"/>
      <c r="H93" s="45"/>
      <c r="I93" s="45"/>
      <c r="J93" s="45"/>
      <c r="K93" s="45"/>
      <c r="L93" s="45"/>
      <c r="M93" s="45"/>
      <c r="N93" s="45"/>
      <c r="O93" s="45"/>
      <c r="P93" s="45"/>
      <c r="Q93" s="45"/>
      <c r="R93" s="45"/>
      <c r="S93" s="45"/>
      <c r="T93" s="45"/>
      <c r="U93" s="45"/>
      <c r="V93" s="45"/>
      <c r="W93" s="45">
        <v>11371</v>
      </c>
      <c r="X93" s="45">
        <v>11810</v>
      </c>
      <c r="Y93" s="45">
        <v>12248.556754408652</v>
      </c>
      <c r="Z93" s="45">
        <v>12974.253609035302</v>
      </c>
      <c r="AA93" s="45">
        <v>13385.603941335727</v>
      </c>
      <c r="AB93" s="45">
        <v>13850.048029131634</v>
      </c>
      <c r="AC93" s="45">
        <v>14257.289401571801</v>
      </c>
      <c r="AD93" s="45">
        <v>14597.400232397014</v>
      </c>
      <c r="AE93" s="45">
        <v>14946.472099162347</v>
      </c>
      <c r="AF93" s="45">
        <v>15535.481990004719</v>
      </c>
      <c r="AG93" s="45">
        <v>15894.556423162696</v>
      </c>
      <c r="AH93" s="45">
        <v>16240.410507706623</v>
      </c>
      <c r="AI93" s="45">
        <v>16689.129762703313</v>
      </c>
      <c r="AJ93" s="45">
        <v>17434.736867735799</v>
      </c>
      <c r="AK93" s="45">
        <v>17932.637404333345</v>
      </c>
      <c r="AL93" s="45">
        <v>18605.07785582183</v>
      </c>
      <c r="AM93" s="45">
        <v>19214.211997151127</v>
      </c>
      <c r="AN93" s="45">
        <v>19765.926228781223</v>
      </c>
      <c r="AO93" s="45">
        <v>20120.391021324376</v>
      </c>
      <c r="AP93" s="45">
        <v>20471.779185381252</v>
      </c>
      <c r="AQ93" s="45">
        <v>20800.634264017557</v>
      </c>
      <c r="AR93" s="45">
        <v>21150.536574178375</v>
      </c>
      <c r="AS93" s="45">
        <v>21237.529191609981</v>
      </c>
      <c r="AT93" s="45">
        <v>21262.36522793732</v>
      </c>
      <c r="AU93" s="45">
        <v>21233.049669953187</v>
      </c>
      <c r="AV93" s="45">
        <v>21594.04939022295</v>
      </c>
      <c r="AW93" s="45">
        <v>22212.539724183145</v>
      </c>
      <c r="AX93" s="45">
        <v>23065.809502638869</v>
      </c>
      <c r="AY93" s="45">
        <v>23912.575527798021</v>
      </c>
      <c r="AZ93" s="45">
        <v>24307.83106092157</v>
      </c>
      <c r="BA93" s="45">
        <v>24702.643379448309</v>
      </c>
      <c r="BB93" s="45">
        <v>25300.963270351043</v>
      </c>
      <c r="BC93" s="45">
        <v>25787.820977320898</v>
      </c>
      <c r="BD93" s="45">
        <v>26320.797679483177</v>
      </c>
      <c r="BE93" s="45">
        <v>26817.708904846488</v>
      </c>
      <c r="BF93" s="45">
        <v>27399.939814258345</v>
      </c>
      <c r="BG93" s="45">
        <v>27920.752815638069</v>
      </c>
      <c r="BH93" s="45">
        <v>28552.152822674037</v>
      </c>
      <c r="BI93" s="45">
        <v>29094.833656785391</v>
      </c>
      <c r="BJ93" s="45">
        <v>29683.662415189669</v>
      </c>
      <c r="BK93" s="45">
        <v>30296.969128831995</v>
      </c>
      <c r="BL93" s="45">
        <v>30976.839534441453</v>
      </c>
      <c r="BM93" s="45">
        <v>31630.29588202354</v>
      </c>
      <c r="BN93" s="45">
        <v>32274.200767704249</v>
      </c>
      <c r="BO93" s="45">
        <v>32878.444216910051</v>
      </c>
      <c r="BP93" s="45">
        <v>33488.685275743701</v>
      </c>
      <c r="BQ93" s="45">
        <v>34076.747381756111</v>
      </c>
      <c r="BR93" s="45">
        <v>34663.346105238466</v>
      </c>
      <c r="BS93" s="45">
        <v>35202.53064343099</v>
      </c>
      <c r="BT93" s="45">
        <v>35781.166979101137</v>
      </c>
      <c r="BU93" s="45">
        <v>36332.684175167436</v>
      </c>
      <c r="BV93" s="45">
        <v>36927.079897512915</v>
      </c>
      <c r="BW93" s="45">
        <v>37507.400977889971</v>
      </c>
      <c r="BX93" s="45">
        <v>38098.829134890359</v>
      </c>
      <c r="BY93" s="45">
        <v>38694.381411416689</v>
      </c>
      <c r="BZ93" s="45">
        <v>39340.380201810025</v>
      </c>
      <c r="CA93" s="45">
        <v>39949.304285636899</v>
      </c>
      <c r="CB93" s="45">
        <v>40530.017524084586</v>
      </c>
      <c r="CC93" s="45">
        <v>41130.204760068431</v>
      </c>
      <c r="CD93" s="45">
        <v>41721.370010300503</v>
      </c>
      <c r="CE93" s="45">
        <v>42303.858067820416</v>
      </c>
      <c r="CF93" s="45">
        <v>42903.614607238356</v>
      </c>
      <c r="CG93" s="45">
        <v>43490.274397657828</v>
      </c>
      <c r="CH93" s="45">
        <v>44073.199794293614</v>
      </c>
      <c r="CI93" s="45">
        <v>44678.091554964674</v>
      </c>
      <c r="CJ93" s="45">
        <v>45234.49590708426</v>
      </c>
      <c r="CK93" s="45">
        <v>45808.158730429932</v>
      </c>
      <c r="CL93" s="45">
        <v>46405.344583684237</v>
      </c>
      <c r="CM93" s="45">
        <v>46965.788376933953</v>
      </c>
      <c r="CN93" s="45">
        <v>47540.385818290088</v>
      </c>
      <c r="CO93" s="45">
        <v>48108.139773137154</v>
      </c>
      <c r="CP93" s="45">
        <v>48676.176077804434</v>
      </c>
      <c r="CQ93" s="45">
        <v>49235.974623737668</v>
      </c>
      <c r="CR93" s="45">
        <v>49776.770656206849</v>
      </c>
      <c r="CS93" s="45">
        <v>50336.402483917787</v>
      </c>
      <c r="CT93" s="45">
        <v>50875.790788468366</v>
      </c>
      <c r="CU93" s="45">
        <v>51415.53999913024</v>
      </c>
      <c r="CV93" s="45">
        <v>51942.878639672039</v>
      </c>
      <c r="CW93" s="45">
        <v>52471.882462487665</v>
      </c>
      <c r="CX93" s="45">
        <v>53008.379836611639</v>
      </c>
      <c r="CY93" s="45">
        <v>53523.059443865706</v>
      </c>
      <c r="CZ93" s="45">
        <v>54035.833571598843</v>
      </c>
      <c r="DA93" s="45">
        <v>54542.242505665912</v>
      </c>
      <c r="DB93" s="45">
        <v>55066.22215209165</v>
      </c>
      <c r="DC93" s="45">
        <v>55577.698886300117</v>
      </c>
      <c r="DD93" s="45">
        <v>56078.984277784497</v>
      </c>
      <c r="DE93" s="45">
        <v>56580.738971514045</v>
      </c>
      <c r="DF93" s="45">
        <v>57097.242490612058</v>
      </c>
      <c r="DG93" s="45">
        <v>57583.176154386994</v>
      </c>
      <c r="DH93" s="45">
        <v>58075.647326665887</v>
      </c>
      <c r="DI93" s="45">
        <v>58551.539467436909</v>
      </c>
      <c r="DJ93" s="45">
        <v>59047.599222775709</v>
      </c>
      <c r="DK93" s="45">
        <v>59529.81774538492</v>
      </c>
      <c r="DL93" s="45">
        <v>59998.303302790519</v>
      </c>
      <c r="DM93" s="45">
        <v>60463.477093951398</v>
      </c>
      <c r="DN93" s="45">
        <v>60924.285529257017</v>
      </c>
      <c r="DO93" s="45">
        <v>61396.254760172567</v>
      </c>
      <c r="DP93">
        <v>61863.304161325475</v>
      </c>
      <c r="DQ93">
        <v>62315.611341977397</v>
      </c>
      <c r="DR93">
        <v>62773.005392976462</v>
      </c>
      <c r="DS93">
        <v>63219.80743447924</v>
      </c>
      <c r="DT93">
        <v>63670.857230107009</v>
      </c>
      <c r="DU93">
        <v>64117.67743346325</v>
      </c>
    </row>
    <row r="94" spans="1:125">
      <c r="A94" s="42">
        <v>92</v>
      </c>
      <c r="B94" s="45"/>
      <c r="C94" s="45"/>
      <c r="D94" s="45"/>
      <c r="E94" s="45"/>
      <c r="F94" s="45"/>
      <c r="G94" s="45"/>
      <c r="H94" s="45"/>
      <c r="I94" s="45"/>
      <c r="J94" s="45"/>
      <c r="K94" s="45"/>
      <c r="L94" s="45"/>
      <c r="M94" s="45"/>
      <c r="N94" s="45"/>
      <c r="O94" s="45"/>
      <c r="P94" s="45"/>
      <c r="Q94" s="45"/>
      <c r="R94" s="45"/>
      <c r="S94" s="45"/>
      <c r="T94" s="45"/>
      <c r="U94" s="45"/>
      <c r="V94" s="45"/>
      <c r="W94" s="45">
        <v>9247</v>
      </c>
      <c r="X94" s="45">
        <v>9720.5</v>
      </c>
      <c r="Y94" s="45">
        <v>9983.2649732477566</v>
      </c>
      <c r="Z94" s="45">
        <v>10700.615587006107</v>
      </c>
      <c r="AA94" s="45">
        <v>10971.088210155429</v>
      </c>
      <c r="AB94" s="45">
        <v>11394.965094848132</v>
      </c>
      <c r="AC94" s="45">
        <v>11793.696589076964</v>
      </c>
      <c r="AD94" s="45">
        <v>12090.94127171304</v>
      </c>
      <c r="AE94" s="45">
        <v>12258.924251815377</v>
      </c>
      <c r="AF94" s="45">
        <v>12744.459461190621</v>
      </c>
      <c r="AG94" s="45">
        <v>13045.376293629977</v>
      </c>
      <c r="AH94" s="45">
        <v>13361.405671989065</v>
      </c>
      <c r="AI94" s="45">
        <v>13763.499323382772</v>
      </c>
      <c r="AJ94" s="45">
        <v>14413.218392770308</v>
      </c>
      <c r="AK94" s="45">
        <v>14860.46169452986</v>
      </c>
      <c r="AL94" s="45">
        <v>15453.627187112168</v>
      </c>
      <c r="AM94" s="45">
        <v>15997.223575178534</v>
      </c>
      <c r="AN94" s="45">
        <v>16495.874294380617</v>
      </c>
      <c r="AO94" s="45">
        <v>16831.126059187547</v>
      </c>
      <c r="AP94" s="45">
        <v>17164.393651472998</v>
      </c>
      <c r="AQ94" s="45">
        <v>17478.115889621753</v>
      </c>
      <c r="AR94" s="45">
        <v>17809.883123544583</v>
      </c>
      <c r="AS94" s="45">
        <v>17923.318425184429</v>
      </c>
      <c r="AT94" s="45">
        <v>17982.360934613331</v>
      </c>
      <c r="AU94" s="45">
        <v>17995.653820694024</v>
      </c>
      <c r="AV94" s="45">
        <v>18338.983659528363</v>
      </c>
      <c r="AW94" s="45">
        <v>18901.700790302966</v>
      </c>
      <c r="AX94" s="45">
        <v>19665.745998002705</v>
      </c>
      <c r="AY94" s="45">
        <v>20427.906404592581</v>
      </c>
      <c r="AZ94" s="45">
        <v>20807.092178344421</v>
      </c>
      <c r="BA94" s="45">
        <v>21186.561913971786</v>
      </c>
      <c r="BB94" s="45">
        <v>21740.388907186134</v>
      </c>
      <c r="BC94" s="45">
        <v>22200.235141073725</v>
      </c>
      <c r="BD94" s="45">
        <v>22699.943304885619</v>
      </c>
      <c r="BE94" s="45">
        <v>23170.205772440102</v>
      </c>
      <c r="BF94" s="45">
        <v>23715.119685808444</v>
      </c>
      <c r="BG94" s="45">
        <v>24209.015302582564</v>
      </c>
      <c r="BH94" s="45">
        <v>24798.695451834898</v>
      </c>
      <c r="BI94" s="45">
        <v>25313.014481484577</v>
      </c>
      <c r="BJ94" s="45">
        <v>25868.73911191053</v>
      </c>
      <c r="BK94" s="45">
        <v>26447.102649745724</v>
      </c>
      <c r="BL94" s="45">
        <v>27084.836720180905</v>
      </c>
      <c r="BM94" s="45">
        <v>27700.744028875499</v>
      </c>
      <c r="BN94" s="45">
        <v>28309.838133146975</v>
      </c>
      <c r="BO94" s="45">
        <v>28885.325098502333</v>
      </c>
      <c r="BP94" s="45">
        <v>29467.673740201684</v>
      </c>
      <c r="BQ94" s="45">
        <v>30031.404686633192</v>
      </c>
      <c r="BR94" s="45">
        <v>30595.145160674074</v>
      </c>
      <c r="BS94" s="45">
        <v>31118.229747166282</v>
      </c>
      <c r="BT94" s="45">
        <v>31676.952299166289</v>
      </c>
      <c r="BU94" s="45">
        <v>32212.817970623437</v>
      </c>
      <c r="BV94" s="45">
        <v>32787.40263440775</v>
      </c>
      <c r="BW94" s="45">
        <v>33350.731872611483</v>
      </c>
      <c r="BX94" s="45">
        <v>33924.689881054153</v>
      </c>
      <c r="BY94" s="45">
        <v>34503.207743588529</v>
      </c>
      <c r="BZ94" s="45">
        <v>35127.714294575839</v>
      </c>
      <c r="CA94" s="45">
        <v>35720.328518132388</v>
      </c>
      <c r="CB94" s="45">
        <v>36288.837753941974</v>
      </c>
      <c r="CC94" s="45">
        <v>36875.134566950277</v>
      </c>
      <c r="CD94" s="45">
        <v>37454.402106161506</v>
      </c>
      <c r="CE94" s="45">
        <v>38026.805982424768</v>
      </c>
      <c r="CF94" s="45">
        <v>38615.364691590119</v>
      </c>
      <c r="CG94" s="45">
        <v>39193.198036727299</v>
      </c>
      <c r="CH94" s="45">
        <v>39768.347565393669</v>
      </c>
      <c r="CI94" s="45">
        <v>40364.083504725044</v>
      </c>
      <c r="CJ94" s="45">
        <v>40916.909416045441</v>
      </c>
      <c r="CK94" s="45">
        <v>41486.040060848034</v>
      </c>
      <c r="CL94" s="45">
        <v>42077.023013764629</v>
      </c>
      <c r="CM94" s="45">
        <v>42635.548800353776</v>
      </c>
      <c r="CN94" s="45">
        <v>43207.585018042257</v>
      </c>
      <c r="CO94" s="45">
        <v>43773.804008102183</v>
      </c>
      <c r="CP94" s="45">
        <v>44341.152417747959</v>
      </c>
      <c r="CQ94" s="45">
        <v>44901.49793295897</v>
      </c>
      <c r="CR94" s="45">
        <v>45445.255896659488</v>
      </c>
      <c r="CS94" s="45">
        <v>46006.58925451705</v>
      </c>
      <c r="CT94" s="45">
        <v>46550.043527118061</v>
      </c>
      <c r="CU94" s="45">
        <v>47094.261448235309</v>
      </c>
      <c r="CV94" s="45">
        <v>47627.603839166441</v>
      </c>
      <c r="CW94" s="45">
        <v>48163.084330940263</v>
      </c>
      <c r="CX94" s="45">
        <v>48705.714336574427</v>
      </c>
      <c r="CY94" s="45">
        <v>49228.876117524735</v>
      </c>
      <c r="CZ94" s="45">
        <v>49750.506302908303</v>
      </c>
      <c r="DA94" s="45">
        <v>50266.785533728878</v>
      </c>
      <c r="DB94" s="45">
        <v>50799.505272711394</v>
      </c>
      <c r="DC94" s="45">
        <v>51321.248115765891</v>
      </c>
      <c r="DD94" s="45">
        <v>51833.807897226943</v>
      </c>
      <c r="DE94" s="45">
        <v>52347.195344252126</v>
      </c>
      <c r="DF94" s="45">
        <v>52874.561343161593</v>
      </c>
      <c r="DG94" s="45">
        <v>53373.805661067934</v>
      </c>
      <c r="DH94" s="45">
        <v>53879.512229162327</v>
      </c>
      <c r="DI94" s="45">
        <v>54369.998949418201</v>
      </c>
      <c r="DJ94" s="45">
        <v>54879.479775373635</v>
      </c>
      <c r="DK94" s="45">
        <v>55376.438913104066</v>
      </c>
      <c r="DL94" s="45">
        <v>55860.837258864463</v>
      </c>
      <c r="DM94" s="45">
        <v>56342.243161543534</v>
      </c>
      <c r="DN94" s="45">
        <v>56819.893186754111</v>
      </c>
      <c r="DO94" s="45">
        <v>57308.082122140186</v>
      </c>
      <c r="DP94">
        <v>57791.907316329671</v>
      </c>
      <c r="DQ94">
        <v>58262.09763491631</v>
      </c>
      <c r="DR94">
        <v>58737.122329334496</v>
      </c>
      <c r="DS94">
        <v>59202.498076060656</v>
      </c>
      <c r="DT94">
        <v>59671.925351363476</v>
      </c>
      <c r="DU94">
        <v>60137.514080910376</v>
      </c>
    </row>
    <row r="95" spans="1:125">
      <c r="A95" s="42">
        <v>93</v>
      </c>
      <c r="B95" s="45"/>
      <c r="C95" s="45"/>
      <c r="D95" s="45"/>
      <c r="E95" s="45"/>
      <c r="F95" s="45"/>
      <c r="G95" s="45"/>
      <c r="H95" s="45"/>
      <c r="I95" s="45"/>
      <c r="J95" s="45"/>
      <c r="K95" s="45"/>
      <c r="L95" s="45"/>
      <c r="M95" s="45"/>
      <c r="N95" s="45"/>
      <c r="O95" s="45"/>
      <c r="P95" s="45"/>
      <c r="Q95" s="45"/>
      <c r="R95" s="45"/>
      <c r="S95" s="45"/>
      <c r="T95" s="45"/>
      <c r="U95" s="45"/>
      <c r="V95" s="45"/>
      <c r="W95" s="45">
        <v>7443</v>
      </c>
      <c r="X95" s="45">
        <v>7720</v>
      </c>
      <c r="Y95" s="45">
        <v>8047.176270800479</v>
      </c>
      <c r="Z95" s="45">
        <v>8539.4226534289919</v>
      </c>
      <c r="AA95" s="45">
        <v>8768.3404388063045</v>
      </c>
      <c r="AB95" s="45">
        <v>9184.0461648094206</v>
      </c>
      <c r="AC95" s="45">
        <v>9505.533053832396</v>
      </c>
      <c r="AD95" s="45">
        <v>9643.4873060789687</v>
      </c>
      <c r="AE95" s="45">
        <v>9740.7880262254348</v>
      </c>
      <c r="AF95" s="45">
        <v>10191.895998215106</v>
      </c>
      <c r="AG95" s="45">
        <v>10460.651708565176</v>
      </c>
      <c r="AH95" s="45">
        <v>10742.344398217598</v>
      </c>
      <c r="AI95" s="45">
        <v>11094.6267715701</v>
      </c>
      <c r="AJ95" s="45">
        <v>11649.10071594896</v>
      </c>
      <c r="AK95" s="45">
        <v>12042.111596963006</v>
      </c>
      <c r="AL95" s="45">
        <v>12554.67132289998</v>
      </c>
      <c r="AM95" s="45">
        <v>13029.779442033794</v>
      </c>
      <c r="AN95" s="45">
        <v>13470.980274663794</v>
      </c>
      <c r="AO95" s="45">
        <v>13780.008486840206</v>
      </c>
      <c r="AP95" s="45">
        <v>14088.117073511643</v>
      </c>
      <c r="AQ95" s="45">
        <v>14379.778393507919</v>
      </c>
      <c r="AR95" s="45">
        <v>14686.766731743835</v>
      </c>
      <c r="AS95" s="45">
        <v>14815.692147944874</v>
      </c>
      <c r="AT95" s="45">
        <v>14898.775151021473</v>
      </c>
      <c r="AU95" s="45">
        <v>14944.154464976647</v>
      </c>
      <c r="AV95" s="45">
        <v>15263.085180560196</v>
      </c>
      <c r="AW95" s="45">
        <v>15765.408276332557</v>
      </c>
      <c r="AX95" s="45">
        <v>16437.20866546793</v>
      </c>
      <c r="AY95" s="45">
        <v>17110.902459428431</v>
      </c>
      <c r="AZ95" s="45">
        <v>17466.457460034013</v>
      </c>
      <c r="BA95" s="45">
        <v>17823.028403914046</v>
      </c>
      <c r="BB95" s="45">
        <v>18326.284714471167</v>
      </c>
      <c r="BC95" s="45">
        <v>18752.121389047294</v>
      </c>
      <c r="BD95" s="45">
        <v>19211.942251271517</v>
      </c>
      <c r="BE95" s="45">
        <v>19648.521903533252</v>
      </c>
      <c r="BF95" s="45">
        <v>20149.430908287024</v>
      </c>
      <c r="BG95" s="45">
        <v>20609.125661352562</v>
      </c>
      <c r="BH95" s="45">
        <v>21150.437131562001</v>
      </c>
      <c r="BI95" s="45">
        <v>21629.20160758448</v>
      </c>
      <c r="BJ95" s="45">
        <v>22144.672371317407</v>
      </c>
      <c r="BK95" s="45">
        <v>22680.900025332165</v>
      </c>
      <c r="BL95" s="45">
        <v>23269.385334253609</v>
      </c>
      <c r="BM95" s="45">
        <v>23840.46551964535</v>
      </c>
      <c r="BN95" s="45">
        <v>24407.295427409848</v>
      </c>
      <c r="BO95" s="45">
        <v>24946.422036303658</v>
      </c>
      <c r="BP95" s="45">
        <v>25493.133107775495</v>
      </c>
      <c r="BQ95" s="45">
        <v>26024.746735737761</v>
      </c>
      <c r="BR95" s="45">
        <v>26557.756386985544</v>
      </c>
      <c r="BS95" s="45">
        <v>27056.766129964049</v>
      </c>
      <c r="BT95" s="45">
        <v>27587.648008829361</v>
      </c>
      <c r="BU95" s="45">
        <v>28099.877904273017</v>
      </c>
      <c r="BV95" s="45">
        <v>28646.712028382914</v>
      </c>
      <c r="BW95" s="45">
        <v>29185.054854721544</v>
      </c>
      <c r="BX95" s="45">
        <v>29733.576854064595</v>
      </c>
      <c r="BY95" s="45">
        <v>30287.102196228334</v>
      </c>
      <c r="BZ95" s="45">
        <v>30882.118319010704</v>
      </c>
      <c r="CA95" s="45">
        <v>31450.418015303174</v>
      </c>
      <c r="CB95" s="45">
        <v>31998.72854170949</v>
      </c>
      <c r="CC95" s="45">
        <v>32563.217744092522</v>
      </c>
      <c r="CD95" s="45">
        <v>33122.676112492081</v>
      </c>
      <c r="CE95" s="45">
        <v>33677.113874701179</v>
      </c>
      <c r="CF95" s="45">
        <v>34246.623335658238</v>
      </c>
      <c r="CG95" s="45">
        <v>34807.803766777906</v>
      </c>
      <c r="CH95" s="45">
        <v>35367.414200093495</v>
      </c>
      <c r="CI95" s="45">
        <v>35946.228246444763</v>
      </c>
      <c r="CJ95" s="45">
        <v>36487.85162470537</v>
      </c>
      <c r="CK95" s="45">
        <v>37044.840777700534</v>
      </c>
      <c r="CL95" s="45">
        <v>37622.026599168035</v>
      </c>
      <c r="CM95" s="45">
        <v>38171.178863392779</v>
      </c>
      <c r="CN95" s="45">
        <v>38733.221760395783</v>
      </c>
      <c r="CO95" s="45">
        <v>39290.588475944329</v>
      </c>
      <c r="CP95" s="45">
        <v>39849.971214334131</v>
      </c>
      <c r="CQ95" s="45">
        <v>40403.695977527095</v>
      </c>
      <c r="CR95" s="45">
        <v>40943.36879407274</v>
      </c>
      <c r="CS95" s="45">
        <v>41499.389271039807</v>
      </c>
      <c r="CT95" s="45">
        <v>42040.03777075799</v>
      </c>
      <c r="CU95" s="45">
        <v>42581.942254804948</v>
      </c>
      <c r="CV95" s="45">
        <v>43114.637193751856</v>
      </c>
      <c r="CW95" s="45">
        <v>43650.01068821831</v>
      </c>
      <c r="CX95" s="45">
        <v>44192.266211099151</v>
      </c>
      <c r="CY95" s="45">
        <v>44717.567055253123</v>
      </c>
      <c r="CZ95" s="45">
        <v>45241.826556605403</v>
      </c>
      <c r="DA95" s="45">
        <v>45761.858850564211</v>
      </c>
      <c r="DB95" s="45">
        <v>46297.232383923059</v>
      </c>
      <c r="DC95" s="45">
        <v>46823.288025856367</v>
      </c>
      <c r="DD95" s="45">
        <v>47341.318378389908</v>
      </c>
      <c r="DE95" s="45">
        <v>47860.624540215169</v>
      </c>
      <c r="DF95" s="45">
        <v>48393.169142552346</v>
      </c>
      <c r="DG95" s="45">
        <v>48900.284237755302</v>
      </c>
      <c r="DH95" s="45">
        <v>49413.846363106801</v>
      </c>
      <c r="DI95" s="45">
        <v>49913.730185179316</v>
      </c>
      <c r="DJ95" s="45">
        <v>50431.437636550821</v>
      </c>
      <c r="DK95" s="45">
        <v>50938.101193065617</v>
      </c>
      <c r="DL95" s="45">
        <v>51433.541570299596</v>
      </c>
      <c r="DM95" s="45">
        <v>51926.430247037031</v>
      </c>
      <c r="DN95" s="45">
        <v>52416.286287092691</v>
      </c>
      <c r="DO95" s="45">
        <v>52916.1059104991</v>
      </c>
      <c r="DP95">
        <v>53412.237742001642</v>
      </c>
      <c r="DQ95">
        <v>53896.014491889706</v>
      </c>
      <c r="DR95">
        <v>54384.447981467791</v>
      </c>
      <c r="DS95">
        <v>54864.3206251015</v>
      </c>
      <c r="DT95">
        <v>55348.125572335404</v>
      </c>
      <c r="DU95">
        <v>55828.59996335797</v>
      </c>
    </row>
    <row r="96" spans="1:125">
      <c r="A96" s="42">
        <v>94</v>
      </c>
      <c r="B96" s="45"/>
      <c r="C96" s="45"/>
      <c r="D96" s="45"/>
      <c r="E96" s="45"/>
      <c r="F96" s="45"/>
      <c r="G96" s="45"/>
      <c r="H96" s="45"/>
      <c r="I96" s="45"/>
      <c r="J96" s="45"/>
      <c r="K96" s="45"/>
      <c r="L96" s="45"/>
      <c r="M96" s="45"/>
      <c r="N96" s="45"/>
      <c r="O96" s="45"/>
      <c r="P96" s="45"/>
      <c r="Q96" s="45"/>
      <c r="R96" s="45"/>
      <c r="S96" s="45"/>
      <c r="T96" s="45"/>
      <c r="U96" s="45"/>
      <c r="V96" s="45"/>
      <c r="W96" s="45">
        <v>5750.5</v>
      </c>
      <c r="X96" s="45">
        <v>5987</v>
      </c>
      <c r="Y96" s="45">
        <v>6269.8152582969187</v>
      </c>
      <c r="Z96" s="45">
        <v>6654.1382264920703</v>
      </c>
      <c r="AA96" s="45">
        <v>6871.6932935795594</v>
      </c>
      <c r="AB96" s="45">
        <v>7240.1053768420988</v>
      </c>
      <c r="AC96" s="45">
        <v>7379.5935278758498</v>
      </c>
      <c r="AD96" s="45">
        <v>7486.4213402285841</v>
      </c>
      <c r="AE96" s="45">
        <v>7571.5178019898676</v>
      </c>
      <c r="AF96" s="45">
        <v>7946.1456537066779</v>
      </c>
      <c r="AG96" s="45">
        <v>8179.6151225115373</v>
      </c>
      <c r="AH96" s="45">
        <v>8424.0312094564233</v>
      </c>
      <c r="AI96" s="45">
        <v>8725.1200146194715</v>
      </c>
      <c r="AJ96" s="45">
        <v>9187.5517399425553</v>
      </c>
      <c r="AK96" s="45">
        <v>9524.6516454757875</v>
      </c>
      <c r="AL96" s="45">
        <v>9957.5825548261637</v>
      </c>
      <c r="AM96" s="45">
        <v>10363.37615505638</v>
      </c>
      <c r="AN96" s="45">
        <v>10744.6841964778</v>
      </c>
      <c r="AO96" s="45">
        <v>11021.832076271345</v>
      </c>
      <c r="AP96" s="45">
        <v>11299.025663967923</v>
      </c>
      <c r="AQ96" s="45">
        <v>11562.846882327263</v>
      </c>
      <c r="AR96" s="45">
        <v>11838.601370564329</v>
      </c>
      <c r="AS96" s="45">
        <v>11973.409444891475</v>
      </c>
      <c r="AT96" s="45">
        <v>12070.571430448017</v>
      </c>
      <c r="AU96" s="45">
        <v>12137.511049752975</v>
      </c>
      <c r="AV96" s="45">
        <v>12426.331098559749</v>
      </c>
      <c r="AW96" s="45">
        <v>12865.31626593932</v>
      </c>
      <c r="AX96" s="45">
        <v>13444.124324051691</v>
      </c>
      <c r="AY96" s="45">
        <v>14027.685522025849</v>
      </c>
      <c r="AZ96" s="45">
        <v>14352.931400014912</v>
      </c>
      <c r="BA96" s="45">
        <v>14679.869069468121</v>
      </c>
      <c r="BB96" s="45">
        <v>15127.803094814008</v>
      </c>
      <c r="BC96" s="45">
        <v>15513.590469192353</v>
      </c>
      <c r="BD96" s="45">
        <v>15927.937109366196</v>
      </c>
      <c r="BE96" s="45">
        <v>16324.671528289262</v>
      </c>
      <c r="BF96" s="45">
        <v>16775.931317387342</v>
      </c>
      <c r="BG96" s="45">
        <v>17194.950723333939</v>
      </c>
      <c r="BH96" s="45">
        <v>17682.301260544573</v>
      </c>
      <c r="BI96" s="45">
        <v>18119.076027196304</v>
      </c>
      <c r="BJ96" s="45">
        <v>18587.959725349439</v>
      </c>
      <c r="BK96" s="45">
        <v>19075.676098651842</v>
      </c>
      <c r="BL96" s="45">
        <v>19608.725398063329</v>
      </c>
      <c r="BM96" s="45">
        <v>20128.496806992589</v>
      </c>
      <c r="BN96" s="45">
        <v>20646.314349384509</v>
      </c>
      <c r="BO96" s="45">
        <v>21142.023343838609</v>
      </c>
      <c r="BP96" s="45">
        <v>21645.843919653194</v>
      </c>
      <c r="BQ96" s="45">
        <v>22137.937883940904</v>
      </c>
      <c r="BR96" s="45">
        <v>22632.661300433036</v>
      </c>
      <c r="BS96" s="45">
        <v>23099.766079806272</v>
      </c>
      <c r="BT96" s="45">
        <v>23595.065926802345</v>
      </c>
      <c r="BU96" s="45">
        <v>24075.739887702443</v>
      </c>
      <c r="BV96" s="45">
        <v>24586.99666718701</v>
      </c>
      <c r="BW96" s="45">
        <v>25092.37884955771</v>
      </c>
      <c r="BX96" s="45">
        <v>25607.495439778933</v>
      </c>
      <c r="BY96" s="45">
        <v>26128.024488668372</v>
      </c>
      <c r="BZ96" s="45">
        <v>26685.559437807351</v>
      </c>
      <c r="CA96" s="45">
        <v>27221.410992811398</v>
      </c>
      <c r="CB96" s="45">
        <v>27741.285009769028</v>
      </c>
      <c r="CC96" s="45">
        <v>28275.811902977672</v>
      </c>
      <c r="CD96" s="45">
        <v>28807.240871014343</v>
      </c>
      <c r="CE96" s="45">
        <v>29335.455858967733</v>
      </c>
      <c r="CF96" s="45">
        <v>29877.683225694222</v>
      </c>
      <c r="CG96" s="45">
        <v>30413.92614628873</v>
      </c>
      <c r="CH96" s="45">
        <v>30949.729365351064</v>
      </c>
      <c r="CI96" s="45">
        <v>31503.348223134628</v>
      </c>
      <c r="CJ96" s="45">
        <v>32025.506775168622</v>
      </c>
      <c r="CK96" s="45">
        <v>32562.098350103799</v>
      </c>
      <c r="CL96" s="45">
        <v>33117.252854482322</v>
      </c>
      <c r="CM96" s="45">
        <v>33648.832771076501</v>
      </c>
      <c r="CN96" s="45">
        <v>34192.694462139829</v>
      </c>
      <c r="CO96" s="45">
        <v>34733.098898570839</v>
      </c>
      <c r="CP96" s="45">
        <v>35276.404739114907</v>
      </c>
      <c r="CQ96" s="45">
        <v>35815.467050786479</v>
      </c>
      <c r="CR96" s="45">
        <v>36343.06990548077</v>
      </c>
      <c r="CS96" s="45">
        <v>36885.830062638961</v>
      </c>
      <c r="CT96" s="45">
        <v>37415.809170698427</v>
      </c>
      <c r="CU96" s="45">
        <v>37947.603613991225</v>
      </c>
      <c r="CV96" s="45">
        <v>38471.944315042718</v>
      </c>
      <c r="CW96" s="45">
        <v>38999.545689967919</v>
      </c>
      <c r="CX96" s="45">
        <v>39533.832235049646</v>
      </c>
      <c r="CY96" s="45">
        <v>40053.788872943536</v>
      </c>
      <c r="CZ96" s="45">
        <v>40573.296054618826</v>
      </c>
      <c r="DA96" s="45">
        <v>41089.779735870412</v>
      </c>
      <c r="DB96" s="45">
        <v>41620.544247806334</v>
      </c>
      <c r="DC96" s="45">
        <v>42143.746338695433</v>
      </c>
      <c r="DD96" s="45">
        <v>42660.209100085762</v>
      </c>
      <c r="DE96" s="45">
        <v>43178.470385743363</v>
      </c>
      <c r="DF96" s="45">
        <v>43709.262145174813</v>
      </c>
      <c r="DG96" s="45">
        <v>44217.523254859945</v>
      </c>
      <c r="DH96" s="45">
        <v>44732.26801487281</v>
      </c>
      <c r="DI96" s="45">
        <v>45235.037797213066</v>
      </c>
      <c r="DJ96" s="45">
        <v>45754.47321575808</v>
      </c>
      <c r="DK96" s="45">
        <v>46264.478030634164</v>
      </c>
      <c r="DL96" s="45">
        <v>46764.745534408168</v>
      </c>
      <c r="DM96" s="45">
        <v>47263.019957086901</v>
      </c>
      <c r="DN96" s="45">
        <v>47759.087021664243</v>
      </c>
      <c r="DO96" s="45">
        <v>48264.59585194863</v>
      </c>
      <c r="DP96">
        <v>48767.204651818916</v>
      </c>
      <c r="DQ96">
        <v>49258.899537463163</v>
      </c>
      <c r="DR96">
        <v>49755.153383158206</v>
      </c>
      <c r="DS96">
        <v>50244.068236183812</v>
      </c>
      <c r="DT96">
        <v>50736.87828265447</v>
      </c>
      <c r="DU96">
        <v>51226.981249030665</v>
      </c>
    </row>
    <row r="97" spans="1:125">
      <c r="A97" s="42">
        <v>95</v>
      </c>
      <c r="B97" s="45"/>
      <c r="C97" s="45"/>
      <c r="D97" s="45"/>
      <c r="E97" s="45"/>
      <c r="F97" s="45"/>
      <c r="G97" s="45"/>
      <c r="H97" s="45"/>
      <c r="I97" s="45"/>
      <c r="J97" s="45"/>
      <c r="K97" s="45"/>
      <c r="L97" s="45"/>
      <c r="M97" s="45"/>
      <c r="N97" s="45"/>
      <c r="O97" s="45"/>
      <c r="P97" s="45"/>
      <c r="Q97" s="45"/>
      <c r="R97" s="45"/>
      <c r="S97" s="45"/>
      <c r="T97" s="45"/>
      <c r="U97" s="45"/>
      <c r="V97" s="45"/>
      <c r="W97" s="45">
        <v>4331</v>
      </c>
      <c r="X97" s="45">
        <v>4523.5</v>
      </c>
      <c r="Y97" s="45">
        <v>4758.9842490450083</v>
      </c>
      <c r="Z97" s="45">
        <v>5087.2102892908897</v>
      </c>
      <c r="AA97" s="45">
        <v>5274.394492203648</v>
      </c>
      <c r="AB97" s="45">
        <v>5454.0334376614428</v>
      </c>
      <c r="AC97" s="45">
        <v>5544.199957120094</v>
      </c>
      <c r="AD97" s="45">
        <v>5640.1137402147851</v>
      </c>
      <c r="AE97" s="45">
        <v>5725.4824001843708</v>
      </c>
      <c r="AF97" s="45">
        <v>6028.5000466778256</v>
      </c>
      <c r="AG97" s="45">
        <v>6225.3897735290193</v>
      </c>
      <c r="AH97" s="45">
        <v>6431.417521872213</v>
      </c>
      <c r="AI97" s="45">
        <v>6681.9151985609697</v>
      </c>
      <c r="AJ97" s="45">
        <v>7058.0179177510308</v>
      </c>
      <c r="AK97" s="45">
        <v>7339.6394901917884</v>
      </c>
      <c r="AL97" s="45">
        <v>7696.3149708867786</v>
      </c>
      <c r="AM97" s="45">
        <v>8034.2828193063697</v>
      </c>
      <c r="AN97" s="45">
        <v>8355.4804204323918</v>
      </c>
      <c r="AO97" s="45">
        <v>8596.8951667598012</v>
      </c>
      <c r="AP97" s="45">
        <v>8839.1606811306265</v>
      </c>
      <c r="AQ97" s="45">
        <v>9069.9839715886028</v>
      </c>
      <c r="AR97" s="45">
        <v>9310.7443557169263</v>
      </c>
      <c r="AS97" s="45">
        <v>9442.9328837257199</v>
      </c>
      <c r="AT97" s="45">
        <v>9545.0846861099562</v>
      </c>
      <c r="AU97" s="45">
        <v>9623.7455443707477</v>
      </c>
      <c r="AV97" s="45">
        <v>9878.2355169162329</v>
      </c>
      <c r="AW97" s="45">
        <v>10252.974272571742</v>
      </c>
      <c r="AX97" s="45">
        <v>10740.589723699813</v>
      </c>
      <c r="AY97" s="45">
        <v>11234.875834515544</v>
      </c>
      <c r="AZ97" s="45">
        <v>11524.559002718877</v>
      </c>
      <c r="BA97" s="45">
        <v>11816.496172126106</v>
      </c>
      <c r="BB97" s="45">
        <v>12206.152499455342</v>
      </c>
      <c r="BC97" s="45">
        <v>12547.332596221957</v>
      </c>
      <c r="BD97" s="45">
        <v>12912.157684692886</v>
      </c>
      <c r="BE97" s="45">
        <v>13264.288167633276</v>
      </c>
      <c r="BF97" s="45">
        <v>13661.815821467331</v>
      </c>
      <c r="BG97" s="45">
        <v>14035.044001942002</v>
      </c>
      <c r="BH97" s="45">
        <v>14464.420372024018</v>
      </c>
      <c r="BI97" s="45">
        <v>14854.078069121144</v>
      </c>
      <c r="BJ97" s="45">
        <v>15271.40857529013</v>
      </c>
      <c r="BK97" s="45">
        <v>15705.610336622314</v>
      </c>
      <c r="BL97" s="45">
        <v>16178.516158252787</v>
      </c>
      <c r="BM97" s="45">
        <v>16641.856745483201</v>
      </c>
      <c r="BN97" s="45">
        <v>17105.190661238466</v>
      </c>
      <c r="BO97" s="45">
        <v>17551.548344737974</v>
      </c>
      <c r="BP97" s="45">
        <v>18006.300362612765</v>
      </c>
      <c r="BQ97" s="45">
        <v>18452.438352019311</v>
      </c>
      <c r="BR97" s="45">
        <v>18902.221201488865</v>
      </c>
      <c r="BS97" s="45">
        <v>19330.318193795087</v>
      </c>
      <c r="BT97" s="45">
        <v>19783.060525079738</v>
      </c>
      <c r="BU97" s="45">
        <v>20224.89962760673</v>
      </c>
      <c r="BV97" s="45">
        <v>20693.440288873961</v>
      </c>
      <c r="BW97" s="45">
        <v>21158.480104538576</v>
      </c>
      <c r="BX97" s="45">
        <v>21632.786362597904</v>
      </c>
      <c r="BY97" s="45">
        <v>22112.833369346255</v>
      </c>
      <c r="BZ97" s="45">
        <v>22625.469617015842</v>
      </c>
      <c r="CA97" s="45">
        <v>23121.167228868158</v>
      </c>
      <c r="CB97" s="45">
        <v>23604.670977203023</v>
      </c>
      <c r="CC97" s="45">
        <v>24101.384982294629</v>
      </c>
      <c r="CD97" s="45">
        <v>24596.789307308543</v>
      </c>
      <c r="CE97" s="45">
        <v>25090.674922679147</v>
      </c>
      <c r="CF97" s="45">
        <v>25597.525589740289</v>
      </c>
      <c r="CG97" s="45">
        <v>26100.597558647591</v>
      </c>
      <c r="CH97" s="45">
        <v>26604.319992938086</v>
      </c>
      <c r="CI97" s="45">
        <v>27124.458381186545</v>
      </c>
      <c r="CJ97" s="45">
        <v>27618.726416025784</v>
      </c>
      <c r="CK97" s="45">
        <v>28126.486285602194</v>
      </c>
      <c r="CL97" s="45">
        <v>28651.199638023976</v>
      </c>
      <c r="CM97" s="45">
        <v>29156.709858471972</v>
      </c>
      <c r="CN97" s="45">
        <v>29673.884286188961</v>
      </c>
      <c r="CO97" s="45">
        <v>30188.848802190023</v>
      </c>
      <c r="CP97" s="45">
        <v>30707.546933623464</v>
      </c>
      <c r="CQ97" s="45">
        <v>31223.431516839584</v>
      </c>
      <c r="CR97" s="45">
        <v>31730.425099422373</v>
      </c>
      <c r="CS97" s="45">
        <v>32251.421626605512</v>
      </c>
      <c r="CT97" s="45">
        <v>32762.235215370034</v>
      </c>
      <c r="CU97" s="45">
        <v>33275.456262064974</v>
      </c>
      <c r="CV97" s="45">
        <v>33783.012352392252</v>
      </c>
      <c r="CW97" s="45">
        <v>34294.414937783411</v>
      </c>
      <c r="CX97" s="45">
        <v>34812.361309745655</v>
      </c>
      <c r="CY97" s="45">
        <v>35318.641681097717</v>
      </c>
      <c r="CZ97" s="45">
        <v>35825.139328846766</v>
      </c>
      <c r="DA97" s="45">
        <v>36329.8529471535</v>
      </c>
      <c r="DB97" s="45">
        <v>36847.827783102846</v>
      </c>
      <c r="DC97" s="45">
        <v>37360.038801671617</v>
      </c>
      <c r="DD97" s="45">
        <v>37866.888722311014</v>
      </c>
      <c r="DE97" s="45">
        <v>38376.10710780129</v>
      </c>
      <c r="DF97" s="45">
        <v>38897.174946246247</v>
      </c>
      <c r="DG97" s="45">
        <v>39398.759644749232</v>
      </c>
      <c r="DH97" s="45">
        <v>39906.897931998508</v>
      </c>
      <c r="DI97" s="45">
        <v>40404.889621224342</v>
      </c>
      <c r="DJ97" s="45">
        <v>40918.405877729514</v>
      </c>
      <c r="DK97" s="45">
        <v>41424.201269743528</v>
      </c>
      <c r="DL97" s="45">
        <v>41921.860848772856</v>
      </c>
      <c r="DM97" s="45">
        <v>42418.189141357361</v>
      </c>
      <c r="DN97" s="45">
        <v>42913.212532274847</v>
      </c>
      <c r="DO97" s="45">
        <v>43417.209681380249</v>
      </c>
      <c r="DP97">
        <v>43919.185928172425</v>
      </c>
      <c r="DQ97">
        <v>44411.825014498696</v>
      </c>
      <c r="DR97">
        <v>44909.002270479774</v>
      </c>
      <c r="DS97">
        <v>45400.170521028464</v>
      </c>
      <c r="DT97">
        <v>45895.276175948035</v>
      </c>
      <c r="DU97">
        <v>46388.401385936573</v>
      </c>
    </row>
    <row r="98" spans="1:125">
      <c r="A98" s="42">
        <v>96</v>
      </c>
      <c r="B98" s="45"/>
      <c r="C98" s="45"/>
      <c r="D98" s="45"/>
      <c r="E98" s="45"/>
      <c r="F98" s="45"/>
      <c r="G98" s="45"/>
      <c r="H98" s="45"/>
      <c r="I98" s="45"/>
      <c r="J98" s="45"/>
      <c r="K98" s="45"/>
      <c r="L98" s="45"/>
      <c r="M98" s="45"/>
      <c r="N98" s="45"/>
      <c r="O98" s="45"/>
      <c r="P98" s="45"/>
      <c r="Q98" s="45"/>
      <c r="R98" s="45"/>
      <c r="S98" s="45"/>
      <c r="T98" s="45"/>
      <c r="U98" s="45"/>
      <c r="V98" s="45"/>
      <c r="W98" s="45">
        <v>3170</v>
      </c>
      <c r="X98" s="45">
        <v>3322</v>
      </c>
      <c r="Y98" s="45">
        <v>3503.1086108696927</v>
      </c>
      <c r="Z98" s="45">
        <v>3773.0221569299156</v>
      </c>
      <c r="AA98" s="45">
        <v>3927.5177468217107</v>
      </c>
      <c r="AB98" s="45">
        <v>3984.2602650585018</v>
      </c>
      <c r="AC98" s="45">
        <v>4039.1760922648359</v>
      </c>
      <c r="AD98" s="45">
        <v>4120.8484093125016</v>
      </c>
      <c r="AE98" s="45">
        <v>4199.2775627533993</v>
      </c>
      <c r="AF98" s="45">
        <v>4436.5584762067565</v>
      </c>
      <c r="AG98" s="45">
        <v>4596.5784948013334</v>
      </c>
      <c r="AH98" s="45">
        <v>4764.0606636244702</v>
      </c>
      <c r="AI98" s="45">
        <v>4965.494859186063</v>
      </c>
      <c r="AJ98" s="45">
        <v>5261.921522075565</v>
      </c>
      <c r="AK98" s="45">
        <v>5489.3957404846133</v>
      </c>
      <c r="AL98" s="45">
        <v>5774.0554576106897</v>
      </c>
      <c r="AM98" s="45">
        <v>6046.5228423277804</v>
      </c>
      <c r="AN98" s="45">
        <v>6308.1787262150574</v>
      </c>
      <c r="AO98" s="45">
        <v>6510.6684222814565</v>
      </c>
      <c r="AP98" s="45">
        <v>6714.5647154968628</v>
      </c>
      <c r="AQ98" s="45">
        <v>6909.0111355097033</v>
      </c>
      <c r="AR98" s="45">
        <v>7111.5897761063907</v>
      </c>
      <c r="AS98" s="45">
        <v>7233.0784678224254</v>
      </c>
      <c r="AT98" s="45">
        <v>7331.4176633063362</v>
      </c>
      <c r="AU98" s="45">
        <v>7412.1337818940347</v>
      </c>
      <c r="AV98" s="45">
        <v>7628.3206572838171</v>
      </c>
      <c r="AW98" s="45">
        <v>7938.1763705836183</v>
      </c>
      <c r="AX98" s="45">
        <v>8336.6855491144561</v>
      </c>
      <c r="AY98" s="45">
        <v>8742.7391671768564</v>
      </c>
      <c r="AZ98" s="45">
        <v>8991.4870278709277</v>
      </c>
      <c r="BA98" s="45">
        <v>9242.8311237407506</v>
      </c>
      <c r="BB98" s="45">
        <v>9571.0138769740624</v>
      </c>
      <c r="BC98" s="45">
        <v>9862.628145408602</v>
      </c>
      <c r="BD98" s="45">
        <v>10173.402963559929</v>
      </c>
      <c r="BE98" s="45">
        <v>10475.555078590431</v>
      </c>
      <c r="BF98" s="45">
        <v>10814.564796217415</v>
      </c>
      <c r="BG98" s="45">
        <v>11136.021628693414</v>
      </c>
      <c r="BH98" s="45">
        <v>11502.479964691081</v>
      </c>
      <c r="BI98" s="45">
        <v>11838.805032802113</v>
      </c>
      <c r="BJ98" s="45">
        <v>12198.402811474682</v>
      </c>
      <c r="BK98" s="45">
        <v>12572.738401912393</v>
      </c>
      <c r="BL98" s="45">
        <v>12979.310356995014</v>
      </c>
      <c r="BM98" s="45">
        <v>13379.472839841097</v>
      </c>
      <c r="BN98" s="45">
        <v>13781.069564978534</v>
      </c>
      <c r="BO98" s="45">
        <v>14170.217539609195</v>
      </c>
      <c r="BP98" s="45">
        <v>14567.628051712987</v>
      </c>
      <c r="BQ98" s="45">
        <v>14959.143704576287</v>
      </c>
      <c r="BR98" s="45">
        <v>15354.939053874603</v>
      </c>
      <c r="BS98" s="45">
        <v>15734.386728325579</v>
      </c>
      <c r="BT98" s="45">
        <v>16134.901422526251</v>
      </c>
      <c r="BU98" s="45">
        <v>16527.779775237152</v>
      </c>
      <c r="BV98" s="45">
        <v>16943.456087571569</v>
      </c>
      <c r="BW98" s="45">
        <v>17357.595214291294</v>
      </c>
      <c r="BX98" s="45">
        <v>17780.356226480686</v>
      </c>
      <c r="BY98" s="45">
        <v>18208.946258615593</v>
      </c>
      <c r="BZ98" s="45">
        <v>18665.568628160559</v>
      </c>
      <c r="CA98" s="45">
        <v>19109.558797230842</v>
      </c>
      <c r="CB98" s="45">
        <v>19544.757468052328</v>
      </c>
      <c r="CC98" s="45">
        <v>19991.664262376631</v>
      </c>
      <c r="CD98" s="45">
        <v>20438.735511011229</v>
      </c>
      <c r="CE98" s="45">
        <v>20885.711024284512</v>
      </c>
      <c r="CF98" s="45">
        <v>21344.445491038248</v>
      </c>
      <c r="CG98" s="45">
        <v>21801.299078328084</v>
      </c>
      <c r="CH98" s="45">
        <v>22259.703691195798</v>
      </c>
      <c r="CI98" s="45">
        <v>22732.913210098428</v>
      </c>
      <c r="CJ98" s="45">
        <v>23185.606013190016</v>
      </c>
      <c r="CK98" s="45">
        <v>23650.648418550103</v>
      </c>
      <c r="CL98" s="45">
        <v>24130.867780872322</v>
      </c>
      <c r="CM98" s="45">
        <v>24596.061082032746</v>
      </c>
      <c r="CN98" s="45">
        <v>25072.100884472966</v>
      </c>
      <c r="CO98" s="45">
        <v>25547.088397750216</v>
      </c>
      <c r="CP98" s="45">
        <v>26026.400492980909</v>
      </c>
      <c r="CQ98" s="45">
        <v>26504.218018680876</v>
      </c>
      <c r="CR98" s="45">
        <v>26975.560156644289</v>
      </c>
      <c r="CS98" s="45">
        <v>27459.604137180206</v>
      </c>
      <c r="CT98" s="45">
        <v>27935.961269771229</v>
      </c>
      <c r="CU98" s="45">
        <v>28415.208196505886</v>
      </c>
      <c r="CV98" s="45">
        <v>28890.498524650786</v>
      </c>
      <c r="CW98" s="45">
        <v>29370.053169580329</v>
      </c>
      <c r="CX98" s="45">
        <v>29855.920449971491</v>
      </c>
      <c r="CY98" s="45">
        <v>30332.731553394111</v>
      </c>
      <c r="CZ98" s="45">
        <v>30810.392378355788</v>
      </c>
      <c r="DA98" s="45">
        <v>31287.41009497417</v>
      </c>
      <c r="DB98" s="45">
        <v>31776.528546541325</v>
      </c>
      <c r="DC98" s="45">
        <v>32261.606518206492</v>
      </c>
      <c r="DD98" s="45">
        <v>32742.715775453173</v>
      </c>
      <c r="DE98" s="45">
        <v>33226.666898860596</v>
      </c>
      <c r="DF98" s="45">
        <v>33721.621481907227</v>
      </c>
      <c r="DG98" s="45">
        <v>34200.304848510212</v>
      </c>
      <c r="DH98" s="45">
        <v>34685.47254438504</v>
      </c>
      <c r="DI98" s="45">
        <v>35162.412545975567</v>
      </c>
      <c r="DJ98" s="45">
        <v>35653.53981856304</v>
      </c>
      <c r="DK98" s="45">
        <v>36138.679642665375</v>
      </c>
      <c r="DL98" s="45">
        <v>36617.34965398402</v>
      </c>
      <c r="DM98" s="45">
        <v>37095.374884122612</v>
      </c>
      <c r="DN98" s="45">
        <v>37572.963725992508</v>
      </c>
      <c r="DO98" s="45">
        <v>38058.955530122541</v>
      </c>
      <c r="DP98">
        <v>38543.804488853886</v>
      </c>
      <c r="DQ98">
        <v>39021.004314234546</v>
      </c>
      <c r="DR98">
        <v>39502.680702185207</v>
      </c>
      <c r="DS98">
        <v>39979.719569232759</v>
      </c>
      <c r="DT98">
        <v>40460.704249514762</v>
      </c>
      <c r="DU98">
        <v>40940.463655678766</v>
      </c>
    </row>
    <row r="99" spans="1:125">
      <c r="A99" s="42">
        <v>97</v>
      </c>
      <c r="B99" s="45"/>
      <c r="C99" s="45"/>
      <c r="D99" s="45"/>
      <c r="E99" s="45"/>
      <c r="F99" s="45"/>
      <c r="G99" s="45"/>
      <c r="H99" s="45"/>
      <c r="I99" s="45"/>
      <c r="J99" s="45"/>
      <c r="K99" s="45"/>
      <c r="L99" s="45"/>
      <c r="M99" s="45"/>
      <c r="N99" s="45"/>
      <c r="O99" s="45"/>
      <c r="P99" s="45"/>
      <c r="Q99" s="45"/>
      <c r="R99" s="45"/>
      <c r="S99" s="45"/>
      <c r="T99" s="45"/>
      <c r="U99" s="45"/>
      <c r="V99" s="45"/>
      <c r="W99" s="45">
        <v>2252</v>
      </c>
      <c r="X99" s="45">
        <v>2368.5</v>
      </c>
      <c r="Y99" s="45">
        <v>2496.8729869927483</v>
      </c>
      <c r="Z99" s="45">
        <v>2710.5321951223236</v>
      </c>
      <c r="AA99" s="45">
        <v>2832.9509444160449</v>
      </c>
      <c r="AB99" s="45">
        <v>2818.0791044928064</v>
      </c>
      <c r="AC99" s="45">
        <v>2849.0973015846157</v>
      </c>
      <c r="AD99" s="45">
        <v>2915.3122199570471</v>
      </c>
      <c r="AE99" s="45">
        <v>2982.5533332648906</v>
      </c>
      <c r="AF99" s="45">
        <v>3162.2067444426484</v>
      </c>
      <c r="AG99" s="45">
        <v>3287.4977476448776</v>
      </c>
      <c r="AH99" s="45">
        <v>3418.7328469298736</v>
      </c>
      <c r="AI99" s="45">
        <v>3575.1532358173986</v>
      </c>
      <c r="AJ99" s="45">
        <v>3801.2617020748489</v>
      </c>
      <c r="AK99" s="45">
        <v>3978.7450663352688</v>
      </c>
      <c r="AL99" s="45">
        <v>4198.5605535474924</v>
      </c>
      <c r="AM99" s="45">
        <v>4410.961684841991</v>
      </c>
      <c r="AN99" s="45">
        <v>4616.9087173379367</v>
      </c>
      <c r="AO99" s="45">
        <v>4780.4546472531138</v>
      </c>
      <c r="AP99" s="45">
        <v>4945.7110306843315</v>
      </c>
      <c r="AQ99" s="45">
        <v>5103.4522094200966</v>
      </c>
      <c r="AR99" s="45">
        <v>5267.7174682763361</v>
      </c>
      <c r="AS99" s="45">
        <v>5373.3475680452375</v>
      </c>
      <c r="AT99" s="45">
        <v>5461.7772081885714</v>
      </c>
      <c r="AU99" s="45">
        <v>5537.4744858842132</v>
      </c>
      <c r="AV99" s="45">
        <v>5714.5197813045979</v>
      </c>
      <c r="AW99" s="45">
        <v>5962.4497891154861</v>
      </c>
      <c r="AX99" s="45">
        <v>6278.0340091455055</v>
      </c>
      <c r="AY99" s="45">
        <v>6601.189266710343</v>
      </c>
      <c r="AZ99" s="45">
        <v>6807.1202818618003</v>
      </c>
      <c r="BA99" s="45">
        <v>7015.7654104445628</v>
      </c>
      <c r="BB99" s="45">
        <v>7283.1702075878984</v>
      </c>
      <c r="BC99" s="45">
        <v>7523.9544090458348</v>
      </c>
      <c r="BD99" s="45">
        <v>7779.9195678974793</v>
      </c>
      <c r="BE99" s="45">
        <v>8030.4530794059319</v>
      </c>
      <c r="BF99" s="45">
        <v>8310.1307830093683</v>
      </c>
      <c r="BG99" s="45">
        <v>8577.7204147498724</v>
      </c>
      <c r="BH99" s="45">
        <v>8880.4570943798972</v>
      </c>
      <c r="BI99" s="45">
        <v>9161.1640219620822</v>
      </c>
      <c r="BJ99" s="45">
        <v>9460.9408359175977</v>
      </c>
      <c r="BK99" s="45">
        <v>9773.2481336503552</v>
      </c>
      <c r="BL99" s="45">
        <v>10111.713835552666</v>
      </c>
      <c r="BM99" s="45">
        <v>10446.298723794996</v>
      </c>
      <c r="BN99" s="45">
        <v>10783.250545219154</v>
      </c>
      <c r="BO99" s="45">
        <v>11111.549745388074</v>
      </c>
      <c r="BP99" s="45">
        <v>11447.613718351176</v>
      </c>
      <c r="BQ99" s="45">
        <v>11780.02010376321</v>
      </c>
      <c r="BR99" s="45">
        <v>12116.964130797896</v>
      </c>
      <c r="BS99" s="45">
        <v>12442.133407124</v>
      </c>
      <c r="BT99" s="45">
        <v>12784.888177240344</v>
      </c>
      <c r="BU99" s="45">
        <v>13122.712795581663</v>
      </c>
      <c r="BV99" s="45">
        <v>13479.547315257898</v>
      </c>
      <c r="BW99" s="45">
        <v>13836.341700126048</v>
      </c>
      <c r="BX99" s="45">
        <v>14200.955050337725</v>
      </c>
      <c r="BY99" s="45">
        <v>14571.241864538048</v>
      </c>
      <c r="BZ99" s="45">
        <v>14965.04921188023</v>
      </c>
      <c r="CA99" s="45">
        <v>15349.932635267833</v>
      </c>
      <c r="CB99" s="45">
        <v>15728.915294266695</v>
      </c>
      <c r="CC99" s="45">
        <v>16118.07996774558</v>
      </c>
      <c r="CD99" s="45">
        <v>16508.512557509974</v>
      </c>
      <c r="CE99" s="45">
        <v>16899.938516148475</v>
      </c>
      <c r="CF99" s="45">
        <v>17301.795718981608</v>
      </c>
      <c r="CG99" s="45">
        <v>17703.283386418869</v>
      </c>
      <c r="CH99" s="45">
        <v>18106.981054086471</v>
      </c>
      <c r="CI99" s="45">
        <v>18523.722524164514</v>
      </c>
      <c r="CJ99" s="45">
        <v>18924.822089038931</v>
      </c>
      <c r="CK99" s="45">
        <v>19336.96627869361</v>
      </c>
      <c r="CL99" s="45">
        <v>19762.405746378314</v>
      </c>
      <c r="CM99" s="45">
        <v>20176.604238900727</v>
      </c>
      <c r="CN99" s="45">
        <v>20600.654475095504</v>
      </c>
      <c r="CO99" s="45">
        <v>21024.643172837496</v>
      </c>
      <c r="CP99" s="45">
        <v>21453.271246739278</v>
      </c>
      <c r="CQ99" s="45">
        <v>21881.530553361241</v>
      </c>
      <c r="CR99" s="45">
        <v>22305.450498523976</v>
      </c>
      <c r="CS99" s="45">
        <v>22740.662577594092</v>
      </c>
      <c r="CT99" s="45">
        <v>23170.445776671255</v>
      </c>
      <c r="CU99" s="45">
        <v>23603.446042604519</v>
      </c>
      <c r="CV99" s="45">
        <v>24034.014435921639</v>
      </c>
      <c r="CW99" s="45">
        <v>24469.05983201263</v>
      </c>
      <c r="CX99" s="45">
        <v>24910.082128569858</v>
      </c>
      <c r="CY99" s="45">
        <v>25344.457150057078</v>
      </c>
      <c r="CZ99" s="45">
        <v>25780.221541906445</v>
      </c>
      <c r="DA99" s="45">
        <v>26216.308825129301</v>
      </c>
      <c r="DB99" s="45">
        <v>26663.228187161087</v>
      </c>
      <c r="DC99" s="45">
        <v>27107.65000367543</v>
      </c>
      <c r="DD99" s="45">
        <v>27549.413095453307</v>
      </c>
      <c r="DE99" s="45">
        <v>27994.349087784085</v>
      </c>
      <c r="DF99" s="45">
        <v>28449.298109247295</v>
      </c>
      <c r="DG99" s="45">
        <v>28891.161030736243</v>
      </c>
      <c r="DH99" s="45">
        <v>29339.282411316293</v>
      </c>
      <c r="DI99" s="45">
        <v>29781.060133554682</v>
      </c>
      <c r="DJ99" s="45">
        <v>30235.538094754287</v>
      </c>
      <c r="DK99" s="45">
        <v>30685.673261422104</v>
      </c>
      <c r="DL99" s="45">
        <v>31130.957669894226</v>
      </c>
      <c r="DM99" s="45">
        <v>31576.246648118733</v>
      </c>
      <c r="DN99" s="45">
        <v>32021.86613544562</v>
      </c>
      <c r="DO99" s="45">
        <v>32475.220921452943</v>
      </c>
      <c r="DP99">
        <v>32928.240526011403</v>
      </c>
      <c r="DQ99">
        <v>33375.29644951933</v>
      </c>
      <c r="DR99">
        <v>33826.70572026138</v>
      </c>
      <c r="DS99">
        <v>34274.795300628903</v>
      </c>
      <c r="DT99">
        <v>34726.781274512272</v>
      </c>
      <c r="DU99">
        <v>35178.262284936507</v>
      </c>
    </row>
    <row r="100" spans="1:125">
      <c r="A100" s="42">
        <v>98</v>
      </c>
      <c r="B100" s="45"/>
      <c r="C100" s="45"/>
      <c r="D100" s="45"/>
      <c r="E100" s="45"/>
      <c r="F100" s="45"/>
      <c r="G100" s="45"/>
      <c r="H100" s="45"/>
      <c r="I100" s="45"/>
      <c r="J100" s="45"/>
      <c r="K100" s="45"/>
      <c r="L100" s="45"/>
      <c r="M100" s="45"/>
      <c r="N100" s="45"/>
      <c r="O100" s="45"/>
      <c r="P100" s="45"/>
      <c r="Q100" s="45"/>
      <c r="R100" s="45"/>
      <c r="S100" s="45"/>
      <c r="T100" s="45"/>
      <c r="U100" s="45"/>
      <c r="V100" s="45"/>
      <c r="W100" s="45">
        <v>1551</v>
      </c>
      <c r="X100" s="45">
        <v>1637</v>
      </c>
      <c r="Y100" s="45">
        <v>1720.9285789607629</v>
      </c>
      <c r="Z100" s="45">
        <v>1883.6674427820831</v>
      </c>
      <c r="AA100" s="45">
        <v>1976.8328403234132</v>
      </c>
      <c r="AB100" s="45">
        <v>1927.2915134000013</v>
      </c>
      <c r="AC100" s="45">
        <v>1943.0750263003138</v>
      </c>
      <c r="AD100" s="45">
        <v>1994.3055351568273</v>
      </c>
      <c r="AE100" s="45">
        <v>2048.6361538306292</v>
      </c>
      <c r="AF100" s="45">
        <v>2180.0085922646358</v>
      </c>
      <c r="AG100" s="45">
        <v>2274.4728281381304</v>
      </c>
      <c r="AH100" s="45">
        <v>2373.5438333071324</v>
      </c>
      <c r="AI100" s="45">
        <v>2490.7440312643939</v>
      </c>
      <c r="AJ100" s="45">
        <v>2657.4750203409239</v>
      </c>
      <c r="AK100" s="45">
        <v>2791.1292706807608</v>
      </c>
      <c r="AL100" s="45">
        <v>2955.1950904846672</v>
      </c>
      <c r="AM100" s="45">
        <v>3115.1487027836533</v>
      </c>
      <c r="AN100" s="45">
        <v>3271.6421597657945</v>
      </c>
      <c r="AO100" s="45">
        <v>3398.8226973990541</v>
      </c>
      <c r="AP100" s="45">
        <v>3527.793989123722</v>
      </c>
      <c r="AQ100" s="45">
        <v>3651.0224760897036</v>
      </c>
      <c r="AR100" s="45">
        <v>3779.3688680073478</v>
      </c>
      <c r="AS100" s="45">
        <v>3866.7214531840173</v>
      </c>
      <c r="AT100" s="45">
        <v>3941.7761344586893</v>
      </c>
      <c r="AU100" s="45">
        <v>4007.9924691395595</v>
      </c>
      <c r="AV100" s="45">
        <v>4147.7492368016801</v>
      </c>
      <c r="AW100" s="45">
        <v>4339.5639116565198</v>
      </c>
      <c r="AX100" s="45">
        <v>4581.4899589138749</v>
      </c>
      <c r="AY100" s="45">
        <v>4830.4028482488302</v>
      </c>
      <c r="AZ100" s="45">
        <v>4994.7520996537414</v>
      </c>
      <c r="BA100" s="45">
        <v>5161.7336772558792</v>
      </c>
      <c r="BB100" s="45">
        <v>5372.3743162091432</v>
      </c>
      <c r="BC100" s="45">
        <v>5564.354843711817</v>
      </c>
      <c r="BD100" s="45">
        <v>5768.0835756511087</v>
      </c>
      <c r="BE100" s="45">
        <v>5968.7328276120406</v>
      </c>
      <c r="BF100" s="45">
        <v>6191.8026379993571</v>
      </c>
      <c r="BG100" s="45">
        <v>6406.9930342510188</v>
      </c>
      <c r="BH100" s="45">
        <v>6648.9130495537347</v>
      </c>
      <c r="BI100" s="45">
        <v>6875.3550906879127</v>
      </c>
      <c r="BJ100" s="45">
        <v>7117.0023973813531</v>
      </c>
      <c r="BK100" s="45">
        <v>7369.0031176502307</v>
      </c>
      <c r="BL100" s="45">
        <v>7641.6608627369305</v>
      </c>
      <c r="BM100" s="45">
        <v>7912.332612393292</v>
      </c>
      <c r="BN100" s="45">
        <v>8185.8428883793513</v>
      </c>
      <c r="BO100" s="45">
        <v>8453.7163053105251</v>
      </c>
      <c r="BP100" s="45">
        <v>8728.5741206973034</v>
      </c>
      <c r="BQ100" s="45">
        <v>9001.4959838264458</v>
      </c>
      <c r="BR100" s="45">
        <v>9278.8798438080794</v>
      </c>
      <c r="BS100" s="45">
        <v>9548.2118882618124</v>
      </c>
      <c r="BT100" s="45">
        <v>9831.8604436401874</v>
      </c>
      <c r="BU100" s="45">
        <v>10112.683475899399</v>
      </c>
      <c r="BV100" s="45">
        <v>10408.969009296001</v>
      </c>
      <c r="BW100" s="45">
        <v>10706.240995097567</v>
      </c>
      <c r="BX100" s="45">
        <v>11010.408381268629</v>
      </c>
      <c r="BY100" s="45">
        <v>11319.874707579223</v>
      </c>
      <c r="BZ100" s="45">
        <v>11648.569626746512</v>
      </c>
      <c r="CA100" s="45">
        <v>11971.362829032447</v>
      </c>
      <c r="CB100" s="45">
        <v>12290.566563390335</v>
      </c>
      <c r="CC100" s="45">
        <v>12618.442368695469</v>
      </c>
      <c r="CD100" s="45">
        <v>12948.306705328365</v>
      </c>
      <c r="CE100" s="45">
        <v>13279.899292577236</v>
      </c>
      <c r="CF100" s="45">
        <v>13620.524683178897</v>
      </c>
      <c r="CG100" s="45">
        <v>13961.874581932872</v>
      </c>
      <c r="CH100" s="45">
        <v>14305.83113811864</v>
      </c>
      <c r="CI100" s="45">
        <v>14660.996459020547</v>
      </c>
      <c r="CJ100" s="45">
        <v>15004.741108790553</v>
      </c>
      <c r="CK100" s="45">
        <v>15358.11858858399</v>
      </c>
      <c r="CL100" s="45">
        <v>15722.875951847325</v>
      </c>
      <c r="CM100" s="45">
        <v>16079.644329188939</v>
      </c>
      <c r="CN100" s="45">
        <v>16445.135375320649</v>
      </c>
      <c r="CO100" s="45">
        <v>16811.336077254615</v>
      </c>
      <c r="CP100" s="45">
        <v>17182.21394750481</v>
      </c>
      <c r="CQ100" s="45">
        <v>17553.601279173421</v>
      </c>
      <c r="CR100" s="45">
        <v>17922.419624339371</v>
      </c>
      <c r="CS100" s="45">
        <v>18301.060230057541</v>
      </c>
      <c r="CT100" s="45">
        <v>18676.192400153679</v>
      </c>
      <c r="CU100" s="45">
        <v>19054.689645320923</v>
      </c>
      <c r="CV100" s="45">
        <v>19432.02132707592</v>
      </c>
      <c r="CW100" s="45">
        <v>19813.826824738484</v>
      </c>
      <c r="CX100" s="45">
        <v>20201.16687039203</v>
      </c>
      <c r="CY100" s="45">
        <v>20583.954634354861</v>
      </c>
      <c r="CZ100" s="45">
        <v>20968.534702119839</v>
      </c>
      <c r="DA100" s="45">
        <v>21354.178140840777</v>
      </c>
      <c r="DB100" s="45">
        <v>21749.318713987384</v>
      </c>
      <c r="DC100" s="45">
        <v>22143.247737875081</v>
      </c>
      <c r="DD100" s="45">
        <v>22535.665288369171</v>
      </c>
      <c r="DE100" s="45">
        <v>22931.417987874098</v>
      </c>
      <c r="DF100" s="45">
        <v>23336.083354087586</v>
      </c>
      <c r="DG100" s="45">
        <v>23730.647193264536</v>
      </c>
      <c r="DH100" s="45">
        <v>24131.088307633057</v>
      </c>
      <c r="DI100" s="45">
        <v>24526.922718848611</v>
      </c>
      <c r="DJ100" s="45">
        <v>24933.87907939429</v>
      </c>
      <c r="DK100" s="45">
        <v>25337.954832642954</v>
      </c>
      <c r="DL100" s="45">
        <v>25738.654169317037</v>
      </c>
      <c r="DM100" s="45">
        <v>26139.916320096439</v>
      </c>
      <c r="DN100" s="45">
        <v>26542.123152057567</v>
      </c>
      <c r="DO100" s="45">
        <v>26951.315396295169</v>
      </c>
      <c r="DP100">
        <v>27360.853138625669</v>
      </c>
      <c r="DQ100">
        <v>27766.005067120383</v>
      </c>
      <c r="DR100">
        <v>28175.31157021493</v>
      </c>
      <c r="DS100">
        <v>28582.480981451521</v>
      </c>
      <c r="DT100">
        <v>28993.422180668909</v>
      </c>
      <c r="DU100">
        <v>29404.488412602077</v>
      </c>
    </row>
    <row r="101" spans="1:125">
      <c r="A101" s="42">
        <v>99</v>
      </c>
      <c r="B101" s="45"/>
      <c r="C101" s="45"/>
      <c r="D101" s="45"/>
      <c r="E101" s="45"/>
      <c r="F101" s="45"/>
      <c r="G101" s="45"/>
      <c r="H101" s="45"/>
      <c r="I101" s="45"/>
      <c r="J101" s="45"/>
      <c r="K101" s="45"/>
      <c r="L101" s="45"/>
      <c r="M101" s="45"/>
      <c r="N101" s="45"/>
      <c r="O101" s="45"/>
      <c r="P101" s="45"/>
      <c r="Q101" s="45"/>
      <c r="R101" s="45"/>
      <c r="S101" s="45"/>
      <c r="T101" s="45"/>
      <c r="U101" s="45"/>
      <c r="V101" s="45"/>
      <c r="W101" s="45">
        <v>1035</v>
      </c>
      <c r="X101" s="45">
        <v>1096.5</v>
      </c>
      <c r="Y101" s="45">
        <v>1145.754143143055</v>
      </c>
      <c r="Z101" s="45">
        <v>1264.9821607741696</v>
      </c>
      <c r="AA101" s="45">
        <v>1333.1017737098609</v>
      </c>
      <c r="AB101" s="45">
        <v>1273.0944809257792</v>
      </c>
      <c r="AC101" s="45">
        <v>1279.8634352237257</v>
      </c>
      <c r="AD101" s="45">
        <v>1317.7462362430415</v>
      </c>
      <c r="AE101" s="45">
        <v>1359.3551587527281</v>
      </c>
      <c r="AF101" s="45">
        <v>1452.0553187065166</v>
      </c>
      <c r="AG101" s="45">
        <v>1520.6118211589828</v>
      </c>
      <c r="AH101" s="45">
        <v>1592.6342272661705</v>
      </c>
      <c r="AI101" s="45">
        <v>1677.3080686950311</v>
      </c>
      <c r="AJ101" s="45">
        <v>1796.0555720334376</v>
      </c>
      <c r="AK101" s="45">
        <v>1893.1332881495746</v>
      </c>
      <c r="AL101" s="45">
        <v>2011.3950981096384</v>
      </c>
      <c r="AM101" s="45">
        <v>2127.6743270899665</v>
      </c>
      <c r="AN101" s="45">
        <v>2242.4039119649742</v>
      </c>
      <c r="AO101" s="45">
        <v>2337.6159113603239</v>
      </c>
      <c r="AP101" s="45">
        <v>2434.5253198047221</v>
      </c>
      <c r="AQ101" s="45">
        <v>2527.2259826306918</v>
      </c>
      <c r="AR101" s="45">
        <v>2623.8429998921365</v>
      </c>
      <c r="AS101" s="45">
        <v>2692.7802278451782</v>
      </c>
      <c r="AT101" s="45">
        <v>2753.2718169447771</v>
      </c>
      <c r="AU101" s="45">
        <v>2807.8834199524026</v>
      </c>
      <c r="AV101" s="45">
        <v>2914.2102340525526</v>
      </c>
      <c r="AW101" s="45">
        <v>3057.6088074436893</v>
      </c>
      <c r="AX101" s="45">
        <v>3237.0042817926378</v>
      </c>
      <c r="AY101" s="45">
        <v>3422.4316514069342</v>
      </c>
      <c r="AZ101" s="45">
        <v>3548.8661741636051</v>
      </c>
      <c r="BA101" s="45">
        <v>3677.6972980303085</v>
      </c>
      <c r="BB101" s="45">
        <v>3838.0251366130287</v>
      </c>
      <c r="BC101" s="45">
        <v>3985.7863995082052</v>
      </c>
      <c r="BD101" s="45">
        <v>4142.4193310906503</v>
      </c>
      <c r="BE101" s="45">
        <v>4297.5879300400848</v>
      </c>
      <c r="BF101" s="45">
        <v>4469.5234324513112</v>
      </c>
      <c r="BG101" s="45">
        <v>4636.6498745731014</v>
      </c>
      <c r="BH101" s="45">
        <v>4823.5593896035671</v>
      </c>
      <c r="BI101" s="45">
        <v>5000.049417945851</v>
      </c>
      <c r="BJ101" s="45">
        <v>5188.3245818871683</v>
      </c>
      <c r="BK101" s="45">
        <v>5384.9031074809191</v>
      </c>
      <c r="BL101" s="45">
        <v>5597.3427471388241</v>
      </c>
      <c r="BM101" s="45">
        <v>5809.1065972109873</v>
      </c>
      <c r="BN101" s="45">
        <v>6023.8030806465367</v>
      </c>
      <c r="BO101" s="45">
        <v>6235.1221877335656</v>
      </c>
      <c r="BP101" s="45">
        <v>6452.4656922786198</v>
      </c>
      <c r="BQ101" s="45">
        <v>6669.0977181128692</v>
      </c>
      <c r="BR101" s="45">
        <v>6889.8549833692923</v>
      </c>
      <c r="BS101" s="45">
        <v>7105.4330886140651</v>
      </c>
      <c r="BT101" s="45">
        <v>7332.3662097819506</v>
      </c>
      <c r="BU101" s="45">
        <v>7557.9966151765266</v>
      </c>
      <c r="BV101" s="45">
        <v>7795.883621877404</v>
      </c>
      <c r="BW101" s="45">
        <v>8035.355800894049</v>
      </c>
      <c r="BX101" s="45">
        <v>8280.7308651271996</v>
      </c>
      <c r="BY101" s="45">
        <v>8530.8594662737123</v>
      </c>
      <c r="BZ101" s="45">
        <v>8796.2909885734171</v>
      </c>
      <c r="CA101" s="45">
        <v>9058.1425205764008</v>
      </c>
      <c r="CB101" s="45">
        <v>9318.1317202938371</v>
      </c>
      <c r="CC101" s="45">
        <v>9585.3412691989834</v>
      </c>
      <c r="CD101" s="45">
        <v>9854.9060361474094</v>
      </c>
      <c r="CE101" s="45">
        <v>10126.598950753192</v>
      </c>
      <c r="CF101" s="45">
        <v>10405.914481044114</v>
      </c>
      <c r="CG101" s="45">
        <v>10686.646736465671</v>
      </c>
      <c r="CH101" s="45">
        <v>10970.130852405564</v>
      </c>
      <c r="CI101" s="45">
        <v>11262.996890106529</v>
      </c>
      <c r="CJ101" s="45">
        <v>11547.915958503574</v>
      </c>
      <c r="CK101" s="45">
        <v>11841.016061664097</v>
      </c>
      <c r="CL101" s="45">
        <v>12143.620817188861</v>
      </c>
      <c r="CM101" s="45">
        <v>12440.881619160951</v>
      </c>
      <c r="CN101" s="45">
        <v>12745.658789220135</v>
      </c>
      <c r="CO101" s="45">
        <v>13051.674592946263</v>
      </c>
      <c r="CP101" s="45">
        <v>13362.159166050935</v>
      </c>
      <c r="CQ101" s="45">
        <v>13673.76239450373</v>
      </c>
      <c r="CR101" s="45">
        <v>13984.162662402603</v>
      </c>
      <c r="CS101" s="45">
        <v>14302.909707978266</v>
      </c>
      <c r="CT101" s="45">
        <v>14619.677481543258</v>
      </c>
      <c r="CU101" s="45">
        <v>14939.778571667561</v>
      </c>
      <c r="CV101" s="45">
        <v>15259.682967624725</v>
      </c>
      <c r="CW101" s="45">
        <v>15583.857925698854</v>
      </c>
      <c r="CX101" s="45">
        <v>15913.030600852995</v>
      </c>
      <c r="CY101" s="45">
        <v>16239.363805818841</v>
      </c>
      <c r="CZ101" s="45">
        <v>16567.732095681593</v>
      </c>
      <c r="DA101" s="45">
        <v>16897.658746589121</v>
      </c>
      <c r="DB101" s="45">
        <v>17235.729220616882</v>
      </c>
      <c r="DC101" s="45">
        <v>17573.576685429107</v>
      </c>
      <c r="DD101" s="45">
        <v>17910.84276330801</v>
      </c>
      <c r="DE101" s="45">
        <v>18251.433501517007</v>
      </c>
      <c r="DF101" s="45">
        <v>18599.772090507344</v>
      </c>
      <c r="DG101" s="45">
        <v>18940.656884586835</v>
      </c>
      <c r="DH101" s="45">
        <v>19286.902470697729</v>
      </c>
      <c r="DI101" s="45">
        <v>19630.045714131891</v>
      </c>
      <c r="DJ101" s="45">
        <v>19982.706400143587</v>
      </c>
      <c r="DK101" s="45">
        <v>20333.701841020455</v>
      </c>
      <c r="DL101" s="45">
        <v>20682.578116980461</v>
      </c>
      <c r="DM101" s="45">
        <v>21032.445882605243</v>
      </c>
      <c r="DN101" s="45">
        <v>21383.691294938348</v>
      </c>
      <c r="DO101" s="45">
        <v>21741.113235193086</v>
      </c>
      <c r="DP101">
        <v>22099.39766974665</v>
      </c>
      <c r="DQ101">
        <v>22454.683331059274</v>
      </c>
      <c r="DR101">
        <v>22813.845287419081</v>
      </c>
      <c r="DS101">
        <v>23171.859198644855</v>
      </c>
      <c r="DT101">
        <v>23533.437922800098</v>
      </c>
      <c r="DU101">
        <v>23895.641319046324</v>
      </c>
    </row>
    <row r="102" spans="1:125">
      <c r="A102" s="42">
        <v>100</v>
      </c>
      <c r="B102" s="45"/>
      <c r="C102" s="45"/>
      <c r="D102" s="45"/>
      <c r="E102" s="45"/>
      <c r="F102" s="45"/>
      <c r="G102" s="45"/>
      <c r="H102" s="45"/>
      <c r="I102" s="45"/>
      <c r="J102" s="45"/>
      <c r="K102" s="45"/>
      <c r="L102" s="45"/>
      <c r="M102" s="45"/>
      <c r="N102" s="45"/>
      <c r="O102" s="45"/>
      <c r="P102" s="45"/>
      <c r="Q102" s="45"/>
      <c r="R102" s="45"/>
      <c r="S102" s="45"/>
      <c r="T102" s="45"/>
      <c r="U102" s="45"/>
      <c r="V102" s="45"/>
      <c r="W102" s="45">
        <v>668</v>
      </c>
      <c r="X102" s="45">
        <v>710.5</v>
      </c>
      <c r="Y102" s="45">
        <v>736.30690715260289</v>
      </c>
      <c r="Z102" s="45">
        <v>820.30900713054803</v>
      </c>
      <c r="AA102" s="45">
        <v>868.1771591478539</v>
      </c>
      <c r="AB102" s="45">
        <v>811.63341213151602</v>
      </c>
      <c r="AC102" s="45">
        <v>813.56118785566809</v>
      </c>
      <c r="AD102" s="45">
        <v>840.36381478904275</v>
      </c>
      <c r="AE102" s="45">
        <v>870.67804915822285</v>
      </c>
      <c r="AF102" s="45">
        <v>933.7579029694673</v>
      </c>
      <c r="AG102" s="45">
        <v>981.63857600201413</v>
      </c>
      <c r="AH102" s="45">
        <v>1032.0458414340023</v>
      </c>
      <c r="AI102" s="45">
        <v>1091.0064601016775</v>
      </c>
      <c r="AJ102" s="45">
        <v>1172.6398833365477</v>
      </c>
      <c r="AK102" s="45">
        <v>1240.6193785171786</v>
      </c>
      <c r="AL102" s="45">
        <v>1322.8983580897907</v>
      </c>
      <c r="AM102" s="45">
        <v>1404.4558981235677</v>
      </c>
      <c r="AN102" s="45">
        <v>1485.5736287692932</v>
      </c>
      <c r="AO102" s="45">
        <v>1554.1928109440025</v>
      </c>
      <c r="AP102" s="45">
        <v>1624.3018730086046</v>
      </c>
      <c r="AQ102" s="45">
        <v>1691.4575246327963</v>
      </c>
      <c r="AR102" s="45">
        <v>1761.5302711850741</v>
      </c>
      <c r="AS102" s="45">
        <v>1813.5684231249534</v>
      </c>
      <c r="AT102" s="45">
        <v>1860.0450867883278</v>
      </c>
      <c r="AU102" s="45">
        <v>1902.7833247379208</v>
      </c>
      <c r="AV102" s="45">
        <v>1980.7474297137871</v>
      </c>
      <c r="AW102" s="45">
        <v>2084.2971165638228</v>
      </c>
      <c r="AX102" s="45">
        <v>2212.9108841362095</v>
      </c>
      <c r="AY102" s="45">
        <v>2346.443385607296</v>
      </c>
      <c r="AZ102" s="45">
        <v>2440.2074020445461</v>
      </c>
      <c r="BA102" s="45">
        <v>2536.0343944529877</v>
      </c>
      <c r="BB102" s="45">
        <v>2902.8441015136855</v>
      </c>
      <c r="BC102" s="45">
        <v>2763.6835755291104</v>
      </c>
      <c r="BD102" s="45">
        <v>2879.9842506826835</v>
      </c>
      <c r="BE102" s="45">
        <v>2995.8368934825057</v>
      </c>
      <c r="BF102" s="45">
        <v>3123.8717519994889</v>
      </c>
      <c r="BG102" s="45">
        <v>3249.2085068291972</v>
      </c>
      <c r="BH102" s="45">
        <v>3388.7894260923026</v>
      </c>
      <c r="BI102" s="45">
        <v>3521.6739899792178</v>
      </c>
      <c r="BJ102" s="45">
        <v>3663.4310332979476</v>
      </c>
      <c r="BK102" s="45">
        <v>3811.6461296565176</v>
      </c>
      <c r="BL102" s="45">
        <v>3971.6955118409774</v>
      </c>
      <c r="BM102" s="45">
        <v>4131.8845503368375</v>
      </c>
      <c r="BN102" s="45">
        <v>4294.825901842396</v>
      </c>
      <c r="BO102" s="45">
        <v>4455.9752718252385</v>
      </c>
      <c r="BP102" s="45">
        <v>4622.1149770132397</v>
      </c>
      <c r="BQ102" s="45">
        <v>4788.3306217676336</v>
      </c>
      <c r="BR102" s="45">
        <v>4958.1609545497904</v>
      </c>
      <c r="BS102" s="45">
        <v>5124.9045956996688</v>
      </c>
      <c r="BT102" s="45">
        <v>5300.4151541432966</v>
      </c>
      <c r="BU102" s="45">
        <v>5475.6317533398051</v>
      </c>
      <c r="BV102" s="45">
        <v>5660.3090305014975</v>
      </c>
      <c r="BW102" s="45">
        <v>5846.8182574737602</v>
      </c>
      <c r="BX102" s="45">
        <v>6038.2265334373533</v>
      </c>
      <c r="BY102" s="45">
        <v>6233.7341293687741</v>
      </c>
      <c r="BZ102" s="45">
        <v>6441.0900813043554</v>
      </c>
      <c r="CA102" s="45">
        <v>6646.5363949883722</v>
      </c>
      <c r="CB102" s="45">
        <v>6851.3122435320711</v>
      </c>
      <c r="CC102" s="45">
        <v>7061.9551249293136</v>
      </c>
      <c r="CD102" s="45">
        <v>7275.0261115264584</v>
      </c>
      <c r="CE102" s="45">
        <v>7490.3408145837266</v>
      </c>
      <c r="CF102" s="45">
        <v>7711.9159651553337</v>
      </c>
      <c r="CG102" s="45">
        <v>7935.2510328198314</v>
      </c>
      <c r="CH102" s="45">
        <v>8161.2689537498254</v>
      </c>
      <c r="CI102" s="45">
        <v>8394.9282927797613</v>
      </c>
      <c r="CJ102" s="45">
        <v>8623.3530457753586</v>
      </c>
      <c r="CK102" s="45">
        <v>8858.5359399984372</v>
      </c>
      <c r="CL102" s="45">
        <v>9101.4568967806954</v>
      </c>
      <c r="CM102" s="45">
        <v>9341.0645900636209</v>
      </c>
      <c r="CN102" s="45">
        <v>9586.9686063734298</v>
      </c>
      <c r="CO102" s="45">
        <v>9834.405324492338</v>
      </c>
      <c r="CP102" s="45">
        <v>10085.910748220289</v>
      </c>
      <c r="CQ102" s="45">
        <v>10338.885577118159</v>
      </c>
      <c r="CR102" s="45">
        <v>10591.626109888377</v>
      </c>
      <c r="CS102" s="45">
        <v>10851.287368373149</v>
      </c>
      <c r="CT102" s="45">
        <v>11110.099858052585</v>
      </c>
      <c r="CU102" s="45">
        <v>11372.055478909073</v>
      </c>
      <c r="CV102" s="45">
        <v>11634.483332296288</v>
      </c>
      <c r="CW102" s="45">
        <v>11900.816059952085</v>
      </c>
      <c r="CX102" s="45">
        <v>12171.540016779776</v>
      </c>
      <c r="CY102" s="45">
        <v>12440.734252458344</v>
      </c>
      <c r="CZ102" s="45">
        <v>12712.045100678837</v>
      </c>
      <c r="DA102" s="45">
        <v>12985.173631323702</v>
      </c>
      <c r="DB102" s="45">
        <v>13265.123756926936</v>
      </c>
      <c r="DC102" s="45">
        <v>13545.538192374646</v>
      </c>
      <c r="DD102" s="45">
        <v>13826.060342964694</v>
      </c>
      <c r="DE102" s="45">
        <v>14109.741218327259</v>
      </c>
      <c r="DF102" s="45">
        <v>14399.991963415505</v>
      </c>
      <c r="DG102" s="45">
        <v>14685.013672170482</v>
      </c>
      <c r="DH102" s="45">
        <v>14974.779553027218</v>
      </c>
      <c r="DI102" s="45">
        <v>15262.664324354275</v>
      </c>
      <c r="DJ102" s="45">
        <v>15558.500675718167</v>
      </c>
      <c r="DK102" s="45">
        <v>15853.610259549161</v>
      </c>
      <c r="DL102" s="45">
        <v>16147.600578232148</v>
      </c>
      <c r="DM102" s="45">
        <v>16442.862970713646</v>
      </c>
      <c r="DN102" s="45">
        <v>16739.750573118796</v>
      </c>
      <c r="DO102" s="45">
        <v>17041.976749204056</v>
      </c>
      <c r="DP102">
        <v>17345.405168056823</v>
      </c>
      <c r="DQ102">
        <v>17646.97812059466</v>
      </c>
      <c r="DR102">
        <v>17952.076764847625</v>
      </c>
      <c r="DS102">
        <v>18256.792869059871</v>
      </c>
      <c r="DT102">
        <v>18564.788879084081</v>
      </c>
      <c r="DU102">
        <v>18873.758579478665</v>
      </c>
    </row>
  </sheetData>
  <sheetProtection formatColumns="0" autoFilter="0"/>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4CC04-BC0A-49F3-A363-F4A151ECA42B}">
  <sheetPr codeName="Tabelle25"/>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23</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1738</v>
      </c>
    </row>
    <row r="4" spans="1:6" ht="165">
      <c r="A4" s="7">
        <f>ROW()</f>
        <v>4</v>
      </c>
      <c r="B4" s="8" t="s">
        <v>1479</v>
      </c>
      <c r="C4" s="1"/>
      <c r="D4" s="8" t="str">
        <f t="shared" ref="D4:D34" si="0">+E4</f>
        <v>Grundprinzipien</v>
      </c>
      <c r="E4" s="22" t="s">
        <v>1468</v>
      </c>
      <c r="F4" s="2" t="s">
        <v>3559</v>
      </c>
    </row>
    <row r="5" spans="1:6" ht="188.25">
      <c r="A5" s="7">
        <f>ROW()</f>
        <v>5</v>
      </c>
      <c r="B5" s="8" t="s">
        <v>1479</v>
      </c>
      <c r="C5" s="1"/>
      <c r="D5" s="8" t="str">
        <f t="shared" si="0"/>
        <v>Gedecktes Risiko: Definition</v>
      </c>
      <c r="E5" s="22" t="s">
        <v>1630</v>
      </c>
      <c r="F5" s="2" t="s">
        <v>1739</v>
      </c>
    </row>
    <row r="6" spans="1:6" ht="144">
      <c r="A6" s="7">
        <f>ROW()</f>
        <v>6</v>
      </c>
      <c r="B6" s="8" t="s">
        <v>1479</v>
      </c>
      <c r="C6" s="8" t="s">
        <v>1453</v>
      </c>
      <c r="D6" s="8" t="str">
        <f t="shared" si="0"/>
        <v>Versicherte Personen</v>
      </c>
      <c r="E6" s="23" t="s">
        <v>1453</v>
      </c>
      <c r="F6" s="2" t="s">
        <v>1740</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3560</v>
      </c>
    </row>
    <row r="9" spans="1:6" ht="409.5">
      <c r="A9" s="7">
        <f>ROW()</f>
        <v>9</v>
      </c>
      <c r="B9" s="8" t="s">
        <v>1479</v>
      </c>
      <c r="C9" s="9" t="s">
        <v>128</v>
      </c>
      <c r="D9" s="8" t="str">
        <f t="shared" si="0"/>
        <v xml:space="preserve">2. Begutachtungskriterien und Kategorien der Arbeitsunfähigkeit/Arbeitsfähigkeit  </v>
      </c>
      <c r="E9" s="23" t="s">
        <v>1484</v>
      </c>
      <c r="F9" s="2" t="s">
        <v>1741</v>
      </c>
    </row>
    <row r="10" spans="1:6" ht="222">
      <c r="A10" s="7">
        <f>ROW()</f>
        <v>10</v>
      </c>
      <c r="B10" s="8" t="s">
        <v>1479</v>
      </c>
      <c r="C10" s="9" t="s">
        <v>128</v>
      </c>
      <c r="D10" s="8" t="str">
        <f t="shared" si="0"/>
        <v>3. Zeitraum der Leistungszahlung</v>
      </c>
      <c r="E10" s="23" t="s">
        <v>1486</v>
      </c>
      <c r="F10" s="2" t="s">
        <v>3561</v>
      </c>
    </row>
    <row r="11" spans="1:6" ht="150">
      <c r="A11" s="7">
        <f>ROW()</f>
        <v>11</v>
      </c>
      <c r="B11" s="8" t="s">
        <v>1479</v>
      </c>
      <c r="C11" s="9" t="s">
        <v>1488</v>
      </c>
      <c r="D11" s="8" t="str">
        <f t="shared" si="0"/>
        <v>1. Gutachter</v>
      </c>
      <c r="E11" s="23" t="s">
        <v>1489</v>
      </c>
      <c r="F11" s="2" t="s">
        <v>1742</v>
      </c>
    </row>
    <row r="12" spans="1:6" ht="165">
      <c r="A12" s="7">
        <f>ROW()</f>
        <v>12</v>
      </c>
      <c r="B12" s="8" t="s">
        <v>1479</v>
      </c>
      <c r="C12" s="9" t="s">
        <v>1488</v>
      </c>
      <c r="D12" s="8" t="str">
        <f t="shared" si="0"/>
        <v xml:space="preserve">2. Überprüfung  </v>
      </c>
      <c r="E12" s="23" t="s">
        <v>1490</v>
      </c>
      <c r="F12" s="2" t="s">
        <v>1743</v>
      </c>
    </row>
    <row r="13" spans="1:6" ht="375">
      <c r="A13" s="7">
        <f>ROW()</f>
        <v>13</v>
      </c>
      <c r="B13" s="8" t="s">
        <v>1479</v>
      </c>
      <c r="C13" s="8" t="s">
        <v>1459</v>
      </c>
      <c r="D13" s="8" t="str">
        <f t="shared" si="0"/>
        <v>1. Berechnungsmethode bzw. Rentenformel</v>
      </c>
      <c r="E13" s="23" t="s">
        <v>1492</v>
      </c>
      <c r="F13" s="2" t="s">
        <v>3562</v>
      </c>
    </row>
    <row r="14" spans="1:6" ht="343.5">
      <c r="A14" s="7">
        <f>ROW()</f>
        <v>14</v>
      </c>
      <c r="B14" s="8" t="s">
        <v>1479</v>
      </c>
      <c r="C14" s="8" t="s">
        <v>1459</v>
      </c>
      <c r="D14" s="8" t="str">
        <f t="shared" si="0"/>
        <v>2. Referenzeinkommen bzw. Berechnungsgrundlage</v>
      </c>
      <c r="E14" s="23" t="s">
        <v>1493</v>
      </c>
      <c r="F14" s="2" t="s">
        <v>1744</v>
      </c>
    </row>
    <row r="15" spans="1:6" ht="226.5">
      <c r="A15" s="7">
        <f>ROW()</f>
        <v>15</v>
      </c>
      <c r="B15" s="8" t="s">
        <v>1479</v>
      </c>
      <c r="C15" s="8" t="s">
        <v>1459</v>
      </c>
      <c r="D15" s="8" t="str">
        <f t="shared" si="0"/>
        <v>3. Mindest- und Höchstleistungen</v>
      </c>
      <c r="E15" s="23" t="s">
        <v>1495</v>
      </c>
      <c r="F15" s="2" t="s">
        <v>1745</v>
      </c>
    </row>
    <row r="16" spans="1:6" ht="405">
      <c r="A16" s="7">
        <f>ROW()</f>
        <v>16</v>
      </c>
      <c r="B16" s="8" t="s">
        <v>1479</v>
      </c>
      <c r="C16" s="8" t="s">
        <v>1459</v>
      </c>
      <c r="D16" s="8" t="str">
        <f t="shared" si="0"/>
        <v>4. Anrechenbare oder als Beitragszeiten gewertete Zeiträume</v>
      </c>
      <c r="E16" s="23" t="s">
        <v>1496</v>
      </c>
      <c r="F16" s="2" t="s">
        <v>1746</v>
      </c>
    </row>
    <row r="17" spans="1:6" ht="250.5">
      <c r="A17" s="7">
        <f>ROW()</f>
        <v>17</v>
      </c>
      <c r="B17" s="8" t="s">
        <v>1479</v>
      </c>
      <c r="C17" s="8" t="s">
        <v>1459</v>
      </c>
      <c r="D17" s="8" t="str">
        <f t="shared" si="0"/>
        <v xml:space="preserve">5. Zulagen für Unterhaltsberechtigte  </v>
      </c>
      <c r="E17" s="23" t="s">
        <v>1498</v>
      </c>
      <c r="F17" s="2" t="s">
        <v>329</v>
      </c>
    </row>
    <row r="18" spans="1:6" ht="409.5">
      <c r="A18" s="7">
        <f>ROW()</f>
        <v>18</v>
      </c>
      <c r="B18" s="8" t="s">
        <v>1479</v>
      </c>
      <c r="C18" s="8" t="str">
        <f>+E18</f>
        <v>Sonstige Leistungen</v>
      </c>
      <c r="D18" s="8" t="str">
        <f>+E18</f>
        <v>Sonstige Leistungen</v>
      </c>
      <c r="E18" s="22" t="s">
        <v>1455</v>
      </c>
      <c r="F18" s="2" t="s">
        <v>3563</v>
      </c>
    </row>
    <row r="19" spans="1:6" ht="300.75">
      <c r="A19" s="7">
        <f>ROW()</f>
        <v>19</v>
      </c>
      <c r="B19" s="8" t="s">
        <v>1479</v>
      </c>
      <c r="C19" s="8" t="s">
        <v>1500</v>
      </c>
      <c r="D19" s="8" t="str">
        <f t="shared" si="0"/>
        <v>Umschulung, berufsbezogene Rehabilitation</v>
      </c>
      <c r="E19" s="23" t="s">
        <v>1501</v>
      </c>
      <c r="F19" s="2" t="s">
        <v>1747</v>
      </c>
    </row>
    <row r="20" spans="1:6" ht="409.5">
      <c r="A20" s="7">
        <f>ROW()</f>
        <v>20</v>
      </c>
      <c r="B20" s="8" t="s">
        <v>1479</v>
      </c>
      <c r="C20" s="8" t="s">
        <v>1500</v>
      </c>
      <c r="D20" s="8" t="str">
        <f t="shared" si="0"/>
        <v xml:space="preserve">Bevorzugte und reservierte Beschäftigung von Menschen mit Behinderungen  </v>
      </c>
      <c r="E20" s="23" t="s">
        <v>1502</v>
      </c>
      <c r="F20" s="2" t="s">
        <v>1748</v>
      </c>
    </row>
    <row r="21" spans="1:6" ht="171.75">
      <c r="A21" s="7">
        <f>ROW()</f>
        <v>21</v>
      </c>
      <c r="B21" s="8" t="s">
        <v>1479</v>
      </c>
      <c r="C21" s="8" t="s">
        <v>1504</v>
      </c>
      <c r="D21" s="8" t="str">
        <f t="shared" si="0"/>
        <v>Indexbindung/Anpassung</v>
      </c>
      <c r="E21" s="22" t="s">
        <v>1505</v>
      </c>
      <c r="F21" s="2" t="s">
        <v>1749</v>
      </c>
    </row>
    <row r="22" spans="1:6" ht="242.25">
      <c r="A22" s="7">
        <f>ROW()</f>
        <v>22</v>
      </c>
      <c r="B22" s="8" t="s">
        <v>1479</v>
      </c>
      <c r="C22" s="8" t="s">
        <v>1504</v>
      </c>
      <c r="D22" s="8" t="str">
        <f>+E22</f>
        <v>Kumulation mit Erwerbseinkommen</v>
      </c>
      <c r="E22" s="22" t="s">
        <v>1471</v>
      </c>
      <c r="F22" s="2" t="s">
        <v>1750</v>
      </c>
    </row>
    <row r="23" spans="1:6" ht="275.25">
      <c r="A23" s="7">
        <f>ROW()</f>
        <v>23</v>
      </c>
      <c r="B23" s="8" t="s">
        <v>1479</v>
      </c>
      <c r="C23" s="8" t="s">
        <v>1504</v>
      </c>
      <c r="D23" s="8" t="str">
        <f t="shared" si="0"/>
        <v>Kumulation mit anderen Sozialleistungen</v>
      </c>
      <c r="E23" s="22" t="s">
        <v>1460</v>
      </c>
      <c r="F23" s="2" t="s">
        <v>1751</v>
      </c>
    </row>
    <row r="24" spans="1:6" ht="232.5">
      <c r="A24" s="7">
        <f>ROW()</f>
        <v>24</v>
      </c>
      <c r="B24" s="8" t="s">
        <v>1479</v>
      </c>
      <c r="C24" s="8" t="s">
        <v>1465</v>
      </c>
      <c r="D24" s="8" t="str">
        <f t="shared" si="0"/>
        <v>1. Besteuerung von Geldleistungen</v>
      </c>
      <c r="E24" s="23" t="s">
        <v>1509</v>
      </c>
      <c r="F24" s="2" t="s">
        <v>1752</v>
      </c>
    </row>
    <row r="25" spans="1:6" ht="387">
      <c r="A25" s="7">
        <f>ROW()</f>
        <v>25</v>
      </c>
      <c r="B25" s="8" t="s">
        <v>1479</v>
      </c>
      <c r="C25" s="8" t="s">
        <v>1465</v>
      </c>
      <c r="D25" s="8" t="str">
        <f t="shared" si="0"/>
        <v>2. Einkommensgrenze für Besteuerung von Geldleistungen</v>
      </c>
      <c r="E25" s="23" t="s">
        <v>1511</v>
      </c>
      <c r="F25" s="2" t="s">
        <v>1753</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696</v>
      </c>
    </row>
    <row r="28" spans="1:6" ht="110.25">
      <c r="A28" s="7">
        <f>ROW()</f>
        <v>28</v>
      </c>
      <c r="B28" s="8" t="s">
        <v>1479</v>
      </c>
      <c r="C28" s="8" t="s">
        <v>1514</v>
      </c>
      <c r="D28" s="8" t="str">
        <f t="shared" si="0"/>
        <v>Grundprinzipien</v>
      </c>
      <c r="E28" s="23" t="s">
        <v>1468</v>
      </c>
      <c r="F28" s="2" t="s">
        <v>3564</v>
      </c>
    </row>
    <row r="29" spans="1:6" ht="224.25">
      <c r="A29" s="7">
        <f>ROW()</f>
        <v>29</v>
      </c>
      <c r="B29" s="8" t="s">
        <v>1479</v>
      </c>
      <c r="C29" s="8" t="s">
        <v>1514</v>
      </c>
      <c r="D29" s="8" t="str">
        <f t="shared" si="0"/>
        <v>Voraussetzungen für die Deckung</v>
      </c>
      <c r="E29" s="23" t="s">
        <v>1469</v>
      </c>
      <c r="F29" s="2" t="s">
        <v>757</v>
      </c>
    </row>
    <row r="30" spans="1:6" ht="409.5">
      <c r="A30" s="7">
        <f>ROW()</f>
        <v>30</v>
      </c>
      <c r="B30" s="8" t="s">
        <v>1479</v>
      </c>
      <c r="C30" s="8" t="s">
        <v>1514</v>
      </c>
      <c r="D30" s="9" t="str">
        <f t="shared" si="0"/>
        <v>Kombination von selbstständiger und unselbstständiger Tätigkeit</v>
      </c>
      <c r="E30" s="23" t="s">
        <v>1462</v>
      </c>
      <c r="F30" s="2" t="s">
        <v>778</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762</v>
      </c>
    </row>
    <row r="34" spans="1:6" ht="276.75">
      <c r="A34" s="7">
        <f>ROW()</f>
        <v>34</v>
      </c>
      <c r="B34" s="8" t="s">
        <v>1479</v>
      </c>
      <c r="C34" s="8" t="s">
        <v>1459</v>
      </c>
      <c r="D34" s="8" t="str">
        <f t="shared" si="0"/>
        <v xml:space="preserve"> Auf Leistungen anfallende Sozialabgaben</v>
      </c>
      <c r="E34" s="23" t="s">
        <v>1518</v>
      </c>
      <c r="F34" s="2" t="s">
        <v>762</v>
      </c>
    </row>
    <row r="35" spans="1:6" ht="177">
      <c r="A35" s="7">
        <f>ROW()</f>
        <v>35</v>
      </c>
      <c r="B35" s="8" t="s">
        <v>1519</v>
      </c>
      <c r="C35" s="8" t="str">
        <f>+D35</f>
        <v>Geltende Rechtsgrundlage</v>
      </c>
      <c r="D35" s="8" t="str">
        <f>+E35</f>
        <v>Geltende Rechtsgrundlage</v>
      </c>
      <c r="E35" s="22" t="s">
        <v>1472</v>
      </c>
      <c r="F35" s="2" t="s">
        <v>53</v>
      </c>
    </row>
    <row r="36" spans="1:6" ht="255">
      <c r="A36" s="7">
        <f>ROW()</f>
        <v>36</v>
      </c>
      <c r="B36" s="8" t="s">
        <v>1519</v>
      </c>
      <c r="C36" s="8" t="str">
        <f>+D36</f>
        <v>Grundprinzipien</v>
      </c>
      <c r="D36" s="8" t="str">
        <f>+E36</f>
        <v>Grundprinzipien</v>
      </c>
      <c r="E36" s="22" t="s">
        <v>1468</v>
      </c>
      <c r="F36" s="2" t="s">
        <v>3565</v>
      </c>
    </row>
    <row r="37" spans="1:6" ht="159.75">
      <c r="A37" s="7">
        <f>ROW()</f>
        <v>37</v>
      </c>
      <c r="B37" s="8" t="s">
        <v>1519</v>
      </c>
      <c r="C37" s="8" t="s">
        <v>1467</v>
      </c>
      <c r="D37" s="8" t="str">
        <f>+E37</f>
        <v>1. Versicherte Personen</v>
      </c>
      <c r="E37" s="23" t="s">
        <v>1520</v>
      </c>
      <c r="F37" s="2" t="s">
        <v>104</v>
      </c>
    </row>
    <row r="38" spans="1:6" ht="371.25">
      <c r="A38" s="7">
        <f>ROW()</f>
        <v>38</v>
      </c>
      <c r="B38" s="8" t="s">
        <v>1519</v>
      </c>
      <c r="C38" s="8" t="s">
        <v>1467</v>
      </c>
      <c r="D38" s="8" t="str">
        <f t="shared" ref="D38:D58" si="1">+E38</f>
        <v>2. Ausnahmen von der Deckung  der Pflichtversicherung</v>
      </c>
      <c r="E38" s="23" t="s">
        <v>1521</v>
      </c>
      <c r="F38" s="2" t="s">
        <v>123</v>
      </c>
    </row>
    <row r="39" spans="1:6" ht="194.25">
      <c r="A39" s="7">
        <f>ROW()</f>
        <v>39</v>
      </c>
      <c r="B39" s="8" t="s">
        <v>1519</v>
      </c>
      <c r="C39" s="8" t="s">
        <v>128</v>
      </c>
      <c r="D39" s="8" t="str">
        <f t="shared" si="1"/>
        <v>1. Rentenalter</v>
      </c>
      <c r="E39" s="23" t="s">
        <v>1523</v>
      </c>
      <c r="F39" s="2" t="s">
        <v>144</v>
      </c>
    </row>
    <row r="40" spans="1:6" ht="409.5">
      <c r="A40" s="7">
        <f>ROW()</f>
        <v>40</v>
      </c>
      <c r="B40" s="8" t="s">
        <v>1519</v>
      </c>
      <c r="C40" s="8" t="s">
        <v>128</v>
      </c>
      <c r="D40" s="8" t="str">
        <f t="shared" si="1"/>
        <v>2. Anwartschaftszeit und sonstige Anspruchsvoraussetzungen für den Bezug einer Altersrente</v>
      </c>
      <c r="E40" s="23" t="s">
        <v>1524</v>
      </c>
      <c r="F40" s="2" t="s">
        <v>3566</v>
      </c>
    </row>
    <row r="41" spans="1:6" ht="194.25">
      <c r="A41" s="7">
        <f>ROW()</f>
        <v>41</v>
      </c>
      <c r="B41" s="8" t="s">
        <v>1519</v>
      </c>
      <c r="C41" s="8" t="s">
        <v>128</v>
      </c>
      <c r="D41" s="8" t="str">
        <f t="shared" si="1"/>
        <v>3. Vorruhestand</v>
      </c>
      <c r="E41" s="23" t="s">
        <v>1525</v>
      </c>
      <c r="F41" s="2" t="s">
        <v>186</v>
      </c>
    </row>
    <row r="42" spans="1:6" ht="264">
      <c r="A42" s="7">
        <f>ROW()</f>
        <v>42</v>
      </c>
      <c r="B42" s="8" t="s">
        <v>1519</v>
      </c>
      <c r="C42" s="8" t="s">
        <v>128</v>
      </c>
      <c r="D42" s="8" t="str">
        <f t="shared" si="1"/>
        <v>4. Beschwerliche und gefährliche Arbeit</v>
      </c>
      <c r="E42" s="23" t="s">
        <v>1526</v>
      </c>
      <c r="F42" s="2" t="s">
        <v>196</v>
      </c>
    </row>
    <row r="43" spans="1:6" ht="194.25">
      <c r="A43" s="7">
        <f>ROW()</f>
        <v>43</v>
      </c>
      <c r="B43" s="8" t="s">
        <v>1519</v>
      </c>
      <c r="C43" s="8" t="s">
        <v>128</v>
      </c>
      <c r="D43" s="8" t="str">
        <f t="shared" si="1"/>
        <v>5. Rentenaufschub</v>
      </c>
      <c r="E43" s="23" t="s">
        <v>1527</v>
      </c>
      <c r="F43" s="2" t="s">
        <v>210</v>
      </c>
    </row>
    <row r="44" spans="1:6" ht="405">
      <c r="A44" s="7">
        <f>ROW()</f>
        <v>44</v>
      </c>
      <c r="B44" s="8" t="s">
        <v>1519</v>
      </c>
      <c r="C44" s="8" t="s">
        <v>1459</v>
      </c>
      <c r="D44" s="8" t="str">
        <f t="shared" si="1"/>
        <v>1. Bestimmende Faktoren</v>
      </c>
      <c r="E44" s="23" t="s">
        <v>1528</v>
      </c>
      <c r="F44" s="2" t="s">
        <v>3567</v>
      </c>
    </row>
    <row r="45" spans="1:6" ht="409.5">
      <c r="A45" s="7">
        <f>ROW()</f>
        <v>45</v>
      </c>
      <c r="B45" s="8" t="s">
        <v>1519</v>
      </c>
      <c r="C45" s="8" t="s">
        <v>1459</v>
      </c>
      <c r="D45" s="8" t="str">
        <f t="shared" si="1"/>
        <v>2. Berechnungsmethode, Rentenformel bzw. Beträge</v>
      </c>
      <c r="E45" s="23" t="s">
        <v>1529</v>
      </c>
      <c r="F45" s="2" t="s">
        <v>3568</v>
      </c>
    </row>
    <row r="46" spans="1:6" ht="343.5">
      <c r="A46" s="7">
        <f>ROW()</f>
        <v>46</v>
      </c>
      <c r="B46" s="8" t="s">
        <v>1519</v>
      </c>
      <c r="C46" s="8" t="s">
        <v>1459</v>
      </c>
      <c r="D46" s="8" t="str">
        <f t="shared" si="1"/>
        <v>3. Referenzeinkommen bzw. Berechnungsgrundlage</v>
      </c>
      <c r="E46" s="23" t="s">
        <v>1530</v>
      </c>
      <c r="F46" s="2" t="s">
        <v>291</v>
      </c>
    </row>
    <row r="47" spans="1:6" ht="405">
      <c r="A47" s="7">
        <f>ROW()</f>
        <v>47</v>
      </c>
      <c r="B47" s="8" t="s">
        <v>1519</v>
      </c>
      <c r="C47" s="8" t="s">
        <v>1459</v>
      </c>
      <c r="D47" s="8" t="str">
        <f t="shared" si="1"/>
        <v>4. Anrechenbare oder als Beitragszeiten gewertete Zeiträume</v>
      </c>
      <c r="E47" s="23" t="s">
        <v>1496</v>
      </c>
      <c r="F47" s="2" t="s">
        <v>3569</v>
      </c>
    </row>
    <row r="48" spans="1:6" ht="243.75">
      <c r="A48" s="7">
        <f>ROW()</f>
        <v>48</v>
      </c>
      <c r="B48" s="8" t="s">
        <v>1519</v>
      </c>
      <c r="C48" s="8" t="s">
        <v>1459</v>
      </c>
      <c r="D48" s="8" t="str">
        <f t="shared" si="1"/>
        <v>5. Rückkauf von Versicherungszeiten</v>
      </c>
      <c r="E48" s="23" t="s">
        <v>1531</v>
      </c>
      <c r="F48" s="2" t="s">
        <v>317</v>
      </c>
    </row>
    <row r="49" spans="1:6" ht="246">
      <c r="A49" s="7">
        <f>ROW()</f>
        <v>49</v>
      </c>
      <c r="B49" s="8" t="s">
        <v>1519</v>
      </c>
      <c r="C49" s="8" t="s">
        <v>1459</v>
      </c>
      <c r="D49" s="8" t="str">
        <f t="shared" si="1"/>
        <v>6.  Zulagen für Unterhaltsberechtigte</v>
      </c>
      <c r="E49" s="23" t="s">
        <v>1631</v>
      </c>
      <c r="F49" s="2" t="s">
        <v>329</v>
      </c>
    </row>
    <row r="50" spans="1:6" ht="225">
      <c r="A50" s="7">
        <f>ROW()</f>
        <v>50</v>
      </c>
      <c r="B50" s="8" t="s">
        <v>1519</v>
      </c>
      <c r="C50" s="8" t="s">
        <v>1459</v>
      </c>
      <c r="D50" s="8" t="str">
        <f t="shared" si="1"/>
        <v>7. Besondere Zulagen</v>
      </c>
      <c r="E50" s="23" t="s">
        <v>1532</v>
      </c>
      <c r="F50" s="2" t="s">
        <v>3570</v>
      </c>
    </row>
    <row r="51" spans="1:6" ht="360.75">
      <c r="A51" s="7">
        <f>ROW()</f>
        <v>51</v>
      </c>
      <c r="B51" s="8" t="s">
        <v>1519</v>
      </c>
      <c r="C51" s="8" t="s">
        <v>1459</v>
      </c>
      <c r="D51" s="8" t="str">
        <f t="shared" si="1"/>
        <v>8. Mindestrente und bedürftigkeitsabhängige Leistung</v>
      </c>
      <c r="E51" s="23" t="s">
        <v>1533</v>
      </c>
      <c r="F51" s="2" t="s">
        <v>389</v>
      </c>
    </row>
    <row r="52" spans="1:6" ht="101.25">
      <c r="A52" s="7">
        <f>ROW()</f>
        <v>52</v>
      </c>
      <c r="B52" s="8" t="s">
        <v>1519</v>
      </c>
      <c r="C52" s="8" t="s">
        <v>1459</v>
      </c>
      <c r="D52" s="8" t="str">
        <f t="shared" si="1"/>
        <v>9. Höchstrente</v>
      </c>
      <c r="E52" s="23" t="s">
        <v>1534</v>
      </c>
      <c r="F52" s="2" t="s">
        <v>396</v>
      </c>
    </row>
    <row r="53" spans="1:6" ht="119.25">
      <c r="A53" s="7">
        <f>ROW()</f>
        <v>53</v>
      </c>
      <c r="B53" s="8" t="s">
        <v>1519</v>
      </c>
      <c r="C53" s="8" t="s">
        <v>1459</v>
      </c>
      <c r="D53" s="8" t="str">
        <f t="shared" si="1"/>
        <v>10. Vorruhestand</v>
      </c>
      <c r="E53" s="23" t="s">
        <v>1535</v>
      </c>
      <c r="F53" s="2" t="s">
        <v>183</v>
      </c>
    </row>
    <row r="54" spans="1:6" ht="272.25">
      <c r="A54" s="7">
        <f>ROW()</f>
        <v>54</v>
      </c>
      <c r="B54" s="8" t="s">
        <v>1519</v>
      </c>
      <c r="C54" s="8" t="s">
        <v>1459</v>
      </c>
      <c r="D54" s="8" t="str">
        <f t="shared" si="1"/>
        <v>11. Beschwerliche und gefährliche Arbeit</v>
      </c>
      <c r="E54" s="23" t="s">
        <v>1536</v>
      </c>
      <c r="F54" s="2" t="s">
        <v>452</v>
      </c>
    </row>
    <row r="55" spans="1:6" ht="87.75">
      <c r="A55" s="7">
        <f>ROW()</f>
        <v>55</v>
      </c>
      <c r="B55" s="8" t="s">
        <v>1519</v>
      </c>
      <c r="C55" s="8" t="s">
        <v>1459</v>
      </c>
      <c r="D55" s="8" t="str">
        <f t="shared" si="1"/>
        <v>12. Teilrente</v>
      </c>
      <c r="E55" s="23" t="s">
        <v>1537</v>
      </c>
      <c r="F55" s="2" t="s">
        <v>492</v>
      </c>
    </row>
    <row r="56" spans="1:6" ht="171.75">
      <c r="A56" s="7">
        <f>ROW()</f>
        <v>56</v>
      </c>
      <c r="B56" s="8" t="s">
        <v>1519</v>
      </c>
      <c r="C56" s="8" t="s">
        <v>1459</v>
      </c>
      <c r="D56" s="8" t="str">
        <f t="shared" si="1"/>
        <v>13. Aufgeschobene Rente</v>
      </c>
      <c r="E56" s="23" t="s">
        <v>1632</v>
      </c>
      <c r="F56" s="2" t="s">
        <v>520</v>
      </c>
    </row>
    <row r="57" spans="1:6" ht="179.25">
      <c r="A57" s="7">
        <f>ROW()</f>
        <v>57</v>
      </c>
      <c r="B57" s="8" t="s">
        <v>1519</v>
      </c>
      <c r="C57" s="8" t="s">
        <v>1538</v>
      </c>
      <c r="D57" s="8" t="s">
        <v>1538</v>
      </c>
      <c r="E57" s="22" t="s">
        <v>1538</v>
      </c>
      <c r="F57" s="2" t="s">
        <v>548</v>
      </c>
    </row>
    <row r="58" spans="1:6" ht="246">
      <c r="A58" s="7">
        <f>ROW()</f>
        <v>58</v>
      </c>
      <c r="B58" s="8" t="s">
        <v>1519</v>
      </c>
      <c r="C58" s="8" t="s">
        <v>1538</v>
      </c>
      <c r="D58" s="8" t="str">
        <f t="shared" si="1"/>
        <v xml:space="preserve">Kumulation mit Erwerbseinkommen </v>
      </c>
      <c r="E58" s="22" t="s">
        <v>1461</v>
      </c>
      <c r="F58" s="2" t="s">
        <v>575</v>
      </c>
    </row>
    <row r="59" spans="1:6" ht="286.5">
      <c r="A59" s="7">
        <f>ROW()</f>
        <v>59</v>
      </c>
      <c r="B59" s="8" t="s">
        <v>1519</v>
      </c>
      <c r="C59" s="8" t="s">
        <v>1538</v>
      </c>
      <c r="D59" s="8" t="s">
        <v>1539</v>
      </c>
      <c r="E59" s="22" t="s">
        <v>1460</v>
      </c>
      <c r="F59" s="2" t="s">
        <v>604</v>
      </c>
    </row>
    <row r="60" spans="1:6" ht="225.75">
      <c r="A60" s="7">
        <f>ROW()</f>
        <v>60</v>
      </c>
      <c r="B60" s="8" t="s">
        <v>1519</v>
      </c>
      <c r="C60" s="8" t="s">
        <v>612</v>
      </c>
      <c r="D60" s="8" t="str">
        <f t="shared" ref="D60:D70" si="2">+E60</f>
        <v>1. Besteuerung von Renten</v>
      </c>
      <c r="E60" s="23" t="s">
        <v>1540</v>
      </c>
      <c r="F60" s="2" t="s">
        <v>631</v>
      </c>
    </row>
    <row r="61" spans="1:6" ht="335.25">
      <c r="A61" s="7">
        <f>ROW()</f>
        <v>61</v>
      </c>
      <c r="B61" s="8" t="s">
        <v>1519</v>
      </c>
      <c r="C61" s="8" t="s">
        <v>612</v>
      </c>
      <c r="D61" s="8" t="str">
        <f t="shared" si="2"/>
        <v>2. Einkommensgrenze für Besteuerung von Renten</v>
      </c>
      <c r="E61" s="23" t="s">
        <v>1541</v>
      </c>
      <c r="F61" s="2" t="s">
        <v>646</v>
      </c>
    </row>
    <row r="62" spans="1:6" ht="264">
      <c r="A62" s="7">
        <f>ROW()</f>
        <v>62</v>
      </c>
      <c r="B62" s="8" t="s">
        <v>1519</v>
      </c>
      <c r="C62" s="8" t="s">
        <v>612</v>
      </c>
      <c r="D62" s="8" t="str">
        <f t="shared" si="2"/>
        <v>3. Auf Renten anfallende Sozialabgaben</v>
      </c>
      <c r="E62" s="23" t="s">
        <v>1542</v>
      </c>
      <c r="F62" s="2" t="s">
        <v>673</v>
      </c>
    </row>
    <row r="63" spans="1:6" ht="138">
      <c r="A63" s="7">
        <f>ROW()</f>
        <v>63</v>
      </c>
      <c r="B63" s="8" t="s">
        <v>1543</v>
      </c>
      <c r="C63" s="8" t="str">
        <f>+E63</f>
        <v>Anwendungsbereich</v>
      </c>
      <c r="D63" s="8" t="str">
        <f t="shared" si="2"/>
        <v>Anwendungsbereich</v>
      </c>
      <c r="E63" s="23" t="s">
        <v>1467</v>
      </c>
      <c r="F63" s="2" t="s">
        <v>696</v>
      </c>
    </row>
    <row r="64" spans="1:6" ht="132.75">
      <c r="A64" s="7">
        <f>ROW()</f>
        <v>64</v>
      </c>
      <c r="B64" s="8" t="s">
        <v>1543</v>
      </c>
      <c r="C64" s="8" t="s">
        <v>1514</v>
      </c>
      <c r="D64" s="8" t="str">
        <f t="shared" si="2"/>
        <v>Grundprinzipien</v>
      </c>
      <c r="E64" s="23" t="s">
        <v>1468</v>
      </c>
      <c r="F64" s="2" t="s">
        <v>3571</v>
      </c>
    </row>
    <row r="65" spans="1:6" ht="224.25">
      <c r="A65" s="7">
        <f>ROW()</f>
        <v>65</v>
      </c>
      <c r="B65" s="8" t="s">
        <v>1543</v>
      </c>
      <c r="C65" s="8" t="s">
        <v>1514</v>
      </c>
      <c r="D65" s="8" t="str">
        <f t="shared" si="2"/>
        <v>Voraussetzungen für die Deckung</v>
      </c>
      <c r="E65" s="23" t="s">
        <v>1469</v>
      </c>
      <c r="F65" s="2" t="s">
        <v>757</v>
      </c>
    </row>
    <row r="66" spans="1:6" ht="409.5">
      <c r="A66" s="7">
        <f>ROW()</f>
        <v>66</v>
      </c>
      <c r="B66" s="8" t="s">
        <v>1543</v>
      </c>
      <c r="C66" s="8" t="s">
        <v>1514</v>
      </c>
      <c r="D66" s="8" t="str">
        <f t="shared" si="2"/>
        <v>Kombination von selbstständiger und unselbstständiger Tätigkeit</v>
      </c>
      <c r="E66" s="23" t="s">
        <v>1462</v>
      </c>
      <c r="F66" s="2" t="s">
        <v>778</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762</v>
      </c>
    </row>
    <row r="70" spans="1:6" ht="272.25">
      <c r="A70" s="7">
        <f>ROW()</f>
        <v>70</v>
      </c>
      <c r="B70" s="8" t="s">
        <v>1543</v>
      </c>
      <c r="C70" s="8" t="s">
        <v>1459</v>
      </c>
      <c r="D70" s="9" t="str">
        <f t="shared" si="2"/>
        <v>Auf Leistungen anfallende Sozialabgaben</v>
      </c>
      <c r="E70" s="23" t="s">
        <v>1457</v>
      </c>
      <c r="F70" s="2" t="s">
        <v>762</v>
      </c>
    </row>
    <row r="71" spans="1:6" ht="177">
      <c r="A71" s="7">
        <f>ROW()</f>
        <v>71</v>
      </c>
      <c r="B71" s="8" t="s">
        <v>1466</v>
      </c>
      <c r="C71" s="8" t="str">
        <f t="shared" ref="C71:D75" si="3">+D71</f>
        <v>Geltende Rechtsgrundlage</v>
      </c>
      <c r="D71" s="9" t="str">
        <f t="shared" si="3"/>
        <v>Geltende Rechtsgrundlage</v>
      </c>
      <c r="E71" s="22" t="s">
        <v>1472</v>
      </c>
      <c r="F71" s="2" t="s">
        <v>853</v>
      </c>
    </row>
    <row r="72" spans="1:6" ht="150">
      <c r="A72" s="7">
        <f>ROW()</f>
        <v>72</v>
      </c>
      <c r="B72" s="8" t="s">
        <v>1466</v>
      </c>
      <c r="C72" s="8" t="str">
        <f t="shared" si="3"/>
        <v>Grundprinzipien</v>
      </c>
      <c r="D72" s="9" t="str">
        <f t="shared" si="3"/>
        <v>Grundprinzipien</v>
      </c>
      <c r="E72" s="22" t="s">
        <v>1468</v>
      </c>
      <c r="F72" s="2" t="s">
        <v>3572</v>
      </c>
    </row>
    <row r="73" spans="1:6" ht="315">
      <c r="A73" s="7">
        <f>ROW()</f>
        <v>73</v>
      </c>
      <c r="B73" s="8" t="s">
        <v>1466</v>
      </c>
      <c r="C73" s="9" t="str">
        <f t="shared" si="3"/>
        <v>Anwendungsbereich (in Bezug auf Verstorbene)</v>
      </c>
      <c r="D73" s="9" t="str">
        <f t="shared" si="3"/>
        <v>Anwendungsbereich (in Bezug auf Verstorbene)</v>
      </c>
      <c r="E73" s="22" t="s">
        <v>1473</v>
      </c>
      <c r="F73" s="2" t="s">
        <v>903</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3573</v>
      </c>
    </row>
    <row r="76" spans="1:6" ht="102">
      <c r="A76" s="7">
        <f>ROW()</f>
        <v>76</v>
      </c>
      <c r="B76" s="8" t="s">
        <v>1466</v>
      </c>
      <c r="C76" s="1"/>
      <c r="D76" s="1"/>
      <c r="E76" s="22" t="s">
        <v>1522</v>
      </c>
      <c r="F76" s="2"/>
    </row>
    <row r="77" spans="1:6" ht="345">
      <c r="A77" s="7">
        <f>ROW()</f>
        <v>77</v>
      </c>
      <c r="B77" s="8" t="s">
        <v>1466</v>
      </c>
      <c r="C77" s="8" t="s">
        <v>1544</v>
      </c>
      <c r="D77" s="8" t="str">
        <f t="shared" ref="D77:D90" si="4">+E77</f>
        <v>1. Verstorbener Versicherter</v>
      </c>
      <c r="E77" s="23" t="s">
        <v>1545</v>
      </c>
      <c r="F77" s="2" t="s">
        <v>963</v>
      </c>
    </row>
    <row r="78" spans="1:6" ht="185.25">
      <c r="A78" s="7">
        <f>ROW()</f>
        <v>78</v>
      </c>
      <c r="B78" s="8" t="s">
        <v>1466</v>
      </c>
      <c r="C78" s="8" t="s">
        <v>1544</v>
      </c>
      <c r="D78" s="8" t="str">
        <f t="shared" si="4"/>
        <v>2. Hinterbliebener Ehegatte</v>
      </c>
      <c r="E78" s="23" t="s">
        <v>1546</v>
      </c>
      <c r="F78" s="2" t="s">
        <v>3574</v>
      </c>
    </row>
    <row r="79" spans="1:6" ht="181.5">
      <c r="A79" s="7">
        <f>ROW()</f>
        <v>79</v>
      </c>
      <c r="B79" s="8" t="s">
        <v>1466</v>
      </c>
      <c r="C79" s="8" t="s">
        <v>1544</v>
      </c>
      <c r="D79" s="8" t="str">
        <f t="shared" si="4"/>
        <v>3. Geschiedener Ehegatte</v>
      </c>
      <c r="E79" s="23" t="s">
        <v>1547</v>
      </c>
      <c r="F79" s="2" t="s">
        <v>1000</v>
      </c>
    </row>
    <row r="80" spans="1:6" ht="216">
      <c r="A80" s="7">
        <f>ROW()</f>
        <v>80</v>
      </c>
      <c r="B80" s="8" t="s">
        <v>1466</v>
      </c>
      <c r="C80" s="8" t="s">
        <v>1544</v>
      </c>
      <c r="D80" s="8" t="str">
        <f t="shared" si="4"/>
        <v>4. Hinterbliebene Lebenspartner</v>
      </c>
      <c r="E80" s="23" t="s">
        <v>1548</v>
      </c>
      <c r="F80" s="2" t="s">
        <v>1021</v>
      </c>
    </row>
    <row r="81" spans="1:6" ht="181.5">
      <c r="A81" s="7">
        <f>ROW()</f>
        <v>81</v>
      </c>
      <c r="B81" s="8" t="s">
        <v>1466</v>
      </c>
      <c r="C81" s="8" t="s">
        <v>1544</v>
      </c>
      <c r="D81" s="8" t="str">
        <f t="shared" si="4"/>
        <v>5. Kinder</v>
      </c>
      <c r="E81" s="23" t="s">
        <v>1549</v>
      </c>
      <c r="F81" s="2" t="s">
        <v>1045</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3575</v>
      </c>
    </row>
    <row r="84" spans="1:6" ht="280.5">
      <c r="A84" s="7">
        <f>ROW()</f>
        <v>84</v>
      </c>
      <c r="B84" s="8" t="s">
        <v>1466</v>
      </c>
      <c r="C84" s="8" t="s">
        <v>1459</v>
      </c>
      <c r="D84" s="9" t="str">
        <f t="shared" si="4"/>
        <v>2. Hinterbliebener Ehegatte: Wiederheirat</v>
      </c>
      <c r="E84" s="23" t="s">
        <v>1552</v>
      </c>
      <c r="F84" s="2" t="s">
        <v>1104</v>
      </c>
    </row>
    <row r="85" spans="1:6" ht="135">
      <c r="A85" s="7">
        <f>ROW()</f>
        <v>85</v>
      </c>
      <c r="B85" s="8" t="s">
        <v>1466</v>
      </c>
      <c r="C85" s="8" t="s">
        <v>1459</v>
      </c>
      <c r="D85" s="9" t="str">
        <f t="shared" si="4"/>
        <v>3. Kinder</v>
      </c>
      <c r="E85" s="23" t="s">
        <v>1553</v>
      </c>
      <c r="F85" s="2" t="s">
        <v>1125</v>
      </c>
    </row>
    <row r="86" spans="1:6" ht="147">
      <c r="A86" s="7">
        <f>ROW()</f>
        <v>86</v>
      </c>
      <c r="B86" s="8" t="s">
        <v>1466</v>
      </c>
      <c r="C86" s="8" t="s">
        <v>1459</v>
      </c>
      <c r="D86" s="9" t="str">
        <f t="shared" si="4"/>
        <v>4. Andere Berechtigte</v>
      </c>
      <c r="E86" s="23" t="s">
        <v>1554</v>
      </c>
      <c r="F86" s="2" t="s">
        <v>1139</v>
      </c>
    </row>
    <row r="87" spans="1:6" ht="381">
      <c r="A87" s="7">
        <f>ROW()</f>
        <v>87</v>
      </c>
      <c r="B87" s="8" t="s">
        <v>1466</v>
      </c>
      <c r="C87" s="8" t="s">
        <v>1459</v>
      </c>
      <c r="D87" s="9" t="str">
        <f t="shared" si="4"/>
        <v xml:space="preserve"> 5. Höchster zahlbarer Gesamtbetrag für alle Berechtigten</v>
      </c>
      <c r="E87" s="23" t="s">
        <v>1555</v>
      </c>
      <c r="F87" s="2" t="s">
        <v>1161</v>
      </c>
    </row>
    <row r="88" spans="1:6" ht="330">
      <c r="A88" s="7">
        <f>ROW()</f>
        <v>88</v>
      </c>
      <c r="B88" s="8" t="s">
        <v>1466</v>
      </c>
      <c r="C88" s="8" t="s">
        <v>1459</v>
      </c>
      <c r="D88" s="9" t="str">
        <f t="shared" si="4"/>
        <v>6. Sonstige Leistungen</v>
      </c>
      <c r="E88" s="23" t="s">
        <v>1556</v>
      </c>
      <c r="F88" s="2" t="s">
        <v>3576</v>
      </c>
    </row>
    <row r="89" spans="1:6" ht="180">
      <c r="A89" s="7">
        <f>ROW()</f>
        <v>89</v>
      </c>
      <c r="B89" s="8" t="s">
        <v>1466</v>
      </c>
      <c r="C89" s="8" t="s">
        <v>1459</v>
      </c>
      <c r="D89" s="9" t="str">
        <f>+E89</f>
        <v>7. Mindestleistung</v>
      </c>
      <c r="E89" s="23" t="s">
        <v>1557</v>
      </c>
      <c r="F89" s="2" t="s">
        <v>3577</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1255</v>
      </c>
    </row>
    <row r="92" spans="1:6" ht="242.25">
      <c r="A92" s="7">
        <f>ROW()</f>
        <v>92</v>
      </c>
      <c r="B92" s="8" t="s">
        <v>1466</v>
      </c>
      <c r="C92" s="8" t="s">
        <v>1538</v>
      </c>
      <c r="D92" s="9" t="str">
        <f t="shared" ref="D92:D105" si="5">+E92</f>
        <v>Kumulation mit Erwerbseinkommen</v>
      </c>
      <c r="E92" s="22" t="s">
        <v>1471</v>
      </c>
      <c r="F92" s="2" t="s">
        <v>1279</v>
      </c>
    </row>
    <row r="93" spans="1:6" ht="275.25">
      <c r="A93" s="7">
        <f>ROW()</f>
        <v>93</v>
      </c>
      <c r="B93" s="8" t="s">
        <v>1466</v>
      </c>
      <c r="C93" s="8" t="s">
        <v>1538</v>
      </c>
      <c r="D93" s="9" t="str">
        <f t="shared" si="5"/>
        <v>Kumulation mit anderen Sozialleistungen</v>
      </c>
      <c r="E93" s="22" t="s">
        <v>1460</v>
      </c>
      <c r="F93" s="2" t="s">
        <v>1308</v>
      </c>
    </row>
    <row r="94" spans="1:6" ht="232.5">
      <c r="A94" s="7">
        <f>ROW()</f>
        <v>94</v>
      </c>
      <c r="B94" s="8" t="s">
        <v>1466</v>
      </c>
      <c r="C94" s="9" t="s">
        <v>1465</v>
      </c>
      <c r="D94" s="9" t="str">
        <f t="shared" si="5"/>
        <v>1. Besteuerung von Geldleistungen</v>
      </c>
      <c r="E94" s="23" t="s">
        <v>1509</v>
      </c>
      <c r="F94" s="2" t="s">
        <v>1329</v>
      </c>
    </row>
    <row r="95" spans="1:6" ht="387">
      <c r="A95" s="7">
        <f>ROW()</f>
        <v>95</v>
      </c>
      <c r="B95" s="8" t="s">
        <v>1466</v>
      </c>
      <c r="C95" s="9" t="s">
        <v>1465</v>
      </c>
      <c r="D95" s="9" t="str">
        <f t="shared" si="5"/>
        <v>2. Einkommensgrenze für Besteuerung von Geldleistungen</v>
      </c>
      <c r="E95" s="23" t="s">
        <v>1511</v>
      </c>
      <c r="F95" s="2" t="s">
        <v>1352</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696</v>
      </c>
    </row>
    <row r="98" spans="1:6" ht="110.25">
      <c r="A98" s="7">
        <f>ROW()</f>
        <v>98</v>
      </c>
      <c r="B98" s="8" t="s">
        <v>1466</v>
      </c>
      <c r="C98" s="9" t="s">
        <v>1514</v>
      </c>
      <c r="D98" s="9" t="str">
        <f t="shared" si="5"/>
        <v>Grundprinzipien</v>
      </c>
      <c r="E98" s="23" t="s">
        <v>1468</v>
      </c>
      <c r="F98" s="2" t="s">
        <v>3578</v>
      </c>
    </row>
    <row r="99" spans="1:6" ht="224.25">
      <c r="A99" s="7">
        <f>ROW()</f>
        <v>99</v>
      </c>
      <c r="B99" s="8" t="s">
        <v>1466</v>
      </c>
      <c r="C99" s="9" t="s">
        <v>1514</v>
      </c>
      <c r="D99" s="9" t="str">
        <f t="shared" si="5"/>
        <v>Voraussetzungen für die Deckung</v>
      </c>
      <c r="E99" s="23" t="s">
        <v>1469</v>
      </c>
      <c r="F99" s="2" t="s">
        <v>757</v>
      </c>
    </row>
    <row r="100" spans="1:6" ht="409.5">
      <c r="A100" s="7">
        <f>ROW()</f>
        <v>100</v>
      </c>
      <c r="B100" s="8" t="s">
        <v>1466</v>
      </c>
      <c r="C100" s="9" t="s">
        <v>1514</v>
      </c>
      <c r="D100" s="9" t="str">
        <f t="shared" si="5"/>
        <v>Kombination von selbstständiger und unselbstständiger Tätigkeit</v>
      </c>
      <c r="E100" s="23" t="s">
        <v>1462</v>
      </c>
      <c r="F100" s="2" t="s">
        <v>778</v>
      </c>
    </row>
    <row r="101" spans="1:6" ht="376.5">
      <c r="A101" s="7">
        <f>ROW()</f>
        <v>101</v>
      </c>
      <c r="B101" s="8" t="s">
        <v>1466</v>
      </c>
      <c r="C101" s="9" t="s">
        <v>1514</v>
      </c>
      <c r="D101" s="9" t="str">
        <f t="shared" si="5"/>
        <v xml:space="preserve">Voraussetzungen für den Zugang zu Diensten/Leistungen </v>
      </c>
      <c r="E101" s="23" t="s">
        <v>1463</v>
      </c>
      <c r="F101" s="2" t="s">
        <v>762</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762</v>
      </c>
    </row>
    <row r="105" spans="1:6" ht="272.25">
      <c r="A105" s="7">
        <f>ROW()</f>
        <v>105</v>
      </c>
      <c r="B105" s="8" t="s">
        <v>1466</v>
      </c>
      <c r="C105" s="9" t="s">
        <v>1514</v>
      </c>
      <c r="D105" s="9" t="str">
        <f t="shared" si="5"/>
        <v>Auf Leistungen anfallende Sozialabgaben</v>
      </c>
      <c r="E105" s="23" t="s">
        <v>1457</v>
      </c>
      <c r="F105" s="2" t="s">
        <v>762</v>
      </c>
    </row>
  </sheetData>
  <sheetProtection algorithmName="SHA-512" hashValue="gOCcwbRzbJXWNiVhytncfvGGj+O0/AjG5XIrBoov5d7JC7DmBztX8Us6/WXGTr8DfP49pxHUKNmFr0JU2pxsIA==" saltValue="NXMv9eEc2C/jLVYXYoBTqA==" spinCount="100000" sheet="1" objects="1" scenarios="1" formatColumns="0" autoFilter="0"/>
  <autoFilter ref="A2:F2" xr:uid="{91C4CC04-BC0A-49F3-A363-F4A151ECA42B}"/>
  <pageMargins left="0.7" right="0.7" top="0.78740157499999996" bottom="0.78740157499999996"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1CBD5-054D-49F3-ADDA-F4FFF2C05410}">
  <sheetPr codeName="Tabelle26"/>
  <dimension ref="A1:F105"/>
  <sheetViews>
    <sheetView zoomScaleNormal="100"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24</v>
      </c>
    </row>
    <row r="2" spans="1:6" ht="39.75" customHeight="1">
      <c r="A2" s="128"/>
      <c r="B2" s="129"/>
      <c r="C2" s="126"/>
      <c r="D2" s="126"/>
      <c r="E2" s="124"/>
      <c r="F2" s="163" t="str" cm="1">
        <f t="array" ref="F2">_xlfn.TEXTJOIN("; ", TRUE, IF(Entscheidungen!A2:A100=F1, Entscheidungen!B2:B100, ""))</f>
        <v>OLG Koblenz, 11.04.2011 – 13 UF 205/11; OLG Stuttgart, 15.12.2011 – 16 WF 240/11; OLG Karlsruhe, 06.06.2012 – 18 UF 293/10 Juris; OLG Karlsruhe, 06.06.2012 – 18 UF 293/10 Juris; OLG Karlsruhe, 19.01.2015 – 5 UF 167/14; OLG Karlsruhe, 19.01.2015 – 5 UF 167/14; OLG Sachsen-Anhalt, 30.09.2016 – 3 UF 132/16; BGH, 11.07.2018 – XII ZB 336/16; OLG Brandenburg, 08.07.2020 – 15 UF 66/20; OLG Brandenburg, 08.07.2020 – 15 UF 66/20; OLG Zweibrücken, 19.08.2020 – 2 UF 66/20; OLG Karlsruhe, 16.01.2023 – 5 UF 58/22; OLG Karlsruhe, 16.01.2023 – 5 UF 58/22; OLG Karlsruhe, 28.06.2023 – 18 UF 12/23; OLG Karlsruhe, 28.06.2023 – 18 UF 12/23; OLG Karlsruhe, 14.11.2023 – 5 WF 124/23; OLG Karlsruhe, 14.11.2023 – 5 WF 124/23</v>
      </c>
    </row>
    <row r="3" spans="1:6" ht="177">
      <c r="A3" s="7">
        <f>ROW()</f>
        <v>3</v>
      </c>
      <c r="B3" s="8" t="s">
        <v>1479</v>
      </c>
      <c r="C3" s="8"/>
      <c r="D3" s="8" t="str">
        <f>+E3</f>
        <v>Geltende Rechtsgrundlage</v>
      </c>
      <c r="E3" s="21" t="s">
        <v>1472</v>
      </c>
      <c r="F3" s="3" t="s">
        <v>1720</v>
      </c>
    </row>
    <row r="4" spans="1:6" ht="240">
      <c r="A4" s="7">
        <f>ROW()</f>
        <v>4</v>
      </c>
      <c r="B4" s="8" t="s">
        <v>1479</v>
      </c>
      <c r="C4" s="1"/>
      <c r="D4" s="8" t="str">
        <f t="shared" ref="D4:D34" si="0">+E4</f>
        <v>Grundprinzipien</v>
      </c>
      <c r="E4" s="22" t="s">
        <v>1468</v>
      </c>
      <c r="F4" s="2" t="s">
        <v>1721</v>
      </c>
    </row>
    <row r="5" spans="1:6" ht="188.25">
      <c r="A5" s="7">
        <f>ROW()</f>
        <v>5</v>
      </c>
      <c r="B5" s="8" t="s">
        <v>1479</v>
      </c>
      <c r="C5" s="1"/>
      <c r="D5" s="8" t="str">
        <f t="shared" si="0"/>
        <v>Gedecktes Risiko: Definition</v>
      </c>
      <c r="E5" s="22" t="s">
        <v>1630</v>
      </c>
      <c r="F5" s="2" t="s">
        <v>1722</v>
      </c>
    </row>
    <row r="6" spans="1:6" ht="144">
      <c r="A6" s="7">
        <f>ROW()</f>
        <v>6</v>
      </c>
      <c r="B6" s="8" t="s">
        <v>1479</v>
      </c>
      <c r="C6" s="8" t="s">
        <v>1453</v>
      </c>
      <c r="D6" s="8" t="str">
        <f t="shared" si="0"/>
        <v>Versicherte Personen</v>
      </c>
      <c r="E6" s="23" t="s">
        <v>1453</v>
      </c>
      <c r="F6" s="3" t="s">
        <v>3147</v>
      </c>
    </row>
    <row r="7" spans="1:6" ht="273">
      <c r="A7" s="7">
        <f>ROW()</f>
        <v>7</v>
      </c>
      <c r="B7" s="8" t="s">
        <v>1479</v>
      </c>
      <c r="C7" s="8" t="str">
        <f>+E6</f>
        <v>Versicherte Personen</v>
      </c>
      <c r="D7" s="8" t="str">
        <f t="shared" si="0"/>
        <v>Ausnahmen von der Versicherungspflicht</v>
      </c>
      <c r="E7" s="23" t="s">
        <v>1458</v>
      </c>
      <c r="F7" s="3" t="s">
        <v>3148</v>
      </c>
    </row>
    <row r="8" spans="1:6" ht="194.25">
      <c r="A8" s="7">
        <f>ROW()</f>
        <v>8</v>
      </c>
      <c r="B8" s="8" t="s">
        <v>1479</v>
      </c>
      <c r="C8" s="9" t="s">
        <v>128</v>
      </c>
      <c r="D8" s="8" t="str">
        <f t="shared" si="0"/>
        <v>1. Anwartschaftszeit</v>
      </c>
      <c r="E8" s="23" t="s">
        <v>1483</v>
      </c>
      <c r="F8" s="2" t="s">
        <v>1723</v>
      </c>
    </row>
    <row r="9" spans="1:6" ht="409.5">
      <c r="A9" s="7">
        <f>ROW()</f>
        <v>9</v>
      </c>
      <c r="B9" s="8" t="s">
        <v>1479</v>
      </c>
      <c r="C9" s="9" t="s">
        <v>128</v>
      </c>
      <c r="D9" s="8" t="str">
        <f t="shared" si="0"/>
        <v xml:space="preserve">2. Begutachtungskriterien und Kategorien der Arbeitsunfähigkeit/Arbeitsfähigkeit  </v>
      </c>
      <c r="E9" s="23" t="s">
        <v>1484</v>
      </c>
      <c r="F9" s="3" t="s">
        <v>3149</v>
      </c>
    </row>
    <row r="10" spans="1:6" ht="222">
      <c r="A10" s="7">
        <f>ROW()</f>
        <v>10</v>
      </c>
      <c r="B10" s="8" t="s">
        <v>1479</v>
      </c>
      <c r="C10" s="9" t="s">
        <v>128</v>
      </c>
      <c r="D10" s="8" t="str">
        <f t="shared" si="0"/>
        <v>3. Zeitraum der Leistungszahlung</v>
      </c>
      <c r="E10" s="23" t="s">
        <v>1486</v>
      </c>
      <c r="F10" s="2" t="s">
        <v>1724</v>
      </c>
    </row>
    <row r="11" spans="1:6" ht="96">
      <c r="A11" s="7">
        <f>ROW()</f>
        <v>11</v>
      </c>
      <c r="B11" s="8" t="s">
        <v>1479</v>
      </c>
      <c r="C11" s="9" t="s">
        <v>1488</v>
      </c>
      <c r="D11" s="8" t="str">
        <f t="shared" si="0"/>
        <v>1. Gutachter</v>
      </c>
      <c r="E11" s="23" t="s">
        <v>1489</v>
      </c>
      <c r="F11" s="2" t="s">
        <v>1725</v>
      </c>
    </row>
    <row r="12" spans="1:6" ht="111.75">
      <c r="A12" s="7">
        <f>ROW()</f>
        <v>12</v>
      </c>
      <c r="B12" s="8" t="s">
        <v>1479</v>
      </c>
      <c r="C12" s="9" t="s">
        <v>1488</v>
      </c>
      <c r="D12" s="8" t="str">
        <f t="shared" si="0"/>
        <v xml:space="preserve">2. Überprüfung  </v>
      </c>
      <c r="E12" s="23" t="s">
        <v>1490</v>
      </c>
      <c r="F12" s="2" t="s">
        <v>1726</v>
      </c>
    </row>
    <row r="13" spans="1:6" ht="291.75">
      <c r="A13" s="7">
        <f>ROW()</f>
        <v>13</v>
      </c>
      <c r="B13" s="8" t="s">
        <v>1479</v>
      </c>
      <c r="C13" s="8" t="s">
        <v>1459</v>
      </c>
      <c r="D13" s="8" t="str">
        <f t="shared" si="0"/>
        <v>1. Berechnungsmethode bzw. Rentenformel</v>
      </c>
      <c r="E13" s="23" t="s">
        <v>1492</v>
      </c>
      <c r="F13" s="3" t="s">
        <v>3153</v>
      </c>
    </row>
    <row r="14" spans="1:6" ht="343.5">
      <c r="A14" s="7">
        <f>ROW()</f>
        <v>14</v>
      </c>
      <c r="B14" s="8" t="s">
        <v>1479</v>
      </c>
      <c r="C14" s="8" t="s">
        <v>1459</v>
      </c>
      <c r="D14" s="8" t="str">
        <f t="shared" si="0"/>
        <v>2. Referenzeinkommen bzw. Berechnungsgrundlage</v>
      </c>
      <c r="E14" s="23" t="s">
        <v>1493</v>
      </c>
      <c r="F14" s="3" t="s">
        <v>3150</v>
      </c>
    </row>
    <row r="15" spans="1:6" ht="226.5">
      <c r="A15" s="7">
        <f>ROW()</f>
        <v>15</v>
      </c>
      <c r="B15" s="8" t="s">
        <v>1479</v>
      </c>
      <c r="C15" s="8" t="s">
        <v>1459</v>
      </c>
      <c r="D15" s="8" t="str">
        <f t="shared" si="0"/>
        <v>3. Mindest- und Höchstleistungen</v>
      </c>
      <c r="E15" s="23" t="s">
        <v>1495</v>
      </c>
      <c r="F15" s="2" t="s">
        <v>1727</v>
      </c>
    </row>
    <row r="16" spans="1:6" ht="405">
      <c r="A16" s="7">
        <f>ROW()</f>
        <v>16</v>
      </c>
      <c r="B16" s="8" t="s">
        <v>1479</v>
      </c>
      <c r="C16" s="8" t="s">
        <v>1459</v>
      </c>
      <c r="D16" s="8" t="str">
        <f t="shared" si="0"/>
        <v>4. Anrechenbare oder als Beitragszeiten gewertete Zeiträume</v>
      </c>
      <c r="E16" s="23" t="s">
        <v>1496</v>
      </c>
      <c r="F16" s="2" t="s">
        <v>1728</v>
      </c>
    </row>
    <row r="17" spans="1:6" ht="250.5">
      <c r="A17" s="7">
        <f>ROW()</f>
        <v>17</v>
      </c>
      <c r="B17" s="8" t="s">
        <v>1479</v>
      </c>
      <c r="C17" s="8" t="s">
        <v>1459</v>
      </c>
      <c r="D17" s="8" t="str">
        <f t="shared" si="0"/>
        <v xml:space="preserve">5. Zulagen für Unterhaltsberechtigte  </v>
      </c>
      <c r="E17" s="23" t="s">
        <v>1498</v>
      </c>
      <c r="F17" s="2" t="s">
        <v>1729</v>
      </c>
    </row>
    <row r="18" spans="1:6" ht="135">
      <c r="A18" s="7">
        <f>ROW()</f>
        <v>18</v>
      </c>
      <c r="B18" s="8" t="s">
        <v>1479</v>
      </c>
      <c r="C18" s="8" t="str">
        <f>+E18</f>
        <v>Sonstige Leistungen</v>
      </c>
      <c r="D18" s="8" t="str">
        <f>+E18</f>
        <v>Sonstige Leistungen</v>
      </c>
      <c r="E18" s="22" t="s">
        <v>1455</v>
      </c>
      <c r="F18" s="3" t="s">
        <v>3151</v>
      </c>
    </row>
    <row r="19" spans="1:6" ht="300.75">
      <c r="A19" s="7">
        <f>ROW()</f>
        <v>19</v>
      </c>
      <c r="B19" s="8" t="s">
        <v>1479</v>
      </c>
      <c r="C19" s="8" t="s">
        <v>1500</v>
      </c>
      <c r="D19" s="8" t="str">
        <f t="shared" si="0"/>
        <v>Umschulung, berufsbezogene Rehabilitation</v>
      </c>
      <c r="E19" s="23" t="s">
        <v>1501</v>
      </c>
      <c r="F19" s="2" t="s">
        <v>1730</v>
      </c>
    </row>
    <row r="20" spans="1:6" ht="409.5">
      <c r="A20" s="7">
        <f>ROW()</f>
        <v>20</v>
      </c>
      <c r="B20" s="8" t="s">
        <v>1479</v>
      </c>
      <c r="C20" s="8" t="s">
        <v>1500</v>
      </c>
      <c r="D20" s="8" t="str">
        <f t="shared" si="0"/>
        <v xml:space="preserve">Bevorzugte und reservierte Beschäftigung von Menschen mit Behinderungen  </v>
      </c>
      <c r="E20" s="23" t="s">
        <v>1502</v>
      </c>
      <c r="F20" s="2" t="s">
        <v>1731</v>
      </c>
    </row>
    <row r="21" spans="1:6" ht="171.75">
      <c r="A21" s="7">
        <f>ROW()</f>
        <v>21</v>
      </c>
      <c r="B21" s="8" t="s">
        <v>1479</v>
      </c>
      <c r="C21" s="8" t="s">
        <v>1504</v>
      </c>
      <c r="D21" s="8" t="str">
        <f t="shared" si="0"/>
        <v>Indexbindung/Anpassung</v>
      </c>
      <c r="E21" s="22" t="s">
        <v>1505</v>
      </c>
      <c r="F21" s="2" t="s">
        <v>1732</v>
      </c>
    </row>
    <row r="22" spans="1:6" ht="242.25">
      <c r="A22" s="7">
        <f>ROW()</f>
        <v>22</v>
      </c>
      <c r="B22" s="8" t="s">
        <v>1479</v>
      </c>
      <c r="C22" s="8" t="s">
        <v>1504</v>
      </c>
      <c r="D22" s="8" t="str">
        <f>+E22</f>
        <v>Kumulation mit Erwerbseinkommen</v>
      </c>
      <c r="E22" s="22" t="s">
        <v>1471</v>
      </c>
      <c r="F22" s="2" t="s">
        <v>1733</v>
      </c>
    </row>
    <row r="23" spans="1:6" ht="275.25">
      <c r="A23" s="7">
        <f>ROW()</f>
        <v>23</v>
      </c>
      <c r="B23" s="8" t="s">
        <v>1479</v>
      </c>
      <c r="C23" s="8" t="s">
        <v>1504</v>
      </c>
      <c r="D23" s="8" t="str">
        <f t="shared" si="0"/>
        <v>Kumulation mit anderen Sozialleistungen</v>
      </c>
      <c r="E23" s="22" t="s">
        <v>1460</v>
      </c>
      <c r="F23" s="2" t="s">
        <v>1734</v>
      </c>
    </row>
    <row r="24" spans="1:6" ht="232.5">
      <c r="A24" s="7">
        <f>ROW()</f>
        <v>24</v>
      </c>
      <c r="B24" s="8" t="s">
        <v>1479</v>
      </c>
      <c r="C24" s="8" t="s">
        <v>1465</v>
      </c>
      <c r="D24" s="8" t="str">
        <f t="shared" si="0"/>
        <v>1. Besteuerung von Geldleistungen</v>
      </c>
      <c r="E24" s="23" t="s">
        <v>1509</v>
      </c>
      <c r="F24" s="2" t="s">
        <v>1735</v>
      </c>
    </row>
    <row r="25" spans="1:6" ht="387">
      <c r="A25" s="7">
        <f>ROW()</f>
        <v>25</v>
      </c>
      <c r="B25" s="8" t="s">
        <v>1479</v>
      </c>
      <c r="C25" s="8" t="s">
        <v>1465</v>
      </c>
      <c r="D25" s="8" t="str">
        <f t="shared" si="0"/>
        <v>2. Einkommensgrenze für Besteuerung von Geldleistungen</v>
      </c>
      <c r="E25" s="23" t="s">
        <v>1511</v>
      </c>
      <c r="F25" s="2" t="s">
        <v>1736</v>
      </c>
    </row>
    <row r="26" spans="1:6" ht="288.75">
      <c r="A26" s="7">
        <f>ROW()</f>
        <v>26</v>
      </c>
      <c r="B26" s="8" t="s">
        <v>1479</v>
      </c>
      <c r="C26" s="8" t="s">
        <v>1465</v>
      </c>
      <c r="D26" s="8" t="str">
        <f t="shared" si="0"/>
        <v>3. Auf Leistungen anfallende Sozialabgaben</v>
      </c>
      <c r="E26" s="23" t="s">
        <v>1512</v>
      </c>
      <c r="F26" s="2" t="s">
        <v>1371</v>
      </c>
    </row>
    <row r="27" spans="1:6" ht="138">
      <c r="A27" s="7">
        <f>ROW()</f>
        <v>27</v>
      </c>
      <c r="B27" s="8" t="s">
        <v>1479</v>
      </c>
      <c r="C27" s="8" t="s">
        <v>1514</v>
      </c>
      <c r="D27" s="8" t="str">
        <f t="shared" si="0"/>
        <v>Anwendungsbereich</v>
      </c>
      <c r="E27" s="23" t="s">
        <v>1467</v>
      </c>
      <c r="F27" s="2" t="s">
        <v>706</v>
      </c>
    </row>
    <row r="28" spans="1:6" ht="110.25">
      <c r="A28" s="7">
        <f>ROW()</f>
        <v>28</v>
      </c>
      <c r="B28" s="8" t="s">
        <v>1479</v>
      </c>
      <c r="C28" s="8" t="s">
        <v>1514</v>
      </c>
      <c r="D28" s="8" t="str">
        <f t="shared" si="0"/>
        <v>Grundprinzipien</v>
      </c>
      <c r="E28" s="23" t="s">
        <v>1468</v>
      </c>
      <c r="F28" s="2" t="s">
        <v>1737</v>
      </c>
    </row>
    <row r="29" spans="1:6" ht="224.25">
      <c r="A29" s="7">
        <f>ROW()</f>
        <v>29</v>
      </c>
      <c r="B29" s="8" t="s">
        <v>1479</v>
      </c>
      <c r="C29" s="8" t="s">
        <v>1514</v>
      </c>
      <c r="D29" s="8" t="str">
        <f t="shared" si="0"/>
        <v>Voraussetzungen für die Deckung</v>
      </c>
      <c r="E29" s="23" t="s">
        <v>1469</v>
      </c>
      <c r="F29" s="2" t="s">
        <v>758</v>
      </c>
    </row>
    <row r="30" spans="1:6" ht="409.5">
      <c r="A30" s="7">
        <f>ROW()</f>
        <v>30</v>
      </c>
      <c r="B30" s="8" t="s">
        <v>1479</v>
      </c>
      <c r="C30" s="8" t="s">
        <v>1514</v>
      </c>
      <c r="D30" s="9" t="str">
        <f t="shared" si="0"/>
        <v>Kombination von selbstständiger und unselbstständiger Tätigkeit</v>
      </c>
      <c r="E30" s="23" t="s">
        <v>1462</v>
      </c>
      <c r="F30" s="2" t="s">
        <v>779</v>
      </c>
    </row>
    <row r="31" spans="1:6" ht="376.5">
      <c r="A31" s="7">
        <f>ROW()</f>
        <v>31</v>
      </c>
      <c r="B31" s="8" t="s">
        <v>1479</v>
      </c>
      <c r="C31" s="8" t="s">
        <v>1459</v>
      </c>
      <c r="D31" s="9" t="str">
        <f t="shared" si="0"/>
        <v xml:space="preserve">Voraussetzungen für den Zugang zu Diensten/Leistungen </v>
      </c>
      <c r="E31" s="23" t="s">
        <v>1463</v>
      </c>
      <c r="F31" s="2" t="s">
        <v>794</v>
      </c>
    </row>
    <row r="32" spans="1:6" ht="253.5">
      <c r="A32" s="7">
        <f>ROW()</f>
        <v>32</v>
      </c>
      <c r="B32" s="8" t="s">
        <v>1479</v>
      </c>
      <c r="C32" s="8" t="s">
        <v>1459</v>
      </c>
      <c r="D32" s="8" t="str">
        <f t="shared" si="0"/>
        <v>Beträge, Dauer und Kostenbeteiligung</v>
      </c>
      <c r="E32" s="23" t="s">
        <v>1464</v>
      </c>
      <c r="F32" s="2" t="s">
        <v>794</v>
      </c>
    </row>
    <row r="33" spans="1:6" ht="216">
      <c r="A33" s="7">
        <f>ROW()</f>
        <v>33</v>
      </c>
      <c r="B33" s="8" t="s">
        <v>1479</v>
      </c>
      <c r="C33" s="8" t="s">
        <v>1459</v>
      </c>
      <c r="D33" s="8" t="str">
        <f t="shared" si="0"/>
        <v>Besteuerung von Geldleistungen</v>
      </c>
      <c r="E33" s="23" t="s">
        <v>1456</v>
      </c>
      <c r="F33" s="2" t="s">
        <v>794</v>
      </c>
    </row>
    <row r="34" spans="1:6" ht="276.75">
      <c r="A34" s="7">
        <f>ROW()</f>
        <v>34</v>
      </c>
      <c r="B34" s="8" t="s">
        <v>1479</v>
      </c>
      <c r="C34" s="8" t="s">
        <v>1459</v>
      </c>
      <c r="D34" s="8" t="str">
        <f t="shared" si="0"/>
        <v xml:space="preserve"> Auf Leistungen anfallende Sozialabgaben</v>
      </c>
      <c r="E34" s="23" t="s">
        <v>1518</v>
      </c>
      <c r="F34" s="2" t="s">
        <v>794</v>
      </c>
    </row>
    <row r="35" spans="1:6" ht="177">
      <c r="A35" s="7">
        <f>ROW()</f>
        <v>35</v>
      </c>
      <c r="B35" s="8" t="s">
        <v>1519</v>
      </c>
      <c r="C35" s="8" t="str">
        <f>+D35</f>
        <v>Geltende Rechtsgrundlage</v>
      </c>
      <c r="D35" s="8" t="str">
        <f>+E35</f>
        <v>Geltende Rechtsgrundlage</v>
      </c>
      <c r="E35" s="22" t="s">
        <v>1472</v>
      </c>
      <c r="F35" s="2" t="s">
        <v>54</v>
      </c>
    </row>
    <row r="36" spans="1:6" ht="255">
      <c r="A36" s="7">
        <f>ROW()</f>
        <v>36</v>
      </c>
      <c r="B36" s="8" t="s">
        <v>1519</v>
      </c>
      <c r="C36" s="8" t="str">
        <f>+D36</f>
        <v>Grundprinzipien</v>
      </c>
      <c r="D36" s="8" t="str">
        <f>+E36</f>
        <v>Grundprinzipien</v>
      </c>
      <c r="E36" s="22" t="s">
        <v>1468</v>
      </c>
      <c r="F36" s="2" t="s">
        <v>78</v>
      </c>
    </row>
    <row r="37" spans="1:6" ht="159.75">
      <c r="A37" s="7">
        <f>ROW()</f>
        <v>37</v>
      </c>
      <c r="B37" s="8" t="s">
        <v>1519</v>
      </c>
      <c r="C37" s="8" t="s">
        <v>1467</v>
      </c>
      <c r="D37" s="8" t="str">
        <f>+E37</f>
        <v>1. Versicherte Personen</v>
      </c>
      <c r="E37" s="23" t="s">
        <v>1520</v>
      </c>
      <c r="F37" s="2" t="s">
        <v>3579</v>
      </c>
    </row>
    <row r="38" spans="1:6" ht="371.25">
      <c r="A38" s="7">
        <f>ROW()</f>
        <v>38</v>
      </c>
      <c r="B38" s="8" t="s">
        <v>1519</v>
      </c>
      <c r="C38" s="8" t="s">
        <v>1467</v>
      </c>
      <c r="D38" s="8" t="str">
        <f t="shared" ref="D38:D58" si="1">+E38</f>
        <v>2. Ausnahmen von der Deckung  der Pflichtversicherung</v>
      </c>
      <c r="E38" s="23" t="s">
        <v>1521</v>
      </c>
      <c r="F38" s="2" t="s">
        <v>3580</v>
      </c>
    </row>
    <row r="39" spans="1:6" ht="194.25">
      <c r="A39" s="7">
        <f>ROW()</f>
        <v>39</v>
      </c>
      <c r="B39" s="8" t="s">
        <v>1519</v>
      </c>
      <c r="C39" s="8" t="s">
        <v>128</v>
      </c>
      <c r="D39" s="8" t="str">
        <f t="shared" si="1"/>
        <v>1. Rentenalter</v>
      </c>
      <c r="E39" s="23" t="s">
        <v>1523</v>
      </c>
      <c r="F39" s="2" t="s">
        <v>145</v>
      </c>
    </row>
    <row r="40" spans="1:6" ht="409.5">
      <c r="A40" s="7">
        <f>ROW()</f>
        <v>40</v>
      </c>
      <c r="B40" s="8" t="s">
        <v>1519</v>
      </c>
      <c r="C40" s="8" t="s">
        <v>128</v>
      </c>
      <c r="D40" s="8" t="str">
        <f t="shared" si="1"/>
        <v>2. Anwartschaftszeit und sonstige Anspruchsvoraussetzungen für den Bezug einer Altersrente</v>
      </c>
      <c r="E40" s="23" t="s">
        <v>1524</v>
      </c>
      <c r="F40" s="2" t="s">
        <v>167</v>
      </c>
    </row>
    <row r="41" spans="1:6" ht="194.25">
      <c r="A41" s="7">
        <f>ROW()</f>
        <v>41</v>
      </c>
      <c r="B41" s="8" t="s">
        <v>1519</v>
      </c>
      <c r="C41" s="8" t="s">
        <v>128</v>
      </c>
      <c r="D41" s="8" t="str">
        <f t="shared" si="1"/>
        <v>3. Vorruhestand</v>
      </c>
      <c r="E41" s="23" t="s">
        <v>1525</v>
      </c>
      <c r="F41" s="2" t="s">
        <v>187</v>
      </c>
    </row>
    <row r="42" spans="1:6" ht="264">
      <c r="A42" s="7">
        <f>ROW()</f>
        <v>42</v>
      </c>
      <c r="B42" s="8" t="s">
        <v>1519</v>
      </c>
      <c r="C42" s="8" t="s">
        <v>128</v>
      </c>
      <c r="D42" s="8" t="str">
        <f t="shared" si="1"/>
        <v>4. Beschwerliche und gefährliche Arbeit</v>
      </c>
      <c r="E42" s="23" t="s">
        <v>1526</v>
      </c>
      <c r="F42" s="2" t="s">
        <v>204</v>
      </c>
    </row>
    <row r="43" spans="1:6" ht="194.25">
      <c r="A43" s="7">
        <f>ROW()</f>
        <v>43</v>
      </c>
      <c r="B43" s="8" t="s">
        <v>1519</v>
      </c>
      <c r="C43" s="8" t="s">
        <v>128</v>
      </c>
      <c r="D43" s="8" t="str">
        <f t="shared" si="1"/>
        <v>5. Rentenaufschub</v>
      </c>
      <c r="E43" s="23" t="s">
        <v>1527</v>
      </c>
      <c r="F43" s="2" t="s">
        <v>228</v>
      </c>
    </row>
    <row r="44" spans="1:6" ht="174">
      <c r="A44" s="7">
        <f>ROW()</f>
        <v>44</v>
      </c>
      <c r="B44" s="8" t="s">
        <v>1519</v>
      </c>
      <c r="C44" s="8" t="s">
        <v>1459</v>
      </c>
      <c r="D44" s="8" t="str">
        <f t="shared" si="1"/>
        <v>1. Bestimmende Faktoren</v>
      </c>
      <c r="E44" s="23" t="s">
        <v>1528</v>
      </c>
      <c r="F44" s="2" t="s">
        <v>248</v>
      </c>
    </row>
    <row r="45" spans="1:6" ht="349.5">
      <c r="A45" s="7">
        <f>ROW()</f>
        <v>45</v>
      </c>
      <c r="B45" s="8" t="s">
        <v>1519</v>
      </c>
      <c r="C45" s="8" t="s">
        <v>1459</v>
      </c>
      <c r="D45" s="8" t="str">
        <f t="shared" si="1"/>
        <v>2. Berechnungsmethode, Rentenformel bzw. Beträge</v>
      </c>
      <c r="E45" s="23" t="s">
        <v>1529</v>
      </c>
      <c r="F45" s="2" t="s">
        <v>265</v>
      </c>
    </row>
    <row r="46" spans="1:6" ht="343.5">
      <c r="A46" s="7">
        <f>ROW()</f>
        <v>46</v>
      </c>
      <c r="B46" s="8" t="s">
        <v>1519</v>
      </c>
      <c r="C46" s="8" t="s">
        <v>1459</v>
      </c>
      <c r="D46" s="8" t="str">
        <f t="shared" si="1"/>
        <v>3. Referenzeinkommen bzw. Berechnungsgrundlage</v>
      </c>
      <c r="E46" s="23" t="s">
        <v>1530</v>
      </c>
      <c r="F46" s="2" t="s">
        <v>3581</v>
      </c>
    </row>
    <row r="47" spans="1:6" ht="405">
      <c r="A47" s="7">
        <f>ROW()</f>
        <v>47</v>
      </c>
      <c r="B47" s="8" t="s">
        <v>1519</v>
      </c>
      <c r="C47" s="8" t="s">
        <v>1459</v>
      </c>
      <c r="D47" s="8" t="str">
        <f t="shared" si="1"/>
        <v>4. Anrechenbare oder als Beitragszeiten gewertete Zeiträume</v>
      </c>
      <c r="E47" s="23" t="s">
        <v>1496</v>
      </c>
      <c r="F47" s="2" t="s">
        <v>307</v>
      </c>
    </row>
    <row r="48" spans="1:6" ht="243.75">
      <c r="A48" s="7">
        <f>ROW()</f>
        <v>48</v>
      </c>
      <c r="B48" s="8" t="s">
        <v>1519</v>
      </c>
      <c r="C48" s="8" t="s">
        <v>1459</v>
      </c>
      <c r="D48" s="8" t="str">
        <f t="shared" si="1"/>
        <v>5. Rückkauf von Versicherungszeiten</v>
      </c>
      <c r="E48" s="23" t="s">
        <v>1531</v>
      </c>
      <c r="F48" s="2" t="s">
        <v>324</v>
      </c>
    </row>
    <row r="49" spans="1:6" ht="246">
      <c r="A49" s="7">
        <f>ROW()</f>
        <v>49</v>
      </c>
      <c r="B49" s="8" t="s">
        <v>1519</v>
      </c>
      <c r="C49" s="8" t="s">
        <v>1459</v>
      </c>
      <c r="D49" s="8" t="str">
        <f t="shared" si="1"/>
        <v>6.  Zulagen für Unterhaltsberechtigte</v>
      </c>
      <c r="E49" s="23" t="s">
        <v>1631</v>
      </c>
      <c r="F49" s="2" t="s">
        <v>345</v>
      </c>
    </row>
    <row r="50" spans="1:6" ht="145.5">
      <c r="A50" s="7">
        <f>ROW()</f>
        <v>50</v>
      </c>
      <c r="B50" s="8" t="s">
        <v>1519</v>
      </c>
      <c r="C50" s="8" t="s">
        <v>1459</v>
      </c>
      <c r="D50" s="8" t="str">
        <f t="shared" si="1"/>
        <v>7. Besondere Zulagen</v>
      </c>
      <c r="E50" s="23" t="s">
        <v>1532</v>
      </c>
      <c r="F50" s="2" t="s">
        <v>363</v>
      </c>
    </row>
    <row r="51" spans="1:6" ht="360.75">
      <c r="A51" s="7">
        <f>ROW()</f>
        <v>51</v>
      </c>
      <c r="B51" s="8" t="s">
        <v>1519</v>
      </c>
      <c r="C51" s="8" t="s">
        <v>1459</v>
      </c>
      <c r="D51" s="8" t="str">
        <f t="shared" si="1"/>
        <v>8. Mindestrente und bedürftigkeitsabhängige Leistung</v>
      </c>
      <c r="E51" s="23" t="s">
        <v>1533</v>
      </c>
      <c r="F51" s="2" t="s">
        <v>390</v>
      </c>
    </row>
    <row r="52" spans="1:6" ht="101.25">
      <c r="A52" s="7">
        <f>ROW()</f>
        <v>52</v>
      </c>
      <c r="B52" s="8" t="s">
        <v>1519</v>
      </c>
      <c r="C52" s="8" t="s">
        <v>1459</v>
      </c>
      <c r="D52" s="8" t="str">
        <f t="shared" si="1"/>
        <v>9. Höchstrente</v>
      </c>
      <c r="E52" s="23" t="s">
        <v>1534</v>
      </c>
      <c r="F52" s="2" t="s">
        <v>413</v>
      </c>
    </row>
    <row r="53" spans="1:6" ht="150">
      <c r="A53" s="7">
        <f>ROW()</f>
        <v>53</v>
      </c>
      <c r="B53" s="8" t="s">
        <v>1519</v>
      </c>
      <c r="C53" s="8" t="s">
        <v>1459</v>
      </c>
      <c r="D53" s="8" t="str">
        <f t="shared" si="1"/>
        <v>10. Vorruhestand</v>
      </c>
      <c r="E53" s="23" t="s">
        <v>1535</v>
      </c>
      <c r="F53" s="2" t="s">
        <v>441</v>
      </c>
    </row>
    <row r="54" spans="1:6" ht="272.25">
      <c r="A54" s="7">
        <f>ROW()</f>
        <v>54</v>
      </c>
      <c r="B54" s="8" t="s">
        <v>1519</v>
      </c>
      <c r="C54" s="8" t="s">
        <v>1459</v>
      </c>
      <c r="D54" s="8" t="str">
        <f t="shared" si="1"/>
        <v>11. Beschwerliche und gefährliche Arbeit</v>
      </c>
      <c r="E54" s="23" t="s">
        <v>1536</v>
      </c>
      <c r="F54" s="2" t="s">
        <v>198</v>
      </c>
    </row>
    <row r="55" spans="1:6" ht="105">
      <c r="A55" s="7">
        <f>ROW()</f>
        <v>55</v>
      </c>
      <c r="B55" s="8" t="s">
        <v>1519</v>
      </c>
      <c r="C55" s="8" t="s">
        <v>1459</v>
      </c>
      <c r="D55" s="8" t="str">
        <f t="shared" si="1"/>
        <v>12. Teilrente</v>
      </c>
      <c r="E55" s="23" t="s">
        <v>1537</v>
      </c>
      <c r="F55" s="2" t="s">
        <v>493</v>
      </c>
    </row>
    <row r="56" spans="1:6" ht="171.75">
      <c r="A56" s="7">
        <f>ROW()</f>
        <v>56</v>
      </c>
      <c r="B56" s="8" t="s">
        <v>1519</v>
      </c>
      <c r="C56" s="8" t="s">
        <v>1459</v>
      </c>
      <c r="D56" s="8" t="str">
        <f t="shared" si="1"/>
        <v>13. Aufgeschobene Rente</v>
      </c>
      <c r="E56" s="23" t="s">
        <v>1632</v>
      </c>
      <c r="F56" s="2" t="s">
        <v>521</v>
      </c>
    </row>
    <row r="57" spans="1:6" ht="179.25">
      <c r="A57" s="7">
        <f>ROW()</f>
        <v>57</v>
      </c>
      <c r="B57" s="8" t="s">
        <v>1519</v>
      </c>
      <c r="C57" s="8" t="s">
        <v>1538</v>
      </c>
      <c r="D57" s="8" t="s">
        <v>1538</v>
      </c>
      <c r="E57" s="22" t="s">
        <v>1538</v>
      </c>
      <c r="F57" s="2" t="s">
        <v>549</v>
      </c>
    </row>
    <row r="58" spans="1:6" ht="246">
      <c r="A58" s="7">
        <f>ROW()</f>
        <v>58</v>
      </c>
      <c r="B58" s="8" t="s">
        <v>1519</v>
      </c>
      <c r="C58" s="8" t="s">
        <v>1538</v>
      </c>
      <c r="D58" s="8" t="str">
        <f t="shared" si="1"/>
        <v xml:space="preserve">Kumulation mit Erwerbseinkommen </v>
      </c>
      <c r="E58" s="22" t="s">
        <v>1461</v>
      </c>
      <c r="F58" s="2" t="s">
        <v>576</v>
      </c>
    </row>
    <row r="59" spans="1:6" ht="286.5">
      <c r="A59" s="7">
        <f>ROW()</f>
        <v>59</v>
      </c>
      <c r="B59" s="8" t="s">
        <v>1519</v>
      </c>
      <c r="C59" s="8" t="s">
        <v>1538</v>
      </c>
      <c r="D59" s="8" t="s">
        <v>1539</v>
      </c>
      <c r="E59" s="22" t="s">
        <v>1460</v>
      </c>
      <c r="F59" s="2" t="s">
        <v>605</v>
      </c>
    </row>
    <row r="60" spans="1:6" ht="225.75">
      <c r="A60" s="7">
        <f>ROW()</f>
        <v>60</v>
      </c>
      <c r="B60" s="8" t="s">
        <v>1519</v>
      </c>
      <c r="C60" s="8" t="s">
        <v>612</v>
      </c>
      <c r="D60" s="8" t="str">
        <f t="shared" ref="D60:D70" si="2">+E60</f>
        <v>1. Besteuerung von Renten</v>
      </c>
      <c r="E60" s="23" t="s">
        <v>1540</v>
      </c>
      <c r="F60" s="2" t="s">
        <v>632</v>
      </c>
    </row>
    <row r="61" spans="1:6" ht="335.25">
      <c r="A61" s="7">
        <f>ROW()</f>
        <v>61</v>
      </c>
      <c r="B61" s="8" t="s">
        <v>1519</v>
      </c>
      <c r="C61" s="8" t="s">
        <v>612</v>
      </c>
      <c r="D61" s="8" t="str">
        <f t="shared" si="2"/>
        <v>2. Einkommensgrenze für Besteuerung von Renten</v>
      </c>
      <c r="E61" s="23" t="s">
        <v>1541</v>
      </c>
      <c r="F61" s="2" t="s">
        <v>659</v>
      </c>
    </row>
    <row r="62" spans="1:6" ht="264">
      <c r="A62" s="7">
        <f>ROW()</f>
        <v>62</v>
      </c>
      <c r="B62" s="8" t="s">
        <v>1519</v>
      </c>
      <c r="C62" s="8" t="s">
        <v>612</v>
      </c>
      <c r="D62" s="8" t="str">
        <f t="shared" si="2"/>
        <v>3. Auf Renten anfallende Sozialabgaben</v>
      </c>
      <c r="E62" s="23" t="s">
        <v>1542</v>
      </c>
      <c r="F62" s="2" t="s">
        <v>682</v>
      </c>
    </row>
    <row r="63" spans="1:6" ht="138">
      <c r="A63" s="7">
        <f>ROW()</f>
        <v>63</v>
      </c>
      <c r="B63" s="8" t="s">
        <v>1543</v>
      </c>
      <c r="C63" s="8" t="str">
        <f>+E63</f>
        <v>Anwendungsbereich</v>
      </c>
      <c r="D63" s="8" t="str">
        <f t="shared" si="2"/>
        <v>Anwendungsbereich</v>
      </c>
      <c r="E63" s="23" t="s">
        <v>1467</v>
      </c>
      <c r="F63" s="2" t="s">
        <v>706</v>
      </c>
    </row>
    <row r="64" spans="1:6" ht="132.75">
      <c r="A64" s="7">
        <f>ROW()</f>
        <v>64</v>
      </c>
      <c r="B64" s="8" t="s">
        <v>1543</v>
      </c>
      <c r="C64" s="8" t="s">
        <v>1514</v>
      </c>
      <c r="D64" s="8" t="str">
        <f t="shared" si="2"/>
        <v>Grundprinzipien</v>
      </c>
      <c r="E64" s="23" t="s">
        <v>1468</v>
      </c>
      <c r="F64" s="2" t="s">
        <v>732</v>
      </c>
    </row>
    <row r="65" spans="1:6" ht="224.25">
      <c r="A65" s="7">
        <f>ROW()</f>
        <v>65</v>
      </c>
      <c r="B65" s="8" t="s">
        <v>1543</v>
      </c>
      <c r="C65" s="8" t="s">
        <v>1514</v>
      </c>
      <c r="D65" s="8" t="str">
        <f t="shared" si="2"/>
        <v>Voraussetzungen für die Deckung</v>
      </c>
      <c r="E65" s="23" t="s">
        <v>1469</v>
      </c>
      <c r="F65" s="2" t="s">
        <v>758</v>
      </c>
    </row>
    <row r="66" spans="1:6" ht="409.5">
      <c r="A66" s="7">
        <f>ROW()</f>
        <v>66</v>
      </c>
      <c r="B66" s="8" t="s">
        <v>1543</v>
      </c>
      <c r="C66" s="8" t="s">
        <v>1514</v>
      </c>
      <c r="D66" s="8" t="str">
        <f t="shared" si="2"/>
        <v>Kombination von selbstständiger und unselbstständiger Tätigkeit</v>
      </c>
      <c r="E66" s="23" t="s">
        <v>1462</v>
      </c>
      <c r="F66" s="2" t="s">
        <v>779</v>
      </c>
    </row>
    <row r="67" spans="1:6" ht="376.5">
      <c r="A67" s="7">
        <f>ROW()</f>
        <v>67</v>
      </c>
      <c r="B67" s="8" t="s">
        <v>1543</v>
      </c>
      <c r="C67" s="8" t="s">
        <v>1459</v>
      </c>
      <c r="D67" s="9" t="str">
        <f t="shared" si="2"/>
        <v xml:space="preserve">Voraussetzungen für den Zugang zu Diensten/Leistungen </v>
      </c>
      <c r="E67" s="23" t="s">
        <v>1463</v>
      </c>
      <c r="F67" s="2" t="s">
        <v>794</v>
      </c>
    </row>
    <row r="68" spans="1:6" ht="253.5">
      <c r="A68" s="7">
        <f>ROW()</f>
        <v>68</v>
      </c>
      <c r="B68" s="8" t="s">
        <v>1543</v>
      </c>
      <c r="C68" s="8" t="s">
        <v>1459</v>
      </c>
      <c r="D68" s="9" t="str">
        <f t="shared" si="2"/>
        <v>Beträge, Dauer und Kostenbeteiligung</v>
      </c>
      <c r="E68" s="23" t="s">
        <v>1464</v>
      </c>
      <c r="F68" s="2" t="s">
        <v>794</v>
      </c>
    </row>
    <row r="69" spans="1:6" ht="216">
      <c r="A69" s="7">
        <f>ROW()</f>
        <v>69</v>
      </c>
      <c r="B69" s="8" t="s">
        <v>1543</v>
      </c>
      <c r="C69" s="8" t="s">
        <v>1459</v>
      </c>
      <c r="D69" s="9" t="str">
        <f t="shared" si="2"/>
        <v>Besteuerung von Geldleistungen</v>
      </c>
      <c r="E69" s="23" t="s">
        <v>1456</v>
      </c>
      <c r="F69" s="2" t="s">
        <v>794</v>
      </c>
    </row>
    <row r="70" spans="1:6" ht="272.25">
      <c r="A70" s="7">
        <f>ROW()</f>
        <v>70</v>
      </c>
      <c r="B70" s="8" t="s">
        <v>1543</v>
      </c>
      <c r="C70" s="8" t="s">
        <v>1459</v>
      </c>
      <c r="D70" s="9" t="str">
        <f t="shared" si="2"/>
        <v>Auf Leistungen anfallende Sozialabgaben</v>
      </c>
      <c r="E70" s="23" t="s">
        <v>1457</v>
      </c>
      <c r="F70" s="2" t="s">
        <v>794</v>
      </c>
    </row>
    <row r="71" spans="1:6" ht="177">
      <c r="A71" s="7">
        <f>ROW()</f>
        <v>71</v>
      </c>
      <c r="B71" s="8" t="s">
        <v>1466</v>
      </c>
      <c r="C71" s="8" t="str">
        <f t="shared" ref="C71:D75" si="3">+D71</f>
        <v>Geltende Rechtsgrundlage</v>
      </c>
      <c r="D71" s="9" t="str">
        <f t="shared" si="3"/>
        <v>Geltende Rechtsgrundlage</v>
      </c>
      <c r="E71" s="22" t="s">
        <v>1472</v>
      </c>
      <c r="F71" s="2" t="s">
        <v>54</v>
      </c>
    </row>
    <row r="72" spans="1:6" ht="225">
      <c r="A72" s="7">
        <f>ROW()</f>
        <v>72</v>
      </c>
      <c r="B72" s="8" t="s">
        <v>1466</v>
      </c>
      <c r="C72" s="8" t="str">
        <f t="shared" si="3"/>
        <v>Grundprinzipien</v>
      </c>
      <c r="D72" s="9" t="str">
        <f t="shared" si="3"/>
        <v>Grundprinzipien</v>
      </c>
      <c r="E72" s="22" t="s">
        <v>1468</v>
      </c>
      <c r="F72" s="2" t="s">
        <v>879</v>
      </c>
    </row>
    <row r="73" spans="1:6" ht="315">
      <c r="A73" s="7">
        <f>ROW()</f>
        <v>73</v>
      </c>
      <c r="B73" s="8" t="s">
        <v>1466</v>
      </c>
      <c r="C73" s="9" t="str">
        <f t="shared" si="3"/>
        <v>Anwendungsbereich (in Bezug auf Verstorbene)</v>
      </c>
      <c r="D73" s="9" t="str">
        <f t="shared" si="3"/>
        <v>Anwendungsbereich (in Bezug auf Verstorbene)</v>
      </c>
      <c r="E73" s="22" t="s">
        <v>1473</v>
      </c>
      <c r="F73" s="2" t="s">
        <v>3147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3582</v>
      </c>
    </row>
    <row r="75" spans="1:6" ht="150">
      <c r="A75" s="7">
        <f>ROW()</f>
        <v>75</v>
      </c>
      <c r="B75" s="8" t="s">
        <v>1466</v>
      </c>
      <c r="C75" s="9" t="str">
        <f t="shared" si="3"/>
        <v>Berechtigte Personen</v>
      </c>
      <c r="D75" s="9" t="str">
        <f t="shared" si="3"/>
        <v>Berechtigte Personen</v>
      </c>
      <c r="E75" s="22" t="s">
        <v>1477</v>
      </c>
      <c r="F75" s="2" t="s">
        <v>3583</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3584</v>
      </c>
    </row>
    <row r="78" spans="1:6" ht="185.25">
      <c r="A78" s="7">
        <f>ROW()</f>
        <v>78</v>
      </c>
      <c r="B78" s="8" t="s">
        <v>1466</v>
      </c>
      <c r="C78" s="8" t="s">
        <v>1544</v>
      </c>
      <c r="D78" s="8" t="str">
        <f t="shared" si="4"/>
        <v>2. Hinterbliebener Ehegatte</v>
      </c>
      <c r="E78" s="23" t="s">
        <v>1546</v>
      </c>
      <c r="F78" s="2" t="s">
        <v>3585</v>
      </c>
    </row>
    <row r="79" spans="1:6" ht="181.5">
      <c r="A79" s="7">
        <f>ROW()</f>
        <v>79</v>
      </c>
      <c r="B79" s="8" t="s">
        <v>1466</v>
      </c>
      <c r="C79" s="8" t="s">
        <v>1544</v>
      </c>
      <c r="D79" s="8" t="str">
        <f t="shared" si="4"/>
        <v>3. Geschiedener Ehegatte</v>
      </c>
      <c r="E79" s="23" t="s">
        <v>1547</v>
      </c>
      <c r="F79" s="2" t="s">
        <v>3586</v>
      </c>
    </row>
    <row r="80" spans="1:6" ht="216">
      <c r="A80" s="7">
        <f>ROW()</f>
        <v>80</v>
      </c>
      <c r="B80" s="8" t="s">
        <v>1466</v>
      </c>
      <c r="C80" s="8" t="s">
        <v>1544</v>
      </c>
      <c r="D80" s="8" t="str">
        <f t="shared" si="4"/>
        <v>4. Hinterbliebene Lebenspartner</v>
      </c>
      <c r="E80" s="23" t="s">
        <v>1548</v>
      </c>
      <c r="F80" s="2" t="s">
        <v>1022</v>
      </c>
    </row>
    <row r="81" spans="1:6" ht="181.5">
      <c r="A81" s="7">
        <f>ROW()</f>
        <v>81</v>
      </c>
      <c r="B81" s="8" t="s">
        <v>1466</v>
      </c>
      <c r="C81" s="8" t="s">
        <v>1544</v>
      </c>
      <c r="D81" s="8" t="str">
        <f t="shared" si="4"/>
        <v>5. Kinder</v>
      </c>
      <c r="E81" s="23" t="s">
        <v>1549</v>
      </c>
      <c r="F81" s="2" t="s">
        <v>1046</v>
      </c>
    </row>
    <row r="82" spans="1:6" ht="181.5">
      <c r="A82" s="7">
        <f>ROW()</f>
        <v>82</v>
      </c>
      <c r="B82" s="8" t="s">
        <v>1466</v>
      </c>
      <c r="C82" s="8" t="s">
        <v>1544</v>
      </c>
      <c r="D82" s="8" t="str">
        <f t="shared" si="4"/>
        <v>6. Andere Personen</v>
      </c>
      <c r="E82" s="23" t="s">
        <v>1550</v>
      </c>
      <c r="F82" s="2" t="s">
        <v>1062</v>
      </c>
    </row>
    <row r="83" spans="1:6" ht="409.5">
      <c r="A83" s="7">
        <f>ROW()</f>
        <v>83</v>
      </c>
      <c r="B83" s="8" t="s">
        <v>1466</v>
      </c>
      <c r="C83" s="8" t="s">
        <v>1459</v>
      </c>
      <c r="D83" s="9" t="str">
        <f t="shared" si="4"/>
        <v>1. Hinterbliebener Ehegatte, geschiedener Ehegatte, hinterbliebene Lebenspartner</v>
      </c>
      <c r="E83" s="23" t="s">
        <v>1551</v>
      </c>
      <c r="F83" s="2" t="s">
        <v>1078</v>
      </c>
    </row>
    <row r="84" spans="1:6" ht="280.5">
      <c r="A84" s="7">
        <f>ROW()</f>
        <v>84</v>
      </c>
      <c r="B84" s="8" t="s">
        <v>1466</v>
      </c>
      <c r="C84" s="8" t="s">
        <v>1459</v>
      </c>
      <c r="D84" s="9" t="str">
        <f t="shared" si="4"/>
        <v>2. Hinterbliebener Ehegatte: Wiederheirat</v>
      </c>
      <c r="E84" s="23" t="s">
        <v>1552</v>
      </c>
      <c r="F84" s="2" t="s">
        <v>1105</v>
      </c>
    </row>
    <row r="85" spans="1:6" ht="150">
      <c r="A85" s="7">
        <f>ROW()</f>
        <v>85</v>
      </c>
      <c r="B85" s="8" t="s">
        <v>1466</v>
      </c>
      <c r="C85" s="8" t="s">
        <v>1459</v>
      </c>
      <c r="D85" s="9" t="str">
        <f t="shared" si="4"/>
        <v>3. Kinder</v>
      </c>
      <c r="E85" s="23" t="s">
        <v>1553</v>
      </c>
      <c r="F85" s="2" t="s">
        <v>3587</v>
      </c>
    </row>
    <row r="86" spans="1:6" ht="147">
      <c r="A86" s="7">
        <f>ROW()</f>
        <v>86</v>
      </c>
      <c r="B86" s="8" t="s">
        <v>1466</v>
      </c>
      <c r="C86" s="8" t="s">
        <v>1459</v>
      </c>
      <c r="D86" s="9" t="str">
        <f t="shared" si="4"/>
        <v>4. Andere Berechtigte</v>
      </c>
      <c r="E86" s="23" t="s">
        <v>1554</v>
      </c>
      <c r="F86" s="2" t="s">
        <v>1140</v>
      </c>
    </row>
    <row r="87" spans="1:6" ht="381">
      <c r="A87" s="7">
        <f>ROW()</f>
        <v>87</v>
      </c>
      <c r="B87" s="8" t="s">
        <v>1466</v>
      </c>
      <c r="C87" s="8" t="s">
        <v>1459</v>
      </c>
      <c r="D87" s="9" t="str">
        <f t="shared" si="4"/>
        <v xml:space="preserve"> 5. Höchster zahlbarer Gesamtbetrag für alle Berechtigten</v>
      </c>
      <c r="E87" s="23" t="s">
        <v>1555</v>
      </c>
      <c r="F87" s="2" t="s">
        <v>1162</v>
      </c>
    </row>
    <row r="88" spans="1:6" ht="151.5">
      <c r="A88" s="7">
        <f>ROW()</f>
        <v>88</v>
      </c>
      <c r="B88" s="8" t="s">
        <v>1466</v>
      </c>
      <c r="C88" s="8" t="s">
        <v>1459</v>
      </c>
      <c r="D88" s="9" t="str">
        <f t="shared" si="4"/>
        <v>6. Sonstige Leistungen</v>
      </c>
      <c r="E88" s="23" t="s">
        <v>1556</v>
      </c>
      <c r="F88" s="2" t="s">
        <v>3588</v>
      </c>
    </row>
    <row r="89" spans="1:6" ht="126.75">
      <c r="A89" s="7">
        <f>ROW()</f>
        <v>89</v>
      </c>
      <c r="B89" s="8" t="s">
        <v>1466</v>
      </c>
      <c r="C89" s="8" t="s">
        <v>1459</v>
      </c>
      <c r="D89" s="9" t="str">
        <f>+E89</f>
        <v>7. Mindestleistung</v>
      </c>
      <c r="E89" s="23" t="s">
        <v>1557</v>
      </c>
      <c r="F89" s="2" t="s">
        <v>1208</v>
      </c>
    </row>
    <row r="90" spans="1:6" ht="122.25">
      <c r="A90" s="7">
        <f>ROW()</f>
        <v>90</v>
      </c>
      <c r="B90" s="8" t="s">
        <v>1466</v>
      </c>
      <c r="C90" s="8" t="s">
        <v>1459</v>
      </c>
      <c r="D90" s="9" t="str">
        <f t="shared" si="4"/>
        <v xml:space="preserve"> 8. Höchstleistung</v>
      </c>
      <c r="E90" s="23" t="s">
        <v>1558</v>
      </c>
      <c r="F90" s="2" t="s">
        <v>1228</v>
      </c>
    </row>
    <row r="91" spans="1:6" ht="179.25">
      <c r="A91" s="7">
        <f>ROW()</f>
        <v>91</v>
      </c>
      <c r="B91" s="8" t="s">
        <v>1466</v>
      </c>
      <c r="C91" s="8" t="s">
        <v>1538</v>
      </c>
      <c r="D91" s="9" t="str">
        <f>+C91</f>
        <v>Indexbindung / Anpassung</v>
      </c>
      <c r="E91" s="22" t="s">
        <v>1538</v>
      </c>
      <c r="F91" s="2" t="s">
        <v>1256</v>
      </c>
    </row>
    <row r="92" spans="1:6" ht="242.25">
      <c r="A92" s="7">
        <f>ROW()</f>
        <v>92</v>
      </c>
      <c r="B92" s="8" t="s">
        <v>1466</v>
      </c>
      <c r="C92" s="8" t="s">
        <v>1538</v>
      </c>
      <c r="D92" s="9" t="str">
        <f t="shared" ref="D92:D105" si="5">+E92</f>
        <v>Kumulation mit Erwerbseinkommen</v>
      </c>
      <c r="E92" s="22" t="s">
        <v>1471</v>
      </c>
      <c r="F92" s="2" t="s">
        <v>1280</v>
      </c>
    </row>
    <row r="93" spans="1:6" ht="275.25">
      <c r="A93" s="7">
        <f>ROW()</f>
        <v>93</v>
      </c>
      <c r="B93" s="8" t="s">
        <v>1466</v>
      </c>
      <c r="C93" s="8" t="s">
        <v>1538</v>
      </c>
      <c r="D93" s="9" t="str">
        <f t="shared" si="5"/>
        <v>Kumulation mit anderen Sozialleistungen</v>
      </c>
      <c r="E93" s="22" t="s">
        <v>1460</v>
      </c>
      <c r="F93" s="2" t="s">
        <v>1309</v>
      </c>
    </row>
    <row r="94" spans="1:6" ht="232.5">
      <c r="A94" s="7">
        <f>ROW()</f>
        <v>94</v>
      </c>
      <c r="B94" s="8" t="s">
        <v>1466</v>
      </c>
      <c r="C94" s="9" t="s">
        <v>1465</v>
      </c>
      <c r="D94" s="9" t="str">
        <f t="shared" si="5"/>
        <v>1. Besteuerung von Geldleistungen</v>
      </c>
      <c r="E94" s="23" t="s">
        <v>1509</v>
      </c>
      <c r="F94" s="2" t="s">
        <v>1330</v>
      </c>
    </row>
    <row r="95" spans="1:6" ht="387">
      <c r="A95" s="7">
        <f>ROW()</f>
        <v>95</v>
      </c>
      <c r="B95" s="8" t="s">
        <v>1466</v>
      </c>
      <c r="C95" s="9" t="s">
        <v>1465</v>
      </c>
      <c r="D95" s="9" t="str">
        <f t="shared" si="5"/>
        <v>2. Einkommensgrenze für Besteuerung von Geldleistungen</v>
      </c>
      <c r="E95" s="23" t="s">
        <v>1511</v>
      </c>
      <c r="F95" s="2" t="s">
        <v>1353</v>
      </c>
    </row>
    <row r="96" spans="1:6" ht="288.75">
      <c r="A96" s="7">
        <f>ROW()</f>
        <v>96</v>
      </c>
      <c r="B96" s="8" t="s">
        <v>1466</v>
      </c>
      <c r="C96" s="9" t="s">
        <v>1465</v>
      </c>
      <c r="D96" s="9" t="str">
        <f t="shared" si="5"/>
        <v>3. Auf Leistungen anfallende Sozialabgaben</v>
      </c>
      <c r="E96" s="23" t="s">
        <v>1512</v>
      </c>
      <c r="F96" s="2" t="s">
        <v>1371</v>
      </c>
    </row>
    <row r="97" spans="1:6" ht="138">
      <c r="A97" s="7">
        <f>ROW()</f>
        <v>97</v>
      </c>
      <c r="B97" s="8" t="s">
        <v>1466</v>
      </c>
      <c r="C97" s="9" t="s">
        <v>1514</v>
      </c>
      <c r="D97" s="9" t="str">
        <f t="shared" si="5"/>
        <v>Anwendungsbereich</v>
      </c>
      <c r="E97" s="23" t="s">
        <v>1467</v>
      </c>
      <c r="F97" s="2" t="s">
        <v>706</v>
      </c>
    </row>
    <row r="98" spans="1:6" ht="110.25">
      <c r="A98" s="7">
        <f>ROW()</f>
        <v>98</v>
      </c>
      <c r="B98" s="8" t="s">
        <v>1466</v>
      </c>
      <c r="C98" s="9" t="s">
        <v>1514</v>
      </c>
      <c r="D98" s="9" t="str">
        <f t="shared" si="5"/>
        <v>Grundprinzipien</v>
      </c>
      <c r="E98" s="23" t="s">
        <v>1468</v>
      </c>
      <c r="F98" s="2" t="s">
        <v>1402</v>
      </c>
    </row>
    <row r="99" spans="1:6" ht="224.25">
      <c r="A99" s="7">
        <f>ROW()</f>
        <v>99</v>
      </c>
      <c r="B99" s="8" t="s">
        <v>1466</v>
      </c>
      <c r="C99" s="9" t="s">
        <v>1514</v>
      </c>
      <c r="D99" s="9" t="str">
        <f t="shared" si="5"/>
        <v>Voraussetzungen für die Deckung</v>
      </c>
      <c r="E99" s="23" t="s">
        <v>1469</v>
      </c>
      <c r="F99" s="2" t="s">
        <v>758</v>
      </c>
    </row>
    <row r="100" spans="1:6" ht="409.5">
      <c r="A100" s="7">
        <f>ROW()</f>
        <v>100</v>
      </c>
      <c r="B100" s="8" t="s">
        <v>1466</v>
      </c>
      <c r="C100" s="9" t="s">
        <v>1514</v>
      </c>
      <c r="D100" s="9" t="str">
        <f t="shared" si="5"/>
        <v>Kombination von selbstständiger und unselbstständiger Tätigkeit</v>
      </c>
      <c r="E100" s="23" t="s">
        <v>1462</v>
      </c>
      <c r="F100" s="2" t="s">
        <v>779</v>
      </c>
    </row>
    <row r="101" spans="1:6" ht="376.5">
      <c r="A101" s="7">
        <f>ROW()</f>
        <v>101</v>
      </c>
      <c r="B101" s="8" t="s">
        <v>1466</v>
      </c>
      <c r="C101" s="9" t="s">
        <v>1514</v>
      </c>
      <c r="D101" s="9" t="str">
        <f t="shared" si="5"/>
        <v xml:space="preserve">Voraussetzungen für den Zugang zu Diensten/Leistungen </v>
      </c>
      <c r="E101" s="23" t="s">
        <v>1463</v>
      </c>
      <c r="F101" s="2" t="s">
        <v>794</v>
      </c>
    </row>
    <row r="102" spans="1:6" ht="253.5">
      <c r="A102" s="7">
        <f>ROW()</f>
        <v>102</v>
      </c>
      <c r="B102" s="8" t="s">
        <v>1466</v>
      </c>
      <c r="C102" s="9" t="s">
        <v>1514</v>
      </c>
      <c r="D102" s="9" t="str">
        <f t="shared" si="5"/>
        <v>Beträge, Dauer und Kostenbeteiligung</v>
      </c>
      <c r="E102" s="23" t="s">
        <v>1464</v>
      </c>
      <c r="F102" s="2" t="s">
        <v>794</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794</v>
      </c>
    </row>
    <row r="105" spans="1:6" ht="272.25">
      <c r="A105" s="7">
        <f>ROW()</f>
        <v>105</v>
      </c>
      <c r="B105" s="8" t="s">
        <v>1466</v>
      </c>
      <c r="C105" s="9" t="s">
        <v>1514</v>
      </c>
      <c r="D105" s="9" t="str">
        <f t="shared" si="5"/>
        <v>Auf Leistungen anfallende Sozialabgaben</v>
      </c>
      <c r="E105" s="23" t="s">
        <v>1457</v>
      </c>
      <c r="F105" s="2" t="s">
        <v>794</v>
      </c>
    </row>
  </sheetData>
  <sheetProtection algorithmName="SHA-512" hashValue="nQ2LX2+87VQ7YWBPeDltBa9AzabT1NSXVePh7ANHTsjPBIFYwNV6p6nd+Ld71ZLsYG2GWgQqxqFyRlouO3MGOQ==" saltValue="p26flF87rN4gq66yMTMKfw==" spinCount="100000" sheet="1" objects="1" scenarios="1" formatColumns="0" autoFilter="0"/>
  <pageMargins left="0.7" right="0.7" top="0.78740157499999996" bottom="0.78740157499999996"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436D5-0E2E-4F29-9366-5DB1C7B71AF9}">
  <sheetPr codeName="Tabelle27" filterMode="1"/>
  <dimension ref="A1:F105"/>
  <sheetViews>
    <sheetView workbookViewId="0">
      <pane xSplit="5" ySplit="2" topLeftCell="F59"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25</v>
      </c>
    </row>
    <row r="2" spans="1:6" ht="39.75" customHeight="1">
      <c r="A2" s="128"/>
      <c r="B2" s="129"/>
      <c r="C2" s="126"/>
      <c r="D2" s="126"/>
      <c r="E2" s="124"/>
      <c r="F2" s="163" t="str" cm="1">
        <f t="array" ref="F2">_xlfn.TEXTJOIN("; ", TRUE, IF(Entscheidungen!A2:A100=F1, Entscheidungen!B2:B100, ""))</f>
        <v/>
      </c>
    </row>
    <row r="3" spans="1:6" ht="177" hidden="1">
      <c r="A3" s="7">
        <f>ROW()</f>
        <v>3</v>
      </c>
      <c r="B3" s="8" t="s">
        <v>1479</v>
      </c>
      <c r="C3" s="8"/>
      <c r="D3" s="8" t="str">
        <f>+E3</f>
        <v>Geltende Rechtsgrundlage</v>
      </c>
      <c r="E3" s="21" t="s">
        <v>1472</v>
      </c>
      <c r="F3" s="2" t="s">
        <v>1698</v>
      </c>
    </row>
    <row r="4" spans="1:6" ht="110.25" hidden="1">
      <c r="A4" s="7">
        <f>ROW()</f>
        <v>4</v>
      </c>
      <c r="B4" s="8" t="s">
        <v>1479</v>
      </c>
      <c r="C4" s="1"/>
      <c r="D4" s="8" t="str">
        <f t="shared" ref="D4:D34" si="0">+E4</f>
        <v>Grundprinzipien</v>
      </c>
      <c r="E4" s="22" t="s">
        <v>1468</v>
      </c>
      <c r="F4" s="2" t="s">
        <v>1699</v>
      </c>
    </row>
    <row r="5" spans="1:6" ht="188.25" hidden="1">
      <c r="A5" s="7">
        <f>ROW()</f>
        <v>5</v>
      </c>
      <c r="B5" s="8" t="s">
        <v>1479</v>
      </c>
      <c r="C5" s="1"/>
      <c r="D5" s="8" t="str">
        <f t="shared" si="0"/>
        <v>Gedecktes Risiko: Definition</v>
      </c>
      <c r="E5" s="22" t="s">
        <v>1630</v>
      </c>
      <c r="F5" s="2" t="s">
        <v>1700</v>
      </c>
    </row>
    <row r="6" spans="1:6" ht="180" hidden="1">
      <c r="A6" s="7">
        <f>ROW()</f>
        <v>6</v>
      </c>
      <c r="B6" s="8" t="s">
        <v>1479</v>
      </c>
      <c r="C6" s="8" t="s">
        <v>1453</v>
      </c>
      <c r="D6" s="8" t="str">
        <f t="shared" si="0"/>
        <v>Versicherte Personen</v>
      </c>
      <c r="E6" s="23" t="s">
        <v>1453</v>
      </c>
      <c r="F6" s="2" t="s">
        <v>1701</v>
      </c>
    </row>
    <row r="7" spans="1:6" ht="273" hidden="1">
      <c r="A7" s="7">
        <f>ROW()</f>
        <v>7</v>
      </c>
      <c r="B7" s="8" t="s">
        <v>1479</v>
      </c>
      <c r="C7" s="8" t="str">
        <f>+E6</f>
        <v>Versicherte Personen</v>
      </c>
      <c r="D7" s="8" t="str">
        <f t="shared" si="0"/>
        <v>Ausnahmen von der Versicherungspflicht</v>
      </c>
      <c r="E7" s="23" t="s">
        <v>1458</v>
      </c>
      <c r="F7" s="2" t="s">
        <v>1702</v>
      </c>
    </row>
    <row r="8" spans="1:6" ht="194.25" hidden="1">
      <c r="A8" s="7">
        <f>ROW()</f>
        <v>8</v>
      </c>
      <c r="B8" s="8" t="s">
        <v>1479</v>
      </c>
      <c r="C8" s="9" t="s">
        <v>128</v>
      </c>
      <c r="D8" s="8" t="str">
        <f t="shared" si="0"/>
        <v>1. Anwartschaftszeit</v>
      </c>
      <c r="E8" s="23" t="s">
        <v>1483</v>
      </c>
      <c r="F8" s="2" t="s">
        <v>1703</v>
      </c>
    </row>
    <row r="9" spans="1:6" ht="409.5" hidden="1">
      <c r="A9" s="7">
        <f>ROW()</f>
        <v>9</v>
      </c>
      <c r="B9" s="8" t="s">
        <v>1479</v>
      </c>
      <c r="C9" s="9" t="s">
        <v>128</v>
      </c>
      <c r="D9" s="8" t="str">
        <f t="shared" si="0"/>
        <v xml:space="preserve">2. Begutachtungskriterien und Kategorien der Arbeitsunfähigkeit/Arbeitsfähigkeit  </v>
      </c>
      <c r="E9" s="23" t="s">
        <v>1484</v>
      </c>
      <c r="F9" s="2" t="s">
        <v>1704</v>
      </c>
    </row>
    <row r="10" spans="1:6" ht="222" hidden="1">
      <c r="A10" s="7">
        <f>ROW()</f>
        <v>10</v>
      </c>
      <c r="B10" s="8" t="s">
        <v>1479</v>
      </c>
      <c r="C10" s="9" t="s">
        <v>128</v>
      </c>
      <c r="D10" s="8" t="str">
        <f t="shared" si="0"/>
        <v>3. Zeitraum der Leistungszahlung</v>
      </c>
      <c r="E10" s="23" t="s">
        <v>1486</v>
      </c>
      <c r="F10" s="2" t="s">
        <v>1705</v>
      </c>
    </row>
    <row r="11" spans="1:6" ht="105" hidden="1">
      <c r="A11" s="7">
        <f>ROW()</f>
        <v>11</v>
      </c>
      <c r="B11" s="8" t="s">
        <v>1479</v>
      </c>
      <c r="C11" s="9" t="s">
        <v>1488</v>
      </c>
      <c r="D11" s="8" t="str">
        <f t="shared" si="0"/>
        <v>1. Gutachter</v>
      </c>
      <c r="E11" s="23" t="s">
        <v>1489</v>
      </c>
      <c r="F11" s="2" t="s">
        <v>1706</v>
      </c>
    </row>
    <row r="12" spans="1:6" ht="111.75" hidden="1">
      <c r="A12" s="7">
        <f>ROW()</f>
        <v>12</v>
      </c>
      <c r="B12" s="8" t="s">
        <v>1479</v>
      </c>
      <c r="C12" s="9" t="s">
        <v>1488</v>
      </c>
      <c r="D12" s="8" t="str">
        <f t="shared" si="0"/>
        <v xml:space="preserve">2. Überprüfung  </v>
      </c>
      <c r="E12" s="23" t="s">
        <v>1490</v>
      </c>
      <c r="F12" s="2" t="s">
        <v>1707</v>
      </c>
    </row>
    <row r="13" spans="1:6" ht="291.75" hidden="1">
      <c r="A13" s="7">
        <f>ROW()</f>
        <v>13</v>
      </c>
      <c r="B13" s="8" t="s">
        <v>1479</v>
      </c>
      <c r="C13" s="8" t="s">
        <v>1459</v>
      </c>
      <c r="D13" s="8" t="str">
        <f t="shared" si="0"/>
        <v>1. Berechnungsmethode bzw. Rentenformel</v>
      </c>
      <c r="E13" s="23" t="s">
        <v>1492</v>
      </c>
      <c r="F13" s="2" t="s">
        <v>1708</v>
      </c>
    </row>
    <row r="14" spans="1:6" ht="343.5" hidden="1">
      <c r="A14" s="7">
        <f>ROW()</f>
        <v>14</v>
      </c>
      <c r="B14" s="8" t="s">
        <v>1479</v>
      </c>
      <c r="C14" s="8" t="s">
        <v>1459</v>
      </c>
      <c r="D14" s="8" t="str">
        <f t="shared" si="0"/>
        <v>2. Referenzeinkommen bzw. Berechnungsgrundlage</v>
      </c>
      <c r="E14" s="23" t="s">
        <v>1493</v>
      </c>
      <c r="F14" s="2" t="s">
        <v>1709</v>
      </c>
    </row>
    <row r="15" spans="1:6" ht="226.5" hidden="1">
      <c r="A15" s="7">
        <f>ROW()</f>
        <v>15</v>
      </c>
      <c r="B15" s="8" t="s">
        <v>1479</v>
      </c>
      <c r="C15" s="8" t="s">
        <v>1459</v>
      </c>
      <c r="D15" s="8" t="str">
        <f t="shared" si="0"/>
        <v>3. Mindest- und Höchstleistungen</v>
      </c>
      <c r="E15" s="23" t="s">
        <v>1495</v>
      </c>
      <c r="F15" s="2" t="s">
        <v>1710</v>
      </c>
    </row>
    <row r="16" spans="1:6" ht="405" hidden="1">
      <c r="A16" s="7">
        <f>ROW()</f>
        <v>16</v>
      </c>
      <c r="B16" s="8" t="s">
        <v>1479</v>
      </c>
      <c r="C16" s="8" t="s">
        <v>1459</v>
      </c>
      <c r="D16" s="8" t="str">
        <f t="shared" si="0"/>
        <v>4. Anrechenbare oder als Beitragszeiten gewertete Zeiträume</v>
      </c>
      <c r="E16" s="23" t="s">
        <v>1496</v>
      </c>
      <c r="F16" s="2" t="s">
        <v>1711</v>
      </c>
    </row>
    <row r="17" spans="1:6" ht="250.5" hidden="1">
      <c r="A17" s="7">
        <f>ROW()</f>
        <v>17</v>
      </c>
      <c r="B17" s="8" t="s">
        <v>1479</v>
      </c>
      <c r="C17" s="8" t="s">
        <v>1459</v>
      </c>
      <c r="D17" s="8" t="str">
        <f t="shared" si="0"/>
        <v xml:space="preserve">5. Zulagen für Unterhaltsberechtigte  </v>
      </c>
      <c r="E17" s="23" t="s">
        <v>1498</v>
      </c>
      <c r="F17" s="2" t="s">
        <v>1441</v>
      </c>
    </row>
    <row r="18" spans="1:6" ht="135" hidden="1">
      <c r="A18" s="7">
        <f>ROW()</f>
        <v>18</v>
      </c>
      <c r="B18" s="8" t="s">
        <v>1479</v>
      </c>
      <c r="C18" s="8" t="str">
        <f>+E18</f>
        <v>Sonstige Leistungen</v>
      </c>
      <c r="D18" s="8" t="str">
        <f>+E18</f>
        <v>Sonstige Leistungen</v>
      </c>
      <c r="E18" s="22" t="s">
        <v>1455</v>
      </c>
      <c r="F18" s="2" t="s">
        <v>1712</v>
      </c>
    </row>
    <row r="19" spans="1:6" ht="300.75" hidden="1">
      <c r="A19" s="7">
        <f>ROW()</f>
        <v>19</v>
      </c>
      <c r="B19" s="8" t="s">
        <v>1479</v>
      </c>
      <c r="C19" s="8" t="s">
        <v>1500</v>
      </c>
      <c r="D19" s="8" t="str">
        <f t="shared" si="0"/>
        <v>Umschulung, berufsbezogene Rehabilitation</v>
      </c>
      <c r="E19" s="23" t="s">
        <v>1501</v>
      </c>
      <c r="F19" s="2" t="s">
        <v>1713</v>
      </c>
    </row>
    <row r="20" spans="1:6" ht="409.5" hidden="1">
      <c r="A20" s="7">
        <f>ROW()</f>
        <v>20</v>
      </c>
      <c r="B20" s="8" t="s">
        <v>1479</v>
      </c>
      <c r="C20" s="8" t="s">
        <v>1500</v>
      </c>
      <c r="D20" s="8" t="str">
        <f t="shared" si="0"/>
        <v xml:space="preserve">Bevorzugte und reservierte Beschäftigung von Menschen mit Behinderungen  </v>
      </c>
      <c r="E20" s="23" t="s">
        <v>1502</v>
      </c>
      <c r="F20" s="2" t="s">
        <v>1714</v>
      </c>
    </row>
    <row r="21" spans="1:6" ht="171.75" hidden="1">
      <c r="A21" s="7">
        <f>ROW()</f>
        <v>21</v>
      </c>
      <c r="B21" s="8" t="s">
        <v>1479</v>
      </c>
      <c r="C21" s="8" t="s">
        <v>1504</v>
      </c>
      <c r="D21" s="8" t="str">
        <f t="shared" si="0"/>
        <v>Indexbindung/Anpassung</v>
      </c>
      <c r="E21" s="22" t="s">
        <v>1505</v>
      </c>
      <c r="F21" s="2" t="s">
        <v>1715</v>
      </c>
    </row>
    <row r="22" spans="1:6" ht="242.25" hidden="1">
      <c r="A22" s="7">
        <f>ROW()</f>
        <v>22</v>
      </c>
      <c r="B22" s="8" t="s">
        <v>1479</v>
      </c>
      <c r="C22" s="8" t="s">
        <v>1504</v>
      </c>
      <c r="D22" s="8" t="str">
        <f>+E22</f>
        <v>Kumulation mit Erwerbseinkommen</v>
      </c>
      <c r="E22" s="22" t="s">
        <v>1471</v>
      </c>
      <c r="F22" s="2" t="s">
        <v>1716</v>
      </c>
    </row>
    <row r="23" spans="1:6" ht="275.25" hidden="1">
      <c r="A23" s="7">
        <f>ROW()</f>
        <v>23</v>
      </c>
      <c r="B23" s="8" t="s">
        <v>1479</v>
      </c>
      <c r="C23" s="8" t="s">
        <v>1504</v>
      </c>
      <c r="D23" s="8" t="str">
        <f t="shared" si="0"/>
        <v>Kumulation mit anderen Sozialleistungen</v>
      </c>
      <c r="E23" s="22" t="s">
        <v>1460</v>
      </c>
      <c r="F23" s="2" t="s">
        <v>1717</v>
      </c>
    </row>
    <row r="24" spans="1:6" ht="232.5" hidden="1">
      <c r="A24" s="7">
        <f>ROW()</f>
        <v>24</v>
      </c>
      <c r="B24" s="8" t="s">
        <v>1479</v>
      </c>
      <c r="C24" s="8" t="s">
        <v>1465</v>
      </c>
      <c r="D24" s="8" t="str">
        <f t="shared" si="0"/>
        <v>1. Besteuerung von Geldleistungen</v>
      </c>
      <c r="E24" s="23" t="s">
        <v>1509</v>
      </c>
      <c r="F24" s="2" t="s">
        <v>1718</v>
      </c>
    </row>
    <row r="25" spans="1:6" ht="387" hidden="1">
      <c r="A25" s="7">
        <f>ROW()</f>
        <v>25</v>
      </c>
      <c r="B25" s="8" t="s">
        <v>1479</v>
      </c>
      <c r="C25" s="8" t="s">
        <v>1465</v>
      </c>
      <c r="D25" s="8" t="str">
        <f t="shared" si="0"/>
        <v>2. Einkommensgrenze für Besteuerung von Geldleistungen</v>
      </c>
      <c r="E25" s="23" t="s">
        <v>1511</v>
      </c>
      <c r="F25" s="2" t="s">
        <v>660</v>
      </c>
    </row>
    <row r="26" spans="1:6" ht="288.75" hidden="1">
      <c r="A26" s="7">
        <f>ROW()</f>
        <v>26</v>
      </c>
      <c r="B26" s="8" t="s">
        <v>1479</v>
      </c>
      <c r="C26" s="8" t="s">
        <v>1465</v>
      </c>
      <c r="D26" s="8" t="str">
        <f t="shared" si="0"/>
        <v>3. Auf Leistungen anfallende Sozialabgaben</v>
      </c>
      <c r="E26" s="23" t="s">
        <v>1512</v>
      </c>
      <c r="F26" s="2" t="s">
        <v>673</v>
      </c>
    </row>
    <row r="27" spans="1:6" ht="138" hidden="1">
      <c r="A27" s="7">
        <f>ROW()</f>
        <v>27</v>
      </c>
      <c r="B27" s="8" t="s">
        <v>1479</v>
      </c>
      <c r="C27" s="8" t="s">
        <v>1514</v>
      </c>
      <c r="D27" s="8" t="str">
        <f t="shared" si="0"/>
        <v>Anwendungsbereich</v>
      </c>
      <c r="E27" s="23" t="s">
        <v>1467</v>
      </c>
      <c r="F27" s="2" t="s">
        <v>707</v>
      </c>
    </row>
    <row r="28" spans="1:6" ht="110.25" hidden="1">
      <c r="A28" s="7">
        <f>ROW()</f>
        <v>28</v>
      </c>
      <c r="B28" s="8" t="s">
        <v>1479</v>
      </c>
      <c r="C28" s="8" t="s">
        <v>1514</v>
      </c>
      <c r="D28" s="8" t="str">
        <f t="shared" si="0"/>
        <v>Grundprinzipien</v>
      </c>
      <c r="E28" s="23" t="s">
        <v>1468</v>
      </c>
      <c r="F28" s="2" t="s">
        <v>733</v>
      </c>
    </row>
    <row r="29" spans="1:6" ht="224.25" hidden="1">
      <c r="A29" s="7">
        <f>ROW()</f>
        <v>29</v>
      </c>
      <c r="B29" s="8" t="s">
        <v>1479</v>
      </c>
      <c r="C29" s="8" t="s">
        <v>1514</v>
      </c>
      <c r="D29" s="8" t="str">
        <f t="shared" si="0"/>
        <v>Voraussetzungen für die Deckung</v>
      </c>
      <c r="E29" s="23" t="s">
        <v>1469</v>
      </c>
      <c r="F29" s="2" t="s">
        <v>1719</v>
      </c>
    </row>
    <row r="30" spans="1:6" ht="409.5" hidden="1">
      <c r="A30" s="7">
        <f>ROW()</f>
        <v>30</v>
      </c>
      <c r="B30" s="8" t="s">
        <v>1479</v>
      </c>
      <c r="C30" s="8" t="s">
        <v>1514</v>
      </c>
      <c r="D30" s="9" t="str">
        <f t="shared" si="0"/>
        <v>Kombination von selbstständiger und unselbstständiger Tätigkeit</v>
      </c>
      <c r="E30" s="23" t="s">
        <v>1462</v>
      </c>
      <c r="F30" s="2" t="s">
        <v>780</v>
      </c>
    </row>
    <row r="31" spans="1:6" ht="376.5" hidden="1">
      <c r="A31" s="7">
        <f>ROW()</f>
        <v>31</v>
      </c>
      <c r="B31" s="8" t="s">
        <v>1479</v>
      </c>
      <c r="C31" s="8" t="s">
        <v>1459</v>
      </c>
      <c r="D31" s="9" t="str">
        <f t="shared" si="0"/>
        <v xml:space="preserve">Voraussetzungen für den Zugang zu Diensten/Leistungen </v>
      </c>
      <c r="E31" s="23" t="s">
        <v>1463</v>
      </c>
      <c r="F31" s="2" t="s">
        <v>787</v>
      </c>
    </row>
    <row r="32" spans="1:6" ht="253.5" hidden="1">
      <c r="A32" s="7">
        <f>ROW()</f>
        <v>32</v>
      </c>
      <c r="B32" s="8" t="s">
        <v>1479</v>
      </c>
      <c r="C32" s="8" t="s">
        <v>1459</v>
      </c>
      <c r="D32" s="8" t="str">
        <f t="shared" si="0"/>
        <v>Beträge, Dauer und Kostenbeteiligung</v>
      </c>
      <c r="E32" s="23" t="s">
        <v>1464</v>
      </c>
      <c r="F32" s="2" t="s">
        <v>787</v>
      </c>
    </row>
    <row r="33" spans="1:6" ht="216" hidden="1">
      <c r="A33" s="7">
        <f>ROW()</f>
        <v>33</v>
      </c>
      <c r="B33" s="8" t="s">
        <v>1479</v>
      </c>
      <c r="C33" s="8" t="s">
        <v>1459</v>
      </c>
      <c r="D33" s="8" t="str">
        <f t="shared" si="0"/>
        <v>Besteuerung von Geldleistungen</v>
      </c>
      <c r="E33" s="23" t="s">
        <v>1456</v>
      </c>
      <c r="F33" s="2" t="s">
        <v>787</v>
      </c>
    </row>
    <row r="34" spans="1:6" ht="276.75" hidden="1">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55</v>
      </c>
    </row>
    <row r="36" spans="1:6" ht="255">
      <c r="A36" s="7">
        <f>ROW()</f>
        <v>36</v>
      </c>
      <c r="B36" s="8" t="s">
        <v>1519</v>
      </c>
      <c r="C36" s="8" t="str">
        <f>+D36</f>
        <v>Grundprinzipien</v>
      </c>
      <c r="D36" s="8" t="str">
        <f>+E36</f>
        <v>Grundprinzipien</v>
      </c>
      <c r="E36" s="22" t="s">
        <v>1468</v>
      </c>
      <c r="F36" s="2" t="s">
        <v>79</v>
      </c>
    </row>
    <row r="37" spans="1:6" ht="270">
      <c r="A37" s="7">
        <f>ROW()</f>
        <v>37</v>
      </c>
      <c r="B37" s="8" t="s">
        <v>1519</v>
      </c>
      <c r="C37" s="8" t="s">
        <v>1467</v>
      </c>
      <c r="D37" s="8" t="str">
        <f>+E37</f>
        <v>1. Versicherte Personen</v>
      </c>
      <c r="E37" s="23" t="s">
        <v>1520</v>
      </c>
      <c r="F37" s="2" t="s">
        <v>3589</v>
      </c>
    </row>
    <row r="38" spans="1:6" ht="371.25">
      <c r="A38" s="7">
        <f>ROW()</f>
        <v>38</v>
      </c>
      <c r="B38" s="8" t="s">
        <v>1519</v>
      </c>
      <c r="C38" s="8" t="s">
        <v>1467</v>
      </c>
      <c r="D38" s="8" t="str">
        <f t="shared" ref="D38:D58" si="1">+E38</f>
        <v>2. Ausnahmen von der Deckung  der Pflichtversicherung</v>
      </c>
      <c r="E38" s="23" t="s">
        <v>1521</v>
      </c>
      <c r="F38" s="2" t="s">
        <v>124</v>
      </c>
    </row>
    <row r="39" spans="1:6" ht="194.25">
      <c r="A39" s="7">
        <f>ROW()</f>
        <v>39</v>
      </c>
      <c r="B39" s="8" t="s">
        <v>1519</v>
      </c>
      <c r="C39" s="8" t="s">
        <v>128</v>
      </c>
      <c r="D39" s="8" t="str">
        <f t="shared" si="1"/>
        <v>1. Rentenalter</v>
      </c>
      <c r="E39" s="23" t="s">
        <v>1523</v>
      </c>
      <c r="F39" s="2" t="s">
        <v>3590</v>
      </c>
    </row>
    <row r="40" spans="1:6" ht="409.5">
      <c r="A40" s="7">
        <f>ROW()</f>
        <v>40</v>
      </c>
      <c r="B40" s="8" t="s">
        <v>1519</v>
      </c>
      <c r="C40" s="8" t="s">
        <v>128</v>
      </c>
      <c r="D40" s="8" t="str">
        <f t="shared" si="1"/>
        <v>2. Anwartschaftszeit und sonstige Anspruchsvoraussetzungen für den Bezug einer Altersrente</v>
      </c>
      <c r="E40" s="23" t="s">
        <v>1524</v>
      </c>
      <c r="F40" s="2" t="s">
        <v>168</v>
      </c>
    </row>
    <row r="41" spans="1:6" ht="194.25">
      <c r="A41" s="7">
        <f>ROW()</f>
        <v>41</v>
      </c>
      <c r="B41" s="8" t="s">
        <v>1519</v>
      </c>
      <c r="C41" s="8" t="s">
        <v>128</v>
      </c>
      <c r="D41" s="8" t="str">
        <f t="shared" si="1"/>
        <v>3. Vorruhestand</v>
      </c>
      <c r="E41" s="23" t="s">
        <v>1525</v>
      </c>
      <c r="F41" s="2" t="s">
        <v>3591</v>
      </c>
    </row>
    <row r="42" spans="1:6" ht="264">
      <c r="A42" s="7">
        <f>ROW()</f>
        <v>42</v>
      </c>
      <c r="B42" s="8" t="s">
        <v>1519</v>
      </c>
      <c r="C42" s="8" t="s">
        <v>128</v>
      </c>
      <c r="D42" s="8" t="str">
        <f t="shared" si="1"/>
        <v>4. Beschwerliche und gefährliche Arbeit</v>
      </c>
      <c r="E42" s="23" t="s">
        <v>1526</v>
      </c>
      <c r="F42" s="2" t="s">
        <v>205</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249</v>
      </c>
    </row>
    <row r="45" spans="1:6" ht="349.5">
      <c r="A45" s="7">
        <f>ROW()</f>
        <v>45</v>
      </c>
      <c r="B45" s="8" t="s">
        <v>1519</v>
      </c>
      <c r="C45" s="8" t="s">
        <v>1459</v>
      </c>
      <c r="D45" s="8" t="str">
        <f t="shared" si="1"/>
        <v>2. Berechnungsmethode, Rentenformel bzw. Beträge</v>
      </c>
      <c r="E45" s="23" t="s">
        <v>1529</v>
      </c>
      <c r="F45" s="2" t="s">
        <v>266</v>
      </c>
    </row>
    <row r="46" spans="1:6" ht="343.5">
      <c r="A46" s="7">
        <f>ROW()</f>
        <v>46</v>
      </c>
      <c r="B46" s="8" t="s">
        <v>1519</v>
      </c>
      <c r="C46" s="8" t="s">
        <v>1459</v>
      </c>
      <c r="D46" s="8" t="str">
        <f t="shared" si="1"/>
        <v>3. Referenzeinkommen bzw. Berechnungsgrundlage</v>
      </c>
      <c r="E46" s="23" t="s">
        <v>1530</v>
      </c>
      <c r="F46" s="2" t="s">
        <v>292</v>
      </c>
    </row>
    <row r="47" spans="1:6" ht="405">
      <c r="A47" s="7">
        <f>ROW()</f>
        <v>47</v>
      </c>
      <c r="B47" s="8" t="s">
        <v>1519</v>
      </c>
      <c r="C47" s="8" t="s">
        <v>1459</v>
      </c>
      <c r="D47" s="8" t="str">
        <f t="shared" si="1"/>
        <v>4. Anrechenbare oder als Beitragszeiten gewertete Zeiträume</v>
      </c>
      <c r="E47" s="23" t="s">
        <v>1496</v>
      </c>
      <c r="F47" s="2" t="s">
        <v>3592</v>
      </c>
    </row>
    <row r="48" spans="1:6" ht="243.75">
      <c r="A48" s="7">
        <f>ROW()</f>
        <v>48</v>
      </c>
      <c r="B48" s="8" t="s">
        <v>1519</v>
      </c>
      <c r="C48" s="8" t="s">
        <v>1459</v>
      </c>
      <c r="D48" s="8" t="str">
        <f t="shared" si="1"/>
        <v>5. Rückkauf von Versicherungszeiten</v>
      </c>
      <c r="E48" s="23" t="s">
        <v>1531</v>
      </c>
      <c r="F48" s="2" t="s">
        <v>325</v>
      </c>
    </row>
    <row r="49" spans="1:6" ht="246">
      <c r="A49" s="7">
        <f>ROW()</f>
        <v>49</v>
      </c>
      <c r="B49" s="8" t="s">
        <v>1519</v>
      </c>
      <c r="C49" s="8" t="s">
        <v>1459</v>
      </c>
      <c r="D49" s="8" t="str">
        <f t="shared" si="1"/>
        <v>6.  Zulagen für Unterhaltsberechtigte</v>
      </c>
      <c r="E49" s="23" t="s">
        <v>1631</v>
      </c>
      <c r="F49" s="2" t="s">
        <v>342</v>
      </c>
    </row>
    <row r="50" spans="1:6" ht="145.5">
      <c r="A50" s="7">
        <f>ROW()</f>
        <v>50</v>
      </c>
      <c r="B50" s="8" t="s">
        <v>1519</v>
      </c>
      <c r="C50" s="8" t="s">
        <v>1459</v>
      </c>
      <c r="D50" s="8" t="str">
        <f t="shared" si="1"/>
        <v>7. Besondere Zulagen</v>
      </c>
      <c r="E50" s="23" t="s">
        <v>1532</v>
      </c>
      <c r="F50" s="2" t="s">
        <v>364</v>
      </c>
    </row>
    <row r="51" spans="1:6" ht="360.75">
      <c r="A51" s="7">
        <f>ROW()</f>
        <v>51</v>
      </c>
      <c r="B51" s="8" t="s">
        <v>1519</v>
      </c>
      <c r="C51" s="8" t="s">
        <v>1459</v>
      </c>
      <c r="D51" s="8" t="str">
        <f t="shared" si="1"/>
        <v>8. Mindestrente und bedürftigkeitsabhängige Leistung</v>
      </c>
      <c r="E51" s="23" t="s">
        <v>1533</v>
      </c>
      <c r="F51" s="2" t="s">
        <v>391</v>
      </c>
    </row>
    <row r="52" spans="1:6" ht="101.25">
      <c r="A52" s="7">
        <f>ROW()</f>
        <v>52</v>
      </c>
      <c r="B52" s="8" t="s">
        <v>1519</v>
      </c>
      <c r="C52" s="8" t="s">
        <v>1459</v>
      </c>
      <c r="D52" s="8" t="str">
        <f t="shared" si="1"/>
        <v>9. Höchstrente</v>
      </c>
      <c r="E52" s="23" t="s">
        <v>1534</v>
      </c>
      <c r="F52" s="2" t="s">
        <v>414</v>
      </c>
    </row>
    <row r="53" spans="1:6" ht="119.25">
      <c r="A53" s="7">
        <f>ROW()</f>
        <v>53</v>
      </c>
      <c r="B53" s="8" t="s">
        <v>1519</v>
      </c>
      <c r="C53" s="8" t="s">
        <v>1459</v>
      </c>
      <c r="D53" s="8" t="str">
        <f t="shared" si="1"/>
        <v>10. Vorruhestand</v>
      </c>
      <c r="E53" s="23" t="s">
        <v>1535</v>
      </c>
      <c r="F53" s="2" t="s">
        <v>442</v>
      </c>
    </row>
    <row r="54" spans="1:6" ht="272.25">
      <c r="A54" s="7">
        <f>ROW()</f>
        <v>54</v>
      </c>
      <c r="B54" s="8" t="s">
        <v>1519</v>
      </c>
      <c r="C54" s="8" t="s">
        <v>1459</v>
      </c>
      <c r="D54" s="8" t="str">
        <f t="shared" si="1"/>
        <v>11. Beschwerliche und gefährliche Arbeit</v>
      </c>
      <c r="E54" s="23" t="s">
        <v>1536</v>
      </c>
      <c r="F54" s="2" t="s">
        <v>467</v>
      </c>
    </row>
    <row r="55" spans="1:6" ht="87.75">
      <c r="A55" s="7">
        <f>ROW()</f>
        <v>55</v>
      </c>
      <c r="B55" s="8" t="s">
        <v>1519</v>
      </c>
      <c r="C55" s="8" t="s">
        <v>1459</v>
      </c>
      <c r="D55" s="8" t="str">
        <f t="shared" si="1"/>
        <v>12. Teilrente</v>
      </c>
      <c r="E55" s="23" t="s">
        <v>1537</v>
      </c>
      <c r="F55" s="2" t="s">
        <v>486</v>
      </c>
    </row>
    <row r="56" spans="1:6" ht="171.75">
      <c r="A56" s="7">
        <f>ROW()</f>
        <v>56</v>
      </c>
      <c r="B56" s="8" t="s">
        <v>1519</v>
      </c>
      <c r="C56" s="8" t="s">
        <v>1459</v>
      </c>
      <c r="D56" s="8" t="str">
        <f t="shared" si="1"/>
        <v>13. Aufgeschobene Rente</v>
      </c>
      <c r="E56" s="23" t="s">
        <v>1632</v>
      </c>
      <c r="F56" s="2" t="s">
        <v>522</v>
      </c>
    </row>
    <row r="57" spans="1:6" ht="179.25">
      <c r="A57" s="7">
        <f>ROW()</f>
        <v>57</v>
      </c>
      <c r="B57" s="8" t="s">
        <v>1519</v>
      </c>
      <c r="C57" s="8" t="s">
        <v>1538</v>
      </c>
      <c r="D57" s="8" t="s">
        <v>1538</v>
      </c>
      <c r="E57" s="22" t="s">
        <v>1538</v>
      </c>
      <c r="F57" s="2" t="s">
        <v>550</v>
      </c>
    </row>
    <row r="58" spans="1:6" ht="246">
      <c r="A58" s="7">
        <f>ROW()</f>
        <v>58</v>
      </c>
      <c r="B58" s="8" t="s">
        <v>1519</v>
      </c>
      <c r="C58" s="8" t="s">
        <v>1538</v>
      </c>
      <c r="D58" s="8" t="str">
        <f t="shared" si="1"/>
        <v xml:space="preserve">Kumulation mit Erwerbseinkommen </v>
      </c>
      <c r="E58" s="22" t="s">
        <v>1461</v>
      </c>
      <c r="F58" s="2" t="s">
        <v>577</v>
      </c>
    </row>
    <row r="59" spans="1:6" ht="286.5">
      <c r="A59" s="7">
        <f>ROW()</f>
        <v>59</v>
      </c>
      <c r="B59" s="8" t="s">
        <v>1519</v>
      </c>
      <c r="C59" s="8" t="s">
        <v>1538</v>
      </c>
      <c r="D59" s="8" t="s">
        <v>1539</v>
      </c>
      <c r="E59" s="22" t="s">
        <v>1460</v>
      </c>
      <c r="F59" s="2" t="s">
        <v>606</v>
      </c>
    </row>
    <row r="60" spans="1:6" ht="225.75">
      <c r="A60" s="7">
        <f>ROW()</f>
        <v>60</v>
      </c>
      <c r="B60" s="8" t="s">
        <v>1519</v>
      </c>
      <c r="C60" s="8" t="s">
        <v>612</v>
      </c>
      <c r="D60" s="8" t="str">
        <f t="shared" ref="D60:D70" si="2">+E60</f>
        <v>1. Besteuerung von Renten</v>
      </c>
      <c r="E60" s="23" t="s">
        <v>1540</v>
      </c>
      <c r="F60" s="2" t="s">
        <v>633</v>
      </c>
    </row>
    <row r="61" spans="1:6" ht="335.25">
      <c r="A61" s="7">
        <f>ROW()</f>
        <v>61</v>
      </c>
      <c r="B61" s="8" t="s">
        <v>1519</v>
      </c>
      <c r="C61" s="8" t="s">
        <v>612</v>
      </c>
      <c r="D61" s="8" t="str">
        <f t="shared" si="2"/>
        <v>2. Einkommensgrenze für Besteuerung von Renten</v>
      </c>
      <c r="E61" s="23" t="s">
        <v>1541</v>
      </c>
      <c r="F61" s="2" t="s">
        <v>660</v>
      </c>
    </row>
    <row r="62" spans="1:6" ht="264">
      <c r="A62" s="7">
        <f>ROW()</f>
        <v>62</v>
      </c>
      <c r="B62" s="8" t="s">
        <v>1519</v>
      </c>
      <c r="C62" s="8" t="s">
        <v>612</v>
      </c>
      <c r="D62" s="8" t="str">
        <f t="shared" si="2"/>
        <v>3. Auf Renten anfallende Sozialabgaben</v>
      </c>
      <c r="E62" s="23" t="s">
        <v>1542</v>
      </c>
      <c r="F62" s="2" t="s">
        <v>673</v>
      </c>
    </row>
    <row r="63" spans="1:6" ht="138" hidden="1">
      <c r="A63" s="7">
        <f>ROW()</f>
        <v>63</v>
      </c>
      <c r="B63" s="8" t="s">
        <v>1543</v>
      </c>
      <c r="C63" s="8" t="str">
        <f>+E63</f>
        <v>Anwendungsbereich</v>
      </c>
      <c r="D63" s="8" t="str">
        <f t="shared" si="2"/>
        <v>Anwendungsbereich</v>
      </c>
      <c r="E63" s="23" t="s">
        <v>1467</v>
      </c>
      <c r="F63" s="2" t="s">
        <v>707</v>
      </c>
    </row>
    <row r="64" spans="1:6" ht="132.75" hidden="1">
      <c r="A64" s="7">
        <f>ROW()</f>
        <v>64</v>
      </c>
      <c r="B64" s="8" t="s">
        <v>1543</v>
      </c>
      <c r="C64" s="8" t="s">
        <v>1514</v>
      </c>
      <c r="D64" s="8" t="str">
        <f t="shared" si="2"/>
        <v>Grundprinzipien</v>
      </c>
      <c r="E64" s="23" t="s">
        <v>1468</v>
      </c>
      <c r="F64" s="2" t="s">
        <v>733</v>
      </c>
    </row>
    <row r="65" spans="1:6" ht="224.25" hidden="1">
      <c r="A65" s="7">
        <f>ROW()</f>
        <v>65</v>
      </c>
      <c r="B65" s="8" t="s">
        <v>1543</v>
      </c>
      <c r="C65" s="8" t="s">
        <v>1514</v>
      </c>
      <c r="D65" s="8" t="str">
        <f t="shared" si="2"/>
        <v>Voraussetzungen für die Deckung</v>
      </c>
      <c r="E65" s="23" t="s">
        <v>1469</v>
      </c>
      <c r="F65" s="2" t="s">
        <v>759</v>
      </c>
    </row>
    <row r="66" spans="1:6" ht="409.5" hidden="1">
      <c r="A66" s="7">
        <f>ROW()</f>
        <v>66</v>
      </c>
      <c r="B66" s="8" t="s">
        <v>1543</v>
      </c>
      <c r="C66" s="8" t="s">
        <v>1514</v>
      </c>
      <c r="D66" s="8" t="str">
        <f t="shared" si="2"/>
        <v>Kombination von selbstständiger und unselbstständiger Tätigkeit</v>
      </c>
      <c r="E66" s="23" t="s">
        <v>1462</v>
      </c>
      <c r="F66" s="2" t="s">
        <v>780</v>
      </c>
    </row>
    <row r="67" spans="1:6" ht="376.5" hidden="1">
      <c r="A67" s="7">
        <f>ROW()</f>
        <v>67</v>
      </c>
      <c r="B67" s="8" t="s">
        <v>1543</v>
      </c>
      <c r="C67" s="8" t="s">
        <v>1459</v>
      </c>
      <c r="D67" s="9" t="str">
        <f t="shared" si="2"/>
        <v xml:space="preserve">Voraussetzungen für den Zugang zu Diensten/Leistungen </v>
      </c>
      <c r="E67" s="23" t="s">
        <v>1463</v>
      </c>
      <c r="F67" s="2" t="s">
        <v>787</v>
      </c>
    </row>
    <row r="68" spans="1:6" ht="253.5" hidden="1">
      <c r="A68" s="7">
        <f>ROW()</f>
        <v>68</v>
      </c>
      <c r="B68" s="8" t="s">
        <v>1543</v>
      </c>
      <c r="C68" s="8" t="s">
        <v>1459</v>
      </c>
      <c r="D68" s="9" t="str">
        <f t="shared" si="2"/>
        <v>Beträge, Dauer und Kostenbeteiligung</v>
      </c>
      <c r="E68" s="23" t="s">
        <v>1464</v>
      </c>
      <c r="F68" s="2" t="s">
        <v>787</v>
      </c>
    </row>
    <row r="69" spans="1:6" ht="216" hidden="1">
      <c r="A69" s="7">
        <f>ROW()</f>
        <v>69</v>
      </c>
      <c r="B69" s="8" t="s">
        <v>1543</v>
      </c>
      <c r="C69" s="8" t="s">
        <v>1459</v>
      </c>
      <c r="D69" s="9" t="str">
        <f t="shared" si="2"/>
        <v>Besteuerung von Geldleistungen</v>
      </c>
      <c r="E69" s="23" t="s">
        <v>1456</v>
      </c>
      <c r="F69" s="2" t="s">
        <v>787</v>
      </c>
    </row>
    <row r="70" spans="1:6" ht="272.25" hidden="1">
      <c r="A70" s="7">
        <f>ROW()</f>
        <v>70</v>
      </c>
      <c r="B70" s="8" t="s">
        <v>1543</v>
      </c>
      <c r="C70" s="8" t="s">
        <v>1459</v>
      </c>
      <c r="D70" s="9" t="str">
        <f t="shared" si="2"/>
        <v>Auf Leistungen anfallende Sozialabgaben</v>
      </c>
      <c r="E70" s="23" t="s">
        <v>1457</v>
      </c>
      <c r="F70" s="2" t="s">
        <v>787</v>
      </c>
    </row>
    <row r="71" spans="1:6" ht="177" hidden="1">
      <c r="A71" s="7">
        <f>ROW()</f>
        <v>71</v>
      </c>
      <c r="B71" s="8" t="s">
        <v>1466</v>
      </c>
      <c r="C71" s="8" t="str">
        <f t="shared" ref="C71:D75" si="3">+D71</f>
        <v>Geltende Rechtsgrundlage</v>
      </c>
      <c r="D71" s="9" t="str">
        <f t="shared" si="3"/>
        <v>Geltende Rechtsgrundlage</v>
      </c>
      <c r="E71" s="22" t="s">
        <v>1472</v>
      </c>
      <c r="F71" s="2" t="s">
        <v>854</v>
      </c>
    </row>
    <row r="72" spans="1:6" ht="110.25" hidden="1">
      <c r="A72" s="7">
        <f>ROW()</f>
        <v>72</v>
      </c>
      <c r="B72" s="8" t="s">
        <v>1466</v>
      </c>
      <c r="C72" s="8" t="str">
        <f t="shared" si="3"/>
        <v>Grundprinzipien</v>
      </c>
      <c r="D72" s="9" t="str">
        <f t="shared" si="3"/>
        <v>Grundprinzipien</v>
      </c>
      <c r="E72" s="22" t="s">
        <v>1468</v>
      </c>
      <c r="F72" s="2" t="s">
        <v>880</v>
      </c>
    </row>
    <row r="73" spans="1:6" ht="315" hidden="1">
      <c r="A73" s="7">
        <f>ROW()</f>
        <v>73</v>
      </c>
      <c r="B73" s="8" t="s">
        <v>1466</v>
      </c>
      <c r="C73" s="9" t="str">
        <f t="shared" si="3"/>
        <v>Anwendungsbereich (in Bezug auf Verstorbene)</v>
      </c>
      <c r="D73" s="9" t="str">
        <f t="shared" si="3"/>
        <v>Anwendungsbereich (in Bezug auf Verstorbene)</v>
      </c>
      <c r="E73" s="22" t="s">
        <v>1473</v>
      </c>
      <c r="F73" s="2" t="s">
        <v>904</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917</v>
      </c>
    </row>
    <row r="75" spans="1:6" ht="144.75" hidden="1">
      <c r="A75" s="7">
        <f>ROW()</f>
        <v>75</v>
      </c>
      <c r="B75" s="8" t="s">
        <v>1466</v>
      </c>
      <c r="C75" s="9" t="str">
        <f t="shared" si="3"/>
        <v>Berechtigte Personen</v>
      </c>
      <c r="D75" s="9" t="str">
        <f t="shared" si="3"/>
        <v>Berechtigte Personen</v>
      </c>
      <c r="E75" s="22" t="s">
        <v>1477</v>
      </c>
      <c r="F75" s="2" t="s">
        <v>938</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964</v>
      </c>
    </row>
    <row r="78" spans="1:6" ht="195" hidden="1">
      <c r="A78" s="7">
        <f>ROW()</f>
        <v>78</v>
      </c>
      <c r="B78" s="8" t="s">
        <v>1466</v>
      </c>
      <c r="C78" s="8" t="s">
        <v>1544</v>
      </c>
      <c r="D78" s="8" t="str">
        <f t="shared" si="4"/>
        <v>2. Hinterbliebener Ehegatte</v>
      </c>
      <c r="E78" s="23" t="s">
        <v>1546</v>
      </c>
      <c r="F78" s="2" t="s">
        <v>979</v>
      </c>
    </row>
    <row r="79" spans="1:6" ht="181.5" hidden="1">
      <c r="A79" s="7">
        <f>ROW()</f>
        <v>79</v>
      </c>
      <c r="B79" s="8" t="s">
        <v>1466</v>
      </c>
      <c r="C79" s="8" t="s">
        <v>1544</v>
      </c>
      <c r="D79" s="8" t="str">
        <f t="shared" si="4"/>
        <v>3. Geschiedener Ehegatte</v>
      </c>
      <c r="E79" s="23" t="s">
        <v>1547</v>
      </c>
      <c r="F79" s="2" t="s">
        <v>1001</v>
      </c>
    </row>
    <row r="80" spans="1:6" ht="216" hidden="1">
      <c r="A80" s="7">
        <f>ROW()</f>
        <v>80</v>
      </c>
      <c r="B80" s="8" t="s">
        <v>1466</v>
      </c>
      <c r="C80" s="8" t="s">
        <v>1544</v>
      </c>
      <c r="D80" s="8" t="str">
        <f t="shared" si="4"/>
        <v>4. Hinterbliebene Lebenspartner</v>
      </c>
      <c r="E80" s="23" t="s">
        <v>1548</v>
      </c>
      <c r="F80" s="2" t="s">
        <v>1012</v>
      </c>
    </row>
    <row r="81" spans="1:6" ht="181.5" hidden="1">
      <c r="A81" s="7">
        <f>ROW()</f>
        <v>81</v>
      </c>
      <c r="B81" s="8" t="s">
        <v>1466</v>
      </c>
      <c r="C81" s="8" t="s">
        <v>1544</v>
      </c>
      <c r="D81" s="8" t="str">
        <f t="shared" si="4"/>
        <v>5. Kinder</v>
      </c>
      <c r="E81" s="23" t="s">
        <v>1549</v>
      </c>
      <c r="F81" s="2" t="s">
        <v>1047</v>
      </c>
    </row>
    <row r="82" spans="1:6" ht="181.5" hidden="1">
      <c r="A82" s="7">
        <f>ROW()</f>
        <v>82</v>
      </c>
      <c r="B82" s="8" t="s">
        <v>1466</v>
      </c>
      <c r="C82" s="8" t="s">
        <v>1544</v>
      </c>
      <c r="D82" s="8" t="str">
        <f t="shared" si="4"/>
        <v>6. Andere Personen</v>
      </c>
      <c r="E82" s="23" t="s">
        <v>1550</v>
      </c>
      <c r="F82" s="2" t="s">
        <v>282</v>
      </c>
    </row>
    <row r="83" spans="1:6" ht="409.5" hidden="1">
      <c r="A83" s="7">
        <f>ROW()</f>
        <v>83</v>
      </c>
      <c r="B83" s="8" t="s">
        <v>1466</v>
      </c>
      <c r="C83" s="8" t="s">
        <v>1459</v>
      </c>
      <c r="D83" s="9" t="str">
        <f t="shared" si="4"/>
        <v>1. Hinterbliebener Ehegatte, geschiedener Ehegatte, hinterbliebene Lebenspartner</v>
      </c>
      <c r="E83" s="23" t="s">
        <v>1551</v>
      </c>
      <c r="F83" s="2" t="s">
        <v>1079</v>
      </c>
    </row>
    <row r="84" spans="1:6" ht="280.5" hidden="1">
      <c r="A84" s="7">
        <f>ROW()</f>
        <v>84</v>
      </c>
      <c r="B84" s="8" t="s">
        <v>1466</v>
      </c>
      <c r="C84" s="8" t="s">
        <v>1459</v>
      </c>
      <c r="D84" s="9" t="str">
        <f t="shared" si="4"/>
        <v>2. Hinterbliebener Ehegatte: Wiederheirat</v>
      </c>
      <c r="E84" s="23" t="s">
        <v>1552</v>
      </c>
      <c r="F84" s="2" t="s">
        <v>1106</v>
      </c>
    </row>
    <row r="85" spans="1:6" ht="135" hidden="1">
      <c r="A85" s="7">
        <f>ROW()</f>
        <v>85</v>
      </c>
      <c r="B85" s="8" t="s">
        <v>1466</v>
      </c>
      <c r="C85" s="8" t="s">
        <v>1459</v>
      </c>
      <c r="D85" s="9" t="str">
        <f t="shared" si="4"/>
        <v>3. Kinder</v>
      </c>
      <c r="E85" s="23" t="s">
        <v>1553</v>
      </c>
      <c r="F85" s="2" t="s">
        <v>1126</v>
      </c>
    </row>
    <row r="86" spans="1:6" ht="147" hidden="1">
      <c r="A86" s="7">
        <f>ROW()</f>
        <v>86</v>
      </c>
      <c r="B86" s="8" t="s">
        <v>1466</v>
      </c>
      <c r="C86" s="8" t="s">
        <v>1459</v>
      </c>
      <c r="D86" s="9" t="str">
        <f t="shared" si="4"/>
        <v>4. Andere Berechtigte</v>
      </c>
      <c r="E86" s="23" t="s">
        <v>1554</v>
      </c>
      <c r="F86" s="2" t="s">
        <v>282</v>
      </c>
    </row>
    <row r="87" spans="1:6" ht="381" hidden="1">
      <c r="A87" s="7">
        <f>ROW()</f>
        <v>87</v>
      </c>
      <c r="B87" s="8" t="s">
        <v>1466</v>
      </c>
      <c r="C87" s="8" t="s">
        <v>1459</v>
      </c>
      <c r="D87" s="9" t="str">
        <f t="shared" si="4"/>
        <v xml:space="preserve"> 5. Höchster zahlbarer Gesamtbetrag für alle Berechtigten</v>
      </c>
      <c r="E87" s="23" t="s">
        <v>1555</v>
      </c>
      <c r="F87" s="2" t="s">
        <v>1163</v>
      </c>
    </row>
    <row r="88" spans="1:6" ht="151.5" hidden="1">
      <c r="A88" s="7">
        <f>ROW()</f>
        <v>88</v>
      </c>
      <c r="B88" s="8" t="s">
        <v>1466</v>
      </c>
      <c r="C88" s="8" t="s">
        <v>1459</v>
      </c>
      <c r="D88" s="9" t="str">
        <f t="shared" si="4"/>
        <v>6. Sonstige Leistungen</v>
      </c>
      <c r="E88" s="23" t="s">
        <v>1556</v>
      </c>
      <c r="F88" s="2" t="s">
        <v>1186</v>
      </c>
    </row>
    <row r="89" spans="1:6" ht="126.75" hidden="1">
      <c r="A89" s="7">
        <f>ROW()</f>
        <v>89</v>
      </c>
      <c r="B89" s="8" t="s">
        <v>1466</v>
      </c>
      <c r="C89" s="8" t="s">
        <v>1459</v>
      </c>
      <c r="D89" s="9" t="str">
        <f>+E89</f>
        <v>7. Mindestleistung</v>
      </c>
      <c r="E89" s="23" t="s">
        <v>1557</v>
      </c>
      <c r="F89" s="2" t="s">
        <v>372</v>
      </c>
    </row>
    <row r="90" spans="1:6" ht="122.25" hidden="1">
      <c r="A90" s="7">
        <f>ROW()</f>
        <v>90</v>
      </c>
      <c r="B90" s="8" t="s">
        <v>1466</v>
      </c>
      <c r="C90" s="8" t="s">
        <v>1459</v>
      </c>
      <c r="D90" s="9" t="str">
        <f t="shared" si="4"/>
        <v xml:space="preserve"> 8. Höchstleistung</v>
      </c>
      <c r="E90" s="23" t="s">
        <v>1558</v>
      </c>
      <c r="F90" s="2" t="s">
        <v>396</v>
      </c>
    </row>
    <row r="91" spans="1:6" ht="179.25" hidden="1">
      <c r="A91" s="7">
        <f>ROW()</f>
        <v>91</v>
      </c>
      <c r="B91" s="8" t="s">
        <v>1466</v>
      </c>
      <c r="C91" s="8" t="s">
        <v>1538</v>
      </c>
      <c r="D91" s="9" t="str">
        <f>+C91</f>
        <v>Indexbindung / Anpassung</v>
      </c>
      <c r="E91" s="22" t="s">
        <v>1538</v>
      </c>
      <c r="F91" s="2" t="s">
        <v>1257</v>
      </c>
    </row>
    <row r="92" spans="1:6" ht="242.25" hidden="1">
      <c r="A92" s="7">
        <f>ROW()</f>
        <v>92</v>
      </c>
      <c r="B92" s="8" t="s">
        <v>1466</v>
      </c>
      <c r="C92" s="8" t="s">
        <v>1538</v>
      </c>
      <c r="D92" s="9" t="str">
        <f t="shared" ref="D92:D105" si="5">+E92</f>
        <v>Kumulation mit Erwerbseinkommen</v>
      </c>
      <c r="E92" s="22" t="s">
        <v>1471</v>
      </c>
      <c r="F92" s="2" t="s">
        <v>1281</v>
      </c>
    </row>
    <row r="93" spans="1:6" ht="275.25" hidden="1">
      <c r="A93" s="7">
        <f>ROW()</f>
        <v>93</v>
      </c>
      <c r="B93" s="8" t="s">
        <v>1466</v>
      </c>
      <c r="C93" s="8" t="s">
        <v>1538</v>
      </c>
      <c r="D93" s="9" t="str">
        <f t="shared" si="5"/>
        <v>Kumulation mit anderen Sozialleistungen</v>
      </c>
      <c r="E93" s="22" t="s">
        <v>1460</v>
      </c>
      <c r="F93" s="2" t="s">
        <v>1310</v>
      </c>
    </row>
    <row r="94" spans="1:6" ht="232.5" hidden="1">
      <c r="A94" s="7">
        <f>ROW()</f>
        <v>94</v>
      </c>
      <c r="B94" s="8" t="s">
        <v>1466</v>
      </c>
      <c r="C94" s="9" t="s">
        <v>1465</v>
      </c>
      <c r="D94" s="9" t="str">
        <f t="shared" si="5"/>
        <v>1. Besteuerung von Geldleistungen</v>
      </c>
      <c r="E94" s="23" t="s">
        <v>1509</v>
      </c>
      <c r="F94" s="2" t="s">
        <v>1317</v>
      </c>
    </row>
    <row r="95" spans="1:6" ht="387" hidden="1">
      <c r="A95" s="7">
        <f>ROW()</f>
        <v>95</v>
      </c>
      <c r="B95" s="8" t="s">
        <v>1466</v>
      </c>
      <c r="C95" s="9" t="s">
        <v>1465</v>
      </c>
      <c r="D95" s="9" t="str">
        <f t="shared" si="5"/>
        <v>2. Einkommensgrenze für Besteuerung von Geldleistungen</v>
      </c>
      <c r="E95" s="23" t="s">
        <v>1511</v>
      </c>
      <c r="F95" s="2" t="s">
        <v>1354</v>
      </c>
    </row>
    <row r="96" spans="1:6" ht="288.75" hidden="1">
      <c r="A96" s="7">
        <f>ROW()</f>
        <v>96</v>
      </c>
      <c r="B96" s="8" t="s">
        <v>1466</v>
      </c>
      <c r="C96" s="9" t="s">
        <v>1465</v>
      </c>
      <c r="D96" s="9" t="str">
        <f t="shared" si="5"/>
        <v>3. Auf Leistungen anfallende Sozialabgaben</v>
      </c>
      <c r="E96" s="23" t="s">
        <v>1512</v>
      </c>
      <c r="F96" s="2" t="s">
        <v>669</v>
      </c>
    </row>
    <row r="97" spans="1:6" ht="138" hidden="1">
      <c r="A97" s="7">
        <f>ROW()</f>
        <v>97</v>
      </c>
      <c r="B97" s="8" t="s">
        <v>1466</v>
      </c>
      <c r="C97" s="9" t="s">
        <v>1514</v>
      </c>
      <c r="D97" s="9" t="str">
        <f t="shared" si="5"/>
        <v>Anwendungsbereich</v>
      </c>
      <c r="E97" s="23" t="s">
        <v>1467</v>
      </c>
      <c r="F97" s="2" t="s">
        <v>707</v>
      </c>
    </row>
    <row r="98" spans="1:6" ht="110.25" hidden="1">
      <c r="A98" s="7">
        <f>ROW()</f>
        <v>98</v>
      </c>
      <c r="B98" s="8" t="s">
        <v>1466</v>
      </c>
      <c r="C98" s="9" t="s">
        <v>1514</v>
      </c>
      <c r="D98" s="9" t="str">
        <f t="shared" si="5"/>
        <v>Grundprinzipien</v>
      </c>
      <c r="E98" s="23" t="s">
        <v>1468</v>
      </c>
      <c r="F98" s="2" t="s">
        <v>733</v>
      </c>
    </row>
    <row r="99" spans="1:6" ht="224.25" hidden="1">
      <c r="A99" s="7">
        <f>ROW()</f>
        <v>99</v>
      </c>
      <c r="B99" s="8" t="s">
        <v>1466</v>
      </c>
      <c r="C99" s="9" t="s">
        <v>1514</v>
      </c>
      <c r="D99" s="9" t="str">
        <f t="shared" si="5"/>
        <v>Voraussetzungen für die Deckung</v>
      </c>
      <c r="E99" s="23" t="s">
        <v>1469</v>
      </c>
      <c r="F99" s="2" t="s">
        <v>1411</v>
      </c>
    </row>
    <row r="100" spans="1:6" ht="409.5" hidden="1">
      <c r="A100" s="7">
        <f>ROW()</f>
        <v>100</v>
      </c>
      <c r="B100" s="8" t="s">
        <v>1466</v>
      </c>
      <c r="C100" s="9" t="s">
        <v>1514</v>
      </c>
      <c r="D100" s="9" t="str">
        <f t="shared" si="5"/>
        <v>Kombination von selbstständiger und unselbstständiger Tätigkeit</v>
      </c>
      <c r="E100" s="23" t="s">
        <v>1462</v>
      </c>
      <c r="F100" s="2" t="s">
        <v>765</v>
      </c>
    </row>
    <row r="101" spans="1:6" ht="376.5" hidden="1">
      <c r="A101" s="7">
        <f>ROW()</f>
        <v>101</v>
      </c>
      <c r="B101" s="8" t="s">
        <v>1466</v>
      </c>
      <c r="C101" s="9" t="s">
        <v>1514</v>
      </c>
      <c r="D101" s="9" t="str">
        <f t="shared" si="5"/>
        <v xml:space="preserve">Voraussetzungen für den Zugang zu Diensten/Leistungen </v>
      </c>
      <c r="E101" s="23" t="s">
        <v>1463</v>
      </c>
      <c r="F101" s="2" t="s">
        <v>787</v>
      </c>
    </row>
    <row r="102" spans="1:6" ht="253.5" hidden="1">
      <c r="A102" s="7">
        <f>ROW()</f>
        <v>102</v>
      </c>
      <c r="B102" s="8" t="s">
        <v>1466</v>
      </c>
      <c r="C102" s="9" t="s">
        <v>1514</v>
      </c>
      <c r="D102" s="9" t="str">
        <f t="shared" si="5"/>
        <v>Beträge, Dauer und Kostenbeteiligung</v>
      </c>
      <c r="E102" s="23" t="s">
        <v>1464</v>
      </c>
      <c r="F102" s="2" t="s">
        <v>787</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787</v>
      </c>
    </row>
    <row r="105" spans="1:6" ht="272.25" hidden="1">
      <c r="A105" s="7">
        <f>ROW()</f>
        <v>105</v>
      </c>
      <c r="B105" s="8" t="s">
        <v>1466</v>
      </c>
      <c r="C105" s="9" t="s">
        <v>1514</v>
      </c>
      <c r="D105" s="9" t="str">
        <f t="shared" si="5"/>
        <v>Auf Leistungen anfallende Sozialabgaben</v>
      </c>
      <c r="E105" s="23" t="s">
        <v>1457</v>
      </c>
      <c r="F105" s="2" t="s">
        <v>787</v>
      </c>
    </row>
  </sheetData>
  <sheetProtection algorithmName="SHA-512" hashValue="j3ocHphFl6aR4x98hSJebbE4AWDzEqCluDKNXtFfwQJ7CUxJ0IYbQLysj8rmA9ofOtKDkipDDyzYvDYf/dp55w==" saltValue="NBlx+SMgxNgwQl+nADwKJw==" spinCount="100000" sheet="1" objects="1" scenarios="1" formatColumns="0" autoFilter="0"/>
  <autoFilter ref="A2:F105" xr:uid="{367436D5-0E2E-4F29-9366-5DB1C7B71AF9}">
    <filterColumn colId="1">
      <filters>
        <filter val="Alter"/>
      </filters>
    </filterColumn>
  </autoFilter>
  <pageMargins left="0.7" right="0.7" top="0.78740157499999996" bottom="0.78740157499999996"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39E40-6AB2-460C-BFC2-3C09CD4B7800}">
  <sheetPr codeName="Tabelle28"/>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26</v>
      </c>
    </row>
    <row r="2" spans="1:6" ht="39.75" customHeight="1">
      <c r="A2" s="128"/>
      <c r="B2" s="129"/>
      <c r="C2" s="126"/>
      <c r="D2" s="126"/>
      <c r="E2" s="124"/>
      <c r="F2" s="162" t="str" cm="1">
        <f t="array" ref="F2">_xlfn.TEXTJOIN("; ", TRUE, IF(Entscheidungen!A2:A100=F1, Entscheidungen!B2:B100, ""))</f>
        <v/>
      </c>
    </row>
    <row r="3" spans="1:6" ht="195">
      <c r="A3" s="7">
        <f>ROW()</f>
        <v>3</v>
      </c>
      <c r="B3" s="8" t="s">
        <v>1479</v>
      </c>
      <c r="C3" s="8"/>
      <c r="D3" s="8" t="str">
        <f>+E3</f>
        <v>Geltende Rechtsgrundlage</v>
      </c>
      <c r="E3" s="21" t="s">
        <v>1472</v>
      </c>
      <c r="F3" s="2" t="s">
        <v>1678</v>
      </c>
    </row>
    <row r="4" spans="1:6" ht="110.25">
      <c r="A4" s="7">
        <f>ROW()</f>
        <v>4</v>
      </c>
      <c r="B4" s="8" t="s">
        <v>1479</v>
      </c>
      <c r="C4" s="1"/>
      <c r="D4" s="8" t="str">
        <f t="shared" ref="D4:D34" si="0">+E4</f>
        <v>Grundprinzipien</v>
      </c>
      <c r="E4" s="22" t="s">
        <v>1468</v>
      </c>
      <c r="F4" s="2" t="s">
        <v>1679</v>
      </c>
    </row>
    <row r="5" spans="1:6" ht="188.25">
      <c r="A5" s="7">
        <f>ROW()</f>
        <v>5</v>
      </c>
      <c r="B5" s="8" t="s">
        <v>1479</v>
      </c>
      <c r="C5" s="1"/>
      <c r="D5" s="8" t="str">
        <f t="shared" si="0"/>
        <v>Gedecktes Risiko: Definition</v>
      </c>
      <c r="E5" s="22" t="s">
        <v>1630</v>
      </c>
      <c r="F5" s="2" t="s">
        <v>1680</v>
      </c>
    </row>
    <row r="6" spans="1:6" ht="345">
      <c r="A6" s="7">
        <f>ROW()</f>
        <v>6</v>
      </c>
      <c r="B6" s="8" t="s">
        <v>1479</v>
      </c>
      <c r="C6" s="8" t="s">
        <v>1453</v>
      </c>
      <c r="D6" s="8" t="str">
        <f t="shared" si="0"/>
        <v>Versicherte Personen</v>
      </c>
      <c r="E6" s="23" t="s">
        <v>1453</v>
      </c>
      <c r="F6" s="2" t="s">
        <v>1681</v>
      </c>
    </row>
    <row r="7" spans="1:6" ht="273">
      <c r="A7" s="7">
        <f>ROW()</f>
        <v>7</v>
      </c>
      <c r="B7" s="8" t="s">
        <v>1479</v>
      </c>
      <c r="C7" s="8" t="str">
        <f>+E6</f>
        <v>Versicherte Personen</v>
      </c>
      <c r="D7" s="8" t="str">
        <f t="shared" si="0"/>
        <v>Ausnahmen von der Versicherungspflicht</v>
      </c>
      <c r="E7" s="23" t="s">
        <v>1458</v>
      </c>
      <c r="F7" s="2" t="s">
        <v>1682</v>
      </c>
    </row>
    <row r="8" spans="1:6" ht="194.25">
      <c r="A8" s="7">
        <f>ROW()</f>
        <v>8</v>
      </c>
      <c r="B8" s="8" t="s">
        <v>1479</v>
      </c>
      <c r="C8" s="9" t="s">
        <v>128</v>
      </c>
      <c r="D8" s="8" t="str">
        <f t="shared" si="0"/>
        <v>1. Anwartschaftszeit</v>
      </c>
      <c r="E8" s="23" t="s">
        <v>1483</v>
      </c>
      <c r="F8" s="2" t="s">
        <v>3593</v>
      </c>
    </row>
    <row r="9" spans="1:6" ht="409.5">
      <c r="A9" s="7">
        <f>ROW()</f>
        <v>9</v>
      </c>
      <c r="B9" s="8" t="s">
        <v>1479</v>
      </c>
      <c r="C9" s="9" t="s">
        <v>128</v>
      </c>
      <c r="D9" s="8" t="str">
        <f t="shared" si="0"/>
        <v xml:space="preserve">2. Begutachtungskriterien und Kategorien der Arbeitsunfähigkeit/Arbeitsfähigkeit  </v>
      </c>
      <c r="E9" s="23" t="s">
        <v>1484</v>
      </c>
      <c r="F9" s="2" t="s">
        <v>3594</v>
      </c>
    </row>
    <row r="10" spans="1:6" ht="222">
      <c r="A10" s="7">
        <f>ROW()</f>
        <v>10</v>
      </c>
      <c r="B10" s="8" t="s">
        <v>1479</v>
      </c>
      <c r="C10" s="9" t="s">
        <v>128</v>
      </c>
      <c r="D10" s="8" t="str">
        <f t="shared" si="0"/>
        <v>3. Zeitraum der Leistungszahlung</v>
      </c>
      <c r="E10" s="23" t="s">
        <v>1486</v>
      </c>
      <c r="F10" s="2" t="s">
        <v>1683</v>
      </c>
    </row>
    <row r="11" spans="1:6" ht="105">
      <c r="A11" s="7">
        <f>ROW()</f>
        <v>11</v>
      </c>
      <c r="B11" s="8" t="s">
        <v>1479</v>
      </c>
      <c r="C11" s="9" t="s">
        <v>1488</v>
      </c>
      <c r="D11" s="8" t="str">
        <f t="shared" si="0"/>
        <v>1. Gutachter</v>
      </c>
      <c r="E11" s="23" t="s">
        <v>1489</v>
      </c>
      <c r="F11" s="2" t="s">
        <v>1684</v>
      </c>
    </row>
    <row r="12" spans="1:6" ht="111.75">
      <c r="A12" s="7">
        <f>ROW()</f>
        <v>12</v>
      </c>
      <c r="B12" s="8" t="s">
        <v>1479</v>
      </c>
      <c r="C12" s="9" t="s">
        <v>1488</v>
      </c>
      <c r="D12" s="8" t="str">
        <f t="shared" si="0"/>
        <v xml:space="preserve">2. Überprüfung  </v>
      </c>
      <c r="E12" s="23" t="s">
        <v>1490</v>
      </c>
      <c r="F12" s="2" t="s">
        <v>1685</v>
      </c>
    </row>
    <row r="13" spans="1:6" ht="291.75">
      <c r="A13" s="7">
        <f>ROW()</f>
        <v>13</v>
      </c>
      <c r="B13" s="8" t="s">
        <v>1479</v>
      </c>
      <c r="C13" s="8" t="s">
        <v>1459</v>
      </c>
      <c r="D13" s="8" t="str">
        <f t="shared" si="0"/>
        <v>1. Berechnungsmethode bzw. Rentenformel</v>
      </c>
      <c r="E13" s="23" t="s">
        <v>1492</v>
      </c>
      <c r="F13" s="2" t="s">
        <v>1686</v>
      </c>
    </row>
    <row r="14" spans="1:6" ht="343.5">
      <c r="A14" s="7">
        <f>ROW()</f>
        <v>14</v>
      </c>
      <c r="B14" s="8" t="s">
        <v>1479</v>
      </c>
      <c r="C14" s="8" t="s">
        <v>1459</v>
      </c>
      <c r="D14" s="8" t="str">
        <f t="shared" si="0"/>
        <v>2. Referenzeinkommen bzw. Berechnungsgrundlage</v>
      </c>
      <c r="E14" s="23" t="s">
        <v>1493</v>
      </c>
      <c r="F14" s="2" t="s">
        <v>1687</v>
      </c>
    </row>
    <row r="15" spans="1:6" ht="226.5">
      <c r="A15" s="7">
        <f>ROW()</f>
        <v>15</v>
      </c>
      <c r="B15" s="8" t="s">
        <v>1479</v>
      </c>
      <c r="C15" s="8" t="s">
        <v>1459</v>
      </c>
      <c r="D15" s="8" t="str">
        <f t="shared" si="0"/>
        <v>3. Mindest- und Höchstleistungen</v>
      </c>
      <c r="E15" s="23" t="s">
        <v>1495</v>
      </c>
      <c r="F15" s="2" t="s">
        <v>1688</v>
      </c>
    </row>
    <row r="16" spans="1:6" ht="405">
      <c r="A16" s="7">
        <f>ROW()</f>
        <v>16</v>
      </c>
      <c r="B16" s="8" t="s">
        <v>1479</v>
      </c>
      <c r="C16" s="8" t="s">
        <v>1459</v>
      </c>
      <c r="D16" s="8" t="str">
        <f t="shared" si="0"/>
        <v>4. Anrechenbare oder als Beitragszeiten gewertete Zeiträume</v>
      </c>
      <c r="E16" s="23" t="s">
        <v>1496</v>
      </c>
      <c r="F16" s="2" t="s">
        <v>1689</v>
      </c>
    </row>
    <row r="17" spans="1:6" ht="250.5">
      <c r="A17" s="7">
        <f>ROW()</f>
        <v>17</v>
      </c>
      <c r="B17" s="8" t="s">
        <v>1479</v>
      </c>
      <c r="C17" s="8" t="s">
        <v>1459</v>
      </c>
      <c r="D17" s="8" t="str">
        <f t="shared" si="0"/>
        <v xml:space="preserve">5. Zulagen für Unterhaltsberechtigte  </v>
      </c>
      <c r="E17" s="23" t="s">
        <v>1498</v>
      </c>
      <c r="F17" s="2" t="s">
        <v>1441</v>
      </c>
    </row>
    <row r="18" spans="1:6" ht="405">
      <c r="A18" s="7">
        <f>ROW()</f>
        <v>18</v>
      </c>
      <c r="B18" s="8" t="s">
        <v>1479</v>
      </c>
      <c r="C18" s="8" t="str">
        <f>+E18</f>
        <v>Sonstige Leistungen</v>
      </c>
      <c r="D18" s="8" t="str">
        <f>+E18</f>
        <v>Sonstige Leistungen</v>
      </c>
      <c r="E18" s="22" t="s">
        <v>1455</v>
      </c>
      <c r="F18" s="2" t="s">
        <v>3595</v>
      </c>
    </row>
    <row r="19" spans="1:6" ht="300.75">
      <c r="A19" s="7">
        <f>ROW()</f>
        <v>19</v>
      </c>
      <c r="B19" s="8" t="s">
        <v>1479</v>
      </c>
      <c r="C19" s="8" t="s">
        <v>1500</v>
      </c>
      <c r="D19" s="8" t="str">
        <f t="shared" si="0"/>
        <v>Umschulung, berufsbezogene Rehabilitation</v>
      </c>
      <c r="E19" s="23" t="s">
        <v>1501</v>
      </c>
      <c r="F19" s="2" t="s">
        <v>1690</v>
      </c>
    </row>
    <row r="20" spans="1:6" ht="409.5">
      <c r="A20" s="7">
        <f>ROW()</f>
        <v>20</v>
      </c>
      <c r="B20" s="8" t="s">
        <v>1479</v>
      </c>
      <c r="C20" s="8" t="s">
        <v>1500</v>
      </c>
      <c r="D20" s="8" t="str">
        <f t="shared" si="0"/>
        <v xml:space="preserve">Bevorzugte und reservierte Beschäftigung von Menschen mit Behinderungen  </v>
      </c>
      <c r="E20" s="23" t="s">
        <v>1502</v>
      </c>
      <c r="F20" s="2" t="s">
        <v>1691</v>
      </c>
    </row>
    <row r="21" spans="1:6" ht="171.75">
      <c r="A21" s="7">
        <f>ROW()</f>
        <v>21</v>
      </c>
      <c r="B21" s="8" t="s">
        <v>1479</v>
      </c>
      <c r="C21" s="8" t="s">
        <v>1504</v>
      </c>
      <c r="D21" s="8" t="str">
        <f t="shared" si="0"/>
        <v>Indexbindung/Anpassung</v>
      </c>
      <c r="E21" s="22" t="s">
        <v>1505</v>
      </c>
      <c r="F21" s="2" t="s">
        <v>1692</v>
      </c>
    </row>
    <row r="22" spans="1:6" ht="242.25">
      <c r="A22" s="7">
        <f>ROW()</f>
        <v>22</v>
      </c>
      <c r="B22" s="8" t="s">
        <v>1479</v>
      </c>
      <c r="C22" s="8" t="s">
        <v>1504</v>
      </c>
      <c r="D22" s="8" t="str">
        <f>+E22</f>
        <v>Kumulation mit Erwerbseinkommen</v>
      </c>
      <c r="E22" s="22" t="s">
        <v>1471</v>
      </c>
      <c r="F22" s="2" t="s">
        <v>1693</v>
      </c>
    </row>
    <row r="23" spans="1:6" ht="275.25">
      <c r="A23" s="7">
        <f>ROW()</f>
        <v>23</v>
      </c>
      <c r="B23" s="8" t="s">
        <v>1479</v>
      </c>
      <c r="C23" s="8" t="s">
        <v>1504</v>
      </c>
      <c r="D23" s="8" t="str">
        <f t="shared" si="0"/>
        <v>Kumulation mit anderen Sozialleistungen</v>
      </c>
      <c r="E23" s="22" t="s">
        <v>1460</v>
      </c>
      <c r="F23" s="2" t="s">
        <v>1694</v>
      </c>
    </row>
    <row r="24" spans="1:6" ht="232.5">
      <c r="A24" s="7">
        <f>ROW()</f>
        <v>24</v>
      </c>
      <c r="B24" s="8" t="s">
        <v>1479</v>
      </c>
      <c r="C24" s="8" t="s">
        <v>1465</v>
      </c>
      <c r="D24" s="8" t="str">
        <f t="shared" si="0"/>
        <v>1. Besteuerung von Geldleistungen</v>
      </c>
      <c r="E24" s="23" t="s">
        <v>1509</v>
      </c>
      <c r="F24" s="2" t="s">
        <v>634</v>
      </c>
    </row>
    <row r="25" spans="1:6" ht="387">
      <c r="A25" s="7">
        <f>ROW()</f>
        <v>25</v>
      </c>
      <c r="B25" s="8" t="s">
        <v>1479</v>
      </c>
      <c r="C25" s="8" t="s">
        <v>1465</v>
      </c>
      <c r="D25" s="8" t="str">
        <f t="shared" si="0"/>
        <v>2. Einkommensgrenze für Besteuerung von Geldleistungen</v>
      </c>
      <c r="E25" s="23" t="s">
        <v>1511</v>
      </c>
      <c r="F25" s="2" t="s">
        <v>1695</v>
      </c>
    </row>
    <row r="26" spans="1:6" ht="288.75">
      <c r="A26" s="7">
        <f>ROW()</f>
        <v>26</v>
      </c>
      <c r="B26" s="8" t="s">
        <v>1479</v>
      </c>
      <c r="C26" s="8" t="s">
        <v>1465</v>
      </c>
      <c r="D26" s="8" t="str">
        <f t="shared" si="0"/>
        <v>3. Auf Leistungen anfallende Sozialabgaben</v>
      </c>
      <c r="E26" s="23" t="s">
        <v>1512</v>
      </c>
      <c r="F26" s="2" t="s">
        <v>1696</v>
      </c>
    </row>
    <row r="27" spans="1:6" ht="138">
      <c r="A27" s="7">
        <f>ROW()</f>
        <v>27</v>
      </c>
      <c r="B27" s="8" t="s">
        <v>1479</v>
      </c>
      <c r="C27" s="8" t="s">
        <v>1514</v>
      </c>
      <c r="D27" s="8" t="str">
        <f t="shared" si="0"/>
        <v>Anwendungsbereich</v>
      </c>
      <c r="E27" s="23" t="s">
        <v>1467</v>
      </c>
      <c r="F27" s="2" t="s">
        <v>707</v>
      </c>
    </row>
    <row r="28" spans="1:6" ht="110.25">
      <c r="A28" s="7">
        <f>ROW()</f>
        <v>28</v>
      </c>
      <c r="B28" s="8" t="s">
        <v>1479</v>
      </c>
      <c r="C28" s="8" t="s">
        <v>1514</v>
      </c>
      <c r="D28" s="8" t="str">
        <f t="shared" si="0"/>
        <v>Grundprinzipien</v>
      </c>
      <c r="E28" s="23" t="s">
        <v>1468</v>
      </c>
      <c r="F28" s="2" t="s">
        <v>1697</v>
      </c>
    </row>
    <row r="29" spans="1:6" ht="224.25">
      <c r="A29" s="7">
        <f>ROW()</f>
        <v>29</v>
      </c>
      <c r="B29" s="8" t="s">
        <v>1479</v>
      </c>
      <c r="C29" s="8" t="s">
        <v>1514</v>
      </c>
      <c r="D29" s="8" t="str">
        <f t="shared" si="0"/>
        <v>Voraussetzungen für die Deckung</v>
      </c>
      <c r="E29" s="23" t="s">
        <v>1469</v>
      </c>
      <c r="F29" s="2" t="s">
        <v>760</v>
      </c>
    </row>
    <row r="30" spans="1:6" ht="409.5">
      <c r="A30" s="7">
        <f>ROW()</f>
        <v>30</v>
      </c>
      <c r="B30" s="8" t="s">
        <v>1479</v>
      </c>
      <c r="C30" s="8" t="s">
        <v>1514</v>
      </c>
      <c r="D30" s="9" t="str">
        <f t="shared" si="0"/>
        <v>Kombination von selbstständiger und unselbstständiger Tätigkeit</v>
      </c>
      <c r="E30" s="23" t="s">
        <v>1462</v>
      </c>
      <c r="F30" s="2" t="s">
        <v>1450</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787</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56</v>
      </c>
    </row>
    <row r="36" spans="1:6" ht="110.25">
      <c r="A36" s="7">
        <f>ROW()</f>
        <v>36</v>
      </c>
      <c r="B36" s="8" t="s">
        <v>1519</v>
      </c>
      <c r="C36" s="8" t="str">
        <f>+D36</f>
        <v>Grundprinzipien</v>
      </c>
      <c r="D36" s="8" t="str">
        <f>+E36</f>
        <v>Grundprinzipien</v>
      </c>
      <c r="E36" s="22" t="s">
        <v>1468</v>
      </c>
      <c r="F36" s="2" t="s">
        <v>80</v>
      </c>
    </row>
    <row r="37" spans="1:6" ht="330">
      <c r="A37" s="7">
        <f>ROW()</f>
        <v>37</v>
      </c>
      <c r="B37" s="8" t="s">
        <v>1519</v>
      </c>
      <c r="C37" s="8" t="s">
        <v>1467</v>
      </c>
      <c r="D37" s="8" t="str">
        <f>+E37</f>
        <v>1. Versicherte Personen</v>
      </c>
      <c r="E37" s="23" t="s">
        <v>1520</v>
      </c>
      <c r="F37" s="2" t="s">
        <v>105</v>
      </c>
    </row>
    <row r="38" spans="1:6" ht="371.25">
      <c r="A38" s="7">
        <f>ROW()</f>
        <v>38</v>
      </c>
      <c r="B38" s="8" t="s">
        <v>1519</v>
      </c>
      <c r="C38" s="8" t="s">
        <v>1467</v>
      </c>
      <c r="D38" s="8" t="str">
        <f t="shared" ref="D38:D58" si="1">+E38</f>
        <v>2. Ausnahmen von der Deckung  der Pflichtversicherung</v>
      </c>
      <c r="E38" s="23" t="s">
        <v>1521</v>
      </c>
      <c r="F38" s="2" t="s">
        <v>125</v>
      </c>
    </row>
    <row r="39" spans="1:6" ht="194.25">
      <c r="A39" s="7">
        <f>ROW()</f>
        <v>39</v>
      </c>
      <c r="B39" s="8" t="s">
        <v>1519</v>
      </c>
      <c r="C39" s="8" t="s">
        <v>128</v>
      </c>
      <c r="D39" s="8" t="str">
        <f t="shared" si="1"/>
        <v>1. Rentenalter</v>
      </c>
      <c r="E39" s="23" t="s">
        <v>1523</v>
      </c>
      <c r="F39" s="2" t="s">
        <v>146</v>
      </c>
    </row>
    <row r="40" spans="1:6" ht="409.5">
      <c r="A40" s="7">
        <f>ROW()</f>
        <v>40</v>
      </c>
      <c r="B40" s="8" t="s">
        <v>1519</v>
      </c>
      <c r="C40" s="8" t="s">
        <v>128</v>
      </c>
      <c r="D40" s="8" t="str">
        <f t="shared" si="1"/>
        <v>2. Anwartschaftszeit und sonstige Anspruchsvoraussetzungen für den Bezug einer Altersrente</v>
      </c>
      <c r="E40" s="23" t="s">
        <v>1524</v>
      </c>
      <c r="F40" s="2" t="s">
        <v>169</v>
      </c>
    </row>
    <row r="41" spans="1:6" ht="194.25">
      <c r="A41" s="7">
        <f>ROW()</f>
        <v>41</v>
      </c>
      <c r="B41" s="8" t="s">
        <v>1519</v>
      </c>
      <c r="C41" s="8" t="s">
        <v>128</v>
      </c>
      <c r="D41" s="8" t="str">
        <f t="shared" si="1"/>
        <v>3. Vorruhestand</v>
      </c>
      <c r="E41" s="23" t="s">
        <v>1525</v>
      </c>
      <c r="F41" s="2" t="s">
        <v>188</v>
      </c>
    </row>
    <row r="42" spans="1:6" ht="409.5">
      <c r="A42" s="7">
        <f>ROW()</f>
        <v>42</v>
      </c>
      <c r="B42" s="8" t="s">
        <v>1519</v>
      </c>
      <c r="C42" s="8" t="s">
        <v>128</v>
      </c>
      <c r="D42" s="8" t="str">
        <f t="shared" si="1"/>
        <v>4. Beschwerliche und gefährliche Arbeit</v>
      </c>
      <c r="E42" s="23" t="s">
        <v>1526</v>
      </c>
      <c r="F42" s="2" t="s">
        <v>3596</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250</v>
      </c>
    </row>
    <row r="45" spans="1:6" ht="349.5">
      <c r="A45" s="7">
        <f>ROW()</f>
        <v>45</v>
      </c>
      <c r="B45" s="8" t="s">
        <v>1519</v>
      </c>
      <c r="C45" s="8" t="s">
        <v>1459</v>
      </c>
      <c r="D45" s="8" t="str">
        <f t="shared" si="1"/>
        <v>2. Berechnungsmethode, Rentenformel bzw. Beträge</v>
      </c>
      <c r="E45" s="23" t="s">
        <v>1529</v>
      </c>
      <c r="F45" s="2" t="s">
        <v>267</v>
      </c>
    </row>
    <row r="46" spans="1:6" ht="343.5">
      <c r="A46" s="7">
        <f>ROW()</f>
        <v>46</v>
      </c>
      <c r="B46" s="8" t="s">
        <v>1519</v>
      </c>
      <c r="C46" s="8" t="s">
        <v>1459</v>
      </c>
      <c r="D46" s="8" t="str">
        <f t="shared" si="1"/>
        <v>3. Referenzeinkommen bzw. Berechnungsgrundlage</v>
      </c>
      <c r="E46" s="23" t="s">
        <v>1530</v>
      </c>
      <c r="F46" s="2" t="s">
        <v>293</v>
      </c>
    </row>
    <row r="47" spans="1:6" ht="405">
      <c r="A47" s="7">
        <f>ROW()</f>
        <v>47</v>
      </c>
      <c r="B47" s="8" t="s">
        <v>1519</v>
      </c>
      <c r="C47" s="8" t="s">
        <v>1459</v>
      </c>
      <c r="D47" s="8" t="str">
        <f t="shared" si="1"/>
        <v>4. Anrechenbare oder als Beitragszeiten gewertete Zeiträume</v>
      </c>
      <c r="E47" s="23" t="s">
        <v>1496</v>
      </c>
      <c r="F47" s="2" t="s">
        <v>3597</v>
      </c>
    </row>
    <row r="48" spans="1:6" ht="243.75">
      <c r="A48" s="7">
        <f>ROW()</f>
        <v>48</v>
      </c>
      <c r="B48" s="8" t="s">
        <v>1519</v>
      </c>
      <c r="C48" s="8" t="s">
        <v>1459</v>
      </c>
      <c r="D48" s="8" t="str">
        <f t="shared" si="1"/>
        <v>5. Rückkauf von Versicherungszeiten</v>
      </c>
      <c r="E48" s="23" t="s">
        <v>1531</v>
      </c>
      <c r="F48" s="2" t="s">
        <v>326</v>
      </c>
    </row>
    <row r="49" spans="1:6" ht="246">
      <c r="A49" s="7">
        <f>ROW()</f>
        <v>49</v>
      </c>
      <c r="B49" s="8" t="s">
        <v>1519</v>
      </c>
      <c r="C49" s="8" t="s">
        <v>1459</v>
      </c>
      <c r="D49" s="8" t="str">
        <f t="shared" si="1"/>
        <v>6.  Zulagen für Unterhaltsberechtigte</v>
      </c>
      <c r="E49" s="23" t="s">
        <v>1631</v>
      </c>
      <c r="F49" s="2" t="s">
        <v>329</v>
      </c>
    </row>
    <row r="50" spans="1:6" ht="145.5">
      <c r="A50" s="7">
        <f>ROW()</f>
        <v>50</v>
      </c>
      <c r="B50" s="8" t="s">
        <v>1519</v>
      </c>
      <c r="C50" s="8" t="s">
        <v>1459</v>
      </c>
      <c r="D50" s="8" t="str">
        <f t="shared" si="1"/>
        <v>7. Besondere Zulagen</v>
      </c>
      <c r="E50" s="23" t="s">
        <v>1532</v>
      </c>
      <c r="F50" s="2" t="s">
        <v>365</v>
      </c>
    </row>
    <row r="51" spans="1:6" ht="360.75">
      <c r="A51" s="7">
        <f>ROW()</f>
        <v>51</v>
      </c>
      <c r="B51" s="8" t="s">
        <v>1519</v>
      </c>
      <c r="C51" s="8" t="s">
        <v>1459</v>
      </c>
      <c r="D51" s="8" t="str">
        <f t="shared" si="1"/>
        <v>8. Mindestrente und bedürftigkeitsabhängige Leistung</v>
      </c>
      <c r="E51" s="23" t="s">
        <v>1533</v>
      </c>
      <c r="F51" s="2" t="s">
        <v>392</v>
      </c>
    </row>
    <row r="52" spans="1:6" ht="101.25">
      <c r="A52" s="7">
        <f>ROW()</f>
        <v>52</v>
      </c>
      <c r="B52" s="8" t="s">
        <v>1519</v>
      </c>
      <c r="C52" s="8" t="s">
        <v>1459</v>
      </c>
      <c r="D52" s="8" t="str">
        <f t="shared" si="1"/>
        <v>9. Höchstrente</v>
      </c>
      <c r="E52" s="23" t="s">
        <v>1534</v>
      </c>
      <c r="F52" s="2" t="s">
        <v>415</v>
      </c>
    </row>
    <row r="53" spans="1:6" ht="119.25">
      <c r="A53" s="7">
        <f>ROW()</f>
        <v>53</v>
      </c>
      <c r="B53" s="8" t="s">
        <v>1519</v>
      </c>
      <c r="C53" s="8" t="s">
        <v>1459</v>
      </c>
      <c r="D53" s="8" t="str">
        <f t="shared" si="1"/>
        <v>10. Vorruhestand</v>
      </c>
      <c r="E53" s="23" t="s">
        <v>1535</v>
      </c>
      <c r="F53" s="2" t="s">
        <v>443</v>
      </c>
    </row>
    <row r="54" spans="1:6" ht="272.25">
      <c r="A54" s="7">
        <f>ROW()</f>
        <v>54</v>
      </c>
      <c r="B54" s="8" t="s">
        <v>1519</v>
      </c>
      <c r="C54" s="8" t="s">
        <v>1459</v>
      </c>
      <c r="D54" s="8" t="str">
        <f t="shared" si="1"/>
        <v>11. Beschwerliche und gefährliche Arbeit</v>
      </c>
      <c r="E54" s="23" t="s">
        <v>1536</v>
      </c>
      <c r="F54" s="2" t="s">
        <v>3598</v>
      </c>
    </row>
    <row r="55" spans="1:6" ht="90">
      <c r="A55" s="7">
        <f>ROW()</f>
        <v>55</v>
      </c>
      <c r="B55" s="8" t="s">
        <v>1519</v>
      </c>
      <c r="C55" s="8" t="s">
        <v>1459</v>
      </c>
      <c r="D55" s="8" t="str">
        <f t="shared" si="1"/>
        <v>12. Teilrente</v>
      </c>
      <c r="E55" s="23" t="s">
        <v>1537</v>
      </c>
      <c r="F55" s="2" t="s">
        <v>494</v>
      </c>
    </row>
    <row r="56" spans="1:6" ht="171.75">
      <c r="A56" s="7">
        <f>ROW()</f>
        <v>56</v>
      </c>
      <c r="B56" s="8" t="s">
        <v>1519</v>
      </c>
      <c r="C56" s="8" t="s">
        <v>1459</v>
      </c>
      <c r="D56" s="8" t="str">
        <f t="shared" si="1"/>
        <v>13. Aufgeschobene Rente</v>
      </c>
      <c r="E56" s="23" t="s">
        <v>1632</v>
      </c>
      <c r="F56" s="2" t="s">
        <v>523</v>
      </c>
    </row>
    <row r="57" spans="1:6" ht="179.25">
      <c r="A57" s="7">
        <f>ROW()</f>
        <v>57</v>
      </c>
      <c r="B57" s="8" t="s">
        <v>1519</v>
      </c>
      <c r="C57" s="8" t="s">
        <v>1538</v>
      </c>
      <c r="D57" s="8" t="s">
        <v>1538</v>
      </c>
      <c r="E57" s="22" t="s">
        <v>1538</v>
      </c>
      <c r="F57" s="2" t="s">
        <v>551</v>
      </c>
    </row>
    <row r="58" spans="1:6" ht="246">
      <c r="A58" s="7">
        <f>ROW()</f>
        <v>58</v>
      </c>
      <c r="B58" s="8" t="s">
        <v>1519</v>
      </c>
      <c r="C58" s="8" t="s">
        <v>1538</v>
      </c>
      <c r="D58" s="8" t="str">
        <f t="shared" si="1"/>
        <v xml:space="preserve">Kumulation mit Erwerbseinkommen </v>
      </c>
      <c r="E58" s="22" t="s">
        <v>1461</v>
      </c>
      <c r="F58" s="2" t="s">
        <v>578</v>
      </c>
    </row>
    <row r="59" spans="1:6" ht="286.5">
      <c r="A59" s="7">
        <f>ROW()</f>
        <v>59</v>
      </c>
      <c r="B59" s="8" t="s">
        <v>1519</v>
      </c>
      <c r="C59" s="8" t="s">
        <v>1538</v>
      </c>
      <c r="D59" s="8" t="s">
        <v>1539</v>
      </c>
      <c r="E59" s="22" t="s">
        <v>1460</v>
      </c>
      <c r="F59" s="2" t="s">
        <v>607</v>
      </c>
    </row>
    <row r="60" spans="1:6" ht="225.75">
      <c r="A60" s="7">
        <f>ROW()</f>
        <v>60</v>
      </c>
      <c r="B60" s="8" t="s">
        <v>1519</v>
      </c>
      <c r="C60" s="8" t="s">
        <v>612</v>
      </c>
      <c r="D60" s="8" t="str">
        <f t="shared" ref="D60:D70" si="2">+E60</f>
        <v>1. Besteuerung von Renten</v>
      </c>
      <c r="E60" s="23" t="s">
        <v>1540</v>
      </c>
      <c r="F60" s="2" t="s">
        <v>634</v>
      </c>
    </row>
    <row r="61" spans="1:6" ht="335.25">
      <c r="A61" s="7">
        <f>ROW()</f>
        <v>61</v>
      </c>
      <c r="B61" s="8" t="s">
        <v>1519</v>
      </c>
      <c r="C61" s="8" t="s">
        <v>612</v>
      </c>
      <c r="D61" s="8" t="str">
        <f t="shared" si="2"/>
        <v>2. Einkommensgrenze für Besteuerung von Renten</v>
      </c>
      <c r="E61" s="23" t="s">
        <v>1541</v>
      </c>
      <c r="F61" s="2" t="s">
        <v>661</v>
      </c>
    </row>
    <row r="62" spans="1:6" ht="264">
      <c r="A62" s="7">
        <f>ROW()</f>
        <v>62</v>
      </c>
      <c r="B62" s="8" t="s">
        <v>1519</v>
      </c>
      <c r="C62" s="8" t="s">
        <v>612</v>
      </c>
      <c r="D62" s="8" t="str">
        <f t="shared" si="2"/>
        <v>3. Auf Renten anfallende Sozialabgaben</v>
      </c>
      <c r="E62" s="23" t="s">
        <v>1542</v>
      </c>
      <c r="F62" s="2" t="s">
        <v>683</v>
      </c>
    </row>
    <row r="63" spans="1:6" ht="138">
      <c r="A63" s="7">
        <f>ROW()</f>
        <v>63</v>
      </c>
      <c r="B63" s="8" t="s">
        <v>1543</v>
      </c>
      <c r="C63" s="8" t="str">
        <f>+E63</f>
        <v>Anwendungsbereich</v>
      </c>
      <c r="D63" s="8" t="str">
        <f t="shared" si="2"/>
        <v>Anwendungsbereich</v>
      </c>
      <c r="E63" s="23" t="s">
        <v>1467</v>
      </c>
      <c r="F63" s="2" t="s">
        <v>707</v>
      </c>
    </row>
    <row r="64" spans="1:6" ht="132.75">
      <c r="A64" s="7">
        <f>ROW()</f>
        <v>64</v>
      </c>
      <c r="B64" s="8" t="s">
        <v>1543</v>
      </c>
      <c r="C64" s="8" t="s">
        <v>1514</v>
      </c>
      <c r="D64" s="8" t="str">
        <f t="shared" si="2"/>
        <v>Grundprinzipien</v>
      </c>
      <c r="E64" s="23" t="s">
        <v>1468</v>
      </c>
      <c r="F64" s="2" t="s">
        <v>726</v>
      </c>
    </row>
    <row r="65" spans="1:6" ht="224.25">
      <c r="A65" s="7">
        <f>ROW()</f>
        <v>65</v>
      </c>
      <c r="B65" s="8" t="s">
        <v>1543</v>
      </c>
      <c r="C65" s="8" t="s">
        <v>1514</v>
      </c>
      <c r="D65" s="8" t="str">
        <f t="shared" si="2"/>
        <v>Voraussetzungen für die Deckung</v>
      </c>
      <c r="E65" s="23" t="s">
        <v>1469</v>
      </c>
      <c r="F65" s="2" t="s">
        <v>760</v>
      </c>
    </row>
    <row r="66" spans="1:6" ht="409.5">
      <c r="A66" s="7">
        <f>ROW()</f>
        <v>66</v>
      </c>
      <c r="B66" s="8" t="s">
        <v>1543</v>
      </c>
      <c r="C66" s="8" t="s">
        <v>1514</v>
      </c>
      <c r="D66" s="8" t="str">
        <f t="shared" si="2"/>
        <v>Kombination von selbstständiger und unselbstständiger Tätigkeit</v>
      </c>
      <c r="E66" s="23" t="s">
        <v>1462</v>
      </c>
      <c r="F66" s="2" t="s">
        <v>781</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787</v>
      </c>
    </row>
    <row r="69" spans="1:6" ht="216">
      <c r="A69" s="7">
        <f>ROW()</f>
        <v>69</v>
      </c>
      <c r="B69" s="8" t="s">
        <v>1543</v>
      </c>
      <c r="C69" s="8" t="s">
        <v>1459</v>
      </c>
      <c r="D69" s="9" t="str">
        <f t="shared" si="2"/>
        <v>Besteuerung von Geldleistungen</v>
      </c>
      <c r="E69" s="23" t="s">
        <v>1456</v>
      </c>
      <c r="F69" s="2" t="s">
        <v>787</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855</v>
      </c>
    </row>
    <row r="72" spans="1:6" ht="110.25">
      <c r="A72" s="7">
        <f>ROW()</f>
        <v>72</v>
      </c>
      <c r="B72" s="8" t="s">
        <v>1466</v>
      </c>
      <c r="C72" s="8" t="str">
        <f t="shared" si="3"/>
        <v>Grundprinzipien</v>
      </c>
      <c r="D72" s="9" t="str">
        <f t="shared" si="3"/>
        <v>Grundprinzipien</v>
      </c>
      <c r="E72" s="22" t="s">
        <v>1468</v>
      </c>
      <c r="F72" s="2" t="s">
        <v>881</v>
      </c>
    </row>
    <row r="73" spans="1:6" ht="315">
      <c r="A73" s="7">
        <f>ROW()</f>
        <v>73</v>
      </c>
      <c r="B73" s="8" t="s">
        <v>1466</v>
      </c>
      <c r="C73" s="9" t="str">
        <f t="shared" si="3"/>
        <v>Anwendungsbereich (in Bezug auf Verstorbene)</v>
      </c>
      <c r="D73" s="9" t="str">
        <f t="shared" si="3"/>
        <v>Anwendungsbereich (in Bezug auf Verstorbene)</v>
      </c>
      <c r="E73" s="22" t="s">
        <v>1473</v>
      </c>
      <c r="F73" s="2" t="s">
        <v>905</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125</v>
      </c>
    </row>
    <row r="75" spans="1:6" ht="144.75">
      <c r="A75" s="7">
        <f>ROW()</f>
        <v>75</v>
      </c>
      <c r="B75" s="8" t="s">
        <v>1466</v>
      </c>
      <c r="C75" s="9" t="str">
        <f t="shared" si="3"/>
        <v>Berechtigte Personen</v>
      </c>
      <c r="D75" s="9" t="str">
        <f t="shared" si="3"/>
        <v>Berechtigte Personen</v>
      </c>
      <c r="E75" s="22" t="s">
        <v>1477</v>
      </c>
      <c r="F75" s="2" t="s">
        <v>3599</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3600</v>
      </c>
    </row>
    <row r="78" spans="1:6" ht="185.25">
      <c r="A78" s="7">
        <f>ROW()</f>
        <v>78</v>
      </c>
      <c r="B78" s="8" t="s">
        <v>1466</v>
      </c>
      <c r="C78" s="8" t="s">
        <v>1544</v>
      </c>
      <c r="D78" s="8" t="str">
        <f t="shared" si="4"/>
        <v>2. Hinterbliebener Ehegatte</v>
      </c>
      <c r="E78" s="23" t="s">
        <v>1546</v>
      </c>
      <c r="F78" s="2" t="s">
        <v>3601</v>
      </c>
    </row>
    <row r="79" spans="1:6" ht="181.5">
      <c r="A79" s="7">
        <f>ROW()</f>
        <v>79</v>
      </c>
      <c r="B79" s="8" t="s">
        <v>1466</v>
      </c>
      <c r="C79" s="8" t="s">
        <v>1544</v>
      </c>
      <c r="D79" s="8" t="str">
        <f t="shared" si="4"/>
        <v>3. Geschiedener Ehegatte</v>
      </c>
      <c r="E79" s="23" t="s">
        <v>1547</v>
      </c>
      <c r="F79" s="2" t="s">
        <v>1002</v>
      </c>
    </row>
    <row r="80" spans="1:6" ht="216">
      <c r="A80" s="7">
        <f>ROW()</f>
        <v>80</v>
      </c>
      <c r="B80" s="8" t="s">
        <v>1466</v>
      </c>
      <c r="C80" s="8" t="s">
        <v>1544</v>
      </c>
      <c r="D80" s="8" t="str">
        <f t="shared" si="4"/>
        <v>4. Hinterbliebene Lebenspartner</v>
      </c>
      <c r="E80" s="23" t="s">
        <v>1548</v>
      </c>
      <c r="F80" s="2" t="s">
        <v>3602</v>
      </c>
    </row>
    <row r="81" spans="1:6" ht="181.5">
      <c r="A81" s="7">
        <f>ROW()</f>
        <v>81</v>
      </c>
      <c r="B81" s="8" t="s">
        <v>1466</v>
      </c>
      <c r="C81" s="8" t="s">
        <v>1544</v>
      </c>
      <c r="D81" s="8" t="str">
        <f t="shared" si="4"/>
        <v>5. Kinder</v>
      </c>
      <c r="E81" s="23" t="s">
        <v>1549</v>
      </c>
      <c r="F81" s="2" t="s">
        <v>3603</v>
      </c>
    </row>
    <row r="82" spans="1:6" ht="181.5">
      <c r="A82" s="7">
        <f>ROW()</f>
        <v>82</v>
      </c>
      <c r="B82" s="8" t="s">
        <v>1466</v>
      </c>
      <c r="C82" s="8" t="s">
        <v>1544</v>
      </c>
      <c r="D82" s="8" t="str">
        <f t="shared" si="4"/>
        <v>6. Andere Personen</v>
      </c>
      <c r="E82" s="23" t="s">
        <v>1550</v>
      </c>
      <c r="F82" s="2" t="s">
        <v>1063</v>
      </c>
    </row>
    <row r="83" spans="1:6" ht="409.5">
      <c r="A83" s="7">
        <f>ROW()</f>
        <v>83</v>
      </c>
      <c r="B83" s="8" t="s">
        <v>1466</v>
      </c>
      <c r="C83" s="8" t="s">
        <v>1459</v>
      </c>
      <c r="D83" s="9" t="str">
        <f t="shared" si="4"/>
        <v>1. Hinterbliebener Ehegatte, geschiedener Ehegatte, hinterbliebene Lebenspartner</v>
      </c>
      <c r="E83" s="23" t="s">
        <v>1551</v>
      </c>
      <c r="F83" s="2" t="s">
        <v>3604</v>
      </c>
    </row>
    <row r="84" spans="1:6" ht="280.5">
      <c r="A84" s="7">
        <f>ROW()</f>
        <v>84</v>
      </c>
      <c r="B84" s="8" t="s">
        <v>1466</v>
      </c>
      <c r="C84" s="8" t="s">
        <v>1459</v>
      </c>
      <c r="D84" s="9" t="str">
        <f t="shared" si="4"/>
        <v>2. Hinterbliebener Ehegatte: Wiederheirat</v>
      </c>
      <c r="E84" s="23" t="s">
        <v>1552</v>
      </c>
      <c r="F84" s="2" t="s">
        <v>3605</v>
      </c>
    </row>
    <row r="85" spans="1:6" ht="285">
      <c r="A85" s="7">
        <f>ROW()</f>
        <v>85</v>
      </c>
      <c r="B85" s="8" t="s">
        <v>1466</v>
      </c>
      <c r="C85" s="8" t="s">
        <v>1459</v>
      </c>
      <c r="D85" s="9" t="str">
        <f t="shared" si="4"/>
        <v>3. Kinder</v>
      </c>
      <c r="E85" s="23" t="s">
        <v>1553</v>
      </c>
      <c r="F85" s="2" t="s">
        <v>3606</v>
      </c>
    </row>
    <row r="86" spans="1:6" ht="147">
      <c r="A86" s="7">
        <f>ROW()</f>
        <v>86</v>
      </c>
      <c r="B86" s="8" t="s">
        <v>1466</v>
      </c>
      <c r="C86" s="8" t="s">
        <v>1459</v>
      </c>
      <c r="D86" s="9" t="str">
        <f t="shared" si="4"/>
        <v>4. Andere Berechtigte</v>
      </c>
      <c r="E86" s="23" t="s">
        <v>1554</v>
      </c>
      <c r="F86" s="2" t="s">
        <v>3607</v>
      </c>
    </row>
    <row r="87" spans="1:6" ht="381">
      <c r="A87" s="7">
        <f>ROW()</f>
        <v>87</v>
      </c>
      <c r="B87" s="8" t="s">
        <v>1466</v>
      </c>
      <c r="C87" s="8" t="s">
        <v>1459</v>
      </c>
      <c r="D87" s="9" t="str">
        <f t="shared" si="4"/>
        <v xml:space="preserve"> 5. Höchster zahlbarer Gesamtbetrag für alle Berechtigten</v>
      </c>
      <c r="E87" s="23" t="s">
        <v>1555</v>
      </c>
      <c r="F87" s="2" t="s">
        <v>1164</v>
      </c>
    </row>
    <row r="88" spans="1:6" ht="151.5">
      <c r="A88" s="7">
        <f>ROW()</f>
        <v>88</v>
      </c>
      <c r="B88" s="8" t="s">
        <v>1466</v>
      </c>
      <c r="C88" s="8" t="s">
        <v>1459</v>
      </c>
      <c r="D88" s="9" t="str">
        <f t="shared" si="4"/>
        <v>6. Sonstige Leistungen</v>
      </c>
      <c r="E88" s="23" t="s">
        <v>1556</v>
      </c>
      <c r="F88" s="2" t="s">
        <v>3608</v>
      </c>
    </row>
    <row r="89" spans="1:6" ht="210">
      <c r="A89" s="7">
        <f>ROW()</f>
        <v>89</v>
      </c>
      <c r="B89" s="8" t="s">
        <v>1466</v>
      </c>
      <c r="C89" s="8" t="s">
        <v>1459</v>
      </c>
      <c r="D89" s="9" t="str">
        <f>+E89</f>
        <v>7. Mindestleistung</v>
      </c>
      <c r="E89" s="23" t="s">
        <v>1557</v>
      </c>
      <c r="F89" s="2" t="s">
        <v>1209</v>
      </c>
    </row>
    <row r="90" spans="1:6" ht="122.25">
      <c r="A90" s="7">
        <f>ROW()</f>
        <v>90</v>
      </c>
      <c r="B90" s="8" t="s">
        <v>1466</v>
      </c>
      <c r="C90" s="8" t="s">
        <v>1459</v>
      </c>
      <c r="D90" s="9" t="str">
        <f t="shared" si="4"/>
        <v xml:space="preserve"> 8. Höchstleistung</v>
      </c>
      <c r="E90" s="23" t="s">
        <v>1558</v>
      </c>
      <c r="F90" s="2" t="s">
        <v>1229</v>
      </c>
    </row>
    <row r="91" spans="1:6" ht="179.25">
      <c r="A91" s="7">
        <f>ROW()</f>
        <v>91</v>
      </c>
      <c r="B91" s="8" t="s">
        <v>1466</v>
      </c>
      <c r="C91" s="8" t="s">
        <v>1538</v>
      </c>
      <c r="D91" s="9" t="str">
        <f>+C91</f>
        <v>Indexbindung / Anpassung</v>
      </c>
      <c r="E91" s="22" t="s">
        <v>1538</v>
      </c>
      <c r="F91" s="2" t="s">
        <v>1258</v>
      </c>
    </row>
    <row r="92" spans="1:6" ht="242.25">
      <c r="A92" s="7">
        <f>ROW()</f>
        <v>92</v>
      </c>
      <c r="B92" s="8" t="s">
        <v>1466</v>
      </c>
      <c r="C92" s="8" t="s">
        <v>1538</v>
      </c>
      <c r="D92" s="9" t="str">
        <f t="shared" ref="D92:D105" si="5">+E92</f>
        <v>Kumulation mit Erwerbseinkommen</v>
      </c>
      <c r="E92" s="22" t="s">
        <v>1471</v>
      </c>
      <c r="F92" s="2" t="s">
        <v>1282</v>
      </c>
    </row>
    <row r="93" spans="1:6" ht="275.25">
      <c r="A93" s="7">
        <f>ROW()</f>
        <v>93</v>
      </c>
      <c r="B93" s="8" t="s">
        <v>1466</v>
      </c>
      <c r="C93" s="8" t="s">
        <v>1538</v>
      </c>
      <c r="D93" s="9" t="str">
        <f t="shared" si="5"/>
        <v>Kumulation mit anderen Sozialleistungen</v>
      </c>
      <c r="E93" s="22" t="s">
        <v>1460</v>
      </c>
      <c r="F93" s="2" t="s">
        <v>1311</v>
      </c>
    </row>
    <row r="94" spans="1:6" ht="232.5">
      <c r="A94" s="7">
        <f>ROW()</f>
        <v>94</v>
      </c>
      <c r="B94" s="8" t="s">
        <v>1466</v>
      </c>
      <c r="C94" s="9" t="s">
        <v>1465</v>
      </c>
      <c r="D94" s="9" t="str">
        <f t="shared" si="5"/>
        <v>1. Besteuerung von Geldleistungen</v>
      </c>
      <c r="E94" s="23" t="s">
        <v>1509</v>
      </c>
      <c r="F94" s="2" t="s">
        <v>1331</v>
      </c>
    </row>
    <row r="95" spans="1:6" ht="387">
      <c r="A95" s="7">
        <f>ROW()</f>
        <v>95</v>
      </c>
      <c r="B95" s="8" t="s">
        <v>1466</v>
      </c>
      <c r="C95" s="9" t="s">
        <v>1465</v>
      </c>
      <c r="D95" s="9" t="str">
        <f t="shared" si="5"/>
        <v>2. Einkommensgrenze für Besteuerung von Geldleistungen</v>
      </c>
      <c r="E95" s="23" t="s">
        <v>1511</v>
      </c>
      <c r="F95" s="2" t="s">
        <v>661</v>
      </c>
    </row>
    <row r="96" spans="1:6" ht="288.75">
      <c r="A96" s="7">
        <f>ROW()</f>
        <v>96</v>
      </c>
      <c r="B96" s="8" t="s">
        <v>1466</v>
      </c>
      <c r="C96" s="9" t="s">
        <v>1465</v>
      </c>
      <c r="D96" s="9" t="str">
        <f t="shared" si="5"/>
        <v>3. Auf Leistungen anfallende Sozialabgaben</v>
      </c>
      <c r="E96" s="23" t="s">
        <v>1512</v>
      </c>
      <c r="F96" s="2" t="s">
        <v>1372</v>
      </c>
    </row>
    <row r="97" spans="1:6" ht="138">
      <c r="A97" s="7">
        <f>ROW()</f>
        <v>97</v>
      </c>
      <c r="B97" s="8" t="s">
        <v>1466</v>
      </c>
      <c r="C97" s="9" t="s">
        <v>1514</v>
      </c>
      <c r="D97" s="9" t="str">
        <f t="shared" si="5"/>
        <v>Anwendungsbereich</v>
      </c>
      <c r="E97" s="23" t="s">
        <v>1467</v>
      </c>
      <c r="F97" s="2" t="s">
        <v>707</v>
      </c>
    </row>
    <row r="98" spans="1:6" ht="110.25">
      <c r="A98" s="7">
        <f>ROW()</f>
        <v>98</v>
      </c>
      <c r="B98" s="8" t="s">
        <v>1466</v>
      </c>
      <c r="C98" s="9" t="s">
        <v>1514</v>
      </c>
      <c r="D98" s="9" t="str">
        <f t="shared" si="5"/>
        <v>Grundprinzipien</v>
      </c>
      <c r="E98" s="23" t="s">
        <v>1468</v>
      </c>
      <c r="F98" s="2" t="s">
        <v>726</v>
      </c>
    </row>
    <row r="99" spans="1:6" ht="224.25">
      <c r="A99" s="7">
        <f>ROW()</f>
        <v>99</v>
      </c>
      <c r="B99" s="8" t="s">
        <v>1466</v>
      </c>
      <c r="C99" s="9" t="s">
        <v>1514</v>
      </c>
      <c r="D99" s="9" t="str">
        <f t="shared" si="5"/>
        <v>Voraussetzungen für die Deckung</v>
      </c>
      <c r="E99" s="23" t="s">
        <v>1469</v>
      </c>
      <c r="F99" s="2" t="s">
        <v>760</v>
      </c>
    </row>
    <row r="100" spans="1:6" ht="409.5">
      <c r="A100" s="7">
        <f>ROW()</f>
        <v>100</v>
      </c>
      <c r="B100" s="8" t="s">
        <v>1466</v>
      </c>
      <c r="C100" s="9" t="s">
        <v>1514</v>
      </c>
      <c r="D100" s="9" t="str">
        <f t="shared" si="5"/>
        <v>Kombination von selbstständiger und unselbstständiger Tätigkeit</v>
      </c>
      <c r="E100" s="23" t="s">
        <v>1462</v>
      </c>
      <c r="F100" s="2" t="s">
        <v>1420</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787</v>
      </c>
    </row>
    <row r="105" spans="1:6" ht="272.25">
      <c r="A105" s="7">
        <f>ROW()</f>
        <v>105</v>
      </c>
      <c r="B105" s="8" t="s">
        <v>1466</v>
      </c>
      <c r="C105" s="9" t="s">
        <v>1514</v>
      </c>
      <c r="D105" s="9" t="str">
        <f t="shared" si="5"/>
        <v>Auf Leistungen anfallende Sozialabgaben</v>
      </c>
      <c r="E105" s="23" t="s">
        <v>1457</v>
      </c>
      <c r="F105" s="2" t="s">
        <v>787</v>
      </c>
    </row>
  </sheetData>
  <sheetProtection algorithmName="SHA-512" hashValue="biPr9omYfpjNYYoEVqP+tnfrYgK0OizYUGnRHFkN573yCFNjUGwZ84S875TEXx0YZ/fJqN/lsHag7s8Y/aet/Q==" saltValue="0wBagMLMCT4c2vQ/EVDdJw==" spinCount="100000" sheet="1" objects="1" scenarios="1" formatColumns="0" autoFilter="0"/>
  <autoFilter ref="A2:F2" xr:uid="{21039E40-6AB2-460C-BFC2-3C09CD4B7800}"/>
  <pageMargins left="0.7" right="0.7" top="0.78740157499999996" bottom="0.78740157499999996"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2202-6281-4049-940C-61C5385E8249}">
  <sheetPr codeName="Tabelle48"/>
  <dimension ref="A1:F105"/>
  <sheetViews>
    <sheetView workbookViewId="0">
      <selection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27</v>
      </c>
    </row>
    <row r="2" spans="1:6" ht="39.75" customHeight="1">
      <c r="A2" s="128"/>
      <c r="B2" s="129"/>
      <c r="C2" s="126"/>
      <c r="D2" s="126"/>
      <c r="E2" s="124"/>
      <c r="F2" s="162" t="str" cm="1">
        <f t="array" ref="F2">_xlfn.TEXTJOIN("; ", TRUE, IF(Entscheidungen!A2:A100=F1, Entscheidungen!B2:B100, ""))</f>
        <v>OLG Düsseldorf, 26.01.2011 – II-5 UF 129/10</v>
      </c>
    </row>
    <row r="3" spans="1:6" ht="177">
      <c r="A3" s="7">
        <f>ROW()</f>
        <v>3</v>
      </c>
      <c r="B3" s="8" t="s">
        <v>1479</v>
      </c>
      <c r="C3" s="8"/>
      <c r="D3" s="8" t="str">
        <f>+E3</f>
        <v>Geltende Rechtsgrundlage</v>
      </c>
      <c r="E3" s="21" t="s">
        <v>1472</v>
      </c>
      <c r="F3" s="2" t="s">
        <v>2247</v>
      </c>
    </row>
    <row r="4" spans="1:6" ht="110.25">
      <c r="A4" s="7">
        <f>ROW()</f>
        <v>4</v>
      </c>
      <c r="B4" s="8" t="s">
        <v>1479</v>
      </c>
      <c r="C4" s="1"/>
      <c r="D4" s="8" t="str">
        <f t="shared" ref="D4:D34" si="0">+E4</f>
        <v>Grundprinzipien</v>
      </c>
      <c r="E4" s="22" t="s">
        <v>1468</v>
      </c>
      <c r="F4" s="2" t="s">
        <v>2248</v>
      </c>
    </row>
    <row r="5" spans="1:6" ht="188.25">
      <c r="A5" s="7">
        <f>ROW()</f>
        <v>5</v>
      </c>
      <c r="B5" s="8" t="s">
        <v>1479</v>
      </c>
      <c r="C5" s="1"/>
      <c r="D5" s="8" t="str">
        <f t="shared" si="0"/>
        <v>Gedecktes Risiko: Definition</v>
      </c>
      <c r="E5" s="22" t="s">
        <v>1630</v>
      </c>
      <c r="F5" s="2" t="s">
        <v>2249</v>
      </c>
    </row>
    <row r="6" spans="1:6" ht="144">
      <c r="A6" s="7">
        <f>ROW()</f>
        <v>6</v>
      </c>
      <c r="B6" s="8" t="s">
        <v>1479</v>
      </c>
      <c r="C6" s="8" t="s">
        <v>1453</v>
      </c>
      <c r="D6" s="8" t="str">
        <f t="shared" si="0"/>
        <v>Versicherte Personen</v>
      </c>
      <c r="E6" s="23" t="s">
        <v>1453</v>
      </c>
      <c r="F6" s="2" t="s">
        <v>2250</v>
      </c>
    </row>
    <row r="7" spans="1:6" ht="273">
      <c r="A7" s="7">
        <f>ROW()</f>
        <v>7</v>
      </c>
      <c r="B7" s="8" t="s">
        <v>1479</v>
      </c>
      <c r="C7" s="8" t="str">
        <f>+E6</f>
        <v>Versicherte Personen</v>
      </c>
      <c r="D7" s="8" t="str">
        <f t="shared" si="0"/>
        <v>Ausnahmen von der Versicherungspflicht</v>
      </c>
      <c r="E7" s="23" t="s">
        <v>1458</v>
      </c>
      <c r="F7" s="2" t="s">
        <v>918</v>
      </c>
    </row>
    <row r="8" spans="1:6" ht="195">
      <c r="A8" s="7">
        <f>ROW()</f>
        <v>8</v>
      </c>
      <c r="B8" s="8" t="s">
        <v>1479</v>
      </c>
      <c r="C8" s="9" t="s">
        <v>128</v>
      </c>
      <c r="D8" s="8" t="str">
        <f t="shared" si="0"/>
        <v>1. Anwartschaftszeit</v>
      </c>
      <c r="E8" s="23" t="s">
        <v>1483</v>
      </c>
      <c r="F8" s="2" t="s">
        <v>3609</v>
      </c>
    </row>
    <row r="9" spans="1:6" ht="409.5">
      <c r="A9" s="7">
        <f>ROW()</f>
        <v>9</v>
      </c>
      <c r="B9" s="8" t="s">
        <v>1479</v>
      </c>
      <c r="C9" s="9" t="s">
        <v>128</v>
      </c>
      <c r="D9" s="8" t="str">
        <f t="shared" si="0"/>
        <v xml:space="preserve">2. Begutachtungskriterien und Kategorien der Arbeitsunfähigkeit/Arbeitsfähigkeit  </v>
      </c>
      <c r="E9" s="23" t="s">
        <v>1484</v>
      </c>
      <c r="F9" s="2" t="s">
        <v>3610</v>
      </c>
    </row>
    <row r="10" spans="1:6" ht="222">
      <c r="A10" s="7">
        <f>ROW()</f>
        <v>10</v>
      </c>
      <c r="B10" s="8" t="s">
        <v>1479</v>
      </c>
      <c r="C10" s="9" t="s">
        <v>128</v>
      </c>
      <c r="D10" s="8" t="str">
        <f t="shared" si="0"/>
        <v>3. Zeitraum der Leistungszahlung</v>
      </c>
      <c r="E10" s="23" t="s">
        <v>1486</v>
      </c>
      <c r="F10" s="2" t="s">
        <v>3611</v>
      </c>
    </row>
    <row r="11" spans="1:6" ht="210">
      <c r="A11" s="7">
        <f>ROW()</f>
        <v>11</v>
      </c>
      <c r="B11" s="8" t="s">
        <v>1479</v>
      </c>
      <c r="C11" s="9" t="s">
        <v>1488</v>
      </c>
      <c r="D11" s="8" t="str">
        <f t="shared" si="0"/>
        <v>1. Gutachter</v>
      </c>
      <c r="E11" s="23" t="s">
        <v>1489</v>
      </c>
      <c r="F11" s="2" t="s">
        <v>2251</v>
      </c>
    </row>
    <row r="12" spans="1:6" ht="111.75">
      <c r="A12" s="7">
        <f>ROW()</f>
        <v>12</v>
      </c>
      <c r="B12" s="8" t="s">
        <v>1479</v>
      </c>
      <c r="C12" s="9" t="s">
        <v>1488</v>
      </c>
      <c r="D12" s="8" t="str">
        <f t="shared" si="0"/>
        <v xml:space="preserve">2. Überprüfung  </v>
      </c>
      <c r="E12" s="23" t="s">
        <v>1490</v>
      </c>
      <c r="F12" s="2" t="s">
        <v>3612</v>
      </c>
    </row>
    <row r="13" spans="1:6" ht="291.75">
      <c r="A13" s="7">
        <f>ROW()</f>
        <v>13</v>
      </c>
      <c r="B13" s="8" t="s">
        <v>1479</v>
      </c>
      <c r="C13" s="8" t="s">
        <v>1459</v>
      </c>
      <c r="D13" s="8" t="str">
        <f t="shared" si="0"/>
        <v>1. Berechnungsmethode bzw. Rentenformel</v>
      </c>
      <c r="E13" s="23" t="s">
        <v>1492</v>
      </c>
      <c r="F13" s="2" t="s">
        <v>2252</v>
      </c>
    </row>
    <row r="14" spans="1:6" ht="343.5">
      <c r="A14" s="7">
        <f>ROW()</f>
        <v>14</v>
      </c>
      <c r="B14" s="8" t="s">
        <v>1479</v>
      </c>
      <c r="C14" s="8" t="s">
        <v>1459</v>
      </c>
      <c r="D14" s="8" t="str">
        <f t="shared" si="0"/>
        <v>2. Referenzeinkommen bzw. Berechnungsgrundlage</v>
      </c>
      <c r="E14" s="23" t="s">
        <v>1493</v>
      </c>
      <c r="F14" s="2" t="s">
        <v>2253</v>
      </c>
    </row>
    <row r="15" spans="1:6" ht="285">
      <c r="A15" s="7">
        <f>ROW()</f>
        <v>15</v>
      </c>
      <c r="B15" s="8" t="s">
        <v>1479</v>
      </c>
      <c r="C15" s="8" t="s">
        <v>1459</v>
      </c>
      <c r="D15" s="8" t="str">
        <f t="shared" si="0"/>
        <v>3. Mindest- und Höchstleistungen</v>
      </c>
      <c r="E15" s="23" t="s">
        <v>1495</v>
      </c>
      <c r="F15" s="2" t="s">
        <v>3613</v>
      </c>
    </row>
    <row r="16" spans="1:6" ht="405">
      <c r="A16" s="7">
        <f>ROW()</f>
        <v>16</v>
      </c>
      <c r="B16" s="8" t="s">
        <v>1479</v>
      </c>
      <c r="C16" s="8" t="s">
        <v>1459</v>
      </c>
      <c r="D16" s="8" t="str">
        <f t="shared" si="0"/>
        <v>4. Anrechenbare oder als Beitragszeiten gewertete Zeiträume</v>
      </c>
      <c r="E16" s="23" t="s">
        <v>1496</v>
      </c>
      <c r="F16" s="2" t="s">
        <v>2254</v>
      </c>
    </row>
    <row r="17" spans="1:6" ht="250.5">
      <c r="A17" s="7">
        <f>ROW()</f>
        <v>17</v>
      </c>
      <c r="B17" s="8" t="s">
        <v>1479</v>
      </c>
      <c r="C17" s="8" t="s">
        <v>1459</v>
      </c>
      <c r="D17" s="8" t="str">
        <f t="shared" si="0"/>
        <v xml:space="preserve">5. Zulagen für Unterhaltsberechtigte  </v>
      </c>
      <c r="E17" s="23" t="s">
        <v>1498</v>
      </c>
      <c r="F17" s="2" t="s">
        <v>2255</v>
      </c>
    </row>
    <row r="18" spans="1:6" ht="135">
      <c r="A18" s="7">
        <f>ROW()</f>
        <v>18</v>
      </c>
      <c r="B18" s="8" t="s">
        <v>1479</v>
      </c>
      <c r="C18" s="8" t="str">
        <f>+E18</f>
        <v>Sonstige Leistungen</v>
      </c>
      <c r="D18" s="8" t="str">
        <f>+E18</f>
        <v>Sonstige Leistungen</v>
      </c>
      <c r="E18" s="22" t="s">
        <v>1455</v>
      </c>
      <c r="F18" s="2" t="s">
        <v>2256</v>
      </c>
    </row>
    <row r="19" spans="1:6" ht="300.75">
      <c r="A19" s="7">
        <f>ROW()</f>
        <v>19</v>
      </c>
      <c r="B19" s="8" t="s">
        <v>1479</v>
      </c>
      <c r="C19" s="8" t="s">
        <v>1500</v>
      </c>
      <c r="D19" s="8" t="str">
        <f t="shared" si="0"/>
        <v>Umschulung, berufsbezogene Rehabilitation</v>
      </c>
      <c r="E19" s="23" t="s">
        <v>1501</v>
      </c>
      <c r="F19" s="2" t="s">
        <v>2257</v>
      </c>
    </row>
    <row r="20" spans="1:6" ht="409.5">
      <c r="A20" s="7">
        <f>ROW()</f>
        <v>20</v>
      </c>
      <c r="B20" s="8" t="s">
        <v>1479</v>
      </c>
      <c r="C20" s="8" t="s">
        <v>1500</v>
      </c>
      <c r="D20" s="8" t="str">
        <f t="shared" si="0"/>
        <v xml:space="preserve">Bevorzugte und reservierte Beschäftigung von Menschen mit Behinderungen  </v>
      </c>
      <c r="E20" s="23" t="s">
        <v>1502</v>
      </c>
      <c r="F20" s="2" t="s">
        <v>3614</v>
      </c>
    </row>
    <row r="21" spans="1:6" ht="171.75">
      <c r="A21" s="7">
        <f>ROW()</f>
        <v>21</v>
      </c>
      <c r="B21" s="8" t="s">
        <v>1479</v>
      </c>
      <c r="C21" s="8" t="s">
        <v>1504</v>
      </c>
      <c r="D21" s="8" t="str">
        <f t="shared" si="0"/>
        <v>Indexbindung/Anpassung</v>
      </c>
      <c r="E21" s="22" t="s">
        <v>1505</v>
      </c>
      <c r="F21" s="2" t="s">
        <v>2258</v>
      </c>
    </row>
    <row r="22" spans="1:6" ht="242.25">
      <c r="A22" s="7">
        <f>ROW()</f>
        <v>22</v>
      </c>
      <c r="B22" s="8" t="s">
        <v>1479</v>
      </c>
      <c r="C22" s="8" t="s">
        <v>1504</v>
      </c>
      <c r="D22" s="8" t="str">
        <f>+E22</f>
        <v>Kumulation mit Erwerbseinkommen</v>
      </c>
      <c r="E22" s="22" t="s">
        <v>1471</v>
      </c>
      <c r="F22" s="2" t="s">
        <v>3615</v>
      </c>
    </row>
    <row r="23" spans="1:6" ht="275.25">
      <c r="A23" s="7">
        <f>ROW()</f>
        <v>23</v>
      </c>
      <c r="B23" s="8" t="s">
        <v>1479</v>
      </c>
      <c r="C23" s="8" t="s">
        <v>1504</v>
      </c>
      <c r="D23" s="8" t="str">
        <f t="shared" si="0"/>
        <v>Kumulation mit anderen Sozialleistungen</v>
      </c>
      <c r="E23" s="22" t="s">
        <v>1460</v>
      </c>
      <c r="F23" s="2" t="s">
        <v>2259</v>
      </c>
    </row>
    <row r="24" spans="1:6" ht="232.5">
      <c r="A24" s="7">
        <f>ROW()</f>
        <v>24</v>
      </c>
      <c r="B24" s="8" t="s">
        <v>1479</v>
      </c>
      <c r="C24" s="8" t="s">
        <v>1465</v>
      </c>
      <c r="D24" s="8" t="str">
        <f t="shared" si="0"/>
        <v>1. Besteuerung von Geldleistungen</v>
      </c>
      <c r="E24" s="23" t="s">
        <v>1509</v>
      </c>
      <c r="F24" s="2" t="s">
        <v>2260</v>
      </c>
    </row>
    <row r="25" spans="1:6" ht="387">
      <c r="A25" s="7">
        <f>ROW()</f>
        <v>25</v>
      </c>
      <c r="B25" s="8" t="s">
        <v>1479</v>
      </c>
      <c r="C25" s="8" t="s">
        <v>1465</v>
      </c>
      <c r="D25" s="8" t="str">
        <f t="shared" si="0"/>
        <v>2. Einkommensgrenze für Besteuerung von Geldleistungen</v>
      </c>
      <c r="E25" s="23" t="s">
        <v>1511</v>
      </c>
      <c r="F25" s="2" t="s">
        <v>2261</v>
      </c>
    </row>
    <row r="26" spans="1:6" ht="288.75">
      <c r="A26" s="7">
        <f>ROW()</f>
        <v>26</v>
      </c>
      <c r="B26" s="8" t="s">
        <v>1479</v>
      </c>
      <c r="C26" s="8" t="s">
        <v>1465</v>
      </c>
      <c r="D26" s="8" t="str">
        <f t="shared" si="0"/>
        <v>3. Auf Leistungen anfallende Sozialabgaben</v>
      </c>
      <c r="E26" s="23" t="s">
        <v>1512</v>
      </c>
      <c r="F26" s="2" t="s">
        <v>1364</v>
      </c>
    </row>
    <row r="27" spans="1:6" ht="138">
      <c r="A27" s="7">
        <f>ROW()</f>
        <v>27</v>
      </c>
      <c r="B27" s="8" t="s">
        <v>1479</v>
      </c>
      <c r="C27" s="8" t="s">
        <v>1514</v>
      </c>
      <c r="D27" s="8" t="str">
        <f t="shared" si="0"/>
        <v>Anwendungsbereich</v>
      </c>
      <c r="E27" s="23" t="s">
        <v>1467</v>
      </c>
      <c r="F27" s="2" t="s">
        <v>708</v>
      </c>
    </row>
    <row r="28" spans="1:6" ht="110.25">
      <c r="A28" s="7">
        <f>ROW()</f>
        <v>28</v>
      </c>
      <c r="B28" s="8" t="s">
        <v>1479</v>
      </c>
      <c r="C28" s="8" t="s">
        <v>1514</v>
      </c>
      <c r="D28" s="8" t="str">
        <f t="shared" si="0"/>
        <v>Grundprinzipien</v>
      </c>
      <c r="E28" s="23" t="s">
        <v>1468</v>
      </c>
      <c r="F28" s="2" t="s">
        <v>734</v>
      </c>
    </row>
    <row r="29" spans="1:6" ht="224.25">
      <c r="A29" s="7">
        <f>ROW()</f>
        <v>29</v>
      </c>
      <c r="B29" s="8" t="s">
        <v>1479</v>
      </c>
      <c r="C29" s="8" t="s">
        <v>1514</v>
      </c>
      <c r="D29" s="8" t="str">
        <f t="shared" si="0"/>
        <v>Voraussetzungen für die Deckung</v>
      </c>
      <c r="E29" s="23" t="s">
        <v>1469</v>
      </c>
      <c r="F29" s="2" t="s">
        <v>761</v>
      </c>
    </row>
    <row r="30" spans="1:6" ht="409.5">
      <c r="A30" s="7">
        <f>ROW()</f>
        <v>30</v>
      </c>
      <c r="B30" s="8" t="s">
        <v>1479</v>
      </c>
      <c r="C30" s="8" t="s">
        <v>1514</v>
      </c>
      <c r="D30" s="9" t="str">
        <f t="shared" si="0"/>
        <v>Kombination von selbstständiger und unselbstständiger Tätigkeit</v>
      </c>
      <c r="E30" s="23" t="s">
        <v>1462</v>
      </c>
      <c r="F30" s="2" t="s">
        <v>782</v>
      </c>
    </row>
    <row r="31" spans="1:6" ht="376.5">
      <c r="A31" s="7">
        <f>ROW()</f>
        <v>31</v>
      </c>
      <c r="B31" s="8" t="s">
        <v>1479</v>
      </c>
      <c r="C31" s="8" t="s">
        <v>1459</v>
      </c>
      <c r="D31" s="9" t="str">
        <f t="shared" si="0"/>
        <v xml:space="preserve">Voraussetzungen für den Zugang zu Diensten/Leistungen </v>
      </c>
      <c r="E31" s="23" t="s">
        <v>1463</v>
      </c>
      <c r="F31" s="2" t="s">
        <v>795</v>
      </c>
    </row>
    <row r="32" spans="1:6" ht="253.5">
      <c r="A32" s="7">
        <f>ROW()</f>
        <v>32</v>
      </c>
      <c r="B32" s="8" t="s">
        <v>1479</v>
      </c>
      <c r="C32" s="8" t="s">
        <v>1459</v>
      </c>
      <c r="D32" s="8" t="str">
        <f t="shared" si="0"/>
        <v>Beträge, Dauer und Kostenbeteiligung</v>
      </c>
      <c r="E32" s="23" t="s">
        <v>1464</v>
      </c>
      <c r="F32" s="2" t="s">
        <v>2262</v>
      </c>
    </row>
    <row r="33" spans="1:6" ht="216">
      <c r="A33" s="7">
        <f>ROW()</f>
        <v>33</v>
      </c>
      <c r="B33" s="8" t="s">
        <v>1479</v>
      </c>
      <c r="C33" s="8" t="s">
        <v>1459</v>
      </c>
      <c r="D33" s="8" t="str">
        <f t="shared" si="0"/>
        <v>Besteuerung von Geldleistungen</v>
      </c>
      <c r="E33" s="23" t="s">
        <v>1456</v>
      </c>
      <c r="F33" s="2" t="s">
        <v>785</v>
      </c>
    </row>
    <row r="34" spans="1:6" ht="276.75">
      <c r="A34" s="7">
        <f>ROW()</f>
        <v>34</v>
      </c>
      <c r="B34" s="8" t="s">
        <v>1479</v>
      </c>
      <c r="C34" s="8" t="s">
        <v>1459</v>
      </c>
      <c r="D34" s="8" t="str">
        <f t="shared" si="0"/>
        <v xml:space="preserve"> Auf Leistungen anfallende Sozialabgaben</v>
      </c>
      <c r="E34" s="23" t="s">
        <v>1518</v>
      </c>
      <c r="F34" s="2" t="s">
        <v>785</v>
      </c>
    </row>
    <row r="35" spans="1:6" ht="177">
      <c r="A35" s="7">
        <f>ROW()</f>
        <v>35</v>
      </c>
      <c r="B35" s="8" t="s">
        <v>1519</v>
      </c>
      <c r="C35" s="8" t="str">
        <f>+D35</f>
        <v>Geltende Rechtsgrundlage</v>
      </c>
      <c r="D35" s="8" t="str">
        <f>+E35</f>
        <v>Geltende Rechtsgrundlage</v>
      </c>
      <c r="E35" s="22" t="s">
        <v>1472</v>
      </c>
      <c r="F35" s="2" t="s">
        <v>57</v>
      </c>
    </row>
    <row r="36" spans="1:6" ht="120">
      <c r="A36" s="7">
        <f>ROW()</f>
        <v>36</v>
      </c>
      <c r="B36" s="8" t="s">
        <v>1519</v>
      </c>
      <c r="C36" s="8" t="str">
        <f>+D36</f>
        <v>Grundprinzipien</v>
      </c>
      <c r="D36" s="8" t="str">
        <f>+E36</f>
        <v>Grundprinzipien</v>
      </c>
      <c r="E36" s="22" t="s">
        <v>1468</v>
      </c>
      <c r="F36" s="2" t="s">
        <v>81</v>
      </c>
    </row>
    <row r="37" spans="1:6" ht="159.75">
      <c r="A37" s="7">
        <f>ROW()</f>
        <v>37</v>
      </c>
      <c r="B37" s="8" t="s">
        <v>1519</v>
      </c>
      <c r="C37" s="8" t="s">
        <v>1467</v>
      </c>
      <c r="D37" s="8" t="str">
        <f>+E37</f>
        <v>1. Versicherte Personen</v>
      </c>
      <c r="E37" s="23" t="s">
        <v>1520</v>
      </c>
      <c r="F37" s="2" t="s">
        <v>106</v>
      </c>
    </row>
    <row r="38" spans="1:6" ht="371.25">
      <c r="A38" s="7">
        <f>ROW()</f>
        <v>38</v>
      </c>
      <c r="B38" s="8" t="s">
        <v>1519</v>
      </c>
      <c r="C38" s="8" t="s">
        <v>1467</v>
      </c>
      <c r="D38" s="8" t="str">
        <f t="shared" ref="D38:D58" si="1">+E38</f>
        <v>2. Ausnahmen von der Deckung  der Pflichtversicherung</v>
      </c>
      <c r="E38" s="23" t="s">
        <v>1521</v>
      </c>
      <c r="F38" s="2" t="s">
        <v>126</v>
      </c>
    </row>
    <row r="39" spans="1:6" ht="194.25">
      <c r="A39" s="7">
        <f>ROW()</f>
        <v>39</v>
      </c>
      <c r="B39" s="8" t="s">
        <v>1519</v>
      </c>
      <c r="C39" s="8" t="s">
        <v>128</v>
      </c>
      <c r="D39" s="8" t="str">
        <f t="shared" si="1"/>
        <v>1. Rentenalter</v>
      </c>
      <c r="E39" s="23" t="s">
        <v>1523</v>
      </c>
      <c r="F39" s="2" t="s">
        <v>147</v>
      </c>
    </row>
    <row r="40" spans="1:6" ht="409.5">
      <c r="A40" s="7">
        <f>ROW()</f>
        <v>40</v>
      </c>
      <c r="B40" s="8" t="s">
        <v>1519</v>
      </c>
      <c r="C40" s="8" t="s">
        <v>128</v>
      </c>
      <c r="D40" s="8" t="str">
        <f t="shared" si="1"/>
        <v>2. Anwartschaftszeit und sonstige Anspruchsvoraussetzungen für den Bezug einer Altersrente</v>
      </c>
      <c r="E40" s="23" t="s">
        <v>1524</v>
      </c>
      <c r="F40" s="2" t="s">
        <v>170</v>
      </c>
    </row>
    <row r="41" spans="1:6" ht="255">
      <c r="A41" s="7">
        <f>ROW()</f>
        <v>41</v>
      </c>
      <c r="B41" s="8" t="s">
        <v>1519</v>
      </c>
      <c r="C41" s="8" t="s">
        <v>128</v>
      </c>
      <c r="D41" s="8" t="str">
        <f t="shared" si="1"/>
        <v>3. Vorruhestand</v>
      </c>
      <c r="E41" s="23" t="s">
        <v>1525</v>
      </c>
      <c r="F41" s="2" t="s">
        <v>3616</v>
      </c>
    </row>
    <row r="42" spans="1:6" ht="264">
      <c r="A42" s="7">
        <f>ROW()</f>
        <v>42</v>
      </c>
      <c r="B42" s="8" t="s">
        <v>1519</v>
      </c>
      <c r="C42" s="8" t="s">
        <v>128</v>
      </c>
      <c r="D42" s="8" t="str">
        <f t="shared" si="1"/>
        <v>4. Beschwerliche und gefährliche Arbeit</v>
      </c>
      <c r="E42" s="23" t="s">
        <v>1526</v>
      </c>
      <c r="F42" s="2" t="s">
        <v>3617</v>
      </c>
    </row>
    <row r="43" spans="1:6" ht="194.25">
      <c r="A43" s="7">
        <f>ROW()</f>
        <v>43</v>
      </c>
      <c r="B43" s="8" t="s">
        <v>1519</v>
      </c>
      <c r="C43" s="8" t="s">
        <v>128</v>
      </c>
      <c r="D43" s="8" t="str">
        <f t="shared" si="1"/>
        <v>5. Rentenaufschub</v>
      </c>
      <c r="E43" s="23" t="s">
        <v>1527</v>
      </c>
      <c r="F43" s="2" t="s">
        <v>229</v>
      </c>
    </row>
    <row r="44" spans="1:6" ht="174">
      <c r="A44" s="7">
        <f>ROW()</f>
        <v>44</v>
      </c>
      <c r="B44" s="8" t="s">
        <v>1519</v>
      </c>
      <c r="C44" s="8" t="s">
        <v>1459</v>
      </c>
      <c r="D44" s="8" t="str">
        <f t="shared" si="1"/>
        <v>1. Bestimmende Faktoren</v>
      </c>
      <c r="E44" s="23" t="s">
        <v>1528</v>
      </c>
      <c r="F44" s="2" t="s">
        <v>251</v>
      </c>
    </row>
    <row r="45" spans="1:6" ht="349.5">
      <c r="A45" s="7">
        <f>ROW()</f>
        <v>45</v>
      </c>
      <c r="B45" s="8" t="s">
        <v>1519</v>
      </c>
      <c r="C45" s="8" t="s">
        <v>1459</v>
      </c>
      <c r="D45" s="8" t="str">
        <f t="shared" si="1"/>
        <v>2. Berechnungsmethode, Rentenformel bzw. Beträge</v>
      </c>
      <c r="E45" s="23" t="s">
        <v>1529</v>
      </c>
      <c r="F45" s="2" t="s">
        <v>268</v>
      </c>
    </row>
    <row r="46" spans="1:6" ht="343.5">
      <c r="A46" s="7">
        <f>ROW()</f>
        <v>46</v>
      </c>
      <c r="B46" s="8" t="s">
        <v>1519</v>
      </c>
      <c r="C46" s="8" t="s">
        <v>1459</v>
      </c>
      <c r="D46" s="8" t="str">
        <f t="shared" si="1"/>
        <v>3. Referenzeinkommen bzw. Berechnungsgrundlage</v>
      </c>
      <c r="E46" s="23" t="s">
        <v>1530</v>
      </c>
      <c r="F46" s="2" t="s">
        <v>294</v>
      </c>
    </row>
    <row r="47" spans="1:6" ht="405">
      <c r="A47" s="7">
        <f>ROW()</f>
        <v>47</v>
      </c>
      <c r="B47" s="8" t="s">
        <v>1519</v>
      </c>
      <c r="C47" s="8" t="s">
        <v>1459</v>
      </c>
      <c r="D47" s="8" t="str">
        <f t="shared" si="1"/>
        <v>4. Anrechenbare oder als Beitragszeiten gewertete Zeiträume</v>
      </c>
      <c r="E47" s="23" t="s">
        <v>1496</v>
      </c>
      <c r="F47" s="2" t="s">
        <v>308</v>
      </c>
    </row>
    <row r="48" spans="1:6" ht="243.75">
      <c r="A48" s="7">
        <f>ROW()</f>
        <v>48</v>
      </c>
      <c r="B48" s="8" t="s">
        <v>1519</v>
      </c>
      <c r="C48" s="8" t="s">
        <v>1459</v>
      </c>
      <c r="D48" s="8" t="str">
        <f t="shared" si="1"/>
        <v>5. Rückkauf von Versicherungszeiten</v>
      </c>
      <c r="E48" s="23" t="s">
        <v>1531</v>
      </c>
      <c r="F48" s="2" t="s">
        <v>313</v>
      </c>
    </row>
    <row r="49" spans="1:6" ht="246">
      <c r="A49" s="7">
        <f>ROW()</f>
        <v>49</v>
      </c>
      <c r="B49" s="8" t="s">
        <v>1519</v>
      </c>
      <c r="C49" s="8" t="s">
        <v>1459</v>
      </c>
      <c r="D49" s="8" t="str">
        <f t="shared" si="1"/>
        <v>6.  Zulagen für Unterhaltsberechtigte</v>
      </c>
      <c r="E49" s="23" t="s">
        <v>1631</v>
      </c>
      <c r="F49" s="2" t="s">
        <v>346</v>
      </c>
    </row>
    <row r="50" spans="1:6" ht="145.5">
      <c r="A50" s="7">
        <f>ROW()</f>
        <v>50</v>
      </c>
      <c r="B50" s="8" t="s">
        <v>1519</v>
      </c>
      <c r="C50" s="8" t="s">
        <v>1459</v>
      </c>
      <c r="D50" s="8" t="str">
        <f t="shared" si="1"/>
        <v>7. Besondere Zulagen</v>
      </c>
      <c r="E50" s="23" t="s">
        <v>1532</v>
      </c>
      <c r="F50" s="2" t="s">
        <v>366</v>
      </c>
    </row>
    <row r="51" spans="1:6" ht="360.75">
      <c r="A51" s="7">
        <f>ROW()</f>
        <v>51</v>
      </c>
      <c r="B51" s="8" t="s">
        <v>1519</v>
      </c>
      <c r="C51" s="8" t="s">
        <v>1459</v>
      </c>
      <c r="D51" s="8" t="str">
        <f t="shared" si="1"/>
        <v>8. Mindestrente und bedürftigkeitsabhängige Leistung</v>
      </c>
      <c r="E51" s="23" t="s">
        <v>1533</v>
      </c>
      <c r="F51" s="2" t="s">
        <v>3618</v>
      </c>
    </row>
    <row r="52" spans="1:6" ht="101.25">
      <c r="A52" s="7">
        <f>ROW()</f>
        <v>52</v>
      </c>
      <c r="B52" s="8" t="s">
        <v>1519</v>
      </c>
      <c r="C52" s="8" t="s">
        <v>1459</v>
      </c>
      <c r="D52" s="8" t="str">
        <f t="shared" si="1"/>
        <v>9. Höchstrente</v>
      </c>
      <c r="E52" s="23" t="s">
        <v>1534</v>
      </c>
      <c r="F52" s="2" t="s">
        <v>416</v>
      </c>
    </row>
    <row r="53" spans="1:6" ht="119.25">
      <c r="A53" s="7">
        <f>ROW()</f>
        <v>53</v>
      </c>
      <c r="B53" s="8" t="s">
        <v>1519</v>
      </c>
      <c r="C53" s="8" t="s">
        <v>1459</v>
      </c>
      <c r="D53" s="8" t="str">
        <f t="shared" si="1"/>
        <v>10. Vorruhestand</v>
      </c>
      <c r="E53" s="23" t="s">
        <v>1535</v>
      </c>
      <c r="F53" s="2" t="s">
        <v>444</v>
      </c>
    </row>
    <row r="54" spans="1:6" ht="272.25">
      <c r="A54" s="7">
        <f>ROW()</f>
        <v>54</v>
      </c>
      <c r="B54" s="8" t="s">
        <v>1519</v>
      </c>
      <c r="C54" s="8" t="s">
        <v>1459</v>
      </c>
      <c r="D54" s="8" t="str">
        <f t="shared" si="1"/>
        <v>11. Beschwerliche und gefährliche Arbeit</v>
      </c>
      <c r="E54" s="23" t="s">
        <v>1536</v>
      </c>
      <c r="F54" s="2" t="s">
        <v>468</v>
      </c>
    </row>
    <row r="55" spans="1:6" ht="90">
      <c r="A55" s="7">
        <f>ROW()</f>
        <v>55</v>
      </c>
      <c r="B55" s="8" t="s">
        <v>1519</v>
      </c>
      <c r="C55" s="8" t="s">
        <v>1459</v>
      </c>
      <c r="D55" s="8" t="str">
        <f t="shared" si="1"/>
        <v>12. Teilrente</v>
      </c>
      <c r="E55" s="23" t="s">
        <v>1537</v>
      </c>
      <c r="F55" s="2" t="s">
        <v>495</v>
      </c>
    </row>
    <row r="56" spans="1:6" ht="171.75">
      <c r="A56" s="7">
        <f>ROW()</f>
        <v>56</v>
      </c>
      <c r="B56" s="8" t="s">
        <v>1519</v>
      </c>
      <c r="C56" s="8" t="s">
        <v>1459</v>
      </c>
      <c r="D56" s="8" t="str">
        <f t="shared" si="1"/>
        <v>13. Aufgeschobene Rente</v>
      </c>
      <c r="E56" s="23" t="s">
        <v>1632</v>
      </c>
      <c r="F56" s="2" t="s">
        <v>3619</v>
      </c>
    </row>
    <row r="57" spans="1:6" ht="179.25">
      <c r="A57" s="7">
        <f>ROW()</f>
        <v>57</v>
      </c>
      <c r="B57" s="8" t="s">
        <v>1519</v>
      </c>
      <c r="C57" s="8" t="s">
        <v>1538</v>
      </c>
      <c r="D57" s="8" t="s">
        <v>1538</v>
      </c>
      <c r="E57" s="22" t="s">
        <v>1538</v>
      </c>
      <c r="F57" s="2" t="s">
        <v>552</v>
      </c>
    </row>
    <row r="58" spans="1:6" ht="246">
      <c r="A58" s="7">
        <f>ROW()</f>
        <v>58</v>
      </c>
      <c r="B58" s="8" t="s">
        <v>1519</v>
      </c>
      <c r="C58" s="8" t="s">
        <v>1538</v>
      </c>
      <c r="D58" s="8" t="str">
        <f t="shared" si="1"/>
        <v xml:space="preserve">Kumulation mit Erwerbseinkommen </v>
      </c>
      <c r="E58" s="22" t="s">
        <v>1461</v>
      </c>
      <c r="F58" s="2" t="s">
        <v>579</v>
      </c>
    </row>
    <row r="59" spans="1:6" ht="286.5">
      <c r="A59" s="7">
        <f>ROW()</f>
        <v>59</v>
      </c>
      <c r="B59" s="8" t="s">
        <v>1519</v>
      </c>
      <c r="C59" s="8" t="s">
        <v>1538</v>
      </c>
      <c r="D59" s="8" t="s">
        <v>1539</v>
      </c>
      <c r="E59" s="22" t="s">
        <v>1460</v>
      </c>
      <c r="F59" s="2" t="s">
        <v>608</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662</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708</v>
      </c>
    </row>
    <row r="64" spans="1:6" ht="132.75">
      <c r="A64" s="7">
        <f>ROW()</f>
        <v>64</v>
      </c>
      <c r="B64" s="8" t="s">
        <v>1543</v>
      </c>
      <c r="C64" s="8" t="s">
        <v>1514</v>
      </c>
      <c r="D64" s="8" t="str">
        <f t="shared" si="2"/>
        <v>Grundprinzipien</v>
      </c>
      <c r="E64" s="23" t="s">
        <v>1468</v>
      </c>
      <c r="F64" s="2" t="s">
        <v>734</v>
      </c>
    </row>
    <row r="65" spans="1:6" ht="224.25">
      <c r="A65" s="7">
        <f>ROW()</f>
        <v>65</v>
      </c>
      <c r="B65" s="8" t="s">
        <v>1543</v>
      </c>
      <c r="C65" s="8" t="s">
        <v>1514</v>
      </c>
      <c r="D65" s="8" t="str">
        <f t="shared" si="2"/>
        <v>Voraussetzungen für die Deckung</v>
      </c>
      <c r="E65" s="23" t="s">
        <v>1469</v>
      </c>
      <c r="F65" s="2" t="s">
        <v>761</v>
      </c>
    </row>
    <row r="66" spans="1:6" ht="409.5">
      <c r="A66" s="7">
        <f>ROW()</f>
        <v>66</v>
      </c>
      <c r="B66" s="8" t="s">
        <v>1543</v>
      </c>
      <c r="C66" s="8" t="s">
        <v>1514</v>
      </c>
      <c r="D66" s="8" t="str">
        <f t="shared" si="2"/>
        <v>Kombination von selbstständiger und unselbstständiger Tätigkeit</v>
      </c>
      <c r="E66" s="23" t="s">
        <v>1462</v>
      </c>
      <c r="F66" s="2" t="s">
        <v>782</v>
      </c>
    </row>
    <row r="67" spans="1:6" ht="376.5">
      <c r="A67" s="7">
        <f>ROW()</f>
        <v>67</v>
      </c>
      <c r="B67" s="8" t="s">
        <v>1543</v>
      </c>
      <c r="C67" s="8" t="s">
        <v>1459</v>
      </c>
      <c r="D67" s="9" t="str">
        <f t="shared" si="2"/>
        <v xml:space="preserve">Voraussetzungen für den Zugang zu Diensten/Leistungen </v>
      </c>
      <c r="E67" s="23" t="s">
        <v>1463</v>
      </c>
      <c r="F67" s="2" t="s">
        <v>795</v>
      </c>
    </row>
    <row r="68" spans="1:6" ht="253.5">
      <c r="A68" s="7">
        <f>ROW()</f>
        <v>68</v>
      </c>
      <c r="B68" s="8" t="s">
        <v>1543</v>
      </c>
      <c r="C68" s="8" t="s">
        <v>1459</v>
      </c>
      <c r="D68" s="9" t="str">
        <f t="shared" si="2"/>
        <v>Beträge, Dauer und Kostenbeteiligung</v>
      </c>
      <c r="E68" s="23" t="s">
        <v>1464</v>
      </c>
      <c r="F68" s="2" t="s">
        <v>806</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785</v>
      </c>
    </row>
    <row r="71" spans="1:6" ht="240">
      <c r="A71" s="7">
        <f>ROW()</f>
        <v>71</v>
      </c>
      <c r="B71" s="8" t="s">
        <v>1466</v>
      </c>
      <c r="C71" s="8" t="str">
        <f t="shared" ref="C71:D75" si="3">+D71</f>
        <v>Geltende Rechtsgrundlage</v>
      </c>
      <c r="D71" s="9" t="str">
        <f t="shared" si="3"/>
        <v>Geltende Rechtsgrundlage</v>
      </c>
      <c r="E71" s="22" t="s">
        <v>1472</v>
      </c>
      <c r="F71" s="2" t="s">
        <v>856</v>
      </c>
    </row>
    <row r="72" spans="1:6" ht="110.25">
      <c r="A72" s="7">
        <f>ROW()</f>
        <v>72</v>
      </c>
      <c r="B72" s="8" t="s">
        <v>1466</v>
      </c>
      <c r="C72" s="8" t="str">
        <f t="shared" si="3"/>
        <v>Grundprinzipien</v>
      </c>
      <c r="D72" s="9" t="str">
        <f t="shared" si="3"/>
        <v>Grundprinzipien</v>
      </c>
      <c r="E72" s="22" t="s">
        <v>1468</v>
      </c>
      <c r="F72" s="2" t="s">
        <v>882</v>
      </c>
    </row>
    <row r="73" spans="1:6" ht="315">
      <c r="A73" s="7">
        <f>ROW()</f>
        <v>73</v>
      </c>
      <c r="B73" s="8" t="s">
        <v>1466</v>
      </c>
      <c r="C73" s="9" t="str">
        <f t="shared" si="3"/>
        <v>Anwendungsbereich (in Bezug auf Verstorbene)</v>
      </c>
      <c r="D73" s="9" t="str">
        <f t="shared" si="3"/>
        <v>Anwendungsbereich (in Bezug auf Verstorbene)</v>
      </c>
      <c r="E73" s="22" t="s">
        <v>1473</v>
      </c>
      <c r="F73" s="3" t="s">
        <v>27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918</v>
      </c>
    </row>
    <row r="75" spans="1:6" ht="195">
      <c r="A75" s="7">
        <f>ROW()</f>
        <v>75</v>
      </c>
      <c r="B75" s="8" t="s">
        <v>1466</v>
      </c>
      <c r="C75" s="9" t="str">
        <f t="shared" si="3"/>
        <v>Berechtigte Personen</v>
      </c>
      <c r="D75" s="9" t="str">
        <f t="shared" si="3"/>
        <v>Berechtigte Personen</v>
      </c>
      <c r="E75" s="22" t="s">
        <v>1477</v>
      </c>
      <c r="F75" s="2" t="s">
        <v>939</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3620</v>
      </c>
    </row>
    <row r="78" spans="1:6" ht="185.25">
      <c r="A78" s="7">
        <f>ROW()</f>
        <v>78</v>
      </c>
      <c r="B78" s="8" t="s">
        <v>1466</v>
      </c>
      <c r="C78" s="8" t="s">
        <v>1544</v>
      </c>
      <c r="D78" s="8" t="str">
        <f t="shared" si="4"/>
        <v>2. Hinterbliebener Ehegatte</v>
      </c>
      <c r="E78" s="23" t="s">
        <v>1546</v>
      </c>
      <c r="F78" s="2" t="s">
        <v>980</v>
      </c>
    </row>
    <row r="79" spans="1:6" ht="181.5">
      <c r="A79" s="7">
        <f>ROW()</f>
        <v>79</v>
      </c>
      <c r="B79" s="8" t="s">
        <v>1466</v>
      </c>
      <c r="C79" s="8" t="s">
        <v>1544</v>
      </c>
      <c r="D79" s="8" t="str">
        <f t="shared" si="4"/>
        <v>3. Geschiedener Ehegatte</v>
      </c>
      <c r="E79" s="23" t="s">
        <v>1547</v>
      </c>
      <c r="F79" s="2" t="s">
        <v>1003</v>
      </c>
    </row>
    <row r="80" spans="1:6" ht="216">
      <c r="A80" s="7">
        <f>ROW()</f>
        <v>80</v>
      </c>
      <c r="B80" s="8" t="s">
        <v>1466</v>
      </c>
      <c r="C80" s="8" t="s">
        <v>1544</v>
      </c>
      <c r="D80" s="8" t="str">
        <f t="shared" si="4"/>
        <v>4. Hinterbliebene Lebenspartner</v>
      </c>
      <c r="E80" s="23" t="s">
        <v>1548</v>
      </c>
      <c r="F80" s="2" t="s">
        <v>1023</v>
      </c>
    </row>
    <row r="81" spans="1:6" ht="181.5">
      <c r="A81" s="7">
        <f>ROW()</f>
        <v>81</v>
      </c>
      <c r="B81" s="8" t="s">
        <v>1466</v>
      </c>
      <c r="C81" s="8" t="s">
        <v>1544</v>
      </c>
      <c r="D81" s="8" t="str">
        <f t="shared" si="4"/>
        <v>5. Kinder</v>
      </c>
      <c r="E81" s="23" t="s">
        <v>1549</v>
      </c>
      <c r="F81" s="2" t="s">
        <v>3621</v>
      </c>
    </row>
    <row r="82" spans="1:6" ht="181.5">
      <c r="A82" s="7">
        <f>ROW()</f>
        <v>82</v>
      </c>
      <c r="B82" s="8" t="s">
        <v>1466</v>
      </c>
      <c r="C82" s="8" t="s">
        <v>1544</v>
      </c>
      <c r="D82" s="8" t="str">
        <f t="shared" si="4"/>
        <v>6. Andere Personen</v>
      </c>
      <c r="E82" s="23" t="s">
        <v>1550</v>
      </c>
      <c r="F82" s="2" t="s">
        <v>3622</v>
      </c>
    </row>
    <row r="83" spans="1:6" ht="409.5">
      <c r="A83" s="7">
        <f>ROW()</f>
        <v>83</v>
      </c>
      <c r="B83" s="8" t="s">
        <v>1466</v>
      </c>
      <c r="C83" s="8" t="s">
        <v>1459</v>
      </c>
      <c r="D83" s="9" t="str">
        <f t="shared" si="4"/>
        <v>1. Hinterbliebener Ehegatte, geschiedener Ehegatte, hinterbliebene Lebenspartner</v>
      </c>
      <c r="E83" s="23" t="s">
        <v>1551</v>
      </c>
      <c r="F83" s="2" t="s">
        <v>1080</v>
      </c>
    </row>
    <row r="84" spans="1:6" ht="280.5">
      <c r="A84" s="7">
        <f>ROW()</f>
        <v>84</v>
      </c>
      <c r="B84" s="8" t="s">
        <v>1466</v>
      </c>
      <c r="C84" s="8" t="s">
        <v>1459</v>
      </c>
      <c r="D84" s="9" t="str">
        <f t="shared" si="4"/>
        <v>2. Hinterbliebener Ehegatte: Wiederheirat</v>
      </c>
      <c r="E84" s="23" t="s">
        <v>1552</v>
      </c>
      <c r="F84" s="2" t="s">
        <v>3623</v>
      </c>
    </row>
    <row r="85" spans="1:6" ht="195">
      <c r="A85" s="7">
        <f>ROW()</f>
        <v>85</v>
      </c>
      <c r="B85" s="8" t="s">
        <v>1466</v>
      </c>
      <c r="C85" s="8" t="s">
        <v>1459</v>
      </c>
      <c r="D85" s="9" t="str">
        <f t="shared" si="4"/>
        <v>3. Kinder</v>
      </c>
      <c r="E85" s="23" t="s">
        <v>1553</v>
      </c>
      <c r="F85" s="2" t="s">
        <v>1127</v>
      </c>
    </row>
    <row r="86" spans="1:6" ht="147">
      <c r="A86" s="7">
        <f>ROW()</f>
        <v>86</v>
      </c>
      <c r="B86" s="8" t="s">
        <v>1466</v>
      </c>
      <c r="C86" s="8" t="s">
        <v>1459</v>
      </c>
      <c r="D86" s="9" t="str">
        <f t="shared" si="4"/>
        <v>4. Andere Berechtigte</v>
      </c>
      <c r="E86" s="23" t="s">
        <v>1554</v>
      </c>
      <c r="F86" s="2" t="s">
        <v>1141</v>
      </c>
    </row>
    <row r="87" spans="1:6" ht="381">
      <c r="A87" s="7">
        <f>ROW()</f>
        <v>87</v>
      </c>
      <c r="B87" s="8" t="s">
        <v>1466</v>
      </c>
      <c r="C87" s="8" t="s">
        <v>1459</v>
      </c>
      <c r="D87" s="9" t="str">
        <f t="shared" si="4"/>
        <v xml:space="preserve"> 5. Höchster zahlbarer Gesamtbetrag für alle Berechtigten</v>
      </c>
      <c r="E87" s="23" t="s">
        <v>1555</v>
      </c>
      <c r="F87" s="2" t="s">
        <v>1165</v>
      </c>
    </row>
    <row r="88" spans="1:6" ht="151.5">
      <c r="A88" s="7">
        <f>ROW()</f>
        <v>88</v>
      </c>
      <c r="B88" s="8" t="s">
        <v>1466</v>
      </c>
      <c r="C88" s="8" t="s">
        <v>1459</v>
      </c>
      <c r="D88" s="9" t="str">
        <f t="shared" si="4"/>
        <v>6. Sonstige Leistungen</v>
      </c>
      <c r="E88" s="23" t="s">
        <v>1556</v>
      </c>
      <c r="F88" s="2" t="s">
        <v>1187</v>
      </c>
    </row>
    <row r="89" spans="1:6" ht="375">
      <c r="A89" s="7">
        <f>ROW()</f>
        <v>89</v>
      </c>
      <c r="B89" s="8" t="s">
        <v>1466</v>
      </c>
      <c r="C89" s="8" t="s">
        <v>1459</v>
      </c>
      <c r="D89" s="9" t="str">
        <f>+E89</f>
        <v>7. Mindestleistung</v>
      </c>
      <c r="E89" s="23" t="s">
        <v>1557</v>
      </c>
      <c r="F89" s="2" t="s">
        <v>3624</v>
      </c>
    </row>
    <row r="90" spans="1:6" ht="122.25">
      <c r="A90" s="7">
        <f>ROW()</f>
        <v>90</v>
      </c>
      <c r="B90" s="8" t="s">
        <v>1466</v>
      </c>
      <c r="C90" s="8" t="s">
        <v>1459</v>
      </c>
      <c r="D90" s="9" t="str">
        <f t="shared" si="4"/>
        <v xml:space="preserve"> 8. Höchstleistung</v>
      </c>
      <c r="E90" s="23" t="s">
        <v>1558</v>
      </c>
      <c r="F90" s="2" t="s">
        <v>1230</v>
      </c>
    </row>
    <row r="91" spans="1:6" ht="179.25">
      <c r="A91" s="7">
        <f>ROW()</f>
        <v>91</v>
      </c>
      <c r="B91" s="8" t="s">
        <v>1466</v>
      </c>
      <c r="C91" s="8" t="s">
        <v>1538</v>
      </c>
      <c r="D91" s="9" t="str">
        <f>+C91</f>
        <v>Indexbindung / Anpassung</v>
      </c>
      <c r="E91" s="22" t="s">
        <v>1538</v>
      </c>
      <c r="F91" s="2" t="s">
        <v>552</v>
      </c>
    </row>
    <row r="92" spans="1:6" ht="242.25">
      <c r="A92" s="7">
        <f>ROW()</f>
        <v>92</v>
      </c>
      <c r="B92" s="8" t="s">
        <v>1466</v>
      </c>
      <c r="C92" s="8" t="s">
        <v>1538</v>
      </c>
      <c r="D92" s="9" t="str">
        <f t="shared" ref="D92:D105" si="5">+E92</f>
        <v>Kumulation mit Erwerbseinkommen</v>
      </c>
      <c r="E92" s="22" t="s">
        <v>1471</v>
      </c>
      <c r="F92" s="2" t="s">
        <v>1283</v>
      </c>
    </row>
    <row r="93" spans="1:6" ht="275.25">
      <c r="A93" s="7">
        <f>ROW()</f>
        <v>93</v>
      </c>
      <c r="B93" s="8" t="s">
        <v>1466</v>
      </c>
      <c r="C93" s="8" t="s">
        <v>1538</v>
      </c>
      <c r="D93" s="9" t="str">
        <f t="shared" si="5"/>
        <v>Kumulation mit anderen Sozialleistungen</v>
      </c>
      <c r="E93" s="22" t="s">
        <v>1460</v>
      </c>
      <c r="F93" s="2" t="s">
        <v>1312</v>
      </c>
    </row>
    <row r="94" spans="1:6" ht="232.5">
      <c r="A94" s="7">
        <f>ROW()</f>
        <v>94</v>
      </c>
      <c r="B94" s="8" t="s">
        <v>1466</v>
      </c>
      <c r="C94" s="9" t="s">
        <v>1465</v>
      </c>
      <c r="D94" s="9" t="str">
        <f t="shared" si="5"/>
        <v>1. Besteuerung von Geldleistungen</v>
      </c>
      <c r="E94" s="23" t="s">
        <v>1509</v>
      </c>
      <c r="F94" s="2" t="s">
        <v>1332</v>
      </c>
    </row>
    <row r="95" spans="1:6" ht="387">
      <c r="A95" s="7">
        <f>ROW()</f>
        <v>95</v>
      </c>
      <c r="B95" s="8" t="s">
        <v>1466</v>
      </c>
      <c r="C95" s="9" t="s">
        <v>1465</v>
      </c>
      <c r="D95" s="9" t="str">
        <f t="shared" si="5"/>
        <v>2. Einkommensgrenze für Besteuerung von Geldleistungen</v>
      </c>
      <c r="E95" s="23" t="s">
        <v>1511</v>
      </c>
      <c r="F95" s="2" t="s">
        <v>1355</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708</v>
      </c>
    </row>
    <row r="98" spans="1:6" ht="110.25">
      <c r="A98" s="7">
        <f>ROW()</f>
        <v>98</v>
      </c>
      <c r="B98" s="8" t="s">
        <v>1466</v>
      </c>
      <c r="C98" s="9" t="s">
        <v>1514</v>
      </c>
      <c r="D98" s="9" t="str">
        <f t="shared" si="5"/>
        <v>Grundprinzipien</v>
      </c>
      <c r="E98" s="23" t="s">
        <v>1468</v>
      </c>
      <c r="F98" s="2" t="s">
        <v>734</v>
      </c>
    </row>
    <row r="99" spans="1:6" ht="224.25">
      <c r="A99" s="7">
        <f>ROW()</f>
        <v>99</v>
      </c>
      <c r="B99" s="8" t="s">
        <v>1466</v>
      </c>
      <c r="C99" s="9" t="s">
        <v>1514</v>
      </c>
      <c r="D99" s="9" t="str">
        <f t="shared" si="5"/>
        <v>Voraussetzungen für die Deckung</v>
      </c>
      <c r="E99" s="23" t="s">
        <v>1469</v>
      </c>
      <c r="F99" s="2" t="s">
        <v>761</v>
      </c>
    </row>
    <row r="100" spans="1:6" ht="409.5">
      <c r="A100" s="7">
        <f>ROW()</f>
        <v>100</v>
      </c>
      <c r="B100" s="8" t="s">
        <v>1466</v>
      </c>
      <c r="C100" s="9" t="s">
        <v>1514</v>
      </c>
      <c r="D100" s="9" t="str">
        <f t="shared" si="5"/>
        <v>Kombination von selbstständiger und unselbstständiger Tätigkeit</v>
      </c>
      <c r="E100" s="23" t="s">
        <v>1462</v>
      </c>
      <c r="F100" s="2" t="s">
        <v>1421</v>
      </c>
    </row>
    <row r="101" spans="1:6" ht="376.5">
      <c r="A101" s="7">
        <f>ROW()</f>
        <v>101</v>
      </c>
      <c r="B101" s="8" t="s">
        <v>1466</v>
      </c>
      <c r="C101" s="9" t="s">
        <v>1514</v>
      </c>
      <c r="D101" s="9" t="str">
        <f t="shared" si="5"/>
        <v xml:space="preserve">Voraussetzungen für den Zugang zu Diensten/Leistungen </v>
      </c>
      <c r="E101" s="23" t="s">
        <v>1463</v>
      </c>
      <c r="F101" s="2" t="s">
        <v>795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sheetData>
  <sheetProtection algorithmName="SHA-512" hashValue="NMbcYDTxoEmnR0YjUDkzhekmqUAsAQJ8/se7RydZRJSKonXd7Zj/+JC5Bv/yQpqzVWdZJO7zcgAbVT5GrSvhgw==" saltValue="rXpzcgDSnQcOLgNqJJb3tg==" spinCount="100000" sheet="1" objects="1" scenarios="1" formatColumns="0" autoFilter="0"/>
  <autoFilter ref="A2:F2" xr:uid="{E98F2202-6281-4049-940C-61C5385E8249}"/>
  <pageMargins left="0.7" right="0.7" top="0.78740157499999996" bottom="0.78740157499999996"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D606-8D31-4EC7-88E2-D64893C1E0E3}">
  <sheetPr codeName="Tabelle30" filterMode="1"/>
  <dimension ref="A1:XFC105"/>
  <sheetViews>
    <sheetView zoomScaleNormal="100"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3" width="11.42578125" hidden="1"/>
    <col min="16384" max="16384" width="0.140625" hidden="1"/>
  </cols>
  <sheetData>
    <row r="1" spans="1:6" ht="64.5" customHeight="1">
      <c r="B1" s="129" t="s">
        <v>1474</v>
      </c>
      <c r="C1" s="126" t="s">
        <v>1478</v>
      </c>
      <c r="D1" s="126" t="s">
        <v>1475</v>
      </c>
      <c r="E1" s="118" t="s">
        <v>2245</v>
      </c>
      <c r="F1" s="6" t="s">
        <v>2263</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1661</v>
      </c>
    </row>
    <row r="4" spans="1:6" ht="110.25">
      <c r="A4" s="7">
        <f>ROW()</f>
        <v>4</v>
      </c>
      <c r="B4" s="8" t="s">
        <v>1479</v>
      </c>
      <c r="C4" s="1"/>
      <c r="D4" s="8" t="str">
        <f t="shared" ref="D4:D34" si="0">+E4</f>
        <v>Grundprinzipien</v>
      </c>
      <c r="E4" s="22" t="s">
        <v>1468</v>
      </c>
      <c r="F4" s="2" t="s">
        <v>1662</v>
      </c>
    </row>
    <row r="5" spans="1:6" ht="188.25">
      <c r="A5" s="7">
        <f>ROW()</f>
        <v>5</v>
      </c>
      <c r="B5" s="8" t="s">
        <v>1479</v>
      </c>
      <c r="C5" s="1"/>
      <c r="D5" s="8" t="str">
        <f t="shared" si="0"/>
        <v>Gedecktes Risiko: Definition</v>
      </c>
      <c r="E5" s="22" t="s">
        <v>1630</v>
      </c>
      <c r="F5" s="2" t="s">
        <v>1663</v>
      </c>
    </row>
    <row r="6" spans="1:6" ht="144">
      <c r="A6" s="7">
        <f>ROW()</f>
        <v>6</v>
      </c>
      <c r="B6" s="8" t="s">
        <v>1479</v>
      </c>
      <c r="C6" s="8" t="s">
        <v>1453</v>
      </c>
      <c r="D6" s="8" t="str">
        <f t="shared" si="0"/>
        <v>Versicherte Personen</v>
      </c>
      <c r="E6" s="23" t="s">
        <v>1453</v>
      </c>
      <c r="F6" s="2" t="s">
        <v>1664</v>
      </c>
    </row>
    <row r="7" spans="1:6" ht="273">
      <c r="A7" s="7">
        <f>ROW()</f>
        <v>7</v>
      </c>
      <c r="B7" s="8" t="s">
        <v>1479</v>
      </c>
      <c r="C7" s="8" t="str">
        <f>+E6</f>
        <v>Versicherte Personen</v>
      </c>
      <c r="D7" s="8" t="str">
        <f t="shared" si="0"/>
        <v>Ausnahmen von der Versicherungspflicht</v>
      </c>
      <c r="E7" s="23" t="s">
        <v>1458</v>
      </c>
      <c r="F7" s="3" t="s">
        <v>2450</v>
      </c>
    </row>
    <row r="8" spans="1:6" ht="240">
      <c r="A8" s="7">
        <f>ROW()</f>
        <v>8</v>
      </c>
      <c r="B8" s="8" t="s">
        <v>1479</v>
      </c>
      <c r="C8" s="9" t="s">
        <v>128</v>
      </c>
      <c r="D8" s="8" t="str">
        <f t="shared" si="0"/>
        <v>1. Anwartschaftszeit</v>
      </c>
      <c r="E8" s="23" t="s">
        <v>1483</v>
      </c>
      <c r="F8" s="3" t="s">
        <v>1665</v>
      </c>
    </row>
    <row r="9" spans="1:6" ht="409.5">
      <c r="A9" s="7">
        <f>ROW()</f>
        <v>9</v>
      </c>
      <c r="B9" s="8" t="s">
        <v>1479</v>
      </c>
      <c r="C9" s="9" t="s">
        <v>128</v>
      </c>
      <c r="D9" s="8" t="str">
        <f t="shared" si="0"/>
        <v xml:space="preserve">2. Begutachtungskriterien und Kategorien der Arbeitsunfähigkeit/Arbeitsfähigkeit  </v>
      </c>
      <c r="E9" s="23" t="s">
        <v>1484</v>
      </c>
      <c r="F9" s="2" t="s">
        <v>1666</v>
      </c>
    </row>
    <row r="10" spans="1:6" ht="222">
      <c r="A10" s="7">
        <f>ROW()</f>
        <v>10</v>
      </c>
      <c r="B10" s="8" t="s">
        <v>1479</v>
      </c>
      <c r="C10" s="9" t="s">
        <v>128</v>
      </c>
      <c r="D10" s="8" t="str">
        <f t="shared" si="0"/>
        <v>3. Zeitraum der Leistungszahlung</v>
      </c>
      <c r="E10" s="23" t="s">
        <v>1486</v>
      </c>
      <c r="F10" s="2" t="s">
        <v>1667</v>
      </c>
    </row>
    <row r="11" spans="1:6" ht="105">
      <c r="A11" s="7">
        <f>ROW()</f>
        <v>11</v>
      </c>
      <c r="B11" s="8" t="s">
        <v>1479</v>
      </c>
      <c r="C11" s="9" t="s">
        <v>1488</v>
      </c>
      <c r="D11" s="8" t="str">
        <f t="shared" si="0"/>
        <v>1. Gutachter</v>
      </c>
      <c r="E11" s="23" t="s">
        <v>1489</v>
      </c>
      <c r="F11" s="2" t="s">
        <v>1668</v>
      </c>
    </row>
    <row r="12" spans="1:6" ht="111.75">
      <c r="A12" s="7">
        <f>ROW()</f>
        <v>12</v>
      </c>
      <c r="B12" s="8" t="s">
        <v>1479</v>
      </c>
      <c r="C12" s="9" t="s">
        <v>1488</v>
      </c>
      <c r="D12" s="8" t="str">
        <f t="shared" si="0"/>
        <v xml:space="preserve">2. Überprüfung  </v>
      </c>
      <c r="E12" s="23" t="s">
        <v>1490</v>
      </c>
      <c r="F12" s="2" t="s">
        <v>1669</v>
      </c>
    </row>
    <row r="13" spans="1:6" ht="291.75">
      <c r="A13" s="7">
        <f>ROW()</f>
        <v>13</v>
      </c>
      <c r="B13" s="8" t="s">
        <v>1479</v>
      </c>
      <c r="C13" s="8" t="s">
        <v>1459</v>
      </c>
      <c r="D13" s="8" t="str">
        <f t="shared" si="0"/>
        <v>1. Berechnungsmethode bzw. Rentenformel</v>
      </c>
      <c r="E13" s="23" t="s">
        <v>1492</v>
      </c>
      <c r="F13" s="3" t="s">
        <v>2455</v>
      </c>
    </row>
    <row r="14" spans="1:6" ht="343.5">
      <c r="A14" s="7">
        <f>ROW()</f>
        <v>14</v>
      </c>
      <c r="B14" s="8" t="s">
        <v>1479</v>
      </c>
      <c r="C14" s="8" t="s">
        <v>1459</v>
      </c>
      <c r="D14" s="8" t="str">
        <f t="shared" si="0"/>
        <v>2. Referenzeinkommen bzw. Berechnungsgrundlage</v>
      </c>
      <c r="E14" s="23" t="s">
        <v>1493</v>
      </c>
      <c r="F14" s="2" t="s">
        <v>3625</v>
      </c>
    </row>
    <row r="15" spans="1:6" ht="226.5">
      <c r="A15" s="7">
        <f>ROW()</f>
        <v>15</v>
      </c>
      <c r="B15" s="8" t="s">
        <v>1479</v>
      </c>
      <c r="C15" s="8" t="s">
        <v>1459</v>
      </c>
      <c r="D15" s="8" t="str">
        <f t="shared" si="0"/>
        <v>3. Mindest- und Höchstleistungen</v>
      </c>
      <c r="E15" s="23" t="s">
        <v>1495</v>
      </c>
      <c r="F15" s="2" t="s">
        <v>3626</v>
      </c>
    </row>
    <row r="16" spans="1:6" ht="405">
      <c r="A16" s="7">
        <f>ROW()</f>
        <v>16</v>
      </c>
      <c r="B16" s="8" t="s">
        <v>1479</v>
      </c>
      <c r="C16" s="8" t="s">
        <v>1459</v>
      </c>
      <c r="D16" s="8" t="str">
        <f t="shared" si="0"/>
        <v>4. Anrechenbare oder als Beitragszeiten gewertete Zeiträume</v>
      </c>
      <c r="E16" s="23" t="s">
        <v>1496</v>
      </c>
      <c r="F16" s="2" t="s">
        <v>3627</v>
      </c>
    </row>
    <row r="17" spans="1:6" ht="250.5">
      <c r="A17" s="7">
        <f>ROW()</f>
        <v>17</v>
      </c>
      <c r="B17" s="8" t="s">
        <v>1479</v>
      </c>
      <c r="C17" s="8" t="s">
        <v>1459</v>
      </c>
      <c r="D17" s="8" t="str">
        <f t="shared" si="0"/>
        <v xml:space="preserve">5. Zulagen für Unterhaltsberechtigte  </v>
      </c>
      <c r="E17" s="23" t="s">
        <v>1498</v>
      </c>
      <c r="F17" s="2" t="s">
        <v>336</v>
      </c>
    </row>
    <row r="18" spans="1:6" ht="135">
      <c r="A18" s="7">
        <f>ROW()</f>
        <v>18</v>
      </c>
      <c r="B18" s="8" t="s">
        <v>1479</v>
      </c>
      <c r="C18" s="8" t="str">
        <f>+E18</f>
        <v>Sonstige Leistungen</v>
      </c>
      <c r="D18" s="8" t="str">
        <f>+E18</f>
        <v>Sonstige Leistungen</v>
      </c>
      <c r="E18" s="22" t="s">
        <v>1455</v>
      </c>
      <c r="F18" s="2" t="s">
        <v>1178</v>
      </c>
    </row>
    <row r="19" spans="1:6" ht="330">
      <c r="A19" s="7">
        <f>ROW()</f>
        <v>19</v>
      </c>
      <c r="B19" s="8" t="s">
        <v>1479</v>
      </c>
      <c r="C19" s="8" t="s">
        <v>1500</v>
      </c>
      <c r="D19" s="8" t="str">
        <f t="shared" si="0"/>
        <v>Umschulung, berufsbezogene Rehabilitation</v>
      </c>
      <c r="E19" s="23" t="s">
        <v>1501</v>
      </c>
      <c r="F19" s="2" t="s">
        <v>1670</v>
      </c>
    </row>
    <row r="20" spans="1:6" ht="409.5">
      <c r="A20" s="7">
        <f>ROW()</f>
        <v>20</v>
      </c>
      <c r="B20" s="8" t="s">
        <v>1479</v>
      </c>
      <c r="C20" s="8" t="s">
        <v>1500</v>
      </c>
      <c r="D20" s="8" t="str">
        <f t="shared" si="0"/>
        <v xml:space="preserve">Bevorzugte und reservierte Beschäftigung von Menschen mit Behinderungen  </v>
      </c>
      <c r="E20" s="23" t="s">
        <v>1502</v>
      </c>
      <c r="F20" s="2" t="s">
        <v>3628</v>
      </c>
    </row>
    <row r="21" spans="1:6" ht="171.75">
      <c r="A21" s="7">
        <f>ROW()</f>
        <v>21</v>
      </c>
      <c r="B21" s="8" t="s">
        <v>1479</v>
      </c>
      <c r="C21" s="8" t="s">
        <v>1504</v>
      </c>
      <c r="D21" s="8" t="str">
        <f t="shared" si="0"/>
        <v>Indexbindung/Anpassung</v>
      </c>
      <c r="E21" s="22" t="s">
        <v>1505</v>
      </c>
      <c r="F21" s="2" t="s">
        <v>1671</v>
      </c>
    </row>
    <row r="22" spans="1:6" ht="242.25">
      <c r="A22" s="7">
        <f>ROW()</f>
        <v>22</v>
      </c>
      <c r="B22" s="8" t="s">
        <v>1479</v>
      </c>
      <c r="C22" s="8" t="s">
        <v>1504</v>
      </c>
      <c r="D22" s="8" t="str">
        <f>+E22</f>
        <v>Kumulation mit Erwerbseinkommen</v>
      </c>
      <c r="E22" s="22" t="s">
        <v>1471</v>
      </c>
      <c r="F22" s="2" t="s">
        <v>1672</v>
      </c>
    </row>
    <row r="23" spans="1:6" ht="275.25">
      <c r="A23" s="7">
        <f>ROW()</f>
        <v>23</v>
      </c>
      <c r="B23" s="8" t="s">
        <v>1479</v>
      </c>
      <c r="C23" s="8" t="s">
        <v>1504</v>
      </c>
      <c r="D23" s="8" t="str">
        <f t="shared" si="0"/>
        <v>Kumulation mit anderen Sozialleistungen</v>
      </c>
      <c r="E23" s="22" t="s">
        <v>1460</v>
      </c>
      <c r="F23" s="2" t="s">
        <v>1673</v>
      </c>
    </row>
    <row r="24" spans="1:6" ht="232.5">
      <c r="A24" s="7">
        <f>ROW()</f>
        <v>24</v>
      </c>
      <c r="B24" s="8" t="s">
        <v>1479</v>
      </c>
      <c r="C24" s="8" t="s">
        <v>1465</v>
      </c>
      <c r="D24" s="8" t="str">
        <f t="shared" si="0"/>
        <v>1. Besteuerung von Geldleistungen</v>
      </c>
      <c r="E24" s="23" t="s">
        <v>1509</v>
      </c>
      <c r="F24" s="2" t="s">
        <v>1674</v>
      </c>
    </row>
    <row r="25" spans="1:6" ht="387">
      <c r="A25" s="7">
        <f>ROW()</f>
        <v>25</v>
      </c>
      <c r="B25" s="8" t="s">
        <v>1479</v>
      </c>
      <c r="C25" s="8" t="s">
        <v>1465</v>
      </c>
      <c r="D25" s="8" t="str">
        <f t="shared" si="0"/>
        <v>2. Einkommensgrenze für Besteuerung von Geldleistungen</v>
      </c>
      <c r="E25" s="23" t="s">
        <v>1511</v>
      </c>
      <c r="F25" s="2" t="s">
        <v>1675</v>
      </c>
    </row>
    <row r="26" spans="1:6" ht="288.75">
      <c r="A26" s="7">
        <f>ROW()</f>
        <v>26</v>
      </c>
      <c r="B26" s="8" t="s">
        <v>1479</v>
      </c>
      <c r="C26" s="8" t="s">
        <v>1465</v>
      </c>
      <c r="D26" s="8" t="str">
        <f t="shared" si="0"/>
        <v>3. Auf Leistungen anfallende Sozialabgaben</v>
      </c>
      <c r="E26" s="23" t="s">
        <v>1512</v>
      </c>
      <c r="F26" s="2" t="s">
        <v>669</v>
      </c>
    </row>
    <row r="27" spans="1:6" ht="138">
      <c r="A27" s="7">
        <f>ROW()</f>
        <v>27</v>
      </c>
      <c r="B27" s="8" t="s">
        <v>1479</v>
      </c>
      <c r="C27" s="8" t="s">
        <v>1514</v>
      </c>
      <c r="D27" s="8" t="str">
        <f t="shared" si="0"/>
        <v>Anwendungsbereich</v>
      </c>
      <c r="E27" s="23" t="s">
        <v>1467</v>
      </c>
      <c r="F27" s="2" t="s">
        <v>687</v>
      </c>
    </row>
    <row r="28" spans="1:6" ht="110.25">
      <c r="A28" s="7">
        <f>ROW()</f>
        <v>28</v>
      </c>
      <c r="B28" s="8" t="s">
        <v>1479</v>
      </c>
      <c r="C28" s="8" t="s">
        <v>1514</v>
      </c>
      <c r="D28" s="8" t="str">
        <f t="shared" si="0"/>
        <v>Grundprinzipien</v>
      </c>
      <c r="E28" s="23" t="s">
        <v>1468</v>
      </c>
      <c r="F28" s="2" t="s">
        <v>1676</v>
      </c>
    </row>
    <row r="29" spans="1:6" ht="224.25">
      <c r="A29" s="7">
        <f>ROW()</f>
        <v>29</v>
      </c>
      <c r="B29" s="8" t="s">
        <v>1479</v>
      </c>
      <c r="C29" s="8" t="s">
        <v>1514</v>
      </c>
      <c r="D29" s="8" t="str">
        <f t="shared" si="0"/>
        <v>Voraussetzungen für die Deckung</v>
      </c>
      <c r="E29" s="23" t="s">
        <v>1469</v>
      </c>
      <c r="F29" s="2" t="s">
        <v>1677</v>
      </c>
    </row>
    <row r="30" spans="1:6" ht="409.5">
      <c r="A30" s="7">
        <f>ROW()</f>
        <v>30</v>
      </c>
      <c r="B30" s="8" t="s">
        <v>1479</v>
      </c>
      <c r="C30" s="8" t="s">
        <v>1514</v>
      </c>
      <c r="D30" s="9" t="str">
        <f t="shared" si="0"/>
        <v>Kombination von selbstständiger und unselbstständiger Tätigkeit</v>
      </c>
      <c r="E30" s="23" t="s">
        <v>1462</v>
      </c>
      <c r="F30" s="2" t="s">
        <v>3629</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807</v>
      </c>
    </row>
    <row r="33" spans="1:6" ht="216">
      <c r="A33" s="7">
        <f>ROW()</f>
        <v>33</v>
      </c>
      <c r="B33" s="8" t="s">
        <v>1479</v>
      </c>
      <c r="C33" s="8" t="s">
        <v>1459</v>
      </c>
      <c r="D33" s="8" t="str">
        <f t="shared" si="0"/>
        <v>Besteuerung von Geldleistungen</v>
      </c>
      <c r="E33" s="23" t="s">
        <v>1456</v>
      </c>
      <c r="F33" s="2" t="s">
        <v>1434</v>
      </c>
    </row>
    <row r="34" spans="1:6" ht="276.75">
      <c r="A34" s="7">
        <f>ROW()</f>
        <v>34</v>
      </c>
      <c r="B34" s="8" t="s">
        <v>1479</v>
      </c>
      <c r="C34" s="8" t="s">
        <v>1459</v>
      </c>
      <c r="D34" s="8" t="str">
        <f t="shared" si="0"/>
        <v xml:space="preserve"> Auf Leistungen anfallende Sozialabgaben</v>
      </c>
      <c r="E34" s="23" t="s">
        <v>1518</v>
      </c>
      <c r="F34" s="2" t="s">
        <v>831</v>
      </c>
    </row>
    <row r="35" spans="1:6" ht="177" hidden="1">
      <c r="A35" s="7">
        <f>ROW()</f>
        <v>35</v>
      </c>
      <c r="B35" s="8" t="s">
        <v>1519</v>
      </c>
      <c r="C35" s="8" t="str">
        <f>+D35</f>
        <v>Geltende Rechtsgrundlage</v>
      </c>
      <c r="D35" s="8" t="str">
        <f>+E35</f>
        <v>Geltende Rechtsgrundlage</v>
      </c>
      <c r="E35" s="22" t="s">
        <v>1472</v>
      </c>
      <c r="F35" s="2" t="s">
        <v>58</v>
      </c>
    </row>
    <row r="36" spans="1:6" ht="120" hidden="1">
      <c r="A36" s="7">
        <f>ROW()</f>
        <v>36</v>
      </c>
      <c r="B36" s="8" t="s">
        <v>1519</v>
      </c>
      <c r="C36" s="8" t="str">
        <f>+D36</f>
        <v>Grundprinzipien</v>
      </c>
      <c r="D36" s="8" t="str">
        <f>+E36</f>
        <v>Grundprinzipien</v>
      </c>
      <c r="E36" s="22" t="s">
        <v>1468</v>
      </c>
      <c r="F36" s="2" t="s">
        <v>82</v>
      </c>
    </row>
    <row r="37" spans="1:6" ht="159.75" hidden="1">
      <c r="A37" s="7">
        <f>ROW()</f>
        <v>37</v>
      </c>
      <c r="B37" s="8" t="s">
        <v>1519</v>
      </c>
      <c r="C37" s="8" t="s">
        <v>1467</v>
      </c>
      <c r="D37" s="8" t="str">
        <f>+E37</f>
        <v>1. Versicherte Personen</v>
      </c>
      <c r="E37" s="23" t="s">
        <v>1520</v>
      </c>
      <c r="F37" s="2" t="s">
        <v>107</v>
      </c>
    </row>
    <row r="38" spans="1:6" ht="371.25" hidden="1">
      <c r="A38" s="7">
        <f>ROW()</f>
        <v>38</v>
      </c>
      <c r="B38" s="8" t="s">
        <v>1519</v>
      </c>
      <c r="C38" s="8" t="s">
        <v>1467</v>
      </c>
      <c r="D38" s="8" t="str">
        <f t="shared" ref="D38:D58" si="1">+E38</f>
        <v>2. Ausnahmen von der Deckung  der Pflichtversicherung</v>
      </c>
      <c r="E38" s="23" t="s">
        <v>1521</v>
      </c>
      <c r="F38" s="3" t="s">
        <v>2450</v>
      </c>
    </row>
    <row r="39" spans="1:6" ht="210" hidden="1">
      <c r="A39" s="7">
        <f>ROW()</f>
        <v>39</v>
      </c>
      <c r="B39" s="8" t="s">
        <v>1519</v>
      </c>
      <c r="C39" s="8" t="s">
        <v>128</v>
      </c>
      <c r="D39" s="8" t="str">
        <f t="shared" si="1"/>
        <v>1. Rentenalter</v>
      </c>
      <c r="E39" s="23" t="s">
        <v>1523</v>
      </c>
      <c r="F39" s="3" t="s">
        <v>2451</v>
      </c>
    </row>
    <row r="40" spans="1:6" ht="409.5" hidden="1">
      <c r="A40" s="7">
        <f>ROW()</f>
        <v>40</v>
      </c>
      <c r="B40" s="8" t="s">
        <v>1519</v>
      </c>
      <c r="C40" s="8" t="s">
        <v>128</v>
      </c>
      <c r="D40" s="8" t="str">
        <f t="shared" si="1"/>
        <v>2. Anwartschaftszeit und sonstige Anspruchsvoraussetzungen für den Bezug einer Altersrente</v>
      </c>
      <c r="E40" s="23" t="s">
        <v>1524</v>
      </c>
      <c r="F40" s="2" t="s">
        <v>171</v>
      </c>
    </row>
    <row r="41" spans="1:6" ht="194.25" hidden="1">
      <c r="A41" s="7">
        <f>ROW()</f>
        <v>41</v>
      </c>
      <c r="B41" s="8" t="s">
        <v>1519</v>
      </c>
      <c r="C41" s="8" t="s">
        <v>128</v>
      </c>
      <c r="D41" s="8" t="str">
        <f t="shared" si="1"/>
        <v>3. Vorruhestand</v>
      </c>
      <c r="E41" s="23" t="s">
        <v>1525</v>
      </c>
      <c r="F41" s="2" t="s">
        <v>189</v>
      </c>
    </row>
    <row r="42" spans="1:6" ht="264" hidden="1">
      <c r="A42" s="7">
        <f>ROW()</f>
        <v>42</v>
      </c>
      <c r="B42" s="8" t="s">
        <v>1519</v>
      </c>
      <c r="C42" s="8" t="s">
        <v>128</v>
      </c>
      <c r="D42" s="8" t="str">
        <f t="shared" si="1"/>
        <v>4. Beschwerliche und gefährliche Arbeit</v>
      </c>
      <c r="E42" s="23" t="s">
        <v>1526</v>
      </c>
      <c r="F42" s="2" t="s">
        <v>206</v>
      </c>
    </row>
    <row r="43" spans="1:6" ht="194.25" hidden="1">
      <c r="A43" s="7">
        <f>ROW()</f>
        <v>43</v>
      </c>
      <c r="B43" s="8" t="s">
        <v>1519</v>
      </c>
      <c r="C43" s="8" t="s">
        <v>128</v>
      </c>
      <c r="D43" s="8" t="str">
        <f t="shared" si="1"/>
        <v>5. Rentenaufschub</v>
      </c>
      <c r="E43" s="23" t="s">
        <v>1527</v>
      </c>
      <c r="F43" s="2" t="s">
        <v>230</v>
      </c>
    </row>
    <row r="44" spans="1:6" ht="174" hidden="1">
      <c r="A44" s="7">
        <f>ROW()</f>
        <v>44</v>
      </c>
      <c r="B44" s="8" t="s">
        <v>1519</v>
      </c>
      <c r="C44" s="8" t="s">
        <v>1459</v>
      </c>
      <c r="D44" s="8" t="str">
        <f t="shared" si="1"/>
        <v>1. Bestimmende Faktoren</v>
      </c>
      <c r="E44" s="23" t="s">
        <v>1528</v>
      </c>
      <c r="F44" s="2" t="s">
        <v>252</v>
      </c>
    </row>
    <row r="45" spans="1:6" ht="349.5" hidden="1">
      <c r="A45" s="7">
        <f>ROW()</f>
        <v>45</v>
      </c>
      <c r="B45" s="8" t="s">
        <v>1519</v>
      </c>
      <c r="C45" s="8" t="s">
        <v>1459</v>
      </c>
      <c r="D45" s="8" t="str">
        <f t="shared" si="1"/>
        <v>2. Berechnungsmethode, Rentenformel bzw. Beträge</v>
      </c>
      <c r="E45" s="23" t="s">
        <v>1529</v>
      </c>
      <c r="F45" s="2" t="s">
        <v>269</v>
      </c>
    </row>
    <row r="46" spans="1:6" ht="343.5" hidden="1">
      <c r="A46" s="7">
        <f>ROW()</f>
        <v>46</v>
      </c>
      <c r="B46" s="8" t="s">
        <v>1519</v>
      </c>
      <c r="C46" s="8" t="s">
        <v>1459</v>
      </c>
      <c r="D46" s="8" t="str">
        <f t="shared" si="1"/>
        <v>3. Referenzeinkommen bzw. Berechnungsgrundlage</v>
      </c>
      <c r="E46" s="23" t="s">
        <v>1530</v>
      </c>
      <c r="F46" s="2" t="s">
        <v>295</v>
      </c>
    </row>
    <row r="47" spans="1:6" ht="405" hidden="1">
      <c r="A47" s="7">
        <f>ROW()</f>
        <v>47</v>
      </c>
      <c r="B47" s="8" t="s">
        <v>1519</v>
      </c>
      <c r="C47" s="8" t="s">
        <v>1459</v>
      </c>
      <c r="D47" s="8" t="str">
        <f t="shared" si="1"/>
        <v>4. Anrechenbare oder als Beitragszeiten gewertete Zeiträume</v>
      </c>
      <c r="E47" s="23" t="s">
        <v>1496</v>
      </c>
      <c r="F47" s="2" t="s">
        <v>309</v>
      </c>
    </row>
    <row r="48" spans="1:6" ht="243.75" hidden="1">
      <c r="A48" s="7">
        <f>ROW()</f>
        <v>48</v>
      </c>
      <c r="B48" s="8" t="s">
        <v>1519</v>
      </c>
      <c r="C48" s="8" t="s">
        <v>1459</v>
      </c>
      <c r="D48" s="8" t="str">
        <f t="shared" si="1"/>
        <v>5. Rückkauf von Versicherungszeiten</v>
      </c>
      <c r="E48" s="23" t="s">
        <v>1531</v>
      </c>
      <c r="F48" s="2" t="s">
        <v>327</v>
      </c>
    </row>
    <row r="49" spans="1:6" ht="246" hidden="1">
      <c r="A49" s="7">
        <f>ROW()</f>
        <v>49</v>
      </c>
      <c r="B49" s="8" t="s">
        <v>1519</v>
      </c>
      <c r="C49" s="8" t="s">
        <v>1459</v>
      </c>
      <c r="D49" s="8" t="str">
        <f t="shared" si="1"/>
        <v>6.  Zulagen für Unterhaltsberechtigte</v>
      </c>
      <c r="E49" s="23" t="s">
        <v>1631</v>
      </c>
      <c r="F49" s="2" t="s">
        <v>347</v>
      </c>
    </row>
    <row r="50" spans="1:6" ht="145.5" hidden="1">
      <c r="A50" s="7">
        <f>ROW()</f>
        <v>50</v>
      </c>
      <c r="B50" s="8" t="s">
        <v>1519</v>
      </c>
      <c r="C50" s="8" t="s">
        <v>1459</v>
      </c>
      <c r="D50" s="8" t="str">
        <f t="shared" si="1"/>
        <v>7. Besondere Zulagen</v>
      </c>
      <c r="E50" s="23" t="s">
        <v>1532</v>
      </c>
      <c r="F50" s="2" t="s">
        <v>367</v>
      </c>
    </row>
    <row r="51" spans="1:6" ht="360.75" hidden="1">
      <c r="A51" s="7">
        <f>ROW()</f>
        <v>51</v>
      </c>
      <c r="B51" s="8" t="s">
        <v>1519</v>
      </c>
      <c r="C51" s="8" t="s">
        <v>1459</v>
      </c>
      <c r="D51" s="8" t="str">
        <f t="shared" si="1"/>
        <v>8. Mindestrente und bedürftigkeitsabhängige Leistung</v>
      </c>
      <c r="E51" s="23" t="s">
        <v>1533</v>
      </c>
      <c r="F51" s="2" t="s">
        <v>393</v>
      </c>
    </row>
    <row r="52" spans="1:6" ht="101.25" hidden="1">
      <c r="A52" s="7">
        <f>ROW()</f>
        <v>52</v>
      </c>
      <c r="B52" s="8" t="s">
        <v>1519</v>
      </c>
      <c r="C52" s="8" t="s">
        <v>1459</v>
      </c>
      <c r="D52" s="8" t="str">
        <f t="shared" si="1"/>
        <v>9. Höchstrente</v>
      </c>
      <c r="E52" s="23" t="s">
        <v>1534</v>
      </c>
      <c r="F52" s="2" t="s">
        <v>417</v>
      </c>
    </row>
    <row r="53" spans="1:6" ht="119.25" hidden="1">
      <c r="A53" s="7">
        <f>ROW()</f>
        <v>53</v>
      </c>
      <c r="B53" s="8" t="s">
        <v>1519</v>
      </c>
      <c r="C53" s="8" t="s">
        <v>1459</v>
      </c>
      <c r="D53" s="8" t="str">
        <f t="shared" si="1"/>
        <v>10. Vorruhestand</v>
      </c>
      <c r="E53" s="23" t="s">
        <v>1535</v>
      </c>
      <c r="F53" s="2" t="s">
        <v>445</v>
      </c>
    </row>
    <row r="54" spans="1:6" ht="272.25" hidden="1">
      <c r="A54" s="7">
        <f>ROW()</f>
        <v>54</v>
      </c>
      <c r="B54" s="8" t="s">
        <v>1519</v>
      </c>
      <c r="C54" s="8" t="s">
        <v>1459</v>
      </c>
      <c r="D54" s="8" t="str">
        <f t="shared" si="1"/>
        <v>11. Beschwerliche und gefährliche Arbeit</v>
      </c>
      <c r="E54" s="23" t="s">
        <v>1536</v>
      </c>
      <c r="F54" s="2" t="s">
        <v>469</v>
      </c>
    </row>
    <row r="55" spans="1:6" ht="87.75" hidden="1">
      <c r="A55" s="7">
        <f>ROW()</f>
        <v>55</v>
      </c>
      <c r="B55" s="8" t="s">
        <v>1519</v>
      </c>
      <c r="C55" s="8" t="s">
        <v>1459</v>
      </c>
      <c r="D55" s="8" t="str">
        <f t="shared" si="1"/>
        <v>12. Teilrente</v>
      </c>
      <c r="E55" s="23" t="s">
        <v>1537</v>
      </c>
      <c r="F55" s="2" t="s">
        <v>479</v>
      </c>
    </row>
    <row r="56" spans="1:6" ht="171.75" hidden="1">
      <c r="A56" s="7">
        <f>ROW()</f>
        <v>56</v>
      </c>
      <c r="B56" s="8" t="s">
        <v>1519</v>
      </c>
      <c r="C56" s="8" t="s">
        <v>1459</v>
      </c>
      <c r="D56" s="8" t="str">
        <f t="shared" si="1"/>
        <v>13. Aufgeschobene Rente</v>
      </c>
      <c r="E56" s="23" t="s">
        <v>1632</v>
      </c>
      <c r="F56" s="2" t="s">
        <v>524</v>
      </c>
    </row>
    <row r="57" spans="1:6" ht="179.25" hidden="1">
      <c r="A57" s="7">
        <f>ROW()</f>
        <v>57</v>
      </c>
      <c r="B57" s="8" t="s">
        <v>1519</v>
      </c>
      <c r="C57" s="8" t="s">
        <v>1538</v>
      </c>
      <c r="D57" s="8" t="s">
        <v>1538</v>
      </c>
      <c r="E57" s="22" t="s">
        <v>1538</v>
      </c>
      <c r="F57" s="2" t="s">
        <v>553</v>
      </c>
    </row>
    <row r="58" spans="1:6" ht="246" hidden="1">
      <c r="A58" s="7">
        <f>ROW()</f>
        <v>58</v>
      </c>
      <c r="B58" s="8" t="s">
        <v>1519</v>
      </c>
      <c r="C58" s="8" t="s">
        <v>1538</v>
      </c>
      <c r="D58" s="8" t="str">
        <f t="shared" si="1"/>
        <v xml:space="preserve">Kumulation mit Erwerbseinkommen </v>
      </c>
      <c r="E58" s="22" t="s">
        <v>1461</v>
      </c>
      <c r="F58" s="2" t="s">
        <v>580</v>
      </c>
    </row>
    <row r="59" spans="1:6" ht="286.5" hidden="1">
      <c r="A59" s="7">
        <f>ROW()</f>
        <v>59</v>
      </c>
      <c r="B59" s="8" t="s">
        <v>1519</v>
      </c>
      <c r="C59" s="8" t="s">
        <v>1538</v>
      </c>
      <c r="D59" s="8" t="s">
        <v>1539</v>
      </c>
      <c r="E59" s="22" t="s">
        <v>1460</v>
      </c>
      <c r="F59" s="2" t="s">
        <v>609</v>
      </c>
    </row>
    <row r="60" spans="1:6" ht="225.75" hidden="1">
      <c r="A60" s="7">
        <f>ROW()</f>
        <v>60</v>
      </c>
      <c r="B60" s="8" t="s">
        <v>1519</v>
      </c>
      <c r="C60" s="8" t="s">
        <v>612</v>
      </c>
      <c r="D60" s="8" t="str">
        <f t="shared" ref="D60:D70" si="2">+E60</f>
        <v>1. Besteuerung von Renten</v>
      </c>
      <c r="E60" s="23" t="s">
        <v>1540</v>
      </c>
      <c r="F60" s="2" t="s">
        <v>635</v>
      </c>
    </row>
    <row r="61" spans="1:6" ht="335.25" hidden="1">
      <c r="A61" s="7">
        <f>ROW()</f>
        <v>61</v>
      </c>
      <c r="B61" s="8" t="s">
        <v>1519</v>
      </c>
      <c r="C61" s="8" t="s">
        <v>612</v>
      </c>
      <c r="D61" s="8" t="str">
        <f t="shared" si="2"/>
        <v>2. Einkommensgrenze für Besteuerung von Renten</v>
      </c>
      <c r="E61" s="23" t="s">
        <v>1541</v>
      </c>
      <c r="F61" s="2" t="s">
        <v>663</v>
      </c>
    </row>
    <row r="62" spans="1:6" ht="264" hidden="1">
      <c r="A62" s="7">
        <f>ROW()</f>
        <v>62</v>
      </c>
      <c r="B62" s="8" t="s">
        <v>1519</v>
      </c>
      <c r="C62" s="8" t="s">
        <v>612</v>
      </c>
      <c r="D62" s="8" t="str">
        <f t="shared" si="2"/>
        <v>3. Auf Renten anfallende Sozialabgaben</v>
      </c>
      <c r="E62" s="23" t="s">
        <v>1542</v>
      </c>
      <c r="F62" s="2" t="s">
        <v>669</v>
      </c>
    </row>
    <row r="63" spans="1:6" ht="138" hidden="1">
      <c r="A63" s="7">
        <f>ROW()</f>
        <v>63</v>
      </c>
      <c r="B63" s="8" t="s">
        <v>1543</v>
      </c>
      <c r="C63" s="8" t="str">
        <f>+E63</f>
        <v>Anwendungsbereich</v>
      </c>
      <c r="D63" s="8" t="str">
        <f t="shared" si="2"/>
        <v>Anwendungsbereich</v>
      </c>
      <c r="E63" s="23" t="s">
        <v>1467</v>
      </c>
      <c r="F63" s="2" t="s">
        <v>687</v>
      </c>
    </row>
    <row r="64" spans="1:6" ht="132.75" hidden="1">
      <c r="A64" s="7">
        <f>ROW()</f>
        <v>64</v>
      </c>
      <c r="B64" s="8" t="s">
        <v>1543</v>
      </c>
      <c r="C64" s="8" t="s">
        <v>1514</v>
      </c>
      <c r="D64" s="8" t="str">
        <f t="shared" si="2"/>
        <v>Grundprinzipien</v>
      </c>
      <c r="E64" s="23" t="s">
        <v>1468</v>
      </c>
      <c r="F64" s="2" t="s">
        <v>735</v>
      </c>
    </row>
    <row r="65" spans="1:6" ht="224.25" hidden="1">
      <c r="A65" s="7">
        <f>ROW()</f>
        <v>65</v>
      </c>
      <c r="B65" s="8" t="s">
        <v>1543</v>
      </c>
      <c r="C65" s="8" t="s">
        <v>1514</v>
      </c>
      <c r="D65" s="8" t="str">
        <f t="shared" si="2"/>
        <v>Voraussetzungen für die Deckung</v>
      </c>
      <c r="E65" s="23" t="s">
        <v>1469</v>
      </c>
      <c r="F65" s="2" t="s">
        <v>744</v>
      </c>
    </row>
    <row r="66" spans="1:6" ht="409.5" hidden="1">
      <c r="A66" s="7">
        <f>ROW()</f>
        <v>66</v>
      </c>
      <c r="B66" s="8" t="s">
        <v>1543</v>
      </c>
      <c r="C66" s="8" t="s">
        <v>1514</v>
      </c>
      <c r="D66" s="8" t="str">
        <f t="shared" si="2"/>
        <v>Kombination von selbstständiger und unselbstständiger Tätigkeit</v>
      </c>
      <c r="E66" s="23" t="s">
        <v>1462</v>
      </c>
      <c r="F66" s="2" t="s">
        <v>783</v>
      </c>
    </row>
    <row r="67" spans="1:6" ht="376.5" hidden="1">
      <c r="A67" s="7">
        <f>ROW()</f>
        <v>67</v>
      </c>
      <c r="B67" s="8" t="s">
        <v>1543</v>
      </c>
      <c r="C67" s="8" t="s">
        <v>1459</v>
      </c>
      <c r="D67" s="9" t="str">
        <f t="shared" si="2"/>
        <v xml:space="preserve">Voraussetzungen für den Zugang zu Diensten/Leistungen </v>
      </c>
      <c r="E67" s="23" t="s">
        <v>1463</v>
      </c>
      <c r="F67" s="2" t="s">
        <v>787</v>
      </c>
    </row>
    <row r="68" spans="1:6" ht="253.5" hidden="1">
      <c r="A68" s="7">
        <f>ROW()</f>
        <v>68</v>
      </c>
      <c r="B68" s="8" t="s">
        <v>1543</v>
      </c>
      <c r="C68" s="8" t="s">
        <v>1459</v>
      </c>
      <c r="D68" s="9" t="str">
        <f t="shared" si="2"/>
        <v>Beträge, Dauer und Kostenbeteiligung</v>
      </c>
      <c r="E68" s="23" t="s">
        <v>1464</v>
      </c>
      <c r="F68" s="2" t="s">
        <v>807</v>
      </c>
    </row>
    <row r="69" spans="1:6" ht="216" hidden="1">
      <c r="A69" s="7">
        <f>ROW()</f>
        <v>69</v>
      </c>
      <c r="B69" s="8" t="s">
        <v>1543</v>
      </c>
      <c r="C69" s="8" t="s">
        <v>1459</v>
      </c>
      <c r="D69" s="9" t="str">
        <f t="shared" si="2"/>
        <v>Besteuerung von Geldleistungen</v>
      </c>
      <c r="E69" s="23" t="s">
        <v>1456</v>
      </c>
      <c r="F69" s="2" t="s">
        <v>820</v>
      </c>
    </row>
    <row r="70" spans="1:6" ht="272.25" hidden="1">
      <c r="A70" s="7">
        <f>ROW()</f>
        <v>70</v>
      </c>
      <c r="B70" s="8" t="s">
        <v>1543</v>
      </c>
      <c r="C70" s="8" t="s">
        <v>1459</v>
      </c>
      <c r="D70" s="9" t="str">
        <f t="shared" si="2"/>
        <v>Auf Leistungen anfallende Sozialabgaben</v>
      </c>
      <c r="E70" s="23" t="s">
        <v>1457</v>
      </c>
      <c r="F70" s="2" t="s">
        <v>831</v>
      </c>
    </row>
    <row r="71" spans="1:6" ht="177" hidden="1">
      <c r="A71" s="7">
        <f>ROW()</f>
        <v>71</v>
      </c>
      <c r="B71" s="8" t="s">
        <v>1466</v>
      </c>
      <c r="C71" s="8" t="str">
        <f t="shared" ref="C71:D75" si="3">+D71</f>
        <v>Geltende Rechtsgrundlage</v>
      </c>
      <c r="D71" s="9" t="str">
        <f t="shared" si="3"/>
        <v>Geltende Rechtsgrundlage</v>
      </c>
      <c r="E71" s="22" t="s">
        <v>1472</v>
      </c>
      <c r="F71" s="2" t="s">
        <v>857</v>
      </c>
    </row>
    <row r="72" spans="1:6" ht="110.25" hidden="1">
      <c r="A72" s="7">
        <f>ROW()</f>
        <v>72</v>
      </c>
      <c r="B72" s="8" t="s">
        <v>1466</v>
      </c>
      <c r="C72" s="8" t="str">
        <f t="shared" si="3"/>
        <v>Grundprinzipien</v>
      </c>
      <c r="D72" s="9" t="str">
        <f t="shared" si="3"/>
        <v>Grundprinzipien</v>
      </c>
      <c r="E72" s="22" t="s">
        <v>1468</v>
      </c>
      <c r="F72" s="2" t="s">
        <v>883</v>
      </c>
    </row>
    <row r="73" spans="1:6" ht="315" hidden="1">
      <c r="A73" s="7">
        <f>ROW()</f>
        <v>73</v>
      </c>
      <c r="B73" s="8" t="s">
        <v>1466</v>
      </c>
      <c r="C73" s="9" t="str">
        <f t="shared" si="3"/>
        <v>Anwendungsbereich (in Bezug auf Verstorbene)</v>
      </c>
      <c r="D73" s="9" t="str">
        <f t="shared" si="3"/>
        <v>Anwendungsbereich (in Bezug auf Verstorbene)</v>
      </c>
      <c r="E73" s="22" t="s">
        <v>1473</v>
      </c>
      <c r="F73" s="2" t="s">
        <v>906</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919</v>
      </c>
    </row>
    <row r="75" spans="1:6" ht="144.75" hidden="1">
      <c r="A75" s="7">
        <f>ROW()</f>
        <v>75</v>
      </c>
      <c r="B75" s="8" t="s">
        <v>1466</v>
      </c>
      <c r="C75" s="9" t="str">
        <f t="shared" si="3"/>
        <v>Berechtigte Personen</v>
      </c>
      <c r="D75" s="9" t="str">
        <f t="shared" si="3"/>
        <v>Berechtigte Personen</v>
      </c>
      <c r="E75" s="22" t="s">
        <v>1477</v>
      </c>
      <c r="F75" s="2" t="s">
        <v>940</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965</v>
      </c>
    </row>
    <row r="78" spans="1:6" ht="185.25" hidden="1">
      <c r="A78" s="7">
        <f>ROW()</f>
        <v>78</v>
      </c>
      <c r="B78" s="8" t="s">
        <v>1466</v>
      </c>
      <c r="C78" s="8" t="s">
        <v>1544</v>
      </c>
      <c r="D78" s="8" t="str">
        <f t="shared" si="4"/>
        <v>2. Hinterbliebener Ehegatte</v>
      </c>
      <c r="E78" s="23" t="s">
        <v>1546</v>
      </c>
      <c r="F78" s="3" t="s">
        <v>2448</v>
      </c>
    </row>
    <row r="79" spans="1:6" ht="181.5" hidden="1">
      <c r="A79" s="7">
        <f>ROW()</f>
        <v>79</v>
      </c>
      <c r="B79" s="8" t="s">
        <v>1466</v>
      </c>
      <c r="C79" s="8" t="s">
        <v>1544</v>
      </c>
      <c r="D79" s="8" t="str">
        <f t="shared" si="4"/>
        <v>3. Geschiedener Ehegatte</v>
      </c>
      <c r="E79" s="23" t="s">
        <v>1547</v>
      </c>
      <c r="F79" s="2" t="s">
        <v>1004</v>
      </c>
    </row>
    <row r="80" spans="1:6" ht="216" hidden="1">
      <c r="A80" s="7">
        <f>ROW()</f>
        <v>80</v>
      </c>
      <c r="B80" s="8" t="s">
        <v>1466</v>
      </c>
      <c r="C80" s="8" t="s">
        <v>1544</v>
      </c>
      <c r="D80" s="8" t="str">
        <f t="shared" si="4"/>
        <v>4. Hinterbliebene Lebenspartner</v>
      </c>
      <c r="E80" s="23" t="s">
        <v>1548</v>
      </c>
      <c r="F80" s="2" t="s">
        <v>1024</v>
      </c>
    </row>
    <row r="81" spans="1:6" ht="181.5" hidden="1">
      <c r="A81" s="7">
        <f>ROW()</f>
        <v>81</v>
      </c>
      <c r="B81" s="8" t="s">
        <v>1466</v>
      </c>
      <c r="C81" s="8" t="s">
        <v>1544</v>
      </c>
      <c r="D81" s="8" t="str">
        <f t="shared" si="4"/>
        <v>5. Kinder</v>
      </c>
      <c r="E81" s="23" t="s">
        <v>1549</v>
      </c>
      <c r="F81" s="2" t="s">
        <v>1048</v>
      </c>
    </row>
    <row r="82" spans="1:6" ht="181.5" hidden="1">
      <c r="A82" s="7">
        <f>ROW()</f>
        <v>82</v>
      </c>
      <c r="B82" s="8" t="s">
        <v>1466</v>
      </c>
      <c r="C82" s="8" t="s">
        <v>1544</v>
      </c>
      <c r="D82" s="8" t="str">
        <f t="shared" si="4"/>
        <v>6. Andere Personen</v>
      </c>
      <c r="E82" s="23" t="s">
        <v>1550</v>
      </c>
      <c r="F82" s="2" t="s">
        <v>282</v>
      </c>
    </row>
    <row r="83" spans="1:6" ht="409.5" hidden="1">
      <c r="A83" s="7">
        <f>ROW()</f>
        <v>83</v>
      </c>
      <c r="B83" s="8" t="s">
        <v>1466</v>
      </c>
      <c r="C83" s="8" t="s">
        <v>1459</v>
      </c>
      <c r="D83" s="9" t="str">
        <f t="shared" si="4"/>
        <v>1. Hinterbliebener Ehegatte, geschiedener Ehegatte, hinterbliebene Lebenspartner</v>
      </c>
      <c r="E83" s="23" t="s">
        <v>1551</v>
      </c>
      <c r="F83" s="3" t="s">
        <v>2449</v>
      </c>
    </row>
    <row r="84" spans="1:6" ht="280.5" hidden="1">
      <c r="A84" s="7">
        <f>ROW()</f>
        <v>84</v>
      </c>
      <c r="B84" s="8" t="s">
        <v>1466</v>
      </c>
      <c r="C84" s="8" t="s">
        <v>1459</v>
      </c>
      <c r="D84" s="9" t="str">
        <f t="shared" si="4"/>
        <v>2. Hinterbliebener Ehegatte: Wiederheirat</v>
      </c>
      <c r="E84" s="23" t="s">
        <v>1552</v>
      </c>
      <c r="F84" s="2" t="s">
        <v>1107</v>
      </c>
    </row>
    <row r="85" spans="1:6" ht="180" hidden="1">
      <c r="A85" s="7">
        <f>ROW()</f>
        <v>85</v>
      </c>
      <c r="B85" s="8" t="s">
        <v>1466</v>
      </c>
      <c r="C85" s="8" t="s">
        <v>1459</v>
      </c>
      <c r="D85" s="9" t="str">
        <f t="shared" si="4"/>
        <v>3. Kinder</v>
      </c>
      <c r="E85" s="23" t="s">
        <v>1553</v>
      </c>
      <c r="F85" s="2" t="s">
        <v>1128</v>
      </c>
    </row>
    <row r="86" spans="1:6" ht="147" hidden="1">
      <c r="A86" s="7">
        <f>ROW()</f>
        <v>86</v>
      </c>
      <c r="B86" s="8" t="s">
        <v>1466</v>
      </c>
      <c r="C86" s="8" t="s">
        <v>1459</v>
      </c>
      <c r="D86" s="9" t="str">
        <f t="shared" si="4"/>
        <v>4. Andere Berechtigte</v>
      </c>
      <c r="E86" s="23" t="s">
        <v>1554</v>
      </c>
      <c r="F86" s="2" t="s">
        <v>282</v>
      </c>
    </row>
    <row r="87" spans="1:6" ht="381" hidden="1">
      <c r="A87" s="7">
        <f>ROW()</f>
        <v>87</v>
      </c>
      <c r="B87" s="8" t="s">
        <v>1466</v>
      </c>
      <c r="C87" s="8" t="s">
        <v>1459</v>
      </c>
      <c r="D87" s="9" t="str">
        <f t="shared" si="4"/>
        <v xml:space="preserve"> 5. Höchster zahlbarer Gesamtbetrag für alle Berechtigten</v>
      </c>
      <c r="E87" s="23" t="s">
        <v>1555</v>
      </c>
      <c r="F87" s="2" t="s">
        <v>409</v>
      </c>
    </row>
    <row r="88" spans="1:6" ht="151.5" hidden="1">
      <c r="A88" s="7">
        <f>ROW()</f>
        <v>88</v>
      </c>
      <c r="B88" s="8" t="s">
        <v>1466</v>
      </c>
      <c r="C88" s="8" t="s">
        <v>1459</v>
      </c>
      <c r="D88" s="9" t="str">
        <f t="shared" si="4"/>
        <v>6. Sonstige Leistungen</v>
      </c>
      <c r="E88" s="23" t="s">
        <v>1556</v>
      </c>
      <c r="F88" s="2" t="s">
        <v>1188</v>
      </c>
    </row>
    <row r="89" spans="1:6" ht="135" hidden="1">
      <c r="A89" s="7">
        <f>ROW()</f>
        <v>89</v>
      </c>
      <c r="B89" s="8" t="s">
        <v>1466</v>
      </c>
      <c r="C89" s="8" t="s">
        <v>1459</v>
      </c>
      <c r="D89" s="9" t="str">
        <f>+E89</f>
        <v>7. Mindestleistung</v>
      </c>
      <c r="E89" s="23" t="s">
        <v>1557</v>
      </c>
      <c r="F89" s="2" t="s">
        <v>1210</v>
      </c>
    </row>
    <row r="90" spans="1:6" ht="122.25" hidden="1">
      <c r="A90" s="7">
        <f>ROW()</f>
        <v>90</v>
      </c>
      <c r="B90" s="8" t="s">
        <v>1466</v>
      </c>
      <c r="C90" s="8" t="s">
        <v>1459</v>
      </c>
      <c r="D90" s="9" t="str">
        <f t="shared" si="4"/>
        <v xml:space="preserve"> 8. Höchstleistung</v>
      </c>
      <c r="E90" s="23" t="s">
        <v>1558</v>
      </c>
      <c r="F90" s="2" t="s">
        <v>1231</v>
      </c>
    </row>
    <row r="91" spans="1:6" ht="179.25" hidden="1">
      <c r="A91" s="7">
        <f>ROW()</f>
        <v>91</v>
      </c>
      <c r="B91" s="8" t="s">
        <v>1466</v>
      </c>
      <c r="C91" s="8" t="s">
        <v>1538</v>
      </c>
      <c r="D91" s="9" t="str">
        <f>+C91</f>
        <v>Indexbindung / Anpassung</v>
      </c>
      <c r="E91" s="22" t="s">
        <v>1538</v>
      </c>
      <c r="F91" s="2" t="s">
        <v>1259</v>
      </c>
    </row>
    <row r="92" spans="1:6" ht="242.25" hidden="1">
      <c r="A92" s="7">
        <f>ROW()</f>
        <v>92</v>
      </c>
      <c r="B92" s="8" t="s">
        <v>1466</v>
      </c>
      <c r="C92" s="8" t="s">
        <v>1538</v>
      </c>
      <c r="D92" s="9" t="str">
        <f t="shared" ref="D92:D105" si="5">+E92</f>
        <v>Kumulation mit Erwerbseinkommen</v>
      </c>
      <c r="E92" s="22" t="s">
        <v>1471</v>
      </c>
      <c r="F92" s="2" t="s">
        <v>1284</v>
      </c>
    </row>
    <row r="93" spans="1:6" ht="275.25" hidden="1">
      <c r="A93" s="7">
        <f>ROW()</f>
        <v>93</v>
      </c>
      <c r="B93" s="8" t="s">
        <v>1466</v>
      </c>
      <c r="C93" s="8" t="s">
        <v>1538</v>
      </c>
      <c r="D93" s="9" t="str">
        <f t="shared" si="5"/>
        <v>Kumulation mit anderen Sozialleistungen</v>
      </c>
      <c r="E93" s="22" t="s">
        <v>1460</v>
      </c>
      <c r="F93" s="2" t="s">
        <v>1313</v>
      </c>
    </row>
    <row r="94" spans="1:6" ht="232.5" hidden="1">
      <c r="A94" s="7">
        <f>ROW()</f>
        <v>94</v>
      </c>
      <c r="B94" s="8" t="s">
        <v>1466</v>
      </c>
      <c r="C94" s="9" t="s">
        <v>1465</v>
      </c>
      <c r="D94" s="9" t="str">
        <f t="shared" si="5"/>
        <v>1. Besteuerung von Geldleistungen</v>
      </c>
      <c r="E94" s="23" t="s">
        <v>1509</v>
      </c>
      <c r="F94" s="2" t="s">
        <v>635</v>
      </c>
    </row>
    <row r="95" spans="1:6" ht="387" hidden="1">
      <c r="A95" s="7">
        <f>ROW()</f>
        <v>95</v>
      </c>
      <c r="B95" s="8" t="s">
        <v>1466</v>
      </c>
      <c r="C95" s="9" t="s">
        <v>1465</v>
      </c>
      <c r="D95" s="9" t="str">
        <f t="shared" si="5"/>
        <v>2. Einkommensgrenze für Besteuerung von Geldleistungen</v>
      </c>
      <c r="E95" s="23" t="s">
        <v>1511</v>
      </c>
      <c r="F95" s="2" t="s">
        <v>635</v>
      </c>
    </row>
    <row r="96" spans="1:6" ht="288.75" hidden="1">
      <c r="A96" s="7">
        <f>ROW()</f>
        <v>96</v>
      </c>
      <c r="B96" s="8" t="s">
        <v>1466</v>
      </c>
      <c r="C96" s="9" t="s">
        <v>1465</v>
      </c>
      <c r="D96" s="9" t="str">
        <f t="shared" si="5"/>
        <v>3. Auf Leistungen anfallende Sozialabgaben</v>
      </c>
      <c r="E96" s="23" t="s">
        <v>1512</v>
      </c>
      <c r="F96" s="2" t="s">
        <v>1373</v>
      </c>
    </row>
    <row r="97" spans="1:6" ht="138" hidden="1">
      <c r="A97" s="7">
        <f>ROW()</f>
        <v>97</v>
      </c>
      <c r="B97" s="8" t="s">
        <v>1466</v>
      </c>
      <c r="C97" s="9" t="s">
        <v>1514</v>
      </c>
      <c r="D97" s="9" t="str">
        <f t="shared" si="5"/>
        <v>Anwendungsbereich</v>
      </c>
      <c r="E97" s="23" t="s">
        <v>1467</v>
      </c>
      <c r="F97" s="2" t="s">
        <v>687</v>
      </c>
    </row>
    <row r="98" spans="1:6" ht="110.25" hidden="1">
      <c r="A98" s="7">
        <f>ROW()</f>
        <v>98</v>
      </c>
      <c r="B98" s="8" t="s">
        <v>1466</v>
      </c>
      <c r="C98" s="9" t="s">
        <v>1514</v>
      </c>
      <c r="D98" s="9" t="str">
        <f t="shared" si="5"/>
        <v>Grundprinzipien</v>
      </c>
      <c r="E98" s="23" t="s">
        <v>1468</v>
      </c>
      <c r="F98" s="2" t="s">
        <v>735</v>
      </c>
    </row>
    <row r="99" spans="1:6" ht="224.25" hidden="1">
      <c r="A99" s="7">
        <f>ROW()</f>
        <v>99</v>
      </c>
      <c r="B99" s="8" t="s">
        <v>1466</v>
      </c>
      <c r="C99" s="9" t="s">
        <v>1514</v>
      </c>
      <c r="D99" s="9" t="str">
        <f t="shared" si="5"/>
        <v>Voraussetzungen für die Deckung</v>
      </c>
      <c r="E99" s="23" t="s">
        <v>1469</v>
      </c>
      <c r="F99" s="2" t="s">
        <v>1412</v>
      </c>
    </row>
    <row r="100" spans="1:6" ht="409.5" hidden="1">
      <c r="A100" s="7">
        <f>ROW()</f>
        <v>100</v>
      </c>
      <c r="B100" s="8" t="s">
        <v>1466</v>
      </c>
      <c r="C100" s="9" t="s">
        <v>1514</v>
      </c>
      <c r="D100" s="9" t="str">
        <f t="shared" si="5"/>
        <v>Kombination von selbstständiger und unselbstständiger Tätigkeit</v>
      </c>
      <c r="E100" s="23" t="s">
        <v>1462</v>
      </c>
      <c r="F100" s="2" t="s">
        <v>1422</v>
      </c>
    </row>
    <row r="101" spans="1:6" ht="376.5" hidden="1">
      <c r="A101" s="7">
        <f>ROW()</f>
        <v>101</v>
      </c>
      <c r="B101" s="8" t="s">
        <v>1466</v>
      </c>
      <c r="C101" s="9" t="s">
        <v>1514</v>
      </c>
      <c r="D101" s="9" t="str">
        <f t="shared" si="5"/>
        <v xml:space="preserve">Voraussetzungen für den Zugang zu Diensten/Leistungen </v>
      </c>
      <c r="E101" s="23" t="s">
        <v>1463</v>
      </c>
      <c r="F101" s="2" t="s">
        <v>787</v>
      </c>
    </row>
    <row r="102" spans="1:6" ht="253.5" hidden="1">
      <c r="A102" s="7">
        <f>ROW()</f>
        <v>102</v>
      </c>
      <c r="B102" s="8" t="s">
        <v>1466</v>
      </c>
      <c r="C102" s="9" t="s">
        <v>1514</v>
      </c>
      <c r="D102" s="9" t="str">
        <f t="shared" si="5"/>
        <v>Beträge, Dauer und Kostenbeteiligung</v>
      </c>
      <c r="E102" s="23" t="s">
        <v>1464</v>
      </c>
      <c r="F102" s="2" t="s">
        <v>807</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1434</v>
      </c>
    </row>
    <row r="105" spans="1:6" ht="272.25" hidden="1">
      <c r="A105" s="7">
        <f>ROW()</f>
        <v>105</v>
      </c>
      <c r="B105" s="8" t="s">
        <v>1466</v>
      </c>
      <c r="C105" s="9" t="s">
        <v>1514</v>
      </c>
      <c r="D105" s="9" t="str">
        <f t="shared" si="5"/>
        <v>Auf Leistungen anfallende Sozialabgaben</v>
      </c>
      <c r="E105" s="23" t="s">
        <v>1457</v>
      </c>
      <c r="F105" s="2" t="s">
        <v>831</v>
      </c>
    </row>
  </sheetData>
  <sheetProtection algorithmName="SHA-512" hashValue="maCeF14PZb2fic3OIK+g0nk8Jj/FtTsBtHsU9Pw5Ii0vGfhj1tKilf34IKr2Zoxn6SBg8KeQumqnoDf4tIGGyQ==" saltValue="vHkFfBSiC+K9nbTqyuBflQ==" spinCount="100000" sheet="1" objects="1" scenarios="1" formatColumns="0" autoFilter="0"/>
  <autoFilter ref="A2:F105" xr:uid="{BAC2D606-8D31-4EC7-88E2-D64893C1E0E3}">
    <filterColumn colId="1">
      <filters>
        <filter val="Invalidität"/>
      </filters>
    </filterColumn>
  </autoFilter>
  <pageMargins left="0.7" right="0.7" top="0.78740157499999996" bottom="0.78740157499999996"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3EFE-F902-4E19-BA58-41C42270C3F4}">
  <sheetPr codeName="Tabelle31"/>
  <dimension ref="A1:F106"/>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73.28515625" hidden="1"/>
  </cols>
  <sheetData>
    <row r="1" spans="1:6" ht="64.5" customHeight="1">
      <c r="B1" s="129" t="s">
        <v>1474</v>
      </c>
      <c r="C1" s="126" t="s">
        <v>1478</v>
      </c>
      <c r="D1" s="126" t="s">
        <v>1475</v>
      </c>
      <c r="E1" s="118" t="s">
        <v>2245</v>
      </c>
      <c r="F1" s="6" t="s">
        <v>29</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1646</v>
      </c>
    </row>
    <row r="4" spans="1:6" ht="300">
      <c r="A4" s="7">
        <f>ROW()</f>
        <v>4</v>
      </c>
      <c r="B4" s="8" t="s">
        <v>1479</v>
      </c>
      <c r="C4" s="1"/>
      <c r="D4" s="8" t="str">
        <f t="shared" ref="D4:D34" si="0">+E4</f>
        <v>Grundprinzipien</v>
      </c>
      <c r="E4" s="22" t="s">
        <v>1468</v>
      </c>
      <c r="F4" s="2" t="s">
        <v>1647</v>
      </c>
    </row>
    <row r="5" spans="1:6" ht="188.25">
      <c r="A5" s="7">
        <f>ROW()</f>
        <v>5</v>
      </c>
      <c r="B5" s="8" t="s">
        <v>1479</v>
      </c>
      <c r="C5" s="1"/>
      <c r="D5" s="8" t="str">
        <f t="shared" si="0"/>
        <v>Gedecktes Risiko: Definition</v>
      </c>
      <c r="E5" s="22" t="s">
        <v>1630</v>
      </c>
      <c r="F5" s="2" t="s">
        <v>1648</v>
      </c>
    </row>
    <row r="6" spans="1:6" ht="144">
      <c r="A6" s="7">
        <f>ROW()</f>
        <v>6</v>
      </c>
      <c r="B6" s="8" t="s">
        <v>1479</v>
      </c>
      <c r="C6" s="8" t="s">
        <v>1453</v>
      </c>
      <c r="D6" s="8" t="str">
        <f t="shared" si="0"/>
        <v>Versicherte Personen</v>
      </c>
      <c r="E6" s="23" t="s">
        <v>1453</v>
      </c>
      <c r="F6" s="2" t="s">
        <v>1649</v>
      </c>
    </row>
    <row r="7" spans="1:6" ht="273">
      <c r="A7" s="7">
        <f>ROW()</f>
        <v>7</v>
      </c>
      <c r="B7" s="8" t="s">
        <v>1479</v>
      </c>
      <c r="C7" s="8" t="str">
        <f>+E6</f>
        <v>Versicherte Personen</v>
      </c>
      <c r="D7" s="8" t="str">
        <f t="shared" si="0"/>
        <v>Ausnahmen von der Versicherungspflicht</v>
      </c>
      <c r="E7" s="23" t="s">
        <v>1458</v>
      </c>
      <c r="F7" s="2" t="s">
        <v>110</v>
      </c>
    </row>
    <row r="8" spans="1:6" ht="225">
      <c r="A8" s="7">
        <f>ROW()</f>
        <v>8</v>
      </c>
      <c r="B8" s="8" t="s">
        <v>1479</v>
      </c>
      <c r="C8" s="9" t="s">
        <v>128</v>
      </c>
      <c r="D8" s="8" t="str">
        <f t="shared" si="0"/>
        <v>1. Anwartschaftszeit</v>
      </c>
      <c r="E8" s="23" t="s">
        <v>1483</v>
      </c>
      <c r="F8" s="2" t="s">
        <v>3630</v>
      </c>
    </row>
    <row r="9" spans="1:6" ht="409.5">
      <c r="A9" s="7">
        <f>ROW()</f>
        <v>9</v>
      </c>
      <c r="B9" s="8" t="s">
        <v>1479</v>
      </c>
      <c r="C9" s="9" t="s">
        <v>128</v>
      </c>
      <c r="D9" s="8" t="str">
        <f t="shared" si="0"/>
        <v xml:space="preserve">2. Begutachtungskriterien und Kategorien der Arbeitsunfähigkeit/Arbeitsfähigkeit  </v>
      </c>
      <c r="E9" s="23" t="s">
        <v>1484</v>
      </c>
      <c r="F9" s="2" t="s">
        <v>1650</v>
      </c>
    </row>
    <row r="10" spans="1:6" ht="222">
      <c r="A10" s="7">
        <f>ROW()</f>
        <v>10</v>
      </c>
      <c r="B10" s="8" t="s">
        <v>1479</v>
      </c>
      <c r="C10" s="9" t="s">
        <v>128</v>
      </c>
      <c r="D10" s="8" t="str">
        <f t="shared" si="0"/>
        <v>3. Zeitraum der Leistungszahlung</v>
      </c>
      <c r="E10" s="23" t="s">
        <v>1486</v>
      </c>
      <c r="F10" s="2" t="s">
        <v>1651</v>
      </c>
    </row>
    <row r="11" spans="1:6" ht="96">
      <c r="A11" s="7">
        <f>ROW()</f>
        <v>11</v>
      </c>
      <c r="B11" s="8" t="s">
        <v>1479</v>
      </c>
      <c r="C11" s="9" t="s">
        <v>1488</v>
      </c>
      <c r="D11" s="8" t="str">
        <f t="shared" si="0"/>
        <v>1. Gutachter</v>
      </c>
      <c r="E11" s="23" t="s">
        <v>1489</v>
      </c>
      <c r="F11" s="2" t="s">
        <v>1652</v>
      </c>
    </row>
    <row r="12" spans="1:6" ht="285">
      <c r="A12" s="7">
        <f>ROW()</f>
        <v>12</v>
      </c>
      <c r="B12" s="8" t="s">
        <v>1479</v>
      </c>
      <c r="C12" s="9" t="s">
        <v>1488</v>
      </c>
      <c r="D12" s="8" t="str">
        <f t="shared" si="0"/>
        <v xml:space="preserve">2. Überprüfung  </v>
      </c>
      <c r="E12" s="23" t="s">
        <v>1490</v>
      </c>
      <c r="F12" s="2" t="s">
        <v>3631</v>
      </c>
    </row>
    <row r="13" spans="1:6" ht="291.75">
      <c r="A13" s="7">
        <f>ROW()</f>
        <v>13</v>
      </c>
      <c r="B13" s="8" t="s">
        <v>1479</v>
      </c>
      <c r="C13" s="8" t="s">
        <v>1459</v>
      </c>
      <c r="D13" s="8" t="str">
        <f t="shared" si="0"/>
        <v>1. Berechnungsmethode bzw. Rentenformel</v>
      </c>
      <c r="E13" s="23" t="s">
        <v>1492</v>
      </c>
      <c r="F13" s="2" t="s">
        <v>3632</v>
      </c>
    </row>
    <row r="14" spans="1:6" ht="343.5">
      <c r="A14" s="7">
        <f>ROW()</f>
        <v>14</v>
      </c>
      <c r="B14" s="8" t="s">
        <v>1479</v>
      </c>
      <c r="C14" s="8" t="s">
        <v>1459</v>
      </c>
      <c r="D14" s="8" t="str">
        <f t="shared" si="0"/>
        <v>2. Referenzeinkommen bzw. Berechnungsgrundlage</v>
      </c>
      <c r="E14" s="23" t="s">
        <v>1493</v>
      </c>
      <c r="F14" s="2" t="s">
        <v>3633</v>
      </c>
    </row>
    <row r="15" spans="1:6" ht="409.5">
      <c r="A15" s="7">
        <f>ROW()</f>
        <v>15</v>
      </c>
      <c r="B15" s="8" t="s">
        <v>1479</v>
      </c>
      <c r="C15" s="8" t="s">
        <v>1459</v>
      </c>
      <c r="D15" s="8" t="str">
        <f t="shared" si="0"/>
        <v>3. Mindest- und Höchstleistungen</v>
      </c>
      <c r="E15" s="23" t="s">
        <v>1495</v>
      </c>
      <c r="F15" s="2" t="s">
        <v>3634</v>
      </c>
    </row>
    <row r="16" spans="1:6" ht="405">
      <c r="A16" s="7">
        <f>ROW()</f>
        <v>16</v>
      </c>
      <c r="B16" s="8" t="s">
        <v>1479</v>
      </c>
      <c r="C16" s="8" t="s">
        <v>1459</v>
      </c>
      <c r="D16" s="8" t="str">
        <f t="shared" si="0"/>
        <v>4. Anrechenbare oder als Beitragszeiten gewertete Zeiträume</v>
      </c>
      <c r="E16" s="23" t="s">
        <v>1496</v>
      </c>
      <c r="F16" s="2" t="s">
        <v>1653</v>
      </c>
    </row>
    <row r="17" spans="1:6" ht="250.5">
      <c r="A17" s="7">
        <f>ROW()</f>
        <v>17</v>
      </c>
      <c r="B17" s="8" t="s">
        <v>1479</v>
      </c>
      <c r="C17" s="8" t="s">
        <v>1459</v>
      </c>
      <c r="D17" s="8" t="str">
        <f t="shared" si="0"/>
        <v xml:space="preserve">5. Zulagen für Unterhaltsberechtigte  </v>
      </c>
      <c r="E17" s="23" t="s">
        <v>1498</v>
      </c>
      <c r="F17" s="2" t="s">
        <v>336</v>
      </c>
    </row>
    <row r="18" spans="1:6" ht="195">
      <c r="A18" s="7">
        <f>ROW()</f>
        <v>18</v>
      </c>
      <c r="B18" s="8" t="s">
        <v>1479</v>
      </c>
      <c r="C18" s="8" t="str">
        <f>+E18</f>
        <v>Sonstige Leistungen</v>
      </c>
      <c r="D18" s="8" t="str">
        <f>+E18</f>
        <v>Sonstige Leistungen</v>
      </c>
      <c r="E18" s="22" t="s">
        <v>1455</v>
      </c>
      <c r="F18" s="2" t="s">
        <v>3635</v>
      </c>
    </row>
    <row r="19" spans="1:6" ht="300.75">
      <c r="A19" s="7">
        <f>ROW()</f>
        <v>19</v>
      </c>
      <c r="B19" s="8" t="s">
        <v>1479</v>
      </c>
      <c r="C19" s="8" t="s">
        <v>1500</v>
      </c>
      <c r="D19" s="8" t="str">
        <f t="shared" si="0"/>
        <v>Umschulung, berufsbezogene Rehabilitation</v>
      </c>
      <c r="E19" s="23" t="s">
        <v>1501</v>
      </c>
      <c r="F19" s="2" t="s">
        <v>1654</v>
      </c>
    </row>
    <row r="20" spans="1:6" ht="409.5">
      <c r="A20" s="7">
        <f>ROW()</f>
        <v>20</v>
      </c>
      <c r="B20" s="8" t="s">
        <v>1479</v>
      </c>
      <c r="C20" s="8" t="s">
        <v>1500</v>
      </c>
      <c r="D20" s="8" t="str">
        <f t="shared" si="0"/>
        <v xml:space="preserve">Bevorzugte und reservierte Beschäftigung von Menschen mit Behinderungen  </v>
      </c>
      <c r="E20" s="23" t="s">
        <v>1502</v>
      </c>
      <c r="F20" s="2" t="s">
        <v>1655</v>
      </c>
    </row>
    <row r="21" spans="1:6" ht="171.75">
      <c r="A21" s="7">
        <f>ROW()</f>
        <v>21</v>
      </c>
      <c r="B21" s="8" t="s">
        <v>1479</v>
      </c>
      <c r="C21" s="8" t="s">
        <v>1504</v>
      </c>
      <c r="D21" s="8" t="str">
        <f t="shared" si="0"/>
        <v>Indexbindung/Anpassung</v>
      </c>
      <c r="E21" s="22" t="s">
        <v>1505</v>
      </c>
      <c r="F21" s="2" t="s">
        <v>1656</v>
      </c>
    </row>
    <row r="22" spans="1:6" ht="242.25">
      <c r="A22" s="7">
        <f>ROW()</f>
        <v>22</v>
      </c>
      <c r="B22" s="8" t="s">
        <v>1479</v>
      </c>
      <c r="C22" s="8" t="s">
        <v>1504</v>
      </c>
      <c r="D22" s="8" t="str">
        <f>+E22</f>
        <v>Kumulation mit Erwerbseinkommen</v>
      </c>
      <c r="E22" s="22" t="s">
        <v>1471</v>
      </c>
      <c r="F22" s="2" t="s">
        <v>1657</v>
      </c>
    </row>
    <row r="23" spans="1:6" ht="275.25">
      <c r="A23" s="7">
        <f>ROW()</f>
        <v>23</v>
      </c>
      <c r="B23" s="8" t="s">
        <v>1479</v>
      </c>
      <c r="C23" s="8" t="s">
        <v>1504</v>
      </c>
      <c r="D23" s="8" t="str">
        <f t="shared" si="0"/>
        <v>Kumulation mit anderen Sozialleistungen</v>
      </c>
      <c r="E23" s="22" t="s">
        <v>1460</v>
      </c>
      <c r="F23" s="2" t="s">
        <v>1658</v>
      </c>
    </row>
    <row r="24" spans="1:6" ht="232.5">
      <c r="A24" s="7">
        <f>ROW()</f>
        <v>24</v>
      </c>
      <c r="B24" s="8" t="s">
        <v>1479</v>
      </c>
      <c r="C24" s="8" t="s">
        <v>1465</v>
      </c>
      <c r="D24" s="8" t="str">
        <f t="shared" si="0"/>
        <v>1. Besteuerung von Geldleistungen</v>
      </c>
      <c r="E24" s="23" t="s">
        <v>1509</v>
      </c>
      <c r="F24" s="2" t="s">
        <v>1659</v>
      </c>
    </row>
    <row r="25" spans="1:6" ht="387">
      <c r="A25" s="7">
        <f>ROW()</f>
        <v>25</v>
      </c>
      <c r="B25" s="8" t="s">
        <v>1479</v>
      </c>
      <c r="C25" s="8" t="s">
        <v>1465</v>
      </c>
      <c r="D25" s="8" t="str">
        <f t="shared" si="0"/>
        <v>2. Einkommensgrenze für Besteuerung von Geldleistungen</v>
      </c>
      <c r="E25" s="23" t="s">
        <v>1511</v>
      </c>
      <c r="F25" s="2" t="s">
        <v>1446</v>
      </c>
    </row>
    <row r="26" spans="1:6" ht="288.75">
      <c r="A26" s="7">
        <f>ROW()</f>
        <v>26</v>
      </c>
      <c r="B26" s="8" t="s">
        <v>1479</v>
      </c>
      <c r="C26" s="8" t="s">
        <v>1465</v>
      </c>
      <c r="D26" s="8" t="str">
        <f t="shared" si="0"/>
        <v>3. Auf Leistungen anfallende Sozialabgaben</v>
      </c>
      <c r="E26" s="23" t="s">
        <v>1512</v>
      </c>
      <c r="F26" s="2" t="s">
        <v>1660</v>
      </c>
    </row>
    <row r="27" spans="1:6" ht="138">
      <c r="A27" s="7">
        <f>ROW()</f>
        <v>27</v>
      </c>
      <c r="B27" s="8" t="s">
        <v>1479</v>
      </c>
      <c r="C27" s="8" t="s">
        <v>1514</v>
      </c>
      <c r="D27" s="8" t="str">
        <f t="shared" si="0"/>
        <v>Anwendungsbereich</v>
      </c>
      <c r="E27" s="23" t="s">
        <v>1467</v>
      </c>
      <c r="F27" s="2" t="s">
        <v>687</v>
      </c>
    </row>
    <row r="28" spans="1:6" ht="110.25">
      <c r="A28" s="7">
        <f>ROW()</f>
        <v>28</v>
      </c>
      <c r="B28" s="8" t="s">
        <v>1479</v>
      </c>
      <c r="C28" s="8" t="s">
        <v>1514</v>
      </c>
      <c r="D28" s="8" t="str">
        <f t="shared" si="0"/>
        <v>Grundprinzipien</v>
      </c>
      <c r="E28" s="23" t="s">
        <v>1468</v>
      </c>
      <c r="F28" s="2" t="s">
        <v>723</v>
      </c>
    </row>
    <row r="29" spans="1:6" ht="224.25">
      <c r="A29" s="7">
        <f>ROW()</f>
        <v>29</v>
      </c>
      <c r="B29" s="8" t="s">
        <v>1479</v>
      </c>
      <c r="C29" s="8" t="s">
        <v>1514</v>
      </c>
      <c r="D29" s="8" t="str">
        <f t="shared" si="0"/>
        <v>Voraussetzungen für die Deckung</v>
      </c>
      <c r="E29" s="23" t="s">
        <v>1469</v>
      </c>
      <c r="F29" s="2" t="s">
        <v>744</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785</v>
      </c>
    </row>
    <row r="32" spans="1:6" ht="253.5">
      <c r="A32" s="7">
        <f>ROW()</f>
        <v>32</v>
      </c>
      <c r="B32" s="8" t="s">
        <v>1479</v>
      </c>
      <c r="C32" s="8" t="s">
        <v>1459</v>
      </c>
      <c r="D32" s="8" t="str">
        <f t="shared" si="0"/>
        <v>Beträge, Dauer und Kostenbeteiligung</v>
      </c>
      <c r="E32" s="23" t="s">
        <v>1464</v>
      </c>
      <c r="F32" s="2" t="s">
        <v>785</v>
      </c>
    </row>
    <row r="33" spans="1:6" ht="216">
      <c r="A33" s="7">
        <f>ROW()</f>
        <v>33</v>
      </c>
      <c r="B33" s="8" t="s">
        <v>1479</v>
      </c>
      <c r="C33" s="8" t="s">
        <v>1459</v>
      </c>
      <c r="D33" s="8" t="str">
        <f t="shared" si="0"/>
        <v>Besteuerung von Geldleistungen</v>
      </c>
      <c r="E33" s="23" t="s">
        <v>1456</v>
      </c>
      <c r="F33" s="2" t="s">
        <v>785</v>
      </c>
    </row>
    <row r="34" spans="1:6" ht="276.75">
      <c r="A34" s="7">
        <f>ROW()</f>
        <v>34</v>
      </c>
      <c r="B34" s="8" t="s">
        <v>1479</v>
      </c>
      <c r="C34" s="8" t="s">
        <v>1459</v>
      </c>
      <c r="D34" s="8" t="str">
        <f t="shared" si="0"/>
        <v xml:space="preserve"> Auf Leistungen anfallende Sozialabgaben</v>
      </c>
      <c r="E34" s="23" t="s">
        <v>1518</v>
      </c>
      <c r="F34" s="2" t="s">
        <v>785</v>
      </c>
    </row>
    <row r="35" spans="1:6" ht="210">
      <c r="A35" s="7">
        <f>ROW()</f>
        <v>35</v>
      </c>
      <c r="B35" s="8" t="s">
        <v>1519</v>
      </c>
      <c r="C35" s="8" t="str">
        <f>+D35</f>
        <v>Geltende Rechtsgrundlage</v>
      </c>
      <c r="D35" s="8" t="str">
        <f>+E35</f>
        <v>Geltende Rechtsgrundlage</v>
      </c>
      <c r="E35" s="22" t="s">
        <v>1472</v>
      </c>
      <c r="F35" s="2" t="s">
        <v>59</v>
      </c>
    </row>
    <row r="36" spans="1:6" ht="135">
      <c r="A36" s="7">
        <f>ROW()</f>
        <v>36</v>
      </c>
      <c r="B36" s="8" t="s">
        <v>1519</v>
      </c>
      <c r="C36" s="8" t="str">
        <f>+D36</f>
        <v>Grundprinzipien</v>
      </c>
      <c r="D36" s="8" t="str">
        <f>+E36</f>
        <v>Grundprinzipien</v>
      </c>
      <c r="E36" s="22" t="s">
        <v>1468</v>
      </c>
      <c r="F36" s="2" t="s">
        <v>83</v>
      </c>
    </row>
    <row r="37" spans="1:6" ht="159.75">
      <c r="A37" s="7">
        <f>ROW()</f>
        <v>37</v>
      </c>
      <c r="B37" s="8" t="s">
        <v>1519</v>
      </c>
      <c r="C37" s="8" t="s">
        <v>1467</v>
      </c>
      <c r="D37" s="8" t="str">
        <f>+E37</f>
        <v>1. Versicherte Personen</v>
      </c>
      <c r="E37" s="23" t="s">
        <v>1520</v>
      </c>
      <c r="F37" s="2" t="s">
        <v>108</v>
      </c>
    </row>
    <row r="38" spans="1:6" ht="371.25">
      <c r="A38" s="7">
        <f>ROW()</f>
        <v>38</v>
      </c>
      <c r="B38" s="8" t="s">
        <v>1519</v>
      </c>
      <c r="C38" s="8" t="s">
        <v>1467</v>
      </c>
      <c r="D38" s="8" t="str">
        <f t="shared" ref="D38:D58" si="1">+E38</f>
        <v>2. Ausnahmen von der Deckung  der Pflichtversicherung</v>
      </c>
      <c r="E38" s="23" t="s">
        <v>1521</v>
      </c>
      <c r="F38" s="2" t="s">
        <v>127</v>
      </c>
    </row>
    <row r="39" spans="1:6" ht="194.25">
      <c r="A39" s="7">
        <f>ROW()</f>
        <v>39</v>
      </c>
      <c r="B39" s="8" t="s">
        <v>1519</v>
      </c>
      <c r="C39" s="8" t="s">
        <v>128</v>
      </c>
      <c r="D39" s="8" t="str">
        <f t="shared" si="1"/>
        <v>1. Rentenalter</v>
      </c>
      <c r="E39" s="23" t="s">
        <v>1523</v>
      </c>
      <c r="F39" s="2" t="s">
        <v>148</v>
      </c>
    </row>
    <row r="40" spans="1:6" ht="409.5">
      <c r="A40" s="7">
        <f>ROW()</f>
        <v>40</v>
      </c>
      <c r="B40" s="8" t="s">
        <v>1519</v>
      </c>
      <c r="C40" s="8" t="s">
        <v>128</v>
      </c>
      <c r="D40" s="8" t="str">
        <f t="shared" si="1"/>
        <v>2. Anwartschaftszeit und sonstige Anspruchsvoraussetzungen für den Bezug einer Altersrente</v>
      </c>
      <c r="E40" s="23" t="s">
        <v>1524</v>
      </c>
      <c r="F40" s="2" t="s">
        <v>172</v>
      </c>
    </row>
    <row r="41" spans="1:6" ht="375">
      <c r="A41" s="7">
        <f>ROW()</f>
        <v>41</v>
      </c>
      <c r="B41" s="8" t="s">
        <v>1519</v>
      </c>
      <c r="C41" s="8" t="s">
        <v>128</v>
      </c>
      <c r="D41" s="8" t="str">
        <f t="shared" si="1"/>
        <v>3. Vorruhestand</v>
      </c>
      <c r="E41" s="23" t="s">
        <v>1525</v>
      </c>
      <c r="F41" s="2" t="s">
        <v>3636</v>
      </c>
    </row>
    <row r="42" spans="1:6" ht="264">
      <c r="A42" s="7">
        <f>ROW()</f>
        <v>42</v>
      </c>
      <c r="B42" s="8" t="s">
        <v>1519</v>
      </c>
      <c r="C42" s="8" t="s">
        <v>128</v>
      </c>
      <c r="D42" s="8" t="str">
        <f t="shared" si="1"/>
        <v>4. Beschwerliche und gefährliche Arbeit</v>
      </c>
      <c r="E42" s="23" t="s">
        <v>1526</v>
      </c>
      <c r="F42" s="2" t="s">
        <v>207</v>
      </c>
    </row>
    <row r="43" spans="1:6" ht="194.25">
      <c r="A43" s="7">
        <f>ROW()</f>
        <v>43</v>
      </c>
      <c r="B43" s="8" t="s">
        <v>1519</v>
      </c>
      <c r="C43" s="8" t="s">
        <v>128</v>
      </c>
      <c r="D43" s="8" t="str">
        <f t="shared" si="1"/>
        <v>5. Rentenaufschub</v>
      </c>
      <c r="E43" s="23" t="s">
        <v>1527</v>
      </c>
      <c r="F43" s="2" t="s">
        <v>231</v>
      </c>
    </row>
    <row r="44" spans="1:6" ht="174">
      <c r="A44" s="7">
        <f>ROW()</f>
        <v>44</v>
      </c>
      <c r="B44" s="8" t="s">
        <v>1519</v>
      </c>
      <c r="C44" s="8" t="s">
        <v>1459</v>
      </c>
      <c r="D44" s="8" t="str">
        <f t="shared" si="1"/>
        <v>1. Bestimmende Faktoren</v>
      </c>
      <c r="E44" s="23" t="s">
        <v>1528</v>
      </c>
      <c r="F44" s="2" t="s">
        <v>253</v>
      </c>
    </row>
    <row r="45" spans="1:6" ht="349.5">
      <c r="A45" s="7">
        <f>ROW()</f>
        <v>45</v>
      </c>
      <c r="B45" s="8" t="s">
        <v>1519</v>
      </c>
      <c r="C45" s="8" t="s">
        <v>1459</v>
      </c>
      <c r="D45" s="8" t="str">
        <f t="shared" si="1"/>
        <v>2. Berechnungsmethode, Rentenformel bzw. Beträge</v>
      </c>
      <c r="E45" s="23" t="s">
        <v>1529</v>
      </c>
      <c r="F45" s="2" t="s">
        <v>270</v>
      </c>
    </row>
    <row r="46" spans="1:6" ht="343.5">
      <c r="A46" s="7">
        <f>ROW()</f>
        <v>46</v>
      </c>
      <c r="B46" s="8" t="s">
        <v>1519</v>
      </c>
      <c r="C46" s="8" t="s">
        <v>1459</v>
      </c>
      <c r="D46" s="8" t="str">
        <f t="shared" si="1"/>
        <v>3. Referenzeinkommen bzw. Berechnungsgrundlage</v>
      </c>
      <c r="E46" s="23" t="s">
        <v>1530</v>
      </c>
      <c r="F46" s="2" t="s">
        <v>296</v>
      </c>
    </row>
    <row r="47" spans="1:6" ht="405">
      <c r="A47" s="7">
        <f>ROW()</f>
        <v>47</v>
      </c>
      <c r="B47" s="8" t="s">
        <v>1519</v>
      </c>
      <c r="C47" s="8" t="s">
        <v>1459</v>
      </c>
      <c r="D47" s="8" t="str">
        <f t="shared" si="1"/>
        <v>4. Anrechenbare oder als Beitragszeiten gewertete Zeiträume</v>
      </c>
      <c r="E47" s="23" t="s">
        <v>1496</v>
      </c>
      <c r="F47" s="2" t="s">
        <v>3637</v>
      </c>
    </row>
    <row r="48" spans="1:6" ht="243.75">
      <c r="A48" s="7">
        <f>ROW()</f>
        <v>48</v>
      </c>
      <c r="B48" s="8" t="s">
        <v>1519</v>
      </c>
      <c r="C48" s="8" t="s">
        <v>1459</v>
      </c>
      <c r="D48" s="8" t="str">
        <f t="shared" si="1"/>
        <v>5. Rückkauf von Versicherungszeiten</v>
      </c>
      <c r="E48" s="23" t="s">
        <v>1531</v>
      </c>
      <c r="F48" s="2" t="s">
        <v>3638</v>
      </c>
    </row>
    <row r="49" spans="1:6" ht="246">
      <c r="A49" s="7">
        <f>ROW()</f>
        <v>49</v>
      </c>
      <c r="B49" s="8" t="s">
        <v>1519</v>
      </c>
      <c r="C49" s="8" t="s">
        <v>1459</v>
      </c>
      <c r="D49" s="8" t="str">
        <f t="shared" si="1"/>
        <v>6.  Zulagen für Unterhaltsberechtigte</v>
      </c>
      <c r="E49" s="23" t="s">
        <v>1631</v>
      </c>
      <c r="F49" s="2" t="s">
        <v>348</v>
      </c>
    </row>
    <row r="50" spans="1:6" ht="145.5">
      <c r="A50" s="7">
        <f>ROW()</f>
        <v>50</v>
      </c>
      <c r="B50" s="8" t="s">
        <v>1519</v>
      </c>
      <c r="C50" s="8" t="s">
        <v>1459</v>
      </c>
      <c r="D50" s="8" t="str">
        <f t="shared" si="1"/>
        <v>7. Besondere Zulagen</v>
      </c>
      <c r="E50" s="23" t="s">
        <v>1532</v>
      </c>
      <c r="F50" s="2" t="s">
        <v>368</v>
      </c>
    </row>
    <row r="51" spans="1:6" ht="360.75">
      <c r="A51" s="7">
        <f>ROW()</f>
        <v>51</v>
      </c>
      <c r="B51" s="8" t="s">
        <v>1519</v>
      </c>
      <c r="C51" s="8" t="s">
        <v>1459</v>
      </c>
      <c r="D51" s="8" t="str">
        <f t="shared" si="1"/>
        <v>8. Mindestrente und bedürftigkeitsabhängige Leistung</v>
      </c>
      <c r="E51" s="23" t="s">
        <v>1533</v>
      </c>
      <c r="F51" s="2" t="s">
        <v>394</v>
      </c>
    </row>
    <row r="52" spans="1:6" ht="101.25">
      <c r="A52" s="7">
        <f>ROW()</f>
        <v>52</v>
      </c>
      <c r="B52" s="8" t="s">
        <v>1519</v>
      </c>
      <c r="C52" s="8" t="s">
        <v>1459</v>
      </c>
      <c r="D52" s="8" t="str">
        <f t="shared" si="1"/>
        <v>9. Höchstrente</v>
      </c>
      <c r="E52" s="23" t="s">
        <v>1534</v>
      </c>
      <c r="F52" s="2" t="s">
        <v>418</v>
      </c>
    </row>
    <row r="53" spans="1:6" ht="119.25">
      <c r="A53" s="7">
        <f>ROW()</f>
        <v>53</v>
      </c>
      <c r="B53" s="8" t="s">
        <v>1519</v>
      </c>
      <c r="C53" s="8" t="s">
        <v>1459</v>
      </c>
      <c r="D53" s="8" t="str">
        <f t="shared" si="1"/>
        <v>10. Vorruhestand</v>
      </c>
      <c r="E53" s="23" t="s">
        <v>1535</v>
      </c>
      <c r="F53" s="2" t="s">
        <v>446</v>
      </c>
    </row>
    <row r="54" spans="1:6" ht="272.25">
      <c r="A54" s="7">
        <f>ROW()</f>
        <v>54</v>
      </c>
      <c r="B54" s="8" t="s">
        <v>1519</v>
      </c>
      <c r="C54" s="8" t="s">
        <v>1459</v>
      </c>
      <c r="D54" s="8" t="str">
        <f t="shared" si="1"/>
        <v>11. Beschwerliche und gefährliche Arbeit</v>
      </c>
      <c r="E54" s="23" t="s">
        <v>1536</v>
      </c>
      <c r="F54" s="2" t="s">
        <v>470</v>
      </c>
    </row>
    <row r="55" spans="1:6" ht="87.75">
      <c r="A55" s="7">
        <f>ROW()</f>
        <v>55</v>
      </c>
      <c r="B55" s="8" t="s">
        <v>1519</v>
      </c>
      <c r="C55" s="8" t="s">
        <v>1459</v>
      </c>
      <c r="D55" s="8" t="str">
        <f t="shared" si="1"/>
        <v>12. Teilrente</v>
      </c>
      <c r="E55" s="23" t="s">
        <v>1537</v>
      </c>
      <c r="F55" s="2" t="s">
        <v>496</v>
      </c>
    </row>
    <row r="56" spans="1:6" ht="171.75">
      <c r="A56" s="7">
        <f>ROW()</f>
        <v>56</v>
      </c>
      <c r="B56" s="8" t="s">
        <v>1519</v>
      </c>
      <c r="C56" s="8" t="s">
        <v>1459</v>
      </c>
      <c r="D56" s="8" t="str">
        <f t="shared" si="1"/>
        <v>13. Aufgeschobene Rente</v>
      </c>
      <c r="E56" s="23" t="s">
        <v>1632</v>
      </c>
      <c r="F56" s="2" t="s">
        <v>525</v>
      </c>
    </row>
    <row r="57" spans="1:6" ht="179.25">
      <c r="A57" s="7">
        <f>ROW()</f>
        <v>57</v>
      </c>
      <c r="B57" s="8" t="s">
        <v>1519</v>
      </c>
      <c r="C57" s="8" t="s">
        <v>1538</v>
      </c>
      <c r="D57" s="8" t="s">
        <v>1538</v>
      </c>
      <c r="E57" s="22" t="s">
        <v>1538</v>
      </c>
      <c r="F57" s="2" t="s">
        <v>554</v>
      </c>
    </row>
    <row r="58" spans="1:6" ht="246">
      <c r="A58" s="7">
        <f>ROW()</f>
        <v>58</v>
      </c>
      <c r="B58" s="8" t="s">
        <v>1519</v>
      </c>
      <c r="C58" s="8" t="s">
        <v>1538</v>
      </c>
      <c r="D58" s="8" t="str">
        <f t="shared" si="1"/>
        <v xml:space="preserve">Kumulation mit Erwerbseinkommen </v>
      </c>
      <c r="E58" s="22" t="s">
        <v>1461</v>
      </c>
      <c r="F58" s="2" t="s">
        <v>581</v>
      </c>
    </row>
    <row r="59" spans="1:6" ht="286.5">
      <c r="A59" s="7">
        <f>ROW()</f>
        <v>59</v>
      </c>
      <c r="B59" s="8" t="s">
        <v>1519</v>
      </c>
      <c r="C59" s="8" t="s">
        <v>1538</v>
      </c>
      <c r="D59" s="8" t="s">
        <v>1539</v>
      </c>
      <c r="E59" s="22" t="s">
        <v>1460</v>
      </c>
      <c r="F59" s="2" t="s">
        <v>610</v>
      </c>
    </row>
    <row r="60" spans="1:6" ht="225.75">
      <c r="A60" s="7">
        <f>ROW()</f>
        <v>60</v>
      </c>
      <c r="B60" s="8" t="s">
        <v>1519</v>
      </c>
      <c r="C60" s="8" t="s">
        <v>612</v>
      </c>
      <c r="D60" s="8" t="str">
        <f t="shared" ref="D60:D70" si="2">+E60</f>
        <v>1. Besteuerung von Renten</v>
      </c>
      <c r="E60" s="23" t="s">
        <v>1540</v>
      </c>
      <c r="F60" s="2" t="s">
        <v>636</v>
      </c>
    </row>
    <row r="61" spans="1:6" ht="335.25">
      <c r="A61" s="7">
        <f>ROW()</f>
        <v>61</v>
      </c>
      <c r="B61" s="8" t="s">
        <v>1519</v>
      </c>
      <c r="C61" s="8" t="s">
        <v>612</v>
      </c>
      <c r="D61" s="8" t="str">
        <f t="shared" si="2"/>
        <v>2. Einkommensgrenze für Besteuerung von Renten</v>
      </c>
      <c r="E61" s="23" t="s">
        <v>1541</v>
      </c>
      <c r="F61" s="2" t="s">
        <v>664</v>
      </c>
    </row>
    <row r="62" spans="1:6" ht="264">
      <c r="A62" s="7">
        <f>ROW()</f>
        <v>62</v>
      </c>
      <c r="B62" s="8" t="s">
        <v>1519</v>
      </c>
      <c r="C62" s="8" t="s">
        <v>612</v>
      </c>
      <c r="D62" s="8" t="str">
        <f t="shared" si="2"/>
        <v>3. Auf Renten anfallende Sozialabgaben</v>
      </c>
      <c r="E62" s="23" t="s">
        <v>1542</v>
      </c>
      <c r="F62" s="2" t="s">
        <v>684</v>
      </c>
    </row>
    <row r="63" spans="1:6" ht="138">
      <c r="A63" s="7">
        <f>ROW()</f>
        <v>63</v>
      </c>
      <c r="B63" s="8" t="s">
        <v>1543</v>
      </c>
      <c r="C63" s="8" t="str">
        <f>+E63</f>
        <v>Anwendungsbereich</v>
      </c>
      <c r="D63" s="8" t="str">
        <f t="shared" si="2"/>
        <v>Anwendungsbereich</v>
      </c>
      <c r="E63" s="23" t="s">
        <v>1467</v>
      </c>
      <c r="F63" s="2" t="s">
        <v>687</v>
      </c>
    </row>
    <row r="64" spans="1:6" ht="132.75">
      <c r="A64" s="7">
        <f>ROW()</f>
        <v>64</v>
      </c>
      <c r="B64" s="8" t="s">
        <v>1543</v>
      </c>
      <c r="C64" s="8" t="s">
        <v>1514</v>
      </c>
      <c r="D64" s="8" t="str">
        <f t="shared" si="2"/>
        <v>Grundprinzipien</v>
      </c>
      <c r="E64" s="23" t="s">
        <v>1468</v>
      </c>
      <c r="F64" s="2" t="s">
        <v>723</v>
      </c>
    </row>
    <row r="65" spans="1:6" ht="224.25">
      <c r="A65" s="7">
        <f>ROW()</f>
        <v>65</v>
      </c>
      <c r="B65" s="8" t="s">
        <v>1543</v>
      </c>
      <c r="C65" s="8" t="s">
        <v>1514</v>
      </c>
      <c r="D65" s="8" t="str">
        <f t="shared" si="2"/>
        <v>Voraussetzungen für die Deckung</v>
      </c>
      <c r="E65" s="23" t="s">
        <v>1469</v>
      </c>
      <c r="F65" s="2" t="s">
        <v>744</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785</v>
      </c>
    </row>
    <row r="68" spans="1:6" ht="253.5">
      <c r="A68" s="7">
        <f>ROW()</f>
        <v>68</v>
      </c>
      <c r="B68" s="8" t="s">
        <v>1543</v>
      </c>
      <c r="C68" s="8" t="s">
        <v>1459</v>
      </c>
      <c r="D68" s="9" t="str">
        <f t="shared" si="2"/>
        <v>Beträge, Dauer und Kostenbeteiligung</v>
      </c>
      <c r="E68" s="23" t="s">
        <v>1464</v>
      </c>
      <c r="F68" s="2" t="s">
        <v>785</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785</v>
      </c>
    </row>
    <row r="71" spans="1:6" ht="177">
      <c r="A71" s="7">
        <f>ROW()</f>
        <v>71</v>
      </c>
      <c r="B71" s="8" t="s">
        <v>1466</v>
      </c>
      <c r="C71" s="8" t="str">
        <f t="shared" ref="C71:D75" si="3">+D71</f>
        <v>Geltende Rechtsgrundlage</v>
      </c>
      <c r="D71" s="9" t="str">
        <f t="shared" si="3"/>
        <v>Geltende Rechtsgrundlage</v>
      </c>
      <c r="E71" s="22" t="s">
        <v>1472</v>
      </c>
      <c r="F71" s="2" t="s">
        <v>858</v>
      </c>
    </row>
    <row r="72" spans="1:6" ht="110.25">
      <c r="A72" s="7">
        <f>ROW()</f>
        <v>72</v>
      </c>
      <c r="B72" s="8" t="s">
        <v>1466</v>
      </c>
      <c r="C72" s="8" t="str">
        <f t="shared" si="3"/>
        <v>Grundprinzipien</v>
      </c>
      <c r="D72" s="9" t="str">
        <f t="shared" si="3"/>
        <v>Grundprinzipien</v>
      </c>
      <c r="E72" s="22" t="s">
        <v>1468</v>
      </c>
      <c r="F72" s="2" t="s">
        <v>884</v>
      </c>
    </row>
    <row r="73" spans="1:6" ht="315">
      <c r="A73" s="7">
        <f>ROW()</f>
        <v>73</v>
      </c>
      <c r="B73" s="8" t="s">
        <v>1466</v>
      </c>
      <c r="C73" s="9" t="str">
        <f t="shared" si="3"/>
        <v>Anwendungsbereich (in Bezug auf Verstorbene)</v>
      </c>
      <c r="D73" s="9" t="str">
        <f t="shared" si="3"/>
        <v>Anwendungsbereich (in Bezug auf Verstorbene)</v>
      </c>
      <c r="E73" s="22" t="s">
        <v>1473</v>
      </c>
      <c r="F73" s="2" t="s">
        <v>907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941</v>
      </c>
    </row>
    <row r="76" spans="1:6" ht="102">
      <c r="A76" s="7">
        <f>ROW()</f>
        <v>76</v>
      </c>
      <c r="B76" s="8" t="s">
        <v>1466</v>
      </c>
      <c r="C76" s="1"/>
      <c r="D76" s="1"/>
      <c r="E76" s="22" t="s">
        <v>1522</v>
      </c>
      <c r="F76" s="2"/>
    </row>
    <row r="77" spans="1:6" ht="285">
      <c r="A77" s="7">
        <f>ROW()</f>
        <v>77</v>
      </c>
      <c r="B77" s="8" t="s">
        <v>1466</v>
      </c>
      <c r="C77" s="8" t="s">
        <v>1544</v>
      </c>
      <c r="D77" s="8" t="str">
        <f t="shared" ref="D77:D90" si="4">+E77</f>
        <v>1. Verstorbener Versicherter</v>
      </c>
      <c r="E77" s="23" t="s">
        <v>1545</v>
      </c>
      <c r="F77" s="2" t="s">
        <v>3639</v>
      </c>
    </row>
    <row r="78" spans="1:6" ht="375">
      <c r="A78" s="7">
        <f>ROW()</f>
        <v>78</v>
      </c>
      <c r="B78" s="8" t="s">
        <v>1466</v>
      </c>
      <c r="C78" s="8" t="s">
        <v>1544</v>
      </c>
      <c r="D78" s="8" t="str">
        <f t="shared" si="4"/>
        <v>2. Hinterbliebener Ehegatte</v>
      </c>
      <c r="E78" s="23" t="s">
        <v>1546</v>
      </c>
      <c r="F78" s="2" t="s">
        <v>3640</v>
      </c>
    </row>
    <row r="79" spans="1:6" ht="181.5">
      <c r="A79" s="7">
        <f>ROW()</f>
        <v>79</v>
      </c>
      <c r="B79" s="8" t="s">
        <v>1466</v>
      </c>
      <c r="C79" s="8" t="s">
        <v>1544</v>
      </c>
      <c r="D79" s="8" t="str">
        <f t="shared" si="4"/>
        <v>3. Geschiedener Ehegatte</v>
      </c>
      <c r="E79" s="23" t="s">
        <v>1547</v>
      </c>
      <c r="F79" s="2" t="s">
        <v>1005</v>
      </c>
    </row>
    <row r="80" spans="1:6" ht="216">
      <c r="A80" s="7">
        <f>ROW()</f>
        <v>80</v>
      </c>
      <c r="B80" s="8" t="s">
        <v>1466</v>
      </c>
      <c r="C80" s="8" t="s">
        <v>1544</v>
      </c>
      <c r="D80" s="8" t="str">
        <f t="shared" si="4"/>
        <v>4. Hinterbliebene Lebenspartner</v>
      </c>
      <c r="E80" s="23" t="s">
        <v>1548</v>
      </c>
      <c r="F80" s="2" t="s">
        <v>1025</v>
      </c>
    </row>
    <row r="81" spans="1:6" ht="181.5">
      <c r="A81" s="7">
        <f>ROW()</f>
        <v>81</v>
      </c>
      <c r="B81" s="8" t="s">
        <v>1466</v>
      </c>
      <c r="C81" s="8" t="s">
        <v>1544</v>
      </c>
      <c r="D81" s="8" t="str">
        <f t="shared" si="4"/>
        <v>5. Kinder</v>
      </c>
      <c r="E81" s="23" t="s">
        <v>1549</v>
      </c>
      <c r="F81" s="2" t="s">
        <v>1049</v>
      </c>
    </row>
    <row r="82" spans="1:6" ht="181.5">
      <c r="A82" s="7">
        <f>ROW()</f>
        <v>82</v>
      </c>
      <c r="B82" s="8" t="s">
        <v>1466</v>
      </c>
      <c r="C82" s="8" t="s">
        <v>1544</v>
      </c>
      <c r="D82" s="8" t="str">
        <f t="shared" si="4"/>
        <v>6. Andere Personen</v>
      </c>
      <c r="E82" s="23" t="s">
        <v>1550</v>
      </c>
      <c r="F82" s="2" t="s">
        <v>3641</v>
      </c>
    </row>
    <row r="83" spans="1:6" ht="409.5">
      <c r="A83" s="7">
        <f>ROW()</f>
        <v>83</v>
      </c>
      <c r="B83" s="8" t="s">
        <v>1466</v>
      </c>
      <c r="C83" s="8" t="s">
        <v>1459</v>
      </c>
      <c r="D83" s="9" t="str">
        <f t="shared" si="4"/>
        <v>1. Hinterbliebener Ehegatte, geschiedener Ehegatte, hinterbliebene Lebenspartner</v>
      </c>
      <c r="E83" s="23" t="s">
        <v>1551</v>
      </c>
      <c r="F83" s="2" t="s">
        <v>1081</v>
      </c>
    </row>
    <row r="84" spans="1:6" ht="280.5">
      <c r="A84" s="7">
        <f>ROW()</f>
        <v>84</v>
      </c>
      <c r="B84" s="8" t="s">
        <v>1466</v>
      </c>
      <c r="C84" s="8" t="s">
        <v>1459</v>
      </c>
      <c r="D84" s="9" t="str">
        <f t="shared" si="4"/>
        <v>2. Hinterbliebener Ehegatte: Wiederheirat</v>
      </c>
      <c r="E84" s="23" t="s">
        <v>1552</v>
      </c>
      <c r="F84" s="2" t="s">
        <v>1108</v>
      </c>
    </row>
    <row r="85" spans="1:6" ht="195">
      <c r="A85" s="7">
        <f>ROW()</f>
        <v>85</v>
      </c>
      <c r="B85" s="8" t="s">
        <v>1466</v>
      </c>
      <c r="C85" s="8" t="s">
        <v>1459</v>
      </c>
      <c r="D85" s="9" t="str">
        <f t="shared" si="4"/>
        <v>3. Kinder</v>
      </c>
      <c r="E85" s="23" t="s">
        <v>1553</v>
      </c>
      <c r="F85" s="2" t="s">
        <v>1129</v>
      </c>
    </row>
    <row r="86" spans="1:6" ht="147">
      <c r="A86" s="7">
        <f>ROW()</f>
        <v>86</v>
      </c>
      <c r="B86" s="8" t="s">
        <v>1466</v>
      </c>
      <c r="C86" s="8" t="s">
        <v>1459</v>
      </c>
      <c r="D86" s="9" t="str">
        <f t="shared" si="4"/>
        <v>4. Andere Berechtigte</v>
      </c>
      <c r="E86" s="23" t="s">
        <v>1554</v>
      </c>
      <c r="F86" s="2" t="s">
        <v>1142</v>
      </c>
    </row>
    <row r="87" spans="1:6" ht="381">
      <c r="A87" s="7">
        <f>ROW()</f>
        <v>87</v>
      </c>
      <c r="B87" s="8" t="s">
        <v>1466</v>
      </c>
      <c r="C87" s="8" t="s">
        <v>1459</v>
      </c>
      <c r="D87" s="9" t="str">
        <f t="shared" si="4"/>
        <v xml:space="preserve"> 5. Höchster zahlbarer Gesamtbetrag für alle Berechtigten</v>
      </c>
      <c r="E87" s="23" t="s">
        <v>1555</v>
      </c>
      <c r="F87" s="2" t="s">
        <v>1166</v>
      </c>
    </row>
    <row r="88" spans="1:6" ht="151.5">
      <c r="A88" s="7">
        <f>ROW()</f>
        <v>88</v>
      </c>
      <c r="B88" s="8" t="s">
        <v>1466</v>
      </c>
      <c r="C88" s="8" t="s">
        <v>1459</v>
      </c>
      <c r="D88" s="9" t="str">
        <f t="shared" si="4"/>
        <v>6. Sonstige Leistungen</v>
      </c>
      <c r="E88" s="23" t="s">
        <v>1556</v>
      </c>
      <c r="F88" s="2" t="s">
        <v>1178</v>
      </c>
    </row>
    <row r="89" spans="1:6" ht="126.75">
      <c r="A89" s="7">
        <f>ROW()</f>
        <v>89</v>
      </c>
      <c r="B89" s="8" t="s">
        <v>1466</v>
      </c>
      <c r="C89" s="8" t="s">
        <v>1459</v>
      </c>
      <c r="D89" s="9" t="str">
        <f>+E89</f>
        <v>7. Mindestleistung</v>
      </c>
      <c r="E89" s="23" t="s">
        <v>1557</v>
      </c>
      <c r="F89" s="2" t="s">
        <v>1211</v>
      </c>
    </row>
    <row r="90" spans="1:6" ht="122.25">
      <c r="A90" s="7">
        <f>ROW()</f>
        <v>90</v>
      </c>
      <c r="B90" s="8" t="s">
        <v>1466</v>
      </c>
      <c r="C90" s="8" t="s">
        <v>1459</v>
      </c>
      <c r="D90" s="9" t="str">
        <f t="shared" si="4"/>
        <v xml:space="preserve"> 8. Höchstleistung</v>
      </c>
      <c r="E90" s="23" t="s">
        <v>1558</v>
      </c>
      <c r="F90" s="2" t="s">
        <v>1227</v>
      </c>
    </row>
    <row r="91" spans="1:6" ht="179.25">
      <c r="A91" s="7">
        <f>ROW()</f>
        <v>91</v>
      </c>
      <c r="B91" s="8" t="s">
        <v>1466</v>
      </c>
      <c r="C91" s="8" t="s">
        <v>1538</v>
      </c>
      <c r="D91" s="9" t="str">
        <f>+C91</f>
        <v>Indexbindung / Anpassung</v>
      </c>
      <c r="E91" s="22" t="s">
        <v>1538</v>
      </c>
      <c r="F91" s="2" t="s">
        <v>1260</v>
      </c>
    </row>
    <row r="92" spans="1:6" ht="242.25">
      <c r="A92" s="7">
        <f>ROW()</f>
        <v>92</v>
      </c>
      <c r="B92" s="8" t="s">
        <v>1466</v>
      </c>
      <c r="C92" s="8" t="s">
        <v>1538</v>
      </c>
      <c r="D92" s="9" t="str">
        <f t="shared" ref="D92:D105" si="5">+E92</f>
        <v>Kumulation mit Erwerbseinkommen</v>
      </c>
      <c r="E92" s="22" t="s">
        <v>1471</v>
      </c>
      <c r="F92" s="2" t="s">
        <v>1285</v>
      </c>
    </row>
    <row r="93" spans="1:6" ht="275.25">
      <c r="A93" s="7">
        <f>ROW()</f>
        <v>93</v>
      </c>
      <c r="B93" s="8" t="s">
        <v>1466</v>
      </c>
      <c r="C93" s="8" t="s">
        <v>1538</v>
      </c>
      <c r="D93" s="9" t="str">
        <f t="shared" si="5"/>
        <v>Kumulation mit anderen Sozialleistungen</v>
      </c>
      <c r="E93" s="22" t="s">
        <v>1460</v>
      </c>
      <c r="F93" s="2" t="s">
        <v>1314</v>
      </c>
    </row>
    <row r="94" spans="1:6" ht="232.5">
      <c r="A94" s="7">
        <f>ROW()</f>
        <v>94</v>
      </c>
      <c r="B94" s="8" t="s">
        <v>1466</v>
      </c>
      <c r="C94" s="9" t="s">
        <v>1465</v>
      </c>
      <c r="D94" s="9" t="str">
        <f t="shared" si="5"/>
        <v>1. Besteuerung von Geldleistungen</v>
      </c>
      <c r="E94" s="23" t="s">
        <v>1509</v>
      </c>
      <c r="F94" s="2" t="s">
        <v>1333</v>
      </c>
    </row>
    <row r="95" spans="1:6" ht="387">
      <c r="A95" s="7">
        <f>ROW()</f>
        <v>95</v>
      </c>
      <c r="B95" s="8" t="s">
        <v>1466</v>
      </c>
      <c r="C95" s="9" t="s">
        <v>1465</v>
      </c>
      <c r="D95" s="9" t="str">
        <f t="shared" si="5"/>
        <v>2. Einkommensgrenze für Besteuerung von Geldleistungen</v>
      </c>
      <c r="E95" s="23" t="s">
        <v>1511</v>
      </c>
      <c r="F95" s="2" t="s">
        <v>1335</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687</v>
      </c>
    </row>
    <row r="98" spans="1:6" ht="110.25">
      <c r="A98" s="7">
        <f>ROW()</f>
        <v>98</v>
      </c>
      <c r="B98" s="8" t="s">
        <v>1466</v>
      </c>
      <c r="C98" s="9" t="s">
        <v>1514</v>
      </c>
      <c r="D98" s="9" t="str">
        <f t="shared" si="5"/>
        <v>Grundprinzipien</v>
      </c>
      <c r="E98" s="23" t="s">
        <v>1468</v>
      </c>
      <c r="F98" s="2" t="s">
        <v>723</v>
      </c>
    </row>
    <row r="99" spans="1:6" ht="224.25">
      <c r="A99" s="7">
        <f>ROW()</f>
        <v>99</v>
      </c>
      <c r="B99" s="8" t="s">
        <v>1466</v>
      </c>
      <c r="C99" s="9" t="s">
        <v>1514</v>
      </c>
      <c r="D99" s="9" t="str">
        <f t="shared" si="5"/>
        <v>Voraussetzungen für die Deckung</v>
      </c>
      <c r="E99" s="23" t="s">
        <v>1469</v>
      </c>
      <c r="F99" s="2" t="s">
        <v>744</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row r="106" spans="1:6"/>
  </sheetData>
  <sheetProtection algorithmName="SHA-512" hashValue="QsM8D/tFpwS7KI8mtpihXyzzkp9r+XLSmYNDzra08K/5GYbpbrl4wZq23u5f0w8nNBWn05bXBkYFIPTdErs/Kg==" saltValue="P/XuTg7ESc1d4KqAZUjYwA==" spinCount="100000" sheet="1" objects="1" scenarios="1" formatColumns="0" autoFilter="0"/>
  <autoFilter ref="A2:F2" xr:uid="{56A43EFE-F902-4E19-BA58-41C42270C3F4}"/>
  <pageMargins left="0.7" right="0.7" top="0.78740157499999996" bottom="0.78740157499999996"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FA273-E78B-4A31-BCA6-4BF9B7DE6413}">
  <sheetPr codeName="Tabelle32"/>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25" hidden="1"/>
  </cols>
  <sheetData>
    <row r="1" spans="1:6" ht="64.5" customHeight="1">
      <c r="B1" s="129" t="s">
        <v>1474</v>
      </c>
      <c r="C1" s="126" t="s">
        <v>1478</v>
      </c>
      <c r="D1" s="126" t="s">
        <v>1475</v>
      </c>
      <c r="E1" s="118" t="s">
        <v>2245</v>
      </c>
      <c r="F1" s="6" t="s">
        <v>30</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60</v>
      </c>
    </row>
    <row r="4" spans="1:6" ht="110.25">
      <c r="A4" s="7">
        <f>ROW()</f>
        <v>4</v>
      </c>
      <c r="B4" s="8" t="s">
        <v>1479</v>
      </c>
      <c r="C4" s="1"/>
      <c r="D4" s="8" t="str">
        <f t="shared" ref="D4:D34" si="0">+E4</f>
        <v>Grundprinzipien</v>
      </c>
      <c r="E4" s="22" t="s">
        <v>1468</v>
      </c>
      <c r="F4" s="3" t="s">
        <v>1633</v>
      </c>
    </row>
    <row r="5" spans="1:6" ht="188.25">
      <c r="A5" s="7">
        <f>ROW()</f>
        <v>5</v>
      </c>
      <c r="B5" s="8" t="s">
        <v>1479</v>
      </c>
      <c r="C5" s="1"/>
      <c r="D5" s="8" t="str">
        <f t="shared" si="0"/>
        <v>Gedecktes Risiko: Definition</v>
      </c>
      <c r="E5" s="22" t="s">
        <v>1630</v>
      </c>
      <c r="F5" s="3" t="s">
        <v>3664</v>
      </c>
    </row>
    <row r="6" spans="1:6" ht="144">
      <c r="A6" s="7">
        <f>ROW()</f>
        <v>6</v>
      </c>
      <c r="B6" s="8" t="s">
        <v>1479</v>
      </c>
      <c r="C6" s="8" t="s">
        <v>1453</v>
      </c>
      <c r="D6" s="8" t="str">
        <f t="shared" si="0"/>
        <v>Versicherte Personen</v>
      </c>
      <c r="E6" s="23" t="s">
        <v>1453</v>
      </c>
      <c r="F6" s="3" t="s">
        <v>3663</v>
      </c>
    </row>
    <row r="7" spans="1:6" ht="273">
      <c r="A7" s="7">
        <f>ROW()</f>
        <v>7</v>
      </c>
      <c r="B7" s="8" t="s">
        <v>1479</v>
      </c>
      <c r="C7" s="8" t="str">
        <f>+E6</f>
        <v>Versicherte Personen</v>
      </c>
      <c r="D7" s="8" t="str">
        <f t="shared" si="0"/>
        <v>Ausnahmen von der Versicherungspflicht</v>
      </c>
      <c r="E7" s="23" t="s">
        <v>1458</v>
      </c>
      <c r="F7" s="3" t="s">
        <v>3662</v>
      </c>
    </row>
    <row r="8" spans="1:6" ht="409.5">
      <c r="A8" s="7">
        <f>ROW()</f>
        <v>8</v>
      </c>
      <c r="B8" s="8" t="s">
        <v>1479</v>
      </c>
      <c r="C8" s="9" t="s">
        <v>128</v>
      </c>
      <c r="D8" s="8" t="str">
        <f t="shared" si="0"/>
        <v>1. Anwartschaftszeit</v>
      </c>
      <c r="E8" s="23" t="s">
        <v>1483</v>
      </c>
      <c r="F8" s="3" t="s">
        <v>3661</v>
      </c>
    </row>
    <row r="9" spans="1:6" ht="409.5">
      <c r="A9" s="7">
        <f>ROW()</f>
        <v>9</v>
      </c>
      <c r="B9" s="8" t="s">
        <v>1479</v>
      </c>
      <c r="C9" s="9" t="s">
        <v>128</v>
      </c>
      <c r="D9" s="8" t="str">
        <f t="shared" si="0"/>
        <v xml:space="preserve">2. Begutachtungskriterien und Kategorien der Arbeitsunfähigkeit/Arbeitsfähigkeit  </v>
      </c>
      <c r="E9" s="23" t="s">
        <v>1484</v>
      </c>
      <c r="F9" s="2" t="s">
        <v>1634</v>
      </c>
    </row>
    <row r="10" spans="1:6" ht="222">
      <c r="A10" s="7">
        <f>ROW()</f>
        <v>10</v>
      </c>
      <c r="B10" s="8" t="s">
        <v>1479</v>
      </c>
      <c r="C10" s="9" t="s">
        <v>128</v>
      </c>
      <c r="D10" s="8" t="str">
        <f t="shared" si="0"/>
        <v>3. Zeitraum der Leistungszahlung</v>
      </c>
      <c r="E10" s="23" t="s">
        <v>1486</v>
      </c>
      <c r="F10" s="2" t="s">
        <v>1635</v>
      </c>
    </row>
    <row r="11" spans="1:6" ht="135">
      <c r="A11" s="7">
        <f>ROW()</f>
        <v>11</v>
      </c>
      <c r="B11" s="8" t="s">
        <v>1479</v>
      </c>
      <c r="C11" s="9" t="s">
        <v>1488</v>
      </c>
      <c r="D11" s="8" t="str">
        <f t="shared" si="0"/>
        <v>1. Gutachter</v>
      </c>
      <c r="E11" s="23" t="s">
        <v>1489</v>
      </c>
      <c r="F11" s="2" t="s">
        <v>1636</v>
      </c>
    </row>
    <row r="12" spans="1:6" ht="111.75">
      <c r="A12" s="7">
        <f>ROW()</f>
        <v>12</v>
      </c>
      <c r="B12" s="8" t="s">
        <v>1479</v>
      </c>
      <c r="C12" s="9" t="s">
        <v>1488</v>
      </c>
      <c r="D12" s="8" t="str">
        <f t="shared" si="0"/>
        <v xml:space="preserve">2. Überprüfung  </v>
      </c>
      <c r="E12" s="23" t="s">
        <v>1490</v>
      </c>
      <c r="F12" s="2" t="s">
        <v>1637</v>
      </c>
    </row>
    <row r="13" spans="1:6" ht="409.5">
      <c r="A13" s="7">
        <f>ROW()</f>
        <v>13</v>
      </c>
      <c r="B13" s="8" t="s">
        <v>1479</v>
      </c>
      <c r="C13" s="8" t="s">
        <v>1459</v>
      </c>
      <c r="D13" s="8" t="str">
        <f t="shared" si="0"/>
        <v>1. Berechnungsmethode bzw. Rentenformel</v>
      </c>
      <c r="E13" s="23" t="s">
        <v>1492</v>
      </c>
      <c r="F13" s="3" t="s">
        <v>3660</v>
      </c>
    </row>
    <row r="14" spans="1:6" ht="343.5">
      <c r="A14" s="7">
        <f>ROW()</f>
        <v>14</v>
      </c>
      <c r="B14" s="8" t="s">
        <v>1479</v>
      </c>
      <c r="C14" s="8" t="s">
        <v>1459</v>
      </c>
      <c r="D14" s="8" t="str">
        <f t="shared" si="0"/>
        <v>2. Referenzeinkommen bzw. Berechnungsgrundlage</v>
      </c>
      <c r="E14" s="23" t="s">
        <v>1493</v>
      </c>
      <c r="F14" s="2" t="s">
        <v>1638</v>
      </c>
    </row>
    <row r="15" spans="1:6" ht="226.5">
      <c r="A15" s="7">
        <f>ROW()</f>
        <v>15</v>
      </c>
      <c r="B15" s="8" t="s">
        <v>1479</v>
      </c>
      <c r="C15" s="8" t="s">
        <v>1459</v>
      </c>
      <c r="D15" s="8" t="str">
        <f t="shared" si="0"/>
        <v>3. Mindest- und Höchstleistungen</v>
      </c>
      <c r="E15" s="23" t="s">
        <v>1495</v>
      </c>
      <c r="F15" s="3" t="s">
        <v>3659</v>
      </c>
    </row>
    <row r="16" spans="1:6" ht="405">
      <c r="A16" s="7">
        <f>ROW()</f>
        <v>16</v>
      </c>
      <c r="B16" s="8" t="s">
        <v>1479</v>
      </c>
      <c r="C16" s="8" t="s">
        <v>1459</v>
      </c>
      <c r="D16" s="8" t="str">
        <f t="shared" si="0"/>
        <v>4. Anrechenbare oder als Beitragszeiten gewertete Zeiträume</v>
      </c>
      <c r="E16" s="23" t="s">
        <v>1496</v>
      </c>
      <c r="F16" s="3" t="s">
        <v>3658</v>
      </c>
    </row>
    <row r="17" spans="1:6" ht="250.5">
      <c r="A17" s="7">
        <f>ROW()</f>
        <v>17</v>
      </c>
      <c r="B17" s="8" t="s">
        <v>1479</v>
      </c>
      <c r="C17" s="8" t="s">
        <v>1459</v>
      </c>
      <c r="D17" s="8" t="str">
        <f t="shared" si="0"/>
        <v xml:space="preserve">5. Zulagen für Unterhaltsberechtigte  </v>
      </c>
      <c r="E17" s="23" t="s">
        <v>1498</v>
      </c>
      <c r="F17" s="3" t="s">
        <v>3657</v>
      </c>
    </row>
    <row r="18" spans="1:6" ht="135">
      <c r="A18" s="7">
        <f>ROW()</f>
        <v>18</v>
      </c>
      <c r="B18" s="8" t="s">
        <v>1479</v>
      </c>
      <c r="C18" s="8" t="str">
        <f>+E18</f>
        <v>Sonstige Leistungen</v>
      </c>
      <c r="D18" s="8" t="str">
        <f>+E18</f>
        <v>Sonstige Leistungen</v>
      </c>
      <c r="E18" s="22" t="s">
        <v>1455</v>
      </c>
      <c r="F18" s="2" t="s">
        <v>1639</v>
      </c>
    </row>
    <row r="19" spans="1:6" ht="300.75">
      <c r="A19" s="7">
        <f>ROW()</f>
        <v>19</v>
      </c>
      <c r="B19" s="8" t="s">
        <v>1479</v>
      </c>
      <c r="C19" s="8" t="s">
        <v>1500</v>
      </c>
      <c r="D19" s="8" t="str">
        <f t="shared" si="0"/>
        <v>Umschulung, berufsbezogene Rehabilitation</v>
      </c>
      <c r="E19" s="23" t="s">
        <v>1501</v>
      </c>
      <c r="F19" s="2" t="s">
        <v>1640</v>
      </c>
    </row>
    <row r="20" spans="1:6" ht="409.5">
      <c r="A20" s="7">
        <f>ROW()</f>
        <v>20</v>
      </c>
      <c r="B20" s="8" t="s">
        <v>1479</v>
      </c>
      <c r="C20" s="8" t="s">
        <v>1500</v>
      </c>
      <c r="D20" s="8" t="str">
        <f t="shared" si="0"/>
        <v xml:space="preserve">Bevorzugte und reservierte Beschäftigung von Menschen mit Behinderungen  </v>
      </c>
      <c r="E20" s="23" t="s">
        <v>1502</v>
      </c>
      <c r="F20" s="2" t="s">
        <v>1641</v>
      </c>
    </row>
    <row r="21" spans="1:6" ht="171.75">
      <c r="A21" s="7">
        <f>ROW()</f>
        <v>21</v>
      </c>
      <c r="B21" s="8" t="s">
        <v>1479</v>
      </c>
      <c r="C21" s="8" t="s">
        <v>1504</v>
      </c>
      <c r="D21" s="8" t="str">
        <f t="shared" si="0"/>
        <v>Indexbindung/Anpassung</v>
      </c>
      <c r="E21" s="22" t="s">
        <v>1505</v>
      </c>
      <c r="F21" s="3" t="s">
        <v>3656</v>
      </c>
    </row>
    <row r="22" spans="1:6" ht="242.25">
      <c r="A22" s="7">
        <f>ROW()</f>
        <v>22</v>
      </c>
      <c r="B22" s="8" t="s">
        <v>1479</v>
      </c>
      <c r="C22" s="8" t="s">
        <v>1504</v>
      </c>
      <c r="D22" s="8" t="str">
        <f>+E22</f>
        <v>Kumulation mit Erwerbseinkommen</v>
      </c>
      <c r="E22" s="22" t="s">
        <v>1471</v>
      </c>
      <c r="F22" s="2" t="s">
        <v>1642</v>
      </c>
    </row>
    <row r="23" spans="1:6" ht="275.25">
      <c r="A23" s="7">
        <f>ROW()</f>
        <v>23</v>
      </c>
      <c r="B23" s="8" t="s">
        <v>1479</v>
      </c>
      <c r="C23" s="8" t="s">
        <v>1504</v>
      </c>
      <c r="D23" s="8" t="str">
        <f t="shared" si="0"/>
        <v>Kumulation mit anderen Sozialleistungen</v>
      </c>
      <c r="E23" s="22" t="s">
        <v>1460</v>
      </c>
      <c r="F23" s="3" t="s">
        <v>3655</v>
      </c>
    </row>
    <row r="24" spans="1:6" ht="232.5">
      <c r="A24" s="7">
        <f>ROW()</f>
        <v>24</v>
      </c>
      <c r="B24" s="8" t="s">
        <v>1479</v>
      </c>
      <c r="C24" s="8" t="s">
        <v>1465</v>
      </c>
      <c r="D24" s="8" t="str">
        <f t="shared" si="0"/>
        <v>1. Besteuerung von Geldleistungen</v>
      </c>
      <c r="E24" s="23" t="s">
        <v>1509</v>
      </c>
      <c r="F24" s="2" t="s">
        <v>622</v>
      </c>
    </row>
    <row r="25" spans="1:6" ht="387">
      <c r="A25" s="7">
        <f>ROW()</f>
        <v>25</v>
      </c>
      <c r="B25" s="8" t="s">
        <v>1479</v>
      </c>
      <c r="C25" s="8" t="s">
        <v>1465</v>
      </c>
      <c r="D25" s="8" t="str">
        <f t="shared" si="0"/>
        <v>2. Einkommensgrenze für Besteuerung von Geldleistungen</v>
      </c>
      <c r="E25" s="23" t="s">
        <v>1511</v>
      </c>
      <c r="F25" s="2" t="s">
        <v>1643</v>
      </c>
    </row>
    <row r="26" spans="1:6" ht="288.75">
      <c r="A26" s="7">
        <f>ROW()</f>
        <v>26</v>
      </c>
      <c r="B26" s="8" t="s">
        <v>1479</v>
      </c>
      <c r="C26" s="8" t="s">
        <v>1465</v>
      </c>
      <c r="D26" s="8" t="str">
        <f t="shared" si="0"/>
        <v>3. Auf Leistungen anfallende Sozialabgaben</v>
      </c>
      <c r="E26" s="23" t="s">
        <v>1512</v>
      </c>
      <c r="F26" s="2" t="s">
        <v>675</v>
      </c>
    </row>
    <row r="27" spans="1:6" ht="138">
      <c r="A27" s="7">
        <f>ROW()</f>
        <v>27</v>
      </c>
      <c r="B27" s="8" t="s">
        <v>1479</v>
      </c>
      <c r="C27" s="8" t="s">
        <v>1514</v>
      </c>
      <c r="D27" s="8" t="str">
        <f t="shared" si="0"/>
        <v>Anwendungsbereich</v>
      </c>
      <c r="E27" s="23" t="s">
        <v>1467</v>
      </c>
      <c r="F27" s="2" t="s">
        <v>1387</v>
      </c>
    </row>
    <row r="28" spans="1:6" ht="110.25">
      <c r="A28" s="7">
        <f>ROW()</f>
        <v>28</v>
      </c>
      <c r="B28" s="8" t="s">
        <v>1479</v>
      </c>
      <c r="C28" s="8" t="s">
        <v>1514</v>
      </c>
      <c r="D28" s="8" t="str">
        <f t="shared" si="0"/>
        <v>Grundprinzipien</v>
      </c>
      <c r="E28" s="23" t="s">
        <v>1468</v>
      </c>
      <c r="F28" s="2" t="s">
        <v>736</v>
      </c>
    </row>
    <row r="29" spans="1:6" ht="224.25">
      <c r="A29" s="7">
        <f>ROW()</f>
        <v>29</v>
      </c>
      <c r="B29" s="8" t="s">
        <v>1479</v>
      </c>
      <c r="C29" s="8" t="s">
        <v>1514</v>
      </c>
      <c r="D29" s="8" t="str">
        <f t="shared" si="0"/>
        <v>Voraussetzungen für die Deckung</v>
      </c>
      <c r="E29" s="23" t="s">
        <v>1469</v>
      </c>
      <c r="F29" s="2" t="s">
        <v>1644</v>
      </c>
    </row>
    <row r="30" spans="1:6" ht="409.5">
      <c r="A30" s="7">
        <f>ROW()</f>
        <v>30</v>
      </c>
      <c r="B30" s="8" t="s">
        <v>1479</v>
      </c>
      <c r="C30" s="8" t="s">
        <v>1514</v>
      </c>
      <c r="D30" s="9" t="str">
        <f t="shared" si="0"/>
        <v>Kombination von selbstständiger und unselbstständiger Tätigkeit</v>
      </c>
      <c r="E30" s="23" t="s">
        <v>1462</v>
      </c>
      <c r="F30" s="2" t="s">
        <v>1645</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821</v>
      </c>
    </row>
    <row r="34" spans="1:6" ht="276.75">
      <c r="A34" s="7">
        <f>ROW()</f>
        <v>34</v>
      </c>
      <c r="B34" s="8" t="s">
        <v>1479</v>
      </c>
      <c r="C34" s="8" t="s">
        <v>1459</v>
      </c>
      <c r="D34" s="8" t="str">
        <f t="shared" si="0"/>
        <v xml:space="preserve"> Auf Leistungen anfallende Sozialabgaben</v>
      </c>
      <c r="E34" s="23" t="s">
        <v>1518</v>
      </c>
      <c r="F34" s="2" t="s">
        <v>1439</v>
      </c>
    </row>
    <row r="35" spans="1:6" ht="177">
      <c r="A35" s="7">
        <f>ROW()</f>
        <v>35</v>
      </c>
      <c r="B35" s="8" t="s">
        <v>1519</v>
      </c>
      <c r="C35" s="8" t="str">
        <f>+D35</f>
        <v>Geltende Rechtsgrundlage</v>
      </c>
      <c r="D35" s="8" t="str">
        <f>+E35</f>
        <v>Geltende Rechtsgrundlage</v>
      </c>
      <c r="E35" s="22" t="s">
        <v>1472</v>
      </c>
      <c r="F35" s="2" t="s">
        <v>60</v>
      </c>
    </row>
    <row r="36" spans="1:6" ht="110.25">
      <c r="A36" s="7">
        <f>ROW()</f>
        <v>36</v>
      </c>
      <c r="B36" s="8" t="s">
        <v>1519</v>
      </c>
      <c r="C36" s="8" t="str">
        <f>+D36</f>
        <v>Grundprinzipien</v>
      </c>
      <c r="D36" s="8" t="str">
        <f>+E36</f>
        <v>Grundprinzipien</v>
      </c>
      <c r="E36" s="22" t="s">
        <v>1468</v>
      </c>
      <c r="F36" s="2" t="s">
        <v>84</v>
      </c>
    </row>
    <row r="37" spans="1:6" ht="159.75">
      <c r="A37" s="7">
        <f>ROW()</f>
        <v>37</v>
      </c>
      <c r="B37" s="8" t="s">
        <v>1519</v>
      </c>
      <c r="C37" s="8" t="s">
        <v>1467</v>
      </c>
      <c r="D37" s="8" t="str">
        <f>+E37</f>
        <v>1. Versicherte Personen</v>
      </c>
      <c r="E37" s="23" t="s">
        <v>1520</v>
      </c>
      <c r="F37" s="2" t="s">
        <v>109</v>
      </c>
    </row>
    <row r="38" spans="1:6" ht="371.25">
      <c r="A38" s="7">
        <f>ROW()</f>
        <v>38</v>
      </c>
      <c r="B38" s="8" t="s">
        <v>1519</v>
      </c>
      <c r="C38" s="8" t="s">
        <v>1467</v>
      </c>
      <c r="D38" s="8" t="str">
        <f t="shared" ref="D38:D58" si="1">+E38</f>
        <v>2. Ausnahmen von der Deckung  der Pflichtversicherung</v>
      </c>
      <c r="E38" s="23" t="s">
        <v>1521</v>
      </c>
      <c r="F38" s="3" t="s">
        <v>3654</v>
      </c>
    </row>
    <row r="39" spans="1:6" ht="194.25">
      <c r="A39" s="7">
        <f>ROW()</f>
        <v>39</v>
      </c>
      <c r="B39" s="8" t="s">
        <v>1519</v>
      </c>
      <c r="C39" s="8" t="s">
        <v>128</v>
      </c>
      <c r="D39" s="8" t="str">
        <f t="shared" si="1"/>
        <v>1. Rentenalter</v>
      </c>
      <c r="E39" s="23" t="s">
        <v>1523</v>
      </c>
      <c r="F39" s="2" t="s">
        <v>149</v>
      </c>
    </row>
    <row r="40" spans="1:6" ht="409.5">
      <c r="A40" s="7">
        <f>ROW()</f>
        <v>40</v>
      </c>
      <c r="B40" s="8" t="s">
        <v>1519</v>
      </c>
      <c r="C40" s="8" t="s">
        <v>128</v>
      </c>
      <c r="D40" s="8" t="str">
        <f t="shared" si="1"/>
        <v>2. Anwartschaftszeit und sonstige Anspruchsvoraussetzungen für den Bezug einer Altersrente</v>
      </c>
      <c r="E40" s="23" t="s">
        <v>1524</v>
      </c>
      <c r="F40" s="3" t="s">
        <v>3653</v>
      </c>
    </row>
    <row r="41" spans="1:6" ht="194.25">
      <c r="A41" s="7">
        <f>ROW()</f>
        <v>41</v>
      </c>
      <c r="B41" s="8" t="s">
        <v>1519</v>
      </c>
      <c r="C41" s="8" t="s">
        <v>128</v>
      </c>
      <c r="D41" s="8" t="str">
        <f t="shared" si="1"/>
        <v>3. Vorruhestand</v>
      </c>
      <c r="E41" s="23" t="s">
        <v>1525</v>
      </c>
      <c r="F41" s="3" t="s">
        <v>3652</v>
      </c>
    </row>
    <row r="42" spans="1:6" ht="264">
      <c r="A42" s="7">
        <f>ROW()</f>
        <v>42</v>
      </c>
      <c r="B42" s="8" t="s">
        <v>1519</v>
      </c>
      <c r="C42" s="8" t="s">
        <v>128</v>
      </c>
      <c r="D42" s="8" t="str">
        <f t="shared" si="1"/>
        <v>4. Beschwerliche und gefährliche Arbeit</v>
      </c>
      <c r="E42" s="23" t="s">
        <v>1526</v>
      </c>
      <c r="F42" s="2" t="s">
        <v>208</v>
      </c>
    </row>
    <row r="43" spans="1:6" ht="194.25">
      <c r="A43" s="7">
        <f>ROW()</f>
        <v>43</v>
      </c>
      <c r="B43" s="8" t="s">
        <v>1519</v>
      </c>
      <c r="C43" s="8" t="s">
        <v>128</v>
      </c>
      <c r="D43" s="8" t="str">
        <f t="shared" si="1"/>
        <v>5. Rentenaufschub</v>
      </c>
      <c r="E43" s="23" t="s">
        <v>1527</v>
      </c>
      <c r="F43" s="2" t="s">
        <v>232</v>
      </c>
    </row>
    <row r="44" spans="1:6" ht="174">
      <c r="A44" s="7">
        <f>ROW()</f>
        <v>44</v>
      </c>
      <c r="B44" s="8" t="s">
        <v>1519</v>
      </c>
      <c r="C44" s="8" t="s">
        <v>1459</v>
      </c>
      <c r="D44" s="8" t="str">
        <f t="shared" si="1"/>
        <v>1. Bestimmende Faktoren</v>
      </c>
      <c r="E44" s="23" t="s">
        <v>1528</v>
      </c>
      <c r="F44" s="2" t="s">
        <v>254</v>
      </c>
    </row>
    <row r="45" spans="1:6" ht="349.5">
      <c r="A45" s="7">
        <f>ROW()</f>
        <v>45</v>
      </c>
      <c r="B45" s="8" t="s">
        <v>1519</v>
      </c>
      <c r="C45" s="8" t="s">
        <v>1459</v>
      </c>
      <c r="D45" s="8" t="str">
        <f t="shared" si="1"/>
        <v>2. Berechnungsmethode, Rentenformel bzw. Beträge</v>
      </c>
      <c r="E45" s="23" t="s">
        <v>1529</v>
      </c>
      <c r="F45" s="2" t="s">
        <v>271</v>
      </c>
    </row>
    <row r="46" spans="1:6" ht="343.5">
      <c r="A46" s="7">
        <f>ROW()</f>
        <v>46</v>
      </c>
      <c r="B46" s="8" t="s">
        <v>1519</v>
      </c>
      <c r="C46" s="8" t="s">
        <v>1459</v>
      </c>
      <c r="D46" s="8" t="str">
        <f t="shared" si="1"/>
        <v>3. Referenzeinkommen bzw. Berechnungsgrundlage</v>
      </c>
      <c r="E46" s="23" t="s">
        <v>1530</v>
      </c>
      <c r="F46" s="2" t="s">
        <v>297</v>
      </c>
    </row>
    <row r="47" spans="1:6" ht="405">
      <c r="A47" s="7">
        <f>ROW()</f>
        <v>47</v>
      </c>
      <c r="B47" s="8" t="s">
        <v>1519</v>
      </c>
      <c r="C47" s="8" t="s">
        <v>1459</v>
      </c>
      <c r="D47" s="8" t="str">
        <f t="shared" si="1"/>
        <v>4. Anrechenbare oder als Beitragszeiten gewertete Zeiträume</v>
      </c>
      <c r="E47" s="23" t="s">
        <v>1496</v>
      </c>
      <c r="F47" s="3" t="s">
        <v>3651</v>
      </c>
    </row>
    <row r="48" spans="1:6" ht="243.75">
      <c r="A48" s="7">
        <f>ROW()</f>
        <v>48</v>
      </c>
      <c r="B48" s="8" t="s">
        <v>1519</v>
      </c>
      <c r="C48" s="8" t="s">
        <v>1459</v>
      </c>
      <c r="D48" s="8" t="str">
        <f t="shared" si="1"/>
        <v>5. Rückkauf von Versicherungszeiten</v>
      </c>
      <c r="E48" s="23" t="s">
        <v>1531</v>
      </c>
      <c r="F48" s="2" t="s">
        <v>317</v>
      </c>
    </row>
    <row r="49" spans="1:6" ht="246">
      <c r="A49" s="7">
        <f>ROW()</f>
        <v>49</v>
      </c>
      <c r="B49" s="8" t="s">
        <v>1519</v>
      </c>
      <c r="C49" s="8" t="s">
        <v>1459</v>
      </c>
      <c r="D49" s="8" t="str">
        <f t="shared" si="1"/>
        <v>6.  Zulagen für Unterhaltsberechtigte</v>
      </c>
      <c r="E49" s="23" t="s">
        <v>1631</v>
      </c>
      <c r="F49" s="2" t="s">
        <v>349</v>
      </c>
    </row>
    <row r="50" spans="1:6" ht="145.5">
      <c r="A50" s="7">
        <f>ROW()</f>
        <v>50</v>
      </c>
      <c r="B50" s="8" t="s">
        <v>1519</v>
      </c>
      <c r="C50" s="8" t="s">
        <v>1459</v>
      </c>
      <c r="D50" s="8" t="str">
        <f t="shared" si="1"/>
        <v>7. Besondere Zulagen</v>
      </c>
      <c r="E50" s="23" t="s">
        <v>1532</v>
      </c>
      <c r="F50" s="2" t="s">
        <v>369</v>
      </c>
    </row>
    <row r="51" spans="1:6" ht="360.75">
      <c r="A51" s="7">
        <f>ROW()</f>
        <v>51</v>
      </c>
      <c r="B51" s="8" t="s">
        <v>1519</v>
      </c>
      <c r="C51" s="8" t="s">
        <v>1459</v>
      </c>
      <c r="D51" s="8" t="str">
        <f t="shared" si="1"/>
        <v>8. Mindestrente und bedürftigkeitsabhängige Leistung</v>
      </c>
      <c r="E51" s="23" t="s">
        <v>1533</v>
      </c>
      <c r="F51" s="3" t="s">
        <v>3650</v>
      </c>
    </row>
    <row r="52" spans="1:6" ht="105">
      <c r="A52" s="7">
        <f>ROW()</f>
        <v>52</v>
      </c>
      <c r="B52" s="8" t="s">
        <v>1519</v>
      </c>
      <c r="C52" s="8" t="s">
        <v>1459</v>
      </c>
      <c r="D52" s="8" t="str">
        <f t="shared" si="1"/>
        <v>9. Höchstrente</v>
      </c>
      <c r="E52" s="23" t="s">
        <v>1534</v>
      </c>
      <c r="F52" s="2" t="s">
        <v>419</v>
      </c>
    </row>
    <row r="53" spans="1:6" ht="119.25">
      <c r="A53" s="7">
        <f>ROW()</f>
        <v>53</v>
      </c>
      <c r="B53" s="8" t="s">
        <v>1519</v>
      </c>
      <c r="C53" s="8" t="s">
        <v>1459</v>
      </c>
      <c r="D53" s="8" t="str">
        <f t="shared" si="1"/>
        <v>10. Vorruhestand</v>
      </c>
      <c r="E53" s="23" t="s">
        <v>1535</v>
      </c>
      <c r="F53" s="2" t="s">
        <v>447</v>
      </c>
    </row>
    <row r="54" spans="1:6" ht="272.25">
      <c r="A54" s="7">
        <f>ROW()</f>
        <v>54</v>
      </c>
      <c r="B54" s="8" t="s">
        <v>1519</v>
      </c>
      <c r="C54" s="8" t="s">
        <v>1459</v>
      </c>
      <c r="D54" s="8" t="str">
        <f t="shared" si="1"/>
        <v>11. Beschwerliche und gefährliche Arbeit</v>
      </c>
      <c r="E54" s="23" t="s">
        <v>1536</v>
      </c>
      <c r="F54" s="2" t="s">
        <v>471</v>
      </c>
    </row>
    <row r="55" spans="1:6" ht="87.75">
      <c r="A55" s="7">
        <f>ROW()</f>
        <v>55</v>
      </c>
      <c r="B55" s="8" t="s">
        <v>1519</v>
      </c>
      <c r="C55" s="8" t="s">
        <v>1459</v>
      </c>
      <c r="D55" s="8" t="str">
        <f t="shared" si="1"/>
        <v>12. Teilrente</v>
      </c>
      <c r="E55" s="23" t="s">
        <v>1537</v>
      </c>
      <c r="F55" s="2" t="s">
        <v>497</v>
      </c>
    </row>
    <row r="56" spans="1:6" ht="171.75">
      <c r="A56" s="7">
        <f>ROW()</f>
        <v>56</v>
      </c>
      <c r="B56" s="8" t="s">
        <v>1519</v>
      </c>
      <c r="C56" s="8" t="s">
        <v>1459</v>
      </c>
      <c r="D56" s="8" t="str">
        <f t="shared" si="1"/>
        <v>13. Aufgeschobene Rente</v>
      </c>
      <c r="E56" s="23" t="s">
        <v>1632</v>
      </c>
      <c r="F56" s="2" t="s">
        <v>526</v>
      </c>
    </row>
    <row r="57" spans="1:6" ht="179.25">
      <c r="A57" s="7">
        <f>ROW()</f>
        <v>57</v>
      </c>
      <c r="B57" s="8" t="s">
        <v>1519</v>
      </c>
      <c r="C57" s="8" t="s">
        <v>1538</v>
      </c>
      <c r="D57" s="8" t="s">
        <v>1538</v>
      </c>
      <c r="E57" s="22" t="s">
        <v>1538</v>
      </c>
      <c r="F57" s="3" t="s">
        <v>3649</v>
      </c>
    </row>
    <row r="58" spans="1:6" ht="246">
      <c r="A58" s="7">
        <f>ROW()</f>
        <v>58</v>
      </c>
      <c r="B58" s="8" t="s">
        <v>1519</v>
      </c>
      <c r="C58" s="8" t="s">
        <v>1538</v>
      </c>
      <c r="D58" s="8" t="str">
        <f t="shared" si="1"/>
        <v xml:space="preserve">Kumulation mit Erwerbseinkommen </v>
      </c>
      <c r="E58" s="22" t="s">
        <v>1461</v>
      </c>
      <c r="F58" s="2" t="s">
        <v>582</v>
      </c>
    </row>
    <row r="59" spans="1:6" ht="286.5">
      <c r="A59" s="7">
        <f>ROW()</f>
        <v>59</v>
      </c>
      <c r="B59" s="8" t="s">
        <v>1519</v>
      </c>
      <c r="C59" s="8" t="s">
        <v>1538</v>
      </c>
      <c r="D59" s="8" t="s">
        <v>1539</v>
      </c>
      <c r="E59" s="22" t="s">
        <v>1460</v>
      </c>
      <c r="F59" s="2" t="s">
        <v>611</v>
      </c>
    </row>
    <row r="60" spans="1:6" ht="225.75">
      <c r="A60" s="7">
        <f>ROW()</f>
        <v>60</v>
      </c>
      <c r="B60" s="8" t="s">
        <v>1519</v>
      </c>
      <c r="C60" s="8" t="s">
        <v>612</v>
      </c>
      <c r="D60" s="8" t="str">
        <f t="shared" ref="D60:D70" si="2">+E60</f>
        <v>1. Besteuerung von Renten</v>
      </c>
      <c r="E60" s="23" t="s">
        <v>1540</v>
      </c>
      <c r="F60" s="2" t="s">
        <v>637</v>
      </c>
    </row>
    <row r="61" spans="1:6" ht="335.25">
      <c r="A61" s="7">
        <f>ROW()</f>
        <v>61</v>
      </c>
      <c r="B61" s="8" t="s">
        <v>1519</v>
      </c>
      <c r="C61" s="8" t="s">
        <v>612</v>
      </c>
      <c r="D61" s="8" t="str">
        <f t="shared" si="2"/>
        <v>2. Einkommensgrenze für Besteuerung von Renten</v>
      </c>
      <c r="E61" s="23" t="s">
        <v>1541</v>
      </c>
      <c r="F61" s="2" t="s">
        <v>653</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709</v>
      </c>
    </row>
    <row r="64" spans="1:6" ht="132.75">
      <c r="A64" s="7">
        <f>ROW()</f>
        <v>64</v>
      </c>
      <c r="B64" s="8" t="s">
        <v>1543</v>
      </c>
      <c r="C64" s="8" t="s">
        <v>1514</v>
      </c>
      <c r="D64" s="8" t="str">
        <f t="shared" si="2"/>
        <v>Grundprinzipien</v>
      </c>
      <c r="E64" s="23" t="s">
        <v>1468</v>
      </c>
      <c r="F64" s="2" t="s">
        <v>736</v>
      </c>
    </row>
    <row r="65" spans="1:6" ht="224.25">
      <c r="A65" s="7">
        <f>ROW()</f>
        <v>65</v>
      </c>
      <c r="B65" s="8" t="s">
        <v>1543</v>
      </c>
      <c r="C65" s="8" t="s">
        <v>1514</v>
      </c>
      <c r="D65" s="8" t="str">
        <f t="shared" si="2"/>
        <v>Voraussetzungen für die Deckung</v>
      </c>
      <c r="E65" s="23" t="s">
        <v>1469</v>
      </c>
      <c r="F65" s="2" t="s">
        <v>762</v>
      </c>
    </row>
    <row r="66" spans="1:6" ht="409.5">
      <c r="A66" s="7">
        <f>ROW()</f>
        <v>66</v>
      </c>
      <c r="B66" s="8" t="s">
        <v>1543</v>
      </c>
      <c r="C66" s="8" t="s">
        <v>1514</v>
      </c>
      <c r="D66" s="8" t="str">
        <f t="shared" si="2"/>
        <v>Kombination von selbstständiger und unselbstständiger Tätigkeit</v>
      </c>
      <c r="E66" s="23" t="s">
        <v>1462</v>
      </c>
      <c r="F66" s="2" t="s">
        <v>778</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821</v>
      </c>
    </row>
    <row r="70" spans="1:6" ht="272.25">
      <c r="A70" s="7">
        <f>ROW()</f>
        <v>70</v>
      </c>
      <c r="B70" s="8" t="s">
        <v>1543</v>
      </c>
      <c r="C70" s="8" t="s">
        <v>1459</v>
      </c>
      <c r="D70" s="9" t="str">
        <f t="shared" si="2"/>
        <v>Auf Leistungen anfallende Sozialabgaben</v>
      </c>
      <c r="E70" s="23" t="s">
        <v>1457</v>
      </c>
      <c r="F70" s="2" t="s">
        <v>832</v>
      </c>
    </row>
    <row r="71" spans="1:6" ht="177">
      <c r="A71" s="7">
        <f>ROW()</f>
        <v>71</v>
      </c>
      <c r="B71" s="8" t="s">
        <v>1466</v>
      </c>
      <c r="C71" s="8" t="str">
        <f t="shared" ref="C71:D75" si="3">+D71</f>
        <v>Geltende Rechtsgrundlage</v>
      </c>
      <c r="D71" s="9" t="str">
        <f t="shared" si="3"/>
        <v>Geltende Rechtsgrundlage</v>
      </c>
      <c r="E71" s="22" t="s">
        <v>1472</v>
      </c>
      <c r="F71" s="2" t="s">
        <v>60</v>
      </c>
    </row>
    <row r="72" spans="1:6" ht="110.25">
      <c r="A72" s="7">
        <f>ROW()</f>
        <v>72</v>
      </c>
      <c r="B72" s="8" t="s">
        <v>1466</v>
      </c>
      <c r="C72" s="8" t="str">
        <f t="shared" si="3"/>
        <v>Grundprinzipien</v>
      </c>
      <c r="D72" s="9" t="str">
        <f t="shared" si="3"/>
        <v>Grundprinzipien</v>
      </c>
      <c r="E72" s="22" t="s">
        <v>1468</v>
      </c>
      <c r="F72" s="2" t="s">
        <v>885</v>
      </c>
    </row>
    <row r="73" spans="1:6" ht="315">
      <c r="A73" s="7">
        <f>ROW()</f>
        <v>73</v>
      </c>
      <c r="B73" s="8" t="s">
        <v>1466</v>
      </c>
      <c r="C73" s="9" t="str">
        <f t="shared" si="3"/>
        <v>Anwendungsbereich (in Bezug auf Verstorbene)</v>
      </c>
      <c r="D73" s="9" t="str">
        <f t="shared" si="3"/>
        <v>Anwendungsbereich (in Bezug auf Verstorbene)</v>
      </c>
      <c r="E73" s="22" t="s">
        <v>1473</v>
      </c>
      <c r="F73" s="2" t="s">
        <v>908</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3" t="s">
        <v>3648</v>
      </c>
    </row>
    <row r="75" spans="1:6" ht="144.75">
      <c r="A75" s="7">
        <f>ROW()</f>
        <v>75</v>
      </c>
      <c r="B75" s="8" t="s">
        <v>1466</v>
      </c>
      <c r="C75" s="9" t="str">
        <f t="shared" si="3"/>
        <v>Berechtigte Personen</v>
      </c>
      <c r="D75" s="9" t="str">
        <f t="shared" si="3"/>
        <v>Berechtigte Personen</v>
      </c>
      <c r="E75" s="22" t="s">
        <v>1477</v>
      </c>
      <c r="F75" s="3" t="s">
        <v>3647</v>
      </c>
    </row>
    <row r="76" spans="1:6" ht="102">
      <c r="A76" s="7">
        <f>ROW()</f>
        <v>76</v>
      </c>
      <c r="B76" s="8" t="s">
        <v>1466</v>
      </c>
      <c r="C76" s="1"/>
      <c r="D76" s="1"/>
      <c r="E76" s="22" t="s">
        <v>1522</v>
      </c>
      <c r="F76" s="2"/>
    </row>
    <row r="77" spans="1:6" ht="409.5">
      <c r="A77" s="7">
        <f>ROW()</f>
        <v>77</v>
      </c>
      <c r="B77" s="8" t="s">
        <v>1466</v>
      </c>
      <c r="C77" s="8" t="s">
        <v>1544</v>
      </c>
      <c r="D77" s="8" t="str">
        <f t="shared" ref="D77:D90" si="4">+E77</f>
        <v>1. Verstorbener Versicherter</v>
      </c>
      <c r="E77" s="23" t="s">
        <v>1545</v>
      </c>
      <c r="F77" s="3" t="s">
        <v>3646</v>
      </c>
    </row>
    <row r="78" spans="1:6" ht="185.25">
      <c r="A78" s="7">
        <f>ROW()</f>
        <v>78</v>
      </c>
      <c r="B78" s="8" t="s">
        <v>1466</v>
      </c>
      <c r="C78" s="8" t="s">
        <v>1544</v>
      </c>
      <c r="D78" s="8" t="str">
        <f t="shared" si="4"/>
        <v>2. Hinterbliebener Ehegatte</v>
      </c>
      <c r="E78" s="23" t="s">
        <v>1546</v>
      </c>
      <c r="F78" s="2" t="s">
        <v>981</v>
      </c>
    </row>
    <row r="79" spans="1:6" ht="181.5">
      <c r="A79" s="7">
        <f>ROW()</f>
        <v>79</v>
      </c>
      <c r="B79" s="8" t="s">
        <v>1466</v>
      </c>
      <c r="C79" s="8" t="s">
        <v>1544</v>
      </c>
      <c r="D79" s="8" t="str">
        <f t="shared" si="4"/>
        <v>3. Geschiedener Ehegatte</v>
      </c>
      <c r="E79" s="23" t="s">
        <v>1547</v>
      </c>
      <c r="F79" s="2" t="s">
        <v>989</v>
      </c>
    </row>
    <row r="80" spans="1:6" ht="216">
      <c r="A80" s="7">
        <f>ROW()</f>
        <v>80</v>
      </c>
      <c r="B80" s="8" t="s">
        <v>1466</v>
      </c>
      <c r="C80" s="8" t="s">
        <v>1544</v>
      </c>
      <c r="D80" s="8" t="str">
        <f t="shared" si="4"/>
        <v>4. Hinterbliebene Lebenspartner</v>
      </c>
      <c r="E80" s="23" t="s">
        <v>1548</v>
      </c>
      <c r="F80" s="2" t="s">
        <v>989</v>
      </c>
    </row>
    <row r="81" spans="1:6" ht="181.5">
      <c r="A81" s="7">
        <f>ROW()</f>
        <v>81</v>
      </c>
      <c r="B81" s="8" t="s">
        <v>1466</v>
      </c>
      <c r="C81" s="8" t="s">
        <v>1544</v>
      </c>
      <c r="D81" s="8" t="str">
        <f t="shared" si="4"/>
        <v>5. Kinder</v>
      </c>
      <c r="E81" s="23" t="s">
        <v>1549</v>
      </c>
      <c r="F81" s="3" t="s">
        <v>3645</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1082</v>
      </c>
    </row>
    <row r="84" spans="1:6" ht="280.5">
      <c r="A84" s="7">
        <f>ROW()</f>
        <v>84</v>
      </c>
      <c r="B84" s="8" t="s">
        <v>1466</v>
      </c>
      <c r="C84" s="8" t="s">
        <v>1459</v>
      </c>
      <c r="D84" s="9" t="str">
        <f t="shared" si="4"/>
        <v>2. Hinterbliebener Ehegatte: Wiederheirat</v>
      </c>
      <c r="E84" s="23" t="s">
        <v>1552</v>
      </c>
      <c r="F84" s="2" t="s">
        <v>1109</v>
      </c>
    </row>
    <row r="85" spans="1:6" ht="180">
      <c r="A85" s="7">
        <f>ROW()</f>
        <v>85</v>
      </c>
      <c r="B85" s="8" t="s">
        <v>1466</v>
      </c>
      <c r="C85" s="8" t="s">
        <v>1459</v>
      </c>
      <c r="D85" s="9" t="str">
        <f t="shared" si="4"/>
        <v>3. Kinder</v>
      </c>
      <c r="E85" s="23" t="s">
        <v>1553</v>
      </c>
      <c r="F85" s="2" t="s">
        <v>1130</v>
      </c>
    </row>
    <row r="86" spans="1:6" ht="147">
      <c r="A86" s="7">
        <f>ROW()</f>
        <v>86</v>
      </c>
      <c r="B86" s="8" t="s">
        <v>1466</v>
      </c>
      <c r="C86" s="8" t="s">
        <v>1459</v>
      </c>
      <c r="D86" s="9" t="str">
        <f t="shared" si="4"/>
        <v>4. Andere Berechtigte</v>
      </c>
      <c r="E86" s="23" t="s">
        <v>1554</v>
      </c>
      <c r="F86" s="2" t="s">
        <v>1143</v>
      </c>
    </row>
    <row r="87" spans="1:6" ht="381">
      <c r="A87" s="7">
        <f>ROW()</f>
        <v>87</v>
      </c>
      <c r="B87" s="8" t="s">
        <v>1466</v>
      </c>
      <c r="C87" s="8" t="s">
        <v>1459</v>
      </c>
      <c r="D87" s="9" t="str">
        <f t="shared" si="4"/>
        <v xml:space="preserve"> 5. Höchster zahlbarer Gesamtbetrag für alle Berechtigten</v>
      </c>
      <c r="E87" s="23" t="s">
        <v>1555</v>
      </c>
      <c r="F87" s="3" t="s">
        <v>3642</v>
      </c>
    </row>
    <row r="88" spans="1:6" ht="151.5">
      <c r="A88" s="7">
        <f>ROW()</f>
        <v>88</v>
      </c>
      <c r="B88" s="8" t="s">
        <v>1466</v>
      </c>
      <c r="C88" s="8" t="s">
        <v>1459</v>
      </c>
      <c r="D88" s="9" t="str">
        <f t="shared" si="4"/>
        <v>6. Sonstige Leistungen</v>
      </c>
      <c r="E88" s="23" t="s">
        <v>1556</v>
      </c>
      <c r="F88" s="3" t="s">
        <v>3643</v>
      </c>
    </row>
    <row r="89" spans="1:6" ht="126.75">
      <c r="A89" s="7">
        <f>ROW()</f>
        <v>89</v>
      </c>
      <c r="B89" s="8" t="s">
        <v>1466</v>
      </c>
      <c r="C89" s="8" t="s">
        <v>1459</v>
      </c>
      <c r="D89" s="9" t="str">
        <f>+E89</f>
        <v>7. Mindestleistung</v>
      </c>
      <c r="E89" s="23" t="s">
        <v>1557</v>
      </c>
      <c r="F89" s="2" t="s">
        <v>1212</v>
      </c>
    </row>
    <row r="90" spans="1:6" ht="122.25">
      <c r="A90" s="7">
        <f>ROW()</f>
        <v>90</v>
      </c>
      <c r="B90" s="8" t="s">
        <v>1466</v>
      </c>
      <c r="C90" s="8" t="s">
        <v>1459</v>
      </c>
      <c r="D90" s="9" t="str">
        <f t="shared" si="4"/>
        <v xml:space="preserve"> 8. Höchstleistung</v>
      </c>
      <c r="E90" s="23" t="s">
        <v>1558</v>
      </c>
      <c r="F90" s="2" t="s">
        <v>1232</v>
      </c>
    </row>
    <row r="91" spans="1:6" ht="179.25">
      <c r="A91" s="7">
        <f>ROW()</f>
        <v>91</v>
      </c>
      <c r="B91" s="8" t="s">
        <v>1466</v>
      </c>
      <c r="C91" s="8" t="s">
        <v>1538</v>
      </c>
      <c r="D91" s="9" t="str">
        <f>+C91</f>
        <v>Indexbindung / Anpassung</v>
      </c>
      <c r="E91" s="22" t="s">
        <v>1538</v>
      </c>
      <c r="F91" s="3" t="s">
        <v>3644</v>
      </c>
    </row>
    <row r="92" spans="1:6" ht="242.25">
      <c r="A92" s="7">
        <f>ROW()</f>
        <v>92</v>
      </c>
      <c r="B92" s="8" t="s">
        <v>1466</v>
      </c>
      <c r="C92" s="8" t="s">
        <v>1538</v>
      </c>
      <c r="D92" s="9" t="str">
        <f t="shared" ref="D92:D105" si="5">+E92</f>
        <v>Kumulation mit Erwerbseinkommen</v>
      </c>
      <c r="E92" s="22" t="s">
        <v>1471</v>
      </c>
      <c r="F92" s="2" t="s">
        <v>1286</v>
      </c>
    </row>
    <row r="93" spans="1:6" ht="275.25">
      <c r="A93" s="7">
        <f>ROW()</f>
        <v>93</v>
      </c>
      <c r="B93" s="8" t="s">
        <v>1466</v>
      </c>
      <c r="C93" s="8" t="s">
        <v>1538</v>
      </c>
      <c r="D93" s="9" t="str">
        <f t="shared" si="5"/>
        <v>Kumulation mit anderen Sozialleistungen</v>
      </c>
      <c r="E93" s="22" t="s">
        <v>1460</v>
      </c>
      <c r="F93" s="2" t="s">
        <v>1315</v>
      </c>
    </row>
    <row r="94" spans="1:6" ht="232.5">
      <c r="A94" s="7">
        <f>ROW()</f>
        <v>94</v>
      </c>
      <c r="B94" s="8" t="s">
        <v>1466</v>
      </c>
      <c r="C94" s="9" t="s">
        <v>1465</v>
      </c>
      <c r="D94" s="9" t="str">
        <f t="shared" si="5"/>
        <v>1. Besteuerung von Geldleistungen</v>
      </c>
      <c r="E94" s="23" t="s">
        <v>1509</v>
      </c>
      <c r="F94" s="2" t="s">
        <v>1334</v>
      </c>
    </row>
    <row r="95" spans="1:6" ht="387">
      <c r="A95" s="7">
        <f>ROW()</f>
        <v>95</v>
      </c>
      <c r="B95" s="8" t="s">
        <v>1466</v>
      </c>
      <c r="C95" s="9" t="s">
        <v>1465</v>
      </c>
      <c r="D95" s="9" t="str">
        <f t="shared" si="5"/>
        <v>2. Einkommensgrenze für Besteuerung von Geldleistungen</v>
      </c>
      <c r="E95" s="23" t="s">
        <v>1511</v>
      </c>
      <c r="F95" s="2" t="s">
        <v>1356</v>
      </c>
    </row>
    <row r="96" spans="1:6" ht="288.75">
      <c r="A96" s="7">
        <f>ROW()</f>
        <v>96</v>
      </c>
      <c r="B96" s="8" t="s">
        <v>1466</v>
      </c>
      <c r="C96" s="9" t="s">
        <v>1465</v>
      </c>
      <c r="D96" s="9" t="str">
        <f t="shared" si="5"/>
        <v>3. Auf Leistungen anfallende Sozialabgaben</v>
      </c>
      <c r="E96" s="23" t="s">
        <v>1512</v>
      </c>
      <c r="F96" s="2" t="s">
        <v>673</v>
      </c>
    </row>
    <row r="97" spans="1:6" ht="138">
      <c r="A97" s="7">
        <f>ROW()</f>
        <v>97</v>
      </c>
      <c r="B97" s="8" t="s">
        <v>1466</v>
      </c>
      <c r="C97" s="9" t="s">
        <v>1514</v>
      </c>
      <c r="D97" s="9" t="str">
        <f t="shared" si="5"/>
        <v>Anwendungsbereich</v>
      </c>
      <c r="E97" s="23" t="s">
        <v>1467</v>
      </c>
      <c r="F97" s="2" t="s">
        <v>1387</v>
      </c>
    </row>
    <row r="98" spans="1:6" ht="110.25">
      <c r="A98" s="7">
        <f>ROW()</f>
        <v>98</v>
      </c>
      <c r="B98" s="8" t="s">
        <v>1466</v>
      </c>
      <c r="C98" s="9" t="s">
        <v>1514</v>
      </c>
      <c r="D98" s="9" t="str">
        <f t="shared" si="5"/>
        <v>Grundprinzipien</v>
      </c>
      <c r="E98" s="23" t="s">
        <v>1468</v>
      </c>
      <c r="F98" s="2" t="s">
        <v>1403</v>
      </c>
    </row>
    <row r="99" spans="1:6" ht="224.25">
      <c r="A99" s="7">
        <f>ROW()</f>
        <v>99</v>
      </c>
      <c r="B99" s="8" t="s">
        <v>1466</v>
      </c>
      <c r="C99" s="9" t="s">
        <v>1514</v>
      </c>
      <c r="D99" s="9" t="str">
        <f t="shared" si="5"/>
        <v>Voraussetzungen für die Deckung</v>
      </c>
      <c r="E99" s="23" t="s">
        <v>1469</v>
      </c>
      <c r="F99" s="2" t="s">
        <v>762</v>
      </c>
    </row>
    <row r="100" spans="1:6" ht="409.5">
      <c r="A100" s="7">
        <f>ROW()</f>
        <v>100</v>
      </c>
      <c r="B100" s="8" t="s">
        <v>1466</v>
      </c>
      <c r="C100" s="9" t="s">
        <v>1514</v>
      </c>
      <c r="D100" s="9" t="str">
        <f t="shared" si="5"/>
        <v>Kombination von selbstständiger und unselbstständiger Tätigkeit</v>
      </c>
      <c r="E100" s="23" t="s">
        <v>1462</v>
      </c>
      <c r="F100" s="2" t="s">
        <v>778</v>
      </c>
    </row>
    <row r="101" spans="1:6" ht="376.5">
      <c r="A101" s="7">
        <f>ROW()</f>
        <v>101</v>
      </c>
      <c r="B101" s="8" t="s">
        <v>1466</v>
      </c>
      <c r="C101" s="9" t="s">
        <v>1514</v>
      </c>
      <c r="D101" s="9" t="str">
        <f t="shared" si="5"/>
        <v xml:space="preserve">Voraussetzungen für den Zugang zu Diensten/Leistungen </v>
      </c>
      <c r="E101" s="23" t="s">
        <v>1463</v>
      </c>
      <c r="F101" s="2" t="s">
        <v>762</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1435</v>
      </c>
    </row>
    <row r="105" spans="1:6" ht="272.25">
      <c r="A105" s="7">
        <f>ROW()</f>
        <v>105</v>
      </c>
      <c r="B105" s="8" t="s">
        <v>1466</v>
      </c>
      <c r="C105" s="9" t="s">
        <v>1514</v>
      </c>
      <c r="D105" s="9" t="str">
        <f t="shared" si="5"/>
        <v>Auf Leistungen anfallende Sozialabgaben</v>
      </c>
      <c r="E105" s="23" t="s">
        <v>1457</v>
      </c>
      <c r="F105" s="2" t="s">
        <v>1439</v>
      </c>
    </row>
  </sheetData>
  <sheetProtection algorithmName="SHA-512" hashValue="r1vVJPjNCWsSv9wjZogt4tN3s3t9C4Q/Ecl211x2QnU+xYvaCy/V7j7XpVdT/ojKOfzBs4nUKBZZeDHouPrXPA==" saltValue="z1rKVvrkDA3ddu/wSAiNgg==" spinCount="100000" sheet="1" objects="1" scenarios="1" formatColumns="0" autoFilter="0"/>
  <autoFilter ref="A2:F2" xr:uid="{BA1FA273-E78B-4A31-BCA6-4BF9B7DE6413}"/>
  <pageMargins left="0.7" right="0.7" top="0.78740157499999996" bottom="0.78740157499999996"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3E989-8821-42F8-9B44-987FD63A2738}">
  <sheetPr codeName="Tabelle51">
    <pageSetUpPr fitToPage="1"/>
  </sheetPr>
  <dimension ref="A1:G58"/>
  <sheetViews>
    <sheetView topLeftCell="B1" zoomScale="115" zoomScaleNormal="115" workbookViewId="0">
      <selection activeCell="B2" sqref="B2:E65"/>
    </sheetView>
  </sheetViews>
  <sheetFormatPr baseColWidth="10" defaultColWidth="11.42578125" defaultRowHeight="15" zeroHeight="1"/>
  <cols>
    <col min="1" max="1" width="11.42578125" hidden="1" customWidth="1"/>
    <col min="2" max="2" width="21.5703125" customWidth="1"/>
    <col min="3" max="3" width="23" customWidth="1"/>
    <col min="4" max="4" width="11.7109375" customWidth="1"/>
    <col min="5" max="5" width="62.140625" customWidth="1"/>
  </cols>
  <sheetData>
    <row r="1" spans="1:7" ht="38.25">
      <c r="A1" s="11" t="s">
        <v>2264</v>
      </c>
      <c r="B1" s="130" t="s">
        <v>2265</v>
      </c>
      <c r="C1" s="130" t="s">
        <v>2266</v>
      </c>
      <c r="D1" s="130" t="s">
        <v>2267</v>
      </c>
      <c r="E1" s="130" t="s">
        <v>2268</v>
      </c>
      <c r="F1" s="1030"/>
      <c r="G1" s="1030"/>
    </row>
    <row r="2" spans="1:7" ht="25.5">
      <c r="A2">
        <v>1</v>
      </c>
      <c r="B2" s="131" t="s">
        <v>0</v>
      </c>
      <c r="C2" s="131" t="s">
        <v>2277</v>
      </c>
      <c r="D2" s="132" t="s">
        <v>2278</v>
      </c>
      <c r="E2" s="131" t="s">
        <v>2279</v>
      </c>
      <c r="F2" s="13"/>
      <c r="G2" s="12"/>
    </row>
    <row r="3" spans="1:7" ht="25.5">
      <c r="A3">
        <v>2</v>
      </c>
      <c r="B3" s="131" t="s">
        <v>1</v>
      </c>
      <c r="C3" s="131" t="s">
        <v>2270</v>
      </c>
      <c r="D3" s="132" t="s">
        <v>2271</v>
      </c>
      <c r="E3" s="131" t="s">
        <v>2284</v>
      </c>
      <c r="F3" s="701"/>
      <c r="G3" s="123"/>
    </row>
    <row r="4" spans="1:7" ht="25.5">
      <c r="A4">
        <v>3</v>
      </c>
      <c r="B4" s="131" t="s">
        <v>2</v>
      </c>
      <c r="C4" s="131" t="s">
        <v>2286</v>
      </c>
      <c r="D4" s="132" t="s">
        <v>2278</v>
      </c>
      <c r="E4" s="131" t="s">
        <v>2287</v>
      </c>
      <c r="F4" s="13"/>
      <c r="G4" s="20"/>
    </row>
    <row r="5" spans="1:7" ht="25.5">
      <c r="A5">
        <v>5</v>
      </c>
      <c r="B5" s="131" t="s">
        <v>4</v>
      </c>
      <c r="C5" s="131" t="s">
        <v>2270</v>
      </c>
      <c r="D5" s="132" t="s">
        <v>2271</v>
      </c>
      <c r="E5" s="131" t="s">
        <v>2281</v>
      </c>
      <c r="F5" s="13"/>
      <c r="G5" s="20"/>
    </row>
    <row r="6" spans="1:7" ht="25.5">
      <c r="A6">
        <v>6</v>
      </c>
      <c r="B6" s="131" t="s">
        <v>5</v>
      </c>
      <c r="C6" s="131" t="s">
        <v>2288</v>
      </c>
      <c r="D6" s="132" t="s">
        <v>2278</v>
      </c>
      <c r="E6" s="131" t="s">
        <v>2289</v>
      </c>
      <c r="F6" s="13"/>
      <c r="G6" s="20"/>
    </row>
    <row r="7" spans="1:7" ht="25.5">
      <c r="A7">
        <v>7</v>
      </c>
      <c r="B7" s="131" t="s">
        <v>6</v>
      </c>
      <c r="C7" s="131" t="s">
        <v>2290</v>
      </c>
      <c r="D7" s="132" t="s">
        <v>2278</v>
      </c>
      <c r="E7" s="131" t="s">
        <v>2291</v>
      </c>
      <c r="F7" s="13"/>
      <c r="G7" s="20"/>
    </row>
    <row r="8" spans="1:7" ht="25.5">
      <c r="A8">
        <v>8</v>
      </c>
      <c r="B8" s="131" t="s">
        <v>7</v>
      </c>
      <c r="C8" s="131" t="s">
        <v>2270</v>
      </c>
      <c r="D8" s="132" t="s">
        <v>2271</v>
      </c>
      <c r="E8" s="131" t="s">
        <v>2281</v>
      </c>
      <c r="F8" s="13"/>
      <c r="G8" s="20"/>
    </row>
    <row r="9" spans="1:7" ht="25.5">
      <c r="A9">
        <v>9</v>
      </c>
      <c r="B9" s="131" t="s">
        <v>8</v>
      </c>
      <c r="C9" s="131" t="s">
        <v>2270</v>
      </c>
      <c r="D9" s="132" t="s">
        <v>2294</v>
      </c>
      <c r="E9" s="131" t="s">
        <v>2296</v>
      </c>
      <c r="F9" s="13"/>
      <c r="G9" s="20"/>
    </row>
    <row r="10" spans="1:7" ht="25.5">
      <c r="A10">
        <v>10</v>
      </c>
      <c r="B10" s="131" t="s">
        <v>9</v>
      </c>
      <c r="C10" s="131" t="s">
        <v>2297</v>
      </c>
      <c r="D10" s="132" t="s">
        <v>2278</v>
      </c>
      <c r="E10" s="131" t="s">
        <v>2298</v>
      </c>
      <c r="F10" s="13"/>
      <c r="G10" s="20"/>
    </row>
    <row r="11" spans="1:7" ht="38.25">
      <c r="A11">
        <v>11</v>
      </c>
      <c r="B11" s="131" t="s">
        <v>10</v>
      </c>
      <c r="C11" s="131" t="s">
        <v>2301</v>
      </c>
      <c r="D11" s="132" t="s">
        <v>2278</v>
      </c>
      <c r="E11" s="131" t="s">
        <v>2302</v>
      </c>
      <c r="F11" s="13"/>
      <c r="G11" s="20"/>
    </row>
    <row r="12" spans="1:7" ht="25.5">
      <c r="A12">
        <v>12</v>
      </c>
      <c r="B12" s="131" t="s">
        <v>11</v>
      </c>
      <c r="C12" s="131" t="s">
        <v>2270</v>
      </c>
      <c r="D12" s="132" t="s">
        <v>2271</v>
      </c>
      <c r="E12" s="131" t="s">
        <v>2310</v>
      </c>
      <c r="F12" s="13"/>
      <c r="G12" s="20"/>
    </row>
    <row r="13" spans="1:7" ht="25.5">
      <c r="A13">
        <v>13</v>
      </c>
      <c r="B13" s="131" t="s">
        <v>12</v>
      </c>
      <c r="C13" s="131" t="s">
        <v>2270</v>
      </c>
      <c r="D13" s="132" t="s">
        <v>2271</v>
      </c>
      <c r="E13" s="131" t="s">
        <v>2281</v>
      </c>
      <c r="F13" s="13"/>
      <c r="G13" s="20"/>
    </row>
    <row r="14" spans="1:7" ht="38.25">
      <c r="A14">
        <v>14</v>
      </c>
      <c r="B14" s="131" t="s">
        <v>13</v>
      </c>
      <c r="C14" s="131" t="s">
        <v>2311</v>
      </c>
      <c r="D14" s="132" t="s">
        <v>2278</v>
      </c>
      <c r="E14" s="131" t="s">
        <v>2312</v>
      </c>
      <c r="F14" s="13"/>
      <c r="G14" s="20"/>
    </row>
    <row r="15" spans="1:7" ht="25.5">
      <c r="A15">
        <v>15</v>
      </c>
      <c r="B15" s="131" t="s">
        <v>14</v>
      </c>
      <c r="C15" s="131" t="s">
        <v>2270</v>
      </c>
      <c r="D15" s="132" t="s">
        <v>2278</v>
      </c>
      <c r="E15" s="131" t="s">
        <v>2313</v>
      </c>
      <c r="F15" s="13"/>
      <c r="G15" s="20"/>
    </row>
    <row r="16" spans="1:7" ht="25.5">
      <c r="A16">
        <v>16</v>
      </c>
      <c r="B16" s="131" t="s">
        <v>15</v>
      </c>
      <c r="C16" s="131" t="s">
        <v>2314</v>
      </c>
      <c r="D16" s="132" t="s">
        <v>2278</v>
      </c>
      <c r="E16" s="131" t="s">
        <v>2315</v>
      </c>
      <c r="F16" s="13"/>
      <c r="G16" s="20"/>
    </row>
    <row r="17" spans="1:5" ht="25.5">
      <c r="A17">
        <v>17</v>
      </c>
      <c r="B17" s="131" t="s">
        <v>16</v>
      </c>
      <c r="C17" s="131" t="s">
        <v>2270</v>
      </c>
      <c r="D17" s="132" t="s">
        <v>2294</v>
      </c>
      <c r="E17" s="131" t="s">
        <v>2316</v>
      </c>
    </row>
    <row r="18" spans="1:5" ht="25.5">
      <c r="A18">
        <v>18</v>
      </c>
      <c r="B18" s="131" t="s">
        <v>17</v>
      </c>
      <c r="C18" s="131" t="s">
        <v>2326</v>
      </c>
      <c r="D18" s="132" t="s">
        <v>2278</v>
      </c>
      <c r="E18" s="131" t="s">
        <v>2327</v>
      </c>
    </row>
    <row r="19" spans="1:5" ht="38.25">
      <c r="A19">
        <v>19</v>
      </c>
      <c r="B19" s="131" t="s">
        <v>18</v>
      </c>
      <c r="C19" s="131" t="s">
        <v>2330</v>
      </c>
      <c r="D19" s="132" t="s">
        <v>2278</v>
      </c>
      <c r="E19" s="131" t="s">
        <v>2331</v>
      </c>
    </row>
    <row r="20" spans="1:5" ht="25.5">
      <c r="A20">
        <v>20</v>
      </c>
      <c r="B20" s="131" t="s">
        <v>19</v>
      </c>
      <c r="C20" s="131" t="s">
        <v>2332</v>
      </c>
      <c r="D20" s="132" t="s">
        <v>2278</v>
      </c>
      <c r="E20" s="131" t="s">
        <v>2333</v>
      </c>
    </row>
    <row r="21" spans="1:5" ht="25.5">
      <c r="A21">
        <v>21</v>
      </c>
      <c r="B21" s="131" t="s">
        <v>20</v>
      </c>
      <c r="C21" s="131" t="s">
        <v>2337</v>
      </c>
      <c r="D21" s="132" t="s">
        <v>2271</v>
      </c>
      <c r="E21" s="131" t="s">
        <v>2338</v>
      </c>
    </row>
    <row r="22" spans="1:5" ht="25.5">
      <c r="A22">
        <v>21</v>
      </c>
      <c r="B22" s="131" t="s">
        <v>4655</v>
      </c>
      <c r="C22" s="131" t="s">
        <v>2339</v>
      </c>
      <c r="D22" s="132" t="s">
        <v>2278</v>
      </c>
      <c r="E22" s="131" t="s">
        <v>2340</v>
      </c>
    </row>
    <row r="23" spans="1:5" ht="25.5">
      <c r="A23">
        <v>22</v>
      </c>
      <c r="B23" s="131" t="s">
        <v>21</v>
      </c>
      <c r="C23" s="131" t="s">
        <v>2270</v>
      </c>
      <c r="D23" s="132" t="s">
        <v>2278</v>
      </c>
      <c r="E23" s="131" t="s">
        <v>2341</v>
      </c>
    </row>
    <row r="24" spans="1:5" ht="25.5">
      <c r="A24">
        <v>23</v>
      </c>
      <c r="B24" s="131" t="s">
        <v>22</v>
      </c>
      <c r="C24" s="131" t="s">
        <v>2270</v>
      </c>
      <c r="D24" s="132" t="s">
        <v>2271</v>
      </c>
      <c r="E24" s="131" t="s">
        <v>2342</v>
      </c>
    </row>
    <row r="25" spans="1:5" ht="25.5">
      <c r="A25">
        <v>24</v>
      </c>
      <c r="B25" s="131" t="s">
        <v>23</v>
      </c>
      <c r="C25" s="131" t="s">
        <v>2345</v>
      </c>
      <c r="D25" s="132" t="s">
        <v>2278</v>
      </c>
      <c r="E25" s="131" t="s">
        <v>2346</v>
      </c>
    </row>
    <row r="26" spans="1:5">
      <c r="A26">
        <v>25</v>
      </c>
      <c r="B26" s="131" t="s">
        <v>24</v>
      </c>
      <c r="C26" s="131" t="s">
        <v>2347</v>
      </c>
      <c r="D26" s="132" t="s">
        <v>2278</v>
      </c>
      <c r="E26" s="131" t="s">
        <v>2348</v>
      </c>
    </row>
    <row r="27" spans="1:5" ht="25.5">
      <c r="A27">
        <v>26</v>
      </c>
      <c r="B27" s="131" t="s">
        <v>25</v>
      </c>
      <c r="C27" s="131" t="s">
        <v>2270</v>
      </c>
      <c r="D27" s="132" t="s">
        <v>2278</v>
      </c>
      <c r="E27" s="131" t="s">
        <v>2350</v>
      </c>
    </row>
    <row r="28" spans="1:5" ht="25.5">
      <c r="A28">
        <v>27</v>
      </c>
      <c r="B28" s="131" t="s">
        <v>26</v>
      </c>
      <c r="C28" s="131" t="s">
        <v>2270</v>
      </c>
      <c r="D28" s="132" t="s">
        <v>2271</v>
      </c>
      <c r="E28" s="131" t="s">
        <v>2351</v>
      </c>
    </row>
    <row r="29" spans="1:5" ht="25.5">
      <c r="A29">
        <v>28</v>
      </c>
      <c r="B29" s="131" t="s">
        <v>27</v>
      </c>
      <c r="C29" s="131" t="s">
        <v>2270</v>
      </c>
      <c r="D29" s="132" t="s">
        <v>2271</v>
      </c>
      <c r="E29" s="131" t="s">
        <v>2352</v>
      </c>
    </row>
    <row r="30" spans="1:5" ht="25.5">
      <c r="A30">
        <v>29</v>
      </c>
      <c r="B30" s="131" t="s">
        <v>2240</v>
      </c>
      <c r="C30" s="131" t="s">
        <v>2270</v>
      </c>
      <c r="D30" s="132" t="s">
        <v>2271</v>
      </c>
      <c r="E30" s="131" t="s">
        <v>2353</v>
      </c>
    </row>
    <row r="31" spans="1:5" ht="25.5">
      <c r="A31">
        <v>30</v>
      </c>
      <c r="B31" s="131" t="s">
        <v>29</v>
      </c>
      <c r="C31" s="131" t="s">
        <v>2270</v>
      </c>
      <c r="D31" s="132" t="s">
        <v>2271</v>
      </c>
      <c r="E31" s="131" t="s">
        <v>2359</v>
      </c>
    </row>
    <row r="32" spans="1:5" ht="25.5">
      <c r="A32">
        <v>31</v>
      </c>
      <c r="B32" s="131" t="s">
        <v>30</v>
      </c>
      <c r="C32" s="131" t="s">
        <v>2270</v>
      </c>
      <c r="D32" s="132" t="s">
        <v>2294</v>
      </c>
      <c r="E32" s="131" t="s">
        <v>2368</v>
      </c>
    </row>
    <row r="33" spans="1:5" ht="25.5">
      <c r="A33">
        <v>32</v>
      </c>
      <c r="B33" s="131" t="s">
        <v>2269</v>
      </c>
      <c r="C33" s="131" t="s">
        <v>2270</v>
      </c>
      <c r="D33" s="132" t="s">
        <v>2271</v>
      </c>
      <c r="E33" s="131" t="s">
        <v>2272</v>
      </c>
    </row>
    <row r="34" spans="1:5" ht="25.5">
      <c r="A34">
        <v>33</v>
      </c>
      <c r="B34" s="131" t="s">
        <v>2273</v>
      </c>
      <c r="C34" s="131" t="s">
        <v>2274</v>
      </c>
      <c r="D34" s="132" t="s">
        <v>2275</v>
      </c>
      <c r="E34" s="131" t="s">
        <v>2276</v>
      </c>
    </row>
    <row r="35" spans="1:5" ht="25.5">
      <c r="A35">
        <v>34</v>
      </c>
      <c r="B35" s="131" t="s">
        <v>2280</v>
      </c>
      <c r="C35" s="131" t="s">
        <v>2270</v>
      </c>
      <c r="D35" s="132" t="s">
        <v>2271</v>
      </c>
      <c r="E35" s="131" t="s">
        <v>2281</v>
      </c>
    </row>
    <row r="36" spans="1:5" ht="25.5">
      <c r="A36">
        <v>35</v>
      </c>
      <c r="B36" s="131" t="s">
        <v>2282</v>
      </c>
      <c r="C36" s="131" t="s">
        <v>2270</v>
      </c>
      <c r="D36" s="132" t="s">
        <v>2271</v>
      </c>
      <c r="E36" s="131" t="s">
        <v>2283</v>
      </c>
    </row>
    <row r="37" spans="1:5" ht="25.5">
      <c r="A37">
        <v>36</v>
      </c>
      <c r="B37" s="131" t="s">
        <v>2285</v>
      </c>
      <c r="C37" s="131" t="s">
        <v>2270</v>
      </c>
      <c r="D37" s="132" t="s">
        <v>2271</v>
      </c>
      <c r="E37" s="131" t="s">
        <v>2283</v>
      </c>
    </row>
    <row r="38" spans="1:5" ht="25.5">
      <c r="A38">
        <v>37</v>
      </c>
      <c r="B38" s="131" t="s">
        <v>2292</v>
      </c>
      <c r="C38" s="131" t="s">
        <v>2293</v>
      </c>
      <c r="D38" s="132" t="s">
        <v>2294</v>
      </c>
      <c r="E38" s="131" t="s">
        <v>2295</v>
      </c>
    </row>
    <row r="39" spans="1:5" ht="25.5">
      <c r="A39">
        <v>38</v>
      </c>
      <c r="B39" s="131" t="s">
        <v>2299</v>
      </c>
      <c r="C39" s="131" t="s">
        <v>2270</v>
      </c>
      <c r="D39" s="132" t="s">
        <v>2271</v>
      </c>
      <c r="E39" s="131" t="s">
        <v>2300</v>
      </c>
    </row>
    <row r="40" spans="1:5" ht="38.25">
      <c r="A40">
        <v>39</v>
      </c>
      <c r="B40" s="131" t="s">
        <v>2303</v>
      </c>
      <c r="C40" s="131" t="s">
        <v>2304</v>
      </c>
      <c r="D40" s="132" t="s">
        <v>2275</v>
      </c>
      <c r="E40" s="131" t="s">
        <v>2305</v>
      </c>
    </row>
    <row r="41" spans="1:5" ht="25.5">
      <c r="A41">
        <v>40</v>
      </c>
      <c r="B41" s="131" t="s">
        <v>3930</v>
      </c>
      <c r="C41" s="131" t="s">
        <v>2306</v>
      </c>
      <c r="D41" s="132" t="s">
        <v>2275</v>
      </c>
      <c r="E41" s="131" t="s">
        <v>2307</v>
      </c>
    </row>
    <row r="42" spans="1:5" ht="25.5">
      <c r="A42">
        <v>41</v>
      </c>
      <c r="B42" s="131" t="s">
        <v>2308</v>
      </c>
      <c r="C42" s="131" t="s">
        <v>2270</v>
      </c>
      <c r="D42" s="132" t="s">
        <v>2271</v>
      </c>
      <c r="E42" s="131" t="s">
        <v>2300</v>
      </c>
    </row>
    <row r="43" spans="1:5" ht="25.5">
      <c r="A43">
        <v>42</v>
      </c>
      <c r="B43" s="131" t="s">
        <v>2309</v>
      </c>
      <c r="C43" s="131" t="s">
        <v>2270</v>
      </c>
      <c r="D43" s="132" t="s">
        <v>2271</v>
      </c>
      <c r="E43" s="131" t="s">
        <v>2281</v>
      </c>
    </row>
    <row r="44" spans="1:5" ht="25.5">
      <c r="A44">
        <v>43</v>
      </c>
      <c r="B44" s="131" t="s">
        <v>2317</v>
      </c>
      <c r="C44" s="131" t="s">
        <v>2270</v>
      </c>
      <c r="D44" s="132" t="s">
        <v>2278</v>
      </c>
      <c r="E44" s="131" t="s">
        <v>2318</v>
      </c>
    </row>
    <row r="45" spans="1:5" ht="25.5">
      <c r="A45">
        <v>44</v>
      </c>
      <c r="B45" s="131" t="s">
        <v>2319</v>
      </c>
      <c r="C45" s="131" t="s">
        <v>2320</v>
      </c>
      <c r="D45" s="132" t="s">
        <v>2278</v>
      </c>
      <c r="E45" s="131" t="s">
        <v>2321</v>
      </c>
    </row>
    <row r="46" spans="1:5" ht="25.5">
      <c r="A46">
        <v>45</v>
      </c>
      <c r="B46" s="131" t="s">
        <v>2322</v>
      </c>
      <c r="C46" s="131" t="s">
        <v>2270</v>
      </c>
      <c r="D46" s="132" t="s">
        <v>2294</v>
      </c>
      <c r="E46" s="131" t="s">
        <v>2323</v>
      </c>
    </row>
    <row r="47" spans="1:5" ht="25.5">
      <c r="A47">
        <v>46</v>
      </c>
      <c r="B47" s="131" t="s">
        <v>2324</v>
      </c>
      <c r="C47" s="131" t="s">
        <v>2270</v>
      </c>
      <c r="D47" s="132" t="s">
        <v>2271</v>
      </c>
      <c r="E47" s="131" t="s">
        <v>2325</v>
      </c>
    </row>
    <row r="48" spans="1:5" ht="25.5">
      <c r="A48">
        <v>47</v>
      </c>
      <c r="B48" s="131" t="s">
        <v>2328</v>
      </c>
      <c r="C48" s="131" t="s">
        <v>2270</v>
      </c>
      <c r="D48" s="132" t="s">
        <v>2278</v>
      </c>
      <c r="E48" s="131" t="s">
        <v>2329</v>
      </c>
    </row>
    <row r="49" spans="1:5" ht="25.5">
      <c r="A49">
        <v>48</v>
      </c>
      <c r="B49" s="131" t="s">
        <v>2334</v>
      </c>
      <c r="C49" s="131" t="s">
        <v>2335</v>
      </c>
      <c r="D49" s="132" t="s">
        <v>2271</v>
      </c>
      <c r="E49" s="131" t="s">
        <v>2336</v>
      </c>
    </row>
    <row r="50" spans="1:5" ht="25.5">
      <c r="A50">
        <v>49</v>
      </c>
      <c r="B50" s="131" t="s">
        <v>2343</v>
      </c>
      <c r="C50" s="131" t="s">
        <v>2270</v>
      </c>
      <c r="D50" s="132" t="s">
        <v>2275</v>
      </c>
      <c r="E50" s="131" t="s">
        <v>2344</v>
      </c>
    </row>
    <row r="51" spans="1:5" ht="25.5">
      <c r="A51">
        <v>50</v>
      </c>
      <c r="B51" s="131" t="s">
        <v>2349</v>
      </c>
      <c r="C51" s="131" t="s">
        <v>2270</v>
      </c>
      <c r="D51" s="132" t="s">
        <v>2271</v>
      </c>
      <c r="E51" s="131" t="s">
        <v>2281</v>
      </c>
    </row>
    <row r="52" spans="1:5" ht="25.5">
      <c r="A52">
        <v>51</v>
      </c>
      <c r="B52" s="131" t="s">
        <v>2354</v>
      </c>
      <c r="C52" s="131" t="s">
        <v>2270</v>
      </c>
      <c r="D52" s="132" t="s">
        <v>2271</v>
      </c>
      <c r="E52" s="131" t="s">
        <v>2281</v>
      </c>
    </row>
    <row r="53" spans="1:5" ht="25.5">
      <c r="A53">
        <v>52</v>
      </c>
      <c r="B53" s="131" t="s">
        <v>2355</v>
      </c>
      <c r="C53" s="131" t="s">
        <v>2270</v>
      </c>
      <c r="D53" s="132" t="s">
        <v>2271</v>
      </c>
      <c r="E53" s="131" t="s">
        <v>2356</v>
      </c>
    </row>
    <row r="54" spans="1:5" ht="25.5">
      <c r="A54">
        <v>53</v>
      </c>
      <c r="B54" s="131" t="s">
        <v>2357</v>
      </c>
      <c r="C54" s="131" t="s">
        <v>2270</v>
      </c>
      <c r="D54" s="132" t="s">
        <v>2294</v>
      </c>
      <c r="E54" s="131" t="s">
        <v>2358</v>
      </c>
    </row>
    <row r="55" spans="1:5" ht="25.5">
      <c r="A55">
        <v>54</v>
      </c>
      <c r="B55" s="131" t="s">
        <v>4654</v>
      </c>
      <c r="C55" s="131" t="s">
        <v>2360</v>
      </c>
      <c r="D55" s="132" t="s">
        <v>2275</v>
      </c>
      <c r="E55" s="131" t="s">
        <v>2361</v>
      </c>
    </row>
    <row r="56" spans="1:5" ht="25.5">
      <c r="A56">
        <v>55</v>
      </c>
      <c r="B56" s="131" t="s">
        <v>2362</v>
      </c>
      <c r="C56" s="131" t="s">
        <v>2270</v>
      </c>
      <c r="D56" s="132" t="s">
        <v>2294</v>
      </c>
      <c r="E56" s="131" t="s">
        <v>2363</v>
      </c>
    </row>
    <row r="57" spans="1:5" ht="38.25">
      <c r="A57">
        <v>56</v>
      </c>
      <c r="B57" s="131" t="s">
        <v>4653</v>
      </c>
      <c r="C57" s="131" t="s">
        <v>2364</v>
      </c>
      <c r="D57" s="132" t="s">
        <v>2275</v>
      </c>
      <c r="E57" s="131" t="s">
        <v>2365</v>
      </c>
    </row>
    <row r="58" spans="1:5" ht="38.25">
      <c r="A58">
        <v>57</v>
      </c>
      <c r="B58" s="131" t="s">
        <v>4653</v>
      </c>
      <c r="C58" s="131" t="s">
        <v>2366</v>
      </c>
      <c r="D58" s="132" t="s">
        <v>2275</v>
      </c>
      <c r="E58" s="131" t="s">
        <v>2367</v>
      </c>
    </row>
  </sheetData>
  <sheetProtection algorithmName="SHA-512" hashValue="A+CPxY8XsyWiJ00hgT/i3LjIxsB4aQ0VexoMlxH51sVllUWbi+r//55I9yzCk27esY83ASYj4AMldhS+sVbsQQ==" saltValue="ulIO+KX0wRBLbJylIc4/ww==" spinCount="100000" sheet="1" objects="1" scenarios="1" autoFilter="0"/>
  <autoFilter ref="A1:E58" xr:uid="{FBF3E989-8821-42F8-9B44-987FD63A2738}">
    <sortState xmlns:xlrd2="http://schemas.microsoft.com/office/spreadsheetml/2017/richdata2" ref="A2:E58">
      <sortCondition ref="A1:A58"/>
    </sortState>
  </autoFilter>
  <mergeCells count="1">
    <mergeCell ref="F1:G1"/>
  </mergeCells>
  <printOptions horizontalCentered="1"/>
  <pageMargins left="0.31496062992125984" right="0.31496062992125984" top="0.78740157480314965" bottom="0.78740157480314965" header="0.31496062992125984" footer="0.31496062992125984"/>
  <pageSetup paperSize="9" scale="82" fitToHeight="3"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1C619-E617-464A-888E-1891FFEA3B9D}">
  <sheetPr codeName="Tabelle58"/>
  <dimension ref="A1:D58"/>
  <sheetViews>
    <sheetView showGridLines="0" showRowColHeaders="0" workbookViewId="0">
      <pane ySplit="1" topLeftCell="A19" activePane="bottomLeft" state="frozen"/>
      <selection activeCell="B15" sqref="B15:I21"/>
      <selection pane="bottomLeft" activeCell="A2" sqref="A2:C200"/>
      <extLst>
        <ext xmlns:xlsdti="http://schemas.microsoft.com/office/spreadsheetml/2023/showDataTypeIcons" uri="{77bfe23e-c014-4d31-8a63-9c772dbf06b6}">
          <xlsdti:showDataTypeIcons visible="0"/>
        </ext>
      </extLst>
    </sheetView>
  </sheetViews>
  <sheetFormatPr baseColWidth="10" defaultColWidth="0" defaultRowHeight="15"/>
  <cols>
    <col min="1" max="1" width="18.5703125" customWidth="1"/>
    <col min="2" max="2" width="40.85546875" customWidth="1"/>
    <col min="3" max="3" width="52.85546875" customWidth="1"/>
    <col min="4" max="4" width="28.5703125" customWidth="1"/>
    <col min="5" max="16384" width="10.85546875" hidden="1"/>
  </cols>
  <sheetData>
    <row r="1" spans="1:3" ht="33.6" customHeight="1">
      <c r="A1" s="160" t="s">
        <v>1622</v>
      </c>
      <c r="B1" s="160" t="s">
        <v>2811</v>
      </c>
      <c r="C1" s="160" t="s">
        <v>2812</v>
      </c>
    </row>
    <row r="2" spans="1:3" ht="45">
      <c r="A2" s="161" t="s">
        <v>2846</v>
      </c>
      <c r="B2" s="380" t="s">
        <v>2847</v>
      </c>
      <c r="C2" s="161" t="s">
        <v>2848</v>
      </c>
    </row>
    <row r="3" spans="1:3">
      <c r="A3" s="161" t="s">
        <v>2</v>
      </c>
      <c r="B3" s="380" t="s">
        <v>2903</v>
      </c>
      <c r="C3" s="161" t="s">
        <v>2849</v>
      </c>
    </row>
    <row r="4" spans="1:3">
      <c r="A4" s="161" t="s">
        <v>2</v>
      </c>
      <c r="B4" s="380" t="s">
        <v>2904</v>
      </c>
      <c r="C4" s="161" t="s">
        <v>2850</v>
      </c>
    </row>
    <row r="5" spans="1:3">
      <c r="A5" s="161" t="s">
        <v>2</v>
      </c>
      <c r="B5" s="380" t="s">
        <v>2904</v>
      </c>
      <c r="C5" s="161" t="s">
        <v>2851</v>
      </c>
    </row>
    <row r="6" spans="1:3" ht="30">
      <c r="A6" s="161" t="s">
        <v>6</v>
      </c>
      <c r="B6" s="380" t="s">
        <v>2852</v>
      </c>
      <c r="C6" s="161" t="s">
        <v>2853</v>
      </c>
    </row>
    <row r="7" spans="1:3">
      <c r="A7" s="161" t="s">
        <v>6</v>
      </c>
      <c r="B7" s="380" t="s">
        <v>2852</v>
      </c>
      <c r="C7" s="161" t="s">
        <v>2854</v>
      </c>
    </row>
    <row r="8" spans="1:3" ht="30">
      <c r="A8" s="161" t="s">
        <v>8</v>
      </c>
      <c r="B8" s="380" t="s">
        <v>2905</v>
      </c>
      <c r="C8" s="161" t="s">
        <v>2855</v>
      </c>
    </row>
    <row r="9" spans="1:3" ht="30">
      <c r="A9" s="161" t="s">
        <v>10</v>
      </c>
      <c r="B9" s="380" t="s">
        <v>2856</v>
      </c>
      <c r="C9" s="161" t="s">
        <v>2857</v>
      </c>
    </row>
    <row r="10" spans="1:3" ht="30">
      <c r="A10" s="161" t="s">
        <v>10</v>
      </c>
      <c r="B10" s="380" t="s">
        <v>2858</v>
      </c>
      <c r="C10" s="161" t="s">
        <v>2859</v>
      </c>
    </row>
    <row r="11" spans="1:3" ht="45">
      <c r="A11" s="161" t="s">
        <v>15</v>
      </c>
      <c r="B11" s="380" t="s">
        <v>2911</v>
      </c>
      <c r="C11" s="161" t="s">
        <v>2860</v>
      </c>
    </row>
    <row r="12" spans="1:3">
      <c r="A12" s="161" t="s">
        <v>15</v>
      </c>
      <c r="B12" s="380" t="s">
        <v>3262</v>
      </c>
      <c r="C12" s="161" t="s">
        <v>2861</v>
      </c>
    </row>
    <row r="13" spans="1:3" ht="30">
      <c r="A13" s="161" t="s">
        <v>2862</v>
      </c>
      <c r="B13" s="380" t="s">
        <v>2906</v>
      </c>
      <c r="C13" s="161" t="s">
        <v>2863</v>
      </c>
    </row>
    <row r="14" spans="1:3" ht="30">
      <c r="A14" s="161" t="s">
        <v>2862</v>
      </c>
      <c r="B14" s="380" t="s">
        <v>2910</v>
      </c>
      <c r="C14" s="161" t="s">
        <v>2864</v>
      </c>
    </row>
    <row r="15" spans="1:3" ht="30">
      <c r="A15" s="161" t="s">
        <v>2862</v>
      </c>
      <c r="B15" s="380" t="s">
        <v>3264</v>
      </c>
      <c r="C15" s="161" t="s">
        <v>2865</v>
      </c>
    </row>
    <row r="16" spans="1:3" ht="30">
      <c r="A16" s="161" t="s">
        <v>17</v>
      </c>
      <c r="B16" s="380" t="s">
        <v>2866</v>
      </c>
      <c r="C16" s="161" t="s">
        <v>2867</v>
      </c>
    </row>
    <row r="17" spans="1:3" ht="30">
      <c r="A17" s="161" t="s">
        <v>17</v>
      </c>
      <c r="B17" s="380" t="s">
        <v>2868</v>
      </c>
      <c r="C17" s="161" t="s">
        <v>2869</v>
      </c>
    </row>
    <row r="18" spans="1:3" ht="30">
      <c r="A18" s="161" t="s">
        <v>19</v>
      </c>
      <c r="B18" s="380" t="s">
        <v>2813</v>
      </c>
      <c r="C18" s="161" t="s">
        <v>2814</v>
      </c>
    </row>
    <row r="19" spans="1:3" ht="30">
      <c r="A19" s="161" t="s">
        <v>19</v>
      </c>
      <c r="B19" s="380" t="s">
        <v>2813</v>
      </c>
      <c r="C19" s="161" t="s">
        <v>2815</v>
      </c>
    </row>
    <row r="20" spans="1:3" ht="30">
      <c r="A20" s="161" t="s">
        <v>19</v>
      </c>
      <c r="B20" s="380" t="s">
        <v>2816</v>
      </c>
      <c r="C20" s="161" t="s">
        <v>2817</v>
      </c>
    </row>
    <row r="21" spans="1:3" ht="30">
      <c r="A21" s="161" t="s">
        <v>19</v>
      </c>
      <c r="B21" s="380" t="s">
        <v>2816</v>
      </c>
      <c r="C21" s="161" t="s">
        <v>2818</v>
      </c>
    </row>
    <row r="22" spans="1:3">
      <c r="A22" s="161" t="s">
        <v>19</v>
      </c>
      <c r="B22" s="380" t="s">
        <v>2819</v>
      </c>
      <c r="C22" s="161" t="s">
        <v>2820</v>
      </c>
    </row>
    <row r="23" spans="1:3" ht="30">
      <c r="A23" s="161" t="s">
        <v>20</v>
      </c>
      <c r="B23" s="380" t="s">
        <v>2870</v>
      </c>
      <c r="C23" s="161" t="s">
        <v>2871</v>
      </c>
    </row>
    <row r="24" spans="1:3" ht="30">
      <c r="A24" s="161" t="s">
        <v>21</v>
      </c>
      <c r="B24" s="380" t="s">
        <v>2872</v>
      </c>
      <c r="C24" s="161" t="s">
        <v>2873</v>
      </c>
    </row>
    <row r="25" spans="1:3" ht="30">
      <c r="A25" s="161" t="s">
        <v>22</v>
      </c>
      <c r="B25" s="380" t="s">
        <v>2874</v>
      </c>
      <c r="C25" s="161" t="s">
        <v>2875</v>
      </c>
    </row>
    <row r="26" spans="1:3" ht="30">
      <c r="A26" s="161" t="s">
        <v>22</v>
      </c>
      <c r="B26" s="380" t="s">
        <v>2876</v>
      </c>
      <c r="C26" s="161" t="s">
        <v>2877</v>
      </c>
    </row>
    <row r="27" spans="1:3">
      <c r="A27" s="161" t="s">
        <v>24</v>
      </c>
      <c r="B27" s="380" t="s">
        <v>2821</v>
      </c>
      <c r="C27" s="161" t="s">
        <v>2822</v>
      </c>
    </row>
    <row r="28" spans="1:3">
      <c r="A28" s="161" t="s">
        <v>24</v>
      </c>
      <c r="B28" s="380" t="s">
        <v>2823</v>
      </c>
      <c r="C28" s="161" t="s">
        <v>2824</v>
      </c>
    </row>
    <row r="29" spans="1:3" ht="30">
      <c r="A29" s="161" t="s">
        <v>24</v>
      </c>
      <c r="B29" s="380" t="s">
        <v>3263</v>
      </c>
      <c r="C29" s="161" t="s">
        <v>2825</v>
      </c>
    </row>
    <row r="30" spans="1:3" ht="30">
      <c r="A30" s="161" t="s">
        <v>24</v>
      </c>
      <c r="B30" s="380" t="s">
        <v>3263</v>
      </c>
      <c r="C30" s="161" t="s">
        <v>2826</v>
      </c>
    </row>
    <row r="31" spans="1:3">
      <c r="A31" s="161" t="s">
        <v>24</v>
      </c>
      <c r="B31" s="380" t="s">
        <v>2827</v>
      </c>
      <c r="C31" s="161" t="s">
        <v>2828</v>
      </c>
    </row>
    <row r="32" spans="1:3">
      <c r="A32" s="161" t="s">
        <v>24</v>
      </c>
      <c r="B32" s="380" t="s">
        <v>2827</v>
      </c>
      <c r="C32" s="161" t="s">
        <v>2829</v>
      </c>
    </row>
    <row r="33" spans="1:3" ht="30">
      <c r="A33" s="161" t="s">
        <v>24</v>
      </c>
      <c r="B33" s="380" t="s">
        <v>2830</v>
      </c>
      <c r="C33" s="161" t="s">
        <v>2831</v>
      </c>
    </row>
    <row r="34" spans="1:3" ht="30">
      <c r="A34" s="161" t="s">
        <v>24</v>
      </c>
      <c r="B34" s="380" t="s">
        <v>2832</v>
      </c>
      <c r="C34" s="161" t="s">
        <v>2833</v>
      </c>
    </row>
    <row r="35" spans="1:3" ht="30">
      <c r="A35" s="161" t="s">
        <v>24</v>
      </c>
      <c r="B35" s="380" t="s">
        <v>2907</v>
      </c>
      <c r="C35" s="161" t="s">
        <v>2834</v>
      </c>
    </row>
    <row r="36" spans="1:3">
      <c r="A36" s="161" t="s">
        <v>24</v>
      </c>
      <c r="B36" s="380" t="s">
        <v>2907</v>
      </c>
      <c r="C36" s="161" t="s">
        <v>2835</v>
      </c>
    </row>
    <row r="37" spans="1:3" ht="30">
      <c r="A37" s="161" t="s">
        <v>24</v>
      </c>
      <c r="B37" s="380" t="s">
        <v>2836</v>
      </c>
      <c r="C37" s="161" t="s">
        <v>2837</v>
      </c>
    </row>
    <row r="38" spans="1:3" ht="30">
      <c r="A38" s="161" t="s">
        <v>24</v>
      </c>
      <c r="B38" s="380" t="s">
        <v>2838</v>
      </c>
      <c r="C38" s="161" t="s">
        <v>2839</v>
      </c>
    </row>
    <row r="39" spans="1:3" ht="30">
      <c r="A39" s="161" t="s">
        <v>24</v>
      </c>
      <c r="B39" s="380" t="s">
        <v>2838</v>
      </c>
      <c r="C39" s="161" t="s">
        <v>2840</v>
      </c>
    </row>
    <row r="40" spans="1:3">
      <c r="A40" s="161" t="s">
        <v>24</v>
      </c>
      <c r="B40" s="380" t="s">
        <v>2841</v>
      </c>
      <c r="C40" s="161" t="s">
        <v>2842</v>
      </c>
    </row>
    <row r="41" spans="1:3">
      <c r="A41" s="161" t="s">
        <v>24</v>
      </c>
      <c r="B41" s="380" t="s">
        <v>2841</v>
      </c>
      <c r="C41" s="161" t="s">
        <v>2843</v>
      </c>
    </row>
    <row r="42" spans="1:3" ht="30">
      <c r="A42" s="161" t="s">
        <v>24</v>
      </c>
      <c r="B42" s="380" t="s">
        <v>2844</v>
      </c>
      <c r="C42" s="161" t="s">
        <v>2839</v>
      </c>
    </row>
    <row r="43" spans="1:3" ht="30">
      <c r="A43" s="161" t="s">
        <v>24</v>
      </c>
      <c r="B43" s="380" t="s">
        <v>2844</v>
      </c>
      <c r="C43" s="161" t="s">
        <v>2845</v>
      </c>
    </row>
    <row r="44" spans="1:3">
      <c r="A44" s="161" t="s">
        <v>2349</v>
      </c>
      <c r="B44" s="380" t="s">
        <v>2878</v>
      </c>
      <c r="C44" s="161" t="s">
        <v>2879</v>
      </c>
    </row>
    <row r="45" spans="1:3">
      <c r="A45" s="161" t="s">
        <v>2349</v>
      </c>
      <c r="B45" s="380" t="s">
        <v>2878</v>
      </c>
      <c r="C45" s="161" t="s">
        <v>2880</v>
      </c>
    </row>
    <row r="46" spans="1:3">
      <c r="A46" s="161" t="s">
        <v>2349</v>
      </c>
      <c r="B46" s="380" t="s">
        <v>2878</v>
      </c>
      <c r="C46" s="161" t="s">
        <v>2881</v>
      </c>
    </row>
    <row r="47" spans="1:3" ht="30">
      <c r="A47" s="161" t="s">
        <v>27</v>
      </c>
      <c r="B47" s="380" t="s">
        <v>2882</v>
      </c>
      <c r="C47" s="161" t="s">
        <v>2883</v>
      </c>
    </row>
    <row r="48" spans="1:3" ht="45">
      <c r="A48" s="161" t="s">
        <v>2240</v>
      </c>
      <c r="B48" s="380" t="s">
        <v>2884</v>
      </c>
      <c r="C48" s="161" t="s">
        <v>2885</v>
      </c>
    </row>
    <row r="49" spans="1:3" ht="30">
      <c r="A49" s="161" t="s">
        <v>2886</v>
      </c>
      <c r="B49" s="380" t="s">
        <v>2909</v>
      </c>
      <c r="C49" s="161" t="s">
        <v>2887</v>
      </c>
    </row>
    <row r="50" spans="1:3" ht="30">
      <c r="A50" s="161" t="s">
        <v>2886</v>
      </c>
      <c r="B50" s="380" t="s">
        <v>2908</v>
      </c>
      <c r="C50" s="161" t="s">
        <v>2888</v>
      </c>
    </row>
    <row r="51" spans="1:3" ht="30">
      <c r="A51" s="161" t="s">
        <v>2886</v>
      </c>
      <c r="B51" s="380" t="s">
        <v>2889</v>
      </c>
      <c r="C51" s="161" t="s">
        <v>2890</v>
      </c>
    </row>
    <row r="52" spans="1:3">
      <c r="A52" s="161" t="s">
        <v>2886</v>
      </c>
      <c r="B52" s="380" t="s">
        <v>2891</v>
      </c>
      <c r="C52" s="161" t="s">
        <v>2892</v>
      </c>
    </row>
    <row r="53" spans="1:3">
      <c r="A53" s="161" t="s">
        <v>2886</v>
      </c>
      <c r="B53" s="380" t="s">
        <v>2891</v>
      </c>
      <c r="C53" s="161" t="s">
        <v>2893</v>
      </c>
    </row>
    <row r="54" spans="1:3">
      <c r="A54" s="161" t="s">
        <v>2886</v>
      </c>
      <c r="B54" s="380" t="s">
        <v>2891</v>
      </c>
      <c r="C54" s="161" t="s">
        <v>2894</v>
      </c>
    </row>
    <row r="55" spans="1:3" ht="45">
      <c r="A55" s="161" t="s">
        <v>2886</v>
      </c>
      <c r="B55" s="380" t="s">
        <v>2895</v>
      </c>
      <c r="C55" s="161" t="s">
        <v>2896</v>
      </c>
    </row>
    <row r="56" spans="1:3" ht="45">
      <c r="A56" s="161" t="s">
        <v>2886</v>
      </c>
      <c r="B56" s="380" t="s">
        <v>2897</v>
      </c>
      <c r="C56" s="161" t="s">
        <v>2898</v>
      </c>
    </row>
    <row r="57" spans="1:3" ht="30">
      <c r="A57" s="161" t="s">
        <v>2501</v>
      </c>
      <c r="B57" s="380" t="s">
        <v>2899</v>
      </c>
      <c r="C57" s="161" t="s">
        <v>2900</v>
      </c>
    </row>
    <row r="58" spans="1:3" ht="30">
      <c r="A58" s="161" t="s">
        <v>2501</v>
      </c>
      <c r="B58" s="380" t="s">
        <v>2901</v>
      </c>
      <c r="C58" s="161" t="s">
        <v>2902</v>
      </c>
    </row>
  </sheetData>
  <sheetProtection algorithmName="SHA-512" hashValue="IWfUJwaDPMOG0MappbRJDmodjIz2IVAicMzl+DKSwiZ5fKUp+79Thic8FsEFVbG1KqUX+ZrvkscweZcX6GiMFA==" saltValue="1OTd/Ur63OtW5dnlCfsjAQ==" spinCount="100000" sheet="1" objects="1" scenarios="1" formatColumns="0" autoFilter="0"/>
  <autoFilter ref="A1:C58" xr:uid="{F511C619-E617-464A-888E-1891FFEA3B9D}">
    <sortState xmlns:xlrd2="http://schemas.microsoft.com/office/spreadsheetml/2017/richdata2" ref="A2:C58">
      <sortCondition ref="A1:A58"/>
    </sortState>
  </autoFilter>
  <hyperlinks>
    <hyperlink ref="B2" r:id="rId1" xr:uid="{118A07D5-802B-4794-B79B-2BC73493CE58}"/>
    <hyperlink ref="B3" r:id="rId2" xr:uid="{81190DF2-B184-4032-A58F-39270ECA0C35}"/>
    <hyperlink ref="B4" r:id="rId3" xr:uid="{683DE5E2-D107-473F-A9A4-0E8FDCCD2C83}"/>
    <hyperlink ref="B5" r:id="rId4" xr:uid="{5623878B-7B1F-4A67-A955-787675888FA2}"/>
    <hyperlink ref="B8" r:id="rId5" xr:uid="{3589853E-4B62-4E8D-88A4-760DDF41532F}"/>
    <hyperlink ref="B9" r:id="rId6" xr:uid="{803DC825-A662-4B26-B475-39FDC51EA9BB}"/>
    <hyperlink ref="B10" r:id="rId7" xr:uid="{C263A437-5E84-4B5D-B334-A10633422B3C}"/>
    <hyperlink ref="B11" r:id="rId8" xr:uid="{D45865E5-FA45-421D-B075-709789E4D57F}"/>
    <hyperlink ref="B13" r:id="rId9" xr:uid="{26F3F6F4-29DE-4061-8308-0F9DF9C3E876}"/>
    <hyperlink ref="B14" r:id="rId10" xr:uid="{2E72AB81-EAF0-4708-ACD2-8A54DDF62B59}"/>
    <hyperlink ref="B16" r:id="rId11" xr:uid="{5F83A14A-DFBC-47BA-8BBD-B9E46914A6DE}"/>
    <hyperlink ref="B17" r:id="rId12" xr:uid="{8C2F3D16-58F5-4A1A-A320-C2CB431BE9F5}"/>
    <hyperlink ref="B20" r:id="rId13" xr:uid="{8AFB01F1-FF63-4FF8-97E9-23A665BAF26D}"/>
    <hyperlink ref="B21" r:id="rId14" xr:uid="{A72F7925-C5B4-4BBF-B32E-71E343D70B6F}"/>
    <hyperlink ref="B22" r:id="rId15" xr:uid="{4437B681-017B-471B-AEFB-C62BFD9E421D}"/>
    <hyperlink ref="B23" r:id="rId16" xr:uid="{A9E1A2D3-69FB-49DB-9DFF-2C39F8B33A07}"/>
    <hyperlink ref="B24" r:id="rId17" xr:uid="{D634FF3E-7EB9-4A70-B82D-761C803E4818}"/>
    <hyperlink ref="B25" r:id="rId18" xr:uid="{5D40F001-B55C-43AA-8C2C-F508D76EC996}"/>
    <hyperlink ref="B26" r:id="rId19" xr:uid="{6342BEDF-B014-44B9-82AF-FB31FD2524B2}"/>
    <hyperlink ref="B27" r:id="rId20" xr:uid="{64015505-24F6-4251-914C-F55B61601642}"/>
    <hyperlink ref="B28" r:id="rId21" xr:uid="{3EDB50D0-FFAA-46B4-9B80-CCE531106711}"/>
    <hyperlink ref="B31" r:id="rId22" xr:uid="{256A7A3A-681B-4933-A90F-B061DC08DA79}"/>
    <hyperlink ref="B32" r:id="rId23" xr:uid="{FB1CBE90-01B8-48BD-9E5A-FBA781DC4CDD}"/>
    <hyperlink ref="B33" r:id="rId24" xr:uid="{ED53978B-3964-4C9F-8A94-9B3DB46C8F6E}"/>
    <hyperlink ref="B34" r:id="rId25" xr:uid="{07E91E50-67B7-4108-95D8-D54DED0FCF65}"/>
    <hyperlink ref="B35" r:id="rId26" xr:uid="{0005C4C2-0F81-41B3-A16B-1ED581DF81B9}"/>
    <hyperlink ref="B36" r:id="rId27" xr:uid="{15EF8272-43E6-4F17-B9FE-C7E633B91C38}"/>
    <hyperlink ref="B37" r:id="rId28" xr:uid="{D6D79D02-7650-4952-92C6-927924AF583F}"/>
    <hyperlink ref="B38" r:id="rId29" xr:uid="{A0BFF7CC-4100-4448-A2C4-F159801C643A}"/>
    <hyperlink ref="B39" r:id="rId30" xr:uid="{D382215D-81E0-4701-9EA7-56629BED4B80}"/>
    <hyperlink ref="B40" r:id="rId31" xr:uid="{862B4086-B52E-43F5-9E7B-725BC71E1D61}"/>
    <hyperlink ref="B41" r:id="rId32" xr:uid="{6FD73928-0C21-430A-B550-37F142C14F82}"/>
    <hyperlink ref="B42" r:id="rId33" xr:uid="{2B461A2D-6C84-42D1-8F10-02F6940C4143}"/>
    <hyperlink ref="B43" r:id="rId34" xr:uid="{C2FE87A3-EE78-4AF8-B7D0-E9F3633D0A8F}"/>
    <hyperlink ref="B44" r:id="rId35" xr:uid="{0F7AF535-9632-4EBE-AFD9-6E4F6F13AF61}"/>
    <hyperlink ref="B45" r:id="rId36" xr:uid="{6502C933-EA1A-4B67-9486-9FF93A3D8F55}"/>
    <hyperlink ref="B46" r:id="rId37" xr:uid="{A466CB5A-C909-4A1E-BF88-D8AB8D59615D}"/>
    <hyperlink ref="B47" r:id="rId38" xr:uid="{B1E22E31-D7DD-4EC1-B922-309DCB9DB089}"/>
    <hyperlink ref="B48" r:id="rId39" xr:uid="{E5D7818F-E16B-4D06-A1AD-4A7F862F1F8C}"/>
    <hyperlink ref="B49" r:id="rId40" xr:uid="{6AB9D56E-A148-47D4-9B32-E336D15A2140}"/>
    <hyperlink ref="B50" r:id="rId41" xr:uid="{26B75720-DF08-42E2-9C59-BB08174D2DED}"/>
    <hyperlink ref="B51" r:id="rId42" xr:uid="{6481369F-69EB-49D5-B66A-1EA89DC2B622}"/>
    <hyperlink ref="B52" r:id="rId43" xr:uid="{37B5C9B7-C0F4-4B29-B9DC-93D579BF02E1}"/>
    <hyperlink ref="B53" r:id="rId44" xr:uid="{DF8CAEE6-E22A-49F2-8B49-0766F6E218E7}"/>
    <hyperlink ref="B54" r:id="rId45" xr:uid="{F7792E06-2D2F-4DD8-A8C3-7F498D687C6A}"/>
    <hyperlink ref="B55" r:id="rId46" xr:uid="{79A46051-C06F-4957-BAFA-58F2F0176B4F}"/>
    <hyperlink ref="B18" r:id="rId47" xr:uid="{1A23E485-7104-46B4-8990-75253E8F1385}"/>
    <hyperlink ref="B19" r:id="rId48" xr:uid="{EB073280-7FE8-4DE0-A513-383FCF3F0107}"/>
    <hyperlink ref="B6" r:id="rId49" xr:uid="{3205D396-802D-40E7-96EF-29F0EA58734C}"/>
    <hyperlink ref="B7" r:id="rId50" xr:uid="{83993B9C-23FF-4FDE-B5FA-9B1A41BE0A4F}"/>
    <hyperlink ref="B12" r:id="rId51" display="OLG Koblenz, 29.05.2015 – 9 UF 386/14" xr:uid="{42919616-7C0D-4EFB-A63C-F4E40A58747C}"/>
    <hyperlink ref="B29" r:id="rId52" display="OLG Karlsruhe, 06.06.2012 – 18 UF 293/10" xr:uid="{AE132890-5FC3-47BA-B44D-3861D529E90C}"/>
    <hyperlink ref="B30" r:id="rId53" display="OLG Karlsruhe, 06.06.2012 – 18 UF 293/10" xr:uid="{42442FF3-4E1F-4D82-BF81-ED179920399C}"/>
    <hyperlink ref="B56" r:id="rId54" xr:uid="{B27387FB-DCE9-4665-B782-BF749F1A5587}"/>
    <hyperlink ref="B57" r:id="rId55" xr:uid="{8EB015FB-20EE-4D5C-BB06-C9B3ED887325}"/>
    <hyperlink ref="B58" r:id="rId56" xr:uid="{FE39119B-2A1A-46A1-A9C0-D28AE138432B}"/>
    <hyperlink ref="B15" r:id="rId57" display="OLG Zweibrücken, 09.04.2014 – 2 WF 80/14" xr:uid="{531D0622-929D-45D6-B53F-E9FACEDA237E}"/>
  </hyperlinks>
  <printOptions gridLines="1"/>
  <pageMargins left="0.70866141732283472" right="0.70866141732283472" top="0.78740157480314965" bottom="0.78740157480314965" header="0.31496062992125984" footer="0.31496062992125984"/>
  <pageSetup paperSize="9" orientation="portrait" r:id="rId58"/>
  <drawing r:id="rId5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D4ED0-4DE0-4F62-9E44-89232D60EE60}">
  <sheetPr codeName="Tabelle38"/>
  <dimension ref="A1:DO102"/>
  <sheetViews>
    <sheetView workbookViewId="0">
      <pane xSplit="1" ySplit="1" topLeftCell="B2" activePane="bottomRight" state="frozen"/>
      <selection pane="topRight" activeCell="B1" sqref="B1"/>
      <selection pane="bottomLeft" activeCell="A2" sqref="A2"/>
      <selection pane="bottomRight" activeCell="AE30" sqref="AE30"/>
    </sheetView>
  </sheetViews>
  <sheetFormatPr baseColWidth="10" defaultColWidth="12.5703125" defaultRowHeight="11.25"/>
  <cols>
    <col min="1" max="1" width="7.5703125" style="41" customWidth="1"/>
    <col min="2" max="24" width="7.5703125" style="41" hidden="1" customWidth="1"/>
    <col min="25" max="119" width="7.5703125" style="41" customWidth="1"/>
    <col min="120" max="16384" width="12.5703125" style="41"/>
  </cols>
  <sheetData>
    <row r="1" spans="1:119" s="39" customFormat="1">
      <c r="A1" s="38"/>
      <c r="B1" s="39">
        <v>1900</v>
      </c>
      <c r="C1" s="39">
        <v>1901</v>
      </c>
      <c r="D1" s="39">
        <v>1902</v>
      </c>
      <c r="E1" s="39">
        <v>1903</v>
      </c>
      <c r="F1" s="39">
        <v>1904</v>
      </c>
      <c r="G1" s="39">
        <v>1905</v>
      </c>
      <c r="H1" s="39">
        <v>1906</v>
      </c>
      <c r="I1" s="39">
        <v>1907</v>
      </c>
      <c r="J1" s="39">
        <v>1908</v>
      </c>
      <c r="K1" s="39">
        <v>1909</v>
      </c>
      <c r="L1" s="39">
        <v>1910</v>
      </c>
      <c r="M1" s="39">
        <v>1911</v>
      </c>
      <c r="N1" s="39">
        <v>1912</v>
      </c>
      <c r="O1" s="39">
        <v>1913</v>
      </c>
      <c r="P1" s="39">
        <v>1914</v>
      </c>
      <c r="Q1" s="39">
        <v>1915</v>
      </c>
      <c r="R1" s="39">
        <v>1916</v>
      </c>
      <c r="S1" s="39">
        <v>1917</v>
      </c>
      <c r="T1" s="39">
        <v>1918</v>
      </c>
      <c r="U1" s="39">
        <v>1919</v>
      </c>
      <c r="V1" s="39">
        <v>1920</v>
      </c>
      <c r="W1" s="39">
        <v>1921</v>
      </c>
      <c r="X1" s="39">
        <v>1922</v>
      </c>
      <c r="Y1" s="39">
        <v>1923</v>
      </c>
      <c r="Z1" s="39">
        <v>1924</v>
      </c>
      <c r="AA1" s="39">
        <v>1925</v>
      </c>
      <c r="AB1" s="39">
        <v>1926</v>
      </c>
      <c r="AC1" s="39">
        <v>1927</v>
      </c>
      <c r="AD1" s="39">
        <v>1928</v>
      </c>
      <c r="AE1" s="39">
        <v>1929</v>
      </c>
      <c r="AF1" s="39">
        <v>1930</v>
      </c>
      <c r="AG1" s="39">
        <v>1931</v>
      </c>
      <c r="AH1" s="39">
        <v>1932</v>
      </c>
      <c r="AI1" s="39">
        <v>1933</v>
      </c>
      <c r="AJ1" s="39">
        <v>1934</v>
      </c>
      <c r="AK1" s="39">
        <v>1935</v>
      </c>
      <c r="AL1" s="39">
        <v>1936</v>
      </c>
      <c r="AM1" s="39">
        <v>1937</v>
      </c>
      <c r="AN1" s="39">
        <v>1938</v>
      </c>
      <c r="AO1" s="39">
        <v>1939</v>
      </c>
      <c r="AP1" s="39">
        <v>1940</v>
      </c>
      <c r="AQ1" s="39">
        <v>1941</v>
      </c>
      <c r="AR1" s="39">
        <v>1942</v>
      </c>
      <c r="AS1" s="39">
        <v>1943</v>
      </c>
      <c r="AT1" s="39">
        <v>1944</v>
      </c>
      <c r="AU1" s="39">
        <v>1945</v>
      </c>
      <c r="AV1" s="39">
        <v>1946</v>
      </c>
      <c r="AW1" s="39">
        <v>1947</v>
      </c>
      <c r="AX1" s="39">
        <v>1948</v>
      </c>
      <c r="AY1" s="39">
        <v>1949</v>
      </c>
      <c r="AZ1" s="39">
        <v>1950</v>
      </c>
      <c r="BA1" s="39">
        <v>1951</v>
      </c>
      <c r="BB1" s="39">
        <v>1952</v>
      </c>
      <c r="BC1" s="39">
        <v>1953</v>
      </c>
      <c r="BD1" s="39">
        <v>1954</v>
      </c>
      <c r="BE1" s="39">
        <v>1955</v>
      </c>
      <c r="BF1" s="39">
        <v>1956</v>
      </c>
      <c r="BG1" s="39">
        <v>1957</v>
      </c>
      <c r="BH1" s="39">
        <v>1958</v>
      </c>
      <c r="BI1" s="39">
        <v>1959</v>
      </c>
      <c r="BJ1" s="39">
        <v>1960</v>
      </c>
      <c r="BK1" s="39">
        <v>1961</v>
      </c>
      <c r="BL1" s="39">
        <v>1962</v>
      </c>
      <c r="BM1" s="39">
        <v>1963</v>
      </c>
      <c r="BN1" s="39">
        <v>1964</v>
      </c>
      <c r="BO1" s="39">
        <v>1965</v>
      </c>
      <c r="BP1" s="39">
        <v>1966</v>
      </c>
      <c r="BQ1" s="39">
        <v>1967</v>
      </c>
      <c r="BR1" s="39">
        <v>1968</v>
      </c>
      <c r="BS1" s="39">
        <v>1969</v>
      </c>
      <c r="BT1" s="39">
        <v>1970</v>
      </c>
      <c r="BU1" s="39">
        <v>1971</v>
      </c>
      <c r="BV1" s="39">
        <v>1972</v>
      </c>
      <c r="BW1" s="39">
        <v>1973</v>
      </c>
      <c r="BX1" s="39">
        <v>1974</v>
      </c>
      <c r="BY1" s="39">
        <v>1975</v>
      </c>
      <c r="BZ1" s="39">
        <v>1976</v>
      </c>
      <c r="CA1" s="39">
        <v>1977</v>
      </c>
      <c r="CB1" s="39">
        <v>1978</v>
      </c>
      <c r="CC1" s="39">
        <v>1979</v>
      </c>
      <c r="CD1" s="39">
        <v>1980</v>
      </c>
      <c r="CE1" s="39">
        <v>1981</v>
      </c>
      <c r="CF1" s="39">
        <v>1982</v>
      </c>
      <c r="CG1" s="39">
        <v>1983</v>
      </c>
      <c r="CH1" s="39">
        <v>1984</v>
      </c>
      <c r="CI1" s="39">
        <v>1985</v>
      </c>
      <c r="CJ1" s="39">
        <v>1986</v>
      </c>
      <c r="CK1" s="39">
        <v>1987</v>
      </c>
      <c r="CL1" s="39">
        <v>1988</v>
      </c>
      <c r="CM1" s="39">
        <v>1989</v>
      </c>
      <c r="CN1" s="39">
        <v>1990</v>
      </c>
      <c r="CO1" s="39">
        <v>1991</v>
      </c>
      <c r="CP1" s="39">
        <v>1992</v>
      </c>
      <c r="CQ1" s="39">
        <v>1993</v>
      </c>
      <c r="CR1" s="39">
        <v>1994</v>
      </c>
      <c r="CS1" s="39">
        <v>1995</v>
      </c>
      <c r="CT1" s="39">
        <v>1996</v>
      </c>
      <c r="CU1" s="39">
        <v>1997</v>
      </c>
      <c r="CV1" s="39">
        <v>1998</v>
      </c>
      <c r="CW1" s="39">
        <v>1999</v>
      </c>
      <c r="CX1" s="39">
        <v>2000</v>
      </c>
      <c r="CY1" s="39">
        <v>2001</v>
      </c>
      <c r="CZ1" s="39">
        <v>2002</v>
      </c>
      <c r="DA1" s="39">
        <v>2003</v>
      </c>
      <c r="DB1" s="39">
        <v>2004</v>
      </c>
      <c r="DC1" s="39">
        <v>2005</v>
      </c>
      <c r="DD1" s="39">
        <v>2006</v>
      </c>
      <c r="DE1" s="39">
        <v>2007</v>
      </c>
      <c r="DF1" s="39">
        <v>2008</v>
      </c>
      <c r="DG1" s="39">
        <v>2009</v>
      </c>
      <c r="DH1" s="39">
        <v>2010</v>
      </c>
      <c r="DI1" s="39">
        <v>2011</v>
      </c>
      <c r="DJ1" s="39">
        <v>2012</v>
      </c>
      <c r="DK1" s="39">
        <v>2013</v>
      </c>
      <c r="DL1" s="39">
        <v>2014</v>
      </c>
      <c r="DM1" s="39">
        <v>2015</v>
      </c>
      <c r="DN1" s="39">
        <v>2016</v>
      </c>
      <c r="DO1" s="39">
        <v>2017</v>
      </c>
    </row>
    <row r="2" spans="1:119">
      <c r="A2" s="40">
        <v>0</v>
      </c>
      <c r="B2" s="40"/>
      <c r="C2" s="40"/>
      <c r="D2" s="40"/>
      <c r="E2" s="40"/>
      <c r="F2" s="40"/>
      <c r="G2" s="40"/>
      <c r="H2" s="40"/>
      <c r="I2" s="40"/>
      <c r="J2" s="40"/>
      <c r="K2" s="40"/>
      <c r="L2" s="40"/>
      <c r="M2" s="40"/>
      <c r="N2" s="40"/>
      <c r="O2" s="40"/>
      <c r="P2" s="40"/>
      <c r="Q2" s="40"/>
      <c r="R2" s="40"/>
      <c r="S2" s="40"/>
      <c r="T2" s="40"/>
      <c r="U2" s="40"/>
      <c r="V2" s="40"/>
      <c r="W2" s="40">
        <v>100000</v>
      </c>
      <c r="X2" s="40">
        <v>100000</v>
      </c>
      <c r="Y2" s="40">
        <v>100000</v>
      </c>
      <c r="Z2" s="40">
        <v>100000</v>
      </c>
      <c r="AA2" s="40">
        <v>100000</v>
      </c>
      <c r="AB2" s="40">
        <v>100000</v>
      </c>
      <c r="AC2" s="40">
        <v>100000</v>
      </c>
      <c r="AD2" s="40">
        <v>100000</v>
      </c>
      <c r="AE2" s="40">
        <v>100000</v>
      </c>
      <c r="AF2" s="40">
        <v>100000</v>
      </c>
      <c r="AG2" s="40">
        <v>100000</v>
      </c>
      <c r="AH2" s="40">
        <v>100000</v>
      </c>
      <c r="AI2" s="40">
        <v>100000</v>
      </c>
      <c r="AJ2" s="40">
        <v>100000</v>
      </c>
      <c r="AK2" s="40">
        <v>100000</v>
      </c>
      <c r="AL2" s="40">
        <v>100000</v>
      </c>
      <c r="AM2" s="40">
        <v>100000</v>
      </c>
      <c r="AN2" s="40">
        <v>100000</v>
      </c>
      <c r="AO2" s="40">
        <v>100000</v>
      </c>
      <c r="AP2" s="40">
        <v>100000</v>
      </c>
      <c r="AQ2" s="40">
        <v>100000</v>
      </c>
      <c r="AR2" s="40">
        <v>100000</v>
      </c>
      <c r="AS2" s="40">
        <v>100000</v>
      </c>
      <c r="AT2" s="40">
        <v>100000</v>
      </c>
      <c r="AU2" s="40">
        <v>100000</v>
      </c>
      <c r="AV2" s="40">
        <v>100000</v>
      </c>
      <c r="AW2" s="40">
        <v>100000</v>
      </c>
      <c r="AX2" s="40">
        <v>100000</v>
      </c>
      <c r="AY2" s="40">
        <v>100000</v>
      </c>
      <c r="AZ2" s="40">
        <v>100000</v>
      </c>
      <c r="BA2" s="40">
        <v>100000</v>
      </c>
      <c r="BB2" s="40">
        <v>100000</v>
      </c>
      <c r="BC2" s="40">
        <v>100000</v>
      </c>
      <c r="BD2" s="40">
        <v>100000</v>
      </c>
      <c r="BE2" s="40">
        <v>100000</v>
      </c>
      <c r="BF2" s="40">
        <v>100000</v>
      </c>
      <c r="BG2" s="40">
        <v>100000</v>
      </c>
      <c r="BH2" s="40">
        <v>100000</v>
      </c>
      <c r="BI2" s="40">
        <v>100000</v>
      </c>
      <c r="BJ2" s="40">
        <v>100000</v>
      </c>
      <c r="BK2" s="40">
        <v>100000</v>
      </c>
      <c r="BL2" s="40">
        <v>100000</v>
      </c>
      <c r="BM2" s="40">
        <v>100000</v>
      </c>
      <c r="BN2" s="40">
        <v>100000</v>
      </c>
      <c r="BO2" s="40">
        <v>100000</v>
      </c>
      <c r="BP2" s="40">
        <v>100000</v>
      </c>
      <c r="BQ2" s="40">
        <v>100000</v>
      </c>
      <c r="BR2" s="40">
        <v>100000</v>
      </c>
      <c r="BS2" s="40">
        <v>100000</v>
      </c>
      <c r="BT2" s="40">
        <v>100000</v>
      </c>
      <c r="BU2" s="40">
        <v>100000</v>
      </c>
      <c r="BV2" s="40">
        <v>100000</v>
      </c>
      <c r="BW2" s="40">
        <v>100000</v>
      </c>
      <c r="BX2" s="40">
        <v>100000</v>
      </c>
      <c r="BY2" s="40">
        <v>100000</v>
      </c>
      <c r="BZ2" s="40">
        <v>100000</v>
      </c>
      <c r="CA2" s="40">
        <v>100000</v>
      </c>
      <c r="CB2" s="40">
        <v>100000</v>
      </c>
      <c r="CC2" s="40">
        <v>100000</v>
      </c>
      <c r="CD2" s="40">
        <v>100000</v>
      </c>
      <c r="CE2" s="40">
        <v>100000</v>
      </c>
      <c r="CF2" s="40">
        <v>100000</v>
      </c>
      <c r="CG2" s="40">
        <v>100000</v>
      </c>
      <c r="CH2" s="40">
        <v>100000</v>
      </c>
      <c r="CI2" s="40">
        <v>100000</v>
      </c>
      <c r="CJ2" s="40">
        <v>100000</v>
      </c>
      <c r="CK2" s="40">
        <v>100000</v>
      </c>
      <c r="CL2" s="40">
        <v>100000</v>
      </c>
      <c r="CM2" s="40">
        <v>100000</v>
      </c>
      <c r="CN2" s="40">
        <v>100000</v>
      </c>
      <c r="CO2" s="40">
        <v>100000</v>
      </c>
      <c r="CP2" s="40">
        <v>100000</v>
      </c>
      <c r="CQ2" s="40">
        <v>100000</v>
      </c>
      <c r="CR2" s="40">
        <v>100000</v>
      </c>
      <c r="CS2" s="40">
        <v>100000</v>
      </c>
      <c r="CT2" s="40">
        <v>100000</v>
      </c>
      <c r="CU2" s="40">
        <v>100000</v>
      </c>
      <c r="CV2" s="40">
        <v>100000</v>
      </c>
      <c r="CW2" s="40">
        <v>100000</v>
      </c>
      <c r="CX2" s="40">
        <v>100000</v>
      </c>
      <c r="CY2" s="40">
        <v>100000</v>
      </c>
      <c r="CZ2" s="40">
        <v>100000</v>
      </c>
      <c r="DA2" s="40">
        <v>100000</v>
      </c>
      <c r="DB2" s="40">
        <v>100000</v>
      </c>
      <c r="DC2" s="40">
        <v>100000</v>
      </c>
      <c r="DD2" s="40">
        <v>100000</v>
      </c>
      <c r="DE2" s="40">
        <v>100000</v>
      </c>
      <c r="DF2" s="40">
        <v>100000</v>
      </c>
      <c r="DG2" s="40">
        <v>100000</v>
      </c>
      <c r="DH2" s="40">
        <v>100000</v>
      </c>
      <c r="DI2" s="40">
        <v>100000</v>
      </c>
      <c r="DJ2" s="40">
        <v>100000</v>
      </c>
      <c r="DK2" s="40">
        <v>100000</v>
      </c>
      <c r="DL2" s="40">
        <v>100000</v>
      </c>
      <c r="DM2" s="40">
        <v>100000</v>
      </c>
      <c r="DN2" s="40">
        <v>100000</v>
      </c>
      <c r="DO2" s="40">
        <v>100000</v>
      </c>
    </row>
    <row r="3" spans="1:119">
      <c r="A3" s="40">
        <v>1</v>
      </c>
      <c r="B3" s="40"/>
      <c r="C3" s="40"/>
      <c r="D3" s="40"/>
      <c r="E3" s="40"/>
      <c r="F3" s="40"/>
      <c r="G3" s="40"/>
      <c r="H3" s="40"/>
      <c r="I3" s="40"/>
      <c r="J3" s="40"/>
      <c r="K3" s="40"/>
      <c r="L3" s="40"/>
      <c r="M3" s="40"/>
      <c r="N3" s="40"/>
      <c r="O3" s="40"/>
      <c r="P3" s="40"/>
      <c r="Q3" s="40"/>
      <c r="R3" s="40"/>
      <c r="S3" s="40"/>
      <c r="T3" s="40"/>
      <c r="U3" s="40"/>
      <c r="V3" s="40"/>
      <c r="W3" s="40">
        <v>85361</v>
      </c>
      <c r="X3" s="40">
        <v>85800</v>
      </c>
      <c r="Y3" s="40">
        <v>85600</v>
      </c>
      <c r="Z3" s="40">
        <v>88100</v>
      </c>
      <c r="AA3" s="40">
        <v>88400</v>
      </c>
      <c r="AB3" s="40">
        <v>88800</v>
      </c>
      <c r="AC3" s="40">
        <v>89300</v>
      </c>
      <c r="AD3" s="40">
        <v>90100</v>
      </c>
      <c r="AE3" s="40">
        <v>89449</v>
      </c>
      <c r="AF3" s="40">
        <v>90667</v>
      </c>
      <c r="AG3" s="40">
        <v>90946</v>
      </c>
      <c r="AH3" s="40">
        <v>91300</v>
      </c>
      <c r="AI3" s="40">
        <v>91500</v>
      </c>
      <c r="AJ3" s="40">
        <v>92600</v>
      </c>
      <c r="AK3" s="40">
        <v>92370</v>
      </c>
      <c r="AL3" s="40">
        <v>92600</v>
      </c>
      <c r="AM3" s="40">
        <v>92795</v>
      </c>
      <c r="AN3" s="40">
        <v>93179</v>
      </c>
      <c r="AO3" s="40">
        <v>93031</v>
      </c>
      <c r="AP3" s="40">
        <v>93031</v>
      </c>
      <c r="AQ3" s="40">
        <v>93031</v>
      </c>
      <c r="AR3" s="40">
        <v>93031</v>
      </c>
      <c r="AS3" s="40">
        <v>92334</v>
      </c>
      <c r="AT3" s="40">
        <v>91289</v>
      </c>
      <c r="AU3" s="40">
        <v>89547</v>
      </c>
      <c r="AV3" s="40">
        <v>89840</v>
      </c>
      <c r="AW3" s="40">
        <v>89840</v>
      </c>
      <c r="AX3" s="40">
        <v>91832</v>
      </c>
      <c r="AY3" s="40">
        <v>93823</v>
      </c>
      <c r="AZ3" s="40">
        <v>93823</v>
      </c>
      <c r="BA3" s="40">
        <v>93823</v>
      </c>
      <c r="BB3" s="40">
        <v>94536</v>
      </c>
      <c r="BC3" s="40">
        <v>94715</v>
      </c>
      <c r="BD3" s="40">
        <v>95183</v>
      </c>
      <c r="BE3" s="40">
        <v>95225</v>
      </c>
      <c r="BF3" s="40">
        <v>95577</v>
      </c>
      <c r="BG3" s="40">
        <v>95600</v>
      </c>
      <c r="BH3" s="40">
        <v>95868</v>
      </c>
      <c r="BI3" s="40">
        <v>96065</v>
      </c>
      <c r="BJ3" s="40">
        <v>96132</v>
      </c>
      <c r="BK3" s="40">
        <v>96429</v>
      </c>
      <c r="BL3" s="40">
        <v>96699</v>
      </c>
      <c r="BM3" s="40">
        <v>96914</v>
      </c>
      <c r="BN3" s="40">
        <v>97182</v>
      </c>
      <c r="BO3" s="40">
        <v>97335</v>
      </c>
      <c r="BP3" s="40">
        <v>97393</v>
      </c>
      <c r="BQ3" s="40">
        <v>97462</v>
      </c>
      <c r="BR3" s="40">
        <v>97516</v>
      </c>
      <c r="BS3" s="40">
        <v>97440</v>
      </c>
      <c r="BT3" s="40">
        <v>97465</v>
      </c>
      <c r="BU3" s="40">
        <v>97534</v>
      </c>
      <c r="BV3" s="40">
        <v>97595</v>
      </c>
      <c r="BW3" s="40">
        <v>97605</v>
      </c>
      <c r="BX3" s="40">
        <v>97718</v>
      </c>
      <c r="BY3" s="40">
        <v>97880</v>
      </c>
      <c r="BZ3" s="40">
        <v>98159</v>
      </c>
      <c r="CA3" s="40">
        <v>98319</v>
      </c>
      <c r="CB3" s="40">
        <v>98375</v>
      </c>
      <c r="CC3" s="40">
        <v>98518</v>
      </c>
      <c r="CD3" s="40">
        <v>98581</v>
      </c>
      <c r="CE3" s="40">
        <v>98658</v>
      </c>
      <c r="CF3" s="40">
        <v>98786</v>
      </c>
      <c r="CG3" s="40">
        <v>98841</v>
      </c>
      <c r="CH3" s="40">
        <v>98926</v>
      </c>
      <c r="CI3" s="40">
        <v>98981</v>
      </c>
      <c r="CJ3" s="40">
        <v>99017</v>
      </c>
      <c r="CK3" s="40">
        <v>99046</v>
      </c>
      <c r="CL3" s="40">
        <v>99128</v>
      </c>
      <c r="CM3" s="40">
        <v>99142</v>
      </c>
      <c r="CN3" s="40">
        <v>99196</v>
      </c>
      <c r="CO3" s="40">
        <v>99271</v>
      </c>
      <c r="CP3" s="40">
        <v>99325</v>
      </c>
      <c r="CQ3" s="40">
        <v>99366</v>
      </c>
      <c r="CR3" s="40">
        <v>99383</v>
      </c>
      <c r="CS3" s="40">
        <v>99420</v>
      </c>
      <c r="CT3" s="40">
        <v>99444</v>
      </c>
      <c r="CU3" s="40">
        <v>99464</v>
      </c>
      <c r="CV3" s="40">
        <v>99487</v>
      </c>
      <c r="CW3" s="40">
        <v>99500</v>
      </c>
      <c r="CX3" s="40">
        <v>99530</v>
      </c>
      <c r="CY3" s="40">
        <v>99526</v>
      </c>
      <c r="CZ3" s="40">
        <v>99545</v>
      </c>
      <c r="DA3" s="40">
        <v>99531</v>
      </c>
      <c r="DB3" s="40">
        <v>99559</v>
      </c>
      <c r="DC3" s="40">
        <v>99574</v>
      </c>
      <c r="DD3" s="40">
        <v>99577</v>
      </c>
      <c r="DE3" s="40">
        <v>99572</v>
      </c>
      <c r="DF3" s="40">
        <v>99609</v>
      </c>
      <c r="DG3" s="40">
        <v>99611</v>
      </c>
      <c r="DH3" s="40">
        <v>99619</v>
      </c>
      <c r="DI3" s="40">
        <v>99614</v>
      </c>
      <c r="DJ3" s="40">
        <v>99651</v>
      </c>
      <c r="DK3" s="40">
        <v>99646</v>
      </c>
      <c r="DL3" s="40">
        <v>99645</v>
      </c>
      <c r="DM3" s="40">
        <v>99662</v>
      </c>
      <c r="DN3" s="40">
        <v>99678</v>
      </c>
      <c r="DO3" s="40">
        <v>99694</v>
      </c>
    </row>
    <row r="4" spans="1:119">
      <c r="A4" s="40">
        <v>2</v>
      </c>
      <c r="B4" s="40"/>
      <c r="C4" s="40"/>
      <c r="D4" s="40"/>
      <c r="E4" s="40"/>
      <c r="F4" s="40"/>
      <c r="G4" s="40"/>
      <c r="H4" s="40"/>
      <c r="I4" s="40"/>
      <c r="J4" s="40"/>
      <c r="K4" s="40"/>
      <c r="L4" s="40"/>
      <c r="M4" s="40"/>
      <c r="N4" s="40"/>
      <c r="O4" s="40"/>
      <c r="P4" s="40"/>
      <c r="Q4" s="40"/>
      <c r="R4" s="40"/>
      <c r="S4" s="40"/>
      <c r="T4" s="40"/>
      <c r="U4" s="40"/>
      <c r="V4" s="40"/>
      <c r="W4" s="40">
        <v>83660</v>
      </c>
      <c r="X4" s="40">
        <v>84066</v>
      </c>
      <c r="Y4" s="40">
        <v>84214</v>
      </c>
      <c r="Z4" s="40">
        <v>86674</v>
      </c>
      <c r="AA4" s="40">
        <v>86969</v>
      </c>
      <c r="AB4" s="40">
        <v>87467</v>
      </c>
      <c r="AC4" s="40">
        <v>88200</v>
      </c>
      <c r="AD4" s="40">
        <v>88917</v>
      </c>
      <c r="AE4" s="40">
        <v>88543</v>
      </c>
      <c r="AF4" s="40">
        <v>89776</v>
      </c>
      <c r="AG4" s="40">
        <v>90104</v>
      </c>
      <c r="AH4" s="40">
        <v>90455</v>
      </c>
      <c r="AI4" s="40">
        <v>90653</v>
      </c>
      <c r="AJ4" s="40">
        <v>91833</v>
      </c>
      <c r="AK4" s="40">
        <v>91628</v>
      </c>
      <c r="AL4" s="40">
        <v>91876</v>
      </c>
      <c r="AM4" s="40">
        <v>92108</v>
      </c>
      <c r="AN4" s="40">
        <v>92474</v>
      </c>
      <c r="AO4" s="40">
        <v>92328</v>
      </c>
      <c r="AP4" s="40">
        <v>92328</v>
      </c>
      <c r="AQ4" s="40">
        <v>92328</v>
      </c>
      <c r="AR4" s="40">
        <v>92257</v>
      </c>
      <c r="AS4" s="40">
        <v>91461</v>
      </c>
      <c r="AT4" s="40">
        <v>90253</v>
      </c>
      <c r="AU4" s="40">
        <v>88629</v>
      </c>
      <c r="AV4" s="40">
        <v>88919</v>
      </c>
      <c r="AW4" s="40">
        <v>89100</v>
      </c>
      <c r="AX4" s="40">
        <v>91449</v>
      </c>
      <c r="AY4" s="40">
        <v>93433</v>
      </c>
      <c r="AZ4" s="40">
        <v>93433</v>
      </c>
      <c r="BA4" s="40">
        <v>93458</v>
      </c>
      <c r="BB4" s="40">
        <v>94190</v>
      </c>
      <c r="BC4" s="40">
        <v>94406</v>
      </c>
      <c r="BD4" s="40">
        <v>94865</v>
      </c>
      <c r="BE4" s="40">
        <v>94913</v>
      </c>
      <c r="BF4" s="40">
        <v>95271</v>
      </c>
      <c r="BG4" s="40">
        <v>95312</v>
      </c>
      <c r="BH4" s="40">
        <v>95587</v>
      </c>
      <c r="BI4" s="40">
        <v>95812</v>
      </c>
      <c r="BJ4" s="40">
        <v>95895</v>
      </c>
      <c r="BK4" s="40">
        <v>96201</v>
      </c>
      <c r="BL4" s="40">
        <v>96477</v>
      </c>
      <c r="BM4" s="40">
        <v>96732</v>
      </c>
      <c r="BN4" s="40">
        <v>96990</v>
      </c>
      <c r="BO4" s="40">
        <v>97158</v>
      </c>
      <c r="BP4" s="40">
        <v>97215</v>
      </c>
      <c r="BQ4" s="40">
        <v>97298</v>
      </c>
      <c r="BR4" s="40">
        <v>97332</v>
      </c>
      <c r="BS4" s="40">
        <v>97281</v>
      </c>
      <c r="BT4" s="40">
        <v>97324</v>
      </c>
      <c r="BU4" s="40">
        <v>97397</v>
      </c>
      <c r="BV4" s="40">
        <v>97472</v>
      </c>
      <c r="BW4" s="40">
        <v>97480</v>
      </c>
      <c r="BX4" s="40">
        <v>97594</v>
      </c>
      <c r="BY4" s="40">
        <v>97767</v>
      </c>
      <c r="BZ4" s="40">
        <v>98047</v>
      </c>
      <c r="CA4" s="40">
        <v>98214</v>
      </c>
      <c r="CB4" s="40">
        <v>98270</v>
      </c>
      <c r="CC4" s="40">
        <v>98425</v>
      </c>
      <c r="CD4" s="40">
        <v>98483</v>
      </c>
      <c r="CE4" s="40">
        <v>98557</v>
      </c>
      <c r="CF4" s="40">
        <v>98694</v>
      </c>
      <c r="CG4" s="40">
        <v>98756</v>
      </c>
      <c r="CH4" s="40">
        <v>98839</v>
      </c>
      <c r="CI4" s="40">
        <v>98910</v>
      </c>
      <c r="CJ4" s="40">
        <v>98936</v>
      </c>
      <c r="CK4" s="40">
        <v>98975</v>
      </c>
      <c r="CL4" s="40">
        <v>99064</v>
      </c>
      <c r="CM4" s="40">
        <v>99075</v>
      </c>
      <c r="CN4" s="40">
        <v>99133</v>
      </c>
      <c r="CO4" s="40">
        <v>99220</v>
      </c>
      <c r="CP4" s="40">
        <v>99271</v>
      </c>
      <c r="CQ4" s="40">
        <v>99315</v>
      </c>
      <c r="CR4" s="40">
        <v>99326</v>
      </c>
      <c r="CS4" s="40">
        <v>99376</v>
      </c>
      <c r="CT4" s="40">
        <v>99394</v>
      </c>
      <c r="CU4" s="40">
        <v>99420</v>
      </c>
      <c r="CV4" s="40">
        <v>99447</v>
      </c>
      <c r="CW4" s="40">
        <v>99451</v>
      </c>
      <c r="CX4" s="40">
        <v>99489</v>
      </c>
      <c r="CY4" s="40">
        <v>99483</v>
      </c>
      <c r="CZ4" s="40">
        <v>99503</v>
      </c>
      <c r="DA4" s="40">
        <v>99493</v>
      </c>
      <c r="DB4" s="40">
        <v>99528</v>
      </c>
      <c r="DC4" s="40">
        <v>99535</v>
      </c>
      <c r="DD4" s="40">
        <v>99544</v>
      </c>
      <c r="DE4" s="40">
        <v>99540</v>
      </c>
      <c r="DF4" s="40">
        <v>99574</v>
      </c>
      <c r="DG4" s="40">
        <v>99580</v>
      </c>
      <c r="DH4" s="40">
        <v>99590</v>
      </c>
      <c r="DI4" s="40">
        <v>99586</v>
      </c>
      <c r="DJ4" s="40">
        <v>99625</v>
      </c>
      <c r="DK4" s="40">
        <v>99622</v>
      </c>
      <c r="DL4" s="40">
        <v>99624</v>
      </c>
      <c r="DM4" s="40">
        <v>99642</v>
      </c>
      <c r="DN4" s="40">
        <v>99659</v>
      </c>
      <c r="DO4" s="40">
        <v>99675</v>
      </c>
    </row>
    <row r="5" spans="1:119">
      <c r="A5" s="40">
        <v>3</v>
      </c>
      <c r="B5" s="40"/>
      <c r="C5" s="40"/>
      <c r="D5" s="40"/>
      <c r="E5" s="40"/>
      <c r="F5" s="40"/>
      <c r="G5" s="40"/>
      <c r="H5" s="40"/>
      <c r="I5" s="40"/>
      <c r="J5" s="40"/>
      <c r="K5" s="40"/>
      <c r="L5" s="40"/>
      <c r="M5" s="40"/>
      <c r="N5" s="40"/>
      <c r="O5" s="40"/>
      <c r="P5" s="40"/>
      <c r="Q5" s="40"/>
      <c r="R5" s="40"/>
      <c r="S5" s="40"/>
      <c r="T5" s="40"/>
      <c r="U5" s="40"/>
      <c r="V5" s="40"/>
      <c r="W5" s="40">
        <v>82712</v>
      </c>
      <c r="X5" s="40">
        <v>83532</v>
      </c>
      <c r="Y5" s="40">
        <v>83679</v>
      </c>
      <c r="Z5" s="40">
        <v>86122</v>
      </c>
      <c r="AA5" s="40">
        <v>86379</v>
      </c>
      <c r="AB5" s="40">
        <v>86952</v>
      </c>
      <c r="AC5" s="40">
        <v>87594</v>
      </c>
      <c r="AD5" s="40">
        <v>88412</v>
      </c>
      <c r="AE5" s="40">
        <v>88110</v>
      </c>
      <c r="AF5" s="40">
        <v>89372</v>
      </c>
      <c r="AG5" s="40">
        <v>89698</v>
      </c>
      <c r="AH5" s="40">
        <v>90048</v>
      </c>
      <c r="AI5" s="40">
        <v>90174</v>
      </c>
      <c r="AJ5" s="40">
        <v>91339</v>
      </c>
      <c r="AK5" s="40">
        <v>91171</v>
      </c>
      <c r="AL5" s="40">
        <v>91445</v>
      </c>
      <c r="AM5" s="40">
        <v>91640</v>
      </c>
      <c r="AN5" s="40">
        <v>92004</v>
      </c>
      <c r="AO5" s="40">
        <v>91858</v>
      </c>
      <c r="AP5" s="40">
        <v>91858</v>
      </c>
      <c r="AQ5" s="40">
        <v>91811</v>
      </c>
      <c r="AR5" s="40">
        <v>91671</v>
      </c>
      <c r="AS5" s="40">
        <v>90764</v>
      </c>
      <c r="AT5" s="40">
        <v>89728</v>
      </c>
      <c r="AU5" s="40">
        <v>88113</v>
      </c>
      <c r="AV5" s="40">
        <v>88591</v>
      </c>
      <c r="AW5" s="40">
        <v>88880</v>
      </c>
      <c r="AX5" s="40">
        <v>91225</v>
      </c>
      <c r="AY5" s="40">
        <v>93203</v>
      </c>
      <c r="AZ5" s="40">
        <v>93237</v>
      </c>
      <c r="BA5" s="40">
        <v>93280</v>
      </c>
      <c r="BB5" s="40">
        <v>94017</v>
      </c>
      <c r="BC5" s="40">
        <v>94237</v>
      </c>
      <c r="BD5" s="40">
        <v>94712</v>
      </c>
      <c r="BE5" s="40">
        <v>94756</v>
      </c>
      <c r="BF5" s="40">
        <v>95133</v>
      </c>
      <c r="BG5" s="40">
        <v>95161</v>
      </c>
      <c r="BH5" s="40">
        <v>95445</v>
      </c>
      <c r="BI5" s="40">
        <v>95682</v>
      </c>
      <c r="BJ5" s="40">
        <v>95762</v>
      </c>
      <c r="BK5" s="40">
        <v>96076</v>
      </c>
      <c r="BL5" s="40">
        <v>96359</v>
      </c>
      <c r="BM5" s="40">
        <v>96620</v>
      </c>
      <c r="BN5" s="40">
        <v>96880</v>
      </c>
      <c r="BO5" s="40">
        <v>97060</v>
      </c>
      <c r="BP5" s="40">
        <v>97116</v>
      </c>
      <c r="BQ5" s="40">
        <v>97196</v>
      </c>
      <c r="BR5" s="40">
        <v>97238</v>
      </c>
      <c r="BS5" s="40">
        <v>97183</v>
      </c>
      <c r="BT5" s="40">
        <v>97240</v>
      </c>
      <c r="BU5" s="40">
        <v>97310</v>
      </c>
      <c r="BV5" s="40">
        <v>97384</v>
      </c>
      <c r="BW5" s="40">
        <v>97402</v>
      </c>
      <c r="BX5" s="40">
        <v>97517</v>
      </c>
      <c r="BY5" s="40">
        <v>97695</v>
      </c>
      <c r="BZ5" s="40">
        <v>97973</v>
      </c>
      <c r="CA5" s="40">
        <v>98148</v>
      </c>
      <c r="CB5" s="40">
        <v>98205</v>
      </c>
      <c r="CC5" s="40">
        <v>98364</v>
      </c>
      <c r="CD5" s="40">
        <v>98432</v>
      </c>
      <c r="CE5" s="40">
        <v>98506</v>
      </c>
      <c r="CF5" s="40">
        <v>98648</v>
      </c>
      <c r="CG5" s="40">
        <v>98705</v>
      </c>
      <c r="CH5" s="40">
        <v>98791</v>
      </c>
      <c r="CI5" s="40">
        <v>98864</v>
      </c>
      <c r="CJ5" s="40">
        <v>98885</v>
      </c>
      <c r="CK5" s="40">
        <v>98932</v>
      </c>
      <c r="CL5" s="40">
        <v>99019</v>
      </c>
      <c r="CM5" s="40">
        <v>99030</v>
      </c>
      <c r="CN5" s="40">
        <v>99093</v>
      </c>
      <c r="CO5" s="40">
        <v>99182</v>
      </c>
      <c r="CP5" s="40">
        <v>99230</v>
      </c>
      <c r="CQ5" s="40">
        <v>99281</v>
      </c>
      <c r="CR5" s="40">
        <v>99298</v>
      </c>
      <c r="CS5" s="40">
        <v>99347</v>
      </c>
      <c r="CT5" s="40">
        <v>99362</v>
      </c>
      <c r="CU5" s="40">
        <v>99395</v>
      </c>
      <c r="CV5" s="40">
        <v>99417</v>
      </c>
      <c r="CW5" s="40">
        <v>99426</v>
      </c>
      <c r="CX5" s="40">
        <v>99471</v>
      </c>
      <c r="CY5" s="40">
        <v>99461</v>
      </c>
      <c r="CZ5" s="40">
        <v>99483</v>
      </c>
      <c r="DA5" s="40">
        <v>99475</v>
      </c>
      <c r="DB5" s="40">
        <v>99512</v>
      </c>
      <c r="DC5" s="40">
        <v>99514</v>
      </c>
      <c r="DD5" s="40">
        <v>99522</v>
      </c>
      <c r="DE5" s="40">
        <v>99520</v>
      </c>
      <c r="DF5" s="40">
        <v>99556</v>
      </c>
      <c r="DG5" s="40">
        <v>99563</v>
      </c>
      <c r="DH5" s="40">
        <v>99572</v>
      </c>
      <c r="DI5" s="40">
        <v>99576</v>
      </c>
      <c r="DJ5" s="40">
        <v>99609</v>
      </c>
      <c r="DK5" s="40">
        <v>99606</v>
      </c>
      <c r="DL5" s="40">
        <v>99608</v>
      </c>
      <c r="DM5" s="40">
        <v>99627</v>
      </c>
      <c r="DN5" s="40">
        <v>99645</v>
      </c>
      <c r="DO5" s="40">
        <v>99661</v>
      </c>
    </row>
    <row r="6" spans="1:119">
      <c r="A6" s="40">
        <v>4</v>
      </c>
      <c r="B6" s="40"/>
      <c r="C6" s="40"/>
      <c r="D6" s="40"/>
      <c r="E6" s="40"/>
      <c r="F6" s="40"/>
      <c r="G6" s="40"/>
      <c r="H6" s="40"/>
      <c r="I6" s="40"/>
      <c r="J6" s="40"/>
      <c r="K6" s="40"/>
      <c r="L6" s="40"/>
      <c r="M6" s="40"/>
      <c r="N6" s="40"/>
      <c r="O6" s="40"/>
      <c r="P6" s="40"/>
      <c r="Q6" s="40"/>
      <c r="R6" s="40"/>
      <c r="S6" s="40"/>
      <c r="T6" s="40"/>
      <c r="U6" s="40"/>
      <c r="V6" s="40"/>
      <c r="W6" s="40">
        <v>82378</v>
      </c>
      <c r="X6" s="40">
        <v>83194</v>
      </c>
      <c r="Y6" s="40">
        <v>83340</v>
      </c>
      <c r="Z6" s="40">
        <v>85752</v>
      </c>
      <c r="AA6" s="40">
        <v>86024</v>
      </c>
      <c r="AB6" s="40">
        <v>86534</v>
      </c>
      <c r="AC6" s="40">
        <v>87213</v>
      </c>
      <c r="AD6" s="40">
        <v>88082</v>
      </c>
      <c r="AE6" s="40">
        <v>87807</v>
      </c>
      <c r="AF6" s="40">
        <v>89065</v>
      </c>
      <c r="AG6" s="40">
        <v>89390</v>
      </c>
      <c r="AH6" s="40">
        <v>89684</v>
      </c>
      <c r="AI6" s="40">
        <v>89802</v>
      </c>
      <c r="AJ6" s="40">
        <v>90991</v>
      </c>
      <c r="AK6" s="40">
        <v>90845</v>
      </c>
      <c r="AL6" s="40">
        <v>91090</v>
      </c>
      <c r="AM6" s="40">
        <v>91283</v>
      </c>
      <c r="AN6" s="40">
        <v>91646</v>
      </c>
      <c r="AO6" s="40">
        <v>91501</v>
      </c>
      <c r="AP6" s="40">
        <v>91465</v>
      </c>
      <c r="AQ6" s="40">
        <v>91365</v>
      </c>
      <c r="AR6" s="40">
        <v>91136</v>
      </c>
      <c r="AS6" s="40">
        <v>90381</v>
      </c>
      <c r="AT6" s="40">
        <v>89349</v>
      </c>
      <c r="AU6" s="40">
        <v>87877</v>
      </c>
      <c r="AV6" s="40">
        <v>88419</v>
      </c>
      <c r="AW6" s="40">
        <v>88708</v>
      </c>
      <c r="AX6" s="40">
        <v>91048</v>
      </c>
      <c r="AY6" s="40">
        <v>93064</v>
      </c>
      <c r="AZ6" s="40">
        <v>93102</v>
      </c>
      <c r="BA6" s="40">
        <v>93161</v>
      </c>
      <c r="BB6" s="40">
        <v>93894</v>
      </c>
      <c r="BC6" s="40">
        <v>94120</v>
      </c>
      <c r="BD6" s="40">
        <v>94599</v>
      </c>
      <c r="BE6" s="40">
        <v>94655</v>
      </c>
      <c r="BF6" s="40">
        <v>95027</v>
      </c>
      <c r="BG6" s="40">
        <v>95058</v>
      </c>
      <c r="BH6" s="40">
        <v>95341</v>
      </c>
      <c r="BI6" s="40">
        <v>95588</v>
      </c>
      <c r="BJ6" s="40">
        <v>95668</v>
      </c>
      <c r="BK6" s="40">
        <v>95989</v>
      </c>
      <c r="BL6" s="40">
        <v>96271</v>
      </c>
      <c r="BM6" s="40">
        <v>96527</v>
      </c>
      <c r="BN6" s="40">
        <v>96795</v>
      </c>
      <c r="BO6" s="40">
        <v>96978</v>
      </c>
      <c r="BP6" s="40">
        <v>97032</v>
      </c>
      <c r="BQ6" s="40">
        <v>97114</v>
      </c>
      <c r="BR6" s="40">
        <v>97157</v>
      </c>
      <c r="BS6" s="40">
        <v>97101</v>
      </c>
      <c r="BT6" s="40">
        <v>97169</v>
      </c>
      <c r="BU6" s="40">
        <v>97240</v>
      </c>
      <c r="BV6" s="40">
        <v>97320</v>
      </c>
      <c r="BW6" s="40">
        <v>97336</v>
      </c>
      <c r="BX6" s="40">
        <v>97461</v>
      </c>
      <c r="BY6" s="40">
        <v>97637</v>
      </c>
      <c r="BZ6" s="40">
        <v>97919</v>
      </c>
      <c r="CA6" s="40">
        <v>98091</v>
      </c>
      <c r="CB6" s="40">
        <v>98155</v>
      </c>
      <c r="CC6" s="40">
        <v>98310</v>
      </c>
      <c r="CD6" s="40">
        <v>98391</v>
      </c>
      <c r="CE6" s="40">
        <v>98464</v>
      </c>
      <c r="CF6" s="40">
        <v>98613</v>
      </c>
      <c r="CG6" s="40">
        <v>98666</v>
      </c>
      <c r="CH6" s="40">
        <v>98757</v>
      </c>
      <c r="CI6" s="40">
        <v>98829</v>
      </c>
      <c r="CJ6" s="40">
        <v>98847</v>
      </c>
      <c r="CK6" s="40">
        <v>98893</v>
      </c>
      <c r="CL6" s="40">
        <v>98985</v>
      </c>
      <c r="CM6" s="40">
        <v>98999</v>
      </c>
      <c r="CN6" s="40">
        <v>99065</v>
      </c>
      <c r="CO6" s="40">
        <v>99157</v>
      </c>
      <c r="CP6" s="40">
        <v>99203</v>
      </c>
      <c r="CQ6" s="40">
        <v>99256</v>
      </c>
      <c r="CR6" s="40">
        <v>99276</v>
      </c>
      <c r="CS6" s="40">
        <v>99328</v>
      </c>
      <c r="CT6" s="40">
        <v>99340</v>
      </c>
      <c r="CU6" s="40">
        <v>99374</v>
      </c>
      <c r="CV6" s="40">
        <v>99396</v>
      </c>
      <c r="CW6" s="40">
        <v>99405</v>
      </c>
      <c r="CX6" s="40">
        <v>99453</v>
      </c>
      <c r="CY6" s="40">
        <v>99443</v>
      </c>
      <c r="CZ6" s="40">
        <v>99467</v>
      </c>
      <c r="DA6" s="40">
        <v>99459</v>
      </c>
      <c r="DB6" s="40">
        <v>99497</v>
      </c>
      <c r="DC6" s="40">
        <v>99501</v>
      </c>
      <c r="DD6" s="40">
        <v>99508</v>
      </c>
      <c r="DE6" s="40">
        <v>99504</v>
      </c>
      <c r="DF6" s="40">
        <v>99546</v>
      </c>
      <c r="DG6" s="40">
        <v>99549</v>
      </c>
      <c r="DH6" s="40">
        <v>99558</v>
      </c>
      <c r="DI6" s="40">
        <v>99563</v>
      </c>
      <c r="DJ6" s="40">
        <v>99596</v>
      </c>
      <c r="DK6" s="40">
        <v>99594</v>
      </c>
      <c r="DL6" s="40">
        <v>99596</v>
      </c>
      <c r="DM6" s="40">
        <v>99615</v>
      </c>
      <c r="DN6" s="40">
        <v>99634</v>
      </c>
      <c r="DO6" s="40">
        <v>99651</v>
      </c>
    </row>
    <row r="7" spans="1:119">
      <c r="A7" s="40">
        <v>5</v>
      </c>
      <c r="B7" s="40"/>
      <c r="C7" s="40"/>
      <c r="D7" s="40"/>
      <c r="E7" s="40"/>
      <c r="F7" s="40"/>
      <c r="G7" s="40"/>
      <c r="H7" s="40"/>
      <c r="I7" s="40"/>
      <c r="J7" s="40"/>
      <c r="K7" s="40"/>
      <c r="L7" s="40"/>
      <c r="M7" s="40"/>
      <c r="N7" s="40"/>
      <c r="O7" s="40"/>
      <c r="P7" s="40"/>
      <c r="Q7" s="40"/>
      <c r="R7" s="40"/>
      <c r="S7" s="40"/>
      <c r="T7" s="40"/>
      <c r="U7" s="40"/>
      <c r="V7" s="40"/>
      <c r="W7" s="40">
        <v>82117</v>
      </c>
      <c r="X7" s="40">
        <v>82931</v>
      </c>
      <c r="Y7" s="40">
        <v>83060</v>
      </c>
      <c r="Z7" s="40">
        <v>85473</v>
      </c>
      <c r="AA7" s="40">
        <v>85697</v>
      </c>
      <c r="AB7" s="40">
        <v>86234</v>
      </c>
      <c r="AC7" s="40">
        <v>86954</v>
      </c>
      <c r="AD7" s="40">
        <v>87840</v>
      </c>
      <c r="AE7" s="40">
        <v>87567</v>
      </c>
      <c r="AF7" s="40">
        <v>88821</v>
      </c>
      <c r="AG7" s="40">
        <v>89102</v>
      </c>
      <c r="AH7" s="40">
        <v>89390</v>
      </c>
      <c r="AI7" s="40">
        <v>89530</v>
      </c>
      <c r="AJ7" s="40">
        <v>90731</v>
      </c>
      <c r="AK7" s="40">
        <v>90563</v>
      </c>
      <c r="AL7" s="40">
        <v>90808</v>
      </c>
      <c r="AM7" s="40">
        <v>91001</v>
      </c>
      <c r="AN7" s="40">
        <v>91362</v>
      </c>
      <c r="AO7" s="40">
        <v>91189</v>
      </c>
      <c r="AP7" s="40">
        <v>91111</v>
      </c>
      <c r="AQ7" s="40">
        <v>90940</v>
      </c>
      <c r="AR7" s="40">
        <v>90869</v>
      </c>
      <c r="AS7" s="40">
        <v>90116</v>
      </c>
      <c r="AT7" s="40">
        <v>89183</v>
      </c>
      <c r="AU7" s="40">
        <v>87742</v>
      </c>
      <c r="AV7" s="40">
        <v>88284</v>
      </c>
      <c r="AW7" s="40">
        <v>88572</v>
      </c>
      <c r="AX7" s="40">
        <v>90936</v>
      </c>
      <c r="AY7" s="40">
        <v>92952</v>
      </c>
      <c r="AZ7" s="40">
        <v>93004</v>
      </c>
      <c r="BA7" s="40">
        <v>93067</v>
      </c>
      <c r="BB7" s="40">
        <v>93803</v>
      </c>
      <c r="BC7" s="40">
        <v>94032</v>
      </c>
      <c r="BD7" s="40">
        <v>94507</v>
      </c>
      <c r="BE7" s="40">
        <v>94570</v>
      </c>
      <c r="BF7" s="40">
        <v>94943</v>
      </c>
      <c r="BG7" s="40">
        <v>94972</v>
      </c>
      <c r="BH7" s="40">
        <v>95270</v>
      </c>
      <c r="BI7" s="40">
        <v>95513</v>
      </c>
      <c r="BJ7" s="40">
        <v>95590</v>
      </c>
      <c r="BK7" s="40">
        <v>95913</v>
      </c>
      <c r="BL7" s="40">
        <v>96197</v>
      </c>
      <c r="BM7" s="40">
        <v>96452</v>
      </c>
      <c r="BN7" s="40">
        <v>96722</v>
      </c>
      <c r="BO7" s="40">
        <v>96901</v>
      </c>
      <c r="BP7" s="40">
        <v>96955</v>
      </c>
      <c r="BQ7" s="40">
        <v>97044</v>
      </c>
      <c r="BR7" s="40">
        <v>97088</v>
      </c>
      <c r="BS7" s="40">
        <v>97037</v>
      </c>
      <c r="BT7" s="40">
        <v>97114</v>
      </c>
      <c r="BU7" s="40">
        <v>97182</v>
      </c>
      <c r="BV7" s="40">
        <v>97267</v>
      </c>
      <c r="BW7" s="40">
        <v>97284</v>
      </c>
      <c r="BX7" s="40">
        <v>97408</v>
      </c>
      <c r="BY7" s="40">
        <v>97585</v>
      </c>
      <c r="BZ7" s="40">
        <v>97876</v>
      </c>
      <c r="CA7" s="40">
        <v>98050</v>
      </c>
      <c r="CB7" s="40">
        <v>98116</v>
      </c>
      <c r="CC7" s="40">
        <v>98275</v>
      </c>
      <c r="CD7" s="40">
        <v>98355</v>
      </c>
      <c r="CE7" s="40">
        <v>98427</v>
      </c>
      <c r="CF7" s="40">
        <v>98578</v>
      </c>
      <c r="CG7" s="40">
        <v>98637</v>
      </c>
      <c r="CH7" s="40">
        <v>98724</v>
      </c>
      <c r="CI7" s="40">
        <v>98798</v>
      </c>
      <c r="CJ7" s="40">
        <v>98820</v>
      </c>
      <c r="CK7" s="40">
        <v>98866</v>
      </c>
      <c r="CL7" s="40">
        <v>98962</v>
      </c>
      <c r="CM7" s="40">
        <v>98973</v>
      </c>
      <c r="CN7" s="40">
        <v>99042</v>
      </c>
      <c r="CO7" s="40">
        <v>99138</v>
      </c>
      <c r="CP7" s="40">
        <v>99181</v>
      </c>
      <c r="CQ7" s="40">
        <v>99240</v>
      </c>
      <c r="CR7" s="40">
        <v>99257</v>
      </c>
      <c r="CS7" s="40">
        <v>99311</v>
      </c>
      <c r="CT7" s="40">
        <v>99324</v>
      </c>
      <c r="CU7" s="40">
        <v>99362</v>
      </c>
      <c r="CV7" s="40">
        <v>99382</v>
      </c>
      <c r="CW7" s="40">
        <v>99390</v>
      </c>
      <c r="CX7" s="40">
        <v>99439</v>
      </c>
      <c r="CY7" s="40">
        <v>99429</v>
      </c>
      <c r="CZ7" s="40">
        <v>99453</v>
      </c>
      <c r="DA7" s="40">
        <v>99444</v>
      </c>
      <c r="DB7" s="40">
        <v>99484</v>
      </c>
      <c r="DC7" s="40">
        <v>99487</v>
      </c>
      <c r="DD7" s="40">
        <v>99495</v>
      </c>
      <c r="DE7" s="40">
        <v>99492</v>
      </c>
      <c r="DF7" s="40">
        <v>99534</v>
      </c>
      <c r="DG7" s="40">
        <v>99540</v>
      </c>
      <c r="DH7" s="40">
        <v>99546</v>
      </c>
      <c r="DI7" s="40">
        <v>99552</v>
      </c>
      <c r="DJ7" s="40">
        <v>99585</v>
      </c>
      <c r="DK7" s="40">
        <v>99584</v>
      </c>
      <c r="DL7" s="40">
        <v>99587</v>
      </c>
      <c r="DM7" s="40">
        <v>99606</v>
      </c>
      <c r="DN7" s="40">
        <v>99625</v>
      </c>
      <c r="DO7" s="40">
        <v>99643</v>
      </c>
    </row>
    <row r="8" spans="1:119">
      <c r="A8" s="40">
        <v>6</v>
      </c>
      <c r="B8" s="40"/>
      <c r="C8" s="40"/>
      <c r="D8" s="40"/>
      <c r="E8" s="40"/>
      <c r="F8" s="40"/>
      <c r="G8" s="40"/>
      <c r="H8" s="40"/>
      <c r="I8" s="40"/>
      <c r="J8" s="40"/>
      <c r="K8" s="40"/>
      <c r="L8" s="40"/>
      <c r="M8" s="40"/>
      <c r="N8" s="40"/>
      <c r="O8" s="40"/>
      <c r="P8" s="40"/>
      <c r="Q8" s="40"/>
      <c r="R8" s="40"/>
      <c r="S8" s="40"/>
      <c r="T8" s="40"/>
      <c r="U8" s="40"/>
      <c r="V8" s="40"/>
      <c r="W8" s="40">
        <v>81919</v>
      </c>
      <c r="X8" s="40">
        <v>82717</v>
      </c>
      <c r="Y8" s="40">
        <v>82842</v>
      </c>
      <c r="Z8" s="40">
        <v>85211</v>
      </c>
      <c r="AA8" s="40">
        <v>85446</v>
      </c>
      <c r="AB8" s="40">
        <v>86017</v>
      </c>
      <c r="AC8" s="40">
        <v>86752</v>
      </c>
      <c r="AD8" s="40">
        <v>87636</v>
      </c>
      <c r="AE8" s="40">
        <v>87364</v>
      </c>
      <c r="AF8" s="40">
        <v>88579</v>
      </c>
      <c r="AG8" s="40">
        <v>88855</v>
      </c>
      <c r="AH8" s="40">
        <v>89160</v>
      </c>
      <c r="AI8" s="40">
        <v>89313</v>
      </c>
      <c r="AJ8" s="40">
        <v>90493</v>
      </c>
      <c r="AK8" s="40">
        <v>90326</v>
      </c>
      <c r="AL8" s="40">
        <v>90569</v>
      </c>
      <c r="AM8" s="40">
        <v>90762</v>
      </c>
      <c r="AN8" s="40">
        <v>91099</v>
      </c>
      <c r="AO8" s="40">
        <v>90890</v>
      </c>
      <c r="AP8" s="40">
        <v>90752</v>
      </c>
      <c r="AQ8" s="40">
        <v>90733</v>
      </c>
      <c r="AR8" s="40">
        <v>90662</v>
      </c>
      <c r="AS8" s="40">
        <v>89985</v>
      </c>
      <c r="AT8" s="40">
        <v>89075</v>
      </c>
      <c r="AU8" s="40">
        <v>87636</v>
      </c>
      <c r="AV8" s="40">
        <v>88177</v>
      </c>
      <c r="AW8" s="40">
        <v>88488</v>
      </c>
      <c r="AX8" s="40">
        <v>90849</v>
      </c>
      <c r="AY8" s="40">
        <v>92863</v>
      </c>
      <c r="AZ8" s="40">
        <v>92916</v>
      </c>
      <c r="BA8" s="40">
        <v>92986</v>
      </c>
      <c r="BB8" s="40">
        <v>93725</v>
      </c>
      <c r="BC8" s="40">
        <v>93964</v>
      </c>
      <c r="BD8" s="40">
        <v>94432</v>
      </c>
      <c r="BE8" s="40">
        <v>94495</v>
      </c>
      <c r="BF8" s="40">
        <v>94870</v>
      </c>
      <c r="BG8" s="40">
        <v>94904</v>
      </c>
      <c r="BH8" s="40">
        <v>95200</v>
      </c>
      <c r="BI8" s="40">
        <v>95450</v>
      </c>
      <c r="BJ8" s="40">
        <v>95525</v>
      </c>
      <c r="BK8" s="40">
        <v>95844</v>
      </c>
      <c r="BL8" s="40">
        <v>96126</v>
      </c>
      <c r="BM8" s="40">
        <v>96385</v>
      </c>
      <c r="BN8" s="40">
        <v>96647</v>
      </c>
      <c r="BO8" s="40">
        <v>96836</v>
      </c>
      <c r="BP8" s="40">
        <v>96890</v>
      </c>
      <c r="BQ8" s="40">
        <v>96981</v>
      </c>
      <c r="BR8" s="40">
        <v>97031</v>
      </c>
      <c r="BS8" s="40">
        <v>96978</v>
      </c>
      <c r="BT8" s="40">
        <v>97058</v>
      </c>
      <c r="BU8" s="40">
        <v>97128</v>
      </c>
      <c r="BV8" s="40">
        <v>97219</v>
      </c>
      <c r="BW8" s="40">
        <v>97237</v>
      </c>
      <c r="BX8" s="40">
        <v>97361</v>
      </c>
      <c r="BY8" s="40">
        <v>97538</v>
      </c>
      <c r="BZ8" s="40">
        <v>97837</v>
      </c>
      <c r="CA8" s="40">
        <v>98012</v>
      </c>
      <c r="CB8" s="40">
        <v>98083</v>
      </c>
      <c r="CC8" s="40">
        <v>98244</v>
      </c>
      <c r="CD8" s="40">
        <v>98327</v>
      </c>
      <c r="CE8" s="40">
        <v>98396</v>
      </c>
      <c r="CF8" s="40">
        <v>98547</v>
      </c>
      <c r="CG8" s="40">
        <v>98609</v>
      </c>
      <c r="CH8" s="40">
        <v>98696</v>
      </c>
      <c r="CI8" s="40">
        <v>98771</v>
      </c>
      <c r="CJ8" s="40">
        <v>98794</v>
      </c>
      <c r="CK8" s="40">
        <v>98846</v>
      </c>
      <c r="CL8" s="40">
        <v>98943</v>
      </c>
      <c r="CM8" s="40">
        <v>98952</v>
      </c>
      <c r="CN8" s="40">
        <v>99021</v>
      </c>
      <c r="CO8" s="40">
        <v>99123</v>
      </c>
      <c r="CP8" s="40">
        <v>99164</v>
      </c>
      <c r="CQ8" s="40">
        <v>99227</v>
      </c>
      <c r="CR8" s="40">
        <v>99247</v>
      </c>
      <c r="CS8" s="40">
        <v>99297</v>
      </c>
      <c r="CT8" s="40">
        <v>99309</v>
      </c>
      <c r="CU8" s="40">
        <v>99349</v>
      </c>
      <c r="CV8" s="40">
        <v>99369</v>
      </c>
      <c r="CW8" s="40">
        <v>99376</v>
      </c>
      <c r="CX8" s="40">
        <v>99429</v>
      </c>
      <c r="CY8" s="40">
        <v>99413</v>
      </c>
      <c r="CZ8" s="40">
        <v>99442</v>
      </c>
      <c r="DA8" s="40">
        <v>99433</v>
      </c>
      <c r="DB8" s="40">
        <v>99473</v>
      </c>
      <c r="DC8" s="40">
        <v>99475</v>
      </c>
      <c r="DD8" s="40">
        <v>99484</v>
      </c>
      <c r="DE8" s="40">
        <v>99481</v>
      </c>
      <c r="DF8" s="40">
        <v>99525</v>
      </c>
      <c r="DG8" s="40">
        <v>99531</v>
      </c>
      <c r="DH8" s="40">
        <v>99536</v>
      </c>
      <c r="DI8" s="40">
        <v>99543</v>
      </c>
      <c r="DJ8" s="40">
        <v>99577</v>
      </c>
      <c r="DK8" s="40">
        <v>99575</v>
      </c>
      <c r="DL8" s="40">
        <v>99579</v>
      </c>
      <c r="DM8" s="40">
        <v>99599</v>
      </c>
      <c r="DN8" s="40">
        <v>99618</v>
      </c>
      <c r="DO8" s="40">
        <v>99636</v>
      </c>
    </row>
    <row r="9" spans="1:119">
      <c r="A9" s="40">
        <v>7</v>
      </c>
      <c r="B9" s="40"/>
      <c r="C9" s="40"/>
      <c r="D9" s="40"/>
      <c r="E9" s="40"/>
      <c r="F9" s="40"/>
      <c r="G9" s="40"/>
      <c r="H9" s="40"/>
      <c r="I9" s="40"/>
      <c r="J9" s="40"/>
      <c r="K9" s="40"/>
      <c r="L9" s="40"/>
      <c r="M9" s="40"/>
      <c r="N9" s="40"/>
      <c r="O9" s="40"/>
      <c r="P9" s="40"/>
      <c r="Q9" s="40"/>
      <c r="R9" s="40"/>
      <c r="S9" s="40"/>
      <c r="T9" s="40"/>
      <c r="U9" s="40"/>
      <c r="V9" s="40"/>
      <c r="W9" s="40">
        <v>81745</v>
      </c>
      <c r="X9" s="40">
        <v>82529</v>
      </c>
      <c r="Y9" s="40">
        <v>82621</v>
      </c>
      <c r="Z9" s="40">
        <v>84982</v>
      </c>
      <c r="AA9" s="40">
        <v>85248</v>
      </c>
      <c r="AB9" s="40">
        <v>85834</v>
      </c>
      <c r="AC9" s="40">
        <v>86567</v>
      </c>
      <c r="AD9" s="40">
        <v>87450</v>
      </c>
      <c r="AE9" s="40">
        <v>87145</v>
      </c>
      <c r="AF9" s="40">
        <v>88353</v>
      </c>
      <c r="AG9" s="40">
        <v>88645</v>
      </c>
      <c r="AH9" s="40">
        <v>88962</v>
      </c>
      <c r="AI9" s="40">
        <v>89098</v>
      </c>
      <c r="AJ9" s="40">
        <v>90275</v>
      </c>
      <c r="AK9" s="40">
        <v>90108</v>
      </c>
      <c r="AL9" s="40">
        <v>90351</v>
      </c>
      <c r="AM9" s="40">
        <v>90522</v>
      </c>
      <c r="AN9" s="40">
        <v>90825</v>
      </c>
      <c r="AO9" s="40">
        <v>90562</v>
      </c>
      <c r="AP9" s="40">
        <v>90579</v>
      </c>
      <c r="AQ9" s="40">
        <v>90560</v>
      </c>
      <c r="AR9" s="40">
        <v>90552</v>
      </c>
      <c r="AS9" s="40">
        <v>89894</v>
      </c>
      <c r="AT9" s="40">
        <v>88985</v>
      </c>
      <c r="AU9" s="40">
        <v>87547</v>
      </c>
      <c r="AV9" s="40">
        <v>88102</v>
      </c>
      <c r="AW9" s="40">
        <v>88417</v>
      </c>
      <c r="AX9" s="40">
        <v>90778</v>
      </c>
      <c r="AY9" s="40">
        <v>92789</v>
      </c>
      <c r="AZ9" s="40">
        <v>92839</v>
      </c>
      <c r="BA9" s="40">
        <v>92916</v>
      </c>
      <c r="BB9" s="40">
        <v>93661</v>
      </c>
      <c r="BC9" s="40">
        <v>93904</v>
      </c>
      <c r="BD9" s="40">
        <v>94362</v>
      </c>
      <c r="BE9" s="40">
        <v>94427</v>
      </c>
      <c r="BF9" s="40">
        <v>94807</v>
      </c>
      <c r="BG9" s="40">
        <v>94842</v>
      </c>
      <c r="BH9" s="40">
        <v>95141</v>
      </c>
      <c r="BI9" s="40">
        <v>95388</v>
      </c>
      <c r="BJ9" s="40">
        <v>95463</v>
      </c>
      <c r="BK9" s="40">
        <v>95778</v>
      </c>
      <c r="BL9" s="40">
        <v>96061</v>
      </c>
      <c r="BM9" s="40">
        <v>96323</v>
      </c>
      <c r="BN9" s="40">
        <v>96584</v>
      </c>
      <c r="BO9" s="40">
        <v>96770</v>
      </c>
      <c r="BP9" s="40">
        <v>96829</v>
      </c>
      <c r="BQ9" s="40">
        <v>96931</v>
      </c>
      <c r="BR9" s="40">
        <v>96976</v>
      </c>
      <c r="BS9" s="40">
        <v>96929</v>
      </c>
      <c r="BT9" s="40">
        <v>97009</v>
      </c>
      <c r="BU9" s="40">
        <v>97083</v>
      </c>
      <c r="BV9" s="40">
        <v>97171</v>
      </c>
      <c r="BW9" s="40">
        <v>97198</v>
      </c>
      <c r="BX9" s="40">
        <v>97321</v>
      </c>
      <c r="BY9" s="40">
        <v>97501</v>
      </c>
      <c r="BZ9" s="40">
        <v>97805</v>
      </c>
      <c r="CA9" s="40">
        <v>97981</v>
      </c>
      <c r="CB9" s="40">
        <v>98057</v>
      </c>
      <c r="CC9" s="40">
        <v>98215</v>
      </c>
      <c r="CD9" s="40">
        <v>98301</v>
      </c>
      <c r="CE9" s="40">
        <v>98370</v>
      </c>
      <c r="CF9" s="40">
        <v>98520</v>
      </c>
      <c r="CG9" s="40">
        <v>98589</v>
      </c>
      <c r="CH9" s="40">
        <v>98673</v>
      </c>
      <c r="CI9" s="40">
        <v>98751</v>
      </c>
      <c r="CJ9" s="40">
        <v>98774</v>
      </c>
      <c r="CK9" s="40">
        <v>98824</v>
      </c>
      <c r="CL9" s="40">
        <v>98928</v>
      </c>
      <c r="CM9" s="40">
        <v>98934</v>
      </c>
      <c r="CN9" s="40">
        <v>99005</v>
      </c>
      <c r="CO9" s="40">
        <v>99107</v>
      </c>
      <c r="CP9" s="40">
        <v>99151</v>
      </c>
      <c r="CQ9" s="40">
        <v>99211</v>
      </c>
      <c r="CR9" s="40">
        <v>99231</v>
      </c>
      <c r="CS9" s="40">
        <v>99286</v>
      </c>
      <c r="CT9" s="40">
        <v>99295</v>
      </c>
      <c r="CU9" s="40">
        <v>99338</v>
      </c>
      <c r="CV9" s="40">
        <v>99358</v>
      </c>
      <c r="CW9" s="40">
        <v>99365</v>
      </c>
      <c r="CX9" s="40">
        <v>99421</v>
      </c>
      <c r="CY9" s="40">
        <v>99401</v>
      </c>
      <c r="CZ9" s="40">
        <v>99431</v>
      </c>
      <c r="DA9" s="40">
        <v>99425</v>
      </c>
      <c r="DB9" s="40">
        <v>99461</v>
      </c>
      <c r="DC9" s="40">
        <v>99465</v>
      </c>
      <c r="DD9" s="40">
        <v>99476</v>
      </c>
      <c r="DE9" s="40">
        <v>99472</v>
      </c>
      <c r="DF9" s="40">
        <v>99515</v>
      </c>
      <c r="DG9" s="40">
        <v>99523</v>
      </c>
      <c r="DH9" s="40">
        <v>99528</v>
      </c>
      <c r="DI9" s="40">
        <v>99535</v>
      </c>
      <c r="DJ9" s="40">
        <v>99569</v>
      </c>
      <c r="DK9" s="40">
        <v>99568</v>
      </c>
      <c r="DL9" s="40">
        <v>99572</v>
      </c>
      <c r="DM9" s="40">
        <v>99592</v>
      </c>
      <c r="DN9" s="40">
        <v>99611</v>
      </c>
      <c r="DO9" s="40">
        <v>99630</v>
      </c>
    </row>
    <row r="10" spans="1:119">
      <c r="A10" s="40">
        <v>8</v>
      </c>
      <c r="B10" s="40"/>
      <c r="C10" s="40"/>
      <c r="D10" s="40"/>
      <c r="E10" s="40"/>
      <c r="F10" s="40"/>
      <c r="G10" s="40"/>
      <c r="H10" s="40"/>
      <c r="I10" s="40"/>
      <c r="J10" s="40"/>
      <c r="K10" s="40"/>
      <c r="L10" s="40"/>
      <c r="M10" s="40"/>
      <c r="N10" s="40"/>
      <c r="O10" s="40"/>
      <c r="P10" s="40"/>
      <c r="Q10" s="40"/>
      <c r="R10" s="40"/>
      <c r="S10" s="40"/>
      <c r="T10" s="40"/>
      <c r="U10" s="40"/>
      <c r="V10" s="40"/>
      <c r="W10" s="40">
        <v>81582</v>
      </c>
      <c r="X10" s="40">
        <v>82347</v>
      </c>
      <c r="Y10" s="40">
        <v>82448</v>
      </c>
      <c r="Z10" s="40">
        <v>84829</v>
      </c>
      <c r="AA10" s="40">
        <v>85081</v>
      </c>
      <c r="AB10" s="40">
        <v>85666</v>
      </c>
      <c r="AC10" s="40">
        <v>86397</v>
      </c>
      <c r="AD10" s="40">
        <v>87249</v>
      </c>
      <c r="AE10" s="40">
        <v>86954</v>
      </c>
      <c r="AF10" s="40">
        <v>88177</v>
      </c>
      <c r="AG10" s="40">
        <v>88468</v>
      </c>
      <c r="AH10" s="40">
        <v>88775</v>
      </c>
      <c r="AI10" s="40">
        <v>88911</v>
      </c>
      <c r="AJ10" s="40">
        <v>90086</v>
      </c>
      <c r="AK10" s="40">
        <v>89919</v>
      </c>
      <c r="AL10" s="40">
        <v>90143</v>
      </c>
      <c r="AM10" s="40">
        <v>90284</v>
      </c>
      <c r="AN10" s="40">
        <v>90539</v>
      </c>
      <c r="AO10" s="40">
        <v>90411</v>
      </c>
      <c r="AP10" s="40">
        <v>90429</v>
      </c>
      <c r="AQ10" s="40">
        <v>90442</v>
      </c>
      <c r="AR10" s="40">
        <v>90467</v>
      </c>
      <c r="AS10" s="40">
        <v>89809</v>
      </c>
      <c r="AT10" s="40">
        <v>88901</v>
      </c>
      <c r="AU10" s="40">
        <v>87483</v>
      </c>
      <c r="AV10" s="40">
        <v>88034</v>
      </c>
      <c r="AW10" s="40">
        <v>88352</v>
      </c>
      <c r="AX10" s="40">
        <v>90718</v>
      </c>
      <c r="AY10" s="40">
        <v>92722</v>
      </c>
      <c r="AZ10" s="40">
        <v>92770</v>
      </c>
      <c r="BA10" s="40">
        <v>92858</v>
      </c>
      <c r="BB10" s="40">
        <v>93596</v>
      </c>
      <c r="BC10" s="40">
        <v>93847</v>
      </c>
      <c r="BD10" s="40">
        <v>94309</v>
      </c>
      <c r="BE10" s="40">
        <v>94375</v>
      </c>
      <c r="BF10" s="40">
        <v>94746</v>
      </c>
      <c r="BG10" s="40">
        <v>94790</v>
      </c>
      <c r="BH10" s="40">
        <v>95081</v>
      </c>
      <c r="BI10" s="40">
        <v>95330</v>
      </c>
      <c r="BJ10" s="40">
        <v>95401</v>
      </c>
      <c r="BK10" s="40">
        <v>95725</v>
      </c>
      <c r="BL10" s="40">
        <v>96003</v>
      </c>
      <c r="BM10" s="40">
        <v>96266</v>
      </c>
      <c r="BN10" s="40">
        <v>96528</v>
      </c>
      <c r="BO10" s="40">
        <v>96713</v>
      </c>
      <c r="BP10" s="40">
        <v>96777</v>
      </c>
      <c r="BQ10" s="40">
        <v>96883</v>
      </c>
      <c r="BR10" s="40">
        <v>96930</v>
      </c>
      <c r="BS10" s="40">
        <v>96883</v>
      </c>
      <c r="BT10" s="40">
        <v>96965</v>
      </c>
      <c r="BU10" s="40">
        <v>97041</v>
      </c>
      <c r="BV10" s="40">
        <v>97128</v>
      </c>
      <c r="BW10" s="40">
        <v>97160</v>
      </c>
      <c r="BX10" s="40">
        <v>97283</v>
      </c>
      <c r="BY10" s="40">
        <v>97468</v>
      </c>
      <c r="BZ10" s="40">
        <v>97776</v>
      </c>
      <c r="CA10" s="40">
        <v>97954</v>
      </c>
      <c r="CB10" s="40">
        <v>98027</v>
      </c>
      <c r="CC10" s="40">
        <v>98189</v>
      </c>
      <c r="CD10" s="40">
        <v>98276</v>
      </c>
      <c r="CE10" s="40">
        <v>98342</v>
      </c>
      <c r="CF10" s="40">
        <v>98498</v>
      </c>
      <c r="CG10" s="40">
        <v>98562</v>
      </c>
      <c r="CH10" s="40">
        <v>98655</v>
      </c>
      <c r="CI10" s="40">
        <v>98733</v>
      </c>
      <c r="CJ10" s="40">
        <v>98756</v>
      </c>
      <c r="CK10" s="40">
        <v>98806</v>
      </c>
      <c r="CL10" s="40">
        <v>98911</v>
      </c>
      <c r="CM10" s="40">
        <v>98923</v>
      </c>
      <c r="CN10" s="40">
        <v>98992</v>
      </c>
      <c r="CO10" s="40">
        <v>99093</v>
      </c>
      <c r="CP10" s="40">
        <v>99138</v>
      </c>
      <c r="CQ10" s="40">
        <v>99200</v>
      </c>
      <c r="CR10" s="40">
        <v>99220</v>
      </c>
      <c r="CS10" s="40">
        <v>99273</v>
      </c>
      <c r="CT10" s="40">
        <v>99282</v>
      </c>
      <c r="CU10" s="40">
        <v>99329</v>
      </c>
      <c r="CV10" s="40">
        <v>99347</v>
      </c>
      <c r="CW10" s="40">
        <v>99355</v>
      </c>
      <c r="CX10" s="40">
        <v>99409</v>
      </c>
      <c r="CY10" s="40">
        <v>99394</v>
      </c>
      <c r="CZ10" s="40">
        <v>99422</v>
      </c>
      <c r="DA10" s="40">
        <v>99419</v>
      </c>
      <c r="DB10" s="40">
        <v>99452</v>
      </c>
      <c r="DC10" s="40">
        <v>99454</v>
      </c>
      <c r="DD10" s="40">
        <v>99469</v>
      </c>
      <c r="DE10" s="40">
        <v>99464</v>
      </c>
      <c r="DF10" s="40">
        <v>99508</v>
      </c>
      <c r="DG10" s="40">
        <v>99515</v>
      </c>
      <c r="DH10" s="40">
        <v>99521</v>
      </c>
      <c r="DI10" s="40">
        <v>99528</v>
      </c>
      <c r="DJ10" s="40">
        <v>99562</v>
      </c>
      <c r="DK10" s="40">
        <v>99562</v>
      </c>
      <c r="DL10" s="40">
        <v>99566</v>
      </c>
      <c r="DM10" s="40">
        <v>99586</v>
      </c>
      <c r="DN10" s="40">
        <v>99606</v>
      </c>
      <c r="DO10" s="40">
        <v>99624</v>
      </c>
    </row>
    <row r="11" spans="1:119">
      <c r="A11" s="40">
        <v>9</v>
      </c>
      <c r="B11" s="40"/>
      <c r="C11" s="40"/>
      <c r="D11" s="40"/>
      <c r="E11" s="40"/>
      <c r="F11" s="40"/>
      <c r="G11" s="40"/>
      <c r="H11" s="40"/>
      <c r="I11" s="40"/>
      <c r="J11" s="40"/>
      <c r="K11" s="40"/>
      <c r="L11" s="40"/>
      <c r="M11" s="40"/>
      <c r="N11" s="40"/>
      <c r="O11" s="40"/>
      <c r="P11" s="40"/>
      <c r="Q11" s="40"/>
      <c r="R11" s="40"/>
      <c r="S11" s="40"/>
      <c r="T11" s="40"/>
      <c r="U11" s="40"/>
      <c r="V11" s="40"/>
      <c r="W11" s="40">
        <v>81421</v>
      </c>
      <c r="X11" s="40">
        <v>82195</v>
      </c>
      <c r="Y11" s="40">
        <v>82317</v>
      </c>
      <c r="Z11" s="40">
        <v>84682</v>
      </c>
      <c r="AA11" s="40">
        <v>84934</v>
      </c>
      <c r="AB11" s="40">
        <v>85517</v>
      </c>
      <c r="AC11" s="40">
        <v>86222</v>
      </c>
      <c r="AD11" s="40">
        <v>87080</v>
      </c>
      <c r="AE11" s="40">
        <v>86800</v>
      </c>
      <c r="AF11" s="40">
        <v>88021</v>
      </c>
      <c r="AG11" s="40">
        <v>88304</v>
      </c>
      <c r="AH11" s="40">
        <v>88611</v>
      </c>
      <c r="AI11" s="40">
        <v>88747</v>
      </c>
      <c r="AJ11" s="40">
        <v>89919</v>
      </c>
      <c r="AK11" s="40">
        <v>89736</v>
      </c>
      <c r="AL11" s="40">
        <v>89934</v>
      </c>
      <c r="AM11" s="40">
        <v>90033</v>
      </c>
      <c r="AN11" s="40">
        <v>90403</v>
      </c>
      <c r="AO11" s="40">
        <v>90276</v>
      </c>
      <c r="AP11" s="40">
        <v>90323</v>
      </c>
      <c r="AQ11" s="40">
        <v>90370</v>
      </c>
      <c r="AR11" s="40">
        <v>90395</v>
      </c>
      <c r="AS11" s="40">
        <v>89738</v>
      </c>
      <c r="AT11" s="40">
        <v>88842</v>
      </c>
      <c r="AU11" s="40">
        <v>87425</v>
      </c>
      <c r="AV11" s="40">
        <v>87976</v>
      </c>
      <c r="AW11" s="40">
        <v>88305</v>
      </c>
      <c r="AX11" s="40">
        <v>90661</v>
      </c>
      <c r="AY11" s="40">
        <v>92662</v>
      </c>
      <c r="AZ11" s="40">
        <v>92717</v>
      </c>
      <c r="BA11" s="40">
        <v>92802</v>
      </c>
      <c r="BB11" s="40">
        <v>93545</v>
      </c>
      <c r="BC11" s="40">
        <v>93789</v>
      </c>
      <c r="BD11" s="40">
        <v>94255</v>
      </c>
      <c r="BE11" s="40">
        <v>94323</v>
      </c>
      <c r="BF11" s="40">
        <v>94694</v>
      </c>
      <c r="BG11" s="40">
        <v>94734</v>
      </c>
      <c r="BH11" s="40">
        <v>95026</v>
      </c>
      <c r="BI11" s="40">
        <v>95275</v>
      </c>
      <c r="BJ11" s="40">
        <v>95351</v>
      </c>
      <c r="BK11" s="40">
        <v>95675</v>
      </c>
      <c r="BL11" s="40">
        <v>95948</v>
      </c>
      <c r="BM11" s="40">
        <v>96213</v>
      </c>
      <c r="BN11" s="40">
        <v>96478</v>
      </c>
      <c r="BO11" s="40">
        <v>96673</v>
      </c>
      <c r="BP11" s="40">
        <v>96735</v>
      </c>
      <c r="BQ11" s="40">
        <v>96838</v>
      </c>
      <c r="BR11" s="40">
        <v>96893</v>
      </c>
      <c r="BS11" s="40">
        <v>96848</v>
      </c>
      <c r="BT11" s="40">
        <v>96922</v>
      </c>
      <c r="BU11" s="40">
        <v>97007</v>
      </c>
      <c r="BV11" s="40">
        <v>97091</v>
      </c>
      <c r="BW11" s="40">
        <v>97127</v>
      </c>
      <c r="BX11" s="40">
        <v>97253</v>
      </c>
      <c r="BY11" s="40">
        <v>97439</v>
      </c>
      <c r="BZ11" s="40">
        <v>97751</v>
      </c>
      <c r="CA11" s="40">
        <v>97927</v>
      </c>
      <c r="CB11" s="40">
        <v>97999</v>
      </c>
      <c r="CC11" s="40">
        <v>98169</v>
      </c>
      <c r="CD11" s="40">
        <v>98252</v>
      </c>
      <c r="CE11" s="40">
        <v>98314</v>
      </c>
      <c r="CF11" s="40">
        <v>98473</v>
      </c>
      <c r="CG11" s="40">
        <v>98542</v>
      </c>
      <c r="CH11" s="40">
        <v>98638</v>
      </c>
      <c r="CI11" s="40">
        <v>98716</v>
      </c>
      <c r="CJ11" s="40">
        <v>98742</v>
      </c>
      <c r="CK11" s="40">
        <v>98792</v>
      </c>
      <c r="CL11" s="40">
        <v>98898</v>
      </c>
      <c r="CM11" s="40">
        <v>98908</v>
      </c>
      <c r="CN11" s="40">
        <v>98977</v>
      </c>
      <c r="CO11" s="40">
        <v>99077</v>
      </c>
      <c r="CP11" s="40">
        <v>99128</v>
      </c>
      <c r="CQ11" s="40">
        <v>99191</v>
      </c>
      <c r="CR11" s="40">
        <v>99207</v>
      </c>
      <c r="CS11" s="40">
        <v>99259</v>
      </c>
      <c r="CT11" s="40">
        <v>99271</v>
      </c>
      <c r="CU11" s="40">
        <v>99319</v>
      </c>
      <c r="CV11" s="40">
        <v>99337</v>
      </c>
      <c r="CW11" s="40">
        <v>99342</v>
      </c>
      <c r="CX11" s="40">
        <v>99402</v>
      </c>
      <c r="CY11" s="40">
        <v>99387</v>
      </c>
      <c r="CZ11" s="40">
        <v>99412</v>
      </c>
      <c r="DA11" s="40">
        <v>99409</v>
      </c>
      <c r="DB11" s="40">
        <v>99444</v>
      </c>
      <c r="DC11" s="40">
        <v>99447</v>
      </c>
      <c r="DD11" s="40">
        <v>99462</v>
      </c>
      <c r="DE11" s="40">
        <v>99456</v>
      </c>
      <c r="DF11" s="40">
        <v>99500</v>
      </c>
      <c r="DG11" s="40">
        <v>99508</v>
      </c>
      <c r="DH11" s="40">
        <v>99514</v>
      </c>
      <c r="DI11" s="40">
        <v>99522</v>
      </c>
      <c r="DJ11" s="40">
        <v>99557</v>
      </c>
      <c r="DK11" s="40">
        <v>99556</v>
      </c>
      <c r="DL11" s="40">
        <v>99560</v>
      </c>
      <c r="DM11" s="40">
        <v>99581</v>
      </c>
      <c r="DN11" s="40">
        <v>99601</v>
      </c>
      <c r="DO11" s="40">
        <v>99619</v>
      </c>
    </row>
    <row r="12" spans="1:119">
      <c r="A12" s="40">
        <v>10</v>
      </c>
      <c r="B12" s="40"/>
      <c r="C12" s="40"/>
      <c r="D12" s="40"/>
      <c r="E12" s="40"/>
      <c r="F12" s="40"/>
      <c r="G12" s="40"/>
      <c r="H12" s="40"/>
      <c r="I12" s="40"/>
      <c r="J12" s="40"/>
      <c r="K12" s="40"/>
      <c r="L12" s="40"/>
      <c r="M12" s="40"/>
      <c r="N12" s="40"/>
      <c r="O12" s="40"/>
      <c r="P12" s="40"/>
      <c r="Q12" s="40"/>
      <c r="R12" s="40"/>
      <c r="S12" s="40"/>
      <c r="T12" s="40"/>
      <c r="U12" s="40"/>
      <c r="V12" s="40"/>
      <c r="W12" s="40">
        <v>81289</v>
      </c>
      <c r="X12" s="40">
        <v>82081</v>
      </c>
      <c r="Y12" s="40">
        <v>82193</v>
      </c>
      <c r="Z12" s="40">
        <v>84555</v>
      </c>
      <c r="AA12" s="40">
        <v>84806</v>
      </c>
      <c r="AB12" s="40">
        <v>85366</v>
      </c>
      <c r="AC12" s="40">
        <v>86076</v>
      </c>
      <c r="AD12" s="40">
        <v>86946</v>
      </c>
      <c r="AE12" s="40">
        <v>86667</v>
      </c>
      <c r="AF12" s="40">
        <v>87879</v>
      </c>
      <c r="AG12" s="40">
        <v>88161</v>
      </c>
      <c r="AH12" s="40">
        <v>88468</v>
      </c>
      <c r="AI12" s="40">
        <v>88603</v>
      </c>
      <c r="AJ12" s="40">
        <v>89759</v>
      </c>
      <c r="AK12" s="40">
        <v>89555</v>
      </c>
      <c r="AL12" s="40">
        <v>89716</v>
      </c>
      <c r="AM12" s="40">
        <v>89903</v>
      </c>
      <c r="AN12" s="40">
        <v>90272</v>
      </c>
      <c r="AO12" s="40">
        <v>90173</v>
      </c>
      <c r="AP12" s="40">
        <v>90255</v>
      </c>
      <c r="AQ12" s="40">
        <v>90303</v>
      </c>
      <c r="AR12" s="40">
        <v>90327</v>
      </c>
      <c r="AS12" s="40">
        <v>89682</v>
      </c>
      <c r="AT12" s="40">
        <v>88793</v>
      </c>
      <c r="AU12" s="40">
        <v>87372</v>
      </c>
      <c r="AV12" s="40">
        <v>87921</v>
      </c>
      <c r="AW12" s="40">
        <v>88253</v>
      </c>
      <c r="AX12" s="40">
        <v>90612</v>
      </c>
      <c r="AY12" s="40">
        <v>92609</v>
      </c>
      <c r="AZ12" s="40">
        <v>92663</v>
      </c>
      <c r="BA12" s="40">
        <v>92758</v>
      </c>
      <c r="BB12" s="40">
        <v>93493</v>
      </c>
      <c r="BC12" s="40">
        <v>93743</v>
      </c>
      <c r="BD12" s="40">
        <v>94204</v>
      </c>
      <c r="BE12" s="40">
        <v>94275</v>
      </c>
      <c r="BF12" s="40">
        <v>94648</v>
      </c>
      <c r="BG12" s="40">
        <v>94688</v>
      </c>
      <c r="BH12" s="40">
        <v>94978</v>
      </c>
      <c r="BI12" s="40">
        <v>95228</v>
      </c>
      <c r="BJ12" s="40">
        <v>95304</v>
      </c>
      <c r="BK12" s="40">
        <v>95627</v>
      </c>
      <c r="BL12" s="40">
        <v>95905</v>
      </c>
      <c r="BM12" s="40">
        <v>96167</v>
      </c>
      <c r="BN12" s="40">
        <v>96437</v>
      </c>
      <c r="BO12" s="40">
        <v>96636</v>
      </c>
      <c r="BP12" s="40">
        <v>96699</v>
      </c>
      <c r="BQ12" s="40">
        <v>96804</v>
      </c>
      <c r="BR12" s="40">
        <v>96857</v>
      </c>
      <c r="BS12" s="40">
        <v>96813</v>
      </c>
      <c r="BT12" s="40">
        <v>96887</v>
      </c>
      <c r="BU12" s="40">
        <v>96977</v>
      </c>
      <c r="BV12" s="40">
        <v>97062</v>
      </c>
      <c r="BW12" s="40">
        <v>97101</v>
      </c>
      <c r="BX12" s="40">
        <v>97222</v>
      </c>
      <c r="BY12" s="40">
        <v>97418</v>
      </c>
      <c r="BZ12" s="40">
        <v>97732</v>
      </c>
      <c r="CA12" s="40">
        <v>97904</v>
      </c>
      <c r="CB12" s="40">
        <v>97975</v>
      </c>
      <c r="CC12" s="40">
        <v>98145</v>
      </c>
      <c r="CD12" s="40">
        <v>98234</v>
      </c>
      <c r="CE12" s="40">
        <v>98296</v>
      </c>
      <c r="CF12" s="40">
        <v>98455</v>
      </c>
      <c r="CG12" s="40">
        <v>98526</v>
      </c>
      <c r="CH12" s="40">
        <v>98622</v>
      </c>
      <c r="CI12" s="40">
        <v>98701</v>
      </c>
      <c r="CJ12" s="40">
        <v>98727</v>
      </c>
      <c r="CK12" s="40">
        <v>98776</v>
      </c>
      <c r="CL12" s="40">
        <v>98887</v>
      </c>
      <c r="CM12" s="40">
        <v>98896</v>
      </c>
      <c r="CN12" s="40">
        <v>98966</v>
      </c>
      <c r="CO12" s="40">
        <v>99061</v>
      </c>
      <c r="CP12" s="40">
        <v>99118</v>
      </c>
      <c r="CQ12" s="40">
        <v>99181</v>
      </c>
      <c r="CR12" s="40">
        <v>99196</v>
      </c>
      <c r="CS12" s="40">
        <v>99249</v>
      </c>
      <c r="CT12" s="40">
        <v>99261</v>
      </c>
      <c r="CU12" s="40">
        <v>99310</v>
      </c>
      <c r="CV12" s="40">
        <v>99328</v>
      </c>
      <c r="CW12" s="40">
        <v>99334</v>
      </c>
      <c r="CX12" s="40">
        <v>99394</v>
      </c>
      <c r="CY12" s="40">
        <v>99379</v>
      </c>
      <c r="CZ12" s="40">
        <v>99403</v>
      </c>
      <c r="DA12" s="40">
        <v>99399</v>
      </c>
      <c r="DB12" s="40">
        <v>99434</v>
      </c>
      <c r="DC12" s="40">
        <v>99439</v>
      </c>
      <c r="DD12" s="40">
        <v>99455</v>
      </c>
      <c r="DE12" s="40">
        <v>99450</v>
      </c>
      <c r="DF12" s="40">
        <v>99494</v>
      </c>
      <c r="DG12" s="40">
        <v>99502</v>
      </c>
      <c r="DH12" s="40">
        <v>99508</v>
      </c>
      <c r="DI12" s="40">
        <v>99516</v>
      </c>
      <c r="DJ12" s="40">
        <v>99551</v>
      </c>
      <c r="DK12" s="40">
        <v>99551</v>
      </c>
      <c r="DL12" s="40">
        <v>99555</v>
      </c>
      <c r="DM12" s="40">
        <v>99576</v>
      </c>
      <c r="DN12" s="40">
        <v>99596</v>
      </c>
      <c r="DO12" s="40">
        <v>99615</v>
      </c>
    </row>
    <row r="13" spans="1:119">
      <c r="A13" s="40">
        <v>11</v>
      </c>
      <c r="B13" s="40"/>
      <c r="C13" s="40"/>
      <c r="D13" s="40"/>
      <c r="E13" s="40"/>
      <c r="F13" s="40"/>
      <c r="G13" s="40"/>
      <c r="H13" s="40"/>
      <c r="I13" s="40"/>
      <c r="J13" s="40"/>
      <c r="K13" s="40"/>
      <c r="L13" s="40"/>
      <c r="M13" s="40"/>
      <c r="N13" s="40"/>
      <c r="O13" s="40"/>
      <c r="P13" s="40"/>
      <c r="Q13" s="40"/>
      <c r="R13" s="40"/>
      <c r="S13" s="40"/>
      <c r="T13" s="40"/>
      <c r="U13" s="40"/>
      <c r="V13" s="40"/>
      <c r="W13" s="40">
        <v>81190</v>
      </c>
      <c r="X13" s="40">
        <v>81972</v>
      </c>
      <c r="Y13" s="40">
        <v>82084</v>
      </c>
      <c r="Z13" s="40">
        <v>84442</v>
      </c>
      <c r="AA13" s="40">
        <v>84673</v>
      </c>
      <c r="AB13" s="40">
        <v>85239</v>
      </c>
      <c r="AC13" s="40">
        <v>85959</v>
      </c>
      <c r="AD13" s="40">
        <v>86828</v>
      </c>
      <c r="AE13" s="40">
        <v>86543</v>
      </c>
      <c r="AF13" s="40">
        <v>87754</v>
      </c>
      <c r="AG13" s="40">
        <v>88036</v>
      </c>
      <c r="AH13" s="40">
        <v>88342</v>
      </c>
      <c r="AI13" s="40">
        <v>88464</v>
      </c>
      <c r="AJ13" s="40">
        <v>89599</v>
      </c>
      <c r="AK13" s="40">
        <v>89364</v>
      </c>
      <c r="AL13" s="40">
        <v>89587</v>
      </c>
      <c r="AM13" s="40">
        <v>89773</v>
      </c>
      <c r="AN13" s="40">
        <v>90170</v>
      </c>
      <c r="AO13" s="40">
        <v>90110</v>
      </c>
      <c r="AP13" s="40">
        <v>90192</v>
      </c>
      <c r="AQ13" s="40">
        <v>90239</v>
      </c>
      <c r="AR13" s="40">
        <v>90270</v>
      </c>
      <c r="AS13" s="40">
        <v>89635</v>
      </c>
      <c r="AT13" s="40">
        <v>88746</v>
      </c>
      <c r="AU13" s="40">
        <v>87324</v>
      </c>
      <c r="AV13" s="40">
        <v>87877</v>
      </c>
      <c r="AW13" s="40">
        <v>88205</v>
      </c>
      <c r="AX13" s="40">
        <v>90573</v>
      </c>
      <c r="AY13" s="40">
        <v>92563</v>
      </c>
      <c r="AZ13" s="40">
        <v>92625</v>
      </c>
      <c r="BA13" s="40">
        <v>92715</v>
      </c>
      <c r="BB13" s="40">
        <v>93451</v>
      </c>
      <c r="BC13" s="40">
        <v>93700</v>
      </c>
      <c r="BD13" s="40">
        <v>94158</v>
      </c>
      <c r="BE13" s="40">
        <v>94229</v>
      </c>
      <c r="BF13" s="40">
        <v>94600</v>
      </c>
      <c r="BG13" s="40">
        <v>94641</v>
      </c>
      <c r="BH13" s="40">
        <v>94931</v>
      </c>
      <c r="BI13" s="40">
        <v>95178</v>
      </c>
      <c r="BJ13" s="40">
        <v>95259</v>
      </c>
      <c r="BK13" s="40">
        <v>95585</v>
      </c>
      <c r="BL13" s="40">
        <v>95863</v>
      </c>
      <c r="BM13" s="40">
        <v>96131</v>
      </c>
      <c r="BN13" s="40">
        <v>96404</v>
      </c>
      <c r="BO13" s="40">
        <v>96603</v>
      </c>
      <c r="BP13" s="40">
        <v>96666</v>
      </c>
      <c r="BQ13" s="40">
        <v>96772</v>
      </c>
      <c r="BR13" s="40">
        <v>96826</v>
      </c>
      <c r="BS13" s="40">
        <v>96784</v>
      </c>
      <c r="BT13" s="40">
        <v>96856</v>
      </c>
      <c r="BU13" s="40">
        <v>96953</v>
      </c>
      <c r="BV13" s="40">
        <v>97040</v>
      </c>
      <c r="BW13" s="40">
        <v>97077</v>
      </c>
      <c r="BX13" s="40">
        <v>97202</v>
      </c>
      <c r="BY13" s="40">
        <v>97397</v>
      </c>
      <c r="BZ13" s="40">
        <v>97706</v>
      </c>
      <c r="CA13" s="40">
        <v>97883</v>
      </c>
      <c r="CB13" s="40">
        <v>97959</v>
      </c>
      <c r="CC13" s="40">
        <v>98122</v>
      </c>
      <c r="CD13" s="40">
        <v>98216</v>
      </c>
      <c r="CE13" s="40">
        <v>98280</v>
      </c>
      <c r="CF13" s="40">
        <v>98441</v>
      </c>
      <c r="CG13" s="40">
        <v>98510</v>
      </c>
      <c r="CH13" s="40">
        <v>98607</v>
      </c>
      <c r="CI13" s="40">
        <v>98689</v>
      </c>
      <c r="CJ13" s="40">
        <v>98714</v>
      </c>
      <c r="CK13" s="40">
        <v>98762</v>
      </c>
      <c r="CL13" s="40">
        <v>98875</v>
      </c>
      <c r="CM13" s="40">
        <v>98885</v>
      </c>
      <c r="CN13" s="40">
        <v>98954</v>
      </c>
      <c r="CO13" s="40">
        <v>99051</v>
      </c>
      <c r="CP13" s="40">
        <v>99108</v>
      </c>
      <c r="CQ13" s="40">
        <v>99173</v>
      </c>
      <c r="CR13" s="40">
        <v>99188</v>
      </c>
      <c r="CS13" s="40">
        <v>99241</v>
      </c>
      <c r="CT13" s="40">
        <v>99254</v>
      </c>
      <c r="CU13" s="40">
        <v>99299</v>
      </c>
      <c r="CV13" s="40">
        <v>99320</v>
      </c>
      <c r="CW13" s="40">
        <v>99325</v>
      </c>
      <c r="CX13" s="40">
        <v>99385</v>
      </c>
      <c r="CY13" s="40">
        <v>99370</v>
      </c>
      <c r="CZ13" s="40">
        <v>99397</v>
      </c>
      <c r="DA13" s="40">
        <v>99392</v>
      </c>
      <c r="DB13" s="40">
        <v>99428</v>
      </c>
      <c r="DC13" s="40">
        <v>99432</v>
      </c>
      <c r="DD13" s="40">
        <v>99448</v>
      </c>
      <c r="DE13" s="40">
        <v>99443</v>
      </c>
      <c r="DF13" s="40">
        <v>99488</v>
      </c>
      <c r="DG13" s="40">
        <v>99496</v>
      </c>
      <c r="DH13" s="40">
        <v>99503</v>
      </c>
      <c r="DI13" s="40">
        <v>99510</v>
      </c>
      <c r="DJ13" s="40">
        <v>99546</v>
      </c>
      <c r="DK13" s="40">
        <v>99546</v>
      </c>
      <c r="DL13" s="40">
        <v>99550</v>
      </c>
      <c r="DM13" s="40">
        <v>99571</v>
      </c>
      <c r="DN13" s="40">
        <v>99592</v>
      </c>
      <c r="DO13" s="40">
        <v>99611</v>
      </c>
    </row>
    <row r="14" spans="1:119">
      <c r="A14" s="40">
        <v>12</v>
      </c>
      <c r="B14" s="40"/>
      <c r="C14" s="40"/>
      <c r="D14" s="40"/>
      <c r="E14" s="40"/>
      <c r="F14" s="40"/>
      <c r="G14" s="40"/>
      <c r="H14" s="40"/>
      <c r="I14" s="40"/>
      <c r="J14" s="40"/>
      <c r="K14" s="40"/>
      <c r="L14" s="40"/>
      <c r="M14" s="40"/>
      <c r="N14" s="40"/>
      <c r="O14" s="40"/>
      <c r="P14" s="40"/>
      <c r="Q14" s="40"/>
      <c r="R14" s="40"/>
      <c r="S14" s="40"/>
      <c r="T14" s="40"/>
      <c r="U14" s="40"/>
      <c r="V14" s="40"/>
      <c r="W14" s="40">
        <v>81091</v>
      </c>
      <c r="X14" s="40">
        <v>81872</v>
      </c>
      <c r="Y14" s="40">
        <v>81983</v>
      </c>
      <c r="Z14" s="40">
        <v>84321</v>
      </c>
      <c r="AA14" s="40">
        <v>84558</v>
      </c>
      <c r="AB14" s="40">
        <v>85133</v>
      </c>
      <c r="AC14" s="40">
        <v>85853</v>
      </c>
      <c r="AD14" s="40">
        <v>86714</v>
      </c>
      <c r="AE14" s="40">
        <v>86430</v>
      </c>
      <c r="AF14" s="40">
        <v>87639</v>
      </c>
      <c r="AG14" s="40">
        <v>87921</v>
      </c>
      <c r="AH14" s="40">
        <v>88215</v>
      </c>
      <c r="AI14" s="40">
        <v>88320</v>
      </c>
      <c r="AJ14" s="40">
        <v>89424</v>
      </c>
      <c r="AK14" s="40">
        <v>89238</v>
      </c>
      <c r="AL14" s="40">
        <v>89461</v>
      </c>
      <c r="AM14" s="40">
        <v>89674</v>
      </c>
      <c r="AN14" s="40">
        <v>90108</v>
      </c>
      <c r="AO14" s="40">
        <v>90048</v>
      </c>
      <c r="AP14" s="40">
        <v>90129</v>
      </c>
      <c r="AQ14" s="40">
        <v>90181</v>
      </c>
      <c r="AR14" s="40">
        <v>90228</v>
      </c>
      <c r="AS14" s="40">
        <v>89587</v>
      </c>
      <c r="AT14" s="40">
        <v>88696</v>
      </c>
      <c r="AU14" s="40">
        <v>87276</v>
      </c>
      <c r="AV14" s="40">
        <v>87836</v>
      </c>
      <c r="AW14" s="40">
        <v>88165</v>
      </c>
      <c r="AX14" s="40">
        <v>90530</v>
      </c>
      <c r="AY14" s="40">
        <v>92522</v>
      </c>
      <c r="AZ14" s="40">
        <v>92582</v>
      </c>
      <c r="BA14" s="40">
        <v>92675</v>
      </c>
      <c r="BB14" s="40">
        <v>93410</v>
      </c>
      <c r="BC14" s="40">
        <v>93659</v>
      </c>
      <c r="BD14" s="40">
        <v>94115</v>
      </c>
      <c r="BE14" s="40">
        <v>94184</v>
      </c>
      <c r="BF14" s="40">
        <v>94558</v>
      </c>
      <c r="BG14" s="40">
        <v>94600</v>
      </c>
      <c r="BH14" s="40">
        <v>94890</v>
      </c>
      <c r="BI14" s="40">
        <v>95139</v>
      </c>
      <c r="BJ14" s="40">
        <v>95223</v>
      </c>
      <c r="BK14" s="40">
        <v>95546</v>
      </c>
      <c r="BL14" s="40">
        <v>95828</v>
      </c>
      <c r="BM14" s="40">
        <v>96096</v>
      </c>
      <c r="BN14" s="40">
        <v>96368</v>
      </c>
      <c r="BO14" s="40">
        <v>96568</v>
      </c>
      <c r="BP14" s="40">
        <v>96636</v>
      </c>
      <c r="BQ14" s="40">
        <v>96741</v>
      </c>
      <c r="BR14" s="40">
        <v>96799</v>
      </c>
      <c r="BS14" s="40">
        <v>96755</v>
      </c>
      <c r="BT14" s="40">
        <v>96825</v>
      </c>
      <c r="BU14" s="40">
        <v>96927</v>
      </c>
      <c r="BV14" s="40">
        <v>97016</v>
      </c>
      <c r="BW14" s="40">
        <v>97059</v>
      </c>
      <c r="BX14" s="40">
        <v>97179</v>
      </c>
      <c r="BY14" s="40">
        <v>97377</v>
      </c>
      <c r="BZ14" s="40">
        <v>97684</v>
      </c>
      <c r="CA14" s="40">
        <v>97864</v>
      </c>
      <c r="CB14" s="40">
        <v>97935</v>
      </c>
      <c r="CC14" s="40">
        <v>98098</v>
      </c>
      <c r="CD14" s="40">
        <v>98200</v>
      </c>
      <c r="CE14" s="40">
        <v>98264</v>
      </c>
      <c r="CF14" s="40">
        <v>98420</v>
      </c>
      <c r="CG14" s="40">
        <v>98492</v>
      </c>
      <c r="CH14" s="40">
        <v>98594</v>
      </c>
      <c r="CI14" s="40">
        <v>98674</v>
      </c>
      <c r="CJ14" s="40">
        <v>98701</v>
      </c>
      <c r="CK14" s="40">
        <v>98748</v>
      </c>
      <c r="CL14" s="40">
        <v>98860</v>
      </c>
      <c r="CM14" s="40">
        <v>98873</v>
      </c>
      <c r="CN14" s="40">
        <v>98940</v>
      </c>
      <c r="CO14" s="40">
        <v>99037</v>
      </c>
      <c r="CP14" s="40">
        <v>99093</v>
      </c>
      <c r="CQ14" s="40">
        <v>99159</v>
      </c>
      <c r="CR14" s="40">
        <v>99179</v>
      </c>
      <c r="CS14" s="40">
        <v>99233</v>
      </c>
      <c r="CT14" s="40">
        <v>99243</v>
      </c>
      <c r="CU14" s="40">
        <v>99289</v>
      </c>
      <c r="CV14" s="40">
        <v>99312</v>
      </c>
      <c r="CW14" s="40">
        <v>99319</v>
      </c>
      <c r="CX14" s="40">
        <v>99373</v>
      </c>
      <c r="CY14" s="40">
        <v>99363</v>
      </c>
      <c r="CZ14" s="40">
        <v>99389</v>
      </c>
      <c r="DA14" s="40">
        <v>99380</v>
      </c>
      <c r="DB14" s="40">
        <v>99421</v>
      </c>
      <c r="DC14" s="40">
        <v>99425</v>
      </c>
      <c r="DD14" s="40">
        <v>99442</v>
      </c>
      <c r="DE14" s="40">
        <v>99437</v>
      </c>
      <c r="DF14" s="40">
        <v>99482</v>
      </c>
      <c r="DG14" s="40">
        <v>99490</v>
      </c>
      <c r="DH14" s="40">
        <v>99497</v>
      </c>
      <c r="DI14" s="40">
        <v>99505</v>
      </c>
      <c r="DJ14" s="40">
        <v>99541</v>
      </c>
      <c r="DK14" s="40">
        <v>99541</v>
      </c>
      <c r="DL14" s="40">
        <v>99546</v>
      </c>
      <c r="DM14" s="40">
        <v>99567</v>
      </c>
      <c r="DN14" s="40">
        <v>99587</v>
      </c>
      <c r="DO14" s="40">
        <v>99607</v>
      </c>
    </row>
    <row r="15" spans="1:119">
      <c r="A15" s="40">
        <v>13</v>
      </c>
      <c r="B15" s="40"/>
      <c r="C15" s="40"/>
      <c r="D15" s="40"/>
      <c r="E15" s="40"/>
      <c r="F15" s="40"/>
      <c r="G15" s="40"/>
      <c r="H15" s="40"/>
      <c r="I15" s="40"/>
      <c r="J15" s="40"/>
      <c r="K15" s="40"/>
      <c r="L15" s="40"/>
      <c r="M15" s="40"/>
      <c r="N15" s="40"/>
      <c r="O15" s="40"/>
      <c r="P15" s="40"/>
      <c r="Q15" s="40"/>
      <c r="R15" s="40"/>
      <c r="S15" s="40"/>
      <c r="T15" s="40"/>
      <c r="U15" s="40"/>
      <c r="V15" s="40"/>
      <c r="W15" s="40">
        <v>80997</v>
      </c>
      <c r="X15" s="40">
        <v>81777</v>
      </c>
      <c r="Y15" s="40">
        <v>81861</v>
      </c>
      <c r="Z15" s="40">
        <v>84195</v>
      </c>
      <c r="AA15" s="40">
        <v>84439</v>
      </c>
      <c r="AB15" s="40">
        <v>85022</v>
      </c>
      <c r="AC15" s="40">
        <v>85732</v>
      </c>
      <c r="AD15" s="40">
        <v>86593</v>
      </c>
      <c r="AE15" s="40">
        <v>86309</v>
      </c>
      <c r="AF15" s="40">
        <v>87516</v>
      </c>
      <c r="AG15" s="40">
        <v>87786</v>
      </c>
      <c r="AH15" s="40">
        <v>88061</v>
      </c>
      <c r="AI15" s="40">
        <v>88135</v>
      </c>
      <c r="AJ15" s="40">
        <v>89303</v>
      </c>
      <c r="AK15" s="40">
        <v>89117</v>
      </c>
      <c r="AL15" s="40">
        <v>89371</v>
      </c>
      <c r="AM15" s="40">
        <v>89612</v>
      </c>
      <c r="AN15" s="40">
        <v>90045</v>
      </c>
      <c r="AO15" s="40">
        <v>89985</v>
      </c>
      <c r="AP15" s="40">
        <v>90078</v>
      </c>
      <c r="AQ15" s="40">
        <v>90130</v>
      </c>
      <c r="AR15" s="40">
        <v>90181</v>
      </c>
      <c r="AS15" s="40">
        <v>89540</v>
      </c>
      <c r="AT15" s="40">
        <v>88650</v>
      </c>
      <c r="AU15" s="40">
        <v>87234</v>
      </c>
      <c r="AV15" s="40">
        <v>87792</v>
      </c>
      <c r="AW15" s="40">
        <v>88125</v>
      </c>
      <c r="AX15" s="40">
        <v>90493</v>
      </c>
      <c r="AY15" s="40">
        <v>92482</v>
      </c>
      <c r="AZ15" s="40">
        <v>92539</v>
      </c>
      <c r="BA15" s="40">
        <v>92632</v>
      </c>
      <c r="BB15" s="40">
        <v>93369</v>
      </c>
      <c r="BC15" s="40">
        <v>93614</v>
      </c>
      <c r="BD15" s="40">
        <v>94071</v>
      </c>
      <c r="BE15" s="40">
        <v>94141</v>
      </c>
      <c r="BF15" s="40">
        <v>94523</v>
      </c>
      <c r="BG15" s="40">
        <v>94555</v>
      </c>
      <c r="BH15" s="40">
        <v>94841</v>
      </c>
      <c r="BI15" s="40">
        <v>95097</v>
      </c>
      <c r="BJ15" s="40">
        <v>95179</v>
      </c>
      <c r="BK15" s="40">
        <v>95510</v>
      </c>
      <c r="BL15" s="40">
        <v>95790</v>
      </c>
      <c r="BM15" s="40">
        <v>96059</v>
      </c>
      <c r="BN15" s="40">
        <v>96331</v>
      </c>
      <c r="BO15" s="40">
        <v>96534</v>
      </c>
      <c r="BP15" s="40">
        <v>96605</v>
      </c>
      <c r="BQ15" s="40">
        <v>96710</v>
      </c>
      <c r="BR15" s="40">
        <v>96770</v>
      </c>
      <c r="BS15" s="40">
        <v>96731</v>
      </c>
      <c r="BT15" s="40">
        <v>96799</v>
      </c>
      <c r="BU15" s="40">
        <v>96904</v>
      </c>
      <c r="BV15" s="40">
        <v>96992</v>
      </c>
      <c r="BW15" s="40">
        <v>97034</v>
      </c>
      <c r="BX15" s="40">
        <v>97159</v>
      </c>
      <c r="BY15" s="40">
        <v>97357</v>
      </c>
      <c r="BZ15" s="40">
        <v>97664</v>
      </c>
      <c r="CA15" s="40">
        <v>97844</v>
      </c>
      <c r="CB15" s="40">
        <v>97916</v>
      </c>
      <c r="CC15" s="40">
        <v>98077</v>
      </c>
      <c r="CD15" s="40">
        <v>98181</v>
      </c>
      <c r="CE15" s="40">
        <v>98244</v>
      </c>
      <c r="CF15" s="40">
        <v>98405</v>
      </c>
      <c r="CG15" s="40">
        <v>98478</v>
      </c>
      <c r="CH15" s="40">
        <v>98577</v>
      </c>
      <c r="CI15" s="40">
        <v>98661</v>
      </c>
      <c r="CJ15" s="40">
        <v>98685</v>
      </c>
      <c r="CK15" s="40">
        <v>98733</v>
      </c>
      <c r="CL15" s="40">
        <v>98845</v>
      </c>
      <c r="CM15" s="40">
        <v>98856</v>
      </c>
      <c r="CN15" s="40">
        <v>98927</v>
      </c>
      <c r="CO15" s="40">
        <v>99026</v>
      </c>
      <c r="CP15" s="40">
        <v>99080</v>
      </c>
      <c r="CQ15" s="40">
        <v>99145</v>
      </c>
      <c r="CR15" s="40">
        <v>99167</v>
      </c>
      <c r="CS15" s="40">
        <v>99221</v>
      </c>
      <c r="CT15" s="40">
        <v>99235</v>
      </c>
      <c r="CU15" s="40">
        <v>99277</v>
      </c>
      <c r="CV15" s="40">
        <v>99300</v>
      </c>
      <c r="CW15" s="40">
        <v>99308</v>
      </c>
      <c r="CX15" s="40">
        <v>99366</v>
      </c>
      <c r="CY15" s="40">
        <v>99354</v>
      </c>
      <c r="CZ15" s="40">
        <v>99381</v>
      </c>
      <c r="DA15" s="40">
        <v>99372</v>
      </c>
      <c r="DB15" s="40">
        <v>99413</v>
      </c>
      <c r="DC15" s="40">
        <v>99418</v>
      </c>
      <c r="DD15" s="40">
        <v>99435</v>
      </c>
      <c r="DE15" s="40">
        <v>99430</v>
      </c>
      <c r="DF15" s="40">
        <v>99475</v>
      </c>
      <c r="DG15" s="40">
        <v>99484</v>
      </c>
      <c r="DH15" s="40">
        <v>99491</v>
      </c>
      <c r="DI15" s="40">
        <v>99499</v>
      </c>
      <c r="DJ15" s="40">
        <v>99535</v>
      </c>
      <c r="DK15" s="40">
        <v>99535</v>
      </c>
      <c r="DL15" s="40">
        <v>99540</v>
      </c>
      <c r="DM15" s="40">
        <v>99562</v>
      </c>
      <c r="DN15" s="40">
        <v>99582</v>
      </c>
      <c r="DO15" s="40">
        <v>99602</v>
      </c>
    </row>
    <row r="16" spans="1:119">
      <c r="A16" s="40">
        <v>14</v>
      </c>
      <c r="B16" s="40"/>
      <c r="C16" s="40"/>
      <c r="D16" s="40"/>
      <c r="E16" s="40"/>
      <c r="F16" s="40"/>
      <c r="G16" s="40"/>
      <c r="H16" s="40"/>
      <c r="I16" s="40"/>
      <c r="J16" s="40"/>
      <c r="K16" s="40"/>
      <c r="L16" s="40"/>
      <c r="M16" s="40"/>
      <c r="N16" s="40"/>
      <c r="O16" s="40"/>
      <c r="P16" s="40"/>
      <c r="Q16" s="40"/>
      <c r="R16" s="40"/>
      <c r="S16" s="40"/>
      <c r="T16" s="40"/>
      <c r="U16" s="40"/>
      <c r="V16" s="40"/>
      <c r="W16" s="40">
        <v>80901</v>
      </c>
      <c r="X16" s="40">
        <v>81641</v>
      </c>
      <c r="Y16" s="40">
        <v>81728</v>
      </c>
      <c r="Z16" s="40">
        <v>84075</v>
      </c>
      <c r="AA16" s="40">
        <v>84328</v>
      </c>
      <c r="AB16" s="40">
        <v>84901</v>
      </c>
      <c r="AC16" s="40">
        <v>85610</v>
      </c>
      <c r="AD16" s="40">
        <v>86470</v>
      </c>
      <c r="AE16" s="40">
        <v>86186</v>
      </c>
      <c r="AF16" s="40">
        <v>87379</v>
      </c>
      <c r="AG16" s="40">
        <v>87629</v>
      </c>
      <c r="AH16" s="40">
        <v>87873</v>
      </c>
      <c r="AI16" s="40">
        <v>88016</v>
      </c>
      <c r="AJ16" s="40">
        <v>89182</v>
      </c>
      <c r="AK16" s="40">
        <v>89028</v>
      </c>
      <c r="AL16" s="40">
        <v>89302</v>
      </c>
      <c r="AM16" s="40">
        <v>89542</v>
      </c>
      <c r="AN16" s="40">
        <v>89975</v>
      </c>
      <c r="AO16" s="40">
        <v>89930</v>
      </c>
      <c r="AP16" s="40">
        <v>90024</v>
      </c>
      <c r="AQ16" s="40">
        <v>90082</v>
      </c>
      <c r="AR16" s="40">
        <v>90129</v>
      </c>
      <c r="AS16" s="40">
        <v>89490</v>
      </c>
      <c r="AT16" s="40">
        <v>88606</v>
      </c>
      <c r="AU16" s="40">
        <v>87188</v>
      </c>
      <c r="AV16" s="40">
        <v>87746</v>
      </c>
      <c r="AW16" s="40">
        <v>88080</v>
      </c>
      <c r="AX16" s="40">
        <v>90443</v>
      </c>
      <c r="AY16" s="40">
        <v>92440</v>
      </c>
      <c r="AZ16" s="40">
        <v>92494</v>
      </c>
      <c r="BA16" s="40">
        <v>92588</v>
      </c>
      <c r="BB16" s="40">
        <v>93325</v>
      </c>
      <c r="BC16" s="40">
        <v>93566</v>
      </c>
      <c r="BD16" s="40">
        <v>94024</v>
      </c>
      <c r="BE16" s="40">
        <v>94097</v>
      </c>
      <c r="BF16" s="40">
        <v>94477</v>
      </c>
      <c r="BG16" s="40">
        <v>94508</v>
      </c>
      <c r="BH16" s="40">
        <v>94795</v>
      </c>
      <c r="BI16" s="40">
        <v>95055</v>
      </c>
      <c r="BJ16" s="40">
        <v>95136</v>
      </c>
      <c r="BK16" s="40">
        <v>95470</v>
      </c>
      <c r="BL16" s="40">
        <v>95754</v>
      </c>
      <c r="BM16" s="40">
        <v>96023</v>
      </c>
      <c r="BN16" s="40">
        <v>96293</v>
      </c>
      <c r="BO16" s="40">
        <v>96502</v>
      </c>
      <c r="BP16" s="40">
        <v>96568</v>
      </c>
      <c r="BQ16" s="40">
        <v>96680</v>
      </c>
      <c r="BR16" s="40">
        <v>96740</v>
      </c>
      <c r="BS16" s="40">
        <v>96702</v>
      </c>
      <c r="BT16" s="40">
        <v>96769</v>
      </c>
      <c r="BU16" s="40">
        <v>96876</v>
      </c>
      <c r="BV16" s="40">
        <v>96965</v>
      </c>
      <c r="BW16" s="40">
        <v>97007</v>
      </c>
      <c r="BX16" s="40">
        <v>97141</v>
      </c>
      <c r="BY16" s="40">
        <v>97333</v>
      </c>
      <c r="BZ16" s="40">
        <v>97640</v>
      </c>
      <c r="CA16" s="40">
        <v>97825</v>
      </c>
      <c r="CB16" s="40">
        <v>97894</v>
      </c>
      <c r="CC16" s="40">
        <v>98056</v>
      </c>
      <c r="CD16" s="40">
        <v>98161</v>
      </c>
      <c r="CE16" s="40">
        <v>98224</v>
      </c>
      <c r="CF16" s="40">
        <v>98388</v>
      </c>
      <c r="CG16" s="40">
        <v>98462</v>
      </c>
      <c r="CH16" s="40">
        <v>98555</v>
      </c>
      <c r="CI16" s="40">
        <v>98644</v>
      </c>
      <c r="CJ16" s="40">
        <v>98671</v>
      </c>
      <c r="CK16" s="40">
        <v>98714</v>
      </c>
      <c r="CL16" s="40">
        <v>98828</v>
      </c>
      <c r="CM16" s="40">
        <v>98841</v>
      </c>
      <c r="CN16" s="40">
        <v>98917</v>
      </c>
      <c r="CO16" s="40">
        <v>99013</v>
      </c>
      <c r="CP16" s="40">
        <v>99064</v>
      </c>
      <c r="CQ16" s="40">
        <v>99135</v>
      </c>
      <c r="CR16" s="40">
        <v>99158</v>
      </c>
      <c r="CS16" s="40">
        <v>99213</v>
      </c>
      <c r="CT16" s="40">
        <v>99223</v>
      </c>
      <c r="CU16" s="40">
        <v>99267</v>
      </c>
      <c r="CV16" s="40">
        <v>99283</v>
      </c>
      <c r="CW16" s="40">
        <v>99299</v>
      </c>
      <c r="CX16" s="40">
        <v>99357</v>
      </c>
      <c r="CY16" s="40">
        <v>99347</v>
      </c>
      <c r="CZ16" s="40">
        <v>99372</v>
      </c>
      <c r="DA16" s="40">
        <v>99363</v>
      </c>
      <c r="DB16" s="40">
        <v>99404</v>
      </c>
      <c r="DC16" s="40">
        <v>99409</v>
      </c>
      <c r="DD16" s="40">
        <v>99426</v>
      </c>
      <c r="DE16" s="40">
        <v>99422</v>
      </c>
      <c r="DF16" s="40">
        <v>99468</v>
      </c>
      <c r="DG16" s="40">
        <v>99477</v>
      </c>
      <c r="DH16" s="40">
        <v>99484</v>
      </c>
      <c r="DI16" s="40">
        <v>99493</v>
      </c>
      <c r="DJ16" s="40">
        <v>99529</v>
      </c>
      <c r="DK16" s="40">
        <v>99529</v>
      </c>
      <c r="DL16" s="40">
        <v>99534</v>
      </c>
      <c r="DM16" s="40">
        <v>99556</v>
      </c>
      <c r="DN16" s="40">
        <v>99577</v>
      </c>
      <c r="DO16" s="40">
        <v>99597</v>
      </c>
    </row>
    <row r="17" spans="1:119">
      <c r="A17" s="40">
        <v>15</v>
      </c>
      <c r="B17" s="40"/>
      <c r="C17" s="40"/>
      <c r="D17" s="40"/>
      <c r="E17" s="40"/>
      <c r="F17" s="40"/>
      <c r="G17" s="40"/>
      <c r="H17" s="40"/>
      <c r="I17" s="40"/>
      <c r="J17" s="40"/>
      <c r="K17" s="40"/>
      <c r="L17" s="40"/>
      <c r="M17" s="40"/>
      <c r="N17" s="40"/>
      <c r="O17" s="40"/>
      <c r="P17" s="40"/>
      <c r="Q17" s="40"/>
      <c r="R17" s="40"/>
      <c r="S17" s="40"/>
      <c r="T17" s="40"/>
      <c r="U17" s="40"/>
      <c r="V17" s="40"/>
      <c r="W17" s="40">
        <v>80754</v>
      </c>
      <c r="X17" s="40">
        <v>81499</v>
      </c>
      <c r="Y17" s="40">
        <v>81599</v>
      </c>
      <c r="Z17" s="40">
        <v>83952</v>
      </c>
      <c r="AA17" s="40">
        <v>84195</v>
      </c>
      <c r="AB17" s="40">
        <v>84767</v>
      </c>
      <c r="AC17" s="40">
        <v>85475</v>
      </c>
      <c r="AD17" s="40">
        <v>86333</v>
      </c>
      <c r="AE17" s="40">
        <v>86037</v>
      </c>
      <c r="AF17" s="40">
        <v>87207</v>
      </c>
      <c r="AG17" s="40">
        <v>87422</v>
      </c>
      <c r="AH17" s="40">
        <v>87742</v>
      </c>
      <c r="AI17" s="40">
        <v>87885</v>
      </c>
      <c r="AJ17" s="40">
        <v>89084</v>
      </c>
      <c r="AK17" s="40">
        <v>88950</v>
      </c>
      <c r="AL17" s="40">
        <v>89223</v>
      </c>
      <c r="AM17" s="40">
        <v>89463</v>
      </c>
      <c r="AN17" s="40">
        <v>89908</v>
      </c>
      <c r="AO17" s="40">
        <v>89871</v>
      </c>
      <c r="AP17" s="40">
        <v>89966</v>
      </c>
      <c r="AQ17" s="40">
        <v>90025</v>
      </c>
      <c r="AR17" s="40">
        <v>90070</v>
      </c>
      <c r="AS17" s="40">
        <v>89432</v>
      </c>
      <c r="AT17" s="40">
        <v>88549</v>
      </c>
      <c r="AU17" s="40">
        <v>87142</v>
      </c>
      <c r="AV17" s="40">
        <v>87695</v>
      </c>
      <c r="AW17" s="40">
        <v>88034</v>
      </c>
      <c r="AX17" s="40">
        <v>90387</v>
      </c>
      <c r="AY17" s="40">
        <v>92391</v>
      </c>
      <c r="AZ17" s="40">
        <v>92438</v>
      </c>
      <c r="BA17" s="40">
        <v>92535</v>
      </c>
      <c r="BB17" s="40">
        <v>93268</v>
      </c>
      <c r="BC17" s="40">
        <v>93509</v>
      </c>
      <c r="BD17" s="40">
        <v>93973</v>
      </c>
      <c r="BE17" s="40">
        <v>94044</v>
      </c>
      <c r="BF17" s="40">
        <v>94425</v>
      </c>
      <c r="BG17" s="40">
        <v>94453</v>
      </c>
      <c r="BH17" s="40">
        <v>94747</v>
      </c>
      <c r="BI17" s="40">
        <v>95010</v>
      </c>
      <c r="BJ17" s="40">
        <v>95092</v>
      </c>
      <c r="BK17" s="40">
        <v>95418</v>
      </c>
      <c r="BL17" s="40">
        <v>95712</v>
      </c>
      <c r="BM17" s="40">
        <v>95975</v>
      </c>
      <c r="BN17" s="40">
        <v>96254</v>
      </c>
      <c r="BO17" s="40">
        <v>96462</v>
      </c>
      <c r="BP17" s="40">
        <v>96527</v>
      </c>
      <c r="BQ17" s="40">
        <v>96646</v>
      </c>
      <c r="BR17" s="40">
        <v>96704</v>
      </c>
      <c r="BS17" s="40">
        <v>96671</v>
      </c>
      <c r="BT17" s="40">
        <v>96739</v>
      </c>
      <c r="BU17" s="40">
        <v>96845</v>
      </c>
      <c r="BV17" s="40">
        <v>96938</v>
      </c>
      <c r="BW17" s="40">
        <v>96976</v>
      </c>
      <c r="BX17" s="40">
        <v>97115</v>
      </c>
      <c r="BY17" s="40">
        <v>97308</v>
      </c>
      <c r="BZ17" s="40">
        <v>97609</v>
      </c>
      <c r="CA17" s="40">
        <v>97800</v>
      </c>
      <c r="CB17" s="40">
        <v>97870</v>
      </c>
      <c r="CC17" s="40">
        <v>98032</v>
      </c>
      <c r="CD17" s="40">
        <v>98139</v>
      </c>
      <c r="CE17" s="40">
        <v>98199</v>
      </c>
      <c r="CF17" s="40">
        <v>98365</v>
      </c>
      <c r="CG17" s="40">
        <v>98440</v>
      </c>
      <c r="CH17" s="40">
        <v>98531</v>
      </c>
      <c r="CI17" s="40">
        <v>98624</v>
      </c>
      <c r="CJ17" s="40">
        <v>98651</v>
      </c>
      <c r="CK17" s="40">
        <v>98696</v>
      </c>
      <c r="CL17" s="40">
        <v>98809</v>
      </c>
      <c r="CM17" s="40">
        <v>98824</v>
      </c>
      <c r="CN17" s="40">
        <v>98900</v>
      </c>
      <c r="CO17" s="40">
        <v>99001</v>
      </c>
      <c r="CP17" s="40">
        <v>99046</v>
      </c>
      <c r="CQ17" s="40">
        <v>99122</v>
      </c>
      <c r="CR17" s="40">
        <v>99139</v>
      </c>
      <c r="CS17" s="40">
        <v>99199</v>
      </c>
      <c r="CT17" s="40">
        <v>99208</v>
      </c>
      <c r="CU17" s="40">
        <v>99255</v>
      </c>
      <c r="CV17" s="40">
        <v>99273</v>
      </c>
      <c r="CW17" s="40">
        <v>99287</v>
      </c>
      <c r="CX17" s="40">
        <v>99344</v>
      </c>
      <c r="CY17" s="40">
        <v>99334</v>
      </c>
      <c r="CZ17" s="40">
        <v>99360</v>
      </c>
      <c r="DA17" s="40">
        <v>99352</v>
      </c>
      <c r="DB17" s="40">
        <v>99393</v>
      </c>
      <c r="DC17" s="40">
        <v>99399</v>
      </c>
      <c r="DD17" s="40">
        <v>99416</v>
      </c>
      <c r="DE17" s="40">
        <v>99413</v>
      </c>
      <c r="DF17" s="40">
        <v>99458</v>
      </c>
      <c r="DG17" s="40">
        <v>99468</v>
      </c>
      <c r="DH17" s="40">
        <v>99475</v>
      </c>
      <c r="DI17" s="40">
        <v>99484</v>
      </c>
      <c r="DJ17" s="40">
        <v>99521</v>
      </c>
      <c r="DK17" s="40">
        <v>99521</v>
      </c>
      <c r="DL17" s="40">
        <v>99527</v>
      </c>
      <c r="DM17" s="40">
        <v>99549</v>
      </c>
      <c r="DN17" s="40">
        <v>99570</v>
      </c>
      <c r="DO17" s="40">
        <v>99590</v>
      </c>
    </row>
    <row r="18" spans="1:119">
      <c r="A18" s="40">
        <v>16</v>
      </c>
      <c r="B18" s="40"/>
      <c r="C18" s="40"/>
      <c r="D18" s="40"/>
      <c r="E18" s="40"/>
      <c r="F18" s="40"/>
      <c r="G18" s="40"/>
      <c r="H18" s="40"/>
      <c r="I18" s="40"/>
      <c r="J18" s="40"/>
      <c r="K18" s="40"/>
      <c r="L18" s="40"/>
      <c r="M18" s="40"/>
      <c r="N18" s="40"/>
      <c r="O18" s="40"/>
      <c r="P18" s="40"/>
      <c r="Q18" s="40"/>
      <c r="R18" s="40"/>
      <c r="S18" s="40"/>
      <c r="T18" s="40"/>
      <c r="U18" s="40"/>
      <c r="V18" s="40"/>
      <c r="W18" s="40">
        <v>80604</v>
      </c>
      <c r="X18" s="40">
        <v>81345</v>
      </c>
      <c r="Y18" s="40">
        <v>81455</v>
      </c>
      <c r="Z18" s="40">
        <v>83793</v>
      </c>
      <c r="AA18" s="40">
        <v>84035</v>
      </c>
      <c r="AB18" s="40">
        <v>84606</v>
      </c>
      <c r="AC18" s="40">
        <v>85313</v>
      </c>
      <c r="AD18" s="40">
        <v>86153</v>
      </c>
      <c r="AE18" s="40">
        <v>85833</v>
      </c>
      <c r="AF18" s="40">
        <v>86959</v>
      </c>
      <c r="AG18" s="40">
        <v>87267</v>
      </c>
      <c r="AH18" s="40">
        <v>87586</v>
      </c>
      <c r="AI18" s="40">
        <v>87769</v>
      </c>
      <c r="AJ18" s="40">
        <v>88991</v>
      </c>
      <c r="AK18" s="40">
        <v>88857</v>
      </c>
      <c r="AL18" s="40">
        <v>89130</v>
      </c>
      <c r="AM18" s="40">
        <v>89383</v>
      </c>
      <c r="AN18" s="40">
        <v>89838</v>
      </c>
      <c r="AO18" s="40">
        <v>89797</v>
      </c>
      <c r="AP18" s="40">
        <v>89893</v>
      </c>
      <c r="AQ18" s="40">
        <v>89948</v>
      </c>
      <c r="AR18" s="40">
        <v>90001</v>
      </c>
      <c r="AS18" s="40">
        <v>89361</v>
      </c>
      <c r="AT18" s="40">
        <v>88484</v>
      </c>
      <c r="AU18" s="40">
        <v>87085</v>
      </c>
      <c r="AV18" s="40">
        <v>87631</v>
      </c>
      <c r="AW18" s="40">
        <v>87974</v>
      </c>
      <c r="AX18" s="40">
        <v>90322</v>
      </c>
      <c r="AY18" s="40">
        <v>92330</v>
      </c>
      <c r="AZ18" s="40">
        <v>92378</v>
      </c>
      <c r="BA18" s="40">
        <v>92475</v>
      </c>
      <c r="BB18" s="40">
        <v>93207</v>
      </c>
      <c r="BC18" s="40">
        <v>93447</v>
      </c>
      <c r="BD18" s="40">
        <v>93907</v>
      </c>
      <c r="BE18" s="40">
        <v>93976</v>
      </c>
      <c r="BF18" s="40">
        <v>94359</v>
      </c>
      <c r="BG18" s="40">
        <v>94385</v>
      </c>
      <c r="BH18" s="40">
        <v>94686</v>
      </c>
      <c r="BI18" s="40">
        <v>94946</v>
      </c>
      <c r="BJ18" s="40">
        <v>95030</v>
      </c>
      <c r="BK18" s="40">
        <v>95357</v>
      </c>
      <c r="BL18" s="40">
        <v>95648</v>
      </c>
      <c r="BM18" s="40">
        <v>95918</v>
      </c>
      <c r="BN18" s="40">
        <v>96197</v>
      </c>
      <c r="BO18" s="40">
        <v>96406</v>
      </c>
      <c r="BP18" s="40">
        <v>96473</v>
      </c>
      <c r="BQ18" s="40">
        <v>96598</v>
      </c>
      <c r="BR18" s="40">
        <v>96658</v>
      </c>
      <c r="BS18" s="40">
        <v>96631</v>
      </c>
      <c r="BT18" s="40">
        <v>96697</v>
      </c>
      <c r="BU18" s="40">
        <v>96804</v>
      </c>
      <c r="BV18" s="40">
        <v>96895</v>
      </c>
      <c r="BW18" s="40">
        <v>96937</v>
      </c>
      <c r="BX18" s="40">
        <v>97079</v>
      </c>
      <c r="BY18" s="40">
        <v>97268</v>
      </c>
      <c r="BZ18" s="40">
        <v>97578</v>
      </c>
      <c r="CA18" s="40">
        <v>97765</v>
      </c>
      <c r="CB18" s="40">
        <v>97833</v>
      </c>
      <c r="CC18" s="40">
        <v>98000</v>
      </c>
      <c r="CD18" s="40">
        <v>98105</v>
      </c>
      <c r="CE18" s="40">
        <v>98172</v>
      </c>
      <c r="CF18" s="40">
        <v>98339</v>
      </c>
      <c r="CG18" s="40">
        <v>98409</v>
      </c>
      <c r="CH18" s="40">
        <v>98508</v>
      </c>
      <c r="CI18" s="40">
        <v>98603</v>
      </c>
      <c r="CJ18" s="40">
        <v>98626</v>
      </c>
      <c r="CK18" s="40">
        <v>98671</v>
      </c>
      <c r="CL18" s="40">
        <v>98783</v>
      </c>
      <c r="CM18" s="40">
        <v>98804</v>
      </c>
      <c r="CN18" s="40">
        <v>98882</v>
      </c>
      <c r="CO18" s="40">
        <v>98983</v>
      </c>
      <c r="CP18" s="40">
        <v>99026</v>
      </c>
      <c r="CQ18" s="40">
        <v>99100</v>
      </c>
      <c r="CR18" s="40">
        <v>99117</v>
      </c>
      <c r="CS18" s="40">
        <v>99183</v>
      </c>
      <c r="CT18" s="40">
        <v>99195</v>
      </c>
      <c r="CU18" s="40">
        <v>99237</v>
      </c>
      <c r="CV18" s="40">
        <v>99256</v>
      </c>
      <c r="CW18" s="40">
        <v>99273</v>
      </c>
      <c r="CX18" s="40">
        <v>99328</v>
      </c>
      <c r="CY18" s="40">
        <v>99319</v>
      </c>
      <c r="CZ18" s="40">
        <v>99345</v>
      </c>
      <c r="DA18" s="40">
        <v>99337</v>
      </c>
      <c r="DB18" s="40">
        <v>99379</v>
      </c>
      <c r="DC18" s="40">
        <v>99386</v>
      </c>
      <c r="DD18" s="40">
        <v>99403</v>
      </c>
      <c r="DE18" s="40">
        <v>99400</v>
      </c>
      <c r="DF18" s="40">
        <v>99446</v>
      </c>
      <c r="DG18" s="40">
        <v>99456</v>
      </c>
      <c r="DH18" s="40">
        <v>99464</v>
      </c>
      <c r="DI18" s="40">
        <v>99473</v>
      </c>
      <c r="DJ18" s="40">
        <v>99510</v>
      </c>
      <c r="DK18" s="40">
        <v>99511</v>
      </c>
      <c r="DL18" s="40">
        <v>99517</v>
      </c>
      <c r="DM18" s="40">
        <v>99540</v>
      </c>
      <c r="DN18" s="40">
        <v>99561</v>
      </c>
      <c r="DO18" s="40">
        <v>99581</v>
      </c>
    </row>
    <row r="19" spans="1:119">
      <c r="A19" s="40">
        <v>17</v>
      </c>
      <c r="B19" s="40"/>
      <c r="C19" s="40"/>
      <c r="D19" s="40"/>
      <c r="E19" s="40"/>
      <c r="F19" s="40"/>
      <c r="G19" s="40"/>
      <c r="H19" s="40"/>
      <c r="I19" s="40"/>
      <c r="J19" s="40"/>
      <c r="K19" s="40"/>
      <c r="L19" s="40"/>
      <c r="M19" s="40"/>
      <c r="N19" s="40"/>
      <c r="O19" s="40"/>
      <c r="P19" s="40"/>
      <c r="Q19" s="40"/>
      <c r="R19" s="40"/>
      <c r="S19" s="40"/>
      <c r="T19" s="40"/>
      <c r="U19" s="40"/>
      <c r="V19" s="40"/>
      <c r="W19" s="40">
        <v>80420</v>
      </c>
      <c r="X19" s="40">
        <v>81173</v>
      </c>
      <c r="Y19" s="40">
        <v>81270</v>
      </c>
      <c r="Z19" s="40">
        <v>83602</v>
      </c>
      <c r="AA19" s="40">
        <v>83844</v>
      </c>
      <c r="AB19" s="40">
        <v>84414</v>
      </c>
      <c r="AC19" s="40">
        <v>85099</v>
      </c>
      <c r="AD19" s="40">
        <v>85908</v>
      </c>
      <c r="AE19" s="40">
        <v>85540</v>
      </c>
      <c r="AF19" s="40">
        <v>86775</v>
      </c>
      <c r="AG19" s="40">
        <v>87082</v>
      </c>
      <c r="AH19" s="40">
        <v>87449</v>
      </c>
      <c r="AI19" s="40">
        <v>87666</v>
      </c>
      <c r="AJ19" s="40">
        <v>88886</v>
      </c>
      <c r="AK19" s="40">
        <v>88752</v>
      </c>
      <c r="AL19" s="40">
        <v>89037</v>
      </c>
      <c r="AM19" s="40">
        <v>89296</v>
      </c>
      <c r="AN19" s="40">
        <v>89751</v>
      </c>
      <c r="AO19" s="40">
        <v>89712</v>
      </c>
      <c r="AP19" s="40">
        <v>89806</v>
      </c>
      <c r="AQ19" s="40">
        <v>89857</v>
      </c>
      <c r="AR19" s="40">
        <v>89917</v>
      </c>
      <c r="AS19" s="40">
        <v>89270</v>
      </c>
      <c r="AT19" s="40">
        <v>88397</v>
      </c>
      <c r="AU19" s="40">
        <v>87004</v>
      </c>
      <c r="AV19" s="40">
        <v>87548</v>
      </c>
      <c r="AW19" s="40">
        <v>87888</v>
      </c>
      <c r="AX19" s="40">
        <v>90230</v>
      </c>
      <c r="AY19" s="40">
        <v>92237</v>
      </c>
      <c r="AZ19" s="40">
        <v>92282</v>
      </c>
      <c r="BA19" s="40">
        <v>92369</v>
      </c>
      <c r="BB19" s="40">
        <v>93110</v>
      </c>
      <c r="BC19" s="40">
        <v>93336</v>
      </c>
      <c r="BD19" s="40">
        <v>93799</v>
      </c>
      <c r="BE19" s="40">
        <v>93864</v>
      </c>
      <c r="BF19" s="40">
        <v>94246</v>
      </c>
      <c r="BG19" s="40">
        <v>94280</v>
      </c>
      <c r="BH19" s="40">
        <v>94573</v>
      </c>
      <c r="BI19" s="40">
        <v>94842</v>
      </c>
      <c r="BJ19" s="40">
        <v>94927</v>
      </c>
      <c r="BK19" s="40">
        <v>95254</v>
      </c>
      <c r="BL19" s="40">
        <v>95555</v>
      </c>
      <c r="BM19" s="40">
        <v>95823</v>
      </c>
      <c r="BN19" s="40">
        <v>96111</v>
      </c>
      <c r="BO19" s="40">
        <v>96327</v>
      </c>
      <c r="BP19" s="40">
        <v>96393</v>
      </c>
      <c r="BQ19" s="40">
        <v>96518</v>
      </c>
      <c r="BR19" s="40">
        <v>96591</v>
      </c>
      <c r="BS19" s="40">
        <v>96573</v>
      </c>
      <c r="BT19" s="40">
        <v>96636</v>
      </c>
      <c r="BU19" s="40">
        <v>96747</v>
      </c>
      <c r="BV19" s="40">
        <v>96838</v>
      </c>
      <c r="BW19" s="40">
        <v>96887</v>
      </c>
      <c r="BX19" s="40">
        <v>97022</v>
      </c>
      <c r="BY19" s="40">
        <v>97212</v>
      </c>
      <c r="BZ19" s="40">
        <v>97529</v>
      </c>
      <c r="CA19" s="40">
        <v>97712</v>
      </c>
      <c r="CB19" s="40">
        <v>97782</v>
      </c>
      <c r="CC19" s="40">
        <v>97948</v>
      </c>
      <c r="CD19" s="40">
        <v>98052</v>
      </c>
      <c r="CE19" s="40">
        <v>98126</v>
      </c>
      <c r="CF19" s="40">
        <v>98299</v>
      </c>
      <c r="CG19" s="40">
        <v>98367</v>
      </c>
      <c r="CH19" s="40">
        <v>98465</v>
      </c>
      <c r="CI19" s="40">
        <v>98558</v>
      </c>
      <c r="CJ19" s="40">
        <v>98586</v>
      </c>
      <c r="CK19" s="40">
        <v>98639</v>
      </c>
      <c r="CL19" s="40">
        <v>98751</v>
      </c>
      <c r="CM19" s="40">
        <v>98771</v>
      </c>
      <c r="CN19" s="40">
        <v>98851</v>
      </c>
      <c r="CO19" s="40">
        <v>98952</v>
      </c>
      <c r="CP19" s="40">
        <v>99001</v>
      </c>
      <c r="CQ19" s="40">
        <v>99075</v>
      </c>
      <c r="CR19" s="40">
        <v>99091</v>
      </c>
      <c r="CS19" s="40">
        <v>99159</v>
      </c>
      <c r="CT19" s="40">
        <v>99170</v>
      </c>
      <c r="CU19" s="40">
        <v>99211</v>
      </c>
      <c r="CV19" s="40">
        <v>99232</v>
      </c>
      <c r="CW19" s="40">
        <v>99252</v>
      </c>
      <c r="CX19" s="40">
        <v>99307</v>
      </c>
      <c r="CY19" s="40">
        <v>99298</v>
      </c>
      <c r="CZ19" s="40">
        <v>99325</v>
      </c>
      <c r="DA19" s="40">
        <v>99319</v>
      </c>
      <c r="DB19" s="40">
        <v>99361</v>
      </c>
      <c r="DC19" s="40">
        <v>99368</v>
      </c>
      <c r="DD19" s="40">
        <v>99386</v>
      </c>
      <c r="DE19" s="40">
        <v>99384</v>
      </c>
      <c r="DF19" s="40">
        <v>99431</v>
      </c>
      <c r="DG19" s="40">
        <v>99441</v>
      </c>
      <c r="DH19" s="40">
        <v>99450</v>
      </c>
      <c r="DI19" s="40">
        <v>99459</v>
      </c>
      <c r="DJ19" s="40">
        <v>99497</v>
      </c>
      <c r="DK19" s="40">
        <v>99498</v>
      </c>
      <c r="DL19" s="40">
        <v>99505</v>
      </c>
      <c r="DM19" s="40">
        <v>99527</v>
      </c>
      <c r="DN19" s="40">
        <v>99549</v>
      </c>
      <c r="DO19" s="40">
        <v>99570</v>
      </c>
    </row>
    <row r="20" spans="1:119">
      <c r="A20" s="40">
        <v>18</v>
      </c>
      <c r="B20" s="40"/>
      <c r="C20" s="40"/>
      <c r="D20" s="40"/>
      <c r="E20" s="40"/>
      <c r="F20" s="40"/>
      <c r="G20" s="40"/>
      <c r="H20" s="40"/>
      <c r="I20" s="40"/>
      <c r="J20" s="40"/>
      <c r="K20" s="40"/>
      <c r="L20" s="40"/>
      <c r="M20" s="40"/>
      <c r="N20" s="40"/>
      <c r="O20" s="40"/>
      <c r="P20" s="40"/>
      <c r="Q20" s="40"/>
      <c r="R20" s="40"/>
      <c r="S20" s="40"/>
      <c r="T20" s="40"/>
      <c r="U20" s="40"/>
      <c r="V20" s="40"/>
      <c r="W20" s="40">
        <v>80244</v>
      </c>
      <c r="X20" s="40">
        <v>80986</v>
      </c>
      <c r="Y20" s="40">
        <v>81083</v>
      </c>
      <c r="Z20" s="40">
        <v>83410</v>
      </c>
      <c r="AA20" s="40">
        <v>83651</v>
      </c>
      <c r="AB20" s="40">
        <v>84200</v>
      </c>
      <c r="AC20" s="40">
        <v>84855</v>
      </c>
      <c r="AD20" s="40">
        <v>85553</v>
      </c>
      <c r="AE20" s="40">
        <v>85325</v>
      </c>
      <c r="AF20" s="40">
        <v>86557</v>
      </c>
      <c r="AG20" s="40">
        <v>86917</v>
      </c>
      <c r="AH20" s="40">
        <v>87330</v>
      </c>
      <c r="AI20" s="40">
        <v>87547</v>
      </c>
      <c r="AJ20" s="40">
        <v>88766</v>
      </c>
      <c r="AK20" s="40">
        <v>88643</v>
      </c>
      <c r="AL20" s="40">
        <v>88933</v>
      </c>
      <c r="AM20" s="40">
        <v>89206</v>
      </c>
      <c r="AN20" s="40">
        <v>89651</v>
      </c>
      <c r="AO20" s="40">
        <v>89613</v>
      </c>
      <c r="AP20" s="40">
        <v>89708</v>
      </c>
      <c r="AQ20" s="40">
        <v>89752</v>
      </c>
      <c r="AR20" s="40">
        <v>89823</v>
      </c>
      <c r="AS20" s="40">
        <v>89162</v>
      </c>
      <c r="AT20" s="40">
        <v>88292</v>
      </c>
      <c r="AU20" s="40">
        <v>86911</v>
      </c>
      <c r="AV20" s="40">
        <v>87432</v>
      </c>
      <c r="AW20" s="40">
        <v>87790</v>
      </c>
      <c r="AX20" s="40">
        <v>90118</v>
      </c>
      <c r="AY20" s="40">
        <v>92115</v>
      </c>
      <c r="AZ20" s="40">
        <v>92168</v>
      </c>
      <c r="BA20" s="40">
        <v>92240</v>
      </c>
      <c r="BB20" s="40">
        <v>92979</v>
      </c>
      <c r="BC20" s="40">
        <v>93202</v>
      </c>
      <c r="BD20" s="40">
        <v>93663</v>
      </c>
      <c r="BE20" s="40">
        <v>93734</v>
      </c>
      <c r="BF20" s="40">
        <v>94125</v>
      </c>
      <c r="BG20" s="40">
        <v>94154</v>
      </c>
      <c r="BH20" s="40">
        <v>94446</v>
      </c>
      <c r="BI20" s="40">
        <v>94713</v>
      </c>
      <c r="BJ20" s="40">
        <v>94805</v>
      </c>
      <c r="BK20" s="40">
        <v>95144</v>
      </c>
      <c r="BL20" s="40">
        <v>95443</v>
      </c>
      <c r="BM20" s="40">
        <v>95713</v>
      </c>
      <c r="BN20" s="40">
        <v>96007</v>
      </c>
      <c r="BO20" s="40">
        <v>96228</v>
      </c>
      <c r="BP20" s="40">
        <v>96307</v>
      </c>
      <c r="BQ20" s="40">
        <v>96432</v>
      </c>
      <c r="BR20" s="40">
        <v>96513</v>
      </c>
      <c r="BS20" s="40">
        <v>96497</v>
      </c>
      <c r="BT20" s="40">
        <v>96562</v>
      </c>
      <c r="BU20" s="40">
        <v>96678</v>
      </c>
      <c r="BV20" s="40">
        <v>96772</v>
      </c>
      <c r="BW20" s="40">
        <v>96813</v>
      </c>
      <c r="BX20" s="40">
        <v>96949</v>
      </c>
      <c r="BY20" s="40">
        <v>97143</v>
      </c>
      <c r="BZ20" s="40">
        <v>97469</v>
      </c>
      <c r="CA20" s="40">
        <v>97645</v>
      </c>
      <c r="CB20" s="40">
        <v>97714</v>
      </c>
      <c r="CC20" s="40">
        <v>97890</v>
      </c>
      <c r="CD20" s="40">
        <v>97990</v>
      </c>
      <c r="CE20" s="40">
        <v>98064</v>
      </c>
      <c r="CF20" s="40">
        <v>98243</v>
      </c>
      <c r="CG20" s="40">
        <v>98319</v>
      </c>
      <c r="CH20" s="40">
        <v>98414</v>
      </c>
      <c r="CI20" s="40">
        <v>98507</v>
      </c>
      <c r="CJ20" s="40">
        <v>98538</v>
      </c>
      <c r="CK20" s="40">
        <v>98597</v>
      </c>
      <c r="CL20" s="40">
        <v>98713</v>
      </c>
      <c r="CM20" s="40">
        <v>98734</v>
      </c>
      <c r="CN20" s="40">
        <v>98822</v>
      </c>
      <c r="CO20" s="40">
        <v>98916</v>
      </c>
      <c r="CP20" s="40">
        <v>98966</v>
      </c>
      <c r="CQ20" s="40">
        <v>99043</v>
      </c>
      <c r="CR20" s="40">
        <v>99055</v>
      </c>
      <c r="CS20" s="40">
        <v>99124</v>
      </c>
      <c r="CT20" s="40">
        <v>99142</v>
      </c>
      <c r="CU20" s="40">
        <v>99183</v>
      </c>
      <c r="CV20" s="40">
        <v>99203</v>
      </c>
      <c r="CW20" s="40">
        <v>99224</v>
      </c>
      <c r="CX20" s="40">
        <v>99280</v>
      </c>
      <c r="CY20" s="40">
        <v>99273</v>
      </c>
      <c r="CZ20" s="40">
        <v>99300</v>
      </c>
      <c r="DA20" s="40">
        <v>99294</v>
      </c>
      <c r="DB20" s="40">
        <v>99338</v>
      </c>
      <c r="DC20" s="40">
        <v>99345</v>
      </c>
      <c r="DD20" s="40">
        <v>99365</v>
      </c>
      <c r="DE20" s="40">
        <v>99363</v>
      </c>
      <c r="DF20" s="40">
        <v>99410</v>
      </c>
      <c r="DG20" s="40">
        <v>99421</v>
      </c>
      <c r="DH20" s="40">
        <v>99431</v>
      </c>
      <c r="DI20" s="40">
        <v>99441</v>
      </c>
      <c r="DJ20" s="40">
        <v>99479</v>
      </c>
      <c r="DK20" s="40">
        <v>99481</v>
      </c>
      <c r="DL20" s="40">
        <v>99488</v>
      </c>
      <c r="DM20" s="40">
        <v>99512</v>
      </c>
      <c r="DN20" s="40">
        <v>99534</v>
      </c>
      <c r="DO20" s="40">
        <v>99555</v>
      </c>
    </row>
    <row r="21" spans="1:119">
      <c r="A21" s="40">
        <v>19</v>
      </c>
      <c r="B21" s="40"/>
      <c r="C21" s="40"/>
      <c r="D21" s="40"/>
      <c r="E21" s="40"/>
      <c r="F21" s="40"/>
      <c r="G21" s="40"/>
      <c r="H21" s="40"/>
      <c r="I21" s="40"/>
      <c r="J21" s="40"/>
      <c r="K21" s="40"/>
      <c r="L21" s="40"/>
      <c r="M21" s="40"/>
      <c r="N21" s="40"/>
      <c r="O21" s="40"/>
      <c r="P21" s="40"/>
      <c r="Q21" s="40"/>
      <c r="R21" s="40"/>
      <c r="S21" s="40"/>
      <c r="T21" s="40"/>
      <c r="U21" s="40"/>
      <c r="V21" s="40"/>
      <c r="W21" s="40">
        <v>80037</v>
      </c>
      <c r="X21" s="40">
        <v>80778</v>
      </c>
      <c r="Y21" s="40">
        <v>80875</v>
      </c>
      <c r="Z21" s="40">
        <v>83195</v>
      </c>
      <c r="AA21" s="40">
        <v>83414</v>
      </c>
      <c r="AB21" s="40">
        <v>83930</v>
      </c>
      <c r="AC21" s="40">
        <v>84462</v>
      </c>
      <c r="AD21" s="40">
        <v>85295</v>
      </c>
      <c r="AE21" s="40">
        <v>85068</v>
      </c>
      <c r="AF21" s="40">
        <v>86360</v>
      </c>
      <c r="AG21" s="40">
        <v>86782</v>
      </c>
      <c r="AH21" s="40">
        <v>87195</v>
      </c>
      <c r="AI21" s="40">
        <v>87411</v>
      </c>
      <c r="AJ21" s="40">
        <v>88641</v>
      </c>
      <c r="AK21" s="40">
        <v>88522</v>
      </c>
      <c r="AL21" s="40">
        <v>88808</v>
      </c>
      <c r="AM21" s="40">
        <v>89077</v>
      </c>
      <c r="AN21" s="40">
        <v>89511</v>
      </c>
      <c r="AO21" s="40">
        <v>89478</v>
      </c>
      <c r="AP21" s="40">
        <v>89577</v>
      </c>
      <c r="AQ21" s="40">
        <v>89616</v>
      </c>
      <c r="AR21" s="40">
        <v>89687</v>
      </c>
      <c r="AS21" s="40">
        <v>89032</v>
      </c>
      <c r="AT21" s="40">
        <v>88160</v>
      </c>
      <c r="AU21" s="40">
        <v>86782</v>
      </c>
      <c r="AV21" s="40">
        <v>87296</v>
      </c>
      <c r="AW21" s="40">
        <v>87659</v>
      </c>
      <c r="AX21" s="40">
        <v>89973</v>
      </c>
      <c r="AY21" s="40">
        <v>91970</v>
      </c>
      <c r="AZ21" s="40">
        <v>92022</v>
      </c>
      <c r="BA21" s="40">
        <v>92071</v>
      </c>
      <c r="BB21" s="40">
        <v>92807</v>
      </c>
      <c r="BC21" s="40">
        <v>93024</v>
      </c>
      <c r="BD21" s="40">
        <v>93493</v>
      </c>
      <c r="BE21" s="40">
        <v>93573</v>
      </c>
      <c r="BF21" s="40">
        <v>93962</v>
      </c>
      <c r="BG21" s="40">
        <v>93982</v>
      </c>
      <c r="BH21" s="40">
        <v>94274</v>
      </c>
      <c r="BI21" s="40">
        <v>94547</v>
      </c>
      <c r="BJ21" s="40">
        <v>94637</v>
      </c>
      <c r="BK21" s="40">
        <v>94989</v>
      </c>
      <c r="BL21" s="40">
        <v>95298</v>
      </c>
      <c r="BM21" s="40">
        <v>95577</v>
      </c>
      <c r="BN21" s="40">
        <v>95870</v>
      </c>
      <c r="BO21" s="40">
        <v>96098</v>
      </c>
      <c r="BP21" s="40">
        <v>96199</v>
      </c>
      <c r="BQ21" s="40">
        <v>96326</v>
      </c>
      <c r="BR21" s="40">
        <v>96419</v>
      </c>
      <c r="BS21" s="40">
        <v>96394</v>
      </c>
      <c r="BT21" s="40">
        <v>96467</v>
      </c>
      <c r="BU21" s="40">
        <v>96580</v>
      </c>
      <c r="BV21" s="40">
        <v>96668</v>
      </c>
      <c r="BW21" s="40">
        <v>96710</v>
      </c>
      <c r="BX21" s="40">
        <v>96845</v>
      </c>
      <c r="BY21" s="40">
        <v>97038</v>
      </c>
      <c r="BZ21" s="40">
        <v>97360</v>
      </c>
      <c r="CA21" s="40">
        <v>97536</v>
      </c>
      <c r="CB21" s="40">
        <v>97605</v>
      </c>
      <c r="CC21" s="40">
        <v>97784</v>
      </c>
      <c r="CD21" s="40">
        <v>97895</v>
      </c>
      <c r="CE21" s="40">
        <v>97968</v>
      </c>
      <c r="CF21" s="40">
        <v>98148</v>
      </c>
      <c r="CG21" s="40">
        <v>98235</v>
      </c>
      <c r="CH21" s="40">
        <v>98333</v>
      </c>
      <c r="CI21" s="40">
        <v>98437</v>
      </c>
      <c r="CJ21" s="40">
        <v>98475</v>
      </c>
      <c r="CK21" s="40">
        <v>98532</v>
      </c>
      <c r="CL21" s="40">
        <v>98657</v>
      </c>
      <c r="CM21" s="40">
        <v>98680</v>
      </c>
      <c r="CN21" s="40">
        <v>98768</v>
      </c>
      <c r="CO21" s="40">
        <v>98867</v>
      </c>
      <c r="CP21" s="40">
        <v>98917</v>
      </c>
      <c r="CQ21" s="40">
        <v>98997</v>
      </c>
      <c r="CR21" s="40">
        <v>99012</v>
      </c>
      <c r="CS21" s="40">
        <v>99084</v>
      </c>
      <c r="CT21" s="40">
        <v>99106</v>
      </c>
      <c r="CU21" s="40">
        <v>99146</v>
      </c>
      <c r="CV21" s="40">
        <v>99168</v>
      </c>
      <c r="CW21" s="40">
        <v>99190</v>
      </c>
      <c r="CX21" s="40">
        <v>99247</v>
      </c>
      <c r="CY21" s="40">
        <v>99241</v>
      </c>
      <c r="CZ21" s="40">
        <v>99270</v>
      </c>
      <c r="DA21" s="40">
        <v>99265</v>
      </c>
      <c r="DB21" s="40">
        <v>99309</v>
      </c>
      <c r="DC21" s="40">
        <v>99318</v>
      </c>
      <c r="DD21" s="40">
        <v>99338</v>
      </c>
      <c r="DE21" s="40">
        <v>99337</v>
      </c>
      <c r="DF21" s="40">
        <v>99386</v>
      </c>
      <c r="DG21" s="40">
        <v>99398</v>
      </c>
      <c r="DH21" s="40">
        <v>99408</v>
      </c>
      <c r="DI21" s="40">
        <v>99419</v>
      </c>
      <c r="DJ21" s="40">
        <v>99458</v>
      </c>
      <c r="DK21" s="40">
        <v>99460</v>
      </c>
      <c r="DL21" s="40">
        <v>99468</v>
      </c>
      <c r="DM21" s="40">
        <v>99492</v>
      </c>
      <c r="DN21" s="40">
        <v>99515</v>
      </c>
      <c r="DO21" s="40">
        <v>99537</v>
      </c>
    </row>
    <row r="22" spans="1:119">
      <c r="A22" s="40">
        <v>20</v>
      </c>
      <c r="B22" s="40"/>
      <c r="C22" s="40"/>
      <c r="D22" s="40"/>
      <c r="E22" s="40"/>
      <c r="F22" s="40"/>
      <c r="G22" s="40"/>
      <c r="H22" s="40"/>
      <c r="I22" s="40"/>
      <c r="J22" s="40"/>
      <c r="K22" s="40"/>
      <c r="L22" s="40"/>
      <c r="M22" s="40"/>
      <c r="N22" s="40"/>
      <c r="O22" s="40"/>
      <c r="P22" s="40"/>
      <c r="Q22" s="40"/>
      <c r="R22" s="40"/>
      <c r="S22" s="40"/>
      <c r="T22" s="40"/>
      <c r="U22" s="40"/>
      <c r="V22" s="40"/>
      <c r="W22" s="40">
        <v>79814</v>
      </c>
      <c r="X22" s="40">
        <v>80553</v>
      </c>
      <c r="Y22" s="40">
        <v>80649</v>
      </c>
      <c r="Z22" s="40">
        <v>82940</v>
      </c>
      <c r="AA22" s="40">
        <v>83124</v>
      </c>
      <c r="AB22" s="40">
        <v>83508</v>
      </c>
      <c r="AC22" s="40">
        <v>84152</v>
      </c>
      <c r="AD22" s="40">
        <v>84981</v>
      </c>
      <c r="AE22" s="40">
        <v>84831</v>
      </c>
      <c r="AF22" s="40">
        <v>86211</v>
      </c>
      <c r="AG22" s="40">
        <v>86632</v>
      </c>
      <c r="AH22" s="40">
        <v>87044</v>
      </c>
      <c r="AI22" s="40">
        <v>87259</v>
      </c>
      <c r="AJ22" s="40">
        <v>88493</v>
      </c>
      <c r="AK22" s="40">
        <v>88391</v>
      </c>
      <c r="AL22" s="40">
        <v>88657</v>
      </c>
      <c r="AM22" s="40">
        <v>88917</v>
      </c>
      <c r="AN22" s="40">
        <v>89357</v>
      </c>
      <c r="AO22" s="40">
        <v>89322</v>
      </c>
      <c r="AP22" s="40">
        <v>89416</v>
      </c>
      <c r="AQ22" s="40">
        <v>89455</v>
      </c>
      <c r="AR22" s="40">
        <v>89534</v>
      </c>
      <c r="AS22" s="40">
        <v>88882</v>
      </c>
      <c r="AT22" s="40">
        <v>88016</v>
      </c>
      <c r="AU22" s="40">
        <v>86626</v>
      </c>
      <c r="AV22" s="40">
        <v>87140</v>
      </c>
      <c r="AW22" s="40">
        <v>87511</v>
      </c>
      <c r="AX22" s="40">
        <v>89834</v>
      </c>
      <c r="AY22" s="40">
        <v>91822</v>
      </c>
      <c r="AZ22" s="40">
        <v>91856</v>
      </c>
      <c r="BA22" s="40">
        <v>91893</v>
      </c>
      <c r="BB22" s="40">
        <v>92634</v>
      </c>
      <c r="BC22" s="40">
        <v>92847</v>
      </c>
      <c r="BD22" s="40">
        <v>93333</v>
      </c>
      <c r="BE22" s="40">
        <v>93404</v>
      </c>
      <c r="BF22" s="40">
        <v>93793</v>
      </c>
      <c r="BG22" s="40">
        <v>93808</v>
      </c>
      <c r="BH22" s="40">
        <v>94107</v>
      </c>
      <c r="BI22" s="40">
        <v>94380</v>
      </c>
      <c r="BJ22" s="40">
        <v>94485</v>
      </c>
      <c r="BK22" s="40">
        <v>94830</v>
      </c>
      <c r="BL22" s="40">
        <v>95147</v>
      </c>
      <c r="BM22" s="40">
        <v>95438</v>
      </c>
      <c r="BN22" s="40">
        <v>95731</v>
      </c>
      <c r="BO22" s="40">
        <v>95992</v>
      </c>
      <c r="BP22" s="40">
        <v>96088</v>
      </c>
      <c r="BQ22" s="40">
        <v>96214</v>
      </c>
      <c r="BR22" s="40">
        <v>96316</v>
      </c>
      <c r="BS22" s="40">
        <v>96299</v>
      </c>
      <c r="BT22" s="40">
        <v>96370</v>
      </c>
      <c r="BU22" s="40">
        <v>96463</v>
      </c>
      <c r="BV22" s="40">
        <v>96551</v>
      </c>
      <c r="BW22" s="40">
        <v>96598</v>
      </c>
      <c r="BX22" s="40">
        <v>96734</v>
      </c>
      <c r="BY22" s="40">
        <v>96929</v>
      </c>
      <c r="BZ22" s="40">
        <v>97256</v>
      </c>
      <c r="CA22" s="40">
        <v>97420</v>
      </c>
      <c r="CB22" s="40">
        <v>97502</v>
      </c>
      <c r="CC22" s="40">
        <v>97693</v>
      </c>
      <c r="CD22" s="40">
        <v>97807</v>
      </c>
      <c r="CE22" s="40">
        <v>97877</v>
      </c>
      <c r="CF22" s="40">
        <v>98066</v>
      </c>
      <c r="CG22" s="40">
        <v>98151</v>
      </c>
      <c r="CH22" s="40">
        <v>98255</v>
      </c>
      <c r="CI22" s="40">
        <v>98371</v>
      </c>
      <c r="CJ22" s="40">
        <v>98416</v>
      </c>
      <c r="CK22" s="40">
        <v>98467</v>
      </c>
      <c r="CL22" s="40">
        <v>98601</v>
      </c>
      <c r="CM22" s="40">
        <v>98632</v>
      </c>
      <c r="CN22" s="40">
        <v>98720</v>
      </c>
      <c r="CO22" s="40">
        <v>98815</v>
      </c>
      <c r="CP22" s="40">
        <v>98869</v>
      </c>
      <c r="CQ22" s="40">
        <v>98951</v>
      </c>
      <c r="CR22" s="40">
        <v>98973</v>
      </c>
      <c r="CS22" s="40">
        <v>99040</v>
      </c>
      <c r="CT22" s="40">
        <v>99063</v>
      </c>
      <c r="CU22" s="40">
        <v>99105</v>
      </c>
      <c r="CV22" s="40">
        <v>99129</v>
      </c>
      <c r="CW22" s="40">
        <v>99152</v>
      </c>
      <c r="CX22" s="40">
        <v>99210</v>
      </c>
      <c r="CY22" s="40">
        <v>99205</v>
      </c>
      <c r="CZ22" s="40">
        <v>99235</v>
      </c>
      <c r="DA22" s="40">
        <v>99232</v>
      </c>
      <c r="DB22" s="40">
        <v>99277</v>
      </c>
      <c r="DC22" s="40">
        <v>99287</v>
      </c>
      <c r="DD22" s="40">
        <v>99308</v>
      </c>
      <c r="DE22" s="40">
        <v>99308</v>
      </c>
      <c r="DF22" s="40">
        <v>99358</v>
      </c>
      <c r="DG22" s="40">
        <v>99370</v>
      </c>
      <c r="DH22" s="40">
        <v>99381</v>
      </c>
      <c r="DI22" s="40">
        <v>99393</v>
      </c>
      <c r="DJ22" s="40">
        <v>99433</v>
      </c>
      <c r="DK22" s="40">
        <v>99437</v>
      </c>
      <c r="DL22" s="40">
        <v>99445</v>
      </c>
      <c r="DM22" s="40">
        <v>99470</v>
      </c>
      <c r="DN22" s="40">
        <v>99494</v>
      </c>
      <c r="DO22" s="40">
        <v>99516</v>
      </c>
    </row>
    <row r="23" spans="1:119">
      <c r="A23" s="40">
        <v>21</v>
      </c>
      <c r="B23" s="40"/>
      <c r="C23" s="40"/>
      <c r="D23" s="40"/>
      <c r="E23" s="40"/>
      <c r="F23" s="40"/>
      <c r="G23" s="40"/>
      <c r="H23" s="40"/>
      <c r="I23" s="40"/>
      <c r="J23" s="40"/>
      <c r="K23" s="40"/>
      <c r="L23" s="40"/>
      <c r="M23" s="40"/>
      <c r="N23" s="40"/>
      <c r="O23" s="40"/>
      <c r="P23" s="40"/>
      <c r="Q23" s="40"/>
      <c r="R23" s="40"/>
      <c r="S23" s="40"/>
      <c r="T23" s="40"/>
      <c r="U23" s="40"/>
      <c r="V23" s="40"/>
      <c r="W23" s="40">
        <v>79577</v>
      </c>
      <c r="X23" s="40">
        <v>80314</v>
      </c>
      <c r="Y23" s="40">
        <v>80386</v>
      </c>
      <c r="Z23" s="40">
        <v>82632</v>
      </c>
      <c r="AA23" s="40">
        <v>82679</v>
      </c>
      <c r="AB23" s="40">
        <v>83142</v>
      </c>
      <c r="AC23" s="40">
        <v>83783</v>
      </c>
      <c r="AD23" s="40">
        <v>84700</v>
      </c>
      <c r="AE23" s="40">
        <v>84672</v>
      </c>
      <c r="AF23" s="40">
        <v>86049</v>
      </c>
      <c r="AG23" s="40">
        <v>86469</v>
      </c>
      <c r="AH23" s="40">
        <v>86887</v>
      </c>
      <c r="AI23" s="40">
        <v>87109</v>
      </c>
      <c r="AJ23" s="40">
        <v>88331</v>
      </c>
      <c r="AK23" s="40">
        <v>88236</v>
      </c>
      <c r="AL23" s="40">
        <v>88482</v>
      </c>
      <c r="AM23" s="40">
        <v>88756</v>
      </c>
      <c r="AN23" s="40">
        <v>89190</v>
      </c>
      <c r="AO23" s="40">
        <v>89149</v>
      </c>
      <c r="AP23" s="40">
        <v>89256</v>
      </c>
      <c r="AQ23" s="40">
        <v>89289</v>
      </c>
      <c r="AR23" s="40">
        <v>89381</v>
      </c>
      <c r="AS23" s="40">
        <v>88725</v>
      </c>
      <c r="AT23" s="40">
        <v>87874</v>
      </c>
      <c r="AU23" s="40">
        <v>86479</v>
      </c>
      <c r="AV23" s="40">
        <v>86983</v>
      </c>
      <c r="AW23" s="40">
        <v>87366</v>
      </c>
      <c r="AX23" s="40">
        <v>89700</v>
      </c>
      <c r="AY23" s="40">
        <v>91664</v>
      </c>
      <c r="AZ23" s="40">
        <v>91692</v>
      </c>
      <c r="BA23" s="40">
        <v>91711</v>
      </c>
      <c r="BB23" s="40">
        <v>92464</v>
      </c>
      <c r="BC23" s="40">
        <v>92694</v>
      </c>
      <c r="BD23" s="40">
        <v>93167</v>
      </c>
      <c r="BE23" s="40">
        <v>93244</v>
      </c>
      <c r="BF23" s="40">
        <v>93618</v>
      </c>
      <c r="BG23" s="40">
        <v>93641</v>
      </c>
      <c r="BH23" s="40">
        <v>93957</v>
      </c>
      <c r="BI23" s="40">
        <v>94222</v>
      </c>
      <c r="BJ23" s="40">
        <v>94334</v>
      </c>
      <c r="BK23" s="40">
        <v>94694</v>
      </c>
      <c r="BL23" s="40">
        <v>95009</v>
      </c>
      <c r="BM23" s="40">
        <v>95312</v>
      </c>
      <c r="BN23" s="40">
        <v>95616</v>
      </c>
      <c r="BO23" s="40">
        <v>95883</v>
      </c>
      <c r="BP23" s="40">
        <v>95983</v>
      </c>
      <c r="BQ23" s="40">
        <v>96105</v>
      </c>
      <c r="BR23" s="40">
        <v>96216</v>
      </c>
      <c r="BS23" s="40">
        <v>96195</v>
      </c>
      <c r="BT23" s="40">
        <v>96260</v>
      </c>
      <c r="BU23" s="40">
        <v>96355</v>
      </c>
      <c r="BV23" s="40">
        <v>96447</v>
      </c>
      <c r="BW23" s="40">
        <v>96494</v>
      </c>
      <c r="BX23" s="40">
        <v>96636</v>
      </c>
      <c r="BY23" s="40">
        <v>96828</v>
      </c>
      <c r="BZ23" s="40">
        <v>97151</v>
      </c>
      <c r="CA23" s="40">
        <v>97321</v>
      </c>
      <c r="CB23" s="40">
        <v>97405</v>
      </c>
      <c r="CC23" s="40">
        <v>97600</v>
      </c>
      <c r="CD23" s="40">
        <v>97713</v>
      </c>
      <c r="CE23" s="40">
        <v>97791</v>
      </c>
      <c r="CF23" s="40">
        <v>97985</v>
      </c>
      <c r="CG23" s="40">
        <v>98080</v>
      </c>
      <c r="CH23" s="40">
        <v>98189</v>
      </c>
      <c r="CI23" s="40">
        <v>98314</v>
      </c>
      <c r="CJ23" s="40">
        <v>98354</v>
      </c>
      <c r="CK23" s="40">
        <v>98404</v>
      </c>
      <c r="CL23" s="40">
        <v>98548</v>
      </c>
      <c r="CM23" s="40">
        <v>98581</v>
      </c>
      <c r="CN23" s="40">
        <v>98666</v>
      </c>
      <c r="CO23" s="40">
        <v>98761</v>
      </c>
      <c r="CP23" s="40">
        <v>98822</v>
      </c>
      <c r="CQ23" s="40">
        <v>98913</v>
      </c>
      <c r="CR23" s="40">
        <v>98924</v>
      </c>
      <c r="CS23" s="40">
        <v>98994</v>
      </c>
      <c r="CT23" s="40">
        <v>99019</v>
      </c>
      <c r="CU23" s="40">
        <v>99063</v>
      </c>
      <c r="CV23" s="40">
        <v>99087</v>
      </c>
      <c r="CW23" s="40">
        <v>99112</v>
      </c>
      <c r="CX23" s="40">
        <v>99171</v>
      </c>
      <c r="CY23" s="40">
        <v>99168</v>
      </c>
      <c r="CZ23" s="40">
        <v>99199</v>
      </c>
      <c r="DA23" s="40">
        <v>99197</v>
      </c>
      <c r="DB23" s="40">
        <v>99243</v>
      </c>
      <c r="DC23" s="40">
        <v>99254</v>
      </c>
      <c r="DD23" s="40">
        <v>99276</v>
      </c>
      <c r="DE23" s="40">
        <v>99277</v>
      </c>
      <c r="DF23" s="40">
        <v>99328</v>
      </c>
      <c r="DG23" s="40">
        <v>99342</v>
      </c>
      <c r="DH23" s="40">
        <v>99354</v>
      </c>
      <c r="DI23" s="40">
        <v>99366</v>
      </c>
      <c r="DJ23" s="40">
        <v>99407</v>
      </c>
      <c r="DK23" s="40">
        <v>99411</v>
      </c>
      <c r="DL23" s="40">
        <v>99421</v>
      </c>
      <c r="DM23" s="40">
        <v>99446</v>
      </c>
      <c r="DN23" s="40">
        <v>99471</v>
      </c>
      <c r="DO23" s="40">
        <v>99494</v>
      </c>
    </row>
    <row r="24" spans="1:119">
      <c r="A24" s="40">
        <v>22</v>
      </c>
      <c r="B24" s="40"/>
      <c r="C24" s="40"/>
      <c r="D24" s="40"/>
      <c r="E24" s="40"/>
      <c r="F24" s="40"/>
      <c r="G24" s="40"/>
      <c r="H24" s="40"/>
      <c r="I24" s="40"/>
      <c r="J24" s="40"/>
      <c r="K24" s="40"/>
      <c r="L24" s="40"/>
      <c r="M24" s="40"/>
      <c r="N24" s="40"/>
      <c r="O24" s="40"/>
      <c r="P24" s="40"/>
      <c r="Q24" s="40"/>
      <c r="R24" s="40"/>
      <c r="S24" s="40"/>
      <c r="T24" s="40"/>
      <c r="U24" s="40"/>
      <c r="V24" s="40"/>
      <c r="W24" s="40">
        <v>79332</v>
      </c>
      <c r="X24" s="40">
        <v>80041</v>
      </c>
      <c r="Y24" s="40">
        <v>80076</v>
      </c>
      <c r="Z24" s="40">
        <v>82173</v>
      </c>
      <c r="AA24" s="40">
        <v>82279</v>
      </c>
      <c r="AB24" s="40">
        <v>82740</v>
      </c>
      <c r="AC24" s="40">
        <v>83476</v>
      </c>
      <c r="AD24" s="40">
        <v>84532</v>
      </c>
      <c r="AE24" s="40">
        <v>84504</v>
      </c>
      <c r="AF24" s="40">
        <v>85878</v>
      </c>
      <c r="AG24" s="40">
        <v>86305</v>
      </c>
      <c r="AH24" s="40">
        <v>86725</v>
      </c>
      <c r="AI24" s="40">
        <v>86949</v>
      </c>
      <c r="AJ24" s="40">
        <v>88172</v>
      </c>
      <c r="AK24" s="40">
        <v>88050</v>
      </c>
      <c r="AL24" s="40">
        <v>88303</v>
      </c>
      <c r="AM24" s="40">
        <v>88591</v>
      </c>
      <c r="AN24" s="40">
        <v>89029</v>
      </c>
      <c r="AO24" s="40">
        <v>88994</v>
      </c>
      <c r="AP24" s="40">
        <v>89079</v>
      </c>
      <c r="AQ24" s="40">
        <v>89134</v>
      </c>
      <c r="AR24" s="40">
        <v>89217</v>
      </c>
      <c r="AS24" s="40">
        <v>88578</v>
      </c>
      <c r="AT24" s="40">
        <v>87725</v>
      </c>
      <c r="AU24" s="40">
        <v>86333</v>
      </c>
      <c r="AV24" s="40">
        <v>86840</v>
      </c>
      <c r="AW24" s="40">
        <v>87227</v>
      </c>
      <c r="AX24" s="40">
        <v>89540</v>
      </c>
      <c r="AY24" s="40">
        <v>91504</v>
      </c>
      <c r="AZ24" s="40">
        <v>91522</v>
      </c>
      <c r="BA24" s="40">
        <v>91545</v>
      </c>
      <c r="BB24" s="40">
        <v>92312</v>
      </c>
      <c r="BC24" s="40">
        <v>92538</v>
      </c>
      <c r="BD24" s="40">
        <v>93016</v>
      </c>
      <c r="BE24" s="40">
        <v>93082</v>
      </c>
      <c r="BF24" s="40">
        <v>93460</v>
      </c>
      <c r="BG24" s="40">
        <v>93483</v>
      </c>
      <c r="BH24" s="40">
        <v>93809</v>
      </c>
      <c r="BI24" s="40">
        <v>94084</v>
      </c>
      <c r="BJ24" s="40">
        <v>94199</v>
      </c>
      <c r="BK24" s="40">
        <v>94559</v>
      </c>
      <c r="BL24" s="40">
        <v>94883</v>
      </c>
      <c r="BM24" s="40">
        <v>95202</v>
      </c>
      <c r="BN24" s="40">
        <v>95512</v>
      </c>
      <c r="BO24" s="40">
        <v>95780</v>
      </c>
      <c r="BP24" s="40">
        <v>95884</v>
      </c>
      <c r="BQ24" s="40">
        <v>96005</v>
      </c>
      <c r="BR24" s="40">
        <v>96111</v>
      </c>
      <c r="BS24" s="40">
        <v>96084</v>
      </c>
      <c r="BT24" s="40">
        <v>96151</v>
      </c>
      <c r="BU24" s="40">
        <v>96243</v>
      </c>
      <c r="BV24" s="40">
        <v>96344</v>
      </c>
      <c r="BW24" s="40">
        <v>96393</v>
      </c>
      <c r="BX24" s="40">
        <v>96529</v>
      </c>
      <c r="BY24" s="40">
        <v>96747</v>
      </c>
      <c r="BZ24" s="40">
        <v>97053</v>
      </c>
      <c r="CA24" s="40">
        <v>97231</v>
      </c>
      <c r="CB24" s="40">
        <v>97308</v>
      </c>
      <c r="CC24" s="40">
        <v>97510</v>
      </c>
      <c r="CD24" s="40">
        <v>97633</v>
      </c>
      <c r="CE24" s="40">
        <v>97708</v>
      </c>
      <c r="CF24" s="40">
        <v>97912</v>
      </c>
      <c r="CG24" s="40">
        <v>98013</v>
      </c>
      <c r="CH24" s="40">
        <v>98128</v>
      </c>
      <c r="CI24" s="40">
        <v>98253</v>
      </c>
      <c r="CJ24" s="40">
        <v>98293</v>
      </c>
      <c r="CK24" s="40">
        <v>98355</v>
      </c>
      <c r="CL24" s="40">
        <v>98493</v>
      </c>
      <c r="CM24" s="40">
        <v>98521</v>
      </c>
      <c r="CN24" s="40">
        <v>98615</v>
      </c>
      <c r="CO24" s="40">
        <v>98719</v>
      </c>
      <c r="CP24" s="40">
        <v>98779</v>
      </c>
      <c r="CQ24" s="40">
        <v>98862</v>
      </c>
      <c r="CR24" s="40">
        <v>98877</v>
      </c>
      <c r="CS24" s="40">
        <v>98948</v>
      </c>
      <c r="CT24" s="40">
        <v>98975</v>
      </c>
      <c r="CU24" s="40">
        <v>99020</v>
      </c>
      <c r="CV24" s="40">
        <v>99046</v>
      </c>
      <c r="CW24" s="40">
        <v>99072</v>
      </c>
      <c r="CX24" s="40">
        <v>99133</v>
      </c>
      <c r="CY24" s="40">
        <v>99130</v>
      </c>
      <c r="CZ24" s="40">
        <v>99163</v>
      </c>
      <c r="DA24" s="40">
        <v>99161</v>
      </c>
      <c r="DB24" s="40">
        <v>99209</v>
      </c>
      <c r="DC24" s="40">
        <v>99221</v>
      </c>
      <c r="DD24" s="40">
        <v>99244</v>
      </c>
      <c r="DE24" s="40">
        <v>99247</v>
      </c>
      <c r="DF24" s="40">
        <v>99298</v>
      </c>
      <c r="DG24" s="40">
        <v>99313</v>
      </c>
      <c r="DH24" s="40">
        <v>99326</v>
      </c>
      <c r="DI24" s="40">
        <v>99339</v>
      </c>
      <c r="DJ24" s="40">
        <v>99381</v>
      </c>
      <c r="DK24" s="40">
        <v>99386</v>
      </c>
      <c r="DL24" s="40">
        <v>99396</v>
      </c>
      <c r="DM24" s="40">
        <v>99422</v>
      </c>
      <c r="DN24" s="40">
        <v>99447</v>
      </c>
      <c r="DO24" s="40">
        <v>99471</v>
      </c>
    </row>
    <row r="25" spans="1:119">
      <c r="A25" s="40">
        <v>23</v>
      </c>
      <c r="B25" s="40"/>
      <c r="C25" s="40"/>
      <c r="D25" s="40"/>
      <c r="E25" s="40"/>
      <c r="F25" s="40"/>
      <c r="G25" s="40"/>
      <c r="H25" s="40"/>
      <c r="I25" s="40"/>
      <c r="J25" s="40"/>
      <c r="K25" s="40"/>
      <c r="L25" s="40"/>
      <c r="M25" s="40"/>
      <c r="N25" s="40"/>
      <c r="O25" s="40"/>
      <c r="P25" s="40"/>
      <c r="Q25" s="40"/>
      <c r="R25" s="40"/>
      <c r="S25" s="40"/>
      <c r="T25" s="40"/>
      <c r="U25" s="40"/>
      <c r="V25" s="40"/>
      <c r="W25" s="40">
        <v>79070</v>
      </c>
      <c r="X25" s="40">
        <v>79742</v>
      </c>
      <c r="Y25" s="40">
        <v>79644</v>
      </c>
      <c r="Z25" s="40">
        <v>81768</v>
      </c>
      <c r="AA25" s="40">
        <v>81874</v>
      </c>
      <c r="AB25" s="40">
        <v>82476</v>
      </c>
      <c r="AC25" s="40">
        <v>83304</v>
      </c>
      <c r="AD25" s="40">
        <v>84357</v>
      </c>
      <c r="AE25" s="40">
        <v>84329</v>
      </c>
      <c r="AF25" s="40">
        <v>85703</v>
      </c>
      <c r="AG25" s="40">
        <v>86133</v>
      </c>
      <c r="AH25" s="40">
        <v>86552</v>
      </c>
      <c r="AI25" s="40">
        <v>86778</v>
      </c>
      <c r="AJ25" s="40">
        <v>88007</v>
      </c>
      <c r="AK25" s="40">
        <v>87883</v>
      </c>
      <c r="AL25" s="40">
        <v>88138</v>
      </c>
      <c r="AM25" s="40">
        <v>88426</v>
      </c>
      <c r="AN25" s="40">
        <v>88876</v>
      </c>
      <c r="AO25" s="40">
        <v>88830</v>
      </c>
      <c r="AP25" s="40">
        <v>88932</v>
      </c>
      <c r="AQ25" s="40">
        <v>88980</v>
      </c>
      <c r="AR25" s="40">
        <v>89069</v>
      </c>
      <c r="AS25" s="40">
        <v>88439</v>
      </c>
      <c r="AT25" s="40">
        <v>87582</v>
      </c>
      <c r="AU25" s="40">
        <v>86178</v>
      </c>
      <c r="AV25" s="40">
        <v>86705</v>
      </c>
      <c r="AW25" s="40">
        <v>87086</v>
      </c>
      <c r="AX25" s="40">
        <v>89385</v>
      </c>
      <c r="AY25" s="40">
        <v>91349</v>
      </c>
      <c r="AZ25" s="40">
        <v>91355</v>
      </c>
      <c r="BA25" s="40">
        <v>91405</v>
      </c>
      <c r="BB25" s="40">
        <v>92181</v>
      </c>
      <c r="BC25" s="40">
        <v>92392</v>
      </c>
      <c r="BD25" s="40">
        <v>92869</v>
      </c>
      <c r="BE25" s="40">
        <v>92936</v>
      </c>
      <c r="BF25" s="40">
        <v>93308</v>
      </c>
      <c r="BG25" s="40">
        <v>93334</v>
      </c>
      <c r="BH25" s="40">
        <v>93684</v>
      </c>
      <c r="BI25" s="40">
        <v>93965</v>
      </c>
      <c r="BJ25" s="40">
        <v>94073</v>
      </c>
      <c r="BK25" s="40">
        <v>94435</v>
      </c>
      <c r="BL25" s="40">
        <v>94766</v>
      </c>
      <c r="BM25" s="40">
        <v>95098</v>
      </c>
      <c r="BN25" s="40">
        <v>95409</v>
      </c>
      <c r="BO25" s="40">
        <v>95683</v>
      </c>
      <c r="BP25" s="40">
        <v>95785</v>
      </c>
      <c r="BQ25" s="40">
        <v>95903</v>
      </c>
      <c r="BR25" s="40">
        <v>96003</v>
      </c>
      <c r="BS25" s="40">
        <v>95972</v>
      </c>
      <c r="BT25" s="40">
        <v>96050</v>
      </c>
      <c r="BU25" s="40">
        <v>96145</v>
      </c>
      <c r="BV25" s="40">
        <v>96242</v>
      </c>
      <c r="BW25" s="40">
        <v>96299</v>
      </c>
      <c r="BX25" s="40">
        <v>96437</v>
      </c>
      <c r="BY25" s="40">
        <v>96664</v>
      </c>
      <c r="BZ25" s="40">
        <v>96957</v>
      </c>
      <c r="CA25" s="40">
        <v>97145</v>
      </c>
      <c r="CB25" s="40">
        <v>97230</v>
      </c>
      <c r="CC25" s="40">
        <v>97426</v>
      </c>
      <c r="CD25" s="40">
        <v>97559</v>
      </c>
      <c r="CE25" s="40">
        <v>97634</v>
      </c>
      <c r="CF25" s="40">
        <v>97849</v>
      </c>
      <c r="CG25" s="40">
        <v>97957</v>
      </c>
      <c r="CH25" s="40">
        <v>98062</v>
      </c>
      <c r="CI25" s="40">
        <v>98198</v>
      </c>
      <c r="CJ25" s="40">
        <v>98239</v>
      </c>
      <c r="CK25" s="40">
        <v>98304</v>
      </c>
      <c r="CL25" s="40">
        <v>98441</v>
      </c>
      <c r="CM25" s="40">
        <v>98468</v>
      </c>
      <c r="CN25" s="40">
        <v>98567</v>
      </c>
      <c r="CO25" s="40">
        <v>98680</v>
      </c>
      <c r="CP25" s="40">
        <v>98736</v>
      </c>
      <c r="CQ25" s="40">
        <v>98815</v>
      </c>
      <c r="CR25" s="40">
        <v>98831</v>
      </c>
      <c r="CS25" s="40">
        <v>98904</v>
      </c>
      <c r="CT25" s="40">
        <v>98932</v>
      </c>
      <c r="CU25" s="40">
        <v>98979</v>
      </c>
      <c r="CV25" s="40">
        <v>99006</v>
      </c>
      <c r="CW25" s="40">
        <v>99033</v>
      </c>
      <c r="CX25" s="40">
        <v>99095</v>
      </c>
      <c r="CY25" s="40">
        <v>99094</v>
      </c>
      <c r="CZ25" s="40">
        <v>99127</v>
      </c>
      <c r="DA25" s="40">
        <v>99127</v>
      </c>
      <c r="DB25" s="40">
        <v>99176</v>
      </c>
      <c r="DC25" s="40">
        <v>99189</v>
      </c>
      <c r="DD25" s="40">
        <v>99213</v>
      </c>
      <c r="DE25" s="40">
        <v>99216</v>
      </c>
      <c r="DF25" s="40">
        <v>99269</v>
      </c>
      <c r="DG25" s="40">
        <v>99284</v>
      </c>
      <c r="DH25" s="40">
        <v>99298</v>
      </c>
      <c r="DI25" s="40">
        <v>99313</v>
      </c>
      <c r="DJ25" s="40">
        <v>99355</v>
      </c>
      <c r="DK25" s="40">
        <v>99361</v>
      </c>
      <c r="DL25" s="40">
        <v>99372</v>
      </c>
      <c r="DM25" s="40">
        <v>99399</v>
      </c>
      <c r="DN25" s="40">
        <v>99425</v>
      </c>
      <c r="DO25" s="40">
        <v>99449</v>
      </c>
    </row>
    <row r="26" spans="1:119">
      <c r="A26" s="40">
        <v>24</v>
      </c>
      <c r="B26" s="40"/>
      <c r="C26" s="40"/>
      <c r="D26" s="40"/>
      <c r="E26" s="40"/>
      <c r="F26" s="40"/>
      <c r="G26" s="40"/>
      <c r="H26" s="40"/>
      <c r="I26" s="40"/>
      <c r="J26" s="40"/>
      <c r="K26" s="40"/>
      <c r="L26" s="40"/>
      <c r="M26" s="40"/>
      <c r="N26" s="40"/>
      <c r="O26" s="40"/>
      <c r="P26" s="40"/>
      <c r="Q26" s="40"/>
      <c r="R26" s="40"/>
      <c r="S26" s="40"/>
      <c r="T26" s="40"/>
      <c r="U26" s="40"/>
      <c r="V26" s="40"/>
      <c r="W26" s="40">
        <v>78777</v>
      </c>
      <c r="X26" s="40">
        <v>79316</v>
      </c>
      <c r="Y26" s="40">
        <v>79260</v>
      </c>
      <c r="Z26" s="40">
        <v>81374</v>
      </c>
      <c r="AA26" s="40">
        <v>81618</v>
      </c>
      <c r="AB26" s="40">
        <v>82300</v>
      </c>
      <c r="AC26" s="40">
        <v>83126</v>
      </c>
      <c r="AD26" s="40">
        <v>84177</v>
      </c>
      <c r="AE26" s="40">
        <v>84168</v>
      </c>
      <c r="AF26" s="40">
        <v>85527</v>
      </c>
      <c r="AG26" s="40">
        <v>85972</v>
      </c>
      <c r="AH26" s="40">
        <v>86387</v>
      </c>
      <c r="AI26" s="40">
        <v>86608</v>
      </c>
      <c r="AJ26" s="40">
        <v>87847</v>
      </c>
      <c r="AK26" s="40">
        <v>87732</v>
      </c>
      <c r="AL26" s="40">
        <v>87990</v>
      </c>
      <c r="AM26" s="40">
        <v>88279</v>
      </c>
      <c r="AN26" s="40">
        <v>88720</v>
      </c>
      <c r="AO26" s="40">
        <v>88681</v>
      </c>
      <c r="AP26" s="40">
        <v>88783</v>
      </c>
      <c r="AQ26" s="40">
        <v>88834</v>
      </c>
      <c r="AR26" s="40">
        <v>88922</v>
      </c>
      <c r="AS26" s="40">
        <v>88305</v>
      </c>
      <c r="AT26" s="40">
        <v>87454</v>
      </c>
      <c r="AU26" s="40">
        <v>86045</v>
      </c>
      <c r="AV26" s="40">
        <v>86562</v>
      </c>
      <c r="AW26" s="40">
        <v>86943</v>
      </c>
      <c r="AX26" s="40">
        <v>89237</v>
      </c>
      <c r="AY26" s="40">
        <v>91211</v>
      </c>
      <c r="AZ26" s="40">
        <v>91232</v>
      </c>
      <c r="BA26" s="40">
        <v>91275</v>
      </c>
      <c r="BB26" s="40">
        <v>92049</v>
      </c>
      <c r="BC26" s="40">
        <v>92247</v>
      </c>
      <c r="BD26" s="40">
        <v>92727</v>
      </c>
      <c r="BE26" s="40">
        <v>92800</v>
      </c>
      <c r="BF26" s="40">
        <v>93173</v>
      </c>
      <c r="BG26" s="40">
        <v>93203</v>
      </c>
      <c r="BH26" s="40">
        <v>93560</v>
      </c>
      <c r="BI26" s="40">
        <v>93845</v>
      </c>
      <c r="BJ26" s="40">
        <v>93954</v>
      </c>
      <c r="BK26" s="40">
        <v>94338</v>
      </c>
      <c r="BL26" s="40">
        <v>94667</v>
      </c>
      <c r="BM26" s="40">
        <v>95003</v>
      </c>
      <c r="BN26" s="40">
        <v>95310</v>
      </c>
      <c r="BO26" s="40">
        <v>95584</v>
      </c>
      <c r="BP26" s="40">
        <v>95689</v>
      </c>
      <c r="BQ26" s="40">
        <v>95795</v>
      </c>
      <c r="BR26" s="40">
        <v>95896</v>
      </c>
      <c r="BS26" s="40">
        <v>95871</v>
      </c>
      <c r="BT26" s="40">
        <v>95951</v>
      </c>
      <c r="BU26" s="40">
        <v>96056</v>
      </c>
      <c r="BV26" s="40">
        <v>96146</v>
      </c>
      <c r="BW26" s="40">
        <v>96196</v>
      </c>
      <c r="BX26" s="40">
        <v>96347</v>
      </c>
      <c r="BY26" s="40">
        <v>96580</v>
      </c>
      <c r="BZ26" s="40">
        <v>96873</v>
      </c>
      <c r="CA26" s="40">
        <v>97065</v>
      </c>
      <c r="CB26" s="40">
        <v>97156</v>
      </c>
      <c r="CC26" s="40">
        <v>97345</v>
      </c>
      <c r="CD26" s="40">
        <v>97490</v>
      </c>
      <c r="CE26" s="40">
        <v>97570</v>
      </c>
      <c r="CF26" s="40">
        <v>97791</v>
      </c>
      <c r="CG26" s="40">
        <v>97897</v>
      </c>
      <c r="CH26" s="40">
        <v>98003</v>
      </c>
      <c r="CI26" s="40">
        <v>98145</v>
      </c>
      <c r="CJ26" s="40">
        <v>98193</v>
      </c>
      <c r="CK26" s="40">
        <v>98247</v>
      </c>
      <c r="CL26" s="40">
        <v>98383</v>
      </c>
      <c r="CM26" s="40">
        <v>98422</v>
      </c>
      <c r="CN26" s="40">
        <v>98520</v>
      </c>
      <c r="CO26" s="40">
        <v>98630</v>
      </c>
      <c r="CP26" s="40">
        <v>98690</v>
      </c>
      <c r="CQ26" s="40">
        <v>98771</v>
      </c>
      <c r="CR26" s="40">
        <v>98788</v>
      </c>
      <c r="CS26" s="40">
        <v>98862</v>
      </c>
      <c r="CT26" s="40">
        <v>98892</v>
      </c>
      <c r="CU26" s="40">
        <v>98939</v>
      </c>
      <c r="CV26" s="40">
        <v>98968</v>
      </c>
      <c r="CW26" s="40">
        <v>98996</v>
      </c>
      <c r="CX26" s="40">
        <v>99059</v>
      </c>
      <c r="CY26" s="40">
        <v>99059</v>
      </c>
      <c r="CZ26" s="40">
        <v>99094</v>
      </c>
      <c r="DA26" s="40">
        <v>99095</v>
      </c>
      <c r="DB26" s="40">
        <v>99144</v>
      </c>
      <c r="DC26" s="40">
        <v>99158</v>
      </c>
      <c r="DD26" s="40">
        <v>99184</v>
      </c>
      <c r="DE26" s="40">
        <v>99188</v>
      </c>
      <c r="DF26" s="40">
        <v>99241</v>
      </c>
      <c r="DG26" s="40">
        <v>99257</v>
      </c>
      <c r="DH26" s="40">
        <v>99272</v>
      </c>
      <c r="DI26" s="40">
        <v>99287</v>
      </c>
      <c r="DJ26" s="40">
        <v>99330</v>
      </c>
      <c r="DK26" s="40">
        <v>99337</v>
      </c>
      <c r="DL26" s="40">
        <v>99348</v>
      </c>
      <c r="DM26" s="40">
        <v>99376</v>
      </c>
      <c r="DN26" s="40">
        <v>99403</v>
      </c>
      <c r="DO26" s="40">
        <v>99428</v>
      </c>
    </row>
    <row r="27" spans="1:119">
      <c r="A27" s="40">
        <v>25</v>
      </c>
      <c r="B27" s="40"/>
      <c r="C27" s="40"/>
      <c r="D27" s="40"/>
      <c r="E27" s="40"/>
      <c r="F27" s="40"/>
      <c r="G27" s="40"/>
      <c r="H27" s="40"/>
      <c r="I27" s="40"/>
      <c r="J27" s="40"/>
      <c r="K27" s="40"/>
      <c r="L27" s="40"/>
      <c r="M27" s="40"/>
      <c r="N27" s="40"/>
      <c r="O27" s="40"/>
      <c r="P27" s="40"/>
      <c r="Q27" s="40"/>
      <c r="R27" s="40"/>
      <c r="S27" s="40"/>
      <c r="T27" s="40"/>
      <c r="U27" s="40"/>
      <c r="V27" s="40"/>
      <c r="W27" s="40">
        <v>78357</v>
      </c>
      <c r="X27" s="40">
        <v>78946</v>
      </c>
      <c r="Y27" s="40">
        <v>78890</v>
      </c>
      <c r="Z27" s="40">
        <v>81128</v>
      </c>
      <c r="AA27" s="40">
        <v>81439</v>
      </c>
      <c r="AB27" s="40">
        <v>82120</v>
      </c>
      <c r="AC27" s="40">
        <v>82944</v>
      </c>
      <c r="AD27" s="40">
        <v>84033</v>
      </c>
      <c r="AE27" s="40">
        <v>84008</v>
      </c>
      <c r="AF27" s="40">
        <v>85370</v>
      </c>
      <c r="AG27" s="40">
        <v>85805</v>
      </c>
      <c r="AH27" s="40">
        <v>86228</v>
      </c>
      <c r="AI27" s="40">
        <v>86454</v>
      </c>
      <c r="AJ27" s="40">
        <v>87699</v>
      </c>
      <c r="AK27" s="40">
        <v>87582</v>
      </c>
      <c r="AL27" s="40">
        <v>87847</v>
      </c>
      <c r="AM27" s="40">
        <v>88132</v>
      </c>
      <c r="AN27" s="40">
        <v>88580</v>
      </c>
      <c r="AO27" s="40">
        <v>88534</v>
      </c>
      <c r="AP27" s="40">
        <v>88638</v>
      </c>
      <c r="AQ27" s="40">
        <v>88701</v>
      </c>
      <c r="AR27" s="40">
        <v>88783</v>
      </c>
      <c r="AS27" s="40">
        <v>88176</v>
      </c>
      <c r="AT27" s="40">
        <v>87327</v>
      </c>
      <c r="AU27" s="40">
        <v>85912</v>
      </c>
      <c r="AV27" s="40">
        <v>86415</v>
      </c>
      <c r="AW27" s="40">
        <v>86800</v>
      </c>
      <c r="AX27" s="40">
        <v>89109</v>
      </c>
      <c r="AY27" s="40">
        <v>91083</v>
      </c>
      <c r="AZ27" s="40">
        <v>91115</v>
      </c>
      <c r="BA27" s="40">
        <v>91146</v>
      </c>
      <c r="BB27" s="40">
        <v>91920</v>
      </c>
      <c r="BC27" s="40">
        <v>92115</v>
      </c>
      <c r="BD27" s="40">
        <v>92603</v>
      </c>
      <c r="BE27" s="40">
        <v>92664</v>
      </c>
      <c r="BF27" s="40">
        <v>93051</v>
      </c>
      <c r="BG27" s="40">
        <v>93086</v>
      </c>
      <c r="BH27" s="40">
        <v>93447</v>
      </c>
      <c r="BI27" s="40">
        <v>93736</v>
      </c>
      <c r="BJ27" s="40">
        <v>93844</v>
      </c>
      <c r="BK27" s="40">
        <v>94234</v>
      </c>
      <c r="BL27" s="40">
        <v>94569</v>
      </c>
      <c r="BM27" s="40">
        <v>94905</v>
      </c>
      <c r="BN27" s="40">
        <v>95213</v>
      </c>
      <c r="BO27" s="40">
        <v>95491</v>
      </c>
      <c r="BP27" s="40">
        <v>95589</v>
      </c>
      <c r="BQ27" s="40">
        <v>95701</v>
      </c>
      <c r="BR27" s="40">
        <v>95796</v>
      </c>
      <c r="BS27" s="40">
        <v>95773</v>
      </c>
      <c r="BT27" s="40">
        <v>95856</v>
      </c>
      <c r="BU27" s="40">
        <v>95959</v>
      </c>
      <c r="BV27" s="40">
        <v>96063</v>
      </c>
      <c r="BW27" s="40">
        <v>96111</v>
      </c>
      <c r="BX27" s="40">
        <v>96265</v>
      </c>
      <c r="BY27" s="40">
        <v>96487</v>
      </c>
      <c r="BZ27" s="40">
        <v>96794</v>
      </c>
      <c r="CA27" s="40">
        <v>96990</v>
      </c>
      <c r="CB27" s="40">
        <v>97088</v>
      </c>
      <c r="CC27" s="40">
        <v>97275</v>
      </c>
      <c r="CD27" s="40">
        <v>97422</v>
      </c>
      <c r="CE27" s="40">
        <v>97514</v>
      </c>
      <c r="CF27" s="40">
        <v>97730</v>
      </c>
      <c r="CG27" s="40">
        <v>97843</v>
      </c>
      <c r="CH27" s="40">
        <v>97948</v>
      </c>
      <c r="CI27" s="40">
        <v>98090</v>
      </c>
      <c r="CJ27" s="40">
        <v>98134</v>
      </c>
      <c r="CK27" s="40">
        <v>98193</v>
      </c>
      <c r="CL27" s="40">
        <v>98337</v>
      </c>
      <c r="CM27" s="40">
        <v>98377</v>
      </c>
      <c r="CN27" s="40">
        <v>98472</v>
      </c>
      <c r="CO27" s="40">
        <v>98584</v>
      </c>
      <c r="CP27" s="40">
        <v>98646</v>
      </c>
      <c r="CQ27" s="40">
        <v>98728</v>
      </c>
      <c r="CR27" s="40">
        <v>98747</v>
      </c>
      <c r="CS27" s="40">
        <v>98822</v>
      </c>
      <c r="CT27" s="40">
        <v>98853</v>
      </c>
      <c r="CU27" s="40">
        <v>98901</v>
      </c>
      <c r="CV27" s="40">
        <v>98931</v>
      </c>
      <c r="CW27" s="40">
        <v>98960</v>
      </c>
      <c r="CX27" s="40">
        <v>99024</v>
      </c>
      <c r="CY27" s="40">
        <v>99025</v>
      </c>
      <c r="CZ27" s="40">
        <v>99061</v>
      </c>
      <c r="DA27" s="40">
        <v>99063</v>
      </c>
      <c r="DB27" s="40">
        <v>99114</v>
      </c>
      <c r="DC27" s="40">
        <v>99128</v>
      </c>
      <c r="DD27" s="40">
        <v>99155</v>
      </c>
      <c r="DE27" s="40">
        <v>99159</v>
      </c>
      <c r="DF27" s="40">
        <v>99213</v>
      </c>
      <c r="DG27" s="40">
        <v>99231</v>
      </c>
      <c r="DH27" s="40">
        <v>99246</v>
      </c>
      <c r="DI27" s="40">
        <v>99262</v>
      </c>
      <c r="DJ27" s="40">
        <v>99306</v>
      </c>
      <c r="DK27" s="40">
        <v>99313</v>
      </c>
      <c r="DL27" s="40">
        <v>99325</v>
      </c>
      <c r="DM27" s="40">
        <v>99354</v>
      </c>
      <c r="DN27" s="40">
        <v>99381</v>
      </c>
      <c r="DO27" s="40">
        <v>99407</v>
      </c>
    </row>
    <row r="28" spans="1:119">
      <c r="A28" s="40">
        <v>26</v>
      </c>
      <c r="B28" s="40"/>
      <c r="C28" s="40"/>
      <c r="D28" s="40"/>
      <c r="E28" s="40"/>
      <c r="F28" s="40"/>
      <c r="G28" s="40"/>
      <c r="H28" s="40"/>
      <c r="I28" s="40"/>
      <c r="J28" s="40"/>
      <c r="K28" s="40"/>
      <c r="L28" s="40"/>
      <c r="M28" s="40"/>
      <c r="N28" s="40"/>
      <c r="O28" s="40"/>
      <c r="P28" s="40"/>
      <c r="Q28" s="40"/>
      <c r="R28" s="40"/>
      <c r="S28" s="40"/>
      <c r="T28" s="40"/>
      <c r="U28" s="40"/>
      <c r="V28" s="40"/>
      <c r="W28" s="40">
        <v>78003</v>
      </c>
      <c r="X28" s="40">
        <v>78590</v>
      </c>
      <c r="Y28" s="40">
        <v>78659</v>
      </c>
      <c r="Z28" s="40">
        <v>80947</v>
      </c>
      <c r="AA28" s="40">
        <v>81257</v>
      </c>
      <c r="AB28" s="40">
        <v>81937</v>
      </c>
      <c r="AC28" s="40">
        <v>82793</v>
      </c>
      <c r="AD28" s="40">
        <v>83880</v>
      </c>
      <c r="AE28" s="40">
        <v>83859</v>
      </c>
      <c r="AF28" s="40">
        <v>85208</v>
      </c>
      <c r="AG28" s="40">
        <v>85653</v>
      </c>
      <c r="AH28" s="40">
        <v>86078</v>
      </c>
      <c r="AI28" s="40">
        <v>86305</v>
      </c>
      <c r="AJ28" s="40">
        <v>87550</v>
      </c>
      <c r="AK28" s="40">
        <v>87444</v>
      </c>
      <c r="AL28" s="40">
        <v>87702</v>
      </c>
      <c r="AM28" s="40">
        <v>87997</v>
      </c>
      <c r="AN28" s="40">
        <v>88445</v>
      </c>
      <c r="AO28" s="40">
        <v>88391</v>
      </c>
      <c r="AP28" s="40">
        <v>88496</v>
      </c>
      <c r="AQ28" s="40">
        <v>88566</v>
      </c>
      <c r="AR28" s="40">
        <v>88646</v>
      </c>
      <c r="AS28" s="40">
        <v>88051</v>
      </c>
      <c r="AT28" s="40">
        <v>87203</v>
      </c>
      <c r="AU28" s="40">
        <v>85769</v>
      </c>
      <c r="AV28" s="40">
        <v>86285</v>
      </c>
      <c r="AW28" s="40">
        <v>86663</v>
      </c>
      <c r="AX28" s="40">
        <v>88989</v>
      </c>
      <c r="AY28" s="40">
        <v>90970</v>
      </c>
      <c r="AZ28" s="40">
        <v>90999</v>
      </c>
      <c r="BA28" s="40">
        <v>91019</v>
      </c>
      <c r="BB28" s="40">
        <v>91798</v>
      </c>
      <c r="BC28" s="40">
        <v>91987</v>
      </c>
      <c r="BD28" s="40">
        <v>92478</v>
      </c>
      <c r="BE28" s="40">
        <v>92542</v>
      </c>
      <c r="BF28" s="40">
        <v>92930</v>
      </c>
      <c r="BG28" s="40">
        <v>92970</v>
      </c>
      <c r="BH28" s="40">
        <v>93342</v>
      </c>
      <c r="BI28" s="40">
        <v>93632</v>
      </c>
      <c r="BJ28" s="40">
        <v>93749</v>
      </c>
      <c r="BK28" s="40">
        <v>94135</v>
      </c>
      <c r="BL28" s="40">
        <v>94470</v>
      </c>
      <c r="BM28" s="40">
        <v>94813</v>
      </c>
      <c r="BN28" s="40">
        <v>95115</v>
      </c>
      <c r="BO28" s="40">
        <v>95384</v>
      </c>
      <c r="BP28" s="40">
        <v>95480</v>
      </c>
      <c r="BQ28" s="40">
        <v>95600</v>
      </c>
      <c r="BR28" s="40">
        <v>95702</v>
      </c>
      <c r="BS28" s="40">
        <v>95681</v>
      </c>
      <c r="BT28" s="40">
        <v>95769</v>
      </c>
      <c r="BU28" s="40">
        <v>95873</v>
      </c>
      <c r="BV28" s="40">
        <v>95977</v>
      </c>
      <c r="BW28" s="40">
        <v>96036</v>
      </c>
      <c r="BX28" s="40">
        <v>96187</v>
      </c>
      <c r="BY28" s="40">
        <v>96411</v>
      </c>
      <c r="BZ28" s="40">
        <v>96720</v>
      </c>
      <c r="CA28" s="40">
        <v>96918</v>
      </c>
      <c r="CB28" s="40">
        <v>97014</v>
      </c>
      <c r="CC28" s="40">
        <v>97217</v>
      </c>
      <c r="CD28" s="40">
        <v>97360</v>
      </c>
      <c r="CE28" s="40">
        <v>97448</v>
      </c>
      <c r="CF28" s="40">
        <v>97675</v>
      </c>
      <c r="CG28" s="40">
        <v>97786</v>
      </c>
      <c r="CH28" s="40">
        <v>97895</v>
      </c>
      <c r="CI28" s="40">
        <v>98037</v>
      </c>
      <c r="CJ28" s="40">
        <v>98079</v>
      </c>
      <c r="CK28" s="40">
        <v>98140</v>
      </c>
      <c r="CL28" s="40">
        <v>98286</v>
      </c>
      <c r="CM28" s="40">
        <v>98327</v>
      </c>
      <c r="CN28" s="40">
        <v>98427</v>
      </c>
      <c r="CO28" s="40">
        <v>98540</v>
      </c>
      <c r="CP28" s="40">
        <v>98602</v>
      </c>
      <c r="CQ28" s="40">
        <v>98686</v>
      </c>
      <c r="CR28" s="40">
        <v>98706</v>
      </c>
      <c r="CS28" s="40">
        <v>98782</v>
      </c>
      <c r="CT28" s="40">
        <v>98814</v>
      </c>
      <c r="CU28" s="40">
        <v>98864</v>
      </c>
      <c r="CV28" s="40">
        <v>98894</v>
      </c>
      <c r="CW28" s="40">
        <v>98925</v>
      </c>
      <c r="CX28" s="40">
        <v>98990</v>
      </c>
      <c r="CY28" s="40">
        <v>98992</v>
      </c>
      <c r="CZ28" s="40">
        <v>99029</v>
      </c>
      <c r="DA28" s="40">
        <v>99031</v>
      </c>
      <c r="DB28" s="40">
        <v>99083</v>
      </c>
      <c r="DC28" s="40">
        <v>99099</v>
      </c>
      <c r="DD28" s="40">
        <v>99126</v>
      </c>
      <c r="DE28" s="40">
        <v>99131</v>
      </c>
      <c r="DF28" s="40">
        <v>99186</v>
      </c>
      <c r="DG28" s="40">
        <v>99204</v>
      </c>
      <c r="DH28" s="40">
        <v>99220</v>
      </c>
      <c r="DI28" s="40">
        <v>99237</v>
      </c>
      <c r="DJ28" s="40">
        <v>99281</v>
      </c>
      <c r="DK28" s="40">
        <v>99290</v>
      </c>
      <c r="DL28" s="40">
        <v>99303</v>
      </c>
      <c r="DM28" s="40">
        <v>99332</v>
      </c>
      <c r="DN28" s="40">
        <v>99359</v>
      </c>
      <c r="DO28" s="40">
        <v>99386</v>
      </c>
    </row>
    <row r="29" spans="1:119">
      <c r="A29" s="40">
        <v>27</v>
      </c>
      <c r="B29" s="40"/>
      <c r="C29" s="40"/>
      <c r="D29" s="40"/>
      <c r="E29" s="40"/>
      <c r="F29" s="40"/>
      <c r="G29" s="40"/>
      <c r="H29" s="40"/>
      <c r="I29" s="40"/>
      <c r="J29" s="40"/>
      <c r="K29" s="40"/>
      <c r="L29" s="40"/>
      <c r="M29" s="40"/>
      <c r="N29" s="40"/>
      <c r="O29" s="40"/>
      <c r="P29" s="40"/>
      <c r="Q29" s="40"/>
      <c r="R29" s="40"/>
      <c r="S29" s="40"/>
      <c r="T29" s="40"/>
      <c r="U29" s="40"/>
      <c r="V29" s="40"/>
      <c r="W29" s="40">
        <v>77662</v>
      </c>
      <c r="X29" s="40">
        <v>78367</v>
      </c>
      <c r="Y29" s="40">
        <v>78482</v>
      </c>
      <c r="Z29" s="40">
        <v>80764</v>
      </c>
      <c r="AA29" s="40">
        <v>81074</v>
      </c>
      <c r="AB29" s="40">
        <v>81792</v>
      </c>
      <c r="AC29" s="40">
        <v>82634</v>
      </c>
      <c r="AD29" s="40">
        <v>83720</v>
      </c>
      <c r="AE29" s="40">
        <v>83709</v>
      </c>
      <c r="AF29" s="40">
        <v>85051</v>
      </c>
      <c r="AG29" s="40">
        <v>85500</v>
      </c>
      <c r="AH29" s="40">
        <v>85933</v>
      </c>
      <c r="AI29" s="40">
        <v>86157</v>
      </c>
      <c r="AJ29" s="40">
        <v>87406</v>
      </c>
      <c r="AK29" s="40">
        <v>87299</v>
      </c>
      <c r="AL29" s="40">
        <v>87569</v>
      </c>
      <c r="AM29" s="40">
        <v>87859</v>
      </c>
      <c r="AN29" s="40">
        <v>88314</v>
      </c>
      <c r="AO29" s="40">
        <v>88252</v>
      </c>
      <c r="AP29" s="40">
        <v>88365</v>
      </c>
      <c r="AQ29" s="40">
        <v>88436</v>
      </c>
      <c r="AR29" s="40">
        <v>88522</v>
      </c>
      <c r="AS29" s="40">
        <v>87918</v>
      </c>
      <c r="AT29" s="40">
        <v>87068</v>
      </c>
      <c r="AU29" s="40">
        <v>85631</v>
      </c>
      <c r="AV29" s="40">
        <v>86150</v>
      </c>
      <c r="AW29" s="40">
        <v>86556</v>
      </c>
      <c r="AX29" s="40">
        <v>88874</v>
      </c>
      <c r="AY29" s="40">
        <v>90855</v>
      </c>
      <c r="AZ29" s="40">
        <v>90875</v>
      </c>
      <c r="BA29" s="40">
        <v>90890</v>
      </c>
      <c r="BB29" s="40">
        <v>91673</v>
      </c>
      <c r="BC29" s="40">
        <v>91871</v>
      </c>
      <c r="BD29" s="40">
        <v>92359</v>
      </c>
      <c r="BE29" s="40">
        <v>92427</v>
      </c>
      <c r="BF29" s="40">
        <v>92813</v>
      </c>
      <c r="BG29" s="40">
        <v>92867</v>
      </c>
      <c r="BH29" s="40">
        <v>93236</v>
      </c>
      <c r="BI29" s="40">
        <v>93534</v>
      </c>
      <c r="BJ29" s="40">
        <v>93652</v>
      </c>
      <c r="BK29" s="40">
        <v>94035</v>
      </c>
      <c r="BL29" s="40">
        <v>94372</v>
      </c>
      <c r="BM29" s="40">
        <v>94715</v>
      </c>
      <c r="BN29" s="40">
        <v>95008</v>
      </c>
      <c r="BO29" s="40">
        <v>95275</v>
      </c>
      <c r="BP29" s="40">
        <v>95380</v>
      </c>
      <c r="BQ29" s="40">
        <v>95507</v>
      </c>
      <c r="BR29" s="40">
        <v>95614</v>
      </c>
      <c r="BS29" s="40">
        <v>95597</v>
      </c>
      <c r="BT29" s="40">
        <v>95684</v>
      </c>
      <c r="BU29" s="40">
        <v>95795</v>
      </c>
      <c r="BV29" s="40">
        <v>95895</v>
      </c>
      <c r="BW29" s="40">
        <v>95956</v>
      </c>
      <c r="BX29" s="40">
        <v>96115</v>
      </c>
      <c r="BY29" s="40">
        <v>96338</v>
      </c>
      <c r="BZ29" s="40">
        <v>96650</v>
      </c>
      <c r="CA29" s="40">
        <v>96848</v>
      </c>
      <c r="CB29" s="40">
        <v>96946</v>
      </c>
      <c r="CC29" s="40">
        <v>97155</v>
      </c>
      <c r="CD29" s="40">
        <v>97295</v>
      </c>
      <c r="CE29" s="40">
        <v>97389</v>
      </c>
      <c r="CF29" s="40">
        <v>97615</v>
      </c>
      <c r="CG29" s="40">
        <v>97724</v>
      </c>
      <c r="CH29" s="40">
        <v>97838</v>
      </c>
      <c r="CI29" s="40">
        <v>97982</v>
      </c>
      <c r="CJ29" s="40">
        <v>98025</v>
      </c>
      <c r="CK29" s="40">
        <v>98091</v>
      </c>
      <c r="CL29" s="40">
        <v>98241</v>
      </c>
      <c r="CM29" s="40">
        <v>98280</v>
      </c>
      <c r="CN29" s="40">
        <v>98380</v>
      </c>
      <c r="CO29" s="40">
        <v>98495</v>
      </c>
      <c r="CP29" s="40">
        <v>98559</v>
      </c>
      <c r="CQ29" s="40">
        <v>98643</v>
      </c>
      <c r="CR29" s="40">
        <v>98665</v>
      </c>
      <c r="CS29" s="40">
        <v>98742</v>
      </c>
      <c r="CT29" s="40">
        <v>98775</v>
      </c>
      <c r="CU29" s="40">
        <v>98826</v>
      </c>
      <c r="CV29" s="40">
        <v>98858</v>
      </c>
      <c r="CW29" s="40">
        <v>98889</v>
      </c>
      <c r="CX29" s="40">
        <v>98955</v>
      </c>
      <c r="CY29" s="40">
        <v>98958</v>
      </c>
      <c r="CZ29" s="40">
        <v>98996</v>
      </c>
      <c r="DA29" s="40">
        <v>99000</v>
      </c>
      <c r="DB29" s="40">
        <v>99052</v>
      </c>
      <c r="DC29" s="40">
        <v>99069</v>
      </c>
      <c r="DD29" s="40">
        <v>99096</v>
      </c>
      <c r="DE29" s="40">
        <v>99103</v>
      </c>
      <c r="DF29" s="40">
        <v>99158</v>
      </c>
      <c r="DG29" s="40">
        <v>99177</v>
      </c>
      <c r="DH29" s="40">
        <v>99194</v>
      </c>
      <c r="DI29" s="40">
        <v>99212</v>
      </c>
      <c r="DJ29" s="40">
        <v>99257</v>
      </c>
      <c r="DK29" s="40">
        <v>99266</v>
      </c>
      <c r="DL29" s="40">
        <v>99279</v>
      </c>
      <c r="DM29" s="40">
        <v>99309</v>
      </c>
      <c r="DN29" s="40">
        <v>99337</v>
      </c>
      <c r="DO29" s="40">
        <v>99364</v>
      </c>
    </row>
    <row r="30" spans="1:119">
      <c r="A30" s="40">
        <v>28</v>
      </c>
      <c r="B30" s="40"/>
      <c r="C30" s="40"/>
      <c r="D30" s="40"/>
      <c r="E30" s="40"/>
      <c r="F30" s="40"/>
      <c r="G30" s="40"/>
      <c r="H30" s="40"/>
      <c r="I30" s="40"/>
      <c r="J30" s="40"/>
      <c r="K30" s="40"/>
      <c r="L30" s="40"/>
      <c r="M30" s="40"/>
      <c r="N30" s="40"/>
      <c r="O30" s="40"/>
      <c r="P30" s="40"/>
      <c r="Q30" s="40"/>
      <c r="R30" s="40"/>
      <c r="S30" s="40"/>
      <c r="T30" s="40"/>
      <c r="U30" s="40"/>
      <c r="V30" s="40"/>
      <c r="W30" s="40">
        <v>77414</v>
      </c>
      <c r="X30" s="40">
        <v>78191</v>
      </c>
      <c r="Y30" s="40">
        <v>78305</v>
      </c>
      <c r="Z30" s="40">
        <v>80582</v>
      </c>
      <c r="AA30" s="40">
        <v>80931</v>
      </c>
      <c r="AB30" s="40">
        <v>81646</v>
      </c>
      <c r="AC30" s="40">
        <v>82488</v>
      </c>
      <c r="AD30" s="40">
        <v>83568</v>
      </c>
      <c r="AE30" s="40">
        <v>83552</v>
      </c>
      <c r="AF30" s="40">
        <v>84913</v>
      </c>
      <c r="AG30" s="40">
        <v>85351</v>
      </c>
      <c r="AH30" s="40">
        <v>85780</v>
      </c>
      <c r="AI30" s="40">
        <v>86010</v>
      </c>
      <c r="AJ30" s="40">
        <v>87270</v>
      </c>
      <c r="AK30" s="40">
        <v>87164</v>
      </c>
      <c r="AL30" s="40">
        <v>87435</v>
      </c>
      <c r="AM30" s="40">
        <v>87723</v>
      </c>
      <c r="AN30" s="40">
        <v>88179</v>
      </c>
      <c r="AO30" s="40">
        <v>88110</v>
      </c>
      <c r="AP30" s="40">
        <v>88237</v>
      </c>
      <c r="AQ30" s="40">
        <v>88306</v>
      </c>
      <c r="AR30" s="40">
        <v>88381</v>
      </c>
      <c r="AS30" s="40">
        <v>87778</v>
      </c>
      <c r="AT30" s="40">
        <v>86942</v>
      </c>
      <c r="AU30" s="40">
        <v>85502</v>
      </c>
      <c r="AV30" s="40">
        <v>86035</v>
      </c>
      <c r="AW30" s="40">
        <v>86442</v>
      </c>
      <c r="AX30" s="40">
        <v>88759</v>
      </c>
      <c r="AY30" s="40">
        <v>90739</v>
      </c>
      <c r="AZ30" s="40">
        <v>90739</v>
      </c>
      <c r="BA30" s="40">
        <v>90765</v>
      </c>
      <c r="BB30" s="40">
        <v>91552</v>
      </c>
      <c r="BC30" s="40">
        <v>91765</v>
      </c>
      <c r="BD30" s="40">
        <v>92246</v>
      </c>
      <c r="BE30" s="40">
        <v>92311</v>
      </c>
      <c r="BF30" s="40">
        <v>92699</v>
      </c>
      <c r="BG30" s="40">
        <v>92762</v>
      </c>
      <c r="BH30" s="40">
        <v>93140</v>
      </c>
      <c r="BI30" s="40">
        <v>93430</v>
      </c>
      <c r="BJ30" s="40">
        <v>93557</v>
      </c>
      <c r="BK30" s="40">
        <v>93941</v>
      </c>
      <c r="BL30" s="40">
        <v>94276</v>
      </c>
      <c r="BM30" s="40">
        <v>94607</v>
      </c>
      <c r="BN30" s="40">
        <v>94896</v>
      </c>
      <c r="BO30" s="40">
        <v>95181</v>
      </c>
      <c r="BP30" s="40">
        <v>95281</v>
      </c>
      <c r="BQ30" s="40">
        <v>95412</v>
      </c>
      <c r="BR30" s="40">
        <v>95518</v>
      </c>
      <c r="BS30" s="40">
        <v>95507</v>
      </c>
      <c r="BT30" s="40">
        <v>95602</v>
      </c>
      <c r="BU30" s="40">
        <v>95721</v>
      </c>
      <c r="BV30" s="40">
        <v>95817</v>
      </c>
      <c r="BW30" s="40">
        <v>95873</v>
      </c>
      <c r="BX30" s="40">
        <v>96048</v>
      </c>
      <c r="BY30" s="40">
        <v>96267</v>
      </c>
      <c r="BZ30" s="40">
        <v>96582</v>
      </c>
      <c r="CA30" s="40">
        <v>96781</v>
      </c>
      <c r="CB30" s="40">
        <v>96884</v>
      </c>
      <c r="CC30" s="40">
        <v>97097</v>
      </c>
      <c r="CD30" s="40">
        <v>97234</v>
      </c>
      <c r="CE30" s="40">
        <v>97330</v>
      </c>
      <c r="CF30" s="40">
        <v>97550</v>
      </c>
      <c r="CG30" s="40">
        <v>97661</v>
      </c>
      <c r="CH30" s="40">
        <v>97780</v>
      </c>
      <c r="CI30" s="40">
        <v>97934</v>
      </c>
      <c r="CJ30" s="40">
        <v>97974</v>
      </c>
      <c r="CK30" s="40">
        <v>98039</v>
      </c>
      <c r="CL30" s="40">
        <v>98191</v>
      </c>
      <c r="CM30" s="40">
        <v>98232</v>
      </c>
      <c r="CN30" s="40">
        <v>98333</v>
      </c>
      <c r="CO30" s="40">
        <v>98449</v>
      </c>
      <c r="CP30" s="40">
        <v>98514</v>
      </c>
      <c r="CQ30" s="40">
        <v>98600</v>
      </c>
      <c r="CR30" s="40">
        <v>98622</v>
      </c>
      <c r="CS30" s="40">
        <v>98701</v>
      </c>
      <c r="CT30" s="40">
        <v>98735</v>
      </c>
      <c r="CU30" s="40">
        <v>98787</v>
      </c>
      <c r="CV30" s="40">
        <v>98820</v>
      </c>
      <c r="CW30" s="40">
        <v>98852</v>
      </c>
      <c r="CX30" s="40">
        <v>98919</v>
      </c>
      <c r="CY30" s="40">
        <v>98924</v>
      </c>
      <c r="CZ30" s="40">
        <v>98962</v>
      </c>
      <c r="DA30" s="40">
        <v>98967</v>
      </c>
      <c r="DB30" s="40">
        <v>99020</v>
      </c>
      <c r="DC30" s="40">
        <v>99038</v>
      </c>
      <c r="DD30" s="40">
        <v>99066</v>
      </c>
      <c r="DE30" s="40">
        <v>99073</v>
      </c>
      <c r="DF30" s="40">
        <v>99130</v>
      </c>
      <c r="DG30" s="40">
        <v>99149</v>
      </c>
      <c r="DH30" s="40">
        <v>99167</v>
      </c>
      <c r="DI30" s="40">
        <v>99185</v>
      </c>
      <c r="DJ30" s="40">
        <v>99231</v>
      </c>
      <c r="DK30" s="40">
        <v>99241</v>
      </c>
      <c r="DL30" s="40">
        <v>99255</v>
      </c>
      <c r="DM30" s="40">
        <v>99285</v>
      </c>
      <c r="DN30" s="40">
        <v>99314</v>
      </c>
      <c r="DO30" s="40">
        <v>99342</v>
      </c>
    </row>
    <row r="31" spans="1:119">
      <c r="A31" s="40">
        <v>29</v>
      </c>
      <c r="B31" s="40"/>
      <c r="C31" s="40"/>
      <c r="D31" s="40"/>
      <c r="E31" s="40"/>
      <c r="F31" s="40"/>
      <c r="G31" s="40"/>
      <c r="H31" s="40"/>
      <c r="I31" s="40"/>
      <c r="J31" s="40"/>
      <c r="K31" s="40"/>
      <c r="L31" s="40"/>
      <c r="M31" s="40"/>
      <c r="N31" s="40"/>
      <c r="O31" s="40"/>
      <c r="P31" s="40"/>
      <c r="Q31" s="40"/>
      <c r="R31" s="40"/>
      <c r="S31" s="40"/>
      <c r="T31" s="40"/>
      <c r="U31" s="40"/>
      <c r="V31" s="40"/>
      <c r="W31" s="40">
        <v>77240</v>
      </c>
      <c r="X31" s="40">
        <v>78015</v>
      </c>
      <c r="Y31" s="40">
        <v>78129</v>
      </c>
      <c r="Z31" s="40">
        <v>80442</v>
      </c>
      <c r="AA31" s="40">
        <v>80797</v>
      </c>
      <c r="AB31" s="40">
        <v>81501</v>
      </c>
      <c r="AC31" s="40">
        <v>82345</v>
      </c>
      <c r="AD31" s="40">
        <v>83422</v>
      </c>
      <c r="AE31" s="40">
        <v>83402</v>
      </c>
      <c r="AF31" s="40">
        <v>84771</v>
      </c>
      <c r="AG31" s="40">
        <v>85203</v>
      </c>
      <c r="AH31" s="40">
        <v>85630</v>
      </c>
      <c r="AI31" s="40">
        <v>85870</v>
      </c>
      <c r="AJ31" s="40">
        <v>87147</v>
      </c>
      <c r="AK31" s="40">
        <v>87023</v>
      </c>
      <c r="AL31" s="40">
        <v>87314</v>
      </c>
      <c r="AM31" s="40">
        <v>87591</v>
      </c>
      <c r="AN31" s="40">
        <v>88045</v>
      </c>
      <c r="AO31" s="40">
        <v>87972</v>
      </c>
      <c r="AP31" s="40">
        <v>88105</v>
      </c>
      <c r="AQ31" s="40">
        <v>88172</v>
      </c>
      <c r="AR31" s="40">
        <v>88238</v>
      </c>
      <c r="AS31" s="40">
        <v>87649</v>
      </c>
      <c r="AT31" s="40">
        <v>86814</v>
      </c>
      <c r="AU31" s="40">
        <v>85377</v>
      </c>
      <c r="AV31" s="40">
        <v>85916</v>
      </c>
      <c r="AW31" s="40">
        <v>86317</v>
      </c>
      <c r="AX31" s="40">
        <v>88645</v>
      </c>
      <c r="AY31" s="40">
        <v>90611</v>
      </c>
      <c r="AZ31" s="40">
        <v>90624</v>
      </c>
      <c r="BA31" s="40">
        <v>90642</v>
      </c>
      <c r="BB31" s="40">
        <v>91434</v>
      </c>
      <c r="BC31" s="40">
        <v>91643</v>
      </c>
      <c r="BD31" s="40">
        <v>92123</v>
      </c>
      <c r="BE31" s="40">
        <v>92199</v>
      </c>
      <c r="BF31" s="40">
        <v>92596</v>
      </c>
      <c r="BG31" s="40">
        <v>92655</v>
      </c>
      <c r="BH31" s="40">
        <v>93045</v>
      </c>
      <c r="BI31" s="40">
        <v>93331</v>
      </c>
      <c r="BJ31" s="40">
        <v>93453</v>
      </c>
      <c r="BK31" s="40">
        <v>93839</v>
      </c>
      <c r="BL31" s="40">
        <v>94170</v>
      </c>
      <c r="BM31" s="40">
        <v>94493</v>
      </c>
      <c r="BN31" s="40">
        <v>94796</v>
      </c>
      <c r="BO31" s="40">
        <v>95078</v>
      </c>
      <c r="BP31" s="40">
        <v>95181</v>
      </c>
      <c r="BQ31" s="40">
        <v>95314</v>
      </c>
      <c r="BR31" s="40">
        <v>95421</v>
      </c>
      <c r="BS31" s="40">
        <v>95422</v>
      </c>
      <c r="BT31" s="40">
        <v>95521</v>
      </c>
      <c r="BU31" s="40">
        <v>95635</v>
      </c>
      <c r="BV31" s="40">
        <v>95742</v>
      </c>
      <c r="BW31" s="40">
        <v>95807</v>
      </c>
      <c r="BX31" s="40">
        <v>95976</v>
      </c>
      <c r="BY31" s="40">
        <v>96193</v>
      </c>
      <c r="BZ31" s="40">
        <v>96515</v>
      </c>
      <c r="CA31" s="40">
        <v>96721</v>
      </c>
      <c r="CB31" s="40">
        <v>96822</v>
      </c>
      <c r="CC31" s="40">
        <v>97038</v>
      </c>
      <c r="CD31" s="40">
        <v>97175</v>
      </c>
      <c r="CE31" s="40">
        <v>97274</v>
      </c>
      <c r="CF31" s="40">
        <v>97487</v>
      </c>
      <c r="CG31" s="40">
        <v>97608</v>
      </c>
      <c r="CH31" s="40">
        <v>97724</v>
      </c>
      <c r="CI31" s="40">
        <v>97877</v>
      </c>
      <c r="CJ31" s="40">
        <v>97920</v>
      </c>
      <c r="CK31" s="40">
        <v>97986</v>
      </c>
      <c r="CL31" s="40">
        <v>98140</v>
      </c>
      <c r="CM31" s="40">
        <v>98181</v>
      </c>
      <c r="CN31" s="40">
        <v>98284</v>
      </c>
      <c r="CO31" s="40">
        <v>98401</v>
      </c>
      <c r="CP31" s="40">
        <v>98468</v>
      </c>
      <c r="CQ31" s="40">
        <v>98555</v>
      </c>
      <c r="CR31" s="40">
        <v>98578</v>
      </c>
      <c r="CS31" s="40">
        <v>98658</v>
      </c>
      <c r="CT31" s="40">
        <v>98693</v>
      </c>
      <c r="CU31" s="40">
        <v>98747</v>
      </c>
      <c r="CV31" s="40">
        <v>98780</v>
      </c>
      <c r="CW31" s="40">
        <v>98814</v>
      </c>
      <c r="CX31" s="40">
        <v>98882</v>
      </c>
      <c r="CY31" s="40">
        <v>98887</v>
      </c>
      <c r="CZ31" s="40">
        <v>98927</v>
      </c>
      <c r="DA31" s="40">
        <v>98932</v>
      </c>
      <c r="DB31" s="40">
        <v>98987</v>
      </c>
      <c r="DC31" s="40">
        <v>99005</v>
      </c>
      <c r="DD31" s="40">
        <v>99035</v>
      </c>
      <c r="DE31" s="40">
        <v>99043</v>
      </c>
      <c r="DF31" s="40">
        <v>99100</v>
      </c>
      <c r="DG31" s="40">
        <v>99120</v>
      </c>
      <c r="DH31" s="40">
        <v>99139</v>
      </c>
      <c r="DI31" s="40">
        <v>99158</v>
      </c>
      <c r="DJ31" s="40">
        <v>99204</v>
      </c>
      <c r="DK31" s="40">
        <v>99215</v>
      </c>
      <c r="DL31" s="40">
        <v>99230</v>
      </c>
      <c r="DM31" s="40">
        <v>99260</v>
      </c>
      <c r="DN31" s="40">
        <v>99290</v>
      </c>
      <c r="DO31" s="40">
        <v>99319</v>
      </c>
    </row>
    <row r="32" spans="1:119">
      <c r="A32" s="40">
        <v>30</v>
      </c>
      <c r="B32" s="40"/>
      <c r="C32" s="40"/>
      <c r="D32" s="40"/>
      <c r="E32" s="40"/>
      <c r="F32" s="40"/>
      <c r="G32" s="40"/>
      <c r="H32" s="40"/>
      <c r="I32" s="40"/>
      <c r="J32" s="40"/>
      <c r="K32" s="40"/>
      <c r="L32" s="40"/>
      <c r="M32" s="40"/>
      <c r="N32" s="40"/>
      <c r="O32" s="40"/>
      <c r="P32" s="40"/>
      <c r="Q32" s="40"/>
      <c r="R32" s="40"/>
      <c r="S32" s="40"/>
      <c r="T32" s="40"/>
      <c r="U32" s="40"/>
      <c r="V32" s="40"/>
      <c r="W32" s="40">
        <v>77066</v>
      </c>
      <c r="X32" s="40">
        <v>77839</v>
      </c>
      <c r="Y32" s="40">
        <v>77996</v>
      </c>
      <c r="Z32" s="40">
        <v>80288</v>
      </c>
      <c r="AA32" s="40">
        <v>80656</v>
      </c>
      <c r="AB32" s="40">
        <v>81347</v>
      </c>
      <c r="AC32" s="40">
        <v>82193</v>
      </c>
      <c r="AD32" s="40">
        <v>83278</v>
      </c>
      <c r="AE32" s="40">
        <v>83264</v>
      </c>
      <c r="AF32" s="40">
        <v>84622</v>
      </c>
      <c r="AG32" s="40">
        <v>85055</v>
      </c>
      <c r="AH32" s="40">
        <v>85488</v>
      </c>
      <c r="AI32" s="40">
        <v>85735</v>
      </c>
      <c r="AJ32" s="40">
        <v>87005</v>
      </c>
      <c r="AK32" s="40">
        <v>86889</v>
      </c>
      <c r="AL32" s="40">
        <v>87185</v>
      </c>
      <c r="AM32" s="40">
        <v>87455</v>
      </c>
      <c r="AN32" s="40">
        <v>87898</v>
      </c>
      <c r="AO32" s="40">
        <v>87839</v>
      </c>
      <c r="AP32" s="40">
        <v>87961</v>
      </c>
      <c r="AQ32" s="40">
        <v>88025</v>
      </c>
      <c r="AR32" s="40">
        <v>88089</v>
      </c>
      <c r="AS32" s="40">
        <v>87514</v>
      </c>
      <c r="AT32" s="40">
        <v>86691</v>
      </c>
      <c r="AU32" s="40">
        <v>85254</v>
      </c>
      <c r="AV32" s="40">
        <v>85787</v>
      </c>
      <c r="AW32" s="40">
        <v>86205</v>
      </c>
      <c r="AX32" s="40">
        <v>88525</v>
      </c>
      <c r="AY32" s="40">
        <v>90488</v>
      </c>
      <c r="AZ32" s="40">
        <v>90497</v>
      </c>
      <c r="BA32" s="40">
        <v>90515</v>
      </c>
      <c r="BB32" s="40">
        <v>91308</v>
      </c>
      <c r="BC32" s="40">
        <v>91519</v>
      </c>
      <c r="BD32" s="40">
        <v>92009</v>
      </c>
      <c r="BE32" s="40">
        <v>92090</v>
      </c>
      <c r="BF32" s="40">
        <v>92485</v>
      </c>
      <c r="BG32" s="40">
        <v>92556</v>
      </c>
      <c r="BH32" s="40">
        <v>92926</v>
      </c>
      <c r="BI32" s="40">
        <v>93220</v>
      </c>
      <c r="BJ32" s="40">
        <v>93344</v>
      </c>
      <c r="BK32" s="40">
        <v>93718</v>
      </c>
      <c r="BL32" s="40">
        <v>94047</v>
      </c>
      <c r="BM32" s="40">
        <v>94387</v>
      </c>
      <c r="BN32" s="40">
        <v>94690</v>
      </c>
      <c r="BO32" s="40">
        <v>94977</v>
      </c>
      <c r="BP32" s="40">
        <v>95079</v>
      </c>
      <c r="BQ32" s="40">
        <v>95224</v>
      </c>
      <c r="BR32" s="40">
        <v>95335</v>
      </c>
      <c r="BS32" s="40">
        <v>95340</v>
      </c>
      <c r="BT32" s="40">
        <v>95438</v>
      </c>
      <c r="BU32" s="40">
        <v>95560</v>
      </c>
      <c r="BV32" s="40">
        <v>95666</v>
      </c>
      <c r="BW32" s="40">
        <v>95737</v>
      </c>
      <c r="BX32" s="40">
        <v>95912</v>
      </c>
      <c r="BY32" s="40">
        <v>96127</v>
      </c>
      <c r="BZ32" s="40">
        <v>96455</v>
      </c>
      <c r="CA32" s="40">
        <v>96661</v>
      </c>
      <c r="CB32" s="40">
        <v>96759</v>
      </c>
      <c r="CC32" s="40">
        <v>96973</v>
      </c>
      <c r="CD32" s="40">
        <v>97108</v>
      </c>
      <c r="CE32" s="40">
        <v>97208</v>
      </c>
      <c r="CF32" s="40">
        <v>97427</v>
      </c>
      <c r="CG32" s="40">
        <v>97552</v>
      </c>
      <c r="CH32" s="40">
        <v>97666</v>
      </c>
      <c r="CI32" s="40">
        <v>97825</v>
      </c>
      <c r="CJ32" s="40">
        <v>97863</v>
      </c>
      <c r="CK32" s="40">
        <v>97931</v>
      </c>
      <c r="CL32" s="40">
        <v>98086</v>
      </c>
      <c r="CM32" s="40">
        <v>98129</v>
      </c>
      <c r="CN32" s="40">
        <v>98234</v>
      </c>
      <c r="CO32" s="40">
        <v>98352</v>
      </c>
      <c r="CP32" s="40">
        <v>98419</v>
      </c>
      <c r="CQ32" s="40">
        <v>98508</v>
      </c>
      <c r="CR32" s="40">
        <v>98533</v>
      </c>
      <c r="CS32" s="40">
        <v>98614</v>
      </c>
      <c r="CT32" s="40">
        <v>98650</v>
      </c>
      <c r="CU32" s="40">
        <v>98704</v>
      </c>
      <c r="CV32" s="40">
        <v>98739</v>
      </c>
      <c r="CW32" s="40">
        <v>98774</v>
      </c>
      <c r="CX32" s="40">
        <v>98843</v>
      </c>
      <c r="CY32" s="40">
        <v>98849</v>
      </c>
      <c r="CZ32" s="40">
        <v>98890</v>
      </c>
      <c r="DA32" s="40">
        <v>98896</v>
      </c>
      <c r="DB32" s="40">
        <v>98952</v>
      </c>
      <c r="DC32" s="40">
        <v>98971</v>
      </c>
      <c r="DD32" s="40">
        <v>99001</v>
      </c>
      <c r="DE32" s="40">
        <v>99010</v>
      </c>
      <c r="DF32" s="40">
        <v>99068</v>
      </c>
      <c r="DG32" s="40">
        <v>99090</v>
      </c>
      <c r="DH32" s="40">
        <v>99109</v>
      </c>
      <c r="DI32" s="40">
        <v>99129</v>
      </c>
      <c r="DJ32" s="40">
        <v>99176</v>
      </c>
      <c r="DK32" s="40">
        <v>99187</v>
      </c>
      <c r="DL32" s="40">
        <v>99203</v>
      </c>
      <c r="DM32" s="40">
        <v>99234</v>
      </c>
      <c r="DN32" s="40">
        <v>99265</v>
      </c>
      <c r="DO32" s="40">
        <v>99294</v>
      </c>
    </row>
    <row r="33" spans="1:119">
      <c r="A33" s="40">
        <v>31</v>
      </c>
      <c r="B33" s="40"/>
      <c r="C33" s="40"/>
      <c r="D33" s="40"/>
      <c r="E33" s="40"/>
      <c r="F33" s="40"/>
      <c r="G33" s="40"/>
      <c r="H33" s="40"/>
      <c r="I33" s="40"/>
      <c r="J33" s="40"/>
      <c r="K33" s="40"/>
      <c r="L33" s="40"/>
      <c r="M33" s="40"/>
      <c r="N33" s="40"/>
      <c r="O33" s="40"/>
      <c r="P33" s="40"/>
      <c r="Q33" s="40"/>
      <c r="R33" s="40"/>
      <c r="S33" s="40"/>
      <c r="T33" s="40"/>
      <c r="U33" s="40"/>
      <c r="V33" s="40"/>
      <c r="W33" s="40">
        <v>76891</v>
      </c>
      <c r="X33" s="40">
        <v>77694</v>
      </c>
      <c r="Y33" s="40">
        <v>77856</v>
      </c>
      <c r="Z33" s="40">
        <v>80144</v>
      </c>
      <c r="AA33" s="40">
        <v>80519</v>
      </c>
      <c r="AB33" s="40">
        <v>81202</v>
      </c>
      <c r="AC33" s="40">
        <v>82048</v>
      </c>
      <c r="AD33" s="40">
        <v>83124</v>
      </c>
      <c r="AE33" s="40">
        <v>83116</v>
      </c>
      <c r="AF33" s="40">
        <v>84478</v>
      </c>
      <c r="AG33" s="40">
        <v>84906</v>
      </c>
      <c r="AH33" s="40">
        <v>85346</v>
      </c>
      <c r="AI33" s="40">
        <v>85594</v>
      </c>
      <c r="AJ33" s="40">
        <v>86867</v>
      </c>
      <c r="AK33" s="40">
        <v>86752</v>
      </c>
      <c r="AL33" s="40">
        <v>87039</v>
      </c>
      <c r="AM33" s="40">
        <v>87318</v>
      </c>
      <c r="AN33" s="40">
        <v>87764</v>
      </c>
      <c r="AO33" s="40">
        <v>87697</v>
      </c>
      <c r="AP33" s="40">
        <v>87815</v>
      </c>
      <c r="AQ33" s="40">
        <v>87876</v>
      </c>
      <c r="AR33" s="40">
        <v>87957</v>
      </c>
      <c r="AS33" s="40">
        <v>87384</v>
      </c>
      <c r="AT33" s="40">
        <v>86563</v>
      </c>
      <c r="AU33" s="40">
        <v>85126</v>
      </c>
      <c r="AV33" s="40">
        <v>85654</v>
      </c>
      <c r="AW33" s="40">
        <v>86076</v>
      </c>
      <c r="AX33" s="40">
        <v>88402</v>
      </c>
      <c r="AY33" s="40">
        <v>90375</v>
      </c>
      <c r="AZ33" s="40">
        <v>90373</v>
      </c>
      <c r="BA33" s="40">
        <v>90394</v>
      </c>
      <c r="BB33" s="40">
        <v>91180</v>
      </c>
      <c r="BC33" s="40">
        <v>91409</v>
      </c>
      <c r="BD33" s="40">
        <v>91900</v>
      </c>
      <c r="BE33" s="40">
        <v>91977</v>
      </c>
      <c r="BF33" s="40">
        <v>92375</v>
      </c>
      <c r="BG33" s="40">
        <v>92441</v>
      </c>
      <c r="BH33" s="40">
        <v>92816</v>
      </c>
      <c r="BI33" s="40">
        <v>93102</v>
      </c>
      <c r="BJ33" s="40">
        <v>93221</v>
      </c>
      <c r="BK33" s="40">
        <v>93589</v>
      </c>
      <c r="BL33" s="40">
        <v>93932</v>
      </c>
      <c r="BM33" s="40">
        <v>94275</v>
      </c>
      <c r="BN33" s="40">
        <v>94577</v>
      </c>
      <c r="BO33" s="40">
        <v>94873</v>
      </c>
      <c r="BP33" s="40">
        <v>94984</v>
      </c>
      <c r="BQ33" s="40">
        <v>95135</v>
      </c>
      <c r="BR33" s="40">
        <v>95252</v>
      </c>
      <c r="BS33" s="40">
        <v>95254</v>
      </c>
      <c r="BT33" s="40">
        <v>95360</v>
      </c>
      <c r="BU33" s="40">
        <v>95482</v>
      </c>
      <c r="BV33" s="40">
        <v>95596</v>
      </c>
      <c r="BW33" s="40">
        <v>95672</v>
      </c>
      <c r="BX33" s="40">
        <v>95845</v>
      </c>
      <c r="BY33" s="40">
        <v>96063</v>
      </c>
      <c r="BZ33" s="40">
        <v>96395</v>
      </c>
      <c r="CA33" s="40">
        <v>96602</v>
      </c>
      <c r="CB33" s="40">
        <v>96691</v>
      </c>
      <c r="CC33" s="40">
        <v>96908</v>
      </c>
      <c r="CD33" s="40">
        <v>97045</v>
      </c>
      <c r="CE33" s="40">
        <v>97149</v>
      </c>
      <c r="CF33" s="40">
        <v>97362</v>
      </c>
      <c r="CG33" s="40">
        <v>97496</v>
      </c>
      <c r="CH33" s="40">
        <v>97605</v>
      </c>
      <c r="CI33" s="40">
        <v>97765</v>
      </c>
      <c r="CJ33" s="40">
        <v>97805</v>
      </c>
      <c r="CK33" s="40">
        <v>97874</v>
      </c>
      <c r="CL33" s="40">
        <v>98030</v>
      </c>
      <c r="CM33" s="40">
        <v>98075</v>
      </c>
      <c r="CN33" s="40">
        <v>98181</v>
      </c>
      <c r="CO33" s="40">
        <v>98300</v>
      </c>
      <c r="CP33" s="40">
        <v>98369</v>
      </c>
      <c r="CQ33" s="40">
        <v>98459</v>
      </c>
      <c r="CR33" s="40">
        <v>98485</v>
      </c>
      <c r="CS33" s="40">
        <v>98567</v>
      </c>
      <c r="CT33" s="40">
        <v>98605</v>
      </c>
      <c r="CU33" s="40">
        <v>98660</v>
      </c>
      <c r="CV33" s="40">
        <v>98696</v>
      </c>
      <c r="CW33" s="40">
        <v>98732</v>
      </c>
      <c r="CX33" s="40">
        <v>98802</v>
      </c>
      <c r="CY33" s="40">
        <v>98810</v>
      </c>
      <c r="CZ33" s="40">
        <v>98851</v>
      </c>
      <c r="DA33" s="40">
        <v>98859</v>
      </c>
      <c r="DB33" s="40">
        <v>98915</v>
      </c>
      <c r="DC33" s="40">
        <v>98935</v>
      </c>
      <c r="DD33" s="40">
        <v>98967</v>
      </c>
      <c r="DE33" s="40">
        <v>98976</v>
      </c>
      <c r="DF33" s="40">
        <v>99035</v>
      </c>
      <c r="DG33" s="40">
        <v>99057</v>
      </c>
      <c r="DH33" s="40">
        <v>99077</v>
      </c>
      <c r="DI33" s="40">
        <v>99098</v>
      </c>
      <c r="DJ33" s="40">
        <v>99146</v>
      </c>
      <c r="DK33" s="40">
        <v>99158</v>
      </c>
      <c r="DL33" s="40">
        <v>99174</v>
      </c>
      <c r="DM33" s="40">
        <v>99207</v>
      </c>
      <c r="DN33" s="40">
        <v>99238</v>
      </c>
      <c r="DO33" s="40">
        <v>99268</v>
      </c>
    </row>
    <row r="34" spans="1:119">
      <c r="A34" s="40">
        <v>32</v>
      </c>
      <c r="B34" s="40"/>
      <c r="C34" s="40"/>
      <c r="D34" s="40"/>
      <c r="E34" s="40"/>
      <c r="F34" s="40"/>
      <c r="G34" s="40"/>
      <c r="H34" s="40"/>
      <c r="I34" s="40"/>
      <c r="J34" s="40"/>
      <c r="K34" s="40"/>
      <c r="L34" s="40"/>
      <c r="M34" s="40"/>
      <c r="N34" s="40"/>
      <c r="O34" s="40"/>
      <c r="P34" s="40"/>
      <c r="Q34" s="40"/>
      <c r="R34" s="40"/>
      <c r="S34" s="40"/>
      <c r="T34" s="40"/>
      <c r="U34" s="40"/>
      <c r="V34" s="40"/>
      <c r="W34" s="40">
        <v>76748</v>
      </c>
      <c r="X34" s="40">
        <v>77551</v>
      </c>
      <c r="Y34" s="40">
        <v>77707</v>
      </c>
      <c r="Z34" s="40">
        <v>79995</v>
      </c>
      <c r="AA34" s="40">
        <v>80373</v>
      </c>
      <c r="AB34" s="40">
        <v>81048</v>
      </c>
      <c r="AC34" s="40">
        <v>81898</v>
      </c>
      <c r="AD34" s="40">
        <v>82981</v>
      </c>
      <c r="AE34" s="40">
        <v>82972</v>
      </c>
      <c r="AF34" s="40">
        <v>84334</v>
      </c>
      <c r="AG34" s="40">
        <v>84756</v>
      </c>
      <c r="AH34" s="40">
        <v>85199</v>
      </c>
      <c r="AI34" s="40">
        <v>85446</v>
      </c>
      <c r="AJ34" s="40">
        <v>86718</v>
      </c>
      <c r="AK34" s="40">
        <v>86606</v>
      </c>
      <c r="AL34" s="40">
        <v>86893</v>
      </c>
      <c r="AM34" s="40">
        <v>87179</v>
      </c>
      <c r="AN34" s="40">
        <v>87616</v>
      </c>
      <c r="AO34" s="40">
        <v>87545</v>
      </c>
      <c r="AP34" s="40">
        <v>87666</v>
      </c>
      <c r="AQ34" s="40">
        <v>87724</v>
      </c>
      <c r="AR34" s="40">
        <v>87816</v>
      </c>
      <c r="AS34" s="40">
        <v>87246</v>
      </c>
      <c r="AT34" s="40">
        <v>86424</v>
      </c>
      <c r="AU34" s="40">
        <v>84989</v>
      </c>
      <c r="AV34" s="40">
        <v>85518</v>
      </c>
      <c r="AW34" s="40">
        <v>85951</v>
      </c>
      <c r="AX34" s="40">
        <v>88274</v>
      </c>
      <c r="AY34" s="40">
        <v>90255</v>
      </c>
      <c r="AZ34" s="40">
        <v>90243</v>
      </c>
      <c r="BA34" s="40">
        <v>90265</v>
      </c>
      <c r="BB34" s="40">
        <v>91053</v>
      </c>
      <c r="BC34" s="40">
        <v>91289</v>
      </c>
      <c r="BD34" s="40">
        <v>91780</v>
      </c>
      <c r="BE34" s="40">
        <v>91861</v>
      </c>
      <c r="BF34" s="40">
        <v>92260</v>
      </c>
      <c r="BG34" s="40">
        <v>92322</v>
      </c>
      <c r="BH34" s="40">
        <v>92700</v>
      </c>
      <c r="BI34" s="40">
        <v>92972</v>
      </c>
      <c r="BJ34" s="40">
        <v>93085</v>
      </c>
      <c r="BK34" s="40">
        <v>93467</v>
      </c>
      <c r="BL34" s="40">
        <v>93819</v>
      </c>
      <c r="BM34" s="40">
        <v>94161</v>
      </c>
      <c r="BN34" s="40">
        <v>94467</v>
      </c>
      <c r="BO34" s="40">
        <v>94768</v>
      </c>
      <c r="BP34" s="40">
        <v>94888</v>
      </c>
      <c r="BQ34" s="40">
        <v>95046</v>
      </c>
      <c r="BR34" s="40">
        <v>95171</v>
      </c>
      <c r="BS34" s="40">
        <v>95170</v>
      </c>
      <c r="BT34" s="40">
        <v>95285</v>
      </c>
      <c r="BU34" s="40">
        <v>95405</v>
      </c>
      <c r="BV34" s="40">
        <v>95521</v>
      </c>
      <c r="BW34" s="40">
        <v>95597</v>
      </c>
      <c r="BX34" s="40">
        <v>95775</v>
      </c>
      <c r="BY34" s="40">
        <v>95992</v>
      </c>
      <c r="BZ34" s="40">
        <v>96328</v>
      </c>
      <c r="CA34" s="40">
        <v>96530</v>
      </c>
      <c r="CB34" s="40">
        <v>96621</v>
      </c>
      <c r="CC34" s="40">
        <v>96839</v>
      </c>
      <c r="CD34" s="40">
        <v>96979</v>
      </c>
      <c r="CE34" s="40">
        <v>97088</v>
      </c>
      <c r="CF34" s="40">
        <v>97298</v>
      </c>
      <c r="CG34" s="40">
        <v>97422</v>
      </c>
      <c r="CH34" s="40">
        <v>97542</v>
      </c>
      <c r="CI34" s="40">
        <v>97703</v>
      </c>
      <c r="CJ34" s="40">
        <v>97744</v>
      </c>
      <c r="CK34" s="40">
        <v>97815</v>
      </c>
      <c r="CL34" s="40">
        <v>97973</v>
      </c>
      <c r="CM34" s="40">
        <v>98019</v>
      </c>
      <c r="CN34" s="40">
        <v>98126</v>
      </c>
      <c r="CO34" s="40">
        <v>98247</v>
      </c>
      <c r="CP34" s="40">
        <v>98317</v>
      </c>
      <c r="CQ34" s="40">
        <v>98408</v>
      </c>
      <c r="CR34" s="40">
        <v>98436</v>
      </c>
      <c r="CS34" s="40">
        <v>98519</v>
      </c>
      <c r="CT34" s="40">
        <v>98558</v>
      </c>
      <c r="CU34" s="40">
        <v>98615</v>
      </c>
      <c r="CV34" s="40">
        <v>98652</v>
      </c>
      <c r="CW34" s="40">
        <v>98689</v>
      </c>
      <c r="CX34" s="40">
        <v>98760</v>
      </c>
      <c r="CY34" s="40">
        <v>98768</v>
      </c>
      <c r="CZ34" s="40">
        <v>98811</v>
      </c>
      <c r="DA34" s="40">
        <v>98820</v>
      </c>
      <c r="DB34" s="40">
        <v>98877</v>
      </c>
      <c r="DC34" s="40">
        <v>98898</v>
      </c>
      <c r="DD34" s="40">
        <v>98930</v>
      </c>
      <c r="DE34" s="40">
        <v>98941</v>
      </c>
      <c r="DF34" s="40">
        <v>99001</v>
      </c>
      <c r="DG34" s="40">
        <v>99024</v>
      </c>
      <c r="DH34" s="40">
        <v>99045</v>
      </c>
      <c r="DI34" s="40">
        <v>99066</v>
      </c>
      <c r="DJ34" s="40">
        <v>99115</v>
      </c>
      <c r="DK34" s="40">
        <v>99128</v>
      </c>
      <c r="DL34" s="40">
        <v>99145</v>
      </c>
      <c r="DM34" s="40">
        <v>99178</v>
      </c>
      <c r="DN34" s="40">
        <v>99210</v>
      </c>
      <c r="DO34" s="40">
        <v>99240</v>
      </c>
    </row>
    <row r="35" spans="1:119">
      <c r="A35" s="40">
        <v>33</v>
      </c>
      <c r="B35" s="40"/>
      <c r="C35" s="40"/>
      <c r="D35" s="40"/>
      <c r="E35" s="40"/>
      <c r="F35" s="40"/>
      <c r="G35" s="40"/>
      <c r="H35" s="40"/>
      <c r="I35" s="40"/>
      <c r="J35" s="40"/>
      <c r="K35" s="40"/>
      <c r="L35" s="40"/>
      <c r="M35" s="40"/>
      <c r="N35" s="40"/>
      <c r="O35" s="40"/>
      <c r="P35" s="40"/>
      <c r="Q35" s="40"/>
      <c r="R35" s="40"/>
      <c r="S35" s="40"/>
      <c r="T35" s="40"/>
      <c r="U35" s="40"/>
      <c r="V35" s="40"/>
      <c r="W35" s="40">
        <v>76605</v>
      </c>
      <c r="X35" s="40">
        <v>77404</v>
      </c>
      <c r="Y35" s="40">
        <v>77553</v>
      </c>
      <c r="Z35" s="40">
        <v>79842</v>
      </c>
      <c r="AA35" s="40">
        <v>80212</v>
      </c>
      <c r="AB35" s="40">
        <v>80899</v>
      </c>
      <c r="AC35" s="40">
        <v>81742</v>
      </c>
      <c r="AD35" s="40">
        <v>82833</v>
      </c>
      <c r="AE35" s="40">
        <v>82817</v>
      </c>
      <c r="AF35" s="40">
        <v>84184</v>
      </c>
      <c r="AG35" s="40">
        <v>84598</v>
      </c>
      <c r="AH35" s="40">
        <v>85040</v>
      </c>
      <c r="AI35" s="40">
        <v>85299</v>
      </c>
      <c r="AJ35" s="40">
        <v>86569</v>
      </c>
      <c r="AK35" s="40">
        <v>86465</v>
      </c>
      <c r="AL35" s="40">
        <v>86749</v>
      </c>
      <c r="AM35" s="40">
        <v>87032</v>
      </c>
      <c r="AN35" s="40">
        <v>87458</v>
      </c>
      <c r="AO35" s="40">
        <v>87393</v>
      </c>
      <c r="AP35" s="40">
        <v>87512</v>
      </c>
      <c r="AQ35" s="40">
        <v>87582</v>
      </c>
      <c r="AR35" s="40">
        <v>87669</v>
      </c>
      <c r="AS35" s="40">
        <v>87097</v>
      </c>
      <c r="AT35" s="40">
        <v>86283</v>
      </c>
      <c r="AU35" s="40">
        <v>84850</v>
      </c>
      <c r="AV35" s="40">
        <v>85382</v>
      </c>
      <c r="AW35" s="40">
        <v>85819</v>
      </c>
      <c r="AX35" s="40">
        <v>88150</v>
      </c>
      <c r="AY35" s="40">
        <v>90126</v>
      </c>
      <c r="AZ35" s="40">
        <v>90106</v>
      </c>
      <c r="BA35" s="40">
        <v>90141</v>
      </c>
      <c r="BB35" s="40">
        <v>90932</v>
      </c>
      <c r="BC35" s="40">
        <v>91170</v>
      </c>
      <c r="BD35" s="40">
        <v>91660</v>
      </c>
      <c r="BE35" s="40">
        <v>91727</v>
      </c>
      <c r="BF35" s="40">
        <v>92132</v>
      </c>
      <c r="BG35" s="40">
        <v>92188</v>
      </c>
      <c r="BH35" s="40">
        <v>92569</v>
      </c>
      <c r="BI35" s="40">
        <v>92831</v>
      </c>
      <c r="BJ35" s="40">
        <v>92962</v>
      </c>
      <c r="BK35" s="40">
        <v>93342</v>
      </c>
      <c r="BL35" s="40">
        <v>93698</v>
      </c>
      <c r="BM35" s="40">
        <v>94043</v>
      </c>
      <c r="BN35" s="40">
        <v>94356</v>
      </c>
      <c r="BO35" s="40">
        <v>94668</v>
      </c>
      <c r="BP35" s="40">
        <v>94798</v>
      </c>
      <c r="BQ35" s="40">
        <v>94957</v>
      </c>
      <c r="BR35" s="40">
        <v>95083</v>
      </c>
      <c r="BS35" s="40">
        <v>95087</v>
      </c>
      <c r="BT35" s="40">
        <v>95209</v>
      </c>
      <c r="BU35" s="40">
        <v>95330</v>
      </c>
      <c r="BV35" s="40">
        <v>95441</v>
      </c>
      <c r="BW35" s="40">
        <v>95529</v>
      </c>
      <c r="BX35" s="40">
        <v>95705</v>
      </c>
      <c r="BY35" s="40">
        <v>95920</v>
      </c>
      <c r="BZ35" s="40">
        <v>96255</v>
      </c>
      <c r="CA35" s="40">
        <v>96461</v>
      </c>
      <c r="CB35" s="40">
        <v>96545</v>
      </c>
      <c r="CC35" s="40">
        <v>96763</v>
      </c>
      <c r="CD35" s="40">
        <v>96914</v>
      </c>
      <c r="CE35" s="40">
        <v>97019</v>
      </c>
      <c r="CF35" s="40">
        <v>97231</v>
      </c>
      <c r="CG35" s="40">
        <v>97355</v>
      </c>
      <c r="CH35" s="40">
        <v>97477</v>
      </c>
      <c r="CI35" s="40">
        <v>97640</v>
      </c>
      <c r="CJ35" s="40">
        <v>97682</v>
      </c>
      <c r="CK35" s="40">
        <v>97754</v>
      </c>
      <c r="CL35" s="40">
        <v>97914</v>
      </c>
      <c r="CM35" s="40">
        <v>97961</v>
      </c>
      <c r="CN35" s="40">
        <v>98070</v>
      </c>
      <c r="CO35" s="40">
        <v>98192</v>
      </c>
      <c r="CP35" s="40">
        <v>98264</v>
      </c>
      <c r="CQ35" s="40">
        <v>98356</v>
      </c>
      <c r="CR35" s="40">
        <v>98385</v>
      </c>
      <c r="CS35" s="40">
        <v>98469</v>
      </c>
      <c r="CT35" s="40">
        <v>98509</v>
      </c>
      <c r="CU35" s="40">
        <v>98567</v>
      </c>
      <c r="CV35" s="40">
        <v>98606</v>
      </c>
      <c r="CW35" s="40">
        <v>98644</v>
      </c>
      <c r="CX35" s="40">
        <v>98716</v>
      </c>
      <c r="CY35" s="40">
        <v>98726</v>
      </c>
      <c r="CZ35" s="40">
        <v>98769</v>
      </c>
      <c r="DA35" s="40">
        <v>98779</v>
      </c>
      <c r="DB35" s="40">
        <v>98837</v>
      </c>
      <c r="DC35" s="40">
        <v>98859</v>
      </c>
      <c r="DD35" s="40">
        <v>98892</v>
      </c>
      <c r="DE35" s="40">
        <v>98904</v>
      </c>
      <c r="DF35" s="40">
        <v>98965</v>
      </c>
      <c r="DG35" s="40">
        <v>98989</v>
      </c>
      <c r="DH35" s="40">
        <v>99010</v>
      </c>
      <c r="DI35" s="40">
        <v>99033</v>
      </c>
      <c r="DJ35" s="40">
        <v>99082</v>
      </c>
      <c r="DK35" s="40">
        <v>99096</v>
      </c>
      <c r="DL35" s="40">
        <v>99114</v>
      </c>
      <c r="DM35" s="40">
        <v>99148</v>
      </c>
      <c r="DN35" s="40">
        <v>99181</v>
      </c>
      <c r="DO35" s="40">
        <v>99212</v>
      </c>
    </row>
    <row r="36" spans="1:119">
      <c r="A36" s="40">
        <v>34</v>
      </c>
      <c r="B36" s="40"/>
      <c r="C36" s="40"/>
      <c r="D36" s="40"/>
      <c r="E36" s="40"/>
      <c r="F36" s="40"/>
      <c r="G36" s="40"/>
      <c r="H36" s="40"/>
      <c r="I36" s="40"/>
      <c r="J36" s="40"/>
      <c r="K36" s="40"/>
      <c r="L36" s="40"/>
      <c r="M36" s="40"/>
      <c r="N36" s="40"/>
      <c r="O36" s="40"/>
      <c r="P36" s="40"/>
      <c r="Q36" s="40"/>
      <c r="R36" s="40"/>
      <c r="S36" s="40"/>
      <c r="T36" s="40"/>
      <c r="U36" s="40"/>
      <c r="V36" s="40"/>
      <c r="W36" s="40">
        <v>76456</v>
      </c>
      <c r="X36" s="40">
        <v>77249</v>
      </c>
      <c r="Y36" s="40">
        <v>77407</v>
      </c>
      <c r="Z36" s="40">
        <v>79689</v>
      </c>
      <c r="AA36" s="40">
        <v>80055</v>
      </c>
      <c r="AB36" s="40">
        <v>80742</v>
      </c>
      <c r="AC36" s="40">
        <v>81588</v>
      </c>
      <c r="AD36" s="40">
        <v>82672</v>
      </c>
      <c r="AE36" s="40">
        <v>82665</v>
      </c>
      <c r="AF36" s="40">
        <v>84023</v>
      </c>
      <c r="AG36" s="40">
        <v>84439</v>
      </c>
      <c r="AH36" s="40">
        <v>84884</v>
      </c>
      <c r="AI36" s="40">
        <v>85132</v>
      </c>
      <c r="AJ36" s="40">
        <v>86418</v>
      </c>
      <c r="AK36" s="40">
        <v>86314</v>
      </c>
      <c r="AL36" s="40">
        <v>86591</v>
      </c>
      <c r="AM36" s="40">
        <v>86865</v>
      </c>
      <c r="AN36" s="40">
        <v>87305</v>
      </c>
      <c r="AO36" s="40">
        <v>87228</v>
      </c>
      <c r="AP36" s="40">
        <v>87359</v>
      </c>
      <c r="AQ36" s="40">
        <v>87425</v>
      </c>
      <c r="AR36" s="40">
        <v>87513</v>
      </c>
      <c r="AS36" s="40">
        <v>86939</v>
      </c>
      <c r="AT36" s="40">
        <v>86136</v>
      </c>
      <c r="AU36" s="40">
        <v>84702</v>
      </c>
      <c r="AV36" s="40">
        <v>85237</v>
      </c>
      <c r="AW36" s="40">
        <v>85689</v>
      </c>
      <c r="AX36" s="40">
        <v>88020</v>
      </c>
      <c r="AY36" s="40">
        <v>89997</v>
      </c>
      <c r="AZ36" s="40">
        <v>89981</v>
      </c>
      <c r="BA36" s="40">
        <v>90018</v>
      </c>
      <c r="BB36" s="40">
        <v>90807</v>
      </c>
      <c r="BC36" s="40">
        <v>91048</v>
      </c>
      <c r="BD36" s="40">
        <v>91533</v>
      </c>
      <c r="BE36" s="40">
        <v>91597</v>
      </c>
      <c r="BF36" s="40">
        <v>91992</v>
      </c>
      <c r="BG36" s="40">
        <v>92040</v>
      </c>
      <c r="BH36" s="40">
        <v>92421</v>
      </c>
      <c r="BI36" s="40">
        <v>92689</v>
      </c>
      <c r="BJ36" s="40">
        <v>92817</v>
      </c>
      <c r="BK36" s="40">
        <v>93215</v>
      </c>
      <c r="BL36" s="40">
        <v>93570</v>
      </c>
      <c r="BM36" s="40">
        <v>93925</v>
      </c>
      <c r="BN36" s="40">
        <v>94246</v>
      </c>
      <c r="BO36" s="40">
        <v>94578</v>
      </c>
      <c r="BP36" s="40">
        <v>94701</v>
      </c>
      <c r="BQ36" s="40">
        <v>94867</v>
      </c>
      <c r="BR36" s="40">
        <v>94997</v>
      </c>
      <c r="BS36" s="40">
        <v>95001</v>
      </c>
      <c r="BT36" s="40">
        <v>95129</v>
      </c>
      <c r="BU36" s="40">
        <v>95246</v>
      </c>
      <c r="BV36" s="40">
        <v>95362</v>
      </c>
      <c r="BW36" s="40">
        <v>95463</v>
      </c>
      <c r="BX36" s="40">
        <v>95633</v>
      </c>
      <c r="BY36" s="40">
        <v>95847</v>
      </c>
      <c r="BZ36" s="40">
        <v>96185</v>
      </c>
      <c r="CA36" s="40">
        <v>96380</v>
      </c>
      <c r="CB36" s="40">
        <v>96477</v>
      </c>
      <c r="CC36" s="40">
        <v>96697</v>
      </c>
      <c r="CD36" s="40">
        <v>96841</v>
      </c>
      <c r="CE36" s="40">
        <v>96950</v>
      </c>
      <c r="CF36" s="40">
        <v>97160</v>
      </c>
      <c r="CG36" s="40">
        <v>97287</v>
      </c>
      <c r="CH36" s="40">
        <v>97409</v>
      </c>
      <c r="CI36" s="40">
        <v>97574</v>
      </c>
      <c r="CJ36" s="40">
        <v>97618</v>
      </c>
      <c r="CK36" s="40">
        <v>97692</v>
      </c>
      <c r="CL36" s="40">
        <v>97853</v>
      </c>
      <c r="CM36" s="40">
        <v>97902</v>
      </c>
      <c r="CN36" s="40">
        <v>98012</v>
      </c>
      <c r="CO36" s="40">
        <v>98135</v>
      </c>
      <c r="CP36" s="40">
        <v>98208</v>
      </c>
      <c r="CQ36" s="40">
        <v>98302</v>
      </c>
      <c r="CR36" s="40">
        <v>98332</v>
      </c>
      <c r="CS36" s="40">
        <v>98418</v>
      </c>
      <c r="CT36" s="40">
        <v>98459</v>
      </c>
      <c r="CU36" s="40">
        <v>98518</v>
      </c>
      <c r="CV36" s="40">
        <v>98558</v>
      </c>
      <c r="CW36" s="40">
        <v>98597</v>
      </c>
      <c r="CX36" s="40">
        <v>98671</v>
      </c>
      <c r="CY36" s="40">
        <v>98681</v>
      </c>
      <c r="CZ36" s="40">
        <v>98726</v>
      </c>
      <c r="DA36" s="40">
        <v>98737</v>
      </c>
      <c r="DB36" s="40">
        <v>98796</v>
      </c>
      <c r="DC36" s="40">
        <v>98819</v>
      </c>
      <c r="DD36" s="40">
        <v>98853</v>
      </c>
      <c r="DE36" s="40">
        <v>98866</v>
      </c>
      <c r="DF36" s="40">
        <v>98928</v>
      </c>
      <c r="DG36" s="40">
        <v>98952</v>
      </c>
      <c r="DH36" s="40">
        <v>98975</v>
      </c>
      <c r="DI36" s="40">
        <v>98998</v>
      </c>
      <c r="DJ36" s="40">
        <v>99049</v>
      </c>
      <c r="DK36" s="40">
        <v>99063</v>
      </c>
      <c r="DL36" s="40">
        <v>99082</v>
      </c>
      <c r="DM36" s="40">
        <v>99117</v>
      </c>
      <c r="DN36" s="40">
        <v>99150</v>
      </c>
      <c r="DO36" s="40">
        <v>99182</v>
      </c>
    </row>
    <row r="37" spans="1:119">
      <c r="A37" s="40">
        <v>35</v>
      </c>
      <c r="B37" s="40"/>
      <c r="C37" s="40"/>
      <c r="D37" s="40"/>
      <c r="E37" s="40"/>
      <c r="F37" s="40"/>
      <c r="G37" s="40"/>
      <c r="H37" s="40"/>
      <c r="I37" s="40"/>
      <c r="J37" s="40"/>
      <c r="K37" s="40"/>
      <c r="L37" s="40"/>
      <c r="M37" s="40"/>
      <c r="N37" s="40"/>
      <c r="O37" s="40"/>
      <c r="P37" s="40"/>
      <c r="Q37" s="40"/>
      <c r="R37" s="40"/>
      <c r="S37" s="40"/>
      <c r="T37" s="40"/>
      <c r="U37" s="40"/>
      <c r="V37" s="40"/>
      <c r="W37" s="40">
        <v>76305</v>
      </c>
      <c r="X37" s="40">
        <v>77087</v>
      </c>
      <c r="Y37" s="40">
        <v>77250</v>
      </c>
      <c r="Z37" s="40">
        <v>79532</v>
      </c>
      <c r="AA37" s="40">
        <v>79900</v>
      </c>
      <c r="AB37" s="40">
        <v>80581</v>
      </c>
      <c r="AC37" s="40">
        <v>81429</v>
      </c>
      <c r="AD37" s="40">
        <v>82510</v>
      </c>
      <c r="AE37" s="40">
        <v>82499</v>
      </c>
      <c r="AF37" s="40">
        <v>83865</v>
      </c>
      <c r="AG37" s="40">
        <v>84280</v>
      </c>
      <c r="AH37" s="40">
        <v>84714</v>
      </c>
      <c r="AI37" s="40">
        <v>84961</v>
      </c>
      <c r="AJ37" s="40">
        <v>86271</v>
      </c>
      <c r="AK37" s="40">
        <v>86135</v>
      </c>
      <c r="AL37" s="40">
        <v>86428</v>
      </c>
      <c r="AM37" s="40">
        <v>86698</v>
      </c>
      <c r="AN37" s="40">
        <v>87141</v>
      </c>
      <c r="AO37" s="40">
        <v>87066</v>
      </c>
      <c r="AP37" s="40">
        <v>87190</v>
      </c>
      <c r="AQ37" s="40">
        <v>87260</v>
      </c>
      <c r="AR37" s="40">
        <v>87360</v>
      </c>
      <c r="AS37" s="40">
        <v>86776</v>
      </c>
      <c r="AT37" s="40">
        <v>85981</v>
      </c>
      <c r="AU37" s="40">
        <v>84559</v>
      </c>
      <c r="AV37" s="40">
        <v>85091</v>
      </c>
      <c r="AW37" s="40">
        <v>85555</v>
      </c>
      <c r="AX37" s="40">
        <v>87888</v>
      </c>
      <c r="AY37" s="40">
        <v>89854</v>
      </c>
      <c r="AZ37" s="40">
        <v>89845</v>
      </c>
      <c r="BA37" s="40">
        <v>89880</v>
      </c>
      <c r="BB37" s="40">
        <v>90673</v>
      </c>
      <c r="BC37" s="40">
        <v>90919</v>
      </c>
      <c r="BD37" s="40">
        <v>91393</v>
      </c>
      <c r="BE37" s="40">
        <v>91450</v>
      </c>
      <c r="BF37" s="40">
        <v>91833</v>
      </c>
      <c r="BG37" s="40">
        <v>91885</v>
      </c>
      <c r="BH37" s="40">
        <v>92274</v>
      </c>
      <c r="BI37" s="40">
        <v>92538</v>
      </c>
      <c r="BJ37" s="40">
        <v>92672</v>
      </c>
      <c r="BK37" s="40">
        <v>93084</v>
      </c>
      <c r="BL37" s="40">
        <v>93447</v>
      </c>
      <c r="BM37" s="40">
        <v>93810</v>
      </c>
      <c r="BN37" s="40">
        <v>94147</v>
      </c>
      <c r="BO37" s="40">
        <v>94465</v>
      </c>
      <c r="BP37" s="40">
        <v>94607</v>
      </c>
      <c r="BQ37" s="40">
        <v>94776</v>
      </c>
      <c r="BR37" s="40">
        <v>94904</v>
      </c>
      <c r="BS37" s="40">
        <v>94912</v>
      </c>
      <c r="BT37" s="40">
        <v>95046</v>
      </c>
      <c r="BU37" s="40">
        <v>95166</v>
      </c>
      <c r="BV37" s="40">
        <v>95280</v>
      </c>
      <c r="BW37" s="40">
        <v>95387</v>
      </c>
      <c r="BX37" s="40">
        <v>95560</v>
      </c>
      <c r="BY37" s="40">
        <v>95767</v>
      </c>
      <c r="BZ37" s="40">
        <v>96106</v>
      </c>
      <c r="CA37" s="40">
        <v>96307</v>
      </c>
      <c r="CB37" s="40">
        <v>96401</v>
      </c>
      <c r="CC37" s="40">
        <v>96616</v>
      </c>
      <c r="CD37" s="40">
        <v>96765</v>
      </c>
      <c r="CE37" s="40">
        <v>96876</v>
      </c>
      <c r="CF37" s="40">
        <v>97088</v>
      </c>
      <c r="CG37" s="40">
        <v>97216</v>
      </c>
      <c r="CH37" s="40">
        <v>97340</v>
      </c>
      <c r="CI37" s="40">
        <v>97506</v>
      </c>
      <c r="CJ37" s="40">
        <v>97552</v>
      </c>
      <c r="CK37" s="40">
        <v>97627</v>
      </c>
      <c r="CL37" s="40">
        <v>97790</v>
      </c>
      <c r="CM37" s="40">
        <v>97840</v>
      </c>
      <c r="CN37" s="40">
        <v>97951</v>
      </c>
      <c r="CO37" s="40">
        <v>98077</v>
      </c>
      <c r="CP37" s="40">
        <v>98151</v>
      </c>
      <c r="CQ37" s="40">
        <v>98246</v>
      </c>
      <c r="CR37" s="40">
        <v>98277</v>
      </c>
      <c r="CS37" s="40">
        <v>98364</v>
      </c>
      <c r="CT37" s="40">
        <v>98407</v>
      </c>
      <c r="CU37" s="40">
        <v>98467</v>
      </c>
      <c r="CV37" s="40">
        <v>98508</v>
      </c>
      <c r="CW37" s="40">
        <v>98548</v>
      </c>
      <c r="CX37" s="40">
        <v>98623</v>
      </c>
      <c r="CY37" s="40">
        <v>98635</v>
      </c>
      <c r="CZ37" s="40">
        <v>98681</v>
      </c>
      <c r="DA37" s="40">
        <v>98693</v>
      </c>
      <c r="DB37" s="40">
        <v>98753</v>
      </c>
      <c r="DC37" s="40">
        <v>98777</v>
      </c>
      <c r="DD37" s="40">
        <v>98812</v>
      </c>
      <c r="DE37" s="40">
        <v>98826</v>
      </c>
      <c r="DF37" s="40">
        <v>98889</v>
      </c>
      <c r="DG37" s="40">
        <v>98914</v>
      </c>
      <c r="DH37" s="40">
        <v>98938</v>
      </c>
      <c r="DI37" s="40">
        <v>98962</v>
      </c>
      <c r="DJ37" s="40">
        <v>99013</v>
      </c>
      <c r="DK37" s="40">
        <v>99029</v>
      </c>
      <c r="DL37" s="40">
        <v>99048</v>
      </c>
      <c r="DM37" s="40">
        <v>99084</v>
      </c>
      <c r="DN37" s="40">
        <v>99118</v>
      </c>
      <c r="DO37" s="40">
        <v>99151</v>
      </c>
    </row>
    <row r="38" spans="1:119">
      <c r="A38" s="40">
        <v>36</v>
      </c>
      <c r="B38" s="40"/>
      <c r="C38" s="40"/>
      <c r="D38" s="40"/>
      <c r="E38" s="40"/>
      <c r="F38" s="40"/>
      <c r="G38" s="40"/>
      <c r="H38" s="40"/>
      <c r="I38" s="40"/>
      <c r="J38" s="40"/>
      <c r="K38" s="40"/>
      <c r="L38" s="40"/>
      <c r="M38" s="40"/>
      <c r="N38" s="40"/>
      <c r="O38" s="40"/>
      <c r="P38" s="40"/>
      <c r="Q38" s="40"/>
      <c r="R38" s="40"/>
      <c r="S38" s="40"/>
      <c r="T38" s="40"/>
      <c r="U38" s="40"/>
      <c r="V38" s="40"/>
      <c r="W38" s="40">
        <v>76129</v>
      </c>
      <c r="X38" s="40">
        <v>76920</v>
      </c>
      <c r="Y38" s="40">
        <v>77079</v>
      </c>
      <c r="Z38" s="40">
        <v>79355</v>
      </c>
      <c r="AA38" s="40">
        <v>79734</v>
      </c>
      <c r="AB38" s="40">
        <v>80419</v>
      </c>
      <c r="AC38" s="40">
        <v>81265</v>
      </c>
      <c r="AD38" s="40">
        <v>82332</v>
      </c>
      <c r="AE38" s="40">
        <v>82329</v>
      </c>
      <c r="AF38" s="40">
        <v>83691</v>
      </c>
      <c r="AG38" s="40">
        <v>84119</v>
      </c>
      <c r="AH38" s="40">
        <v>84543</v>
      </c>
      <c r="AI38" s="40">
        <v>84790</v>
      </c>
      <c r="AJ38" s="40">
        <v>86091</v>
      </c>
      <c r="AK38" s="40">
        <v>85953</v>
      </c>
      <c r="AL38" s="40">
        <v>86255</v>
      </c>
      <c r="AM38" s="40">
        <v>86521</v>
      </c>
      <c r="AN38" s="40">
        <v>86979</v>
      </c>
      <c r="AO38" s="40">
        <v>86896</v>
      </c>
      <c r="AP38" s="40">
        <v>87024</v>
      </c>
      <c r="AQ38" s="40">
        <v>87096</v>
      </c>
      <c r="AR38" s="40">
        <v>87191</v>
      </c>
      <c r="AS38" s="40">
        <v>86607</v>
      </c>
      <c r="AT38" s="40">
        <v>85830</v>
      </c>
      <c r="AU38" s="40">
        <v>84415</v>
      </c>
      <c r="AV38" s="40">
        <v>84937</v>
      </c>
      <c r="AW38" s="40">
        <v>85417</v>
      </c>
      <c r="AX38" s="40">
        <v>87748</v>
      </c>
      <c r="AY38" s="40">
        <v>89720</v>
      </c>
      <c r="AZ38" s="40">
        <v>89706</v>
      </c>
      <c r="BA38" s="40">
        <v>89734</v>
      </c>
      <c r="BB38" s="40">
        <v>90522</v>
      </c>
      <c r="BC38" s="40">
        <v>90775</v>
      </c>
      <c r="BD38" s="40">
        <v>91235</v>
      </c>
      <c r="BE38" s="40">
        <v>91286</v>
      </c>
      <c r="BF38" s="40">
        <v>91663</v>
      </c>
      <c r="BG38" s="40">
        <v>91726</v>
      </c>
      <c r="BH38" s="40">
        <v>92117</v>
      </c>
      <c r="BI38" s="40">
        <v>92388</v>
      </c>
      <c r="BJ38" s="40">
        <v>92533</v>
      </c>
      <c r="BK38" s="40">
        <v>92941</v>
      </c>
      <c r="BL38" s="40">
        <v>93320</v>
      </c>
      <c r="BM38" s="40">
        <v>93702</v>
      </c>
      <c r="BN38" s="40">
        <v>94042</v>
      </c>
      <c r="BO38" s="40">
        <v>94358</v>
      </c>
      <c r="BP38" s="40">
        <v>94505</v>
      </c>
      <c r="BQ38" s="40">
        <v>94672</v>
      </c>
      <c r="BR38" s="40">
        <v>94807</v>
      </c>
      <c r="BS38" s="40">
        <v>94818</v>
      </c>
      <c r="BT38" s="40">
        <v>94963</v>
      </c>
      <c r="BU38" s="40">
        <v>95080</v>
      </c>
      <c r="BV38" s="40">
        <v>95201</v>
      </c>
      <c r="BW38" s="40">
        <v>95298</v>
      </c>
      <c r="BX38" s="40">
        <v>95477</v>
      </c>
      <c r="BY38" s="40">
        <v>95691</v>
      </c>
      <c r="BZ38" s="40">
        <v>96031</v>
      </c>
      <c r="CA38" s="40">
        <v>96224</v>
      </c>
      <c r="CB38" s="40">
        <v>96322</v>
      </c>
      <c r="CC38" s="40">
        <v>96528</v>
      </c>
      <c r="CD38" s="40">
        <v>96687</v>
      </c>
      <c r="CE38" s="40">
        <v>96799</v>
      </c>
      <c r="CF38" s="40">
        <v>97013</v>
      </c>
      <c r="CG38" s="40">
        <v>97142</v>
      </c>
      <c r="CH38" s="40">
        <v>97269</v>
      </c>
      <c r="CI38" s="40">
        <v>97436</v>
      </c>
      <c r="CJ38" s="40">
        <v>97484</v>
      </c>
      <c r="CK38" s="40">
        <v>97561</v>
      </c>
      <c r="CL38" s="40">
        <v>97724</v>
      </c>
      <c r="CM38" s="40">
        <v>97776</v>
      </c>
      <c r="CN38" s="40">
        <v>97889</v>
      </c>
      <c r="CO38" s="40">
        <v>98016</v>
      </c>
      <c r="CP38" s="40">
        <v>98091</v>
      </c>
      <c r="CQ38" s="40">
        <v>98187</v>
      </c>
      <c r="CR38" s="40">
        <v>98220</v>
      </c>
      <c r="CS38" s="40">
        <v>98309</v>
      </c>
      <c r="CT38" s="40">
        <v>98353</v>
      </c>
      <c r="CU38" s="40">
        <v>98414</v>
      </c>
      <c r="CV38" s="40">
        <v>98456</v>
      </c>
      <c r="CW38" s="40">
        <v>98498</v>
      </c>
      <c r="CX38" s="40">
        <v>98574</v>
      </c>
      <c r="CY38" s="40">
        <v>98587</v>
      </c>
      <c r="CZ38" s="40">
        <v>98633</v>
      </c>
      <c r="DA38" s="40">
        <v>98647</v>
      </c>
      <c r="DB38" s="40">
        <v>98708</v>
      </c>
      <c r="DC38" s="40">
        <v>98733</v>
      </c>
      <c r="DD38" s="40">
        <v>98770</v>
      </c>
      <c r="DE38" s="40">
        <v>98784</v>
      </c>
      <c r="DF38" s="40">
        <v>98848</v>
      </c>
      <c r="DG38" s="40">
        <v>98875</v>
      </c>
      <c r="DH38" s="40">
        <v>98899</v>
      </c>
      <c r="DI38" s="40">
        <v>98924</v>
      </c>
      <c r="DJ38" s="40">
        <v>98976</v>
      </c>
      <c r="DK38" s="40">
        <v>98992</v>
      </c>
      <c r="DL38" s="40">
        <v>99013</v>
      </c>
      <c r="DM38" s="40">
        <v>99049</v>
      </c>
      <c r="DN38" s="40">
        <v>99084</v>
      </c>
      <c r="DO38" s="40">
        <v>99118</v>
      </c>
    </row>
    <row r="39" spans="1:119">
      <c r="A39" s="40">
        <v>37</v>
      </c>
      <c r="B39" s="40"/>
      <c r="C39" s="40"/>
      <c r="D39" s="40"/>
      <c r="E39" s="40"/>
      <c r="F39" s="40"/>
      <c r="G39" s="40"/>
      <c r="H39" s="40"/>
      <c r="I39" s="40"/>
      <c r="J39" s="40"/>
      <c r="K39" s="40"/>
      <c r="L39" s="40"/>
      <c r="M39" s="40"/>
      <c r="N39" s="40"/>
      <c r="O39" s="40"/>
      <c r="P39" s="40"/>
      <c r="Q39" s="40"/>
      <c r="R39" s="40"/>
      <c r="S39" s="40"/>
      <c r="T39" s="40"/>
      <c r="U39" s="40"/>
      <c r="V39" s="40"/>
      <c r="W39" s="40">
        <v>75954</v>
      </c>
      <c r="X39" s="40">
        <v>76751</v>
      </c>
      <c r="Y39" s="40">
        <v>76898</v>
      </c>
      <c r="Z39" s="40">
        <v>79180</v>
      </c>
      <c r="AA39" s="40">
        <v>79554</v>
      </c>
      <c r="AB39" s="40">
        <v>80249</v>
      </c>
      <c r="AC39" s="40">
        <v>81093</v>
      </c>
      <c r="AD39" s="40">
        <v>82156</v>
      </c>
      <c r="AE39" s="40">
        <v>82156</v>
      </c>
      <c r="AF39" s="40">
        <v>83502</v>
      </c>
      <c r="AG39" s="40">
        <v>83928</v>
      </c>
      <c r="AH39" s="40">
        <v>84359</v>
      </c>
      <c r="AI39" s="40">
        <v>84610</v>
      </c>
      <c r="AJ39" s="40">
        <v>85910</v>
      </c>
      <c r="AK39" s="40">
        <v>85772</v>
      </c>
      <c r="AL39" s="40">
        <v>86058</v>
      </c>
      <c r="AM39" s="40">
        <v>86341</v>
      </c>
      <c r="AN39" s="40">
        <v>86790</v>
      </c>
      <c r="AO39" s="40">
        <v>86699</v>
      </c>
      <c r="AP39" s="40">
        <v>86842</v>
      </c>
      <c r="AQ39" s="40">
        <v>86912</v>
      </c>
      <c r="AR39" s="40">
        <v>87016</v>
      </c>
      <c r="AS39" s="40">
        <v>86437</v>
      </c>
      <c r="AT39" s="40">
        <v>85670</v>
      </c>
      <c r="AU39" s="40">
        <v>84256</v>
      </c>
      <c r="AV39" s="40">
        <v>84787</v>
      </c>
      <c r="AW39" s="40">
        <v>85265</v>
      </c>
      <c r="AX39" s="40">
        <v>87609</v>
      </c>
      <c r="AY39" s="40">
        <v>89570</v>
      </c>
      <c r="AZ39" s="40">
        <v>89556</v>
      </c>
      <c r="BA39" s="40">
        <v>89582</v>
      </c>
      <c r="BB39" s="40">
        <v>90360</v>
      </c>
      <c r="BC39" s="40">
        <v>90610</v>
      </c>
      <c r="BD39" s="40">
        <v>91068</v>
      </c>
      <c r="BE39" s="40">
        <v>91107</v>
      </c>
      <c r="BF39" s="40">
        <v>91503</v>
      </c>
      <c r="BG39" s="40">
        <v>91549</v>
      </c>
      <c r="BH39" s="40">
        <v>91948</v>
      </c>
      <c r="BI39" s="40">
        <v>92226</v>
      </c>
      <c r="BJ39" s="40">
        <v>92392</v>
      </c>
      <c r="BK39" s="40">
        <v>92804</v>
      </c>
      <c r="BL39" s="40">
        <v>93188</v>
      </c>
      <c r="BM39" s="40">
        <v>93575</v>
      </c>
      <c r="BN39" s="40">
        <v>93928</v>
      </c>
      <c r="BO39" s="40">
        <v>94247</v>
      </c>
      <c r="BP39" s="40">
        <v>94394</v>
      </c>
      <c r="BQ39" s="40">
        <v>94569</v>
      </c>
      <c r="BR39" s="40">
        <v>94706</v>
      </c>
      <c r="BS39" s="40">
        <v>94727</v>
      </c>
      <c r="BT39" s="40">
        <v>94874</v>
      </c>
      <c r="BU39" s="40">
        <v>94992</v>
      </c>
      <c r="BV39" s="40">
        <v>95116</v>
      </c>
      <c r="BW39" s="40">
        <v>95210</v>
      </c>
      <c r="BX39" s="40">
        <v>95393</v>
      </c>
      <c r="BY39" s="40">
        <v>95610</v>
      </c>
      <c r="BZ39" s="40">
        <v>95945</v>
      </c>
      <c r="CA39" s="40">
        <v>96144</v>
      </c>
      <c r="CB39" s="40">
        <v>96232</v>
      </c>
      <c r="CC39" s="40">
        <v>96445</v>
      </c>
      <c r="CD39" s="40">
        <v>96605</v>
      </c>
      <c r="CE39" s="40">
        <v>96719</v>
      </c>
      <c r="CF39" s="40">
        <v>96935</v>
      </c>
      <c r="CG39" s="40">
        <v>97066</v>
      </c>
      <c r="CH39" s="40">
        <v>97194</v>
      </c>
      <c r="CI39" s="40">
        <v>97363</v>
      </c>
      <c r="CJ39" s="40">
        <v>97412</v>
      </c>
      <c r="CK39" s="40">
        <v>97491</v>
      </c>
      <c r="CL39" s="40">
        <v>97656</v>
      </c>
      <c r="CM39" s="40">
        <v>97709</v>
      </c>
      <c r="CN39" s="40">
        <v>97824</v>
      </c>
      <c r="CO39" s="40">
        <v>97952</v>
      </c>
      <c r="CP39" s="40">
        <v>98029</v>
      </c>
      <c r="CQ39" s="40">
        <v>98126</v>
      </c>
      <c r="CR39" s="40">
        <v>98161</v>
      </c>
      <c r="CS39" s="40">
        <v>98251</v>
      </c>
      <c r="CT39" s="40">
        <v>98296</v>
      </c>
      <c r="CU39" s="40">
        <v>98359</v>
      </c>
      <c r="CV39" s="40">
        <v>98402</v>
      </c>
      <c r="CW39" s="40">
        <v>98445</v>
      </c>
      <c r="CX39" s="40">
        <v>98522</v>
      </c>
      <c r="CY39" s="40">
        <v>98536</v>
      </c>
      <c r="CZ39" s="40">
        <v>98584</v>
      </c>
      <c r="DA39" s="40">
        <v>98598</v>
      </c>
      <c r="DB39" s="40">
        <v>98661</v>
      </c>
      <c r="DC39" s="40">
        <v>98687</v>
      </c>
      <c r="DD39" s="40">
        <v>98724</v>
      </c>
      <c r="DE39" s="40">
        <v>98740</v>
      </c>
      <c r="DF39" s="40">
        <v>98805</v>
      </c>
      <c r="DG39" s="40">
        <v>98833</v>
      </c>
      <c r="DH39" s="40">
        <v>98858</v>
      </c>
      <c r="DI39" s="40">
        <v>98884</v>
      </c>
      <c r="DJ39" s="40">
        <v>98937</v>
      </c>
      <c r="DK39" s="40">
        <v>98954</v>
      </c>
      <c r="DL39" s="40">
        <v>98976</v>
      </c>
      <c r="DM39" s="40">
        <v>99013</v>
      </c>
      <c r="DN39" s="40">
        <v>99049</v>
      </c>
      <c r="DO39" s="40">
        <v>99083</v>
      </c>
    </row>
    <row r="40" spans="1:119">
      <c r="A40" s="40">
        <v>38</v>
      </c>
      <c r="B40" s="40"/>
      <c r="C40" s="40"/>
      <c r="D40" s="40"/>
      <c r="E40" s="40"/>
      <c r="F40" s="40"/>
      <c r="G40" s="40"/>
      <c r="H40" s="40"/>
      <c r="I40" s="40"/>
      <c r="J40" s="40"/>
      <c r="K40" s="40"/>
      <c r="L40" s="40"/>
      <c r="M40" s="40"/>
      <c r="N40" s="40"/>
      <c r="O40" s="40"/>
      <c r="P40" s="40"/>
      <c r="Q40" s="40"/>
      <c r="R40" s="40"/>
      <c r="S40" s="40"/>
      <c r="T40" s="40"/>
      <c r="U40" s="40"/>
      <c r="V40" s="40"/>
      <c r="W40" s="40">
        <v>75768</v>
      </c>
      <c r="X40" s="40">
        <v>76570</v>
      </c>
      <c r="Y40" s="40">
        <v>76721</v>
      </c>
      <c r="Z40" s="40">
        <v>79003</v>
      </c>
      <c r="AA40" s="40">
        <v>79361</v>
      </c>
      <c r="AB40" s="40">
        <v>80055</v>
      </c>
      <c r="AC40" s="40">
        <v>80904</v>
      </c>
      <c r="AD40" s="40">
        <v>81955</v>
      </c>
      <c r="AE40" s="40">
        <v>81960</v>
      </c>
      <c r="AF40" s="40">
        <v>83305</v>
      </c>
      <c r="AG40" s="40">
        <v>83731</v>
      </c>
      <c r="AH40" s="40">
        <v>84151</v>
      </c>
      <c r="AI40" s="40">
        <v>84398</v>
      </c>
      <c r="AJ40" s="40">
        <v>85690</v>
      </c>
      <c r="AK40" s="40">
        <v>85567</v>
      </c>
      <c r="AL40" s="40">
        <v>85862</v>
      </c>
      <c r="AM40" s="40">
        <v>86140</v>
      </c>
      <c r="AN40" s="40">
        <v>86596</v>
      </c>
      <c r="AO40" s="40">
        <v>86497</v>
      </c>
      <c r="AP40" s="40">
        <v>86637</v>
      </c>
      <c r="AQ40" s="40">
        <v>86709</v>
      </c>
      <c r="AR40" s="40">
        <v>86830</v>
      </c>
      <c r="AS40" s="40">
        <v>86257</v>
      </c>
      <c r="AT40" s="40">
        <v>85486</v>
      </c>
      <c r="AU40" s="40">
        <v>84085</v>
      </c>
      <c r="AV40" s="40">
        <v>84615</v>
      </c>
      <c r="AW40" s="40">
        <v>85111</v>
      </c>
      <c r="AX40" s="40">
        <v>87454</v>
      </c>
      <c r="AY40" s="40">
        <v>89409</v>
      </c>
      <c r="AZ40" s="40">
        <v>89390</v>
      </c>
      <c r="BA40" s="40">
        <v>89419</v>
      </c>
      <c r="BB40" s="40">
        <v>90182</v>
      </c>
      <c r="BC40" s="40">
        <v>90411</v>
      </c>
      <c r="BD40" s="40">
        <v>90878</v>
      </c>
      <c r="BE40" s="40">
        <v>90926</v>
      </c>
      <c r="BF40" s="40">
        <v>91323</v>
      </c>
      <c r="BG40" s="40">
        <v>91362</v>
      </c>
      <c r="BH40" s="40">
        <v>91782</v>
      </c>
      <c r="BI40" s="40">
        <v>92065</v>
      </c>
      <c r="BJ40" s="40">
        <v>92247</v>
      </c>
      <c r="BK40" s="40">
        <v>92661</v>
      </c>
      <c r="BL40" s="40">
        <v>93055</v>
      </c>
      <c r="BM40" s="40">
        <v>93451</v>
      </c>
      <c r="BN40" s="40">
        <v>93804</v>
      </c>
      <c r="BO40" s="40">
        <v>94132</v>
      </c>
      <c r="BP40" s="40">
        <v>94281</v>
      </c>
      <c r="BQ40" s="40">
        <v>94465</v>
      </c>
      <c r="BR40" s="40">
        <v>94610</v>
      </c>
      <c r="BS40" s="40">
        <v>94629</v>
      </c>
      <c r="BT40" s="40">
        <v>94781</v>
      </c>
      <c r="BU40" s="40">
        <v>94894</v>
      </c>
      <c r="BV40" s="40">
        <v>95031</v>
      </c>
      <c r="BW40" s="40">
        <v>95112</v>
      </c>
      <c r="BX40" s="40">
        <v>95304</v>
      </c>
      <c r="BY40" s="40">
        <v>95523</v>
      </c>
      <c r="BZ40" s="40">
        <v>95863</v>
      </c>
      <c r="CA40" s="40">
        <v>96058</v>
      </c>
      <c r="CB40" s="40">
        <v>96143</v>
      </c>
      <c r="CC40" s="40">
        <v>96357</v>
      </c>
      <c r="CD40" s="40">
        <v>96519</v>
      </c>
      <c r="CE40" s="40">
        <v>96635</v>
      </c>
      <c r="CF40" s="40">
        <v>96852</v>
      </c>
      <c r="CG40" s="40">
        <v>96985</v>
      </c>
      <c r="CH40" s="40">
        <v>97115</v>
      </c>
      <c r="CI40" s="40">
        <v>97286</v>
      </c>
      <c r="CJ40" s="40">
        <v>97337</v>
      </c>
      <c r="CK40" s="40">
        <v>97417</v>
      </c>
      <c r="CL40" s="40">
        <v>97584</v>
      </c>
      <c r="CM40" s="40">
        <v>97639</v>
      </c>
      <c r="CN40" s="40">
        <v>97755</v>
      </c>
      <c r="CO40" s="40">
        <v>97884</v>
      </c>
      <c r="CP40" s="40">
        <v>97963</v>
      </c>
      <c r="CQ40" s="40">
        <v>98062</v>
      </c>
      <c r="CR40" s="40">
        <v>98098</v>
      </c>
      <c r="CS40" s="40">
        <v>98189</v>
      </c>
      <c r="CT40" s="40">
        <v>98235</v>
      </c>
      <c r="CU40" s="40">
        <v>98300</v>
      </c>
      <c r="CV40" s="40">
        <v>98344</v>
      </c>
      <c r="CW40" s="40">
        <v>98389</v>
      </c>
      <c r="CX40" s="40">
        <v>98467</v>
      </c>
      <c r="CY40" s="40">
        <v>98482</v>
      </c>
      <c r="CZ40" s="40">
        <v>98532</v>
      </c>
      <c r="DA40" s="40">
        <v>98547</v>
      </c>
      <c r="DB40" s="40">
        <v>98611</v>
      </c>
      <c r="DC40" s="40">
        <v>98638</v>
      </c>
      <c r="DD40" s="40">
        <v>98677</v>
      </c>
      <c r="DE40" s="40">
        <v>98694</v>
      </c>
      <c r="DF40" s="40">
        <v>98759</v>
      </c>
      <c r="DG40" s="40">
        <v>98788</v>
      </c>
      <c r="DH40" s="40">
        <v>98814</v>
      </c>
      <c r="DI40" s="40">
        <v>98841</v>
      </c>
      <c r="DJ40" s="40">
        <v>98895</v>
      </c>
      <c r="DK40" s="40">
        <v>98913</v>
      </c>
      <c r="DL40" s="40">
        <v>98936</v>
      </c>
      <c r="DM40" s="40">
        <v>98974</v>
      </c>
      <c r="DN40" s="40">
        <v>99011</v>
      </c>
      <c r="DO40" s="40">
        <v>99046</v>
      </c>
    </row>
    <row r="41" spans="1:119">
      <c r="A41" s="40">
        <v>39</v>
      </c>
      <c r="B41" s="40"/>
      <c r="C41" s="40"/>
      <c r="D41" s="40"/>
      <c r="E41" s="40"/>
      <c r="F41" s="40"/>
      <c r="G41" s="40"/>
      <c r="H41" s="40"/>
      <c r="I41" s="40"/>
      <c r="J41" s="40"/>
      <c r="K41" s="40"/>
      <c r="L41" s="40"/>
      <c r="M41" s="40"/>
      <c r="N41" s="40"/>
      <c r="O41" s="40"/>
      <c r="P41" s="40"/>
      <c r="Q41" s="40"/>
      <c r="R41" s="40"/>
      <c r="S41" s="40"/>
      <c r="T41" s="40"/>
      <c r="U41" s="40"/>
      <c r="V41" s="40"/>
      <c r="W41" s="40">
        <v>75577</v>
      </c>
      <c r="X41" s="40">
        <v>76388</v>
      </c>
      <c r="Y41" s="40">
        <v>76532</v>
      </c>
      <c r="Z41" s="40">
        <v>78812</v>
      </c>
      <c r="AA41" s="40">
        <v>79165</v>
      </c>
      <c r="AB41" s="40">
        <v>79863</v>
      </c>
      <c r="AC41" s="40">
        <v>80710</v>
      </c>
      <c r="AD41" s="40">
        <v>81745</v>
      </c>
      <c r="AE41" s="40">
        <v>81755</v>
      </c>
      <c r="AF41" s="40">
        <v>83090</v>
      </c>
      <c r="AG41" s="40">
        <v>83506</v>
      </c>
      <c r="AH41" s="40">
        <v>83925</v>
      </c>
      <c r="AI41" s="40">
        <v>84181</v>
      </c>
      <c r="AJ41" s="40">
        <v>85459</v>
      </c>
      <c r="AK41" s="40">
        <v>85349</v>
      </c>
      <c r="AL41" s="40">
        <v>85641</v>
      </c>
      <c r="AM41" s="40">
        <v>85922</v>
      </c>
      <c r="AN41" s="40">
        <v>86384</v>
      </c>
      <c r="AO41" s="40">
        <v>86286</v>
      </c>
      <c r="AP41" s="40">
        <v>86427</v>
      </c>
      <c r="AQ41" s="40">
        <v>86505</v>
      </c>
      <c r="AR41" s="40">
        <v>86631</v>
      </c>
      <c r="AS41" s="40">
        <v>86056</v>
      </c>
      <c r="AT41" s="40">
        <v>85304</v>
      </c>
      <c r="AU41" s="40">
        <v>83895</v>
      </c>
      <c r="AV41" s="40">
        <v>84435</v>
      </c>
      <c r="AW41" s="40">
        <v>84931</v>
      </c>
      <c r="AX41" s="40">
        <v>87287</v>
      </c>
      <c r="AY41" s="40">
        <v>89239</v>
      </c>
      <c r="AZ41" s="40">
        <v>89211</v>
      </c>
      <c r="BA41" s="40">
        <v>89239</v>
      </c>
      <c r="BB41" s="40">
        <v>89982</v>
      </c>
      <c r="BC41" s="40">
        <v>90200</v>
      </c>
      <c r="BD41" s="40">
        <v>90674</v>
      </c>
      <c r="BE41" s="40">
        <v>90737</v>
      </c>
      <c r="BF41" s="40">
        <v>91140</v>
      </c>
      <c r="BG41" s="40">
        <v>91170</v>
      </c>
      <c r="BH41" s="40">
        <v>91610</v>
      </c>
      <c r="BI41" s="40">
        <v>91905</v>
      </c>
      <c r="BJ41" s="40">
        <v>92105</v>
      </c>
      <c r="BK41" s="40">
        <v>92509</v>
      </c>
      <c r="BL41" s="40">
        <v>92911</v>
      </c>
      <c r="BM41" s="40">
        <v>93315</v>
      </c>
      <c r="BN41" s="40">
        <v>93672</v>
      </c>
      <c r="BO41" s="40">
        <v>94009</v>
      </c>
      <c r="BP41" s="40">
        <v>94158</v>
      </c>
      <c r="BQ41" s="40">
        <v>94355</v>
      </c>
      <c r="BR41" s="40">
        <v>94501</v>
      </c>
      <c r="BS41" s="40">
        <v>94530</v>
      </c>
      <c r="BT41" s="40">
        <v>94678</v>
      </c>
      <c r="BU41" s="40">
        <v>94784</v>
      </c>
      <c r="BV41" s="40">
        <v>94922</v>
      </c>
      <c r="BW41" s="40">
        <v>95015</v>
      </c>
      <c r="BX41" s="40">
        <v>95209</v>
      </c>
      <c r="BY41" s="40">
        <v>95419</v>
      </c>
      <c r="BZ41" s="40">
        <v>95766</v>
      </c>
      <c r="CA41" s="40">
        <v>95961</v>
      </c>
      <c r="CB41" s="40">
        <v>96048</v>
      </c>
      <c r="CC41" s="40">
        <v>96264</v>
      </c>
      <c r="CD41" s="40">
        <v>96429</v>
      </c>
      <c r="CE41" s="40">
        <v>96547</v>
      </c>
      <c r="CF41" s="40">
        <v>96765</v>
      </c>
      <c r="CG41" s="40">
        <v>96900</v>
      </c>
      <c r="CH41" s="40">
        <v>97032</v>
      </c>
      <c r="CI41" s="40">
        <v>97204</v>
      </c>
      <c r="CJ41" s="40">
        <v>97257</v>
      </c>
      <c r="CK41" s="40">
        <v>97339</v>
      </c>
      <c r="CL41" s="40">
        <v>97507</v>
      </c>
      <c r="CM41" s="40">
        <v>97564</v>
      </c>
      <c r="CN41" s="40">
        <v>97681</v>
      </c>
      <c r="CO41" s="40">
        <v>97812</v>
      </c>
      <c r="CP41" s="40">
        <v>97893</v>
      </c>
      <c r="CQ41" s="40">
        <v>97993</v>
      </c>
      <c r="CR41" s="40">
        <v>98031</v>
      </c>
      <c r="CS41" s="40">
        <v>98123</v>
      </c>
      <c r="CT41" s="40">
        <v>98171</v>
      </c>
      <c r="CU41" s="40">
        <v>98237</v>
      </c>
      <c r="CV41" s="40">
        <v>98283</v>
      </c>
      <c r="CW41" s="40">
        <v>98329</v>
      </c>
      <c r="CX41" s="40">
        <v>98408</v>
      </c>
      <c r="CY41" s="40">
        <v>98425</v>
      </c>
      <c r="CZ41" s="40">
        <v>98475</v>
      </c>
      <c r="DA41" s="40">
        <v>98492</v>
      </c>
      <c r="DB41" s="40">
        <v>98557</v>
      </c>
      <c r="DC41" s="40">
        <v>98586</v>
      </c>
      <c r="DD41" s="40">
        <v>98625</v>
      </c>
      <c r="DE41" s="40">
        <v>98644</v>
      </c>
      <c r="DF41" s="40">
        <v>98710</v>
      </c>
      <c r="DG41" s="40">
        <v>98740</v>
      </c>
      <c r="DH41" s="40">
        <v>98768</v>
      </c>
      <c r="DI41" s="40">
        <v>98796</v>
      </c>
      <c r="DJ41" s="40">
        <v>98851</v>
      </c>
      <c r="DK41" s="40">
        <v>98870</v>
      </c>
      <c r="DL41" s="40">
        <v>98893</v>
      </c>
      <c r="DM41" s="40">
        <v>98932</v>
      </c>
      <c r="DN41" s="40">
        <v>98970</v>
      </c>
      <c r="DO41" s="40">
        <v>99006</v>
      </c>
    </row>
    <row r="42" spans="1:119">
      <c r="A42" s="40">
        <v>40</v>
      </c>
      <c r="B42" s="40"/>
      <c r="C42" s="40"/>
      <c r="D42" s="40"/>
      <c r="E42" s="40"/>
      <c r="F42" s="40"/>
      <c r="G42" s="40"/>
      <c r="H42" s="40"/>
      <c r="I42" s="40"/>
      <c r="J42" s="40"/>
      <c r="K42" s="40"/>
      <c r="L42" s="40"/>
      <c r="M42" s="40"/>
      <c r="N42" s="40"/>
      <c r="O42" s="40"/>
      <c r="P42" s="40"/>
      <c r="Q42" s="40"/>
      <c r="R42" s="40"/>
      <c r="S42" s="40"/>
      <c r="T42" s="40"/>
      <c r="U42" s="40"/>
      <c r="V42" s="40"/>
      <c r="W42" s="40">
        <v>75363</v>
      </c>
      <c r="X42" s="40">
        <v>76177</v>
      </c>
      <c r="Y42" s="40">
        <v>76331</v>
      </c>
      <c r="Z42" s="40">
        <v>78596</v>
      </c>
      <c r="AA42" s="40">
        <v>78952</v>
      </c>
      <c r="AB42" s="40">
        <v>79653</v>
      </c>
      <c r="AC42" s="40">
        <v>80480</v>
      </c>
      <c r="AD42" s="40">
        <v>81520</v>
      </c>
      <c r="AE42" s="40">
        <v>81529</v>
      </c>
      <c r="AF42" s="40">
        <v>82853</v>
      </c>
      <c r="AG42" s="40">
        <v>83266</v>
      </c>
      <c r="AH42" s="40">
        <v>83682</v>
      </c>
      <c r="AI42" s="40">
        <v>83944</v>
      </c>
      <c r="AJ42" s="40">
        <v>85223</v>
      </c>
      <c r="AK42" s="40">
        <v>85113</v>
      </c>
      <c r="AL42" s="40">
        <v>85400</v>
      </c>
      <c r="AM42" s="40">
        <v>85691</v>
      </c>
      <c r="AN42" s="40">
        <v>86151</v>
      </c>
      <c r="AO42" s="40">
        <v>86060</v>
      </c>
      <c r="AP42" s="40">
        <v>86198</v>
      </c>
      <c r="AQ42" s="40">
        <v>86277</v>
      </c>
      <c r="AR42" s="40">
        <v>86411</v>
      </c>
      <c r="AS42" s="40">
        <v>85844</v>
      </c>
      <c r="AT42" s="40">
        <v>85103</v>
      </c>
      <c r="AU42" s="40">
        <v>83714</v>
      </c>
      <c r="AV42" s="40">
        <v>84253</v>
      </c>
      <c r="AW42" s="40">
        <v>84747</v>
      </c>
      <c r="AX42" s="40">
        <v>87099</v>
      </c>
      <c r="AY42" s="40">
        <v>89055</v>
      </c>
      <c r="AZ42" s="40">
        <v>89016</v>
      </c>
      <c r="BA42" s="40">
        <v>89035</v>
      </c>
      <c r="BB42" s="40">
        <v>89768</v>
      </c>
      <c r="BC42" s="40">
        <v>89978</v>
      </c>
      <c r="BD42" s="40">
        <v>90459</v>
      </c>
      <c r="BE42" s="40">
        <v>90520</v>
      </c>
      <c r="BF42" s="40">
        <v>90950</v>
      </c>
      <c r="BG42" s="40">
        <v>90984</v>
      </c>
      <c r="BH42" s="40">
        <v>91432</v>
      </c>
      <c r="BI42" s="40">
        <v>91731</v>
      </c>
      <c r="BJ42" s="40">
        <v>91938</v>
      </c>
      <c r="BK42" s="40">
        <v>92351</v>
      </c>
      <c r="BL42" s="40">
        <v>92762</v>
      </c>
      <c r="BM42" s="40">
        <v>93168</v>
      </c>
      <c r="BN42" s="40">
        <v>93529</v>
      </c>
      <c r="BO42" s="40">
        <v>93878</v>
      </c>
      <c r="BP42" s="40">
        <v>94027</v>
      </c>
      <c r="BQ42" s="40">
        <v>94235</v>
      </c>
      <c r="BR42" s="40">
        <v>94392</v>
      </c>
      <c r="BS42" s="40">
        <v>94420</v>
      </c>
      <c r="BT42" s="40">
        <v>94569</v>
      </c>
      <c r="BU42" s="40">
        <v>94668</v>
      </c>
      <c r="BV42" s="40">
        <v>94819</v>
      </c>
      <c r="BW42" s="40">
        <v>94902</v>
      </c>
      <c r="BX42" s="40">
        <v>95106</v>
      </c>
      <c r="BY42" s="40">
        <v>95319</v>
      </c>
      <c r="BZ42" s="40">
        <v>95661</v>
      </c>
      <c r="CA42" s="40">
        <v>95858</v>
      </c>
      <c r="CB42" s="40">
        <v>95947</v>
      </c>
      <c r="CC42" s="40">
        <v>96165</v>
      </c>
      <c r="CD42" s="40">
        <v>96332</v>
      </c>
      <c r="CE42" s="40">
        <v>96452</v>
      </c>
      <c r="CF42" s="40">
        <v>96672</v>
      </c>
      <c r="CG42" s="40">
        <v>96809</v>
      </c>
      <c r="CH42" s="40">
        <v>96942</v>
      </c>
      <c r="CI42" s="40">
        <v>97117</v>
      </c>
      <c r="CJ42" s="40">
        <v>97171</v>
      </c>
      <c r="CK42" s="40">
        <v>97255</v>
      </c>
      <c r="CL42" s="40">
        <v>97425</v>
      </c>
      <c r="CM42" s="40">
        <v>97484</v>
      </c>
      <c r="CN42" s="40">
        <v>97603</v>
      </c>
      <c r="CO42" s="40">
        <v>97736</v>
      </c>
      <c r="CP42" s="40">
        <v>97817</v>
      </c>
      <c r="CQ42" s="40">
        <v>97920</v>
      </c>
      <c r="CR42" s="40">
        <v>97959</v>
      </c>
      <c r="CS42" s="40">
        <v>98053</v>
      </c>
      <c r="CT42" s="40">
        <v>98102</v>
      </c>
      <c r="CU42" s="40">
        <v>98170</v>
      </c>
      <c r="CV42" s="40">
        <v>98217</v>
      </c>
      <c r="CW42" s="40">
        <v>98264</v>
      </c>
      <c r="CX42" s="40">
        <v>98345</v>
      </c>
      <c r="CY42" s="40">
        <v>98363</v>
      </c>
      <c r="CZ42" s="40">
        <v>98415</v>
      </c>
      <c r="DA42" s="40">
        <v>98433</v>
      </c>
      <c r="DB42" s="40">
        <v>98499</v>
      </c>
      <c r="DC42" s="40">
        <v>98529</v>
      </c>
      <c r="DD42" s="40">
        <v>98570</v>
      </c>
      <c r="DE42" s="40">
        <v>98590</v>
      </c>
      <c r="DF42" s="40">
        <v>98658</v>
      </c>
      <c r="DG42" s="40">
        <v>98689</v>
      </c>
      <c r="DH42" s="40">
        <v>98717</v>
      </c>
      <c r="DI42" s="40">
        <v>98747</v>
      </c>
      <c r="DJ42" s="40">
        <v>98803</v>
      </c>
      <c r="DK42" s="40">
        <v>98823</v>
      </c>
      <c r="DL42" s="40">
        <v>98847</v>
      </c>
      <c r="DM42" s="40">
        <v>98887</v>
      </c>
      <c r="DN42" s="40">
        <v>98926</v>
      </c>
      <c r="DO42" s="40">
        <v>98963</v>
      </c>
    </row>
    <row r="43" spans="1:119">
      <c r="A43" s="40">
        <v>41</v>
      </c>
      <c r="B43" s="40"/>
      <c r="C43" s="40"/>
      <c r="D43" s="40"/>
      <c r="E43" s="40"/>
      <c r="F43" s="40"/>
      <c r="G43" s="40"/>
      <c r="H43" s="40"/>
      <c r="I43" s="40"/>
      <c r="J43" s="40"/>
      <c r="K43" s="40"/>
      <c r="L43" s="40"/>
      <c r="M43" s="40"/>
      <c r="N43" s="40"/>
      <c r="O43" s="40"/>
      <c r="P43" s="40"/>
      <c r="Q43" s="40"/>
      <c r="R43" s="40"/>
      <c r="S43" s="40"/>
      <c r="T43" s="40"/>
      <c r="U43" s="40"/>
      <c r="V43" s="40"/>
      <c r="W43" s="40">
        <v>75149</v>
      </c>
      <c r="X43" s="40">
        <v>75956</v>
      </c>
      <c r="Y43" s="40">
        <v>76110</v>
      </c>
      <c r="Z43" s="40">
        <v>78369</v>
      </c>
      <c r="AA43" s="40">
        <v>78725</v>
      </c>
      <c r="AB43" s="40">
        <v>79412</v>
      </c>
      <c r="AC43" s="40">
        <v>80244</v>
      </c>
      <c r="AD43" s="40">
        <v>81283</v>
      </c>
      <c r="AE43" s="40">
        <v>81266</v>
      </c>
      <c r="AF43" s="40">
        <v>82587</v>
      </c>
      <c r="AG43" s="40">
        <v>83000</v>
      </c>
      <c r="AH43" s="40">
        <v>83429</v>
      </c>
      <c r="AI43" s="40">
        <v>83693</v>
      </c>
      <c r="AJ43" s="40">
        <v>84969</v>
      </c>
      <c r="AK43" s="40">
        <v>84849</v>
      </c>
      <c r="AL43" s="40">
        <v>85141</v>
      </c>
      <c r="AM43" s="40">
        <v>85444</v>
      </c>
      <c r="AN43" s="40">
        <v>85895</v>
      </c>
      <c r="AO43" s="40">
        <v>85801</v>
      </c>
      <c r="AP43" s="40">
        <v>85958</v>
      </c>
      <c r="AQ43" s="40">
        <v>86035</v>
      </c>
      <c r="AR43" s="40">
        <v>86177</v>
      </c>
      <c r="AS43" s="40">
        <v>85624</v>
      </c>
      <c r="AT43" s="40">
        <v>84889</v>
      </c>
      <c r="AU43" s="40">
        <v>83518</v>
      </c>
      <c r="AV43" s="40">
        <v>84057</v>
      </c>
      <c r="AW43" s="40">
        <v>84561</v>
      </c>
      <c r="AX43" s="40">
        <v>86900</v>
      </c>
      <c r="AY43" s="40">
        <v>88842</v>
      </c>
      <c r="AZ43" s="40">
        <v>88784</v>
      </c>
      <c r="BA43" s="40">
        <v>88800</v>
      </c>
      <c r="BB43" s="40">
        <v>89542</v>
      </c>
      <c r="BC43" s="40">
        <v>89748</v>
      </c>
      <c r="BD43" s="40">
        <v>90228</v>
      </c>
      <c r="BE43" s="40">
        <v>90311</v>
      </c>
      <c r="BF43" s="40">
        <v>90754</v>
      </c>
      <c r="BG43" s="40">
        <v>90783</v>
      </c>
      <c r="BH43" s="40">
        <v>91243</v>
      </c>
      <c r="BI43" s="40">
        <v>91546</v>
      </c>
      <c r="BJ43" s="40">
        <v>91760</v>
      </c>
      <c r="BK43" s="40">
        <v>92173</v>
      </c>
      <c r="BL43" s="40">
        <v>92604</v>
      </c>
      <c r="BM43" s="40">
        <v>93016</v>
      </c>
      <c r="BN43" s="40">
        <v>93381</v>
      </c>
      <c r="BO43" s="40">
        <v>93731</v>
      </c>
      <c r="BP43" s="40">
        <v>93891</v>
      </c>
      <c r="BQ43" s="40">
        <v>94106</v>
      </c>
      <c r="BR43" s="40">
        <v>94264</v>
      </c>
      <c r="BS43" s="40">
        <v>94296</v>
      </c>
      <c r="BT43" s="40">
        <v>94449</v>
      </c>
      <c r="BU43" s="40">
        <v>94543</v>
      </c>
      <c r="BV43" s="40">
        <v>94707</v>
      </c>
      <c r="BW43" s="40">
        <v>94792</v>
      </c>
      <c r="BX43" s="40">
        <v>94988</v>
      </c>
      <c r="BY43" s="40">
        <v>95204</v>
      </c>
      <c r="BZ43" s="40">
        <v>95548</v>
      </c>
      <c r="CA43" s="40">
        <v>95748</v>
      </c>
      <c r="CB43" s="40">
        <v>95839</v>
      </c>
      <c r="CC43" s="40">
        <v>96059</v>
      </c>
      <c r="CD43" s="40">
        <v>96228</v>
      </c>
      <c r="CE43" s="40">
        <v>96350</v>
      </c>
      <c r="CF43" s="40">
        <v>96573</v>
      </c>
      <c r="CG43" s="40">
        <v>96711</v>
      </c>
      <c r="CH43" s="40">
        <v>96847</v>
      </c>
      <c r="CI43" s="40">
        <v>97023</v>
      </c>
      <c r="CJ43" s="40">
        <v>97079</v>
      </c>
      <c r="CK43" s="40">
        <v>97165</v>
      </c>
      <c r="CL43" s="40">
        <v>97337</v>
      </c>
      <c r="CM43" s="40">
        <v>97398</v>
      </c>
      <c r="CN43" s="40">
        <v>97519</v>
      </c>
      <c r="CO43" s="40">
        <v>97653</v>
      </c>
      <c r="CP43" s="40">
        <v>97736</v>
      </c>
      <c r="CQ43" s="40">
        <v>97840</v>
      </c>
      <c r="CR43" s="40">
        <v>97881</v>
      </c>
      <c r="CS43" s="40">
        <v>97977</v>
      </c>
      <c r="CT43" s="40">
        <v>98028</v>
      </c>
      <c r="CU43" s="40">
        <v>98097</v>
      </c>
      <c r="CV43" s="40">
        <v>98146</v>
      </c>
      <c r="CW43" s="40">
        <v>98195</v>
      </c>
      <c r="CX43" s="40">
        <v>98277</v>
      </c>
      <c r="CY43" s="40">
        <v>98297</v>
      </c>
      <c r="CZ43" s="40">
        <v>98350</v>
      </c>
      <c r="DA43" s="40">
        <v>98370</v>
      </c>
      <c r="DB43" s="40">
        <v>98437</v>
      </c>
      <c r="DC43" s="40">
        <v>98468</v>
      </c>
      <c r="DD43" s="40">
        <v>98511</v>
      </c>
      <c r="DE43" s="40">
        <v>98531</v>
      </c>
      <c r="DF43" s="40">
        <v>98600</v>
      </c>
      <c r="DG43" s="40">
        <v>98633</v>
      </c>
      <c r="DH43" s="40">
        <v>98663</v>
      </c>
      <c r="DI43" s="40">
        <v>98693</v>
      </c>
      <c r="DJ43" s="40">
        <v>98750</v>
      </c>
      <c r="DK43" s="40">
        <v>98772</v>
      </c>
      <c r="DL43" s="40">
        <v>98797</v>
      </c>
      <c r="DM43" s="40">
        <v>98838</v>
      </c>
      <c r="DN43" s="40">
        <v>98878</v>
      </c>
      <c r="DO43" s="40">
        <v>98916</v>
      </c>
    </row>
    <row r="44" spans="1:119">
      <c r="A44" s="40">
        <v>42</v>
      </c>
      <c r="B44" s="40"/>
      <c r="C44" s="40"/>
      <c r="D44" s="40"/>
      <c r="E44" s="40"/>
      <c r="F44" s="40"/>
      <c r="G44" s="40"/>
      <c r="H44" s="40"/>
      <c r="I44" s="40"/>
      <c r="J44" s="40"/>
      <c r="K44" s="40"/>
      <c r="L44" s="40"/>
      <c r="M44" s="40"/>
      <c r="N44" s="40"/>
      <c r="O44" s="40"/>
      <c r="P44" s="40"/>
      <c r="Q44" s="40"/>
      <c r="R44" s="40"/>
      <c r="S44" s="40"/>
      <c r="T44" s="40"/>
      <c r="U44" s="40"/>
      <c r="V44" s="40"/>
      <c r="W44" s="40">
        <v>74919</v>
      </c>
      <c r="X44" s="40">
        <v>75719</v>
      </c>
      <c r="Y44" s="40">
        <v>75885</v>
      </c>
      <c r="Z44" s="40">
        <v>78119</v>
      </c>
      <c r="AA44" s="40">
        <v>78474</v>
      </c>
      <c r="AB44" s="40">
        <v>79164</v>
      </c>
      <c r="AC44" s="40">
        <v>79994</v>
      </c>
      <c r="AD44" s="40">
        <v>81012</v>
      </c>
      <c r="AE44" s="40">
        <v>80989</v>
      </c>
      <c r="AF44" s="40">
        <v>82292</v>
      </c>
      <c r="AG44" s="40">
        <v>82717</v>
      </c>
      <c r="AH44" s="40">
        <v>83155</v>
      </c>
      <c r="AI44" s="40">
        <v>83419</v>
      </c>
      <c r="AJ44" s="40">
        <v>84681</v>
      </c>
      <c r="AK44" s="40">
        <v>84566</v>
      </c>
      <c r="AL44" s="40">
        <v>84860</v>
      </c>
      <c r="AM44" s="40">
        <v>85177</v>
      </c>
      <c r="AN44" s="40">
        <v>85623</v>
      </c>
      <c r="AO44" s="40">
        <v>85543</v>
      </c>
      <c r="AP44" s="40">
        <v>85682</v>
      </c>
      <c r="AQ44" s="40">
        <v>85782</v>
      </c>
      <c r="AR44" s="40">
        <v>85940</v>
      </c>
      <c r="AS44" s="40">
        <v>85391</v>
      </c>
      <c r="AT44" s="40">
        <v>84670</v>
      </c>
      <c r="AU44" s="40">
        <v>83292</v>
      </c>
      <c r="AV44" s="40">
        <v>83841</v>
      </c>
      <c r="AW44" s="40">
        <v>84352</v>
      </c>
      <c r="AX44" s="40">
        <v>86684</v>
      </c>
      <c r="AY44" s="40">
        <v>88611</v>
      </c>
      <c r="AZ44" s="40">
        <v>88527</v>
      </c>
      <c r="BA44" s="40">
        <v>88552</v>
      </c>
      <c r="BB44" s="40">
        <v>89296</v>
      </c>
      <c r="BC44" s="40">
        <v>89503</v>
      </c>
      <c r="BD44" s="40">
        <v>89993</v>
      </c>
      <c r="BE44" s="40">
        <v>90087</v>
      </c>
      <c r="BF44" s="40">
        <v>90537</v>
      </c>
      <c r="BG44" s="40">
        <v>90574</v>
      </c>
      <c r="BH44" s="40">
        <v>91036</v>
      </c>
      <c r="BI44" s="40">
        <v>91356</v>
      </c>
      <c r="BJ44" s="40">
        <v>91583</v>
      </c>
      <c r="BK44" s="40">
        <v>91991</v>
      </c>
      <c r="BL44" s="40">
        <v>92428</v>
      </c>
      <c r="BM44" s="40">
        <v>92854</v>
      </c>
      <c r="BN44" s="40">
        <v>93228</v>
      </c>
      <c r="BO44" s="40">
        <v>93577</v>
      </c>
      <c r="BP44" s="40">
        <v>93752</v>
      </c>
      <c r="BQ44" s="40">
        <v>93972</v>
      </c>
      <c r="BR44" s="40">
        <v>94129</v>
      </c>
      <c r="BS44" s="40">
        <v>94164</v>
      </c>
      <c r="BT44" s="40">
        <v>94321</v>
      </c>
      <c r="BU44" s="40">
        <v>94415</v>
      </c>
      <c r="BV44" s="40">
        <v>94585</v>
      </c>
      <c r="BW44" s="40">
        <v>94665</v>
      </c>
      <c r="BX44" s="40">
        <v>94862</v>
      </c>
      <c r="BY44" s="40">
        <v>95081</v>
      </c>
      <c r="BZ44" s="40">
        <v>95426</v>
      </c>
      <c r="CA44" s="40">
        <v>95629</v>
      </c>
      <c r="CB44" s="40">
        <v>95722</v>
      </c>
      <c r="CC44" s="40">
        <v>95945</v>
      </c>
      <c r="CD44" s="40">
        <v>96116</v>
      </c>
      <c r="CE44" s="40">
        <v>96240</v>
      </c>
      <c r="CF44" s="40">
        <v>96465</v>
      </c>
      <c r="CG44" s="40">
        <v>96606</v>
      </c>
      <c r="CH44" s="40">
        <v>96743</v>
      </c>
      <c r="CI44" s="40">
        <v>96922</v>
      </c>
      <c r="CJ44" s="40">
        <v>96980</v>
      </c>
      <c r="CK44" s="40">
        <v>97068</v>
      </c>
      <c r="CL44" s="40">
        <v>97242</v>
      </c>
      <c r="CM44" s="40">
        <v>97305</v>
      </c>
      <c r="CN44" s="40">
        <v>97427</v>
      </c>
      <c r="CO44" s="40">
        <v>97564</v>
      </c>
      <c r="CP44" s="40">
        <v>97649</v>
      </c>
      <c r="CQ44" s="40">
        <v>97755</v>
      </c>
      <c r="CR44" s="40">
        <v>97797</v>
      </c>
      <c r="CS44" s="40">
        <v>97895</v>
      </c>
      <c r="CT44" s="40">
        <v>97948</v>
      </c>
      <c r="CU44" s="40">
        <v>98018</v>
      </c>
      <c r="CV44" s="40">
        <v>98069</v>
      </c>
      <c r="CW44" s="40">
        <v>98119</v>
      </c>
      <c r="CX44" s="40">
        <v>98204</v>
      </c>
      <c r="CY44" s="40">
        <v>98225</v>
      </c>
      <c r="CZ44" s="40">
        <v>98279</v>
      </c>
      <c r="DA44" s="40">
        <v>98300</v>
      </c>
      <c r="DB44" s="40">
        <v>98369</v>
      </c>
      <c r="DC44" s="40">
        <v>98402</v>
      </c>
      <c r="DD44" s="40">
        <v>98446</v>
      </c>
      <c r="DE44" s="40">
        <v>98468</v>
      </c>
      <c r="DF44" s="40">
        <v>98538</v>
      </c>
      <c r="DG44" s="40">
        <v>98572</v>
      </c>
      <c r="DH44" s="40">
        <v>98603</v>
      </c>
      <c r="DI44" s="40">
        <v>98635</v>
      </c>
      <c r="DJ44" s="40">
        <v>98693</v>
      </c>
      <c r="DK44" s="40">
        <v>98716</v>
      </c>
      <c r="DL44" s="40">
        <v>98742</v>
      </c>
      <c r="DM44" s="40">
        <v>98785</v>
      </c>
      <c r="DN44" s="40">
        <v>98826</v>
      </c>
      <c r="DO44" s="40">
        <v>98865</v>
      </c>
    </row>
    <row r="45" spans="1:119">
      <c r="A45" s="40">
        <v>43</v>
      </c>
      <c r="B45" s="40"/>
      <c r="C45" s="40"/>
      <c r="D45" s="40"/>
      <c r="E45" s="40"/>
      <c r="F45" s="40"/>
      <c r="G45" s="40"/>
      <c r="H45" s="40"/>
      <c r="I45" s="40"/>
      <c r="J45" s="40"/>
      <c r="K45" s="40"/>
      <c r="L45" s="40"/>
      <c r="M45" s="40"/>
      <c r="N45" s="40"/>
      <c r="O45" s="40"/>
      <c r="P45" s="40"/>
      <c r="Q45" s="40"/>
      <c r="R45" s="40"/>
      <c r="S45" s="40"/>
      <c r="T45" s="40"/>
      <c r="U45" s="40"/>
      <c r="V45" s="40"/>
      <c r="W45" s="40">
        <v>74657</v>
      </c>
      <c r="X45" s="40">
        <v>75463</v>
      </c>
      <c r="Y45" s="40">
        <v>75620</v>
      </c>
      <c r="Z45" s="40">
        <v>77842</v>
      </c>
      <c r="AA45" s="40">
        <v>78216</v>
      </c>
      <c r="AB45" s="40">
        <v>78901</v>
      </c>
      <c r="AC45" s="40">
        <v>79697</v>
      </c>
      <c r="AD45" s="40">
        <v>80710</v>
      </c>
      <c r="AE45" s="40">
        <v>80678</v>
      </c>
      <c r="AF45" s="40">
        <v>81985</v>
      </c>
      <c r="AG45" s="40">
        <v>82416</v>
      </c>
      <c r="AH45" s="40">
        <v>82850</v>
      </c>
      <c r="AI45" s="40">
        <v>83109</v>
      </c>
      <c r="AJ45" s="40">
        <v>84375</v>
      </c>
      <c r="AK45" s="40">
        <v>84273</v>
      </c>
      <c r="AL45" s="40">
        <v>84570</v>
      </c>
      <c r="AM45" s="40">
        <v>84887</v>
      </c>
      <c r="AN45" s="40">
        <v>85332</v>
      </c>
      <c r="AO45" s="40">
        <v>85254</v>
      </c>
      <c r="AP45" s="40">
        <v>85403</v>
      </c>
      <c r="AQ45" s="40">
        <v>85523</v>
      </c>
      <c r="AR45" s="40">
        <v>85694</v>
      </c>
      <c r="AS45" s="40">
        <v>85145</v>
      </c>
      <c r="AT45" s="40">
        <v>84426</v>
      </c>
      <c r="AU45" s="40">
        <v>83063</v>
      </c>
      <c r="AV45" s="40">
        <v>83601</v>
      </c>
      <c r="AW45" s="40">
        <v>84106</v>
      </c>
      <c r="AX45" s="40">
        <v>86437</v>
      </c>
      <c r="AY45" s="40">
        <v>88356</v>
      </c>
      <c r="AZ45" s="40">
        <v>88279</v>
      </c>
      <c r="BA45" s="40">
        <v>88286</v>
      </c>
      <c r="BB45" s="40">
        <v>89037</v>
      </c>
      <c r="BC45" s="40">
        <v>89232</v>
      </c>
      <c r="BD45" s="40">
        <v>89744</v>
      </c>
      <c r="BE45" s="40">
        <v>89844</v>
      </c>
      <c r="BF45" s="40">
        <v>90302</v>
      </c>
      <c r="BG45" s="40">
        <v>90349</v>
      </c>
      <c r="BH45" s="40">
        <v>90821</v>
      </c>
      <c r="BI45" s="40">
        <v>91146</v>
      </c>
      <c r="BJ45" s="40">
        <v>91375</v>
      </c>
      <c r="BK45" s="40">
        <v>91792</v>
      </c>
      <c r="BL45" s="40">
        <v>92242</v>
      </c>
      <c r="BM45" s="40">
        <v>92679</v>
      </c>
      <c r="BN45" s="40">
        <v>93062</v>
      </c>
      <c r="BO45" s="40">
        <v>93417</v>
      </c>
      <c r="BP45" s="40">
        <v>93608</v>
      </c>
      <c r="BQ45" s="40">
        <v>93828</v>
      </c>
      <c r="BR45" s="40">
        <v>93980</v>
      </c>
      <c r="BS45" s="40">
        <v>94020</v>
      </c>
      <c r="BT45" s="40">
        <v>94182</v>
      </c>
      <c r="BU45" s="40">
        <v>94276</v>
      </c>
      <c r="BV45" s="40">
        <v>94438</v>
      </c>
      <c r="BW45" s="40">
        <v>94526</v>
      </c>
      <c r="BX45" s="40">
        <v>94726</v>
      </c>
      <c r="BY45" s="40">
        <v>94947</v>
      </c>
      <c r="BZ45" s="40">
        <v>95295</v>
      </c>
      <c r="CA45" s="40">
        <v>95500</v>
      </c>
      <c r="CB45" s="40">
        <v>95596</v>
      </c>
      <c r="CC45" s="40">
        <v>95821</v>
      </c>
      <c r="CD45" s="40">
        <v>95994</v>
      </c>
      <c r="CE45" s="40">
        <v>96121</v>
      </c>
      <c r="CF45" s="40">
        <v>96348</v>
      </c>
      <c r="CG45" s="40">
        <v>96492</v>
      </c>
      <c r="CH45" s="40">
        <v>96631</v>
      </c>
      <c r="CI45" s="40">
        <v>96812</v>
      </c>
      <c r="CJ45" s="40">
        <v>96873</v>
      </c>
      <c r="CK45" s="40">
        <v>96963</v>
      </c>
      <c r="CL45" s="40">
        <v>97139</v>
      </c>
      <c r="CM45" s="40">
        <v>97203</v>
      </c>
      <c r="CN45" s="40">
        <v>97328</v>
      </c>
      <c r="CO45" s="40">
        <v>97466</v>
      </c>
      <c r="CP45" s="40">
        <v>97554</v>
      </c>
      <c r="CQ45" s="40">
        <v>97661</v>
      </c>
      <c r="CR45" s="40">
        <v>97706</v>
      </c>
      <c r="CS45" s="40">
        <v>97806</v>
      </c>
      <c r="CT45" s="40">
        <v>97860</v>
      </c>
      <c r="CU45" s="40">
        <v>97933</v>
      </c>
      <c r="CV45" s="40">
        <v>97985</v>
      </c>
      <c r="CW45" s="40">
        <v>98037</v>
      </c>
      <c r="CX45" s="40">
        <v>98123</v>
      </c>
      <c r="CY45" s="40">
        <v>98146</v>
      </c>
      <c r="CZ45" s="40">
        <v>98202</v>
      </c>
      <c r="DA45" s="40">
        <v>98225</v>
      </c>
      <c r="DB45" s="40">
        <v>98295</v>
      </c>
      <c r="DC45" s="40">
        <v>98330</v>
      </c>
      <c r="DD45" s="40">
        <v>98375</v>
      </c>
      <c r="DE45" s="40">
        <v>98399</v>
      </c>
      <c r="DF45" s="40">
        <v>98470</v>
      </c>
      <c r="DG45" s="40">
        <v>98505</v>
      </c>
      <c r="DH45" s="40">
        <v>98538</v>
      </c>
      <c r="DI45" s="40">
        <v>98571</v>
      </c>
      <c r="DJ45" s="40">
        <v>98631</v>
      </c>
      <c r="DK45" s="40">
        <v>98655</v>
      </c>
      <c r="DL45" s="40">
        <v>98683</v>
      </c>
      <c r="DM45" s="40">
        <v>98726</v>
      </c>
      <c r="DN45" s="40">
        <v>98768</v>
      </c>
      <c r="DO45" s="40">
        <v>98809</v>
      </c>
    </row>
    <row r="46" spans="1:119">
      <c r="A46" s="40">
        <v>44</v>
      </c>
      <c r="B46" s="40"/>
      <c r="C46" s="40"/>
      <c r="D46" s="40"/>
      <c r="E46" s="40"/>
      <c r="F46" s="40"/>
      <c r="G46" s="40"/>
      <c r="H46" s="40"/>
      <c r="I46" s="40"/>
      <c r="J46" s="40"/>
      <c r="K46" s="40"/>
      <c r="L46" s="40"/>
      <c r="M46" s="40"/>
      <c r="N46" s="40"/>
      <c r="O46" s="40"/>
      <c r="P46" s="40"/>
      <c r="Q46" s="40"/>
      <c r="R46" s="40"/>
      <c r="S46" s="40"/>
      <c r="T46" s="40"/>
      <c r="U46" s="40"/>
      <c r="V46" s="40"/>
      <c r="W46" s="40">
        <v>74384</v>
      </c>
      <c r="X46" s="40">
        <v>75186</v>
      </c>
      <c r="Y46" s="40">
        <v>75327</v>
      </c>
      <c r="Z46" s="40">
        <v>77540</v>
      </c>
      <c r="AA46" s="40">
        <v>77915</v>
      </c>
      <c r="AB46" s="40">
        <v>78591</v>
      </c>
      <c r="AC46" s="40">
        <v>79386</v>
      </c>
      <c r="AD46" s="40">
        <v>80381</v>
      </c>
      <c r="AE46" s="40">
        <v>80363</v>
      </c>
      <c r="AF46" s="40">
        <v>81666</v>
      </c>
      <c r="AG46" s="40">
        <v>82061</v>
      </c>
      <c r="AH46" s="40">
        <v>82506</v>
      </c>
      <c r="AI46" s="40">
        <v>82785</v>
      </c>
      <c r="AJ46" s="40">
        <v>84039</v>
      </c>
      <c r="AK46" s="40">
        <v>83942</v>
      </c>
      <c r="AL46" s="40">
        <v>84244</v>
      </c>
      <c r="AM46" s="40">
        <v>84573</v>
      </c>
      <c r="AN46" s="40">
        <v>85029</v>
      </c>
      <c r="AO46" s="40">
        <v>84953</v>
      </c>
      <c r="AP46" s="40">
        <v>85121</v>
      </c>
      <c r="AQ46" s="40">
        <v>85238</v>
      </c>
      <c r="AR46" s="40">
        <v>85406</v>
      </c>
      <c r="AS46" s="40">
        <v>84881</v>
      </c>
      <c r="AT46" s="40">
        <v>84174</v>
      </c>
      <c r="AU46" s="40">
        <v>82818</v>
      </c>
      <c r="AV46" s="40">
        <v>83338</v>
      </c>
      <c r="AW46" s="40">
        <v>83841</v>
      </c>
      <c r="AX46" s="40">
        <v>86158</v>
      </c>
      <c r="AY46" s="40">
        <v>88076</v>
      </c>
      <c r="AZ46" s="40">
        <v>88018</v>
      </c>
      <c r="BA46" s="40">
        <v>88003</v>
      </c>
      <c r="BB46" s="40">
        <v>88760</v>
      </c>
      <c r="BC46" s="40">
        <v>88958</v>
      </c>
      <c r="BD46" s="40">
        <v>89483</v>
      </c>
      <c r="BE46" s="40">
        <v>89590</v>
      </c>
      <c r="BF46" s="40">
        <v>90054</v>
      </c>
      <c r="BG46" s="40">
        <v>90108</v>
      </c>
      <c r="BH46" s="40">
        <v>90590</v>
      </c>
      <c r="BI46" s="40">
        <v>90913</v>
      </c>
      <c r="BJ46" s="40">
        <v>91157</v>
      </c>
      <c r="BK46" s="40">
        <v>91579</v>
      </c>
      <c r="BL46" s="40">
        <v>92044</v>
      </c>
      <c r="BM46" s="40">
        <v>92484</v>
      </c>
      <c r="BN46" s="40">
        <v>92879</v>
      </c>
      <c r="BO46" s="40">
        <v>93243</v>
      </c>
      <c r="BP46" s="40">
        <v>93438</v>
      </c>
      <c r="BQ46" s="40">
        <v>93661</v>
      </c>
      <c r="BR46" s="40">
        <v>93818</v>
      </c>
      <c r="BS46" s="40">
        <v>93867</v>
      </c>
      <c r="BT46" s="40">
        <v>94026</v>
      </c>
      <c r="BU46" s="40">
        <v>94111</v>
      </c>
      <c r="BV46" s="40">
        <v>94285</v>
      </c>
      <c r="BW46" s="40">
        <v>94376</v>
      </c>
      <c r="BX46" s="40">
        <v>94578</v>
      </c>
      <c r="BY46" s="40">
        <v>94802</v>
      </c>
      <c r="BZ46" s="40">
        <v>95153</v>
      </c>
      <c r="CA46" s="40">
        <v>95360</v>
      </c>
      <c r="CB46" s="40">
        <v>95459</v>
      </c>
      <c r="CC46" s="40">
        <v>95687</v>
      </c>
      <c r="CD46" s="40">
        <v>95863</v>
      </c>
      <c r="CE46" s="40">
        <v>95992</v>
      </c>
      <c r="CF46" s="40">
        <v>96222</v>
      </c>
      <c r="CG46" s="40">
        <v>96367</v>
      </c>
      <c r="CH46" s="40">
        <v>96509</v>
      </c>
      <c r="CI46" s="40">
        <v>96693</v>
      </c>
      <c r="CJ46" s="40">
        <v>96756</v>
      </c>
      <c r="CK46" s="40">
        <v>96848</v>
      </c>
      <c r="CL46" s="40">
        <v>97026</v>
      </c>
      <c r="CM46" s="40">
        <v>97093</v>
      </c>
      <c r="CN46" s="40">
        <v>97220</v>
      </c>
      <c r="CO46" s="40">
        <v>97361</v>
      </c>
      <c r="CP46" s="40">
        <v>97450</v>
      </c>
      <c r="CQ46" s="40">
        <v>97560</v>
      </c>
      <c r="CR46" s="40">
        <v>97606</v>
      </c>
      <c r="CS46" s="40">
        <v>97708</v>
      </c>
      <c r="CT46" s="40">
        <v>97765</v>
      </c>
      <c r="CU46" s="40">
        <v>97839</v>
      </c>
      <c r="CV46" s="40">
        <v>97894</v>
      </c>
      <c r="CW46" s="40">
        <v>97947</v>
      </c>
      <c r="CX46" s="40">
        <v>98035</v>
      </c>
      <c r="CY46" s="40">
        <v>98060</v>
      </c>
      <c r="CZ46" s="40">
        <v>98118</v>
      </c>
      <c r="DA46" s="40">
        <v>98142</v>
      </c>
      <c r="DB46" s="40">
        <v>98214</v>
      </c>
      <c r="DC46" s="40">
        <v>98251</v>
      </c>
      <c r="DD46" s="40">
        <v>98297</v>
      </c>
      <c r="DE46" s="40">
        <v>98323</v>
      </c>
      <c r="DF46" s="40">
        <v>98396</v>
      </c>
      <c r="DG46" s="40">
        <v>98433</v>
      </c>
      <c r="DH46" s="40">
        <v>98467</v>
      </c>
      <c r="DI46" s="40">
        <v>98501</v>
      </c>
      <c r="DJ46" s="40">
        <v>98563</v>
      </c>
      <c r="DK46" s="40">
        <v>98588</v>
      </c>
      <c r="DL46" s="40">
        <v>98617</v>
      </c>
      <c r="DM46" s="40">
        <v>98662</v>
      </c>
      <c r="DN46" s="40">
        <v>98705</v>
      </c>
      <c r="DO46" s="40">
        <v>98747</v>
      </c>
    </row>
    <row r="47" spans="1:119">
      <c r="A47" s="40">
        <v>45</v>
      </c>
      <c r="B47" s="40"/>
      <c r="C47" s="40"/>
      <c r="D47" s="40"/>
      <c r="E47" s="40"/>
      <c r="F47" s="40"/>
      <c r="G47" s="40"/>
      <c r="H47" s="40"/>
      <c r="I47" s="40"/>
      <c r="J47" s="40"/>
      <c r="K47" s="40"/>
      <c r="L47" s="40"/>
      <c r="M47" s="40"/>
      <c r="N47" s="40"/>
      <c r="O47" s="40"/>
      <c r="P47" s="40"/>
      <c r="Q47" s="40"/>
      <c r="R47" s="40"/>
      <c r="S47" s="40"/>
      <c r="T47" s="40"/>
      <c r="U47" s="40"/>
      <c r="V47" s="40"/>
      <c r="W47" s="40">
        <v>74084</v>
      </c>
      <c r="X47" s="40">
        <v>74870</v>
      </c>
      <c r="Y47" s="40">
        <v>75008</v>
      </c>
      <c r="Z47" s="40">
        <v>77213</v>
      </c>
      <c r="AA47" s="40">
        <v>77578</v>
      </c>
      <c r="AB47" s="40">
        <v>78263</v>
      </c>
      <c r="AC47" s="40">
        <v>79046</v>
      </c>
      <c r="AD47" s="40">
        <v>80022</v>
      </c>
      <c r="AE47" s="40">
        <v>80006</v>
      </c>
      <c r="AF47" s="40">
        <v>81312</v>
      </c>
      <c r="AG47" s="40">
        <v>81689</v>
      </c>
      <c r="AH47" s="40">
        <v>82146</v>
      </c>
      <c r="AI47" s="40">
        <v>82435</v>
      </c>
      <c r="AJ47" s="40">
        <v>83673</v>
      </c>
      <c r="AK47" s="40">
        <v>83596</v>
      </c>
      <c r="AL47" s="40">
        <v>83887</v>
      </c>
      <c r="AM47" s="40">
        <v>84234</v>
      </c>
      <c r="AN47" s="40">
        <v>84690</v>
      </c>
      <c r="AO47" s="40">
        <v>84638</v>
      </c>
      <c r="AP47" s="40">
        <v>84819</v>
      </c>
      <c r="AQ47" s="40">
        <v>84944</v>
      </c>
      <c r="AR47" s="40">
        <v>85117</v>
      </c>
      <c r="AS47" s="40">
        <v>84594</v>
      </c>
      <c r="AT47" s="40">
        <v>83881</v>
      </c>
      <c r="AU47" s="40">
        <v>82535</v>
      </c>
      <c r="AV47" s="40">
        <v>83056</v>
      </c>
      <c r="AW47" s="40">
        <v>83550</v>
      </c>
      <c r="AX47" s="40">
        <v>85872</v>
      </c>
      <c r="AY47" s="40">
        <v>87776</v>
      </c>
      <c r="AZ47" s="40">
        <v>87714</v>
      </c>
      <c r="BA47" s="40">
        <v>87698</v>
      </c>
      <c r="BB47" s="40">
        <v>88470</v>
      </c>
      <c r="BC47" s="40">
        <v>88681</v>
      </c>
      <c r="BD47" s="40">
        <v>89215</v>
      </c>
      <c r="BE47" s="40">
        <v>89320</v>
      </c>
      <c r="BF47" s="40">
        <v>89790</v>
      </c>
      <c r="BG47" s="40">
        <v>89859</v>
      </c>
      <c r="BH47" s="40">
        <v>90339</v>
      </c>
      <c r="BI47" s="40">
        <v>90680</v>
      </c>
      <c r="BJ47" s="40">
        <v>90920</v>
      </c>
      <c r="BK47" s="40">
        <v>91356</v>
      </c>
      <c r="BL47" s="40">
        <v>91826</v>
      </c>
      <c r="BM47" s="40">
        <v>92285</v>
      </c>
      <c r="BN47" s="40">
        <v>92686</v>
      </c>
      <c r="BO47" s="40">
        <v>93055</v>
      </c>
      <c r="BP47" s="40">
        <v>93254</v>
      </c>
      <c r="BQ47" s="40">
        <v>93475</v>
      </c>
      <c r="BR47" s="40">
        <v>93642</v>
      </c>
      <c r="BS47" s="40">
        <v>93702</v>
      </c>
      <c r="BT47" s="40">
        <v>93860</v>
      </c>
      <c r="BU47" s="40">
        <v>93941</v>
      </c>
      <c r="BV47" s="40">
        <v>94118</v>
      </c>
      <c r="BW47" s="40">
        <v>94212</v>
      </c>
      <c r="BX47" s="40">
        <v>94418</v>
      </c>
      <c r="BY47" s="40">
        <v>94645</v>
      </c>
      <c r="BZ47" s="40">
        <v>94998</v>
      </c>
      <c r="CA47" s="40">
        <v>95208</v>
      </c>
      <c r="CB47" s="40">
        <v>95310</v>
      </c>
      <c r="CC47" s="40">
        <v>95541</v>
      </c>
      <c r="CD47" s="40">
        <v>95719</v>
      </c>
      <c r="CE47" s="40">
        <v>95851</v>
      </c>
      <c r="CF47" s="40">
        <v>96083</v>
      </c>
      <c r="CG47" s="40">
        <v>96232</v>
      </c>
      <c r="CH47" s="40">
        <v>96377</v>
      </c>
      <c r="CI47" s="40">
        <v>96562</v>
      </c>
      <c r="CJ47" s="40">
        <v>96628</v>
      </c>
      <c r="CK47" s="40">
        <v>96723</v>
      </c>
      <c r="CL47" s="40">
        <v>96903</v>
      </c>
      <c r="CM47" s="40">
        <v>96973</v>
      </c>
      <c r="CN47" s="40">
        <v>97102</v>
      </c>
      <c r="CO47" s="40">
        <v>97245</v>
      </c>
      <c r="CP47" s="40">
        <v>97337</v>
      </c>
      <c r="CQ47" s="40">
        <v>97449</v>
      </c>
      <c r="CR47" s="40">
        <v>97498</v>
      </c>
      <c r="CS47" s="40">
        <v>97601</v>
      </c>
      <c r="CT47" s="40">
        <v>97660</v>
      </c>
      <c r="CU47" s="40">
        <v>97737</v>
      </c>
      <c r="CV47" s="40">
        <v>97793</v>
      </c>
      <c r="CW47" s="40">
        <v>97849</v>
      </c>
      <c r="CX47" s="40">
        <v>97939</v>
      </c>
      <c r="CY47" s="40">
        <v>97965</v>
      </c>
      <c r="CZ47" s="40">
        <v>98025</v>
      </c>
      <c r="DA47" s="40">
        <v>98052</v>
      </c>
      <c r="DB47" s="40">
        <v>98126</v>
      </c>
      <c r="DC47" s="40">
        <v>98164</v>
      </c>
      <c r="DD47" s="40">
        <v>98212</v>
      </c>
      <c r="DE47" s="40">
        <v>98239</v>
      </c>
      <c r="DF47" s="40">
        <v>98314</v>
      </c>
      <c r="DG47" s="40">
        <v>98353</v>
      </c>
      <c r="DH47" s="40">
        <v>98388</v>
      </c>
      <c r="DI47" s="40">
        <v>98424</v>
      </c>
      <c r="DJ47" s="40">
        <v>98487</v>
      </c>
      <c r="DK47" s="40">
        <v>98514</v>
      </c>
      <c r="DL47" s="40">
        <v>98545</v>
      </c>
      <c r="DM47" s="40">
        <v>98591</v>
      </c>
      <c r="DN47" s="40">
        <v>98636</v>
      </c>
      <c r="DO47" s="40">
        <v>98679</v>
      </c>
    </row>
    <row r="48" spans="1:119">
      <c r="A48" s="40">
        <v>46</v>
      </c>
      <c r="B48" s="40"/>
      <c r="C48" s="40"/>
      <c r="D48" s="40"/>
      <c r="E48" s="40"/>
      <c r="F48" s="40"/>
      <c r="G48" s="40"/>
      <c r="H48" s="40"/>
      <c r="I48" s="40"/>
      <c r="J48" s="40"/>
      <c r="K48" s="40"/>
      <c r="L48" s="40"/>
      <c r="M48" s="40"/>
      <c r="N48" s="40"/>
      <c r="O48" s="40"/>
      <c r="P48" s="40"/>
      <c r="Q48" s="40"/>
      <c r="R48" s="40"/>
      <c r="S48" s="40"/>
      <c r="T48" s="40"/>
      <c r="U48" s="40"/>
      <c r="V48" s="40"/>
      <c r="W48" s="40">
        <v>73760</v>
      </c>
      <c r="X48" s="40">
        <v>74527</v>
      </c>
      <c r="Y48" s="40">
        <v>74665</v>
      </c>
      <c r="Z48" s="40">
        <v>76846</v>
      </c>
      <c r="AA48" s="40">
        <v>77220</v>
      </c>
      <c r="AB48" s="40">
        <v>77888</v>
      </c>
      <c r="AC48" s="40">
        <v>78668</v>
      </c>
      <c r="AD48" s="40">
        <v>79653</v>
      </c>
      <c r="AE48" s="40">
        <v>79605</v>
      </c>
      <c r="AF48" s="40">
        <v>80903</v>
      </c>
      <c r="AG48" s="40">
        <v>81290</v>
      </c>
      <c r="AH48" s="40">
        <v>81753</v>
      </c>
      <c r="AI48" s="40">
        <v>82035</v>
      </c>
      <c r="AJ48" s="40">
        <v>83278</v>
      </c>
      <c r="AK48" s="40">
        <v>83204</v>
      </c>
      <c r="AL48" s="40">
        <v>83508</v>
      </c>
      <c r="AM48" s="40">
        <v>83879</v>
      </c>
      <c r="AN48" s="40">
        <v>84337</v>
      </c>
      <c r="AO48" s="40">
        <v>84286</v>
      </c>
      <c r="AP48" s="40">
        <v>84478</v>
      </c>
      <c r="AQ48" s="40">
        <v>84616</v>
      </c>
      <c r="AR48" s="40">
        <v>84807</v>
      </c>
      <c r="AS48" s="40">
        <v>84276</v>
      </c>
      <c r="AT48" s="40">
        <v>83570</v>
      </c>
      <c r="AU48" s="40">
        <v>82212</v>
      </c>
      <c r="AV48" s="40">
        <v>82726</v>
      </c>
      <c r="AW48" s="40">
        <v>83251</v>
      </c>
      <c r="AX48" s="40">
        <v>85556</v>
      </c>
      <c r="AY48" s="40">
        <v>87458</v>
      </c>
      <c r="AZ48" s="40">
        <v>87395</v>
      </c>
      <c r="BA48" s="40">
        <v>87378</v>
      </c>
      <c r="BB48" s="40">
        <v>88161</v>
      </c>
      <c r="BC48" s="40">
        <v>88380</v>
      </c>
      <c r="BD48" s="40">
        <v>88915</v>
      </c>
      <c r="BE48" s="40">
        <v>89035</v>
      </c>
      <c r="BF48" s="40">
        <v>89499</v>
      </c>
      <c r="BG48" s="40">
        <v>89566</v>
      </c>
      <c r="BH48" s="40">
        <v>90072</v>
      </c>
      <c r="BI48" s="40">
        <v>90424</v>
      </c>
      <c r="BJ48" s="40">
        <v>90681</v>
      </c>
      <c r="BK48" s="40">
        <v>91119</v>
      </c>
      <c r="BL48" s="40">
        <v>91601</v>
      </c>
      <c r="BM48" s="40">
        <v>92065</v>
      </c>
      <c r="BN48" s="40">
        <v>92475</v>
      </c>
      <c r="BO48" s="40">
        <v>92850</v>
      </c>
      <c r="BP48" s="40">
        <v>93049</v>
      </c>
      <c r="BQ48" s="40">
        <v>93274</v>
      </c>
      <c r="BR48" s="40">
        <v>93453</v>
      </c>
      <c r="BS48" s="40">
        <v>93505</v>
      </c>
      <c r="BT48" s="40">
        <v>93671</v>
      </c>
      <c r="BU48" s="40">
        <v>93756</v>
      </c>
      <c r="BV48" s="40">
        <v>93936</v>
      </c>
      <c r="BW48" s="40">
        <v>94034</v>
      </c>
      <c r="BX48" s="40">
        <v>94243</v>
      </c>
      <c r="BY48" s="40">
        <v>94473</v>
      </c>
      <c r="BZ48" s="40">
        <v>94829</v>
      </c>
      <c r="CA48" s="40">
        <v>95042</v>
      </c>
      <c r="CB48" s="40">
        <v>95148</v>
      </c>
      <c r="CC48" s="40">
        <v>95381</v>
      </c>
      <c r="CD48" s="40">
        <v>95562</v>
      </c>
      <c r="CE48" s="40">
        <v>95698</v>
      </c>
      <c r="CF48" s="40">
        <v>95932</v>
      </c>
      <c r="CG48" s="40">
        <v>96084</v>
      </c>
      <c r="CH48" s="40">
        <v>96231</v>
      </c>
      <c r="CI48" s="40">
        <v>96420</v>
      </c>
      <c r="CJ48" s="40">
        <v>96488</v>
      </c>
      <c r="CK48" s="40">
        <v>96586</v>
      </c>
      <c r="CL48" s="40">
        <v>96769</v>
      </c>
      <c r="CM48" s="40">
        <v>96841</v>
      </c>
      <c r="CN48" s="40">
        <v>96973</v>
      </c>
      <c r="CO48" s="40">
        <v>97118</v>
      </c>
      <c r="CP48" s="40">
        <v>97212</v>
      </c>
      <c r="CQ48" s="40">
        <v>97327</v>
      </c>
      <c r="CR48" s="40">
        <v>97378</v>
      </c>
      <c r="CS48" s="40">
        <v>97484</v>
      </c>
      <c r="CT48" s="40">
        <v>97546</v>
      </c>
      <c r="CU48" s="40">
        <v>97624</v>
      </c>
      <c r="CV48" s="40">
        <v>97683</v>
      </c>
      <c r="CW48" s="40">
        <v>97741</v>
      </c>
      <c r="CX48" s="40">
        <v>97833</v>
      </c>
      <c r="CY48" s="40">
        <v>97862</v>
      </c>
      <c r="CZ48" s="40">
        <v>97924</v>
      </c>
      <c r="DA48" s="40">
        <v>97952</v>
      </c>
      <c r="DB48" s="40">
        <v>98028</v>
      </c>
      <c r="DC48" s="40">
        <v>98068</v>
      </c>
      <c r="DD48" s="40">
        <v>98119</v>
      </c>
      <c r="DE48" s="40">
        <v>98147</v>
      </c>
      <c r="DF48" s="40">
        <v>98224</v>
      </c>
      <c r="DG48" s="40">
        <v>98264</v>
      </c>
      <c r="DH48" s="40">
        <v>98302</v>
      </c>
      <c r="DI48" s="40">
        <v>98340</v>
      </c>
      <c r="DJ48" s="40">
        <v>98404</v>
      </c>
      <c r="DK48" s="40">
        <v>98433</v>
      </c>
      <c r="DL48" s="40">
        <v>98465</v>
      </c>
      <c r="DM48" s="40">
        <v>98513</v>
      </c>
      <c r="DN48" s="40">
        <v>98560</v>
      </c>
      <c r="DO48" s="40">
        <v>98605</v>
      </c>
    </row>
    <row r="49" spans="1:119">
      <c r="A49" s="40">
        <v>47</v>
      </c>
      <c r="B49" s="40"/>
      <c r="C49" s="40"/>
      <c r="D49" s="40"/>
      <c r="E49" s="40"/>
      <c r="F49" s="40"/>
      <c r="G49" s="40"/>
      <c r="H49" s="40"/>
      <c r="I49" s="40"/>
      <c r="J49" s="40"/>
      <c r="K49" s="40"/>
      <c r="L49" s="40"/>
      <c r="M49" s="40"/>
      <c r="N49" s="40"/>
      <c r="O49" s="40"/>
      <c r="P49" s="40"/>
      <c r="Q49" s="40"/>
      <c r="R49" s="40"/>
      <c r="S49" s="40"/>
      <c r="T49" s="40"/>
      <c r="U49" s="40"/>
      <c r="V49" s="40"/>
      <c r="W49" s="40">
        <v>73391</v>
      </c>
      <c r="X49" s="40">
        <v>74159</v>
      </c>
      <c r="Y49" s="40">
        <v>74269</v>
      </c>
      <c r="Z49" s="40">
        <v>76449</v>
      </c>
      <c r="AA49" s="40">
        <v>76816</v>
      </c>
      <c r="AB49" s="40">
        <v>77493</v>
      </c>
      <c r="AC49" s="40">
        <v>78257</v>
      </c>
      <c r="AD49" s="40">
        <v>79239</v>
      </c>
      <c r="AE49" s="40">
        <v>79182</v>
      </c>
      <c r="AF49" s="40">
        <v>80468</v>
      </c>
      <c r="AG49" s="40">
        <v>80844</v>
      </c>
      <c r="AH49" s="40">
        <v>81340</v>
      </c>
      <c r="AI49" s="40">
        <v>81615</v>
      </c>
      <c r="AJ49" s="40">
        <v>82861</v>
      </c>
      <c r="AK49" s="40">
        <v>82794</v>
      </c>
      <c r="AL49" s="40">
        <v>83120</v>
      </c>
      <c r="AM49" s="40">
        <v>83496</v>
      </c>
      <c r="AN49" s="40">
        <v>83958</v>
      </c>
      <c r="AO49" s="40">
        <v>83916</v>
      </c>
      <c r="AP49" s="40">
        <v>84119</v>
      </c>
      <c r="AQ49" s="40">
        <v>84264</v>
      </c>
      <c r="AR49" s="40">
        <v>84448</v>
      </c>
      <c r="AS49" s="40">
        <v>83913</v>
      </c>
      <c r="AT49" s="40">
        <v>83219</v>
      </c>
      <c r="AU49" s="40">
        <v>81863</v>
      </c>
      <c r="AV49" s="40">
        <v>82388</v>
      </c>
      <c r="AW49" s="40">
        <v>82919</v>
      </c>
      <c r="AX49" s="40">
        <v>85227</v>
      </c>
      <c r="AY49" s="40">
        <v>87126</v>
      </c>
      <c r="AZ49" s="40">
        <v>87058</v>
      </c>
      <c r="BA49" s="40">
        <v>87044</v>
      </c>
      <c r="BB49" s="40">
        <v>87840</v>
      </c>
      <c r="BC49" s="40">
        <v>88061</v>
      </c>
      <c r="BD49" s="40">
        <v>88594</v>
      </c>
      <c r="BE49" s="40">
        <v>88729</v>
      </c>
      <c r="BF49" s="40">
        <v>89183</v>
      </c>
      <c r="BG49" s="40">
        <v>89260</v>
      </c>
      <c r="BH49" s="40">
        <v>89789</v>
      </c>
      <c r="BI49" s="40">
        <v>90149</v>
      </c>
      <c r="BJ49" s="40">
        <v>90426</v>
      </c>
      <c r="BK49" s="40">
        <v>90858</v>
      </c>
      <c r="BL49" s="40">
        <v>91355</v>
      </c>
      <c r="BM49" s="40">
        <v>91832</v>
      </c>
      <c r="BN49" s="40">
        <v>92246</v>
      </c>
      <c r="BO49" s="40">
        <v>92627</v>
      </c>
      <c r="BP49" s="40">
        <v>92829</v>
      </c>
      <c r="BQ49" s="40">
        <v>93066</v>
      </c>
      <c r="BR49" s="40">
        <v>93244</v>
      </c>
      <c r="BS49" s="40">
        <v>93294</v>
      </c>
      <c r="BT49" s="40">
        <v>93465</v>
      </c>
      <c r="BU49" s="40">
        <v>93553</v>
      </c>
      <c r="BV49" s="40">
        <v>93737</v>
      </c>
      <c r="BW49" s="40">
        <v>93839</v>
      </c>
      <c r="BX49" s="40">
        <v>94051</v>
      </c>
      <c r="BY49" s="40">
        <v>94285</v>
      </c>
      <c r="BZ49" s="40">
        <v>94644</v>
      </c>
      <c r="CA49" s="40">
        <v>94861</v>
      </c>
      <c r="CB49" s="40">
        <v>94970</v>
      </c>
      <c r="CC49" s="40">
        <v>95206</v>
      </c>
      <c r="CD49" s="40">
        <v>95391</v>
      </c>
      <c r="CE49" s="40">
        <v>95529</v>
      </c>
      <c r="CF49" s="40">
        <v>95767</v>
      </c>
      <c r="CG49" s="40">
        <v>95922</v>
      </c>
      <c r="CH49" s="40">
        <v>96072</v>
      </c>
      <c r="CI49" s="40">
        <v>96263</v>
      </c>
      <c r="CJ49" s="40">
        <v>96335</v>
      </c>
      <c r="CK49" s="40">
        <v>96436</v>
      </c>
      <c r="CL49" s="40">
        <v>96622</v>
      </c>
      <c r="CM49" s="40">
        <v>96697</v>
      </c>
      <c r="CN49" s="40">
        <v>96831</v>
      </c>
      <c r="CO49" s="40">
        <v>96979</v>
      </c>
      <c r="CP49" s="40">
        <v>97076</v>
      </c>
      <c r="CQ49" s="40">
        <v>97193</v>
      </c>
      <c r="CR49" s="40">
        <v>97247</v>
      </c>
      <c r="CS49" s="40">
        <v>97356</v>
      </c>
      <c r="CT49" s="40">
        <v>97419</v>
      </c>
      <c r="CU49" s="40">
        <v>97500</v>
      </c>
      <c r="CV49" s="40">
        <v>97562</v>
      </c>
      <c r="CW49" s="40">
        <v>97622</v>
      </c>
      <c r="CX49" s="40">
        <v>97716</v>
      </c>
      <c r="CY49" s="40">
        <v>97748</v>
      </c>
      <c r="CZ49" s="40">
        <v>97812</v>
      </c>
      <c r="DA49" s="40">
        <v>97843</v>
      </c>
      <c r="DB49" s="40">
        <v>97921</v>
      </c>
      <c r="DC49" s="40">
        <v>97963</v>
      </c>
      <c r="DD49" s="40">
        <v>98015</v>
      </c>
      <c r="DE49" s="40">
        <v>98046</v>
      </c>
      <c r="DF49" s="40">
        <v>98125</v>
      </c>
      <c r="DG49" s="40">
        <v>98167</v>
      </c>
      <c r="DH49" s="40">
        <v>98207</v>
      </c>
      <c r="DI49" s="40">
        <v>98246</v>
      </c>
      <c r="DJ49" s="40">
        <v>98313</v>
      </c>
      <c r="DK49" s="40">
        <v>98343</v>
      </c>
      <c r="DL49" s="40">
        <v>98377</v>
      </c>
      <c r="DM49" s="40">
        <v>98427</v>
      </c>
      <c r="DN49" s="40">
        <v>98475</v>
      </c>
      <c r="DO49" s="40">
        <v>98522</v>
      </c>
    </row>
    <row r="50" spans="1:119">
      <c r="A50" s="40">
        <v>48</v>
      </c>
      <c r="B50" s="40"/>
      <c r="C50" s="40"/>
      <c r="D50" s="40"/>
      <c r="E50" s="40"/>
      <c r="F50" s="40"/>
      <c r="G50" s="40"/>
      <c r="H50" s="40"/>
      <c r="I50" s="40"/>
      <c r="J50" s="40"/>
      <c r="K50" s="40"/>
      <c r="L50" s="40"/>
      <c r="M50" s="40"/>
      <c r="N50" s="40"/>
      <c r="O50" s="40"/>
      <c r="P50" s="40"/>
      <c r="Q50" s="40"/>
      <c r="R50" s="40"/>
      <c r="S50" s="40"/>
      <c r="T50" s="40"/>
      <c r="U50" s="40"/>
      <c r="V50" s="40"/>
      <c r="W50" s="40">
        <v>72991</v>
      </c>
      <c r="X50" s="40">
        <v>73738</v>
      </c>
      <c r="Y50" s="40">
        <v>73860</v>
      </c>
      <c r="Z50" s="40">
        <v>76036</v>
      </c>
      <c r="AA50" s="40">
        <v>76390</v>
      </c>
      <c r="AB50" s="40">
        <v>77053</v>
      </c>
      <c r="AC50" s="40">
        <v>77816</v>
      </c>
      <c r="AD50" s="40">
        <v>78770</v>
      </c>
      <c r="AE50" s="40">
        <v>78716</v>
      </c>
      <c r="AF50" s="40">
        <v>79997</v>
      </c>
      <c r="AG50" s="40">
        <v>80368</v>
      </c>
      <c r="AH50" s="40">
        <v>80876</v>
      </c>
      <c r="AI50" s="40">
        <v>81165</v>
      </c>
      <c r="AJ50" s="40">
        <v>82412</v>
      </c>
      <c r="AK50" s="40">
        <v>82360</v>
      </c>
      <c r="AL50" s="40">
        <v>82692</v>
      </c>
      <c r="AM50" s="40">
        <v>83071</v>
      </c>
      <c r="AN50" s="40">
        <v>83557</v>
      </c>
      <c r="AO50" s="40">
        <v>83515</v>
      </c>
      <c r="AP50" s="40">
        <v>83722</v>
      </c>
      <c r="AQ50" s="40">
        <v>83870</v>
      </c>
      <c r="AR50" s="40">
        <v>84067</v>
      </c>
      <c r="AS50" s="40">
        <v>83529</v>
      </c>
      <c r="AT50" s="40">
        <v>82841</v>
      </c>
      <c r="AU50" s="40">
        <v>81486</v>
      </c>
      <c r="AV50" s="40">
        <v>82025</v>
      </c>
      <c r="AW50" s="40">
        <v>82543</v>
      </c>
      <c r="AX50" s="40">
        <v>84857</v>
      </c>
      <c r="AY50" s="40">
        <v>86769</v>
      </c>
      <c r="AZ50" s="40">
        <v>86709</v>
      </c>
      <c r="BA50" s="40">
        <v>86708</v>
      </c>
      <c r="BB50" s="40">
        <v>87491</v>
      </c>
      <c r="BC50" s="40">
        <v>87723</v>
      </c>
      <c r="BD50" s="40">
        <v>88245</v>
      </c>
      <c r="BE50" s="40">
        <v>88381</v>
      </c>
      <c r="BF50" s="40">
        <v>88864</v>
      </c>
      <c r="BG50" s="40">
        <v>88940</v>
      </c>
      <c r="BH50" s="40">
        <v>89482</v>
      </c>
      <c r="BI50" s="40">
        <v>89855</v>
      </c>
      <c r="BJ50" s="40">
        <v>90140</v>
      </c>
      <c r="BK50" s="40">
        <v>90584</v>
      </c>
      <c r="BL50" s="40">
        <v>91082</v>
      </c>
      <c r="BM50" s="40">
        <v>91569</v>
      </c>
      <c r="BN50" s="40">
        <v>91999</v>
      </c>
      <c r="BO50" s="40">
        <v>92383</v>
      </c>
      <c r="BP50" s="40">
        <v>92605</v>
      </c>
      <c r="BQ50" s="40">
        <v>92820</v>
      </c>
      <c r="BR50" s="40">
        <v>93010</v>
      </c>
      <c r="BS50" s="40">
        <v>93064</v>
      </c>
      <c r="BT50" s="40">
        <v>93239</v>
      </c>
      <c r="BU50" s="40">
        <v>93332</v>
      </c>
      <c r="BV50" s="40">
        <v>93520</v>
      </c>
      <c r="BW50" s="40">
        <v>93626</v>
      </c>
      <c r="BX50" s="40">
        <v>93842</v>
      </c>
      <c r="BY50" s="40">
        <v>94079</v>
      </c>
      <c r="BZ50" s="40">
        <v>94442</v>
      </c>
      <c r="CA50" s="40">
        <v>94662</v>
      </c>
      <c r="CB50" s="40">
        <v>94775</v>
      </c>
      <c r="CC50" s="40">
        <v>95015</v>
      </c>
      <c r="CD50" s="40">
        <v>95203</v>
      </c>
      <c r="CE50" s="40">
        <v>95345</v>
      </c>
      <c r="CF50" s="40">
        <v>95586</v>
      </c>
      <c r="CG50" s="40">
        <v>95744</v>
      </c>
      <c r="CH50" s="40">
        <v>95898</v>
      </c>
      <c r="CI50" s="40">
        <v>96092</v>
      </c>
      <c r="CJ50" s="40">
        <v>96167</v>
      </c>
      <c r="CK50" s="40">
        <v>96271</v>
      </c>
      <c r="CL50" s="40">
        <v>96460</v>
      </c>
      <c r="CM50" s="40">
        <v>96538</v>
      </c>
      <c r="CN50" s="40">
        <v>96675</v>
      </c>
      <c r="CO50" s="40">
        <v>96826</v>
      </c>
      <c r="CP50" s="40">
        <v>96926</v>
      </c>
      <c r="CQ50" s="40">
        <v>97046</v>
      </c>
      <c r="CR50" s="40">
        <v>97103</v>
      </c>
      <c r="CS50" s="40">
        <v>97214</v>
      </c>
      <c r="CT50" s="40">
        <v>97281</v>
      </c>
      <c r="CU50" s="40">
        <v>97364</v>
      </c>
      <c r="CV50" s="40">
        <v>97428</v>
      </c>
      <c r="CW50" s="40">
        <v>97491</v>
      </c>
      <c r="CX50" s="40">
        <v>97588</v>
      </c>
      <c r="CY50" s="40">
        <v>97622</v>
      </c>
      <c r="CZ50" s="40">
        <v>97689</v>
      </c>
      <c r="DA50" s="40">
        <v>97722</v>
      </c>
      <c r="DB50" s="40">
        <v>97802</v>
      </c>
      <c r="DC50" s="40">
        <v>97846</v>
      </c>
      <c r="DD50" s="40">
        <v>97901</v>
      </c>
      <c r="DE50" s="40">
        <v>97934</v>
      </c>
      <c r="DF50" s="40">
        <v>98015</v>
      </c>
      <c r="DG50" s="40">
        <v>98060</v>
      </c>
      <c r="DH50" s="40">
        <v>98101</v>
      </c>
      <c r="DI50" s="40">
        <v>98143</v>
      </c>
      <c r="DJ50" s="40">
        <v>98211</v>
      </c>
      <c r="DK50" s="40">
        <v>98244</v>
      </c>
      <c r="DL50" s="40">
        <v>98280</v>
      </c>
      <c r="DM50" s="40">
        <v>98332</v>
      </c>
      <c r="DN50" s="40">
        <v>98382</v>
      </c>
      <c r="DO50" s="40">
        <v>98430</v>
      </c>
    </row>
    <row r="51" spans="1:119">
      <c r="A51" s="40">
        <v>49</v>
      </c>
      <c r="B51" s="40"/>
      <c r="C51" s="40"/>
      <c r="D51" s="40"/>
      <c r="E51" s="40"/>
      <c r="F51" s="40"/>
      <c r="G51" s="40"/>
      <c r="H51" s="40"/>
      <c r="I51" s="40"/>
      <c r="J51" s="40"/>
      <c r="K51" s="40"/>
      <c r="L51" s="40"/>
      <c r="M51" s="40"/>
      <c r="N51" s="40"/>
      <c r="O51" s="40"/>
      <c r="P51" s="40"/>
      <c r="Q51" s="40"/>
      <c r="R51" s="40"/>
      <c r="S51" s="40"/>
      <c r="T51" s="40"/>
      <c r="U51" s="40"/>
      <c r="V51" s="40"/>
      <c r="W51" s="40">
        <v>72528</v>
      </c>
      <c r="X51" s="40">
        <v>73290</v>
      </c>
      <c r="Y51" s="40">
        <v>73411</v>
      </c>
      <c r="Z51" s="40">
        <v>75563</v>
      </c>
      <c r="AA51" s="40">
        <v>75927</v>
      </c>
      <c r="AB51" s="40">
        <v>76577</v>
      </c>
      <c r="AC51" s="40">
        <v>77340</v>
      </c>
      <c r="AD51" s="40">
        <v>78284</v>
      </c>
      <c r="AE51" s="40">
        <v>78213</v>
      </c>
      <c r="AF51" s="40">
        <v>79476</v>
      </c>
      <c r="AG51" s="40">
        <v>79869</v>
      </c>
      <c r="AH51" s="40">
        <v>80374</v>
      </c>
      <c r="AI51" s="40">
        <v>80672</v>
      </c>
      <c r="AJ51" s="40">
        <v>81947</v>
      </c>
      <c r="AK51" s="40">
        <v>81899</v>
      </c>
      <c r="AL51" s="40">
        <v>82230</v>
      </c>
      <c r="AM51" s="40">
        <v>82630</v>
      </c>
      <c r="AN51" s="40">
        <v>83118</v>
      </c>
      <c r="AO51" s="40">
        <v>83084</v>
      </c>
      <c r="AP51" s="40">
        <v>83312</v>
      </c>
      <c r="AQ51" s="40">
        <v>83446</v>
      </c>
      <c r="AR51" s="40">
        <v>83654</v>
      </c>
      <c r="AS51" s="40">
        <v>83112</v>
      </c>
      <c r="AT51" s="40">
        <v>82413</v>
      </c>
      <c r="AU51" s="40">
        <v>81085</v>
      </c>
      <c r="AV51" s="40">
        <v>81641</v>
      </c>
      <c r="AW51" s="40">
        <v>82164</v>
      </c>
      <c r="AX51" s="40">
        <v>84483</v>
      </c>
      <c r="AY51" s="40">
        <v>86395</v>
      </c>
      <c r="AZ51" s="40">
        <v>86326</v>
      </c>
      <c r="BA51" s="40">
        <v>86341</v>
      </c>
      <c r="BB51" s="40">
        <v>87112</v>
      </c>
      <c r="BC51" s="40">
        <v>87359</v>
      </c>
      <c r="BD51" s="40">
        <v>87876</v>
      </c>
      <c r="BE51" s="40">
        <v>88021</v>
      </c>
      <c r="BF51" s="40">
        <v>88522</v>
      </c>
      <c r="BG51" s="40">
        <v>88602</v>
      </c>
      <c r="BH51" s="40">
        <v>89156</v>
      </c>
      <c r="BI51" s="40">
        <v>89533</v>
      </c>
      <c r="BJ51" s="40">
        <v>89833</v>
      </c>
      <c r="BK51" s="40">
        <v>90280</v>
      </c>
      <c r="BL51" s="40">
        <v>90786</v>
      </c>
      <c r="BM51" s="40">
        <v>91298</v>
      </c>
      <c r="BN51" s="40">
        <v>91734</v>
      </c>
      <c r="BO51" s="40">
        <v>92116</v>
      </c>
      <c r="BP51" s="40">
        <v>92338</v>
      </c>
      <c r="BQ51" s="40">
        <v>92558</v>
      </c>
      <c r="BR51" s="40">
        <v>92753</v>
      </c>
      <c r="BS51" s="40">
        <v>92813</v>
      </c>
      <c r="BT51" s="40">
        <v>92992</v>
      </c>
      <c r="BU51" s="40">
        <v>93089</v>
      </c>
      <c r="BV51" s="40">
        <v>93282</v>
      </c>
      <c r="BW51" s="40">
        <v>93392</v>
      </c>
      <c r="BX51" s="40">
        <v>93613</v>
      </c>
      <c r="BY51" s="40">
        <v>93854</v>
      </c>
      <c r="BZ51" s="40">
        <v>94220</v>
      </c>
      <c r="CA51" s="40">
        <v>94444</v>
      </c>
      <c r="CB51" s="40">
        <v>94561</v>
      </c>
      <c r="CC51" s="40">
        <v>94805</v>
      </c>
      <c r="CD51" s="40">
        <v>94997</v>
      </c>
      <c r="CE51" s="40">
        <v>95142</v>
      </c>
      <c r="CF51" s="40">
        <v>95387</v>
      </c>
      <c r="CG51" s="40">
        <v>95549</v>
      </c>
      <c r="CH51" s="40">
        <v>95706</v>
      </c>
      <c r="CI51" s="40">
        <v>95904</v>
      </c>
      <c r="CJ51" s="40">
        <v>95982</v>
      </c>
      <c r="CK51" s="40">
        <v>96090</v>
      </c>
      <c r="CL51" s="40">
        <v>96282</v>
      </c>
      <c r="CM51" s="40">
        <v>96363</v>
      </c>
      <c r="CN51" s="40">
        <v>96504</v>
      </c>
      <c r="CO51" s="40">
        <v>96658</v>
      </c>
      <c r="CP51" s="40">
        <v>96761</v>
      </c>
      <c r="CQ51" s="40">
        <v>96884</v>
      </c>
      <c r="CR51" s="40">
        <v>96944</v>
      </c>
      <c r="CS51" s="40">
        <v>97058</v>
      </c>
      <c r="CT51" s="40">
        <v>97128</v>
      </c>
      <c r="CU51" s="40">
        <v>97214</v>
      </c>
      <c r="CV51" s="40">
        <v>97281</v>
      </c>
      <c r="CW51" s="40">
        <v>97347</v>
      </c>
      <c r="CX51" s="40">
        <v>97447</v>
      </c>
      <c r="CY51" s="40">
        <v>97483</v>
      </c>
      <c r="CZ51" s="40">
        <v>97553</v>
      </c>
      <c r="DA51" s="40">
        <v>97588</v>
      </c>
      <c r="DB51" s="40">
        <v>97671</v>
      </c>
      <c r="DC51" s="40">
        <v>97718</v>
      </c>
      <c r="DD51" s="40">
        <v>97775</v>
      </c>
      <c r="DE51" s="40">
        <v>97811</v>
      </c>
      <c r="DF51" s="40">
        <v>97894</v>
      </c>
      <c r="DG51" s="40">
        <v>97941</v>
      </c>
      <c r="DH51" s="40">
        <v>97985</v>
      </c>
      <c r="DI51" s="40">
        <v>98029</v>
      </c>
      <c r="DJ51" s="40">
        <v>98100</v>
      </c>
      <c r="DK51" s="40">
        <v>98134</v>
      </c>
      <c r="DL51" s="40">
        <v>98173</v>
      </c>
      <c r="DM51" s="40">
        <v>98226</v>
      </c>
      <c r="DN51" s="40">
        <v>98278</v>
      </c>
      <c r="DO51" s="40">
        <v>98329</v>
      </c>
    </row>
    <row r="52" spans="1:119">
      <c r="A52" s="40">
        <v>50</v>
      </c>
      <c r="B52" s="40"/>
      <c r="C52" s="40"/>
      <c r="D52" s="40"/>
      <c r="E52" s="40"/>
      <c r="F52" s="40"/>
      <c r="G52" s="40"/>
      <c r="H52" s="40"/>
      <c r="I52" s="40"/>
      <c r="J52" s="40"/>
      <c r="K52" s="40"/>
      <c r="L52" s="40"/>
      <c r="M52" s="40"/>
      <c r="N52" s="40"/>
      <c r="O52" s="40"/>
      <c r="P52" s="40"/>
      <c r="Q52" s="40"/>
      <c r="R52" s="40"/>
      <c r="S52" s="40"/>
      <c r="T52" s="40"/>
      <c r="U52" s="40"/>
      <c r="V52" s="40"/>
      <c r="W52" s="40">
        <v>72045</v>
      </c>
      <c r="X52" s="40">
        <v>72812</v>
      </c>
      <c r="Y52" s="40">
        <v>72912</v>
      </c>
      <c r="Z52" s="40">
        <v>75052</v>
      </c>
      <c r="AA52" s="40">
        <v>75409</v>
      </c>
      <c r="AB52" s="40">
        <v>76057</v>
      </c>
      <c r="AC52" s="40">
        <v>76832</v>
      </c>
      <c r="AD52" s="40">
        <v>77752</v>
      </c>
      <c r="AE52" s="40">
        <v>77660</v>
      </c>
      <c r="AF52" s="40">
        <v>78918</v>
      </c>
      <c r="AG52" s="40">
        <v>79319</v>
      </c>
      <c r="AH52" s="40">
        <v>79832</v>
      </c>
      <c r="AI52" s="40">
        <v>80152</v>
      </c>
      <c r="AJ52" s="40">
        <v>81444</v>
      </c>
      <c r="AK52" s="40">
        <v>81400</v>
      </c>
      <c r="AL52" s="40">
        <v>81745</v>
      </c>
      <c r="AM52" s="40">
        <v>82162</v>
      </c>
      <c r="AN52" s="40">
        <v>82658</v>
      </c>
      <c r="AO52" s="40">
        <v>82628</v>
      </c>
      <c r="AP52" s="40">
        <v>82855</v>
      </c>
      <c r="AQ52" s="40">
        <v>82963</v>
      </c>
      <c r="AR52" s="40">
        <v>83210</v>
      </c>
      <c r="AS52" s="40">
        <v>82657</v>
      </c>
      <c r="AT52" s="40">
        <v>81971</v>
      </c>
      <c r="AU52" s="40">
        <v>80647</v>
      </c>
      <c r="AV52" s="40">
        <v>81209</v>
      </c>
      <c r="AW52" s="40">
        <v>81761</v>
      </c>
      <c r="AX52" s="40">
        <v>84091</v>
      </c>
      <c r="AY52" s="40">
        <v>86003</v>
      </c>
      <c r="AZ52" s="40">
        <v>85921</v>
      </c>
      <c r="BA52" s="40">
        <v>85943</v>
      </c>
      <c r="BB52" s="40">
        <v>86716</v>
      </c>
      <c r="BC52" s="40">
        <v>86959</v>
      </c>
      <c r="BD52" s="40">
        <v>87481</v>
      </c>
      <c r="BE52" s="40">
        <v>87646</v>
      </c>
      <c r="BF52" s="40">
        <v>88154</v>
      </c>
      <c r="BG52" s="40">
        <v>88234</v>
      </c>
      <c r="BH52" s="40">
        <v>88809</v>
      </c>
      <c r="BI52" s="40">
        <v>89191</v>
      </c>
      <c r="BJ52" s="40">
        <v>89500</v>
      </c>
      <c r="BK52" s="40">
        <v>89956</v>
      </c>
      <c r="BL52" s="40">
        <v>90473</v>
      </c>
      <c r="BM52" s="40">
        <v>90987</v>
      </c>
      <c r="BN52" s="40">
        <v>91436</v>
      </c>
      <c r="BO52" s="40">
        <v>91824</v>
      </c>
      <c r="BP52" s="40">
        <v>92047</v>
      </c>
      <c r="BQ52" s="40">
        <v>92272</v>
      </c>
      <c r="BR52" s="40">
        <v>92472</v>
      </c>
      <c r="BS52" s="40">
        <v>92537</v>
      </c>
      <c r="BT52" s="40">
        <v>92721</v>
      </c>
      <c r="BU52" s="40">
        <v>92824</v>
      </c>
      <c r="BV52" s="40">
        <v>93021</v>
      </c>
      <c r="BW52" s="40">
        <v>93136</v>
      </c>
      <c r="BX52" s="40">
        <v>93361</v>
      </c>
      <c r="BY52" s="40">
        <v>93607</v>
      </c>
      <c r="BZ52" s="40">
        <v>93977</v>
      </c>
      <c r="CA52" s="40">
        <v>94205</v>
      </c>
      <c r="CB52" s="40">
        <v>94327</v>
      </c>
      <c r="CC52" s="40">
        <v>94574</v>
      </c>
      <c r="CD52" s="40">
        <v>94770</v>
      </c>
      <c r="CE52" s="40">
        <v>94920</v>
      </c>
      <c r="CF52" s="40">
        <v>95169</v>
      </c>
      <c r="CG52" s="40">
        <v>95334</v>
      </c>
      <c r="CH52" s="40">
        <v>95496</v>
      </c>
      <c r="CI52" s="40">
        <v>95697</v>
      </c>
      <c r="CJ52" s="40">
        <v>95780</v>
      </c>
      <c r="CK52" s="40">
        <v>95891</v>
      </c>
      <c r="CL52" s="40">
        <v>96086</v>
      </c>
      <c r="CM52" s="40">
        <v>96171</v>
      </c>
      <c r="CN52" s="40">
        <v>96316</v>
      </c>
      <c r="CO52" s="40">
        <v>96473</v>
      </c>
      <c r="CP52" s="40">
        <v>96580</v>
      </c>
      <c r="CQ52" s="40">
        <v>96706</v>
      </c>
      <c r="CR52" s="40">
        <v>96769</v>
      </c>
      <c r="CS52" s="40">
        <v>96887</v>
      </c>
      <c r="CT52" s="40">
        <v>96960</v>
      </c>
      <c r="CU52" s="40">
        <v>97049</v>
      </c>
      <c r="CV52" s="40">
        <v>97119</v>
      </c>
      <c r="CW52" s="40">
        <v>97188</v>
      </c>
      <c r="CX52" s="40">
        <v>97291</v>
      </c>
      <c r="CY52" s="40">
        <v>97330</v>
      </c>
      <c r="CZ52" s="40">
        <v>97402</v>
      </c>
      <c r="DA52" s="40">
        <v>97441</v>
      </c>
      <c r="DB52" s="40">
        <v>97527</v>
      </c>
      <c r="DC52" s="40">
        <v>97577</v>
      </c>
      <c r="DD52" s="40">
        <v>97637</v>
      </c>
      <c r="DE52" s="40">
        <v>97675</v>
      </c>
      <c r="DF52" s="40">
        <v>97761</v>
      </c>
      <c r="DG52" s="40">
        <v>97810</v>
      </c>
      <c r="DH52" s="40">
        <v>97856</v>
      </c>
      <c r="DI52" s="40">
        <v>97903</v>
      </c>
      <c r="DJ52" s="40">
        <v>97976</v>
      </c>
      <c r="DK52" s="40">
        <v>98013</v>
      </c>
      <c r="DL52" s="40">
        <v>98054</v>
      </c>
      <c r="DM52" s="40">
        <v>98110</v>
      </c>
      <c r="DN52" s="40">
        <v>98164</v>
      </c>
      <c r="DO52" s="40">
        <v>98216</v>
      </c>
    </row>
    <row r="53" spans="1:119">
      <c r="A53" s="40">
        <v>51</v>
      </c>
      <c r="B53" s="40"/>
      <c r="C53" s="40"/>
      <c r="D53" s="40"/>
      <c r="E53" s="40"/>
      <c r="F53" s="40"/>
      <c r="G53" s="40"/>
      <c r="H53" s="40"/>
      <c r="I53" s="40"/>
      <c r="J53" s="40"/>
      <c r="K53" s="40"/>
      <c r="L53" s="40"/>
      <c r="M53" s="40"/>
      <c r="N53" s="40"/>
      <c r="O53" s="40"/>
      <c r="P53" s="40"/>
      <c r="Q53" s="40"/>
      <c r="R53" s="40"/>
      <c r="S53" s="40"/>
      <c r="T53" s="40"/>
      <c r="U53" s="40"/>
      <c r="V53" s="40"/>
      <c r="W53" s="40">
        <v>71500</v>
      </c>
      <c r="X53" s="40">
        <v>72271</v>
      </c>
      <c r="Y53" s="40">
        <v>72389</v>
      </c>
      <c r="Z53" s="40">
        <v>74497</v>
      </c>
      <c r="AA53" s="40">
        <v>74855</v>
      </c>
      <c r="AB53" s="40">
        <v>75500</v>
      </c>
      <c r="AC53" s="40">
        <v>76253</v>
      </c>
      <c r="AD53" s="40">
        <v>77177</v>
      </c>
      <c r="AE53" s="40">
        <v>77065</v>
      </c>
      <c r="AF53" s="40">
        <v>78318</v>
      </c>
      <c r="AG53" s="40">
        <v>78736</v>
      </c>
      <c r="AH53" s="40">
        <v>79244</v>
      </c>
      <c r="AI53" s="40">
        <v>79572</v>
      </c>
      <c r="AJ53" s="40">
        <v>80884</v>
      </c>
      <c r="AK53" s="40">
        <v>80857</v>
      </c>
      <c r="AL53" s="40">
        <v>81213</v>
      </c>
      <c r="AM53" s="40">
        <v>81649</v>
      </c>
      <c r="AN53" s="40">
        <v>82143</v>
      </c>
      <c r="AO53" s="40">
        <v>82119</v>
      </c>
      <c r="AP53" s="40">
        <v>82329</v>
      </c>
      <c r="AQ53" s="40">
        <v>82440</v>
      </c>
      <c r="AR53" s="40">
        <v>82717</v>
      </c>
      <c r="AS53" s="40">
        <v>82164</v>
      </c>
      <c r="AT53" s="40">
        <v>81498</v>
      </c>
      <c r="AU53" s="40">
        <v>80172</v>
      </c>
      <c r="AV53" s="40">
        <v>80772</v>
      </c>
      <c r="AW53" s="40">
        <v>81326</v>
      </c>
      <c r="AX53" s="40">
        <v>83676</v>
      </c>
      <c r="AY53" s="40">
        <v>85564</v>
      </c>
      <c r="AZ53" s="40">
        <v>85502</v>
      </c>
      <c r="BA53" s="40">
        <v>85511</v>
      </c>
      <c r="BB53" s="40">
        <v>86287</v>
      </c>
      <c r="BC53" s="40">
        <v>86529</v>
      </c>
      <c r="BD53" s="40">
        <v>87068</v>
      </c>
      <c r="BE53" s="40">
        <v>87248</v>
      </c>
      <c r="BF53" s="40">
        <v>87766</v>
      </c>
      <c r="BG53" s="40">
        <v>87849</v>
      </c>
      <c r="BH53" s="40">
        <v>88440</v>
      </c>
      <c r="BI53" s="40">
        <v>88825</v>
      </c>
      <c r="BJ53" s="40">
        <v>89140</v>
      </c>
      <c r="BK53" s="40">
        <v>89603</v>
      </c>
      <c r="BL53" s="40">
        <v>90135</v>
      </c>
      <c r="BM53" s="40">
        <v>90668</v>
      </c>
      <c r="BN53" s="40">
        <v>91107</v>
      </c>
      <c r="BO53" s="40">
        <v>91500</v>
      </c>
      <c r="BP53" s="40">
        <v>91729</v>
      </c>
      <c r="BQ53" s="40">
        <v>91959</v>
      </c>
      <c r="BR53" s="40">
        <v>92165</v>
      </c>
      <c r="BS53" s="40">
        <v>92235</v>
      </c>
      <c r="BT53" s="40">
        <v>92425</v>
      </c>
      <c r="BU53" s="40">
        <v>92533</v>
      </c>
      <c r="BV53" s="40">
        <v>92735</v>
      </c>
      <c r="BW53" s="40">
        <v>92856</v>
      </c>
      <c r="BX53" s="40">
        <v>93085</v>
      </c>
      <c r="BY53" s="40">
        <v>93336</v>
      </c>
      <c r="BZ53" s="40">
        <v>93710</v>
      </c>
      <c r="CA53" s="40">
        <v>93943</v>
      </c>
      <c r="CB53" s="40">
        <v>94069</v>
      </c>
      <c r="CC53" s="40">
        <v>94322</v>
      </c>
      <c r="CD53" s="40">
        <v>94522</v>
      </c>
      <c r="CE53" s="40">
        <v>94677</v>
      </c>
      <c r="CF53" s="40">
        <v>94929</v>
      </c>
      <c r="CG53" s="40">
        <v>95099</v>
      </c>
      <c r="CH53" s="40">
        <v>95264</v>
      </c>
      <c r="CI53" s="40">
        <v>95470</v>
      </c>
      <c r="CJ53" s="40">
        <v>95557</v>
      </c>
      <c r="CK53" s="40">
        <v>95672</v>
      </c>
      <c r="CL53" s="40">
        <v>95871</v>
      </c>
      <c r="CM53" s="40">
        <v>95960</v>
      </c>
      <c r="CN53" s="40">
        <v>96109</v>
      </c>
      <c r="CO53" s="40">
        <v>96270</v>
      </c>
      <c r="CP53" s="40">
        <v>96380</v>
      </c>
      <c r="CQ53" s="40">
        <v>96510</v>
      </c>
      <c r="CR53" s="40">
        <v>96577</v>
      </c>
      <c r="CS53" s="40">
        <v>96698</v>
      </c>
      <c r="CT53" s="40">
        <v>96774</v>
      </c>
      <c r="CU53" s="40">
        <v>96867</v>
      </c>
      <c r="CV53" s="40">
        <v>96941</v>
      </c>
      <c r="CW53" s="40">
        <v>97013</v>
      </c>
      <c r="CX53" s="40">
        <v>97119</v>
      </c>
      <c r="CY53" s="40">
        <v>97162</v>
      </c>
      <c r="CZ53" s="40">
        <v>97237</v>
      </c>
      <c r="DA53" s="40">
        <v>97279</v>
      </c>
      <c r="DB53" s="40">
        <v>97368</v>
      </c>
      <c r="DC53" s="40">
        <v>97420</v>
      </c>
      <c r="DD53" s="40">
        <v>97483</v>
      </c>
      <c r="DE53" s="40">
        <v>97525</v>
      </c>
      <c r="DF53" s="40">
        <v>97613</v>
      </c>
      <c r="DG53" s="40">
        <v>97665</v>
      </c>
      <c r="DH53" s="40">
        <v>97714</v>
      </c>
      <c r="DI53" s="40">
        <v>97764</v>
      </c>
      <c r="DJ53" s="40">
        <v>97839</v>
      </c>
      <c r="DK53" s="40">
        <v>97879</v>
      </c>
      <c r="DL53" s="40">
        <v>97922</v>
      </c>
      <c r="DM53" s="40">
        <v>97981</v>
      </c>
      <c r="DN53" s="40">
        <v>98037</v>
      </c>
      <c r="DO53" s="40">
        <v>98092</v>
      </c>
    </row>
    <row r="54" spans="1:119">
      <c r="A54" s="40">
        <v>52</v>
      </c>
      <c r="B54" s="40"/>
      <c r="C54" s="40"/>
      <c r="D54" s="40"/>
      <c r="E54" s="40"/>
      <c r="F54" s="40"/>
      <c r="G54" s="40"/>
      <c r="H54" s="40"/>
      <c r="I54" s="40"/>
      <c r="J54" s="40"/>
      <c r="K54" s="40"/>
      <c r="L54" s="40"/>
      <c r="M54" s="40"/>
      <c r="N54" s="40"/>
      <c r="O54" s="40"/>
      <c r="P54" s="40"/>
      <c r="Q54" s="40"/>
      <c r="R54" s="40"/>
      <c r="S54" s="40"/>
      <c r="T54" s="40"/>
      <c r="U54" s="40"/>
      <c r="V54" s="40"/>
      <c r="W54" s="40">
        <v>70922</v>
      </c>
      <c r="X54" s="40">
        <v>71695</v>
      </c>
      <c r="Y54" s="40">
        <v>71755</v>
      </c>
      <c r="Z54" s="40">
        <v>73885</v>
      </c>
      <c r="AA54" s="40">
        <v>74261</v>
      </c>
      <c r="AB54" s="40">
        <v>74886</v>
      </c>
      <c r="AC54" s="40">
        <v>75644</v>
      </c>
      <c r="AD54" s="40">
        <v>76552</v>
      </c>
      <c r="AE54" s="40">
        <v>76437</v>
      </c>
      <c r="AF54" s="40">
        <v>77682</v>
      </c>
      <c r="AG54" s="40">
        <v>78112</v>
      </c>
      <c r="AH54" s="40">
        <v>78640</v>
      </c>
      <c r="AI54" s="40">
        <v>78975</v>
      </c>
      <c r="AJ54" s="40">
        <v>80283</v>
      </c>
      <c r="AK54" s="40">
        <v>80266</v>
      </c>
      <c r="AL54" s="40">
        <v>80668</v>
      </c>
      <c r="AM54" s="40">
        <v>81105</v>
      </c>
      <c r="AN54" s="40">
        <v>81599</v>
      </c>
      <c r="AO54" s="40">
        <v>81553</v>
      </c>
      <c r="AP54" s="40">
        <v>81784</v>
      </c>
      <c r="AQ54" s="40">
        <v>81914</v>
      </c>
      <c r="AR54" s="40">
        <v>82210</v>
      </c>
      <c r="AS54" s="40">
        <v>81649</v>
      </c>
      <c r="AT54" s="40">
        <v>80984</v>
      </c>
      <c r="AU54" s="40">
        <v>79696</v>
      </c>
      <c r="AV54" s="40">
        <v>80300</v>
      </c>
      <c r="AW54" s="40">
        <v>80875</v>
      </c>
      <c r="AX54" s="40">
        <v>83217</v>
      </c>
      <c r="AY54" s="40">
        <v>85115</v>
      </c>
      <c r="AZ54" s="40">
        <v>85036</v>
      </c>
      <c r="BA54" s="40">
        <v>85065</v>
      </c>
      <c r="BB54" s="40">
        <v>85843</v>
      </c>
      <c r="BC54" s="40">
        <v>86090</v>
      </c>
      <c r="BD54" s="40">
        <v>86614</v>
      </c>
      <c r="BE54" s="40">
        <v>86810</v>
      </c>
      <c r="BF54" s="40">
        <v>87349</v>
      </c>
      <c r="BG54" s="40">
        <v>87423</v>
      </c>
      <c r="BH54" s="40">
        <v>88022</v>
      </c>
      <c r="BI54" s="40">
        <v>88397</v>
      </c>
      <c r="BJ54" s="40">
        <v>88754</v>
      </c>
      <c r="BK54" s="40">
        <v>89222</v>
      </c>
      <c r="BL54" s="40">
        <v>89765</v>
      </c>
      <c r="BM54" s="40">
        <v>90310</v>
      </c>
      <c r="BN54" s="40">
        <v>90746</v>
      </c>
      <c r="BO54" s="40">
        <v>91145</v>
      </c>
      <c r="BP54" s="40">
        <v>91380</v>
      </c>
      <c r="BQ54" s="40">
        <v>91616</v>
      </c>
      <c r="BR54" s="40">
        <v>91828</v>
      </c>
      <c r="BS54" s="40">
        <v>91905</v>
      </c>
      <c r="BT54" s="40">
        <v>92100</v>
      </c>
      <c r="BU54" s="40">
        <v>92214</v>
      </c>
      <c r="BV54" s="40">
        <v>92422</v>
      </c>
      <c r="BW54" s="40">
        <v>92548</v>
      </c>
      <c r="BX54" s="40">
        <v>92783</v>
      </c>
      <c r="BY54" s="40">
        <v>93039</v>
      </c>
      <c r="BZ54" s="40">
        <v>93418</v>
      </c>
      <c r="CA54" s="40">
        <v>93656</v>
      </c>
      <c r="CB54" s="40">
        <v>93787</v>
      </c>
      <c r="CC54" s="40">
        <v>94044</v>
      </c>
      <c r="CD54" s="40">
        <v>94250</v>
      </c>
      <c r="CE54" s="40">
        <v>94409</v>
      </c>
      <c r="CF54" s="40">
        <v>94666</v>
      </c>
      <c r="CG54" s="40">
        <v>94840</v>
      </c>
      <c r="CH54" s="40">
        <v>95010</v>
      </c>
      <c r="CI54" s="40">
        <v>95220</v>
      </c>
      <c r="CJ54" s="40">
        <v>95312</v>
      </c>
      <c r="CK54" s="40">
        <v>95431</v>
      </c>
      <c r="CL54" s="40">
        <v>95635</v>
      </c>
      <c r="CM54" s="40">
        <v>95729</v>
      </c>
      <c r="CN54" s="40">
        <v>95881</v>
      </c>
      <c r="CO54" s="40">
        <v>96046</v>
      </c>
      <c r="CP54" s="40">
        <v>96160</v>
      </c>
      <c r="CQ54" s="40">
        <v>96294</v>
      </c>
      <c r="CR54" s="40">
        <v>96365</v>
      </c>
      <c r="CS54" s="40">
        <v>96490</v>
      </c>
      <c r="CT54" s="40">
        <v>96570</v>
      </c>
      <c r="CU54" s="40">
        <v>96667</v>
      </c>
      <c r="CV54" s="40">
        <v>96744</v>
      </c>
      <c r="CW54" s="40">
        <v>96820</v>
      </c>
      <c r="CX54" s="40">
        <v>96929</v>
      </c>
      <c r="CY54" s="40">
        <v>96976</v>
      </c>
      <c r="CZ54" s="40">
        <v>97055</v>
      </c>
      <c r="DA54" s="40">
        <v>97100</v>
      </c>
      <c r="DB54" s="40">
        <v>97192</v>
      </c>
      <c r="DC54" s="40">
        <v>97248</v>
      </c>
      <c r="DD54" s="40">
        <v>97314</v>
      </c>
      <c r="DE54" s="40">
        <v>97359</v>
      </c>
      <c r="DF54" s="40">
        <v>97451</v>
      </c>
      <c r="DG54" s="40">
        <v>97506</v>
      </c>
      <c r="DH54" s="40">
        <v>97558</v>
      </c>
      <c r="DI54" s="40">
        <v>97610</v>
      </c>
      <c r="DJ54" s="40">
        <v>97689</v>
      </c>
      <c r="DK54" s="40">
        <v>97731</v>
      </c>
      <c r="DL54" s="40">
        <v>97777</v>
      </c>
      <c r="DM54" s="40">
        <v>97838</v>
      </c>
      <c r="DN54" s="40">
        <v>97898</v>
      </c>
      <c r="DO54" s="40">
        <v>97955</v>
      </c>
    </row>
    <row r="55" spans="1:119">
      <c r="A55" s="40">
        <v>53</v>
      </c>
      <c r="B55" s="40"/>
      <c r="C55" s="40"/>
      <c r="D55" s="40"/>
      <c r="E55" s="40"/>
      <c r="F55" s="40"/>
      <c r="G55" s="40"/>
      <c r="H55" s="40"/>
      <c r="I55" s="40"/>
      <c r="J55" s="40"/>
      <c r="K55" s="40"/>
      <c r="L55" s="40"/>
      <c r="M55" s="40"/>
      <c r="N55" s="40"/>
      <c r="O55" s="40"/>
      <c r="P55" s="40"/>
      <c r="Q55" s="40"/>
      <c r="R55" s="40"/>
      <c r="S55" s="40"/>
      <c r="T55" s="40"/>
      <c r="U55" s="40"/>
      <c r="V55" s="40"/>
      <c r="W55" s="40">
        <v>70290</v>
      </c>
      <c r="X55" s="40">
        <v>71062</v>
      </c>
      <c r="Y55" s="40">
        <v>71110</v>
      </c>
      <c r="Z55" s="40">
        <v>73251</v>
      </c>
      <c r="AA55" s="40">
        <v>73618</v>
      </c>
      <c r="AB55" s="40">
        <v>74237</v>
      </c>
      <c r="AC55" s="40">
        <v>74959</v>
      </c>
      <c r="AD55" s="40">
        <v>75860</v>
      </c>
      <c r="AE55" s="40">
        <v>75756</v>
      </c>
      <c r="AF55" s="40">
        <v>77003</v>
      </c>
      <c r="AG55" s="40">
        <v>77453</v>
      </c>
      <c r="AH55" s="40">
        <v>77991</v>
      </c>
      <c r="AI55" s="40">
        <v>78328</v>
      </c>
      <c r="AJ55" s="40">
        <v>79642</v>
      </c>
      <c r="AK55" s="40">
        <v>79637</v>
      </c>
      <c r="AL55" s="40">
        <v>80079</v>
      </c>
      <c r="AM55" s="40">
        <v>80526</v>
      </c>
      <c r="AN55" s="40">
        <v>80996</v>
      </c>
      <c r="AO55" s="40">
        <v>80961</v>
      </c>
      <c r="AP55" s="40">
        <v>81200</v>
      </c>
      <c r="AQ55" s="40">
        <v>81342</v>
      </c>
      <c r="AR55" s="40">
        <v>81639</v>
      </c>
      <c r="AS55" s="40">
        <v>81101</v>
      </c>
      <c r="AT55" s="40">
        <v>80436</v>
      </c>
      <c r="AU55" s="40">
        <v>79189</v>
      </c>
      <c r="AV55" s="40">
        <v>79815</v>
      </c>
      <c r="AW55" s="40">
        <v>80383</v>
      </c>
      <c r="AX55" s="40">
        <v>82746</v>
      </c>
      <c r="AY55" s="40">
        <v>84611</v>
      </c>
      <c r="AZ55" s="40">
        <v>84538</v>
      </c>
      <c r="BA55" s="40">
        <v>84574</v>
      </c>
      <c r="BB55" s="40">
        <v>85350</v>
      </c>
      <c r="BC55" s="40">
        <v>85599</v>
      </c>
      <c r="BD55" s="40">
        <v>86138</v>
      </c>
      <c r="BE55" s="40">
        <v>86350</v>
      </c>
      <c r="BF55" s="40">
        <v>86894</v>
      </c>
      <c r="BG55" s="40">
        <v>86979</v>
      </c>
      <c r="BH55" s="40">
        <v>87581</v>
      </c>
      <c r="BI55" s="40">
        <v>87961</v>
      </c>
      <c r="BJ55" s="40">
        <v>88321</v>
      </c>
      <c r="BK55" s="40">
        <v>88813</v>
      </c>
      <c r="BL55" s="40">
        <v>89360</v>
      </c>
      <c r="BM55" s="40">
        <v>89910</v>
      </c>
      <c r="BN55" s="40">
        <v>90352</v>
      </c>
      <c r="BO55" s="40">
        <v>90757</v>
      </c>
      <c r="BP55" s="40">
        <v>90998</v>
      </c>
      <c r="BQ55" s="40">
        <v>91241</v>
      </c>
      <c r="BR55" s="40">
        <v>91459</v>
      </c>
      <c r="BS55" s="40">
        <v>91543</v>
      </c>
      <c r="BT55" s="40">
        <v>91745</v>
      </c>
      <c r="BU55" s="40">
        <v>91865</v>
      </c>
      <c r="BV55" s="40">
        <v>92079</v>
      </c>
      <c r="BW55" s="40">
        <v>92212</v>
      </c>
      <c r="BX55" s="40">
        <v>92452</v>
      </c>
      <c r="BY55" s="40">
        <v>92713</v>
      </c>
      <c r="BZ55" s="40">
        <v>93098</v>
      </c>
      <c r="CA55" s="40">
        <v>93341</v>
      </c>
      <c r="CB55" s="40">
        <v>93478</v>
      </c>
      <c r="CC55" s="40">
        <v>93740</v>
      </c>
      <c r="CD55" s="40">
        <v>93951</v>
      </c>
      <c r="CE55" s="40">
        <v>94115</v>
      </c>
      <c r="CF55" s="40">
        <v>94377</v>
      </c>
      <c r="CG55" s="40">
        <v>94557</v>
      </c>
      <c r="CH55" s="40">
        <v>94732</v>
      </c>
      <c r="CI55" s="40">
        <v>94947</v>
      </c>
      <c r="CJ55" s="40">
        <v>95043</v>
      </c>
      <c r="CK55" s="40">
        <v>95167</v>
      </c>
      <c r="CL55" s="40">
        <v>95375</v>
      </c>
      <c r="CM55" s="40">
        <v>95474</v>
      </c>
      <c r="CN55" s="40">
        <v>95631</v>
      </c>
      <c r="CO55" s="40">
        <v>95800</v>
      </c>
      <c r="CP55" s="40">
        <v>95919</v>
      </c>
      <c r="CQ55" s="40">
        <v>96057</v>
      </c>
      <c r="CR55" s="40">
        <v>96133</v>
      </c>
      <c r="CS55" s="40">
        <v>96262</v>
      </c>
      <c r="CT55" s="40">
        <v>96346</v>
      </c>
      <c r="CU55" s="40">
        <v>96447</v>
      </c>
      <c r="CV55" s="40">
        <v>96528</v>
      </c>
      <c r="CW55" s="40">
        <v>96608</v>
      </c>
      <c r="CX55" s="40">
        <v>96721</v>
      </c>
      <c r="CY55" s="40">
        <v>96772</v>
      </c>
      <c r="CZ55" s="40">
        <v>96854</v>
      </c>
      <c r="DA55" s="40">
        <v>96903</v>
      </c>
      <c r="DB55" s="40">
        <v>96999</v>
      </c>
      <c r="DC55" s="40">
        <v>97059</v>
      </c>
      <c r="DD55" s="40">
        <v>97128</v>
      </c>
      <c r="DE55" s="40">
        <v>97176</v>
      </c>
      <c r="DF55" s="40">
        <v>97272</v>
      </c>
      <c r="DG55" s="40">
        <v>97330</v>
      </c>
      <c r="DH55" s="40">
        <v>97385</v>
      </c>
      <c r="DI55" s="40">
        <v>97441</v>
      </c>
      <c r="DJ55" s="40">
        <v>97522</v>
      </c>
      <c r="DK55" s="40">
        <v>97568</v>
      </c>
      <c r="DL55" s="40">
        <v>97617</v>
      </c>
      <c r="DM55" s="40">
        <v>97681</v>
      </c>
      <c r="DN55" s="40">
        <v>97744</v>
      </c>
      <c r="DO55" s="40">
        <v>97804</v>
      </c>
    </row>
    <row r="56" spans="1:119">
      <c r="A56" s="40">
        <v>54</v>
      </c>
      <c r="B56" s="40"/>
      <c r="C56" s="40"/>
      <c r="D56" s="40"/>
      <c r="E56" s="40"/>
      <c r="F56" s="40"/>
      <c r="G56" s="40"/>
      <c r="H56" s="40"/>
      <c r="I56" s="40"/>
      <c r="J56" s="40"/>
      <c r="K56" s="40"/>
      <c r="L56" s="40"/>
      <c r="M56" s="40"/>
      <c r="N56" s="40"/>
      <c r="O56" s="40"/>
      <c r="P56" s="40"/>
      <c r="Q56" s="40"/>
      <c r="R56" s="40"/>
      <c r="S56" s="40"/>
      <c r="T56" s="40"/>
      <c r="U56" s="40"/>
      <c r="V56" s="40"/>
      <c r="W56" s="40">
        <v>69591</v>
      </c>
      <c r="X56" s="40">
        <v>70368</v>
      </c>
      <c r="Y56" s="40">
        <v>70420</v>
      </c>
      <c r="Z56" s="40">
        <v>72539</v>
      </c>
      <c r="AA56" s="40">
        <v>72936</v>
      </c>
      <c r="AB56" s="40">
        <v>73544</v>
      </c>
      <c r="AC56" s="40">
        <v>74254</v>
      </c>
      <c r="AD56" s="40">
        <v>75131</v>
      </c>
      <c r="AE56" s="40">
        <v>75036</v>
      </c>
      <c r="AF56" s="40">
        <v>76272</v>
      </c>
      <c r="AG56" s="40">
        <v>76752</v>
      </c>
      <c r="AH56" s="40">
        <v>77294</v>
      </c>
      <c r="AI56" s="40">
        <v>77634</v>
      </c>
      <c r="AJ56" s="40">
        <v>78953</v>
      </c>
      <c r="AK56" s="40">
        <v>78966</v>
      </c>
      <c r="AL56" s="40">
        <v>79411</v>
      </c>
      <c r="AM56" s="40">
        <v>79851</v>
      </c>
      <c r="AN56" s="40">
        <v>80364</v>
      </c>
      <c r="AO56" s="40">
        <v>80327</v>
      </c>
      <c r="AP56" s="40">
        <v>80595</v>
      </c>
      <c r="AQ56" s="40">
        <v>80743</v>
      </c>
      <c r="AR56" s="40">
        <v>81044</v>
      </c>
      <c r="AS56" s="40">
        <v>80524</v>
      </c>
      <c r="AT56" s="40">
        <v>79865</v>
      </c>
      <c r="AU56" s="40">
        <v>78668</v>
      </c>
      <c r="AV56" s="40">
        <v>79274</v>
      </c>
      <c r="AW56" s="40">
        <v>79885</v>
      </c>
      <c r="AX56" s="40">
        <v>82241</v>
      </c>
      <c r="AY56" s="40">
        <v>84066</v>
      </c>
      <c r="AZ56" s="40">
        <v>84008</v>
      </c>
      <c r="BA56" s="40">
        <v>84051</v>
      </c>
      <c r="BB56" s="40">
        <v>84846</v>
      </c>
      <c r="BC56" s="40">
        <v>85093</v>
      </c>
      <c r="BD56" s="40">
        <v>85636</v>
      </c>
      <c r="BE56" s="40">
        <v>85862</v>
      </c>
      <c r="BF56" s="40">
        <v>86409</v>
      </c>
      <c r="BG56" s="40">
        <v>86482</v>
      </c>
      <c r="BH56" s="40">
        <v>87119</v>
      </c>
      <c r="BI56" s="40">
        <v>87502</v>
      </c>
      <c r="BJ56" s="40">
        <v>87862</v>
      </c>
      <c r="BK56" s="40">
        <v>88357</v>
      </c>
      <c r="BL56" s="40">
        <v>88917</v>
      </c>
      <c r="BM56" s="40">
        <v>89473</v>
      </c>
      <c r="BN56" s="40">
        <v>89922</v>
      </c>
      <c r="BO56" s="40">
        <v>90333</v>
      </c>
      <c r="BP56" s="40">
        <v>90582</v>
      </c>
      <c r="BQ56" s="40">
        <v>90831</v>
      </c>
      <c r="BR56" s="40">
        <v>91056</v>
      </c>
      <c r="BS56" s="40">
        <v>91148</v>
      </c>
      <c r="BT56" s="40">
        <v>91356</v>
      </c>
      <c r="BU56" s="40">
        <v>91484</v>
      </c>
      <c r="BV56" s="40">
        <v>91704</v>
      </c>
      <c r="BW56" s="40">
        <v>91843</v>
      </c>
      <c r="BX56" s="40">
        <v>92090</v>
      </c>
      <c r="BY56" s="40">
        <v>92357</v>
      </c>
      <c r="BZ56" s="40">
        <v>92747</v>
      </c>
      <c r="CA56" s="40">
        <v>92997</v>
      </c>
      <c r="CB56" s="40">
        <v>93140</v>
      </c>
      <c r="CC56" s="40">
        <v>93407</v>
      </c>
      <c r="CD56" s="40">
        <v>93624</v>
      </c>
      <c r="CE56" s="40">
        <v>93794</v>
      </c>
      <c r="CF56" s="40">
        <v>94061</v>
      </c>
      <c r="CG56" s="40">
        <v>94246</v>
      </c>
      <c r="CH56" s="40">
        <v>94426</v>
      </c>
      <c r="CI56" s="40">
        <v>94646</v>
      </c>
      <c r="CJ56" s="40">
        <v>94748</v>
      </c>
      <c r="CK56" s="40">
        <v>94878</v>
      </c>
      <c r="CL56" s="40">
        <v>95091</v>
      </c>
      <c r="CM56" s="40">
        <v>95195</v>
      </c>
      <c r="CN56" s="40">
        <v>95356</v>
      </c>
      <c r="CO56" s="40">
        <v>95530</v>
      </c>
      <c r="CP56" s="40">
        <v>95654</v>
      </c>
      <c r="CQ56" s="40">
        <v>95797</v>
      </c>
      <c r="CR56" s="40">
        <v>95877</v>
      </c>
      <c r="CS56" s="40">
        <v>96011</v>
      </c>
      <c r="CT56" s="40">
        <v>96100</v>
      </c>
      <c r="CU56" s="40">
        <v>96206</v>
      </c>
      <c r="CV56" s="40">
        <v>96291</v>
      </c>
      <c r="CW56" s="40">
        <v>96376</v>
      </c>
      <c r="CX56" s="40">
        <v>96493</v>
      </c>
      <c r="CY56" s="40">
        <v>96547</v>
      </c>
      <c r="CZ56" s="40">
        <v>96634</v>
      </c>
      <c r="DA56" s="40">
        <v>96687</v>
      </c>
      <c r="DB56" s="40">
        <v>96787</v>
      </c>
      <c r="DC56" s="40">
        <v>96851</v>
      </c>
      <c r="DD56" s="40">
        <v>96924</v>
      </c>
      <c r="DE56" s="40">
        <v>96976</v>
      </c>
      <c r="DF56" s="40">
        <v>97075</v>
      </c>
      <c r="DG56" s="40">
        <v>97137</v>
      </c>
      <c r="DH56" s="40">
        <v>97196</v>
      </c>
      <c r="DI56" s="40">
        <v>97255</v>
      </c>
      <c r="DJ56" s="40">
        <v>97340</v>
      </c>
      <c r="DK56" s="40">
        <v>97389</v>
      </c>
      <c r="DL56" s="40">
        <v>97441</v>
      </c>
      <c r="DM56" s="40">
        <v>97509</v>
      </c>
      <c r="DN56" s="40">
        <v>97574</v>
      </c>
      <c r="DO56" s="40">
        <v>97638</v>
      </c>
    </row>
    <row r="57" spans="1:119">
      <c r="A57" s="40">
        <v>55</v>
      </c>
      <c r="B57" s="40"/>
      <c r="C57" s="40"/>
      <c r="D57" s="40"/>
      <c r="E57" s="40"/>
      <c r="F57" s="40"/>
      <c r="G57" s="40"/>
      <c r="H57" s="40"/>
      <c r="I57" s="40"/>
      <c r="J57" s="40"/>
      <c r="K57" s="40"/>
      <c r="L57" s="40"/>
      <c r="M57" s="40"/>
      <c r="N57" s="40"/>
      <c r="O57" s="40"/>
      <c r="P57" s="40"/>
      <c r="Q57" s="40"/>
      <c r="R57" s="40"/>
      <c r="S57" s="40"/>
      <c r="T57" s="40"/>
      <c r="U57" s="40"/>
      <c r="V57" s="40"/>
      <c r="W57" s="40">
        <v>68835</v>
      </c>
      <c r="X57" s="40">
        <v>69613</v>
      </c>
      <c r="Y57" s="40">
        <v>69694</v>
      </c>
      <c r="Z57" s="40">
        <v>71784</v>
      </c>
      <c r="AA57" s="40">
        <v>72183</v>
      </c>
      <c r="AB57" s="40">
        <v>72782</v>
      </c>
      <c r="AC57" s="40">
        <v>73499</v>
      </c>
      <c r="AD57" s="40">
        <v>74354</v>
      </c>
      <c r="AE57" s="40">
        <v>74260</v>
      </c>
      <c r="AF57" s="40">
        <v>75481</v>
      </c>
      <c r="AG57" s="40">
        <v>75974</v>
      </c>
      <c r="AH57" s="40">
        <v>76538</v>
      </c>
      <c r="AI57" s="40">
        <v>76869</v>
      </c>
      <c r="AJ57" s="40">
        <v>78236</v>
      </c>
      <c r="AK57" s="40">
        <v>78223</v>
      </c>
      <c r="AL57" s="40">
        <v>78713</v>
      </c>
      <c r="AM57" s="40">
        <v>79150</v>
      </c>
      <c r="AN57" s="40">
        <v>79669</v>
      </c>
      <c r="AO57" s="40">
        <v>79667</v>
      </c>
      <c r="AP57" s="40">
        <v>79925</v>
      </c>
      <c r="AQ57" s="40">
        <v>80091</v>
      </c>
      <c r="AR57" s="40">
        <v>80440</v>
      </c>
      <c r="AS57" s="40">
        <v>79925</v>
      </c>
      <c r="AT57" s="40">
        <v>79276</v>
      </c>
      <c r="AU57" s="40">
        <v>78079</v>
      </c>
      <c r="AV57" s="40">
        <v>78710</v>
      </c>
      <c r="AW57" s="40">
        <v>79336</v>
      </c>
      <c r="AX57" s="40">
        <v>81670</v>
      </c>
      <c r="AY57" s="40">
        <v>83507</v>
      </c>
      <c r="AZ57" s="40">
        <v>83438</v>
      </c>
      <c r="BA57" s="40">
        <v>83490</v>
      </c>
      <c r="BB57" s="40">
        <v>84307</v>
      </c>
      <c r="BC57" s="40">
        <v>84540</v>
      </c>
      <c r="BD57" s="40">
        <v>85089</v>
      </c>
      <c r="BE57" s="40">
        <v>85314</v>
      </c>
      <c r="BF57" s="40">
        <v>85864</v>
      </c>
      <c r="BG57" s="40">
        <v>85963</v>
      </c>
      <c r="BH57" s="40">
        <v>86589</v>
      </c>
      <c r="BI57" s="40">
        <v>87007</v>
      </c>
      <c r="BJ57" s="40">
        <v>87356</v>
      </c>
      <c r="BK57" s="40">
        <v>87868</v>
      </c>
      <c r="BL57" s="40">
        <v>88434</v>
      </c>
      <c r="BM57" s="40">
        <v>88997</v>
      </c>
      <c r="BN57" s="40">
        <v>89452</v>
      </c>
      <c r="BO57" s="40">
        <v>89870</v>
      </c>
      <c r="BP57" s="40">
        <v>90127</v>
      </c>
      <c r="BQ57" s="40">
        <v>90384</v>
      </c>
      <c r="BR57" s="40">
        <v>90616</v>
      </c>
      <c r="BS57" s="40">
        <v>90716</v>
      </c>
      <c r="BT57" s="40">
        <v>90932</v>
      </c>
      <c r="BU57" s="40">
        <v>91067</v>
      </c>
      <c r="BV57" s="40">
        <v>91294</v>
      </c>
      <c r="BW57" s="40">
        <v>91441</v>
      </c>
      <c r="BX57" s="40">
        <v>91695</v>
      </c>
      <c r="BY57" s="40">
        <v>91968</v>
      </c>
      <c r="BZ57" s="40">
        <v>92364</v>
      </c>
      <c r="CA57" s="40">
        <v>92620</v>
      </c>
      <c r="CB57" s="40">
        <v>92770</v>
      </c>
      <c r="CC57" s="40">
        <v>93043</v>
      </c>
      <c r="CD57" s="40">
        <v>93266</v>
      </c>
      <c r="CE57" s="40">
        <v>93442</v>
      </c>
      <c r="CF57" s="40">
        <v>93715</v>
      </c>
      <c r="CG57" s="40">
        <v>93906</v>
      </c>
      <c r="CH57" s="40">
        <v>94092</v>
      </c>
      <c r="CI57" s="40">
        <v>94318</v>
      </c>
      <c r="CJ57" s="40">
        <v>94426</v>
      </c>
      <c r="CK57" s="40">
        <v>94561</v>
      </c>
      <c r="CL57" s="40">
        <v>94780</v>
      </c>
      <c r="CM57" s="40">
        <v>94889</v>
      </c>
      <c r="CN57" s="40">
        <v>95056</v>
      </c>
      <c r="CO57" s="40">
        <v>95235</v>
      </c>
      <c r="CP57" s="40">
        <v>95364</v>
      </c>
      <c r="CQ57" s="40">
        <v>95512</v>
      </c>
      <c r="CR57" s="40">
        <v>95598</v>
      </c>
      <c r="CS57" s="40">
        <v>95737</v>
      </c>
      <c r="CT57" s="40">
        <v>95831</v>
      </c>
      <c r="CU57" s="40">
        <v>95941</v>
      </c>
      <c r="CV57" s="40">
        <v>96032</v>
      </c>
      <c r="CW57" s="40">
        <v>96121</v>
      </c>
      <c r="CX57" s="40">
        <v>96242</v>
      </c>
      <c r="CY57" s="40">
        <v>96302</v>
      </c>
      <c r="CZ57" s="40">
        <v>96393</v>
      </c>
      <c r="DA57" s="40">
        <v>96451</v>
      </c>
      <c r="DB57" s="40">
        <v>96555</v>
      </c>
      <c r="DC57" s="40">
        <v>96622</v>
      </c>
      <c r="DD57" s="40">
        <v>96700</v>
      </c>
      <c r="DE57" s="40">
        <v>96756</v>
      </c>
      <c r="DF57" s="40">
        <v>96859</v>
      </c>
      <c r="DG57" s="40">
        <v>96925</v>
      </c>
      <c r="DH57" s="40">
        <v>96988</v>
      </c>
      <c r="DI57" s="40">
        <v>97051</v>
      </c>
      <c r="DJ57" s="40">
        <v>97140</v>
      </c>
      <c r="DK57" s="40">
        <v>97192</v>
      </c>
      <c r="DL57" s="40">
        <v>97249</v>
      </c>
      <c r="DM57" s="40">
        <v>97320</v>
      </c>
      <c r="DN57" s="40">
        <v>97389</v>
      </c>
      <c r="DO57" s="40">
        <v>97456</v>
      </c>
    </row>
    <row r="58" spans="1:119">
      <c r="A58" s="40">
        <v>56</v>
      </c>
      <c r="B58" s="40"/>
      <c r="C58" s="40"/>
      <c r="D58" s="40"/>
      <c r="E58" s="40"/>
      <c r="F58" s="40"/>
      <c r="G58" s="40"/>
      <c r="H58" s="40"/>
      <c r="I58" s="40"/>
      <c r="J58" s="40"/>
      <c r="K58" s="40"/>
      <c r="L58" s="40"/>
      <c r="M58" s="40"/>
      <c r="N58" s="40"/>
      <c r="O58" s="40"/>
      <c r="P58" s="40"/>
      <c r="Q58" s="40"/>
      <c r="R58" s="40"/>
      <c r="S58" s="40"/>
      <c r="T58" s="40"/>
      <c r="U58" s="40"/>
      <c r="V58" s="40"/>
      <c r="W58" s="40">
        <v>68034</v>
      </c>
      <c r="X58" s="40">
        <v>68818</v>
      </c>
      <c r="Y58" s="40">
        <v>68902</v>
      </c>
      <c r="Z58" s="40">
        <v>70969</v>
      </c>
      <c r="AA58" s="40">
        <v>71385</v>
      </c>
      <c r="AB58" s="40">
        <v>71973</v>
      </c>
      <c r="AC58" s="40">
        <v>72677</v>
      </c>
      <c r="AD58" s="40">
        <v>73517</v>
      </c>
      <c r="AE58" s="40">
        <v>73410</v>
      </c>
      <c r="AF58" s="40">
        <v>74659</v>
      </c>
      <c r="AG58" s="40">
        <v>75147</v>
      </c>
      <c r="AH58" s="40">
        <v>75727</v>
      </c>
      <c r="AI58" s="40">
        <v>76074</v>
      </c>
      <c r="AJ58" s="40">
        <v>77428</v>
      </c>
      <c r="AK58" s="40">
        <v>77438</v>
      </c>
      <c r="AL58" s="40">
        <v>77954</v>
      </c>
      <c r="AM58" s="40">
        <v>78418</v>
      </c>
      <c r="AN58" s="40">
        <v>78951</v>
      </c>
      <c r="AO58" s="40">
        <v>78960</v>
      </c>
      <c r="AP58" s="40">
        <v>79224</v>
      </c>
      <c r="AQ58" s="40">
        <v>79424</v>
      </c>
      <c r="AR58" s="40">
        <v>79799</v>
      </c>
      <c r="AS58" s="40">
        <v>79291</v>
      </c>
      <c r="AT58" s="40">
        <v>78654</v>
      </c>
      <c r="AU58" s="40">
        <v>77467</v>
      </c>
      <c r="AV58" s="40">
        <v>78104</v>
      </c>
      <c r="AW58" s="40">
        <v>78731</v>
      </c>
      <c r="AX58" s="40">
        <v>81092</v>
      </c>
      <c r="AY58" s="40">
        <v>82887</v>
      </c>
      <c r="AZ58" s="40">
        <v>82848</v>
      </c>
      <c r="BA58" s="40">
        <v>82894</v>
      </c>
      <c r="BB58" s="40">
        <v>83733</v>
      </c>
      <c r="BC58" s="40">
        <v>83960</v>
      </c>
      <c r="BD58" s="40">
        <v>84510</v>
      </c>
      <c r="BE58" s="40">
        <v>84731</v>
      </c>
      <c r="BF58" s="40">
        <v>85294</v>
      </c>
      <c r="BG58" s="40">
        <v>85401</v>
      </c>
      <c r="BH58" s="40">
        <v>86063</v>
      </c>
      <c r="BI58" s="40">
        <v>86452</v>
      </c>
      <c r="BJ58" s="40">
        <v>86816</v>
      </c>
      <c r="BK58" s="40">
        <v>87335</v>
      </c>
      <c r="BL58" s="40">
        <v>87909</v>
      </c>
      <c r="BM58" s="40">
        <v>88478</v>
      </c>
      <c r="BN58" s="40">
        <v>88941</v>
      </c>
      <c r="BO58" s="40">
        <v>89366</v>
      </c>
      <c r="BP58" s="40">
        <v>89631</v>
      </c>
      <c r="BQ58" s="40">
        <v>89897</v>
      </c>
      <c r="BR58" s="40">
        <v>90137</v>
      </c>
      <c r="BS58" s="40">
        <v>90246</v>
      </c>
      <c r="BT58" s="40">
        <v>90470</v>
      </c>
      <c r="BU58" s="40">
        <v>90613</v>
      </c>
      <c r="BV58" s="40">
        <v>90848</v>
      </c>
      <c r="BW58" s="40">
        <v>91003</v>
      </c>
      <c r="BX58" s="40">
        <v>91264</v>
      </c>
      <c r="BY58" s="40">
        <v>91545</v>
      </c>
      <c r="BZ58" s="40">
        <v>91947</v>
      </c>
      <c r="CA58" s="40">
        <v>92209</v>
      </c>
      <c r="CB58" s="40">
        <v>92366</v>
      </c>
      <c r="CC58" s="40">
        <v>92647</v>
      </c>
      <c r="CD58" s="40">
        <v>92875</v>
      </c>
      <c r="CE58" s="40">
        <v>93059</v>
      </c>
      <c r="CF58" s="40">
        <v>93338</v>
      </c>
      <c r="CG58" s="40">
        <v>93535</v>
      </c>
      <c r="CH58" s="40">
        <v>93728</v>
      </c>
      <c r="CI58" s="40">
        <v>93960</v>
      </c>
      <c r="CJ58" s="40">
        <v>94074</v>
      </c>
      <c r="CK58" s="40">
        <v>94216</v>
      </c>
      <c r="CL58" s="40">
        <v>94440</v>
      </c>
      <c r="CM58" s="40">
        <v>94555</v>
      </c>
      <c r="CN58" s="40">
        <v>94728</v>
      </c>
      <c r="CO58" s="40">
        <v>94913</v>
      </c>
      <c r="CP58" s="40">
        <v>95048</v>
      </c>
      <c r="CQ58" s="40">
        <v>95202</v>
      </c>
      <c r="CR58" s="40">
        <v>95293</v>
      </c>
      <c r="CS58" s="40">
        <v>95437</v>
      </c>
      <c r="CT58" s="40">
        <v>95536</v>
      </c>
      <c r="CU58" s="40">
        <v>95652</v>
      </c>
      <c r="CV58" s="40">
        <v>95748</v>
      </c>
      <c r="CW58" s="40">
        <v>95842</v>
      </c>
      <c r="CX58" s="40">
        <v>95969</v>
      </c>
      <c r="CY58" s="40">
        <v>96033</v>
      </c>
      <c r="CZ58" s="40">
        <v>96130</v>
      </c>
      <c r="DA58" s="40">
        <v>96192</v>
      </c>
      <c r="DB58" s="40">
        <v>96301</v>
      </c>
      <c r="DC58" s="40">
        <v>96373</v>
      </c>
      <c r="DD58" s="40">
        <v>96456</v>
      </c>
      <c r="DE58" s="40">
        <v>96516</v>
      </c>
      <c r="DF58" s="40">
        <v>96623</v>
      </c>
      <c r="DG58" s="40">
        <v>96694</v>
      </c>
      <c r="DH58" s="40">
        <v>96761</v>
      </c>
      <c r="DI58" s="40">
        <v>96828</v>
      </c>
      <c r="DJ58" s="40">
        <v>96921</v>
      </c>
      <c r="DK58" s="40">
        <v>96978</v>
      </c>
      <c r="DL58" s="40">
        <v>97038</v>
      </c>
      <c r="DM58" s="40">
        <v>97113</v>
      </c>
      <c r="DN58" s="40">
        <v>97186</v>
      </c>
      <c r="DO58" s="40">
        <v>97256</v>
      </c>
    </row>
    <row r="59" spans="1:119">
      <c r="A59" s="40">
        <v>57</v>
      </c>
      <c r="B59" s="40"/>
      <c r="C59" s="40"/>
      <c r="D59" s="40"/>
      <c r="E59" s="40"/>
      <c r="F59" s="40"/>
      <c r="G59" s="40"/>
      <c r="H59" s="40"/>
      <c r="I59" s="40"/>
      <c r="J59" s="40"/>
      <c r="K59" s="40"/>
      <c r="L59" s="40"/>
      <c r="M59" s="40"/>
      <c r="N59" s="40"/>
      <c r="O59" s="40"/>
      <c r="P59" s="40"/>
      <c r="Q59" s="40"/>
      <c r="R59" s="40"/>
      <c r="S59" s="40"/>
      <c r="T59" s="40"/>
      <c r="U59" s="40"/>
      <c r="V59" s="40"/>
      <c r="W59" s="40">
        <v>67177</v>
      </c>
      <c r="X59" s="40">
        <v>67970</v>
      </c>
      <c r="Y59" s="40">
        <v>68031</v>
      </c>
      <c r="Z59" s="40">
        <v>70088</v>
      </c>
      <c r="AA59" s="40">
        <v>70524</v>
      </c>
      <c r="AB59" s="40">
        <v>71097</v>
      </c>
      <c r="AC59" s="40">
        <v>71815</v>
      </c>
      <c r="AD59" s="40">
        <v>72610</v>
      </c>
      <c r="AE59" s="40">
        <v>72496</v>
      </c>
      <c r="AF59" s="40">
        <v>73766</v>
      </c>
      <c r="AG59" s="40">
        <v>74274</v>
      </c>
      <c r="AH59" s="40">
        <v>74868</v>
      </c>
      <c r="AI59" s="40">
        <v>75203</v>
      </c>
      <c r="AJ59" s="40">
        <v>76555</v>
      </c>
      <c r="AK59" s="40">
        <v>76610</v>
      </c>
      <c r="AL59" s="40">
        <v>77141</v>
      </c>
      <c r="AM59" s="40">
        <v>77643</v>
      </c>
      <c r="AN59" s="40">
        <v>78185</v>
      </c>
      <c r="AO59" s="40">
        <v>78181</v>
      </c>
      <c r="AP59" s="40">
        <v>78495</v>
      </c>
      <c r="AQ59" s="40">
        <v>78730</v>
      </c>
      <c r="AR59" s="40">
        <v>79127</v>
      </c>
      <c r="AS59" s="40">
        <v>78610</v>
      </c>
      <c r="AT59" s="40">
        <v>78008</v>
      </c>
      <c r="AU59" s="40">
        <v>76844</v>
      </c>
      <c r="AV59" s="40">
        <v>77463</v>
      </c>
      <c r="AW59" s="40">
        <v>78123</v>
      </c>
      <c r="AX59" s="40">
        <v>80465</v>
      </c>
      <c r="AY59" s="40">
        <v>82245</v>
      </c>
      <c r="AZ59" s="40">
        <v>82218</v>
      </c>
      <c r="BA59" s="40">
        <v>82273</v>
      </c>
      <c r="BB59" s="40">
        <v>83100</v>
      </c>
      <c r="BC59" s="40">
        <v>83336</v>
      </c>
      <c r="BD59" s="40">
        <v>83889</v>
      </c>
      <c r="BE59" s="40">
        <v>84134</v>
      </c>
      <c r="BF59" s="40">
        <v>84684</v>
      </c>
      <c r="BG59" s="40">
        <v>84809</v>
      </c>
      <c r="BH59" s="40">
        <v>85473</v>
      </c>
      <c r="BI59" s="40">
        <v>85858</v>
      </c>
      <c r="BJ59" s="40">
        <v>86231</v>
      </c>
      <c r="BK59" s="40">
        <v>86757</v>
      </c>
      <c r="BL59" s="40">
        <v>87338</v>
      </c>
      <c r="BM59" s="40">
        <v>87915</v>
      </c>
      <c r="BN59" s="40">
        <v>88386</v>
      </c>
      <c r="BO59" s="40">
        <v>88819</v>
      </c>
      <c r="BP59" s="40">
        <v>89093</v>
      </c>
      <c r="BQ59" s="40">
        <v>89368</v>
      </c>
      <c r="BR59" s="40">
        <v>89617</v>
      </c>
      <c r="BS59" s="40">
        <v>89735</v>
      </c>
      <c r="BT59" s="40">
        <v>89968</v>
      </c>
      <c r="BU59" s="40">
        <v>90120</v>
      </c>
      <c r="BV59" s="40">
        <v>90364</v>
      </c>
      <c r="BW59" s="40">
        <v>90527</v>
      </c>
      <c r="BX59" s="40">
        <v>90796</v>
      </c>
      <c r="BY59" s="40">
        <v>91084</v>
      </c>
      <c r="BZ59" s="40">
        <v>91493</v>
      </c>
      <c r="CA59" s="40">
        <v>91763</v>
      </c>
      <c r="CB59" s="40">
        <v>91928</v>
      </c>
      <c r="CC59" s="40">
        <v>92215</v>
      </c>
      <c r="CD59" s="40">
        <v>92451</v>
      </c>
      <c r="CE59" s="40">
        <v>92642</v>
      </c>
      <c r="CF59" s="40">
        <v>92928</v>
      </c>
      <c r="CG59" s="40">
        <v>93132</v>
      </c>
      <c r="CH59" s="40">
        <v>93332</v>
      </c>
      <c r="CI59" s="40">
        <v>93570</v>
      </c>
      <c r="CJ59" s="40">
        <v>93691</v>
      </c>
      <c r="CK59" s="40">
        <v>93840</v>
      </c>
      <c r="CL59" s="40">
        <v>94071</v>
      </c>
      <c r="CM59" s="40">
        <v>94193</v>
      </c>
      <c r="CN59" s="40">
        <v>94372</v>
      </c>
      <c r="CO59" s="40">
        <v>94563</v>
      </c>
      <c r="CP59" s="40">
        <v>94704</v>
      </c>
      <c r="CQ59" s="40">
        <v>94864</v>
      </c>
      <c r="CR59" s="40">
        <v>94961</v>
      </c>
      <c r="CS59" s="40">
        <v>95111</v>
      </c>
      <c r="CT59" s="40">
        <v>95216</v>
      </c>
      <c r="CU59" s="40">
        <v>95338</v>
      </c>
      <c r="CV59" s="40">
        <v>95440</v>
      </c>
      <c r="CW59" s="40">
        <v>95539</v>
      </c>
      <c r="CX59" s="40">
        <v>95671</v>
      </c>
      <c r="CY59" s="40">
        <v>95741</v>
      </c>
      <c r="CZ59" s="40">
        <v>95843</v>
      </c>
      <c r="DA59" s="40">
        <v>95911</v>
      </c>
      <c r="DB59" s="40">
        <v>96024</v>
      </c>
      <c r="DC59" s="40">
        <v>96102</v>
      </c>
      <c r="DD59" s="40">
        <v>96189</v>
      </c>
      <c r="DE59" s="40">
        <v>96255</v>
      </c>
      <c r="DF59" s="40">
        <v>96367</v>
      </c>
      <c r="DG59" s="40">
        <v>96442</v>
      </c>
      <c r="DH59" s="40">
        <v>96514</v>
      </c>
      <c r="DI59" s="40">
        <v>96586</v>
      </c>
      <c r="DJ59" s="40">
        <v>96683</v>
      </c>
      <c r="DK59" s="40">
        <v>96744</v>
      </c>
      <c r="DL59" s="40">
        <v>96809</v>
      </c>
      <c r="DM59" s="40">
        <v>96888</v>
      </c>
      <c r="DN59" s="40">
        <v>96965</v>
      </c>
      <c r="DO59" s="40">
        <v>97040</v>
      </c>
    </row>
    <row r="60" spans="1:119">
      <c r="A60" s="40">
        <v>58</v>
      </c>
      <c r="B60" s="40"/>
      <c r="C60" s="40"/>
      <c r="D60" s="40"/>
      <c r="E60" s="40"/>
      <c r="F60" s="40"/>
      <c r="G60" s="40"/>
      <c r="H60" s="40"/>
      <c r="I60" s="40"/>
      <c r="J60" s="40"/>
      <c r="K60" s="40"/>
      <c r="L60" s="40"/>
      <c r="M60" s="40"/>
      <c r="N60" s="40"/>
      <c r="O60" s="40"/>
      <c r="P60" s="40"/>
      <c r="Q60" s="40"/>
      <c r="R60" s="40"/>
      <c r="S60" s="40"/>
      <c r="T60" s="40"/>
      <c r="U60" s="40"/>
      <c r="V60" s="40"/>
      <c r="W60" s="40">
        <v>66236</v>
      </c>
      <c r="X60" s="40">
        <v>67041</v>
      </c>
      <c r="Y60" s="40">
        <v>67070</v>
      </c>
      <c r="Z60" s="40">
        <v>69170</v>
      </c>
      <c r="AA60" s="40">
        <v>69587</v>
      </c>
      <c r="AB60" s="40">
        <v>70177</v>
      </c>
      <c r="AC60" s="40">
        <v>70890</v>
      </c>
      <c r="AD60" s="40">
        <v>71666</v>
      </c>
      <c r="AE60" s="40">
        <v>71552</v>
      </c>
      <c r="AF60" s="40">
        <v>72805</v>
      </c>
      <c r="AG60" s="40">
        <v>73348</v>
      </c>
      <c r="AH60" s="40">
        <v>73925</v>
      </c>
      <c r="AI60" s="40">
        <v>74271</v>
      </c>
      <c r="AJ60" s="40">
        <v>75637</v>
      </c>
      <c r="AK60" s="40">
        <v>75726</v>
      </c>
      <c r="AL60" s="40">
        <v>76267</v>
      </c>
      <c r="AM60" s="40">
        <v>76799</v>
      </c>
      <c r="AN60" s="40">
        <v>77353</v>
      </c>
      <c r="AO60" s="40">
        <v>77386</v>
      </c>
      <c r="AP60" s="40">
        <v>77722</v>
      </c>
      <c r="AQ60" s="40">
        <v>78000</v>
      </c>
      <c r="AR60" s="40">
        <v>78401</v>
      </c>
      <c r="AS60" s="40">
        <v>77891</v>
      </c>
      <c r="AT60" s="40">
        <v>77305</v>
      </c>
      <c r="AU60" s="40">
        <v>76158</v>
      </c>
      <c r="AV60" s="40">
        <v>76781</v>
      </c>
      <c r="AW60" s="40">
        <v>77466</v>
      </c>
      <c r="AX60" s="40">
        <v>79802</v>
      </c>
      <c r="AY60" s="40">
        <v>81620</v>
      </c>
      <c r="AZ60" s="40">
        <v>81556</v>
      </c>
      <c r="BA60" s="40">
        <v>81624</v>
      </c>
      <c r="BB60" s="40">
        <v>82422</v>
      </c>
      <c r="BC60" s="40">
        <v>82652</v>
      </c>
      <c r="BD60" s="40">
        <v>83222</v>
      </c>
      <c r="BE60" s="40">
        <v>83452</v>
      </c>
      <c r="BF60" s="40">
        <v>84041</v>
      </c>
      <c r="BG60" s="40">
        <v>84145</v>
      </c>
      <c r="BH60" s="40">
        <v>84821</v>
      </c>
      <c r="BI60" s="40">
        <v>85215</v>
      </c>
      <c r="BJ60" s="40">
        <v>85598</v>
      </c>
      <c r="BK60" s="40">
        <v>86133</v>
      </c>
      <c r="BL60" s="40">
        <v>86722</v>
      </c>
      <c r="BM60" s="40">
        <v>87307</v>
      </c>
      <c r="BN60" s="40">
        <v>87786</v>
      </c>
      <c r="BO60" s="40">
        <v>88229</v>
      </c>
      <c r="BP60" s="40">
        <v>88512</v>
      </c>
      <c r="BQ60" s="40">
        <v>88796</v>
      </c>
      <c r="BR60" s="40">
        <v>89055</v>
      </c>
      <c r="BS60" s="40">
        <v>89183</v>
      </c>
      <c r="BT60" s="40">
        <v>89425</v>
      </c>
      <c r="BU60" s="40">
        <v>89587</v>
      </c>
      <c r="BV60" s="40">
        <v>89839</v>
      </c>
      <c r="BW60" s="40">
        <v>90012</v>
      </c>
      <c r="BX60" s="40">
        <v>90289</v>
      </c>
      <c r="BY60" s="40">
        <v>90585</v>
      </c>
      <c r="BZ60" s="40">
        <v>91002</v>
      </c>
      <c r="CA60" s="40">
        <v>91280</v>
      </c>
      <c r="CB60" s="40">
        <v>91453</v>
      </c>
      <c r="CC60" s="40">
        <v>91748</v>
      </c>
      <c r="CD60" s="40">
        <v>91992</v>
      </c>
      <c r="CE60" s="40">
        <v>92191</v>
      </c>
      <c r="CF60" s="40">
        <v>92484</v>
      </c>
      <c r="CG60" s="40">
        <v>92696</v>
      </c>
      <c r="CH60" s="40">
        <v>92903</v>
      </c>
      <c r="CI60" s="40">
        <v>93149</v>
      </c>
      <c r="CJ60" s="40">
        <v>93277</v>
      </c>
      <c r="CK60" s="40">
        <v>93433</v>
      </c>
      <c r="CL60" s="40">
        <v>93671</v>
      </c>
      <c r="CM60" s="40">
        <v>93800</v>
      </c>
      <c r="CN60" s="40">
        <v>93986</v>
      </c>
      <c r="CO60" s="40">
        <v>94184</v>
      </c>
      <c r="CP60" s="40">
        <v>94332</v>
      </c>
      <c r="CQ60" s="40">
        <v>94498</v>
      </c>
      <c r="CR60" s="40">
        <v>94602</v>
      </c>
      <c r="CS60" s="40">
        <v>94758</v>
      </c>
      <c r="CT60" s="40">
        <v>94870</v>
      </c>
      <c r="CU60" s="40">
        <v>94998</v>
      </c>
      <c r="CV60" s="40">
        <v>95105</v>
      </c>
      <c r="CW60" s="40">
        <v>95211</v>
      </c>
      <c r="CX60" s="40">
        <v>95349</v>
      </c>
      <c r="CY60" s="40">
        <v>95425</v>
      </c>
      <c r="CZ60" s="40">
        <v>95532</v>
      </c>
      <c r="DA60" s="40">
        <v>95606</v>
      </c>
      <c r="DB60" s="40">
        <v>95725</v>
      </c>
      <c r="DC60" s="40">
        <v>95808</v>
      </c>
      <c r="DD60" s="40">
        <v>95901</v>
      </c>
      <c r="DE60" s="40">
        <v>95972</v>
      </c>
      <c r="DF60" s="40">
        <v>96089</v>
      </c>
      <c r="DG60" s="40">
        <v>96169</v>
      </c>
      <c r="DH60" s="40">
        <v>96246</v>
      </c>
      <c r="DI60" s="40">
        <v>96323</v>
      </c>
      <c r="DJ60" s="40">
        <v>96425</v>
      </c>
      <c r="DK60" s="40">
        <v>96491</v>
      </c>
      <c r="DL60" s="40">
        <v>96560</v>
      </c>
      <c r="DM60" s="40">
        <v>96644</v>
      </c>
      <c r="DN60" s="40">
        <v>96725</v>
      </c>
      <c r="DO60" s="40">
        <v>96805</v>
      </c>
    </row>
    <row r="61" spans="1:119">
      <c r="A61" s="40">
        <v>59</v>
      </c>
      <c r="B61" s="40"/>
      <c r="C61" s="40"/>
      <c r="D61" s="40"/>
      <c r="E61" s="40"/>
      <c r="F61" s="40"/>
      <c r="G61" s="40"/>
      <c r="H61" s="40"/>
      <c r="I61" s="40"/>
      <c r="J61" s="40"/>
      <c r="K61" s="40"/>
      <c r="L61" s="40"/>
      <c r="M61" s="40"/>
      <c r="N61" s="40"/>
      <c r="O61" s="40"/>
      <c r="P61" s="40"/>
      <c r="Q61" s="40"/>
      <c r="R61" s="40"/>
      <c r="S61" s="40"/>
      <c r="T61" s="40"/>
      <c r="U61" s="40"/>
      <c r="V61" s="40"/>
      <c r="W61" s="40">
        <v>65227</v>
      </c>
      <c r="X61" s="40">
        <v>66033</v>
      </c>
      <c r="Y61" s="40">
        <v>66057</v>
      </c>
      <c r="Z61" s="40">
        <v>68161</v>
      </c>
      <c r="AA61" s="40">
        <v>68604</v>
      </c>
      <c r="AB61" s="40">
        <v>69187</v>
      </c>
      <c r="AC61" s="40">
        <v>69903</v>
      </c>
      <c r="AD61" s="40">
        <v>70641</v>
      </c>
      <c r="AE61" s="40">
        <v>70573</v>
      </c>
      <c r="AF61" s="40">
        <v>71809</v>
      </c>
      <c r="AG61" s="40">
        <v>72348</v>
      </c>
      <c r="AH61" s="40">
        <v>72934</v>
      </c>
      <c r="AI61" s="40">
        <v>73286</v>
      </c>
      <c r="AJ61" s="40">
        <v>74652</v>
      </c>
      <c r="AK61" s="40">
        <v>74779</v>
      </c>
      <c r="AL61" s="40">
        <v>75353</v>
      </c>
      <c r="AM61" s="40">
        <v>75921</v>
      </c>
      <c r="AN61" s="40">
        <v>76504</v>
      </c>
      <c r="AO61" s="40">
        <v>76565</v>
      </c>
      <c r="AP61" s="40">
        <v>76933</v>
      </c>
      <c r="AQ61" s="40">
        <v>77215</v>
      </c>
      <c r="AR61" s="40">
        <v>77640</v>
      </c>
      <c r="AS61" s="40">
        <v>77130</v>
      </c>
      <c r="AT61" s="40">
        <v>76548</v>
      </c>
      <c r="AU61" s="40">
        <v>75430</v>
      </c>
      <c r="AV61" s="40">
        <v>76064</v>
      </c>
      <c r="AW61" s="40">
        <v>76759</v>
      </c>
      <c r="AX61" s="40">
        <v>79079</v>
      </c>
      <c r="AY61" s="40">
        <v>80901</v>
      </c>
      <c r="AZ61" s="40">
        <v>80839</v>
      </c>
      <c r="BA61" s="40">
        <v>80913</v>
      </c>
      <c r="BB61" s="40">
        <v>81675</v>
      </c>
      <c r="BC61" s="40">
        <v>81931</v>
      </c>
      <c r="BD61" s="40">
        <v>82486</v>
      </c>
      <c r="BE61" s="40">
        <v>82744</v>
      </c>
      <c r="BF61" s="40">
        <v>83332</v>
      </c>
      <c r="BG61" s="40">
        <v>83436</v>
      </c>
      <c r="BH61" s="40">
        <v>84120</v>
      </c>
      <c r="BI61" s="40">
        <v>84525</v>
      </c>
      <c r="BJ61" s="40">
        <v>84918</v>
      </c>
      <c r="BK61" s="40">
        <v>85462</v>
      </c>
      <c r="BL61" s="40">
        <v>86060</v>
      </c>
      <c r="BM61" s="40">
        <v>86653</v>
      </c>
      <c r="BN61" s="40">
        <v>87141</v>
      </c>
      <c r="BO61" s="40">
        <v>87593</v>
      </c>
      <c r="BP61" s="40">
        <v>87887</v>
      </c>
      <c r="BQ61" s="40">
        <v>88181</v>
      </c>
      <c r="BR61" s="40">
        <v>88450</v>
      </c>
      <c r="BS61" s="40">
        <v>88589</v>
      </c>
      <c r="BT61" s="40">
        <v>88841</v>
      </c>
      <c r="BU61" s="40">
        <v>89013</v>
      </c>
      <c r="BV61" s="40">
        <v>89275</v>
      </c>
      <c r="BW61" s="40">
        <v>89458</v>
      </c>
      <c r="BX61" s="40">
        <v>89744</v>
      </c>
      <c r="BY61" s="40">
        <v>90049</v>
      </c>
      <c r="BZ61" s="40">
        <v>90473</v>
      </c>
      <c r="CA61" s="40">
        <v>90760</v>
      </c>
      <c r="CB61" s="40">
        <v>90942</v>
      </c>
      <c r="CC61" s="40">
        <v>91246</v>
      </c>
      <c r="CD61" s="40">
        <v>91498</v>
      </c>
      <c r="CE61" s="40">
        <v>91705</v>
      </c>
      <c r="CF61" s="40">
        <v>92006</v>
      </c>
      <c r="CG61" s="40">
        <v>92226</v>
      </c>
      <c r="CH61" s="40">
        <v>92441</v>
      </c>
      <c r="CI61" s="40">
        <v>92695</v>
      </c>
      <c r="CJ61" s="40">
        <v>92832</v>
      </c>
      <c r="CK61" s="40">
        <v>92995</v>
      </c>
      <c r="CL61" s="40">
        <v>93240</v>
      </c>
      <c r="CM61" s="40">
        <v>93377</v>
      </c>
      <c r="CN61" s="40">
        <v>93570</v>
      </c>
      <c r="CO61" s="40">
        <v>93775</v>
      </c>
      <c r="CP61" s="40">
        <v>93930</v>
      </c>
      <c r="CQ61" s="40">
        <v>94104</v>
      </c>
      <c r="CR61" s="40">
        <v>94215</v>
      </c>
      <c r="CS61" s="40">
        <v>94378</v>
      </c>
      <c r="CT61" s="40">
        <v>94497</v>
      </c>
      <c r="CU61" s="40">
        <v>94631</v>
      </c>
      <c r="CV61" s="40">
        <v>94746</v>
      </c>
      <c r="CW61" s="40">
        <v>94858</v>
      </c>
      <c r="CX61" s="40">
        <v>95002</v>
      </c>
      <c r="CY61" s="40">
        <v>95085</v>
      </c>
      <c r="CZ61" s="40">
        <v>95198</v>
      </c>
      <c r="DA61" s="40">
        <v>95278</v>
      </c>
      <c r="DB61" s="40">
        <v>95403</v>
      </c>
      <c r="DC61" s="40">
        <v>95492</v>
      </c>
      <c r="DD61" s="40">
        <v>95591</v>
      </c>
      <c r="DE61" s="40">
        <v>95667</v>
      </c>
      <c r="DF61" s="40">
        <v>95790</v>
      </c>
      <c r="DG61" s="40">
        <v>95876</v>
      </c>
      <c r="DH61" s="40">
        <v>95958</v>
      </c>
      <c r="DI61" s="40">
        <v>96040</v>
      </c>
      <c r="DJ61" s="40">
        <v>96147</v>
      </c>
      <c r="DK61" s="40">
        <v>96218</v>
      </c>
      <c r="DL61" s="40">
        <v>96293</v>
      </c>
      <c r="DM61" s="40">
        <v>96381</v>
      </c>
      <c r="DN61" s="40">
        <v>96468</v>
      </c>
      <c r="DO61" s="40">
        <v>96552</v>
      </c>
    </row>
    <row r="62" spans="1:119">
      <c r="A62" s="40">
        <v>60</v>
      </c>
      <c r="B62" s="40"/>
      <c r="C62" s="40"/>
      <c r="D62" s="40"/>
      <c r="E62" s="40"/>
      <c r="F62" s="40"/>
      <c r="G62" s="40"/>
      <c r="H62" s="40"/>
      <c r="I62" s="40"/>
      <c r="J62" s="40"/>
      <c r="K62" s="40"/>
      <c r="L62" s="40"/>
      <c r="M62" s="40"/>
      <c r="N62" s="40"/>
      <c r="O62" s="40"/>
      <c r="P62" s="40"/>
      <c r="Q62" s="40"/>
      <c r="R62" s="40"/>
      <c r="S62" s="40"/>
      <c r="T62" s="40"/>
      <c r="U62" s="40"/>
      <c r="V62" s="40"/>
      <c r="W62" s="40">
        <v>64136</v>
      </c>
      <c r="X62" s="40">
        <v>64943</v>
      </c>
      <c r="Y62" s="40">
        <v>64982</v>
      </c>
      <c r="Z62" s="40">
        <v>67108</v>
      </c>
      <c r="AA62" s="40">
        <v>67555</v>
      </c>
      <c r="AB62" s="40">
        <v>68143</v>
      </c>
      <c r="AC62" s="40">
        <v>68844</v>
      </c>
      <c r="AD62" s="40">
        <v>69558</v>
      </c>
      <c r="AE62" s="40">
        <v>69504</v>
      </c>
      <c r="AF62" s="40">
        <v>70731</v>
      </c>
      <c r="AG62" s="40">
        <v>71245</v>
      </c>
      <c r="AH62" s="40">
        <v>71860</v>
      </c>
      <c r="AI62" s="40">
        <v>72236</v>
      </c>
      <c r="AJ62" s="40">
        <v>73630</v>
      </c>
      <c r="AK62" s="40">
        <v>73783</v>
      </c>
      <c r="AL62" s="40">
        <v>74361</v>
      </c>
      <c r="AM62" s="40">
        <v>75001</v>
      </c>
      <c r="AN62" s="40">
        <v>75598</v>
      </c>
      <c r="AO62" s="40">
        <v>75690</v>
      </c>
      <c r="AP62" s="40">
        <v>76102</v>
      </c>
      <c r="AQ62" s="40">
        <v>76366</v>
      </c>
      <c r="AR62" s="40">
        <v>76834</v>
      </c>
      <c r="AS62" s="40">
        <v>76309</v>
      </c>
      <c r="AT62" s="40">
        <v>75757</v>
      </c>
      <c r="AU62" s="40">
        <v>74666</v>
      </c>
      <c r="AV62" s="40">
        <v>75304</v>
      </c>
      <c r="AW62" s="40">
        <v>76028</v>
      </c>
      <c r="AX62" s="40">
        <v>78322</v>
      </c>
      <c r="AY62" s="40">
        <v>80115</v>
      </c>
      <c r="AZ62" s="40">
        <v>80079</v>
      </c>
      <c r="BA62" s="40">
        <v>80132</v>
      </c>
      <c r="BB62" s="40">
        <v>80899</v>
      </c>
      <c r="BC62" s="40">
        <v>81139</v>
      </c>
      <c r="BD62" s="40">
        <v>81720</v>
      </c>
      <c r="BE62" s="40">
        <v>81975</v>
      </c>
      <c r="BF62" s="40">
        <v>82560</v>
      </c>
      <c r="BG62" s="40">
        <v>82678</v>
      </c>
      <c r="BH62" s="40">
        <v>83371</v>
      </c>
      <c r="BI62" s="40">
        <v>83787</v>
      </c>
      <c r="BJ62" s="40">
        <v>84191</v>
      </c>
      <c r="BK62" s="40">
        <v>84744</v>
      </c>
      <c r="BL62" s="40">
        <v>85351</v>
      </c>
      <c r="BM62" s="40">
        <v>85953</v>
      </c>
      <c r="BN62" s="40">
        <v>86451</v>
      </c>
      <c r="BO62" s="40">
        <v>86913</v>
      </c>
      <c r="BP62" s="40">
        <v>87218</v>
      </c>
      <c r="BQ62" s="40">
        <v>87523</v>
      </c>
      <c r="BR62" s="40">
        <v>87803</v>
      </c>
      <c r="BS62" s="40">
        <v>87954</v>
      </c>
      <c r="BT62" s="40">
        <v>88216</v>
      </c>
      <c r="BU62" s="40">
        <v>88399</v>
      </c>
      <c r="BV62" s="40">
        <v>88671</v>
      </c>
      <c r="BW62" s="40">
        <v>88864</v>
      </c>
      <c r="BX62" s="40">
        <v>89160</v>
      </c>
      <c r="BY62" s="40">
        <v>89475</v>
      </c>
      <c r="BZ62" s="40">
        <v>89907</v>
      </c>
      <c r="CA62" s="40">
        <v>90203</v>
      </c>
      <c r="CB62" s="40">
        <v>90395</v>
      </c>
      <c r="CC62" s="40">
        <v>90707</v>
      </c>
      <c r="CD62" s="40">
        <v>90969</v>
      </c>
      <c r="CE62" s="40">
        <v>91185</v>
      </c>
      <c r="CF62" s="40">
        <v>91495</v>
      </c>
      <c r="CG62" s="40">
        <v>91723</v>
      </c>
      <c r="CH62" s="40">
        <v>91947</v>
      </c>
      <c r="CI62" s="40">
        <v>92209</v>
      </c>
      <c r="CJ62" s="40">
        <v>92354</v>
      </c>
      <c r="CK62" s="40">
        <v>92526</v>
      </c>
      <c r="CL62" s="40">
        <v>92779</v>
      </c>
      <c r="CM62" s="40">
        <v>92924</v>
      </c>
      <c r="CN62" s="40">
        <v>93125</v>
      </c>
      <c r="CO62" s="40">
        <v>93338</v>
      </c>
      <c r="CP62" s="40">
        <v>93501</v>
      </c>
      <c r="CQ62" s="40">
        <v>93682</v>
      </c>
      <c r="CR62" s="40">
        <v>93801</v>
      </c>
      <c r="CS62" s="40">
        <v>93971</v>
      </c>
      <c r="CT62" s="40">
        <v>94097</v>
      </c>
      <c r="CU62" s="40">
        <v>94239</v>
      </c>
      <c r="CV62" s="40">
        <v>94360</v>
      </c>
      <c r="CW62" s="40">
        <v>94480</v>
      </c>
      <c r="CX62" s="40">
        <v>94631</v>
      </c>
      <c r="CY62" s="40">
        <v>94720</v>
      </c>
      <c r="CZ62" s="40">
        <v>94840</v>
      </c>
      <c r="DA62" s="40">
        <v>94927</v>
      </c>
      <c r="DB62" s="40">
        <v>95058</v>
      </c>
      <c r="DC62" s="40">
        <v>95154</v>
      </c>
      <c r="DD62" s="40">
        <v>95259</v>
      </c>
      <c r="DE62" s="40">
        <v>95341</v>
      </c>
      <c r="DF62" s="40">
        <v>95470</v>
      </c>
      <c r="DG62" s="40">
        <v>95561</v>
      </c>
      <c r="DH62" s="40">
        <v>95650</v>
      </c>
      <c r="DI62" s="40">
        <v>95737</v>
      </c>
      <c r="DJ62" s="40">
        <v>95850</v>
      </c>
      <c r="DK62" s="40">
        <v>95927</v>
      </c>
      <c r="DL62" s="40">
        <v>96007</v>
      </c>
      <c r="DM62" s="40">
        <v>96101</v>
      </c>
      <c r="DN62" s="40">
        <v>96192</v>
      </c>
      <c r="DO62" s="40">
        <v>96281</v>
      </c>
    </row>
    <row r="63" spans="1:119">
      <c r="A63" s="40">
        <v>61</v>
      </c>
      <c r="B63" s="40"/>
      <c r="C63" s="40"/>
      <c r="D63" s="40"/>
      <c r="E63" s="40"/>
      <c r="F63" s="40"/>
      <c r="G63" s="40"/>
      <c r="H63" s="40"/>
      <c r="I63" s="40"/>
      <c r="J63" s="40"/>
      <c r="K63" s="40"/>
      <c r="L63" s="40"/>
      <c r="M63" s="40"/>
      <c r="N63" s="40"/>
      <c r="O63" s="40"/>
      <c r="P63" s="40"/>
      <c r="Q63" s="40"/>
      <c r="R63" s="40"/>
      <c r="S63" s="40"/>
      <c r="T63" s="40"/>
      <c r="U63" s="40"/>
      <c r="V63" s="40"/>
      <c r="W63" s="40">
        <v>62994</v>
      </c>
      <c r="X63" s="40">
        <v>63810</v>
      </c>
      <c r="Y63" s="40">
        <v>63860</v>
      </c>
      <c r="Z63" s="40">
        <v>65984</v>
      </c>
      <c r="AA63" s="40">
        <v>66430</v>
      </c>
      <c r="AB63" s="40">
        <v>67036</v>
      </c>
      <c r="AC63" s="40">
        <v>67728</v>
      </c>
      <c r="AD63" s="40">
        <v>68407</v>
      </c>
      <c r="AE63" s="40">
        <v>68354</v>
      </c>
      <c r="AF63" s="40">
        <v>69530</v>
      </c>
      <c r="AG63" s="40">
        <v>70094</v>
      </c>
      <c r="AH63" s="40">
        <v>70723</v>
      </c>
      <c r="AI63" s="40">
        <v>71129</v>
      </c>
      <c r="AJ63" s="40">
        <v>72538</v>
      </c>
      <c r="AK63" s="40">
        <v>72713</v>
      </c>
      <c r="AL63" s="40">
        <v>73348</v>
      </c>
      <c r="AM63" s="40">
        <v>74036</v>
      </c>
      <c r="AN63" s="40">
        <v>74663</v>
      </c>
      <c r="AO63" s="40">
        <v>74771</v>
      </c>
      <c r="AP63" s="40">
        <v>75203</v>
      </c>
      <c r="AQ63" s="40">
        <v>75479</v>
      </c>
      <c r="AR63" s="40">
        <v>75973</v>
      </c>
      <c r="AS63" s="40">
        <v>75465</v>
      </c>
      <c r="AT63" s="40">
        <v>74937</v>
      </c>
      <c r="AU63" s="40">
        <v>73860</v>
      </c>
      <c r="AV63" s="40">
        <v>74507</v>
      </c>
      <c r="AW63" s="40">
        <v>75224</v>
      </c>
      <c r="AX63" s="40">
        <v>77505</v>
      </c>
      <c r="AY63" s="40">
        <v>79279</v>
      </c>
      <c r="AZ63" s="40">
        <v>79243</v>
      </c>
      <c r="BA63" s="40">
        <v>79295</v>
      </c>
      <c r="BB63" s="40">
        <v>80050</v>
      </c>
      <c r="BC63" s="40">
        <v>80327</v>
      </c>
      <c r="BD63" s="40">
        <v>80879</v>
      </c>
      <c r="BE63" s="40">
        <v>81145</v>
      </c>
      <c r="BF63" s="40">
        <v>81741</v>
      </c>
      <c r="BG63" s="40">
        <v>81873</v>
      </c>
      <c r="BH63" s="40">
        <v>82575</v>
      </c>
      <c r="BI63" s="40">
        <v>83002</v>
      </c>
      <c r="BJ63" s="40">
        <v>83418</v>
      </c>
      <c r="BK63" s="40">
        <v>83982</v>
      </c>
      <c r="BL63" s="40">
        <v>84598</v>
      </c>
      <c r="BM63" s="40">
        <v>85210</v>
      </c>
      <c r="BN63" s="40">
        <v>85718</v>
      </c>
      <c r="BO63" s="40">
        <v>86190</v>
      </c>
      <c r="BP63" s="40">
        <v>86507</v>
      </c>
      <c r="BQ63" s="40">
        <v>86823</v>
      </c>
      <c r="BR63" s="40">
        <v>87115</v>
      </c>
      <c r="BS63" s="40">
        <v>87278</v>
      </c>
      <c r="BT63" s="40">
        <v>87551</v>
      </c>
      <c r="BU63" s="40">
        <v>87746</v>
      </c>
      <c r="BV63" s="40">
        <v>88029</v>
      </c>
      <c r="BW63" s="40">
        <v>88233</v>
      </c>
      <c r="BX63" s="40">
        <v>88539</v>
      </c>
      <c r="BY63" s="40">
        <v>88864</v>
      </c>
      <c r="BZ63" s="40">
        <v>89305</v>
      </c>
      <c r="CA63" s="40">
        <v>89611</v>
      </c>
      <c r="CB63" s="40">
        <v>89813</v>
      </c>
      <c r="CC63" s="40">
        <v>90135</v>
      </c>
      <c r="CD63" s="40">
        <v>90406</v>
      </c>
      <c r="CE63" s="40">
        <v>90632</v>
      </c>
      <c r="CF63" s="40">
        <v>90950</v>
      </c>
      <c r="CG63" s="40">
        <v>91188</v>
      </c>
      <c r="CH63" s="40">
        <v>91421</v>
      </c>
      <c r="CI63" s="40">
        <v>91691</v>
      </c>
      <c r="CJ63" s="40">
        <v>91846</v>
      </c>
      <c r="CK63" s="40">
        <v>92028</v>
      </c>
      <c r="CL63" s="40">
        <v>92289</v>
      </c>
      <c r="CM63" s="40">
        <v>92443</v>
      </c>
      <c r="CN63" s="40">
        <v>92652</v>
      </c>
      <c r="CO63" s="40">
        <v>92873</v>
      </c>
      <c r="CP63" s="40">
        <v>93044</v>
      </c>
      <c r="CQ63" s="40">
        <v>93233</v>
      </c>
      <c r="CR63" s="40">
        <v>93360</v>
      </c>
      <c r="CS63" s="40">
        <v>93538</v>
      </c>
      <c r="CT63" s="40">
        <v>93672</v>
      </c>
      <c r="CU63" s="40">
        <v>93822</v>
      </c>
      <c r="CV63" s="40">
        <v>93951</v>
      </c>
      <c r="CW63" s="40">
        <v>94078</v>
      </c>
      <c r="CX63" s="40">
        <v>94236</v>
      </c>
      <c r="CY63" s="40">
        <v>94332</v>
      </c>
      <c r="CZ63" s="40">
        <v>94460</v>
      </c>
      <c r="DA63" s="40">
        <v>94553</v>
      </c>
      <c r="DB63" s="40">
        <v>94691</v>
      </c>
      <c r="DC63" s="40">
        <v>94794</v>
      </c>
      <c r="DD63" s="40">
        <v>94905</v>
      </c>
      <c r="DE63" s="40">
        <v>94994</v>
      </c>
      <c r="DF63" s="40">
        <v>95129</v>
      </c>
      <c r="DG63" s="40">
        <v>95227</v>
      </c>
      <c r="DH63" s="40">
        <v>95322</v>
      </c>
      <c r="DI63" s="40">
        <v>95416</v>
      </c>
      <c r="DJ63" s="40">
        <v>95534</v>
      </c>
      <c r="DK63" s="40">
        <v>95617</v>
      </c>
      <c r="DL63" s="40">
        <v>95702</v>
      </c>
      <c r="DM63" s="40">
        <v>95802</v>
      </c>
      <c r="DN63" s="40">
        <v>95899</v>
      </c>
      <c r="DO63" s="40">
        <v>95994</v>
      </c>
    </row>
    <row r="64" spans="1:119">
      <c r="A64" s="40">
        <v>62</v>
      </c>
      <c r="B64" s="40"/>
      <c r="C64" s="40"/>
      <c r="D64" s="40"/>
      <c r="E64" s="40"/>
      <c r="F64" s="40"/>
      <c r="G64" s="40"/>
      <c r="H64" s="40"/>
      <c r="I64" s="40"/>
      <c r="J64" s="40"/>
      <c r="K64" s="40"/>
      <c r="L64" s="40"/>
      <c r="M64" s="40"/>
      <c r="N64" s="40"/>
      <c r="O64" s="40"/>
      <c r="P64" s="40"/>
      <c r="Q64" s="40"/>
      <c r="R64" s="40"/>
      <c r="S64" s="40"/>
      <c r="T64" s="40"/>
      <c r="U64" s="40"/>
      <c r="V64" s="40"/>
      <c r="W64" s="40">
        <v>61784</v>
      </c>
      <c r="X64" s="40">
        <v>62604</v>
      </c>
      <c r="Y64" s="40">
        <v>62638</v>
      </c>
      <c r="Z64" s="40">
        <v>64766</v>
      </c>
      <c r="AA64" s="40">
        <v>65246</v>
      </c>
      <c r="AB64" s="40">
        <v>65858</v>
      </c>
      <c r="AC64" s="40">
        <v>66521</v>
      </c>
      <c r="AD64" s="40">
        <v>67164</v>
      </c>
      <c r="AE64" s="40">
        <v>67120</v>
      </c>
      <c r="AF64" s="40">
        <v>68292</v>
      </c>
      <c r="AG64" s="40">
        <v>68898</v>
      </c>
      <c r="AH64" s="40">
        <v>69547</v>
      </c>
      <c r="AI64" s="40">
        <v>69980</v>
      </c>
      <c r="AJ64" s="40">
        <v>71376</v>
      </c>
      <c r="AK64" s="40">
        <v>71583</v>
      </c>
      <c r="AL64" s="40">
        <v>72293</v>
      </c>
      <c r="AM64" s="40">
        <v>73018</v>
      </c>
      <c r="AN64" s="40">
        <v>73668</v>
      </c>
      <c r="AO64" s="40">
        <v>73806</v>
      </c>
      <c r="AP64" s="40">
        <v>74261</v>
      </c>
      <c r="AQ64" s="40">
        <v>74546</v>
      </c>
      <c r="AR64" s="40">
        <v>75073</v>
      </c>
      <c r="AS64" s="40">
        <v>74582</v>
      </c>
      <c r="AT64" s="40">
        <v>74083</v>
      </c>
      <c r="AU64" s="40">
        <v>73017</v>
      </c>
      <c r="AV64" s="40">
        <v>73645</v>
      </c>
      <c r="AW64" s="40">
        <v>74371</v>
      </c>
      <c r="AX64" s="40">
        <v>76648</v>
      </c>
      <c r="AY64" s="40">
        <v>78370</v>
      </c>
      <c r="AZ64" s="40">
        <v>78358</v>
      </c>
      <c r="BA64" s="40">
        <v>78408</v>
      </c>
      <c r="BB64" s="40">
        <v>79172</v>
      </c>
      <c r="BC64" s="40">
        <v>79412</v>
      </c>
      <c r="BD64" s="40">
        <v>79987</v>
      </c>
      <c r="BE64" s="40">
        <v>80267</v>
      </c>
      <c r="BF64" s="40">
        <v>80874</v>
      </c>
      <c r="BG64" s="40">
        <v>81022</v>
      </c>
      <c r="BH64" s="40">
        <v>81734</v>
      </c>
      <c r="BI64" s="40">
        <v>82173</v>
      </c>
      <c r="BJ64" s="40">
        <v>82601</v>
      </c>
      <c r="BK64" s="40">
        <v>83176</v>
      </c>
      <c r="BL64" s="40">
        <v>83802</v>
      </c>
      <c r="BM64" s="40">
        <v>84423</v>
      </c>
      <c r="BN64" s="40">
        <v>84943</v>
      </c>
      <c r="BO64" s="40">
        <v>85426</v>
      </c>
      <c r="BP64" s="40">
        <v>85755</v>
      </c>
      <c r="BQ64" s="40">
        <v>86083</v>
      </c>
      <c r="BR64" s="40">
        <v>86387</v>
      </c>
      <c r="BS64" s="40">
        <v>86563</v>
      </c>
      <c r="BT64" s="40">
        <v>86848</v>
      </c>
      <c r="BU64" s="40">
        <v>87055</v>
      </c>
      <c r="BV64" s="40">
        <v>87349</v>
      </c>
      <c r="BW64" s="40">
        <v>87565</v>
      </c>
      <c r="BX64" s="40">
        <v>87882</v>
      </c>
      <c r="BY64" s="40">
        <v>88217</v>
      </c>
      <c r="BZ64" s="40">
        <v>88668</v>
      </c>
      <c r="CA64" s="40">
        <v>88984</v>
      </c>
      <c r="CB64" s="40">
        <v>89197</v>
      </c>
      <c r="CC64" s="40">
        <v>89529</v>
      </c>
      <c r="CD64" s="40">
        <v>89810</v>
      </c>
      <c r="CE64" s="40">
        <v>90046</v>
      </c>
      <c r="CF64" s="40">
        <v>90374</v>
      </c>
      <c r="CG64" s="40">
        <v>90622</v>
      </c>
      <c r="CH64" s="40">
        <v>90864</v>
      </c>
      <c r="CI64" s="40">
        <v>91144</v>
      </c>
      <c r="CJ64" s="40">
        <v>91309</v>
      </c>
      <c r="CK64" s="40">
        <v>91499</v>
      </c>
      <c r="CL64" s="40">
        <v>91769</v>
      </c>
      <c r="CM64" s="40">
        <v>91933</v>
      </c>
      <c r="CN64" s="40">
        <v>92151</v>
      </c>
      <c r="CO64" s="40">
        <v>92381</v>
      </c>
      <c r="CP64" s="40">
        <v>92560</v>
      </c>
      <c r="CQ64" s="40">
        <v>92758</v>
      </c>
      <c r="CR64" s="40">
        <v>92894</v>
      </c>
      <c r="CS64" s="40">
        <v>93080</v>
      </c>
      <c r="CT64" s="40">
        <v>93223</v>
      </c>
      <c r="CU64" s="40">
        <v>93380</v>
      </c>
      <c r="CV64" s="40">
        <v>93517</v>
      </c>
      <c r="CW64" s="40">
        <v>93652</v>
      </c>
      <c r="CX64" s="40">
        <v>93818</v>
      </c>
      <c r="CY64" s="40">
        <v>93922</v>
      </c>
      <c r="CZ64" s="40">
        <v>94057</v>
      </c>
      <c r="DA64" s="40">
        <v>94158</v>
      </c>
      <c r="DB64" s="40">
        <v>94303</v>
      </c>
      <c r="DC64" s="40">
        <v>94413</v>
      </c>
      <c r="DD64" s="40">
        <v>94531</v>
      </c>
      <c r="DE64" s="40">
        <v>94628</v>
      </c>
      <c r="DF64" s="40">
        <v>94769</v>
      </c>
      <c r="DG64" s="40">
        <v>94874</v>
      </c>
      <c r="DH64" s="40">
        <v>94975</v>
      </c>
      <c r="DI64" s="40">
        <v>95075</v>
      </c>
      <c r="DJ64" s="40">
        <v>95200</v>
      </c>
      <c r="DK64" s="40">
        <v>95289</v>
      </c>
      <c r="DL64" s="40">
        <v>95381</v>
      </c>
      <c r="DM64" s="40">
        <v>95486</v>
      </c>
      <c r="DN64" s="40">
        <v>95589</v>
      </c>
      <c r="DO64" s="40">
        <v>95689</v>
      </c>
    </row>
    <row r="65" spans="1:119">
      <c r="A65" s="40">
        <v>63</v>
      </c>
      <c r="B65" s="40"/>
      <c r="C65" s="40"/>
      <c r="D65" s="40"/>
      <c r="E65" s="40"/>
      <c r="F65" s="40"/>
      <c r="G65" s="40"/>
      <c r="H65" s="40"/>
      <c r="I65" s="40"/>
      <c r="J65" s="40"/>
      <c r="K65" s="40"/>
      <c r="L65" s="40"/>
      <c r="M65" s="40"/>
      <c r="N65" s="40"/>
      <c r="O65" s="40"/>
      <c r="P65" s="40"/>
      <c r="Q65" s="40"/>
      <c r="R65" s="40"/>
      <c r="S65" s="40"/>
      <c r="T65" s="40"/>
      <c r="U65" s="40"/>
      <c r="V65" s="40"/>
      <c r="W65" s="40">
        <v>60505</v>
      </c>
      <c r="X65" s="40">
        <v>61331</v>
      </c>
      <c r="Y65" s="40">
        <v>61373</v>
      </c>
      <c r="Z65" s="40">
        <v>63470</v>
      </c>
      <c r="AA65" s="40">
        <v>63992</v>
      </c>
      <c r="AB65" s="40">
        <v>64623</v>
      </c>
      <c r="AC65" s="40">
        <v>65239</v>
      </c>
      <c r="AD65" s="40">
        <v>65847</v>
      </c>
      <c r="AE65" s="40">
        <v>65827</v>
      </c>
      <c r="AF65" s="40">
        <v>66976</v>
      </c>
      <c r="AG65" s="40">
        <v>67612</v>
      </c>
      <c r="AH65" s="40">
        <v>68292</v>
      </c>
      <c r="AI65" s="40">
        <v>68726</v>
      </c>
      <c r="AJ65" s="40">
        <v>70200</v>
      </c>
      <c r="AK65" s="40">
        <v>70440</v>
      </c>
      <c r="AL65" s="40">
        <v>71171</v>
      </c>
      <c r="AM65" s="40">
        <v>71961</v>
      </c>
      <c r="AN65" s="40">
        <v>72639</v>
      </c>
      <c r="AO65" s="40">
        <v>72784</v>
      </c>
      <c r="AP65" s="40">
        <v>73243</v>
      </c>
      <c r="AQ65" s="40">
        <v>73567</v>
      </c>
      <c r="AR65" s="40">
        <v>74102</v>
      </c>
      <c r="AS65" s="40">
        <v>73648</v>
      </c>
      <c r="AT65" s="40">
        <v>73165</v>
      </c>
      <c r="AU65" s="40">
        <v>72107</v>
      </c>
      <c r="AV65" s="40">
        <v>72729</v>
      </c>
      <c r="AW65" s="40">
        <v>73487</v>
      </c>
      <c r="AX65" s="40">
        <v>75734</v>
      </c>
      <c r="AY65" s="40">
        <v>77428</v>
      </c>
      <c r="AZ65" s="40">
        <v>77420</v>
      </c>
      <c r="BA65" s="40">
        <v>77484</v>
      </c>
      <c r="BB65" s="40">
        <v>78182</v>
      </c>
      <c r="BC65" s="40">
        <v>78462</v>
      </c>
      <c r="BD65" s="40">
        <v>79049</v>
      </c>
      <c r="BE65" s="40">
        <v>79344</v>
      </c>
      <c r="BF65" s="40">
        <v>79962</v>
      </c>
      <c r="BG65" s="40">
        <v>80127</v>
      </c>
      <c r="BH65" s="40">
        <v>80848</v>
      </c>
      <c r="BI65" s="40">
        <v>81300</v>
      </c>
      <c r="BJ65" s="40">
        <v>81741</v>
      </c>
      <c r="BK65" s="40">
        <v>82327</v>
      </c>
      <c r="BL65" s="40">
        <v>82963</v>
      </c>
      <c r="BM65" s="40">
        <v>83595</v>
      </c>
      <c r="BN65" s="40">
        <v>84126</v>
      </c>
      <c r="BO65" s="40">
        <v>84620</v>
      </c>
      <c r="BP65" s="40">
        <v>84962</v>
      </c>
      <c r="BQ65" s="40">
        <v>85303</v>
      </c>
      <c r="BR65" s="40">
        <v>85619</v>
      </c>
      <c r="BS65" s="40">
        <v>85809</v>
      </c>
      <c r="BT65" s="40">
        <v>86106</v>
      </c>
      <c r="BU65" s="40">
        <v>86327</v>
      </c>
      <c r="BV65" s="40">
        <v>86633</v>
      </c>
      <c r="BW65" s="40">
        <v>86861</v>
      </c>
      <c r="BX65" s="40">
        <v>87189</v>
      </c>
      <c r="BY65" s="40">
        <v>87535</v>
      </c>
      <c r="BZ65" s="40">
        <v>87996</v>
      </c>
      <c r="CA65" s="40">
        <v>88323</v>
      </c>
      <c r="CB65" s="40">
        <v>88548</v>
      </c>
      <c r="CC65" s="40">
        <v>88890</v>
      </c>
      <c r="CD65" s="40">
        <v>89182</v>
      </c>
      <c r="CE65" s="40">
        <v>89428</v>
      </c>
      <c r="CF65" s="40">
        <v>89767</v>
      </c>
      <c r="CG65" s="40">
        <v>90025</v>
      </c>
      <c r="CH65" s="40">
        <v>90278</v>
      </c>
      <c r="CI65" s="40">
        <v>90567</v>
      </c>
      <c r="CJ65" s="40">
        <v>90742</v>
      </c>
      <c r="CK65" s="40">
        <v>90943</v>
      </c>
      <c r="CL65" s="40">
        <v>91222</v>
      </c>
      <c r="CM65" s="40">
        <v>91395</v>
      </c>
      <c r="CN65" s="40">
        <v>91623</v>
      </c>
      <c r="CO65" s="40">
        <v>91862</v>
      </c>
      <c r="CP65" s="40">
        <v>92051</v>
      </c>
      <c r="CQ65" s="40">
        <v>92257</v>
      </c>
      <c r="CR65" s="40">
        <v>92402</v>
      </c>
      <c r="CS65" s="40">
        <v>92597</v>
      </c>
      <c r="CT65" s="40">
        <v>92748</v>
      </c>
      <c r="CU65" s="40">
        <v>92914</v>
      </c>
      <c r="CV65" s="40">
        <v>93060</v>
      </c>
      <c r="CW65" s="40">
        <v>93203</v>
      </c>
      <c r="CX65" s="40">
        <v>93377</v>
      </c>
      <c r="CY65" s="40">
        <v>93490</v>
      </c>
      <c r="CZ65" s="40">
        <v>93633</v>
      </c>
      <c r="DA65" s="40">
        <v>93742</v>
      </c>
      <c r="DB65" s="40">
        <v>93894</v>
      </c>
      <c r="DC65" s="40">
        <v>94012</v>
      </c>
      <c r="DD65" s="40">
        <v>94137</v>
      </c>
      <c r="DE65" s="40">
        <v>94241</v>
      </c>
      <c r="DF65" s="40">
        <v>94390</v>
      </c>
      <c r="DG65" s="40">
        <v>94501</v>
      </c>
      <c r="DH65" s="40">
        <v>94609</v>
      </c>
      <c r="DI65" s="40">
        <v>94717</v>
      </c>
      <c r="DJ65" s="40">
        <v>94848</v>
      </c>
      <c r="DK65" s="40">
        <v>94944</v>
      </c>
      <c r="DL65" s="40">
        <v>95042</v>
      </c>
      <c r="DM65" s="40">
        <v>95154</v>
      </c>
      <c r="DN65" s="40">
        <v>95263</v>
      </c>
      <c r="DO65" s="40">
        <v>95369</v>
      </c>
    </row>
    <row r="66" spans="1:119">
      <c r="A66" s="40">
        <v>64</v>
      </c>
      <c r="B66" s="40"/>
      <c r="C66" s="40"/>
      <c r="D66" s="40"/>
      <c r="E66" s="40"/>
      <c r="F66" s="40"/>
      <c r="G66" s="40"/>
      <c r="H66" s="40"/>
      <c r="I66" s="40"/>
      <c r="J66" s="40"/>
      <c r="K66" s="40"/>
      <c r="L66" s="40"/>
      <c r="M66" s="40"/>
      <c r="N66" s="40"/>
      <c r="O66" s="40"/>
      <c r="P66" s="40"/>
      <c r="Q66" s="40"/>
      <c r="R66" s="40"/>
      <c r="S66" s="40"/>
      <c r="T66" s="40"/>
      <c r="U66" s="40"/>
      <c r="V66" s="40"/>
      <c r="W66" s="40">
        <v>59081</v>
      </c>
      <c r="X66" s="40">
        <v>59985</v>
      </c>
      <c r="Y66" s="40">
        <v>60052</v>
      </c>
      <c r="Z66" s="40">
        <v>62100</v>
      </c>
      <c r="AA66" s="40">
        <v>62669</v>
      </c>
      <c r="AB66" s="40">
        <v>63277</v>
      </c>
      <c r="AC66" s="40">
        <v>63862</v>
      </c>
      <c r="AD66" s="40">
        <v>64463</v>
      </c>
      <c r="AE66" s="40">
        <v>64459</v>
      </c>
      <c r="AF66" s="40">
        <v>65596</v>
      </c>
      <c r="AG66" s="40">
        <v>66260</v>
      </c>
      <c r="AH66" s="40">
        <v>66962</v>
      </c>
      <c r="AI66" s="40">
        <v>67445</v>
      </c>
      <c r="AJ66" s="40">
        <v>68955</v>
      </c>
      <c r="AK66" s="40">
        <v>69242</v>
      </c>
      <c r="AL66" s="40">
        <v>69996</v>
      </c>
      <c r="AM66" s="40">
        <v>70858</v>
      </c>
      <c r="AN66" s="40">
        <v>71543</v>
      </c>
      <c r="AO66" s="40">
        <v>71705</v>
      </c>
      <c r="AP66" s="40">
        <v>72202</v>
      </c>
      <c r="AQ66" s="40">
        <v>72544</v>
      </c>
      <c r="AR66" s="40">
        <v>73117</v>
      </c>
      <c r="AS66" s="40">
        <v>72659</v>
      </c>
      <c r="AT66" s="40">
        <v>72179</v>
      </c>
      <c r="AU66" s="40">
        <v>71147</v>
      </c>
      <c r="AV66" s="40">
        <v>71763</v>
      </c>
      <c r="AW66" s="40">
        <v>72541</v>
      </c>
      <c r="AX66" s="40">
        <v>74774</v>
      </c>
      <c r="AY66" s="40">
        <v>76429</v>
      </c>
      <c r="AZ66" s="40">
        <v>76449</v>
      </c>
      <c r="BA66" s="40">
        <v>76455</v>
      </c>
      <c r="BB66" s="40">
        <v>77169</v>
      </c>
      <c r="BC66" s="40">
        <v>77466</v>
      </c>
      <c r="BD66" s="40">
        <v>78065</v>
      </c>
      <c r="BE66" s="40">
        <v>78376</v>
      </c>
      <c r="BF66" s="40">
        <v>79006</v>
      </c>
      <c r="BG66" s="40">
        <v>79188</v>
      </c>
      <c r="BH66" s="40">
        <v>79919</v>
      </c>
      <c r="BI66" s="40">
        <v>80384</v>
      </c>
      <c r="BJ66" s="40">
        <v>80838</v>
      </c>
      <c r="BK66" s="40">
        <v>81435</v>
      </c>
      <c r="BL66" s="40">
        <v>82083</v>
      </c>
      <c r="BM66" s="40">
        <v>82725</v>
      </c>
      <c r="BN66" s="40">
        <v>83268</v>
      </c>
      <c r="BO66" s="40">
        <v>83774</v>
      </c>
      <c r="BP66" s="40">
        <v>84129</v>
      </c>
      <c r="BQ66" s="40">
        <v>84484</v>
      </c>
      <c r="BR66" s="40">
        <v>84813</v>
      </c>
      <c r="BS66" s="40">
        <v>85017</v>
      </c>
      <c r="BT66" s="40">
        <v>85328</v>
      </c>
      <c r="BU66" s="40">
        <v>85561</v>
      </c>
      <c r="BV66" s="40">
        <v>85880</v>
      </c>
      <c r="BW66" s="40">
        <v>86121</v>
      </c>
      <c r="BX66" s="40">
        <v>86461</v>
      </c>
      <c r="BY66" s="40">
        <v>86819</v>
      </c>
      <c r="BZ66" s="40">
        <v>87291</v>
      </c>
      <c r="CA66" s="40">
        <v>87629</v>
      </c>
      <c r="CB66" s="40">
        <v>87866</v>
      </c>
      <c r="CC66" s="40">
        <v>88219</v>
      </c>
      <c r="CD66" s="40">
        <v>88522</v>
      </c>
      <c r="CE66" s="40">
        <v>88780</v>
      </c>
      <c r="CF66" s="40">
        <v>89128</v>
      </c>
      <c r="CG66" s="40">
        <v>89397</v>
      </c>
      <c r="CH66" s="40">
        <v>89661</v>
      </c>
      <c r="CI66" s="40">
        <v>89961</v>
      </c>
      <c r="CJ66" s="40">
        <v>90147</v>
      </c>
      <c r="CK66" s="40">
        <v>90358</v>
      </c>
      <c r="CL66" s="40">
        <v>90647</v>
      </c>
      <c r="CM66" s="40">
        <v>90830</v>
      </c>
      <c r="CN66" s="40">
        <v>91068</v>
      </c>
      <c r="CO66" s="40">
        <v>91316</v>
      </c>
      <c r="CP66" s="40">
        <v>91515</v>
      </c>
      <c r="CQ66" s="40">
        <v>91731</v>
      </c>
      <c r="CR66" s="40">
        <v>91885</v>
      </c>
      <c r="CS66" s="40">
        <v>92090</v>
      </c>
      <c r="CT66" s="40">
        <v>92250</v>
      </c>
      <c r="CU66" s="40">
        <v>92425</v>
      </c>
      <c r="CV66" s="40">
        <v>92580</v>
      </c>
      <c r="CW66" s="40">
        <v>92732</v>
      </c>
      <c r="CX66" s="40">
        <v>92915</v>
      </c>
      <c r="CY66" s="40">
        <v>93036</v>
      </c>
      <c r="CZ66" s="40">
        <v>93187</v>
      </c>
      <c r="DA66" s="40">
        <v>93304</v>
      </c>
      <c r="DB66" s="40">
        <v>93465</v>
      </c>
      <c r="DC66" s="40">
        <v>93590</v>
      </c>
      <c r="DD66" s="40">
        <v>93724</v>
      </c>
      <c r="DE66" s="40">
        <v>93835</v>
      </c>
      <c r="DF66" s="40">
        <v>93991</v>
      </c>
      <c r="DG66" s="40">
        <v>94110</v>
      </c>
      <c r="DH66" s="40">
        <v>94226</v>
      </c>
      <c r="DI66" s="40">
        <v>94340</v>
      </c>
      <c r="DJ66" s="40">
        <v>94478</v>
      </c>
      <c r="DK66" s="40">
        <v>94581</v>
      </c>
      <c r="DL66" s="40">
        <v>94686</v>
      </c>
      <c r="DM66" s="40">
        <v>94804</v>
      </c>
      <c r="DN66" s="40">
        <v>94920</v>
      </c>
      <c r="DO66" s="40">
        <v>95033</v>
      </c>
    </row>
    <row r="67" spans="1:119">
      <c r="A67" s="40">
        <v>65</v>
      </c>
      <c r="B67" s="40"/>
      <c r="C67" s="40"/>
      <c r="D67" s="40"/>
      <c r="E67" s="40"/>
      <c r="F67" s="40"/>
      <c r="G67" s="40"/>
      <c r="H67" s="40"/>
      <c r="I67" s="40"/>
      <c r="J67" s="40"/>
      <c r="K67" s="40"/>
      <c r="L67" s="40"/>
      <c r="M67" s="40"/>
      <c r="N67" s="40"/>
      <c r="O67" s="40"/>
      <c r="P67" s="40"/>
      <c r="Q67" s="40"/>
      <c r="R67" s="40"/>
      <c r="S67" s="40"/>
      <c r="T67" s="40"/>
      <c r="U67" s="40"/>
      <c r="V67" s="40"/>
      <c r="W67" s="40">
        <v>57671</v>
      </c>
      <c r="X67" s="40">
        <v>58572</v>
      </c>
      <c r="Y67" s="40">
        <v>58677</v>
      </c>
      <c r="Z67" s="40">
        <v>60698</v>
      </c>
      <c r="AA67" s="40">
        <v>61254</v>
      </c>
      <c r="AB67" s="40">
        <v>61860</v>
      </c>
      <c r="AC67" s="40">
        <v>62411</v>
      </c>
      <c r="AD67" s="40">
        <v>62988</v>
      </c>
      <c r="AE67" s="40">
        <v>62999</v>
      </c>
      <c r="AF67" s="40">
        <v>64148</v>
      </c>
      <c r="AG67" s="40">
        <v>64838</v>
      </c>
      <c r="AH67" s="40">
        <v>65594</v>
      </c>
      <c r="AI67" s="40">
        <v>66143</v>
      </c>
      <c r="AJ67" s="40">
        <v>67679</v>
      </c>
      <c r="AK67" s="40">
        <v>68003</v>
      </c>
      <c r="AL67" s="40">
        <v>68818</v>
      </c>
      <c r="AM67" s="40">
        <v>69707</v>
      </c>
      <c r="AN67" s="40">
        <v>70391</v>
      </c>
      <c r="AO67" s="40">
        <v>70586</v>
      </c>
      <c r="AP67" s="40">
        <v>71120</v>
      </c>
      <c r="AQ67" s="40">
        <v>71499</v>
      </c>
      <c r="AR67" s="40">
        <v>72068</v>
      </c>
      <c r="AS67" s="40">
        <v>71611</v>
      </c>
      <c r="AT67" s="40">
        <v>71161</v>
      </c>
      <c r="AU67" s="40">
        <v>70139</v>
      </c>
      <c r="AV67" s="40">
        <v>70724</v>
      </c>
      <c r="AW67" s="40">
        <v>71514</v>
      </c>
      <c r="AX67" s="40">
        <v>73708</v>
      </c>
      <c r="AY67" s="40">
        <v>75375</v>
      </c>
      <c r="AZ67" s="40">
        <v>75347</v>
      </c>
      <c r="BA67" s="40">
        <v>75385</v>
      </c>
      <c r="BB67" s="40">
        <v>76110</v>
      </c>
      <c r="BC67" s="40">
        <v>76424</v>
      </c>
      <c r="BD67" s="40">
        <v>77036</v>
      </c>
      <c r="BE67" s="40">
        <v>77363</v>
      </c>
      <c r="BF67" s="40">
        <v>78005</v>
      </c>
      <c r="BG67" s="40">
        <v>78204</v>
      </c>
      <c r="BH67" s="40">
        <v>78947</v>
      </c>
      <c r="BI67" s="40">
        <v>79426</v>
      </c>
      <c r="BJ67" s="40">
        <v>79893</v>
      </c>
      <c r="BK67" s="40">
        <v>80502</v>
      </c>
      <c r="BL67" s="40">
        <v>81160</v>
      </c>
      <c r="BM67" s="40">
        <v>81814</v>
      </c>
      <c r="BN67" s="40">
        <v>82369</v>
      </c>
      <c r="BO67" s="40">
        <v>82888</v>
      </c>
      <c r="BP67" s="40">
        <v>83257</v>
      </c>
      <c r="BQ67" s="40">
        <v>83625</v>
      </c>
      <c r="BR67" s="40">
        <v>83968</v>
      </c>
      <c r="BS67" s="40">
        <v>84187</v>
      </c>
      <c r="BT67" s="40">
        <v>84511</v>
      </c>
      <c r="BU67" s="40">
        <v>84759</v>
      </c>
      <c r="BV67" s="40">
        <v>85091</v>
      </c>
      <c r="BW67" s="40">
        <v>85345</v>
      </c>
      <c r="BX67" s="40">
        <v>85698</v>
      </c>
      <c r="BY67" s="40">
        <v>86068</v>
      </c>
      <c r="BZ67" s="40">
        <v>86551</v>
      </c>
      <c r="CA67" s="40">
        <v>86901</v>
      </c>
      <c r="CB67" s="40">
        <v>87151</v>
      </c>
      <c r="CC67" s="40">
        <v>87515</v>
      </c>
      <c r="CD67" s="40">
        <v>87829</v>
      </c>
      <c r="CE67" s="40">
        <v>88099</v>
      </c>
      <c r="CF67" s="40">
        <v>88459</v>
      </c>
      <c r="CG67" s="40">
        <v>88739</v>
      </c>
      <c r="CH67" s="40">
        <v>89014</v>
      </c>
      <c r="CI67" s="40">
        <v>89324</v>
      </c>
      <c r="CJ67" s="40">
        <v>89522</v>
      </c>
      <c r="CK67" s="40">
        <v>89744</v>
      </c>
      <c r="CL67" s="40">
        <v>90044</v>
      </c>
      <c r="CM67" s="40">
        <v>90238</v>
      </c>
      <c r="CN67" s="40">
        <v>90486</v>
      </c>
      <c r="CO67" s="40">
        <v>90744</v>
      </c>
      <c r="CP67" s="40">
        <v>90953</v>
      </c>
      <c r="CQ67" s="40">
        <v>91179</v>
      </c>
      <c r="CR67" s="40">
        <v>91344</v>
      </c>
      <c r="CS67" s="40">
        <v>91558</v>
      </c>
      <c r="CT67" s="40">
        <v>91728</v>
      </c>
      <c r="CU67" s="40">
        <v>91912</v>
      </c>
      <c r="CV67" s="40">
        <v>92076</v>
      </c>
      <c r="CW67" s="40">
        <v>92238</v>
      </c>
      <c r="CX67" s="40">
        <v>92429</v>
      </c>
      <c r="CY67" s="40">
        <v>92559</v>
      </c>
      <c r="CZ67" s="40">
        <v>92719</v>
      </c>
      <c r="DA67" s="40">
        <v>92845</v>
      </c>
      <c r="DB67" s="40">
        <v>93015</v>
      </c>
      <c r="DC67" s="40">
        <v>93148</v>
      </c>
      <c r="DD67" s="40">
        <v>93290</v>
      </c>
      <c r="DE67" s="40">
        <v>93410</v>
      </c>
      <c r="DF67" s="40">
        <v>93573</v>
      </c>
      <c r="DG67" s="40">
        <v>93700</v>
      </c>
      <c r="DH67" s="40">
        <v>93823</v>
      </c>
      <c r="DI67" s="40">
        <v>93945</v>
      </c>
      <c r="DJ67" s="40">
        <v>94091</v>
      </c>
      <c r="DK67" s="40">
        <v>94201</v>
      </c>
      <c r="DL67" s="40">
        <v>94313</v>
      </c>
      <c r="DM67" s="40">
        <v>94439</v>
      </c>
      <c r="DN67" s="40">
        <v>94561</v>
      </c>
      <c r="DO67" s="40">
        <v>94681</v>
      </c>
    </row>
    <row r="68" spans="1:119">
      <c r="A68" s="40">
        <v>66</v>
      </c>
      <c r="B68" s="40"/>
      <c r="C68" s="40"/>
      <c r="D68" s="40"/>
      <c r="E68" s="40"/>
      <c r="F68" s="40"/>
      <c r="G68" s="40"/>
      <c r="H68" s="40"/>
      <c r="I68" s="40"/>
      <c r="J68" s="40"/>
      <c r="K68" s="40"/>
      <c r="L68" s="40"/>
      <c r="M68" s="40"/>
      <c r="N68" s="40"/>
      <c r="O68" s="40"/>
      <c r="P68" s="40"/>
      <c r="Q68" s="40"/>
      <c r="R68" s="40"/>
      <c r="S68" s="40"/>
      <c r="T68" s="40"/>
      <c r="U68" s="40"/>
      <c r="V68" s="40"/>
      <c r="W68" s="40">
        <v>56140</v>
      </c>
      <c r="X68" s="40">
        <v>57110</v>
      </c>
      <c r="Y68" s="40">
        <v>57192</v>
      </c>
      <c r="Z68" s="40">
        <v>59146</v>
      </c>
      <c r="AA68" s="40">
        <v>59747</v>
      </c>
      <c r="AB68" s="40">
        <v>60379</v>
      </c>
      <c r="AC68" s="40">
        <v>60915</v>
      </c>
      <c r="AD68" s="40">
        <v>61467</v>
      </c>
      <c r="AE68" s="40">
        <v>61487</v>
      </c>
      <c r="AF68" s="40">
        <v>62613</v>
      </c>
      <c r="AG68" s="40">
        <v>63351</v>
      </c>
      <c r="AH68" s="40">
        <v>64179</v>
      </c>
      <c r="AI68" s="40">
        <v>64781</v>
      </c>
      <c r="AJ68" s="40">
        <v>66321</v>
      </c>
      <c r="AK68" s="40">
        <v>66729</v>
      </c>
      <c r="AL68" s="40">
        <v>67552</v>
      </c>
      <c r="AM68" s="40">
        <v>68456</v>
      </c>
      <c r="AN68" s="40">
        <v>69193</v>
      </c>
      <c r="AO68" s="40">
        <v>69400</v>
      </c>
      <c r="AP68" s="40">
        <v>69965</v>
      </c>
      <c r="AQ68" s="40">
        <v>70374</v>
      </c>
      <c r="AR68" s="40">
        <v>70949</v>
      </c>
      <c r="AS68" s="40">
        <v>70519</v>
      </c>
      <c r="AT68" s="40">
        <v>70086</v>
      </c>
      <c r="AU68" s="40">
        <v>69054</v>
      </c>
      <c r="AV68" s="40">
        <v>69611</v>
      </c>
      <c r="AW68" s="40">
        <v>70419</v>
      </c>
      <c r="AX68" s="40">
        <v>72624</v>
      </c>
      <c r="AY68" s="40">
        <v>74219</v>
      </c>
      <c r="AZ68" s="40">
        <v>74208</v>
      </c>
      <c r="BA68" s="40">
        <v>74268</v>
      </c>
      <c r="BB68" s="40">
        <v>75005</v>
      </c>
      <c r="BC68" s="40">
        <v>75336</v>
      </c>
      <c r="BD68" s="40">
        <v>75962</v>
      </c>
      <c r="BE68" s="40">
        <v>76306</v>
      </c>
      <c r="BF68" s="40">
        <v>76960</v>
      </c>
      <c r="BG68" s="40">
        <v>77177</v>
      </c>
      <c r="BH68" s="40">
        <v>77930</v>
      </c>
      <c r="BI68" s="40">
        <v>78423</v>
      </c>
      <c r="BJ68" s="40">
        <v>78905</v>
      </c>
      <c r="BK68" s="40">
        <v>79526</v>
      </c>
      <c r="BL68" s="40">
        <v>80196</v>
      </c>
      <c r="BM68" s="40">
        <v>80861</v>
      </c>
      <c r="BN68" s="40">
        <v>81428</v>
      </c>
      <c r="BO68" s="40">
        <v>81960</v>
      </c>
      <c r="BP68" s="40">
        <v>82344</v>
      </c>
      <c r="BQ68" s="40">
        <v>82726</v>
      </c>
      <c r="BR68" s="40">
        <v>83084</v>
      </c>
      <c r="BS68" s="40">
        <v>83318</v>
      </c>
      <c r="BT68" s="40">
        <v>83657</v>
      </c>
      <c r="BU68" s="40">
        <v>83919</v>
      </c>
      <c r="BV68" s="40">
        <v>84264</v>
      </c>
      <c r="BW68" s="40">
        <v>84533</v>
      </c>
      <c r="BX68" s="40">
        <v>84899</v>
      </c>
      <c r="BY68" s="40">
        <v>85282</v>
      </c>
      <c r="BZ68" s="40">
        <v>85776</v>
      </c>
      <c r="CA68" s="40">
        <v>86139</v>
      </c>
      <c r="CB68" s="40">
        <v>86401</v>
      </c>
      <c r="CC68" s="40">
        <v>86778</v>
      </c>
      <c r="CD68" s="40">
        <v>87104</v>
      </c>
      <c r="CE68" s="40">
        <v>87387</v>
      </c>
      <c r="CF68" s="40">
        <v>87757</v>
      </c>
      <c r="CG68" s="40">
        <v>88050</v>
      </c>
      <c r="CH68" s="40">
        <v>88336</v>
      </c>
      <c r="CI68" s="40">
        <v>88658</v>
      </c>
      <c r="CJ68" s="40">
        <v>88868</v>
      </c>
      <c r="CK68" s="40">
        <v>89101</v>
      </c>
      <c r="CL68" s="40">
        <v>89412</v>
      </c>
      <c r="CM68" s="40">
        <v>89617</v>
      </c>
      <c r="CN68" s="40">
        <v>89876</v>
      </c>
      <c r="CO68" s="40">
        <v>90145</v>
      </c>
      <c r="CP68" s="40">
        <v>90365</v>
      </c>
      <c r="CQ68" s="40">
        <v>90601</v>
      </c>
      <c r="CR68" s="40">
        <v>90776</v>
      </c>
      <c r="CS68" s="40">
        <v>91000</v>
      </c>
      <c r="CT68" s="40">
        <v>91180</v>
      </c>
      <c r="CU68" s="40">
        <v>91375</v>
      </c>
      <c r="CV68" s="40">
        <v>91549</v>
      </c>
      <c r="CW68" s="40">
        <v>91720</v>
      </c>
      <c r="CX68" s="40">
        <v>91921</v>
      </c>
      <c r="CY68" s="40">
        <v>92060</v>
      </c>
      <c r="CZ68" s="40">
        <v>92229</v>
      </c>
      <c r="DA68" s="40">
        <v>92364</v>
      </c>
      <c r="DB68" s="40">
        <v>92543</v>
      </c>
      <c r="DC68" s="40">
        <v>92685</v>
      </c>
      <c r="DD68" s="40">
        <v>92835</v>
      </c>
      <c r="DE68" s="40">
        <v>92964</v>
      </c>
      <c r="DF68" s="40">
        <v>93136</v>
      </c>
      <c r="DG68" s="40">
        <v>93271</v>
      </c>
      <c r="DH68" s="40">
        <v>93402</v>
      </c>
      <c r="DI68" s="40">
        <v>93532</v>
      </c>
      <c r="DJ68" s="40">
        <v>93685</v>
      </c>
      <c r="DK68" s="40">
        <v>93803</v>
      </c>
      <c r="DL68" s="40">
        <v>93922</v>
      </c>
      <c r="DM68" s="40">
        <v>94055</v>
      </c>
      <c r="DN68" s="40">
        <v>94185</v>
      </c>
      <c r="DO68" s="40">
        <v>94312</v>
      </c>
    </row>
    <row r="69" spans="1:119">
      <c r="A69" s="40">
        <v>67</v>
      </c>
      <c r="B69" s="40"/>
      <c r="C69" s="40"/>
      <c r="D69" s="40"/>
      <c r="E69" s="40"/>
      <c r="F69" s="40"/>
      <c r="G69" s="40"/>
      <c r="H69" s="40"/>
      <c r="I69" s="40"/>
      <c r="J69" s="40"/>
      <c r="K69" s="40"/>
      <c r="L69" s="40"/>
      <c r="M69" s="40"/>
      <c r="N69" s="40"/>
      <c r="O69" s="40"/>
      <c r="P69" s="40"/>
      <c r="Q69" s="40"/>
      <c r="R69" s="40"/>
      <c r="S69" s="40"/>
      <c r="T69" s="40"/>
      <c r="U69" s="40"/>
      <c r="V69" s="40"/>
      <c r="W69" s="40">
        <v>54575</v>
      </c>
      <c r="X69" s="40">
        <v>55545</v>
      </c>
      <c r="Y69" s="40">
        <v>55599</v>
      </c>
      <c r="Z69" s="40">
        <v>57529</v>
      </c>
      <c r="AA69" s="40">
        <v>58180</v>
      </c>
      <c r="AB69" s="40">
        <v>58808</v>
      </c>
      <c r="AC69" s="40">
        <v>59303</v>
      </c>
      <c r="AD69" s="40">
        <v>59886</v>
      </c>
      <c r="AE69" s="40">
        <v>59889</v>
      </c>
      <c r="AF69" s="40">
        <v>61096</v>
      </c>
      <c r="AG69" s="40">
        <v>61860</v>
      </c>
      <c r="AH69" s="40">
        <v>62733</v>
      </c>
      <c r="AI69" s="40">
        <v>63340</v>
      </c>
      <c r="AJ69" s="40">
        <v>64943</v>
      </c>
      <c r="AK69" s="40">
        <v>65380</v>
      </c>
      <c r="AL69" s="40">
        <v>66234</v>
      </c>
      <c r="AM69" s="40">
        <v>67160</v>
      </c>
      <c r="AN69" s="40">
        <v>67944</v>
      </c>
      <c r="AO69" s="40">
        <v>68195</v>
      </c>
      <c r="AP69" s="40">
        <v>68753</v>
      </c>
      <c r="AQ69" s="40">
        <v>69171</v>
      </c>
      <c r="AR69" s="40">
        <v>69779</v>
      </c>
      <c r="AS69" s="40">
        <v>69374</v>
      </c>
      <c r="AT69" s="40">
        <v>68896</v>
      </c>
      <c r="AU69" s="40">
        <v>67924</v>
      </c>
      <c r="AV69" s="40">
        <v>68455</v>
      </c>
      <c r="AW69" s="40">
        <v>69282</v>
      </c>
      <c r="AX69" s="40">
        <v>71409</v>
      </c>
      <c r="AY69" s="40">
        <v>73008</v>
      </c>
      <c r="AZ69" s="40">
        <v>73022</v>
      </c>
      <c r="BA69" s="40">
        <v>73104</v>
      </c>
      <c r="BB69" s="40">
        <v>73853</v>
      </c>
      <c r="BC69" s="40">
        <v>74202</v>
      </c>
      <c r="BD69" s="40">
        <v>74840</v>
      </c>
      <c r="BE69" s="40">
        <v>75202</v>
      </c>
      <c r="BF69" s="40">
        <v>75869</v>
      </c>
      <c r="BG69" s="40">
        <v>76105</v>
      </c>
      <c r="BH69" s="40">
        <v>76869</v>
      </c>
      <c r="BI69" s="40">
        <v>77376</v>
      </c>
      <c r="BJ69" s="40">
        <v>77872</v>
      </c>
      <c r="BK69" s="40">
        <v>78506</v>
      </c>
      <c r="BL69" s="40">
        <v>79188</v>
      </c>
      <c r="BM69" s="40">
        <v>79865</v>
      </c>
      <c r="BN69" s="40">
        <v>80445</v>
      </c>
      <c r="BO69" s="40">
        <v>80990</v>
      </c>
      <c r="BP69" s="40">
        <v>81389</v>
      </c>
      <c r="BQ69" s="40">
        <v>81786</v>
      </c>
      <c r="BR69" s="40">
        <v>82159</v>
      </c>
      <c r="BS69" s="40">
        <v>82409</v>
      </c>
      <c r="BT69" s="40">
        <v>82763</v>
      </c>
      <c r="BU69" s="40">
        <v>83040</v>
      </c>
      <c r="BV69" s="40">
        <v>83400</v>
      </c>
      <c r="BW69" s="40">
        <v>83683</v>
      </c>
      <c r="BX69" s="40">
        <v>84063</v>
      </c>
      <c r="BY69" s="40">
        <v>84458</v>
      </c>
      <c r="BZ69" s="40">
        <v>84965</v>
      </c>
      <c r="CA69" s="40">
        <v>85341</v>
      </c>
      <c r="CB69" s="40">
        <v>85617</v>
      </c>
      <c r="CC69" s="40">
        <v>86006</v>
      </c>
      <c r="CD69" s="40">
        <v>86345</v>
      </c>
      <c r="CE69" s="40">
        <v>86640</v>
      </c>
      <c r="CF69" s="40">
        <v>87023</v>
      </c>
      <c r="CG69" s="40">
        <v>87328</v>
      </c>
      <c r="CH69" s="40">
        <v>87627</v>
      </c>
      <c r="CI69" s="40">
        <v>87960</v>
      </c>
      <c r="CJ69" s="40">
        <v>88182</v>
      </c>
      <c r="CK69" s="40">
        <v>88428</v>
      </c>
      <c r="CL69" s="40">
        <v>88750</v>
      </c>
      <c r="CM69" s="40">
        <v>88967</v>
      </c>
      <c r="CN69" s="40">
        <v>89237</v>
      </c>
      <c r="CO69" s="40">
        <v>89517</v>
      </c>
      <c r="CP69" s="40">
        <v>89748</v>
      </c>
      <c r="CQ69" s="40">
        <v>89995</v>
      </c>
      <c r="CR69" s="40">
        <v>90181</v>
      </c>
      <c r="CS69" s="40">
        <v>90416</v>
      </c>
      <c r="CT69" s="40">
        <v>90607</v>
      </c>
      <c r="CU69" s="40">
        <v>90812</v>
      </c>
      <c r="CV69" s="40">
        <v>90996</v>
      </c>
      <c r="CW69" s="40">
        <v>91177</v>
      </c>
      <c r="CX69" s="40">
        <v>91388</v>
      </c>
      <c r="CY69" s="40">
        <v>91537</v>
      </c>
      <c r="CZ69" s="40">
        <v>91716</v>
      </c>
      <c r="DA69" s="40">
        <v>91861</v>
      </c>
      <c r="DB69" s="40">
        <v>92048</v>
      </c>
      <c r="DC69" s="40">
        <v>92200</v>
      </c>
      <c r="DD69" s="40">
        <v>92359</v>
      </c>
      <c r="DE69" s="40">
        <v>92496</v>
      </c>
      <c r="DF69" s="40">
        <v>92677</v>
      </c>
      <c r="DG69" s="40">
        <v>92821</v>
      </c>
      <c r="DH69" s="40">
        <v>92960</v>
      </c>
      <c r="DI69" s="40">
        <v>93098</v>
      </c>
      <c r="DJ69" s="40">
        <v>93260</v>
      </c>
      <c r="DK69" s="40">
        <v>93385</v>
      </c>
      <c r="DL69" s="40">
        <v>93513</v>
      </c>
      <c r="DM69" s="40">
        <v>93654</v>
      </c>
      <c r="DN69" s="40">
        <v>93791</v>
      </c>
      <c r="DO69" s="40">
        <v>93925</v>
      </c>
    </row>
    <row r="70" spans="1:119">
      <c r="A70" s="40">
        <v>68</v>
      </c>
      <c r="B70" s="40"/>
      <c r="C70" s="40"/>
      <c r="D70" s="40"/>
      <c r="E70" s="40"/>
      <c r="F70" s="40"/>
      <c r="G70" s="40"/>
      <c r="H70" s="40"/>
      <c r="I70" s="40"/>
      <c r="J70" s="40"/>
      <c r="K70" s="40"/>
      <c r="L70" s="40"/>
      <c r="M70" s="40"/>
      <c r="N70" s="40"/>
      <c r="O70" s="40"/>
      <c r="P70" s="40"/>
      <c r="Q70" s="40"/>
      <c r="R70" s="40"/>
      <c r="S70" s="40"/>
      <c r="T70" s="40"/>
      <c r="U70" s="40"/>
      <c r="V70" s="40"/>
      <c r="W70" s="40">
        <v>52923</v>
      </c>
      <c r="X70" s="40">
        <v>53885</v>
      </c>
      <c r="Y70" s="40">
        <v>53972</v>
      </c>
      <c r="Z70" s="40">
        <v>55855</v>
      </c>
      <c r="AA70" s="40">
        <v>56533</v>
      </c>
      <c r="AB70" s="40">
        <v>57180</v>
      </c>
      <c r="AC70" s="40">
        <v>57622</v>
      </c>
      <c r="AD70" s="40">
        <v>58165</v>
      </c>
      <c r="AE70" s="40">
        <v>58268</v>
      </c>
      <c r="AF70" s="40">
        <v>59505</v>
      </c>
      <c r="AG70" s="40">
        <v>60296</v>
      </c>
      <c r="AH70" s="40">
        <v>61180</v>
      </c>
      <c r="AI70" s="40">
        <v>61883</v>
      </c>
      <c r="AJ70" s="40">
        <v>63465</v>
      </c>
      <c r="AK70" s="40">
        <v>63922</v>
      </c>
      <c r="AL70" s="40">
        <v>64878</v>
      </c>
      <c r="AM70" s="40">
        <v>65839</v>
      </c>
      <c r="AN70" s="40">
        <v>66658</v>
      </c>
      <c r="AO70" s="40">
        <v>66946</v>
      </c>
      <c r="AP70" s="40">
        <v>67499</v>
      </c>
      <c r="AQ70" s="40">
        <v>67929</v>
      </c>
      <c r="AR70" s="40">
        <v>68557</v>
      </c>
      <c r="AS70" s="40">
        <v>68127</v>
      </c>
      <c r="AT70" s="40">
        <v>67679</v>
      </c>
      <c r="AU70" s="40">
        <v>66723</v>
      </c>
      <c r="AV70" s="40">
        <v>67224</v>
      </c>
      <c r="AW70" s="40">
        <v>68073</v>
      </c>
      <c r="AX70" s="40">
        <v>70151</v>
      </c>
      <c r="AY70" s="40">
        <v>71747</v>
      </c>
      <c r="AZ70" s="40">
        <v>71786</v>
      </c>
      <c r="BA70" s="40">
        <v>71892</v>
      </c>
      <c r="BB70" s="40">
        <v>72652</v>
      </c>
      <c r="BC70" s="40">
        <v>73020</v>
      </c>
      <c r="BD70" s="40">
        <v>73672</v>
      </c>
      <c r="BE70" s="40">
        <v>74051</v>
      </c>
      <c r="BF70" s="40">
        <v>74731</v>
      </c>
      <c r="BG70" s="40">
        <v>74986</v>
      </c>
      <c r="BH70" s="40">
        <v>75761</v>
      </c>
      <c r="BI70" s="40">
        <v>76283</v>
      </c>
      <c r="BJ70" s="40">
        <v>76794</v>
      </c>
      <c r="BK70" s="40">
        <v>77441</v>
      </c>
      <c r="BL70" s="40">
        <v>78135</v>
      </c>
      <c r="BM70" s="40">
        <v>78824</v>
      </c>
      <c r="BN70" s="40">
        <v>79418</v>
      </c>
      <c r="BO70" s="40">
        <v>79977</v>
      </c>
      <c r="BP70" s="40">
        <v>80391</v>
      </c>
      <c r="BQ70" s="40">
        <v>80804</v>
      </c>
      <c r="BR70" s="40">
        <v>81192</v>
      </c>
      <c r="BS70" s="40">
        <v>81459</v>
      </c>
      <c r="BT70" s="40">
        <v>81828</v>
      </c>
      <c r="BU70" s="40">
        <v>82121</v>
      </c>
      <c r="BV70" s="40">
        <v>82495</v>
      </c>
      <c r="BW70" s="40">
        <v>82794</v>
      </c>
      <c r="BX70" s="40">
        <v>83188</v>
      </c>
      <c r="BY70" s="40">
        <v>83597</v>
      </c>
      <c r="BZ70" s="40">
        <v>84116</v>
      </c>
      <c r="CA70" s="40">
        <v>84505</v>
      </c>
      <c r="CB70" s="40">
        <v>84796</v>
      </c>
      <c r="CC70" s="40">
        <v>85198</v>
      </c>
      <c r="CD70" s="40">
        <v>85550</v>
      </c>
      <c r="CE70" s="40">
        <v>85859</v>
      </c>
      <c r="CF70" s="40">
        <v>86254</v>
      </c>
      <c r="CG70" s="40">
        <v>86572</v>
      </c>
      <c r="CH70" s="40">
        <v>86884</v>
      </c>
      <c r="CI70" s="40">
        <v>87229</v>
      </c>
      <c r="CJ70" s="40">
        <v>87464</v>
      </c>
      <c r="CK70" s="40">
        <v>87723</v>
      </c>
      <c r="CL70" s="40">
        <v>88056</v>
      </c>
      <c r="CM70" s="40">
        <v>88286</v>
      </c>
      <c r="CN70" s="40">
        <v>88568</v>
      </c>
      <c r="CO70" s="40">
        <v>88859</v>
      </c>
      <c r="CP70" s="40">
        <v>89102</v>
      </c>
      <c r="CQ70" s="40">
        <v>89360</v>
      </c>
      <c r="CR70" s="40">
        <v>89558</v>
      </c>
      <c r="CS70" s="40">
        <v>89804</v>
      </c>
      <c r="CT70" s="40">
        <v>90006</v>
      </c>
      <c r="CU70" s="40">
        <v>90221</v>
      </c>
      <c r="CV70" s="40">
        <v>90416</v>
      </c>
      <c r="CW70" s="40">
        <v>90608</v>
      </c>
      <c r="CX70" s="40">
        <v>90829</v>
      </c>
      <c r="CY70" s="40">
        <v>90989</v>
      </c>
      <c r="CZ70" s="40">
        <v>91178</v>
      </c>
      <c r="DA70" s="40">
        <v>91333</v>
      </c>
      <c r="DB70" s="40">
        <v>91529</v>
      </c>
      <c r="DC70" s="40">
        <v>91691</v>
      </c>
      <c r="DD70" s="40">
        <v>91860</v>
      </c>
      <c r="DE70" s="40">
        <v>92006</v>
      </c>
      <c r="DF70" s="40">
        <v>92196</v>
      </c>
      <c r="DG70" s="40">
        <v>92349</v>
      </c>
      <c r="DH70" s="40">
        <v>92497</v>
      </c>
      <c r="DI70" s="40">
        <v>92644</v>
      </c>
      <c r="DJ70" s="40">
        <v>92814</v>
      </c>
      <c r="DK70" s="40">
        <v>92948</v>
      </c>
      <c r="DL70" s="40">
        <v>93084</v>
      </c>
      <c r="DM70" s="40">
        <v>93232</v>
      </c>
      <c r="DN70" s="40">
        <v>93378</v>
      </c>
      <c r="DO70" s="40">
        <v>93519</v>
      </c>
    </row>
    <row r="71" spans="1:119">
      <c r="A71" s="40">
        <v>69</v>
      </c>
      <c r="B71" s="40"/>
      <c r="C71" s="40"/>
      <c r="D71" s="40"/>
      <c r="E71" s="40"/>
      <c r="F71" s="40"/>
      <c r="G71" s="40"/>
      <c r="H71" s="40"/>
      <c r="I71" s="40"/>
      <c r="J71" s="40"/>
      <c r="K71" s="40"/>
      <c r="L71" s="40"/>
      <c r="M71" s="40"/>
      <c r="N71" s="40"/>
      <c r="O71" s="40"/>
      <c r="P71" s="40"/>
      <c r="Q71" s="40"/>
      <c r="R71" s="40"/>
      <c r="S71" s="40"/>
      <c r="T71" s="40"/>
      <c r="U71" s="40"/>
      <c r="V71" s="40"/>
      <c r="W71" s="40">
        <v>51171</v>
      </c>
      <c r="X71" s="40">
        <v>52151</v>
      </c>
      <c r="Y71" s="40">
        <v>52272</v>
      </c>
      <c r="Z71" s="40">
        <v>54102</v>
      </c>
      <c r="AA71" s="40">
        <v>54827</v>
      </c>
      <c r="AB71" s="40">
        <v>55486</v>
      </c>
      <c r="AC71" s="40">
        <v>55887</v>
      </c>
      <c r="AD71" s="40">
        <v>56417</v>
      </c>
      <c r="AE71" s="40">
        <v>56591</v>
      </c>
      <c r="AF71" s="40">
        <v>57830</v>
      </c>
      <c r="AG71" s="40">
        <v>58663</v>
      </c>
      <c r="AH71" s="40">
        <v>59615</v>
      </c>
      <c r="AI71" s="40">
        <v>60360</v>
      </c>
      <c r="AJ71" s="40">
        <v>61904</v>
      </c>
      <c r="AK71" s="40">
        <v>62439</v>
      </c>
      <c r="AL71" s="40">
        <v>63446</v>
      </c>
      <c r="AM71" s="40">
        <v>64447</v>
      </c>
      <c r="AN71" s="40">
        <v>65319</v>
      </c>
      <c r="AO71" s="40">
        <v>65617</v>
      </c>
      <c r="AP71" s="40">
        <v>66180</v>
      </c>
      <c r="AQ71" s="40">
        <v>66614</v>
      </c>
      <c r="AR71" s="40">
        <v>67252</v>
      </c>
      <c r="AS71" s="40">
        <v>66824</v>
      </c>
      <c r="AT71" s="40">
        <v>66344</v>
      </c>
      <c r="AU71" s="40">
        <v>65451</v>
      </c>
      <c r="AV71" s="40">
        <v>65939</v>
      </c>
      <c r="AW71" s="40">
        <v>66779</v>
      </c>
      <c r="AX71" s="40">
        <v>68843</v>
      </c>
      <c r="AY71" s="40">
        <v>70436</v>
      </c>
      <c r="AZ71" s="40">
        <v>70500</v>
      </c>
      <c r="BA71" s="40">
        <v>70630</v>
      </c>
      <c r="BB71" s="40">
        <v>71402</v>
      </c>
      <c r="BC71" s="40">
        <v>71788</v>
      </c>
      <c r="BD71" s="40">
        <v>72454</v>
      </c>
      <c r="BE71" s="40">
        <v>72851</v>
      </c>
      <c r="BF71" s="40">
        <v>73544</v>
      </c>
      <c r="BG71" s="40">
        <v>73819</v>
      </c>
      <c r="BH71" s="40">
        <v>74605</v>
      </c>
      <c r="BI71" s="40">
        <v>75143</v>
      </c>
      <c r="BJ71" s="40">
        <v>75669</v>
      </c>
      <c r="BK71" s="40">
        <v>76328</v>
      </c>
      <c r="BL71" s="40">
        <v>77035</v>
      </c>
      <c r="BM71" s="40">
        <v>77737</v>
      </c>
      <c r="BN71" s="40">
        <v>78345</v>
      </c>
      <c r="BO71" s="40">
        <v>78918</v>
      </c>
      <c r="BP71" s="40">
        <v>79349</v>
      </c>
      <c r="BQ71" s="40">
        <v>79777</v>
      </c>
      <c r="BR71" s="40">
        <v>80182</v>
      </c>
      <c r="BS71" s="40">
        <v>80466</v>
      </c>
      <c r="BT71" s="40">
        <v>80850</v>
      </c>
      <c r="BU71" s="40">
        <v>81160</v>
      </c>
      <c r="BV71" s="40">
        <v>81550</v>
      </c>
      <c r="BW71" s="40">
        <v>81864</v>
      </c>
      <c r="BX71" s="40">
        <v>82272</v>
      </c>
      <c r="BY71" s="40">
        <v>82696</v>
      </c>
      <c r="BZ71" s="40">
        <v>83227</v>
      </c>
      <c r="CA71" s="40">
        <v>83631</v>
      </c>
      <c r="CB71" s="40">
        <v>83936</v>
      </c>
      <c r="CC71" s="40">
        <v>84351</v>
      </c>
      <c r="CD71" s="40">
        <v>84718</v>
      </c>
      <c r="CE71" s="40">
        <v>85040</v>
      </c>
      <c r="CF71" s="40">
        <v>85449</v>
      </c>
      <c r="CG71" s="40">
        <v>85780</v>
      </c>
      <c r="CH71" s="40">
        <v>86105</v>
      </c>
      <c r="CI71" s="40">
        <v>86463</v>
      </c>
      <c r="CJ71" s="40">
        <v>86712</v>
      </c>
      <c r="CK71" s="40">
        <v>86983</v>
      </c>
      <c r="CL71" s="40">
        <v>87329</v>
      </c>
      <c r="CM71" s="40">
        <v>87572</v>
      </c>
      <c r="CN71" s="40">
        <v>87866</v>
      </c>
      <c r="CO71" s="40">
        <v>88169</v>
      </c>
      <c r="CP71" s="40">
        <v>88424</v>
      </c>
      <c r="CQ71" s="40">
        <v>88694</v>
      </c>
      <c r="CR71" s="40">
        <v>88904</v>
      </c>
      <c r="CS71" s="40">
        <v>89161</v>
      </c>
      <c r="CT71" s="40">
        <v>89375</v>
      </c>
      <c r="CU71" s="40">
        <v>89602</v>
      </c>
      <c r="CV71" s="40">
        <v>89808</v>
      </c>
      <c r="CW71" s="40">
        <v>90011</v>
      </c>
      <c r="CX71" s="40">
        <v>90243</v>
      </c>
      <c r="CY71" s="40">
        <v>90413</v>
      </c>
      <c r="CZ71" s="40">
        <v>90613</v>
      </c>
      <c r="DA71" s="40">
        <v>90778</v>
      </c>
      <c r="DB71" s="40">
        <v>90985</v>
      </c>
      <c r="DC71" s="40">
        <v>91157</v>
      </c>
      <c r="DD71" s="40">
        <v>91335</v>
      </c>
      <c r="DE71" s="40">
        <v>91492</v>
      </c>
      <c r="DF71" s="40">
        <v>91691</v>
      </c>
      <c r="DG71" s="40">
        <v>91853</v>
      </c>
      <c r="DH71" s="40">
        <v>92011</v>
      </c>
      <c r="DI71" s="40">
        <v>92167</v>
      </c>
      <c r="DJ71" s="40">
        <v>92345</v>
      </c>
      <c r="DK71" s="40">
        <v>92488</v>
      </c>
      <c r="DL71" s="40">
        <v>92633</v>
      </c>
      <c r="DM71" s="40">
        <v>92790</v>
      </c>
      <c r="DN71" s="40">
        <v>92943</v>
      </c>
      <c r="DO71" s="40">
        <v>93094</v>
      </c>
    </row>
    <row r="72" spans="1:119">
      <c r="A72" s="40">
        <v>70</v>
      </c>
      <c r="B72" s="40"/>
      <c r="C72" s="40"/>
      <c r="D72" s="40"/>
      <c r="E72" s="40"/>
      <c r="F72" s="40"/>
      <c r="G72" s="40"/>
      <c r="H72" s="40"/>
      <c r="I72" s="40"/>
      <c r="J72" s="40"/>
      <c r="K72" s="40"/>
      <c r="L72" s="40"/>
      <c r="M72" s="40"/>
      <c r="N72" s="40"/>
      <c r="O72" s="40"/>
      <c r="P72" s="40"/>
      <c r="Q72" s="40"/>
      <c r="R72" s="40"/>
      <c r="S72" s="40"/>
      <c r="T72" s="40"/>
      <c r="U72" s="40"/>
      <c r="V72" s="40"/>
      <c r="W72" s="40">
        <v>49364</v>
      </c>
      <c r="X72" s="40">
        <v>50354</v>
      </c>
      <c r="Y72" s="40">
        <v>50499</v>
      </c>
      <c r="Z72" s="40">
        <v>52306</v>
      </c>
      <c r="AA72" s="40">
        <v>53043</v>
      </c>
      <c r="AB72" s="40">
        <v>53665</v>
      </c>
      <c r="AC72" s="40">
        <v>54135</v>
      </c>
      <c r="AD72" s="40">
        <v>54657</v>
      </c>
      <c r="AE72" s="40">
        <v>54843</v>
      </c>
      <c r="AF72" s="40">
        <v>56156</v>
      </c>
      <c r="AG72" s="40">
        <v>57015</v>
      </c>
      <c r="AH72" s="40">
        <v>58002</v>
      </c>
      <c r="AI72" s="40">
        <v>58745</v>
      </c>
      <c r="AJ72" s="40">
        <v>60330</v>
      </c>
      <c r="AK72" s="40">
        <v>60926</v>
      </c>
      <c r="AL72" s="40">
        <v>61990</v>
      </c>
      <c r="AM72" s="40">
        <v>63027</v>
      </c>
      <c r="AN72" s="40">
        <v>63909</v>
      </c>
      <c r="AO72" s="40">
        <v>64197</v>
      </c>
      <c r="AP72" s="40">
        <v>64792</v>
      </c>
      <c r="AQ72" s="40">
        <v>65210</v>
      </c>
      <c r="AR72" s="40">
        <v>65879</v>
      </c>
      <c r="AS72" s="40">
        <v>65431</v>
      </c>
      <c r="AT72" s="40">
        <v>65027</v>
      </c>
      <c r="AU72" s="40">
        <v>64081</v>
      </c>
      <c r="AV72" s="40">
        <v>64584</v>
      </c>
      <c r="AW72" s="40">
        <v>65434</v>
      </c>
      <c r="AX72" s="40">
        <v>67485</v>
      </c>
      <c r="AY72" s="40">
        <v>69074</v>
      </c>
      <c r="AZ72" s="40">
        <v>69163</v>
      </c>
      <c r="BA72" s="40">
        <v>69317</v>
      </c>
      <c r="BB72" s="40">
        <v>70102</v>
      </c>
      <c r="BC72" s="40">
        <v>70506</v>
      </c>
      <c r="BD72" s="40">
        <v>71186</v>
      </c>
      <c r="BE72" s="40">
        <v>71601</v>
      </c>
      <c r="BF72" s="40">
        <v>72307</v>
      </c>
      <c r="BG72" s="40">
        <v>72602</v>
      </c>
      <c r="BH72" s="40">
        <v>73400</v>
      </c>
      <c r="BI72" s="40">
        <v>73953</v>
      </c>
      <c r="BJ72" s="40">
        <v>74494</v>
      </c>
      <c r="BK72" s="40">
        <v>75167</v>
      </c>
      <c r="BL72" s="40">
        <v>75886</v>
      </c>
      <c r="BM72" s="40">
        <v>76602</v>
      </c>
      <c r="BN72" s="40">
        <v>77224</v>
      </c>
      <c r="BO72" s="40">
        <v>77812</v>
      </c>
      <c r="BP72" s="40">
        <v>78259</v>
      </c>
      <c r="BQ72" s="40">
        <v>78704</v>
      </c>
      <c r="BR72" s="40">
        <v>79125</v>
      </c>
      <c r="BS72" s="40">
        <v>79427</v>
      </c>
      <c r="BT72" s="40">
        <v>79828</v>
      </c>
      <c r="BU72" s="40">
        <v>80155</v>
      </c>
      <c r="BV72" s="40">
        <v>80560</v>
      </c>
      <c r="BW72" s="40">
        <v>80891</v>
      </c>
      <c r="BX72" s="40">
        <v>81314</v>
      </c>
      <c r="BY72" s="40">
        <v>81752</v>
      </c>
      <c r="BZ72" s="40">
        <v>82297</v>
      </c>
      <c r="CA72" s="40">
        <v>82715</v>
      </c>
      <c r="CB72" s="40">
        <v>83035</v>
      </c>
      <c r="CC72" s="40">
        <v>83465</v>
      </c>
      <c r="CD72" s="40">
        <v>83845</v>
      </c>
      <c r="CE72" s="40">
        <v>84182</v>
      </c>
      <c r="CF72" s="40">
        <v>84604</v>
      </c>
      <c r="CG72" s="40">
        <v>84949</v>
      </c>
      <c r="CH72" s="40">
        <v>85288</v>
      </c>
      <c r="CI72" s="40">
        <v>85660</v>
      </c>
      <c r="CJ72" s="40">
        <v>85922</v>
      </c>
      <c r="CK72" s="40">
        <v>86207</v>
      </c>
      <c r="CL72" s="40">
        <v>86566</v>
      </c>
      <c r="CM72" s="40">
        <v>86822</v>
      </c>
      <c r="CN72" s="40">
        <v>87129</v>
      </c>
      <c r="CO72" s="40">
        <v>87445</v>
      </c>
      <c r="CP72" s="40">
        <v>87712</v>
      </c>
      <c r="CQ72" s="40">
        <v>87995</v>
      </c>
      <c r="CR72" s="40">
        <v>88217</v>
      </c>
      <c r="CS72" s="40">
        <v>88487</v>
      </c>
      <c r="CT72" s="40">
        <v>88712</v>
      </c>
      <c r="CU72" s="40">
        <v>88951</v>
      </c>
      <c r="CV72" s="40">
        <v>89169</v>
      </c>
      <c r="CW72" s="40">
        <v>89384</v>
      </c>
      <c r="CX72" s="40">
        <v>89626</v>
      </c>
      <c r="CY72" s="40">
        <v>89809</v>
      </c>
      <c r="CZ72" s="40">
        <v>90019</v>
      </c>
      <c r="DA72" s="40">
        <v>90195</v>
      </c>
      <c r="DB72" s="40">
        <v>90413</v>
      </c>
      <c r="DC72" s="40">
        <v>90595</v>
      </c>
      <c r="DD72" s="40">
        <v>90784</v>
      </c>
      <c r="DE72" s="40">
        <v>90951</v>
      </c>
      <c r="DF72" s="40">
        <v>91159</v>
      </c>
      <c r="DG72" s="40">
        <v>91332</v>
      </c>
      <c r="DH72" s="40">
        <v>91499</v>
      </c>
      <c r="DI72" s="40">
        <v>91665</v>
      </c>
      <c r="DJ72" s="40">
        <v>91852</v>
      </c>
      <c r="DK72" s="40">
        <v>92005</v>
      </c>
      <c r="DL72" s="40">
        <v>92158</v>
      </c>
      <c r="DM72" s="40">
        <v>92324</v>
      </c>
      <c r="DN72" s="40">
        <v>92486</v>
      </c>
      <c r="DO72" s="40">
        <v>92645</v>
      </c>
    </row>
    <row r="73" spans="1:119">
      <c r="A73" s="40">
        <v>71</v>
      </c>
      <c r="B73" s="40"/>
      <c r="C73" s="40"/>
      <c r="D73" s="40"/>
      <c r="E73" s="40"/>
      <c r="F73" s="40"/>
      <c r="G73" s="40"/>
      <c r="H73" s="40"/>
      <c r="I73" s="40"/>
      <c r="J73" s="40"/>
      <c r="K73" s="40"/>
      <c r="L73" s="40"/>
      <c r="M73" s="40"/>
      <c r="N73" s="40"/>
      <c r="O73" s="40"/>
      <c r="P73" s="40"/>
      <c r="Q73" s="40"/>
      <c r="R73" s="40"/>
      <c r="S73" s="40"/>
      <c r="T73" s="40"/>
      <c r="U73" s="40"/>
      <c r="V73" s="40"/>
      <c r="W73" s="40">
        <v>47496</v>
      </c>
      <c r="X73" s="40">
        <v>48498</v>
      </c>
      <c r="Y73" s="40">
        <v>48653</v>
      </c>
      <c r="Z73" s="40">
        <v>50392</v>
      </c>
      <c r="AA73" s="40">
        <v>51179</v>
      </c>
      <c r="AB73" s="40">
        <v>51888</v>
      </c>
      <c r="AC73" s="40">
        <v>52321</v>
      </c>
      <c r="AD73" s="40">
        <v>52846</v>
      </c>
      <c r="AE73" s="40">
        <v>53061</v>
      </c>
      <c r="AF73" s="40">
        <v>54390</v>
      </c>
      <c r="AG73" s="40">
        <v>55307</v>
      </c>
      <c r="AH73" s="40">
        <v>56275</v>
      </c>
      <c r="AI73" s="40">
        <v>57107</v>
      </c>
      <c r="AJ73" s="40">
        <v>58680</v>
      </c>
      <c r="AK73" s="40">
        <v>59384</v>
      </c>
      <c r="AL73" s="40">
        <v>60453</v>
      </c>
      <c r="AM73" s="40">
        <v>61525</v>
      </c>
      <c r="AN73" s="40">
        <v>62423</v>
      </c>
      <c r="AO73" s="40">
        <v>62729</v>
      </c>
      <c r="AP73" s="40">
        <v>63296</v>
      </c>
      <c r="AQ73" s="40">
        <v>63765</v>
      </c>
      <c r="AR73" s="40">
        <v>64408</v>
      </c>
      <c r="AS73" s="40">
        <v>64013</v>
      </c>
      <c r="AT73" s="40">
        <v>63541</v>
      </c>
      <c r="AU73" s="40">
        <v>62659</v>
      </c>
      <c r="AV73" s="40">
        <v>63179</v>
      </c>
      <c r="AW73" s="40">
        <v>64038</v>
      </c>
      <c r="AX73" s="40">
        <v>66073</v>
      </c>
      <c r="AY73" s="40">
        <v>67658</v>
      </c>
      <c r="AZ73" s="40">
        <v>67773</v>
      </c>
      <c r="BA73" s="40">
        <v>67951</v>
      </c>
      <c r="BB73" s="40">
        <v>68748</v>
      </c>
      <c r="BC73" s="40">
        <v>69172</v>
      </c>
      <c r="BD73" s="40">
        <v>69865</v>
      </c>
      <c r="BE73" s="40">
        <v>70299</v>
      </c>
      <c r="BF73" s="40">
        <v>71018</v>
      </c>
      <c r="BG73" s="40">
        <v>71333</v>
      </c>
      <c r="BH73" s="40">
        <v>72142</v>
      </c>
      <c r="BI73" s="40">
        <v>72711</v>
      </c>
      <c r="BJ73" s="40">
        <v>73268</v>
      </c>
      <c r="BK73" s="40">
        <v>73955</v>
      </c>
      <c r="BL73" s="40">
        <v>74687</v>
      </c>
      <c r="BM73" s="40">
        <v>75416</v>
      </c>
      <c r="BN73" s="40">
        <v>76053</v>
      </c>
      <c r="BO73" s="40">
        <v>76656</v>
      </c>
      <c r="BP73" s="40">
        <v>77120</v>
      </c>
      <c r="BQ73" s="40">
        <v>77582</v>
      </c>
      <c r="BR73" s="40">
        <v>78020</v>
      </c>
      <c r="BS73" s="40">
        <v>78340</v>
      </c>
      <c r="BT73" s="40">
        <v>78757</v>
      </c>
      <c r="BU73" s="40">
        <v>79102</v>
      </c>
      <c r="BV73" s="40">
        <v>79523</v>
      </c>
      <c r="BW73" s="40">
        <v>79871</v>
      </c>
      <c r="BX73" s="40">
        <v>80310</v>
      </c>
      <c r="BY73" s="40">
        <v>80763</v>
      </c>
      <c r="BZ73" s="40">
        <v>81321</v>
      </c>
      <c r="CA73" s="40">
        <v>81754</v>
      </c>
      <c r="CB73" s="40">
        <v>82091</v>
      </c>
      <c r="CC73" s="40">
        <v>82534</v>
      </c>
      <c r="CD73" s="40">
        <v>82930</v>
      </c>
      <c r="CE73" s="40">
        <v>83282</v>
      </c>
      <c r="CF73" s="40">
        <v>83717</v>
      </c>
      <c r="CG73" s="40">
        <v>84077</v>
      </c>
      <c r="CH73" s="40">
        <v>84430</v>
      </c>
      <c r="CI73" s="40">
        <v>84816</v>
      </c>
      <c r="CJ73" s="40">
        <v>85093</v>
      </c>
      <c r="CK73" s="40">
        <v>85392</v>
      </c>
      <c r="CL73" s="40">
        <v>85764</v>
      </c>
      <c r="CM73" s="40">
        <v>86034</v>
      </c>
      <c r="CN73" s="40">
        <v>86354</v>
      </c>
      <c r="CO73" s="40">
        <v>86683</v>
      </c>
      <c r="CP73" s="40">
        <v>86963</v>
      </c>
      <c r="CQ73" s="40">
        <v>87259</v>
      </c>
      <c r="CR73" s="40">
        <v>87495</v>
      </c>
      <c r="CS73" s="40">
        <v>87776</v>
      </c>
      <c r="CT73" s="40">
        <v>88015</v>
      </c>
      <c r="CU73" s="40">
        <v>88266</v>
      </c>
      <c r="CV73" s="40">
        <v>88496</v>
      </c>
      <c r="CW73" s="40">
        <v>88723</v>
      </c>
      <c r="CX73" s="40">
        <v>88977</v>
      </c>
      <c r="CY73" s="40">
        <v>89171</v>
      </c>
      <c r="CZ73" s="40">
        <v>89393</v>
      </c>
      <c r="DA73" s="40">
        <v>89581</v>
      </c>
      <c r="DB73" s="40">
        <v>89810</v>
      </c>
      <c r="DC73" s="40">
        <v>90003</v>
      </c>
      <c r="DD73" s="40">
        <v>90203</v>
      </c>
      <c r="DE73" s="40">
        <v>90380</v>
      </c>
      <c r="DF73" s="40">
        <v>90599</v>
      </c>
      <c r="DG73" s="40">
        <v>90782</v>
      </c>
      <c r="DH73" s="40">
        <v>90959</v>
      </c>
      <c r="DI73" s="40">
        <v>91135</v>
      </c>
      <c r="DJ73" s="40">
        <v>91333</v>
      </c>
      <c r="DK73" s="40">
        <v>91494</v>
      </c>
      <c r="DL73" s="40">
        <v>91658</v>
      </c>
      <c r="DM73" s="40">
        <v>91833</v>
      </c>
      <c r="DN73" s="40">
        <v>92004</v>
      </c>
      <c r="DO73" s="40">
        <v>92172</v>
      </c>
    </row>
    <row r="74" spans="1:119">
      <c r="A74" s="40">
        <v>72</v>
      </c>
      <c r="B74" s="40"/>
      <c r="C74" s="40"/>
      <c r="D74" s="40"/>
      <c r="E74" s="40"/>
      <c r="F74" s="40"/>
      <c r="G74" s="40"/>
      <c r="H74" s="40"/>
      <c r="I74" s="40"/>
      <c r="J74" s="40"/>
      <c r="K74" s="40"/>
      <c r="L74" s="40"/>
      <c r="M74" s="40"/>
      <c r="N74" s="40"/>
      <c r="O74" s="40"/>
      <c r="P74" s="40"/>
      <c r="Q74" s="40"/>
      <c r="R74" s="40"/>
      <c r="S74" s="40"/>
      <c r="T74" s="40"/>
      <c r="U74" s="40"/>
      <c r="V74" s="40"/>
      <c r="W74" s="40">
        <v>45529</v>
      </c>
      <c r="X74" s="40">
        <v>46545</v>
      </c>
      <c r="Y74" s="40">
        <v>46733</v>
      </c>
      <c r="Z74" s="40">
        <v>48390</v>
      </c>
      <c r="AA74" s="40">
        <v>49262</v>
      </c>
      <c r="AB74" s="40">
        <v>50015</v>
      </c>
      <c r="AC74" s="40">
        <v>50441</v>
      </c>
      <c r="AD74" s="40">
        <v>50975</v>
      </c>
      <c r="AE74" s="40">
        <v>51231</v>
      </c>
      <c r="AF74" s="40">
        <v>52574</v>
      </c>
      <c r="AG74" s="40">
        <v>53492</v>
      </c>
      <c r="AH74" s="40">
        <v>54551</v>
      </c>
      <c r="AI74" s="40">
        <v>55415</v>
      </c>
      <c r="AJ74" s="40">
        <v>57000</v>
      </c>
      <c r="AK74" s="40">
        <v>57748</v>
      </c>
      <c r="AL74" s="40">
        <v>58857</v>
      </c>
      <c r="AM74" s="40">
        <v>59950</v>
      </c>
      <c r="AN74" s="40">
        <v>60873</v>
      </c>
      <c r="AO74" s="40">
        <v>61167</v>
      </c>
      <c r="AP74" s="40">
        <v>61758</v>
      </c>
      <c r="AQ74" s="40">
        <v>62208</v>
      </c>
      <c r="AR74" s="40">
        <v>62889</v>
      </c>
      <c r="AS74" s="40">
        <v>62434</v>
      </c>
      <c r="AT74" s="40">
        <v>62014</v>
      </c>
      <c r="AU74" s="40">
        <v>61182</v>
      </c>
      <c r="AV74" s="40">
        <v>61719</v>
      </c>
      <c r="AW74" s="40">
        <v>62587</v>
      </c>
      <c r="AX74" s="40">
        <v>64605</v>
      </c>
      <c r="AY74" s="40">
        <v>66184</v>
      </c>
      <c r="AZ74" s="40">
        <v>66326</v>
      </c>
      <c r="BA74" s="40">
        <v>66528</v>
      </c>
      <c r="BB74" s="40">
        <v>67336</v>
      </c>
      <c r="BC74" s="40">
        <v>67779</v>
      </c>
      <c r="BD74" s="40">
        <v>68486</v>
      </c>
      <c r="BE74" s="40">
        <v>68938</v>
      </c>
      <c r="BF74" s="40">
        <v>69670</v>
      </c>
      <c r="BG74" s="40">
        <v>70005</v>
      </c>
      <c r="BH74" s="40">
        <v>70826</v>
      </c>
      <c r="BI74" s="40">
        <v>71410</v>
      </c>
      <c r="BJ74" s="40">
        <v>71983</v>
      </c>
      <c r="BK74" s="40">
        <v>72684</v>
      </c>
      <c r="BL74" s="40">
        <v>73430</v>
      </c>
      <c r="BM74" s="40">
        <v>74171</v>
      </c>
      <c r="BN74" s="40">
        <v>74823</v>
      </c>
      <c r="BO74" s="40">
        <v>75442</v>
      </c>
      <c r="BP74" s="40">
        <v>75923</v>
      </c>
      <c r="BQ74" s="40">
        <v>76402</v>
      </c>
      <c r="BR74" s="40">
        <v>76857</v>
      </c>
      <c r="BS74" s="40">
        <v>77196</v>
      </c>
      <c r="BT74" s="40">
        <v>77630</v>
      </c>
      <c r="BU74" s="40">
        <v>77992</v>
      </c>
      <c r="BV74" s="40">
        <v>78430</v>
      </c>
      <c r="BW74" s="40">
        <v>78795</v>
      </c>
      <c r="BX74" s="40">
        <v>79250</v>
      </c>
      <c r="BY74" s="40">
        <v>79719</v>
      </c>
      <c r="BZ74" s="40">
        <v>80291</v>
      </c>
      <c r="CA74" s="40">
        <v>80739</v>
      </c>
      <c r="CB74" s="40">
        <v>81092</v>
      </c>
      <c r="CC74" s="40">
        <v>81550</v>
      </c>
      <c r="CD74" s="40">
        <v>81961</v>
      </c>
      <c r="CE74" s="40">
        <v>82328</v>
      </c>
      <c r="CF74" s="40">
        <v>82778</v>
      </c>
      <c r="CG74" s="40">
        <v>83153</v>
      </c>
      <c r="CH74" s="40">
        <v>83520</v>
      </c>
      <c r="CI74" s="40">
        <v>83920</v>
      </c>
      <c r="CJ74" s="40">
        <v>84213</v>
      </c>
      <c r="CK74" s="40">
        <v>84526</v>
      </c>
      <c r="CL74" s="40">
        <v>84912</v>
      </c>
      <c r="CM74" s="40">
        <v>85197</v>
      </c>
      <c r="CN74" s="40">
        <v>85530</v>
      </c>
      <c r="CO74" s="40">
        <v>85873</v>
      </c>
      <c r="CP74" s="40">
        <v>86167</v>
      </c>
      <c r="CQ74" s="40">
        <v>86476</v>
      </c>
      <c r="CR74" s="40">
        <v>86725</v>
      </c>
      <c r="CS74" s="40">
        <v>87020</v>
      </c>
      <c r="CT74" s="40">
        <v>87272</v>
      </c>
      <c r="CU74" s="40">
        <v>87536</v>
      </c>
      <c r="CV74" s="40">
        <v>87779</v>
      </c>
      <c r="CW74" s="40">
        <v>88018</v>
      </c>
      <c r="CX74" s="40">
        <v>88284</v>
      </c>
      <c r="CY74" s="40">
        <v>88491</v>
      </c>
      <c r="CZ74" s="40">
        <v>88725</v>
      </c>
      <c r="DA74" s="40">
        <v>88925</v>
      </c>
      <c r="DB74" s="40">
        <v>89165</v>
      </c>
      <c r="DC74" s="40">
        <v>89370</v>
      </c>
      <c r="DD74" s="40">
        <v>89581</v>
      </c>
      <c r="DE74" s="40">
        <v>89770</v>
      </c>
      <c r="DF74" s="40">
        <v>90000</v>
      </c>
      <c r="DG74" s="40">
        <v>90193</v>
      </c>
      <c r="DH74" s="40">
        <v>90381</v>
      </c>
      <c r="DI74" s="40">
        <v>90567</v>
      </c>
      <c r="DJ74" s="40">
        <v>90775</v>
      </c>
      <c r="DK74" s="40">
        <v>90947</v>
      </c>
      <c r="DL74" s="40">
        <v>91120</v>
      </c>
      <c r="DM74" s="40">
        <v>91306</v>
      </c>
      <c r="DN74" s="40">
        <v>91487</v>
      </c>
      <c r="DO74" s="40">
        <v>91664</v>
      </c>
    </row>
    <row r="75" spans="1:119">
      <c r="A75" s="40">
        <v>73</v>
      </c>
      <c r="B75" s="40"/>
      <c r="C75" s="40"/>
      <c r="D75" s="40"/>
      <c r="E75" s="40"/>
      <c r="F75" s="40"/>
      <c r="G75" s="40"/>
      <c r="H75" s="40"/>
      <c r="I75" s="40"/>
      <c r="J75" s="40"/>
      <c r="K75" s="40"/>
      <c r="L75" s="40"/>
      <c r="M75" s="40"/>
      <c r="N75" s="40"/>
      <c r="O75" s="40"/>
      <c r="P75" s="40"/>
      <c r="Q75" s="40"/>
      <c r="R75" s="40"/>
      <c r="S75" s="40"/>
      <c r="T75" s="40"/>
      <c r="U75" s="40"/>
      <c r="V75" s="40"/>
      <c r="W75" s="40">
        <v>43516</v>
      </c>
      <c r="X75" s="40">
        <v>44542</v>
      </c>
      <c r="Y75" s="40">
        <v>44692</v>
      </c>
      <c r="Z75" s="40">
        <v>46427</v>
      </c>
      <c r="AA75" s="40">
        <v>47301</v>
      </c>
      <c r="AB75" s="40">
        <v>48075</v>
      </c>
      <c r="AC75" s="40">
        <v>48552</v>
      </c>
      <c r="AD75" s="40">
        <v>49119</v>
      </c>
      <c r="AE75" s="40">
        <v>49348</v>
      </c>
      <c r="AF75" s="40">
        <v>50661</v>
      </c>
      <c r="AG75" s="40">
        <v>51645</v>
      </c>
      <c r="AH75" s="40">
        <v>52779</v>
      </c>
      <c r="AI75" s="40">
        <v>53670</v>
      </c>
      <c r="AJ75" s="40">
        <v>55256</v>
      </c>
      <c r="AK75" s="40">
        <v>56039</v>
      </c>
      <c r="AL75" s="40">
        <v>57183</v>
      </c>
      <c r="AM75" s="40">
        <v>58324</v>
      </c>
      <c r="AN75" s="40">
        <v>59224</v>
      </c>
      <c r="AO75" s="40">
        <v>59523</v>
      </c>
      <c r="AP75" s="40">
        <v>60112</v>
      </c>
      <c r="AQ75" s="40">
        <v>60601</v>
      </c>
      <c r="AR75" s="40">
        <v>61256</v>
      </c>
      <c r="AS75" s="40">
        <v>60807</v>
      </c>
      <c r="AT75" s="40">
        <v>60429</v>
      </c>
      <c r="AU75" s="40">
        <v>59649</v>
      </c>
      <c r="AV75" s="40">
        <v>60202</v>
      </c>
      <c r="AW75" s="40">
        <v>61078</v>
      </c>
      <c r="AX75" s="40">
        <v>63077</v>
      </c>
      <c r="AY75" s="40">
        <v>64648</v>
      </c>
      <c r="AZ75" s="40">
        <v>64816</v>
      </c>
      <c r="BA75" s="40">
        <v>65043</v>
      </c>
      <c r="BB75" s="40">
        <v>65862</v>
      </c>
      <c r="BC75" s="40">
        <v>66323</v>
      </c>
      <c r="BD75" s="40">
        <v>67043</v>
      </c>
      <c r="BE75" s="40">
        <v>67513</v>
      </c>
      <c r="BF75" s="40">
        <v>68258</v>
      </c>
      <c r="BG75" s="40">
        <v>68613</v>
      </c>
      <c r="BH75" s="40">
        <v>69444</v>
      </c>
      <c r="BI75" s="40">
        <v>70044</v>
      </c>
      <c r="BJ75" s="40">
        <v>70634</v>
      </c>
      <c r="BK75" s="40">
        <v>71349</v>
      </c>
      <c r="BL75" s="40">
        <v>72108</v>
      </c>
      <c r="BM75" s="40">
        <v>72862</v>
      </c>
      <c r="BN75" s="40">
        <v>73529</v>
      </c>
      <c r="BO75" s="40">
        <v>74163</v>
      </c>
      <c r="BP75" s="40">
        <v>74661</v>
      </c>
      <c r="BQ75" s="40">
        <v>75157</v>
      </c>
      <c r="BR75" s="40">
        <v>75629</v>
      </c>
      <c r="BS75" s="40">
        <v>75987</v>
      </c>
      <c r="BT75" s="40">
        <v>76439</v>
      </c>
      <c r="BU75" s="40">
        <v>76819</v>
      </c>
      <c r="BV75" s="40">
        <v>77274</v>
      </c>
      <c r="BW75" s="40">
        <v>77657</v>
      </c>
      <c r="BX75" s="40">
        <v>78127</v>
      </c>
      <c r="BY75" s="40">
        <v>78612</v>
      </c>
      <c r="BZ75" s="40">
        <v>79198</v>
      </c>
      <c r="CA75" s="40">
        <v>79662</v>
      </c>
      <c r="CB75" s="40">
        <v>80031</v>
      </c>
      <c r="CC75" s="40">
        <v>80505</v>
      </c>
      <c r="CD75" s="40">
        <v>80931</v>
      </c>
      <c r="CE75" s="40">
        <v>81314</v>
      </c>
      <c r="CF75" s="40">
        <v>81779</v>
      </c>
      <c r="CG75" s="40">
        <v>82169</v>
      </c>
      <c r="CH75" s="40">
        <v>82552</v>
      </c>
      <c r="CI75" s="40">
        <v>82966</v>
      </c>
      <c r="CJ75" s="40">
        <v>83274</v>
      </c>
      <c r="CK75" s="40">
        <v>83603</v>
      </c>
      <c r="CL75" s="40">
        <v>84003</v>
      </c>
      <c r="CM75" s="40">
        <v>84302</v>
      </c>
      <c r="CN75" s="40">
        <v>84651</v>
      </c>
      <c r="CO75" s="40">
        <v>85007</v>
      </c>
      <c r="CP75" s="40">
        <v>85315</v>
      </c>
      <c r="CQ75" s="40">
        <v>85638</v>
      </c>
      <c r="CR75" s="40">
        <v>85901</v>
      </c>
      <c r="CS75" s="40">
        <v>86210</v>
      </c>
      <c r="CT75" s="40">
        <v>86475</v>
      </c>
      <c r="CU75" s="40">
        <v>86753</v>
      </c>
      <c r="CV75" s="40">
        <v>87009</v>
      </c>
      <c r="CW75" s="40">
        <v>87262</v>
      </c>
      <c r="CX75" s="40">
        <v>87541</v>
      </c>
      <c r="CY75" s="40">
        <v>87760</v>
      </c>
      <c r="CZ75" s="40">
        <v>88007</v>
      </c>
      <c r="DA75" s="40">
        <v>88219</v>
      </c>
      <c r="DB75" s="40">
        <v>88472</v>
      </c>
      <c r="DC75" s="40">
        <v>88688</v>
      </c>
      <c r="DD75" s="40">
        <v>88912</v>
      </c>
      <c r="DE75" s="40">
        <v>89112</v>
      </c>
      <c r="DF75" s="40">
        <v>89353</v>
      </c>
      <c r="DG75" s="40">
        <v>89558</v>
      </c>
      <c r="DH75" s="40">
        <v>89758</v>
      </c>
      <c r="DI75" s="40">
        <v>89955</v>
      </c>
      <c r="DJ75" s="40">
        <v>90174</v>
      </c>
      <c r="DK75" s="40">
        <v>90356</v>
      </c>
      <c r="DL75" s="40">
        <v>90540</v>
      </c>
      <c r="DM75" s="40">
        <v>90736</v>
      </c>
      <c r="DN75" s="40">
        <v>90927</v>
      </c>
      <c r="DO75" s="40">
        <v>91114</v>
      </c>
    </row>
    <row r="76" spans="1:119">
      <c r="A76" s="40">
        <v>74</v>
      </c>
      <c r="B76" s="40"/>
      <c r="C76" s="40"/>
      <c r="D76" s="40"/>
      <c r="E76" s="40"/>
      <c r="F76" s="40"/>
      <c r="G76" s="40"/>
      <c r="H76" s="40"/>
      <c r="I76" s="40"/>
      <c r="J76" s="40"/>
      <c r="K76" s="40"/>
      <c r="L76" s="40"/>
      <c r="M76" s="40"/>
      <c r="N76" s="40"/>
      <c r="O76" s="40"/>
      <c r="P76" s="40"/>
      <c r="Q76" s="40"/>
      <c r="R76" s="40"/>
      <c r="S76" s="40"/>
      <c r="T76" s="40"/>
      <c r="U76" s="40"/>
      <c r="V76" s="40"/>
      <c r="W76" s="40">
        <v>41435</v>
      </c>
      <c r="X76" s="40">
        <v>42442</v>
      </c>
      <c r="Y76" s="40">
        <v>42678</v>
      </c>
      <c r="Z76" s="40">
        <v>44436</v>
      </c>
      <c r="AA76" s="40">
        <v>45286</v>
      </c>
      <c r="AB76" s="40">
        <v>46132</v>
      </c>
      <c r="AC76" s="40">
        <v>46658</v>
      </c>
      <c r="AD76" s="40">
        <v>47168</v>
      </c>
      <c r="AE76" s="40">
        <v>47372</v>
      </c>
      <c r="AF76" s="40">
        <v>48745</v>
      </c>
      <c r="AG76" s="40">
        <v>49744</v>
      </c>
      <c r="AH76" s="40">
        <v>50990</v>
      </c>
      <c r="AI76" s="40">
        <v>51866</v>
      </c>
      <c r="AJ76" s="40">
        <v>53460</v>
      </c>
      <c r="AK76" s="40">
        <v>54247</v>
      </c>
      <c r="AL76" s="40">
        <v>55439</v>
      </c>
      <c r="AM76" s="40">
        <v>56591</v>
      </c>
      <c r="AN76" s="40">
        <v>57500</v>
      </c>
      <c r="AO76" s="40">
        <v>57777</v>
      </c>
      <c r="AP76" s="40">
        <v>58432</v>
      </c>
      <c r="AQ76" s="40">
        <v>58825</v>
      </c>
      <c r="AR76" s="40">
        <v>59520</v>
      </c>
      <c r="AS76" s="40">
        <v>59117</v>
      </c>
      <c r="AT76" s="40">
        <v>58780</v>
      </c>
      <c r="AU76" s="40">
        <v>58052</v>
      </c>
      <c r="AV76" s="40">
        <v>58620</v>
      </c>
      <c r="AW76" s="40">
        <v>59503</v>
      </c>
      <c r="AX76" s="40">
        <v>61481</v>
      </c>
      <c r="AY76" s="40">
        <v>63043</v>
      </c>
      <c r="AZ76" s="40">
        <v>63237</v>
      </c>
      <c r="BA76" s="40">
        <v>63488</v>
      </c>
      <c r="BB76" s="40">
        <v>64317</v>
      </c>
      <c r="BC76" s="40">
        <v>64797</v>
      </c>
      <c r="BD76" s="40">
        <v>65528</v>
      </c>
      <c r="BE76" s="40">
        <v>66017</v>
      </c>
      <c r="BF76" s="40">
        <v>66773</v>
      </c>
      <c r="BG76" s="40">
        <v>67149</v>
      </c>
      <c r="BH76" s="40">
        <v>67991</v>
      </c>
      <c r="BI76" s="40">
        <v>68607</v>
      </c>
      <c r="BJ76" s="40">
        <v>69213</v>
      </c>
      <c r="BK76" s="40">
        <v>69941</v>
      </c>
      <c r="BL76" s="40">
        <v>70713</v>
      </c>
      <c r="BM76" s="40">
        <v>71480</v>
      </c>
      <c r="BN76" s="40">
        <v>72161</v>
      </c>
      <c r="BO76" s="40">
        <v>72810</v>
      </c>
      <c r="BP76" s="40">
        <v>73326</v>
      </c>
      <c r="BQ76" s="40">
        <v>73839</v>
      </c>
      <c r="BR76" s="40">
        <v>74329</v>
      </c>
      <c r="BS76" s="40">
        <v>74706</v>
      </c>
      <c r="BT76" s="40">
        <v>75175</v>
      </c>
      <c r="BU76" s="40">
        <v>75574</v>
      </c>
      <c r="BV76" s="40">
        <v>76045</v>
      </c>
      <c r="BW76" s="40">
        <v>76446</v>
      </c>
      <c r="BX76" s="40">
        <v>76933</v>
      </c>
      <c r="BY76" s="40">
        <v>77433</v>
      </c>
      <c r="BZ76" s="40">
        <v>78034</v>
      </c>
      <c r="CA76" s="40">
        <v>78514</v>
      </c>
      <c r="CB76" s="40">
        <v>78900</v>
      </c>
      <c r="CC76" s="40">
        <v>79389</v>
      </c>
      <c r="CD76" s="40">
        <v>79831</v>
      </c>
      <c r="CE76" s="40">
        <v>80231</v>
      </c>
      <c r="CF76" s="40">
        <v>80711</v>
      </c>
      <c r="CG76" s="40">
        <v>81116</v>
      </c>
      <c r="CH76" s="40">
        <v>81515</v>
      </c>
      <c r="CI76" s="40">
        <v>81944</v>
      </c>
      <c r="CJ76" s="40">
        <v>82268</v>
      </c>
      <c r="CK76" s="40">
        <v>82613</v>
      </c>
      <c r="CL76" s="40">
        <v>83027</v>
      </c>
      <c r="CM76" s="40">
        <v>83343</v>
      </c>
      <c r="CN76" s="40">
        <v>83705</v>
      </c>
      <c r="CO76" s="40">
        <v>84076</v>
      </c>
      <c r="CP76" s="40">
        <v>84399</v>
      </c>
      <c r="CQ76" s="40">
        <v>84736</v>
      </c>
      <c r="CR76" s="40">
        <v>85015</v>
      </c>
      <c r="CS76" s="40">
        <v>85337</v>
      </c>
      <c r="CT76" s="40">
        <v>85617</v>
      </c>
      <c r="CU76" s="40">
        <v>85908</v>
      </c>
      <c r="CV76" s="40">
        <v>86179</v>
      </c>
      <c r="CW76" s="40">
        <v>86445</v>
      </c>
      <c r="CX76" s="40">
        <v>86738</v>
      </c>
      <c r="CY76" s="40">
        <v>86971</v>
      </c>
      <c r="CZ76" s="40">
        <v>87230</v>
      </c>
      <c r="DA76" s="40">
        <v>87456</v>
      </c>
      <c r="DB76" s="40">
        <v>87721</v>
      </c>
      <c r="DC76" s="40">
        <v>87951</v>
      </c>
      <c r="DD76" s="40">
        <v>88187</v>
      </c>
      <c r="DE76" s="40">
        <v>88400</v>
      </c>
      <c r="DF76" s="40">
        <v>88653</v>
      </c>
      <c r="DG76" s="40">
        <v>88870</v>
      </c>
      <c r="DH76" s="40">
        <v>89081</v>
      </c>
      <c r="DI76" s="40">
        <v>89290</v>
      </c>
      <c r="DJ76" s="40">
        <v>89520</v>
      </c>
      <c r="DK76" s="40">
        <v>89714</v>
      </c>
      <c r="DL76" s="40">
        <v>89909</v>
      </c>
      <c r="DM76" s="40">
        <v>90116</v>
      </c>
      <c r="DN76" s="40">
        <v>90318</v>
      </c>
      <c r="DO76" s="40">
        <v>90515</v>
      </c>
    </row>
    <row r="77" spans="1:119">
      <c r="A77" s="40">
        <v>75</v>
      </c>
      <c r="B77" s="40"/>
      <c r="C77" s="40"/>
      <c r="D77" s="40"/>
      <c r="E77" s="40"/>
      <c r="F77" s="40"/>
      <c r="G77" s="40"/>
      <c r="H77" s="40"/>
      <c r="I77" s="40"/>
      <c r="J77" s="40"/>
      <c r="K77" s="40"/>
      <c r="L77" s="40"/>
      <c r="M77" s="40"/>
      <c r="N77" s="40"/>
      <c r="O77" s="40"/>
      <c r="P77" s="40"/>
      <c r="Q77" s="40"/>
      <c r="R77" s="40"/>
      <c r="S77" s="40"/>
      <c r="T77" s="40"/>
      <c r="U77" s="40"/>
      <c r="V77" s="40"/>
      <c r="W77" s="40">
        <v>39279</v>
      </c>
      <c r="X77" s="40">
        <v>40361</v>
      </c>
      <c r="Y77" s="40">
        <v>40614</v>
      </c>
      <c r="Z77" s="40">
        <v>42361</v>
      </c>
      <c r="AA77" s="40">
        <v>43245</v>
      </c>
      <c r="AB77" s="40">
        <v>44130</v>
      </c>
      <c r="AC77" s="40">
        <v>44679</v>
      </c>
      <c r="AD77" s="40">
        <v>45098</v>
      </c>
      <c r="AE77" s="40">
        <v>45381</v>
      </c>
      <c r="AF77" s="40">
        <v>46787</v>
      </c>
      <c r="AG77" s="40">
        <v>47830</v>
      </c>
      <c r="AH77" s="40">
        <v>49075</v>
      </c>
      <c r="AI77" s="40">
        <v>49964</v>
      </c>
      <c r="AJ77" s="40">
        <v>51518</v>
      </c>
      <c r="AK77" s="40">
        <v>52388</v>
      </c>
      <c r="AL77" s="40">
        <v>53588</v>
      </c>
      <c r="AM77" s="40">
        <v>54777</v>
      </c>
      <c r="AN77" s="40">
        <v>55661</v>
      </c>
      <c r="AO77" s="40">
        <v>56034</v>
      </c>
      <c r="AP77" s="40">
        <v>56567</v>
      </c>
      <c r="AQ77" s="40">
        <v>57004</v>
      </c>
      <c r="AR77" s="40">
        <v>57711</v>
      </c>
      <c r="AS77" s="40">
        <v>57353</v>
      </c>
      <c r="AT77" s="40">
        <v>57059</v>
      </c>
      <c r="AU77" s="40">
        <v>56382</v>
      </c>
      <c r="AV77" s="40">
        <v>56965</v>
      </c>
      <c r="AW77" s="40">
        <v>57854</v>
      </c>
      <c r="AX77" s="40">
        <v>59809</v>
      </c>
      <c r="AY77" s="40">
        <v>61360</v>
      </c>
      <c r="AZ77" s="40">
        <v>61580</v>
      </c>
      <c r="BA77" s="40">
        <v>61854</v>
      </c>
      <c r="BB77" s="40">
        <v>62692</v>
      </c>
      <c r="BC77" s="40">
        <v>63190</v>
      </c>
      <c r="BD77" s="40">
        <v>63933</v>
      </c>
      <c r="BE77" s="40">
        <v>64439</v>
      </c>
      <c r="BF77" s="40">
        <v>65207</v>
      </c>
      <c r="BG77" s="40">
        <v>65603</v>
      </c>
      <c r="BH77" s="40">
        <v>66456</v>
      </c>
      <c r="BI77" s="40">
        <v>67088</v>
      </c>
      <c r="BJ77" s="40">
        <v>67709</v>
      </c>
      <c r="BK77" s="40">
        <v>68451</v>
      </c>
      <c r="BL77" s="40">
        <v>69235</v>
      </c>
      <c r="BM77" s="40">
        <v>70015</v>
      </c>
      <c r="BN77" s="40">
        <v>70710</v>
      </c>
      <c r="BO77" s="40">
        <v>71373</v>
      </c>
      <c r="BP77" s="40">
        <v>71907</v>
      </c>
      <c r="BQ77" s="40">
        <v>72437</v>
      </c>
      <c r="BR77" s="40">
        <v>72945</v>
      </c>
      <c r="BS77" s="40">
        <v>73341</v>
      </c>
      <c r="BT77" s="40">
        <v>73828</v>
      </c>
      <c r="BU77" s="40">
        <v>74245</v>
      </c>
      <c r="BV77" s="40">
        <v>74734</v>
      </c>
      <c r="BW77" s="40">
        <v>75153</v>
      </c>
      <c r="BX77" s="40">
        <v>75657</v>
      </c>
      <c r="BY77" s="40">
        <v>76173</v>
      </c>
      <c r="BZ77" s="40">
        <v>76788</v>
      </c>
      <c r="CA77" s="40">
        <v>77284</v>
      </c>
      <c r="CB77" s="40">
        <v>77689</v>
      </c>
      <c r="CC77" s="40">
        <v>78193</v>
      </c>
      <c r="CD77" s="40">
        <v>78652</v>
      </c>
      <c r="CE77" s="40">
        <v>79068</v>
      </c>
      <c r="CF77" s="40">
        <v>79563</v>
      </c>
      <c r="CG77" s="40">
        <v>79985</v>
      </c>
      <c r="CH77" s="40">
        <v>80399</v>
      </c>
      <c r="CI77" s="40">
        <v>80844</v>
      </c>
      <c r="CJ77" s="40">
        <v>81185</v>
      </c>
      <c r="CK77" s="40">
        <v>81546</v>
      </c>
      <c r="CL77" s="40">
        <v>81975</v>
      </c>
      <c r="CM77" s="40">
        <v>82307</v>
      </c>
      <c r="CN77" s="40">
        <v>82685</v>
      </c>
      <c r="CO77" s="40">
        <v>83071</v>
      </c>
      <c r="CP77" s="40">
        <v>83409</v>
      </c>
      <c r="CQ77" s="40">
        <v>83761</v>
      </c>
      <c r="CR77" s="40">
        <v>84055</v>
      </c>
      <c r="CS77" s="40">
        <v>84393</v>
      </c>
      <c r="CT77" s="40">
        <v>84687</v>
      </c>
      <c r="CU77" s="40">
        <v>84993</v>
      </c>
      <c r="CV77" s="40">
        <v>85278</v>
      </c>
      <c r="CW77" s="40">
        <v>85559</v>
      </c>
      <c r="CX77" s="40">
        <v>85865</v>
      </c>
      <c r="CY77" s="40">
        <v>86113</v>
      </c>
      <c r="CZ77" s="40">
        <v>86386</v>
      </c>
      <c r="DA77" s="40">
        <v>86626</v>
      </c>
      <c r="DB77" s="40">
        <v>86904</v>
      </c>
      <c r="DC77" s="40">
        <v>87148</v>
      </c>
      <c r="DD77" s="40">
        <v>87396</v>
      </c>
      <c r="DE77" s="40">
        <v>87623</v>
      </c>
      <c r="DF77" s="40">
        <v>87889</v>
      </c>
      <c r="DG77" s="40">
        <v>88118</v>
      </c>
      <c r="DH77" s="40">
        <v>88342</v>
      </c>
      <c r="DI77" s="40">
        <v>88563</v>
      </c>
      <c r="DJ77" s="40">
        <v>88805</v>
      </c>
      <c r="DK77" s="40">
        <v>89012</v>
      </c>
      <c r="DL77" s="40">
        <v>89219</v>
      </c>
      <c r="DM77" s="40">
        <v>89437</v>
      </c>
      <c r="DN77" s="40">
        <v>89650</v>
      </c>
      <c r="DO77" s="40">
        <v>89859</v>
      </c>
    </row>
    <row r="78" spans="1:119">
      <c r="A78" s="40">
        <v>76</v>
      </c>
      <c r="B78" s="40"/>
      <c r="C78" s="40"/>
      <c r="D78" s="40"/>
      <c r="E78" s="40"/>
      <c r="F78" s="40"/>
      <c r="G78" s="40"/>
      <c r="H78" s="40"/>
      <c r="I78" s="40"/>
      <c r="J78" s="40"/>
      <c r="K78" s="40"/>
      <c r="L78" s="40"/>
      <c r="M78" s="40"/>
      <c r="N78" s="40"/>
      <c r="O78" s="40"/>
      <c r="P78" s="40"/>
      <c r="Q78" s="40"/>
      <c r="R78" s="40"/>
      <c r="S78" s="40"/>
      <c r="T78" s="40"/>
      <c r="U78" s="40"/>
      <c r="V78" s="40"/>
      <c r="W78" s="40">
        <v>37120</v>
      </c>
      <c r="X78" s="40">
        <v>38220</v>
      </c>
      <c r="Y78" s="40">
        <v>38515</v>
      </c>
      <c r="Z78" s="40">
        <v>40302</v>
      </c>
      <c r="AA78" s="40">
        <v>41167</v>
      </c>
      <c r="AB78" s="40">
        <v>42105</v>
      </c>
      <c r="AC78" s="40">
        <v>42582</v>
      </c>
      <c r="AD78" s="40">
        <v>43022</v>
      </c>
      <c r="AE78" s="40">
        <v>43333</v>
      </c>
      <c r="AF78" s="40">
        <v>44804</v>
      </c>
      <c r="AG78" s="40">
        <v>45844</v>
      </c>
      <c r="AH78" s="40">
        <v>47055</v>
      </c>
      <c r="AI78" s="40">
        <v>47988</v>
      </c>
      <c r="AJ78" s="40">
        <v>49576</v>
      </c>
      <c r="AK78" s="40">
        <v>50415</v>
      </c>
      <c r="AL78" s="40">
        <v>51665</v>
      </c>
      <c r="AM78" s="40">
        <v>52814</v>
      </c>
      <c r="AN78" s="40">
        <v>53809</v>
      </c>
      <c r="AO78" s="40">
        <v>54072</v>
      </c>
      <c r="AP78" s="40">
        <v>54642</v>
      </c>
      <c r="AQ78" s="40">
        <v>55099</v>
      </c>
      <c r="AR78" s="40">
        <v>55818</v>
      </c>
      <c r="AS78" s="40">
        <v>55505</v>
      </c>
      <c r="AT78" s="40">
        <v>55253</v>
      </c>
      <c r="AU78" s="40">
        <v>54630</v>
      </c>
      <c r="AV78" s="40">
        <v>55226</v>
      </c>
      <c r="AW78" s="40">
        <v>56120</v>
      </c>
      <c r="AX78" s="40">
        <v>58048</v>
      </c>
      <c r="AY78" s="40">
        <v>59586</v>
      </c>
      <c r="AZ78" s="40">
        <v>59831</v>
      </c>
      <c r="BA78" s="40">
        <v>60129</v>
      </c>
      <c r="BB78" s="40">
        <v>60975</v>
      </c>
      <c r="BC78" s="40">
        <v>61490</v>
      </c>
      <c r="BD78" s="40">
        <v>62244</v>
      </c>
      <c r="BE78" s="40">
        <v>62767</v>
      </c>
      <c r="BF78" s="40">
        <v>63546</v>
      </c>
      <c r="BG78" s="40">
        <v>63965</v>
      </c>
      <c r="BH78" s="40">
        <v>64827</v>
      </c>
      <c r="BI78" s="40">
        <v>65474</v>
      </c>
      <c r="BJ78" s="40">
        <v>66111</v>
      </c>
      <c r="BK78" s="40">
        <v>66865</v>
      </c>
      <c r="BL78" s="40">
        <v>67661</v>
      </c>
      <c r="BM78" s="40">
        <v>68453</v>
      </c>
      <c r="BN78" s="40">
        <v>69162</v>
      </c>
      <c r="BO78" s="40">
        <v>69840</v>
      </c>
      <c r="BP78" s="40">
        <v>70391</v>
      </c>
      <c r="BQ78" s="40">
        <v>70939</v>
      </c>
      <c r="BR78" s="40">
        <v>71464</v>
      </c>
      <c r="BS78" s="40">
        <v>71880</v>
      </c>
      <c r="BT78" s="40">
        <v>72385</v>
      </c>
      <c r="BU78" s="40">
        <v>72821</v>
      </c>
      <c r="BV78" s="40">
        <v>73327</v>
      </c>
      <c r="BW78" s="40">
        <v>73765</v>
      </c>
      <c r="BX78" s="40">
        <v>74285</v>
      </c>
      <c r="BY78" s="40">
        <v>74818</v>
      </c>
      <c r="BZ78" s="40">
        <v>75448</v>
      </c>
      <c r="CA78" s="40">
        <v>75960</v>
      </c>
      <c r="CB78" s="40">
        <v>76382</v>
      </c>
      <c r="CC78" s="40">
        <v>76903</v>
      </c>
      <c r="CD78" s="40">
        <v>77378</v>
      </c>
      <c r="CE78" s="40">
        <v>77812</v>
      </c>
      <c r="CF78" s="40">
        <v>78322</v>
      </c>
      <c r="CG78" s="40">
        <v>78761</v>
      </c>
      <c r="CH78" s="40">
        <v>79192</v>
      </c>
      <c r="CI78" s="40">
        <v>79653</v>
      </c>
      <c r="CJ78" s="40">
        <v>80011</v>
      </c>
      <c r="CK78" s="40">
        <v>80389</v>
      </c>
      <c r="CL78" s="40">
        <v>80834</v>
      </c>
      <c r="CM78" s="40">
        <v>81182</v>
      </c>
      <c r="CN78" s="40">
        <v>81576</v>
      </c>
      <c r="CO78" s="40">
        <v>81978</v>
      </c>
      <c r="CP78" s="40">
        <v>82333</v>
      </c>
      <c r="CQ78" s="40">
        <v>82700</v>
      </c>
      <c r="CR78" s="40">
        <v>83010</v>
      </c>
      <c r="CS78" s="40">
        <v>83363</v>
      </c>
      <c r="CT78" s="40">
        <v>83673</v>
      </c>
      <c r="CU78" s="40">
        <v>83995</v>
      </c>
      <c r="CV78" s="40">
        <v>84295</v>
      </c>
      <c r="CW78" s="40">
        <v>84591</v>
      </c>
      <c r="CX78" s="40">
        <v>84912</v>
      </c>
      <c r="CY78" s="40">
        <v>85175</v>
      </c>
      <c r="CZ78" s="40">
        <v>85463</v>
      </c>
      <c r="DA78" s="40">
        <v>85717</v>
      </c>
      <c r="DB78" s="40">
        <v>86010</v>
      </c>
      <c r="DC78" s="40">
        <v>86267</v>
      </c>
      <c r="DD78" s="40">
        <v>86530</v>
      </c>
      <c r="DE78" s="40">
        <v>86770</v>
      </c>
      <c r="DF78" s="40">
        <v>87050</v>
      </c>
      <c r="DG78" s="40">
        <v>87293</v>
      </c>
      <c r="DH78" s="40">
        <v>87530</v>
      </c>
      <c r="DI78" s="40">
        <v>87764</v>
      </c>
      <c r="DJ78" s="40">
        <v>88019</v>
      </c>
      <c r="DK78" s="40">
        <v>88238</v>
      </c>
      <c r="DL78" s="40">
        <v>88458</v>
      </c>
      <c r="DM78" s="40">
        <v>88688</v>
      </c>
      <c r="DN78" s="40">
        <v>88914</v>
      </c>
      <c r="DO78" s="40">
        <v>89135</v>
      </c>
    </row>
    <row r="79" spans="1:119">
      <c r="A79" s="40">
        <v>77</v>
      </c>
      <c r="B79" s="40"/>
      <c r="C79" s="40"/>
      <c r="D79" s="40"/>
      <c r="E79" s="40"/>
      <c r="F79" s="40"/>
      <c r="G79" s="40"/>
      <c r="H79" s="40"/>
      <c r="I79" s="40"/>
      <c r="J79" s="40"/>
      <c r="K79" s="40"/>
      <c r="L79" s="40"/>
      <c r="M79" s="40"/>
      <c r="N79" s="40"/>
      <c r="O79" s="40"/>
      <c r="P79" s="40"/>
      <c r="Q79" s="40"/>
      <c r="R79" s="40"/>
      <c r="S79" s="40"/>
      <c r="T79" s="40"/>
      <c r="U79" s="40"/>
      <c r="V79" s="40"/>
      <c r="W79" s="40">
        <v>34980</v>
      </c>
      <c r="X79" s="40">
        <v>36060</v>
      </c>
      <c r="Y79" s="40">
        <v>36452</v>
      </c>
      <c r="Z79" s="40">
        <v>38253</v>
      </c>
      <c r="AA79" s="40">
        <v>39077</v>
      </c>
      <c r="AB79" s="40">
        <v>39952</v>
      </c>
      <c r="AC79" s="40">
        <v>40492</v>
      </c>
      <c r="AD79" s="40">
        <v>40912</v>
      </c>
      <c r="AE79" s="40">
        <v>41256</v>
      </c>
      <c r="AF79" s="40">
        <v>42739</v>
      </c>
      <c r="AG79" s="40">
        <v>43782</v>
      </c>
      <c r="AH79" s="40">
        <v>44994</v>
      </c>
      <c r="AI79" s="40">
        <v>45968</v>
      </c>
      <c r="AJ79" s="40">
        <v>47508</v>
      </c>
      <c r="AK79" s="40">
        <v>48388</v>
      </c>
      <c r="AL79" s="40">
        <v>49599</v>
      </c>
      <c r="AM79" s="40">
        <v>50819</v>
      </c>
      <c r="AN79" s="40">
        <v>51740</v>
      </c>
      <c r="AO79" s="40">
        <v>52037</v>
      </c>
      <c r="AP79" s="40">
        <v>52622</v>
      </c>
      <c r="AQ79" s="40">
        <v>53097</v>
      </c>
      <c r="AR79" s="40">
        <v>53825</v>
      </c>
      <c r="AS79" s="40">
        <v>53558</v>
      </c>
      <c r="AT79" s="40">
        <v>53349</v>
      </c>
      <c r="AU79" s="40">
        <v>52780</v>
      </c>
      <c r="AV79" s="40">
        <v>53389</v>
      </c>
      <c r="AW79" s="40">
        <v>54285</v>
      </c>
      <c r="AX79" s="40">
        <v>56184</v>
      </c>
      <c r="AY79" s="40">
        <v>57706</v>
      </c>
      <c r="AZ79" s="40">
        <v>57976</v>
      </c>
      <c r="BA79" s="40">
        <v>58298</v>
      </c>
      <c r="BB79" s="40">
        <v>59150</v>
      </c>
      <c r="BC79" s="40">
        <v>59682</v>
      </c>
      <c r="BD79" s="40">
        <v>60446</v>
      </c>
      <c r="BE79" s="40">
        <v>60987</v>
      </c>
      <c r="BF79" s="40">
        <v>61777</v>
      </c>
      <c r="BG79" s="40">
        <v>62216</v>
      </c>
      <c r="BH79" s="40">
        <v>63087</v>
      </c>
      <c r="BI79" s="40">
        <v>63749</v>
      </c>
      <c r="BJ79" s="40">
        <v>64401</v>
      </c>
      <c r="BK79" s="40">
        <v>65167</v>
      </c>
      <c r="BL79" s="40">
        <v>65974</v>
      </c>
      <c r="BM79" s="40">
        <v>66778</v>
      </c>
      <c r="BN79" s="40">
        <v>67500</v>
      </c>
      <c r="BO79" s="40">
        <v>68193</v>
      </c>
      <c r="BP79" s="40">
        <v>68761</v>
      </c>
      <c r="BQ79" s="40">
        <v>69327</v>
      </c>
      <c r="BR79" s="40">
        <v>69870</v>
      </c>
      <c r="BS79" s="40">
        <v>70306</v>
      </c>
      <c r="BT79" s="40">
        <v>70828</v>
      </c>
      <c r="BU79" s="40">
        <v>71284</v>
      </c>
      <c r="BV79" s="40">
        <v>71808</v>
      </c>
      <c r="BW79" s="40">
        <v>72265</v>
      </c>
      <c r="BX79" s="40">
        <v>72802</v>
      </c>
      <c r="BY79" s="40">
        <v>73351</v>
      </c>
      <c r="BZ79" s="40">
        <v>73996</v>
      </c>
      <c r="CA79" s="40">
        <v>74525</v>
      </c>
      <c r="CB79" s="40">
        <v>74966</v>
      </c>
      <c r="CC79" s="40">
        <v>75503</v>
      </c>
      <c r="CD79" s="40">
        <v>75995</v>
      </c>
      <c r="CE79" s="40">
        <v>76446</v>
      </c>
      <c r="CF79" s="40">
        <v>76973</v>
      </c>
      <c r="CG79" s="40">
        <v>77429</v>
      </c>
      <c r="CH79" s="40">
        <v>77878</v>
      </c>
      <c r="CI79" s="40">
        <v>78355</v>
      </c>
      <c r="CJ79" s="40">
        <v>78731</v>
      </c>
      <c r="CK79" s="40">
        <v>79127</v>
      </c>
      <c r="CL79" s="40">
        <v>79588</v>
      </c>
      <c r="CM79" s="40">
        <v>79953</v>
      </c>
      <c r="CN79" s="40">
        <v>80364</v>
      </c>
      <c r="CO79" s="40">
        <v>80782</v>
      </c>
      <c r="CP79" s="40">
        <v>81153</v>
      </c>
      <c r="CQ79" s="40">
        <v>81538</v>
      </c>
      <c r="CR79" s="40">
        <v>81865</v>
      </c>
      <c r="CS79" s="40">
        <v>82233</v>
      </c>
      <c r="CT79" s="40">
        <v>82560</v>
      </c>
      <c r="CU79" s="40">
        <v>82898</v>
      </c>
      <c r="CV79" s="40">
        <v>83215</v>
      </c>
      <c r="CW79" s="40">
        <v>83526</v>
      </c>
      <c r="CX79" s="40">
        <v>83863</v>
      </c>
      <c r="CY79" s="40">
        <v>84142</v>
      </c>
      <c r="CZ79" s="40">
        <v>84445</v>
      </c>
      <c r="DA79" s="40">
        <v>84715</v>
      </c>
      <c r="DB79" s="40">
        <v>85023</v>
      </c>
      <c r="DC79" s="40">
        <v>85295</v>
      </c>
      <c r="DD79" s="40">
        <v>85573</v>
      </c>
      <c r="DE79" s="40">
        <v>85828</v>
      </c>
      <c r="DF79" s="40">
        <v>86122</v>
      </c>
      <c r="DG79" s="40">
        <v>86379</v>
      </c>
      <c r="DH79" s="40">
        <v>86631</v>
      </c>
      <c r="DI79" s="40">
        <v>86880</v>
      </c>
      <c r="DJ79" s="40">
        <v>87148</v>
      </c>
      <c r="DK79" s="40">
        <v>87381</v>
      </c>
      <c r="DL79" s="40">
        <v>87614</v>
      </c>
      <c r="DM79" s="40">
        <v>87858</v>
      </c>
      <c r="DN79" s="40">
        <v>88097</v>
      </c>
      <c r="DO79" s="40">
        <v>88331</v>
      </c>
    </row>
    <row r="80" spans="1:119">
      <c r="A80" s="40">
        <v>78</v>
      </c>
      <c r="B80" s="40"/>
      <c r="C80" s="40"/>
      <c r="D80" s="40"/>
      <c r="E80" s="40"/>
      <c r="F80" s="40"/>
      <c r="G80" s="40"/>
      <c r="H80" s="40"/>
      <c r="I80" s="40"/>
      <c r="J80" s="40"/>
      <c r="K80" s="40"/>
      <c r="L80" s="40"/>
      <c r="M80" s="40"/>
      <c r="N80" s="40"/>
      <c r="O80" s="40"/>
      <c r="P80" s="40"/>
      <c r="Q80" s="40"/>
      <c r="R80" s="40"/>
      <c r="S80" s="40"/>
      <c r="T80" s="40"/>
      <c r="U80" s="40"/>
      <c r="V80" s="40"/>
      <c r="W80" s="40">
        <v>32768</v>
      </c>
      <c r="X80" s="40">
        <v>33890</v>
      </c>
      <c r="Y80" s="40">
        <v>34331</v>
      </c>
      <c r="Z80" s="40">
        <v>36092</v>
      </c>
      <c r="AA80" s="40">
        <v>36877</v>
      </c>
      <c r="AB80" s="40">
        <v>37809</v>
      </c>
      <c r="AC80" s="40">
        <v>38320</v>
      </c>
      <c r="AD80" s="40">
        <v>38778</v>
      </c>
      <c r="AE80" s="40">
        <v>39161</v>
      </c>
      <c r="AF80" s="40">
        <v>40597</v>
      </c>
      <c r="AG80" s="40">
        <v>41613</v>
      </c>
      <c r="AH80" s="40">
        <v>42873</v>
      </c>
      <c r="AI80" s="40">
        <v>43786</v>
      </c>
      <c r="AJ80" s="40">
        <v>45340</v>
      </c>
      <c r="AK80" s="40">
        <v>46216</v>
      </c>
      <c r="AL80" s="40">
        <v>47523</v>
      </c>
      <c r="AM80" s="40">
        <v>48689</v>
      </c>
      <c r="AN80" s="40">
        <v>49569</v>
      </c>
      <c r="AO80" s="40">
        <v>49891</v>
      </c>
      <c r="AP80" s="40">
        <v>50488</v>
      </c>
      <c r="AQ80" s="40">
        <v>50982</v>
      </c>
      <c r="AR80" s="40">
        <v>51717</v>
      </c>
      <c r="AS80" s="40">
        <v>51496</v>
      </c>
      <c r="AT80" s="40">
        <v>51330</v>
      </c>
      <c r="AU80" s="40">
        <v>50817</v>
      </c>
      <c r="AV80" s="40">
        <v>51437</v>
      </c>
      <c r="AW80" s="40">
        <v>52335</v>
      </c>
      <c r="AX80" s="40">
        <v>54199</v>
      </c>
      <c r="AY80" s="40">
        <v>55702</v>
      </c>
      <c r="AZ80" s="40">
        <v>55998</v>
      </c>
      <c r="BA80" s="40">
        <v>56342</v>
      </c>
      <c r="BB80" s="40">
        <v>57200</v>
      </c>
      <c r="BC80" s="40">
        <v>57748</v>
      </c>
      <c r="BD80" s="40">
        <v>58522</v>
      </c>
      <c r="BE80" s="40">
        <v>59081</v>
      </c>
      <c r="BF80" s="40">
        <v>59881</v>
      </c>
      <c r="BG80" s="40">
        <v>60340</v>
      </c>
      <c r="BH80" s="40">
        <v>61219</v>
      </c>
      <c r="BI80" s="40">
        <v>61895</v>
      </c>
      <c r="BJ80" s="40">
        <v>62562</v>
      </c>
      <c r="BK80" s="40">
        <v>63339</v>
      </c>
      <c r="BL80" s="40">
        <v>64157</v>
      </c>
      <c r="BM80" s="40">
        <v>64971</v>
      </c>
      <c r="BN80" s="40">
        <v>65707</v>
      </c>
      <c r="BO80" s="40">
        <v>66414</v>
      </c>
      <c r="BP80" s="40">
        <v>66999</v>
      </c>
      <c r="BQ80" s="40">
        <v>67582</v>
      </c>
      <c r="BR80" s="40">
        <v>68143</v>
      </c>
      <c r="BS80" s="40">
        <v>68599</v>
      </c>
      <c r="BT80" s="40">
        <v>69140</v>
      </c>
      <c r="BU80" s="40">
        <v>69615</v>
      </c>
      <c r="BV80" s="40">
        <v>70157</v>
      </c>
      <c r="BW80" s="40">
        <v>70632</v>
      </c>
      <c r="BX80" s="40">
        <v>71187</v>
      </c>
      <c r="BY80" s="40">
        <v>71754</v>
      </c>
      <c r="BZ80" s="40">
        <v>72413</v>
      </c>
      <c r="CA80" s="40">
        <v>72960</v>
      </c>
      <c r="CB80" s="40">
        <v>73419</v>
      </c>
      <c r="CC80" s="40">
        <v>73973</v>
      </c>
      <c r="CD80" s="40">
        <v>74483</v>
      </c>
      <c r="CE80" s="40">
        <v>74952</v>
      </c>
      <c r="CF80" s="40">
        <v>75496</v>
      </c>
      <c r="CG80" s="40">
        <v>75969</v>
      </c>
      <c r="CH80" s="40">
        <v>76436</v>
      </c>
      <c r="CI80" s="40">
        <v>76930</v>
      </c>
      <c r="CJ80" s="40">
        <v>77325</v>
      </c>
      <c r="CK80" s="40">
        <v>77739</v>
      </c>
      <c r="CL80" s="40">
        <v>78217</v>
      </c>
      <c r="CM80" s="40">
        <v>78601</v>
      </c>
      <c r="CN80" s="40">
        <v>79029</v>
      </c>
      <c r="CO80" s="40">
        <v>79464</v>
      </c>
      <c r="CP80" s="40">
        <v>79853</v>
      </c>
      <c r="CQ80" s="40">
        <v>80254</v>
      </c>
      <c r="CR80" s="40">
        <v>80599</v>
      </c>
      <c r="CS80" s="40">
        <v>80985</v>
      </c>
      <c r="CT80" s="40">
        <v>81330</v>
      </c>
      <c r="CU80" s="40">
        <v>81684</v>
      </c>
      <c r="CV80" s="40">
        <v>82018</v>
      </c>
      <c r="CW80" s="40">
        <v>82347</v>
      </c>
      <c r="CX80" s="40">
        <v>82700</v>
      </c>
      <c r="CY80" s="40">
        <v>82996</v>
      </c>
      <c r="CZ80" s="40">
        <v>83316</v>
      </c>
      <c r="DA80" s="40">
        <v>83603</v>
      </c>
      <c r="DB80" s="40">
        <v>83926</v>
      </c>
      <c r="DC80" s="40">
        <v>84215</v>
      </c>
      <c r="DD80" s="40">
        <v>84508</v>
      </c>
      <c r="DE80" s="40">
        <v>84779</v>
      </c>
      <c r="DF80" s="40">
        <v>85088</v>
      </c>
      <c r="DG80" s="40">
        <v>85361</v>
      </c>
      <c r="DH80" s="40">
        <v>85628</v>
      </c>
      <c r="DI80" s="40">
        <v>85892</v>
      </c>
      <c r="DJ80" s="40">
        <v>86175</v>
      </c>
      <c r="DK80" s="40">
        <v>86423</v>
      </c>
      <c r="DL80" s="40">
        <v>86671</v>
      </c>
      <c r="DM80" s="40">
        <v>86929</v>
      </c>
      <c r="DN80" s="40">
        <v>87182</v>
      </c>
      <c r="DO80" s="40">
        <v>87430</v>
      </c>
    </row>
    <row r="81" spans="1:119">
      <c r="A81" s="40">
        <v>79</v>
      </c>
      <c r="B81" s="40"/>
      <c r="C81" s="40"/>
      <c r="D81" s="40"/>
      <c r="E81" s="40"/>
      <c r="F81" s="40"/>
      <c r="G81" s="40"/>
      <c r="H81" s="40"/>
      <c r="I81" s="40"/>
      <c r="J81" s="40"/>
      <c r="K81" s="40"/>
      <c r="L81" s="40"/>
      <c r="M81" s="40"/>
      <c r="N81" s="40"/>
      <c r="O81" s="40"/>
      <c r="P81" s="40"/>
      <c r="Q81" s="40"/>
      <c r="R81" s="40"/>
      <c r="S81" s="40"/>
      <c r="T81" s="40"/>
      <c r="U81" s="40"/>
      <c r="V81" s="40"/>
      <c r="W81" s="40">
        <v>30576</v>
      </c>
      <c r="X81" s="40">
        <v>31733</v>
      </c>
      <c r="Y81" s="40">
        <v>32169</v>
      </c>
      <c r="Z81" s="40">
        <v>33851</v>
      </c>
      <c r="AA81" s="40">
        <v>34666</v>
      </c>
      <c r="AB81" s="40">
        <v>35627</v>
      </c>
      <c r="AC81" s="40">
        <v>36122</v>
      </c>
      <c r="AD81" s="40">
        <v>36597</v>
      </c>
      <c r="AE81" s="40">
        <v>36944</v>
      </c>
      <c r="AF81" s="40">
        <v>38347</v>
      </c>
      <c r="AG81" s="40">
        <v>39404</v>
      </c>
      <c r="AH81" s="40">
        <v>40603</v>
      </c>
      <c r="AI81" s="40">
        <v>41549</v>
      </c>
      <c r="AJ81" s="40">
        <v>43073</v>
      </c>
      <c r="AK81" s="40">
        <v>44048</v>
      </c>
      <c r="AL81" s="40">
        <v>45264</v>
      </c>
      <c r="AM81" s="40">
        <v>46398</v>
      </c>
      <c r="AN81" s="40">
        <v>47276</v>
      </c>
      <c r="AO81" s="40">
        <v>47621</v>
      </c>
      <c r="AP81" s="40">
        <v>48229</v>
      </c>
      <c r="AQ81" s="40">
        <v>48738</v>
      </c>
      <c r="AR81" s="40">
        <v>49479</v>
      </c>
      <c r="AS81" s="40">
        <v>49305</v>
      </c>
      <c r="AT81" s="40">
        <v>49182</v>
      </c>
      <c r="AU81" s="40">
        <v>48726</v>
      </c>
      <c r="AV81" s="40">
        <v>49356</v>
      </c>
      <c r="AW81" s="40">
        <v>50252</v>
      </c>
      <c r="AX81" s="40">
        <v>52079</v>
      </c>
      <c r="AY81" s="40">
        <v>53559</v>
      </c>
      <c r="AZ81" s="40">
        <v>53879</v>
      </c>
      <c r="BA81" s="40">
        <v>54246</v>
      </c>
      <c r="BB81" s="40">
        <v>55107</v>
      </c>
      <c r="BC81" s="40">
        <v>55672</v>
      </c>
      <c r="BD81" s="40">
        <v>56455</v>
      </c>
      <c r="BE81" s="40">
        <v>57031</v>
      </c>
      <c r="BF81" s="40">
        <v>57839</v>
      </c>
      <c r="BG81" s="40">
        <v>58319</v>
      </c>
      <c r="BH81" s="40">
        <v>59205</v>
      </c>
      <c r="BI81" s="40">
        <v>59894</v>
      </c>
      <c r="BJ81" s="40">
        <v>60574</v>
      </c>
      <c r="BK81" s="40">
        <v>61363</v>
      </c>
      <c r="BL81" s="40">
        <v>62189</v>
      </c>
      <c r="BM81" s="40">
        <v>63014</v>
      </c>
      <c r="BN81" s="40">
        <v>63762</v>
      </c>
      <c r="BO81" s="40">
        <v>64482</v>
      </c>
      <c r="BP81" s="40">
        <v>65085</v>
      </c>
      <c r="BQ81" s="40">
        <v>65684</v>
      </c>
      <c r="BR81" s="40">
        <v>66263</v>
      </c>
      <c r="BS81" s="40">
        <v>66740</v>
      </c>
      <c r="BT81" s="40">
        <v>67299</v>
      </c>
      <c r="BU81" s="40">
        <v>67794</v>
      </c>
      <c r="BV81" s="40">
        <v>68353</v>
      </c>
      <c r="BW81" s="40">
        <v>68849</v>
      </c>
      <c r="BX81" s="40">
        <v>69421</v>
      </c>
      <c r="BY81" s="40">
        <v>70005</v>
      </c>
      <c r="BZ81" s="40">
        <v>70679</v>
      </c>
      <c r="CA81" s="40">
        <v>71243</v>
      </c>
      <c r="CB81" s="40">
        <v>71722</v>
      </c>
      <c r="CC81" s="40">
        <v>72293</v>
      </c>
      <c r="CD81" s="40">
        <v>72820</v>
      </c>
      <c r="CE81" s="40">
        <v>73309</v>
      </c>
      <c r="CF81" s="40">
        <v>73869</v>
      </c>
      <c r="CG81" s="40">
        <v>74361</v>
      </c>
      <c r="CH81" s="40">
        <v>74846</v>
      </c>
      <c r="CI81" s="40">
        <v>75359</v>
      </c>
      <c r="CJ81" s="40">
        <v>75773</v>
      </c>
      <c r="CK81" s="40">
        <v>76206</v>
      </c>
      <c r="CL81" s="40">
        <v>76701</v>
      </c>
      <c r="CM81" s="40">
        <v>77105</v>
      </c>
      <c r="CN81" s="40">
        <v>77551</v>
      </c>
      <c r="CO81" s="40">
        <v>78004</v>
      </c>
      <c r="CP81" s="40">
        <v>78411</v>
      </c>
      <c r="CQ81" s="40">
        <v>78831</v>
      </c>
      <c r="CR81" s="40">
        <v>79195</v>
      </c>
      <c r="CS81" s="40">
        <v>79598</v>
      </c>
      <c r="CT81" s="40">
        <v>79961</v>
      </c>
      <c r="CU81" s="40">
        <v>80334</v>
      </c>
      <c r="CV81" s="40">
        <v>80686</v>
      </c>
      <c r="CW81" s="40">
        <v>81033</v>
      </c>
      <c r="CX81" s="40">
        <v>81404</v>
      </c>
      <c r="CY81" s="40">
        <v>81717</v>
      </c>
      <c r="CZ81" s="40">
        <v>82055</v>
      </c>
      <c r="DA81" s="40">
        <v>82360</v>
      </c>
      <c r="DB81" s="40">
        <v>82700</v>
      </c>
      <c r="DC81" s="40">
        <v>83006</v>
      </c>
      <c r="DD81" s="40">
        <v>83317</v>
      </c>
      <c r="DE81" s="40">
        <v>83605</v>
      </c>
      <c r="DF81" s="40">
        <v>83930</v>
      </c>
      <c r="DG81" s="40">
        <v>84220</v>
      </c>
      <c r="DH81" s="40">
        <v>84503</v>
      </c>
      <c r="DI81" s="40">
        <v>84783</v>
      </c>
      <c r="DJ81" s="40">
        <v>85082</v>
      </c>
      <c r="DK81" s="40">
        <v>85346</v>
      </c>
      <c r="DL81" s="40">
        <v>85610</v>
      </c>
      <c r="DM81" s="40">
        <v>85883</v>
      </c>
      <c r="DN81" s="40">
        <v>86151</v>
      </c>
      <c r="DO81" s="40">
        <v>86414</v>
      </c>
    </row>
    <row r="82" spans="1:119">
      <c r="A82" s="40">
        <v>80</v>
      </c>
      <c r="B82" s="40"/>
      <c r="C82" s="40"/>
      <c r="D82" s="40"/>
      <c r="E82" s="40"/>
      <c r="F82" s="40"/>
      <c r="G82" s="40"/>
      <c r="H82" s="40"/>
      <c r="I82" s="40"/>
      <c r="J82" s="40"/>
      <c r="K82" s="40"/>
      <c r="L82" s="40"/>
      <c r="M82" s="40"/>
      <c r="N82" s="40"/>
      <c r="O82" s="40"/>
      <c r="P82" s="40"/>
      <c r="Q82" s="40"/>
      <c r="R82" s="40"/>
      <c r="S82" s="40"/>
      <c r="T82" s="40"/>
      <c r="U82" s="40"/>
      <c r="V82" s="40"/>
      <c r="W82" s="40">
        <v>28438</v>
      </c>
      <c r="X82" s="40">
        <v>29568</v>
      </c>
      <c r="Y82" s="40">
        <v>29931</v>
      </c>
      <c r="Z82" s="40">
        <v>31645</v>
      </c>
      <c r="AA82" s="40">
        <v>32438</v>
      </c>
      <c r="AB82" s="40">
        <v>33423</v>
      </c>
      <c r="AC82" s="40">
        <v>33965</v>
      </c>
      <c r="AD82" s="40">
        <v>34341</v>
      </c>
      <c r="AE82" s="40">
        <v>34673</v>
      </c>
      <c r="AF82" s="40">
        <v>36082</v>
      </c>
      <c r="AG82" s="40">
        <v>37085</v>
      </c>
      <c r="AH82" s="40">
        <v>38272</v>
      </c>
      <c r="AI82" s="40">
        <v>39183</v>
      </c>
      <c r="AJ82" s="40">
        <v>40772</v>
      </c>
      <c r="AK82" s="40">
        <v>41684</v>
      </c>
      <c r="AL82" s="40">
        <v>42865</v>
      </c>
      <c r="AM82" s="40">
        <v>43979</v>
      </c>
      <c r="AN82" s="40">
        <v>44851</v>
      </c>
      <c r="AO82" s="40">
        <v>45218</v>
      </c>
      <c r="AP82" s="40">
        <v>45835</v>
      </c>
      <c r="AQ82" s="40">
        <v>46358</v>
      </c>
      <c r="AR82" s="40">
        <v>47102</v>
      </c>
      <c r="AS82" s="40">
        <v>46974</v>
      </c>
      <c r="AT82" s="40">
        <v>46895</v>
      </c>
      <c r="AU82" s="40">
        <v>46497</v>
      </c>
      <c r="AV82" s="40">
        <v>47134</v>
      </c>
      <c r="AW82" s="40">
        <v>48027</v>
      </c>
      <c r="AX82" s="40">
        <v>49810</v>
      </c>
      <c r="AY82" s="40">
        <v>51263</v>
      </c>
      <c r="AZ82" s="40">
        <v>51607</v>
      </c>
      <c r="BA82" s="40">
        <v>51996</v>
      </c>
      <c r="BB82" s="40">
        <v>52860</v>
      </c>
      <c r="BC82" s="40">
        <v>53441</v>
      </c>
      <c r="BD82" s="40">
        <v>54231</v>
      </c>
      <c r="BE82" s="40">
        <v>54822</v>
      </c>
      <c r="BF82" s="40">
        <v>55638</v>
      </c>
      <c r="BG82" s="40">
        <v>56138</v>
      </c>
      <c r="BH82" s="40">
        <v>57028</v>
      </c>
      <c r="BI82" s="40">
        <v>57729</v>
      </c>
      <c r="BJ82" s="40">
        <v>58423</v>
      </c>
      <c r="BK82" s="40">
        <v>59220</v>
      </c>
      <c r="BL82" s="40">
        <v>60055</v>
      </c>
      <c r="BM82" s="40">
        <v>60888</v>
      </c>
      <c r="BN82" s="40">
        <v>61648</v>
      </c>
      <c r="BO82" s="40">
        <v>62381</v>
      </c>
      <c r="BP82" s="40">
        <v>63000</v>
      </c>
      <c r="BQ82" s="40">
        <v>63617</v>
      </c>
      <c r="BR82" s="40">
        <v>64213</v>
      </c>
      <c r="BS82" s="40">
        <v>64710</v>
      </c>
      <c r="BT82" s="40">
        <v>65287</v>
      </c>
      <c r="BU82" s="40">
        <v>65802</v>
      </c>
      <c r="BV82" s="40">
        <v>66379</v>
      </c>
      <c r="BW82" s="40">
        <v>66894</v>
      </c>
      <c r="BX82" s="40">
        <v>67484</v>
      </c>
      <c r="BY82" s="40">
        <v>68085</v>
      </c>
      <c r="BZ82" s="40">
        <v>68773</v>
      </c>
      <c r="CA82" s="40">
        <v>69355</v>
      </c>
      <c r="CB82" s="40">
        <v>69854</v>
      </c>
      <c r="CC82" s="40">
        <v>70442</v>
      </c>
      <c r="CD82" s="40">
        <v>70988</v>
      </c>
      <c r="CE82" s="40">
        <v>71496</v>
      </c>
      <c r="CF82" s="40">
        <v>72074</v>
      </c>
      <c r="CG82" s="40">
        <v>72585</v>
      </c>
      <c r="CH82" s="40">
        <v>73089</v>
      </c>
      <c r="CI82" s="40">
        <v>73619</v>
      </c>
      <c r="CJ82" s="40">
        <v>74054</v>
      </c>
      <c r="CK82" s="40">
        <v>74506</v>
      </c>
      <c r="CL82" s="40">
        <v>75020</v>
      </c>
      <c r="CM82" s="40">
        <v>75443</v>
      </c>
      <c r="CN82" s="40">
        <v>75909</v>
      </c>
      <c r="CO82" s="40">
        <v>76380</v>
      </c>
      <c r="CP82" s="40">
        <v>76807</v>
      </c>
      <c r="CQ82" s="40">
        <v>77246</v>
      </c>
      <c r="CR82" s="40">
        <v>77629</v>
      </c>
      <c r="CS82" s="40">
        <v>78052</v>
      </c>
      <c r="CT82" s="40">
        <v>78435</v>
      </c>
      <c r="CU82" s="40">
        <v>78826</v>
      </c>
      <c r="CV82" s="40">
        <v>79198</v>
      </c>
      <c r="CW82" s="40">
        <v>79564</v>
      </c>
      <c r="CX82" s="40">
        <v>79953</v>
      </c>
      <c r="CY82" s="40">
        <v>80286</v>
      </c>
      <c r="CZ82" s="40">
        <v>80642</v>
      </c>
      <c r="DA82" s="40">
        <v>80966</v>
      </c>
      <c r="DB82" s="40">
        <v>81324</v>
      </c>
      <c r="DC82" s="40">
        <v>81649</v>
      </c>
      <c r="DD82" s="40">
        <v>81978</v>
      </c>
      <c r="DE82" s="40">
        <v>82284</v>
      </c>
      <c r="DF82" s="40">
        <v>82627</v>
      </c>
      <c r="DG82" s="40">
        <v>82934</v>
      </c>
      <c r="DH82" s="40">
        <v>83236</v>
      </c>
      <c r="DI82" s="40">
        <v>83533</v>
      </c>
      <c r="DJ82" s="40">
        <v>83849</v>
      </c>
      <c r="DK82" s="40">
        <v>84130</v>
      </c>
      <c r="DL82" s="40">
        <v>84411</v>
      </c>
      <c r="DM82" s="40">
        <v>84701</v>
      </c>
      <c r="DN82" s="40">
        <v>84986</v>
      </c>
      <c r="DO82" s="40">
        <v>85266</v>
      </c>
    </row>
    <row r="83" spans="1:119">
      <c r="A83" s="40">
        <v>81</v>
      </c>
      <c r="B83" s="40"/>
      <c r="C83" s="40"/>
      <c r="D83" s="40"/>
      <c r="E83" s="40"/>
      <c r="F83" s="40"/>
      <c r="G83" s="40"/>
      <c r="H83" s="40"/>
      <c r="I83" s="40"/>
      <c r="J83" s="40"/>
      <c r="K83" s="40"/>
      <c r="L83" s="40"/>
      <c r="M83" s="40"/>
      <c r="N83" s="40"/>
      <c r="O83" s="40"/>
      <c r="P83" s="40"/>
      <c r="Q83" s="40"/>
      <c r="R83" s="40"/>
      <c r="S83" s="40"/>
      <c r="T83" s="40"/>
      <c r="U83" s="40"/>
      <c r="V83" s="40"/>
      <c r="W83" s="40">
        <v>26271</v>
      </c>
      <c r="X83" s="40">
        <v>27291</v>
      </c>
      <c r="Y83" s="40">
        <v>27735</v>
      </c>
      <c r="Z83" s="40">
        <v>29407</v>
      </c>
      <c r="AA83" s="40">
        <v>30241</v>
      </c>
      <c r="AB83" s="40">
        <v>31177</v>
      </c>
      <c r="AC83" s="40">
        <v>31648</v>
      </c>
      <c r="AD83" s="40">
        <v>31989</v>
      </c>
      <c r="AE83" s="40">
        <v>32390</v>
      </c>
      <c r="AF83" s="40">
        <v>33742</v>
      </c>
      <c r="AG83" s="40">
        <v>34739</v>
      </c>
      <c r="AH83" s="40">
        <v>35847</v>
      </c>
      <c r="AI83" s="40">
        <v>36842</v>
      </c>
      <c r="AJ83" s="40">
        <v>38298</v>
      </c>
      <c r="AK83" s="40">
        <v>39190</v>
      </c>
      <c r="AL83" s="40">
        <v>40341</v>
      </c>
      <c r="AM83" s="40">
        <v>41429</v>
      </c>
      <c r="AN83" s="40">
        <v>42292</v>
      </c>
      <c r="AO83" s="40">
        <v>42679</v>
      </c>
      <c r="AP83" s="40">
        <v>43302</v>
      </c>
      <c r="AQ83" s="40">
        <v>43836</v>
      </c>
      <c r="AR83" s="40">
        <v>44580</v>
      </c>
      <c r="AS83" s="40">
        <v>44499</v>
      </c>
      <c r="AT83" s="40">
        <v>44463</v>
      </c>
      <c r="AU83" s="40">
        <v>44123</v>
      </c>
      <c r="AV83" s="40">
        <v>44766</v>
      </c>
      <c r="AW83" s="40">
        <v>45652</v>
      </c>
      <c r="AX83" s="40">
        <v>47385</v>
      </c>
      <c r="AY83" s="40">
        <v>48807</v>
      </c>
      <c r="AZ83" s="40">
        <v>49174</v>
      </c>
      <c r="BA83" s="40">
        <v>49585</v>
      </c>
      <c r="BB83" s="40">
        <v>50450</v>
      </c>
      <c r="BC83" s="40">
        <v>51045</v>
      </c>
      <c r="BD83" s="40">
        <v>51840</v>
      </c>
      <c r="BE83" s="40">
        <v>52446</v>
      </c>
      <c r="BF83" s="40">
        <v>53266</v>
      </c>
      <c r="BG83" s="40">
        <v>53785</v>
      </c>
      <c r="BH83" s="40">
        <v>54677</v>
      </c>
      <c r="BI83" s="40">
        <v>55390</v>
      </c>
      <c r="BJ83" s="40">
        <v>56094</v>
      </c>
      <c r="BK83" s="40">
        <v>56900</v>
      </c>
      <c r="BL83" s="40">
        <v>57741</v>
      </c>
      <c r="BM83" s="40">
        <v>58581</v>
      </c>
      <c r="BN83" s="40">
        <v>59351</v>
      </c>
      <c r="BO83" s="40">
        <v>60096</v>
      </c>
      <c r="BP83" s="40">
        <v>60730</v>
      </c>
      <c r="BQ83" s="40">
        <v>61363</v>
      </c>
      <c r="BR83" s="40">
        <v>61976</v>
      </c>
      <c r="BS83" s="40">
        <v>62494</v>
      </c>
      <c r="BT83" s="40">
        <v>63088</v>
      </c>
      <c r="BU83" s="40">
        <v>63623</v>
      </c>
      <c r="BV83" s="40">
        <v>64218</v>
      </c>
      <c r="BW83" s="40">
        <v>64752</v>
      </c>
      <c r="BX83" s="40">
        <v>65359</v>
      </c>
      <c r="BY83" s="40">
        <v>65977</v>
      </c>
      <c r="BZ83" s="40">
        <v>66679</v>
      </c>
      <c r="CA83" s="40">
        <v>67279</v>
      </c>
      <c r="CB83" s="40">
        <v>67797</v>
      </c>
      <c r="CC83" s="40">
        <v>68403</v>
      </c>
      <c r="CD83" s="40">
        <v>68968</v>
      </c>
      <c r="CE83" s="40">
        <v>69495</v>
      </c>
      <c r="CF83" s="40">
        <v>70090</v>
      </c>
      <c r="CG83" s="40">
        <v>70620</v>
      </c>
      <c r="CH83" s="40">
        <v>71144</v>
      </c>
      <c r="CI83" s="40">
        <v>71693</v>
      </c>
      <c r="CJ83" s="40">
        <v>72149</v>
      </c>
      <c r="CK83" s="40">
        <v>72621</v>
      </c>
      <c r="CL83" s="40">
        <v>73154</v>
      </c>
      <c r="CM83" s="40">
        <v>73598</v>
      </c>
      <c r="CN83" s="40">
        <v>74083</v>
      </c>
      <c r="CO83" s="40">
        <v>74573</v>
      </c>
      <c r="CP83" s="40">
        <v>75021</v>
      </c>
      <c r="CQ83" s="40">
        <v>75479</v>
      </c>
      <c r="CR83" s="40">
        <v>75883</v>
      </c>
      <c r="CS83" s="40">
        <v>76326</v>
      </c>
      <c r="CT83" s="40">
        <v>76729</v>
      </c>
      <c r="CU83" s="40">
        <v>77141</v>
      </c>
      <c r="CV83" s="40">
        <v>77532</v>
      </c>
      <c r="CW83" s="40">
        <v>77919</v>
      </c>
      <c r="CX83" s="40">
        <v>78327</v>
      </c>
      <c r="CY83" s="40">
        <v>78681</v>
      </c>
      <c r="CZ83" s="40">
        <v>79057</v>
      </c>
      <c r="DA83" s="40">
        <v>79401</v>
      </c>
      <c r="DB83" s="40">
        <v>79779</v>
      </c>
      <c r="DC83" s="40">
        <v>80123</v>
      </c>
      <c r="DD83" s="40">
        <v>80471</v>
      </c>
      <c r="DE83" s="40">
        <v>80797</v>
      </c>
      <c r="DF83" s="40">
        <v>81159</v>
      </c>
      <c r="DG83" s="40">
        <v>81485</v>
      </c>
      <c r="DH83" s="40">
        <v>81805</v>
      </c>
      <c r="DI83" s="40">
        <v>82122</v>
      </c>
      <c r="DJ83" s="40">
        <v>82456</v>
      </c>
      <c r="DK83" s="40">
        <v>82756</v>
      </c>
      <c r="DL83" s="40">
        <v>83055</v>
      </c>
      <c r="DM83" s="40">
        <v>83363</v>
      </c>
      <c r="DN83" s="40">
        <v>83666</v>
      </c>
      <c r="DO83" s="40">
        <v>83963</v>
      </c>
    </row>
    <row r="84" spans="1:119">
      <c r="A84" s="40">
        <v>82</v>
      </c>
      <c r="B84" s="40"/>
      <c r="C84" s="40"/>
      <c r="D84" s="40"/>
      <c r="E84" s="40"/>
      <c r="F84" s="40"/>
      <c r="G84" s="40"/>
      <c r="H84" s="40"/>
      <c r="I84" s="40"/>
      <c r="J84" s="40"/>
      <c r="K84" s="40"/>
      <c r="L84" s="40"/>
      <c r="M84" s="40"/>
      <c r="N84" s="40"/>
      <c r="O84" s="40"/>
      <c r="P84" s="40"/>
      <c r="Q84" s="40"/>
      <c r="R84" s="40"/>
      <c r="S84" s="40"/>
      <c r="T84" s="40"/>
      <c r="U84" s="40"/>
      <c r="V84" s="40"/>
      <c r="W84" s="40">
        <v>24066</v>
      </c>
      <c r="X84" s="40">
        <v>25092</v>
      </c>
      <c r="Y84" s="40">
        <v>25526</v>
      </c>
      <c r="Z84" s="40">
        <v>27192</v>
      </c>
      <c r="AA84" s="40">
        <v>27967</v>
      </c>
      <c r="AB84" s="40">
        <v>28847</v>
      </c>
      <c r="AC84" s="40">
        <v>29246</v>
      </c>
      <c r="AD84" s="40">
        <v>29652</v>
      </c>
      <c r="AE84" s="40">
        <v>30021</v>
      </c>
      <c r="AF84" s="40">
        <v>31342</v>
      </c>
      <c r="AG84" s="40">
        <v>32228</v>
      </c>
      <c r="AH84" s="40">
        <v>33406</v>
      </c>
      <c r="AI84" s="40">
        <v>34317</v>
      </c>
      <c r="AJ84" s="40">
        <v>35708</v>
      </c>
      <c r="AK84" s="40">
        <v>36581</v>
      </c>
      <c r="AL84" s="40">
        <v>37696</v>
      </c>
      <c r="AM84" s="40">
        <v>38755</v>
      </c>
      <c r="AN84" s="40">
        <v>39604</v>
      </c>
      <c r="AO84" s="40">
        <v>40007</v>
      </c>
      <c r="AP84" s="40">
        <v>40633</v>
      </c>
      <c r="AQ84" s="40">
        <v>41176</v>
      </c>
      <c r="AR84" s="40">
        <v>41916</v>
      </c>
      <c r="AS84" s="40">
        <v>41880</v>
      </c>
      <c r="AT84" s="40">
        <v>41887</v>
      </c>
      <c r="AU84" s="40">
        <v>41606</v>
      </c>
      <c r="AV84" s="40">
        <v>42251</v>
      </c>
      <c r="AW84" s="40">
        <v>43126</v>
      </c>
      <c r="AX84" s="40">
        <v>44804</v>
      </c>
      <c r="AY84" s="40">
        <v>46189</v>
      </c>
      <c r="AZ84" s="40">
        <v>46579</v>
      </c>
      <c r="BA84" s="40">
        <v>47011</v>
      </c>
      <c r="BB84" s="40">
        <v>47874</v>
      </c>
      <c r="BC84" s="40">
        <v>48480</v>
      </c>
      <c r="BD84" s="40">
        <v>49278</v>
      </c>
      <c r="BE84" s="40">
        <v>49896</v>
      </c>
      <c r="BF84" s="40">
        <v>50719</v>
      </c>
      <c r="BG84" s="40">
        <v>51254</v>
      </c>
      <c r="BH84" s="40">
        <v>52147</v>
      </c>
      <c r="BI84" s="40">
        <v>52868</v>
      </c>
      <c r="BJ84" s="40">
        <v>53582</v>
      </c>
      <c r="BK84" s="40">
        <v>54393</v>
      </c>
      <c r="BL84" s="40">
        <v>55239</v>
      </c>
      <c r="BM84" s="40">
        <v>56083</v>
      </c>
      <c r="BN84" s="40">
        <v>56862</v>
      </c>
      <c r="BO84" s="40">
        <v>57616</v>
      </c>
      <c r="BP84" s="40">
        <v>58265</v>
      </c>
      <c r="BQ84" s="40">
        <v>58913</v>
      </c>
      <c r="BR84" s="40">
        <v>59541</v>
      </c>
      <c r="BS84" s="40">
        <v>60079</v>
      </c>
      <c r="BT84" s="40">
        <v>60690</v>
      </c>
      <c r="BU84" s="40">
        <v>61243</v>
      </c>
      <c r="BV84" s="40">
        <v>61855</v>
      </c>
      <c r="BW84" s="40">
        <v>62409</v>
      </c>
      <c r="BX84" s="40">
        <v>63032</v>
      </c>
      <c r="BY84" s="40">
        <v>63666</v>
      </c>
      <c r="BZ84" s="40">
        <v>64382</v>
      </c>
      <c r="CA84" s="40">
        <v>64999</v>
      </c>
      <c r="CB84" s="40">
        <v>65537</v>
      </c>
      <c r="CC84" s="40">
        <v>66160</v>
      </c>
      <c r="CD84" s="40">
        <v>66743</v>
      </c>
      <c r="CE84" s="40">
        <v>67289</v>
      </c>
      <c r="CF84" s="40">
        <v>67902</v>
      </c>
      <c r="CG84" s="40">
        <v>68451</v>
      </c>
      <c r="CH84" s="40">
        <v>68994</v>
      </c>
      <c r="CI84" s="40">
        <v>69562</v>
      </c>
      <c r="CJ84" s="40">
        <v>70039</v>
      </c>
      <c r="CK84" s="40">
        <v>70532</v>
      </c>
      <c r="CL84" s="40">
        <v>71084</v>
      </c>
      <c r="CM84" s="40">
        <v>71549</v>
      </c>
      <c r="CN84" s="40">
        <v>72054</v>
      </c>
      <c r="CO84" s="40">
        <v>72564</v>
      </c>
      <c r="CP84" s="40">
        <v>73033</v>
      </c>
      <c r="CQ84" s="40">
        <v>73511</v>
      </c>
      <c r="CR84" s="40">
        <v>73937</v>
      </c>
      <c r="CS84" s="40">
        <v>74400</v>
      </c>
      <c r="CT84" s="40">
        <v>74825</v>
      </c>
      <c r="CU84" s="40">
        <v>75257</v>
      </c>
      <c r="CV84" s="40">
        <v>75670</v>
      </c>
      <c r="CW84" s="40">
        <v>76078</v>
      </c>
      <c r="CX84" s="40">
        <v>76507</v>
      </c>
      <c r="CY84" s="40">
        <v>76882</v>
      </c>
      <c r="CZ84" s="40">
        <v>77279</v>
      </c>
      <c r="DA84" s="40">
        <v>77644</v>
      </c>
      <c r="DB84" s="40">
        <v>78042</v>
      </c>
      <c r="DC84" s="40">
        <v>78407</v>
      </c>
      <c r="DD84" s="40">
        <v>78776</v>
      </c>
      <c r="DE84" s="40">
        <v>79123</v>
      </c>
      <c r="DF84" s="40">
        <v>79504</v>
      </c>
      <c r="DG84" s="40">
        <v>79851</v>
      </c>
      <c r="DH84" s="40">
        <v>80192</v>
      </c>
      <c r="DI84" s="40">
        <v>80528</v>
      </c>
      <c r="DJ84" s="40">
        <v>80882</v>
      </c>
      <c r="DK84" s="40">
        <v>81202</v>
      </c>
      <c r="DL84" s="40">
        <v>81521</v>
      </c>
      <c r="DM84" s="40">
        <v>81848</v>
      </c>
      <c r="DN84" s="40">
        <v>82170</v>
      </c>
      <c r="DO84" s="40">
        <v>82487</v>
      </c>
    </row>
    <row r="85" spans="1:119">
      <c r="A85" s="40">
        <v>83</v>
      </c>
      <c r="B85" s="40"/>
      <c r="C85" s="40"/>
      <c r="D85" s="40"/>
      <c r="E85" s="40"/>
      <c r="F85" s="40"/>
      <c r="G85" s="40"/>
      <c r="H85" s="40"/>
      <c r="I85" s="40"/>
      <c r="J85" s="40"/>
      <c r="K85" s="40"/>
      <c r="L85" s="40"/>
      <c r="M85" s="40"/>
      <c r="N85" s="40"/>
      <c r="O85" s="40"/>
      <c r="P85" s="40"/>
      <c r="Q85" s="40"/>
      <c r="R85" s="40"/>
      <c r="S85" s="40"/>
      <c r="T85" s="40"/>
      <c r="U85" s="40"/>
      <c r="V85" s="40"/>
      <c r="W85" s="40">
        <v>21925</v>
      </c>
      <c r="X85" s="40">
        <v>22886</v>
      </c>
      <c r="Y85" s="40">
        <v>23355</v>
      </c>
      <c r="Z85" s="40">
        <v>24942</v>
      </c>
      <c r="AA85" s="40">
        <v>25641</v>
      </c>
      <c r="AB85" s="40">
        <v>26452</v>
      </c>
      <c r="AC85" s="40">
        <v>26924</v>
      </c>
      <c r="AD85" s="40">
        <v>27232</v>
      </c>
      <c r="AE85" s="40">
        <v>27611</v>
      </c>
      <c r="AF85" s="40">
        <v>28792</v>
      </c>
      <c r="AG85" s="40">
        <v>29767</v>
      </c>
      <c r="AH85" s="40">
        <v>30821</v>
      </c>
      <c r="AI85" s="40">
        <v>31698</v>
      </c>
      <c r="AJ85" s="40">
        <v>33024</v>
      </c>
      <c r="AK85" s="40">
        <v>33872</v>
      </c>
      <c r="AL85" s="40">
        <v>34946</v>
      </c>
      <c r="AM85" s="40">
        <v>35970</v>
      </c>
      <c r="AN85" s="40">
        <v>36800</v>
      </c>
      <c r="AO85" s="40">
        <v>37217</v>
      </c>
      <c r="AP85" s="40">
        <v>37841</v>
      </c>
      <c r="AQ85" s="40">
        <v>38388</v>
      </c>
      <c r="AR85" s="40">
        <v>39120</v>
      </c>
      <c r="AS85" s="40">
        <v>39129</v>
      </c>
      <c r="AT85" s="40">
        <v>39175</v>
      </c>
      <c r="AU85" s="40">
        <v>38953</v>
      </c>
      <c r="AV85" s="40">
        <v>39597</v>
      </c>
      <c r="AW85" s="40">
        <v>40457</v>
      </c>
      <c r="AX85" s="40">
        <v>42072</v>
      </c>
      <c r="AY85" s="40">
        <v>43418</v>
      </c>
      <c r="AZ85" s="40">
        <v>43828</v>
      </c>
      <c r="BA85" s="40">
        <v>44279</v>
      </c>
      <c r="BB85" s="40">
        <v>45135</v>
      </c>
      <c r="BC85" s="40">
        <v>45751</v>
      </c>
      <c r="BD85" s="40">
        <v>46549</v>
      </c>
      <c r="BE85" s="40">
        <v>47176</v>
      </c>
      <c r="BF85" s="40">
        <v>47997</v>
      </c>
      <c r="BG85" s="40">
        <v>48548</v>
      </c>
      <c r="BH85" s="40">
        <v>49437</v>
      </c>
      <c r="BI85" s="40">
        <v>50164</v>
      </c>
      <c r="BJ85" s="40">
        <v>50885</v>
      </c>
      <c r="BK85" s="40">
        <v>51698</v>
      </c>
      <c r="BL85" s="40">
        <v>52545</v>
      </c>
      <c r="BM85" s="40">
        <v>53392</v>
      </c>
      <c r="BN85" s="40">
        <v>54176</v>
      </c>
      <c r="BO85" s="40">
        <v>54938</v>
      </c>
      <c r="BP85" s="40">
        <v>55600</v>
      </c>
      <c r="BQ85" s="40">
        <v>56261</v>
      </c>
      <c r="BR85" s="40">
        <v>56904</v>
      </c>
      <c r="BS85" s="40">
        <v>57460</v>
      </c>
      <c r="BT85" s="40">
        <v>58086</v>
      </c>
      <c r="BU85" s="40">
        <v>58657</v>
      </c>
      <c r="BV85" s="40">
        <v>59285</v>
      </c>
      <c r="BW85" s="40">
        <v>59856</v>
      </c>
      <c r="BX85" s="40">
        <v>60495</v>
      </c>
      <c r="BY85" s="40">
        <v>61144</v>
      </c>
      <c r="BZ85" s="40">
        <v>61872</v>
      </c>
      <c r="CA85" s="40">
        <v>62505</v>
      </c>
      <c r="CB85" s="40">
        <v>63062</v>
      </c>
      <c r="CC85" s="40">
        <v>63701</v>
      </c>
      <c r="CD85" s="40">
        <v>64301</v>
      </c>
      <c r="CE85" s="40">
        <v>64867</v>
      </c>
      <c r="CF85" s="40">
        <v>65496</v>
      </c>
      <c r="CG85" s="40">
        <v>66065</v>
      </c>
      <c r="CH85" s="40">
        <v>66627</v>
      </c>
      <c r="CI85" s="40">
        <v>67213</v>
      </c>
      <c r="CJ85" s="40">
        <v>67711</v>
      </c>
      <c r="CK85" s="40">
        <v>68225</v>
      </c>
      <c r="CL85" s="40">
        <v>68795</v>
      </c>
      <c r="CM85" s="40">
        <v>69282</v>
      </c>
      <c r="CN85" s="40">
        <v>69808</v>
      </c>
      <c r="CO85" s="40">
        <v>70338</v>
      </c>
      <c r="CP85" s="40">
        <v>70827</v>
      </c>
      <c r="CQ85" s="40">
        <v>71326</v>
      </c>
      <c r="CR85" s="40">
        <v>71775</v>
      </c>
      <c r="CS85" s="40">
        <v>72259</v>
      </c>
      <c r="CT85" s="40">
        <v>72705</v>
      </c>
      <c r="CU85" s="40">
        <v>73159</v>
      </c>
      <c r="CV85" s="40">
        <v>73594</v>
      </c>
      <c r="CW85" s="40">
        <v>74023</v>
      </c>
      <c r="CX85" s="40">
        <v>74474</v>
      </c>
      <c r="CY85" s="40">
        <v>74871</v>
      </c>
      <c r="CZ85" s="40">
        <v>75289</v>
      </c>
      <c r="DA85" s="40">
        <v>75677</v>
      </c>
      <c r="DB85" s="40">
        <v>76096</v>
      </c>
      <c r="DC85" s="40">
        <v>76483</v>
      </c>
      <c r="DD85" s="40">
        <v>76874</v>
      </c>
      <c r="DE85" s="40">
        <v>77243</v>
      </c>
      <c r="DF85" s="40">
        <v>77645</v>
      </c>
      <c r="DG85" s="40">
        <v>78013</v>
      </c>
      <c r="DH85" s="40">
        <v>78375</v>
      </c>
      <c r="DI85" s="40">
        <v>78733</v>
      </c>
      <c r="DJ85" s="40">
        <v>79107</v>
      </c>
      <c r="DK85" s="40">
        <v>79448</v>
      </c>
      <c r="DL85" s="40">
        <v>79788</v>
      </c>
      <c r="DM85" s="40">
        <v>80136</v>
      </c>
      <c r="DN85" s="40">
        <v>80479</v>
      </c>
      <c r="DO85" s="40">
        <v>80816</v>
      </c>
    </row>
    <row r="86" spans="1:119">
      <c r="A86" s="40">
        <v>84</v>
      </c>
      <c r="B86" s="40"/>
      <c r="C86" s="40"/>
      <c r="D86" s="40"/>
      <c r="E86" s="40"/>
      <c r="F86" s="40"/>
      <c r="G86" s="40"/>
      <c r="H86" s="40"/>
      <c r="I86" s="40"/>
      <c r="J86" s="40"/>
      <c r="K86" s="40"/>
      <c r="L86" s="40"/>
      <c r="M86" s="40"/>
      <c r="N86" s="40"/>
      <c r="O86" s="40"/>
      <c r="P86" s="40"/>
      <c r="Q86" s="40"/>
      <c r="R86" s="40"/>
      <c r="S86" s="40"/>
      <c r="T86" s="40"/>
      <c r="U86" s="40"/>
      <c r="V86" s="40"/>
      <c r="W86" s="40">
        <v>19775</v>
      </c>
      <c r="X86" s="40">
        <v>20692</v>
      </c>
      <c r="Y86" s="40">
        <v>21206</v>
      </c>
      <c r="Z86" s="40">
        <v>22678</v>
      </c>
      <c r="AA86" s="40">
        <v>23327</v>
      </c>
      <c r="AB86" s="40">
        <v>24122</v>
      </c>
      <c r="AC86" s="40">
        <v>24530</v>
      </c>
      <c r="AD86" s="40">
        <v>24803</v>
      </c>
      <c r="AE86" s="40">
        <v>25090</v>
      </c>
      <c r="AF86" s="40">
        <v>26310</v>
      </c>
      <c r="AG86" s="40">
        <v>27168</v>
      </c>
      <c r="AH86" s="40">
        <v>28172</v>
      </c>
      <c r="AI86" s="40">
        <v>29013</v>
      </c>
      <c r="AJ86" s="40">
        <v>30267</v>
      </c>
      <c r="AK86" s="40">
        <v>31085</v>
      </c>
      <c r="AL86" s="40">
        <v>32112</v>
      </c>
      <c r="AM86" s="40">
        <v>33094</v>
      </c>
      <c r="AN86" s="40">
        <v>33900</v>
      </c>
      <c r="AO86" s="40">
        <v>34327</v>
      </c>
      <c r="AP86" s="40">
        <v>34945</v>
      </c>
      <c r="AQ86" s="40">
        <v>35493</v>
      </c>
      <c r="AR86" s="40">
        <v>36212</v>
      </c>
      <c r="AS86" s="40">
        <v>36261</v>
      </c>
      <c r="AT86" s="40">
        <v>36346</v>
      </c>
      <c r="AU86" s="40">
        <v>36180</v>
      </c>
      <c r="AV86" s="40">
        <v>36819</v>
      </c>
      <c r="AW86" s="40">
        <v>37660</v>
      </c>
      <c r="AX86" s="40">
        <v>39208</v>
      </c>
      <c r="AY86" s="40">
        <v>40507</v>
      </c>
      <c r="AZ86" s="40">
        <v>40935</v>
      </c>
      <c r="BA86" s="40">
        <v>41401</v>
      </c>
      <c r="BB86" s="40">
        <v>42247</v>
      </c>
      <c r="BC86" s="40">
        <v>42869</v>
      </c>
      <c r="BD86" s="40">
        <v>43661</v>
      </c>
      <c r="BE86" s="40">
        <v>44295</v>
      </c>
      <c r="BF86" s="40">
        <v>45111</v>
      </c>
      <c r="BG86" s="40">
        <v>45673</v>
      </c>
      <c r="BH86" s="40">
        <v>46555</v>
      </c>
      <c r="BI86" s="40">
        <v>47285</v>
      </c>
      <c r="BJ86" s="40">
        <v>48009</v>
      </c>
      <c r="BK86" s="40">
        <v>48821</v>
      </c>
      <c r="BL86" s="40">
        <v>49667</v>
      </c>
      <c r="BM86" s="40">
        <v>50512</v>
      </c>
      <c r="BN86" s="40">
        <v>51299</v>
      </c>
      <c r="BO86" s="40">
        <v>52066</v>
      </c>
      <c r="BP86" s="40">
        <v>52738</v>
      </c>
      <c r="BQ86" s="40">
        <v>53409</v>
      </c>
      <c r="BR86" s="40">
        <v>54064</v>
      </c>
      <c r="BS86" s="40">
        <v>54636</v>
      </c>
      <c r="BT86" s="40">
        <v>55275</v>
      </c>
      <c r="BU86" s="40">
        <v>55863</v>
      </c>
      <c r="BV86" s="40">
        <v>56504</v>
      </c>
      <c r="BW86" s="40">
        <v>57092</v>
      </c>
      <c r="BX86" s="40">
        <v>57744</v>
      </c>
      <c r="BY86" s="40">
        <v>58407</v>
      </c>
      <c r="BZ86" s="40">
        <v>59145</v>
      </c>
      <c r="CA86" s="40">
        <v>59792</v>
      </c>
      <c r="CB86" s="40">
        <v>60368</v>
      </c>
      <c r="CC86" s="40">
        <v>61021</v>
      </c>
      <c r="CD86" s="40">
        <v>61638</v>
      </c>
      <c r="CE86" s="40">
        <v>62221</v>
      </c>
      <c r="CF86" s="40">
        <v>62866</v>
      </c>
      <c r="CG86" s="40">
        <v>63453</v>
      </c>
      <c r="CH86" s="40">
        <v>64033</v>
      </c>
      <c r="CI86" s="40">
        <v>64637</v>
      </c>
      <c r="CJ86" s="40">
        <v>65156</v>
      </c>
      <c r="CK86" s="40">
        <v>65690</v>
      </c>
      <c r="CL86" s="40">
        <v>66279</v>
      </c>
      <c r="CM86" s="40">
        <v>66787</v>
      </c>
      <c r="CN86" s="40">
        <v>67332</v>
      </c>
      <c r="CO86" s="40">
        <v>67882</v>
      </c>
      <c r="CP86" s="40">
        <v>68392</v>
      </c>
      <c r="CQ86" s="40">
        <v>68912</v>
      </c>
      <c r="CR86" s="40">
        <v>69383</v>
      </c>
      <c r="CS86" s="40">
        <v>69888</v>
      </c>
      <c r="CT86" s="40">
        <v>70356</v>
      </c>
      <c r="CU86" s="40">
        <v>70832</v>
      </c>
      <c r="CV86" s="40">
        <v>71289</v>
      </c>
      <c r="CW86" s="40">
        <v>71741</v>
      </c>
      <c r="CX86" s="40">
        <v>72212</v>
      </c>
      <c r="CY86" s="40">
        <v>72633</v>
      </c>
      <c r="CZ86" s="40">
        <v>73073</v>
      </c>
      <c r="DA86" s="40">
        <v>73484</v>
      </c>
      <c r="DB86" s="40">
        <v>73925</v>
      </c>
      <c r="DC86" s="40">
        <v>74335</v>
      </c>
      <c r="DD86" s="40">
        <v>74747</v>
      </c>
      <c r="DE86" s="40">
        <v>75139</v>
      </c>
      <c r="DF86" s="40">
        <v>75563</v>
      </c>
      <c r="DG86" s="40">
        <v>75953</v>
      </c>
      <c r="DH86" s="40">
        <v>76338</v>
      </c>
      <c r="DI86" s="40">
        <v>76717</v>
      </c>
      <c r="DJ86" s="40">
        <v>77114</v>
      </c>
      <c r="DK86" s="40">
        <v>77477</v>
      </c>
      <c r="DL86" s="40">
        <v>77839</v>
      </c>
      <c r="DM86" s="40">
        <v>78209</v>
      </c>
      <c r="DN86" s="40">
        <v>78573</v>
      </c>
      <c r="DO86" s="40">
        <v>78931</v>
      </c>
    </row>
    <row r="87" spans="1:119">
      <c r="A87" s="40">
        <v>85</v>
      </c>
      <c r="B87" s="40"/>
      <c r="C87" s="40"/>
      <c r="D87" s="40"/>
      <c r="E87" s="40"/>
      <c r="F87" s="40"/>
      <c r="G87" s="40"/>
      <c r="H87" s="40"/>
      <c r="I87" s="40"/>
      <c r="J87" s="40"/>
      <c r="K87" s="40"/>
      <c r="L87" s="40"/>
      <c r="M87" s="40"/>
      <c r="N87" s="40"/>
      <c r="O87" s="40"/>
      <c r="P87" s="40"/>
      <c r="Q87" s="40"/>
      <c r="R87" s="40"/>
      <c r="S87" s="40"/>
      <c r="T87" s="40"/>
      <c r="U87" s="40"/>
      <c r="V87" s="40"/>
      <c r="W87" s="40">
        <v>17664</v>
      </c>
      <c r="X87" s="40">
        <v>18604</v>
      </c>
      <c r="Y87" s="40">
        <v>19050</v>
      </c>
      <c r="Z87" s="40">
        <v>20390</v>
      </c>
      <c r="AA87" s="40">
        <v>20999</v>
      </c>
      <c r="AB87" s="40">
        <v>21742</v>
      </c>
      <c r="AC87" s="40">
        <v>22099</v>
      </c>
      <c r="AD87" s="40">
        <v>22304</v>
      </c>
      <c r="AE87" s="40">
        <v>22687</v>
      </c>
      <c r="AF87" s="40">
        <v>23711</v>
      </c>
      <c r="AG87" s="40">
        <v>24544</v>
      </c>
      <c r="AH87" s="40">
        <v>25489</v>
      </c>
      <c r="AI87" s="40">
        <v>26288</v>
      </c>
      <c r="AJ87" s="40">
        <v>27464</v>
      </c>
      <c r="AK87" s="40">
        <v>28246</v>
      </c>
      <c r="AL87" s="40">
        <v>29220</v>
      </c>
      <c r="AM87" s="40">
        <v>30156</v>
      </c>
      <c r="AN87" s="40">
        <v>30932</v>
      </c>
      <c r="AO87" s="40">
        <v>31363</v>
      </c>
      <c r="AP87" s="40">
        <v>31970</v>
      </c>
      <c r="AQ87" s="40">
        <v>32513</v>
      </c>
      <c r="AR87" s="40">
        <v>33214</v>
      </c>
      <c r="AS87" s="40">
        <v>33301</v>
      </c>
      <c r="AT87" s="40">
        <v>33420</v>
      </c>
      <c r="AU87" s="40">
        <v>33308</v>
      </c>
      <c r="AV87" s="40">
        <v>33937</v>
      </c>
      <c r="AW87" s="40">
        <v>34756</v>
      </c>
      <c r="AX87" s="40">
        <v>36230</v>
      </c>
      <c r="AY87" s="40">
        <v>37477</v>
      </c>
      <c r="AZ87" s="40">
        <v>37919</v>
      </c>
      <c r="BA87" s="40">
        <v>38396</v>
      </c>
      <c r="BB87" s="40">
        <v>39227</v>
      </c>
      <c r="BC87" s="40">
        <v>39850</v>
      </c>
      <c r="BD87" s="40">
        <v>40632</v>
      </c>
      <c r="BE87" s="40">
        <v>41268</v>
      </c>
      <c r="BF87" s="40">
        <v>42075</v>
      </c>
      <c r="BG87" s="40">
        <v>42645</v>
      </c>
      <c r="BH87" s="40">
        <v>43514</v>
      </c>
      <c r="BI87" s="40">
        <v>44243</v>
      </c>
      <c r="BJ87" s="40">
        <v>44967</v>
      </c>
      <c r="BK87" s="40">
        <v>45774</v>
      </c>
      <c r="BL87" s="40">
        <v>46613</v>
      </c>
      <c r="BM87" s="40">
        <v>47453</v>
      </c>
      <c r="BN87" s="40">
        <v>48239</v>
      </c>
      <c r="BO87" s="40">
        <v>49006</v>
      </c>
      <c r="BP87" s="40">
        <v>49685</v>
      </c>
      <c r="BQ87" s="40">
        <v>50364</v>
      </c>
      <c r="BR87" s="40">
        <v>51027</v>
      </c>
      <c r="BS87" s="40">
        <v>51613</v>
      </c>
      <c r="BT87" s="40">
        <v>52263</v>
      </c>
      <c r="BU87" s="40">
        <v>52864</v>
      </c>
      <c r="BV87" s="40">
        <v>53516</v>
      </c>
      <c r="BW87" s="40">
        <v>54118</v>
      </c>
      <c r="BX87" s="40">
        <v>54782</v>
      </c>
      <c r="BY87" s="40">
        <v>55455</v>
      </c>
      <c r="BZ87" s="40">
        <v>56201</v>
      </c>
      <c r="CA87" s="40">
        <v>56860</v>
      </c>
      <c r="CB87" s="40">
        <v>57452</v>
      </c>
      <c r="CC87" s="40">
        <v>58118</v>
      </c>
      <c r="CD87" s="40">
        <v>58749</v>
      </c>
      <c r="CE87" s="40">
        <v>59349</v>
      </c>
      <c r="CF87" s="40">
        <v>60007</v>
      </c>
      <c r="CG87" s="40">
        <v>60610</v>
      </c>
      <c r="CH87" s="40">
        <v>61208</v>
      </c>
      <c r="CI87" s="40">
        <v>61827</v>
      </c>
      <c r="CJ87" s="40">
        <v>62366</v>
      </c>
      <c r="CK87" s="40">
        <v>62920</v>
      </c>
      <c r="CL87" s="40">
        <v>63525</v>
      </c>
      <c r="CM87" s="40">
        <v>64054</v>
      </c>
      <c r="CN87" s="40">
        <v>64618</v>
      </c>
      <c r="CO87" s="40">
        <v>65187</v>
      </c>
      <c r="CP87" s="40">
        <v>65717</v>
      </c>
      <c r="CQ87" s="40">
        <v>66257</v>
      </c>
      <c r="CR87" s="40">
        <v>66750</v>
      </c>
      <c r="CS87" s="40">
        <v>67275</v>
      </c>
      <c r="CT87" s="40">
        <v>67766</v>
      </c>
      <c r="CU87" s="40">
        <v>68263</v>
      </c>
      <c r="CV87" s="40">
        <v>68742</v>
      </c>
      <c r="CW87" s="40">
        <v>69216</v>
      </c>
      <c r="CX87" s="40">
        <v>69709</v>
      </c>
      <c r="CY87" s="40">
        <v>70153</v>
      </c>
      <c r="CZ87" s="40">
        <v>70616</v>
      </c>
      <c r="DA87" s="40">
        <v>71049</v>
      </c>
      <c r="DB87" s="40">
        <v>71513</v>
      </c>
      <c r="DC87" s="40">
        <v>71945</v>
      </c>
      <c r="DD87" s="40">
        <v>72381</v>
      </c>
      <c r="DE87" s="40">
        <v>72795</v>
      </c>
      <c r="DF87" s="40">
        <v>73241</v>
      </c>
      <c r="DG87" s="40">
        <v>73655</v>
      </c>
      <c r="DH87" s="40">
        <v>74062</v>
      </c>
      <c r="DI87" s="40">
        <v>74465</v>
      </c>
      <c r="DJ87" s="40">
        <v>74883</v>
      </c>
      <c r="DK87" s="40">
        <v>75270</v>
      </c>
      <c r="DL87" s="40">
        <v>75654</v>
      </c>
      <c r="DM87" s="40">
        <v>76047</v>
      </c>
      <c r="DN87" s="40">
        <v>76433</v>
      </c>
      <c r="DO87" s="40">
        <v>76814</v>
      </c>
    </row>
    <row r="88" spans="1:119">
      <c r="A88" s="40">
        <v>86</v>
      </c>
      <c r="B88" s="40"/>
      <c r="C88" s="40"/>
      <c r="D88" s="40"/>
      <c r="E88" s="40"/>
      <c r="F88" s="40"/>
      <c r="G88" s="40"/>
      <c r="H88" s="40"/>
      <c r="I88" s="40"/>
      <c r="J88" s="40"/>
      <c r="K88" s="40"/>
      <c r="L88" s="40"/>
      <c r="M88" s="40"/>
      <c r="N88" s="40"/>
      <c r="O88" s="40"/>
      <c r="P88" s="40"/>
      <c r="Q88" s="40"/>
      <c r="R88" s="40"/>
      <c r="S88" s="40"/>
      <c r="T88" s="40"/>
      <c r="U88" s="40"/>
      <c r="V88" s="40"/>
      <c r="W88" s="40">
        <v>15676</v>
      </c>
      <c r="X88" s="40">
        <v>16501</v>
      </c>
      <c r="Y88" s="40">
        <v>16872</v>
      </c>
      <c r="Z88" s="40">
        <v>18180</v>
      </c>
      <c r="AA88" s="40">
        <v>18687</v>
      </c>
      <c r="AB88" s="40">
        <v>19374</v>
      </c>
      <c r="AC88" s="40">
        <v>19622</v>
      </c>
      <c r="AD88" s="40">
        <v>19908</v>
      </c>
      <c r="AE88" s="40">
        <v>20179</v>
      </c>
      <c r="AF88" s="40">
        <v>21143</v>
      </c>
      <c r="AG88" s="40">
        <v>21922</v>
      </c>
      <c r="AH88" s="40">
        <v>22803</v>
      </c>
      <c r="AI88" s="40">
        <v>23555</v>
      </c>
      <c r="AJ88" s="40">
        <v>24647</v>
      </c>
      <c r="AK88" s="40">
        <v>25388</v>
      </c>
      <c r="AL88" s="40">
        <v>26303</v>
      </c>
      <c r="AM88" s="40">
        <v>27186</v>
      </c>
      <c r="AN88" s="40">
        <v>27926</v>
      </c>
      <c r="AO88" s="40">
        <v>28356</v>
      </c>
      <c r="AP88" s="40">
        <v>28946</v>
      </c>
      <c r="AQ88" s="40">
        <v>29479</v>
      </c>
      <c r="AR88" s="40">
        <v>30157</v>
      </c>
      <c r="AS88" s="40">
        <v>30277</v>
      </c>
      <c r="AT88" s="40">
        <v>30426</v>
      </c>
      <c r="AU88" s="40">
        <v>30364</v>
      </c>
      <c r="AV88" s="40">
        <v>30981</v>
      </c>
      <c r="AW88" s="40">
        <v>31773</v>
      </c>
      <c r="AX88" s="40">
        <v>33165</v>
      </c>
      <c r="AY88" s="40">
        <v>34353</v>
      </c>
      <c r="AZ88" s="40">
        <v>34804</v>
      </c>
      <c r="BA88" s="40">
        <v>35287</v>
      </c>
      <c r="BB88" s="40">
        <v>36097</v>
      </c>
      <c r="BC88" s="40">
        <v>36717</v>
      </c>
      <c r="BD88" s="40">
        <v>37484</v>
      </c>
      <c r="BE88" s="40">
        <v>38117</v>
      </c>
      <c r="BF88" s="40">
        <v>38909</v>
      </c>
      <c r="BG88" s="40">
        <v>39483</v>
      </c>
      <c r="BH88" s="40">
        <v>40334</v>
      </c>
      <c r="BI88" s="40">
        <v>41056</v>
      </c>
      <c r="BJ88" s="40">
        <v>41775</v>
      </c>
      <c r="BK88" s="40">
        <v>42572</v>
      </c>
      <c r="BL88" s="40">
        <v>43400</v>
      </c>
      <c r="BM88" s="40">
        <v>44230</v>
      </c>
      <c r="BN88" s="40">
        <v>45010</v>
      </c>
      <c r="BO88" s="40">
        <v>45773</v>
      </c>
      <c r="BP88" s="40">
        <v>46455</v>
      </c>
      <c r="BQ88" s="40">
        <v>47137</v>
      </c>
      <c r="BR88" s="40">
        <v>47805</v>
      </c>
      <c r="BS88" s="40">
        <v>48402</v>
      </c>
      <c r="BT88" s="40">
        <v>49058</v>
      </c>
      <c r="BU88" s="40">
        <v>49670</v>
      </c>
      <c r="BV88" s="40">
        <v>50329</v>
      </c>
      <c r="BW88" s="40">
        <v>50943</v>
      </c>
      <c r="BX88" s="40">
        <v>51613</v>
      </c>
      <c r="BY88" s="40">
        <v>52294</v>
      </c>
      <c r="BZ88" s="40">
        <v>53044</v>
      </c>
      <c r="CA88" s="40">
        <v>53713</v>
      </c>
      <c r="CB88" s="40">
        <v>54318</v>
      </c>
      <c r="CC88" s="40">
        <v>54994</v>
      </c>
      <c r="CD88" s="40">
        <v>55637</v>
      </c>
      <c r="CE88" s="40">
        <v>56251</v>
      </c>
      <c r="CF88" s="40">
        <v>56920</v>
      </c>
      <c r="CG88" s="40">
        <v>57537</v>
      </c>
      <c r="CH88" s="40">
        <v>58150</v>
      </c>
      <c r="CI88" s="40">
        <v>58783</v>
      </c>
      <c r="CJ88" s="40">
        <v>59340</v>
      </c>
      <c r="CK88" s="40">
        <v>59911</v>
      </c>
      <c r="CL88" s="40">
        <v>60532</v>
      </c>
      <c r="CM88" s="40">
        <v>61079</v>
      </c>
      <c r="CN88" s="40">
        <v>61661</v>
      </c>
      <c r="CO88" s="40">
        <v>62247</v>
      </c>
      <c r="CP88" s="40">
        <v>62797</v>
      </c>
      <c r="CQ88" s="40">
        <v>63355</v>
      </c>
      <c r="CR88" s="40">
        <v>63869</v>
      </c>
      <c r="CS88" s="40">
        <v>64414</v>
      </c>
      <c r="CT88" s="40">
        <v>64925</v>
      </c>
      <c r="CU88" s="40">
        <v>65443</v>
      </c>
      <c r="CV88" s="40">
        <v>65944</v>
      </c>
      <c r="CW88" s="40">
        <v>66439</v>
      </c>
      <c r="CX88" s="40">
        <v>66953</v>
      </c>
      <c r="CY88" s="40">
        <v>67419</v>
      </c>
      <c r="CZ88" s="40">
        <v>67904</v>
      </c>
      <c r="DA88" s="40">
        <v>68361</v>
      </c>
      <c r="DB88" s="40">
        <v>68846</v>
      </c>
      <c r="DC88" s="40">
        <v>69301</v>
      </c>
      <c r="DD88" s="40">
        <v>69759</v>
      </c>
      <c r="DE88" s="40">
        <v>70197</v>
      </c>
      <c r="DF88" s="40">
        <v>70665</v>
      </c>
      <c r="DG88" s="40">
        <v>71102</v>
      </c>
      <c r="DH88" s="40">
        <v>71532</v>
      </c>
      <c r="DI88" s="40">
        <v>71958</v>
      </c>
      <c r="DJ88" s="40">
        <v>72399</v>
      </c>
      <c r="DK88" s="40">
        <v>72809</v>
      </c>
      <c r="DL88" s="40">
        <v>73217</v>
      </c>
      <c r="DM88" s="40">
        <v>73632</v>
      </c>
      <c r="DN88" s="40">
        <v>74042</v>
      </c>
      <c r="DO88" s="40">
        <v>74446</v>
      </c>
    </row>
    <row r="89" spans="1:119">
      <c r="A89" s="40">
        <v>87</v>
      </c>
      <c r="B89" s="40"/>
      <c r="C89" s="40"/>
      <c r="D89" s="40"/>
      <c r="E89" s="40"/>
      <c r="F89" s="40"/>
      <c r="G89" s="40"/>
      <c r="H89" s="40"/>
      <c r="I89" s="40"/>
      <c r="J89" s="40"/>
      <c r="K89" s="40"/>
      <c r="L89" s="40"/>
      <c r="M89" s="40"/>
      <c r="N89" s="40"/>
      <c r="O89" s="40"/>
      <c r="P89" s="40"/>
      <c r="Q89" s="40"/>
      <c r="R89" s="40"/>
      <c r="S89" s="40"/>
      <c r="T89" s="40"/>
      <c r="U89" s="40"/>
      <c r="V89" s="40"/>
      <c r="W89" s="40">
        <v>13673</v>
      </c>
      <c r="X89" s="40">
        <v>14443</v>
      </c>
      <c r="Y89" s="40">
        <v>14816</v>
      </c>
      <c r="Z89" s="40">
        <v>15933</v>
      </c>
      <c r="AA89" s="40">
        <v>16361</v>
      </c>
      <c r="AB89" s="40">
        <v>16962</v>
      </c>
      <c r="AC89" s="40">
        <v>17309</v>
      </c>
      <c r="AD89" s="40">
        <v>17444</v>
      </c>
      <c r="AE89" s="40">
        <v>17734</v>
      </c>
      <c r="AF89" s="40">
        <v>18615</v>
      </c>
      <c r="AG89" s="40">
        <v>19335</v>
      </c>
      <c r="AH89" s="40">
        <v>20147</v>
      </c>
      <c r="AI89" s="40">
        <v>20847</v>
      </c>
      <c r="AJ89" s="40">
        <v>21850</v>
      </c>
      <c r="AK89" s="40">
        <v>22544</v>
      </c>
      <c r="AL89" s="40">
        <v>23395</v>
      </c>
      <c r="AM89" s="40">
        <v>24219</v>
      </c>
      <c r="AN89" s="40">
        <v>24918</v>
      </c>
      <c r="AO89" s="40">
        <v>25342</v>
      </c>
      <c r="AP89" s="40">
        <v>25908</v>
      </c>
      <c r="AQ89" s="40">
        <v>26426</v>
      </c>
      <c r="AR89" s="40">
        <v>27074</v>
      </c>
      <c r="AS89" s="40">
        <v>27222</v>
      </c>
      <c r="AT89" s="40">
        <v>27395</v>
      </c>
      <c r="AU89" s="40">
        <v>27382</v>
      </c>
      <c r="AV89" s="40">
        <v>27981</v>
      </c>
      <c r="AW89" s="40">
        <v>28740</v>
      </c>
      <c r="AX89" s="40">
        <v>30044</v>
      </c>
      <c r="AY89" s="40">
        <v>31165</v>
      </c>
      <c r="AZ89" s="40">
        <v>31620</v>
      </c>
      <c r="BA89" s="40">
        <v>32104</v>
      </c>
      <c r="BB89" s="40">
        <v>32887</v>
      </c>
      <c r="BC89" s="40">
        <v>33497</v>
      </c>
      <c r="BD89" s="40">
        <v>34243</v>
      </c>
      <c r="BE89" s="40">
        <v>34868</v>
      </c>
      <c r="BF89" s="40">
        <v>35639</v>
      </c>
      <c r="BG89" s="40">
        <v>36211</v>
      </c>
      <c r="BH89" s="40">
        <v>37039</v>
      </c>
      <c r="BI89" s="40">
        <v>37750</v>
      </c>
      <c r="BJ89" s="40">
        <v>38458</v>
      </c>
      <c r="BK89" s="40">
        <v>39239</v>
      </c>
      <c r="BL89" s="40">
        <v>40050</v>
      </c>
      <c r="BM89" s="40">
        <v>40864</v>
      </c>
      <c r="BN89" s="40">
        <v>41632</v>
      </c>
      <c r="BO89" s="40">
        <v>42387</v>
      </c>
      <c r="BP89" s="40">
        <v>43067</v>
      </c>
      <c r="BQ89" s="40">
        <v>43747</v>
      </c>
      <c r="BR89" s="40">
        <v>44416</v>
      </c>
      <c r="BS89" s="40">
        <v>45018</v>
      </c>
      <c r="BT89" s="40">
        <v>45677</v>
      </c>
      <c r="BU89" s="40">
        <v>46295</v>
      </c>
      <c r="BV89" s="40">
        <v>46957</v>
      </c>
      <c r="BW89" s="40">
        <v>47578</v>
      </c>
      <c r="BX89" s="40">
        <v>48252</v>
      </c>
      <c r="BY89" s="40">
        <v>48937</v>
      </c>
      <c r="BZ89" s="40">
        <v>49686</v>
      </c>
      <c r="CA89" s="40">
        <v>50360</v>
      </c>
      <c r="CB89" s="40">
        <v>50975</v>
      </c>
      <c r="CC89" s="40">
        <v>51657</v>
      </c>
      <c r="CD89" s="40">
        <v>52309</v>
      </c>
      <c r="CE89" s="40">
        <v>52933</v>
      </c>
      <c r="CF89" s="40">
        <v>53610</v>
      </c>
      <c r="CG89" s="40">
        <v>54239</v>
      </c>
      <c r="CH89" s="40">
        <v>54863</v>
      </c>
      <c r="CI89" s="40">
        <v>55507</v>
      </c>
      <c r="CJ89" s="40">
        <v>56080</v>
      </c>
      <c r="CK89" s="40">
        <v>56666</v>
      </c>
      <c r="CL89" s="40">
        <v>57299</v>
      </c>
      <c r="CM89" s="40">
        <v>57863</v>
      </c>
      <c r="CN89" s="40">
        <v>58459</v>
      </c>
      <c r="CO89" s="40">
        <v>59061</v>
      </c>
      <c r="CP89" s="40">
        <v>59627</v>
      </c>
      <c r="CQ89" s="40">
        <v>60203</v>
      </c>
      <c r="CR89" s="40">
        <v>60735</v>
      </c>
      <c r="CS89" s="40">
        <v>61298</v>
      </c>
      <c r="CT89" s="40">
        <v>61829</v>
      </c>
      <c r="CU89" s="40">
        <v>62366</v>
      </c>
      <c r="CV89" s="40">
        <v>62887</v>
      </c>
      <c r="CW89" s="40">
        <v>63403</v>
      </c>
      <c r="CX89" s="40">
        <v>63936</v>
      </c>
      <c r="CY89" s="40">
        <v>64424</v>
      </c>
      <c r="CZ89" s="40">
        <v>64930</v>
      </c>
      <c r="DA89" s="40">
        <v>65408</v>
      </c>
      <c r="DB89" s="40">
        <v>65914</v>
      </c>
      <c r="DC89" s="40">
        <v>66392</v>
      </c>
      <c r="DD89" s="40">
        <v>66872</v>
      </c>
      <c r="DE89" s="40">
        <v>67333</v>
      </c>
      <c r="DF89" s="40">
        <v>67822</v>
      </c>
      <c r="DG89" s="40">
        <v>68281</v>
      </c>
      <c r="DH89" s="40">
        <v>68735</v>
      </c>
      <c r="DI89" s="40">
        <v>69183</v>
      </c>
      <c r="DJ89" s="40">
        <v>69647</v>
      </c>
      <c r="DK89" s="40">
        <v>70080</v>
      </c>
      <c r="DL89" s="40">
        <v>70511</v>
      </c>
      <c r="DM89" s="40">
        <v>70949</v>
      </c>
      <c r="DN89" s="40">
        <v>71382</v>
      </c>
      <c r="DO89" s="40">
        <v>71809</v>
      </c>
    </row>
    <row r="90" spans="1:119">
      <c r="A90" s="40">
        <v>88</v>
      </c>
      <c r="B90" s="40"/>
      <c r="C90" s="40"/>
      <c r="D90" s="40"/>
      <c r="E90" s="40"/>
      <c r="F90" s="40"/>
      <c r="G90" s="40"/>
      <c r="H90" s="40"/>
      <c r="I90" s="40"/>
      <c r="J90" s="40"/>
      <c r="K90" s="40"/>
      <c r="L90" s="40"/>
      <c r="M90" s="40"/>
      <c r="N90" s="40"/>
      <c r="O90" s="40"/>
      <c r="P90" s="40"/>
      <c r="Q90" s="40"/>
      <c r="R90" s="40"/>
      <c r="S90" s="40"/>
      <c r="T90" s="40"/>
      <c r="U90" s="40"/>
      <c r="V90" s="40"/>
      <c r="W90" s="40">
        <v>11773</v>
      </c>
      <c r="X90" s="40">
        <v>12483</v>
      </c>
      <c r="Y90" s="40">
        <v>12761</v>
      </c>
      <c r="Z90" s="40">
        <v>13760</v>
      </c>
      <c r="AA90" s="40">
        <v>14086</v>
      </c>
      <c r="AB90" s="40">
        <v>14748</v>
      </c>
      <c r="AC90" s="40">
        <v>14944</v>
      </c>
      <c r="AD90" s="40">
        <v>15086</v>
      </c>
      <c r="AE90" s="40">
        <v>15367</v>
      </c>
      <c r="AF90" s="40">
        <v>16161</v>
      </c>
      <c r="AG90" s="40">
        <v>16818</v>
      </c>
      <c r="AH90" s="40">
        <v>17557</v>
      </c>
      <c r="AI90" s="40">
        <v>18200</v>
      </c>
      <c r="AJ90" s="40">
        <v>19111</v>
      </c>
      <c r="AK90" s="40">
        <v>19753</v>
      </c>
      <c r="AL90" s="40">
        <v>20535</v>
      </c>
      <c r="AM90" s="40">
        <v>21295</v>
      </c>
      <c r="AN90" s="40">
        <v>21947</v>
      </c>
      <c r="AO90" s="40">
        <v>22358</v>
      </c>
      <c r="AP90" s="40">
        <v>22896</v>
      </c>
      <c r="AQ90" s="40">
        <v>23391</v>
      </c>
      <c r="AR90" s="40">
        <v>24003</v>
      </c>
      <c r="AS90" s="40">
        <v>24173</v>
      </c>
      <c r="AT90" s="40">
        <v>24369</v>
      </c>
      <c r="AU90" s="40">
        <v>24398</v>
      </c>
      <c r="AV90" s="40">
        <v>24974</v>
      </c>
      <c r="AW90" s="40">
        <v>25693</v>
      </c>
      <c r="AX90" s="40">
        <v>26902</v>
      </c>
      <c r="AY90" s="40">
        <v>27950</v>
      </c>
      <c r="AZ90" s="40">
        <v>28402</v>
      </c>
      <c r="BA90" s="40">
        <v>28882</v>
      </c>
      <c r="BB90" s="40">
        <v>29631</v>
      </c>
      <c r="BC90" s="40">
        <v>30226</v>
      </c>
      <c r="BD90" s="40">
        <v>30945</v>
      </c>
      <c r="BE90" s="40">
        <v>31555</v>
      </c>
      <c r="BF90" s="40">
        <v>32298</v>
      </c>
      <c r="BG90" s="40">
        <v>32863</v>
      </c>
      <c r="BH90" s="40">
        <v>33661</v>
      </c>
      <c r="BI90" s="40">
        <v>34354</v>
      </c>
      <c r="BJ90" s="40">
        <v>35046</v>
      </c>
      <c r="BK90" s="40">
        <v>35805</v>
      </c>
      <c r="BL90" s="40">
        <v>36592</v>
      </c>
      <c r="BM90" s="40">
        <v>37384</v>
      </c>
      <c r="BN90" s="40">
        <v>38135</v>
      </c>
      <c r="BO90" s="40">
        <v>38874</v>
      </c>
      <c r="BP90" s="40">
        <v>39546</v>
      </c>
      <c r="BQ90" s="40">
        <v>40220</v>
      </c>
      <c r="BR90" s="40">
        <v>40883</v>
      </c>
      <c r="BS90" s="40">
        <v>41487</v>
      </c>
      <c r="BT90" s="40">
        <v>42143</v>
      </c>
      <c r="BU90" s="40">
        <v>42761</v>
      </c>
      <c r="BV90" s="40">
        <v>43422</v>
      </c>
      <c r="BW90" s="40">
        <v>44044</v>
      </c>
      <c r="BX90" s="40">
        <v>44717</v>
      </c>
      <c r="BY90" s="40">
        <v>45400</v>
      </c>
      <c r="BZ90" s="40">
        <v>46144</v>
      </c>
      <c r="CA90" s="40">
        <v>46819</v>
      </c>
      <c r="CB90" s="40">
        <v>47440</v>
      </c>
      <c r="CC90" s="40">
        <v>48123</v>
      </c>
      <c r="CD90" s="40">
        <v>48779</v>
      </c>
      <c r="CE90" s="40">
        <v>49410</v>
      </c>
      <c r="CF90" s="40">
        <v>50090</v>
      </c>
      <c r="CG90" s="40">
        <v>50726</v>
      </c>
      <c r="CH90" s="40">
        <v>51358</v>
      </c>
      <c r="CI90" s="40">
        <v>52009</v>
      </c>
      <c r="CJ90" s="40">
        <v>52594</v>
      </c>
      <c r="CK90" s="40">
        <v>53191</v>
      </c>
      <c r="CL90" s="40">
        <v>53833</v>
      </c>
      <c r="CM90" s="40">
        <v>54411</v>
      </c>
      <c r="CN90" s="40">
        <v>55019</v>
      </c>
      <c r="CO90" s="40">
        <v>55632</v>
      </c>
      <c r="CP90" s="40">
        <v>56213</v>
      </c>
      <c r="CQ90" s="40">
        <v>56803</v>
      </c>
      <c r="CR90" s="40">
        <v>57352</v>
      </c>
      <c r="CS90" s="40">
        <v>57929</v>
      </c>
      <c r="CT90" s="40">
        <v>58477</v>
      </c>
      <c r="CU90" s="40">
        <v>59031</v>
      </c>
      <c r="CV90" s="40">
        <v>59570</v>
      </c>
      <c r="CW90" s="40">
        <v>60104</v>
      </c>
      <c r="CX90" s="40">
        <v>60655</v>
      </c>
      <c r="CY90" s="40">
        <v>61163</v>
      </c>
      <c r="CZ90" s="40">
        <v>61688</v>
      </c>
      <c r="DA90" s="40">
        <v>62187</v>
      </c>
      <c r="DB90" s="40">
        <v>62712</v>
      </c>
      <c r="DC90" s="40">
        <v>63210</v>
      </c>
      <c r="DD90" s="40">
        <v>63711</v>
      </c>
      <c r="DE90" s="40">
        <v>64193</v>
      </c>
      <c r="DF90" s="40">
        <v>64702</v>
      </c>
      <c r="DG90" s="40">
        <v>65183</v>
      </c>
      <c r="DH90" s="40">
        <v>65658</v>
      </c>
      <c r="DI90" s="40">
        <v>66129</v>
      </c>
      <c r="DJ90" s="40">
        <v>66614</v>
      </c>
      <c r="DK90" s="40">
        <v>67070</v>
      </c>
      <c r="DL90" s="40">
        <v>67524</v>
      </c>
      <c r="DM90" s="40">
        <v>67984</v>
      </c>
      <c r="DN90" s="40">
        <v>68439</v>
      </c>
      <c r="DO90" s="40">
        <v>68889</v>
      </c>
    </row>
    <row r="91" spans="1:119">
      <c r="A91" s="40">
        <v>89</v>
      </c>
      <c r="B91" s="40"/>
      <c r="C91" s="40"/>
      <c r="D91" s="40"/>
      <c r="E91" s="40"/>
      <c r="F91" s="40"/>
      <c r="G91" s="40"/>
      <c r="H91" s="40"/>
      <c r="I91" s="40"/>
      <c r="J91" s="40"/>
      <c r="K91" s="40"/>
      <c r="L91" s="40"/>
      <c r="M91" s="40"/>
      <c r="N91" s="40"/>
      <c r="O91" s="40"/>
      <c r="P91" s="40"/>
      <c r="Q91" s="40"/>
      <c r="R91" s="40"/>
      <c r="S91" s="40"/>
      <c r="T91" s="40"/>
      <c r="U91" s="40"/>
      <c r="V91" s="40"/>
      <c r="W91" s="40">
        <v>10051</v>
      </c>
      <c r="X91" s="40">
        <v>10560</v>
      </c>
      <c r="Y91" s="40">
        <v>10832</v>
      </c>
      <c r="Z91" s="40">
        <v>11629</v>
      </c>
      <c r="AA91" s="40">
        <v>12046</v>
      </c>
      <c r="AB91" s="40">
        <v>12519</v>
      </c>
      <c r="AC91" s="40">
        <v>12695</v>
      </c>
      <c r="AD91" s="40">
        <v>12843</v>
      </c>
      <c r="AE91" s="40">
        <v>13110</v>
      </c>
      <c r="AF91" s="40">
        <v>13816</v>
      </c>
      <c r="AG91" s="40">
        <v>14406</v>
      </c>
      <c r="AH91" s="40">
        <v>15069</v>
      </c>
      <c r="AI91" s="40">
        <v>15652</v>
      </c>
      <c r="AJ91" s="40">
        <v>16467</v>
      </c>
      <c r="AK91" s="40">
        <v>17053</v>
      </c>
      <c r="AL91" s="40">
        <v>17762</v>
      </c>
      <c r="AM91" s="40">
        <v>18454</v>
      </c>
      <c r="AN91" s="40">
        <v>19054</v>
      </c>
      <c r="AO91" s="40">
        <v>19446</v>
      </c>
      <c r="AP91" s="40">
        <v>19949</v>
      </c>
      <c r="AQ91" s="40">
        <v>20417</v>
      </c>
      <c r="AR91" s="40">
        <v>20988</v>
      </c>
      <c r="AS91" s="40">
        <v>21176</v>
      </c>
      <c r="AT91" s="40">
        <v>21388</v>
      </c>
      <c r="AU91" s="40">
        <v>21452</v>
      </c>
      <c r="AV91" s="40">
        <v>21998</v>
      </c>
      <c r="AW91" s="40">
        <v>22671</v>
      </c>
      <c r="AX91" s="40">
        <v>23780</v>
      </c>
      <c r="AY91" s="40">
        <v>24749</v>
      </c>
      <c r="AZ91" s="40">
        <v>25192</v>
      </c>
      <c r="BA91" s="40">
        <v>25660</v>
      </c>
      <c r="BB91" s="40">
        <v>26369</v>
      </c>
      <c r="BC91" s="40">
        <v>26942</v>
      </c>
      <c r="BD91" s="40">
        <v>27627</v>
      </c>
      <c r="BE91" s="40">
        <v>28216</v>
      </c>
      <c r="BF91" s="40">
        <v>28926</v>
      </c>
      <c r="BG91" s="40">
        <v>29477</v>
      </c>
      <c r="BH91" s="40">
        <v>30238</v>
      </c>
      <c r="BI91" s="40">
        <v>30906</v>
      </c>
      <c r="BJ91" s="40">
        <v>31575</v>
      </c>
      <c r="BK91" s="40">
        <v>32305</v>
      </c>
      <c r="BL91" s="40">
        <v>33062</v>
      </c>
      <c r="BM91" s="40">
        <v>33825</v>
      </c>
      <c r="BN91" s="40">
        <v>34552</v>
      </c>
      <c r="BO91" s="40">
        <v>35270</v>
      </c>
      <c r="BP91" s="40">
        <v>35928</v>
      </c>
      <c r="BQ91" s="40">
        <v>36588</v>
      </c>
      <c r="BR91" s="40">
        <v>37240</v>
      </c>
      <c r="BS91" s="40">
        <v>37838</v>
      </c>
      <c r="BT91" s="40">
        <v>38485</v>
      </c>
      <c r="BU91" s="40">
        <v>39098</v>
      </c>
      <c r="BV91" s="40">
        <v>39752</v>
      </c>
      <c r="BW91" s="40">
        <v>40370</v>
      </c>
      <c r="BX91" s="40">
        <v>41036</v>
      </c>
      <c r="BY91" s="40">
        <v>41712</v>
      </c>
      <c r="BZ91" s="40">
        <v>42445</v>
      </c>
      <c r="CA91" s="40">
        <v>43115</v>
      </c>
      <c r="CB91" s="40">
        <v>43735</v>
      </c>
      <c r="CC91" s="40">
        <v>44414</v>
      </c>
      <c r="CD91" s="40">
        <v>45069</v>
      </c>
      <c r="CE91" s="40">
        <v>45701</v>
      </c>
      <c r="CF91" s="40">
        <v>46380</v>
      </c>
      <c r="CG91" s="40">
        <v>47018</v>
      </c>
      <c r="CH91" s="40">
        <v>47653</v>
      </c>
      <c r="CI91" s="40">
        <v>48307</v>
      </c>
      <c r="CJ91" s="40">
        <v>48899</v>
      </c>
      <c r="CK91" s="40">
        <v>49503</v>
      </c>
      <c r="CL91" s="40">
        <v>50150</v>
      </c>
      <c r="CM91" s="40">
        <v>50737</v>
      </c>
      <c r="CN91" s="40">
        <v>51352</v>
      </c>
      <c r="CO91" s="40">
        <v>51973</v>
      </c>
      <c r="CP91" s="40">
        <v>52565</v>
      </c>
      <c r="CQ91" s="40">
        <v>53164</v>
      </c>
      <c r="CR91" s="40">
        <v>53726</v>
      </c>
      <c r="CS91" s="40">
        <v>54316</v>
      </c>
      <c r="CT91" s="40">
        <v>54877</v>
      </c>
      <c r="CU91" s="40">
        <v>55445</v>
      </c>
      <c r="CV91" s="40">
        <v>55998</v>
      </c>
      <c r="CW91" s="40">
        <v>56547</v>
      </c>
      <c r="CX91" s="40">
        <v>57113</v>
      </c>
      <c r="CY91" s="40">
        <v>57638</v>
      </c>
      <c r="CZ91" s="40">
        <v>58179</v>
      </c>
      <c r="DA91" s="40">
        <v>58696</v>
      </c>
      <c r="DB91" s="40">
        <v>59238</v>
      </c>
      <c r="DC91" s="40">
        <v>59755</v>
      </c>
      <c r="DD91" s="40">
        <v>60274</v>
      </c>
      <c r="DE91" s="40">
        <v>60775</v>
      </c>
      <c r="DF91" s="40">
        <v>61303</v>
      </c>
      <c r="DG91" s="40">
        <v>61803</v>
      </c>
      <c r="DH91" s="40">
        <v>62298</v>
      </c>
      <c r="DI91" s="40">
        <v>62790</v>
      </c>
      <c r="DJ91" s="40">
        <v>63294</v>
      </c>
      <c r="DK91" s="40">
        <v>63771</v>
      </c>
      <c r="DL91" s="40">
        <v>64246</v>
      </c>
      <c r="DM91" s="40">
        <v>64728</v>
      </c>
      <c r="DN91" s="40">
        <v>65204</v>
      </c>
      <c r="DO91" s="40">
        <v>65675</v>
      </c>
    </row>
    <row r="92" spans="1:119">
      <c r="A92" s="40">
        <v>90</v>
      </c>
      <c r="B92" s="40"/>
      <c r="C92" s="40"/>
      <c r="D92" s="40"/>
      <c r="E92" s="40"/>
      <c r="F92" s="40"/>
      <c r="G92" s="40"/>
      <c r="H92" s="40"/>
      <c r="I92" s="40"/>
      <c r="J92" s="40"/>
      <c r="K92" s="40"/>
      <c r="L92" s="40"/>
      <c r="M92" s="40"/>
      <c r="N92" s="40"/>
      <c r="O92" s="40"/>
      <c r="P92" s="40"/>
      <c r="Q92" s="40"/>
      <c r="R92" s="40"/>
      <c r="S92" s="40"/>
      <c r="T92" s="40"/>
      <c r="U92" s="40"/>
      <c r="V92" s="40"/>
      <c r="W92" s="40">
        <v>8336</v>
      </c>
      <c r="X92" s="40">
        <v>8782</v>
      </c>
      <c r="Y92" s="40">
        <v>8964</v>
      </c>
      <c r="Z92" s="40">
        <v>9773</v>
      </c>
      <c r="AA92" s="40">
        <v>10040</v>
      </c>
      <c r="AB92" s="40">
        <v>10427</v>
      </c>
      <c r="AC92" s="40">
        <v>10598</v>
      </c>
      <c r="AD92" s="40">
        <v>10745</v>
      </c>
      <c r="AE92" s="40">
        <v>10993</v>
      </c>
      <c r="AF92" s="40">
        <v>11611</v>
      </c>
      <c r="AG92" s="40">
        <v>12133</v>
      </c>
      <c r="AH92" s="40">
        <v>12719</v>
      </c>
      <c r="AI92" s="40">
        <v>13239</v>
      </c>
      <c r="AJ92" s="40">
        <v>13957</v>
      </c>
      <c r="AK92" s="40">
        <v>14484</v>
      </c>
      <c r="AL92" s="40">
        <v>15116</v>
      </c>
      <c r="AM92" s="40">
        <v>15736</v>
      </c>
      <c r="AN92" s="40">
        <v>16281</v>
      </c>
      <c r="AO92" s="40">
        <v>16648</v>
      </c>
      <c r="AP92" s="40">
        <v>17112</v>
      </c>
      <c r="AQ92" s="40">
        <v>17546</v>
      </c>
      <c r="AR92" s="40">
        <v>18074</v>
      </c>
      <c r="AS92" s="40">
        <v>18273</v>
      </c>
      <c r="AT92" s="40">
        <v>18493</v>
      </c>
      <c r="AU92" s="40">
        <v>18586</v>
      </c>
      <c r="AV92" s="40">
        <v>19095</v>
      </c>
      <c r="AW92" s="40">
        <v>19718</v>
      </c>
      <c r="AX92" s="40">
        <v>20721</v>
      </c>
      <c r="AY92" s="40">
        <v>21605</v>
      </c>
      <c r="AZ92" s="40">
        <v>22033</v>
      </c>
      <c r="BA92" s="40">
        <v>22483</v>
      </c>
      <c r="BB92" s="40">
        <v>23145</v>
      </c>
      <c r="BC92" s="40">
        <v>23690</v>
      </c>
      <c r="BD92" s="40">
        <v>24334</v>
      </c>
      <c r="BE92" s="40">
        <v>24895</v>
      </c>
      <c r="BF92" s="40">
        <v>25565</v>
      </c>
      <c r="BG92" s="40">
        <v>26095</v>
      </c>
      <c r="BH92" s="40">
        <v>26813</v>
      </c>
      <c r="BI92" s="40">
        <v>27449</v>
      </c>
      <c r="BJ92" s="40">
        <v>28088</v>
      </c>
      <c r="BK92" s="40">
        <v>28782</v>
      </c>
      <c r="BL92" s="40">
        <v>29503</v>
      </c>
      <c r="BM92" s="40">
        <v>30229</v>
      </c>
      <c r="BN92" s="40">
        <v>30926</v>
      </c>
      <c r="BO92" s="40">
        <v>31615</v>
      </c>
      <c r="BP92" s="40">
        <v>32252</v>
      </c>
      <c r="BQ92" s="40">
        <v>32892</v>
      </c>
      <c r="BR92" s="40">
        <v>33525</v>
      </c>
      <c r="BS92" s="40">
        <v>34111</v>
      </c>
      <c r="BT92" s="40">
        <v>34742</v>
      </c>
      <c r="BU92" s="40">
        <v>35344</v>
      </c>
      <c r="BV92" s="40">
        <v>35983</v>
      </c>
      <c r="BW92" s="40">
        <v>36591</v>
      </c>
      <c r="BX92" s="40">
        <v>37243</v>
      </c>
      <c r="BY92" s="40">
        <v>37905</v>
      </c>
      <c r="BZ92" s="40">
        <v>38620</v>
      </c>
      <c r="CA92" s="40">
        <v>39279</v>
      </c>
      <c r="CB92" s="40">
        <v>39893</v>
      </c>
      <c r="CC92" s="40">
        <v>40562</v>
      </c>
      <c r="CD92" s="40">
        <v>41209</v>
      </c>
      <c r="CE92" s="40">
        <v>41837</v>
      </c>
      <c r="CF92" s="40">
        <v>42508</v>
      </c>
      <c r="CG92" s="40">
        <v>43142</v>
      </c>
      <c r="CH92" s="40">
        <v>43774</v>
      </c>
      <c r="CI92" s="40">
        <v>44424</v>
      </c>
      <c r="CJ92" s="40">
        <v>45019</v>
      </c>
      <c r="CK92" s="40">
        <v>45625</v>
      </c>
      <c r="CL92" s="40">
        <v>46270</v>
      </c>
      <c r="CM92" s="40">
        <v>46861</v>
      </c>
      <c r="CN92" s="40">
        <v>47480</v>
      </c>
      <c r="CO92" s="40">
        <v>48103</v>
      </c>
      <c r="CP92" s="40">
        <v>48700</v>
      </c>
      <c r="CQ92" s="40">
        <v>49305</v>
      </c>
      <c r="CR92" s="40">
        <v>49875</v>
      </c>
      <c r="CS92" s="40">
        <v>50472</v>
      </c>
      <c r="CT92" s="40">
        <v>51042</v>
      </c>
      <c r="CU92" s="40">
        <v>51619</v>
      </c>
      <c r="CV92" s="40">
        <v>52183</v>
      </c>
      <c r="CW92" s="40">
        <v>52744</v>
      </c>
      <c r="CX92" s="40">
        <v>53320</v>
      </c>
      <c r="CY92" s="40">
        <v>53858</v>
      </c>
      <c r="CZ92" s="40">
        <v>54412</v>
      </c>
      <c r="DA92" s="40">
        <v>54944</v>
      </c>
      <c r="DB92" s="40">
        <v>55499</v>
      </c>
      <c r="DC92" s="40">
        <v>56031</v>
      </c>
      <c r="DD92" s="40">
        <v>56565</v>
      </c>
      <c r="DE92" s="40">
        <v>57083</v>
      </c>
      <c r="DF92" s="40">
        <v>57625</v>
      </c>
      <c r="DG92" s="40">
        <v>58143</v>
      </c>
      <c r="DH92" s="40">
        <v>58655</v>
      </c>
      <c r="DI92" s="40">
        <v>59164</v>
      </c>
      <c r="DJ92" s="40">
        <v>59685</v>
      </c>
      <c r="DK92" s="40">
        <v>60181</v>
      </c>
      <c r="DL92" s="40">
        <v>60675</v>
      </c>
      <c r="DM92" s="40">
        <v>61175</v>
      </c>
      <c r="DN92" s="40">
        <v>61671</v>
      </c>
      <c r="DO92" s="40">
        <v>62161</v>
      </c>
    </row>
    <row r="93" spans="1:119">
      <c r="A93" s="40">
        <v>91</v>
      </c>
      <c r="B93" s="40"/>
      <c r="C93" s="40"/>
      <c r="D93" s="40"/>
      <c r="E93" s="40"/>
      <c r="F93" s="40"/>
      <c r="G93" s="40"/>
      <c r="H93" s="40"/>
      <c r="I93" s="40"/>
      <c r="J93" s="40"/>
      <c r="K93" s="40"/>
      <c r="L93" s="40"/>
      <c r="M93" s="40"/>
      <c r="N93" s="40"/>
      <c r="O93" s="40"/>
      <c r="P93" s="40"/>
      <c r="Q93" s="40"/>
      <c r="R93" s="40"/>
      <c r="S93" s="40"/>
      <c r="T93" s="40"/>
      <c r="U93" s="40"/>
      <c r="V93" s="40"/>
      <c r="W93" s="40">
        <v>6783</v>
      </c>
      <c r="X93" s="40">
        <v>7129</v>
      </c>
      <c r="Y93" s="40">
        <v>7361</v>
      </c>
      <c r="Z93" s="40">
        <v>7991</v>
      </c>
      <c r="AA93" s="40">
        <v>8180</v>
      </c>
      <c r="AB93" s="40">
        <v>8517</v>
      </c>
      <c r="AC93" s="40">
        <v>8677</v>
      </c>
      <c r="AD93" s="40">
        <v>8820</v>
      </c>
      <c r="AE93" s="40">
        <v>9045</v>
      </c>
      <c r="AF93" s="40">
        <v>9575</v>
      </c>
      <c r="AG93" s="40">
        <v>10029</v>
      </c>
      <c r="AH93" s="40">
        <v>10538</v>
      </c>
      <c r="AI93" s="40">
        <v>10993</v>
      </c>
      <c r="AJ93" s="40">
        <v>11616</v>
      </c>
      <c r="AK93" s="40">
        <v>12080</v>
      </c>
      <c r="AL93" s="40">
        <v>12635</v>
      </c>
      <c r="AM93" s="40">
        <v>13182</v>
      </c>
      <c r="AN93" s="40">
        <v>13667</v>
      </c>
      <c r="AO93" s="40">
        <v>14004</v>
      </c>
      <c r="AP93" s="40">
        <v>14424</v>
      </c>
      <c r="AQ93" s="40">
        <v>14824</v>
      </c>
      <c r="AR93" s="40">
        <v>15304</v>
      </c>
      <c r="AS93" s="40">
        <v>15507</v>
      </c>
      <c r="AT93" s="40">
        <v>15727</v>
      </c>
      <c r="AU93" s="40">
        <v>15839</v>
      </c>
      <c r="AV93" s="40">
        <v>16308</v>
      </c>
      <c r="AW93" s="40">
        <v>16874</v>
      </c>
      <c r="AX93" s="40">
        <v>17769</v>
      </c>
      <c r="AY93" s="40">
        <v>18565</v>
      </c>
      <c r="AZ93" s="40">
        <v>18970</v>
      </c>
      <c r="BA93" s="40">
        <v>19396</v>
      </c>
      <c r="BB93" s="40">
        <v>20005</v>
      </c>
      <c r="BC93" s="40">
        <v>20515</v>
      </c>
      <c r="BD93" s="40">
        <v>21113</v>
      </c>
      <c r="BE93" s="40">
        <v>21640</v>
      </c>
      <c r="BF93" s="40">
        <v>22262</v>
      </c>
      <c r="BG93" s="40">
        <v>22765</v>
      </c>
      <c r="BH93" s="40">
        <v>23432</v>
      </c>
      <c r="BI93" s="40">
        <v>24031</v>
      </c>
      <c r="BJ93" s="40">
        <v>24632</v>
      </c>
      <c r="BK93" s="40">
        <v>25284</v>
      </c>
      <c r="BL93" s="40">
        <v>25961</v>
      </c>
      <c r="BM93" s="40">
        <v>26644</v>
      </c>
      <c r="BN93" s="40">
        <v>27302</v>
      </c>
      <c r="BO93" s="40">
        <v>27956</v>
      </c>
      <c r="BP93" s="40">
        <v>28564</v>
      </c>
      <c r="BQ93" s="40">
        <v>29176</v>
      </c>
      <c r="BR93" s="40">
        <v>29784</v>
      </c>
      <c r="BS93" s="40">
        <v>30351</v>
      </c>
      <c r="BT93" s="40">
        <v>30959</v>
      </c>
      <c r="BU93" s="40">
        <v>31542</v>
      </c>
      <c r="BV93" s="40">
        <v>32159</v>
      </c>
      <c r="BW93" s="40">
        <v>32750</v>
      </c>
      <c r="BX93" s="40">
        <v>33381</v>
      </c>
      <c r="BY93" s="40">
        <v>34022</v>
      </c>
      <c r="BZ93" s="40">
        <v>34712</v>
      </c>
      <c r="CA93" s="40">
        <v>35352</v>
      </c>
      <c r="CB93" s="40">
        <v>35954</v>
      </c>
      <c r="CC93" s="40">
        <v>36605</v>
      </c>
      <c r="CD93" s="40">
        <v>37238</v>
      </c>
      <c r="CE93" s="40">
        <v>37854</v>
      </c>
      <c r="CF93" s="40">
        <v>38510</v>
      </c>
      <c r="CG93" s="40">
        <v>39134</v>
      </c>
      <c r="CH93" s="40">
        <v>39757</v>
      </c>
      <c r="CI93" s="40">
        <v>40397</v>
      </c>
      <c r="CJ93" s="40">
        <v>40986</v>
      </c>
      <c r="CK93" s="40">
        <v>41588</v>
      </c>
      <c r="CL93" s="40">
        <v>42226</v>
      </c>
      <c r="CM93" s="40">
        <v>42815</v>
      </c>
      <c r="CN93" s="40">
        <v>43430</v>
      </c>
      <c r="CO93" s="40">
        <v>44050</v>
      </c>
      <c r="CP93" s="40">
        <v>44646</v>
      </c>
      <c r="CQ93" s="40">
        <v>45250</v>
      </c>
      <c r="CR93" s="40">
        <v>45824</v>
      </c>
      <c r="CS93" s="40">
        <v>46422</v>
      </c>
      <c r="CT93" s="40">
        <v>46996</v>
      </c>
      <c r="CU93" s="40">
        <v>47577</v>
      </c>
      <c r="CV93" s="40">
        <v>48146</v>
      </c>
      <c r="CW93" s="40">
        <v>48713</v>
      </c>
      <c r="CX93" s="40">
        <v>49295</v>
      </c>
      <c r="CY93" s="40">
        <v>49842</v>
      </c>
      <c r="CZ93" s="40">
        <v>50404</v>
      </c>
      <c r="DA93" s="40">
        <v>50945</v>
      </c>
      <c r="DB93" s="40">
        <v>51509</v>
      </c>
      <c r="DC93" s="40">
        <v>52051</v>
      </c>
      <c r="DD93" s="40">
        <v>52596</v>
      </c>
      <c r="DE93" s="40">
        <v>53126</v>
      </c>
      <c r="DF93" s="40">
        <v>53680</v>
      </c>
      <c r="DG93" s="40">
        <v>54210</v>
      </c>
      <c r="DH93" s="40">
        <v>54736</v>
      </c>
      <c r="DI93" s="40">
        <v>55259</v>
      </c>
      <c r="DJ93" s="40">
        <v>55794</v>
      </c>
      <c r="DK93" s="40">
        <v>56305</v>
      </c>
      <c r="DL93" s="40">
        <v>56814</v>
      </c>
      <c r="DM93" s="40">
        <v>57330</v>
      </c>
      <c r="DN93" s="40">
        <v>57841</v>
      </c>
      <c r="DO93" s="40">
        <v>58348</v>
      </c>
    </row>
    <row r="94" spans="1:119">
      <c r="A94" s="40">
        <v>92</v>
      </c>
      <c r="B94" s="40"/>
      <c r="C94" s="40"/>
      <c r="D94" s="40"/>
      <c r="E94" s="40"/>
      <c r="F94" s="40"/>
      <c r="G94" s="40"/>
      <c r="H94" s="40"/>
      <c r="I94" s="40"/>
      <c r="J94" s="40"/>
      <c r="K94" s="40"/>
      <c r="L94" s="40"/>
      <c r="M94" s="40"/>
      <c r="N94" s="40"/>
      <c r="O94" s="40"/>
      <c r="P94" s="40"/>
      <c r="Q94" s="40"/>
      <c r="R94" s="40"/>
      <c r="S94" s="40"/>
      <c r="T94" s="40"/>
      <c r="U94" s="40"/>
      <c r="V94" s="40"/>
      <c r="W94" s="40">
        <v>5352</v>
      </c>
      <c r="X94" s="40">
        <v>5683</v>
      </c>
      <c r="Y94" s="40">
        <v>5820</v>
      </c>
      <c r="Z94" s="40">
        <v>6354</v>
      </c>
      <c r="AA94" s="40">
        <v>6522</v>
      </c>
      <c r="AB94" s="40">
        <v>6809</v>
      </c>
      <c r="AC94" s="40">
        <v>6955</v>
      </c>
      <c r="AD94" s="40">
        <v>7087</v>
      </c>
      <c r="AE94" s="40">
        <v>7287</v>
      </c>
      <c r="AF94" s="40">
        <v>7733</v>
      </c>
      <c r="AG94" s="40">
        <v>8120</v>
      </c>
      <c r="AH94" s="40">
        <v>8552</v>
      </c>
      <c r="AI94" s="40">
        <v>8944</v>
      </c>
      <c r="AJ94" s="40">
        <v>9473</v>
      </c>
      <c r="AK94" s="40">
        <v>9875</v>
      </c>
      <c r="AL94" s="40">
        <v>10352</v>
      </c>
      <c r="AM94" s="40">
        <v>10825</v>
      </c>
      <c r="AN94" s="40">
        <v>11249</v>
      </c>
      <c r="AO94" s="40">
        <v>11552</v>
      </c>
      <c r="AP94" s="40">
        <v>11928</v>
      </c>
      <c r="AQ94" s="40">
        <v>12288</v>
      </c>
      <c r="AR94" s="40">
        <v>12717</v>
      </c>
      <c r="AS94" s="40">
        <v>12916</v>
      </c>
      <c r="AT94" s="40">
        <v>13129</v>
      </c>
      <c r="AU94" s="40">
        <v>13254</v>
      </c>
      <c r="AV94" s="40">
        <v>13677</v>
      </c>
      <c r="AW94" s="40">
        <v>14184</v>
      </c>
      <c r="AX94" s="40">
        <v>14969</v>
      </c>
      <c r="AY94" s="40">
        <v>15673</v>
      </c>
      <c r="AZ94" s="40">
        <v>16049</v>
      </c>
      <c r="BA94" s="40">
        <v>16444</v>
      </c>
      <c r="BB94" s="40">
        <v>16997</v>
      </c>
      <c r="BC94" s="40">
        <v>17466</v>
      </c>
      <c r="BD94" s="40">
        <v>18011</v>
      </c>
      <c r="BE94" s="40">
        <v>18497</v>
      </c>
      <c r="BF94" s="40">
        <v>19067</v>
      </c>
      <c r="BG94" s="40">
        <v>19535</v>
      </c>
      <c r="BH94" s="40">
        <v>20147</v>
      </c>
      <c r="BI94" s="40">
        <v>20700</v>
      </c>
      <c r="BJ94" s="40">
        <v>21258</v>
      </c>
      <c r="BK94" s="40">
        <v>21862</v>
      </c>
      <c r="BL94" s="40">
        <v>22487</v>
      </c>
      <c r="BM94" s="40">
        <v>23120</v>
      </c>
      <c r="BN94" s="40">
        <v>23734</v>
      </c>
      <c r="BO94" s="40">
        <v>24344</v>
      </c>
      <c r="BP94" s="40">
        <v>24917</v>
      </c>
      <c r="BQ94" s="40">
        <v>25494</v>
      </c>
      <c r="BR94" s="40">
        <v>26069</v>
      </c>
      <c r="BS94" s="40">
        <v>26610</v>
      </c>
      <c r="BT94" s="40">
        <v>27187</v>
      </c>
      <c r="BU94" s="40">
        <v>27744</v>
      </c>
      <c r="BV94" s="40">
        <v>28331</v>
      </c>
      <c r="BW94" s="40">
        <v>28897</v>
      </c>
      <c r="BX94" s="40">
        <v>29500</v>
      </c>
      <c r="BY94" s="40">
        <v>30112</v>
      </c>
      <c r="BZ94" s="40">
        <v>30769</v>
      </c>
      <c r="CA94" s="40">
        <v>31383</v>
      </c>
      <c r="CB94" s="40">
        <v>31964</v>
      </c>
      <c r="CC94" s="40">
        <v>32590</v>
      </c>
      <c r="CD94" s="40">
        <v>33201</v>
      </c>
      <c r="CE94" s="40">
        <v>33798</v>
      </c>
      <c r="CF94" s="40">
        <v>34432</v>
      </c>
      <c r="CG94" s="40">
        <v>35038</v>
      </c>
      <c r="CH94" s="40">
        <v>35644</v>
      </c>
      <c r="CI94" s="40">
        <v>36267</v>
      </c>
      <c r="CJ94" s="40">
        <v>36845</v>
      </c>
      <c r="CK94" s="40">
        <v>37434</v>
      </c>
      <c r="CL94" s="40">
        <v>38058</v>
      </c>
      <c r="CM94" s="40">
        <v>38638</v>
      </c>
      <c r="CN94" s="40">
        <v>39242</v>
      </c>
      <c r="CO94" s="40">
        <v>39852</v>
      </c>
      <c r="CP94" s="40">
        <v>40440</v>
      </c>
      <c r="CQ94" s="40">
        <v>41037</v>
      </c>
      <c r="CR94" s="40">
        <v>41607</v>
      </c>
      <c r="CS94" s="40">
        <v>42199</v>
      </c>
      <c r="CT94" s="40">
        <v>42771</v>
      </c>
      <c r="CU94" s="40">
        <v>43350</v>
      </c>
      <c r="CV94" s="40">
        <v>43918</v>
      </c>
      <c r="CW94" s="40">
        <v>44485</v>
      </c>
      <c r="CX94" s="40">
        <v>45066</v>
      </c>
      <c r="CY94" s="40">
        <v>45616</v>
      </c>
      <c r="CZ94" s="40">
        <v>46180</v>
      </c>
      <c r="DA94" s="40">
        <v>46726</v>
      </c>
      <c r="DB94" s="40">
        <v>47292</v>
      </c>
      <c r="DC94" s="40">
        <v>47840</v>
      </c>
      <c r="DD94" s="40">
        <v>48390</v>
      </c>
      <c r="DE94" s="40">
        <v>48927</v>
      </c>
      <c r="DF94" s="40">
        <v>49486</v>
      </c>
      <c r="DG94" s="40">
        <v>50024</v>
      </c>
      <c r="DH94" s="40">
        <v>50559</v>
      </c>
      <c r="DI94" s="40">
        <v>51091</v>
      </c>
      <c r="DJ94" s="40">
        <v>51634</v>
      </c>
      <c r="DK94" s="40">
        <v>52156</v>
      </c>
      <c r="DL94" s="40">
        <v>52677</v>
      </c>
      <c r="DM94" s="40">
        <v>53203</v>
      </c>
      <c r="DN94" s="40">
        <v>53726</v>
      </c>
      <c r="DO94" s="40">
        <v>54245</v>
      </c>
    </row>
    <row r="95" spans="1:119">
      <c r="A95" s="40">
        <v>93</v>
      </c>
      <c r="B95" s="40"/>
      <c r="C95" s="40"/>
      <c r="D95" s="40"/>
      <c r="E95" s="40"/>
      <c r="F95" s="40"/>
      <c r="G95" s="40"/>
      <c r="H95" s="40"/>
      <c r="I95" s="40"/>
      <c r="J95" s="40"/>
      <c r="K95" s="40"/>
      <c r="L95" s="40"/>
      <c r="M95" s="40"/>
      <c r="N95" s="40"/>
      <c r="O95" s="40"/>
      <c r="P95" s="40"/>
      <c r="Q95" s="40"/>
      <c r="R95" s="40"/>
      <c r="S95" s="40"/>
      <c r="T95" s="40"/>
      <c r="U95" s="40"/>
      <c r="V95" s="40"/>
      <c r="W95" s="40">
        <v>4159</v>
      </c>
      <c r="X95" s="40">
        <v>4358</v>
      </c>
      <c r="Y95" s="40">
        <v>4504</v>
      </c>
      <c r="Z95" s="40">
        <v>4932</v>
      </c>
      <c r="AA95" s="40">
        <v>5077</v>
      </c>
      <c r="AB95" s="40">
        <v>5315</v>
      </c>
      <c r="AC95" s="40">
        <v>5444</v>
      </c>
      <c r="AD95" s="40">
        <v>5563</v>
      </c>
      <c r="AE95" s="40">
        <v>5734</v>
      </c>
      <c r="AF95" s="40">
        <v>6102</v>
      </c>
      <c r="AG95" s="40">
        <v>6424</v>
      </c>
      <c r="AH95" s="40">
        <v>6784</v>
      </c>
      <c r="AI95" s="40">
        <v>7113</v>
      </c>
      <c r="AJ95" s="40">
        <v>7552</v>
      </c>
      <c r="AK95" s="40">
        <v>7893</v>
      </c>
      <c r="AL95" s="40">
        <v>8295</v>
      </c>
      <c r="AM95" s="40">
        <v>8695</v>
      </c>
      <c r="AN95" s="40">
        <v>9057</v>
      </c>
      <c r="AO95" s="40">
        <v>9326</v>
      </c>
      <c r="AP95" s="40">
        <v>9655</v>
      </c>
      <c r="AQ95" s="40">
        <v>9973</v>
      </c>
      <c r="AR95" s="40">
        <v>10347</v>
      </c>
      <c r="AS95" s="40">
        <v>10536</v>
      </c>
      <c r="AT95" s="40">
        <v>10737</v>
      </c>
      <c r="AU95" s="40">
        <v>10866</v>
      </c>
      <c r="AV95" s="40">
        <v>11240</v>
      </c>
      <c r="AW95" s="40">
        <v>11684</v>
      </c>
      <c r="AX95" s="40">
        <v>12361</v>
      </c>
      <c r="AY95" s="40">
        <v>12973</v>
      </c>
      <c r="AZ95" s="40">
        <v>13315</v>
      </c>
      <c r="BA95" s="40">
        <v>13673</v>
      </c>
      <c r="BB95" s="40">
        <v>14164</v>
      </c>
      <c r="BC95" s="40">
        <v>14588</v>
      </c>
      <c r="BD95" s="40">
        <v>15076</v>
      </c>
      <c r="BE95" s="40">
        <v>15517</v>
      </c>
      <c r="BF95" s="40">
        <v>16029</v>
      </c>
      <c r="BG95" s="40">
        <v>16457</v>
      </c>
      <c r="BH95" s="40">
        <v>17008</v>
      </c>
      <c r="BI95" s="40">
        <v>17511</v>
      </c>
      <c r="BJ95" s="40">
        <v>18019</v>
      </c>
      <c r="BK95" s="40">
        <v>18567</v>
      </c>
      <c r="BL95" s="40">
        <v>19136</v>
      </c>
      <c r="BM95" s="40">
        <v>19713</v>
      </c>
      <c r="BN95" s="40">
        <v>20275</v>
      </c>
      <c r="BO95" s="40">
        <v>20836</v>
      </c>
      <c r="BP95" s="40">
        <v>21366</v>
      </c>
      <c r="BQ95" s="40">
        <v>21902</v>
      </c>
      <c r="BR95" s="40">
        <v>22437</v>
      </c>
      <c r="BS95" s="40">
        <v>22943</v>
      </c>
      <c r="BT95" s="40">
        <v>23482</v>
      </c>
      <c r="BU95" s="40">
        <v>24005</v>
      </c>
      <c r="BV95" s="40">
        <v>24556</v>
      </c>
      <c r="BW95" s="40">
        <v>25089</v>
      </c>
      <c r="BX95" s="40">
        <v>25655</v>
      </c>
      <c r="BY95" s="40">
        <v>26231</v>
      </c>
      <c r="BZ95" s="40">
        <v>26848</v>
      </c>
      <c r="CA95" s="40">
        <v>27428</v>
      </c>
      <c r="CB95" s="40">
        <v>27981</v>
      </c>
      <c r="CC95" s="40">
        <v>28574</v>
      </c>
      <c r="CD95" s="40">
        <v>29155</v>
      </c>
      <c r="CE95" s="40">
        <v>29725</v>
      </c>
      <c r="CF95" s="40">
        <v>30329</v>
      </c>
      <c r="CG95" s="40">
        <v>30909</v>
      </c>
      <c r="CH95" s="40">
        <v>31490</v>
      </c>
      <c r="CI95" s="40">
        <v>32087</v>
      </c>
      <c r="CJ95" s="40">
        <v>32646</v>
      </c>
      <c r="CK95" s="40">
        <v>33215</v>
      </c>
      <c r="CL95" s="40">
        <v>33816</v>
      </c>
      <c r="CM95" s="40">
        <v>34379</v>
      </c>
      <c r="CN95" s="40">
        <v>34965</v>
      </c>
      <c r="CO95" s="40">
        <v>35556</v>
      </c>
      <c r="CP95" s="40">
        <v>36130</v>
      </c>
      <c r="CQ95" s="40">
        <v>36712</v>
      </c>
      <c r="CR95" s="40">
        <v>37270</v>
      </c>
      <c r="CS95" s="40">
        <v>37850</v>
      </c>
      <c r="CT95" s="40">
        <v>38412</v>
      </c>
      <c r="CU95" s="40">
        <v>38980</v>
      </c>
      <c r="CV95" s="40">
        <v>39541</v>
      </c>
      <c r="CW95" s="40">
        <v>40100</v>
      </c>
      <c r="CX95" s="40">
        <v>40673</v>
      </c>
      <c r="CY95" s="40">
        <v>41219</v>
      </c>
      <c r="CZ95" s="40">
        <v>41778</v>
      </c>
      <c r="DA95" s="40">
        <v>42321</v>
      </c>
      <c r="DB95" s="40">
        <v>42884</v>
      </c>
      <c r="DC95" s="40">
        <v>43430</v>
      </c>
      <c r="DD95" s="40">
        <v>43979</v>
      </c>
      <c r="DE95" s="40">
        <v>44517</v>
      </c>
      <c r="DF95" s="40">
        <v>45075</v>
      </c>
      <c r="DG95" s="40">
        <v>45615</v>
      </c>
      <c r="DH95" s="40">
        <v>46152</v>
      </c>
      <c r="DI95" s="40">
        <v>46687</v>
      </c>
      <c r="DJ95" s="40">
        <v>47233</v>
      </c>
      <c r="DK95" s="40">
        <v>47759</v>
      </c>
      <c r="DL95" s="40">
        <v>48286</v>
      </c>
      <c r="DM95" s="40">
        <v>48818</v>
      </c>
      <c r="DN95" s="40">
        <v>49346</v>
      </c>
      <c r="DO95" s="40">
        <v>49872</v>
      </c>
    </row>
    <row r="96" spans="1:119">
      <c r="A96" s="40">
        <v>94</v>
      </c>
      <c r="B96" s="40"/>
      <c r="C96" s="40"/>
      <c r="D96" s="40"/>
      <c r="E96" s="40"/>
      <c r="F96" s="40"/>
      <c r="G96" s="40"/>
      <c r="H96" s="40"/>
      <c r="I96" s="40"/>
      <c r="J96" s="40"/>
      <c r="K96" s="40"/>
      <c r="L96" s="40"/>
      <c r="M96" s="40"/>
      <c r="N96" s="40"/>
      <c r="O96" s="40"/>
      <c r="P96" s="40"/>
      <c r="Q96" s="40"/>
      <c r="R96" s="40"/>
      <c r="S96" s="40"/>
      <c r="T96" s="40"/>
      <c r="U96" s="40"/>
      <c r="V96" s="40"/>
      <c r="W96" s="40">
        <v>3099</v>
      </c>
      <c r="X96" s="40">
        <v>3273</v>
      </c>
      <c r="Y96" s="40">
        <v>3393</v>
      </c>
      <c r="Z96" s="40">
        <v>3727</v>
      </c>
      <c r="AA96" s="40">
        <v>3848</v>
      </c>
      <c r="AB96" s="40">
        <v>4040</v>
      </c>
      <c r="AC96" s="40">
        <v>4150</v>
      </c>
      <c r="AD96" s="40">
        <v>4253</v>
      </c>
      <c r="AE96" s="40">
        <v>4397</v>
      </c>
      <c r="AF96" s="40">
        <v>4692</v>
      </c>
      <c r="AG96" s="40">
        <v>4954</v>
      </c>
      <c r="AH96" s="40">
        <v>5246</v>
      </c>
      <c r="AI96" s="40">
        <v>5515</v>
      </c>
      <c r="AJ96" s="40">
        <v>5872</v>
      </c>
      <c r="AK96" s="40">
        <v>6153</v>
      </c>
      <c r="AL96" s="40">
        <v>6483</v>
      </c>
      <c r="AM96" s="40">
        <v>6813</v>
      </c>
      <c r="AN96" s="40">
        <v>7118</v>
      </c>
      <c r="AO96" s="40">
        <v>7350</v>
      </c>
      <c r="AP96" s="40">
        <v>7631</v>
      </c>
      <c r="AQ96" s="40">
        <v>7905</v>
      </c>
      <c r="AR96" s="40">
        <v>8224</v>
      </c>
      <c r="AS96" s="40">
        <v>8397</v>
      </c>
      <c r="AT96" s="40">
        <v>8580</v>
      </c>
      <c r="AU96" s="40">
        <v>8706</v>
      </c>
      <c r="AV96" s="40">
        <v>9030</v>
      </c>
      <c r="AW96" s="40">
        <v>9411</v>
      </c>
      <c r="AX96" s="40">
        <v>9981</v>
      </c>
      <c r="AY96" s="40">
        <v>10502</v>
      </c>
      <c r="AZ96" s="40">
        <v>10805</v>
      </c>
      <c r="BA96" s="40">
        <v>11124</v>
      </c>
      <c r="BB96" s="40">
        <v>11551</v>
      </c>
      <c r="BC96" s="40">
        <v>11925</v>
      </c>
      <c r="BD96" s="40">
        <v>12353</v>
      </c>
      <c r="BE96" s="40">
        <v>12744</v>
      </c>
      <c r="BF96" s="40">
        <v>13195</v>
      </c>
      <c r="BG96" s="40">
        <v>13578</v>
      </c>
      <c r="BH96" s="40">
        <v>14064</v>
      </c>
      <c r="BI96" s="40">
        <v>14512</v>
      </c>
      <c r="BJ96" s="40">
        <v>14966</v>
      </c>
      <c r="BK96" s="40">
        <v>15454</v>
      </c>
      <c r="BL96" s="40">
        <v>15962</v>
      </c>
      <c r="BM96" s="40">
        <v>16478</v>
      </c>
      <c r="BN96" s="40">
        <v>16983</v>
      </c>
      <c r="BO96" s="40">
        <v>17488</v>
      </c>
      <c r="BP96" s="40">
        <v>17969</v>
      </c>
      <c r="BQ96" s="40">
        <v>18457</v>
      </c>
      <c r="BR96" s="40">
        <v>18945</v>
      </c>
      <c r="BS96" s="40">
        <v>19410</v>
      </c>
      <c r="BT96" s="40">
        <v>19904</v>
      </c>
      <c r="BU96" s="40">
        <v>20386</v>
      </c>
      <c r="BV96" s="40">
        <v>20893</v>
      </c>
      <c r="BW96" s="40">
        <v>21386</v>
      </c>
      <c r="BX96" s="40">
        <v>21909</v>
      </c>
      <c r="BY96" s="40">
        <v>22442</v>
      </c>
      <c r="BZ96" s="40">
        <v>23010</v>
      </c>
      <c r="CA96" s="40">
        <v>23549</v>
      </c>
      <c r="CB96" s="40">
        <v>24065</v>
      </c>
      <c r="CC96" s="40">
        <v>24618</v>
      </c>
      <c r="CD96" s="40">
        <v>25161</v>
      </c>
      <c r="CE96" s="40">
        <v>25696</v>
      </c>
      <c r="CF96" s="40">
        <v>26262</v>
      </c>
      <c r="CG96" s="40">
        <v>26808</v>
      </c>
      <c r="CH96" s="40">
        <v>27356</v>
      </c>
      <c r="CI96" s="40">
        <v>27919</v>
      </c>
      <c r="CJ96" s="40">
        <v>28450</v>
      </c>
      <c r="CK96" s="40">
        <v>28992</v>
      </c>
      <c r="CL96" s="40">
        <v>29562</v>
      </c>
      <c r="CM96" s="40">
        <v>30100</v>
      </c>
      <c r="CN96" s="40">
        <v>30658</v>
      </c>
      <c r="CO96" s="40">
        <v>31223</v>
      </c>
      <c r="CP96" s="40">
        <v>31774</v>
      </c>
      <c r="CQ96" s="40">
        <v>32333</v>
      </c>
      <c r="CR96" s="40">
        <v>32871</v>
      </c>
      <c r="CS96" s="40">
        <v>33430</v>
      </c>
      <c r="CT96" s="40">
        <v>33973</v>
      </c>
      <c r="CU96" s="40">
        <v>34524</v>
      </c>
      <c r="CV96" s="40">
        <v>35068</v>
      </c>
      <c r="CW96" s="40">
        <v>35612</v>
      </c>
      <c r="CX96" s="40">
        <v>36169</v>
      </c>
      <c r="CY96" s="40">
        <v>36703</v>
      </c>
      <c r="CZ96" s="40">
        <v>37249</v>
      </c>
      <c r="DA96" s="40">
        <v>37782</v>
      </c>
      <c r="DB96" s="40">
        <v>38333</v>
      </c>
      <c r="DC96" s="40">
        <v>38870</v>
      </c>
      <c r="DD96" s="40">
        <v>39410</v>
      </c>
      <c r="DE96" s="40">
        <v>39941</v>
      </c>
      <c r="DF96" s="40">
        <v>40491</v>
      </c>
      <c r="DG96" s="40">
        <v>41025</v>
      </c>
      <c r="DH96" s="40">
        <v>41557</v>
      </c>
      <c r="DI96" s="40">
        <v>42088</v>
      </c>
      <c r="DJ96" s="40">
        <v>42629</v>
      </c>
      <c r="DK96" s="40">
        <v>43153</v>
      </c>
      <c r="DL96" s="40">
        <v>43678</v>
      </c>
      <c r="DM96" s="40">
        <v>44209</v>
      </c>
      <c r="DN96" s="40">
        <v>44737</v>
      </c>
      <c r="DO96" s="40">
        <v>45263</v>
      </c>
    </row>
    <row r="97" spans="1:119">
      <c r="A97" s="40">
        <v>95</v>
      </c>
      <c r="B97" s="40"/>
      <c r="C97" s="40"/>
      <c r="D97" s="40"/>
      <c r="E97" s="40"/>
      <c r="F97" s="40"/>
      <c r="G97" s="40"/>
      <c r="H97" s="40"/>
      <c r="I97" s="40"/>
      <c r="J97" s="40"/>
      <c r="K97" s="40"/>
      <c r="L97" s="40"/>
      <c r="M97" s="40"/>
      <c r="N97" s="40"/>
      <c r="O97" s="40"/>
      <c r="P97" s="40"/>
      <c r="Q97" s="40"/>
      <c r="R97" s="40"/>
      <c r="S97" s="40"/>
      <c r="T97" s="40"/>
      <c r="U97" s="40"/>
      <c r="V97" s="40"/>
      <c r="W97" s="40">
        <v>2251</v>
      </c>
      <c r="X97" s="40">
        <v>2385</v>
      </c>
      <c r="Y97" s="40">
        <v>2481</v>
      </c>
      <c r="Z97" s="40">
        <v>2734</v>
      </c>
      <c r="AA97" s="40">
        <v>2831</v>
      </c>
      <c r="AB97" s="40">
        <v>2982</v>
      </c>
      <c r="AC97" s="40">
        <v>3073</v>
      </c>
      <c r="AD97" s="40">
        <v>3159</v>
      </c>
      <c r="AE97" s="40">
        <v>3276</v>
      </c>
      <c r="AF97" s="40">
        <v>3506</v>
      </c>
      <c r="AG97" s="40">
        <v>3713</v>
      </c>
      <c r="AH97" s="40">
        <v>3943</v>
      </c>
      <c r="AI97" s="40">
        <v>4157</v>
      </c>
      <c r="AJ97" s="40">
        <v>4439</v>
      </c>
      <c r="AK97" s="40">
        <v>4664</v>
      </c>
      <c r="AL97" s="40">
        <v>4928</v>
      </c>
      <c r="AM97" s="40">
        <v>5196</v>
      </c>
      <c r="AN97" s="40">
        <v>5445</v>
      </c>
      <c r="AO97" s="40">
        <v>5640</v>
      </c>
      <c r="AP97" s="40">
        <v>5874</v>
      </c>
      <c r="AQ97" s="40">
        <v>6102</v>
      </c>
      <c r="AR97" s="40">
        <v>6368</v>
      </c>
      <c r="AS97" s="40">
        <v>6520</v>
      </c>
      <c r="AT97" s="40">
        <v>6682</v>
      </c>
      <c r="AU97" s="40">
        <v>6800</v>
      </c>
      <c r="AV97" s="40">
        <v>7072</v>
      </c>
      <c r="AW97" s="40">
        <v>7391</v>
      </c>
      <c r="AX97" s="40">
        <v>7860</v>
      </c>
      <c r="AY97" s="40">
        <v>8293</v>
      </c>
      <c r="AZ97" s="40">
        <v>8555</v>
      </c>
      <c r="BA97" s="40">
        <v>8831</v>
      </c>
      <c r="BB97" s="40">
        <v>9194</v>
      </c>
      <c r="BC97" s="40">
        <v>9516</v>
      </c>
      <c r="BD97" s="40">
        <v>9883</v>
      </c>
      <c r="BE97" s="40">
        <v>10221</v>
      </c>
      <c r="BF97" s="40">
        <v>10608</v>
      </c>
      <c r="BG97" s="40">
        <v>10943</v>
      </c>
      <c r="BH97" s="40">
        <v>11362</v>
      </c>
      <c r="BI97" s="40">
        <v>11752</v>
      </c>
      <c r="BJ97" s="40">
        <v>12148</v>
      </c>
      <c r="BK97" s="40">
        <v>12574</v>
      </c>
      <c r="BL97" s="40">
        <v>13017</v>
      </c>
      <c r="BM97" s="40">
        <v>13468</v>
      </c>
      <c r="BN97" s="40">
        <v>13912</v>
      </c>
      <c r="BO97" s="40">
        <v>14358</v>
      </c>
      <c r="BP97" s="40">
        <v>14785</v>
      </c>
      <c r="BQ97" s="40">
        <v>15219</v>
      </c>
      <c r="BR97" s="40">
        <v>15655</v>
      </c>
      <c r="BS97" s="40">
        <v>16073</v>
      </c>
      <c r="BT97" s="40">
        <v>16517</v>
      </c>
      <c r="BU97" s="40">
        <v>16952</v>
      </c>
      <c r="BV97" s="40">
        <v>17409</v>
      </c>
      <c r="BW97" s="40">
        <v>17855</v>
      </c>
      <c r="BX97" s="40">
        <v>18328</v>
      </c>
      <c r="BY97" s="40">
        <v>18811</v>
      </c>
      <c r="BZ97" s="40">
        <v>19324</v>
      </c>
      <c r="CA97" s="40">
        <v>19815</v>
      </c>
      <c r="CB97" s="40">
        <v>20287</v>
      </c>
      <c r="CC97" s="40">
        <v>20792</v>
      </c>
      <c r="CD97" s="40">
        <v>21290</v>
      </c>
      <c r="CE97" s="40">
        <v>21782</v>
      </c>
      <c r="CF97" s="40">
        <v>22302</v>
      </c>
      <c r="CG97" s="40">
        <v>22806</v>
      </c>
      <c r="CH97" s="40">
        <v>23314</v>
      </c>
      <c r="CI97" s="40">
        <v>23835</v>
      </c>
      <c r="CJ97" s="40">
        <v>24330</v>
      </c>
      <c r="CK97" s="40">
        <v>24836</v>
      </c>
      <c r="CL97" s="40">
        <v>25366</v>
      </c>
      <c r="CM97" s="40">
        <v>25871</v>
      </c>
      <c r="CN97" s="40">
        <v>26394</v>
      </c>
      <c r="CO97" s="40">
        <v>26924</v>
      </c>
      <c r="CP97" s="40">
        <v>27443</v>
      </c>
      <c r="CQ97" s="40">
        <v>27970</v>
      </c>
      <c r="CR97" s="40">
        <v>28480</v>
      </c>
      <c r="CS97" s="40">
        <v>29009</v>
      </c>
      <c r="CT97" s="40">
        <v>29526</v>
      </c>
      <c r="CU97" s="40">
        <v>30050</v>
      </c>
      <c r="CV97" s="40">
        <v>30569</v>
      </c>
      <c r="CW97" s="40">
        <v>31089</v>
      </c>
      <c r="CX97" s="40">
        <v>31621</v>
      </c>
      <c r="CY97" s="40">
        <v>32134</v>
      </c>
      <c r="CZ97" s="40">
        <v>32659</v>
      </c>
      <c r="DA97" s="40">
        <v>33173</v>
      </c>
      <c r="DB97" s="40">
        <v>33704</v>
      </c>
      <c r="DC97" s="40">
        <v>34223</v>
      </c>
      <c r="DD97" s="40">
        <v>34746</v>
      </c>
      <c r="DE97" s="40">
        <v>35261</v>
      </c>
      <c r="DF97" s="40">
        <v>35794</v>
      </c>
      <c r="DG97" s="40">
        <v>36314</v>
      </c>
      <c r="DH97" s="40">
        <v>36833</v>
      </c>
      <c r="DI97" s="40">
        <v>37351</v>
      </c>
      <c r="DJ97" s="40">
        <v>37880</v>
      </c>
      <c r="DK97" s="40">
        <v>38394</v>
      </c>
      <c r="DL97" s="40">
        <v>38910</v>
      </c>
      <c r="DM97" s="40">
        <v>39431</v>
      </c>
      <c r="DN97" s="40">
        <v>39950</v>
      </c>
      <c r="DO97" s="40">
        <v>40469</v>
      </c>
    </row>
    <row r="98" spans="1:119">
      <c r="A98" s="40">
        <v>96</v>
      </c>
      <c r="B98" s="40"/>
      <c r="C98" s="40"/>
      <c r="D98" s="40"/>
      <c r="E98" s="40"/>
      <c r="F98" s="40"/>
      <c r="G98" s="40"/>
      <c r="H98" s="40"/>
      <c r="I98" s="40"/>
      <c r="J98" s="40"/>
      <c r="K98" s="40"/>
      <c r="L98" s="40"/>
      <c r="M98" s="40"/>
      <c r="N98" s="40"/>
      <c r="O98" s="40"/>
      <c r="P98" s="40"/>
      <c r="Q98" s="40"/>
      <c r="R98" s="40"/>
      <c r="S98" s="40"/>
      <c r="T98" s="40"/>
      <c r="U98" s="40"/>
      <c r="V98" s="40"/>
      <c r="W98" s="40">
        <v>1586</v>
      </c>
      <c r="X98" s="40">
        <v>1686</v>
      </c>
      <c r="Y98" s="40">
        <v>1760</v>
      </c>
      <c r="Z98" s="40">
        <v>1945</v>
      </c>
      <c r="AA98" s="40">
        <v>2022</v>
      </c>
      <c r="AB98" s="40">
        <v>2136</v>
      </c>
      <c r="AC98" s="40">
        <v>2208</v>
      </c>
      <c r="AD98" s="40">
        <v>2277</v>
      </c>
      <c r="AE98" s="40">
        <v>2369</v>
      </c>
      <c r="AF98" s="40">
        <v>2543</v>
      </c>
      <c r="AG98" s="40">
        <v>2701</v>
      </c>
      <c r="AH98" s="40">
        <v>2877</v>
      </c>
      <c r="AI98" s="40">
        <v>3043</v>
      </c>
      <c r="AJ98" s="40">
        <v>3258</v>
      </c>
      <c r="AK98" s="40">
        <v>3434</v>
      </c>
      <c r="AL98" s="40">
        <v>3639</v>
      </c>
      <c r="AM98" s="40">
        <v>3849</v>
      </c>
      <c r="AN98" s="40">
        <v>4046</v>
      </c>
      <c r="AO98" s="40">
        <v>4205</v>
      </c>
      <c r="AP98" s="40">
        <v>4392</v>
      </c>
      <c r="AQ98" s="40">
        <v>4577</v>
      </c>
      <c r="AR98" s="40">
        <v>4791</v>
      </c>
      <c r="AS98" s="40">
        <v>4921</v>
      </c>
      <c r="AT98" s="40">
        <v>5058</v>
      </c>
      <c r="AU98" s="40">
        <v>5162</v>
      </c>
      <c r="AV98" s="40">
        <v>5384</v>
      </c>
      <c r="AW98" s="40">
        <v>5643</v>
      </c>
      <c r="AX98" s="40">
        <v>6018</v>
      </c>
      <c r="AY98" s="40">
        <v>6367</v>
      </c>
      <c r="AZ98" s="40">
        <v>6587</v>
      </c>
      <c r="BA98" s="40">
        <v>6817</v>
      </c>
      <c r="BB98" s="40">
        <v>7117</v>
      </c>
      <c r="BC98" s="40">
        <v>7385</v>
      </c>
      <c r="BD98" s="40">
        <v>7690</v>
      </c>
      <c r="BE98" s="40">
        <v>7974</v>
      </c>
      <c r="BF98" s="40">
        <v>8297</v>
      </c>
      <c r="BG98" s="40">
        <v>8581</v>
      </c>
      <c r="BH98" s="40">
        <v>8931</v>
      </c>
      <c r="BI98" s="40">
        <v>9260</v>
      </c>
      <c r="BJ98" s="40">
        <v>9596</v>
      </c>
      <c r="BK98" s="40">
        <v>9956</v>
      </c>
      <c r="BL98" s="40">
        <v>10331</v>
      </c>
      <c r="BM98" s="40">
        <v>10714</v>
      </c>
      <c r="BN98" s="40">
        <v>11092</v>
      </c>
      <c r="BO98" s="40">
        <v>11474</v>
      </c>
      <c r="BP98" s="40">
        <v>11842</v>
      </c>
      <c r="BQ98" s="40">
        <v>12217</v>
      </c>
      <c r="BR98" s="40">
        <v>12594</v>
      </c>
      <c r="BS98" s="40">
        <v>12958</v>
      </c>
      <c r="BT98" s="40">
        <v>13345</v>
      </c>
      <c r="BU98" s="40">
        <v>13725</v>
      </c>
      <c r="BV98" s="40">
        <v>14124</v>
      </c>
      <c r="BW98" s="40">
        <v>14517</v>
      </c>
      <c r="BX98" s="40">
        <v>14931</v>
      </c>
      <c r="BY98" s="40">
        <v>15355</v>
      </c>
      <c r="BZ98" s="40">
        <v>15806</v>
      </c>
      <c r="CA98" s="40">
        <v>16239</v>
      </c>
      <c r="CB98" s="40">
        <v>16659</v>
      </c>
      <c r="CC98" s="40">
        <v>17106</v>
      </c>
      <c r="CD98" s="40">
        <v>17549</v>
      </c>
      <c r="CE98" s="40">
        <v>17988</v>
      </c>
      <c r="CF98" s="40">
        <v>18451</v>
      </c>
      <c r="CG98" s="40">
        <v>18903</v>
      </c>
      <c r="CH98" s="40">
        <v>19359</v>
      </c>
      <c r="CI98" s="40">
        <v>19827</v>
      </c>
      <c r="CJ98" s="40">
        <v>20274</v>
      </c>
      <c r="CK98" s="40">
        <v>20732</v>
      </c>
      <c r="CL98" s="40">
        <v>21211</v>
      </c>
      <c r="CM98" s="40">
        <v>21670</v>
      </c>
      <c r="CN98" s="40">
        <v>22146</v>
      </c>
      <c r="CO98" s="40">
        <v>22628</v>
      </c>
      <c r="CP98" s="40">
        <v>23102</v>
      </c>
      <c r="CQ98" s="40">
        <v>23583</v>
      </c>
      <c r="CR98" s="40">
        <v>24052</v>
      </c>
      <c r="CS98" s="40">
        <v>24538</v>
      </c>
      <c r="CT98" s="40">
        <v>25014</v>
      </c>
      <c r="CU98" s="40">
        <v>25497</v>
      </c>
      <c r="CV98" s="40">
        <v>25978</v>
      </c>
      <c r="CW98" s="40">
        <v>26460</v>
      </c>
      <c r="CX98" s="40">
        <v>26953</v>
      </c>
      <c r="CY98" s="40">
        <v>27431</v>
      </c>
      <c r="CZ98" s="40">
        <v>27920</v>
      </c>
      <c r="DA98" s="40">
        <v>28400</v>
      </c>
      <c r="DB98" s="40">
        <v>28896</v>
      </c>
      <c r="DC98" s="40">
        <v>29382</v>
      </c>
      <c r="DD98" s="40">
        <v>29873</v>
      </c>
      <c r="DE98" s="40">
        <v>30358</v>
      </c>
      <c r="DF98" s="40">
        <v>30859</v>
      </c>
      <c r="DG98" s="40">
        <v>31349</v>
      </c>
      <c r="DH98" s="40">
        <v>31840</v>
      </c>
      <c r="DI98" s="40">
        <v>32331</v>
      </c>
      <c r="DJ98" s="40">
        <v>32831</v>
      </c>
      <c r="DK98" s="40">
        <v>33320</v>
      </c>
      <c r="DL98" s="40">
        <v>33810</v>
      </c>
      <c r="DM98" s="40">
        <v>34306</v>
      </c>
      <c r="DN98" s="40">
        <v>34801</v>
      </c>
      <c r="DO98" s="40">
        <v>35296</v>
      </c>
    </row>
    <row r="99" spans="1:119">
      <c r="A99" s="40">
        <v>97</v>
      </c>
      <c r="B99" s="40"/>
      <c r="C99" s="40"/>
      <c r="D99" s="40"/>
      <c r="E99" s="40"/>
      <c r="F99" s="40"/>
      <c r="G99" s="40"/>
      <c r="H99" s="40"/>
      <c r="I99" s="40"/>
      <c r="J99" s="40"/>
      <c r="K99" s="40"/>
      <c r="L99" s="40"/>
      <c r="M99" s="40"/>
      <c r="N99" s="40"/>
      <c r="O99" s="40"/>
      <c r="P99" s="40"/>
      <c r="Q99" s="40"/>
      <c r="R99" s="40"/>
      <c r="S99" s="40"/>
      <c r="T99" s="40"/>
      <c r="U99" s="40"/>
      <c r="V99" s="40"/>
      <c r="W99" s="40">
        <v>1082</v>
      </c>
      <c r="X99" s="40">
        <v>1155</v>
      </c>
      <c r="Y99" s="40">
        <v>1209</v>
      </c>
      <c r="Z99" s="40">
        <v>1341</v>
      </c>
      <c r="AA99" s="40">
        <v>1399</v>
      </c>
      <c r="AB99" s="40">
        <v>1483</v>
      </c>
      <c r="AC99" s="40">
        <v>1538</v>
      </c>
      <c r="AD99" s="40">
        <v>1591</v>
      </c>
      <c r="AE99" s="40">
        <v>1660</v>
      </c>
      <c r="AF99" s="40">
        <v>1788</v>
      </c>
      <c r="AG99" s="40">
        <v>1905</v>
      </c>
      <c r="AH99" s="40">
        <v>2036</v>
      </c>
      <c r="AI99" s="40">
        <v>2159</v>
      </c>
      <c r="AJ99" s="40">
        <v>2319</v>
      </c>
      <c r="AK99" s="40">
        <v>2452</v>
      </c>
      <c r="AL99" s="40">
        <v>2606</v>
      </c>
      <c r="AM99" s="40">
        <v>2765</v>
      </c>
      <c r="AN99" s="40">
        <v>2917</v>
      </c>
      <c r="AO99" s="40">
        <v>3041</v>
      </c>
      <c r="AP99" s="40">
        <v>3187</v>
      </c>
      <c r="AQ99" s="40">
        <v>3332</v>
      </c>
      <c r="AR99" s="40">
        <v>3498</v>
      </c>
      <c r="AS99" s="40">
        <v>3604</v>
      </c>
      <c r="AT99" s="40">
        <v>3716</v>
      </c>
      <c r="AU99" s="40">
        <v>3804</v>
      </c>
      <c r="AV99" s="40">
        <v>3980</v>
      </c>
      <c r="AW99" s="40">
        <v>4183</v>
      </c>
      <c r="AX99" s="40">
        <v>4474</v>
      </c>
      <c r="AY99" s="40">
        <v>4747</v>
      </c>
      <c r="AZ99" s="40">
        <v>4925</v>
      </c>
      <c r="BA99" s="40">
        <v>5112</v>
      </c>
      <c r="BB99" s="40">
        <v>5351</v>
      </c>
      <c r="BC99" s="40">
        <v>5568</v>
      </c>
      <c r="BD99" s="40">
        <v>5813</v>
      </c>
      <c r="BE99" s="40">
        <v>6044</v>
      </c>
      <c r="BF99" s="40">
        <v>6305</v>
      </c>
      <c r="BG99" s="40">
        <v>6538</v>
      </c>
      <c r="BH99" s="40">
        <v>6822</v>
      </c>
      <c r="BI99" s="40">
        <v>7092</v>
      </c>
      <c r="BJ99" s="40">
        <v>7367</v>
      </c>
      <c r="BK99" s="40">
        <v>7662</v>
      </c>
      <c r="BL99" s="40">
        <v>7970</v>
      </c>
      <c r="BM99" s="40">
        <v>8285</v>
      </c>
      <c r="BN99" s="40">
        <v>8598</v>
      </c>
      <c r="BO99" s="40">
        <v>8915</v>
      </c>
      <c r="BP99" s="40">
        <v>9222</v>
      </c>
      <c r="BQ99" s="40">
        <v>9536</v>
      </c>
      <c r="BR99" s="40">
        <v>9852</v>
      </c>
      <c r="BS99" s="40">
        <v>10160</v>
      </c>
      <c r="BT99" s="40">
        <v>10486</v>
      </c>
      <c r="BU99" s="40">
        <v>10808</v>
      </c>
      <c r="BV99" s="40">
        <v>11146</v>
      </c>
      <c r="BW99" s="40">
        <v>11480</v>
      </c>
      <c r="BX99" s="40">
        <v>11833</v>
      </c>
      <c r="BY99" s="40">
        <v>12194</v>
      </c>
      <c r="BZ99" s="40">
        <v>12578</v>
      </c>
      <c r="CA99" s="40">
        <v>12949</v>
      </c>
      <c r="CB99" s="40">
        <v>13310</v>
      </c>
      <c r="CC99" s="40">
        <v>13694</v>
      </c>
      <c r="CD99" s="40">
        <v>14076</v>
      </c>
      <c r="CE99" s="40">
        <v>14456</v>
      </c>
      <c r="CF99" s="40">
        <v>14857</v>
      </c>
      <c r="CG99" s="40">
        <v>15249</v>
      </c>
      <c r="CH99" s="40">
        <v>15645</v>
      </c>
      <c r="CI99" s="40">
        <v>16053</v>
      </c>
      <c r="CJ99" s="40">
        <v>16445</v>
      </c>
      <c r="CK99" s="40">
        <v>16846</v>
      </c>
      <c r="CL99" s="40">
        <v>17267</v>
      </c>
      <c r="CM99" s="40">
        <v>17671</v>
      </c>
      <c r="CN99" s="40">
        <v>18090</v>
      </c>
      <c r="CO99" s="40">
        <v>18516</v>
      </c>
      <c r="CP99" s="40">
        <v>18935</v>
      </c>
      <c r="CQ99" s="40">
        <v>19362</v>
      </c>
      <c r="CR99" s="40">
        <v>19780</v>
      </c>
      <c r="CS99" s="40">
        <v>20212</v>
      </c>
      <c r="CT99" s="40">
        <v>20638</v>
      </c>
      <c r="CU99" s="40">
        <v>21070</v>
      </c>
      <c r="CV99" s="40">
        <v>21501</v>
      </c>
      <c r="CW99" s="40">
        <v>21934</v>
      </c>
      <c r="CX99" s="40">
        <v>22377</v>
      </c>
      <c r="CY99" s="40">
        <v>22808</v>
      </c>
      <c r="CZ99" s="40">
        <v>23249</v>
      </c>
      <c r="DA99" s="40">
        <v>23685</v>
      </c>
      <c r="DB99" s="40">
        <v>24133</v>
      </c>
      <c r="DC99" s="40">
        <v>24575</v>
      </c>
      <c r="DD99" s="40">
        <v>25022</v>
      </c>
      <c r="DE99" s="40">
        <v>25464</v>
      </c>
      <c r="DF99" s="40">
        <v>25920</v>
      </c>
      <c r="DG99" s="40">
        <v>26369</v>
      </c>
      <c r="DH99" s="40">
        <v>26818</v>
      </c>
      <c r="DI99" s="40">
        <v>27268</v>
      </c>
      <c r="DJ99" s="40">
        <v>27727</v>
      </c>
      <c r="DK99" s="40">
        <v>28177</v>
      </c>
      <c r="DL99" s="40">
        <v>28630</v>
      </c>
      <c r="DM99" s="40">
        <v>29087</v>
      </c>
      <c r="DN99" s="40">
        <v>29545</v>
      </c>
      <c r="DO99" s="40">
        <v>30003</v>
      </c>
    </row>
    <row r="100" spans="1:119">
      <c r="A100" s="40">
        <v>98</v>
      </c>
      <c r="B100" s="40"/>
      <c r="C100" s="40"/>
      <c r="D100" s="40"/>
      <c r="E100" s="40"/>
      <c r="F100" s="40"/>
      <c r="G100" s="40"/>
      <c r="H100" s="40"/>
      <c r="I100" s="40"/>
      <c r="J100" s="40"/>
      <c r="K100" s="40"/>
      <c r="L100" s="40"/>
      <c r="M100" s="40"/>
      <c r="N100" s="40"/>
      <c r="O100" s="40"/>
      <c r="P100" s="40"/>
      <c r="Q100" s="40"/>
      <c r="R100" s="40"/>
      <c r="S100" s="40"/>
      <c r="T100" s="40"/>
      <c r="U100" s="40"/>
      <c r="V100" s="40"/>
      <c r="W100" s="40">
        <v>714</v>
      </c>
      <c r="X100" s="40">
        <v>765</v>
      </c>
      <c r="Y100" s="40">
        <v>804</v>
      </c>
      <c r="Z100" s="40">
        <v>895</v>
      </c>
      <c r="AA100" s="40">
        <v>936</v>
      </c>
      <c r="AB100" s="40">
        <v>996</v>
      </c>
      <c r="AC100" s="40">
        <v>1037</v>
      </c>
      <c r="AD100" s="40">
        <v>1076</v>
      </c>
      <c r="AE100" s="40">
        <v>1127</v>
      </c>
      <c r="AF100" s="40">
        <v>1218</v>
      </c>
      <c r="AG100" s="40">
        <v>1302</v>
      </c>
      <c r="AH100" s="40">
        <v>1395</v>
      </c>
      <c r="AI100" s="40">
        <v>1485</v>
      </c>
      <c r="AJ100" s="40">
        <v>1600</v>
      </c>
      <c r="AK100" s="40">
        <v>1696</v>
      </c>
      <c r="AL100" s="40">
        <v>1808</v>
      </c>
      <c r="AM100" s="40">
        <v>1926</v>
      </c>
      <c r="AN100" s="40">
        <v>2038</v>
      </c>
      <c r="AO100" s="40">
        <v>2132</v>
      </c>
      <c r="AP100" s="40">
        <v>2242</v>
      </c>
      <c r="AQ100" s="40">
        <v>2351</v>
      </c>
      <c r="AR100" s="40">
        <v>2477</v>
      </c>
      <c r="AS100" s="40">
        <v>2560</v>
      </c>
      <c r="AT100" s="40">
        <v>2648</v>
      </c>
      <c r="AU100" s="40">
        <v>2719</v>
      </c>
      <c r="AV100" s="40">
        <v>2853</v>
      </c>
      <c r="AW100" s="40">
        <v>3008</v>
      </c>
      <c r="AX100" s="40">
        <v>3227</v>
      </c>
      <c r="AY100" s="40">
        <v>3434</v>
      </c>
      <c r="AZ100" s="40">
        <v>3573</v>
      </c>
      <c r="BA100" s="40">
        <v>3719</v>
      </c>
      <c r="BB100" s="40">
        <v>3904</v>
      </c>
      <c r="BC100" s="40">
        <v>4074</v>
      </c>
      <c r="BD100" s="40">
        <v>4265</v>
      </c>
      <c r="BE100" s="40">
        <v>4447</v>
      </c>
      <c r="BF100" s="40">
        <v>4652</v>
      </c>
      <c r="BG100" s="40">
        <v>4836</v>
      </c>
      <c r="BH100" s="40">
        <v>5060</v>
      </c>
      <c r="BI100" s="40">
        <v>5273</v>
      </c>
      <c r="BJ100" s="40">
        <v>5492</v>
      </c>
      <c r="BK100" s="40">
        <v>5726</v>
      </c>
      <c r="BL100" s="40">
        <v>5972</v>
      </c>
      <c r="BM100" s="40">
        <v>6223</v>
      </c>
      <c r="BN100" s="40">
        <v>6474</v>
      </c>
      <c r="BO100" s="40">
        <v>6729</v>
      </c>
      <c r="BP100" s="40">
        <v>6977</v>
      </c>
      <c r="BQ100" s="40">
        <v>7231</v>
      </c>
      <c r="BR100" s="40">
        <v>7489</v>
      </c>
      <c r="BS100" s="40">
        <v>7740</v>
      </c>
      <c r="BT100" s="40">
        <v>8007</v>
      </c>
      <c r="BU100" s="40">
        <v>8271</v>
      </c>
      <c r="BV100" s="40">
        <v>8549</v>
      </c>
      <c r="BW100" s="40">
        <v>8824</v>
      </c>
      <c r="BX100" s="40">
        <v>9115</v>
      </c>
      <c r="BY100" s="40">
        <v>9413</v>
      </c>
      <c r="BZ100" s="40">
        <v>9730</v>
      </c>
      <c r="CA100" s="40">
        <v>10037</v>
      </c>
      <c r="CB100" s="40">
        <v>10338</v>
      </c>
      <c r="CC100" s="40">
        <v>10658</v>
      </c>
      <c r="CD100" s="40">
        <v>10978</v>
      </c>
      <c r="CE100" s="40">
        <v>11297</v>
      </c>
      <c r="CF100" s="40">
        <v>11632</v>
      </c>
      <c r="CG100" s="40">
        <v>11962</v>
      </c>
      <c r="CH100" s="40">
        <v>12297</v>
      </c>
      <c r="CI100" s="40">
        <v>12641</v>
      </c>
      <c r="CJ100" s="40">
        <v>12974</v>
      </c>
      <c r="CK100" s="40">
        <v>13315</v>
      </c>
      <c r="CL100" s="40">
        <v>13672</v>
      </c>
      <c r="CM100" s="40">
        <v>14017</v>
      </c>
      <c r="CN100" s="40">
        <v>14375</v>
      </c>
      <c r="CO100" s="40">
        <v>14739</v>
      </c>
      <c r="CP100" s="40">
        <v>15100</v>
      </c>
      <c r="CQ100" s="40">
        <v>15467</v>
      </c>
      <c r="CR100" s="40">
        <v>15827</v>
      </c>
      <c r="CS100" s="40">
        <v>16200</v>
      </c>
      <c r="CT100" s="40">
        <v>16568</v>
      </c>
      <c r="CU100" s="40">
        <v>16943</v>
      </c>
      <c r="CV100" s="40">
        <v>17317</v>
      </c>
      <c r="CW100" s="40">
        <v>17694</v>
      </c>
      <c r="CX100" s="40">
        <v>18081</v>
      </c>
      <c r="CY100" s="40">
        <v>18458</v>
      </c>
      <c r="CZ100" s="40">
        <v>18844</v>
      </c>
      <c r="DA100" s="40">
        <v>19226</v>
      </c>
      <c r="DB100" s="40">
        <v>19620</v>
      </c>
      <c r="DC100" s="40">
        <v>20009</v>
      </c>
      <c r="DD100" s="40">
        <v>20402</v>
      </c>
      <c r="DE100" s="40">
        <v>20793</v>
      </c>
      <c r="DF100" s="40">
        <v>21197</v>
      </c>
      <c r="DG100" s="40">
        <v>21594</v>
      </c>
      <c r="DH100" s="40">
        <v>21993</v>
      </c>
      <c r="DI100" s="40">
        <v>22393</v>
      </c>
      <c r="DJ100" s="40">
        <v>22801</v>
      </c>
      <c r="DK100" s="40">
        <v>23203</v>
      </c>
      <c r="DL100" s="40">
        <v>23607</v>
      </c>
      <c r="DM100" s="40">
        <v>24016</v>
      </c>
      <c r="DN100" s="40">
        <v>24426</v>
      </c>
      <c r="DO100" s="40">
        <v>24837</v>
      </c>
    </row>
    <row r="101" spans="1:119">
      <c r="A101" s="40">
        <v>99</v>
      </c>
      <c r="B101" s="40"/>
      <c r="C101" s="40"/>
      <c r="D101" s="40"/>
      <c r="E101" s="40"/>
      <c r="F101" s="40"/>
      <c r="G101" s="40"/>
      <c r="H101" s="40"/>
      <c r="I101" s="40"/>
      <c r="J101" s="40"/>
      <c r="K101" s="40"/>
      <c r="L101" s="40"/>
      <c r="M101" s="40"/>
      <c r="N101" s="40"/>
      <c r="O101" s="40"/>
      <c r="P101" s="40"/>
      <c r="Q101" s="40"/>
      <c r="R101" s="40"/>
      <c r="S101" s="40"/>
      <c r="T101" s="40"/>
      <c r="U101" s="40"/>
      <c r="V101" s="40"/>
      <c r="W101" s="40">
        <v>456</v>
      </c>
      <c r="X101" s="40">
        <v>490</v>
      </c>
      <c r="Y101" s="40">
        <v>517</v>
      </c>
      <c r="Z101" s="40">
        <v>577</v>
      </c>
      <c r="AA101" s="40">
        <v>606</v>
      </c>
      <c r="AB101" s="40">
        <v>647</v>
      </c>
      <c r="AC101" s="40">
        <v>676</v>
      </c>
      <c r="AD101" s="40">
        <v>704</v>
      </c>
      <c r="AE101" s="40">
        <v>740</v>
      </c>
      <c r="AF101" s="40">
        <v>802</v>
      </c>
      <c r="AG101" s="40">
        <v>860</v>
      </c>
      <c r="AH101" s="40">
        <v>925</v>
      </c>
      <c r="AI101" s="40">
        <v>988</v>
      </c>
      <c r="AJ101" s="40">
        <v>1068</v>
      </c>
      <c r="AK101" s="40">
        <v>1136</v>
      </c>
      <c r="AL101" s="40">
        <v>1215</v>
      </c>
      <c r="AM101" s="40">
        <v>1298</v>
      </c>
      <c r="AN101" s="40">
        <v>1379</v>
      </c>
      <c r="AO101" s="40">
        <v>1448</v>
      </c>
      <c r="AP101" s="40">
        <v>1528</v>
      </c>
      <c r="AQ101" s="40">
        <v>1608</v>
      </c>
      <c r="AR101" s="40">
        <v>1699</v>
      </c>
      <c r="AS101" s="40">
        <v>1762</v>
      </c>
      <c r="AT101" s="40">
        <v>1828</v>
      </c>
      <c r="AU101" s="40">
        <v>1883</v>
      </c>
      <c r="AV101" s="40">
        <v>1983</v>
      </c>
      <c r="AW101" s="40">
        <v>2097</v>
      </c>
      <c r="AX101" s="40">
        <v>2257</v>
      </c>
      <c r="AY101" s="40">
        <v>2409</v>
      </c>
      <c r="AZ101" s="40">
        <v>2514</v>
      </c>
      <c r="BA101" s="40">
        <v>2624</v>
      </c>
      <c r="BB101" s="40">
        <v>2763</v>
      </c>
      <c r="BC101" s="40">
        <v>2891</v>
      </c>
      <c r="BD101" s="40">
        <v>3036</v>
      </c>
      <c r="BE101" s="40">
        <v>3174</v>
      </c>
      <c r="BF101" s="40">
        <v>3329</v>
      </c>
      <c r="BG101" s="40">
        <v>3471</v>
      </c>
      <c r="BH101" s="40">
        <v>3641</v>
      </c>
      <c r="BI101" s="40">
        <v>3805</v>
      </c>
      <c r="BJ101" s="40">
        <v>3973</v>
      </c>
      <c r="BK101" s="40">
        <v>4154</v>
      </c>
      <c r="BL101" s="40">
        <v>4343</v>
      </c>
      <c r="BM101" s="40">
        <v>4537</v>
      </c>
      <c r="BN101" s="40">
        <v>4732</v>
      </c>
      <c r="BO101" s="40">
        <v>4930</v>
      </c>
      <c r="BP101" s="40">
        <v>5125</v>
      </c>
      <c r="BQ101" s="40">
        <v>5324</v>
      </c>
      <c r="BR101" s="40">
        <v>5527</v>
      </c>
      <c r="BS101" s="40">
        <v>5726</v>
      </c>
      <c r="BT101" s="40">
        <v>5937</v>
      </c>
      <c r="BU101" s="40">
        <v>6147</v>
      </c>
      <c r="BV101" s="40">
        <v>6368</v>
      </c>
      <c r="BW101" s="40">
        <v>6588</v>
      </c>
      <c r="BX101" s="40">
        <v>6820</v>
      </c>
      <c r="BY101" s="40">
        <v>7059</v>
      </c>
      <c r="BZ101" s="40">
        <v>7312</v>
      </c>
      <c r="CA101" s="40">
        <v>7559</v>
      </c>
      <c r="CB101" s="40">
        <v>7803</v>
      </c>
      <c r="CC101" s="40">
        <v>8061</v>
      </c>
      <c r="CD101" s="40">
        <v>8319</v>
      </c>
      <c r="CE101" s="40">
        <v>8579</v>
      </c>
      <c r="CF101" s="40">
        <v>8851</v>
      </c>
      <c r="CG101" s="40">
        <v>9121</v>
      </c>
      <c r="CH101" s="40">
        <v>9394</v>
      </c>
      <c r="CI101" s="40">
        <v>9676</v>
      </c>
      <c r="CJ101" s="40">
        <v>9950</v>
      </c>
      <c r="CK101" s="40">
        <v>10230</v>
      </c>
      <c r="CL101" s="40">
        <v>10524</v>
      </c>
      <c r="CM101" s="40">
        <v>10810</v>
      </c>
      <c r="CN101" s="40">
        <v>11107</v>
      </c>
      <c r="CO101" s="40">
        <v>11408</v>
      </c>
      <c r="CP101" s="40">
        <v>11708</v>
      </c>
      <c r="CQ101" s="40">
        <v>12014</v>
      </c>
      <c r="CR101" s="40">
        <v>12315</v>
      </c>
      <c r="CS101" s="40">
        <v>12627</v>
      </c>
      <c r="CT101" s="40">
        <v>12936</v>
      </c>
      <c r="CU101" s="40">
        <v>13251</v>
      </c>
      <c r="CV101" s="40">
        <v>13566</v>
      </c>
      <c r="CW101" s="40">
        <v>13885</v>
      </c>
      <c r="CX101" s="40">
        <v>14211</v>
      </c>
      <c r="CY101" s="40">
        <v>14530</v>
      </c>
      <c r="CZ101" s="40">
        <v>14858</v>
      </c>
      <c r="DA101" s="40">
        <v>15183</v>
      </c>
      <c r="DB101" s="40">
        <v>15518</v>
      </c>
      <c r="DC101" s="40">
        <v>15850</v>
      </c>
      <c r="DD101" s="40">
        <v>16186</v>
      </c>
      <c r="DE101" s="40">
        <v>16521</v>
      </c>
      <c r="DF101" s="40">
        <v>16866</v>
      </c>
      <c r="DG101" s="40">
        <v>17208</v>
      </c>
      <c r="DH101" s="40">
        <v>17551</v>
      </c>
      <c r="DI101" s="40">
        <v>17896</v>
      </c>
      <c r="DJ101" s="40">
        <v>18248</v>
      </c>
      <c r="DK101" s="40">
        <v>18595</v>
      </c>
      <c r="DL101" s="40">
        <v>18945</v>
      </c>
      <c r="DM101" s="40">
        <v>19300</v>
      </c>
      <c r="DN101" s="40">
        <v>19656</v>
      </c>
      <c r="DO101" s="40">
        <v>20013</v>
      </c>
    </row>
    <row r="102" spans="1:119">
      <c r="A102" s="40">
        <v>100</v>
      </c>
      <c r="B102" s="40"/>
      <c r="C102" s="40"/>
      <c r="D102" s="40"/>
      <c r="E102" s="40"/>
      <c r="F102" s="40"/>
      <c r="G102" s="40"/>
      <c r="H102" s="40"/>
      <c r="I102" s="40"/>
      <c r="J102" s="40"/>
      <c r="K102" s="40"/>
      <c r="L102" s="40"/>
      <c r="M102" s="40"/>
      <c r="N102" s="40"/>
      <c r="O102" s="40"/>
      <c r="P102" s="40"/>
      <c r="Q102" s="40"/>
      <c r="R102" s="40"/>
      <c r="S102" s="40"/>
      <c r="T102" s="40"/>
      <c r="U102" s="40"/>
      <c r="V102" s="40"/>
      <c r="W102" s="40">
        <v>281</v>
      </c>
      <c r="X102" s="40">
        <v>303</v>
      </c>
      <c r="Y102" s="40">
        <v>321</v>
      </c>
      <c r="Z102" s="40">
        <v>360</v>
      </c>
      <c r="AA102" s="40">
        <v>380</v>
      </c>
      <c r="AB102" s="40">
        <v>407</v>
      </c>
      <c r="AC102" s="40">
        <v>426</v>
      </c>
      <c r="AD102" s="40">
        <v>446</v>
      </c>
      <c r="AE102" s="40">
        <v>470</v>
      </c>
      <c r="AF102" s="40">
        <v>511</v>
      </c>
      <c r="AG102" s="40">
        <v>550</v>
      </c>
      <c r="AH102" s="40">
        <v>594</v>
      </c>
      <c r="AI102" s="40">
        <v>636</v>
      </c>
      <c r="AJ102" s="40">
        <v>690</v>
      </c>
      <c r="AK102" s="40">
        <v>736</v>
      </c>
      <c r="AL102" s="40">
        <v>790</v>
      </c>
      <c r="AM102" s="40">
        <v>847</v>
      </c>
      <c r="AN102" s="40">
        <v>903</v>
      </c>
      <c r="AO102" s="40">
        <v>952</v>
      </c>
      <c r="AP102" s="40">
        <v>1008</v>
      </c>
      <c r="AQ102" s="40">
        <v>1064</v>
      </c>
      <c r="AR102" s="40">
        <v>1129</v>
      </c>
      <c r="AS102" s="40">
        <v>1174</v>
      </c>
      <c r="AT102" s="40">
        <v>1223</v>
      </c>
      <c r="AU102" s="40">
        <v>1264</v>
      </c>
      <c r="AV102" s="40">
        <v>1335</v>
      </c>
      <c r="AW102" s="40">
        <v>1416</v>
      </c>
      <c r="AX102" s="40">
        <v>1529</v>
      </c>
      <c r="AY102" s="40">
        <v>1637</v>
      </c>
      <c r="AZ102" s="40">
        <v>1714</v>
      </c>
      <c r="BA102" s="40">
        <v>1795</v>
      </c>
      <c r="BB102" s="40">
        <v>1895</v>
      </c>
      <c r="BC102" s="40">
        <v>1989</v>
      </c>
      <c r="BD102" s="40">
        <v>2095</v>
      </c>
      <c r="BE102" s="40">
        <v>2196</v>
      </c>
      <c r="BF102" s="40">
        <v>2311</v>
      </c>
      <c r="BG102" s="40">
        <v>2416</v>
      </c>
      <c r="BH102" s="40">
        <v>2541</v>
      </c>
      <c r="BI102" s="40">
        <v>2663</v>
      </c>
      <c r="BJ102" s="40">
        <v>2788</v>
      </c>
      <c r="BK102" s="40">
        <v>2923</v>
      </c>
      <c r="BL102" s="40">
        <v>3064</v>
      </c>
      <c r="BM102" s="40">
        <v>3210</v>
      </c>
      <c r="BN102" s="40">
        <v>3356</v>
      </c>
      <c r="BO102" s="40">
        <v>3506</v>
      </c>
      <c r="BP102" s="40">
        <v>3653</v>
      </c>
      <c r="BQ102" s="40">
        <v>3805</v>
      </c>
      <c r="BR102" s="40">
        <v>3960</v>
      </c>
      <c r="BS102" s="40">
        <v>4112</v>
      </c>
      <c r="BT102" s="40">
        <v>4274</v>
      </c>
      <c r="BU102" s="40">
        <v>4436</v>
      </c>
      <c r="BV102" s="40">
        <v>4606</v>
      </c>
      <c r="BW102" s="40">
        <v>4776</v>
      </c>
      <c r="BX102" s="40">
        <v>4956</v>
      </c>
      <c r="BY102" s="40">
        <v>5140</v>
      </c>
      <c r="BZ102" s="40">
        <v>5337</v>
      </c>
      <c r="CA102" s="40">
        <v>5529</v>
      </c>
      <c r="CB102" s="40">
        <v>5720</v>
      </c>
      <c r="CC102" s="40">
        <v>5922</v>
      </c>
      <c r="CD102" s="40">
        <v>6125</v>
      </c>
      <c r="CE102" s="40">
        <v>6329</v>
      </c>
      <c r="CF102" s="40">
        <v>6543</v>
      </c>
      <c r="CG102" s="40">
        <v>6756</v>
      </c>
      <c r="CH102" s="40">
        <v>6973</v>
      </c>
      <c r="CI102" s="40">
        <v>7196</v>
      </c>
      <c r="CJ102" s="40">
        <v>7415</v>
      </c>
      <c r="CK102" s="40">
        <v>7639</v>
      </c>
      <c r="CL102" s="40">
        <v>7873</v>
      </c>
      <c r="CM102" s="40">
        <v>8103</v>
      </c>
      <c r="CN102" s="40">
        <v>8341</v>
      </c>
      <c r="CO102" s="40">
        <v>8583</v>
      </c>
      <c r="CP102" s="40">
        <v>8825</v>
      </c>
      <c r="CQ102" s="40">
        <v>9072</v>
      </c>
      <c r="CR102" s="40">
        <v>9316</v>
      </c>
      <c r="CS102" s="40">
        <v>9569</v>
      </c>
      <c r="CT102" s="40">
        <v>9820</v>
      </c>
      <c r="CU102" s="40">
        <v>10077</v>
      </c>
      <c r="CV102" s="40">
        <v>10334</v>
      </c>
      <c r="CW102" s="40">
        <v>10594</v>
      </c>
      <c r="CX102" s="40">
        <v>10861</v>
      </c>
      <c r="CY102" s="40">
        <v>11124</v>
      </c>
      <c r="CZ102" s="40">
        <v>11393</v>
      </c>
      <c r="DA102" s="40">
        <v>11661</v>
      </c>
      <c r="DB102" s="40">
        <v>11938</v>
      </c>
      <c r="DC102" s="40">
        <v>12212</v>
      </c>
      <c r="DD102" s="40">
        <v>12491</v>
      </c>
      <c r="DE102" s="40">
        <v>12769</v>
      </c>
      <c r="DF102" s="40">
        <v>13055</v>
      </c>
      <c r="DG102" s="40">
        <v>13340</v>
      </c>
      <c r="DH102" s="40">
        <v>13626</v>
      </c>
      <c r="DI102" s="40">
        <v>13914</v>
      </c>
      <c r="DJ102" s="40">
        <v>14208</v>
      </c>
      <c r="DK102" s="40">
        <v>14500</v>
      </c>
      <c r="DL102" s="40">
        <v>14793</v>
      </c>
      <c r="DM102" s="40">
        <v>15092</v>
      </c>
      <c r="DN102" s="40">
        <v>15391</v>
      </c>
      <c r="DO102" s="40">
        <v>15693</v>
      </c>
    </row>
  </sheetData>
  <sheetProtection algorithmName="SHA-512" hashValue="fG3jyg5ofSDFmVHsGG7hAF+CxtNIFCNgxDOAwbkLypR4a2mcI21Jh2an1hejoQFEyinJYR6w5mx9cxfa/TDBCw==" saltValue="b5rxAkqxPaeGTBhWsDAzOg==" spinCount="100000" sheet="1" objects="1" scenarios="1" formatColumns="0" autoFilter="0"/>
  <pageMargins left="0.7" right="0.7" top="0.78740157499999996" bottom="0.78740157499999996"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F5757-CF70-4D4B-A67F-74010B06D5E0}">
  <sheetPr codeName="Tabelle60"/>
  <dimension ref="B3:D34"/>
  <sheetViews>
    <sheetView topLeftCell="A7" workbookViewId="0">
      <selection activeCell="D13" sqref="D13:D24"/>
    </sheetView>
  </sheetViews>
  <sheetFormatPr baseColWidth="10" defaultRowHeight="15"/>
  <cols>
    <col min="3" max="3" width="21.85546875" customWidth="1"/>
  </cols>
  <sheetData>
    <row r="3" spans="2:4">
      <c r="B3" s="11" t="s">
        <v>3074</v>
      </c>
    </row>
    <row r="4" spans="2:4">
      <c r="B4" s="11" t="s">
        <v>3075</v>
      </c>
    </row>
    <row r="8" spans="2:4" ht="31.5">
      <c r="B8" s="275" t="s">
        <v>3076</v>
      </c>
    </row>
    <row r="10" spans="2:4">
      <c r="B10" s="276" t="s">
        <v>3077</v>
      </c>
    </row>
    <row r="12" spans="2:4" s="120" customFormat="1" ht="63">
      <c r="B12" s="270" t="s">
        <v>2967</v>
      </c>
      <c r="C12" s="270" t="s">
        <v>3083</v>
      </c>
    </row>
    <row r="13" spans="2:4" ht="15.75">
      <c r="B13" s="268">
        <v>2015</v>
      </c>
      <c r="C13" s="279">
        <v>6000</v>
      </c>
      <c r="D13" s="269">
        <v>1.2999999999999999E-2</v>
      </c>
    </row>
    <row r="14" spans="2:4" ht="15.75">
      <c r="B14" s="268">
        <v>2016</v>
      </c>
      <c r="C14" s="279">
        <v>6067</v>
      </c>
      <c r="D14" s="269">
        <v>1.0999999999999999E-2</v>
      </c>
    </row>
    <row r="15" spans="2:4" ht="15.75">
      <c r="B15" s="268">
        <v>2017</v>
      </c>
      <c r="C15" s="279">
        <v>6090</v>
      </c>
      <c r="D15" s="269">
        <v>4.0000000000000001E-3</v>
      </c>
    </row>
    <row r="16" spans="2:4" ht="15.75">
      <c r="B16" s="268">
        <v>2018</v>
      </c>
      <c r="C16" s="279">
        <v>6160</v>
      </c>
      <c r="D16" s="269">
        <v>1.0999999999999999E-2</v>
      </c>
    </row>
    <row r="17" spans="2:4" ht="15.75">
      <c r="B17" s="268">
        <v>2019</v>
      </c>
      <c r="C17" s="279">
        <v>6237</v>
      </c>
      <c r="D17" s="269">
        <v>1.2999999999999999E-2</v>
      </c>
    </row>
    <row r="18" spans="2:4" ht="15.75">
      <c r="B18" s="268">
        <v>2020</v>
      </c>
      <c r="C18" s="279">
        <v>6273</v>
      </c>
      <c r="D18" s="269">
        <v>6.0000000000000001E-3</v>
      </c>
    </row>
    <row r="19" spans="2:4" ht="15.75">
      <c r="B19" s="268">
        <v>2021</v>
      </c>
      <c r="C19" s="279">
        <v>6518</v>
      </c>
      <c r="D19" s="269">
        <v>3.9E-2</v>
      </c>
    </row>
    <row r="20" spans="2:4" ht="15.75">
      <c r="B20" s="268">
        <v>2022</v>
      </c>
      <c r="C20" s="279">
        <v>6544</v>
      </c>
      <c r="D20" s="269">
        <v>4.0000000000000001E-3</v>
      </c>
    </row>
    <row r="21" spans="2:4" ht="15.75">
      <c r="B21" s="268">
        <v>2023</v>
      </c>
      <c r="C21" s="279">
        <v>6518</v>
      </c>
      <c r="D21" s="269">
        <v>-4.0000000000000001E-3</v>
      </c>
    </row>
    <row r="22" spans="2:4" ht="15.75">
      <c r="B22" s="268">
        <v>2024</v>
      </c>
      <c r="C22" s="279">
        <v>6700</v>
      </c>
      <c r="D22" s="269">
        <v>2.8000000000000001E-2</v>
      </c>
    </row>
    <row r="23" spans="2:4" ht="15.75">
      <c r="B23" s="268">
        <v>2025</v>
      </c>
      <c r="C23" s="279">
        <v>7020</v>
      </c>
      <c r="D23" s="269">
        <v>4.8000000000000001E-2</v>
      </c>
    </row>
    <row r="24" spans="2:4" ht="15.75">
      <c r="B24" s="268">
        <v>2026</v>
      </c>
      <c r="C24" s="279">
        <v>7544</v>
      </c>
      <c r="D24" s="269">
        <v>7.4999999999999997E-2</v>
      </c>
    </row>
    <row r="28" spans="2:4">
      <c r="B28" s="11" t="s">
        <v>3078</v>
      </c>
    </row>
    <row r="29" spans="2:4">
      <c r="B29" s="258"/>
    </row>
    <row r="30" spans="2:4">
      <c r="B30" s="277" t="s">
        <v>3079</v>
      </c>
    </row>
    <row r="31" spans="2:4">
      <c r="B31" s="277" t="s">
        <v>3080</v>
      </c>
    </row>
    <row r="32" spans="2:4">
      <c r="B32" s="278" t="s">
        <v>3081</v>
      </c>
    </row>
    <row r="34" spans="2:2">
      <c r="B34" s="11" t="s">
        <v>3082</v>
      </c>
    </row>
  </sheetData>
  <sheetProtection algorithmName="SHA-512" hashValue="kIpPy+Avc0N3DUqpx/6CXZgHTSzmgKup2ijTSlyil6MiqAMuHRHx3x1CQjsjw5aHtRg8nlwkAxOE/1jHYbwGiw==" saltValue="5DKZ4JlC+AILzUVbjSGB2Q==" spinCount="100000" sheet="1" objects="1" scenarios="1" formatColumns="0" autoFilter="0"/>
  <pageMargins left="0.7" right="0.7" top="0.78740157499999996" bottom="0.78740157499999996"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27E9-00FC-493A-B4AA-92A5CEDAF687}">
  <sheetPr codeName="Tabelle50"/>
  <dimension ref="A1:F32"/>
  <sheetViews>
    <sheetView workbookViewId="0">
      <selection activeCell="B15" sqref="B15:I21"/>
    </sheetView>
  </sheetViews>
  <sheetFormatPr baseColWidth="10" defaultColWidth="9.140625" defaultRowHeight="15"/>
  <cols>
    <col min="1" max="1" width="17.140625" style="133" customWidth="1"/>
    <col min="2" max="2" width="107.7109375" style="133" customWidth="1"/>
    <col min="3" max="5" width="42.28515625" style="133" customWidth="1"/>
    <col min="6" max="6" width="55.7109375" customWidth="1"/>
  </cols>
  <sheetData>
    <row r="1" spans="1:6" s="137" customFormat="1" ht="37.5">
      <c r="A1" s="136" t="s">
        <v>2914</v>
      </c>
      <c r="B1" s="136" t="s">
        <v>4110</v>
      </c>
      <c r="C1" s="136" t="s">
        <v>2370</v>
      </c>
      <c r="D1" s="136" t="s">
        <v>2371</v>
      </c>
      <c r="E1" s="136" t="s">
        <v>2372</v>
      </c>
    </row>
    <row r="2" spans="1:6" ht="30">
      <c r="A2" s="655" t="s">
        <v>0</v>
      </c>
      <c r="B2" s="655" t="s">
        <v>3154</v>
      </c>
      <c r="C2" s="133" t="s">
        <v>2373</v>
      </c>
      <c r="D2" s="133" t="s">
        <v>2374</v>
      </c>
      <c r="E2" s="133" t="s">
        <v>2375</v>
      </c>
      <c r="F2" s="145"/>
    </row>
    <row r="3" spans="1:6" ht="30">
      <c r="A3" s="655" t="s">
        <v>1</v>
      </c>
      <c r="B3" s="655" t="s">
        <v>3155</v>
      </c>
      <c r="C3" s="133" t="s">
        <v>2376</v>
      </c>
      <c r="D3" s="133" t="s">
        <v>2377</v>
      </c>
      <c r="E3" s="133" t="s">
        <v>2378</v>
      </c>
    </row>
    <row r="4" spans="1:6" ht="30">
      <c r="A4" s="655" t="s">
        <v>2</v>
      </c>
      <c r="B4" s="655" t="s">
        <v>3156</v>
      </c>
      <c r="C4" s="133" t="s">
        <v>2379</v>
      </c>
      <c r="D4" s="133" t="s">
        <v>2380</v>
      </c>
      <c r="E4" s="133" t="s">
        <v>2381</v>
      </c>
    </row>
    <row r="5" spans="1:6" ht="30">
      <c r="A5" s="655" t="s">
        <v>3</v>
      </c>
      <c r="B5" s="655" t="s">
        <v>3157</v>
      </c>
      <c r="C5" s="133" t="s">
        <v>2382</v>
      </c>
      <c r="D5" s="133" t="s">
        <v>2383</v>
      </c>
      <c r="E5" s="133" t="s">
        <v>2384</v>
      </c>
    </row>
    <row r="6" spans="1:6" ht="30">
      <c r="A6" s="655" t="s">
        <v>4</v>
      </c>
      <c r="B6" s="655" t="s">
        <v>3158</v>
      </c>
      <c r="C6" s="133" t="s">
        <v>2385</v>
      </c>
      <c r="D6" s="133" t="s">
        <v>2386</v>
      </c>
      <c r="E6" s="133" t="s">
        <v>2387</v>
      </c>
    </row>
    <row r="7" spans="1:6" ht="30">
      <c r="A7" s="655" t="s">
        <v>5</v>
      </c>
      <c r="B7" s="655" t="s">
        <v>3159</v>
      </c>
      <c r="C7" s="133" t="s">
        <v>2388</v>
      </c>
      <c r="D7" s="133" t="s">
        <v>2389</v>
      </c>
      <c r="E7" s="133" t="s">
        <v>2390</v>
      </c>
    </row>
    <row r="8" spans="1:6" ht="30">
      <c r="A8" s="655" t="s">
        <v>6</v>
      </c>
      <c r="B8" s="655" t="s">
        <v>3160</v>
      </c>
      <c r="C8" s="133" t="s">
        <v>2391</v>
      </c>
      <c r="D8" s="133" t="s">
        <v>2392</v>
      </c>
      <c r="E8" s="133" t="s">
        <v>2393</v>
      </c>
    </row>
    <row r="9" spans="1:6" ht="30">
      <c r="A9" s="655" t="s">
        <v>7</v>
      </c>
      <c r="B9" s="655" t="s">
        <v>3161</v>
      </c>
      <c r="C9" s="133" t="s">
        <v>2394</v>
      </c>
      <c r="D9" s="133" t="s">
        <v>2395</v>
      </c>
      <c r="E9" s="133" t="s">
        <v>2396</v>
      </c>
    </row>
    <row r="10" spans="1:6" ht="120">
      <c r="A10" s="655" t="s">
        <v>3917</v>
      </c>
      <c r="B10" s="656" t="s">
        <v>4114</v>
      </c>
      <c r="C10" s="657" t="s">
        <v>4111</v>
      </c>
      <c r="D10" s="658" t="s">
        <v>4112</v>
      </c>
      <c r="E10" s="658" t="s">
        <v>4113</v>
      </c>
    </row>
    <row r="11" spans="1:6" ht="30">
      <c r="A11" s="655" t="s">
        <v>8</v>
      </c>
      <c r="B11" s="655" t="s">
        <v>3162</v>
      </c>
      <c r="C11" s="133" t="s">
        <v>2397</v>
      </c>
      <c r="D11" s="133" t="s">
        <v>2398</v>
      </c>
      <c r="E11" s="133" t="s">
        <v>2399</v>
      </c>
    </row>
    <row r="12" spans="1:6" ht="45">
      <c r="A12" s="655" t="s">
        <v>10</v>
      </c>
      <c r="B12" s="655" t="s">
        <v>3163</v>
      </c>
      <c r="C12" s="133" t="s">
        <v>2400</v>
      </c>
      <c r="D12" s="133" t="s">
        <v>2401</v>
      </c>
      <c r="E12" s="133" t="s">
        <v>2402</v>
      </c>
    </row>
    <row r="13" spans="1:6" ht="30">
      <c r="A13" s="655" t="s">
        <v>11</v>
      </c>
      <c r="B13" s="655" t="s">
        <v>3164</v>
      </c>
      <c r="C13" s="133" t="s">
        <v>2403</v>
      </c>
      <c r="D13" s="133" t="s">
        <v>2404</v>
      </c>
      <c r="E13" s="133" t="s">
        <v>2405</v>
      </c>
    </row>
    <row r="14" spans="1:6" ht="30">
      <c r="A14" s="135" t="s">
        <v>12</v>
      </c>
      <c r="B14" s="135" t="s">
        <v>3165</v>
      </c>
      <c r="C14" s="133" t="s">
        <v>2406</v>
      </c>
      <c r="D14" s="133" t="s">
        <v>2407</v>
      </c>
      <c r="E14" s="133" t="s">
        <v>2408</v>
      </c>
    </row>
    <row r="15" spans="1:6" ht="30">
      <c r="A15" s="134" t="s">
        <v>14</v>
      </c>
      <c r="B15" s="134" t="s">
        <v>3166</v>
      </c>
      <c r="C15" s="133" t="s">
        <v>2409</v>
      </c>
      <c r="D15" s="133" t="s">
        <v>2410</v>
      </c>
      <c r="E15" s="133" t="s">
        <v>2411</v>
      </c>
    </row>
    <row r="16" spans="1:6" ht="30">
      <c r="A16" s="134" t="s">
        <v>15</v>
      </c>
      <c r="B16" s="134" t="s">
        <v>3167</v>
      </c>
      <c r="C16" s="133" t="s">
        <v>2373</v>
      </c>
      <c r="D16" s="133" t="s">
        <v>2412</v>
      </c>
      <c r="E16" s="133" t="s">
        <v>2413</v>
      </c>
    </row>
    <row r="17" spans="1:5" ht="30">
      <c r="A17" s="134" t="s">
        <v>16</v>
      </c>
      <c r="B17" s="134" t="s">
        <v>3168</v>
      </c>
      <c r="C17" s="133" t="s">
        <v>2373</v>
      </c>
      <c r="D17" s="133" t="s">
        <v>2414</v>
      </c>
      <c r="E17" s="133" t="s">
        <v>2415</v>
      </c>
    </row>
    <row r="18" spans="1:5" ht="30">
      <c r="A18" s="134" t="s">
        <v>17</v>
      </c>
      <c r="B18" s="134" t="s">
        <v>3169</v>
      </c>
      <c r="C18" s="133" t="s">
        <v>2416</v>
      </c>
      <c r="D18" s="133" t="s">
        <v>2417</v>
      </c>
      <c r="E18" s="133" t="s">
        <v>2418</v>
      </c>
    </row>
    <row r="19" spans="1:5" ht="30">
      <c r="A19" s="134" t="s">
        <v>19</v>
      </c>
      <c r="B19" s="134" t="s">
        <v>3170</v>
      </c>
      <c r="C19" s="133" t="s">
        <v>2419</v>
      </c>
      <c r="D19" s="133" t="s">
        <v>2420</v>
      </c>
      <c r="E19" s="133" t="s">
        <v>2421</v>
      </c>
    </row>
    <row r="20" spans="1:5" ht="30">
      <c r="A20" s="134" t="s">
        <v>20</v>
      </c>
      <c r="B20" s="134" t="s">
        <v>3171</v>
      </c>
      <c r="C20" s="133" t="s">
        <v>2422</v>
      </c>
      <c r="D20" s="133" t="s">
        <v>2423</v>
      </c>
      <c r="E20" s="133" t="s">
        <v>2424</v>
      </c>
    </row>
    <row r="21" spans="1:5" ht="30">
      <c r="A21" s="134" t="s">
        <v>21</v>
      </c>
      <c r="B21" s="134" t="s">
        <v>3172</v>
      </c>
      <c r="C21" s="133" t="s">
        <v>2373</v>
      </c>
      <c r="D21" s="133" t="s">
        <v>2425</v>
      </c>
      <c r="E21" s="133" t="s">
        <v>2426</v>
      </c>
    </row>
    <row r="22" spans="1:5" ht="30">
      <c r="A22" s="134" t="s">
        <v>22</v>
      </c>
      <c r="B22" s="134" t="s">
        <v>3173</v>
      </c>
      <c r="C22" s="133" t="s">
        <v>2427</v>
      </c>
      <c r="D22" s="133" t="s">
        <v>2428</v>
      </c>
      <c r="E22" s="133" t="s">
        <v>2405</v>
      </c>
    </row>
    <row r="23" spans="1:5" ht="45">
      <c r="A23" s="134" t="s">
        <v>23</v>
      </c>
      <c r="B23" s="134" t="s">
        <v>3174</v>
      </c>
      <c r="C23" s="133" t="s">
        <v>2429</v>
      </c>
      <c r="D23" s="133" t="s">
        <v>2430</v>
      </c>
      <c r="E23" s="133" t="s">
        <v>2431</v>
      </c>
    </row>
    <row r="24" spans="1:5" ht="30">
      <c r="A24" s="134" t="s">
        <v>25</v>
      </c>
      <c r="B24" s="134" t="s">
        <v>3175</v>
      </c>
      <c r="C24" s="133" t="s">
        <v>2432</v>
      </c>
      <c r="D24" s="133" t="s">
        <v>2404</v>
      </c>
      <c r="E24" s="133" t="s">
        <v>2408</v>
      </c>
    </row>
    <row r="25" spans="1:5" ht="30">
      <c r="A25" s="134" t="s">
        <v>26</v>
      </c>
      <c r="B25" s="134" t="s">
        <v>3176</v>
      </c>
      <c r="C25" s="133" t="s">
        <v>2373</v>
      </c>
      <c r="D25" s="133" t="s">
        <v>2433</v>
      </c>
      <c r="E25" s="133" t="s">
        <v>2434</v>
      </c>
    </row>
    <row r="26" spans="1:5" ht="45">
      <c r="A26" s="134" t="s">
        <v>27</v>
      </c>
      <c r="B26" s="134" t="s">
        <v>3177</v>
      </c>
      <c r="C26" s="133" t="s">
        <v>2373</v>
      </c>
      <c r="D26" s="133" t="s">
        <v>2435</v>
      </c>
      <c r="E26" s="133" t="s">
        <v>2436</v>
      </c>
    </row>
    <row r="27" spans="1:5" ht="30">
      <c r="A27" s="134" t="s">
        <v>2240</v>
      </c>
      <c r="B27" s="134" t="s">
        <v>3178</v>
      </c>
      <c r="C27" s="133" t="s">
        <v>2373</v>
      </c>
      <c r="D27" s="133" t="s">
        <v>2437</v>
      </c>
      <c r="E27" s="133" t="s">
        <v>2438</v>
      </c>
    </row>
    <row r="28" spans="1:5" ht="30">
      <c r="A28" s="134" t="s">
        <v>29</v>
      </c>
      <c r="B28" s="134" t="s">
        <v>3179</v>
      </c>
      <c r="C28" s="133" t="s">
        <v>2439</v>
      </c>
      <c r="D28" s="133" t="s">
        <v>2440</v>
      </c>
      <c r="E28" s="133" t="s">
        <v>2408</v>
      </c>
    </row>
    <row r="29" spans="1:5" ht="30">
      <c r="A29" s="134" t="s">
        <v>30</v>
      </c>
      <c r="B29" s="134" t="s">
        <v>3180</v>
      </c>
      <c r="C29" s="133" t="s">
        <v>2441</v>
      </c>
      <c r="D29" s="133" t="s">
        <v>2442</v>
      </c>
      <c r="E29" s="133" t="s">
        <v>2443</v>
      </c>
    </row>
    <row r="30" spans="1:5" ht="180">
      <c r="A30" s="296" t="s">
        <v>3930</v>
      </c>
      <c r="B30" s="417" t="s">
        <v>4115</v>
      </c>
      <c r="C30" s="147" t="s">
        <v>4125</v>
      </c>
      <c r="D30" s="159" t="s">
        <v>4116</v>
      </c>
      <c r="E30" s="660" t="s">
        <v>4117</v>
      </c>
    </row>
    <row r="31" spans="1:5" ht="105">
      <c r="A31" s="296" t="s">
        <v>2273</v>
      </c>
      <c r="B31" s="417" t="s">
        <v>4118</v>
      </c>
      <c r="C31" s="168" t="s">
        <v>4126</v>
      </c>
      <c r="D31" s="659" t="s">
        <v>4119</v>
      </c>
      <c r="E31" s="159" t="s">
        <v>4120</v>
      </c>
    </row>
    <row r="32" spans="1:5" ht="120">
      <c r="A32" s="296" t="s">
        <v>3931</v>
      </c>
      <c r="B32" s="417" t="s">
        <v>4122</v>
      </c>
      <c r="C32" s="168" t="s">
        <v>4121</v>
      </c>
      <c r="D32" s="662" t="s">
        <v>4123</v>
      </c>
      <c r="E32" s="660" t="s">
        <v>4124</v>
      </c>
    </row>
  </sheetData>
  <sheetProtection algorithmName="SHA-512" hashValue="G+RBT8vsXlhSqLp6fgIwAc8YJBFHL49c/DYjYNcbKnfDUwdhUBdaj2tjizVyVfNEOFjxCAEC0HBgBHzg0TpcEg==" saltValue="k5xnoN4A7Zyh3JT6/ieR9w==" spinCount="100000" sheet="1" objects="1" scenarios="1" formatColumns="0" autoFilter="0"/>
  <autoFilter ref="A1:E29" xr:uid="{75C127E9-00FC-493A-B4AA-92A5CEDAF687}"/>
  <hyperlinks>
    <hyperlink ref="A2" r:id="rId1" xr:uid="{8297B7A6-C370-4D19-8AAB-F86A54E262D3}"/>
    <hyperlink ref="A3" r:id="rId2" xr:uid="{74C62AA8-AE16-492A-9206-32D02604843A}"/>
    <hyperlink ref="A4" r:id="rId3" xr:uid="{D8CBCFE9-C692-4FE8-8FEE-FB550BE71B29}"/>
    <hyperlink ref="A5" r:id="rId4" xr:uid="{506E540D-98F8-4DCB-AFD9-50217158D862}"/>
    <hyperlink ref="A6" r:id="rId5" xr:uid="{6335BC79-B2D7-4C9A-AF09-66A3447BA3EF}"/>
    <hyperlink ref="A14" r:id="rId6" xr:uid="{0D691009-DD13-4FA1-BF58-A6EB45E4089D}"/>
    <hyperlink ref="A7" r:id="rId7" xr:uid="{06E167B2-643D-49DE-A8ED-81B18706F7E6}"/>
    <hyperlink ref="A8" r:id="rId8" xr:uid="{EDC9F7B3-3358-47B4-BD2F-3A3AB7D0A879}"/>
    <hyperlink ref="A9" r:id="rId9" xr:uid="{5256E53E-3E8E-42DB-B81B-68F1AFFAF2C5}"/>
    <hyperlink ref="A11" r:id="rId10" xr:uid="{9B7C3E57-E54A-488B-9A69-FBC3D8EBB6AA}"/>
    <hyperlink ref="A12" r:id="rId11" xr:uid="{4574AD38-B43C-4173-9C48-D3B3AD42F1E9}"/>
    <hyperlink ref="A13" r:id="rId12" xr:uid="{FE9C4F73-E0DA-4B1A-86F9-6947D054435E}"/>
    <hyperlink ref="A15" r:id="rId13" xr:uid="{7B5B0867-C05F-4A91-A82B-7C244E42A564}"/>
    <hyperlink ref="A16" r:id="rId14" xr:uid="{6C702C71-E6CB-40B8-9F21-6B9C0A573CB8}"/>
    <hyperlink ref="A17" r:id="rId15" xr:uid="{95F7A5BA-B9F3-4241-B582-166516EE7CAA}"/>
    <hyperlink ref="A18" r:id="rId16" xr:uid="{4CEB1C34-7D39-4924-8D8B-780212F336E4}"/>
    <hyperlink ref="A19" r:id="rId17" xr:uid="{B4F9A6AB-2208-4311-A26A-AAE310B7ED1F}"/>
    <hyperlink ref="A20" r:id="rId18" xr:uid="{5DD34D7E-039E-47F3-8E07-2E267E8D3868}"/>
    <hyperlink ref="A21" r:id="rId19" xr:uid="{AB4B852F-5617-429C-855B-EE897E8D3E02}"/>
    <hyperlink ref="A22" r:id="rId20" xr:uid="{7DDED6E2-D3FC-4A41-B46E-7CBD6AC10887}"/>
    <hyperlink ref="A23" r:id="rId21" xr:uid="{4CFF5ED9-3BDF-4669-9D75-33109A486582}"/>
    <hyperlink ref="A24" r:id="rId22" xr:uid="{EFB01B05-F5F1-4829-90FE-FA910482E1FB}"/>
    <hyperlink ref="A25" r:id="rId23" xr:uid="{69C76D49-0BB4-4A41-B466-A57494D98EF1}"/>
    <hyperlink ref="A26" r:id="rId24" xr:uid="{E5368CEC-3D32-4123-B4B3-053CE029D49F}"/>
    <hyperlink ref="A27" r:id="rId25" xr:uid="{E77CC5E5-EA3A-4668-B907-2FB420931D2F}"/>
    <hyperlink ref="A28" r:id="rId26" xr:uid="{492007FC-ABEC-4399-B5C8-49DB6B170A9A}"/>
    <hyperlink ref="A29" r:id="rId27" xr:uid="{CF9A7889-908D-4AAD-9117-EA0AD60A8EF5}"/>
    <hyperlink ref="B4" r:id="rId28" xr:uid="{B4B1E977-CD93-4E11-AFB0-B4A3A21F301E}"/>
    <hyperlink ref="B5" r:id="rId29" xr:uid="{23274CF5-3A3E-4AE1-A516-FE02E8367EA0}"/>
    <hyperlink ref="B10" r:id="rId30" display="https://www.gov.uk/new-state-pension" xr:uid="{A5C14591-9DF8-4480-927A-A7C0429379C8}"/>
    <hyperlink ref="B30" r:id="rId31" xr:uid="{35EC8622-31A1-4683-8525-C921EBDC618F}"/>
    <hyperlink ref="D30" r:id="rId32" xr:uid="{9EDA16EA-C53A-439E-8D64-19335D07A928}"/>
    <hyperlink ref="E30" r:id="rId33" xr:uid="{AFFB7C88-FEEF-416E-B82C-21313EBD820B}"/>
    <hyperlink ref="B31" r:id="rId34" xr:uid="{3D74EB77-C9A4-47E0-B63F-71A8E4CC6FB4}"/>
    <hyperlink ref="D31" r:id="rId35" display="Superannuation Guarantee: obligatorische Arbeitgeberbeiträge in kapitalgedeckte Superannuation-Fonds; die drei Säulen des Systems werden offiziell als means-tested Age Pension, compulsory superannuation und voluntary savings beschrieben. Der SG-Satz beträgt seit 1. Juli 2025 12 %." xr:uid="{E05FBBAE-C811-4F2E-9A76-25CC00CD2173}"/>
    <hyperlink ref="E31" r:id="rId36" xr:uid="{C7FC53E3-7C3C-4A4B-B751-3D482189CF4A}"/>
    <hyperlink ref="B32" r:id="rId37" xr:uid="{59513062-397D-42AC-BC56-F9EEE5316C12}"/>
    <hyperlink ref="D32" r:id="rId38" display="KiwiSaver: freiwilliges, aber mit Auto-Enrolment für viele neue Arbeitnehmer ausgestaltetes kapitalgedecktes System; Arbeitnehmer können u.a. 3,5 %, 4 %, 6 %, 8 % oder 10 % beitragen; Arbeitgeberbeitrag mindestens 3,5 %, soweit die Voraussetzungen erfüllt sind." xr:uid="{85C8D652-8404-4718-AAD5-7DCE8FB68A8D}"/>
    <hyperlink ref="E32" r:id="rId39" xr:uid="{64A206DB-4EEF-4B50-9816-CE6E0032A264}"/>
  </hyperlinks>
  <pageMargins left="0.7" right="0.7" top="0.78740157499999996" bottom="0.78740157499999996" header="0.3" footer="0.3"/>
  <drawing r:id="rId4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8EDD9-1D28-47A0-8C38-B2D3522633B5}">
  <sheetPr codeName="Tabelle65"/>
  <dimension ref="B4:F57"/>
  <sheetViews>
    <sheetView showGridLines="0" showRowColHeaders="0" topLeftCell="A5" workbookViewId="0">
      <selection activeCell="B15" sqref="B15:I21"/>
      <extLst>
        <ext xmlns:xlsdti="http://schemas.microsoft.com/office/spreadsheetml/2023/showDataTypeIcons" uri="{77bfe23e-c014-4d31-8a63-9c772dbf06b6}">
          <xlsdti:showDataTypeIcons visible="0"/>
        </ext>
      </extLst>
    </sheetView>
  </sheetViews>
  <sheetFormatPr baseColWidth="10" defaultRowHeight="15"/>
  <cols>
    <col min="2" max="2" width="17.42578125" customWidth="1"/>
    <col min="3" max="3" width="23.7109375" customWidth="1"/>
    <col min="4" max="4" width="26.42578125" customWidth="1"/>
    <col min="5" max="5" width="20.5703125" customWidth="1"/>
    <col min="6" max="6" width="17.7109375" customWidth="1"/>
  </cols>
  <sheetData>
    <row r="4" spans="2:6">
      <c r="B4" s="679" t="s">
        <v>1622</v>
      </c>
      <c r="C4" s="679" t="s">
        <v>4151</v>
      </c>
      <c r="D4" s="679" t="s">
        <v>4152</v>
      </c>
      <c r="E4" s="679" t="s">
        <v>4153</v>
      </c>
      <c r="F4" s="679" t="s">
        <v>4154</v>
      </c>
    </row>
    <row r="5" spans="2:6" ht="30">
      <c r="B5" s="680" t="s">
        <v>2269</v>
      </c>
      <c r="C5" s="296" t="s">
        <v>4155</v>
      </c>
      <c r="D5" s="296" t="s">
        <v>4156</v>
      </c>
      <c r="E5" s="417" t="s">
        <v>4157</v>
      </c>
      <c r="F5" s="296" t="s">
        <v>4158</v>
      </c>
    </row>
    <row r="6" spans="2:6" ht="45">
      <c r="B6" s="680" t="s">
        <v>2273</v>
      </c>
      <c r="C6" s="296" t="s">
        <v>4159</v>
      </c>
      <c r="D6" s="296" t="s">
        <v>4160</v>
      </c>
      <c r="E6" s="417" t="s">
        <v>4161</v>
      </c>
      <c r="F6" s="296" t="s">
        <v>4162</v>
      </c>
    </row>
    <row r="7" spans="2:6" ht="30">
      <c r="B7" s="680" t="s">
        <v>0</v>
      </c>
      <c r="C7" s="296" t="s">
        <v>4163</v>
      </c>
      <c r="D7" s="296" t="s">
        <v>4164</v>
      </c>
      <c r="E7" s="417" t="s">
        <v>4165</v>
      </c>
      <c r="F7" s="296" t="s">
        <v>4166</v>
      </c>
    </row>
    <row r="8" spans="2:6" ht="30">
      <c r="B8" s="680" t="s">
        <v>2280</v>
      </c>
      <c r="C8" s="296" t="s">
        <v>4167</v>
      </c>
      <c r="D8" s="296" t="s">
        <v>4168</v>
      </c>
      <c r="E8" s="417" t="s">
        <v>4169</v>
      </c>
      <c r="F8" s="296" t="s">
        <v>4170</v>
      </c>
    </row>
    <row r="9" spans="2:6" ht="45">
      <c r="B9" s="680" t="s">
        <v>2282</v>
      </c>
      <c r="C9" s="296" t="s">
        <v>4171</v>
      </c>
      <c r="D9" s="296" t="s">
        <v>4172</v>
      </c>
      <c r="E9" s="417" t="s">
        <v>4173</v>
      </c>
      <c r="F9" s="296" t="s">
        <v>4174</v>
      </c>
    </row>
    <row r="10" spans="2:6" ht="30">
      <c r="B10" s="680" t="s">
        <v>1</v>
      </c>
      <c r="C10" s="296" t="s">
        <v>4175</v>
      </c>
      <c r="D10" s="296" t="s">
        <v>4176</v>
      </c>
      <c r="E10" s="417" t="s">
        <v>4177</v>
      </c>
      <c r="F10" s="296" t="s">
        <v>4178</v>
      </c>
    </row>
    <row r="11" spans="2:6" ht="30">
      <c r="B11" s="680" t="s">
        <v>2285</v>
      </c>
      <c r="C11" s="296" t="s">
        <v>4163</v>
      </c>
      <c r="D11" s="296" t="s">
        <v>4164</v>
      </c>
      <c r="E11" s="417" t="s">
        <v>4165</v>
      </c>
      <c r="F11" s="296" t="s">
        <v>4166</v>
      </c>
    </row>
    <row r="12" spans="2:6" ht="30">
      <c r="B12" s="680" t="s">
        <v>2</v>
      </c>
      <c r="C12" s="296" t="s">
        <v>4179</v>
      </c>
      <c r="D12" s="296" t="s">
        <v>4180</v>
      </c>
      <c r="E12" s="417" t="s">
        <v>4181</v>
      </c>
      <c r="F12" s="296" t="s">
        <v>4182</v>
      </c>
    </row>
    <row r="13" spans="2:6" ht="30">
      <c r="B13" s="680" t="s">
        <v>4</v>
      </c>
      <c r="C13" s="296" t="s">
        <v>4179</v>
      </c>
      <c r="D13" s="296" t="s">
        <v>4180</v>
      </c>
      <c r="E13" s="417" t="s">
        <v>4181</v>
      </c>
      <c r="F13" s="296" t="s">
        <v>4182</v>
      </c>
    </row>
    <row r="14" spans="2:6" ht="30">
      <c r="B14" s="680" t="s">
        <v>5</v>
      </c>
      <c r="C14" s="296" t="s">
        <v>4179</v>
      </c>
      <c r="D14" s="296" t="s">
        <v>4180</v>
      </c>
      <c r="E14" s="417" t="s">
        <v>4181</v>
      </c>
      <c r="F14" s="296" t="s">
        <v>4182</v>
      </c>
    </row>
    <row r="15" spans="2:6" ht="30">
      <c r="B15" s="680" t="s">
        <v>6</v>
      </c>
      <c r="C15" s="296" t="s">
        <v>4155</v>
      </c>
      <c r="D15" s="296" t="s">
        <v>4156</v>
      </c>
      <c r="E15" s="417" t="s">
        <v>4157</v>
      </c>
      <c r="F15" s="296" t="s">
        <v>4158</v>
      </c>
    </row>
    <row r="16" spans="2:6" ht="30">
      <c r="B16" s="680" t="s">
        <v>7</v>
      </c>
      <c r="C16" s="296" t="s">
        <v>4183</v>
      </c>
      <c r="D16" s="296" t="s">
        <v>4184</v>
      </c>
      <c r="E16" s="417" t="s">
        <v>4185</v>
      </c>
      <c r="F16" s="296" t="s">
        <v>4186</v>
      </c>
    </row>
    <row r="17" spans="2:6" ht="30">
      <c r="B17" s="680" t="s">
        <v>3928</v>
      </c>
      <c r="C17" s="296" t="s">
        <v>4179</v>
      </c>
      <c r="D17" s="296" t="s">
        <v>4180</v>
      </c>
      <c r="E17" s="417" t="s">
        <v>4181</v>
      </c>
      <c r="F17" s="296" t="s">
        <v>4182</v>
      </c>
    </row>
    <row r="18" spans="2:6" ht="30">
      <c r="B18" s="680" t="s">
        <v>2292</v>
      </c>
      <c r="C18" s="296" t="s">
        <v>4179</v>
      </c>
      <c r="D18" s="296" t="s">
        <v>4180</v>
      </c>
      <c r="E18" s="417" t="s">
        <v>4181</v>
      </c>
      <c r="F18" s="296" t="s">
        <v>4182</v>
      </c>
    </row>
    <row r="19" spans="2:6" ht="30">
      <c r="B19" s="680" t="s">
        <v>8</v>
      </c>
      <c r="C19" s="296" t="s">
        <v>4179</v>
      </c>
      <c r="D19" s="296" t="s">
        <v>4180</v>
      </c>
      <c r="E19" s="417" t="s">
        <v>4181</v>
      </c>
      <c r="F19" s="296" t="s">
        <v>4182</v>
      </c>
    </row>
    <row r="20" spans="2:6" ht="45">
      <c r="B20" s="680" t="s">
        <v>9</v>
      </c>
      <c r="C20" s="296" t="s">
        <v>4187</v>
      </c>
      <c r="D20" s="296" t="s">
        <v>4188</v>
      </c>
      <c r="E20" s="417" t="s">
        <v>4189</v>
      </c>
      <c r="F20" s="296" t="s">
        <v>4190</v>
      </c>
    </row>
    <row r="21" spans="2:6" ht="30">
      <c r="B21" s="680" t="s">
        <v>2299</v>
      </c>
      <c r="C21" s="296" t="s">
        <v>4163</v>
      </c>
      <c r="D21" s="296" t="s">
        <v>4164</v>
      </c>
      <c r="E21" s="417" t="s">
        <v>4165</v>
      </c>
      <c r="F21" s="296" t="s">
        <v>4166</v>
      </c>
    </row>
    <row r="22" spans="2:6" ht="30">
      <c r="B22" s="680" t="s">
        <v>10</v>
      </c>
      <c r="C22" s="296" t="s">
        <v>4191</v>
      </c>
      <c r="D22" s="296" t="s">
        <v>4192</v>
      </c>
      <c r="E22" s="417" t="s">
        <v>4193</v>
      </c>
      <c r="F22" s="296" t="s">
        <v>4194</v>
      </c>
    </row>
    <row r="23" spans="2:6" ht="30">
      <c r="B23" s="680" t="s">
        <v>2303</v>
      </c>
      <c r="C23" s="296" t="s">
        <v>4195</v>
      </c>
      <c r="D23" s="296" t="s">
        <v>4196</v>
      </c>
      <c r="E23" s="417" t="s">
        <v>4197</v>
      </c>
      <c r="F23" s="296" t="s">
        <v>4198</v>
      </c>
    </row>
    <row r="24" spans="2:6" ht="45">
      <c r="B24" s="680" t="s">
        <v>3930</v>
      </c>
      <c r="C24" s="296" t="s">
        <v>4179</v>
      </c>
      <c r="D24" s="296" t="s">
        <v>4180</v>
      </c>
      <c r="E24" s="417" t="s">
        <v>4181</v>
      </c>
      <c r="F24" s="296" t="s">
        <v>4199</v>
      </c>
    </row>
    <row r="25" spans="2:6" ht="30">
      <c r="B25" s="680" t="s">
        <v>4200</v>
      </c>
      <c r="C25" s="296" t="s">
        <v>4195</v>
      </c>
      <c r="D25" s="296" t="s">
        <v>4196</v>
      </c>
      <c r="E25" s="417" t="s">
        <v>4197</v>
      </c>
      <c r="F25" s="296" t="s">
        <v>4198</v>
      </c>
    </row>
    <row r="26" spans="2:6" ht="30">
      <c r="B26" s="680" t="s">
        <v>2309</v>
      </c>
      <c r="C26" s="296" t="s">
        <v>4167</v>
      </c>
      <c r="D26" s="296" t="s">
        <v>4168</v>
      </c>
      <c r="E26" s="417" t="s">
        <v>4169</v>
      </c>
      <c r="F26" s="296" t="s">
        <v>4170</v>
      </c>
    </row>
    <row r="27" spans="2:6" ht="30">
      <c r="B27" s="680" t="s">
        <v>11</v>
      </c>
      <c r="C27" s="296" t="s">
        <v>4167</v>
      </c>
      <c r="D27" s="296" t="s">
        <v>4168</v>
      </c>
      <c r="E27" s="417" t="s">
        <v>4169</v>
      </c>
      <c r="F27" s="296" t="s">
        <v>4170</v>
      </c>
    </row>
    <row r="28" spans="2:6" ht="30">
      <c r="B28" s="680" t="s">
        <v>12</v>
      </c>
      <c r="C28" s="296" t="s">
        <v>4179</v>
      </c>
      <c r="D28" s="296" t="s">
        <v>4180</v>
      </c>
      <c r="E28" s="417" t="s">
        <v>4181</v>
      </c>
      <c r="F28" s="296" t="s">
        <v>4182</v>
      </c>
    </row>
    <row r="29" spans="2:6" ht="30">
      <c r="B29" s="680" t="s">
        <v>13</v>
      </c>
      <c r="C29" s="296" t="s">
        <v>4183</v>
      </c>
      <c r="D29" s="296" t="s">
        <v>4184</v>
      </c>
      <c r="E29" s="417" t="s">
        <v>4185</v>
      </c>
      <c r="F29" s="296" t="s">
        <v>4186</v>
      </c>
    </row>
    <row r="30" spans="2:6" ht="30">
      <c r="B30" s="680" t="s">
        <v>14</v>
      </c>
      <c r="C30" s="296" t="s">
        <v>4179</v>
      </c>
      <c r="D30" s="296" t="s">
        <v>4180</v>
      </c>
      <c r="E30" s="417" t="s">
        <v>4181</v>
      </c>
      <c r="F30" s="296" t="s">
        <v>4182</v>
      </c>
    </row>
    <row r="31" spans="2:6" ht="30">
      <c r="B31" s="680" t="s">
        <v>15</v>
      </c>
      <c r="C31" s="296" t="s">
        <v>4155</v>
      </c>
      <c r="D31" s="296" t="s">
        <v>4156</v>
      </c>
      <c r="E31" s="417" t="s">
        <v>4157</v>
      </c>
      <c r="F31" s="296" t="s">
        <v>4158</v>
      </c>
    </row>
    <row r="32" spans="2:6" ht="30">
      <c r="B32" s="680" t="s">
        <v>16</v>
      </c>
      <c r="C32" s="296" t="s">
        <v>4191</v>
      </c>
      <c r="D32" s="296" t="s">
        <v>4192</v>
      </c>
      <c r="E32" s="417" t="s">
        <v>4193</v>
      </c>
      <c r="F32" s="296" t="s">
        <v>4194</v>
      </c>
    </row>
    <row r="33" spans="2:6" ht="30">
      <c r="B33" s="680" t="s">
        <v>2317</v>
      </c>
      <c r="C33" s="296" t="s">
        <v>4191</v>
      </c>
      <c r="D33" s="296" t="s">
        <v>4192</v>
      </c>
      <c r="E33" s="417" t="s">
        <v>4193</v>
      </c>
      <c r="F33" s="296" t="s">
        <v>4194</v>
      </c>
    </row>
    <row r="34" spans="2:6" ht="45">
      <c r="B34" s="680" t="s">
        <v>17</v>
      </c>
      <c r="C34" s="296" t="s">
        <v>4187</v>
      </c>
      <c r="D34" s="296" t="s">
        <v>4188</v>
      </c>
      <c r="E34" s="417" t="s">
        <v>4189</v>
      </c>
      <c r="F34" s="296" t="s">
        <v>4190</v>
      </c>
    </row>
    <row r="35" spans="2:6" ht="45">
      <c r="B35" s="680" t="s">
        <v>4201</v>
      </c>
      <c r="C35" s="296" t="s">
        <v>4171</v>
      </c>
      <c r="D35" s="296" t="s">
        <v>4172</v>
      </c>
      <c r="E35" s="417" t="s">
        <v>4173</v>
      </c>
      <c r="F35" s="296" t="s">
        <v>4174</v>
      </c>
    </row>
    <row r="36" spans="2:6" ht="30">
      <c r="B36" s="680" t="s">
        <v>2324</v>
      </c>
      <c r="C36" s="296" t="s">
        <v>4167</v>
      </c>
      <c r="D36" s="296" t="s">
        <v>4168</v>
      </c>
      <c r="E36" s="417" t="s">
        <v>4169</v>
      </c>
      <c r="F36" s="296" t="s">
        <v>4170</v>
      </c>
    </row>
    <row r="37" spans="2:6" ht="30">
      <c r="B37" s="680" t="s">
        <v>2328</v>
      </c>
      <c r="C37" s="296" t="s">
        <v>4167</v>
      </c>
      <c r="D37" s="296" t="s">
        <v>4168</v>
      </c>
      <c r="E37" s="417" t="s">
        <v>4169</v>
      </c>
      <c r="F37" s="296" t="s">
        <v>4170</v>
      </c>
    </row>
    <row r="38" spans="2:6" ht="30">
      <c r="B38" s="680" t="s">
        <v>18</v>
      </c>
      <c r="C38" s="296" t="s">
        <v>4179</v>
      </c>
      <c r="D38" s="296" t="s">
        <v>4180</v>
      </c>
      <c r="E38" s="417" t="s">
        <v>4181</v>
      </c>
      <c r="F38" s="296" t="s">
        <v>4182</v>
      </c>
    </row>
    <row r="39" spans="2:6" ht="30">
      <c r="B39" s="680" t="s">
        <v>19</v>
      </c>
      <c r="C39" s="296" t="s">
        <v>4167</v>
      </c>
      <c r="D39" s="296" t="s">
        <v>4168</v>
      </c>
      <c r="E39" s="417" t="s">
        <v>4169</v>
      </c>
      <c r="F39" s="296" t="s">
        <v>4170</v>
      </c>
    </row>
    <row r="40" spans="2:6" ht="30">
      <c r="B40" s="680" t="s">
        <v>2334</v>
      </c>
      <c r="C40" s="296" t="s">
        <v>4195</v>
      </c>
      <c r="D40" s="296" t="s">
        <v>4196</v>
      </c>
      <c r="E40" s="417" t="s">
        <v>4197</v>
      </c>
      <c r="F40" s="296" t="s">
        <v>4198</v>
      </c>
    </row>
    <row r="41" spans="2:6" ht="45">
      <c r="B41" s="680" t="s">
        <v>20</v>
      </c>
      <c r="C41" s="296" t="s">
        <v>4202</v>
      </c>
      <c r="D41" s="296" t="s">
        <v>4203</v>
      </c>
      <c r="E41" s="417" t="s">
        <v>4204</v>
      </c>
      <c r="F41" s="296" t="s">
        <v>4205</v>
      </c>
    </row>
    <row r="42" spans="2:6" ht="45">
      <c r="B42" s="680" t="s">
        <v>21</v>
      </c>
      <c r="C42" s="296" t="s">
        <v>4171</v>
      </c>
      <c r="D42" s="296" t="s">
        <v>4172</v>
      </c>
      <c r="E42" s="417" t="s">
        <v>4173</v>
      </c>
      <c r="F42" s="296" t="s">
        <v>4174</v>
      </c>
    </row>
    <row r="43" spans="2:6" ht="45">
      <c r="B43" s="680" t="s">
        <v>22</v>
      </c>
      <c r="C43" s="296" t="s">
        <v>4171</v>
      </c>
      <c r="D43" s="296" t="s">
        <v>4172</v>
      </c>
      <c r="E43" s="417" t="s">
        <v>4173</v>
      </c>
      <c r="F43" s="296" t="s">
        <v>4174</v>
      </c>
    </row>
    <row r="44" spans="2:6" ht="30">
      <c r="B44" s="680" t="s">
        <v>23</v>
      </c>
      <c r="C44" s="296" t="s">
        <v>4179</v>
      </c>
      <c r="D44" s="296" t="s">
        <v>4180</v>
      </c>
      <c r="E44" s="417" t="s">
        <v>4181</v>
      </c>
      <c r="F44" s="296" t="s">
        <v>4182</v>
      </c>
    </row>
    <row r="45" spans="2:6" ht="30">
      <c r="B45" s="680" t="s">
        <v>24</v>
      </c>
      <c r="C45" s="296" t="s">
        <v>4183</v>
      </c>
      <c r="D45" s="296" t="s">
        <v>4184</v>
      </c>
      <c r="E45" s="417" t="s">
        <v>4185</v>
      </c>
      <c r="F45" s="296" t="s">
        <v>4186</v>
      </c>
    </row>
    <row r="46" spans="2:6" ht="30">
      <c r="B46" s="680" t="s">
        <v>2349</v>
      </c>
      <c r="C46" s="296" t="s">
        <v>4167</v>
      </c>
      <c r="D46" s="296" t="s">
        <v>4168</v>
      </c>
      <c r="E46" s="417" t="s">
        <v>4169</v>
      </c>
      <c r="F46" s="296" t="s">
        <v>4170</v>
      </c>
    </row>
    <row r="47" spans="2:6" ht="30">
      <c r="B47" s="680" t="s">
        <v>25</v>
      </c>
      <c r="C47" s="296" t="s">
        <v>4167</v>
      </c>
      <c r="D47" s="296" t="s">
        <v>4168</v>
      </c>
      <c r="E47" s="417" t="s">
        <v>4169</v>
      </c>
      <c r="F47" s="296" t="s">
        <v>4170</v>
      </c>
    </row>
    <row r="48" spans="2:6" ht="30">
      <c r="B48" s="680" t="s">
        <v>26</v>
      </c>
      <c r="C48" s="296" t="s">
        <v>4167</v>
      </c>
      <c r="D48" s="296" t="s">
        <v>4168</v>
      </c>
      <c r="E48" s="417" t="s">
        <v>4169</v>
      </c>
      <c r="F48" s="296" t="s">
        <v>4170</v>
      </c>
    </row>
    <row r="49" spans="2:6" ht="30">
      <c r="B49" s="680" t="s">
        <v>27</v>
      </c>
      <c r="C49" s="296" t="s">
        <v>4163</v>
      </c>
      <c r="D49" s="296" t="s">
        <v>4164</v>
      </c>
      <c r="E49" s="417" t="s">
        <v>4165</v>
      </c>
      <c r="F49" s="296" t="s">
        <v>4166</v>
      </c>
    </row>
    <row r="50" spans="2:6" ht="30">
      <c r="B50" s="680" t="s">
        <v>2240</v>
      </c>
      <c r="C50" s="296" t="s">
        <v>4167</v>
      </c>
      <c r="D50" s="296" t="s">
        <v>4168</v>
      </c>
      <c r="E50" s="417" t="s">
        <v>4169</v>
      </c>
      <c r="F50" s="296" t="s">
        <v>4170</v>
      </c>
    </row>
    <row r="51" spans="2:6" ht="30">
      <c r="B51" s="680" t="s">
        <v>2354</v>
      </c>
      <c r="C51" s="296" t="s">
        <v>4191</v>
      </c>
      <c r="D51" s="296" t="s">
        <v>4192</v>
      </c>
      <c r="E51" s="417" t="s">
        <v>4193</v>
      </c>
      <c r="F51" s="296" t="s">
        <v>4194</v>
      </c>
    </row>
    <row r="52" spans="2:6" ht="45">
      <c r="B52" s="680" t="s">
        <v>2355</v>
      </c>
      <c r="C52" s="296" t="s">
        <v>4171</v>
      </c>
      <c r="D52" s="296" t="s">
        <v>4172</v>
      </c>
      <c r="E52" s="417" t="s">
        <v>4173</v>
      </c>
      <c r="F52" s="296" t="s">
        <v>4174</v>
      </c>
    </row>
    <row r="53" spans="2:6" ht="30">
      <c r="B53" s="680" t="s">
        <v>2357</v>
      </c>
      <c r="C53" s="296" t="s">
        <v>4175</v>
      </c>
      <c r="D53" s="296" t="s">
        <v>4176</v>
      </c>
      <c r="E53" s="417" t="s">
        <v>4177</v>
      </c>
      <c r="F53" s="296" t="s">
        <v>4178</v>
      </c>
    </row>
    <row r="54" spans="2:6" ht="30">
      <c r="B54" s="680" t="s">
        <v>29</v>
      </c>
      <c r="C54" s="296" t="s">
        <v>4175</v>
      </c>
      <c r="D54" s="296" t="s">
        <v>4176</v>
      </c>
      <c r="E54" s="417" t="s">
        <v>4177</v>
      </c>
      <c r="F54" s="296" t="s">
        <v>4178</v>
      </c>
    </row>
    <row r="55" spans="2:6" ht="30">
      <c r="B55" s="680" t="s">
        <v>2362</v>
      </c>
      <c r="C55" s="296" t="s">
        <v>4163</v>
      </c>
      <c r="D55" s="296" t="s">
        <v>4164</v>
      </c>
      <c r="E55" s="417" t="s">
        <v>4165</v>
      </c>
      <c r="F55" s="296" t="s">
        <v>4166</v>
      </c>
    </row>
    <row r="56" spans="2:6" ht="30">
      <c r="B56" s="680" t="s">
        <v>2886</v>
      </c>
      <c r="C56" s="296" t="s">
        <v>4179</v>
      </c>
      <c r="D56" s="296" t="s">
        <v>4180</v>
      </c>
      <c r="E56" s="417" t="s">
        <v>4181</v>
      </c>
      <c r="F56" s="296" t="s">
        <v>4182</v>
      </c>
    </row>
    <row r="57" spans="2:6" ht="30">
      <c r="B57" s="680" t="s">
        <v>4206</v>
      </c>
      <c r="C57" s="296" t="s">
        <v>4183</v>
      </c>
      <c r="D57" s="296" t="s">
        <v>4184</v>
      </c>
      <c r="E57" s="417" t="s">
        <v>4185</v>
      </c>
      <c r="F57" s="296" t="s">
        <v>4186</v>
      </c>
    </row>
  </sheetData>
  <sheetProtection algorithmName="SHA-512" hashValue="aGaZKz+uQW3vWRXuQZ79pbU3sYUhm7FaMv2Z/pZPRxfmWx3B/uHo14pKKn4v8oaKPVZsriFvEVXjwuYRuNAS4g==" saltValue="+9KMbxYWvLxLqePq9bTjFg==" spinCount="100000" sheet="1" objects="1" scenarios="1" formatColumns="0" autoFilter="0"/>
  <autoFilter ref="B4:F57" xr:uid="{B2F8EDD9-1D28-47A0-8C38-B2D3522633B5}"/>
  <hyperlinks>
    <hyperlink ref="E5" r:id="rId1" display="mailto:service@drv-rlp.de" xr:uid="{E550E96D-69A6-44B8-9B0A-1E67EAB62E7D}"/>
    <hyperlink ref="E6" r:id="rId2" display="mailto:australien@drv-oldenburg-bremen.de" xr:uid="{24CEE996-648F-4F55-8158-C13CEB9C3773}"/>
    <hyperlink ref="E7" r:id="rId3" display="mailto:post@drv-rheinland.de" xr:uid="{44F42124-1934-4CBA-818F-B124239C22FB}"/>
    <hyperlink ref="E8" r:id="rId4" display="mailto:service@drv-bayernsued.de" xr:uid="{81C04A11-C767-42F3-9CF6-D74A1F769D0F}"/>
    <hyperlink ref="E9" r:id="rId5" display="mailto:info@drv-nordbayern.de" xr:uid="{A0FC2B46-9280-4A54-A8B6-4CC87D9CA67B}"/>
    <hyperlink ref="E10" r:id="rId6" display="mailto:service@drv-md.de" xr:uid="{8EFA9FEC-34A2-4DDF-883C-BC57BB410C54}"/>
    <hyperlink ref="E11" r:id="rId7" display="mailto:post@drv-rheinland.de" xr:uid="{11E276C9-EBE8-4B16-A139-ACAFA011F5DA}"/>
    <hyperlink ref="E12" r:id="rId8" display="mailto:info@drv-nord.de" xr:uid="{3E032972-35AD-483B-A9BB-D3F24461D24D}"/>
    <hyperlink ref="E13" r:id="rId9" display="mailto:info@drv-nord.de" xr:uid="{FEB1B4EB-F18B-42C1-ADD1-ABEABF238884}"/>
    <hyperlink ref="E14" r:id="rId10" display="mailto:info@drv-nord.de" xr:uid="{EEB4196F-A00C-4FA5-8D91-F7341223C453}"/>
    <hyperlink ref="E15" r:id="rId11" display="mailto:service@drv-rlp.de" xr:uid="{643B51AE-810C-4440-B0DF-F58D84A50B79}"/>
    <hyperlink ref="E16" r:id="rId12" display="mailto:post@drv-bw.de" xr:uid="{18A64035-89EA-4FE7-8A92-2FE5224D8CE5}"/>
    <hyperlink ref="E17" r:id="rId13" display="mailto:info@drv-nord.de" xr:uid="{1F24017A-109C-42D2-8ACA-59F4CBD74478}"/>
    <hyperlink ref="E18" r:id="rId14" display="mailto:info@drv-nord.de" xr:uid="{E34166DD-1132-401D-93A5-117F91181439}"/>
    <hyperlink ref="E19" r:id="rId15" display="mailto:info@drv-nord.de" xr:uid="{BC04B747-7FC0-4020-8D2E-F56905913BEC}"/>
    <hyperlink ref="E20" r:id="rId16" display="mailto:kontakt@drv-westfalen.de" xr:uid="{D58AC792-8687-457F-B8EC-4E27CFE010E3}"/>
    <hyperlink ref="E21" r:id="rId17" display="mailto:post@drv-rheinland.de" xr:uid="{DEA766B6-60E6-44D0-AE18-6D9F8C4231E6}"/>
    <hyperlink ref="E22" r:id="rId18" display="mailto:info@drv-schwaben.de" xr:uid="{85F3C0FB-7918-4B35-A8B4-AFAA57D305EC}"/>
    <hyperlink ref="E23" r:id="rId19" display="mailto:info@drv-bsh.de" xr:uid="{F2F2AB4C-6371-4714-9CE4-E74A1335D229}"/>
    <hyperlink ref="E24" r:id="rId20" display="mailto:info@drv-nord.de" xr:uid="{4968CE8A-2150-4793-B4FB-7D3214E0D6D9}"/>
    <hyperlink ref="E25" r:id="rId21" display="mailto:info@drv-bsh.de" xr:uid="{F1F05933-8985-4384-AA60-FF59BB62F911}"/>
    <hyperlink ref="E26" r:id="rId22" display="mailto:service@drv-bayernsued.de" xr:uid="{9E2C6DA6-C0FD-4A99-9EA8-6AF9340BD3D3}"/>
    <hyperlink ref="E27" r:id="rId23" display="mailto:service@drv-bayernsued.de" xr:uid="{1FDEB009-7BD3-40AC-B6DF-A8FE70260FD6}"/>
    <hyperlink ref="E28" r:id="rId24" display="mailto:info@drv-nord.de" xr:uid="{BBD79338-1C5A-419C-9040-55DED8B1AFB5}"/>
    <hyperlink ref="E29" r:id="rId25" display="mailto:post@drv-bw.de" xr:uid="{7A24EFF6-17D5-4121-AE22-3A79FECFF523}"/>
    <hyperlink ref="E30" r:id="rId26" display="mailto:info@drv-nord.de" xr:uid="{C0611C70-EA6F-4044-A97A-042CEA7A3A02}"/>
    <hyperlink ref="E31" r:id="rId27" display="mailto:service@drv-rlp.de" xr:uid="{384D1D46-843E-4917-B770-191CA99E7CD7}"/>
    <hyperlink ref="E32" r:id="rId28" display="mailto:info@drv-schwaben.de" xr:uid="{75806876-6F11-4E6E-9BAD-29558599C5F9}"/>
    <hyperlink ref="E33" r:id="rId29" display="mailto:info@drv-schwaben.de" xr:uid="{01F443BD-01FD-44D9-908D-3B26ACB4C684}"/>
    <hyperlink ref="E34" r:id="rId30" display="mailto:kontakt@drv-westfalen.de" xr:uid="{0FADA71B-85E0-481F-9B68-B49061BD86EF}"/>
    <hyperlink ref="E35" r:id="rId31" display="mailto:info@drv-nordbayern.de" xr:uid="{7A6A12DF-802D-44A8-B5D1-D7A6572B2585}"/>
    <hyperlink ref="E36" r:id="rId32" display="mailto:service@drv-bayernsued.de" xr:uid="{93B36CE6-AE74-4EE2-A341-DA98CE360A62}"/>
    <hyperlink ref="E37" r:id="rId33" display="mailto:service@drv-bayernsued.de" xr:uid="{75474696-109F-4C2D-B535-21CAA0868A70}"/>
    <hyperlink ref="E38" r:id="rId34" display="mailto:info@drv-nord.de" xr:uid="{3299388F-9BB2-42A8-A804-CD5D6A14DACC}"/>
    <hyperlink ref="E39" r:id="rId35" display="mailto:service@drv-bayernsued.de" xr:uid="{531DA2A0-17BD-4AA7-81C8-0A9D1BBD1E42}"/>
    <hyperlink ref="E40" r:id="rId36" display="mailto:info@drv-bsh.de" xr:uid="{FDB5EAE0-9BE5-458F-8B0B-5ADE4ACE431B}"/>
    <hyperlink ref="E41" r:id="rId37" display="mailto:kundenservice@drv-berlin-brandenburg.de" xr:uid="{B3231CEF-E0DE-49EF-8996-9000F4690AA5}"/>
    <hyperlink ref="E42" r:id="rId38" display="mailto:info@drv-nordbayern.de" xr:uid="{EBB42495-D1E4-42E0-A554-A4DBBD0F17E9}"/>
    <hyperlink ref="E43" r:id="rId39" display="mailto:info@drv-nordbayern.de" xr:uid="{F4147367-2786-40AF-B13D-1E2E2AA508A1}"/>
    <hyperlink ref="E44" r:id="rId40" display="mailto:info@drv-nord.de" xr:uid="{3CA41269-A325-4A0F-8497-5409CE6FB528}"/>
    <hyperlink ref="E45" r:id="rId41" display="mailto:post@drv-bw.de" xr:uid="{4B723620-589D-4E2C-86A7-A320E2E0A27F}"/>
    <hyperlink ref="E46" r:id="rId42" display="mailto:service@drv-bayernsued.de" xr:uid="{517FABCB-2D79-415A-AFE0-17F2967CBB70}"/>
    <hyperlink ref="E47" r:id="rId43" display="mailto:service@drv-bayernsued.de" xr:uid="{D9E4E203-F872-474A-BC46-767717EDA571}"/>
    <hyperlink ref="E48" r:id="rId44" display="mailto:service@drv-bayernsued.de" xr:uid="{30CB91A8-BC86-40DB-9D79-DEF01ECCCB0A}"/>
    <hyperlink ref="E49" r:id="rId45" display="mailto:post@drv-rheinland.de" xr:uid="{E451D9E5-D076-4D51-BED2-0672D826F19E}"/>
    <hyperlink ref="E50" r:id="rId46" display="mailto:service@drv-bayernsued.de" xr:uid="{49ACF3B4-E89D-439C-8EB8-B16AC24DB123}"/>
    <hyperlink ref="E51" r:id="rId47" display="mailto:info@drv-schwaben.de" xr:uid="{90F6E6C7-D8FF-46B7-A7FD-33B1FD8978A7}"/>
    <hyperlink ref="E52" r:id="rId48" display="mailto:info@drv-nordbayern.de" xr:uid="{5F1E2C13-D36F-48BB-B016-7BD59838E7AA}"/>
    <hyperlink ref="E53" r:id="rId49" display="mailto:service@drv-md.de" xr:uid="{F1173928-C02F-463F-B175-0A19AE54CE89}"/>
    <hyperlink ref="E54" r:id="rId50" display="mailto:service@drv-md.de" xr:uid="{BDD91FFC-245A-454B-83A1-C7D07F6AE5AB}"/>
    <hyperlink ref="E55" r:id="rId51" display="mailto:post@drv-rheinland.de" xr:uid="{CB4327A7-7157-49F6-A783-92C5C63ECDD8}"/>
    <hyperlink ref="E56" r:id="rId52" display="mailto:info@drv-nord.de" xr:uid="{B7CE2361-B379-450F-B4AB-C365628B21D9}"/>
    <hyperlink ref="E57" r:id="rId53" display="mailto:post@drv-bw.de" xr:uid="{B7976360-0A58-4E2A-B521-D2EC893C97E6}"/>
  </hyperlinks>
  <pageMargins left="0.7" right="0.7" top="0.78740157499999996" bottom="0.78740157499999996" header="0.3" footer="0.3"/>
  <drawing r:id="rId5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A6AED-1931-42C4-9ACA-7FF69F6C4747}">
  <sheetPr codeName="Tabelle49"/>
  <dimension ref="A1:AT51"/>
  <sheetViews>
    <sheetView showGridLines="0" zoomScaleNormal="100" workbookViewId="0">
      <pane xSplit="2" ySplit="1" topLeftCell="C2" activePane="bottomRight" state="frozen"/>
      <selection activeCell="B15" sqref="B15:I21"/>
      <selection pane="topRight" activeCell="B15" sqref="B15:I21"/>
      <selection pane="bottomLeft" activeCell="B15" sqref="B15:I21"/>
      <selection pane="bottomRight" activeCell="L39" sqref="L39"/>
    </sheetView>
  </sheetViews>
  <sheetFormatPr baseColWidth="10" defaultColWidth="10.28515625" defaultRowHeight="15"/>
  <cols>
    <col min="1" max="1" width="5.42578125" style="16" customWidth="1"/>
    <col min="2" max="2" width="5.85546875" style="16" customWidth="1"/>
    <col min="3" max="3" width="14.5703125" style="14" customWidth="1"/>
    <col min="4" max="11" width="6.28515625" style="16" customWidth="1"/>
    <col min="12" max="12" width="7.5703125" style="16" customWidth="1"/>
    <col min="13" max="15" width="6.28515625" style="16" customWidth="1"/>
    <col min="16" max="16" width="42.140625" style="13" customWidth="1"/>
    <col min="17" max="22" width="10.85546875" style="5" customWidth="1"/>
    <col min="23" max="23" width="68" customWidth="1"/>
    <col min="24" max="24" width="15" customWidth="1"/>
    <col min="25" max="26" width="9" style="5" customWidth="1"/>
    <col min="27" max="27" width="38.42578125" customWidth="1"/>
    <col min="28" max="28" width="26.28515625" customWidth="1"/>
    <col min="29" max="29" width="48.5703125" customWidth="1"/>
    <col min="31" max="31" width="11.140625" bestFit="1" customWidth="1"/>
    <col min="46" max="46" width="15.42578125" bestFit="1" customWidth="1"/>
  </cols>
  <sheetData>
    <row r="1" spans="1:46" s="117" customFormat="1" ht="44.25" customHeight="1" thickBot="1">
      <c r="A1" s="281" t="s">
        <v>2446</v>
      </c>
      <c r="B1" s="282" t="s">
        <v>2193</v>
      </c>
      <c r="C1" s="283" t="s">
        <v>1622</v>
      </c>
      <c r="D1" s="282">
        <v>2015</v>
      </c>
      <c r="E1" s="282">
        <f>+D1+1</f>
        <v>2016</v>
      </c>
      <c r="F1" s="282">
        <f t="shared" ref="F1:O1" si="0">+E1+1</f>
        <v>2017</v>
      </c>
      <c r="G1" s="282">
        <f t="shared" si="0"/>
        <v>2018</v>
      </c>
      <c r="H1" s="282">
        <f t="shared" si="0"/>
        <v>2019</v>
      </c>
      <c r="I1" s="282">
        <f t="shared" si="0"/>
        <v>2020</v>
      </c>
      <c r="J1" s="282">
        <f t="shared" si="0"/>
        <v>2021</v>
      </c>
      <c r="K1" s="282">
        <f t="shared" si="0"/>
        <v>2022</v>
      </c>
      <c r="L1" s="282">
        <f t="shared" si="0"/>
        <v>2023</v>
      </c>
      <c r="M1" s="282">
        <f t="shared" si="0"/>
        <v>2024</v>
      </c>
      <c r="N1" s="282">
        <f>+M1+1</f>
        <v>2025</v>
      </c>
      <c r="O1" s="282">
        <f t="shared" si="0"/>
        <v>2026</v>
      </c>
      <c r="P1" s="703" t="s">
        <v>2194</v>
      </c>
      <c r="Q1" s="282" t="str">
        <f>"Kumuliert "&amp;TEXT(MIN(D1:O1),"##")&amp;"-"&amp;TEXT(MAX(D1:O1),"##")</f>
        <v>Kumuliert 2015-2026</v>
      </c>
      <c r="R1" s="282" t="str">
        <f>"CAGR *"&amp;TEXT(MIN(D1:O1),"##")&amp;"-"&amp;TEXT(MAX(D1:O1),"##")</f>
        <v>CAGR *2015-2026</v>
      </c>
      <c r="S1" s="282" t="str">
        <f>"CAGR *"&amp;TEXT(MIN(K1:O1),"##")&amp;"-"&amp;TEXT(MAX(K1:O1),"##")</f>
        <v>CAGR *2022-2026</v>
      </c>
      <c r="T1" s="282" t="s">
        <v>2195</v>
      </c>
      <c r="U1" s="282" t="s">
        <v>2196</v>
      </c>
      <c r="V1" s="282" t="s">
        <v>2197</v>
      </c>
      <c r="W1" s="282" t="s">
        <v>2198</v>
      </c>
      <c r="X1" s="282" t="s">
        <v>2199</v>
      </c>
      <c r="Y1" s="284"/>
      <c r="Z1" s="284" t="s">
        <v>2445</v>
      </c>
      <c r="AA1" s="282" t="s">
        <v>3021</v>
      </c>
      <c r="AB1" s="282" t="s">
        <v>3052</v>
      </c>
      <c r="AC1" s="281"/>
    </row>
    <row r="2" spans="1:46" s="138" customFormat="1" ht="87" customHeight="1" thickBot="1">
      <c r="A2" s="285">
        <v>1</v>
      </c>
      <c r="B2" s="286" t="s">
        <v>2200</v>
      </c>
      <c r="C2" s="287" t="s">
        <v>0</v>
      </c>
      <c r="D2" s="288">
        <v>0</v>
      </c>
      <c r="E2" s="288">
        <v>4.0999999999999925E-2</v>
      </c>
      <c r="F2" s="288">
        <v>2.0000000000000018E-2</v>
      </c>
      <c r="G2" s="288">
        <v>2.0000000000000018E-2</v>
      </c>
      <c r="H2" s="288">
        <v>0</v>
      </c>
      <c r="I2" s="288">
        <v>2.0000000000000018E-2</v>
      </c>
      <c r="J2" s="288">
        <v>4.0999999999999925E-2</v>
      </c>
      <c r="K2" s="288">
        <v>0.10400000000000009</v>
      </c>
      <c r="L2" s="288">
        <v>2.0000000000000018E-2</v>
      </c>
      <c r="M2" s="288">
        <v>2.0000000000000018E-2</v>
      </c>
      <c r="N2" s="288">
        <v>0.02</v>
      </c>
      <c r="O2" s="288">
        <v>0.02</v>
      </c>
      <c r="P2" s="289" t="s">
        <v>2201</v>
      </c>
      <c r="Q2" s="288" cm="1">
        <f t="array" ref="Q2">PRODUCT(1+$D2:O2)-1</f>
        <v>0.37426895163623897</v>
      </c>
      <c r="R2" s="288" cm="1">
        <f t="array" ref="R2">PRODUCT(1+D2:O2)^(1/COUNT(D2:O2))-1</f>
        <v>2.6847565730561351E-2</v>
      </c>
      <c r="S2" s="288" cm="1">
        <f t="array" ref="S2">PRODUCT(1+K2:O2)^(1/COUNT(K2:O2))-1</f>
        <v>3.6272449501573378E-2</v>
      </c>
      <c r="T2" s="288">
        <f>MAX(D2:O2)</f>
        <v>0.10400000000000009</v>
      </c>
      <c r="U2" s="288">
        <f>MIN(D2:O2)</f>
        <v>0</v>
      </c>
      <c r="V2" s="288">
        <f>_xlfn.STDEV.P(D2:O2)</f>
        <v>2.6015486840640836E-2</v>
      </c>
      <c r="W2" s="289" t="s">
        <v>2202</v>
      </c>
      <c r="X2" s="289" t="s">
        <v>2203</v>
      </c>
      <c r="Y2" s="288" cm="1">
        <f t="array" ref="Y2">PRODUCT(1+$I2:O2)-1</f>
        <v>0.268880320208845</v>
      </c>
      <c r="Z2" s="288">
        <f>POWER(1+Y2,1/5)-1</f>
        <v>4.8779361210173455E-2</v>
      </c>
      <c r="AA2" s="289" t="s">
        <v>3022</v>
      </c>
      <c r="AB2" s="289" t="str">
        <f>HYPERLINK("https://journals.sagepub.com/doi/suppl/10.1177/09589287261430475/suppl_file/sj-pdf-1-esp-10.1177_09589287261430475.pdf","JESP/Sage Supplement 2026")</f>
        <v>JESP/Sage Supplement 2026</v>
      </c>
      <c r="AC2" s="290" t="s">
        <v>3055</v>
      </c>
      <c r="AE2" s="297" cm="1">
        <f t="array" ref="AE2">PRODUCT(1+K2:O2)^(1/5)-1</f>
        <v>3.6272449501573378E-2</v>
      </c>
      <c r="AF2" s="297">
        <f>10.4%*2%*2%</f>
        <v>4.1600000000000008E-5</v>
      </c>
      <c r="AG2" s="138">
        <v>5</v>
      </c>
      <c r="AH2" s="138">
        <f>100*1.104*1.01*1.01</f>
        <v>112.61904000000001</v>
      </c>
      <c r="AI2" s="676">
        <f>_xlfn.RRI(5,100,AH2)</f>
        <v>2.4052834945015755E-2</v>
      </c>
      <c r="AJ2" s="138" cm="1">
        <f t="array" ref="AJ2">PRODUCT(1+K2:O2)</f>
        <v>1.1950051046400001</v>
      </c>
      <c r="AT2" s="280"/>
    </row>
    <row r="3" spans="1:46" s="13" customFormat="1" ht="54">
      <c r="A3" s="7">
        <v>2</v>
      </c>
      <c r="B3" s="291" t="s">
        <v>2204</v>
      </c>
      <c r="C3" s="292" t="s">
        <v>1</v>
      </c>
      <c r="D3" s="293">
        <v>1.8999999999999906E-2</v>
      </c>
      <c r="E3" s="293">
        <v>2.6000000000000023E-2</v>
      </c>
      <c r="F3" s="293">
        <v>1.2000000000000011E-2</v>
      </c>
      <c r="G3" s="293">
        <v>3.8000000000000034E-2</v>
      </c>
      <c r="H3" s="293">
        <v>5.699999999999994E-2</v>
      </c>
      <c r="I3" s="293">
        <v>6.6999999999999948E-2</v>
      </c>
      <c r="J3" s="293">
        <v>5.0000000000000044E-2</v>
      </c>
      <c r="K3" s="293">
        <v>0.30000000000000004</v>
      </c>
      <c r="L3" s="293">
        <v>0.12000000000000011</v>
      </c>
      <c r="M3" s="293">
        <v>0.1100000000000001</v>
      </c>
      <c r="N3" s="293">
        <v>8.5999999999999993E-2</v>
      </c>
      <c r="O3" s="293">
        <v>7.8E-2</v>
      </c>
      <c r="P3" s="294" t="s">
        <v>2205</v>
      </c>
      <c r="Q3" s="293" cm="1">
        <f t="array" ref="Q3">PRODUCT(1+$D3:O3)-1</f>
        <v>1.4607135259151316</v>
      </c>
      <c r="R3" s="293" cm="1">
        <f t="array" ref="R3">PRODUCT(1+D3:O3)^(1/COUNT(D3:O3))-1</f>
        <v>7.792469437967009E-2</v>
      </c>
      <c r="S3" s="293" cm="1">
        <f t="array" ref="S3">PRODUCT(1+K3:O3)^(1/COUNT(K3:O3))-1</f>
        <v>0.13602159729258334</v>
      </c>
      <c r="T3" s="293">
        <f t="shared" ref="T3:T32" si="1">MAX(D3:O3)</f>
        <v>0.30000000000000004</v>
      </c>
      <c r="U3" s="293">
        <f t="shared" ref="U3:U32" si="2">MIN(D3:O3)</f>
        <v>1.2000000000000011E-2</v>
      </c>
      <c r="V3" s="293">
        <f t="shared" ref="V3:V32" si="3">_xlfn.STDEV.P(D3:O3)</f>
        <v>7.3915633213369261E-2</v>
      </c>
      <c r="W3" s="294" t="s">
        <v>2202</v>
      </c>
      <c r="X3" s="294" t="s">
        <v>2203</v>
      </c>
      <c r="Y3" s="293" cm="1">
        <f t="array" ref="Y3">PRODUCT(1+$I3:M3)-1</f>
        <v>0.81066485600000027</v>
      </c>
      <c r="Z3" s="293">
        <f t="shared" ref="Z3:Z32" si="4">POWER(1+Y3,1/5)-1</f>
        <v>0.12607577176500095</v>
      </c>
      <c r="AA3" s="294" t="s">
        <v>3023</v>
      </c>
      <c r="AB3" s="294" t="str">
        <f>HYPERLINK("https://journals.sagepub.com/doi/suppl/10.1177/09589287261430475/suppl_file/sj-pdf-1-esp-10.1177_09589287261430475.pdf","JESP/Sage Supplement 2026")</f>
        <v>JESP/Sage Supplement 2026</v>
      </c>
      <c r="AC3" s="295" t="s">
        <v>3055</v>
      </c>
    </row>
    <row r="4" spans="1:46" s="138" customFormat="1" ht="30">
      <c r="A4" s="285">
        <v>3</v>
      </c>
      <c r="B4" s="286" t="s">
        <v>2206</v>
      </c>
      <c r="C4" s="287" t="s">
        <v>2</v>
      </c>
      <c r="D4" s="288">
        <v>1.2999999999999999E-2</v>
      </c>
      <c r="E4" s="288">
        <v>1.0999999999999999E-2</v>
      </c>
      <c r="F4" s="288">
        <v>4.0000000000000001E-3</v>
      </c>
      <c r="G4" s="288">
        <v>1.0999999999999999E-2</v>
      </c>
      <c r="H4" s="288">
        <v>1.2999999999999999E-2</v>
      </c>
      <c r="I4" s="288">
        <v>6.0000000000000001E-3</v>
      </c>
      <c r="J4" s="288">
        <v>3.9E-2</v>
      </c>
      <c r="K4" s="288">
        <v>4.0000000000000001E-3</v>
      </c>
      <c r="L4" s="288">
        <v>-4.0000000000000001E-3</v>
      </c>
      <c r="M4" s="288">
        <v>2.8000000000000001E-2</v>
      </c>
      <c r="N4" s="288">
        <v>4.8000000000000001E-2</v>
      </c>
      <c r="O4" s="288">
        <v>7.4999999999999997E-2</v>
      </c>
      <c r="P4" s="289"/>
      <c r="Q4" s="288" cm="1">
        <f t="array" ref="Q4">PRODUCT(1+$D4:O4)-1</f>
        <v>0.27474804849214474</v>
      </c>
      <c r="R4" s="288" cm="1">
        <f t="array" ref="R4">PRODUCT(1+D4:O4)^(1/COUNT(D4:O4))-1</f>
        <v>2.0435039660671173E-2</v>
      </c>
      <c r="S4" s="288" cm="1">
        <f t="array" ref="S4">PRODUCT(1+K4:O4)^(1/COUNT(K4:O4))-1</f>
        <v>2.9795957267275464E-2</v>
      </c>
      <c r="T4" s="288">
        <f t="shared" si="1"/>
        <v>7.4999999999999997E-2</v>
      </c>
      <c r="U4" s="288">
        <f t="shared" si="2"/>
        <v>-4.0000000000000001E-3</v>
      </c>
      <c r="V4" s="288">
        <f t="shared" si="3"/>
        <v>2.1932978720537608E-2</v>
      </c>
      <c r="W4" s="289"/>
      <c r="X4" s="289"/>
      <c r="Y4" s="288" cm="1">
        <f t="array" ref="Y4">PRODUCT(1+$I4:M4)-1</f>
        <v>7.4483359991167841E-2</v>
      </c>
      <c r="Z4" s="288">
        <f t="shared" si="4"/>
        <v>1.447170584367008E-2</v>
      </c>
      <c r="AA4" s="289" t="s">
        <v>3024</v>
      </c>
      <c r="AB4" s="289" t="str">
        <f>HYPERLINK("https://www.parlament.gv.at/dokument/XXVII/EU/187913/imfname_11382449.pdf","Mechanismus-/Statusquelle")</f>
        <v>Mechanismus-/Statusquelle</v>
      </c>
      <c r="AC4" s="290"/>
    </row>
    <row r="5" spans="1:46" s="13" customFormat="1" ht="54">
      <c r="A5" s="7">
        <v>4</v>
      </c>
      <c r="B5" s="291" t="s">
        <v>2207</v>
      </c>
      <c r="C5" s="292" t="s">
        <v>3</v>
      </c>
      <c r="D5" s="293">
        <v>2.0999999999999908E-2</v>
      </c>
      <c r="E5" s="293">
        <v>4.2999999999999927E-2</v>
      </c>
      <c r="F5" s="293">
        <v>1.8999999999999906E-2</v>
      </c>
      <c r="G5" s="293">
        <v>3.2000000000000028E-2</v>
      </c>
      <c r="H5" s="293">
        <v>3.2000000000000028E-2</v>
      </c>
      <c r="I5" s="293">
        <v>3.499999999999992E-2</v>
      </c>
      <c r="J5" s="293">
        <v>0</v>
      </c>
      <c r="K5" s="293">
        <v>5.4000000000000048E-2</v>
      </c>
      <c r="L5" s="293">
        <v>4.4000000000000039E-2</v>
      </c>
      <c r="M5" s="293">
        <v>4.6000000000000041E-2</v>
      </c>
      <c r="N5" s="293">
        <v>3.7400000000000003E-2</v>
      </c>
      <c r="O5" s="293">
        <v>4.24E-2</v>
      </c>
      <c r="P5" s="294" t="s">
        <v>2208</v>
      </c>
      <c r="Q5" s="293" cm="1">
        <f t="array" ref="Q5">PRODUCT(1+$D5:O5)-1</f>
        <v>0.48880363106544533</v>
      </c>
      <c r="R5" s="293" cm="1">
        <f t="array" ref="R5">PRODUCT(1+D5:O5)^(1/COUNT(D5:O5))-1</f>
        <v>3.3720474539840284E-2</v>
      </c>
      <c r="S5" s="293" cm="1">
        <f t="array" ref="S5">PRODUCT(1+K5:O5)^(1/COUNT(K5:O5))-1</f>
        <v>4.4745930342386941E-2</v>
      </c>
      <c r="T5" s="293">
        <f t="shared" si="1"/>
        <v>5.4000000000000048E-2</v>
      </c>
      <c r="U5" s="293">
        <f t="shared" si="2"/>
        <v>0</v>
      </c>
      <c r="V5" s="293">
        <f t="shared" si="3"/>
        <v>1.4040764065945857E-2</v>
      </c>
      <c r="W5" s="294" t="s">
        <v>2202</v>
      </c>
      <c r="X5" s="294" t="s">
        <v>2203</v>
      </c>
      <c r="Y5" s="293" cm="1">
        <f t="array" ref="Y5">PRODUCT(1+$I5:M5)-1</f>
        <v>0.19127806136000003</v>
      </c>
      <c r="Z5" s="293">
        <f t="shared" si="4"/>
        <v>3.5625245639141934E-2</v>
      </c>
      <c r="AA5" s="294" t="s">
        <v>3025</v>
      </c>
      <c r="AB5" s="294" t="str">
        <f>HYPERLINK("https://journals.sagepub.com/doi/suppl/10.1177/09589287261430475/suppl_file/sj-pdf-1-esp-10.1177_09589287261430475.pdf","JESP/Sage Supplement 2026")</f>
        <v>JESP/Sage Supplement 2026</v>
      </c>
      <c r="AC5" s="295" t="s">
        <v>3055</v>
      </c>
    </row>
    <row r="6" spans="1:46" s="138" customFormat="1" ht="54">
      <c r="A6" s="285">
        <v>5</v>
      </c>
      <c r="B6" s="286" t="s">
        <v>2209</v>
      </c>
      <c r="C6" s="287" t="s">
        <v>4</v>
      </c>
      <c r="D6" s="288">
        <v>6.2999999999999945E-2</v>
      </c>
      <c r="E6" s="288">
        <v>5.699999999999994E-2</v>
      </c>
      <c r="F6" s="288">
        <v>5.0999999999999934E-2</v>
      </c>
      <c r="G6" s="288">
        <v>7.6000000000000068E-2</v>
      </c>
      <c r="H6" s="288">
        <v>8.4000000000000075E-2</v>
      </c>
      <c r="I6" s="288">
        <v>8.0000000000000071E-2</v>
      </c>
      <c r="J6" s="288">
        <v>1.6000000000000014E-2</v>
      </c>
      <c r="K6" s="288">
        <v>7.8999999999999959E-2</v>
      </c>
      <c r="L6" s="288">
        <v>0.13900000000000001</v>
      </c>
      <c r="M6" s="288">
        <v>0.10600000000000009</v>
      </c>
      <c r="N6" s="288">
        <v>5.7000000000000002E-2</v>
      </c>
      <c r="O6" s="288">
        <v>5.2999999999999999E-2</v>
      </c>
      <c r="P6" s="289" t="s">
        <v>2210</v>
      </c>
      <c r="Q6" s="288" cm="1">
        <f t="array" ref="Q6">PRODUCT(1+$D6:O6)-1</f>
        <v>1.2865128111978552</v>
      </c>
      <c r="R6" s="288" cm="1">
        <f t="array" ref="R6">PRODUCT(1+D6:O6)^(1/COUNT(D6:O6))-1</f>
        <v>7.1349414462579697E-2</v>
      </c>
      <c r="S6" s="288" cm="1">
        <f t="array" ref="S6">PRODUCT(1+K6:O6)^(1/COUNT(K6:O6))-1</f>
        <v>8.6327392832328709E-2</v>
      </c>
      <c r="T6" s="288">
        <f t="shared" si="1"/>
        <v>0.13900000000000001</v>
      </c>
      <c r="U6" s="288">
        <f t="shared" si="2"/>
        <v>1.6000000000000014E-2</v>
      </c>
      <c r="V6" s="288">
        <f t="shared" si="3"/>
        <v>2.9419735439553757E-2</v>
      </c>
      <c r="W6" s="289" t="s">
        <v>2202</v>
      </c>
      <c r="X6" s="289" t="s">
        <v>2203</v>
      </c>
      <c r="Y6" s="288" cm="1">
        <f t="array" ref="Y6">PRODUCT(1+$I6:M6)-1</f>
        <v>0.49148111647808035</v>
      </c>
      <c r="Z6" s="288">
        <f t="shared" si="4"/>
        <v>8.3237164851350798E-2</v>
      </c>
      <c r="AA6" s="289" t="s">
        <v>3026</v>
      </c>
      <c r="AB6" s="289" t="str">
        <f>HYPERLINK("https://journals.sagepub.com/doi/suppl/10.1177/09589287261430475/suppl_file/sj-pdf-1-esp-10.1177_09589287261430475.pdf","JESP/Sage Supplement 2026")</f>
        <v>JESP/Sage Supplement 2026</v>
      </c>
      <c r="AC6" s="290" t="s">
        <v>3055</v>
      </c>
    </row>
    <row r="7" spans="1:46" s="13" customFormat="1" ht="54">
      <c r="A7" s="7">
        <v>6</v>
      </c>
      <c r="B7" s="291" t="s">
        <v>2211</v>
      </c>
      <c r="C7" s="292" t="s">
        <v>5</v>
      </c>
      <c r="D7" s="293">
        <v>4.0000000000000036E-3</v>
      </c>
      <c r="E7" s="293">
        <v>0</v>
      </c>
      <c r="F7" s="293">
        <v>6.0000000000000053E-3</v>
      </c>
      <c r="G7" s="293">
        <v>6.0000000000000053E-3</v>
      </c>
      <c r="H7" s="293">
        <v>1.4999999999999902E-2</v>
      </c>
      <c r="I7" s="293">
        <v>1.2000000000000011E-2</v>
      </c>
      <c r="J7" s="293">
        <v>4.9999999999998934E-3</v>
      </c>
      <c r="K7" s="293">
        <v>2.2999999999999909E-2</v>
      </c>
      <c r="L7" s="293">
        <v>6.800000000000006E-2</v>
      </c>
      <c r="M7" s="293">
        <v>5.699999999999994E-2</v>
      </c>
      <c r="N7" s="293">
        <v>1.2999999999999999E-2</v>
      </c>
      <c r="O7" s="293">
        <v>8.9999999999999993E-3</v>
      </c>
      <c r="P7" s="294" t="s">
        <v>2212</v>
      </c>
      <c r="Q7" s="293" cm="1">
        <f t="array" ref="Q7">PRODUCT(1+$D7:O7)-1</f>
        <v>0.23812580732911481</v>
      </c>
      <c r="R7" s="293" cm="1">
        <f t="array" ref="R7">PRODUCT(1+D7:O7)^(1/COUNT(D7:O7))-1</f>
        <v>1.7959261557003448E-2</v>
      </c>
      <c r="S7" s="293" cm="1">
        <f t="array" ref="S7">PRODUCT(1+K7:O7)^(1/COUNT(K7:O7))-1</f>
        <v>3.3723756367805002E-2</v>
      </c>
      <c r="T7" s="293">
        <f t="shared" si="1"/>
        <v>6.800000000000006E-2</v>
      </c>
      <c r="U7" s="293">
        <f t="shared" si="2"/>
        <v>0</v>
      </c>
      <c r="V7" s="293">
        <f t="shared" si="3"/>
        <v>2.0763884243775031E-2</v>
      </c>
      <c r="W7" s="294" t="s">
        <v>2202</v>
      </c>
      <c r="X7" s="294" t="s">
        <v>2203</v>
      </c>
      <c r="Y7" s="293" cm="1">
        <f t="array" ref="Y7">PRODUCT(1+$I7:M7)-1</f>
        <v>0.17454172092487985</v>
      </c>
      <c r="Z7" s="293">
        <f t="shared" si="4"/>
        <v>3.2698840959264786E-2</v>
      </c>
      <c r="AA7" s="294" t="s">
        <v>3027</v>
      </c>
      <c r="AB7" s="294" t="str">
        <f>HYPERLINK("https://journals.sagepub.com/doi/suppl/10.1177/09589287261430475/suppl_file/sj-pdf-1-esp-10.1177_09589287261430475.pdf","JESP/Sage Supplement 2026")</f>
        <v>JESP/Sage Supplement 2026</v>
      </c>
      <c r="AC7" s="295" t="s">
        <v>3055</v>
      </c>
    </row>
    <row r="8" spans="1:46" s="138" customFormat="1" ht="54">
      <c r="A8" s="285">
        <v>7</v>
      </c>
      <c r="B8" s="286" t="s">
        <v>2213</v>
      </c>
      <c r="C8" s="287" t="s">
        <v>6</v>
      </c>
      <c r="D8" s="288">
        <v>9.9999999999988987E-4</v>
      </c>
      <c r="E8" s="288">
        <v>0</v>
      </c>
      <c r="F8" s="288">
        <v>8.0000000000000071E-3</v>
      </c>
      <c r="G8" s="288">
        <v>0</v>
      </c>
      <c r="H8" s="288">
        <v>2.9999999999998916E-3</v>
      </c>
      <c r="I8" s="288">
        <v>1.0000000000000009E-2</v>
      </c>
      <c r="J8" s="288">
        <v>4.0000000000000036E-3</v>
      </c>
      <c r="K8" s="288">
        <v>5.0999999999999934E-2</v>
      </c>
      <c r="L8" s="288">
        <v>8.0000000000000071E-3</v>
      </c>
      <c r="M8" s="288">
        <v>5.2999999999999936E-2</v>
      </c>
      <c r="N8" s="288">
        <v>2.1999999999999999E-2</v>
      </c>
      <c r="O8" s="288">
        <v>8.9999999999999993E-3</v>
      </c>
      <c r="P8" s="289" t="s">
        <v>2214</v>
      </c>
      <c r="Q8" s="288" cm="1">
        <f t="array" ref="Q8">PRODUCT(1+$D8:O8)-1</f>
        <v>0.18054979618129785</v>
      </c>
      <c r="R8" s="288" cm="1">
        <f t="array" ref="R8">PRODUCT(1+D8:O8)^(1/COUNT(D8:O8))-1</f>
        <v>1.3927788609897185E-2</v>
      </c>
      <c r="S8" s="288" cm="1">
        <f t="array" ref="S8">PRODUCT(1+K8:O8)^(1/COUNT(K8:O8))-1</f>
        <v>2.8411054495727228E-2</v>
      </c>
      <c r="T8" s="288">
        <f t="shared" si="1"/>
        <v>5.2999999999999936E-2</v>
      </c>
      <c r="U8" s="288">
        <f t="shared" si="2"/>
        <v>0</v>
      </c>
      <c r="V8" s="288">
        <f t="shared" si="3"/>
        <v>1.7909300811465401E-2</v>
      </c>
      <c r="W8" s="289" t="s">
        <v>2202</v>
      </c>
      <c r="X8" s="289" t="s">
        <v>2203</v>
      </c>
      <c r="Y8" s="288" cm="1">
        <f t="array" ref="Y8">PRODUCT(1+$I8:M8)-1</f>
        <v>0.13121903900095977</v>
      </c>
      <c r="Z8" s="288">
        <f t="shared" si="4"/>
        <v>2.4965721265867824E-2</v>
      </c>
      <c r="AA8" s="289" t="s">
        <v>3028</v>
      </c>
      <c r="AB8" s="289" t="str">
        <f>HYPERLINK("https://journals.sagepub.com/doi/suppl/10.1177/09589287261430475/suppl_file/sj-pdf-1-esp-10.1177_09589287261430475.pdf","JESP/Sage Supplement 2026")</f>
        <v>JESP/Sage Supplement 2026</v>
      </c>
      <c r="AC8" s="290" t="s">
        <v>3055</v>
      </c>
    </row>
    <row r="9" spans="1:46" s="13" customFormat="1" ht="54">
      <c r="A9" s="7">
        <v>8</v>
      </c>
      <c r="B9" s="291" t="s">
        <v>2215</v>
      </c>
      <c r="C9" s="292" t="s">
        <v>7</v>
      </c>
      <c r="D9" s="293">
        <v>0</v>
      </c>
      <c r="E9" s="293">
        <v>0</v>
      </c>
      <c r="F9" s="293">
        <v>0</v>
      </c>
      <c r="G9" s="293">
        <v>0</v>
      </c>
      <c r="H9" s="293">
        <v>0</v>
      </c>
      <c r="I9" s="293">
        <v>0</v>
      </c>
      <c r="J9" s="293">
        <v>0</v>
      </c>
      <c r="K9" s="293">
        <v>0</v>
      </c>
      <c r="L9" s="293">
        <v>7.4999999999999956E-2</v>
      </c>
      <c r="M9" s="293">
        <v>3.0000000000000027E-2</v>
      </c>
      <c r="N9" s="293">
        <v>2.4E-2</v>
      </c>
      <c r="O9" s="293">
        <v>2.4E-2</v>
      </c>
      <c r="P9" s="294" t="s">
        <v>2216</v>
      </c>
      <c r="Q9" s="293" cm="1">
        <f t="array" ref="Q9">PRODUCT(1+$D9:O9)-1</f>
        <v>0.1610357760000003</v>
      </c>
      <c r="R9" s="293" cm="1">
        <f t="array" ref="R9">PRODUCT(1+D9:O9)^(1/COUNT(D9:O9))-1</f>
        <v>1.2520442334406523E-2</v>
      </c>
      <c r="S9" s="293" cm="1">
        <f t="array" ref="S9">PRODUCT(1+K9:O9)^(1/COUNT(K9:O9))-1</f>
        <v>3.0312859710230011E-2</v>
      </c>
      <c r="T9" s="293">
        <f t="shared" si="1"/>
        <v>7.4999999999999956E-2</v>
      </c>
      <c r="U9" s="293">
        <f t="shared" si="2"/>
        <v>0</v>
      </c>
      <c r="V9" s="293">
        <f t="shared" si="3"/>
        <v>2.1844621763720231E-2</v>
      </c>
      <c r="W9" s="294" t="s">
        <v>2202</v>
      </c>
      <c r="X9" s="294" t="s">
        <v>2203</v>
      </c>
      <c r="Y9" s="293" cm="1">
        <f t="array" ref="Y9">PRODUCT(1+$I9:M9)-1</f>
        <v>0.10725000000000007</v>
      </c>
      <c r="Z9" s="293">
        <f t="shared" si="4"/>
        <v>2.0584898412428387E-2</v>
      </c>
      <c r="AA9" s="294" t="s">
        <v>3029</v>
      </c>
      <c r="AB9" s="294" t="str">
        <f>HYPERLINK("https://journals.sagepub.com/doi/suppl/10.1177/09589287261430475/suppl_file/sj-pdf-1-esp-10.1177_09589287261430475.pdf","JESP/Sage Supplement 2026")</f>
        <v>JESP/Sage Supplement 2026</v>
      </c>
      <c r="AC9" s="295" t="s">
        <v>3055</v>
      </c>
    </row>
    <row r="10" spans="1:46" s="138" customFormat="1" ht="45">
      <c r="A10" s="285">
        <v>9</v>
      </c>
      <c r="B10" s="286"/>
      <c r="C10" s="287" t="s">
        <v>8</v>
      </c>
      <c r="D10" s="288">
        <v>0</v>
      </c>
      <c r="E10" s="288">
        <v>1.2999999999999999E-2</v>
      </c>
      <c r="F10" s="288">
        <v>2.1000000000000001E-2</v>
      </c>
      <c r="G10" s="288">
        <v>2.1000000000000001E-2</v>
      </c>
      <c r="H10" s="288">
        <v>2.1000000000000001E-2</v>
      </c>
      <c r="I10" s="288">
        <v>0</v>
      </c>
      <c r="J10" s="288">
        <v>0</v>
      </c>
      <c r="K10" s="288">
        <v>0.02</v>
      </c>
      <c r="L10" s="288">
        <v>4.7E-2</v>
      </c>
      <c r="M10" s="288">
        <v>4.4999999999999998E-2</v>
      </c>
      <c r="N10" s="288">
        <v>4.2999999999999997E-2</v>
      </c>
      <c r="O10" s="288">
        <v>3.5000000000000003E-2</v>
      </c>
      <c r="P10" s="289"/>
      <c r="Q10" s="288" cm="1">
        <f t="array" ref="Q10">PRODUCT(1+$D10:O10)-1</f>
        <v>0.29889628219028519</v>
      </c>
      <c r="R10" s="288" cm="1">
        <f t="array" ref="R10">PRODUCT(1+D10:O10)^(1/COUNT(D10:O10))-1</f>
        <v>2.2032107381528609E-2</v>
      </c>
      <c r="S10" s="288" cm="1">
        <f t="array" ref="S10">PRODUCT(1+K10:O10)^(1/COUNT(K10:O10))-1</f>
        <v>3.7952693941271987E-2</v>
      </c>
      <c r="T10" s="288">
        <f t="shared" si="1"/>
        <v>4.7E-2</v>
      </c>
      <c r="U10" s="288">
        <f t="shared" si="2"/>
        <v>0</v>
      </c>
      <c r="V10" s="288">
        <f t="shared" si="3"/>
        <v>1.6592334240713554E-2</v>
      </c>
      <c r="W10" s="289"/>
      <c r="X10" s="289"/>
      <c r="Y10" s="288" cm="1">
        <f t="array" ref="Y10">PRODUCT(1+$I10:M10)-1</f>
        <v>0.11599729999999986</v>
      </c>
      <c r="Z10" s="288">
        <f t="shared" si="4"/>
        <v>2.2192355575627376E-2</v>
      </c>
      <c r="AA10" s="289" t="s">
        <v>3030</v>
      </c>
      <c r="AB10" s="289" t="str">
        <f>HYPERLINK("https://www.parlament.gv.at/dokument/XXVII/EU/187913/imfname_11382449.pdf","Mechanismus-/Statusquelle")</f>
        <v>Mechanismus-/Statusquelle</v>
      </c>
      <c r="AC10" s="290"/>
    </row>
    <row r="11" spans="1:46" s="13" customFormat="1" ht="45">
      <c r="A11" s="7">
        <v>10</v>
      </c>
      <c r="B11" s="291"/>
      <c r="C11" s="292" t="s">
        <v>9</v>
      </c>
      <c r="D11" s="293">
        <v>0</v>
      </c>
      <c r="E11" s="293">
        <v>2.4E-2</v>
      </c>
      <c r="F11" s="293">
        <v>2.8000000000000001E-2</v>
      </c>
      <c r="G11" s="293">
        <v>3.1E-2</v>
      </c>
      <c r="H11" s="293">
        <v>0.03</v>
      </c>
      <c r="I11" s="293">
        <v>0.03</v>
      </c>
      <c r="J11" s="293">
        <v>3.6999999999999998E-2</v>
      </c>
      <c r="K11" s="293">
        <v>4.2999999999999997E-2</v>
      </c>
      <c r="L11" s="293">
        <v>4.4999999999999998E-2</v>
      </c>
      <c r="M11" s="293">
        <v>5.0999999999999997E-2</v>
      </c>
      <c r="N11" s="293">
        <v>5.1999999999999998E-2</v>
      </c>
      <c r="O11" s="293">
        <v>5.6000000000000001E-2</v>
      </c>
      <c r="P11" s="296" t="s">
        <v>3084</v>
      </c>
      <c r="Q11" s="293" cm="1">
        <f t="array" ref="Q11">PRODUCT(1+$D11:O11)-1</f>
        <v>0.51945525437830531</v>
      </c>
      <c r="R11" s="293" cm="1">
        <f t="array" ref="R11">PRODUCT(1+D11:O11)^(1/COUNT(D11:O11))-1</f>
        <v>3.547748356510394E-2</v>
      </c>
      <c r="S11" s="293" cm="1">
        <f t="array" ref="S11">PRODUCT(1+K11:O11)^(1/COUNT(K11:O11))-1</f>
        <v>4.9389210455740518E-2</v>
      </c>
      <c r="T11" s="293">
        <f t="shared" si="1"/>
        <v>5.6000000000000001E-2</v>
      </c>
      <c r="U11" s="293">
        <f t="shared" si="2"/>
        <v>0</v>
      </c>
      <c r="V11" s="293">
        <f t="shared" si="3"/>
        <v>1.4750470802279115E-2</v>
      </c>
      <c r="W11" s="294"/>
      <c r="X11" s="294"/>
      <c r="Y11" s="293" cm="1">
        <f t="array" ref="Y11">PRODUCT(1+$I11:M11)-1</f>
        <v>0.22354316696534959</v>
      </c>
      <c r="Z11" s="293">
        <f t="shared" si="4"/>
        <v>4.1175305970808873E-2</v>
      </c>
      <c r="AA11" s="294" t="s">
        <v>3031</v>
      </c>
      <c r="AB11" s="294" t="str">
        <f>HYPERLINK("https://employment-social-affairs.ec.europa.eu/policies-and-activities/moving-working-europe/eu-social-security-coordination/specialised-information/social-protection-systems-missoc_en","Mechanismus-/Statusquelle")</f>
        <v>Mechanismus-/Statusquelle</v>
      </c>
      <c r="AC11" s="295"/>
    </row>
    <row r="12" spans="1:46" s="138" customFormat="1" ht="54">
      <c r="A12" s="285">
        <v>11</v>
      </c>
      <c r="B12" s="286" t="s">
        <v>2217</v>
      </c>
      <c r="C12" s="287" t="s">
        <v>10</v>
      </c>
      <c r="D12" s="288">
        <v>2.0000000000000018E-3</v>
      </c>
      <c r="E12" s="288">
        <v>0</v>
      </c>
      <c r="F12" s="288">
        <v>0</v>
      </c>
      <c r="G12" s="288">
        <v>1.0999999999999899E-2</v>
      </c>
      <c r="H12" s="288">
        <v>1.0999999999999899E-2</v>
      </c>
      <c r="I12" s="288">
        <v>4.9999999999998934E-3</v>
      </c>
      <c r="J12" s="288">
        <v>0</v>
      </c>
      <c r="K12" s="288">
        <v>1.6999999999999904E-2</v>
      </c>
      <c r="L12" s="288">
        <v>0.1100000000000001</v>
      </c>
      <c r="M12" s="288">
        <v>5.4000000000000048E-2</v>
      </c>
      <c r="N12" s="288">
        <v>8.0000000000000002E-3</v>
      </c>
      <c r="O12" s="288">
        <v>1.4E-2</v>
      </c>
      <c r="P12" s="289" t="s">
        <v>2218</v>
      </c>
      <c r="Q12" s="288" cm="1">
        <f t="array" ref="Q12">PRODUCT(1+$D12:O12)-1</f>
        <v>0.25175439283715639</v>
      </c>
      <c r="R12" s="288" cm="1">
        <f t="array" ref="R12">PRODUCT(1+D12:O12)^(1/COUNT(D12:O12))-1</f>
        <v>1.8888343307364108E-2</v>
      </c>
      <c r="S12" s="288" cm="1">
        <f t="array" ref="S12">PRODUCT(1+K12:O12)^(1/COUNT(K12:O12))-1</f>
        <v>3.9912038764819746E-2</v>
      </c>
      <c r="T12" s="288">
        <f t="shared" si="1"/>
        <v>0.1100000000000001</v>
      </c>
      <c r="U12" s="288">
        <f t="shared" si="2"/>
        <v>0</v>
      </c>
      <c r="V12" s="288">
        <f t="shared" si="3"/>
        <v>3.0755306678504953E-2</v>
      </c>
      <c r="W12" s="289" t="s">
        <v>2202</v>
      </c>
      <c r="X12" s="289" t="s">
        <v>2203</v>
      </c>
      <c r="Y12" s="288" cm="1">
        <f t="array" ref="Y12">PRODUCT(1+$I12:M12)-1</f>
        <v>0.19577812489999968</v>
      </c>
      <c r="Z12" s="288">
        <f t="shared" si="4"/>
        <v>3.6406482804212548E-2</v>
      </c>
      <c r="AA12" s="289" t="s">
        <v>3032</v>
      </c>
      <c r="AB12" s="289" t="str">
        <f>HYPERLINK("https://journals.sagepub.com/doi/suppl/10.1177/09589287261430475/suppl_file/sj-pdf-1-esp-10.1177_09589287261430475.pdf","JESP/Sage Supplement 2026")</f>
        <v>JESP/Sage Supplement 2026</v>
      </c>
      <c r="AC12" s="290" t="s">
        <v>3055</v>
      </c>
    </row>
    <row r="13" spans="1:46" s="13" customFormat="1" ht="54">
      <c r="A13" s="7">
        <v>12</v>
      </c>
      <c r="B13" s="291" t="s">
        <v>2219</v>
      </c>
      <c r="C13" s="292" t="s">
        <v>11</v>
      </c>
      <c r="D13" s="293">
        <v>2.9999999999998916E-3</v>
      </c>
      <c r="E13" s="293">
        <v>8.0000000000000071E-3</v>
      </c>
      <c r="F13" s="293">
        <v>2.8000000000000025E-2</v>
      </c>
      <c r="G13" s="293">
        <v>3.6999999999999922E-2</v>
      </c>
      <c r="H13" s="293">
        <v>3.6000000000000032E-2</v>
      </c>
      <c r="I13" s="293">
        <v>2.0999999999999908E-2</v>
      </c>
      <c r="J13" s="293">
        <v>3.0000000000000027E-2</v>
      </c>
      <c r="K13" s="293">
        <v>8.6000000000000076E-2</v>
      </c>
      <c r="L13" s="293">
        <v>0.1419999999999999</v>
      </c>
      <c r="M13" s="293">
        <v>0.12000000000000011</v>
      </c>
      <c r="N13" s="293">
        <v>9.7000000000000003E-2</v>
      </c>
      <c r="O13" s="293">
        <v>2.6800000000000001E-2</v>
      </c>
      <c r="P13" s="294" t="s">
        <v>2220</v>
      </c>
      <c r="Q13" s="293" cm="1">
        <f t="array" ref="Q13">PRODUCT(1+$D13:O13)-1</f>
        <v>0.83722564025548918</v>
      </c>
      <c r="R13" s="293" cm="1">
        <f t="array" ref="R13">PRODUCT(1+D13:O13)^(1/COUNT(D13:O13))-1</f>
        <v>5.1994674942455132E-2</v>
      </c>
      <c r="S13" s="293" cm="1">
        <f t="array" ref="S13">PRODUCT(1+K13:O13)^(1/COUNT(K13:O13))-1</f>
        <v>9.3657379902579052E-2</v>
      </c>
      <c r="T13" s="293">
        <f t="shared" si="1"/>
        <v>0.1419999999999999</v>
      </c>
      <c r="U13" s="293">
        <f t="shared" si="2"/>
        <v>2.9999999999998916E-3</v>
      </c>
      <c r="V13" s="293">
        <f t="shared" si="3"/>
        <v>4.4129846287216258E-2</v>
      </c>
      <c r="W13" s="294" t="s">
        <v>2202</v>
      </c>
      <c r="X13" s="294" t="s">
        <v>2203</v>
      </c>
      <c r="Y13" s="293" cm="1">
        <f t="array" ref="Y13">PRODUCT(1+$I13:M13)-1</f>
        <v>0.4607534430272</v>
      </c>
      <c r="Z13" s="293">
        <f t="shared" si="4"/>
        <v>7.873652485677618E-2</v>
      </c>
      <c r="AA13" s="294" t="s">
        <v>3026</v>
      </c>
      <c r="AB13" s="294" t="str">
        <f>HYPERLINK("https://journals.sagepub.com/doi/suppl/10.1177/09589287261430475/suppl_file/sj-pdf-1-esp-10.1177_09589287261430475.pdf","JESP/Sage Supplement 2026")</f>
        <v>JESP/Sage Supplement 2026</v>
      </c>
      <c r="AC13" s="295" t="s">
        <v>3055</v>
      </c>
    </row>
    <row r="14" spans="1:46" s="138" customFormat="1" ht="30">
      <c r="A14" s="285">
        <v>13</v>
      </c>
      <c r="B14" s="286"/>
      <c r="C14" s="287" t="s">
        <v>12</v>
      </c>
      <c r="D14" s="288">
        <v>1.7000000000000001E-2</v>
      </c>
      <c r="E14" s="288">
        <v>4.0000000000000001E-3</v>
      </c>
      <c r="F14" s="288">
        <v>0.03</v>
      </c>
      <c r="G14" s="288">
        <v>6.3E-2</v>
      </c>
      <c r="H14" s="288">
        <v>7.1999999999999995E-2</v>
      </c>
      <c r="I14" s="288">
        <v>0.05</v>
      </c>
      <c r="J14" s="288">
        <v>1.2999999999999999E-2</v>
      </c>
      <c r="K14" s="288">
        <v>8.8999999999999996E-2</v>
      </c>
      <c r="L14" s="288">
        <v>0.123</v>
      </c>
      <c r="M14" s="288">
        <v>9.9000000000000005E-2</v>
      </c>
      <c r="N14" s="288">
        <v>6.0999999999999999E-2</v>
      </c>
      <c r="O14" s="288"/>
      <c r="P14" s="289"/>
      <c r="Q14" s="288" cm="1">
        <f t="array" ref="Q14">PRODUCT(1+$D14:O14)-1</f>
        <v>0.81777194807196429</v>
      </c>
      <c r="R14" s="288" cm="1">
        <f t="array" ref="R14">PRODUCT(1+D14:O14)^(1/COUNT(D14:O14))-1</f>
        <v>5.5831198324047149E-2</v>
      </c>
      <c r="S14" s="288" cm="1">
        <f t="array" ref="S14">PRODUCT(1+K14:O14)^(1/COUNT(K14:O14))-1</f>
        <v>9.2773558773427078E-2</v>
      </c>
      <c r="T14" s="288">
        <f t="shared" si="1"/>
        <v>0.123</v>
      </c>
      <c r="U14" s="288">
        <f t="shared" si="2"/>
        <v>4.0000000000000001E-3</v>
      </c>
      <c r="V14" s="288">
        <f t="shared" si="3"/>
        <v>3.6357726792535613E-2</v>
      </c>
      <c r="W14" s="289"/>
      <c r="X14" s="289"/>
      <c r="Y14" s="288" cm="1">
        <f t="array" ref="Y14">PRODUCT(1+$I14:M14)-1</f>
        <v>0.42956554662845003</v>
      </c>
      <c r="Z14" s="288">
        <f t="shared" si="4"/>
        <v>7.4090349567474512E-2</v>
      </c>
      <c r="AA14" s="289" t="s">
        <v>3033</v>
      </c>
      <c r="AB14" s="289" t="str">
        <f>HYPERLINK("https://www.parlament.gv.at/dokument/XXVII/EU/187913/imfname_11382449.pdf","Mechanismus-/Statusquelle")</f>
        <v>Mechanismus-/Statusquelle</v>
      </c>
      <c r="AC14" s="290"/>
    </row>
    <row r="15" spans="1:46" s="13" customFormat="1" ht="45">
      <c r="A15" s="7">
        <v>14</v>
      </c>
      <c r="B15" s="291"/>
      <c r="C15" s="292" t="s">
        <v>13</v>
      </c>
      <c r="D15" s="293">
        <v>4.0000000000000001E-3</v>
      </c>
      <c r="E15" s="293">
        <v>0</v>
      </c>
      <c r="F15" s="293">
        <v>0</v>
      </c>
      <c r="G15" s="293">
        <v>0</v>
      </c>
      <c r="H15" s="293">
        <v>8.9999999999999993E-3</v>
      </c>
      <c r="I15" s="293">
        <v>0</v>
      </c>
      <c r="J15" s="293">
        <v>0</v>
      </c>
      <c r="K15" s="293">
        <v>0</v>
      </c>
      <c r="L15" s="293">
        <v>2.5000000000000001E-2</v>
      </c>
      <c r="M15" s="293">
        <v>0</v>
      </c>
      <c r="N15" s="293">
        <v>2.9000000000000001E-2</v>
      </c>
      <c r="O15" s="293">
        <v>0</v>
      </c>
      <c r="P15" s="294"/>
      <c r="Q15" s="293" cm="1">
        <f t="array" ref="Q15">PRODUCT(1+$D15:O15)-1</f>
        <v>6.847439509999953E-2</v>
      </c>
      <c r="R15" s="293" cm="1">
        <f t="array" ref="R15">PRODUCT(1+D15:O15)^(1/COUNT(D15:O15))-1</f>
        <v>5.5345788443725841E-3</v>
      </c>
      <c r="S15" s="293" cm="1">
        <f t="array" ref="S15">PRODUCT(1+K15:O15)^(1/COUNT(K15:O15))-1</f>
        <v>1.0712991409024042E-2</v>
      </c>
      <c r="T15" s="293">
        <f t="shared" si="1"/>
        <v>2.9000000000000001E-2</v>
      </c>
      <c r="U15" s="293">
        <f t="shared" si="2"/>
        <v>0</v>
      </c>
      <c r="V15" s="293">
        <f t="shared" si="3"/>
        <v>9.9537123169644044E-3</v>
      </c>
      <c r="W15" s="294"/>
      <c r="X15" s="294"/>
      <c r="Y15" s="293" cm="1">
        <f t="array" ref="Y15">PRODUCT(1+$I15:M15)-1</f>
        <v>2.4999999999999911E-2</v>
      </c>
      <c r="Z15" s="293">
        <f t="shared" si="4"/>
        <v>4.9507371194885685E-3</v>
      </c>
      <c r="AA15" s="294" t="s">
        <v>3034</v>
      </c>
      <c r="AB15" s="294" t="str">
        <f>HYPERLINK("https://www.ahv.li/leistungen/ahv/teuerungsanpassung","Mechanismus-/Statusquelle")</f>
        <v>Mechanismus-/Statusquelle</v>
      </c>
      <c r="AC15" s="295"/>
    </row>
    <row r="16" spans="1:46" s="138" customFormat="1" ht="30">
      <c r="A16" s="285">
        <v>15</v>
      </c>
      <c r="B16" s="286"/>
      <c r="C16" s="287" t="s">
        <v>14</v>
      </c>
      <c r="D16" s="288">
        <v>0</v>
      </c>
      <c r="E16" s="288">
        <v>0</v>
      </c>
      <c r="F16" s="288">
        <v>7.0999999999999994E-2</v>
      </c>
      <c r="G16" s="288">
        <v>6.9000000000000006E-2</v>
      </c>
      <c r="H16" s="288">
        <v>8.1000000000000003E-2</v>
      </c>
      <c r="I16" s="288">
        <v>8.1000000000000003E-2</v>
      </c>
      <c r="J16" s="288">
        <v>9.6000000000000002E-2</v>
      </c>
      <c r="K16" s="288">
        <v>0.11</v>
      </c>
      <c r="L16" s="288">
        <v>0.08</v>
      </c>
      <c r="M16" s="288">
        <v>0.09</v>
      </c>
      <c r="N16" s="288">
        <v>7.4999999999999997E-2</v>
      </c>
      <c r="O16" s="288">
        <v>0.12</v>
      </c>
      <c r="P16" s="289"/>
      <c r="Q16" s="288" cm="1">
        <f t="array" ref="Q16">PRODUCT(1+$D16:O16)-1</f>
        <v>1.3069003622332418</v>
      </c>
      <c r="R16" s="288" cm="1">
        <f t="array" ref="R16">PRODUCT(1+D16:O16)^(1/COUNT(D16:O16))-1</f>
        <v>7.2142231420383007E-2</v>
      </c>
      <c r="S16" s="288" cm="1">
        <f t="array" ref="S16">PRODUCT(1+K16:O16)^(1/COUNT(K16:O16))-1</f>
        <v>9.4863414550055758E-2</v>
      </c>
      <c r="T16" s="288">
        <f t="shared" si="1"/>
        <v>0.12</v>
      </c>
      <c r="U16" s="288">
        <f t="shared" si="2"/>
        <v>0</v>
      </c>
      <c r="V16" s="288">
        <f t="shared" si="3"/>
        <v>3.5653716496320563E-2</v>
      </c>
      <c r="W16" s="289"/>
      <c r="X16" s="289"/>
      <c r="Y16" s="288" cm="1">
        <f t="array" ref="Y16">PRODUCT(1+$I16:M16)-1</f>
        <v>0.54813732099200041</v>
      </c>
      <c r="Z16" s="288">
        <f t="shared" si="4"/>
        <v>9.1344580340888326E-2</v>
      </c>
      <c r="AA16" s="289" t="s">
        <v>3035</v>
      </c>
      <c r="AB16" s="289" t="str">
        <f>HYPERLINK("https://www.parlament.gv.at/dokument/XXVII/EU/187913/imfname_11382449.pdf","Mechanismus-/Statusquelle")</f>
        <v>Mechanismus-/Statusquelle</v>
      </c>
      <c r="AC16" s="290"/>
    </row>
    <row r="17" spans="1:34" s="13" customFormat="1" ht="54">
      <c r="A17" s="7">
        <v>16</v>
      </c>
      <c r="B17" s="291" t="s">
        <v>2221</v>
      </c>
      <c r="C17" s="292" t="s">
        <v>15</v>
      </c>
      <c r="D17" s="293">
        <v>0</v>
      </c>
      <c r="E17" s="293">
        <v>4.9999999999998934E-3</v>
      </c>
      <c r="F17" s="293">
        <v>3.400000000000003E-2</v>
      </c>
      <c r="G17" s="293">
        <v>2.8000000000000025E-2</v>
      </c>
      <c r="H17" s="293">
        <v>8.0000000000000071E-3</v>
      </c>
      <c r="I17" s="293">
        <v>4.0000000000000036E-2</v>
      </c>
      <c r="J17" s="293">
        <v>3.8000000000000034E-2</v>
      </c>
      <c r="K17" s="293">
        <v>3.6000000000000032E-2</v>
      </c>
      <c r="L17" s="293">
        <v>9.8999999999999977E-2</v>
      </c>
      <c r="M17" s="293">
        <v>1.0999999999999899E-2</v>
      </c>
      <c r="N17" s="293">
        <v>1.6E-2</v>
      </c>
      <c r="O17" s="293">
        <v>1.4999999999999999E-2</v>
      </c>
      <c r="P17" s="294" t="s">
        <v>2222</v>
      </c>
      <c r="Q17" s="293" cm="1">
        <f t="array" ref="Q17">PRODUCT(1+$D17:O17)-1</f>
        <v>0.37987356184973242</v>
      </c>
      <c r="R17" s="293" cm="1">
        <f t="array" ref="R17">PRODUCT(1+D17:O17)^(1/COUNT(D17:O17))-1</f>
        <v>2.7195893406488647E-2</v>
      </c>
      <c r="S17" s="293" cm="1">
        <f t="array" ref="S17">PRODUCT(1+K17:O17)^(1/COUNT(K17:O17))-1</f>
        <v>3.4888761561822523E-2</v>
      </c>
      <c r="T17" s="293">
        <f t="shared" si="1"/>
        <v>9.8999999999999977E-2</v>
      </c>
      <c r="U17" s="293">
        <f t="shared" si="2"/>
        <v>0</v>
      </c>
      <c r="V17" s="293">
        <f t="shared" si="3"/>
        <v>2.5326205137498725E-2</v>
      </c>
      <c r="W17" s="294" t="s">
        <v>2202</v>
      </c>
      <c r="X17" s="294" t="s">
        <v>2203</v>
      </c>
      <c r="Y17" s="293" cm="1">
        <f t="array" ref="Y17">PRODUCT(1+$I17:M17)-1</f>
        <v>0.24262273798207978</v>
      </c>
      <c r="Z17" s="293">
        <f t="shared" si="4"/>
        <v>4.4402395434389508E-2</v>
      </c>
      <c r="AA17" s="294" t="s">
        <v>3036</v>
      </c>
      <c r="AB17" s="294" t="str">
        <f>HYPERLINK("https://journals.sagepub.com/doi/suppl/10.1177/09589287261430475/suppl_file/sj-pdf-1-esp-10.1177_09589287261430475.pdf","JESP/Sage Supplement 2026")</f>
        <v>JESP/Sage Supplement 2026</v>
      </c>
      <c r="AC17" s="295" t="s">
        <v>3055</v>
      </c>
    </row>
    <row r="18" spans="1:34" s="138" customFormat="1" ht="81">
      <c r="A18" s="285">
        <v>17</v>
      </c>
      <c r="B18" s="286"/>
      <c r="C18" s="287" t="s">
        <v>16</v>
      </c>
      <c r="D18" s="288">
        <v>0</v>
      </c>
      <c r="E18" s="288">
        <v>1.6E-2</v>
      </c>
      <c r="F18" s="288">
        <v>1.6E-2</v>
      </c>
      <c r="G18" s="288">
        <v>8.0000000000000002E-3</v>
      </c>
      <c r="H18" s="288">
        <v>8.0000000000000002E-3</v>
      </c>
      <c r="I18" s="288">
        <v>1.4E-2</v>
      </c>
      <c r="J18" s="288">
        <v>1.2999999999999999E-2</v>
      </c>
      <c r="K18" s="288">
        <v>0.02</v>
      </c>
      <c r="L18" s="288">
        <v>4.7E-2</v>
      </c>
      <c r="M18" s="288">
        <v>5.6000000000000001E-2</v>
      </c>
      <c r="N18" s="288">
        <v>5.2999999999999999E-2</v>
      </c>
      <c r="O18" s="288">
        <v>0.04</v>
      </c>
      <c r="P18" s="289" t="s">
        <v>3085</v>
      </c>
      <c r="Q18" s="288" cm="1">
        <f t="array" ref="Q18">PRODUCT(1+$D18:O18)-1</f>
        <v>0.33054130918652347</v>
      </c>
      <c r="R18" s="288" cm="1">
        <f t="array" ref="R18">PRODUCT(1+D18:O18)^(1/COUNT(D18:O18))-1</f>
        <v>2.4084273497456454E-2</v>
      </c>
      <c r="S18" s="288" cm="1">
        <f t="array" ref="S18">PRODUCT(1+K18:O18)^(1/COUNT(K18:O18))-1</f>
        <v>4.3120538272667375E-2</v>
      </c>
      <c r="T18" s="288">
        <f t="shared" si="1"/>
        <v>5.6000000000000001E-2</v>
      </c>
      <c r="U18" s="288">
        <f t="shared" si="2"/>
        <v>0</v>
      </c>
      <c r="V18" s="288">
        <f t="shared" si="3"/>
        <v>1.848929870672944E-2</v>
      </c>
      <c r="W18" s="289"/>
      <c r="X18" s="289"/>
      <c r="Y18" s="288" cm="1">
        <f t="array" ref="Y18">PRODUCT(1+$I18:M18)-1</f>
        <v>0.15839899480447994</v>
      </c>
      <c r="Z18" s="288">
        <f t="shared" si="4"/>
        <v>2.9844453667635662E-2</v>
      </c>
      <c r="AA18" s="289" t="s">
        <v>3037</v>
      </c>
      <c r="AB18" s="289" t="str">
        <f>HYPERLINK("https://www.parlament.gv.at/dokument/XXVII/EU/187913/imfname_11382449.pdf","Mechanismus-/Statusquelle")</f>
        <v>Mechanismus-/Statusquelle</v>
      </c>
      <c r="AC18" s="290"/>
    </row>
    <row r="19" spans="1:34" s="13" customFormat="1" ht="45">
      <c r="A19" s="7">
        <v>18</v>
      </c>
      <c r="B19" s="291"/>
      <c r="C19" s="292" t="s">
        <v>17</v>
      </c>
      <c r="D19" s="293"/>
      <c r="E19" s="293">
        <v>3.1809127045489716E-2</v>
      </c>
      <c r="F19" s="293">
        <v>1.6979036267785665E-2</v>
      </c>
      <c r="G19" s="293">
        <v>1.4060332871012507E-2</v>
      </c>
      <c r="H19" s="293">
        <v>2.103742456104369E-2</v>
      </c>
      <c r="I19" s="293">
        <v>6.3829609102249607E-2</v>
      </c>
      <c r="J19" s="293">
        <v>2.6285345526375205E-3</v>
      </c>
      <c r="K19" s="293">
        <v>2.1185077040211622E-2</v>
      </c>
      <c r="L19" s="293">
        <v>0.12079169869331291</v>
      </c>
      <c r="M19" s="293">
        <v>5.718204574289331E-2</v>
      </c>
      <c r="N19" s="293">
        <v>2.5552535468009122E-2</v>
      </c>
      <c r="O19" s="293">
        <v>3.5833565265794516E-2</v>
      </c>
      <c r="P19" s="294"/>
      <c r="Q19" s="293" cm="1">
        <f t="array" ref="Q19">PRODUCT(1+$D19:O19)-1</f>
        <v>0.48955310768894922</v>
      </c>
      <c r="R19" s="293" cm="1">
        <f t="array" ref="R19">PRODUCT(1+D19:O19)^(1/COUNT(D19:O19))-1</f>
        <v>3.6889228441014055E-2</v>
      </c>
      <c r="S19" s="293" cm="1">
        <f t="array" ref="S19">PRODUCT(1+K19:O19)^(1/COUNT(K19:O19))-1</f>
        <v>5.149063085905814E-2</v>
      </c>
      <c r="T19" s="293">
        <f t="shared" si="1"/>
        <v>0.12079169869331291</v>
      </c>
      <c r="U19" s="293">
        <f t="shared" si="2"/>
        <v>2.6285345526375205E-3</v>
      </c>
      <c r="V19" s="293">
        <f t="shared" si="3"/>
        <v>3.150692199401562E-2</v>
      </c>
      <c r="W19" s="294"/>
      <c r="X19" s="294"/>
      <c r="Y19" s="293" cm="1">
        <f t="array" ref="Y19">PRODUCT(1+$I19:M19)-1</f>
        <v>0.29059886305601812</v>
      </c>
      <c r="Z19" s="293">
        <f t="shared" si="4"/>
        <v>5.2345275498289823E-2</v>
      </c>
      <c r="AA19" s="294" t="s">
        <v>3038</v>
      </c>
      <c r="AB19" s="294" t="str">
        <f>HYPERLINK("https://www.svb.nl/en/aow-pension/aow-pension-rates/previous-aow-pension-rates","Mechanismus-/Statusquelle")</f>
        <v>Mechanismus-/Statusquelle</v>
      </c>
      <c r="AC19" s="295"/>
    </row>
    <row r="20" spans="1:34" s="138" customFormat="1" ht="87">
      <c r="A20" s="285">
        <v>19</v>
      </c>
      <c r="B20" s="286"/>
      <c r="C20" s="287" t="s">
        <v>18</v>
      </c>
      <c r="D20" s="288">
        <v>1.95E-2</v>
      </c>
      <c r="E20" s="288">
        <v>1.6500000000000001E-2</v>
      </c>
      <c r="F20" s="288">
        <v>1.55E-2</v>
      </c>
      <c r="G20" s="288">
        <v>2.0500000000000001E-2</v>
      </c>
      <c r="H20" s="288">
        <v>2.75E-2</v>
      </c>
      <c r="I20" s="288">
        <v>9.4999999999999998E-3</v>
      </c>
      <c r="J20" s="288">
        <v>2.2499999999999999E-2</v>
      </c>
      <c r="K20" s="288">
        <v>2.9499999999999998E-2</v>
      </c>
      <c r="L20" s="288">
        <v>4.4499999999999998E-2</v>
      </c>
      <c r="M20" s="288">
        <v>4.1500000000000002E-2</v>
      </c>
      <c r="N20" s="288">
        <v>3.7499999999999999E-2</v>
      </c>
      <c r="O20" s="288">
        <v>4.0500000000000001E-2</v>
      </c>
      <c r="P20" s="289" t="s">
        <v>3073</v>
      </c>
      <c r="Q20" s="288" cm="1">
        <f t="array" ref="Q20">PRODUCT(1+$D20:O20)-1</f>
        <v>0.37709302908364717</v>
      </c>
      <c r="R20" s="288" cm="1">
        <f t="array" ref="R20">PRODUCT(1+D20:O20)^(1/COUNT(D20:O20))-1</f>
        <v>2.7023245154678799E-2</v>
      </c>
      <c r="S20" s="288" cm="1">
        <f t="array" ref="S20">PRODUCT(1+K20:O20)^(1/COUNT(K20:O20))-1</f>
        <v>3.8687372587395519E-2</v>
      </c>
      <c r="T20" s="288">
        <f t="shared" si="1"/>
        <v>4.4499999999999998E-2</v>
      </c>
      <c r="U20" s="288">
        <f t="shared" si="2"/>
        <v>9.4999999999999998E-3</v>
      </c>
      <c r="V20" s="288">
        <f t="shared" si="3"/>
        <v>1.111649175274685E-2</v>
      </c>
      <c r="W20" s="289"/>
      <c r="X20" s="289"/>
      <c r="Y20" s="288" cm="1">
        <f t="array" ref="Y20">PRODUCT(1+$I20:M20)-1</f>
        <v>0.1560156392534755</v>
      </c>
      <c r="Z20" s="288">
        <f t="shared" si="4"/>
        <v>2.9420332444735298E-2</v>
      </c>
      <c r="AA20" s="289" t="s">
        <v>3039</v>
      </c>
      <c r="AB20" s="289" t="str">
        <f>HYPERLINK("https://www.nav.no/en/home/rules-and-regulations/basic-amount","Mechanismus-/Statusquelle")</f>
        <v>Mechanismus-/Statusquelle</v>
      </c>
      <c r="AC20" s="290"/>
    </row>
    <row r="21" spans="1:34" s="13" customFormat="1" ht="54">
      <c r="A21" s="7">
        <v>20</v>
      </c>
      <c r="B21" s="291" t="s">
        <v>2223</v>
      </c>
      <c r="C21" s="292" t="s">
        <v>19</v>
      </c>
      <c r="D21" s="293">
        <v>1.6999999999999904E-2</v>
      </c>
      <c r="E21" s="293">
        <v>1.6000000000000014E-2</v>
      </c>
      <c r="F21" s="293">
        <v>8.0000000000000071E-3</v>
      </c>
      <c r="G21" s="293">
        <v>1.6000000000000014E-2</v>
      </c>
      <c r="H21" s="293">
        <v>2.0000000000000018E-2</v>
      </c>
      <c r="I21" s="293">
        <v>1.8000000000000016E-2</v>
      </c>
      <c r="J21" s="293">
        <v>1.4999999999999902E-2</v>
      </c>
      <c r="K21" s="293">
        <v>1.8000000000000016E-2</v>
      </c>
      <c r="L21" s="293">
        <v>5.8000000000000052E-2</v>
      </c>
      <c r="M21" s="293">
        <v>9.6999999999999975E-2</v>
      </c>
      <c r="N21" s="293">
        <v>4.5999999999999999E-2</v>
      </c>
      <c r="O21" s="293">
        <v>2.7E-2</v>
      </c>
      <c r="P21" s="294" t="s">
        <v>2224</v>
      </c>
      <c r="Q21" s="293" cm="1">
        <f t="array" ref="Q21">PRODUCT(1+$D21:O21)-1</f>
        <v>0.41554960964771803</v>
      </c>
      <c r="R21" s="293" cm="1">
        <f t="array" ref="R21">PRODUCT(1+D21:O21)^(1/COUNT(D21:O21))-1</f>
        <v>2.9383235804626873E-2</v>
      </c>
      <c r="S21" s="293" cm="1">
        <f t="array" ref="S21">PRODUCT(1+K21:O21)^(1/COUNT(K21:O21))-1</f>
        <v>4.8838064182893159E-2</v>
      </c>
      <c r="T21" s="293">
        <f t="shared" si="1"/>
        <v>9.6999999999999975E-2</v>
      </c>
      <c r="U21" s="293">
        <f t="shared" si="2"/>
        <v>8.0000000000000071E-3</v>
      </c>
      <c r="V21" s="293">
        <f t="shared" si="3"/>
        <v>2.4485823562942613E-2</v>
      </c>
      <c r="W21" s="294" t="s">
        <v>2202</v>
      </c>
      <c r="X21" s="294" t="s">
        <v>2203</v>
      </c>
      <c r="Y21" s="293" cm="1">
        <f t="array" ref="Y21">PRODUCT(1+$I21:M21)-1</f>
        <v>0.2208263475063601</v>
      </c>
      <c r="Z21" s="293">
        <f t="shared" si="4"/>
        <v>4.0712518691233601E-2</v>
      </c>
      <c r="AA21" s="294" t="s">
        <v>3040</v>
      </c>
      <c r="AB21" s="294" t="str">
        <f>HYPERLINK("https://journals.sagepub.com/doi/suppl/10.1177/09589287261430475/suppl_file/sj-pdf-1-esp-10.1177_09589287261430475.pdf","JESP/Sage Supplement 2026")</f>
        <v>JESP/Sage Supplement 2026</v>
      </c>
      <c r="AC21" s="295" t="s">
        <v>3055</v>
      </c>
    </row>
    <row r="22" spans="1:34" s="138" customFormat="1" ht="54">
      <c r="A22" s="285">
        <v>21</v>
      </c>
      <c r="B22" s="286" t="s">
        <v>2225</v>
      </c>
      <c r="C22" s="287" t="s">
        <v>20</v>
      </c>
      <c r="D22" s="288">
        <v>6.9999999999998952E-3</v>
      </c>
      <c r="E22" s="288">
        <v>2.0000000000000018E-3</v>
      </c>
      <c r="F22" s="288">
        <v>4.0000000000000036E-3</v>
      </c>
      <c r="G22" s="288">
        <v>3.0000000000000027E-2</v>
      </c>
      <c r="H22" s="288">
        <v>2.8999999999999915E-2</v>
      </c>
      <c r="I22" s="288">
        <v>3.6000000000000032E-2</v>
      </c>
      <c r="J22" s="288">
        <v>4.2000000000000037E-2</v>
      </c>
      <c r="K22" s="288">
        <v>7.0000000000000062E-2</v>
      </c>
      <c r="L22" s="288">
        <v>0.14799999999999991</v>
      </c>
      <c r="M22" s="288">
        <v>0.121</v>
      </c>
      <c r="N22" s="288">
        <v>5.5E-2</v>
      </c>
      <c r="O22" s="288">
        <v>5.2999999999999999E-2</v>
      </c>
      <c r="P22" s="289" t="s">
        <v>2226</v>
      </c>
      <c r="Q22" s="288" cm="1">
        <f t="array" ref="Q22">PRODUCT(1+$D22:O22)-1</f>
        <v>0.77305859397215815</v>
      </c>
      <c r="R22" s="288" cm="1">
        <f t="array" ref="R22">PRODUCT(1+D22:O22)^(1/COUNT(D22:O22))-1</f>
        <v>4.8882704012937594E-2</v>
      </c>
      <c r="S22" s="288" cm="1">
        <f t="array" ref="S22">PRODUCT(1+K22:O22)^(1/COUNT(K22:O22))-1</f>
        <v>8.8735594760912306E-2</v>
      </c>
      <c r="T22" s="288">
        <f t="shared" si="1"/>
        <v>0.14799999999999991</v>
      </c>
      <c r="U22" s="288">
        <f t="shared" si="2"/>
        <v>2.0000000000000018E-3</v>
      </c>
      <c r="V22" s="288">
        <f t="shared" si="3"/>
        <v>4.3251445062564078E-2</v>
      </c>
      <c r="W22" s="289" t="s">
        <v>2202</v>
      </c>
      <c r="X22" s="289" t="s">
        <v>2203</v>
      </c>
      <c r="Y22" s="288" cm="1">
        <f t="array" ref="Y22">PRODUCT(1+$I22:M22)-1</f>
        <v>0.48647891291871992</v>
      </c>
      <c r="Z22" s="288">
        <f t="shared" si="4"/>
        <v>8.250958518095719E-2</v>
      </c>
      <c r="AA22" s="289" t="s">
        <v>3041</v>
      </c>
      <c r="AB22" s="289" t="str">
        <f>HYPERLINK("https://journals.sagepub.com/doi/suppl/10.1177/09589287261430475/suppl_file/sj-pdf-1-esp-10.1177_09589287261430475.pdf","JESP/Sage Supplement 2026")</f>
        <v>JESP/Sage Supplement 2026</v>
      </c>
      <c r="AC22" s="290" t="s">
        <v>3055</v>
      </c>
    </row>
    <row r="23" spans="1:34" s="13" customFormat="1" ht="54">
      <c r="A23" s="7">
        <v>22</v>
      </c>
      <c r="B23" s="291" t="s">
        <v>2227</v>
      </c>
      <c r="C23" s="292" t="s">
        <v>21</v>
      </c>
      <c r="D23" s="293">
        <v>0</v>
      </c>
      <c r="E23" s="293">
        <v>0</v>
      </c>
      <c r="F23" s="293">
        <v>4.9999999999998934E-3</v>
      </c>
      <c r="G23" s="293">
        <v>1.8000000000000016E-2</v>
      </c>
      <c r="H23" s="293">
        <v>1.0000000000000009E-2</v>
      </c>
      <c r="I23" s="293">
        <v>1.2000000000000011E-2</v>
      </c>
      <c r="J23" s="293">
        <v>0</v>
      </c>
      <c r="K23" s="293">
        <v>1.0000000000000009E-2</v>
      </c>
      <c r="L23" s="293">
        <v>8.6000000000000076E-2</v>
      </c>
      <c r="M23" s="293">
        <v>5.699999999999994E-2</v>
      </c>
      <c r="N23" s="293">
        <v>0.02</v>
      </c>
      <c r="O23" s="293">
        <v>2.3E-2</v>
      </c>
      <c r="P23" s="294" t="s">
        <v>2228</v>
      </c>
      <c r="Q23" s="293" cm="1">
        <f t="array" ref="Q23">PRODUCT(1+$D23:O23)-1</f>
        <v>0.26507920754139036</v>
      </c>
      <c r="R23" s="293" cm="1">
        <f t="array" ref="R23">PRODUCT(1+D23:O23)^(1/COUNT(D23:O23))-1</f>
        <v>1.9787794699524186E-2</v>
      </c>
      <c r="S23" s="293" cm="1">
        <f t="array" ref="S23">PRODUCT(1+K23:O23)^(1/COUNT(K23:O23))-1</f>
        <v>3.8820229681469254E-2</v>
      </c>
      <c r="T23" s="293">
        <f t="shared" si="1"/>
        <v>8.6000000000000076E-2</v>
      </c>
      <c r="U23" s="293">
        <f t="shared" si="2"/>
        <v>0</v>
      </c>
      <c r="V23" s="293">
        <f t="shared" si="3"/>
        <v>2.4877896257968091E-2</v>
      </c>
      <c r="W23" s="294" t="s">
        <v>2202</v>
      </c>
      <c r="X23" s="294" t="s">
        <v>2203</v>
      </c>
      <c r="Y23" s="293" cm="1">
        <f t="array" ref="Y23">PRODUCT(1+$I23:M23)-1</f>
        <v>0.17329359223999985</v>
      </c>
      <c r="Z23" s="293">
        <f t="shared" si="4"/>
        <v>3.2479267784301546E-2</v>
      </c>
      <c r="AA23" s="294" t="s">
        <v>3042</v>
      </c>
      <c r="AB23" s="294" t="str">
        <f>HYPERLINK("https://journals.sagepub.com/doi/suppl/10.1177/09589287261430475/suppl_file/sj-pdf-1-esp-10.1177_09589287261430475.pdf","JESP/Sage Supplement 2026")</f>
        <v>JESP/Sage Supplement 2026</v>
      </c>
      <c r="AC23" s="295" t="s">
        <v>3055</v>
      </c>
      <c r="AG23" s="306">
        <f>_xlfn.RRI(11,86.6,95.9)</f>
        <v>9.3164179974567496E-3</v>
      </c>
      <c r="AH23" s="306">
        <f>_xlfn.RRI(11,87,95.6)</f>
        <v>8.6063417425725763E-3</v>
      </c>
    </row>
    <row r="24" spans="1:34" s="138" customFormat="1" ht="54">
      <c r="A24" s="285">
        <v>23</v>
      </c>
      <c r="B24" s="286" t="s">
        <v>2229</v>
      </c>
      <c r="C24" s="287" t="s">
        <v>22</v>
      </c>
      <c r="D24" s="288">
        <v>5.0000000000000044E-2</v>
      </c>
      <c r="E24" s="288">
        <v>5.0000000000000044E-2</v>
      </c>
      <c r="F24" s="288">
        <v>0.14700000000000002</v>
      </c>
      <c r="G24" s="288">
        <v>0.10000000000000009</v>
      </c>
      <c r="H24" s="288">
        <v>0.14999999999999991</v>
      </c>
      <c r="I24" s="288">
        <v>0.1399999999999999</v>
      </c>
      <c r="J24" s="288">
        <v>0</v>
      </c>
      <c r="K24" s="288">
        <v>0.10000000000000009</v>
      </c>
      <c r="L24" s="288">
        <v>0.12599999999999989</v>
      </c>
      <c r="M24" s="288">
        <v>0.1379999999999999</v>
      </c>
      <c r="N24" s="288">
        <v>0</v>
      </c>
      <c r="O24" s="288">
        <v>0</v>
      </c>
      <c r="P24" s="289" t="s">
        <v>2230</v>
      </c>
      <c r="Q24" s="288" cm="1">
        <f t="array" ref="Q24">PRODUCT(1+$D24:O24)-1</f>
        <v>1.570459293330444</v>
      </c>
      <c r="R24" s="288" cm="1">
        <f t="array" ref="R24">PRODUCT(1+D24:O24)^(1/COUNT(D24:O24))-1</f>
        <v>8.1851274102917593E-2</v>
      </c>
      <c r="S24" s="288" cm="1">
        <f t="array" ref="S24">PRODUCT(1+K24:O24)^(1/COUNT(K24:O24))-1</f>
        <v>7.1062138630280103E-2</v>
      </c>
      <c r="T24" s="288">
        <f t="shared" si="1"/>
        <v>0.14999999999999991</v>
      </c>
      <c r="U24" s="288">
        <f t="shared" si="2"/>
        <v>0</v>
      </c>
      <c r="V24" s="288">
        <f t="shared" si="3"/>
        <v>5.7827989666673414E-2</v>
      </c>
      <c r="W24" s="289" t="s">
        <v>2202</v>
      </c>
      <c r="X24" s="289" t="s">
        <v>2203</v>
      </c>
      <c r="Y24" s="288" cm="1">
        <f t="array" ref="Y24">PRODUCT(1+$I24:M24)-1</f>
        <v>0.60686055199999966</v>
      </c>
      <c r="Z24" s="288">
        <f t="shared" si="4"/>
        <v>9.9501023100392993E-2</v>
      </c>
      <c r="AA24" s="289" t="s">
        <v>3043</v>
      </c>
      <c r="AB24" s="289" t="str">
        <f>HYPERLINK("https://journals.sagepub.com/doi/suppl/10.1177/09589287261430475/suppl_file/sj-pdf-1-esp-10.1177_09589287261430475.pdf","JESP/Sage Supplement 2026")</f>
        <v>JESP/Sage Supplement 2026</v>
      </c>
      <c r="AC24" s="290" t="s">
        <v>3055</v>
      </c>
    </row>
    <row r="25" spans="1:34" s="13" customFormat="1" ht="54">
      <c r="A25" s="7">
        <v>24</v>
      </c>
      <c r="B25" s="291" t="s">
        <v>2231</v>
      </c>
      <c r="C25" s="292" t="s">
        <v>23</v>
      </c>
      <c r="D25" s="293">
        <v>8.999999999999897E-3</v>
      </c>
      <c r="E25" s="293">
        <v>4.2000000000000037E-2</v>
      </c>
      <c r="F25" s="293">
        <v>2.8000000000000025E-2</v>
      </c>
      <c r="G25" s="293">
        <v>1.0000000000000009E-2</v>
      </c>
      <c r="H25" s="293">
        <v>1.4000000000000012E-2</v>
      </c>
      <c r="I25" s="293">
        <v>2.0999999999999908E-2</v>
      </c>
      <c r="J25" s="293">
        <v>4.9999999999998934E-3</v>
      </c>
      <c r="K25" s="293">
        <v>2.4999999999999911E-2</v>
      </c>
      <c r="L25" s="293">
        <v>3.0000000000000027E-2</v>
      </c>
      <c r="M25" s="293">
        <v>1.0000000000000009E-2</v>
      </c>
      <c r="N25" s="293">
        <v>0.04</v>
      </c>
      <c r="O25" s="293">
        <v>1.9E-2</v>
      </c>
      <c r="P25" s="294" t="s">
        <v>2232</v>
      </c>
      <c r="Q25" s="293" cm="1">
        <f t="array" ref="Q25">PRODUCT(1+$D25:O25)-1</f>
        <v>0.28349186289408834</v>
      </c>
      <c r="R25" s="293" cm="1">
        <f t="array" ref="R25">PRODUCT(1+D25:O25)^(1/COUNT(D25:O25))-1</f>
        <v>2.1016498756478486E-2</v>
      </c>
      <c r="S25" s="293" cm="1">
        <f t="array" ref="S25">PRODUCT(1+K25:O25)^(1/COUNT(K25:O25))-1</f>
        <v>2.4750166228277859E-2</v>
      </c>
      <c r="T25" s="293">
        <f t="shared" si="1"/>
        <v>4.2000000000000037E-2</v>
      </c>
      <c r="U25" s="293">
        <f t="shared" si="2"/>
        <v>4.9999999999998934E-3</v>
      </c>
      <c r="V25" s="293">
        <f t="shared" si="3"/>
        <v>1.1700842799654342E-2</v>
      </c>
      <c r="W25" s="294" t="s">
        <v>2202</v>
      </c>
      <c r="X25" s="294" t="s">
        <v>2203</v>
      </c>
      <c r="Y25" s="293" cm="1">
        <f t="array" ref="Y25">PRODUCT(1+$I25:M25)-1</f>
        <v>9.4143457287499732E-2</v>
      </c>
      <c r="Z25" s="293">
        <f t="shared" si="4"/>
        <v>1.8157239338323583E-2</v>
      </c>
      <c r="AA25" s="294" t="s">
        <v>3044</v>
      </c>
      <c r="AB25" s="294" t="str">
        <f>HYPERLINK("https://journals.sagepub.com/doi/suppl/10.1177/09589287261430475/suppl_file/sj-pdf-1-esp-10.1177_09589287261430475.pdf","JESP/Sage Supplement 2026")</f>
        <v>JESP/Sage Supplement 2026</v>
      </c>
      <c r="AC25" s="295" t="s">
        <v>3055</v>
      </c>
    </row>
    <row r="26" spans="1:34" s="138" customFormat="1" ht="45">
      <c r="A26" s="285">
        <v>25</v>
      </c>
      <c r="B26" s="286"/>
      <c r="C26" s="287" t="s">
        <v>24</v>
      </c>
      <c r="D26" s="288">
        <v>4.3E-3</v>
      </c>
      <c r="E26" s="288">
        <v>0</v>
      </c>
      <c r="F26" s="288">
        <v>0</v>
      </c>
      <c r="G26" s="288">
        <v>0</v>
      </c>
      <c r="H26" s="288">
        <v>8.3999999999999995E-3</v>
      </c>
      <c r="I26" s="288">
        <v>0</v>
      </c>
      <c r="J26" s="288">
        <v>0</v>
      </c>
      <c r="K26" s="288">
        <v>0</v>
      </c>
      <c r="L26" s="288">
        <v>3.27E-2</v>
      </c>
      <c r="M26" s="288">
        <v>0</v>
      </c>
      <c r="N26" s="288">
        <v>2.9000000000000001E-2</v>
      </c>
      <c r="O26" s="288">
        <v>0</v>
      </c>
      <c r="P26" s="289"/>
      <c r="Q26" s="288" cm="1">
        <f t="array" ref="Q26">PRODUCT(1+$D26:O26)-1</f>
        <v>7.6182316266595995E-2</v>
      </c>
      <c r="R26" s="288" cm="1">
        <f t="array" ref="R26">PRODUCT(1+D26:O26)^(1/COUNT(D26:O26))-1</f>
        <v>6.1370790319748014E-3</v>
      </c>
      <c r="S26" s="288" cm="1">
        <f t="array" ref="S26">PRODUCT(1+K26:O26)^(1/COUNT(K26:O26))-1</f>
        <v>1.2226983497767741E-2</v>
      </c>
      <c r="T26" s="288">
        <f t="shared" si="1"/>
        <v>3.27E-2</v>
      </c>
      <c r="U26" s="288">
        <f t="shared" si="2"/>
        <v>0</v>
      </c>
      <c r="V26" s="288">
        <f t="shared" si="3"/>
        <v>1.1321292623489011E-2</v>
      </c>
      <c r="W26" s="289"/>
      <c r="X26" s="289"/>
      <c r="Y26" s="288" cm="1">
        <f t="array" ref="Y26">PRODUCT(1+$I26:M26)-1</f>
        <v>3.2699999999999951E-2</v>
      </c>
      <c r="Z26" s="288">
        <f t="shared" si="4"/>
        <v>6.4560976704153283E-3</v>
      </c>
      <c r="AA26" s="289" t="s">
        <v>3045</v>
      </c>
      <c r="AB26" s="289" t="str">
        <f>HYPERLINK("https://www.oecd.org/content/dam/oecd/en/topics/policy-sub-issues/incomes-support-redistribution-and-work-incentives/TaxBEN-Switzerland-latest.pdf","Mechanismus-/Statusquelle")</f>
        <v>Mechanismus-/Statusquelle</v>
      </c>
      <c r="AC26" s="290" t="s">
        <v>3056</v>
      </c>
    </row>
    <row r="27" spans="1:34" s="13" customFormat="1" ht="54">
      <c r="A27" s="7">
        <v>26</v>
      </c>
      <c r="B27" s="291" t="s">
        <v>2233</v>
      </c>
      <c r="C27" s="292" t="s">
        <v>25</v>
      </c>
      <c r="D27" s="293">
        <v>1.2000000000000011E-2</v>
      </c>
      <c r="E27" s="293">
        <v>4.0000000000000036E-3</v>
      </c>
      <c r="F27" s="293">
        <v>2.0000000000000018E-2</v>
      </c>
      <c r="G27" s="293">
        <v>8.0000000000000071E-3</v>
      </c>
      <c r="H27" s="293">
        <v>2.6000000000000023E-2</v>
      </c>
      <c r="I27" s="293">
        <v>2.8999999999999915E-2</v>
      </c>
      <c r="J27" s="293">
        <v>2.6000000000000023E-2</v>
      </c>
      <c r="K27" s="293">
        <v>1.2999999999999901E-2</v>
      </c>
      <c r="L27" s="293">
        <v>0.10600000000000009</v>
      </c>
      <c r="M27" s="293">
        <v>3.6000000000000032E-2</v>
      </c>
      <c r="N27" s="293">
        <v>2.1000000000000001E-2</v>
      </c>
      <c r="O27" s="293">
        <v>3.6999999999999998E-2</v>
      </c>
      <c r="P27" s="294" t="s">
        <v>2234</v>
      </c>
      <c r="Q27" s="293" cm="1">
        <f t="array" ref="Q27">PRODUCT(1+$D27:O27)-1</f>
        <v>0.39063722877985252</v>
      </c>
      <c r="R27" s="293" cm="1">
        <f t="array" ref="R27">PRODUCT(1+D27:O27)^(1/COUNT(D27:O27))-1</f>
        <v>2.7861235848532173E-2</v>
      </c>
      <c r="S27" s="293" cm="1">
        <f t="array" ref="S27">PRODUCT(1+K27:O27)^(1/COUNT(K27:O27))-1</f>
        <v>4.2091288195603482E-2</v>
      </c>
      <c r="T27" s="293">
        <f t="shared" si="1"/>
        <v>0.10600000000000009</v>
      </c>
      <c r="U27" s="293">
        <f t="shared" si="2"/>
        <v>4.0000000000000036E-3</v>
      </c>
      <c r="V27" s="293">
        <f t="shared" si="3"/>
        <v>2.5507624132578288E-2</v>
      </c>
      <c r="W27" s="294" t="s">
        <v>2202</v>
      </c>
      <c r="X27" s="294" t="s">
        <v>2203</v>
      </c>
      <c r="Y27" s="293" cm="1">
        <f t="array" ref="Y27">PRODUCT(1+$I27:M27)-1</f>
        <v>0.2254259229924318</v>
      </c>
      <c r="Z27" s="293">
        <f t="shared" si="4"/>
        <v>4.1495535559416208E-2</v>
      </c>
      <c r="AA27" s="294" t="s">
        <v>3046</v>
      </c>
      <c r="AB27" s="294" t="str">
        <f>HYPERLINK("https://journals.sagepub.com/doi/suppl/10.1177/09589287261430475/suppl_file/sj-pdf-1-esp-10.1177_09589287261430475.pdf","JESP/Sage Supplement 2026")</f>
        <v>JESP/Sage Supplement 2026</v>
      </c>
      <c r="AC27" s="295" t="s">
        <v>3055</v>
      </c>
    </row>
    <row r="28" spans="1:34" s="138" customFormat="1" ht="54">
      <c r="A28" s="285">
        <v>27</v>
      </c>
      <c r="B28" s="286" t="s">
        <v>2235</v>
      </c>
      <c r="C28" s="287" t="s">
        <v>26</v>
      </c>
      <c r="D28" s="288">
        <v>0</v>
      </c>
      <c r="E28" s="288">
        <v>1.0999999999999899E-2</v>
      </c>
      <c r="F28" s="288">
        <v>1.2000000000000011E-2</v>
      </c>
      <c r="G28" s="288">
        <v>3.2999999999999918E-2</v>
      </c>
      <c r="H28" s="288">
        <v>4.2999999999999927E-2</v>
      </c>
      <c r="I28" s="288">
        <v>5.2999999999999936E-2</v>
      </c>
      <c r="J28" s="288">
        <v>2.4999999999999911E-2</v>
      </c>
      <c r="K28" s="288">
        <v>8.0000000000000071E-2</v>
      </c>
      <c r="L28" s="288">
        <v>5.2000000000000046E-2</v>
      </c>
      <c r="M28" s="288">
        <v>8.8000000000000078E-2</v>
      </c>
      <c r="N28" s="288">
        <v>4.4999999999999998E-2</v>
      </c>
      <c r="O28" s="288">
        <v>5.1999999999999998E-2</v>
      </c>
      <c r="P28" s="289" t="s">
        <v>2236</v>
      </c>
      <c r="Q28" s="288" cm="1">
        <f t="array" ref="Q28">PRODUCT(1+$D28:O28)-1</f>
        <v>0.6168471131266593</v>
      </c>
      <c r="R28" s="288" cm="1">
        <f t="array" ref="R28">PRODUCT(1+D28:O28)^(1/COUNT(D28:O28))-1</f>
        <v>4.0852236272207687E-2</v>
      </c>
      <c r="S28" s="288" cm="1">
        <f t="array" ref="S28">PRODUCT(1+K28:O28)^(1/COUNT(K28:O28))-1</f>
        <v>6.3261489086429812E-2</v>
      </c>
      <c r="T28" s="288">
        <f t="shared" si="1"/>
        <v>8.8000000000000078E-2</v>
      </c>
      <c r="U28" s="288">
        <f t="shared" si="2"/>
        <v>0</v>
      </c>
      <c r="V28" s="288">
        <f t="shared" si="3"/>
        <v>2.5621713881437049E-2</v>
      </c>
      <c r="W28" s="289" t="s">
        <v>2202</v>
      </c>
      <c r="X28" s="289" t="s">
        <v>2203</v>
      </c>
      <c r="Y28" s="288" cm="1">
        <f t="array" ref="Y28">PRODUCT(1+$I28:M28)-1</f>
        <v>0.33419905049599996</v>
      </c>
      <c r="Z28" s="288">
        <f t="shared" si="4"/>
        <v>5.936135357810679E-2</v>
      </c>
      <c r="AA28" s="289" t="s">
        <v>3047</v>
      </c>
      <c r="AB28" s="289" t="str">
        <f>HYPERLINK("https://journals.sagepub.com/doi/suppl/10.1177/09589287261430475/suppl_file/sj-pdf-1-esp-10.1177_09589287261430475.pdf","JESP/Sage Supplement 2026")</f>
        <v>JESP/Sage Supplement 2026</v>
      </c>
      <c r="AC28" s="290" t="s">
        <v>3055</v>
      </c>
    </row>
    <row r="29" spans="1:34" s="13" customFormat="1" ht="54">
      <c r="A29" s="7">
        <v>28</v>
      </c>
      <c r="B29" s="291" t="s">
        <v>2237</v>
      </c>
      <c r="C29" s="292" t="s">
        <v>27</v>
      </c>
      <c r="D29" s="293">
        <v>2.9999999999998916E-3</v>
      </c>
      <c r="E29" s="293">
        <v>2.9999999999998916E-3</v>
      </c>
      <c r="F29" s="293">
        <v>2.9999999999998916E-3</v>
      </c>
      <c r="G29" s="293">
        <v>1.6000000000000014E-2</v>
      </c>
      <c r="H29" s="293">
        <v>1.6000000000000014E-2</v>
      </c>
      <c r="I29" s="293">
        <v>8.999999999999897E-3</v>
      </c>
      <c r="J29" s="293">
        <v>8.999999999999897E-3</v>
      </c>
      <c r="K29" s="293">
        <v>2.4999999999999911E-2</v>
      </c>
      <c r="L29" s="293">
        <v>8.4999999999999964E-2</v>
      </c>
      <c r="M29" s="293">
        <v>3.8000000000000034E-2</v>
      </c>
      <c r="N29" s="293">
        <v>2.8000000000000001E-2</v>
      </c>
      <c r="O29" s="293">
        <v>2.7E-2</v>
      </c>
      <c r="P29" s="294" t="s">
        <v>2238</v>
      </c>
      <c r="Q29" s="293" cm="1">
        <f t="array" ref="Q29">PRODUCT(1+$D29:O29)-1</f>
        <v>0.29237057927872812</v>
      </c>
      <c r="R29" s="293" cm="1">
        <f t="array" ref="R29">PRODUCT(1+D29:O29)^(1/COUNT(D29:O29))-1</f>
        <v>2.1603224980604629E-2</v>
      </c>
      <c r="S29" s="293" cm="1">
        <f t="array" ref="S29">PRODUCT(1+K29:O29)^(1/COUNT(K29:O29))-1</f>
        <v>4.0358220319220539E-2</v>
      </c>
      <c r="T29" s="293">
        <f t="shared" si="1"/>
        <v>8.4999999999999964E-2</v>
      </c>
      <c r="U29" s="293">
        <f t="shared" si="2"/>
        <v>2.9999999999998916E-3</v>
      </c>
      <c r="V29" s="293">
        <f t="shared" si="3"/>
        <v>2.1961456134681884E-2</v>
      </c>
      <c r="W29" s="294" t="s">
        <v>2202</v>
      </c>
      <c r="X29" s="294" t="s">
        <v>2203</v>
      </c>
      <c r="Y29" s="293" cm="1">
        <f t="array" ref="Y29">PRODUCT(1+$I29:M29)-1</f>
        <v>0.17525819874574955</v>
      </c>
      <c r="Z29" s="293">
        <f t="shared" si="4"/>
        <v>3.2824800783284758E-2</v>
      </c>
      <c r="AA29" s="294" t="s">
        <v>3048</v>
      </c>
      <c r="AB29" s="294" t="str">
        <f>HYPERLINK("https://journals.sagepub.com/doi/suppl/10.1177/09589287261430475/suppl_file/sj-pdf-1-esp-10.1177_09589287261430475.pdf","JESP/Sage Supplement 2026")</f>
        <v>JESP/Sage Supplement 2026</v>
      </c>
      <c r="AC29" s="295" t="s">
        <v>3055</v>
      </c>
    </row>
    <row r="30" spans="1:34" s="138" customFormat="1" ht="54">
      <c r="A30" s="285">
        <v>29</v>
      </c>
      <c r="B30" s="286" t="s">
        <v>2239</v>
      </c>
      <c r="C30" s="287" t="s">
        <v>2240</v>
      </c>
      <c r="D30" s="288">
        <v>2.0000000000000018E-2</v>
      </c>
      <c r="E30" s="288">
        <v>2.0000000000000018E-3</v>
      </c>
      <c r="F30" s="288">
        <v>3.0000000000000027E-2</v>
      </c>
      <c r="G30" s="288">
        <v>4.2999999999999927E-2</v>
      </c>
      <c r="H30" s="288">
        <v>8.4999999999999964E-2</v>
      </c>
      <c r="I30" s="288">
        <v>6.0000000000000053E-2</v>
      </c>
      <c r="J30" s="288">
        <v>0.10000000000000009</v>
      </c>
      <c r="K30" s="288">
        <v>0.15999999999999992</v>
      </c>
      <c r="L30" s="288">
        <v>0.10000000000000009</v>
      </c>
      <c r="M30" s="288">
        <v>2.0000000000000018E-2</v>
      </c>
      <c r="N30" s="288"/>
      <c r="O30" s="288"/>
      <c r="P30" s="289" t="s">
        <v>2241</v>
      </c>
      <c r="Q30" s="288" cm="1">
        <f t="array" ref="Q30">PRODUCT(1+$D30:O30)-1</f>
        <v>0.80787567424127693</v>
      </c>
      <c r="R30" s="288" cm="1">
        <f t="array" ref="R30">PRODUCT(1+D30:O30)^(1/COUNT(D30:O30))-1</f>
        <v>6.100359669424793E-2</v>
      </c>
      <c r="S30" s="288" cm="1">
        <f t="array" ref="S30">PRODUCT(1+K30:O30)^(1/COUNT(K30:O30))-1</f>
        <v>9.1818080766123966E-2</v>
      </c>
      <c r="T30" s="288">
        <f t="shared" si="1"/>
        <v>0.15999999999999992</v>
      </c>
      <c r="U30" s="288">
        <f t="shared" si="2"/>
        <v>2.0000000000000018E-3</v>
      </c>
      <c r="V30" s="288">
        <f t="shared" si="3"/>
        <v>4.6409050841403759E-2</v>
      </c>
      <c r="W30" s="289" t="s">
        <v>2202</v>
      </c>
      <c r="X30" s="289" t="s">
        <v>2203</v>
      </c>
      <c r="Y30" s="288" cm="1">
        <f t="array" ref="Y30">PRODUCT(1+$I30:M30)-1</f>
        <v>0.51757231999999997</v>
      </c>
      <c r="Z30" s="288">
        <f t="shared" si="4"/>
        <v>8.7000839045127121E-2</v>
      </c>
      <c r="AA30" s="289" t="s">
        <v>3049</v>
      </c>
      <c r="AB30" s="289" t="str">
        <f>HYPERLINK("https://journals.sagepub.com/doi/suppl/10.1177/09589287261430475/suppl_file/sj-pdf-1-esp-10.1177_09589287261430475.pdf","JESP/Sage Supplement 2026")</f>
        <v>JESP/Sage Supplement 2026</v>
      </c>
      <c r="AC30" s="290" t="s">
        <v>3055</v>
      </c>
    </row>
    <row r="31" spans="1:34" s="13" customFormat="1" ht="54">
      <c r="A31" s="7">
        <v>30</v>
      </c>
      <c r="B31" s="291" t="s">
        <v>2242</v>
      </c>
      <c r="C31" s="292" t="s">
        <v>29</v>
      </c>
      <c r="D31" s="293">
        <v>1.8000000000000016E-2</v>
      </c>
      <c r="E31" s="293">
        <v>1.6000000000000014E-2</v>
      </c>
      <c r="F31" s="293">
        <v>2.4000000000000021E-2</v>
      </c>
      <c r="G31" s="293">
        <v>3.2999999999999918E-2</v>
      </c>
      <c r="H31" s="293">
        <v>3.400000000000003E-2</v>
      </c>
      <c r="I31" s="293">
        <v>3.400000000000003E-2</v>
      </c>
      <c r="J31" s="293">
        <v>4.8000000000000043E-2</v>
      </c>
      <c r="K31" s="293">
        <v>0.14500000000000002</v>
      </c>
      <c r="L31" s="293">
        <v>0.17999999999999994</v>
      </c>
      <c r="M31" s="293">
        <v>6.0000000000000053E-2</v>
      </c>
      <c r="N31" s="293">
        <v>4.8000000000000001E-2</v>
      </c>
      <c r="O31" s="293">
        <v>3.5999999999999997E-2</v>
      </c>
      <c r="P31" s="294" t="s">
        <v>2243</v>
      </c>
      <c r="Q31" s="293" cm="1">
        <f t="array" ref="Q31">PRODUCT(1+$D31:O31)-1</f>
        <v>0.90615635601723854</v>
      </c>
      <c r="R31" s="293" cm="1">
        <f t="array" ref="R31">PRODUCT(1+D31:O31)^(1/COUNT(D31:O31))-1</f>
        <v>5.522857576596274E-2</v>
      </c>
      <c r="S31" s="293" cm="1">
        <f t="array" ref="S31">PRODUCT(1+K31:O31)^(1/COUNT(K31:O31))-1</f>
        <v>9.2302378815079633E-2</v>
      </c>
      <c r="T31" s="293">
        <f t="shared" si="1"/>
        <v>0.17999999999999994</v>
      </c>
      <c r="U31" s="293">
        <f t="shared" si="2"/>
        <v>1.6000000000000014E-2</v>
      </c>
      <c r="V31" s="293">
        <f t="shared" si="3"/>
        <v>4.9501402898189543E-2</v>
      </c>
      <c r="W31" s="294" t="s">
        <v>2202</v>
      </c>
      <c r="X31" s="294" t="s">
        <v>2203</v>
      </c>
      <c r="Y31" s="293" cm="1">
        <f t="array" ref="Y31">PRODUCT(1+$I31:M31)-1</f>
        <v>0.55194090691200026</v>
      </c>
      <c r="Z31" s="293">
        <f t="shared" si="4"/>
        <v>9.1880314400454965E-2</v>
      </c>
      <c r="AA31" s="294" t="s">
        <v>3050</v>
      </c>
      <c r="AB31" s="294" t="str">
        <f>HYPERLINK("https://journals.sagepub.com/doi/suppl/10.1177/09589287261430475/suppl_file/sj-pdf-1-esp-10.1177_09589287261430475.pdf","JESP/Sage Supplement 2026")</f>
        <v>JESP/Sage Supplement 2026</v>
      </c>
      <c r="AC31" s="295" t="s">
        <v>3055</v>
      </c>
    </row>
    <row r="32" spans="1:34" s="138" customFormat="1" ht="30">
      <c r="A32" s="285">
        <v>31</v>
      </c>
      <c r="B32" s="286" t="s">
        <v>2244</v>
      </c>
      <c r="C32" s="287" t="s">
        <v>30</v>
      </c>
      <c r="D32" s="288"/>
      <c r="E32" s="288"/>
      <c r="F32" s="288"/>
      <c r="G32" s="288"/>
      <c r="H32" s="288"/>
      <c r="I32" s="288"/>
      <c r="J32" s="288"/>
      <c r="K32" s="288"/>
      <c r="L32" s="288"/>
      <c r="M32" s="288"/>
      <c r="N32" s="288">
        <f>5.94%+1.49%</f>
        <v>7.4300000000000005E-2</v>
      </c>
      <c r="O32" s="288">
        <v>0</v>
      </c>
      <c r="P32" s="289"/>
      <c r="Q32" s="288" cm="1">
        <f t="array" ref="Q32">PRODUCT(1+$D32:O32)-1</f>
        <v>7.4300000000000033E-2</v>
      </c>
      <c r="R32" s="288" cm="1">
        <f t="array" ref="R32">PRODUCT(1+D32:O32)^(1/COUNT(D32:O32))-1</f>
        <v>3.6484442719715959E-2</v>
      </c>
      <c r="S32" s="288" cm="1">
        <f t="array" ref="S32">PRODUCT(1+K32:O32)^(1/COUNT(K32:O32))-1</f>
        <v>3.6484442719715959E-2</v>
      </c>
      <c r="T32" s="288">
        <f t="shared" si="1"/>
        <v>7.4300000000000005E-2</v>
      </c>
      <c r="U32" s="288">
        <f t="shared" si="2"/>
        <v>0</v>
      </c>
      <c r="V32" s="288">
        <f t="shared" si="3"/>
        <v>3.7150000000000002E-2</v>
      </c>
      <c r="W32" s="289"/>
      <c r="X32" s="289"/>
      <c r="Y32" s="288" cm="1">
        <f t="array" ref="Y32">PRODUCT(1+$I32:M32)-1</f>
        <v>0</v>
      </c>
      <c r="Z32" s="288">
        <f t="shared" si="4"/>
        <v>0</v>
      </c>
      <c r="AA32" s="289" t="s">
        <v>3051</v>
      </c>
      <c r="AB32" s="289" t="str">
        <f>HYPERLINK("https://www.parlament.gv.at/dokument/XXVII/EU/187913/imfname_11382449.pdf","Mechanismus-/Statusquelle")</f>
        <v>Mechanismus-/Statusquelle</v>
      </c>
      <c r="AC32" s="290" t="s">
        <v>3057</v>
      </c>
    </row>
    <row r="33" spans="1:29" s="13" customFormat="1" ht="105">
      <c r="A33" s="7">
        <v>32</v>
      </c>
      <c r="B33" s="291"/>
      <c r="C33" s="399" t="s">
        <v>3928</v>
      </c>
      <c r="D33" s="663">
        <v>2.5000000000000001E-2</v>
      </c>
      <c r="E33" s="663">
        <v>2.9000000000000001E-2</v>
      </c>
      <c r="F33" s="663">
        <v>2.5000000000000001E-2</v>
      </c>
      <c r="G33" s="663">
        <v>0.03</v>
      </c>
      <c r="H33" s="663">
        <v>2.5999999999999999E-2</v>
      </c>
      <c r="I33" s="663">
        <v>3.9E-2</v>
      </c>
      <c r="J33" s="663">
        <v>2.5000000000000001E-2</v>
      </c>
      <c r="K33" s="663">
        <v>3.1E-2</v>
      </c>
      <c r="L33" s="663">
        <v>0.10100000000000001</v>
      </c>
      <c r="M33" s="663">
        <v>8.5000000000000006E-2</v>
      </c>
      <c r="N33" s="663">
        <v>4.1000000000000002E-2</v>
      </c>
      <c r="O33" s="663">
        <v>4.8000000000000001E-2</v>
      </c>
      <c r="P33" s="296" t="s">
        <v>4127</v>
      </c>
      <c r="Q33" s="293" cm="1">
        <f t="array" ref="Q33">PRODUCT(1+$D33:O33)-1</f>
        <v>0.63483843185608824</v>
      </c>
      <c r="R33" s="293" cm="1">
        <f t="array" ref="R33">PRODUCT(1+D33:O33)^(1/COUNT(D33:O33))-1</f>
        <v>4.1812514270719303E-2</v>
      </c>
      <c r="S33" s="293" cm="1">
        <f t="array" ref="S33">PRODUCT(1+K33:O33)^(1/COUNT(K33:O33))-1</f>
        <v>6.0858711187406378E-2</v>
      </c>
      <c r="T33" s="293">
        <f t="shared" ref="T33:T34" si="5">MAX(D33:O33)</f>
        <v>0.10100000000000001</v>
      </c>
      <c r="U33" s="293">
        <f t="shared" ref="U33:U34" si="6">MIN(D33:O33)</f>
        <v>2.5000000000000001E-2</v>
      </c>
      <c r="V33" s="293">
        <f t="shared" ref="V33:V34" si="7">_xlfn.STDEV.P(D33:O33)</f>
        <v>2.4036286226361094E-2</v>
      </c>
      <c r="W33" s="295" t="s">
        <v>4132</v>
      </c>
      <c r="X33" s="294"/>
      <c r="Y33" s="293"/>
      <c r="Z33" s="293"/>
      <c r="AA33" s="294"/>
      <c r="AB33" s="294"/>
      <c r="AC33" s="295"/>
    </row>
    <row r="34" spans="1:29" s="138" customFormat="1" ht="75">
      <c r="A34" s="285">
        <v>33</v>
      </c>
      <c r="B34" s="286"/>
      <c r="C34" s="664" t="s">
        <v>3930</v>
      </c>
      <c r="D34" s="665">
        <v>1.7999999999999999E-2</v>
      </c>
      <c r="E34" s="665">
        <v>1.2E-2</v>
      </c>
      <c r="F34" s="665">
        <v>1.4E-2</v>
      </c>
      <c r="G34" s="665">
        <v>1.4999999999999999E-2</v>
      </c>
      <c r="H34" s="665">
        <v>2.3E-2</v>
      </c>
      <c r="I34" s="665">
        <v>1.9E-2</v>
      </c>
      <c r="J34" s="665">
        <v>0.01</v>
      </c>
      <c r="K34" s="665">
        <v>2.7E-2</v>
      </c>
      <c r="L34" s="665">
        <v>6.5000000000000002E-2</v>
      </c>
      <c r="M34" s="665">
        <v>4.3999999999999997E-2</v>
      </c>
      <c r="N34" s="665">
        <v>2.5999999999999999E-2</v>
      </c>
      <c r="O34" s="665">
        <v>0.02</v>
      </c>
      <c r="P34" s="289" t="s">
        <v>4137</v>
      </c>
      <c r="Q34" s="288" cm="1">
        <f t="array" ref="Q34">PRODUCT(1+$D34:O34)-1</f>
        <v>0.33404832481073221</v>
      </c>
      <c r="R34" s="288" cm="1">
        <f t="array" ref="R34">PRODUCT(1+D34:O34)^(1/COUNT(D34:O34))-1</f>
        <v>2.4308940710572102E-2</v>
      </c>
      <c r="S34" s="288" cm="1">
        <f t="array" ref="S34">PRODUCT(1+K34:O34)^(1/COUNT(K34:O34))-1</f>
        <v>3.6271648789371724E-2</v>
      </c>
      <c r="T34" s="288">
        <f t="shared" si="5"/>
        <v>6.5000000000000002E-2</v>
      </c>
      <c r="U34" s="288">
        <f t="shared" si="6"/>
        <v>0.01</v>
      </c>
      <c r="V34" s="288">
        <f t="shared" si="7"/>
        <v>1.4974747261825669E-2</v>
      </c>
      <c r="W34" s="666" t="s">
        <v>4133</v>
      </c>
      <c r="X34" s="289"/>
      <c r="Y34" s="288"/>
      <c r="Z34" s="288"/>
      <c r="AA34" s="289"/>
      <c r="AB34" s="289"/>
      <c r="AC34" s="290"/>
    </row>
    <row r="35" spans="1:29" s="675" customFormat="1" ht="60">
      <c r="A35" s="667">
        <v>34</v>
      </c>
      <c r="B35" s="668"/>
      <c r="C35" s="669" t="s">
        <v>4128</v>
      </c>
      <c r="D35" s="670">
        <v>2.2100000000000002E-2</v>
      </c>
      <c r="E35" s="670">
        <v>1.2E-2</v>
      </c>
      <c r="F35" s="670">
        <v>1.4E-2</v>
      </c>
      <c r="G35" s="670">
        <v>1.41E-2</v>
      </c>
      <c r="H35" s="670">
        <v>2.52E-2</v>
      </c>
      <c r="I35" s="670">
        <v>2.01E-2</v>
      </c>
      <c r="J35" s="670">
        <v>3.0000000000000001E-3</v>
      </c>
      <c r="K35" s="670">
        <v>4.3700000000000003E-2</v>
      </c>
      <c r="L35" s="670">
        <v>7.0499999999999993E-2</v>
      </c>
      <c r="M35" s="670">
        <v>3.7499999999999999E-2</v>
      </c>
      <c r="N35" s="670">
        <v>2.01E-2</v>
      </c>
      <c r="O35" s="670">
        <v>2.01E-2</v>
      </c>
      <c r="P35" s="289"/>
      <c r="Q35" s="671" cm="1">
        <f t="array" ref="Q35">PRODUCT(1+$D35:O35)-1</f>
        <v>0.34580107915931713</v>
      </c>
      <c r="R35" s="671" cm="1">
        <f t="array" ref="R35">PRODUCT(1+D35:O35)^(1/COUNT(D35:O35))-1</f>
        <v>2.5057921188396337E-2</v>
      </c>
      <c r="S35" s="671" cm="1">
        <f t="array" ref="S35">PRODUCT(1+K35:O35)^(1/COUNT(K35:O35))-1</f>
        <v>3.8214741583679546E-2</v>
      </c>
      <c r="T35" s="671">
        <f t="shared" ref="T35:T38" si="8">MAX(D35:O35)</f>
        <v>7.0499999999999993E-2</v>
      </c>
      <c r="U35" s="671">
        <f t="shared" ref="U35:U36" si="9">MIN(D35:O35)</f>
        <v>3.0000000000000001E-3</v>
      </c>
      <c r="V35" s="671">
        <f t="shared" ref="V35:V38" si="10">_xlfn.STDEV.P(D35:O35)</f>
        <v>1.7197383521919837E-2</v>
      </c>
      <c r="W35" s="672" t="s">
        <v>4129</v>
      </c>
      <c r="X35" s="673"/>
      <c r="Y35" s="671"/>
      <c r="Z35" s="671"/>
      <c r="AA35" s="673"/>
      <c r="AB35" s="673"/>
      <c r="AC35" s="674"/>
    </row>
    <row r="36" spans="1:29" s="138" customFormat="1" ht="94.5">
      <c r="A36" s="285">
        <v>35</v>
      </c>
      <c r="B36" s="286"/>
      <c r="C36" s="664" t="s">
        <v>2273</v>
      </c>
      <c r="D36" s="665">
        <v>2.1100000000000001E-2</v>
      </c>
      <c r="E36" s="665">
        <v>1.61E-2</v>
      </c>
      <c r="F36" s="665">
        <v>1.7000000000000001E-2</v>
      </c>
      <c r="G36" s="665">
        <v>2.2100000000000002E-2</v>
      </c>
      <c r="H36" s="665">
        <v>2.1100000000000001E-2</v>
      </c>
      <c r="I36" s="665">
        <v>2.0199999999999999E-2</v>
      </c>
      <c r="J36" s="665">
        <v>8.8999999999999999E-3</v>
      </c>
      <c r="K36" s="665">
        <v>3.7400000000000003E-2</v>
      </c>
      <c r="L36" s="665">
        <v>7.85E-2</v>
      </c>
      <c r="M36" s="665">
        <v>5.0500000000000003E-2</v>
      </c>
      <c r="N36" s="665">
        <v>3.0099999999999998E-2</v>
      </c>
      <c r="O36" s="665">
        <v>4.6600000000000003E-2</v>
      </c>
      <c r="P36" s="289" t="s">
        <v>4130</v>
      </c>
      <c r="Q36" s="288" cm="1">
        <f t="array" ref="Q36">PRODUCT(1+$D36:O36)-1</f>
        <v>0.43629402431444242</v>
      </c>
      <c r="R36" s="288" cm="1">
        <f t="array" ref="R36">PRODUCT(1+D36:O36)^(1/COUNT(D36:O36))-1</f>
        <v>3.0631976495538726E-2</v>
      </c>
      <c r="S36" s="288" cm="1">
        <f t="array" ref="S36">PRODUCT(1+K36:O36)^(1/COUNT(K36:O36))-1</f>
        <v>4.8490532957879084E-2</v>
      </c>
      <c r="T36" s="288">
        <f t="shared" si="8"/>
        <v>7.85E-2</v>
      </c>
      <c r="U36" s="288">
        <f t="shared" si="9"/>
        <v>8.8999999999999999E-3</v>
      </c>
      <c r="V36" s="288">
        <f t="shared" si="10"/>
        <v>1.8751533270642166E-2</v>
      </c>
      <c r="W36" s="290" t="s">
        <v>4134</v>
      </c>
      <c r="X36" s="289"/>
      <c r="Y36" s="288"/>
      <c r="Z36" s="288"/>
      <c r="AA36" s="289"/>
      <c r="AB36" s="289"/>
      <c r="AC36" s="290"/>
    </row>
    <row r="37" spans="1:29" ht="90">
      <c r="A37" s="7">
        <v>36</v>
      </c>
      <c r="B37" s="7"/>
      <c r="C37" s="399" t="s">
        <v>3931</v>
      </c>
      <c r="D37" s="663">
        <v>2.2100000000000002E-2</v>
      </c>
      <c r="E37" s="663">
        <v>2.86E-2</v>
      </c>
      <c r="F37" s="663">
        <v>1.4999999999999999E-2</v>
      </c>
      <c r="G37" s="663">
        <v>2.87E-2</v>
      </c>
      <c r="H37" s="663">
        <v>2.6700000000000002E-2</v>
      </c>
      <c r="I37" s="663">
        <v>3.2199999999999999E-2</v>
      </c>
      <c r="J37" s="663">
        <v>3.2399999999999998E-2</v>
      </c>
      <c r="K37" s="663">
        <v>6.2399999999999997E-2</v>
      </c>
      <c r="L37" s="663">
        <v>7.51E-2</v>
      </c>
      <c r="M37" s="663">
        <v>4.8399999999999999E-2</v>
      </c>
      <c r="N37" s="663">
        <v>3.3700000000000001E-2</v>
      </c>
      <c r="O37" s="663">
        <v>3.2300000000000002E-2</v>
      </c>
      <c r="P37" s="296" t="s">
        <v>4131</v>
      </c>
      <c r="Q37" s="293" cm="1">
        <f t="array" ref="Q37">PRODUCT(1+$D37:O37)-1</f>
        <v>0.53466815972025028</v>
      </c>
      <c r="R37" s="293" cm="1">
        <f t="array" ref="R37">PRODUCT(1+D37:O37)^(1/COUNT(D37:O37))-1</f>
        <v>3.6337484389804109E-2</v>
      </c>
      <c r="S37" s="293" cm="1">
        <f t="array" ref="S37">PRODUCT(1+K37:O37)^(1/COUNT(K37:O37))-1</f>
        <v>5.0250449183856238E-2</v>
      </c>
      <c r="T37" s="293">
        <f t="shared" si="8"/>
        <v>7.51E-2</v>
      </c>
      <c r="V37" s="293">
        <f t="shared" si="10"/>
        <v>1.6462195749318759E-2</v>
      </c>
      <c r="W37" s="661" t="s">
        <v>4135</v>
      </c>
      <c r="X37" s="1"/>
      <c r="Y37" s="499"/>
      <c r="Z37" s="499"/>
      <c r="AA37" s="1"/>
      <c r="AB37" s="1"/>
      <c r="AC37" s="1"/>
    </row>
    <row r="38" spans="1:29" s="138" customFormat="1" ht="90">
      <c r="A38" s="285">
        <v>37</v>
      </c>
      <c r="B38" s="286"/>
      <c r="C38" s="664" t="s">
        <v>2886</v>
      </c>
      <c r="D38" s="665"/>
      <c r="E38" s="665"/>
      <c r="F38" s="665">
        <v>3.0000000000000001E-3</v>
      </c>
      <c r="G38" s="665">
        <v>0.02</v>
      </c>
      <c r="H38" s="665">
        <v>2.87E-2</v>
      </c>
      <c r="I38" s="665">
        <v>1.6E-2</v>
      </c>
      <c r="J38" s="665">
        <v>1.2999999999999999E-2</v>
      </c>
      <c r="K38" s="665">
        <v>5.8999999999999997E-2</v>
      </c>
      <c r="L38" s="665">
        <v>8.6999999999999994E-2</v>
      </c>
      <c r="M38" s="665">
        <v>3.2000000000000001E-2</v>
      </c>
      <c r="N38" s="665">
        <v>2.5000000000000001E-2</v>
      </c>
      <c r="O38" s="665">
        <v>2.8000000000000001E-2</v>
      </c>
      <c r="P38" s="289" t="s">
        <v>4647</v>
      </c>
      <c r="Q38" s="288" cm="1">
        <f t="array" ref="Q38">PRODUCT(1+$D38:O38)-1</f>
        <v>0.35586103309031247</v>
      </c>
      <c r="R38" s="288" cm="1">
        <f t="array" ref="R38">PRODUCT(1+D38:O38)^(1/COUNT(D38:O38))-1</f>
        <v>3.0911817283987064E-2</v>
      </c>
      <c r="S38" s="288" cm="1">
        <f t="array" ref="S38">PRODUCT(1+K38:O38)^(1/COUNT(K38:O38))-1</f>
        <v>4.5934374601907191E-2</v>
      </c>
      <c r="T38" s="288">
        <f t="shared" si="8"/>
        <v>8.6999999999999994E-2</v>
      </c>
      <c r="U38" s="288">
        <f>MIN(D37:O37)</f>
        <v>1.4999999999999999E-2</v>
      </c>
      <c r="V38" s="288">
        <f t="shared" si="10"/>
        <v>2.3291631544398082E-2</v>
      </c>
      <c r="W38" s="290" t="s">
        <v>4648</v>
      </c>
      <c r="X38" s="289"/>
      <c r="Y38" s="288"/>
      <c r="Z38" s="288"/>
      <c r="AA38" s="289"/>
      <c r="AB38" s="289"/>
      <c r="AC38" s="290"/>
    </row>
    <row r="51" spans="1:11">
      <c r="A51" s="156" t="s">
        <v>3086</v>
      </c>
      <c r="B51" s="156"/>
      <c r="C51" s="156"/>
      <c r="D51" s="156"/>
      <c r="E51" s="156"/>
      <c r="F51" s="156"/>
      <c r="G51" s="156"/>
      <c r="H51" s="156"/>
      <c r="I51" s="156"/>
      <c r="J51" s="156"/>
      <c r="K51" s="156"/>
    </row>
  </sheetData>
  <sheetProtection algorithmName="SHA-512" hashValue="j34XJI5f/vmA+JZeAGX55BGJfUMpm0huIRy010r0sfDT4/2F38ECC68nKZydQ52qkoHeMb63lkcy9X+H1W344Q==" saltValue="NC/9tk1uyIuom0IhQhJxDw==" spinCount="100000" sheet="1" objects="1" autoFilter="0"/>
  <autoFilter ref="C1:C37" xr:uid="{800A6AED-1931-42C4-9ACA-7FF69F6C4747}"/>
  <hyperlinks>
    <hyperlink ref="AC22" r:id="rId1" xr:uid="{150ABCAD-216B-40F5-BA48-F1DCB2133AEA}"/>
    <hyperlink ref="AC23" r:id="rId2" xr:uid="{894C1E7D-5C8B-4B91-8541-DD581F97703C}"/>
    <hyperlink ref="AC24" r:id="rId3" xr:uid="{AE74875D-536E-4AF9-A4C9-9FDDF88BC1B4}"/>
    <hyperlink ref="AC25" r:id="rId4" xr:uid="{1DA2DE0D-D2C0-42D7-8CD0-B0D1E91AD77D}"/>
    <hyperlink ref="AC26" r:id="rId5" xr:uid="{0B5DF526-6746-4E5A-9C8F-DC2EA2DC2ED1}"/>
    <hyperlink ref="AC21" r:id="rId6" xr:uid="{50C173B7-071F-4F70-8C5E-4C9BA0058E1D}"/>
    <hyperlink ref="AC17" r:id="rId7" xr:uid="{42C1CA6C-7A84-4074-98FE-EE362426326B}"/>
    <hyperlink ref="AC13" r:id="rId8" xr:uid="{51F8E26F-C069-4926-9CBC-9FDBF5A5A29E}"/>
    <hyperlink ref="AC12" r:id="rId9" xr:uid="{13F49546-4087-4A6E-A36A-5A488FC4907F}"/>
    <hyperlink ref="AC9" r:id="rId10" xr:uid="{9562E0E6-9033-4BD6-B732-3B72CC433FE4}"/>
    <hyperlink ref="AC8" r:id="rId11" xr:uid="{C04462F0-F28C-49F0-915B-82575A301494}"/>
    <hyperlink ref="AC7" r:id="rId12" xr:uid="{02B16E1E-D0BA-44AE-998A-8E62409F8D58}"/>
    <hyperlink ref="AC6" r:id="rId13" xr:uid="{2FD36489-0A9A-4DA5-A3AA-C80A8300BD47}"/>
    <hyperlink ref="AC5" r:id="rId14" xr:uid="{BF94FE65-1363-4744-8F2D-CED4B8ADB70D}"/>
    <hyperlink ref="AC3" r:id="rId15" xr:uid="{9792F2B8-653E-4A93-8168-734474839959}"/>
    <hyperlink ref="AC2" r:id="rId16" xr:uid="{075CF34B-6531-43DB-8008-89092EFCDF7C}"/>
    <hyperlink ref="AC27" r:id="rId17" xr:uid="{7A48C84C-FD76-41BE-B23C-CC8E49ABE235}"/>
    <hyperlink ref="AC28" r:id="rId18" xr:uid="{5B917EC4-0968-4A10-9F75-5F5F8E87AAD0}"/>
    <hyperlink ref="AC29" r:id="rId19" xr:uid="{1CCE78B7-FB69-46CD-B389-73746F398836}"/>
    <hyperlink ref="AC30" r:id="rId20" xr:uid="{2C2C3132-02C0-4957-9868-2F4037BFB1F4}"/>
    <hyperlink ref="AC31" r:id="rId21" xr:uid="{5940C6CA-E7FB-4D1F-A7F1-3DB55723F54F}"/>
    <hyperlink ref="AC32" r:id="rId22" xr:uid="{19C1E72F-4027-4073-B0D1-08065CD837BF}"/>
    <hyperlink ref="W35" r:id="rId23" display="* Kanada OAS: Die Old Age Security wird quartalsweise geprüft und bei gestiegenem CPI erhöht; die Tabelle verwendet zur Vergleichbarkeit den Jan.–März-Höchstbetrag gegenüber dem Jan.–März-Höchstbetrag des Vorjahres. Die OAS wird nicht abgesenkt, wenn der CPI fällt." xr:uid="{C9FCF195-83AF-4905-8F44-732F3F74820B}"/>
    <hyperlink ref="W34" r:id="rId24" display="Für Kanada CPP verwendet Canada.ca eine jährliche CPI-Anpassung; für 2026 wird z.B. ausdrücklich eine Erhöhung um 2,0 % genannt. Die historischen CPP-Indexierungsraten sind in den amtlichen Canada.ca-Quartalsberichten enthalten, etwa 2015 mit 1,8 %, 2023 mit 6,5 %, 2024 mit 4,4 %, 2025 mit 2,6 % und 2026 mit 2,0 %." xr:uid="{1EAADE18-39A8-425A-A593-063373FC8A8E}"/>
    <hyperlink ref="W33" r:id="rId25" display="Für Großbritannien beruhen die Werte 2015–2025 auf der DWP-Statistik zur State Pension; dort wird der Triple-Lock-Mechanismus als Erhöhung nach dem höchsten Wert aus Verdienstentwicklung, Inflation oder 2,5 % beschrieben. Für 2015–2020 weist die Tabelle u.a. 2,5 %, 2,9 %, 2,5 %, 3,0 %, 2,6 % und 3,9 % aus; für 2023–2025 werden 10,1 %, 8,5 % und 4,1 % genannt. Für 2026/27 ist die Erhöhung der State Pension um 4,8 % veröffentlicht" xr:uid="{53B66A15-89EE-42D1-BDA4-2968F097B59B}"/>
    <hyperlink ref="W36" r:id="rId26" display="Für Australien habe ich die jährliche Veränderung aus den amtlichen historischen DSS-Raten berechnet. Die zugrunde gelegten Beträge für die Maximum Basic Rate, single, per annum steigen etwa von A$ 19.916,00 zum 20.3.2014 auf A$ 20.337,20 zum 20.3.2015 und bis A$ 28.607,80 zum 20.3.2026." xr:uid="{B8F0FA3A-3AD7-465D-A94A-BAE64F5A686D}"/>
    <hyperlink ref="W37" r:id="rId27" display="Für Neuseeland habe ich die jährliche Veränderung aus den amtlichen Benefit-Rate-Summaries bzw. den aktuellen Work-and-Income-Ratentabellen berechnet. Grundlage ist der Bruttobetrag für NZ Super, single, living alone, weil Nettobeträge vom Steuer-Code abhängen. Beispiele: 2015 NZ$ 431,10 brutto wöchentlich, 2022 NZ$ 538,24, 2025 NZ$ 627,14 und 2026 NZ$ 647,37." xr:uid="{8CCFAE7F-8860-44B2-964A-85E34E3E8782}"/>
    <hyperlink ref="W38" r:id="rId28" display="Eine Anfang 2017 monatlich gezahlte Social-Security-Rente von beispielsweise 1.000 US-$ ist durch die allgemeinen COLA-Anpassungen bis 2026 rechnerisch auf rund 1.354,94 US-$ monatlich gestiegen. Individuelle Abzüge, insbesondere Medicare-Prämien, können dazu führen, dass die Erhöhung des tatsächlich ausgezahlten Nettobetrags geringer ausfällt." xr:uid="{7EAEB31A-A318-4DA1-AEE7-2775DACC3EA2}"/>
  </hyperlinks>
  <pageMargins left="0.7" right="0.7" top="0.78740157499999996" bottom="0.78740157499999996" header="0.3" footer="0.3"/>
  <pageSetup paperSize="9" orientation="portrait" r:id="rId29"/>
  <drawing r:id="rId3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A817-EF27-4282-BA27-7D6E8854F124}">
  <sheetPr codeName="Tabelle52"/>
  <dimension ref="A1:Y66"/>
  <sheetViews>
    <sheetView workbookViewId="0">
      <pane xSplit="2" ySplit="3" topLeftCell="C4" activePane="bottomRight" state="frozen"/>
      <selection pane="topRight" activeCell="C1" sqref="C1"/>
      <selection pane="bottomLeft" activeCell="A4" sqref="A4"/>
      <selection pane="bottomRight" activeCell="R6" sqref="R6"/>
      <extLst>
        <ext xmlns:xlsdti="http://schemas.microsoft.com/office/spreadsheetml/2023/showDataTypeIcons" uri="{77bfe23e-c014-4d31-8a63-9c772dbf06b6}">
          <xlsdti:showDataTypeIcons visible="0"/>
        </ext>
      </extLst>
    </sheetView>
  </sheetViews>
  <sheetFormatPr baseColWidth="10" defaultColWidth="0" defaultRowHeight="15"/>
  <cols>
    <col min="1" max="2" width="10.85546875" customWidth="1"/>
    <col min="3" max="3" width="7.5703125" style="5" customWidth="1"/>
    <col min="4" max="4" width="15.42578125" customWidth="1"/>
    <col min="5" max="18" width="10.42578125" customWidth="1"/>
    <col min="19" max="19" width="10.85546875" customWidth="1"/>
    <col min="20" max="20" width="4.140625" hidden="1" customWidth="1"/>
    <col min="21" max="25" width="0" hidden="1" customWidth="1"/>
    <col min="26" max="16384" width="10.85546875" hidden="1"/>
  </cols>
  <sheetData>
    <row r="1" spans="1:25" s="326" customFormat="1" ht="31.5" customHeight="1">
      <c r="A1" s="1031" t="e" vm="40">
        <v>#VALUE!</v>
      </c>
      <c r="B1" s="1031"/>
      <c r="C1" s="1035" t="s">
        <v>4076</v>
      </c>
      <c r="D1" s="1035"/>
      <c r="E1" s="1035"/>
      <c r="F1" s="1035"/>
      <c r="G1" s="1035"/>
      <c r="H1" s="1035"/>
      <c r="I1" s="1035"/>
      <c r="J1" s="1035"/>
      <c r="K1" s="1035"/>
      <c r="L1" s="1035"/>
      <c r="M1" s="1035"/>
      <c r="N1" s="1035"/>
      <c r="O1" s="644"/>
      <c r="P1" s="644"/>
    </row>
    <row r="2" spans="1:25" s="326" customFormat="1" ht="31.5" customHeight="1">
      <c r="A2" s="1031"/>
      <c r="B2" s="1031"/>
      <c r="C2" s="1035"/>
      <c r="D2" s="1035"/>
      <c r="E2" s="1035"/>
      <c r="F2" s="1035"/>
      <c r="G2" s="1035"/>
      <c r="H2" s="1035"/>
      <c r="I2" s="1035"/>
      <c r="J2" s="1035"/>
      <c r="K2" s="1035"/>
      <c r="L2" s="1035"/>
      <c r="M2" s="1035"/>
      <c r="N2" s="1035"/>
      <c r="O2" s="644"/>
      <c r="P2" s="644"/>
      <c r="Q2" s="1032" t="s">
        <v>2454</v>
      </c>
      <c r="R2" s="1032"/>
      <c r="T2" s="1036" t="s">
        <v>4342</v>
      </c>
      <c r="U2" s="1036"/>
      <c r="V2" s="1036"/>
      <c r="W2" s="1036"/>
      <c r="X2" s="1036"/>
      <c r="Y2" s="1036"/>
    </row>
    <row r="3" spans="1:25" ht="15.75">
      <c r="A3" s="1031"/>
      <c r="B3" s="1031"/>
      <c r="C3" s="4" t="s">
        <v>2264</v>
      </c>
      <c r="D3" s="146" t="s">
        <v>2452</v>
      </c>
      <c r="E3" s="146">
        <v>2015</v>
      </c>
      <c r="F3" s="146">
        <v>2016</v>
      </c>
      <c r="G3" s="146">
        <v>2017</v>
      </c>
      <c r="H3" s="146">
        <v>2018</v>
      </c>
      <c r="I3" s="146">
        <v>2019</v>
      </c>
      <c r="J3" s="146">
        <v>2020</v>
      </c>
      <c r="K3" s="146">
        <v>2021</v>
      </c>
      <c r="L3" s="146">
        <v>2022</v>
      </c>
      <c r="M3" s="146">
        <v>2023</v>
      </c>
      <c r="N3" s="146">
        <v>2024</v>
      </c>
      <c r="O3" s="146">
        <v>2025</v>
      </c>
      <c r="P3" s="146"/>
      <c r="Q3" s="11" t="s">
        <v>1627</v>
      </c>
      <c r="R3" s="11" t="s">
        <v>1626</v>
      </c>
      <c r="T3" s="591"/>
      <c r="U3" s="582" t="s">
        <v>1622</v>
      </c>
      <c r="V3" s="1033" t="s">
        <v>4026</v>
      </c>
      <c r="W3" s="1033"/>
      <c r="X3" s="1033" t="s">
        <v>4027</v>
      </c>
      <c r="Y3" s="1033"/>
    </row>
    <row r="4" spans="1:25" ht="18.75">
      <c r="A4" s="139">
        <v>1</v>
      </c>
      <c r="B4" s="151" t="s">
        <v>0</v>
      </c>
      <c r="C4" s="5">
        <v>1</v>
      </c>
      <c r="D4" s="595" t="s">
        <v>0</v>
      </c>
      <c r="E4" s="600">
        <v>0.6</v>
      </c>
      <c r="F4" s="600">
        <v>2</v>
      </c>
      <c r="G4" s="600">
        <v>2.1</v>
      </c>
      <c r="H4" s="600">
        <v>2.1</v>
      </c>
      <c r="I4" s="600">
        <v>1.4</v>
      </c>
      <c r="J4" s="600">
        <v>0.7</v>
      </c>
      <c r="K4" s="600">
        <v>2.4</v>
      </c>
      <c r="L4" s="600">
        <v>9.6</v>
      </c>
      <c r="M4" s="600">
        <v>4</v>
      </c>
      <c r="N4" s="600">
        <v>3.1</v>
      </c>
      <c r="O4" s="600">
        <v>3</v>
      </c>
      <c r="P4" s="600"/>
      <c r="Q4" s="596">
        <f>POWER(1+SUM(K4:O4)/100,1/COUNT(K4:O4))-1</f>
        <v>4.0742123563830779E-2</v>
      </c>
      <c r="R4" s="596">
        <f>POWER(1+SUM(F4:O4)/100,1/COUNT(F4:O4))-1</f>
        <v>2.6899066680110106E-2</v>
      </c>
      <c r="T4" s="453" t="e" vm="1">
        <f>VLOOKUP(Länderwahl,Länderkennzeichen,3,FALSE)</f>
        <v>#VALUE!</v>
      </c>
      <c r="U4" s="480" t="str">
        <f>Länderwahl</f>
        <v>Tschechien</v>
      </c>
      <c r="V4" s="602">
        <f>ROUND(VLOOKUP(U4,$D$4:$R$35,13,FALSE),4)</f>
        <v>0</v>
      </c>
      <c r="W4" s="1034" t="e">
        <f>+ROUND(V4/V5-1,4)</f>
        <v>#DIV/0!</v>
      </c>
      <c r="X4" s="602">
        <f>ROUND(VLOOKUP(U4,$D$4:$R$35,14,FALSE),4)</f>
        <v>6.08E-2</v>
      </c>
      <c r="Y4" s="1034">
        <f>ROUND(X4/X5-1,4)</f>
        <v>0.6</v>
      </c>
    </row>
    <row r="5" spans="1:25" ht="18.75">
      <c r="A5" s="139">
        <v>2</v>
      </c>
      <c r="B5" s="152" t="s">
        <v>1</v>
      </c>
      <c r="C5" s="5">
        <v>2</v>
      </c>
      <c r="D5" s="595" t="s">
        <v>1</v>
      </c>
      <c r="E5" s="600">
        <v>-0.1</v>
      </c>
      <c r="F5" s="600">
        <v>-0.8</v>
      </c>
      <c r="G5" s="600">
        <v>2.1</v>
      </c>
      <c r="H5" s="600">
        <v>2.8</v>
      </c>
      <c r="I5" s="600">
        <v>3.1</v>
      </c>
      <c r="J5" s="600">
        <v>1.7</v>
      </c>
      <c r="K5" s="600">
        <v>3.3</v>
      </c>
      <c r="L5" s="600">
        <v>15.3</v>
      </c>
      <c r="M5" s="600">
        <v>9.4</v>
      </c>
      <c r="N5" s="600">
        <v>2.4</v>
      </c>
      <c r="O5" s="600">
        <v>3.5</v>
      </c>
      <c r="P5" s="600"/>
      <c r="Q5" s="596">
        <f t="shared" ref="Q5:Q39" si="0">POWER(1+SUM(K5:O5)/100,1/COUNT(K5:O5))-1</f>
        <v>6.0122654626654448E-2</v>
      </c>
      <c r="R5" s="596">
        <f t="shared" ref="R5:R39" si="1">POWER(1+SUM(F5:O5)/100,1/COUNT(F5:O5))-1</f>
        <v>3.6269749998586231E-2</v>
      </c>
      <c r="T5" s="453" t="e" vm="41">
        <f>Flagge_D</f>
        <v>#VALUE!</v>
      </c>
      <c r="U5" s="454" t="s">
        <v>3</v>
      </c>
      <c r="V5" s="602">
        <f>ROUND(VLOOKUP(U5,$D$4:$R$35,13,FALSE),4)</f>
        <v>0</v>
      </c>
      <c r="W5" s="1034"/>
      <c r="X5" s="602">
        <f>ROUND(VLOOKUP(U5,$D$4:$R$35,14,FALSE),4)</f>
        <v>3.7999999999999999E-2</v>
      </c>
      <c r="Y5" s="1034"/>
    </row>
    <row r="6" spans="1:25" ht="19.5" thickBot="1">
      <c r="A6" s="139">
        <v>3</v>
      </c>
      <c r="B6" s="140" t="s">
        <v>2</v>
      </c>
      <c r="C6" s="5">
        <v>3</v>
      </c>
      <c r="D6" s="595" t="s">
        <v>2</v>
      </c>
      <c r="E6" s="600">
        <v>0.5</v>
      </c>
      <c r="F6" s="600">
        <v>0.2</v>
      </c>
      <c r="G6" s="600">
        <v>1.1000000000000001</v>
      </c>
      <c r="H6" s="600">
        <v>0.8</v>
      </c>
      <c r="I6" s="600">
        <v>0.8</v>
      </c>
      <c r="J6" s="600">
        <v>0.4</v>
      </c>
      <c r="K6" s="600">
        <v>1.9</v>
      </c>
      <c r="L6" s="600">
        <v>7.7</v>
      </c>
      <c r="M6" s="600">
        <v>3.3</v>
      </c>
      <c r="N6" s="600">
        <v>1.4</v>
      </c>
      <c r="O6" s="600">
        <v>1.8</v>
      </c>
      <c r="P6" s="600"/>
      <c r="Q6" s="596">
        <f t="shared" si="0"/>
        <v>3.0306510047632962E-2</v>
      </c>
      <c r="R6" s="596">
        <f t="shared" si="1"/>
        <v>1.7889027118401568E-2</v>
      </c>
    </row>
    <row r="7" spans="1:25" ht="19.5" thickBot="1">
      <c r="A7" s="139">
        <v>4</v>
      </c>
      <c r="B7" s="140" t="s">
        <v>3</v>
      </c>
      <c r="C7" s="694">
        <v>4</v>
      </c>
      <c r="D7" s="597" t="s">
        <v>3</v>
      </c>
      <c r="E7" s="601">
        <v>0.5</v>
      </c>
      <c r="F7" s="601">
        <v>0.5</v>
      </c>
      <c r="G7" s="601">
        <v>1.5</v>
      </c>
      <c r="H7" s="601">
        <v>1.7</v>
      </c>
      <c r="I7" s="601">
        <v>1.4</v>
      </c>
      <c r="J7" s="601">
        <v>0.1</v>
      </c>
      <c r="K7" s="601">
        <v>3.1</v>
      </c>
      <c r="L7" s="601">
        <v>6.9</v>
      </c>
      <c r="M7" s="601">
        <v>5.9</v>
      </c>
      <c r="N7" s="601">
        <v>2.2999999999999998</v>
      </c>
      <c r="O7" s="601">
        <v>2.2999999999999998</v>
      </c>
      <c r="P7" s="601"/>
      <c r="Q7" s="598">
        <f t="shared" si="0"/>
        <v>3.8000133533338865E-2</v>
      </c>
      <c r="R7" s="599">
        <f t="shared" si="1"/>
        <v>2.31363811191303E-2</v>
      </c>
    </row>
    <row r="8" spans="1:25" ht="18.75">
      <c r="A8" s="139">
        <v>5</v>
      </c>
      <c r="B8" s="140" t="s">
        <v>4</v>
      </c>
      <c r="C8" s="5">
        <v>5</v>
      </c>
      <c r="D8" s="595" t="s">
        <v>4</v>
      </c>
      <c r="E8" s="600">
        <v>-0.5</v>
      </c>
      <c r="F8" s="600">
        <v>0.1</v>
      </c>
      <c r="G8" s="600">
        <v>3.4</v>
      </c>
      <c r="H8" s="600">
        <v>3.4</v>
      </c>
      <c r="I8" s="600">
        <v>2.2999999999999998</v>
      </c>
      <c r="J8" s="600">
        <v>-0.4</v>
      </c>
      <c r="K8" s="600">
        <v>4.7</v>
      </c>
      <c r="L8" s="600">
        <v>19.399999999999999</v>
      </c>
      <c r="M8" s="600">
        <v>9.1999999999999993</v>
      </c>
      <c r="N8" s="600">
        <v>3.5</v>
      </c>
      <c r="O8" s="600">
        <v>4.8</v>
      </c>
      <c r="P8" s="600"/>
      <c r="Q8" s="596">
        <f t="shared" si="0"/>
        <v>7.2044099133939055E-2</v>
      </c>
      <c r="R8" s="596">
        <f t="shared" si="1"/>
        <v>4.1657112577679234E-2</v>
      </c>
    </row>
    <row r="9" spans="1:25" ht="18.75">
      <c r="A9" s="139">
        <v>6</v>
      </c>
      <c r="B9" s="140" t="s">
        <v>5</v>
      </c>
      <c r="C9" s="5">
        <v>6</v>
      </c>
      <c r="D9" s="595" t="s">
        <v>5</v>
      </c>
      <c r="E9" s="600">
        <v>-0.2</v>
      </c>
      <c r="F9" s="600">
        <v>0.4</v>
      </c>
      <c r="G9" s="600">
        <v>0.8</v>
      </c>
      <c r="H9" s="600">
        <v>1.1000000000000001</v>
      </c>
      <c r="I9" s="600">
        <v>1</v>
      </c>
      <c r="J9" s="600">
        <v>0.3</v>
      </c>
      <c r="K9" s="600">
        <v>2.2000000000000002</v>
      </c>
      <c r="L9" s="600">
        <v>7.1</v>
      </c>
      <c r="M9" s="600">
        <v>6.3</v>
      </c>
      <c r="N9" s="600">
        <v>1.6</v>
      </c>
      <c r="O9" s="600">
        <v>1.8</v>
      </c>
      <c r="P9" s="600"/>
      <c r="Q9" s="596">
        <f t="shared" si="0"/>
        <v>3.5402936335428681E-2</v>
      </c>
      <c r="R9" s="596">
        <f t="shared" si="1"/>
        <v>2.0584685097110755E-2</v>
      </c>
    </row>
    <row r="10" spans="1:25" ht="18.75">
      <c r="A10" s="139">
        <v>7</v>
      </c>
      <c r="B10" s="140" t="s">
        <v>6</v>
      </c>
      <c r="C10" s="5">
        <v>7</v>
      </c>
      <c r="D10" s="595" t="s">
        <v>6</v>
      </c>
      <c r="E10" s="600">
        <v>0</v>
      </c>
      <c r="F10" s="600">
        <v>0.2</v>
      </c>
      <c r="G10" s="600">
        <v>1</v>
      </c>
      <c r="H10" s="600">
        <v>1.9</v>
      </c>
      <c r="I10" s="600">
        <v>1.1000000000000001</v>
      </c>
      <c r="J10" s="600">
        <v>0.5</v>
      </c>
      <c r="K10" s="600">
        <v>1.6</v>
      </c>
      <c r="L10" s="600">
        <v>5.2</v>
      </c>
      <c r="M10" s="600">
        <v>4.9000000000000004</v>
      </c>
      <c r="N10" s="600">
        <v>2</v>
      </c>
      <c r="O10" s="600">
        <v>0.9</v>
      </c>
      <c r="P10" s="600"/>
      <c r="Q10" s="596">
        <f t="shared" si="0"/>
        <v>2.7630353085567272E-2</v>
      </c>
      <c r="R10" s="596">
        <f t="shared" si="1"/>
        <v>1.7803744634545149E-2</v>
      </c>
    </row>
    <row r="11" spans="1:25" ht="18.75">
      <c r="A11" s="139">
        <v>8</v>
      </c>
      <c r="B11" s="140" t="s">
        <v>7</v>
      </c>
      <c r="C11" s="5">
        <v>8</v>
      </c>
      <c r="D11" s="595" t="s">
        <v>7</v>
      </c>
      <c r="E11" s="600">
        <v>-1.7</v>
      </c>
      <c r="F11" s="600">
        <v>-0.8</v>
      </c>
      <c r="G11" s="600">
        <v>1.1000000000000001</v>
      </c>
      <c r="H11" s="600">
        <v>0.6</v>
      </c>
      <c r="I11" s="600">
        <v>0.3</v>
      </c>
      <c r="J11" s="600">
        <v>-1.2</v>
      </c>
      <c r="K11" s="600">
        <v>1.2</v>
      </c>
      <c r="L11" s="600">
        <v>9.6</v>
      </c>
      <c r="M11" s="600">
        <v>3.5</v>
      </c>
      <c r="N11" s="600">
        <v>2.7</v>
      </c>
      <c r="O11" s="600">
        <v>2.9</v>
      </c>
      <c r="P11" s="600"/>
      <c r="Q11" s="596">
        <f t="shared" si="0"/>
        <v>3.6964375474194178E-2</v>
      </c>
      <c r="R11" s="596">
        <f t="shared" si="1"/>
        <v>1.8314477690558162E-2</v>
      </c>
    </row>
    <row r="12" spans="1:25" ht="18.75">
      <c r="A12" s="139">
        <v>9</v>
      </c>
      <c r="B12" s="140" t="s">
        <v>3917</v>
      </c>
      <c r="C12" s="5">
        <v>9</v>
      </c>
      <c r="D12" s="595" t="s">
        <v>3917</v>
      </c>
      <c r="E12" s="600">
        <v>0.37</v>
      </c>
      <c r="F12" s="600">
        <v>1.01</v>
      </c>
      <c r="G12" s="600">
        <v>2.56</v>
      </c>
      <c r="H12" s="600">
        <v>2.29</v>
      </c>
      <c r="I12" s="600">
        <v>1.74</v>
      </c>
      <c r="J12" s="600">
        <v>0.99</v>
      </c>
      <c r="K12" s="600">
        <v>2.52</v>
      </c>
      <c r="L12" s="600">
        <v>7.92</v>
      </c>
      <c r="M12" s="600">
        <v>6.79</v>
      </c>
      <c r="N12" s="600">
        <v>3.27</v>
      </c>
      <c r="O12" s="600">
        <v>3.4</v>
      </c>
      <c r="P12" s="600"/>
      <c r="Q12" s="596">
        <f t="shared" si="0"/>
        <v>4.3792714616887718E-2</v>
      </c>
      <c r="R12" s="596">
        <f t="shared" si="1"/>
        <v>2.8533188562569034E-2</v>
      </c>
    </row>
    <row r="13" spans="1:25" ht="18.75">
      <c r="A13" s="139">
        <v>10</v>
      </c>
      <c r="B13" s="140" t="s">
        <v>8</v>
      </c>
      <c r="C13" s="5">
        <v>10</v>
      </c>
      <c r="D13" s="595" t="s">
        <v>8</v>
      </c>
      <c r="E13" s="600">
        <v>-0.3</v>
      </c>
      <c r="F13" s="600">
        <v>0</v>
      </c>
      <c r="G13" s="600">
        <v>0.4</v>
      </c>
      <c r="H13" s="600">
        <v>0.5</v>
      </c>
      <c r="I13" s="600">
        <v>0.9</v>
      </c>
      <c r="J13" s="600">
        <v>-0.3</v>
      </c>
      <c r="K13" s="600">
        <v>2.2999999999999998</v>
      </c>
      <c r="L13" s="600">
        <v>7.8</v>
      </c>
      <c r="M13" s="600">
        <v>6.3</v>
      </c>
      <c r="N13" s="600">
        <v>2.1</v>
      </c>
      <c r="O13" s="600">
        <v>2.1</v>
      </c>
      <c r="P13" s="600"/>
      <c r="Q13" s="596">
        <f t="shared" si="0"/>
        <v>3.8172358552532426E-2</v>
      </c>
      <c r="R13" s="596">
        <f t="shared" si="1"/>
        <v>2.0167693844414414E-2</v>
      </c>
      <c r="S13" s="558"/>
    </row>
    <row r="14" spans="1:25" ht="18.75">
      <c r="A14" s="139">
        <v>11</v>
      </c>
      <c r="B14" s="140" t="s">
        <v>9</v>
      </c>
      <c r="C14" s="5">
        <v>11</v>
      </c>
      <c r="D14" s="595" t="s">
        <v>9</v>
      </c>
      <c r="E14" s="600">
        <v>0.3</v>
      </c>
      <c r="F14" s="600">
        <v>0.8</v>
      </c>
      <c r="G14" s="600">
        <v>-1.7</v>
      </c>
      <c r="H14" s="600">
        <v>0.7</v>
      </c>
      <c r="I14" s="600">
        <v>2</v>
      </c>
      <c r="J14" s="600">
        <v>1.2</v>
      </c>
      <c r="K14" s="600">
        <v>3.7</v>
      </c>
      <c r="L14" s="600">
        <v>5.7</v>
      </c>
      <c r="M14" s="600">
        <v>8</v>
      </c>
      <c r="N14" s="600">
        <v>4.5</v>
      </c>
      <c r="O14" s="600">
        <v>3.7</v>
      </c>
      <c r="P14" s="600"/>
      <c r="Q14" s="596">
        <f t="shared" si="0"/>
        <v>4.6641444771044815E-2</v>
      </c>
      <c r="R14" s="596">
        <f t="shared" si="1"/>
        <v>2.547268519833068E-2</v>
      </c>
    </row>
    <row r="15" spans="1:25" ht="18.75">
      <c r="A15" s="139">
        <v>12</v>
      </c>
      <c r="B15" s="140" t="s">
        <v>10</v>
      </c>
      <c r="C15" s="5">
        <v>12</v>
      </c>
      <c r="D15" s="595" t="s">
        <v>10</v>
      </c>
      <c r="E15" s="600">
        <v>0</v>
      </c>
      <c r="F15" s="600">
        <v>-0.1</v>
      </c>
      <c r="G15" s="600">
        <v>1.2</v>
      </c>
      <c r="H15" s="600">
        <v>1.1000000000000001</v>
      </c>
      <c r="I15" s="600">
        <v>0.6</v>
      </c>
      <c r="J15" s="600">
        <v>-0.1</v>
      </c>
      <c r="K15" s="600">
        <v>1.9</v>
      </c>
      <c r="L15" s="600">
        <v>8.1999999999999993</v>
      </c>
      <c r="M15" s="600">
        <v>5.6</v>
      </c>
      <c r="N15" s="600">
        <v>1</v>
      </c>
      <c r="O15" s="600">
        <v>1.6</v>
      </c>
      <c r="P15" s="600"/>
      <c r="Q15" s="596">
        <f t="shared" si="0"/>
        <v>3.4181938908834475E-2</v>
      </c>
      <c r="R15" s="596">
        <f t="shared" si="1"/>
        <v>1.9244876491456564E-2</v>
      </c>
    </row>
    <row r="16" spans="1:25" ht="18.75">
      <c r="A16" s="139">
        <v>13</v>
      </c>
      <c r="B16" s="140" t="s">
        <v>11</v>
      </c>
      <c r="C16" s="5">
        <v>13</v>
      </c>
      <c r="D16" s="595" t="s">
        <v>11</v>
      </c>
      <c r="E16" s="600">
        <v>-0.5</v>
      </c>
      <c r="F16" s="600">
        <v>-1.1000000000000001</v>
      </c>
      <c r="G16" s="600">
        <v>1.1000000000000001</v>
      </c>
      <c r="H16" s="600">
        <v>1.5</v>
      </c>
      <c r="I16" s="600">
        <v>0.8</v>
      </c>
      <c r="J16" s="600">
        <v>0.2</v>
      </c>
      <c r="K16" s="600">
        <v>2.6</v>
      </c>
      <c r="L16" s="600">
        <v>10.8</v>
      </c>
      <c r="M16" s="600">
        <v>7.9</v>
      </c>
      <c r="N16" s="600">
        <v>3</v>
      </c>
      <c r="O16" s="600">
        <v>4.4000000000000004</v>
      </c>
      <c r="P16" s="600"/>
      <c r="Q16" s="596">
        <f t="shared" si="0"/>
        <v>5.1757722223279012E-2</v>
      </c>
      <c r="R16" s="596">
        <f t="shared" si="1"/>
        <v>2.7527333573253099E-2</v>
      </c>
    </row>
    <row r="17" spans="1:19" ht="18.75">
      <c r="A17" s="139">
        <v>14</v>
      </c>
      <c r="B17" s="140" t="s">
        <v>12</v>
      </c>
      <c r="C17" s="5">
        <v>14</v>
      </c>
      <c r="D17" s="595" t="s">
        <v>12</v>
      </c>
      <c r="E17" s="600">
        <v>0.2</v>
      </c>
      <c r="F17" s="600">
        <v>0.1</v>
      </c>
      <c r="G17" s="600">
        <v>2.9</v>
      </c>
      <c r="H17" s="600">
        <v>2.5</v>
      </c>
      <c r="I17" s="600">
        <v>2.8</v>
      </c>
      <c r="J17" s="600">
        <v>0.2</v>
      </c>
      <c r="K17" s="600">
        <v>3.3</v>
      </c>
      <c r="L17" s="600">
        <v>17.3</v>
      </c>
      <c r="M17" s="600">
        <v>8.9</v>
      </c>
      <c r="N17" s="600">
        <v>1.3</v>
      </c>
      <c r="O17" s="600">
        <v>3.8</v>
      </c>
      <c r="P17" s="600"/>
      <c r="Q17" s="596">
        <f t="shared" si="0"/>
        <v>6.1228762054165609E-2</v>
      </c>
      <c r="R17" s="596">
        <f t="shared" si="1"/>
        <v>3.6487248188652455E-2</v>
      </c>
    </row>
    <row r="18" spans="1:19" ht="18.75">
      <c r="A18" s="139">
        <v>15</v>
      </c>
      <c r="B18" s="140" t="s">
        <v>13</v>
      </c>
      <c r="C18" s="5">
        <v>15</v>
      </c>
      <c r="D18" s="595" t="s">
        <v>13</v>
      </c>
      <c r="E18" s="600">
        <v>-1.1000000000000001</v>
      </c>
      <c r="F18" s="600">
        <v>-0.4</v>
      </c>
      <c r="G18" s="600">
        <v>0.5</v>
      </c>
      <c r="H18" s="600">
        <v>0.9</v>
      </c>
      <c r="I18" s="600">
        <v>0.4</v>
      </c>
      <c r="J18" s="600">
        <v>-0.7</v>
      </c>
      <c r="K18" s="600">
        <v>0.6</v>
      </c>
      <c r="L18" s="600">
        <v>2.8</v>
      </c>
      <c r="M18" s="600">
        <v>2.1</v>
      </c>
      <c r="N18" s="600">
        <v>1.1000000000000001</v>
      </c>
      <c r="O18" s="600">
        <v>0.2</v>
      </c>
      <c r="P18" s="600"/>
      <c r="Q18" s="596">
        <f t="shared" si="0"/>
        <v>1.3244489537256321E-2</v>
      </c>
      <c r="R18" s="596">
        <f t="shared" si="1"/>
        <v>7.2582807054286658E-3</v>
      </c>
    </row>
    <row r="19" spans="1:19" ht="18.75">
      <c r="A19" s="139">
        <v>16</v>
      </c>
      <c r="B19" s="140" t="s">
        <v>14</v>
      </c>
      <c r="C19" s="5">
        <v>16</v>
      </c>
      <c r="D19" s="595" t="s">
        <v>14</v>
      </c>
      <c r="E19" s="600">
        <v>-0.9</v>
      </c>
      <c r="F19" s="600">
        <v>0.9</v>
      </c>
      <c r="G19" s="600">
        <v>3.7</v>
      </c>
      <c r="H19" s="600">
        <v>2.7</v>
      </c>
      <c r="I19" s="600">
        <v>2.2999999999999998</v>
      </c>
      <c r="J19" s="600">
        <v>1.2</v>
      </c>
      <c r="K19" s="600">
        <v>4.7</v>
      </c>
      <c r="L19" s="600">
        <v>19.7</v>
      </c>
      <c r="M19" s="600">
        <v>9.1</v>
      </c>
      <c r="N19" s="600">
        <v>0.7</v>
      </c>
      <c r="O19" s="600">
        <v>3.4</v>
      </c>
      <c r="P19" s="600"/>
      <c r="Q19" s="596">
        <f t="shared" si="0"/>
        <v>6.5917731595733553E-2</v>
      </c>
      <c r="R19" s="596">
        <f t="shared" si="1"/>
        <v>4.0263570767266943E-2</v>
      </c>
    </row>
    <row r="20" spans="1:19" ht="18.75">
      <c r="A20" s="139">
        <v>17</v>
      </c>
      <c r="B20" s="140" t="s">
        <v>15</v>
      </c>
      <c r="C20" s="5">
        <v>17</v>
      </c>
      <c r="D20" s="595" t="s">
        <v>15</v>
      </c>
      <c r="E20" s="600">
        <v>0.5</v>
      </c>
      <c r="F20" s="600">
        <v>0.3</v>
      </c>
      <c r="G20" s="600">
        <v>1.7</v>
      </c>
      <c r="H20" s="600">
        <v>1.5</v>
      </c>
      <c r="I20" s="600">
        <v>1.7</v>
      </c>
      <c r="J20" s="600">
        <v>0.8</v>
      </c>
      <c r="K20" s="600">
        <v>2.5</v>
      </c>
      <c r="L20" s="600">
        <v>6.3</v>
      </c>
      <c r="M20" s="600">
        <v>3.7</v>
      </c>
      <c r="N20" s="600">
        <v>2.1</v>
      </c>
      <c r="O20" s="600">
        <v>2.5</v>
      </c>
      <c r="P20" s="600"/>
      <c r="Q20" s="596">
        <f t="shared" si="0"/>
        <v>3.2075287005439934E-2</v>
      </c>
      <c r="R20" s="596">
        <f t="shared" si="1"/>
        <v>2.1000148594005674E-2</v>
      </c>
    </row>
    <row r="21" spans="1:19" ht="18.75">
      <c r="A21" s="139">
        <v>18</v>
      </c>
      <c r="B21" s="140" t="s">
        <v>16</v>
      </c>
      <c r="C21" s="5">
        <v>18</v>
      </c>
      <c r="D21" s="595" t="s">
        <v>16</v>
      </c>
      <c r="E21" s="600">
        <v>1.1000000000000001</v>
      </c>
      <c r="F21" s="600">
        <v>0.6</v>
      </c>
      <c r="G21" s="600">
        <v>1.4</v>
      </c>
      <c r="H21" s="600">
        <v>1.2</v>
      </c>
      <c r="I21" s="600">
        <v>1.6</v>
      </c>
      <c r="J21" s="600">
        <v>0.6</v>
      </c>
      <c r="K21" s="600">
        <v>1.5</v>
      </c>
      <c r="L21" s="600">
        <v>6.2</v>
      </c>
      <c r="M21" s="600">
        <v>5.0999999999999996</v>
      </c>
      <c r="N21" s="600">
        <v>1.7</v>
      </c>
      <c r="O21" s="600">
        <v>2.4</v>
      </c>
      <c r="P21" s="600"/>
      <c r="Q21" s="596">
        <f t="shared" si="0"/>
        <v>3.1722500976307577E-2</v>
      </c>
      <c r="R21" s="596">
        <f t="shared" si="1"/>
        <v>2.0334674435184441E-2</v>
      </c>
    </row>
    <row r="22" spans="1:19" ht="18.75">
      <c r="A22" s="139">
        <v>19</v>
      </c>
      <c r="B22" s="140" t="s">
        <v>17</v>
      </c>
      <c r="C22" s="5">
        <v>19</v>
      </c>
      <c r="D22" s="595" t="s">
        <v>17</v>
      </c>
      <c r="E22" s="600">
        <v>0.6</v>
      </c>
      <c r="F22" s="600">
        <v>0.3</v>
      </c>
      <c r="G22" s="600">
        <v>1.4</v>
      </c>
      <c r="H22" s="600">
        <v>1.7</v>
      </c>
      <c r="I22" s="600">
        <v>2.6</v>
      </c>
      <c r="J22" s="600">
        <v>1.3</v>
      </c>
      <c r="K22" s="600">
        <v>2.7</v>
      </c>
      <c r="L22" s="600">
        <v>10</v>
      </c>
      <c r="M22" s="600">
        <v>3.8</v>
      </c>
      <c r="N22" s="600">
        <v>3.3</v>
      </c>
      <c r="O22" s="600">
        <v>3</v>
      </c>
      <c r="P22" s="600"/>
      <c r="Q22" s="596">
        <f t="shared" si="0"/>
        <v>4.1932712536242756E-2</v>
      </c>
      <c r="R22" s="596">
        <f t="shared" si="1"/>
        <v>2.6662571954113368E-2</v>
      </c>
      <c r="S22" s="558"/>
    </row>
    <row r="23" spans="1:19" ht="18.75">
      <c r="A23" s="139">
        <v>20</v>
      </c>
      <c r="B23" s="140" t="s">
        <v>18</v>
      </c>
      <c r="C23" s="5">
        <v>20</v>
      </c>
      <c r="D23" s="595" t="s">
        <v>18</v>
      </c>
      <c r="E23" s="600">
        <v>2</v>
      </c>
      <c r="F23" s="600">
        <v>0.8</v>
      </c>
      <c r="G23" s="600">
        <v>1.9</v>
      </c>
      <c r="H23" s="600">
        <v>3</v>
      </c>
      <c r="I23" s="600">
        <v>2.2999999999999998</v>
      </c>
      <c r="J23" s="600">
        <v>1.2</v>
      </c>
      <c r="K23" s="600">
        <v>3.9</v>
      </c>
      <c r="L23" s="600">
        <v>6.2</v>
      </c>
      <c r="M23" s="600">
        <v>5.8</v>
      </c>
      <c r="N23" s="600">
        <v>2.8</v>
      </c>
      <c r="O23" s="600">
        <v>2.8</v>
      </c>
      <c r="P23" s="600"/>
      <c r="Q23" s="596">
        <f t="shared" si="0"/>
        <v>3.9717264732719526E-2</v>
      </c>
      <c r="R23" s="596">
        <f t="shared" si="1"/>
        <v>2.7135072237417956E-2</v>
      </c>
    </row>
    <row r="24" spans="1:19" ht="18.75">
      <c r="A24" s="139">
        <v>21</v>
      </c>
      <c r="B24" s="140" t="s">
        <v>19</v>
      </c>
      <c r="C24" s="5">
        <v>21</v>
      </c>
      <c r="D24" s="595" t="s">
        <v>19</v>
      </c>
      <c r="E24" s="600">
        <v>0.9</v>
      </c>
      <c r="F24" s="600">
        <v>0.9</v>
      </c>
      <c r="G24" s="600">
        <v>2.1</v>
      </c>
      <c r="H24" s="600">
        <v>2</v>
      </c>
      <c r="I24" s="600">
        <v>1.5</v>
      </c>
      <c r="J24" s="600">
        <v>1.4</v>
      </c>
      <c r="K24" s="600">
        <v>2.8</v>
      </c>
      <c r="L24" s="600">
        <v>8.5</v>
      </c>
      <c r="M24" s="600">
        <v>7.8</v>
      </c>
      <c r="N24" s="600">
        <v>2.9</v>
      </c>
      <c r="O24" s="600">
        <v>3.6</v>
      </c>
      <c r="P24" s="600"/>
      <c r="Q24" s="596">
        <f t="shared" si="0"/>
        <v>4.6641444771044815E-2</v>
      </c>
      <c r="R24" s="596">
        <f t="shared" si="1"/>
        <v>2.9314584908476826E-2</v>
      </c>
    </row>
    <row r="25" spans="1:19" ht="18.75">
      <c r="A25" s="139">
        <v>22</v>
      </c>
      <c r="B25" s="140" t="s">
        <v>20</v>
      </c>
      <c r="C25" s="5">
        <v>22</v>
      </c>
      <c r="D25" s="595" t="s">
        <v>20</v>
      </c>
      <c r="E25" s="600">
        <v>-0.9</v>
      </c>
      <c r="F25" s="600">
        <v>-0.7</v>
      </c>
      <c r="G25" s="600">
        <v>2.1</v>
      </c>
      <c r="H25" s="600">
        <v>1.8</v>
      </c>
      <c r="I25" s="600">
        <v>2.2000000000000002</v>
      </c>
      <c r="J25" s="600">
        <v>3.4</v>
      </c>
      <c r="K25" s="600">
        <v>5.0999999999999996</v>
      </c>
      <c r="L25" s="600">
        <v>14.4</v>
      </c>
      <c r="M25" s="600">
        <v>11.5</v>
      </c>
      <c r="N25" s="600">
        <v>3.8</v>
      </c>
      <c r="O25" s="600">
        <v>3.3</v>
      </c>
      <c r="P25" s="600"/>
      <c r="Q25" s="596">
        <f t="shared" si="0"/>
        <v>6.6691257614506227E-2</v>
      </c>
      <c r="R25" s="596">
        <f t="shared" si="1"/>
        <v>3.9207277901527116E-2</v>
      </c>
    </row>
    <row r="26" spans="1:19" ht="18.75">
      <c r="A26" s="139">
        <v>23</v>
      </c>
      <c r="B26" s="140" t="s">
        <v>21</v>
      </c>
      <c r="C26" s="5">
        <v>23</v>
      </c>
      <c r="D26" s="595" t="s">
        <v>21</v>
      </c>
      <c r="E26" s="600">
        <v>0.5</v>
      </c>
      <c r="F26" s="600">
        <v>0.6</v>
      </c>
      <c r="G26" s="600">
        <v>1.4</v>
      </c>
      <c r="H26" s="600">
        <v>1</v>
      </c>
      <c r="I26" s="600">
        <v>0.3</v>
      </c>
      <c r="J26" s="600">
        <v>0</v>
      </c>
      <c r="K26" s="600">
        <v>1.3</v>
      </c>
      <c r="L26" s="600">
        <v>7.8</v>
      </c>
      <c r="M26" s="600">
        <v>4.3</v>
      </c>
      <c r="N26" s="600">
        <v>2.4</v>
      </c>
      <c r="O26" s="600">
        <v>2.2000000000000002</v>
      </c>
      <c r="P26" s="600"/>
      <c r="Q26" s="596">
        <f t="shared" si="0"/>
        <v>3.3656884345193427E-2</v>
      </c>
      <c r="R26" s="596">
        <f t="shared" si="1"/>
        <v>1.9497300330687306E-2</v>
      </c>
    </row>
    <row r="27" spans="1:19" ht="18.75">
      <c r="A27" s="139">
        <v>24</v>
      </c>
      <c r="B27" s="140" t="s">
        <v>22</v>
      </c>
      <c r="C27" s="5">
        <v>24</v>
      </c>
      <c r="D27" s="595" t="s">
        <v>22</v>
      </c>
      <c r="E27" s="600">
        <v>-0.6</v>
      </c>
      <c r="F27" s="600">
        <v>-1.5</v>
      </c>
      <c r="G27" s="600">
        <v>1.3</v>
      </c>
      <c r="H27" s="600">
        <v>4.5999999999999996</v>
      </c>
      <c r="I27" s="600">
        <v>3.8</v>
      </c>
      <c r="J27" s="600">
        <v>2.6</v>
      </c>
      <c r="K27" s="600">
        <v>5.0999999999999996</v>
      </c>
      <c r="L27" s="600">
        <v>13.8</v>
      </c>
      <c r="M27" s="600">
        <v>10.4</v>
      </c>
      <c r="N27" s="600">
        <v>5.7</v>
      </c>
      <c r="O27" s="600">
        <v>6.8</v>
      </c>
      <c r="P27" s="600"/>
      <c r="Q27" s="596">
        <f t="shared" si="0"/>
        <v>7.2346765500401977E-2</v>
      </c>
      <c r="R27" s="596">
        <f t="shared" si="1"/>
        <v>4.3170875405886378E-2</v>
      </c>
    </row>
    <row r="28" spans="1:19" ht="18.75">
      <c r="A28" s="139">
        <v>25</v>
      </c>
      <c r="B28" s="140" t="s">
        <v>23</v>
      </c>
      <c r="C28" s="5">
        <v>25</v>
      </c>
      <c r="D28" s="595" t="s">
        <v>23</v>
      </c>
      <c r="E28" s="600">
        <v>0</v>
      </c>
      <c r="F28" s="600">
        <v>1</v>
      </c>
      <c r="G28" s="600">
        <v>1.8</v>
      </c>
      <c r="H28" s="600">
        <v>2</v>
      </c>
      <c r="I28" s="600">
        <v>1.8</v>
      </c>
      <c r="J28" s="600">
        <v>0.5</v>
      </c>
      <c r="K28" s="600">
        <v>2.2000000000000002</v>
      </c>
      <c r="L28" s="600">
        <v>8.4</v>
      </c>
      <c r="M28" s="600">
        <v>8.5</v>
      </c>
      <c r="N28" s="600">
        <v>2.8</v>
      </c>
      <c r="O28" s="600">
        <v>2.6</v>
      </c>
      <c r="P28" s="600"/>
      <c r="Q28" s="596">
        <f t="shared" si="0"/>
        <v>4.4801699309346521E-2</v>
      </c>
      <c r="R28" s="596">
        <f t="shared" si="1"/>
        <v>2.7840175137950451E-2</v>
      </c>
    </row>
    <row r="29" spans="1:19" ht="18.75">
      <c r="A29" s="139">
        <v>26</v>
      </c>
      <c r="B29" s="140" t="s">
        <v>24</v>
      </c>
      <c r="C29" s="5">
        <v>26</v>
      </c>
      <c r="D29" s="595" t="s">
        <v>24</v>
      </c>
      <c r="E29" s="600">
        <v>-1.1000000000000001</v>
      </c>
      <c r="F29" s="600">
        <v>-0.4</v>
      </c>
      <c r="G29" s="600">
        <v>0.5</v>
      </c>
      <c r="H29" s="600">
        <v>0.9</v>
      </c>
      <c r="I29" s="600">
        <v>0.4</v>
      </c>
      <c r="J29" s="600">
        <v>-0.7</v>
      </c>
      <c r="K29" s="600">
        <v>0.6</v>
      </c>
      <c r="L29" s="600">
        <v>2.8</v>
      </c>
      <c r="M29" s="600">
        <v>2.1</v>
      </c>
      <c r="N29" s="600">
        <v>1.1000000000000001</v>
      </c>
      <c r="O29" s="600">
        <v>0.1</v>
      </c>
      <c r="P29" s="600"/>
      <c r="Q29" s="596">
        <f t="shared" si="0"/>
        <v>1.3054672272238887E-2</v>
      </c>
      <c r="R29" s="596">
        <f t="shared" si="1"/>
        <v>7.1645430149838152E-3</v>
      </c>
    </row>
    <row r="30" spans="1:19" ht="18.75">
      <c r="A30" s="139">
        <v>27</v>
      </c>
      <c r="B30" s="140" t="s">
        <v>25</v>
      </c>
      <c r="C30" s="5">
        <v>27</v>
      </c>
      <c r="D30" s="595" t="s">
        <v>25</v>
      </c>
      <c r="E30" s="600">
        <v>-0.3</v>
      </c>
      <c r="F30" s="600">
        <v>-0.5</v>
      </c>
      <c r="G30" s="600">
        <v>1.3</v>
      </c>
      <c r="H30" s="600">
        <v>2.5</v>
      </c>
      <c r="I30" s="600">
        <v>2.7</v>
      </c>
      <c r="J30" s="600">
        <v>1.9</v>
      </c>
      <c r="K30" s="600">
        <v>3.1</v>
      </c>
      <c r="L30" s="600">
        <v>12.8</v>
      </c>
      <c r="M30" s="600">
        <v>10.5</v>
      </c>
      <c r="N30" s="600">
        <v>2.8</v>
      </c>
      <c r="O30" s="600">
        <v>4.2</v>
      </c>
      <c r="P30" s="600"/>
      <c r="Q30" s="596">
        <f t="shared" si="0"/>
        <v>5.9329742254793372E-2</v>
      </c>
      <c r="R30" s="596">
        <f t="shared" si="1"/>
        <v>3.517605155207959E-2</v>
      </c>
    </row>
    <row r="31" spans="1:19" ht="18.75">
      <c r="A31" s="139">
        <v>28</v>
      </c>
      <c r="B31" s="140" t="s">
        <v>26</v>
      </c>
      <c r="C31" s="5">
        <v>28</v>
      </c>
      <c r="D31" s="595" t="s">
        <v>26</v>
      </c>
      <c r="E31" s="600">
        <v>-0.5</v>
      </c>
      <c r="F31" s="600">
        <v>-0.1</v>
      </c>
      <c r="G31" s="600">
        <v>1.4</v>
      </c>
      <c r="H31" s="600">
        <v>1.7</v>
      </c>
      <c r="I31" s="600">
        <v>1.6</v>
      </c>
      <c r="J31" s="600">
        <v>-0.1</v>
      </c>
      <c r="K31" s="600">
        <v>1.9</v>
      </c>
      <c r="L31" s="600">
        <v>8.8000000000000007</v>
      </c>
      <c r="M31" s="600">
        <v>7.4</v>
      </c>
      <c r="N31" s="600">
        <v>2</v>
      </c>
      <c r="O31" s="600">
        <v>2.5</v>
      </c>
      <c r="P31" s="600"/>
      <c r="Q31" s="596">
        <f t="shared" si="0"/>
        <v>4.1593099454768634E-2</v>
      </c>
      <c r="R31" s="596">
        <f t="shared" si="1"/>
        <v>2.4270241198953935E-2</v>
      </c>
    </row>
    <row r="32" spans="1:19" ht="18.75">
      <c r="A32" s="139">
        <v>29</v>
      </c>
      <c r="B32" s="140" t="s">
        <v>27</v>
      </c>
      <c r="C32" s="5">
        <v>29</v>
      </c>
      <c r="D32" s="595" t="s">
        <v>27</v>
      </c>
      <c r="E32" s="600">
        <v>-0.5</v>
      </c>
      <c r="F32" s="600">
        <v>-0.2</v>
      </c>
      <c r="G32" s="600">
        <v>2</v>
      </c>
      <c r="H32" s="600">
        <v>1.7</v>
      </c>
      <c r="I32" s="600">
        <v>0.7</v>
      </c>
      <c r="J32" s="600">
        <v>-0.3</v>
      </c>
      <c r="K32" s="600">
        <v>3.1</v>
      </c>
      <c r="L32" s="600">
        <v>8.4</v>
      </c>
      <c r="M32" s="600">
        <v>3.5</v>
      </c>
      <c r="N32" s="600">
        <v>2.8</v>
      </c>
      <c r="O32" s="600">
        <v>2.7</v>
      </c>
      <c r="P32" s="600"/>
      <c r="Q32" s="596">
        <f t="shared" si="0"/>
        <v>3.8000133533338865E-2</v>
      </c>
      <c r="R32" s="596">
        <f t="shared" si="1"/>
        <v>2.2073287846108292E-2</v>
      </c>
    </row>
    <row r="33" spans="1:23" ht="18.75">
      <c r="A33" s="139">
        <v>30</v>
      </c>
      <c r="B33" s="140" t="s">
        <v>2240</v>
      </c>
      <c r="C33" s="5">
        <v>30</v>
      </c>
      <c r="D33" s="595" t="s">
        <v>2240</v>
      </c>
      <c r="E33" s="600">
        <v>0.3</v>
      </c>
      <c r="F33" s="600">
        <v>0.7</v>
      </c>
      <c r="G33" s="600">
        <v>2.5</v>
      </c>
      <c r="H33" s="600">
        <v>2.1</v>
      </c>
      <c r="I33" s="600">
        <v>2.8</v>
      </c>
      <c r="J33" s="600">
        <v>3.2</v>
      </c>
      <c r="K33" s="600">
        <v>3.8</v>
      </c>
      <c r="L33" s="600">
        <v>15.1</v>
      </c>
      <c r="M33" s="600">
        <v>10.7</v>
      </c>
      <c r="N33" s="600">
        <v>2.4</v>
      </c>
      <c r="O33" s="600">
        <v>2.2999999999999998</v>
      </c>
      <c r="P33" s="600"/>
      <c r="Q33" s="596">
        <f t="shared" si="0"/>
        <v>6.0755280859349448E-2</v>
      </c>
      <c r="R33" s="596">
        <f t="shared" si="1"/>
        <v>3.8283942451448061E-2</v>
      </c>
    </row>
    <row r="34" spans="1:23" ht="18.75">
      <c r="A34" s="139">
        <v>31</v>
      </c>
      <c r="B34" s="140" t="s">
        <v>29</v>
      </c>
      <c r="C34" s="5">
        <v>31</v>
      </c>
      <c r="D34" s="595" t="s">
        <v>29</v>
      </c>
      <c r="E34" s="600">
        <v>-0.1</v>
      </c>
      <c r="F34" s="600">
        <v>0.4</v>
      </c>
      <c r="G34" s="600">
        <v>2.2999999999999998</v>
      </c>
      <c r="H34" s="600">
        <v>2.9</v>
      </c>
      <c r="I34" s="600">
        <v>3.3</v>
      </c>
      <c r="J34" s="600">
        <v>3.3</v>
      </c>
      <c r="K34" s="600">
        <v>5.0999999999999996</v>
      </c>
      <c r="L34" s="600">
        <v>14.6</v>
      </c>
      <c r="M34" s="600">
        <v>17.100000000000001</v>
      </c>
      <c r="N34" s="600">
        <v>3.7</v>
      </c>
      <c r="O34" s="600">
        <v>4.4000000000000004</v>
      </c>
      <c r="P34" s="600"/>
      <c r="Q34" s="596">
        <f t="shared" si="0"/>
        <v>7.699497526117538E-2</v>
      </c>
      <c r="R34" s="596">
        <f t="shared" si="1"/>
        <v>4.6206992795896129E-2</v>
      </c>
      <c r="S34" s="558"/>
    </row>
    <row r="35" spans="1:23" ht="18.75">
      <c r="A35" s="139">
        <v>32</v>
      </c>
      <c r="B35" s="140" t="s">
        <v>30</v>
      </c>
      <c r="C35" s="5">
        <v>32</v>
      </c>
      <c r="D35" s="595" t="s">
        <v>30</v>
      </c>
      <c r="E35" s="600">
        <v>-2.1</v>
      </c>
      <c r="F35" s="600">
        <v>-1.4</v>
      </c>
      <c r="G35" s="600">
        <v>0.5</v>
      </c>
      <c r="H35" s="600">
        <v>1.4</v>
      </c>
      <c r="I35" s="600">
        <v>0.3</v>
      </c>
      <c r="J35" s="600">
        <v>-0.6</v>
      </c>
      <c r="K35" s="600">
        <v>2.4</v>
      </c>
      <c r="L35" s="600">
        <v>8.4</v>
      </c>
      <c r="M35" s="600">
        <v>3.5</v>
      </c>
      <c r="N35" s="600">
        <v>1.8</v>
      </c>
      <c r="O35" s="600">
        <v>0.8</v>
      </c>
      <c r="P35" s="600"/>
      <c r="Q35" s="596">
        <f t="shared" si="0"/>
        <v>3.1722500976307577E-2</v>
      </c>
      <c r="R35" s="596">
        <f t="shared" si="1"/>
        <v>1.5911062547032229E-2</v>
      </c>
    </row>
    <row r="36" spans="1:23" ht="18.75">
      <c r="A36" s="139">
        <v>33</v>
      </c>
      <c r="B36" s="478" t="s">
        <v>3930</v>
      </c>
      <c r="C36" s="5">
        <v>33</v>
      </c>
      <c r="D36" s="595" t="str">
        <f>+B36</f>
        <v>Kanada</v>
      </c>
      <c r="E36" s="600">
        <v>1.1299999999999999</v>
      </c>
      <c r="F36" s="600">
        <v>1.43</v>
      </c>
      <c r="G36" s="600">
        <v>1.6</v>
      </c>
      <c r="H36" s="600">
        <v>2.27</v>
      </c>
      <c r="I36" s="600">
        <v>1.95</v>
      </c>
      <c r="J36" s="600">
        <v>0.72</v>
      </c>
      <c r="K36" s="600">
        <v>3.4</v>
      </c>
      <c r="L36" s="600">
        <v>6.8</v>
      </c>
      <c r="M36" s="600">
        <v>3.88</v>
      </c>
      <c r="N36" s="600">
        <v>2.38</v>
      </c>
      <c r="O36" s="600">
        <v>2.1</v>
      </c>
      <c r="P36" s="600"/>
      <c r="Q36" s="596">
        <f t="shared" si="0"/>
        <v>3.4636125267093254E-2</v>
      </c>
      <c r="R36" s="596">
        <f t="shared" si="1"/>
        <v>2.3809961397186497E-2</v>
      </c>
      <c r="V36">
        <v>100</v>
      </c>
      <c r="W36">
        <v>130</v>
      </c>
    </row>
    <row r="37" spans="1:23" ht="18.75">
      <c r="A37" s="139">
        <v>34</v>
      </c>
      <c r="B37" s="478" t="s">
        <v>2273</v>
      </c>
      <c r="C37" s="5">
        <v>34</v>
      </c>
      <c r="D37" s="595" t="str">
        <f t="shared" ref="D37:D38" si="2">+B37</f>
        <v>Australien</v>
      </c>
      <c r="E37" s="600">
        <v>1.51</v>
      </c>
      <c r="F37" s="600">
        <v>1.28</v>
      </c>
      <c r="G37" s="600">
        <v>1.95</v>
      </c>
      <c r="H37" s="600">
        <v>1.91</v>
      </c>
      <c r="I37" s="600">
        <v>1.61</v>
      </c>
      <c r="J37" s="600">
        <v>0.85</v>
      </c>
      <c r="K37" s="600">
        <v>2.86</v>
      </c>
      <c r="L37" s="600">
        <v>6.59</v>
      </c>
      <c r="M37" s="600">
        <v>5.6</v>
      </c>
      <c r="N37" s="600">
        <v>3.17</v>
      </c>
      <c r="O37" s="600">
        <v>3.8</v>
      </c>
      <c r="P37" s="600"/>
      <c r="Q37" s="596">
        <f t="shared" si="0"/>
        <v>4.0605708823282516E-2</v>
      </c>
      <c r="R37" s="596">
        <f t="shared" si="1"/>
        <v>2.6283157561348469E-2</v>
      </c>
      <c r="V37">
        <f>_xlfn.RRI(10,V36,W36)</f>
        <v>2.6583631304232025E-2</v>
      </c>
    </row>
    <row r="38" spans="1:23" ht="18.75">
      <c r="A38" s="139">
        <v>35</v>
      </c>
      <c r="B38" s="478" t="s">
        <v>3931</v>
      </c>
      <c r="C38" s="5">
        <v>35</v>
      </c>
      <c r="D38" s="595" t="str">
        <f t="shared" si="2"/>
        <v>Neuseeland</v>
      </c>
      <c r="E38" s="600">
        <v>0.28999999999999998</v>
      </c>
      <c r="F38" s="600">
        <v>0.65</v>
      </c>
      <c r="G38" s="600">
        <v>1.85</v>
      </c>
      <c r="H38" s="600">
        <v>1.6</v>
      </c>
      <c r="I38" s="600">
        <v>1.62</v>
      </c>
      <c r="J38" s="600">
        <v>1.71</v>
      </c>
      <c r="K38" s="600">
        <v>3.94</v>
      </c>
      <c r="L38" s="600">
        <v>7.17</v>
      </c>
      <c r="M38" s="600">
        <v>5.73</v>
      </c>
      <c r="N38" s="600">
        <v>2.92</v>
      </c>
      <c r="O38" s="600">
        <v>3.1</v>
      </c>
      <c r="P38" s="600"/>
      <c r="Q38" s="596">
        <f t="shared" si="0"/>
        <v>4.2034510171795603E-2</v>
      </c>
      <c r="R38" s="596">
        <f t="shared" si="1"/>
        <v>2.6812408858336134E-2</v>
      </c>
    </row>
    <row r="39" spans="1:23" ht="18.75">
      <c r="A39" s="139">
        <v>36</v>
      </c>
      <c r="B39" s="478" t="s">
        <v>2886</v>
      </c>
      <c r="C39" s="5">
        <v>36</v>
      </c>
      <c r="D39" s="11" t="s">
        <v>2886</v>
      </c>
      <c r="E39" s="600">
        <v>-0.4</v>
      </c>
      <c r="F39" s="600">
        <v>1</v>
      </c>
      <c r="G39" s="600">
        <v>2.1</v>
      </c>
      <c r="H39" s="600">
        <v>2.5</v>
      </c>
      <c r="I39" s="600">
        <v>1.7000000000000002</v>
      </c>
      <c r="J39" s="600">
        <v>1.2</v>
      </c>
      <c r="K39" s="600">
        <v>5.3</v>
      </c>
      <c r="L39" s="600">
        <v>8.5</v>
      </c>
      <c r="M39" s="600">
        <v>3.8</v>
      </c>
      <c r="N39" s="600">
        <v>2.9000000000000004</v>
      </c>
      <c r="O39" s="600">
        <v>2.5</v>
      </c>
      <c r="P39" s="600">
        <v>3.3</v>
      </c>
      <c r="Q39" s="596">
        <f t="shared" si="0"/>
        <v>4.2271883412972944E-2</v>
      </c>
      <c r="R39" s="596">
        <f t="shared" si="1"/>
        <v>2.7762045061242135E-2</v>
      </c>
      <c r="S39" s="266"/>
    </row>
    <row r="40" spans="1:23">
      <c r="D40" s="145" t="s">
        <v>2453</v>
      </c>
    </row>
    <row r="43" spans="1:23">
      <c r="B43" s="147"/>
      <c r="C43" s="780"/>
      <c r="D43" s="780"/>
      <c r="E43" s="147"/>
    </row>
    <row r="44" spans="1:23">
      <c r="B44" s="147"/>
      <c r="C44" s="780"/>
      <c r="D44" s="147"/>
      <c r="E44" s="147"/>
      <c r="F44" s="168"/>
    </row>
    <row r="45" spans="1:23">
      <c r="B45" s="147"/>
      <c r="C45" s="780"/>
      <c r="D45" s="147"/>
      <c r="E45" s="147"/>
      <c r="F45" s="781"/>
    </row>
    <row r="46" spans="1:23">
      <c r="B46" s="147"/>
      <c r="C46" s="780"/>
      <c r="D46" s="147"/>
      <c r="E46" s="147"/>
      <c r="F46" s="781"/>
    </row>
    <row r="47" spans="1:23">
      <c r="B47" s="147"/>
      <c r="C47" s="780"/>
      <c r="D47" s="147"/>
      <c r="E47" s="147"/>
      <c r="F47" s="781"/>
    </row>
    <row r="48" spans="1:23">
      <c r="B48" s="147"/>
      <c r="C48" s="780"/>
      <c r="D48" s="147"/>
      <c r="E48" s="147"/>
      <c r="F48" s="781"/>
    </row>
    <row r="49" spans="2:6">
      <c r="B49" s="147"/>
      <c r="C49" s="780"/>
      <c r="D49" s="147"/>
      <c r="E49" s="147"/>
      <c r="F49" s="781"/>
    </row>
    <row r="50" spans="2:6">
      <c r="B50" s="147"/>
      <c r="C50" s="780"/>
      <c r="D50" s="147"/>
      <c r="E50" s="147"/>
      <c r="F50" s="781"/>
    </row>
    <row r="51" spans="2:6">
      <c r="B51" s="147"/>
      <c r="C51" s="780"/>
      <c r="D51" s="147"/>
      <c r="E51" s="147"/>
      <c r="F51" s="781"/>
    </row>
    <row r="52" spans="2:6">
      <c r="B52" s="147"/>
      <c r="C52" s="780"/>
      <c r="D52" s="147"/>
      <c r="E52" s="147"/>
      <c r="F52" s="781"/>
    </row>
    <row r="53" spans="2:6">
      <c r="D53" s="147"/>
      <c r="E53" s="147"/>
      <c r="F53" s="781"/>
    </row>
    <row r="54" spans="2:6">
      <c r="B54" s="11"/>
      <c r="C54"/>
      <c r="D54" s="147"/>
      <c r="E54" s="147"/>
      <c r="F54" s="781"/>
    </row>
    <row r="55" spans="2:6">
      <c r="C55"/>
      <c r="D55" s="147"/>
      <c r="E55" s="147"/>
      <c r="F55" s="781"/>
    </row>
    <row r="56" spans="2:6" ht="18">
      <c r="B56" s="782"/>
      <c r="C56"/>
    </row>
    <row r="57" spans="2:6">
      <c r="C57"/>
    </row>
    <row r="58" spans="2:6">
      <c r="B58" s="11"/>
      <c r="C58"/>
    </row>
    <row r="59" spans="2:6">
      <c r="C59"/>
    </row>
    <row r="60" spans="2:6">
      <c r="B60" s="146"/>
      <c r="C60" s="146"/>
    </row>
    <row r="61" spans="2:6">
      <c r="B61" s="147"/>
      <c r="C61" s="780"/>
    </row>
    <row r="62" spans="2:6">
      <c r="B62" s="147"/>
      <c r="C62" s="780"/>
    </row>
    <row r="63" spans="2:6">
      <c r="B63" s="168"/>
      <c r="C63" s="781"/>
    </row>
    <row r="64" spans="2:6">
      <c r="B64" s="147"/>
      <c r="C64" s="168"/>
    </row>
    <row r="65" spans="2:3">
      <c r="C65"/>
    </row>
    <row r="66" spans="2:3">
      <c r="B66" s="11"/>
      <c r="C66"/>
    </row>
  </sheetData>
  <autoFilter ref="C3:R40" xr:uid="{845FA817-EF27-4282-BA27-7D6E8854F124}"/>
  <mergeCells count="8">
    <mergeCell ref="A1:B3"/>
    <mergeCell ref="Q2:R2"/>
    <mergeCell ref="V3:W3"/>
    <mergeCell ref="X3:Y3"/>
    <mergeCell ref="W4:W5"/>
    <mergeCell ref="Y4:Y5"/>
    <mergeCell ref="C1:N2"/>
    <mergeCell ref="T2:Y2"/>
  </mergeCells>
  <conditionalFormatting sqref="T3">
    <cfRule type="expression" dxfId="24" priority="3">
      <formula>$J$5=$B13</formula>
    </cfRule>
  </conditionalFormatting>
  <conditionalFormatting sqref="T4">
    <cfRule type="expression" dxfId="23" priority="2">
      <formula>$J$5=$B15</formula>
    </cfRule>
  </conditionalFormatting>
  <conditionalFormatting sqref="T5">
    <cfRule type="expression" dxfId="22" priority="1">
      <formula>$J$5=$B14</formula>
    </cfRule>
  </conditionalFormatting>
  <hyperlinks>
    <hyperlink ref="C1" r:id="rId1" tooltip="Inflation, consumer prices for Sweden (FPCPITOTLZGSWE) | FRED | St. Louis Fed" display="https://fred.stlouisfed.org/series/FPCPITOTLZGSWE" xr:uid="{C75F7B6B-5DBE-41A9-AC36-3C90D85EF310}"/>
    <hyperlink ref="D40" r:id="rId2" tooltip="Table Data - Inflation, consumer prices for Austria | FRED | St. Louis Fed" display="https://fred.stlouisfed.org/data/FPCPITOTLZGAUT.txt" xr:uid="{95CC885F-C001-4A15-8530-160239543E9B}"/>
    <hyperlink ref="B10" location="Frankreich!A1" display="Frankreich" xr:uid="{0F765759-2303-42C0-B2C1-E310A01D624F}"/>
    <hyperlink ref="B4" location="B" display="Belgien" xr:uid="{05F49DDD-F3CC-4BF0-A74D-98F6D33FC6F8}"/>
    <hyperlink ref="B5" location="BG" display="Bulgarien" xr:uid="{CBEC9E83-C9B6-4962-A3CF-F8FBE0EB27C6}"/>
    <hyperlink ref="B6" location="DK" display="Dänemark" xr:uid="{BD0ED256-1EDE-4613-849C-42FA2CEBA157}"/>
    <hyperlink ref="B7" location="D" display="Deutschland" xr:uid="{E02C013C-C392-4BE3-A118-1345DE689600}"/>
    <hyperlink ref="B8" location="EST" display="Estland" xr:uid="{EB306094-356D-40D7-B4F4-430897AF3DFD}"/>
    <hyperlink ref="B9" location="FIN" display="Finnland" xr:uid="{8B555FEB-ED98-4211-85BF-AE0765E7324E}"/>
    <hyperlink ref="B11" location="GR" display="Griechenland" xr:uid="{A52B6185-4437-4AC7-9D4E-7E862FCAE02F}"/>
    <hyperlink ref="B13" location="I" display="Irland" xr:uid="{134F8BF6-ADAD-4D21-A260-4E4912696011}"/>
    <hyperlink ref="B14" location="IS" display="Island" xr:uid="{518364EB-FE87-4209-8E0E-96DCFE1B8831}"/>
    <hyperlink ref="B15" location="I" display="Italien" xr:uid="{F35FA2FE-F131-456D-8F5E-852714EF41A8}"/>
    <hyperlink ref="B16" location="HR" display="Kroatien" xr:uid="{71F60791-9A0C-4CB8-8225-980EF5F612E3}"/>
    <hyperlink ref="B17" location="LV" display="Lettland" xr:uid="{FC96124C-5832-45F6-B6F7-D00508B9D25F}"/>
    <hyperlink ref="B18" location="FL" display="Liechtenstein" xr:uid="{413FC02D-E305-4059-859A-8356D623B017}"/>
    <hyperlink ref="B19" location="LT" display="Litauen" xr:uid="{529047F2-260E-4897-A519-6812C8306940}"/>
    <hyperlink ref="B20" location="L" display="Luxemburg" xr:uid="{9A9EBFC6-380F-4CA4-937B-EBBB91330148}"/>
    <hyperlink ref="B21" location="M" display="Malta" xr:uid="{93B1CFCE-EB0D-4F42-BD14-ACFF844E9764}"/>
    <hyperlink ref="B22" location="NL" display="Niederlande" xr:uid="{3E8995BA-9A53-4625-8229-05867F2D176A}"/>
    <hyperlink ref="B23" location="N" display="Norwegen" xr:uid="{D4540ABD-BD68-4103-AC8E-DA9CD1C73DB6}"/>
    <hyperlink ref="B24" location="A" display="Österreich" xr:uid="{9751FA53-17B4-48F9-B3CA-408D9CC5359E}"/>
    <hyperlink ref="B25" location="PL" display="Polen" xr:uid="{F2C08FB0-6F5C-4B2D-A60A-41D65BE4F825}"/>
    <hyperlink ref="B26" location="P" display="Portugal" xr:uid="{A8A866FC-D4DA-48B8-9A6A-39F9669C376D}"/>
    <hyperlink ref="B27" location="RO" display="Rumänien" xr:uid="{7A0053CC-65AC-405C-AFC1-65B682723B87}"/>
    <hyperlink ref="B29" location="CH" display="Schweiz" xr:uid="{8A261893-B3C2-45E0-BE0B-7F39C94FAD5B}"/>
    <hyperlink ref="B30" location="SK" display="Slowakei" xr:uid="{9A86D32A-DEEC-4369-8F47-91834E41ED7F}"/>
    <hyperlink ref="B31" location="SLO" display="Slowenien" xr:uid="{44FE1F9B-2A4F-428C-B9B7-C34EC3B69DA1}"/>
    <hyperlink ref="B32" location="E" display="Spanien" xr:uid="{456C1D2F-A50D-4D66-A79F-F1FCB74D9456}"/>
    <hyperlink ref="B33" location="CZ" display="Tschechische Republik" xr:uid="{D810A86E-A0BC-4301-A7F9-3D889ECA6E53}"/>
    <hyperlink ref="B34" location="H" display="Ungarn" xr:uid="{4D366610-62F6-476D-9695-1B580367E8DC}"/>
    <hyperlink ref="B35" location="CY" display="Zypern" xr:uid="{BF5EC702-2212-4579-A937-6267C47016A4}"/>
    <hyperlink ref="B28" location="Schwe" display="Schweden" xr:uid="{7CC1ED58-C419-4544-9E8A-696E3CCF4D34}"/>
    <hyperlink ref="B12" location="K_GB" display="Großnritanien" xr:uid="{4F2E7A7B-C811-4B62-9185-A7B530A56E2A}"/>
  </hyperlinks>
  <pageMargins left="0.7" right="0.7" top="0.78740157499999996" bottom="0.78740157499999996" header="0.3" footer="0.3"/>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C70C-B317-4E15-8BB3-8639943588EB}">
  <sheetPr codeName="Tabelle66"/>
  <dimension ref="A3:B16386"/>
  <sheetViews>
    <sheetView workbookViewId="0">
      <selection sqref="A1:A2"/>
    </sheetView>
  </sheetViews>
  <sheetFormatPr baseColWidth="10" defaultRowHeight="15"/>
  <cols>
    <col min="1" max="1" width="23" customWidth="1"/>
    <col min="2" max="2" width="62.5703125" customWidth="1"/>
  </cols>
  <sheetData>
    <row r="3" spans="1:2" ht="21">
      <c r="A3" s="241"/>
    </row>
    <row r="4" spans="1:2">
      <c r="A4" s="1015" t="s">
        <v>1621</v>
      </c>
      <c r="B4" s="1012" t="s">
        <v>3186</v>
      </c>
    </row>
    <row r="5" spans="1:2">
      <c r="A5" s="1015"/>
      <c r="B5" s="1013"/>
    </row>
    <row r="6" spans="1:2" ht="90">
      <c r="A6" s="346" t="s">
        <v>0</v>
      </c>
      <c r="B6" s="165" t="s">
        <v>2942</v>
      </c>
    </row>
    <row r="7" spans="1:2" ht="75">
      <c r="A7" s="346" t="s">
        <v>1</v>
      </c>
      <c r="B7" s="165" t="s">
        <v>2946</v>
      </c>
    </row>
    <row r="8" spans="1:2" ht="75">
      <c r="A8" s="346" t="s">
        <v>2</v>
      </c>
      <c r="B8" s="165" t="s">
        <v>2947</v>
      </c>
    </row>
    <row r="9" spans="1:2" ht="90">
      <c r="A9" s="346" t="s">
        <v>3</v>
      </c>
      <c r="B9" s="165" t="s">
        <v>2538</v>
      </c>
    </row>
    <row r="10" spans="1:2" ht="75">
      <c r="A10" s="346" t="s">
        <v>4</v>
      </c>
      <c r="B10" s="165" t="s">
        <v>2539</v>
      </c>
    </row>
    <row r="11" spans="1:2" ht="60">
      <c r="A11" s="346" t="s">
        <v>5</v>
      </c>
      <c r="B11" s="165" t="s">
        <v>2540</v>
      </c>
    </row>
    <row r="12" spans="1:2" ht="45">
      <c r="A12" s="346" t="s">
        <v>6</v>
      </c>
      <c r="B12" s="165" t="s">
        <v>2541</v>
      </c>
    </row>
    <row r="13" spans="1:2" ht="45">
      <c r="A13" s="346" t="s">
        <v>7</v>
      </c>
      <c r="B13" s="165" t="s">
        <v>2599</v>
      </c>
    </row>
    <row r="14" spans="1:2" ht="60">
      <c r="A14" s="346" t="s">
        <v>8</v>
      </c>
      <c r="B14" s="164" t="s">
        <v>2600</v>
      </c>
    </row>
    <row r="15" spans="1:2" ht="60">
      <c r="A15" s="346" t="s">
        <v>9</v>
      </c>
      <c r="B15" s="164" t="s">
        <v>2601</v>
      </c>
    </row>
    <row r="16" spans="1:2" ht="45">
      <c r="A16" s="346" t="s">
        <v>10</v>
      </c>
      <c r="B16" s="164" t="s">
        <v>2602</v>
      </c>
    </row>
    <row r="17" spans="1:2" ht="30">
      <c r="A17" s="346" t="s">
        <v>11</v>
      </c>
      <c r="B17" s="164" t="s">
        <v>2603</v>
      </c>
    </row>
    <row r="18" spans="1:2" ht="60">
      <c r="A18" s="346" t="s">
        <v>12</v>
      </c>
      <c r="B18" s="164" t="s">
        <v>2604</v>
      </c>
    </row>
    <row r="19" spans="1:2" ht="60">
      <c r="A19" s="346" t="s">
        <v>13</v>
      </c>
      <c r="B19" s="164" t="s">
        <v>2661</v>
      </c>
    </row>
    <row r="20" spans="1:2" ht="60">
      <c r="A20" s="346" t="s">
        <v>14</v>
      </c>
      <c r="B20" s="164" t="s">
        <v>2662</v>
      </c>
    </row>
    <row r="21" spans="1:2" ht="45">
      <c r="A21" s="346" t="s">
        <v>15</v>
      </c>
      <c r="B21" s="164" t="s">
        <v>2663</v>
      </c>
    </row>
    <row r="22" spans="1:2" ht="45">
      <c r="A22" s="346" t="s">
        <v>16</v>
      </c>
      <c r="B22" s="164" t="s">
        <v>2664</v>
      </c>
    </row>
    <row r="23" spans="1:2" ht="45">
      <c r="A23" s="346" t="s">
        <v>17</v>
      </c>
      <c r="B23" s="164" t="s">
        <v>2665</v>
      </c>
    </row>
    <row r="24" spans="1:2" ht="45">
      <c r="A24" s="346" t="s">
        <v>18</v>
      </c>
      <c r="B24" s="164" t="s">
        <v>2666</v>
      </c>
    </row>
    <row r="25" spans="1:2" ht="75">
      <c r="A25" s="346" t="s">
        <v>19</v>
      </c>
      <c r="B25" s="164" t="s">
        <v>2717</v>
      </c>
    </row>
    <row r="26" spans="1:2" ht="60">
      <c r="A26" s="346" t="s">
        <v>20</v>
      </c>
      <c r="B26" s="164" t="s">
        <v>2718</v>
      </c>
    </row>
    <row r="27" spans="1:2" ht="45">
      <c r="A27" s="346" t="s">
        <v>21</v>
      </c>
      <c r="B27" s="164" t="s">
        <v>2719</v>
      </c>
    </row>
    <row r="28" spans="1:2" ht="75">
      <c r="A28" s="346" t="s">
        <v>22</v>
      </c>
      <c r="B28" s="164" t="s">
        <v>2720</v>
      </c>
    </row>
    <row r="29" spans="1:2" ht="90">
      <c r="A29" s="346" t="s">
        <v>23</v>
      </c>
      <c r="B29" s="164" t="s">
        <v>2721</v>
      </c>
    </row>
    <row r="30" spans="1:2" ht="60">
      <c r="A30" s="346" t="s">
        <v>24</v>
      </c>
      <c r="B30" s="164" t="s">
        <v>2787</v>
      </c>
    </row>
    <row r="31" spans="1:2" ht="45">
      <c r="A31" s="346" t="s">
        <v>25</v>
      </c>
      <c r="B31" s="164" t="s">
        <v>2788</v>
      </c>
    </row>
    <row r="32" spans="1:2" ht="45">
      <c r="A32" s="346" t="s">
        <v>26</v>
      </c>
      <c r="B32" s="164" t="s">
        <v>2789</v>
      </c>
    </row>
    <row r="33" spans="1:2" ht="45">
      <c r="A33" s="346" t="s">
        <v>27</v>
      </c>
      <c r="B33" s="164" t="s">
        <v>2790</v>
      </c>
    </row>
    <row r="34" spans="1:2" ht="45">
      <c r="A34" s="346" t="s">
        <v>2240</v>
      </c>
      <c r="B34" s="164" t="s">
        <v>2791</v>
      </c>
    </row>
    <row r="35" spans="1:2" ht="60">
      <c r="A35" s="346" t="s">
        <v>29</v>
      </c>
      <c r="B35" s="164" t="s">
        <v>2792</v>
      </c>
    </row>
    <row r="36" spans="1:2" ht="60">
      <c r="A36" s="346" t="s">
        <v>30</v>
      </c>
      <c r="B36" s="164" t="s">
        <v>2793</v>
      </c>
    </row>
    <row r="37" spans="1:2" ht="21">
      <c r="A37" s="345"/>
    </row>
    <row r="38" spans="1:2" ht="21">
      <c r="A38" s="345"/>
    </row>
    <row r="39" spans="1:2" ht="21">
      <c r="A39" s="345"/>
    </row>
    <row r="40" spans="1:2" ht="21">
      <c r="A40" s="345"/>
    </row>
    <row r="41" spans="1:2" ht="21">
      <c r="A41" s="345"/>
    </row>
    <row r="42" spans="1:2" ht="21">
      <c r="A42" s="345"/>
    </row>
    <row r="43" spans="1:2" ht="21">
      <c r="A43" s="345"/>
    </row>
    <row r="44" spans="1:2" ht="21">
      <c r="A44" s="345"/>
    </row>
    <row r="45" spans="1:2" ht="21">
      <c r="A45" s="345"/>
    </row>
    <row r="46" spans="1:2" ht="21">
      <c r="A46" s="345"/>
    </row>
    <row r="47" spans="1:2" ht="21">
      <c r="A47" s="345"/>
    </row>
    <row r="48" spans="1:2" ht="21">
      <c r="A48" s="345"/>
    </row>
    <row r="49" spans="1:1" ht="21">
      <c r="A49" s="345"/>
    </row>
    <row r="50" spans="1:1" ht="21">
      <c r="A50" s="345"/>
    </row>
    <row r="51" spans="1:1" ht="21">
      <c r="A51" s="345"/>
    </row>
    <row r="52" spans="1:1" ht="21">
      <c r="A52" s="345"/>
    </row>
    <row r="53" spans="1:1" ht="21">
      <c r="A53" s="345"/>
    </row>
    <row r="54" spans="1:1" ht="21">
      <c r="A54" s="345"/>
    </row>
    <row r="55" spans="1:1" ht="21">
      <c r="A55" s="345"/>
    </row>
    <row r="56" spans="1:1" ht="21">
      <c r="A56" s="345"/>
    </row>
    <row r="57" spans="1:1" ht="21">
      <c r="A57" s="345"/>
    </row>
    <row r="58" spans="1:1" ht="21">
      <c r="A58" s="345"/>
    </row>
    <row r="59" spans="1:1" ht="21">
      <c r="A59" s="345"/>
    </row>
    <row r="60" spans="1:1" ht="21">
      <c r="A60" s="345"/>
    </row>
    <row r="61" spans="1:1" ht="21">
      <c r="A61" s="345"/>
    </row>
    <row r="62" spans="1:1" ht="21">
      <c r="A62" s="345"/>
    </row>
    <row r="63" spans="1:1" ht="21">
      <c r="A63" s="345"/>
    </row>
    <row r="64" spans="1:1" ht="21">
      <c r="A64" s="345"/>
    </row>
    <row r="65" spans="1:1" ht="21">
      <c r="A65" s="345"/>
    </row>
    <row r="66" spans="1:1" ht="21">
      <c r="A66" s="345"/>
    </row>
    <row r="67" spans="1:1" ht="21">
      <c r="A67" s="345"/>
    </row>
    <row r="68" spans="1:1" ht="21">
      <c r="A68" s="345"/>
    </row>
    <row r="69" spans="1:1" ht="21">
      <c r="A69" s="345"/>
    </row>
    <row r="70" spans="1:1" ht="21">
      <c r="A70" s="345"/>
    </row>
    <row r="71" spans="1:1" ht="21">
      <c r="A71" s="345"/>
    </row>
    <row r="72" spans="1:1" ht="21">
      <c r="A72" s="345"/>
    </row>
    <row r="73" spans="1:1" ht="21">
      <c r="A73" s="345"/>
    </row>
    <row r="74" spans="1:1" ht="21">
      <c r="A74" s="345"/>
    </row>
    <row r="75" spans="1:1" ht="21">
      <c r="A75" s="345"/>
    </row>
    <row r="76" spans="1:1" ht="21">
      <c r="A76" s="345"/>
    </row>
    <row r="77" spans="1:1" ht="21">
      <c r="A77" s="345"/>
    </row>
    <row r="78" spans="1:1" ht="21">
      <c r="A78" s="345"/>
    </row>
    <row r="79" spans="1:1" ht="21">
      <c r="A79" s="345"/>
    </row>
    <row r="80" spans="1:1" ht="21">
      <c r="A80" s="345"/>
    </row>
    <row r="81" spans="1:1" ht="21">
      <c r="A81" s="345"/>
    </row>
    <row r="82" spans="1:1" ht="21">
      <c r="A82" s="345"/>
    </row>
    <row r="83" spans="1:1" ht="21">
      <c r="A83" s="345"/>
    </row>
    <row r="84" spans="1:1" ht="21">
      <c r="A84" s="345"/>
    </row>
    <row r="85" spans="1:1" ht="21">
      <c r="A85" s="345"/>
    </row>
    <row r="86" spans="1:1" ht="21">
      <c r="A86" s="345"/>
    </row>
    <row r="87" spans="1:1" ht="21">
      <c r="A87" s="345"/>
    </row>
    <row r="88" spans="1:1" ht="21">
      <c r="A88" s="345"/>
    </row>
    <row r="89" spans="1:1" ht="21">
      <c r="A89" s="345"/>
    </row>
    <row r="90" spans="1:1" ht="21">
      <c r="A90" s="345"/>
    </row>
    <row r="91" spans="1:1" ht="21">
      <c r="A91" s="345"/>
    </row>
    <row r="92" spans="1:1" ht="21">
      <c r="A92" s="345"/>
    </row>
    <row r="93" spans="1:1" ht="21">
      <c r="A93" s="345"/>
    </row>
    <row r="94" spans="1:1" ht="21">
      <c r="A94" s="345"/>
    </row>
    <row r="95" spans="1:1" ht="21">
      <c r="A95" s="345"/>
    </row>
    <row r="96" spans="1:1" ht="21">
      <c r="A96" s="345"/>
    </row>
    <row r="97" spans="1:1" ht="21">
      <c r="A97" s="345"/>
    </row>
    <row r="98" spans="1:1" ht="21">
      <c r="A98" s="345"/>
    </row>
    <row r="99" spans="1:1" ht="21">
      <c r="A99" s="345"/>
    </row>
    <row r="100" spans="1:1" ht="21">
      <c r="A100" s="345"/>
    </row>
    <row r="101" spans="1:1" ht="21">
      <c r="A101" s="345"/>
    </row>
    <row r="102" spans="1:1" ht="21">
      <c r="A102" s="345"/>
    </row>
    <row r="103" spans="1:1" ht="21">
      <c r="A103" s="345"/>
    </row>
    <row r="104" spans="1:1" ht="21">
      <c r="A104" s="345"/>
    </row>
    <row r="105" spans="1:1" ht="21">
      <c r="A105" s="345"/>
    </row>
    <row r="106" spans="1:1" ht="21">
      <c r="A106" s="345"/>
    </row>
    <row r="107" spans="1:1" ht="21">
      <c r="A107" s="345"/>
    </row>
    <row r="108" spans="1:1" ht="21">
      <c r="A108" s="345"/>
    </row>
    <row r="109" spans="1:1" ht="21">
      <c r="A109" s="345"/>
    </row>
    <row r="110" spans="1:1" ht="21">
      <c r="A110" s="345"/>
    </row>
    <row r="111" spans="1:1" ht="21">
      <c r="A111" s="345"/>
    </row>
    <row r="112" spans="1:1" ht="21">
      <c r="A112" s="345"/>
    </row>
    <row r="113" spans="1:1" ht="21">
      <c r="A113" s="345"/>
    </row>
    <row r="114" spans="1:1" ht="21">
      <c r="A114" s="345"/>
    </row>
    <row r="115" spans="1:1" ht="21">
      <c r="A115" s="345"/>
    </row>
    <row r="116" spans="1:1" ht="21">
      <c r="A116" s="345"/>
    </row>
    <row r="117" spans="1:1" ht="21">
      <c r="A117" s="345"/>
    </row>
    <row r="118" spans="1:1" ht="21">
      <c r="A118" s="345"/>
    </row>
    <row r="119" spans="1:1" ht="21">
      <c r="A119" s="345"/>
    </row>
    <row r="120" spans="1:1" ht="21">
      <c r="A120" s="345"/>
    </row>
    <row r="121" spans="1:1" ht="21">
      <c r="A121" s="345"/>
    </row>
    <row r="122" spans="1:1" ht="21">
      <c r="A122" s="345"/>
    </row>
    <row r="123" spans="1:1" ht="21">
      <c r="A123" s="345"/>
    </row>
    <row r="124" spans="1:1" ht="21">
      <c r="A124" s="345"/>
    </row>
    <row r="125" spans="1:1" ht="21">
      <c r="A125" s="345"/>
    </row>
    <row r="126" spans="1:1" ht="21">
      <c r="A126" s="345"/>
    </row>
    <row r="127" spans="1:1" ht="21">
      <c r="A127" s="345"/>
    </row>
    <row r="128" spans="1:1" ht="21">
      <c r="A128" s="345"/>
    </row>
    <row r="129" spans="1:1" ht="21">
      <c r="A129" s="345"/>
    </row>
    <row r="130" spans="1:1" ht="21">
      <c r="A130" s="345"/>
    </row>
    <row r="131" spans="1:1" ht="21">
      <c r="A131" s="345"/>
    </row>
    <row r="132" spans="1:1" ht="21">
      <c r="A132" s="345"/>
    </row>
    <row r="133" spans="1:1" ht="21">
      <c r="A133" s="345"/>
    </row>
    <row r="134" spans="1:1" ht="21">
      <c r="A134" s="345"/>
    </row>
    <row r="135" spans="1:1" ht="21">
      <c r="A135" s="345"/>
    </row>
    <row r="136" spans="1:1" ht="21">
      <c r="A136" s="345"/>
    </row>
    <row r="137" spans="1:1" ht="21">
      <c r="A137" s="345"/>
    </row>
    <row r="138" spans="1:1" ht="21">
      <c r="A138" s="345"/>
    </row>
    <row r="139" spans="1:1" ht="21">
      <c r="A139" s="345"/>
    </row>
    <row r="140" spans="1:1" ht="21">
      <c r="A140" s="345"/>
    </row>
    <row r="141" spans="1:1" ht="21">
      <c r="A141" s="345"/>
    </row>
    <row r="142" spans="1:1" ht="21">
      <c r="A142" s="345"/>
    </row>
    <row r="143" spans="1:1" ht="21">
      <c r="A143" s="345"/>
    </row>
    <row r="144" spans="1:1" ht="21">
      <c r="A144" s="345"/>
    </row>
    <row r="145" spans="1:1" ht="21">
      <c r="A145" s="345"/>
    </row>
    <row r="146" spans="1:1" ht="21">
      <c r="A146" s="345"/>
    </row>
    <row r="147" spans="1:1" ht="21">
      <c r="A147" s="345"/>
    </row>
    <row r="148" spans="1:1" ht="21">
      <c r="A148" s="345"/>
    </row>
    <row r="149" spans="1:1" ht="21">
      <c r="A149" s="345"/>
    </row>
    <row r="150" spans="1:1" ht="21">
      <c r="A150" s="345"/>
    </row>
    <row r="151" spans="1:1" ht="21">
      <c r="A151" s="345"/>
    </row>
    <row r="152" spans="1:1" ht="21">
      <c r="A152" s="345"/>
    </row>
    <row r="153" spans="1:1" ht="21">
      <c r="A153" s="345"/>
    </row>
    <row r="154" spans="1:1" ht="21">
      <c r="A154" s="345"/>
    </row>
    <row r="155" spans="1:1" ht="21">
      <c r="A155" s="345"/>
    </row>
    <row r="156" spans="1:1" ht="21">
      <c r="A156" s="345"/>
    </row>
    <row r="157" spans="1:1" ht="21">
      <c r="A157" s="345"/>
    </row>
    <row r="158" spans="1:1" ht="21">
      <c r="A158" s="345"/>
    </row>
    <row r="159" spans="1:1" ht="21">
      <c r="A159" s="345"/>
    </row>
    <row r="160" spans="1:1" ht="21">
      <c r="A160" s="345"/>
    </row>
    <row r="161" spans="1:1" ht="21">
      <c r="A161" s="345"/>
    </row>
    <row r="162" spans="1:1" ht="21">
      <c r="A162" s="345"/>
    </row>
    <row r="163" spans="1:1" ht="21">
      <c r="A163" s="345"/>
    </row>
    <row r="164" spans="1:1" ht="21">
      <c r="A164" s="345"/>
    </row>
    <row r="165" spans="1:1" ht="21">
      <c r="A165" s="345"/>
    </row>
    <row r="166" spans="1:1" ht="21">
      <c r="A166" s="345"/>
    </row>
    <row r="167" spans="1:1" ht="21">
      <c r="A167" s="345"/>
    </row>
    <row r="168" spans="1:1" ht="21">
      <c r="A168" s="345"/>
    </row>
    <row r="169" spans="1:1" ht="21">
      <c r="A169" s="345"/>
    </row>
    <row r="170" spans="1:1" ht="21">
      <c r="A170" s="345"/>
    </row>
    <row r="171" spans="1:1" ht="21">
      <c r="A171" s="345"/>
    </row>
    <row r="172" spans="1:1" ht="21">
      <c r="A172" s="345"/>
    </row>
    <row r="173" spans="1:1" ht="21">
      <c r="A173" s="345"/>
    </row>
    <row r="174" spans="1:1" ht="21">
      <c r="A174" s="345"/>
    </row>
    <row r="175" spans="1:1" ht="21">
      <c r="A175" s="345"/>
    </row>
    <row r="176" spans="1:1" ht="21">
      <c r="A176" s="345"/>
    </row>
    <row r="177" spans="1:1" ht="21">
      <c r="A177" s="345"/>
    </row>
    <row r="178" spans="1:1" ht="21">
      <c r="A178" s="345"/>
    </row>
    <row r="179" spans="1:1" ht="21">
      <c r="A179" s="345"/>
    </row>
    <row r="180" spans="1:1" ht="21">
      <c r="A180" s="345"/>
    </row>
    <row r="181" spans="1:1" ht="21">
      <c r="A181" s="345"/>
    </row>
    <row r="182" spans="1:1" ht="21">
      <c r="A182" s="345"/>
    </row>
    <row r="183" spans="1:1" ht="21">
      <c r="A183" s="345"/>
    </row>
    <row r="184" spans="1:1" ht="21">
      <c r="A184" s="345"/>
    </row>
    <row r="185" spans="1:1" ht="21">
      <c r="A185" s="345"/>
    </row>
    <row r="186" spans="1:1" ht="21">
      <c r="A186" s="345"/>
    </row>
    <row r="187" spans="1:1" ht="21">
      <c r="A187" s="345"/>
    </row>
    <row r="188" spans="1:1" ht="21">
      <c r="A188" s="345"/>
    </row>
    <row r="189" spans="1:1" ht="21">
      <c r="A189" s="345"/>
    </row>
    <row r="190" spans="1:1" ht="21">
      <c r="A190" s="345"/>
    </row>
    <row r="191" spans="1:1" ht="21">
      <c r="A191" s="345"/>
    </row>
    <row r="192" spans="1:1" ht="21">
      <c r="A192" s="345"/>
    </row>
    <row r="193" spans="1:1" ht="21">
      <c r="A193" s="345"/>
    </row>
    <row r="194" spans="1:1" ht="21">
      <c r="A194" s="345"/>
    </row>
    <row r="195" spans="1:1" ht="21">
      <c r="A195" s="345"/>
    </row>
    <row r="196" spans="1:1" ht="21">
      <c r="A196" s="345"/>
    </row>
    <row r="197" spans="1:1" ht="21">
      <c r="A197" s="345"/>
    </row>
    <row r="198" spans="1:1" ht="21">
      <c r="A198" s="345"/>
    </row>
    <row r="199" spans="1:1" ht="21">
      <c r="A199" s="345"/>
    </row>
    <row r="200" spans="1:1" ht="21">
      <c r="A200" s="345"/>
    </row>
    <row r="201" spans="1:1" ht="21">
      <c r="A201" s="345"/>
    </row>
    <row r="202" spans="1:1" ht="21">
      <c r="A202" s="345"/>
    </row>
    <row r="203" spans="1:1" ht="21">
      <c r="A203" s="345"/>
    </row>
    <row r="204" spans="1:1" ht="21">
      <c r="A204" s="345"/>
    </row>
    <row r="205" spans="1:1" ht="21">
      <c r="A205" s="345"/>
    </row>
    <row r="206" spans="1:1" ht="21">
      <c r="A206" s="345"/>
    </row>
    <row r="207" spans="1:1" ht="21">
      <c r="A207" s="345"/>
    </row>
    <row r="208" spans="1:1" ht="21">
      <c r="A208" s="345"/>
    </row>
    <row r="209" spans="1:1" ht="21">
      <c r="A209" s="345"/>
    </row>
    <row r="210" spans="1:1" ht="21">
      <c r="A210" s="345"/>
    </row>
    <row r="211" spans="1:1" ht="21">
      <c r="A211" s="345"/>
    </row>
    <row r="212" spans="1:1" ht="21">
      <c r="A212" s="345"/>
    </row>
    <row r="213" spans="1:1" ht="21">
      <c r="A213" s="345"/>
    </row>
    <row r="214" spans="1:1" ht="21">
      <c r="A214" s="345"/>
    </row>
    <row r="215" spans="1:1" ht="21">
      <c r="A215" s="345"/>
    </row>
    <row r="216" spans="1:1" ht="21">
      <c r="A216" s="345"/>
    </row>
    <row r="217" spans="1:1" ht="21">
      <c r="A217" s="345"/>
    </row>
    <row r="218" spans="1:1" ht="21">
      <c r="A218" s="345"/>
    </row>
    <row r="219" spans="1:1" ht="21">
      <c r="A219" s="345"/>
    </row>
    <row r="220" spans="1:1" ht="21">
      <c r="A220" s="345"/>
    </row>
    <row r="221" spans="1:1" ht="21">
      <c r="A221" s="345"/>
    </row>
    <row r="222" spans="1:1" ht="21">
      <c r="A222" s="345"/>
    </row>
    <row r="223" spans="1:1" ht="21">
      <c r="A223" s="345"/>
    </row>
    <row r="224" spans="1:1" ht="21">
      <c r="A224" s="345"/>
    </row>
    <row r="225" spans="1:1" ht="21">
      <c r="A225" s="345"/>
    </row>
    <row r="226" spans="1:1" ht="21">
      <c r="A226" s="345"/>
    </row>
    <row r="227" spans="1:1" ht="21">
      <c r="A227" s="345"/>
    </row>
    <row r="228" spans="1:1" ht="21">
      <c r="A228" s="345"/>
    </row>
    <row r="229" spans="1:1" ht="21">
      <c r="A229" s="345"/>
    </row>
    <row r="230" spans="1:1" ht="21">
      <c r="A230" s="345"/>
    </row>
    <row r="231" spans="1:1" ht="21">
      <c r="A231" s="345"/>
    </row>
    <row r="232" spans="1:1" ht="21">
      <c r="A232" s="345"/>
    </row>
    <row r="233" spans="1:1" ht="21">
      <c r="A233" s="345"/>
    </row>
    <row r="234" spans="1:1" ht="21">
      <c r="A234" s="345"/>
    </row>
    <row r="235" spans="1:1" ht="21">
      <c r="A235" s="345"/>
    </row>
    <row r="236" spans="1:1" ht="21">
      <c r="A236" s="345"/>
    </row>
    <row r="237" spans="1:1" ht="21">
      <c r="A237" s="345"/>
    </row>
    <row r="238" spans="1:1" ht="21">
      <c r="A238" s="345"/>
    </row>
    <row r="239" spans="1:1" ht="21">
      <c r="A239" s="345"/>
    </row>
    <row r="240" spans="1:1" ht="21">
      <c r="A240" s="345"/>
    </row>
    <row r="241" spans="1:1" ht="21">
      <c r="A241" s="345"/>
    </row>
    <row r="242" spans="1:1" ht="21">
      <c r="A242" s="345"/>
    </row>
    <row r="243" spans="1:1" ht="21">
      <c r="A243" s="345"/>
    </row>
    <row r="244" spans="1:1" ht="21">
      <c r="A244" s="345"/>
    </row>
    <row r="245" spans="1:1" ht="21">
      <c r="A245" s="345"/>
    </row>
    <row r="246" spans="1:1" ht="21">
      <c r="A246" s="345"/>
    </row>
    <row r="247" spans="1:1" ht="21">
      <c r="A247" s="345"/>
    </row>
    <row r="248" spans="1:1" ht="21">
      <c r="A248" s="345"/>
    </row>
    <row r="249" spans="1:1" ht="21">
      <c r="A249" s="345"/>
    </row>
    <row r="250" spans="1:1" ht="21">
      <c r="A250" s="345"/>
    </row>
    <row r="251" spans="1:1" ht="21">
      <c r="A251" s="345"/>
    </row>
    <row r="252" spans="1:1" ht="21">
      <c r="A252" s="345"/>
    </row>
    <row r="253" spans="1:1" ht="21">
      <c r="A253" s="345"/>
    </row>
    <row r="254" spans="1:1" ht="21">
      <c r="A254" s="345"/>
    </row>
    <row r="255" spans="1:1" ht="21">
      <c r="A255" s="345"/>
    </row>
    <row r="256" spans="1:1" ht="21">
      <c r="A256" s="345"/>
    </row>
    <row r="257" spans="1:1" ht="21">
      <c r="A257" s="345"/>
    </row>
    <row r="258" spans="1:1" ht="21">
      <c r="A258" s="345"/>
    </row>
    <row r="259" spans="1:1" ht="21">
      <c r="A259" s="345"/>
    </row>
    <row r="260" spans="1:1" ht="21">
      <c r="A260" s="345"/>
    </row>
    <row r="261" spans="1:1" ht="21">
      <c r="A261" s="345"/>
    </row>
    <row r="262" spans="1:1" ht="21">
      <c r="A262" s="345"/>
    </row>
    <row r="263" spans="1:1" ht="21">
      <c r="A263" s="345"/>
    </row>
    <row r="264" spans="1:1" ht="21">
      <c r="A264" s="345"/>
    </row>
    <row r="265" spans="1:1" ht="21">
      <c r="A265" s="345"/>
    </row>
    <row r="266" spans="1:1" ht="21">
      <c r="A266" s="345"/>
    </row>
    <row r="267" spans="1:1" ht="21">
      <c r="A267" s="345"/>
    </row>
    <row r="268" spans="1:1" ht="21">
      <c r="A268" s="345"/>
    </row>
    <row r="269" spans="1:1" ht="21">
      <c r="A269" s="345"/>
    </row>
    <row r="270" spans="1:1" ht="21">
      <c r="A270" s="345"/>
    </row>
    <row r="271" spans="1:1" ht="21">
      <c r="A271" s="345"/>
    </row>
    <row r="272" spans="1:1" ht="21">
      <c r="A272" s="345"/>
    </row>
    <row r="273" spans="1:1" ht="21">
      <c r="A273" s="345"/>
    </row>
    <row r="274" spans="1:1" ht="21">
      <c r="A274" s="345"/>
    </row>
    <row r="275" spans="1:1" ht="21">
      <c r="A275" s="345"/>
    </row>
    <row r="276" spans="1:1" ht="21">
      <c r="A276" s="345"/>
    </row>
    <row r="277" spans="1:1" ht="21">
      <c r="A277" s="345"/>
    </row>
    <row r="278" spans="1:1" ht="21">
      <c r="A278" s="345"/>
    </row>
    <row r="279" spans="1:1" ht="21">
      <c r="A279" s="345"/>
    </row>
    <row r="280" spans="1:1" ht="21">
      <c r="A280" s="345"/>
    </row>
    <row r="281" spans="1:1" ht="21">
      <c r="A281" s="345"/>
    </row>
    <row r="282" spans="1:1" ht="21">
      <c r="A282" s="345"/>
    </row>
    <row r="283" spans="1:1" ht="21">
      <c r="A283" s="345"/>
    </row>
    <row r="284" spans="1:1" ht="21">
      <c r="A284" s="345"/>
    </row>
    <row r="285" spans="1:1" ht="21">
      <c r="A285" s="345"/>
    </row>
    <row r="286" spans="1:1" ht="21">
      <c r="A286" s="345"/>
    </row>
    <row r="287" spans="1:1" ht="21">
      <c r="A287" s="345"/>
    </row>
    <row r="288" spans="1:1" ht="21">
      <c r="A288" s="345"/>
    </row>
    <row r="289" spans="1:1" ht="21">
      <c r="A289" s="345"/>
    </row>
    <row r="290" spans="1:1" ht="21">
      <c r="A290" s="345"/>
    </row>
    <row r="291" spans="1:1" ht="21">
      <c r="A291" s="345"/>
    </row>
    <row r="292" spans="1:1" ht="21">
      <c r="A292" s="345"/>
    </row>
    <row r="293" spans="1:1" ht="21">
      <c r="A293" s="345"/>
    </row>
    <row r="294" spans="1:1" ht="21">
      <c r="A294" s="345"/>
    </row>
    <row r="295" spans="1:1" ht="21">
      <c r="A295" s="345"/>
    </row>
    <row r="296" spans="1:1" ht="21">
      <c r="A296" s="345"/>
    </row>
    <row r="297" spans="1:1" ht="21">
      <c r="A297" s="345"/>
    </row>
    <row r="298" spans="1:1" ht="21">
      <c r="A298" s="345"/>
    </row>
    <row r="299" spans="1:1" ht="21">
      <c r="A299" s="345"/>
    </row>
    <row r="300" spans="1:1" ht="21">
      <c r="A300" s="345"/>
    </row>
    <row r="301" spans="1:1" ht="21">
      <c r="A301" s="345"/>
    </row>
    <row r="302" spans="1:1" ht="21">
      <c r="A302" s="345"/>
    </row>
    <row r="303" spans="1:1" ht="21">
      <c r="A303" s="345"/>
    </row>
    <row r="304" spans="1:1" ht="21">
      <c r="A304" s="345"/>
    </row>
    <row r="305" spans="1:1" ht="21">
      <c r="A305" s="345"/>
    </row>
    <row r="306" spans="1:1" ht="21">
      <c r="A306" s="345"/>
    </row>
    <row r="307" spans="1:1" ht="21">
      <c r="A307" s="345"/>
    </row>
    <row r="308" spans="1:1" ht="21">
      <c r="A308" s="345"/>
    </row>
    <row r="309" spans="1:1" ht="21">
      <c r="A309" s="345"/>
    </row>
    <row r="310" spans="1:1" ht="21">
      <c r="A310" s="345"/>
    </row>
    <row r="311" spans="1:1" ht="21">
      <c r="A311" s="345"/>
    </row>
    <row r="312" spans="1:1" ht="21">
      <c r="A312" s="345"/>
    </row>
    <row r="313" spans="1:1" ht="21">
      <c r="A313" s="345"/>
    </row>
    <row r="314" spans="1:1" ht="21">
      <c r="A314" s="345"/>
    </row>
    <row r="315" spans="1:1" ht="21">
      <c r="A315" s="345"/>
    </row>
    <row r="316" spans="1:1" ht="21">
      <c r="A316" s="345"/>
    </row>
    <row r="317" spans="1:1" ht="21">
      <c r="A317" s="345"/>
    </row>
    <row r="318" spans="1:1" ht="21">
      <c r="A318" s="345"/>
    </row>
    <row r="319" spans="1:1" ht="21">
      <c r="A319" s="345"/>
    </row>
    <row r="320" spans="1:1" ht="21">
      <c r="A320" s="345"/>
    </row>
    <row r="321" spans="1:1" ht="21">
      <c r="A321" s="345"/>
    </row>
    <row r="322" spans="1:1" ht="21">
      <c r="A322" s="345"/>
    </row>
    <row r="323" spans="1:1" ht="21">
      <c r="A323" s="345"/>
    </row>
    <row r="324" spans="1:1" ht="21">
      <c r="A324" s="345"/>
    </row>
    <row r="325" spans="1:1" ht="21">
      <c r="A325" s="345"/>
    </row>
    <row r="326" spans="1:1" ht="21">
      <c r="A326" s="345"/>
    </row>
    <row r="327" spans="1:1" ht="21">
      <c r="A327" s="345"/>
    </row>
    <row r="328" spans="1:1" ht="21">
      <c r="A328" s="345"/>
    </row>
    <row r="329" spans="1:1" ht="21">
      <c r="A329" s="345"/>
    </row>
    <row r="330" spans="1:1" ht="21">
      <c r="A330" s="345"/>
    </row>
    <row r="331" spans="1:1" ht="21">
      <c r="A331" s="345"/>
    </row>
    <row r="332" spans="1:1" ht="21">
      <c r="A332" s="345"/>
    </row>
    <row r="333" spans="1:1" ht="21">
      <c r="A333" s="345"/>
    </row>
    <row r="334" spans="1:1" ht="21">
      <c r="A334" s="345"/>
    </row>
    <row r="335" spans="1:1" ht="21">
      <c r="A335" s="345"/>
    </row>
    <row r="336" spans="1:1" ht="21">
      <c r="A336" s="345"/>
    </row>
    <row r="337" spans="1:1" ht="21">
      <c r="A337" s="345"/>
    </row>
    <row r="338" spans="1:1" ht="21">
      <c r="A338" s="345"/>
    </row>
    <row r="339" spans="1:1" ht="21">
      <c r="A339" s="345"/>
    </row>
    <row r="340" spans="1:1" ht="21">
      <c r="A340" s="345"/>
    </row>
    <row r="341" spans="1:1" ht="21">
      <c r="A341" s="345"/>
    </row>
    <row r="342" spans="1:1" ht="21">
      <c r="A342" s="345"/>
    </row>
    <row r="343" spans="1:1" ht="21">
      <c r="A343" s="345"/>
    </row>
    <row r="344" spans="1:1" ht="21">
      <c r="A344" s="345"/>
    </row>
    <row r="345" spans="1:1" ht="21">
      <c r="A345" s="345"/>
    </row>
    <row r="346" spans="1:1" ht="21">
      <c r="A346" s="345"/>
    </row>
    <row r="347" spans="1:1" ht="21">
      <c r="A347" s="345"/>
    </row>
    <row r="348" spans="1:1" ht="21">
      <c r="A348" s="345"/>
    </row>
    <row r="349" spans="1:1" ht="21">
      <c r="A349" s="345"/>
    </row>
    <row r="350" spans="1:1" ht="21">
      <c r="A350" s="345"/>
    </row>
    <row r="351" spans="1:1" ht="21">
      <c r="A351" s="345"/>
    </row>
    <row r="352" spans="1:1" ht="21">
      <c r="A352" s="345"/>
    </row>
    <row r="353" spans="1:1" ht="21">
      <c r="A353" s="345"/>
    </row>
    <row r="354" spans="1:1" ht="21">
      <c r="A354" s="345"/>
    </row>
    <row r="355" spans="1:1" ht="21">
      <c r="A355" s="345"/>
    </row>
    <row r="356" spans="1:1" ht="21">
      <c r="A356" s="345"/>
    </row>
    <row r="357" spans="1:1" ht="21">
      <c r="A357" s="345"/>
    </row>
    <row r="358" spans="1:1" ht="21">
      <c r="A358" s="345"/>
    </row>
    <row r="359" spans="1:1" ht="21">
      <c r="A359" s="345"/>
    </row>
    <row r="360" spans="1:1" ht="21">
      <c r="A360" s="345"/>
    </row>
    <row r="361" spans="1:1" ht="21">
      <c r="A361" s="345"/>
    </row>
    <row r="362" spans="1:1" ht="21">
      <c r="A362" s="345"/>
    </row>
    <row r="363" spans="1:1" ht="21">
      <c r="A363" s="345"/>
    </row>
    <row r="364" spans="1:1" ht="21">
      <c r="A364" s="345"/>
    </row>
    <row r="365" spans="1:1" ht="21">
      <c r="A365" s="345"/>
    </row>
    <row r="366" spans="1:1" ht="21">
      <c r="A366" s="345"/>
    </row>
    <row r="367" spans="1:1" ht="21">
      <c r="A367" s="345"/>
    </row>
    <row r="368" spans="1:1" ht="21">
      <c r="A368" s="345"/>
    </row>
    <row r="369" spans="1:1" ht="21">
      <c r="A369" s="345"/>
    </row>
    <row r="370" spans="1:1" ht="21">
      <c r="A370" s="345"/>
    </row>
    <row r="371" spans="1:1" ht="21">
      <c r="A371" s="345"/>
    </row>
    <row r="372" spans="1:1" ht="21">
      <c r="A372" s="345"/>
    </row>
    <row r="373" spans="1:1" ht="21">
      <c r="A373" s="345"/>
    </row>
    <row r="374" spans="1:1" ht="21">
      <c r="A374" s="345"/>
    </row>
    <row r="375" spans="1:1" ht="21">
      <c r="A375" s="345"/>
    </row>
    <row r="376" spans="1:1" ht="21">
      <c r="A376" s="345"/>
    </row>
    <row r="377" spans="1:1" ht="21">
      <c r="A377" s="345"/>
    </row>
    <row r="378" spans="1:1" ht="21">
      <c r="A378" s="345"/>
    </row>
    <row r="379" spans="1:1" ht="21">
      <c r="A379" s="345"/>
    </row>
    <row r="380" spans="1:1" ht="21">
      <c r="A380" s="345"/>
    </row>
    <row r="381" spans="1:1" ht="21">
      <c r="A381" s="345"/>
    </row>
    <row r="382" spans="1:1" ht="21">
      <c r="A382" s="345"/>
    </row>
    <row r="383" spans="1:1" ht="21">
      <c r="A383" s="345"/>
    </row>
    <row r="384" spans="1:1" ht="21">
      <c r="A384" s="345"/>
    </row>
    <row r="385" spans="1:1" ht="21">
      <c r="A385" s="345"/>
    </row>
    <row r="386" spans="1:1" ht="21">
      <c r="A386" s="345"/>
    </row>
    <row r="387" spans="1:1" ht="21">
      <c r="A387" s="345"/>
    </row>
    <row r="388" spans="1:1" ht="21">
      <c r="A388" s="345"/>
    </row>
    <row r="389" spans="1:1" ht="21">
      <c r="A389" s="345"/>
    </row>
    <row r="390" spans="1:1" ht="21">
      <c r="A390" s="345"/>
    </row>
    <row r="391" spans="1:1" ht="21">
      <c r="A391" s="345"/>
    </row>
    <row r="392" spans="1:1" ht="21">
      <c r="A392" s="345"/>
    </row>
    <row r="393" spans="1:1" ht="21">
      <c r="A393" s="345"/>
    </row>
    <row r="394" spans="1:1" ht="21">
      <c r="A394" s="345"/>
    </row>
    <row r="395" spans="1:1" ht="21">
      <c r="A395" s="345"/>
    </row>
    <row r="396" spans="1:1" ht="21">
      <c r="A396" s="345"/>
    </row>
    <row r="397" spans="1:1" ht="21">
      <c r="A397" s="345"/>
    </row>
    <row r="398" spans="1:1" ht="21">
      <c r="A398" s="345"/>
    </row>
    <row r="399" spans="1:1" ht="21">
      <c r="A399" s="345"/>
    </row>
    <row r="400" spans="1:1" ht="21">
      <c r="A400" s="345"/>
    </row>
    <row r="401" spans="1:1" ht="21">
      <c r="A401" s="345"/>
    </row>
    <row r="402" spans="1:1" ht="21">
      <c r="A402" s="345"/>
    </row>
    <row r="403" spans="1:1" ht="21">
      <c r="A403" s="345"/>
    </row>
    <row r="404" spans="1:1" ht="21">
      <c r="A404" s="345"/>
    </row>
    <row r="405" spans="1:1" ht="21">
      <c r="A405" s="345"/>
    </row>
    <row r="406" spans="1:1" ht="21">
      <c r="A406" s="345"/>
    </row>
    <row r="407" spans="1:1" ht="21">
      <c r="A407" s="345"/>
    </row>
    <row r="408" spans="1:1" ht="21">
      <c r="A408" s="345"/>
    </row>
    <row r="409" spans="1:1" ht="21">
      <c r="A409" s="345"/>
    </row>
    <row r="410" spans="1:1" ht="21">
      <c r="A410" s="345"/>
    </row>
    <row r="411" spans="1:1" ht="21">
      <c r="A411" s="345"/>
    </row>
    <row r="412" spans="1:1" ht="21">
      <c r="A412" s="345"/>
    </row>
    <row r="413" spans="1:1" ht="21">
      <c r="A413" s="345"/>
    </row>
    <row r="414" spans="1:1" ht="21">
      <c r="A414" s="345"/>
    </row>
    <row r="415" spans="1:1" ht="21">
      <c r="A415" s="345"/>
    </row>
    <row r="416" spans="1:1" ht="21">
      <c r="A416" s="345"/>
    </row>
    <row r="417" spans="1:1" ht="21">
      <c r="A417" s="345"/>
    </row>
    <row r="418" spans="1:1" ht="21">
      <c r="A418" s="345"/>
    </row>
    <row r="419" spans="1:1" ht="21">
      <c r="A419" s="345"/>
    </row>
    <row r="420" spans="1:1" ht="21">
      <c r="A420" s="345"/>
    </row>
    <row r="421" spans="1:1" ht="21">
      <c r="A421" s="345"/>
    </row>
    <row r="422" spans="1:1" ht="21">
      <c r="A422" s="345"/>
    </row>
    <row r="423" spans="1:1" ht="21">
      <c r="A423" s="345"/>
    </row>
    <row r="424" spans="1:1" ht="21">
      <c r="A424" s="345"/>
    </row>
    <row r="425" spans="1:1" ht="21">
      <c r="A425" s="345"/>
    </row>
    <row r="426" spans="1:1" ht="21">
      <c r="A426" s="345"/>
    </row>
    <row r="427" spans="1:1" ht="21">
      <c r="A427" s="345"/>
    </row>
    <row r="428" spans="1:1" ht="21">
      <c r="A428" s="345"/>
    </row>
    <row r="429" spans="1:1" ht="21">
      <c r="A429" s="345"/>
    </row>
    <row r="430" spans="1:1" ht="21">
      <c r="A430" s="345"/>
    </row>
    <row r="431" spans="1:1" ht="21">
      <c r="A431" s="345"/>
    </row>
    <row r="432" spans="1:1" ht="21">
      <c r="A432" s="345"/>
    </row>
    <row r="433" spans="1:1" ht="21">
      <c r="A433" s="345"/>
    </row>
    <row r="434" spans="1:1" ht="21">
      <c r="A434" s="345"/>
    </row>
    <row r="435" spans="1:1" ht="21">
      <c r="A435" s="345"/>
    </row>
    <row r="436" spans="1:1" ht="21">
      <c r="A436" s="345"/>
    </row>
    <row r="437" spans="1:1" ht="21">
      <c r="A437" s="345"/>
    </row>
    <row r="438" spans="1:1" ht="21">
      <c r="A438" s="345"/>
    </row>
    <row r="439" spans="1:1" ht="21">
      <c r="A439" s="345"/>
    </row>
    <row r="440" spans="1:1" ht="21">
      <c r="A440" s="345"/>
    </row>
    <row r="441" spans="1:1" ht="21">
      <c r="A441" s="345"/>
    </row>
    <row r="442" spans="1:1" ht="21">
      <c r="A442" s="345"/>
    </row>
    <row r="443" spans="1:1" ht="21">
      <c r="A443" s="345"/>
    </row>
    <row r="444" spans="1:1" ht="21">
      <c r="A444" s="345"/>
    </row>
    <row r="445" spans="1:1" ht="21">
      <c r="A445" s="345"/>
    </row>
    <row r="446" spans="1:1" ht="21">
      <c r="A446" s="345"/>
    </row>
    <row r="447" spans="1:1" ht="21">
      <c r="A447" s="345"/>
    </row>
    <row r="448" spans="1:1" ht="21">
      <c r="A448" s="345"/>
    </row>
    <row r="449" spans="1:1" ht="21">
      <c r="A449" s="345"/>
    </row>
    <row r="450" spans="1:1" ht="21">
      <c r="A450" s="345"/>
    </row>
    <row r="451" spans="1:1" ht="21">
      <c r="A451" s="345"/>
    </row>
    <row r="452" spans="1:1" ht="21">
      <c r="A452" s="345"/>
    </row>
    <row r="453" spans="1:1" ht="21">
      <c r="A453" s="345"/>
    </row>
    <row r="454" spans="1:1" ht="21">
      <c r="A454" s="345"/>
    </row>
    <row r="455" spans="1:1" ht="21">
      <c r="A455" s="345"/>
    </row>
    <row r="456" spans="1:1" ht="21">
      <c r="A456" s="345"/>
    </row>
    <row r="457" spans="1:1" ht="21">
      <c r="A457" s="345"/>
    </row>
    <row r="458" spans="1:1" ht="21">
      <c r="A458" s="345"/>
    </row>
    <row r="459" spans="1:1" ht="21">
      <c r="A459" s="345"/>
    </row>
    <row r="460" spans="1:1" ht="21">
      <c r="A460" s="345"/>
    </row>
    <row r="461" spans="1:1" ht="21">
      <c r="A461" s="345"/>
    </row>
    <row r="462" spans="1:1" ht="21">
      <c r="A462" s="345"/>
    </row>
    <row r="463" spans="1:1" ht="21">
      <c r="A463" s="345"/>
    </row>
    <row r="464" spans="1:1" ht="21">
      <c r="A464" s="345"/>
    </row>
    <row r="465" spans="1:1" ht="21">
      <c r="A465" s="345"/>
    </row>
    <row r="466" spans="1:1" ht="21">
      <c r="A466" s="345"/>
    </row>
    <row r="467" spans="1:1" ht="21">
      <c r="A467" s="345"/>
    </row>
    <row r="468" spans="1:1" ht="21">
      <c r="A468" s="345"/>
    </row>
    <row r="469" spans="1:1" ht="21">
      <c r="A469" s="345"/>
    </row>
    <row r="470" spans="1:1" ht="21">
      <c r="A470" s="345"/>
    </row>
    <row r="471" spans="1:1" ht="21">
      <c r="A471" s="345"/>
    </row>
    <row r="472" spans="1:1" ht="21">
      <c r="A472" s="345"/>
    </row>
    <row r="473" spans="1:1" ht="21">
      <c r="A473" s="345"/>
    </row>
    <row r="474" spans="1:1" ht="21">
      <c r="A474" s="345"/>
    </row>
    <row r="475" spans="1:1" ht="21">
      <c r="A475" s="345"/>
    </row>
    <row r="476" spans="1:1" ht="21">
      <c r="A476" s="345"/>
    </row>
    <row r="477" spans="1:1" ht="21">
      <c r="A477" s="345"/>
    </row>
    <row r="478" spans="1:1" ht="21">
      <c r="A478" s="345"/>
    </row>
    <row r="479" spans="1:1" ht="21">
      <c r="A479" s="345"/>
    </row>
    <row r="480" spans="1:1" ht="21">
      <c r="A480" s="345"/>
    </row>
    <row r="481" spans="1:1" ht="21">
      <c r="A481" s="345"/>
    </row>
    <row r="482" spans="1:1" ht="21">
      <c r="A482" s="345"/>
    </row>
    <row r="483" spans="1:1" ht="21">
      <c r="A483" s="345"/>
    </row>
    <row r="484" spans="1:1" ht="21">
      <c r="A484" s="345"/>
    </row>
    <row r="485" spans="1:1" ht="21">
      <c r="A485" s="345"/>
    </row>
    <row r="486" spans="1:1" ht="21">
      <c r="A486" s="345"/>
    </row>
    <row r="487" spans="1:1" ht="21">
      <c r="A487" s="345"/>
    </row>
    <row r="488" spans="1:1" ht="21">
      <c r="A488" s="345"/>
    </row>
    <row r="489" spans="1:1" ht="21">
      <c r="A489" s="345"/>
    </row>
    <row r="490" spans="1:1" ht="21">
      <c r="A490" s="345"/>
    </row>
    <row r="491" spans="1:1" ht="21">
      <c r="A491" s="345"/>
    </row>
    <row r="492" spans="1:1" ht="21">
      <c r="A492" s="345"/>
    </row>
    <row r="493" spans="1:1" ht="21">
      <c r="A493" s="345"/>
    </row>
    <row r="494" spans="1:1" ht="21">
      <c r="A494" s="345"/>
    </row>
    <row r="495" spans="1:1" ht="21">
      <c r="A495" s="345"/>
    </row>
    <row r="496" spans="1:1" ht="21">
      <c r="A496" s="345"/>
    </row>
    <row r="497" spans="1:1" ht="21">
      <c r="A497" s="345"/>
    </row>
    <row r="498" spans="1:1" ht="21">
      <c r="A498" s="345"/>
    </row>
    <row r="499" spans="1:1" ht="21">
      <c r="A499" s="345"/>
    </row>
    <row r="500" spans="1:1" ht="21">
      <c r="A500" s="345"/>
    </row>
    <row r="501" spans="1:1" ht="21">
      <c r="A501" s="345"/>
    </row>
    <row r="502" spans="1:1" ht="21">
      <c r="A502" s="345"/>
    </row>
    <row r="503" spans="1:1" ht="21">
      <c r="A503" s="345"/>
    </row>
    <row r="504" spans="1:1" ht="21">
      <c r="A504" s="345"/>
    </row>
    <row r="505" spans="1:1" ht="21">
      <c r="A505" s="345"/>
    </row>
    <row r="506" spans="1:1" ht="21">
      <c r="A506" s="345"/>
    </row>
    <row r="507" spans="1:1" ht="21">
      <c r="A507" s="345"/>
    </row>
    <row r="508" spans="1:1" ht="21">
      <c r="A508" s="345"/>
    </row>
    <row r="509" spans="1:1" ht="21">
      <c r="A509" s="345"/>
    </row>
    <row r="510" spans="1:1" ht="21">
      <c r="A510" s="345"/>
    </row>
    <row r="511" spans="1:1" ht="21">
      <c r="A511" s="345"/>
    </row>
    <row r="512" spans="1:1" ht="21">
      <c r="A512" s="345"/>
    </row>
    <row r="513" spans="1:1" ht="21">
      <c r="A513" s="345"/>
    </row>
    <row r="514" spans="1:1" ht="21">
      <c r="A514" s="345"/>
    </row>
    <row r="515" spans="1:1" ht="21">
      <c r="A515" s="345"/>
    </row>
    <row r="516" spans="1:1" ht="21">
      <c r="A516" s="345"/>
    </row>
    <row r="517" spans="1:1" ht="21">
      <c r="A517" s="345"/>
    </row>
    <row r="518" spans="1:1" ht="21">
      <c r="A518" s="345"/>
    </row>
    <row r="519" spans="1:1" ht="21">
      <c r="A519" s="345"/>
    </row>
    <row r="520" spans="1:1" ht="21">
      <c r="A520" s="345"/>
    </row>
    <row r="521" spans="1:1" ht="21">
      <c r="A521" s="345"/>
    </row>
    <row r="522" spans="1:1" ht="21">
      <c r="A522" s="345"/>
    </row>
    <row r="523" spans="1:1" ht="21">
      <c r="A523" s="345"/>
    </row>
    <row r="524" spans="1:1" ht="21">
      <c r="A524" s="345"/>
    </row>
    <row r="525" spans="1:1" ht="21">
      <c r="A525" s="345"/>
    </row>
    <row r="526" spans="1:1" ht="21">
      <c r="A526" s="345"/>
    </row>
    <row r="527" spans="1:1" ht="21">
      <c r="A527" s="345"/>
    </row>
    <row r="528" spans="1:1" ht="21">
      <c r="A528" s="345"/>
    </row>
    <row r="529" spans="1:1" ht="21">
      <c r="A529" s="345"/>
    </row>
    <row r="530" spans="1:1" ht="21">
      <c r="A530" s="345"/>
    </row>
    <row r="531" spans="1:1" ht="21">
      <c r="A531" s="345"/>
    </row>
    <row r="532" spans="1:1" ht="21">
      <c r="A532" s="345"/>
    </row>
    <row r="533" spans="1:1" ht="21">
      <c r="A533" s="345"/>
    </row>
    <row r="534" spans="1:1" ht="21">
      <c r="A534" s="345"/>
    </row>
    <row r="535" spans="1:1" ht="21">
      <c r="A535" s="345"/>
    </row>
    <row r="536" spans="1:1" ht="21">
      <c r="A536" s="345"/>
    </row>
    <row r="537" spans="1:1" ht="21">
      <c r="A537" s="345"/>
    </row>
    <row r="538" spans="1:1" ht="21">
      <c r="A538" s="345"/>
    </row>
    <row r="539" spans="1:1" ht="21">
      <c r="A539" s="345"/>
    </row>
    <row r="540" spans="1:1" ht="21">
      <c r="A540" s="345"/>
    </row>
    <row r="541" spans="1:1" ht="21">
      <c r="A541" s="345"/>
    </row>
    <row r="542" spans="1:1" ht="21">
      <c r="A542" s="345"/>
    </row>
    <row r="543" spans="1:1" ht="21">
      <c r="A543" s="345"/>
    </row>
    <row r="544" spans="1:1" ht="21">
      <c r="A544" s="345"/>
    </row>
    <row r="545" spans="1:1" ht="21">
      <c r="A545" s="345"/>
    </row>
    <row r="546" spans="1:1" ht="21">
      <c r="A546" s="345"/>
    </row>
    <row r="547" spans="1:1" ht="21">
      <c r="A547" s="345"/>
    </row>
    <row r="548" spans="1:1" ht="21">
      <c r="A548" s="345"/>
    </row>
    <row r="549" spans="1:1" ht="21">
      <c r="A549" s="345"/>
    </row>
    <row r="550" spans="1:1" ht="21">
      <c r="A550" s="345"/>
    </row>
    <row r="551" spans="1:1" ht="21">
      <c r="A551" s="345"/>
    </row>
    <row r="552" spans="1:1" ht="21">
      <c r="A552" s="345"/>
    </row>
    <row r="553" spans="1:1" ht="21">
      <c r="A553" s="345"/>
    </row>
    <row r="554" spans="1:1" ht="21">
      <c r="A554" s="345"/>
    </row>
    <row r="555" spans="1:1" ht="21">
      <c r="A555" s="345"/>
    </row>
    <row r="556" spans="1:1" ht="21">
      <c r="A556" s="345"/>
    </row>
    <row r="557" spans="1:1" ht="21">
      <c r="A557" s="345"/>
    </row>
    <row r="558" spans="1:1" ht="21">
      <c r="A558" s="345"/>
    </row>
    <row r="559" spans="1:1" ht="21">
      <c r="A559" s="345"/>
    </row>
    <row r="560" spans="1:1" ht="21">
      <c r="A560" s="345"/>
    </row>
    <row r="561" spans="1:1" ht="21">
      <c r="A561" s="345"/>
    </row>
    <row r="562" spans="1:1" ht="21">
      <c r="A562" s="345"/>
    </row>
    <row r="563" spans="1:1" ht="21">
      <c r="A563" s="345"/>
    </row>
    <row r="564" spans="1:1" ht="21">
      <c r="A564" s="345"/>
    </row>
    <row r="565" spans="1:1" ht="21">
      <c r="A565" s="345"/>
    </row>
    <row r="566" spans="1:1" ht="21">
      <c r="A566" s="345"/>
    </row>
    <row r="567" spans="1:1" ht="21">
      <c r="A567" s="345"/>
    </row>
    <row r="568" spans="1:1" ht="21">
      <c r="A568" s="345"/>
    </row>
    <row r="569" spans="1:1" ht="21">
      <c r="A569" s="345"/>
    </row>
    <row r="570" spans="1:1" ht="21">
      <c r="A570" s="345"/>
    </row>
    <row r="571" spans="1:1" ht="21">
      <c r="A571" s="345"/>
    </row>
    <row r="572" spans="1:1" ht="21">
      <c r="A572" s="345"/>
    </row>
    <row r="573" spans="1:1" ht="21">
      <c r="A573" s="345"/>
    </row>
    <row r="574" spans="1:1" ht="21">
      <c r="A574" s="345"/>
    </row>
    <row r="575" spans="1:1" ht="21">
      <c r="A575" s="345"/>
    </row>
    <row r="576" spans="1:1" ht="21">
      <c r="A576" s="345"/>
    </row>
    <row r="577" spans="1:1" ht="21">
      <c r="A577" s="345"/>
    </row>
    <row r="578" spans="1:1" ht="21">
      <c r="A578" s="345"/>
    </row>
    <row r="579" spans="1:1" ht="21">
      <c r="A579" s="345"/>
    </row>
    <row r="580" spans="1:1" ht="21">
      <c r="A580" s="345"/>
    </row>
    <row r="581" spans="1:1" ht="21">
      <c r="A581" s="345"/>
    </row>
    <row r="582" spans="1:1" ht="21">
      <c r="A582" s="345"/>
    </row>
    <row r="583" spans="1:1" ht="21">
      <c r="A583" s="345"/>
    </row>
    <row r="584" spans="1:1" ht="21">
      <c r="A584" s="345"/>
    </row>
    <row r="585" spans="1:1" ht="21">
      <c r="A585" s="345"/>
    </row>
    <row r="586" spans="1:1" ht="21">
      <c r="A586" s="345"/>
    </row>
    <row r="587" spans="1:1" ht="21">
      <c r="A587" s="345"/>
    </row>
    <row r="588" spans="1:1" ht="21">
      <c r="A588" s="345"/>
    </row>
    <row r="589" spans="1:1" ht="21">
      <c r="A589" s="345"/>
    </row>
    <row r="590" spans="1:1" ht="21">
      <c r="A590" s="345"/>
    </row>
    <row r="591" spans="1:1" ht="21">
      <c r="A591" s="345"/>
    </row>
    <row r="592" spans="1:1" ht="21">
      <c r="A592" s="345"/>
    </row>
    <row r="593" spans="1:1" ht="21">
      <c r="A593" s="345"/>
    </row>
    <row r="594" spans="1:1" ht="21">
      <c r="A594" s="345"/>
    </row>
    <row r="595" spans="1:1" ht="21">
      <c r="A595" s="345"/>
    </row>
    <row r="596" spans="1:1" ht="21">
      <c r="A596" s="345"/>
    </row>
    <row r="597" spans="1:1" ht="21">
      <c r="A597" s="345"/>
    </row>
    <row r="598" spans="1:1" ht="21">
      <c r="A598" s="345"/>
    </row>
    <row r="599" spans="1:1" ht="21">
      <c r="A599" s="345"/>
    </row>
    <row r="600" spans="1:1" ht="21">
      <c r="A600" s="345"/>
    </row>
    <row r="601" spans="1:1" ht="21">
      <c r="A601" s="345"/>
    </row>
    <row r="602" spans="1:1" ht="21">
      <c r="A602" s="345"/>
    </row>
    <row r="603" spans="1:1" ht="21">
      <c r="A603" s="345"/>
    </row>
    <row r="604" spans="1:1" ht="21">
      <c r="A604" s="345"/>
    </row>
    <row r="605" spans="1:1" ht="21">
      <c r="A605" s="345"/>
    </row>
    <row r="606" spans="1:1" ht="21">
      <c r="A606" s="345"/>
    </row>
    <row r="607" spans="1:1" ht="21">
      <c r="A607" s="345"/>
    </row>
    <row r="608" spans="1:1" ht="21">
      <c r="A608" s="345"/>
    </row>
    <row r="609" spans="1:1" ht="21">
      <c r="A609" s="345"/>
    </row>
    <row r="610" spans="1:1" ht="21">
      <c r="A610" s="345"/>
    </row>
    <row r="611" spans="1:1" ht="21">
      <c r="A611" s="345"/>
    </row>
    <row r="612" spans="1:1" ht="21">
      <c r="A612" s="345"/>
    </row>
    <row r="613" spans="1:1" ht="21">
      <c r="A613" s="345"/>
    </row>
    <row r="614" spans="1:1" ht="21">
      <c r="A614" s="345"/>
    </row>
    <row r="615" spans="1:1" ht="21">
      <c r="A615" s="345"/>
    </row>
    <row r="616" spans="1:1" ht="21">
      <c r="A616" s="345"/>
    </row>
    <row r="617" spans="1:1" ht="21">
      <c r="A617" s="345"/>
    </row>
    <row r="618" spans="1:1" ht="21">
      <c r="A618" s="345"/>
    </row>
    <row r="619" spans="1:1" ht="21">
      <c r="A619" s="345"/>
    </row>
    <row r="620" spans="1:1" ht="21">
      <c r="A620" s="345"/>
    </row>
    <row r="621" spans="1:1" ht="21">
      <c r="A621" s="345"/>
    </row>
    <row r="622" spans="1:1" ht="21">
      <c r="A622" s="345"/>
    </row>
    <row r="623" spans="1:1" ht="21">
      <c r="A623" s="345"/>
    </row>
    <row r="624" spans="1:1" ht="21">
      <c r="A624" s="345"/>
    </row>
    <row r="625" spans="1:1" ht="21">
      <c r="A625" s="345"/>
    </row>
    <row r="626" spans="1:1" ht="21">
      <c r="A626" s="345"/>
    </row>
    <row r="627" spans="1:1" ht="21">
      <c r="A627" s="345"/>
    </row>
    <row r="628" spans="1:1" ht="21">
      <c r="A628" s="345"/>
    </row>
    <row r="629" spans="1:1" ht="21">
      <c r="A629" s="345"/>
    </row>
    <row r="630" spans="1:1" ht="21">
      <c r="A630" s="345"/>
    </row>
    <row r="631" spans="1:1" ht="21">
      <c r="A631" s="345"/>
    </row>
    <row r="632" spans="1:1" ht="21">
      <c r="A632" s="345"/>
    </row>
    <row r="633" spans="1:1" ht="21">
      <c r="A633" s="345"/>
    </row>
    <row r="634" spans="1:1" ht="21">
      <c r="A634" s="345"/>
    </row>
    <row r="635" spans="1:1" ht="21">
      <c r="A635" s="345"/>
    </row>
    <row r="636" spans="1:1" ht="21">
      <c r="A636" s="345"/>
    </row>
    <row r="637" spans="1:1" ht="21">
      <c r="A637" s="345"/>
    </row>
    <row r="638" spans="1:1" ht="21">
      <c r="A638" s="345"/>
    </row>
    <row r="639" spans="1:1" ht="21">
      <c r="A639" s="345"/>
    </row>
    <row r="640" spans="1:1" ht="21">
      <c r="A640" s="345"/>
    </row>
    <row r="641" spans="1:1" ht="21">
      <c r="A641" s="345"/>
    </row>
    <row r="642" spans="1:1" ht="21">
      <c r="A642" s="345"/>
    </row>
    <row r="643" spans="1:1" ht="21">
      <c r="A643" s="345"/>
    </row>
    <row r="644" spans="1:1" ht="21">
      <c r="A644" s="345"/>
    </row>
    <row r="645" spans="1:1" ht="21">
      <c r="A645" s="345"/>
    </row>
    <row r="646" spans="1:1" ht="21">
      <c r="A646" s="345"/>
    </row>
    <row r="647" spans="1:1" ht="21">
      <c r="A647" s="345"/>
    </row>
    <row r="648" spans="1:1" ht="21">
      <c r="A648" s="345"/>
    </row>
    <row r="649" spans="1:1" ht="21">
      <c r="A649" s="345"/>
    </row>
    <row r="650" spans="1:1" ht="21">
      <c r="A650" s="345"/>
    </row>
    <row r="651" spans="1:1" ht="21">
      <c r="A651" s="345"/>
    </row>
    <row r="652" spans="1:1" ht="21">
      <c r="A652" s="345"/>
    </row>
    <row r="653" spans="1:1" ht="21">
      <c r="A653" s="345"/>
    </row>
    <row r="654" spans="1:1" ht="21">
      <c r="A654" s="345"/>
    </row>
    <row r="655" spans="1:1" ht="21">
      <c r="A655" s="345"/>
    </row>
    <row r="656" spans="1:1" ht="21">
      <c r="A656" s="345"/>
    </row>
    <row r="657" spans="1:1" ht="21">
      <c r="A657" s="345"/>
    </row>
    <row r="658" spans="1:1" ht="21">
      <c r="A658" s="345"/>
    </row>
    <row r="659" spans="1:1" ht="21">
      <c r="A659" s="345"/>
    </row>
    <row r="660" spans="1:1" ht="21">
      <c r="A660" s="345"/>
    </row>
    <row r="661" spans="1:1" ht="21">
      <c r="A661" s="345"/>
    </row>
    <row r="662" spans="1:1" ht="21">
      <c r="A662" s="345"/>
    </row>
    <row r="663" spans="1:1" ht="21">
      <c r="A663" s="345"/>
    </row>
    <row r="664" spans="1:1" ht="21">
      <c r="A664" s="345"/>
    </row>
    <row r="665" spans="1:1" ht="21">
      <c r="A665" s="345"/>
    </row>
    <row r="666" spans="1:1" ht="21">
      <c r="A666" s="345"/>
    </row>
    <row r="667" spans="1:1" ht="21">
      <c r="A667" s="345"/>
    </row>
    <row r="668" spans="1:1" ht="21">
      <c r="A668" s="345"/>
    </row>
    <row r="669" spans="1:1" ht="21">
      <c r="A669" s="345"/>
    </row>
    <row r="670" spans="1:1" ht="21">
      <c r="A670" s="345"/>
    </row>
    <row r="671" spans="1:1" ht="21">
      <c r="A671" s="345"/>
    </row>
    <row r="672" spans="1:1" ht="21">
      <c r="A672" s="345"/>
    </row>
    <row r="673" spans="1:1" ht="21">
      <c r="A673" s="345"/>
    </row>
    <row r="674" spans="1:1" ht="21">
      <c r="A674" s="345"/>
    </row>
    <row r="675" spans="1:1" ht="21">
      <c r="A675" s="345"/>
    </row>
    <row r="676" spans="1:1" ht="21">
      <c r="A676" s="345"/>
    </row>
    <row r="677" spans="1:1" ht="21">
      <c r="A677" s="345"/>
    </row>
    <row r="678" spans="1:1" ht="21">
      <c r="A678" s="345"/>
    </row>
    <row r="679" spans="1:1" ht="21">
      <c r="A679" s="345"/>
    </row>
    <row r="680" spans="1:1" ht="21">
      <c r="A680" s="345"/>
    </row>
    <row r="681" spans="1:1" ht="21">
      <c r="A681" s="345"/>
    </row>
    <row r="682" spans="1:1" ht="21">
      <c r="A682" s="345"/>
    </row>
    <row r="683" spans="1:1" ht="21">
      <c r="A683" s="345"/>
    </row>
    <row r="684" spans="1:1" ht="21">
      <c r="A684" s="345"/>
    </row>
    <row r="685" spans="1:1" ht="21">
      <c r="A685" s="345"/>
    </row>
    <row r="686" spans="1:1" ht="21">
      <c r="A686" s="345"/>
    </row>
    <row r="687" spans="1:1" ht="21">
      <c r="A687" s="345"/>
    </row>
    <row r="688" spans="1:1" ht="21">
      <c r="A688" s="345"/>
    </row>
    <row r="689" spans="1:1" ht="21">
      <c r="A689" s="345"/>
    </row>
    <row r="690" spans="1:1" ht="21">
      <c r="A690" s="345"/>
    </row>
    <row r="691" spans="1:1" ht="21">
      <c r="A691" s="345"/>
    </row>
    <row r="692" spans="1:1" ht="21">
      <c r="A692" s="345"/>
    </row>
    <row r="693" spans="1:1" ht="21">
      <c r="A693" s="345"/>
    </row>
    <row r="694" spans="1:1" ht="21">
      <c r="A694" s="345"/>
    </row>
    <row r="695" spans="1:1" ht="21">
      <c r="A695" s="345"/>
    </row>
    <row r="696" spans="1:1" ht="21">
      <c r="A696" s="345"/>
    </row>
    <row r="697" spans="1:1" ht="21">
      <c r="A697" s="345"/>
    </row>
    <row r="698" spans="1:1" ht="21">
      <c r="A698" s="345"/>
    </row>
    <row r="699" spans="1:1" ht="21">
      <c r="A699" s="345"/>
    </row>
    <row r="700" spans="1:1" ht="21">
      <c r="A700" s="345"/>
    </row>
    <row r="701" spans="1:1" ht="21">
      <c r="A701" s="345"/>
    </row>
    <row r="702" spans="1:1" ht="21">
      <c r="A702" s="345"/>
    </row>
    <row r="703" spans="1:1" ht="21">
      <c r="A703" s="345"/>
    </row>
    <row r="704" spans="1:1" ht="21">
      <c r="A704" s="345"/>
    </row>
    <row r="705" spans="1:1" ht="21">
      <c r="A705" s="345"/>
    </row>
    <row r="706" spans="1:1" ht="21">
      <c r="A706" s="345"/>
    </row>
    <row r="707" spans="1:1" ht="21">
      <c r="A707" s="345"/>
    </row>
    <row r="708" spans="1:1" ht="21">
      <c r="A708" s="345"/>
    </row>
    <row r="709" spans="1:1" ht="21">
      <c r="A709" s="345"/>
    </row>
    <row r="710" spans="1:1" ht="21">
      <c r="A710" s="345"/>
    </row>
    <row r="711" spans="1:1" ht="21">
      <c r="A711" s="345"/>
    </row>
    <row r="712" spans="1:1" ht="21">
      <c r="A712" s="345"/>
    </row>
    <row r="713" spans="1:1" ht="21">
      <c r="A713" s="345"/>
    </row>
    <row r="714" spans="1:1" ht="21">
      <c r="A714" s="345"/>
    </row>
    <row r="715" spans="1:1" ht="21">
      <c r="A715" s="345"/>
    </row>
    <row r="716" spans="1:1" ht="21">
      <c r="A716" s="345"/>
    </row>
    <row r="717" spans="1:1" ht="21">
      <c r="A717" s="345"/>
    </row>
    <row r="718" spans="1:1" ht="21">
      <c r="A718" s="345"/>
    </row>
    <row r="719" spans="1:1" ht="21">
      <c r="A719" s="345"/>
    </row>
    <row r="720" spans="1:1" ht="21">
      <c r="A720" s="345"/>
    </row>
    <row r="721" spans="1:1" ht="21">
      <c r="A721" s="345"/>
    </row>
    <row r="722" spans="1:1" ht="21">
      <c r="A722" s="345"/>
    </row>
    <row r="723" spans="1:1" ht="21">
      <c r="A723" s="345"/>
    </row>
    <row r="724" spans="1:1" ht="21">
      <c r="A724" s="345"/>
    </row>
    <row r="725" spans="1:1" ht="21">
      <c r="A725" s="345"/>
    </row>
    <row r="726" spans="1:1" ht="21">
      <c r="A726" s="345"/>
    </row>
    <row r="727" spans="1:1" ht="21">
      <c r="A727" s="345"/>
    </row>
    <row r="728" spans="1:1" ht="21">
      <c r="A728" s="345"/>
    </row>
    <row r="729" spans="1:1" ht="21">
      <c r="A729" s="345"/>
    </row>
    <row r="730" spans="1:1" ht="21">
      <c r="A730" s="345"/>
    </row>
    <row r="731" spans="1:1" ht="21">
      <c r="A731" s="345"/>
    </row>
    <row r="732" spans="1:1" ht="21">
      <c r="A732" s="345"/>
    </row>
    <row r="733" spans="1:1" ht="21">
      <c r="A733" s="345"/>
    </row>
    <row r="734" spans="1:1" ht="21">
      <c r="A734" s="345"/>
    </row>
    <row r="735" spans="1:1" ht="21">
      <c r="A735" s="345"/>
    </row>
    <row r="736" spans="1:1" ht="21">
      <c r="A736" s="345"/>
    </row>
    <row r="737" spans="1:1" ht="21">
      <c r="A737" s="345"/>
    </row>
    <row r="738" spans="1:1" ht="21">
      <c r="A738" s="345"/>
    </row>
    <row r="739" spans="1:1" ht="21">
      <c r="A739" s="345"/>
    </row>
    <row r="740" spans="1:1" ht="21">
      <c r="A740" s="345"/>
    </row>
    <row r="741" spans="1:1" ht="21">
      <c r="A741" s="345"/>
    </row>
    <row r="742" spans="1:1" ht="21">
      <c r="A742" s="345"/>
    </row>
    <row r="743" spans="1:1" ht="21">
      <c r="A743" s="345"/>
    </row>
    <row r="744" spans="1:1" ht="21">
      <c r="A744" s="345"/>
    </row>
    <row r="745" spans="1:1" ht="21">
      <c r="A745" s="345"/>
    </row>
    <row r="746" spans="1:1" ht="21">
      <c r="A746" s="345"/>
    </row>
    <row r="747" spans="1:1" ht="21">
      <c r="A747" s="345"/>
    </row>
    <row r="748" spans="1:1" ht="21">
      <c r="A748" s="345"/>
    </row>
    <row r="749" spans="1:1" ht="21">
      <c r="A749" s="345"/>
    </row>
    <row r="750" spans="1:1" ht="21">
      <c r="A750" s="345"/>
    </row>
    <row r="751" spans="1:1" ht="21">
      <c r="A751" s="345"/>
    </row>
    <row r="752" spans="1:1" ht="21">
      <c r="A752" s="345"/>
    </row>
    <row r="753" spans="1:1" ht="21">
      <c r="A753" s="345"/>
    </row>
    <row r="754" spans="1:1" ht="21">
      <c r="A754" s="345"/>
    </row>
    <row r="755" spans="1:1" ht="21">
      <c r="A755" s="345"/>
    </row>
    <row r="756" spans="1:1" ht="21">
      <c r="A756" s="345"/>
    </row>
    <row r="757" spans="1:1" ht="21">
      <c r="A757" s="345"/>
    </row>
    <row r="758" spans="1:1" ht="21">
      <c r="A758" s="345"/>
    </row>
    <row r="759" spans="1:1" ht="21">
      <c r="A759" s="345"/>
    </row>
    <row r="760" spans="1:1" ht="21">
      <c r="A760" s="345"/>
    </row>
    <row r="761" spans="1:1" ht="21">
      <c r="A761" s="345"/>
    </row>
    <row r="762" spans="1:1" ht="21">
      <c r="A762" s="345"/>
    </row>
    <row r="763" spans="1:1" ht="21">
      <c r="A763" s="345"/>
    </row>
    <row r="764" spans="1:1" ht="21">
      <c r="A764" s="345"/>
    </row>
    <row r="765" spans="1:1" ht="21">
      <c r="A765" s="345"/>
    </row>
    <row r="766" spans="1:1" ht="21">
      <c r="A766" s="345"/>
    </row>
    <row r="767" spans="1:1" ht="21">
      <c r="A767" s="345"/>
    </row>
    <row r="768" spans="1:1" ht="21">
      <c r="A768" s="345"/>
    </row>
    <row r="769" spans="1:1" ht="21">
      <c r="A769" s="345"/>
    </row>
    <row r="770" spans="1:1" ht="21">
      <c r="A770" s="345"/>
    </row>
    <row r="771" spans="1:1" ht="21">
      <c r="A771" s="345"/>
    </row>
    <row r="772" spans="1:1" ht="21">
      <c r="A772" s="345"/>
    </row>
    <row r="773" spans="1:1" ht="21">
      <c r="A773" s="345"/>
    </row>
    <row r="774" spans="1:1" ht="21">
      <c r="A774" s="345"/>
    </row>
    <row r="775" spans="1:1" ht="21">
      <c r="A775" s="345"/>
    </row>
    <row r="776" spans="1:1" ht="21">
      <c r="A776" s="345"/>
    </row>
    <row r="777" spans="1:1" ht="21">
      <c r="A777" s="345"/>
    </row>
    <row r="778" spans="1:1" ht="21">
      <c r="A778" s="345"/>
    </row>
    <row r="779" spans="1:1" ht="21">
      <c r="A779" s="345"/>
    </row>
    <row r="780" spans="1:1" ht="21">
      <c r="A780" s="345"/>
    </row>
    <row r="781" spans="1:1" ht="21">
      <c r="A781" s="345"/>
    </row>
    <row r="782" spans="1:1" ht="21">
      <c r="A782" s="345"/>
    </row>
    <row r="783" spans="1:1" ht="21">
      <c r="A783" s="345"/>
    </row>
    <row r="784" spans="1:1" ht="21">
      <c r="A784" s="345"/>
    </row>
    <row r="785" spans="1:1" ht="21">
      <c r="A785" s="345"/>
    </row>
    <row r="786" spans="1:1" ht="21">
      <c r="A786" s="345"/>
    </row>
    <row r="787" spans="1:1" ht="21">
      <c r="A787" s="345"/>
    </row>
    <row r="788" spans="1:1" ht="21">
      <c r="A788" s="345"/>
    </row>
    <row r="789" spans="1:1" ht="21">
      <c r="A789" s="345"/>
    </row>
    <row r="790" spans="1:1" ht="21">
      <c r="A790" s="345"/>
    </row>
    <row r="791" spans="1:1" ht="21">
      <c r="A791" s="345"/>
    </row>
    <row r="792" spans="1:1" ht="21">
      <c r="A792" s="345"/>
    </row>
    <row r="793" spans="1:1" ht="21">
      <c r="A793" s="345"/>
    </row>
    <row r="794" spans="1:1" ht="21">
      <c r="A794" s="345"/>
    </row>
    <row r="795" spans="1:1" ht="21">
      <c r="A795" s="345"/>
    </row>
    <row r="796" spans="1:1" ht="21">
      <c r="A796" s="345"/>
    </row>
    <row r="797" spans="1:1" ht="21">
      <c r="A797" s="345"/>
    </row>
    <row r="798" spans="1:1" ht="21">
      <c r="A798" s="345"/>
    </row>
    <row r="799" spans="1:1" ht="21">
      <c r="A799" s="345"/>
    </row>
    <row r="800" spans="1:1" ht="21">
      <c r="A800" s="345"/>
    </row>
    <row r="801" spans="1:1" ht="21">
      <c r="A801" s="345"/>
    </row>
    <row r="802" spans="1:1" ht="21">
      <c r="A802" s="345"/>
    </row>
    <row r="803" spans="1:1" ht="21">
      <c r="A803" s="345"/>
    </row>
    <row r="804" spans="1:1" ht="21">
      <c r="A804" s="345"/>
    </row>
    <row r="805" spans="1:1" ht="21">
      <c r="A805" s="345"/>
    </row>
    <row r="806" spans="1:1" ht="21">
      <c r="A806" s="345"/>
    </row>
    <row r="807" spans="1:1" ht="21">
      <c r="A807" s="345"/>
    </row>
    <row r="808" spans="1:1" ht="21">
      <c r="A808" s="345"/>
    </row>
    <row r="809" spans="1:1" ht="21">
      <c r="A809" s="345"/>
    </row>
    <row r="810" spans="1:1" ht="21">
      <c r="A810" s="345"/>
    </row>
    <row r="811" spans="1:1" ht="21">
      <c r="A811" s="345"/>
    </row>
    <row r="812" spans="1:1" ht="21">
      <c r="A812" s="345"/>
    </row>
    <row r="813" spans="1:1" ht="21">
      <c r="A813" s="345"/>
    </row>
    <row r="814" spans="1:1" ht="21">
      <c r="A814" s="345"/>
    </row>
    <row r="815" spans="1:1" ht="21">
      <c r="A815" s="345"/>
    </row>
    <row r="816" spans="1:1" ht="21">
      <c r="A816" s="345"/>
    </row>
    <row r="817" spans="1:1" ht="21">
      <c r="A817" s="345"/>
    </row>
    <row r="818" spans="1:1" ht="21">
      <c r="A818" s="345"/>
    </row>
    <row r="819" spans="1:1" ht="21">
      <c r="A819" s="345"/>
    </row>
    <row r="820" spans="1:1" ht="21">
      <c r="A820" s="345"/>
    </row>
    <row r="821" spans="1:1" ht="21">
      <c r="A821" s="345"/>
    </row>
    <row r="822" spans="1:1" ht="21">
      <c r="A822" s="345"/>
    </row>
    <row r="823" spans="1:1" ht="21">
      <c r="A823" s="345"/>
    </row>
    <row r="824" spans="1:1" ht="21">
      <c r="A824" s="345"/>
    </row>
    <row r="825" spans="1:1" ht="21">
      <c r="A825" s="345"/>
    </row>
    <row r="826" spans="1:1" ht="21">
      <c r="A826" s="345"/>
    </row>
    <row r="827" spans="1:1" ht="21">
      <c r="A827" s="345"/>
    </row>
    <row r="828" spans="1:1" ht="21">
      <c r="A828" s="345"/>
    </row>
    <row r="829" spans="1:1" ht="21">
      <c r="A829" s="345"/>
    </row>
    <row r="830" spans="1:1" ht="21">
      <c r="A830" s="345"/>
    </row>
    <row r="831" spans="1:1" ht="21">
      <c r="A831" s="345"/>
    </row>
    <row r="832" spans="1:1" ht="21">
      <c r="A832" s="345"/>
    </row>
    <row r="833" spans="1:1" ht="21">
      <c r="A833" s="345"/>
    </row>
    <row r="834" spans="1:1" ht="21">
      <c r="A834" s="345"/>
    </row>
    <row r="835" spans="1:1" ht="21">
      <c r="A835" s="345"/>
    </row>
    <row r="836" spans="1:1" ht="21">
      <c r="A836" s="345"/>
    </row>
    <row r="837" spans="1:1" ht="21">
      <c r="A837" s="345"/>
    </row>
    <row r="838" spans="1:1" ht="21">
      <c r="A838" s="345"/>
    </row>
    <row r="839" spans="1:1" ht="21">
      <c r="A839" s="345"/>
    </row>
    <row r="840" spans="1:1" ht="21">
      <c r="A840" s="345"/>
    </row>
    <row r="841" spans="1:1" ht="21">
      <c r="A841" s="345"/>
    </row>
    <row r="842" spans="1:1" ht="21">
      <c r="A842" s="345"/>
    </row>
    <row r="843" spans="1:1" ht="21">
      <c r="A843" s="345"/>
    </row>
    <row r="844" spans="1:1" ht="21">
      <c r="A844" s="345"/>
    </row>
    <row r="845" spans="1:1" ht="21">
      <c r="A845" s="345"/>
    </row>
    <row r="846" spans="1:1" ht="21">
      <c r="A846" s="345"/>
    </row>
    <row r="847" spans="1:1" ht="21">
      <c r="A847" s="345"/>
    </row>
    <row r="848" spans="1:1" ht="21">
      <c r="A848" s="345"/>
    </row>
    <row r="849" spans="1:1" ht="21">
      <c r="A849" s="345"/>
    </row>
    <row r="850" spans="1:1" ht="21">
      <c r="A850" s="345"/>
    </row>
    <row r="851" spans="1:1" ht="21">
      <c r="A851" s="345"/>
    </row>
    <row r="852" spans="1:1" ht="21">
      <c r="A852" s="345"/>
    </row>
    <row r="853" spans="1:1" ht="21">
      <c r="A853" s="345"/>
    </row>
    <row r="854" spans="1:1" ht="21">
      <c r="A854" s="345"/>
    </row>
    <row r="855" spans="1:1" ht="21">
      <c r="A855" s="345"/>
    </row>
    <row r="856" spans="1:1" ht="21">
      <c r="A856" s="345"/>
    </row>
    <row r="857" spans="1:1" ht="21">
      <c r="A857" s="345"/>
    </row>
    <row r="858" spans="1:1" ht="21">
      <c r="A858" s="345"/>
    </row>
    <row r="859" spans="1:1" ht="21">
      <c r="A859" s="345"/>
    </row>
    <row r="860" spans="1:1" ht="21">
      <c r="A860" s="345"/>
    </row>
    <row r="861" spans="1:1" ht="21">
      <c r="A861" s="345"/>
    </row>
    <row r="862" spans="1:1" ht="21">
      <c r="A862" s="345"/>
    </row>
    <row r="863" spans="1:1" ht="21">
      <c r="A863" s="345"/>
    </row>
    <row r="864" spans="1:1" ht="21">
      <c r="A864" s="345"/>
    </row>
    <row r="865" spans="1:1" ht="21">
      <c r="A865" s="345"/>
    </row>
    <row r="866" spans="1:1" ht="21">
      <c r="A866" s="345"/>
    </row>
    <row r="867" spans="1:1" ht="21">
      <c r="A867" s="345"/>
    </row>
    <row r="868" spans="1:1" ht="21">
      <c r="A868" s="345"/>
    </row>
    <row r="869" spans="1:1" ht="21">
      <c r="A869" s="345"/>
    </row>
    <row r="870" spans="1:1" ht="21">
      <c r="A870" s="345"/>
    </row>
    <row r="871" spans="1:1" ht="21">
      <c r="A871" s="345"/>
    </row>
    <row r="872" spans="1:1" ht="21">
      <c r="A872" s="345"/>
    </row>
    <row r="873" spans="1:1" ht="21">
      <c r="A873" s="345"/>
    </row>
    <row r="874" spans="1:1" ht="21">
      <c r="A874" s="345"/>
    </row>
    <row r="875" spans="1:1" ht="21">
      <c r="A875" s="345"/>
    </row>
    <row r="876" spans="1:1" ht="21">
      <c r="A876" s="345"/>
    </row>
    <row r="877" spans="1:1" ht="21">
      <c r="A877" s="345"/>
    </row>
    <row r="878" spans="1:1" ht="21">
      <c r="A878" s="345"/>
    </row>
    <row r="879" spans="1:1" ht="21">
      <c r="A879" s="345"/>
    </row>
    <row r="880" spans="1:1" ht="21">
      <c r="A880" s="345"/>
    </row>
    <row r="881" spans="1:1" ht="21">
      <c r="A881" s="345"/>
    </row>
    <row r="882" spans="1:1" ht="21">
      <c r="A882" s="345"/>
    </row>
    <row r="883" spans="1:1" ht="21">
      <c r="A883" s="345"/>
    </row>
    <row r="884" spans="1:1" ht="21">
      <c r="A884" s="345"/>
    </row>
    <row r="885" spans="1:1" ht="21">
      <c r="A885" s="345"/>
    </row>
    <row r="886" spans="1:1" ht="21">
      <c r="A886" s="345"/>
    </row>
    <row r="887" spans="1:1" ht="21">
      <c r="A887" s="345"/>
    </row>
    <row r="888" spans="1:1" ht="21">
      <c r="A888" s="345"/>
    </row>
    <row r="889" spans="1:1" ht="21">
      <c r="A889" s="345"/>
    </row>
    <row r="890" spans="1:1" ht="21">
      <c r="A890" s="345"/>
    </row>
    <row r="891" spans="1:1" ht="21">
      <c r="A891" s="345"/>
    </row>
    <row r="892" spans="1:1" ht="21">
      <c r="A892" s="345"/>
    </row>
    <row r="893" spans="1:1" ht="21">
      <c r="A893" s="345"/>
    </row>
    <row r="894" spans="1:1" ht="21">
      <c r="A894" s="345"/>
    </row>
    <row r="895" spans="1:1" ht="21">
      <c r="A895" s="345"/>
    </row>
    <row r="896" spans="1:1" ht="21">
      <c r="A896" s="345"/>
    </row>
    <row r="897" spans="1:1" ht="21">
      <c r="A897" s="345"/>
    </row>
    <row r="898" spans="1:1" ht="21">
      <c r="A898" s="345"/>
    </row>
    <row r="899" spans="1:1" ht="21">
      <c r="A899" s="345"/>
    </row>
    <row r="900" spans="1:1" ht="21">
      <c r="A900" s="345"/>
    </row>
    <row r="901" spans="1:1" ht="21">
      <c r="A901" s="345"/>
    </row>
    <row r="902" spans="1:1" ht="21">
      <c r="A902" s="345"/>
    </row>
    <row r="903" spans="1:1" ht="21">
      <c r="A903" s="345"/>
    </row>
    <row r="904" spans="1:1" ht="21">
      <c r="A904" s="345"/>
    </row>
    <row r="905" spans="1:1" ht="21">
      <c r="A905" s="345"/>
    </row>
    <row r="906" spans="1:1" ht="21">
      <c r="A906" s="345"/>
    </row>
    <row r="907" spans="1:1" ht="21">
      <c r="A907" s="345"/>
    </row>
    <row r="908" spans="1:1" ht="21">
      <c r="A908" s="345"/>
    </row>
    <row r="909" spans="1:1" ht="21">
      <c r="A909" s="345"/>
    </row>
    <row r="910" spans="1:1" ht="21">
      <c r="A910" s="345"/>
    </row>
    <row r="911" spans="1:1" ht="21">
      <c r="A911" s="345"/>
    </row>
    <row r="912" spans="1:1" ht="21">
      <c r="A912" s="345"/>
    </row>
    <row r="913" spans="1:1" ht="21">
      <c r="A913" s="345"/>
    </row>
    <row r="914" spans="1:1" ht="21">
      <c r="A914" s="345"/>
    </row>
    <row r="915" spans="1:1" ht="21">
      <c r="A915" s="345"/>
    </row>
    <row r="916" spans="1:1" ht="21">
      <c r="A916" s="345"/>
    </row>
    <row r="917" spans="1:1" ht="21">
      <c r="A917" s="345"/>
    </row>
    <row r="918" spans="1:1" ht="21">
      <c r="A918" s="345"/>
    </row>
    <row r="919" spans="1:1" ht="21">
      <c r="A919" s="345"/>
    </row>
    <row r="920" spans="1:1" ht="21">
      <c r="A920" s="345"/>
    </row>
    <row r="921" spans="1:1" ht="21">
      <c r="A921" s="345"/>
    </row>
    <row r="922" spans="1:1" ht="21">
      <c r="A922" s="345"/>
    </row>
    <row r="923" spans="1:1" ht="21">
      <c r="A923" s="345"/>
    </row>
    <row r="924" spans="1:1" ht="21">
      <c r="A924" s="345"/>
    </row>
    <row r="925" spans="1:1" ht="21">
      <c r="A925" s="345"/>
    </row>
    <row r="926" spans="1:1" ht="21">
      <c r="A926" s="345"/>
    </row>
    <row r="927" spans="1:1" ht="21">
      <c r="A927" s="345"/>
    </row>
    <row r="928" spans="1:1" ht="21">
      <c r="A928" s="345"/>
    </row>
    <row r="929" spans="1:1" ht="21">
      <c r="A929" s="345"/>
    </row>
    <row r="930" spans="1:1" ht="21">
      <c r="A930" s="345"/>
    </row>
    <row r="931" spans="1:1" ht="21">
      <c r="A931" s="345"/>
    </row>
    <row r="932" spans="1:1" ht="21">
      <c r="A932" s="345"/>
    </row>
    <row r="933" spans="1:1" ht="21">
      <c r="A933" s="345"/>
    </row>
    <row r="934" spans="1:1" ht="21">
      <c r="A934" s="345"/>
    </row>
    <row r="935" spans="1:1" ht="21">
      <c r="A935" s="345"/>
    </row>
    <row r="936" spans="1:1" ht="21">
      <c r="A936" s="345"/>
    </row>
    <row r="937" spans="1:1" ht="21">
      <c r="A937" s="345"/>
    </row>
    <row r="938" spans="1:1" ht="21">
      <c r="A938" s="345"/>
    </row>
    <row r="939" spans="1:1" ht="21">
      <c r="A939" s="345"/>
    </row>
    <row r="940" spans="1:1" ht="21">
      <c r="A940" s="345"/>
    </row>
    <row r="941" spans="1:1" ht="21">
      <c r="A941" s="345"/>
    </row>
    <row r="942" spans="1:1" ht="21">
      <c r="A942" s="345"/>
    </row>
    <row r="943" spans="1:1" ht="21">
      <c r="A943" s="345"/>
    </row>
    <row r="944" spans="1:1" ht="21">
      <c r="A944" s="345"/>
    </row>
    <row r="945" spans="1:1" ht="21">
      <c r="A945" s="345"/>
    </row>
    <row r="946" spans="1:1" ht="21">
      <c r="A946" s="345"/>
    </row>
    <row r="947" spans="1:1" ht="21">
      <c r="A947" s="345"/>
    </row>
    <row r="948" spans="1:1" ht="21">
      <c r="A948" s="345"/>
    </row>
    <row r="949" spans="1:1" ht="21">
      <c r="A949" s="345"/>
    </row>
    <row r="950" spans="1:1" ht="21">
      <c r="A950" s="345"/>
    </row>
    <row r="951" spans="1:1" ht="21">
      <c r="A951" s="345"/>
    </row>
    <row r="952" spans="1:1" ht="21">
      <c r="A952" s="345"/>
    </row>
    <row r="953" spans="1:1" ht="21">
      <c r="A953" s="345"/>
    </row>
    <row r="954" spans="1:1" ht="21">
      <c r="A954" s="345"/>
    </row>
    <row r="955" spans="1:1" ht="21">
      <c r="A955" s="345"/>
    </row>
    <row r="956" spans="1:1" ht="21">
      <c r="A956" s="345"/>
    </row>
    <row r="957" spans="1:1" ht="21">
      <c r="A957" s="345"/>
    </row>
    <row r="958" spans="1:1" ht="21">
      <c r="A958" s="345"/>
    </row>
    <row r="959" spans="1:1" ht="21">
      <c r="A959" s="345"/>
    </row>
    <row r="960" spans="1:1" ht="21">
      <c r="A960" s="345"/>
    </row>
    <row r="961" spans="1:1" ht="21">
      <c r="A961" s="345"/>
    </row>
    <row r="962" spans="1:1" ht="21">
      <c r="A962" s="345"/>
    </row>
    <row r="963" spans="1:1" ht="21">
      <c r="A963" s="345"/>
    </row>
    <row r="964" spans="1:1" ht="21">
      <c r="A964" s="345"/>
    </row>
    <row r="965" spans="1:1" ht="21">
      <c r="A965" s="345"/>
    </row>
    <row r="966" spans="1:1" ht="21">
      <c r="A966" s="345"/>
    </row>
    <row r="967" spans="1:1" ht="21">
      <c r="A967" s="345"/>
    </row>
    <row r="968" spans="1:1" ht="21">
      <c r="A968" s="345"/>
    </row>
    <row r="969" spans="1:1" ht="21">
      <c r="A969" s="345"/>
    </row>
    <row r="970" spans="1:1" ht="21">
      <c r="A970" s="345"/>
    </row>
    <row r="971" spans="1:1" ht="21">
      <c r="A971" s="345"/>
    </row>
    <row r="972" spans="1:1" ht="21">
      <c r="A972" s="345"/>
    </row>
    <row r="973" spans="1:1" ht="21">
      <c r="A973" s="345"/>
    </row>
    <row r="974" spans="1:1" ht="21">
      <c r="A974" s="345"/>
    </row>
    <row r="975" spans="1:1" ht="21">
      <c r="A975" s="345"/>
    </row>
    <row r="976" spans="1:1" ht="21">
      <c r="A976" s="345"/>
    </row>
    <row r="977" spans="1:1" ht="21">
      <c r="A977" s="345"/>
    </row>
    <row r="978" spans="1:1" ht="21">
      <c r="A978" s="345"/>
    </row>
    <row r="979" spans="1:1" ht="21">
      <c r="A979" s="345"/>
    </row>
    <row r="980" spans="1:1" ht="21">
      <c r="A980" s="345"/>
    </row>
    <row r="981" spans="1:1" ht="21">
      <c r="A981" s="345"/>
    </row>
    <row r="982" spans="1:1" ht="21">
      <c r="A982" s="345"/>
    </row>
    <row r="983" spans="1:1" ht="21">
      <c r="A983" s="345"/>
    </row>
    <row r="984" spans="1:1" ht="21">
      <c r="A984" s="345"/>
    </row>
    <row r="985" spans="1:1" ht="21">
      <c r="A985" s="345"/>
    </row>
    <row r="986" spans="1:1" ht="21">
      <c r="A986" s="345"/>
    </row>
    <row r="987" spans="1:1" ht="21">
      <c r="A987" s="345"/>
    </row>
    <row r="988" spans="1:1" ht="21">
      <c r="A988" s="345"/>
    </row>
    <row r="989" spans="1:1" ht="21">
      <c r="A989" s="345"/>
    </row>
    <row r="990" spans="1:1" ht="21">
      <c r="A990" s="345"/>
    </row>
    <row r="991" spans="1:1" ht="21">
      <c r="A991" s="345"/>
    </row>
    <row r="992" spans="1:1" ht="21">
      <c r="A992" s="345"/>
    </row>
    <row r="993" spans="1:1" ht="21">
      <c r="A993" s="345"/>
    </row>
    <row r="994" spans="1:1" ht="21">
      <c r="A994" s="345"/>
    </row>
    <row r="995" spans="1:1" ht="21">
      <c r="A995" s="345"/>
    </row>
    <row r="996" spans="1:1" ht="21">
      <c r="A996" s="345"/>
    </row>
    <row r="997" spans="1:1" ht="21">
      <c r="A997" s="345"/>
    </row>
    <row r="998" spans="1:1" ht="21">
      <c r="A998" s="345"/>
    </row>
    <row r="999" spans="1:1" ht="21">
      <c r="A999" s="345"/>
    </row>
    <row r="1000" spans="1:1" ht="21">
      <c r="A1000" s="345"/>
    </row>
    <row r="1001" spans="1:1" ht="21">
      <c r="A1001" s="345"/>
    </row>
    <row r="1002" spans="1:1" ht="21">
      <c r="A1002" s="345"/>
    </row>
    <row r="1003" spans="1:1" ht="21">
      <c r="A1003" s="345"/>
    </row>
    <row r="1004" spans="1:1" ht="21">
      <c r="A1004" s="345"/>
    </row>
    <row r="1005" spans="1:1" ht="21">
      <c r="A1005" s="345"/>
    </row>
    <row r="1006" spans="1:1" ht="21">
      <c r="A1006" s="345"/>
    </row>
    <row r="1007" spans="1:1" ht="21">
      <c r="A1007" s="345"/>
    </row>
    <row r="1008" spans="1:1" ht="21">
      <c r="A1008" s="345"/>
    </row>
    <row r="1009" spans="1:1" ht="21">
      <c r="A1009" s="345"/>
    </row>
    <row r="1010" spans="1:1" ht="21">
      <c r="A1010" s="345"/>
    </row>
    <row r="1011" spans="1:1" ht="21">
      <c r="A1011" s="345"/>
    </row>
    <row r="1012" spans="1:1" ht="21">
      <c r="A1012" s="345"/>
    </row>
    <row r="1013" spans="1:1" ht="21">
      <c r="A1013" s="345"/>
    </row>
    <row r="1014" spans="1:1" ht="21">
      <c r="A1014" s="345"/>
    </row>
    <row r="1015" spans="1:1" ht="21">
      <c r="A1015" s="345"/>
    </row>
    <row r="1016" spans="1:1" ht="21">
      <c r="A1016" s="345"/>
    </row>
    <row r="1017" spans="1:1" ht="21">
      <c r="A1017" s="345"/>
    </row>
    <row r="1018" spans="1:1" ht="21">
      <c r="A1018" s="345"/>
    </row>
    <row r="1019" spans="1:1" ht="21">
      <c r="A1019" s="345"/>
    </row>
    <row r="1020" spans="1:1" ht="21">
      <c r="A1020" s="345"/>
    </row>
    <row r="1021" spans="1:1" ht="21">
      <c r="A1021" s="345"/>
    </row>
    <row r="1022" spans="1:1" ht="21">
      <c r="A1022" s="345"/>
    </row>
    <row r="1023" spans="1:1" ht="21">
      <c r="A1023" s="345"/>
    </row>
    <row r="1024" spans="1:1" ht="21">
      <c r="A1024" s="345"/>
    </row>
    <row r="1025" spans="1:1" ht="21">
      <c r="A1025" s="345"/>
    </row>
    <row r="1026" spans="1:1" ht="21">
      <c r="A1026" s="345"/>
    </row>
    <row r="1027" spans="1:1" ht="21">
      <c r="A1027" s="345"/>
    </row>
    <row r="1028" spans="1:1" ht="21">
      <c r="A1028" s="345"/>
    </row>
    <row r="1029" spans="1:1" ht="21">
      <c r="A1029" s="345"/>
    </row>
    <row r="1030" spans="1:1" ht="21">
      <c r="A1030" s="345"/>
    </row>
    <row r="1031" spans="1:1" ht="21">
      <c r="A1031" s="345"/>
    </row>
    <row r="1032" spans="1:1" ht="21">
      <c r="A1032" s="345"/>
    </row>
    <row r="1033" spans="1:1" ht="21">
      <c r="A1033" s="345"/>
    </row>
    <row r="1034" spans="1:1" ht="21">
      <c r="A1034" s="345"/>
    </row>
    <row r="1035" spans="1:1" ht="21">
      <c r="A1035" s="345"/>
    </row>
    <row r="1036" spans="1:1" ht="21">
      <c r="A1036" s="345"/>
    </row>
    <row r="1037" spans="1:1" ht="21">
      <c r="A1037" s="345"/>
    </row>
    <row r="1038" spans="1:1" ht="21">
      <c r="A1038" s="345"/>
    </row>
    <row r="1039" spans="1:1" ht="21">
      <c r="A1039" s="345"/>
    </row>
    <row r="1040" spans="1:1" ht="21">
      <c r="A1040" s="345"/>
    </row>
    <row r="1041" spans="1:1" ht="21">
      <c r="A1041" s="345"/>
    </row>
    <row r="1042" spans="1:1" ht="21">
      <c r="A1042" s="345"/>
    </row>
    <row r="1043" spans="1:1" ht="21">
      <c r="A1043" s="345"/>
    </row>
    <row r="1044" spans="1:1" ht="21">
      <c r="A1044" s="345"/>
    </row>
    <row r="1045" spans="1:1" ht="21">
      <c r="A1045" s="345"/>
    </row>
    <row r="1046" spans="1:1" ht="21">
      <c r="A1046" s="345"/>
    </row>
    <row r="1047" spans="1:1" ht="21">
      <c r="A1047" s="345"/>
    </row>
    <row r="1048" spans="1:1" ht="21">
      <c r="A1048" s="345"/>
    </row>
    <row r="1049" spans="1:1" ht="21">
      <c r="A1049" s="345"/>
    </row>
    <row r="1050" spans="1:1" ht="21">
      <c r="A1050" s="345"/>
    </row>
    <row r="1051" spans="1:1" ht="21">
      <c r="A1051" s="345"/>
    </row>
    <row r="1052" spans="1:1" ht="21">
      <c r="A1052" s="345"/>
    </row>
    <row r="1053" spans="1:1" ht="21">
      <c r="A1053" s="345"/>
    </row>
    <row r="1054" spans="1:1" ht="21">
      <c r="A1054" s="345"/>
    </row>
    <row r="1055" spans="1:1" ht="21">
      <c r="A1055" s="345"/>
    </row>
    <row r="1056" spans="1:1" ht="21">
      <c r="A1056" s="345"/>
    </row>
    <row r="1057" spans="1:1" ht="21">
      <c r="A1057" s="345"/>
    </row>
    <row r="1058" spans="1:1" ht="21">
      <c r="A1058" s="345"/>
    </row>
    <row r="1059" spans="1:1" ht="21">
      <c r="A1059" s="345"/>
    </row>
    <row r="1060" spans="1:1" ht="21">
      <c r="A1060" s="345"/>
    </row>
    <row r="1061" spans="1:1" ht="21">
      <c r="A1061" s="345"/>
    </row>
    <row r="1062" spans="1:1" ht="21">
      <c r="A1062" s="345"/>
    </row>
    <row r="1063" spans="1:1" ht="21">
      <c r="A1063" s="345"/>
    </row>
    <row r="1064" spans="1:1" ht="21">
      <c r="A1064" s="345"/>
    </row>
    <row r="1065" spans="1:1" ht="21">
      <c r="A1065" s="345"/>
    </row>
    <row r="1066" spans="1:1" ht="21">
      <c r="A1066" s="345"/>
    </row>
    <row r="1067" spans="1:1" ht="21">
      <c r="A1067" s="345"/>
    </row>
    <row r="1068" spans="1:1" ht="21">
      <c r="A1068" s="345"/>
    </row>
    <row r="1069" spans="1:1" ht="21">
      <c r="A1069" s="345"/>
    </row>
    <row r="1070" spans="1:1" ht="21">
      <c r="A1070" s="345"/>
    </row>
    <row r="1071" spans="1:1" ht="21">
      <c r="A1071" s="345"/>
    </row>
    <row r="1072" spans="1:1" ht="21">
      <c r="A1072" s="345"/>
    </row>
    <row r="1073" spans="1:1" ht="21">
      <c r="A1073" s="345"/>
    </row>
    <row r="1074" spans="1:1" ht="21">
      <c r="A1074" s="345"/>
    </row>
    <row r="1075" spans="1:1" ht="21">
      <c r="A1075" s="345"/>
    </row>
    <row r="1076" spans="1:1" ht="21">
      <c r="A1076" s="345"/>
    </row>
    <row r="1077" spans="1:1" ht="21">
      <c r="A1077" s="345"/>
    </row>
    <row r="1078" spans="1:1" ht="21">
      <c r="A1078" s="345"/>
    </row>
    <row r="1079" spans="1:1" ht="21">
      <c r="A1079" s="345"/>
    </row>
    <row r="1080" spans="1:1" ht="21">
      <c r="A1080" s="345"/>
    </row>
    <row r="1081" spans="1:1" ht="21">
      <c r="A1081" s="345"/>
    </row>
    <row r="1082" spans="1:1" ht="21">
      <c r="A1082" s="345"/>
    </row>
    <row r="1083" spans="1:1" ht="21">
      <c r="A1083" s="345"/>
    </row>
    <row r="1084" spans="1:1" ht="21">
      <c r="A1084" s="345"/>
    </row>
    <row r="1085" spans="1:1" ht="21">
      <c r="A1085" s="345"/>
    </row>
    <row r="1086" spans="1:1" ht="21">
      <c r="A1086" s="345"/>
    </row>
    <row r="1087" spans="1:1" ht="21">
      <c r="A1087" s="345"/>
    </row>
    <row r="1088" spans="1:1" ht="21">
      <c r="A1088" s="345"/>
    </row>
    <row r="1089" spans="1:1" ht="21">
      <c r="A1089" s="345"/>
    </row>
    <row r="1090" spans="1:1" ht="21">
      <c r="A1090" s="345"/>
    </row>
    <row r="1091" spans="1:1" ht="21">
      <c r="A1091" s="345"/>
    </row>
    <row r="1092" spans="1:1" ht="21">
      <c r="A1092" s="345"/>
    </row>
    <row r="1093" spans="1:1" ht="21">
      <c r="A1093" s="345"/>
    </row>
    <row r="1094" spans="1:1" ht="21">
      <c r="A1094" s="345"/>
    </row>
    <row r="1095" spans="1:1" ht="21">
      <c r="A1095" s="345"/>
    </row>
    <row r="1096" spans="1:1" ht="21">
      <c r="A1096" s="345"/>
    </row>
    <row r="1097" spans="1:1" ht="21">
      <c r="A1097" s="345"/>
    </row>
    <row r="1098" spans="1:1" ht="21">
      <c r="A1098" s="345"/>
    </row>
    <row r="1099" spans="1:1" ht="21">
      <c r="A1099" s="345"/>
    </row>
    <row r="1100" spans="1:1" ht="21">
      <c r="A1100" s="345"/>
    </row>
    <row r="1101" spans="1:1" ht="21">
      <c r="A1101" s="345"/>
    </row>
    <row r="1102" spans="1:1" ht="21">
      <c r="A1102" s="345"/>
    </row>
    <row r="1103" spans="1:1" ht="21">
      <c r="A1103" s="345"/>
    </row>
    <row r="1104" spans="1:1" ht="21">
      <c r="A1104" s="345"/>
    </row>
    <row r="1105" spans="1:1" ht="21">
      <c r="A1105" s="345"/>
    </row>
    <row r="1106" spans="1:1" ht="21">
      <c r="A1106" s="345"/>
    </row>
    <row r="1107" spans="1:1" ht="21">
      <c r="A1107" s="345"/>
    </row>
    <row r="1108" spans="1:1" ht="21">
      <c r="A1108" s="345"/>
    </row>
    <row r="1109" spans="1:1" ht="21">
      <c r="A1109" s="345"/>
    </row>
    <row r="1110" spans="1:1" ht="21">
      <c r="A1110" s="345"/>
    </row>
    <row r="1111" spans="1:1" ht="21">
      <c r="A1111" s="345"/>
    </row>
    <row r="1112" spans="1:1" ht="21">
      <c r="A1112" s="345"/>
    </row>
    <row r="1113" spans="1:1" ht="21">
      <c r="A1113" s="345"/>
    </row>
    <row r="1114" spans="1:1" ht="21">
      <c r="A1114" s="345"/>
    </row>
    <row r="1115" spans="1:1" ht="21">
      <c r="A1115" s="345"/>
    </row>
    <row r="1116" spans="1:1" ht="21">
      <c r="A1116" s="345"/>
    </row>
    <row r="1117" spans="1:1" ht="21">
      <c r="A1117" s="345"/>
    </row>
    <row r="1118" spans="1:1" ht="21">
      <c r="A1118" s="345"/>
    </row>
    <row r="1119" spans="1:1" ht="21">
      <c r="A1119" s="345"/>
    </row>
    <row r="1120" spans="1:1" ht="21">
      <c r="A1120" s="345"/>
    </row>
    <row r="1121" spans="1:1" ht="21">
      <c r="A1121" s="345"/>
    </row>
    <row r="1122" spans="1:1" ht="21">
      <c r="A1122" s="345"/>
    </row>
    <row r="1123" spans="1:1" ht="21">
      <c r="A1123" s="345"/>
    </row>
    <row r="1124" spans="1:1" ht="21">
      <c r="A1124" s="345"/>
    </row>
    <row r="1125" spans="1:1" ht="21">
      <c r="A1125" s="345"/>
    </row>
    <row r="1126" spans="1:1" ht="21">
      <c r="A1126" s="345"/>
    </row>
    <row r="1127" spans="1:1" ht="21">
      <c r="A1127" s="345"/>
    </row>
    <row r="1128" spans="1:1" ht="21">
      <c r="A1128" s="345"/>
    </row>
    <row r="1129" spans="1:1" ht="21">
      <c r="A1129" s="345"/>
    </row>
    <row r="1130" spans="1:1" ht="21">
      <c r="A1130" s="345"/>
    </row>
    <row r="1131" spans="1:1" ht="21">
      <c r="A1131" s="345"/>
    </row>
    <row r="1132" spans="1:1" ht="21">
      <c r="A1132" s="345"/>
    </row>
    <row r="1133" spans="1:1" ht="21">
      <c r="A1133" s="345"/>
    </row>
    <row r="1134" spans="1:1" ht="21">
      <c r="A1134" s="345"/>
    </row>
    <row r="1135" spans="1:1" ht="21">
      <c r="A1135" s="345"/>
    </row>
    <row r="1136" spans="1:1" ht="21">
      <c r="A1136" s="345"/>
    </row>
    <row r="1137" spans="1:1" ht="21">
      <c r="A1137" s="345"/>
    </row>
    <row r="1138" spans="1:1" ht="21">
      <c r="A1138" s="345"/>
    </row>
    <row r="1139" spans="1:1" ht="21">
      <c r="A1139" s="345"/>
    </row>
    <row r="1140" spans="1:1" ht="21">
      <c r="A1140" s="345"/>
    </row>
    <row r="1141" spans="1:1" ht="21">
      <c r="A1141" s="345"/>
    </row>
    <row r="1142" spans="1:1" ht="21">
      <c r="A1142" s="345"/>
    </row>
    <row r="1143" spans="1:1" ht="21">
      <c r="A1143" s="345"/>
    </row>
    <row r="1144" spans="1:1" ht="21">
      <c r="A1144" s="345"/>
    </row>
    <row r="1145" spans="1:1" ht="21">
      <c r="A1145" s="345"/>
    </row>
    <row r="1146" spans="1:1" ht="21">
      <c r="A1146" s="345"/>
    </row>
    <row r="1147" spans="1:1" ht="21">
      <c r="A1147" s="345"/>
    </row>
    <row r="1148" spans="1:1" ht="21">
      <c r="A1148" s="345"/>
    </row>
    <row r="1149" spans="1:1" ht="21">
      <c r="A1149" s="345"/>
    </row>
    <row r="1150" spans="1:1" ht="21">
      <c r="A1150" s="345"/>
    </row>
    <row r="1151" spans="1:1" ht="21">
      <c r="A1151" s="345"/>
    </row>
    <row r="1152" spans="1:1" ht="21">
      <c r="A1152" s="345"/>
    </row>
    <row r="1153" spans="1:1" ht="21">
      <c r="A1153" s="345"/>
    </row>
    <row r="1154" spans="1:1" ht="21">
      <c r="A1154" s="345"/>
    </row>
    <row r="1155" spans="1:1" ht="21">
      <c r="A1155" s="345"/>
    </row>
    <row r="1156" spans="1:1" ht="21">
      <c r="A1156" s="345"/>
    </row>
    <row r="1157" spans="1:1" ht="21">
      <c r="A1157" s="345"/>
    </row>
    <row r="1158" spans="1:1" ht="21">
      <c r="A1158" s="345"/>
    </row>
    <row r="1159" spans="1:1" ht="21">
      <c r="A1159" s="345"/>
    </row>
    <row r="1160" spans="1:1" ht="21">
      <c r="A1160" s="345"/>
    </row>
    <row r="1161" spans="1:1" ht="21">
      <c r="A1161" s="345"/>
    </row>
    <row r="1162" spans="1:1" ht="21">
      <c r="A1162" s="345"/>
    </row>
    <row r="1163" spans="1:1" ht="21">
      <c r="A1163" s="345"/>
    </row>
    <row r="1164" spans="1:1" ht="21">
      <c r="A1164" s="345"/>
    </row>
    <row r="1165" spans="1:1" ht="21">
      <c r="A1165" s="345"/>
    </row>
    <row r="1166" spans="1:1" ht="21">
      <c r="A1166" s="345"/>
    </row>
    <row r="1167" spans="1:1" ht="21">
      <c r="A1167" s="345"/>
    </row>
    <row r="1168" spans="1:1" ht="21">
      <c r="A1168" s="345"/>
    </row>
    <row r="1169" spans="1:1" ht="21">
      <c r="A1169" s="345"/>
    </row>
    <row r="1170" spans="1:1" ht="21">
      <c r="A1170" s="345"/>
    </row>
    <row r="1171" spans="1:1" ht="21">
      <c r="A1171" s="345"/>
    </row>
    <row r="1172" spans="1:1" ht="21">
      <c r="A1172" s="345"/>
    </row>
    <row r="1173" spans="1:1" ht="21">
      <c r="A1173" s="345"/>
    </row>
    <row r="1174" spans="1:1" ht="21">
      <c r="A1174" s="345"/>
    </row>
    <row r="1175" spans="1:1" ht="21">
      <c r="A1175" s="345"/>
    </row>
    <row r="1176" spans="1:1" ht="21">
      <c r="A1176" s="345"/>
    </row>
    <row r="1177" spans="1:1" ht="21">
      <c r="A1177" s="345"/>
    </row>
    <row r="1178" spans="1:1" ht="21">
      <c r="A1178" s="345"/>
    </row>
    <row r="1179" spans="1:1" ht="21">
      <c r="A1179" s="345"/>
    </row>
    <row r="1180" spans="1:1" ht="21">
      <c r="A1180" s="345"/>
    </row>
    <row r="1181" spans="1:1" ht="21">
      <c r="A1181" s="345"/>
    </row>
    <row r="1182" spans="1:1" ht="21">
      <c r="A1182" s="345"/>
    </row>
    <row r="1183" spans="1:1" ht="21">
      <c r="A1183" s="345"/>
    </row>
    <row r="1184" spans="1:1" ht="21">
      <c r="A1184" s="345"/>
    </row>
    <row r="1185" spans="1:1" ht="21">
      <c r="A1185" s="345"/>
    </row>
    <row r="1186" spans="1:1" ht="21">
      <c r="A1186" s="345"/>
    </row>
    <row r="1187" spans="1:1" ht="21">
      <c r="A1187" s="345"/>
    </row>
    <row r="1188" spans="1:1" ht="21">
      <c r="A1188" s="345"/>
    </row>
    <row r="1189" spans="1:1" ht="21">
      <c r="A1189" s="345"/>
    </row>
    <row r="1190" spans="1:1" ht="21">
      <c r="A1190" s="345"/>
    </row>
    <row r="1191" spans="1:1" ht="21">
      <c r="A1191" s="345"/>
    </row>
    <row r="1192" spans="1:1" ht="21">
      <c r="A1192" s="345"/>
    </row>
    <row r="1193" spans="1:1" ht="21">
      <c r="A1193" s="345"/>
    </row>
    <row r="1194" spans="1:1" ht="21">
      <c r="A1194" s="345"/>
    </row>
    <row r="1195" spans="1:1" ht="21">
      <c r="A1195" s="345"/>
    </row>
    <row r="1196" spans="1:1" ht="21">
      <c r="A1196" s="345"/>
    </row>
    <row r="1197" spans="1:1" ht="21">
      <c r="A1197" s="345"/>
    </row>
    <row r="1198" spans="1:1" ht="21">
      <c r="A1198" s="345"/>
    </row>
    <row r="1199" spans="1:1" ht="21">
      <c r="A1199" s="345"/>
    </row>
    <row r="1200" spans="1:1" ht="21">
      <c r="A1200" s="345"/>
    </row>
    <row r="1201" spans="1:1" ht="21">
      <c r="A1201" s="345"/>
    </row>
    <row r="1202" spans="1:1" ht="21">
      <c r="A1202" s="345"/>
    </row>
    <row r="1203" spans="1:1" ht="21">
      <c r="A1203" s="345"/>
    </row>
    <row r="1204" spans="1:1" ht="21">
      <c r="A1204" s="345"/>
    </row>
    <row r="1205" spans="1:1" ht="21">
      <c r="A1205" s="345"/>
    </row>
    <row r="1206" spans="1:1" ht="21">
      <c r="A1206" s="345"/>
    </row>
    <row r="1207" spans="1:1" ht="21">
      <c r="A1207" s="345"/>
    </row>
    <row r="1208" spans="1:1" ht="21">
      <c r="A1208" s="345"/>
    </row>
    <row r="1209" spans="1:1" ht="21">
      <c r="A1209" s="345"/>
    </row>
    <row r="1210" spans="1:1" ht="21">
      <c r="A1210" s="345"/>
    </row>
    <row r="1211" spans="1:1" ht="21">
      <c r="A1211" s="345"/>
    </row>
    <row r="1212" spans="1:1" ht="21">
      <c r="A1212" s="345"/>
    </row>
    <row r="1213" spans="1:1" ht="21">
      <c r="A1213" s="345"/>
    </row>
    <row r="1214" spans="1:1" ht="21">
      <c r="A1214" s="345"/>
    </row>
    <row r="1215" spans="1:1" ht="21">
      <c r="A1215" s="345"/>
    </row>
    <row r="1216" spans="1:1" ht="21">
      <c r="A1216" s="345"/>
    </row>
    <row r="1217" spans="1:1" ht="21">
      <c r="A1217" s="345"/>
    </row>
    <row r="1218" spans="1:1" ht="21">
      <c r="A1218" s="345"/>
    </row>
    <row r="1219" spans="1:1" ht="21">
      <c r="A1219" s="345"/>
    </row>
    <row r="1220" spans="1:1" ht="21">
      <c r="A1220" s="345"/>
    </row>
    <row r="1221" spans="1:1" ht="21">
      <c r="A1221" s="345"/>
    </row>
    <row r="1222" spans="1:1" ht="21">
      <c r="A1222" s="345"/>
    </row>
    <row r="1223" spans="1:1" ht="21">
      <c r="A1223" s="345"/>
    </row>
    <row r="1224" spans="1:1" ht="21">
      <c r="A1224" s="345"/>
    </row>
    <row r="1225" spans="1:1" ht="21">
      <c r="A1225" s="345"/>
    </row>
    <row r="1226" spans="1:1" ht="21">
      <c r="A1226" s="345"/>
    </row>
    <row r="1227" spans="1:1" ht="21">
      <c r="A1227" s="345"/>
    </row>
    <row r="1228" spans="1:1" ht="21">
      <c r="A1228" s="345"/>
    </row>
    <row r="1229" spans="1:1" ht="21">
      <c r="A1229" s="345"/>
    </row>
    <row r="1230" spans="1:1" ht="21">
      <c r="A1230" s="345"/>
    </row>
    <row r="1231" spans="1:1" ht="21">
      <c r="A1231" s="345"/>
    </row>
    <row r="1232" spans="1:1" ht="21">
      <c r="A1232" s="345"/>
    </row>
    <row r="1233" spans="1:1" ht="21">
      <c r="A1233" s="345"/>
    </row>
    <row r="1234" spans="1:1" ht="21">
      <c r="A1234" s="345"/>
    </row>
    <row r="1235" spans="1:1" ht="21">
      <c r="A1235" s="345"/>
    </row>
    <row r="1236" spans="1:1" ht="21">
      <c r="A1236" s="345"/>
    </row>
    <row r="1237" spans="1:1" ht="21">
      <c r="A1237" s="345"/>
    </row>
    <row r="1238" spans="1:1" ht="21">
      <c r="A1238" s="345"/>
    </row>
    <row r="1239" spans="1:1" ht="21">
      <c r="A1239" s="345"/>
    </row>
    <row r="1240" spans="1:1" ht="21">
      <c r="A1240" s="345"/>
    </row>
    <row r="1241" spans="1:1" ht="21">
      <c r="A1241" s="345"/>
    </row>
    <row r="1242" spans="1:1" ht="21">
      <c r="A1242" s="345"/>
    </row>
    <row r="1243" spans="1:1" ht="21">
      <c r="A1243" s="345"/>
    </row>
    <row r="1244" spans="1:1" ht="21">
      <c r="A1244" s="345"/>
    </row>
    <row r="1245" spans="1:1" ht="21">
      <c r="A1245" s="345"/>
    </row>
    <row r="1246" spans="1:1" ht="21">
      <c r="A1246" s="345"/>
    </row>
    <row r="1247" spans="1:1" ht="21">
      <c r="A1247" s="345"/>
    </row>
    <row r="1248" spans="1:1" ht="21">
      <c r="A1248" s="345"/>
    </row>
    <row r="1249" spans="1:1" ht="21">
      <c r="A1249" s="345"/>
    </row>
    <row r="1250" spans="1:1" ht="21">
      <c r="A1250" s="345"/>
    </row>
    <row r="1251" spans="1:1" ht="21">
      <c r="A1251" s="345"/>
    </row>
    <row r="1252" spans="1:1" ht="21">
      <c r="A1252" s="345"/>
    </row>
    <row r="1253" spans="1:1" ht="21">
      <c r="A1253" s="345"/>
    </row>
    <row r="1254" spans="1:1" ht="21">
      <c r="A1254" s="345"/>
    </row>
    <row r="1255" spans="1:1" ht="21">
      <c r="A1255" s="345"/>
    </row>
    <row r="1256" spans="1:1" ht="21">
      <c r="A1256" s="345"/>
    </row>
    <row r="1257" spans="1:1" ht="21">
      <c r="A1257" s="345"/>
    </row>
    <row r="1258" spans="1:1" ht="21">
      <c r="A1258" s="345"/>
    </row>
    <row r="1259" spans="1:1" ht="21">
      <c r="A1259" s="345"/>
    </row>
    <row r="1260" spans="1:1" ht="21">
      <c r="A1260" s="345"/>
    </row>
    <row r="1261" spans="1:1" ht="21">
      <c r="A1261" s="345"/>
    </row>
    <row r="1262" spans="1:1" ht="21">
      <c r="A1262" s="345"/>
    </row>
    <row r="1263" spans="1:1" ht="21">
      <c r="A1263" s="345"/>
    </row>
    <row r="1264" spans="1:1" ht="21">
      <c r="A1264" s="345"/>
    </row>
    <row r="1265" spans="1:1" ht="21">
      <c r="A1265" s="345"/>
    </row>
    <row r="1266" spans="1:1" ht="21">
      <c r="A1266" s="345"/>
    </row>
    <row r="1267" spans="1:1" ht="21">
      <c r="A1267" s="345"/>
    </row>
    <row r="1268" spans="1:1" ht="21">
      <c r="A1268" s="345"/>
    </row>
    <row r="1269" spans="1:1" ht="21">
      <c r="A1269" s="345"/>
    </row>
    <row r="1270" spans="1:1" ht="21">
      <c r="A1270" s="345"/>
    </row>
    <row r="1271" spans="1:1" ht="21">
      <c r="A1271" s="345"/>
    </row>
    <row r="1272" spans="1:1" ht="21">
      <c r="A1272" s="345"/>
    </row>
    <row r="1273" spans="1:1" ht="21">
      <c r="A1273" s="345"/>
    </row>
    <row r="1274" spans="1:1" ht="21">
      <c r="A1274" s="345"/>
    </row>
    <row r="1275" spans="1:1" ht="21">
      <c r="A1275" s="345"/>
    </row>
    <row r="1276" spans="1:1" ht="21">
      <c r="A1276" s="345"/>
    </row>
    <row r="1277" spans="1:1" ht="21">
      <c r="A1277" s="345"/>
    </row>
    <row r="1278" spans="1:1" ht="21">
      <c r="A1278" s="345"/>
    </row>
    <row r="1279" spans="1:1" ht="21">
      <c r="A1279" s="345"/>
    </row>
    <row r="1280" spans="1:1" ht="21">
      <c r="A1280" s="345"/>
    </row>
    <row r="1281" spans="1:1" ht="21">
      <c r="A1281" s="345"/>
    </row>
    <row r="1282" spans="1:1" ht="21">
      <c r="A1282" s="345"/>
    </row>
    <row r="1283" spans="1:1" ht="21">
      <c r="A1283" s="345"/>
    </row>
    <row r="1284" spans="1:1" ht="21">
      <c r="A1284" s="345"/>
    </row>
    <row r="1285" spans="1:1" ht="21">
      <c r="A1285" s="345"/>
    </row>
    <row r="1286" spans="1:1" ht="21">
      <c r="A1286" s="345"/>
    </row>
    <row r="1287" spans="1:1" ht="21">
      <c r="A1287" s="345"/>
    </row>
    <row r="1288" spans="1:1" ht="21">
      <c r="A1288" s="345"/>
    </row>
    <row r="1289" spans="1:1" ht="21">
      <c r="A1289" s="345"/>
    </row>
    <row r="1290" spans="1:1" ht="21">
      <c r="A1290" s="345"/>
    </row>
    <row r="1291" spans="1:1" ht="21">
      <c r="A1291" s="345"/>
    </row>
    <row r="1292" spans="1:1" ht="21">
      <c r="A1292" s="345"/>
    </row>
    <row r="1293" spans="1:1" ht="21">
      <c r="A1293" s="345"/>
    </row>
    <row r="1294" spans="1:1" ht="21">
      <c r="A1294" s="345"/>
    </row>
    <row r="1295" spans="1:1" ht="21">
      <c r="A1295" s="345"/>
    </row>
    <row r="1296" spans="1:1" ht="21">
      <c r="A1296" s="345"/>
    </row>
    <row r="1297" spans="1:1" ht="21">
      <c r="A1297" s="345"/>
    </row>
    <row r="1298" spans="1:1" ht="21">
      <c r="A1298" s="345"/>
    </row>
    <row r="1299" spans="1:1" ht="21">
      <c r="A1299" s="345"/>
    </row>
    <row r="1300" spans="1:1" ht="21">
      <c r="A1300" s="345"/>
    </row>
    <row r="1301" spans="1:1" ht="21">
      <c r="A1301" s="345"/>
    </row>
    <row r="1302" spans="1:1" ht="21">
      <c r="A1302" s="345"/>
    </row>
    <row r="1303" spans="1:1" ht="21">
      <c r="A1303" s="345"/>
    </row>
    <row r="1304" spans="1:1" ht="21">
      <c r="A1304" s="345"/>
    </row>
    <row r="1305" spans="1:1" ht="21">
      <c r="A1305" s="345"/>
    </row>
    <row r="1306" spans="1:1" ht="21">
      <c r="A1306" s="345"/>
    </row>
    <row r="1307" spans="1:1" ht="21">
      <c r="A1307" s="345"/>
    </row>
    <row r="1308" spans="1:1" ht="21">
      <c r="A1308" s="345"/>
    </row>
    <row r="1309" spans="1:1" ht="21">
      <c r="A1309" s="345"/>
    </row>
    <row r="1310" spans="1:1" ht="21">
      <c r="A1310" s="345"/>
    </row>
    <row r="1311" spans="1:1" ht="21">
      <c r="A1311" s="345"/>
    </row>
    <row r="1312" spans="1:1" ht="21">
      <c r="A1312" s="345"/>
    </row>
    <row r="1313" spans="1:1" ht="21">
      <c r="A1313" s="345"/>
    </row>
    <row r="1314" spans="1:1" ht="21">
      <c r="A1314" s="345"/>
    </row>
    <row r="1315" spans="1:1" ht="21">
      <c r="A1315" s="345"/>
    </row>
    <row r="1316" spans="1:1" ht="21">
      <c r="A1316" s="345"/>
    </row>
    <row r="1317" spans="1:1" ht="21">
      <c r="A1317" s="345"/>
    </row>
    <row r="1318" spans="1:1" ht="21">
      <c r="A1318" s="345"/>
    </row>
    <row r="1319" spans="1:1" ht="21">
      <c r="A1319" s="345"/>
    </row>
    <row r="1320" spans="1:1" ht="21">
      <c r="A1320" s="345"/>
    </row>
    <row r="1321" spans="1:1" ht="21">
      <c r="A1321" s="345"/>
    </row>
    <row r="1322" spans="1:1" ht="21">
      <c r="A1322" s="345"/>
    </row>
    <row r="1323" spans="1:1" ht="21">
      <c r="A1323" s="345"/>
    </row>
    <row r="1324" spans="1:1" ht="21">
      <c r="A1324" s="345"/>
    </row>
    <row r="1325" spans="1:1" ht="21">
      <c r="A1325" s="345"/>
    </row>
    <row r="1326" spans="1:1" ht="21">
      <c r="A1326" s="345"/>
    </row>
    <row r="1327" spans="1:1" ht="21">
      <c r="A1327" s="345"/>
    </row>
    <row r="1328" spans="1:1" ht="21">
      <c r="A1328" s="345"/>
    </row>
    <row r="1329" spans="1:1" ht="21">
      <c r="A1329" s="345"/>
    </row>
    <row r="1330" spans="1:1" ht="21">
      <c r="A1330" s="345"/>
    </row>
    <row r="1331" spans="1:1" ht="21">
      <c r="A1331" s="345"/>
    </row>
    <row r="1332" spans="1:1" ht="21">
      <c r="A1332" s="345"/>
    </row>
    <row r="1333" spans="1:1" ht="21">
      <c r="A1333" s="345"/>
    </row>
    <row r="1334" spans="1:1" ht="21">
      <c r="A1334" s="345"/>
    </row>
    <row r="1335" spans="1:1" ht="21">
      <c r="A1335" s="345"/>
    </row>
    <row r="1336" spans="1:1" ht="21">
      <c r="A1336" s="345"/>
    </row>
    <row r="1337" spans="1:1" ht="21">
      <c r="A1337" s="345"/>
    </row>
    <row r="1338" spans="1:1" ht="21">
      <c r="A1338" s="345"/>
    </row>
    <row r="1339" spans="1:1" ht="21">
      <c r="A1339" s="345"/>
    </row>
    <row r="1340" spans="1:1" ht="21">
      <c r="A1340" s="345"/>
    </row>
    <row r="1341" spans="1:1" ht="21">
      <c r="A1341" s="345"/>
    </row>
    <row r="1342" spans="1:1" ht="21">
      <c r="A1342" s="345"/>
    </row>
    <row r="1343" spans="1:1" ht="21">
      <c r="A1343" s="345"/>
    </row>
    <row r="1344" spans="1:1" ht="21">
      <c r="A1344" s="345"/>
    </row>
    <row r="1345" spans="1:1" ht="21">
      <c r="A1345" s="345"/>
    </row>
    <row r="1346" spans="1:1" ht="21">
      <c r="A1346" s="345"/>
    </row>
    <row r="1347" spans="1:1" ht="21">
      <c r="A1347" s="345"/>
    </row>
    <row r="1348" spans="1:1" ht="21">
      <c r="A1348" s="345"/>
    </row>
    <row r="1349" spans="1:1" ht="21">
      <c r="A1349" s="345"/>
    </row>
    <row r="1350" spans="1:1" ht="21">
      <c r="A1350" s="345"/>
    </row>
    <row r="1351" spans="1:1" ht="21">
      <c r="A1351" s="345"/>
    </row>
    <row r="1352" spans="1:1" ht="21">
      <c r="A1352" s="345"/>
    </row>
    <row r="1353" spans="1:1" ht="21">
      <c r="A1353" s="345"/>
    </row>
    <row r="1354" spans="1:1" ht="21">
      <c r="A1354" s="345"/>
    </row>
    <row r="1355" spans="1:1" ht="21">
      <c r="A1355" s="345"/>
    </row>
    <row r="1356" spans="1:1" ht="21">
      <c r="A1356" s="345"/>
    </row>
    <row r="1357" spans="1:1" ht="21">
      <c r="A1357" s="345"/>
    </row>
    <row r="1358" spans="1:1" ht="21">
      <c r="A1358" s="345"/>
    </row>
    <row r="1359" spans="1:1" ht="21">
      <c r="A1359" s="345"/>
    </row>
    <row r="1360" spans="1:1" ht="21">
      <c r="A1360" s="345"/>
    </row>
    <row r="1361" spans="1:1" ht="21">
      <c r="A1361" s="345"/>
    </row>
    <row r="1362" spans="1:1" ht="21">
      <c r="A1362" s="345"/>
    </row>
    <row r="1363" spans="1:1" ht="21">
      <c r="A1363" s="345"/>
    </row>
    <row r="1364" spans="1:1" ht="21">
      <c r="A1364" s="345"/>
    </row>
    <row r="1365" spans="1:1" ht="21">
      <c r="A1365" s="345"/>
    </row>
    <row r="1366" spans="1:1" ht="21">
      <c r="A1366" s="345"/>
    </row>
    <row r="1367" spans="1:1" ht="21">
      <c r="A1367" s="345"/>
    </row>
    <row r="1368" spans="1:1" ht="21">
      <c r="A1368" s="345"/>
    </row>
    <row r="1369" spans="1:1" ht="21">
      <c r="A1369" s="345"/>
    </row>
    <row r="1370" spans="1:1" ht="21">
      <c r="A1370" s="345"/>
    </row>
    <row r="1371" spans="1:1" ht="21">
      <c r="A1371" s="345"/>
    </row>
    <row r="1372" spans="1:1" ht="21">
      <c r="A1372" s="345"/>
    </row>
    <row r="1373" spans="1:1" ht="21">
      <c r="A1373" s="345"/>
    </row>
    <row r="1374" spans="1:1" ht="21">
      <c r="A1374" s="345"/>
    </row>
    <row r="1375" spans="1:1" ht="21">
      <c r="A1375" s="345"/>
    </row>
    <row r="1376" spans="1:1" ht="21">
      <c r="A1376" s="345"/>
    </row>
    <row r="1377" spans="1:1" ht="21">
      <c r="A1377" s="345"/>
    </row>
    <row r="1378" spans="1:1" ht="21">
      <c r="A1378" s="345"/>
    </row>
    <row r="1379" spans="1:1" ht="21">
      <c r="A1379" s="345"/>
    </row>
    <row r="1380" spans="1:1" ht="21">
      <c r="A1380" s="345"/>
    </row>
    <row r="1381" spans="1:1" ht="21">
      <c r="A1381" s="345"/>
    </row>
    <row r="1382" spans="1:1" ht="21">
      <c r="A1382" s="345"/>
    </row>
    <row r="1383" spans="1:1" ht="21">
      <c r="A1383" s="345"/>
    </row>
    <row r="1384" spans="1:1" ht="21">
      <c r="A1384" s="345"/>
    </row>
    <row r="1385" spans="1:1" ht="21">
      <c r="A1385" s="345"/>
    </row>
    <row r="1386" spans="1:1" ht="21">
      <c r="A1386" s="345"/>
    </row>
    <row r="1387" spans="1:1" ht="21">
      <c r="A1387" s="345"/>
    </row>
    <row r="1388" spans="1:1" ht="21">
      <c r="A1388" s="345"/>
    </row>
    <row r="1389" spans="1:1" ht="21">
      <c r="A1389" s="345"/>
    </row>
    <row r="1390" spans="1:1" ht="21">
      <c r="A1390" s="345"/>
    </row>
    <row r="1391" spans="1:1" ht="21">
      <c r="A1391" s="345"/>
    </row>
    <row r="1392" spans="1:1" ht="21">
      <c r="A1392" s="345"/>
    </row>
    <row r="1393" spans="1:1" ht="21">
      <c r="A1393" s="345"/>
    </row>
    <row r="1394" spans="1:1" ht="21">
      <c r="A1394" s="345"/>
    </row>
    <row r="1395" spans="1:1" ht="21">
      <c r="A1395" s="345"/>
    </row>
    <row r="1396" spans="1:1" ht="21">
      <c r="A1396" s="345"/>
    </row>
    <row r="1397" spans="1:1" ht="21">
      <c r="A1397" s="345"/>
    </row>
    <row r="1398" spans="1:1" ht="21">
      <c r="A1398" s="345"/>
    </row>
    <row r="1399" spans="1:1" ht="21">
      <c r="A1399" s="345"/>
    </row>
    <row r="1400" spans="1:1" ht="21">
      <c r="A1400" s="345"/>
    </row>
    <row r="1401" spans="1:1" ht="21">
      <c r="A1401" s="345"/>
    </row>
    <row r="1402" spans="1:1" ht="21">
      <c r="A1402" s="345"/>
    </row>
    <row r="1403" spans="1:1" ht="21">
      <c r="A1403" s="345"/>
    </row>
    <row r="1404" spans="1:1" ht="21">
      <c r="A1404" s="345"/>
    </row>
    <row r="1405" spans="1:1" ht="21">
      <c r="A1405" s="345"/>
    </row>
    <row r="1406" spans="1:1" ht="21">
      <c r="A1406" s="345"/>
    </row>
    <row r="1407" spans="1:1" ht="21">
      <c r="A1407" s="345"/>
    </row>
    <row r="1408" spans="1:1" ht="21">
      <c r="A1408" s="345"/>
    </row>
    <row r="1409" spans="1:1" ht="21">
      <c r="A1409" s="345"/>
    </row>
    <row r="1410" spans="1:1" ht="21">
      <c r="A1410" s="345"/>
    </row>
    <row r="1411" spans="1:1" ht="21">
      <c r="A1411" s="345"/>
    </row>
    <row r="1412" spans="1:1" ht="21">
      <c r="A1412" s="345"/>
    </row>
    <row r="1413" spans="1:1" ht="21">
      <c r="A1413" s="345"/>
    </row>
    <row r="1414" spans="1:1" ht="21">
      <c r="A1414" s="345"/>
    </row>
    <row r="1415" spans="1:1" ht="21">
      <c r="A1415" s="345"/>
    </row>
    <row r="1416" spans="1:1" ht="21">
      <c r="A1416" s="345"/>
    </row>
    <row r="1417" spans="1:1" ht="21">
      <c r="A1417" s="345"/>
    </row>
    <row r="1418" spans="1:1" ht="21">
      <c r="A1418" s="345"/>
    </row>
    <row r="1419" spans="1:1" ht="21">
      <c r="A1419" s="345"/>
    </row>
    <row r="1420" spans="1:1" ht="21">
      <c r="A1420" s="345"/>
    </row>
    <row r="1421" spans="1:1" ht="21">
      <c r="A1421" s="345"/>
    </row>
    <row r="1422" spans="1:1" ht="21">
      <c r="A1422" s="345"/>
    </row>
    <row r="1423" spans="1:1" ht="21">
      <c r="A1423" s="345"/>
    </row>
    <row r="1424" spans="1:1" ht="21">
      <c r="A1424" s="345"/>
    </row>
    <row r="1425" spans="1:1" ht="21">
      <c r="A1425" s="345"/>
    </row>
    <row r="1426" spans="1:1" ht="21">
      <c r="A1426" s="345"/>
    </row>
    <row r="1427" spans="1:1" ht="21">
      <c r="A1427" s="345"/>
    </row>
    <row r="1428" spans="1:1" ht="21">
      <c r="A1428" s="345"/>
    </row>
    <row r="1429" spans="1:1" ht="21">
      <c r="A1429" s="345"/>
    </row>
    <row r="1430" spans="1:1" ht="21">
      <c r="A1430" s="345"/>
    </row>
    <row r="1431" spans="1:1" ht="21">
      <c r="A1431" s="345"/>
    </row>
    <row r="1432" spans="1:1" ht="21">
      <c r="A1432" s="345"/>
    </row>
    <row r="1433" spans="1:1" ht="21">
      <c r="A1433" s="345"/>
    </row>
    <row r="1434" spans="1:1" ht="21">
      <c r="A1434" s="345"/>
    </row>
    <row r="1435" spans="1:1" ht="21">
      <c r="A1435" s="345"/>
    </row>
    <row r="1436" spans="1:1" ht="21">
      <c r="A1436" s="345"/>
    </row>
    <row r="1437" spans="1:1" ht="21">
      <c r="A1437" s="345"/>
    </row>
    <row r="1438" spans="1:1" ht="21">
      <c r="A1438" s="345"/>
    </row>
    <row r="1439" spans="1:1" ht="21">
      <c r="A1439" s="345"/>
    </row>
    <row r="1440" spans="1:1" ht="21">
      <c r="A1440" s="345"/>
    </row>
    <row r="1441" spans="1:1" ht="21">
      <c r="A1441" s="345"/>
    </row>
    <row r="1442" spans="1:1" ht="21">
      <c r="A1442" s="345"/>
    </row>
    <row r="1443" spans="1:1" ht="21">
      <c r="A1443" s="345"/>
    </row>
    <row r="1444" spans="1:1" ht="21">
      <c r="A1444" s="345"/>
    </row>
    <row r="1445" spans="1:1" ht="21">
      <c r="A1445" s="345"/>
    </row>
    <row r="1446" spans="1:1" ht="21">
      <c r="A1446" s="345"/>
    </row>
    <row r="1447" spans="1:1" ht="21">
      <c r="A1447" s="345"/>
    </row>
    <row r="1448" spans="1:1" ht="21">
      <c r="A1448" s="345"/>
    </row>
    <row r="1449" spans="1:1" ht="21">
      <c r="A1449" s="345"/>
    </row>
    <row r="1450" spans="1:1" ht="21">
      <c r="A1450" s="345"/>
    </row>
    <row r="1451" spans="1:1" ht="21">
      <c r="A1451" s="345"/>
    </row>
    <row r="1452" spans="1:1" ht="21">
      <c r="A1452" s="345"/>
    </row>
    <row r="1453" spans="1:1" ht="21">
      <c r="A1453" s="345"/>
    </row>
    <row r="1454" spans="1:1" ht="21">
      <c r="A1454" s="345"/>
    </row>
    <row r="1455" spans="1:1" ht="21">
      <c r="A1455" s="345"/>
    </row>
    <row r="1456" spans="1:1" ht="21">
      <c r="A1456" s="345"/>
    </row>
    <row r="1457" spans="1:1" ht="21">
      <c r="A1457" s="345"/>
    </row>
    <row r="1458" spans="1:1" ht="21">
      <c r="A1458" s="345"/>
    </row>
    <row r="1459" spans="1:1" ht="21">
      <c r="A1459" s="345"/>
    </row>
    <row r="1460" spans="1:1" ht="21">
      <c r="A1460" s="345"/>
    </row>
    <row r="1461" spans="1:1" ht="21">
      <c r="A1461" s="345"/>
    </row>
    <row r="1462" spans="1:1" ht="21">
      <c r="A1462" s="345"/>
    </row>
    <row r="1463" spans="1:1" ht="21">
      <c r="A1463" s="345"/>
    </row>
    <row r="1464" spans="1:1" ht="21">
      <c r="A1464" s="345"/>
    </row>
    <row r="1465" spans="1:1" ht="21">
      <c r="A1465" s="345"/>
    </row>
    <row r="1466" spans="1:1" ht="21">
      <c r="A1466" s="345"/>
    </row>
    <row r="1467" spans="1:1" ht="21">
      <c r="A1467" s="345"/>
    </row>
    <row r="1468" spans="1:1" ht="21">
      <c r="A1468" s="345"/>
    </row>
    <row r="1469" spans="1:1" ht="21">
      <c r="A1469" s="345"/>
    </row>
    <row r="1470" spans="1:1" ht="21">
      <c r="A1470" s="345"/>
    </row>
    <row r="1471" spans="1:1" ht="21">
      <c r="A1471" s="345"/>
    </row>
    <row r="1472" spans="1:1" ht="21">
      <c r="A1472" s="345"/>
    </row>
    <row r="1473" spans="1:1" ht="21">
      <c r="A1473" s="345"/>
    </row>
    <row r="1474" spans="1:1" ht="21">
      <c r="A1474" s="345"/>
    </row>
    <row r="1475" spans="1:1" ht="21">
      <c r="A1475" s="345"/>
    </row>
    <row r="1476" spans="1:1" ht="21">
      <c r="A1476" s="345"/>
    </row>
    <row r="1477" spans="1:1" ht="21">
      <c r="A1477" s="345"/>
    </row>
    <row r="1478" spans="1:1" ht="21">
      <c r="A1478" s="345"/>
    </row>
    <row r="1479" spans="1:1" ht="21">
      <c r="A1479" s="345"/>
    </row>
    <row r="1480" spans="1:1" ht="21">
      <c r="A1480" s="345"/>
    </row>
    <row r="1481" spans="1:1" ht="21">
      <c r="A1481" s="345"/>
    </row>
    <row r="1482" spans="1:1" ht="21">
      <c r="A1482" s="345"/>
    </row>
    <row r="1483" spans="1:1" ht="21">
      <c r="A1483" s="345"/>
    </row>
    <row r="1484" spans="1:1" ht="21">
      <c r="A1484" s="345"/>
    </row>
    <row r="1485" spans="1:1" ht="21">
      <c r="A1485" s="345"/>
    </row>
    <row r="1486" spans="1:1" ht="21">
      <c r="A1486" s="345"/>
    </row>
    <row r="1487" spans="1:1" ht="21">
      <c r="A1487" s="345"/>
    </row>
    <row r="1488" spans="1:1" ht="21">
      <c r="A1488" s="345"/>
    </row>
    <row r="1489" spans="1:1" ht="21">
      <c r="A1489" s="345"/>
    </row>
    <row r="1490" spans="1:1" ht="21">
      <c r="A1490" s="345"/>
    </row>
    <row r="1491" spans="1:1" ht="21">
      <c r="A1491" s="345"/>
    </row>
    <row r="1492" spans="1:1" ht="21">
      <c r="A1492" s="345"/>
    </row>
    <row r="1493" spans="1:1" ht="21">
      <c r="A1493" s="345"/>
    </row>
    <row r="1494" spans="1:1" ht="21">
      <c r="A1494" s="345"/>
    </row>
    <row r="1495" spans="1:1" ht="21">
      <c r="A1495" s="345"/>
    </row>
    <row r="1496" spans="1:1" ht="21">
      <c r="A1496" s="345"/>
    </row>
    <row r="1497" spans="1:1" ht="21">
      <c r="A1497" s="345"/>
    </row>
    <row r="1498" spans="1:1" ht="21">
      <c r="A1498" s="345"/>
    </row>
    <row r="1499" spans="1:1" ht="21">
      <c r="A1499" s="345"/>
    </row>
    <row r="1500" spans="1:1" ht="21">
      <c r="A1500" s="345"/>
    </row>
    <row r="1501" spans="1:1" ht="21">
      <c r="A1501" s="345"/>
    </row>
    <row r="1502" spans="1:1" ht="21">
      <c r="A1502" s="345"/>
    </row>
    <row r="1503" spans="1:1" ht="21">
      <c r="A1503" s="345"/>
    </row>
    <row r="1504" spans="1:1" ht="21">
      <c r="A1504" s="345"/>
    </row>
    <row r="1505" spans="1:1" ht="21">
      <c r="A1505" s="345"/>
    </row>
    <row r="1506" spans="1:1" ht="21">
      <c r="A1506" s="345"/>
    </row>
    <row r="1507" spans="1:1" ht="21">
      <c r="A1507" s="345"/>
    </row>
    <row r="1508" spans="1:1" ht="21">
      <c r="A1508" s="345"/>
    </row>
    <row r="1509" spans="1:1" ht="21">
      <c r="A1509" s="345"/>
    </row>
    <row r="1510" spans="1:1" ht="21">
      <c r="A1510" s="345"/>
    </row>
    <row r="1511" spans="1:1" ht="21">
      <c r="A1511" s="345"/>
    </row>
    <row r="1512" spans="1:1" ht="21">
      <c r="A1512" s="345"/>
    </row>
    <row r="1513" spans="1:1" ht="21">
      <c r="A1513" s="345"/>
    </row>
    <row r="1514" spans="1:1" ht="21">
      <c r="A1514" s="345"/>
    </row>
    <row r="1515" spans="1:1" ht="21">
      <c r="A1515" s="345"/>
    </row>
    <row r="1516" spans="1:1" ht="21">
      <c r="A1516" s="345"/>
    </row>
    <row r="1517" spans="1:1" ht="21">
      <c r="A1517" s="345"/>
    </row>
    <row r="1518" spans="1:1" ht="21">
      <c r="A1518" s="345"/>
    </row>
    <row r="1519" spans="1:1" ht="21">
      <c r="A1519" s="345"/>
    </row>
    <row r="1520" spans="1:1" ht="21">
      <c r="A1520" s="345"/>
    </row>
    <row r="1521" spans="1:1" ht="21">
      <c r="A1521" s="345"/>
    </row>
    <row r="1522" spans="1:1" ht="21">
      <c r="A1522" s="345"/>
    </row>
    <row r="1523" spans="1:1" ht="21">
      <c r="A1523" s="345"/>
    </row>
    <row r="1524" spans="1:1" ht="21">
      <c r="A1524" s="345"/>
    </row>
    <row r="1525" spans="1:1" ht="21">
      <c r="A1525" s="345"/>
    </row>
    <row r="1526" spans="1:1" ht="21">
      <c r="A1526" s="345"/>
    </row>
    <row r="1527" spans="1:1" ht="21">
      <c r="A1527" s="345"/>
    </row>
    <row r="1528" spans="1:1" ht="21">
      <c r="A1528" s="345"/>
    </row>
    <row r="1529" spans="1:1" ht="21">
      <c r="A1529" s="345"/>
    </row>
    <row r="1530" spans="1:1" ht="21">
      <c r="A1530" s="345"/>
    </row>
    <row r="1531" spans="1:1" ht="21">
      <c r="A1531" s="345"/>
    </row>
    <row r="1532" spans="1:1" ht="21">
      <c r="A1532" s="345"/>
    </row>
    <row r="1533" spans="1:1" ht="21">
      <c r="A1533" s="345"/>
    </row>
    <row r="1534" spans="1:1" ht="21">
      <c r="A1534" s="345"/>
    </row>
    <row r="1535" spans="1:1" ht="21">
      <c r="A1535" s="345"/>
    </row>
    <row r="1536" spans="1:1" ht="21">
      <c r="A1536" s="345"/>
    </row>
    <row r="1537" spans="1:1" ht="21">
      <c r="A1537" s="345"/>
    </row>
    <row r="1538" spans="1:1" ht="21">
      <c r="A1538" s="345"/>
    </row>
    <row r="1539" spans="1:1" ht="21">
      <c r="A1539" s="345"/>
    </row>
    <row r="1540" spans="1:1" ht="21">
      <c r="A1540" s="345"/>
    </row>
    <row r="1541" spans="1:1" ht="21">
      <c r="A1541" s="345"/>
    </row>
    <row r="1542" spans="1:1" ht="21">
      <c r="A1542" s="345"/>
    </row>
    <row r="1543" spans="1:1" ht="21">
      <c r="A1543" s="345"/>
    </row>
    <row r="1544" spans="1:1" ht="21">
      <c r="A1544" s="345"/>
    </row>
    <row r="1545" spans="1:1" ht="21">
      <c r="A1545" s="345"/>
    </row>
    <row r="1546" spans="1:1" ht="21">
      <c r="A1546" s="345"/>
    </row>
    <row r="1547" spans="1:1" ht="21">
      <c r="A1547" s="345"/>
    </row>
    <row r="1548" spans="1:1" ht="21">
      <c r="A1548" s="345"/>
    </row>
    <row r="1549" spans="1:1" ht="21">
      <c r="A1549" s="345"/>
    </row>
    <row r="1550" spans="1:1" ht="21">
      <c r="A1550" s="345"/>
    </row>
    <row r="1551" spans="1:1" ht="21">
      <c r="A1551" s="345"/>
    </row>
    <row r="1552" spans="1:1" ht="21">
      <c r="A1552" s="345"/>
    </row>
    <row r="1553" spans="1:1" ht="21">
      <c r="A1553" s="345"/>
    </row>
    <row r="1554" spans="1:1" ht="21">
      <c r="A1554" s="345"/>
    </row>
    <row r="1555" spans="1:1" ht="21">
      <c r="A1555" s="345"/>
    </row>
    <row r="1556" spans="1:1" ht="21">
      <c r="A1556" s="345"/>
    </row>
    <row r="1557" spans="1:1" ht="21">
      <c r="A1557" s="345"/>
    </row>
    <row r="1558" spans="1:1" ht="21">
      <c r="A1558" s="345"/>
    </row>
    <row r="1559" spans="1:1" ht="21">
      <c r="A1559" s="345"/>
    </row>
    <row r="1560" spans="1:1" ht="21">
      <c r="A1560" s="345"/>
    </row>
    <row r="1561" spans="1:1" ht="21">
      <c r="A1561" s="345"/>
    </row>
    <row r="1562" spans="1:1" ht="21">
      <c r="A1562" s="345"/>
    </row>
    <row r="1563" spans="1:1" ht="21">
      <c r="A1563" s="345"/>
    </row>
    <row r="1564" spans="1:1" ht="21">
      <c r="A1564" s="345"/>
    </row>
    <row r="1565" spans="1:1" ht="21">
      <c r="A1565" s="345"/>
    </row>
    <row r="1566" spans="1:1" ht="21">
      <c r="A1566" s="345"/>
    </row>
    <row r="1567" spans="1:1" ht="21">
      <c r="A1567" s="345"/>
    </row>
    <row r="1568" spans="1:1" ht="21">
      <c r="A1568" s="345"/>
    </row>
    <row r="1569" spans="1:1" ht="21">
      <c r="A1569" s="345"/>
    </row>
    <row r="1570" spans="1:1" ht="21">
      <c r="A1570" s="345"/>
    </row>
    <row r="1571" spans="1:1" ht="21">
      <c r="A1571" s="345"/>
    </row>
    <row r="1572" spans="1:1" ht="21">
      <c r="A1572" s="345"/>
    </row>
    <row r="1573" spans="1:1" ht="21">
      <c r="A1573" s="345"/>
    </row>
    <row r="1574" spans="1:1" ht="21">
      <c r="A1574" s="345"/>
    </row>
    <row r="1575" spans="1:1" ht="21">
      <c r="A1575" s="345"/>
    </row>
    <row r="1576" spans="1:1" ht="21">
      <c r="A1576" s="345"/>
    </row>
    <row r="1577" spans="1:1" ht="21">
      <c r="A1577" s="345"/>
    </row>
    <row r="1578" spans="1:1" ht="21">
      <c r="A1578" s="345"/>
    </row>
    <row r="1579" spans="1:1" ht="21">
      <c r="A1579" s="345"/>
    </row>
    <row r="1580" spans="1:1" ht="21">
      <c r="A1580" s="345"/>
    </row>
    <row r="1581" spans="1:1" ht="21">
      <c r="A1581" s="345"/>
    </row>
    <row r="1582" spans="1:1" ht="21">
      <c r="A1582" s="345"/>
    </row>
    <row r="1583" spans="1:1" ht="21">
      <c r="A1583" s="345"/>
    </row>
    <row r="1584" spans="1:1" ht="21">
      <c r="A1584" s="345"/>
    </row>
    <row r="1585" spans="1:1" ht="21">
      <c r="A1585" s="345"/>
    </row>
    <row r="1586" spans="1:1" ht="21">
      <c r="A1586" s="345"/>
    </row>
    <row r="1587" spans="1:1" ht="21">
      <c r="A1587" s="345"/>
    </row>
    <row r="1588" spans="1:1" ht="21">
      <c r="A1588" s="345"/>
    </row>
    <row r="1589" spans="1:1" ht="21">
      <c r="A1589" s="345"/>
    </row>
    <row r="1590" spans="1:1" ht="21">
      <c r="A1590" s="345"/>
    </row>
    <row r="1591" spans="1:1" ht="21">
      <c r="A1591" s="345"/>
    </row>
    <row r="1592" spans="1:1" ht="21">
      <c r="A1592" s="345"/>
    </row>
    <row r="1593" spans="1:1" ht="21">
      <c r="A1593" s="345"/>
    </row>
    <row r="1594" spans="1:1" ht="21">
      <c r="A1594" s="345"/>
    </row>
    <row r="1595" spans="1:1" ht="21">
      <c r="A1595" s="345"/>
    </row>
    <row r="1596" spans="1:1" ht="21">
      <c r="A1596" s="345"/>
    </row>
    <row r="1597" spans="1:1" ht="21">
      <c r="A1597" s="345"/>
    </row>
    <row r="1598" spans="1:1" ht="21">
      <c r="A1598" s="345"/>
    </row>
    <row r="1599" spans="1:1" ht="21">
      <c r="A1599" s="345"/>
    </row>
    <row r="1600" spans="1:1" ht="21">
      <c r="A1600" s="345"/>
    </row>
    <row r="1601" spans="1:1" ht="21">
      <c r="A1601" s="345"/>
    </row>
    <row r="1602" spans="1:1" ht="21">
      <c r="A1602" s="345"/>
    </row>
    <row r="1603" spans="1:1" ht="21">
      <c r="A1603" s="345"/>
    </row>
    <row r="1604" spans="1:1" ht="21">
      <c r="A1604" s="345"/>
    </row>
    <row r="1605" spans="1:1" ht="21">
      <c r="A1605" s="345"/>
    </row>
    <row r="1606" spans="1:1" ht="21">
      <c r="A1606" s="345"/>
    </row>
    <row r="1607" spans="1:1" ht="21">
      <c r="A1607" s="345"/>
    </row>
    <row r="1608" spans="1:1" ht="21">
      <c r="A1608" s="345"/>
    </row>
    <row r="1609" spans="1:1" ht="21">
      <c r="A1609" s="345"/>
    </row>
    <row r="1610" spans="1:1" ht="21">
      <c r="A1610" s="345"/>
    </row>
    <row r="1611" spans="1:1" ht="21">
      <c r="A1611" s="345"/>
    </row>
    <row r="1612" spans="1:1" ht="21">
      <c r="A1612" s="345"/>
    </row>
    <row r="1613" spans="1:1" ht="21">
      <c r="A1613" s="345"/>
    </row>
    <row r="1614" spans="1:1" ht="21">
      <c r="A1614" s="345"/>
    </row>
    <row r="1615" spans="1:1" ht="21">
      <c r="A1615" s="345"/>
    </row>
    <row r="1616" spans="1:1" ht="21">
      <c r="A1616" s="345"/>
    </row>
    <row r="1617" spans="1:1" ht="21">
      <c r="A1617" s="345"/>
    </row>
    <row r="1618" spans="1:1" ht="21">
      <c r="A1618" s="345"/>
    </row>
    <row r="1619" spans="1:1" ht="21">
      <c r="A1619" s="345"/>
    </row>
    <row r="1620" spans="1:1" ht="21">
      <c r="A1620" s="345"/>
    </row>
    <row r="1621" spans="1:1" ht="21">
      <c r="A1621" s="345"/>
    </row>
    <row r="1622" spans="1:1" ht="21">
      <c r="A1622" s="345"/>
    </row>
    <row r="1623" spans="1:1" ht="21">
      <c r="A1623" s="345"/>
    </row>
    <row r="1624" spans="1:1" ht="21">
      <c r="A1624" s="345"/>
    </row>
    <row r="1625" spans="1:1" ht="21">
      <c r="A1625" s="345"/>
    </row>
    <row r="1626" spans="1:1" ht="21">
      <c r="A1626" s="345"/>
    </row>
    <row r="1627" spans="1:1" ht="21">
      <c r="A1627" s="345"/>
    </row>
    <row r="1628" spans="1:1" ht="21">
      <c r="A1628" s="345"/>
    </row>
    <row r="1629" spans="1:1" ht="21">
      <c r="A1629" s="345"/>
    </row>
    <row r="1630" spans="1:1" ht="21">
      <c r="A1630" s="345"/>
    </row>
    <row r="1631" spans="1:1" ht="21">
      <c r="A1631" s="345"/>
    </row>
    <row r="1632" spans="1:1" ht="21">
      <c r="A1632" s="345"/>
    </row>
    <row r="1633" spans="1:1" ht="21">
      <c r="A1633" s="345"/>
    </row>
    <row r="1634" spans="1:1" ht="21">
      <c r="A1634" s="345"/>
    </row>
    <row r="1635" spans="1:1" ht="21">
      <c r="A1635" s="345"/>
    </row>
    <row r="1636" spans="1:1" ht="21">
      <c r="A1636" s="345"/>
    </row>
    <row r="1637" spans="1:1" ht="21">
      <c r="A1637" s="345"/>
    </row>
    <row r="1638" spans="1:1" ht="21">
      <c r="A1638" s="345"/>
    </row>
    <row r="1639" spans="1:1" ht="21">
      <c r="A1639" s="345"/>
    </row>
    <row r="1640" spans="1:1" ht="21">
      <c r="A1640" s="345"/>
    </row>
    <row r="1641" spans="1:1" ht="21">
      <c r="A1641" s="345"/>
    </row>
    <row r="1642" spans="1:1" ht="21">
      <c r="A1642" s="345"/>
    </row>
    <row r="1643" spans="1:1" ht="21">
      <c r="A1643" s="345"/>
    </row>
    <row r="1644" spans="1:1" ht="21">
      <c r="A1644" s="345"/>
    </row>
    <row r="1645" spans="1:1" ht="21">
      <c r="A1645" s="345"/>
    </row>
    <row r="1646" spans="1:1" ht="21">
      <c r="A1646" s="345"/>
    </row>
    <row r="1647" spans="1:1" ht="21">
      <c r="A1647" s="345"/>
    </row>
    <row r="1648" spans="1:1" ht="21">
      <c r="A1648" s="345"/>
    </row>
    <row r="1649" spans="1:1" ht="21">
      <c r="A1649" s="345"/>
    </row>
    <row r="1650" spans="1:1" ht="21">
      <c r="A1650" s="345"/>
    </row>
    <row r="1651" spans="1:1" ht="21">
      <c r="A1651" s="345"/>
    </row>
    <row r="1652" spans="1:1" ht="21">
      <c r="A1652" s="345"/>
    </row>
    <row r="1653" spans="1:1" ht="21">
      <c r="A1653" s="345"/>
    </row>
    <row r="1654" spans="1:1" ht="21">
      <c r="A1654" s="345"/>
    </row>
    <row r="1655" spans="1:1" ht="21">
      <c r="A1655" s="345"/>
    </row>
    <row r="1656" spans="1:1" ht="21">
      <c r="A1656" s="345"/>
    </row>
    <row r="1657" spans="1:1" ht="21">
      <c r="A1657" s="345"/>
    </row>
    <row r="1658" spans="1:1" ht="21">
      <c r="A1658" s="345"/>
    </row>
    <row r="1659" spans="1:1" ht="21">
      <c r="A1659" s="345"/>
    </row>
    <row r="1660" spans="1:1" ht="21">
      <c r="A1660" s="345"/>
    </row>
    <row r="1661" spans="1:1" ht="21">
      <c r="A1661" s="345"/>
    </row>
    <row r="1662" spans="1:1" ht="21">
      <c r="A1662" s="345"/>
    </row>
    <row r="1663" spans="1:1" ht="21">
      <c r="A1663" s="345"/>
    </row>
    <row r="1664" spans="1:1" ht="21">
      <c r="A1664" s="345"/>
    </row>
    <row r="1665" spans="1:1" ht="21">
      <c r="A1665" s="345"/>
    </row>
    <row r="1666" spans="1:1" ht="21">
      <c r="A1666" s="345"/>
    </row>
    <row r="1667" spans="1:1" ht="21">
      <c r="A1667" s="345"/>
    </row>
    <row r="1668" spans="1:1" ht="21">
      <c r="A1668" s="345"/>
    </row>
    <row r="1669" spans="1:1" ht="21">
      <c r="A1669" s="345"/>
    </row>
    <row r="1670" spans="1:1" ht="21">
      <c r="A1670" s="345"/>
    </row>
    <row r="1671" spans="1:1" ht="21">
      <c r="A1671" s="345"/>
    </row>
    <row r="1672" spans="1:1" ht="21">
      <c r="A1672" s="345"/>
    </row>
    <row r="1673" spans="1:1" ht="21">
      <c r="A1673" s="345"/>
    </row>
    <row r="1674" spans="1:1" ht="21">
      <c r="A1674" s="345"/>
    </row>
    <row r="1675" spans="1:1" ht="21">
      <c r="A1675" s="345"/>
    </row>
    <row r="1676" spans="1:1" ht="21">
      <c r="A1676" s="345"/>
    </row>
    <row r="1677" spans="1:1" ht="21">
      <c r="A1677" s="345"/>
    </row>
    <row r="1678" spans="1:1" ht="21">
      <c r="A1678" s="345"/>
    </row>
    <row r="1679" spans="1:1" ht="21">
      <c r="A1679" s="345"/>
    </row>
    <row r="1680" spans="1:1" ht="21">
      <c r="A1680" s="345"/>
    </row>
    <row r="1681" spans="1:1" ht="21">
      <c r="A1681" s="345"/>
    </row>
    <row r="1682" spans="1:1" ht="21">
      <c r="A1682" s="345"/>
    </row>
    <row r="1683" spans="1:1" ht="21">
      <c r="A1683" s="345"/>
    </row>
    <row r="1684" spans="1:1" ht="21">
      <c r="A1684" s="345"/>
    </row>
    <row r="1685" spans="1:1" ht="21">
      <c r="A1685" s="345"/>
    </row>
    <row r="1686" spans="1:1" ht="21">
      <c r="A1686" s="345"/>
    </row>
    <row r="1687" spans="1:1" ht="21">
      <c r="A1687" s="345"/>
    </row>
    <row r="1688" spans="1:1" ht="21">
      <c r="A1688" s="345"/>
    </row>
    <row r="1689" spans="1:1" ht="21">
      <c r="A1689" s="345"/>
    </row>
    <row r="1690" spans="1:1" ht="21">
      <c r="A1690" s="345"/>
    </row>
    <row r="1691" spans="1:1" ht="21">
      <c r="A1691" s="345"/>
    </row>
    <row r="1692" spans="1:1" ht="21">
      <c r="A1692" s="345"/>
    </row>
    <row r="1693" spans="1:1" ht="21">
      <c r="A1693" s="345"/>
    </row>
    <row r="1694" spans="1:1" ht="21">
      <c r="A1694" s="345"/>
    </row>
    <row r="1695" spans="1:1" ht="21">
      <c r="A1695" s="345"/>
    </row>
    <row r="1696" spans="1:1" ht="21">
      <c r="A1696" s="345"/>
    </row>
    <row r="1697" spans="1:1" ht="21">
      <c r="A1697" s="345"/>
    </row>
    <row r="1698" spans="1:1" ht="21">
      <c r="A1698" s="345"/>
    </row>
    <row r="1699" spans="1:1" ht="21">
      <c r="A1699" s="345"/>
    </row>
    <row r="1700" spans="1:1" ht="21">
      <c r="A1700" s="345"/>
    </row>
    <row r="1701" spans="1:1" ht="21">
      <c r="A1701" s="345"/>
    </row>
    <row r="1702" spans="1:1" ht="21">
      <c r="A1702" s="345"/>
    </row>
    <row r="1703" spans="1:1" ht="21">
      <c r="A1703" s="345"/>
    </row>
    <row r="1704" spans="1:1" ht="21">
      <c r="A1704" s="345"/>
    </row>
    <row r="1705" spans="1:1" ht="21">
      <c r="A1705" s="345"/>
    </row>
    <row r="1706" spans="1:1" ht="21">
      <c r="A1706" s="345"/>
    </row>
    <row r="1707" spans="1:1" ht="21">
      <c r="A1707" s="345"/>
    </row>
    <row r="1708" spans="1:1" ht="21">
      <c r="A1708" s="345"/>
    </row>
    <row r="1709" spans="1:1" ht="21">
      <c r="A1709" s="345"/>
    </row>
    <row r="1710" spans="1:1" ht="21">
      <c r="A1710" s="345"/>
    </row>
    <row r="1711" spans="1:1" ht="21">
      <c r="A1711" s="345"/>
    </row>
    <row r="1712" spans="1:1" ht="21">
      <c r="A1712" s="345"/>
    </row>
    <row r="1713" spans="1:1" ht="21">
      <c r="A1713" s="345"/>
    </row>
    <row r="1714" spans="1:1" ht="21">
      <c r="A1714" s="345"/>
    </row>
    <row r="1715" spans="1:1" ht="21">
      <c r="A1715" s="345"/>
    </row>
    <row r="1716" spans="1:1" ht="21">
      <c r="A1716" s="345"/>
    </row>
    <row r="1717" spans="1:1" ht="21">
      <c r="A1717" s="345"/>
    </row>
    <row r="1718" spans="1:1" ht="21">
      <c r="A1718" s="345"/>
    </row>
    <row r="1719" spans="1:1" ht="21">
      <c r="A1719" s="345"/>
    </row>
    <row r="1720" spans="1:1" ht="21">
      <c r="A1720" s="345"/>
    </row>
    <row r="1721" spans="1:1" ht="21">
      <c r="A1721" s="345"/>
    </row>
    <row r="1722" spans="1:1" ht="21">
      <c r="A1722" s="345"/>
    </row>
    <row r="1723" spans="1:1" ht="21">
      <c r="A1723" s="345"/>
    </row>
    <row r="1724" spans="1:1" ht="21">
      <c r="A1724" s="345"/>
    </row>
    <row r="1725" spans="1:1" ht="21">
      <c r="A1725" s="345"/>
    </row>
    <row r="1726" spans="1:1" ht="21">
      <c r="A1726" s="345"/>
    </row>
    <row r="1727" spans="1:1" ht="21">
      <c r="A1727" s="345"/>
    </row>
    <row r="1728" spans="1:1" ht="21">
      <c r="A1728" s="345"/>
    </row>
    <row r="1729" spans="1:1" ht="21">
      <c r="A1729" s="345"/>
    </row>
    <row r="1730" spans="1:1" ht="21">
      <c r="A1730" s="345"/>
    </row>
    <row r="1731" spans="1:1" ht="21">
      <c r="A1731" s="345"/>
    </row>
    <row r="1732" spans="1:1" ht="21">
      <c r="A1732" s="345"/>
    </row>
    <row r="1733" spans="1:1" ht="21">
      <c r="A1733" s="345"/>
    </row>
    <row r="1734" spans="1:1" ht="21">
      <c r="A1734" s="345"/>
    </row>
    <row r="1735" spans="1:1" ht="21">
      <c r="A1735" s="345"/>
    </row>
    <row r="1736" spans="1:1" ht="21">
      <c r="A1736" s="345"/>
    </row>
    <row r="1737" spans="1:1" ht="21">
      <c r="A1737" s="345"/>
    </row>
    <row r="1738" spans="1:1" ht="21">
      <c r="A1738" s="345"/>
    </row>
    <row r="1739" spans="1:1" ht="21">
      <c r="A1739" s="345"/>
    </row>
    <row r="1740" spans="1:1" ht="21">
      <c r="A1740" s="345"/>
    </row>
    <row r="1741" spans="1:1" ht="21">
      <c r="A1741" s="345"/>
    </row>
    <row r="1742" spans="1:1" ht="21">
      <c r="A1742" s="345"/>
    </row>
    <row r="1743" spans="1:1" ht="21">
      <c r="A1743" s="345"/>
    </row>
    <row r="1744" spans="1:1" ht="21">
      <c r="A1744" s="345"/>
    </row>
    <row r="1745" spans="1:1" ht="21">
      <c r="A1745" s="345"/>
    </row>
    <row r="1746" spans="1:1" ht="21">
      <c r="A1746" s="345"/>
    </row>
    <row r="1747" spans="1:1" ht="21">
      <c r="A1747" s="345"/>
    </row>
    <row r="1748" spans="1:1" ht="21">
      <c r="A1748" s="345"/>
    </row>
    <row r="1749" spans="1:1" ht="21">
      <c r="A1749" s="345"/>
    </row>
    <row r="1750" spans="1:1" ht="21">
      <c r="A1750" s="345"/>
    </row>
    <row r="1751" spans="1:1" ht="21">
      <c r="A1751" s="345"/>
    </row>
    <row r="1752" spans="1:1" ht="21">
      <c r="A1752" s="345"/>
    </row>
    <row r="1753" spans="1:1" ht="21">
      <c r="A1753" s="345"/>
    </row>
    <row r="1754" spans="1:1" ht="21">
      <c r="A1754" s="345"/>
    </row>
    <row r="1755" spans="1:1" ht="21">
      <c r="A1755" s="345"/>
    </row>
    <row r="1756" spans="1:1" ht="21">
      <c r="A1756" s="345"/>
    </row>
    <row r="1757" spans="1:1" ht="21">
      <c r="A1757" s="345"/>
    </row>
    <row r="1758" spans="1:1" ht="21">
      <c r="A1758" s="345"/>
    </row>
    <row r="1759" spans="1:1" ht="21">
      <c r="A1759" s="345"/>
    </row>
    <row r="1760" spans="1:1" ht="21">
      <c r="A1760" s="345"/>
    </row>
    <row r="1761" spans="1:1" ht="21">
      <c r="A1761" s="345"/>
    </row>
    <row r="1762" spans="1:1" ht="21">
      <c r="A1762" s="345"/>
    </row>
    <row r="1763" spans="1:1" ht="21">
      <c r="A1763" s="345"/>
    </row>
    <row r="1764" spans="1:1" ht="21">
      <c r="A1764" s="345"/>
    </row>
    <row r="1765" spans="1:1" ht="21">
      <c r="A1765" s="345"/>
    </row>
    <row r="1766" spans="1:1" ht="21">
      <c r="A1766" s="345"/>
    </row>
    <row r="1767" spans="1:1" ht="21">
      <c r="A1767" s="345"/>
    </row>
    <row r="1768" spans="1:1" ht="21">
      <c r="A1768" s="345"/>
    </row>
    <row r="1769" spans="1:1" ht="21">
      <c r="A1769" s="345"/>
    </row>
    <row r="1770" spans="1:1" ht="21">
      <c r="A1770" s="345"/>
    </row>
    <row r="1771" spans="1:1" ht="21">
      <c r="A1771" s="345"/>
    </row>
    <row r="1772" spans="1:1" ht="21">
      <c r="A1772" s="345"/>
    </row>
    <row r="1773" spans="1:1" ht="21">
      <c r="A1773" s="345"/>
    </row>
    <row r="1774" spans="1:1" ht="21">
      <c r="A1774" s="345"/>
    </row>
    <row r="1775" spans="1:1" ht="21">
      <c r="A1775" s="345"/>
    </row>
    <row r="1776" spans="1:1" ht="21">
      <c r="A1776" s="345"/>
    </row>
    <row r="1777" spans="1:1" ht="21">
      <c r="A1777" s="345"/>
    </row>
    <row r="1778" spans="1:1" ht="21">
      <c r="A1778" s="345"/>
    </row>
    <row r="1779" spans="1:1" ht="21">
      <c r="A1779" s="345"/>
    </row>
    <row r="1780" spans="1:1" ht="21">
      <c r="A1780" s="345"/>
    </row>
    <row r="1781" spans="1:1" ht="21">
      <c r="A1781" s="345"/>
    </row>
    <row r="1782" spans="1:1" ht="21">
      <c r="A1782" s="345"/>
    </row>
    <row r="1783" spans="1:1" ht="21">
      <c r="A1783" s="345"/>
    </row>
    <row r="1784" spans="1:1" ht="21">
      <c r="A1784" s="345"/>
    </row>
    <row r="1785" spans="1:1" ht="21">
      <c r="A1785" s="345"/>
    </row>
    <row r="1786" spans="1:1" ht="21">
      <c r="A1786" s="345"/>
    </row>
    <row r="1787" spans="1:1" ht="21">
      <c r="A1787" s="345"/>
    </row>
    <row r="1788" spans="1:1" ht="21">
      <c r="A1788" s="345"/>
    </row>
    <row r="1789" spans="1:1" ht="21">
      <c r="A1789" s="345"/>
    </row>
    <row r="1790" spans="1:1" ht="21">
      <c r="A1790" s="345"/>
    </row>
    <row r="1791" spans="1:1" ht="21">
      <c r="A1791" s="345"/>
    </row>
    <row r="1792" spans="1:1" ht="21">
      <c r="A1792" s="345"/>
    </row>
    <row r="1793" spans="1:1" ht="21">
      <c r="A1793" s="345"/>
    </row>
    <row r="1794" spans="1:1" ht="21">
      <c r="A1794" s="345"/>
    </row>
    <row r="1795" spans="1:1" ht="21">
      <c r="A1795" s="345"/>
    </row>
    <row r="1796" spans="1:1" ht="21">
      <c r="A1796" s="345"/>
    </row>
    <row r="1797" spans="1:1" ht="21">
      <c r="A1797" s="345"/>
    </row>
    <row r="1798" spans="1:1" ht="21">
      <c r="A1798" s="345"/>
    </row>
    <row r="1799" spans="1:1" ht="21">
      <c r="A1799" s="345"/>
    </row>
    <row r="1800" spans="1:1" ht="21">
      <c r="A1800" s="345"/>
    </row>
    <row r="1801" spans="1:1" ht="21">
      <c r="A1801" s="345"/>
    </row>
    <row r="1802" spans="1:1" ht="21">
      <c r="A1802" s="345"/>
    </row>
    <row r="1803" spans="1:1" ht="21">
      <c r="A1803" s="345"/>
    </row>
    <row r="1804" spans="1:1" ht="21">
      <c r="A1804" s="345"/>
    </row>
    <row r="1805" spans="1:1" ht="21">
      <c r="A1805" s="345"/>
    </row>
    <row r="1806" spans="1:1" ht="21">
      <c r="A1806" s="345"/>
    </row>
    <row r="1807" spans="1:1" ht="21">
      <c r="A1807" s="345"/>
    </row>
    <row r="1808" spans="1:1" ht="21">
      <c r="A1808" s="345"/>
    </row>
    <row r="1809" spans="1:1" ht="21">
      <c r="A1809" s="345"/>
    </row>
    <row r="1810" spans="1:1" ht="21">
      <c r="A1810" s="345"/>
    </row>
    <row r="1811" spans="1:1" ht="21">
      <c r="A1811" s="345"/>
    </row>
    <row r="1812" spans="1:1" ht="21">
      <c r="A1812" s="345"/>
    </row>
    <row r="1813" spans="1:1" ht="21">
      <c r="A1813" s="345"/>
    </row>
    <row r="1814" spans="1:1" ht="21">
      <c r="A1814" s="345"/>
    </row>
    <row r="1815" spans="1:1" ht="21">
      <c r="A1815" s="345"/>
    </row>
    <row r="1816" spans="1:1" ht="21">
      <c r="A1816" s="345"/>
    </row>
    <row r="1817" spans="1:1" ht="21">
      <c r="A1817" s="345"/>
    </row>
    <row r="1818" spans="1:1" ht="21">
      <c r="A1818" s="345"/>
    </row>
    <row r="1819" spans="1:1" ht="21">
      <c r="A1819" s="345"/>
    </row>
    <row r="1820" spans="1:1" ht="21">
      <c r="A1820" s="345"/>
    </row>
    <row r="1821" spans="1:1" ht="21">
      <c r="A1821" s="345"/>
    </row>
    <row r="1822" spans="1:1" ht="21">
      <c r="A1822" s="345"/>
    </row>
    <row r="1823" spans="1:1" ht="21">
      <c r="A1823" s="345"/>
    </row>
    <row r="1824" spans="1:1" ht="21">
      <c r="A1824" s="345"/>
    </row>
    <row r="1825" spans="1:1" ht="21">
      <c r="A1825" s="345"/>
    </row>
    <row r="1826" spans="1:1" ht="21">
      <c r="A1826" s="345"/>
    </row>
    <row r="1827" spans="1:1" ht="21">
      <c r="A1827" s="345"/>
    </row>
    <row r="1828" spans="1:1" ht="21">
      <c r="A1828" s="345"/>
    </row>
    <row r="1829" spans="1:1" ht="21">
      <c r="A1829" s="345"/>
    </row>
    <row r="1830" spans="1:1" ht="21">
      <c r="A1830" s="345"/>
    </row>
    <row r="1831" spans="1:1" ht="21">
      <c r="A1831" s="345"/>
    </row>
    <row r="1832" spans="1:1" ht="21">
      <c r="A1832" s="345"/>
    </row>
    <row r="1833" spans="1:1" ht="21">
      <c r="A1833" s="345"/>
    </row>
    <row r="1834" spans="1:1" ht="21">
      <c r="A1834" s="345"/>
    </row>
    <row r="1835" spans="1:1" ht="21">
      <c r="A1835" s="345"/>
    </row>
    <row r="1836" spans="1:1" ht="21">
      <c r="A1836" s="345"/>
    </row>
    <row r="1837" spans="1:1" ht="21">
      <c r="A1837" s="345"/>
    </row>
    <row r="1838" spans="1:1" ht="21">
      <c r="A1838" s="345"/>
    </row>
    <row r="1839" spans="1:1" ht="21">
      <c r="A1839" s="345"/>
    </row>
    <row r="1840" spans="1:1" ht="21">
      <c r="A1840" s="345"/>
    </row>
    <row r="1841" spans="1:1" ht="21">
      <c r="A1841" s="345"/>
    </row>
    <row r="1842" spans="1:1" ht="21">
      <c r="A1842" s="345"/>
    </row>
    <row r="1843" spans="1:1" ht="21">
      <c r="A1843" s="345"/>
    </row>
    <row r="1844" spans="1:1" ht="21">
      <c r="A1844" s="345"/>
    </row>
    <row r="1845" spans="1:1" ht="21">
      <c r="A1845" s="345"/>
    </row>
    <row r="1846" spans="1:1" ht="21">
      <c r="A1846" s="345"/>
    </row>
    <row r="1847" spans="1:1" ht="21">
      <c r="A1847" s="345"/>
    </row>
    <row r="1848" spans="1:1" ht="21">
      <c r="A1848" s="345"/>
    </row>
    <row r="1849" spans="1:1" ht="21">
      <c r="A1849" s="345"/>
    </row>
    <row r="1850" spans="1:1" ht="21">
      <c r="A1850" s="345"/>
    </row>
    <row r="1851" spans="1:1" ht="21">
      <c r="A1851" s="345"/>
    </row>
    <row r="1852" spans="1:1" ht="21">
      <c r="A1852" s="345"/>
    </row>
    <row r="1853" spans="1:1" ht="21">
      <c r="A1853" s="345"/>
    </row>
    <row r="1854" spans="1:1" ht="21">
      <c r="A1854" s="345"/>
    </row>
    <row r="1855" spans="1:1" ht="21">
      <c r="A1855" s="345"/>
    </row>
    <row r="1856" spans="1:1" ht="21">
      <c r="A1856" s="345"/>
    </row>
    <row r="1857" spans="1:1" ht="21">
      <c r="A1857" s="345"/>
    </row>
    <row r="1858" spans="1:1" ht="21">
      <c r="A1858" s="345"/>
    </row>
    <row r="1859" spans="1:1" ht="21">
      <c r="A1859" s="345"/>
    </row>
    <row r="1860" spans="1:1" ht="21">
      <c r="A1860" s="345"/>
    </row>
    <row r="1861" spans="1:1" ht="21">
      <c r="A1861" s="345"/>
    </row>
    <row r="1862" spans="1:1" ht="21">
      <c r="A1862" s="345"/>
    </row>
    <row r="1863" spans="1:1" ht="21">
      <c r="A1863" s="345"/>
    </row>
    <row r="1864" spans="1:1" ht="21">
      <c r="A1864" s="345"/>
    </row>
    <row r="1865" spans="1:1" ht="21">
      <c r="A1865" s="345"/>
    </row>
    <row r="1866" spans="1:1" ht="21">
      <c r="A1866" s="345"/>
    </row>
    <row r="1867" spans="1:1" ht="21">
      <c r="A1867" s="345"/>
    </row>
    <row r="1868" spans="1:1" ht="21">
      <c r="A1868" s="345"/>
    </row>
    <row r="1869" spans="1:1" ht="21">
      <c r="A1869" s="345"/>
    </row>
    <row r="1870" spans="1:1" ht="21">
      <c r="A1870" s="345"/>
    </row>
    <row r="1871" spans="1:1" ht="21">
      <c r="A1871" s="345"/>
    </row>
    <row r="1872" spans="1:1" ht="21">
      <c r="A1872" s="345"/>
    </row>
    <row r="1873" spans="1:1" ht="21">
      <c r="A1873" s="345"/>
    </row>
    <row r="1874" spans="1:1" ht="21">
      <c r="A1874" s="345"/>
    </row>
    <row r="1875" spans="1:1" ht="21">
      <c r="A1875" s="345"/>
    </row>
    <row r="1876" spans="1:1" ht="21">
      <c r="A1876" s="345"/>
    </row>
    <row r="1877" spans="1:1" ht="21">
      <c r="A1877" s="345"/>
    </row>
    <row r="1878" spans="1:1" ht="21">
      <c r="A1878" s="345"/>
    </row>
    <row r="1879" spans="1:1" ht="21">
      <c r="A1879" s="345"/>
    </row>
    <row r="1880" spans="1:1" ht="21">
      <c r="A1880" s="345"/>
    </row>
    <row r="1881" spans="1:1" ht="21">
      <c r="A1881" s="345"/>
    </row>
    <row r="1882" spans="1:1" ht="21">
      <c r="A1882" s="345"/>
    </row>
    <row r="1883" spans="1:1" ht="21">
      <c r="A1883" s="345"/>
    </row>
    <row r="1884" spans="1:1" ht="21">
      <c r="A1884" s="345"/>
    </row>
    <row r="1885" spans="1:1" ht="21">
      <c r="A1885" s="345"/>
    </row>
    <row r="1886" spans="1:1" ht="21">
      <c r="A1886" s="345"/>
    </row>
    <row r="1887" spans="1:1" ht="21">
      <c r="A1887" s="345"/>
    </row>
    <row r="1888" spans="1:1" ht="21">
      <c r="A1888" s="345"/>
    </row>
    <row r="1889" spans="1:1" ht="21">
      <c r="A1889" s="345"/>
    </row>
    <row r="1890" spans="1:1" ht="21">
      <c r="A1890" s="345"/>
    </row>
    <row r="1891" spans="1:1" ht="21">
      <c r="A1891" s="345"/>
    </row>
    <row r="1892" spans="1:1" ht="21">
      <c r="A1892" s="345"/>
    </row>
    <row r="1893" spans="1:1" ht="21">
      <c r="A1893" s="345"/>
    </row>
    <row r="1894" spans="1:1" ht="21">
      <c r="A1894" s="345"/>
    </row>
    <row r="1895" spans="1:1" ht="21">
      <c r="A1895" s="345"/>
    </row>
    <row r="1896" spans="1:1" ht="21">
      <c r="A1896" s="345"/>
    </row>
    <row r="1897" spans="1:1" ht="21">
      <c r="A1897" s="345"/>
    </row>
    <row r="1898" spans="1:1" ht="21">
      <c r="A1898" s="345"/>
    </row>
    <row r="1899" spans="1:1" ht="21">
      <c r="A1899" s="345"/>
    </row>
    <row r="1900" spans="1:1" ht="21">
      <c r="A1900" s="345"/>
    </row>
    <row r="1901" spans="1:1" ht="21">
      <c r="A1901" s="345"/>
    </row>
    <row r="1902" spans="1:1" ht="21">
      <c r="A1902" s="345"/>
    </row>
    <row r="1903" spans="1:1" ht="21">
      <c r="A1903" s="345"/>
    </row>
    <row r="1904" spans="1:1" ht="21">
      <c r="A1904" s="345"/>
    </row>
    <row r="1905" spans="1:1" ht="21">
      <c r="A1905" s="345"/>
    </row>
    <row r="1906" spans="1:1" ht="21">
      <c r="A1906" s="345"/>
    </row>
    <row r="1907" spans="1:1" ht="21">
      <c r="A1907" s="345"/>
    </row>
    <row r="1908" spans="1:1" ht="21">
      <c r="A1908" s="345"/>
    </row>
    <row r="1909" spans="1:1" ht="21">
      <c r="A1909" s="345"/>
    </row>
    <row r="1910" spans="1:1" ht="21">
      <c r="A1910" s="345"/>
    </row>
    <row r="1911" spans="1:1" ht="21">
      <c r="A1911" s="345"/>
    </row>
    <row r="1912" spans="1:1" ht="21">
      <c r="A1912" s="345"/>
    </row>
    <row r="1913" spans="1:1" ht="21">
      <c r="A1913" s="345"/>
    </row>
    <row r="1914" spans="1:1" ht="21">
      <c r="A1914" s="345"/>
    </row>
    <row r="1915" spans="1:1" ht="21">
      <c r="A1915" s="345"/>
    </row>
    <row r="1916" spans="1:1" ht="21">
      <c r="A1916" s="345"/>
    </row>
    <row r="1917" spans="1:1" ht="21">
      <c r="A1917" s="345"/>
    </row>
    <row r="1918" spans="1:1" ht="21">
      <c r="A1918" s="345"/>
    </row>
    <row r="1919" spans="1:1" ht="21">
      <c r="A1919" s="345"/>
    </row>
    <row r="1920" spans="1:1" ht="21">
      <c r="A1920" s="345"/>
    </row>
    <row r="1921" spans="1:1" ht="21">
      <c r="A1921" s="345"/>
    </row>
    <row r="1922" spans="1:1" ht="21">
      <c r="A1922" s="345"/>
    </row>
    <row r="1923" spans="1:1" ht="21">
      <c r="A1923" s="345"/>
    </row>
    <row r="1924" spans="1:1" ht="21">
      <c r="A1924" s="345"/>
    </row>
    <row r="1925" spans="1:1" ht="21">
      <c r="A1925" s="345"/>
    </row>
    <row r="1926" spans="1:1" ht="21">
      <c r="A1926" s="345"/>
    </row>
    <row r="1927" spans="1:1" ht="21">
      <c r="A1927" s="345"/>
    </row>
    <row r="1928" spans="1:1" ht="21">
      <c r="A1928" s="345"/>
    </row>
    <row r="1929" spans="1:1" ht="21">
      <c r="A1929" s="345"/>
    </row>
    <row r="1930" spans="1:1" ht="21">
      <c r="A1930" s="345"/>
    </row>
    <row r="1931" spans="1:1" ht="21">
      <c r="A1931" s="345"/>
    </row>
    <row r="1932" spans="1:1" ht="21">
      <c r="A1932" s="345"/>
    </row>
    <row r="1933" spans="1:1" ht="21">
      <c r="A1933" s="345"/>
    </row>
    <row r="1934" spans="1:1" ht="21">
      <c r="A1934" s="345"/>
    </row>
    <row r="1935" spans="1:1" ht="21">
      <c r="A1935" s="345"/>
    </row>
    <row r="1936" spans="1:1" ht="21">
      <c r="A1936" s="345"/>
    </row>
    <row r="1937" spans="1:1" ht="21">
      <c r="A1937" s="345"/>
    </row>
    <row r="1938" spans="1:1" ht="21">
      <c r="A1938" s="345"/>
    </row>
    <row r="1939" spans="1:1" ht="21">
      <c r="A1939" s="345"/>
    </row>
    <row r="1940" spans="1:1" ht="21">
      <c r="A1940" s="345"/>
    </row>
    <row r="1941" spans="1:1" ht="21">
      <c r="A1941" s="345"/>
    </row>
    <row r="1942" spans="1:1" ht="21">
      <c r="A1942" s="345"/>
    </row>
    <row r="1943" spans="1:1" ht="21">
      <c r="A1943" s="345"/>
    </row>
    <row r="1944" spans="1:1" ht="21">
      <c r="A1944" s="345"/>
    </row>
    <row r="1945" spans="1:1" ht="21">
      <c r="A1945" s="345"/>
    </row>
    <row r="1946" spans="1:1" ht="21">
      <c r="A1946" s="345"/>
    </row>
    <row r="1947" spans="1:1" ht="21">
      <c r="A1947" s="345"/>
    </row>
    <row r="1948" spans="1:1" ht="21">
      <c r="A1948" s="345"/>
    </row>
    <row r="1949" spans="1:1" ht="21">
      <c r="A1949" s="345"/>
    </row>
    <row r="1950" spans="1:1" ht="21">
      <c r="A1950" s="345"/>
    </row>
    <row r="1951" spans="1:1" ht="21">
      <c r="A1951" s="345"/>
    </row>
    <row r="1952" spans="1:1" ht="21">
      <c r="A1952" s="345"/>
    </row>
    <row r="1953" spans="1:1" ht="21">
      <c r="A1953" s="345"/>
    </row>
    <row r="1954" spans="1:1" ht="21">
      <c r="A1954" s="345"/>
    </row>
    <row r="1955" spans="1:1" ht="21">
      <c r="A1955" s="345"/>
    </row>
    <row r="1956" spans="1:1" ht="21">
      <c r="A1956" s="345"/>
    </row>
    <row r="1957" spans="1:1" ht="21">
      <c r="A1957" s="345"/>
    </row>
    <row r="1958" spans="1:1" ht="21">
      <c r="A1958" s="345"/>
    </row>
    <row r="1959" spans="1:1" ht="21">
      <c r="A1959" s="345"/>
    </row>
    <row r="1960" spans="1:1" ht="21">
      <c r="A1960" s="345"/>
    </row>
    <row r="1961" spans="1:1" ht="21">
      <c r="A1961" s="345"/>
    </row>
    <row r="1962" spans="1:1" ht="21">
      <c r="A1962" s="345"/>
    </row>
    <row r="1963" spans="1:1" ht="21">
      <c r="A1963" s="345"/>
    </row>
    <row r="1964" spans="1:1" ht="21">
      <c r="A1964" s="345"/>
    </row>
    <row r="1965" spans="1:1" ht="21">
      <c r="A1965" s="345"/>
    </row>
    <row r="1966" spans="1:1" ht="21">
      <c r="A1966" s="345"/>
    </row>
    <row r="1967" spans="1:1" ht="21">
      <c r="A1967" s="345"/>
    </row>
    <row r="1968" spans="1:1" ht="21">
      <c r="A1968" s="345"/>
    </row>
    <row r="1969" spans="1:1" ht="21">
      <c r="A1969" s="345"/>
    </row>
    <row r="1970" spans="1:1" ht="21">
      <c r="A1970" s="345"/>
    </row>
    <row r="1971" spans="1:1" ht="21">
      <c r="A1971" s="345"/>
    </row>
    <row r="1972" spans="1:1" ht="21">
      <c r="A1972" s="345"/>
    </row>
    <row r="1973" spans="1:1" ht="21">
      <c r="A1973" s="345"/>
    </row>
    <row r="1974" spans="1:1" ht="21">
      <c r="A1974" s="345"/>
    </row>
    <row r="1975" spans="1:1" ht="21">
      <c r="A1975" s="345"/>
    </row>
    <row r="1976" spans="1:1" ht="21">
      <c r="A1976" s="345"/>
    </row>
    <row r="1977" spans="1:1" ht="21">
      <c r="A1977" s="345"/>
    </row>
    <row r="1978" spans="1:1" ht="21">
      <c r="A1978" s="345"/>
    </row>
    <row r="1979" spans="1:1" ht="21">
      <c r="A1979" s="345"/>
    </row>
    <row r="1980" spans="1:1" ht="21">
      <c r="A1980" s="345"/>
    </row>
    <row r="1981" spans="1:1" ht="21">
      <c r="A1981" s="345"/>
    </row>
    <row r="1982" spans="1:1" ht="21">
      <c r="A1982" s="345"/>
    </row>
    <row r="1983" spans="1:1" ht="21">
      <c r="A1983" s="345"/>
    </row>
    <row r="1984" spans="1:1" ht="21">
      <c r="A1984" s="345"/>
    </row>
    <row r="1985" spans="1:1" ht="21">
      <c r="A1985" s="345"/>
    </row>
    <row r="1986" spans="1:1" ht="21">
      <c r="A1986" s="345"/>
    </row>
    <row r="1987" spans="1:1" ht="21">
      <c r="A1987" s="345"/>
    </row>
    <row r="1988" spans="1:1" ht="21">
      <c r="A1988" s="345"/>
    </row>
    <row r="1989" spans="1:1" ht="21">
      <c r="A1989" s="345"/>
    </row>
    <row r="1990" spans="1:1" ht="21">
      <c r="A1990" s="345"/>
    </row>
    <row r="1991" spans="1:1" ht="21">
      <c r="A1991" s="345"/>
    </row>
    <row r="1992" spans="1:1" ht="21">
      <c r="A1992" s="345"/>
    </row>
    <row r="1993" spans="1:1" ht="21">
      <c r="A1993" s="345"/>
    </row>
    <row r="1994" spans="1:1" ht="21">
      <c r="A1994" s="345"/>
    </row>
    <row r="1995" spans="1:1" ht="21">
      <c r="A1995" s="345"/>
    </row>
    <row r="1996" spans="1:1" ht="21">
      <c r="A1996" s="345"/>
    </row>
    <row r="1997" spans="1:1" ht="21">
      <c r="A1997" s="345"/>
    </row>
    <row r="1998" spans="1:1" ht="21">
      <c r="A1998" s="345"/>
    </row>
    <row r="1999" spans="1:1" ht="21">
      <c r="A1999" s="345"/>
    </row>
    <row r="2000" spans="1:1" ht="21">
      <c r="A2000" s="345"/>
    </row>
    <row r="2001" spans="1:1" ht="21">
      <c r="A2001" s="345"/>
    </row>
    <row r="2002" spans="1:1" ht="21">
      <c r="A2002" s="345"/>
    </row>
    <row r="2003" spans="1:1" ht="21">
      <c r="A2003" s="345"/>
    </row>
    <row r="2004" spans="1:1" ht="21">
      <c r="A2004" s="345"/>
    </row>
    <row r="2005" spans="1:1" ht="21">
      <c r="A2005" s="345"/>
    </row>
    <row r="2006" spans="1:1" ht="21">
      <c r="A2006" s="345"/>
    </row>
    <row r="2007" spans="1:1" ht="21">
      <c r="A2007" s="345"/>
    </row>
    <row r="2008" spans="1:1" ht="21">
      <c r="A2008" s="345"/>
    </row>
    <row r="2009" spans="1:1" ht="21">
      <c r="A2009" s="345"/>
    </row>
    <row r="2010" spans="1:1" ht="21">
      <c r="A2010" s="345"/>
    </row>
    <row r="2011" spans="1:1" ht="21">
      <c r="A2011" s="345"/>
    </row>
    <row r="2012" spans="1:1" ht="21">
      <c r="A2012" s="345"/>
    </row>
    <row r="2013" spans="1:1" ht="21">
      <c r="A2013" s="345"/>
    </row>
    <row r="2014" spans="1:1" ht="21">
      <c r="A2014" s="345"/>
    </row>
    <row r="2015" spans="1:1" ht="21">
      <c r="A2015" s="345"/>
    </row>
    <row r="2016" spans="1:1" ht="21">
      <c r="A2016" s="345"/>
    </row>
    <row r="2017" spans="1:1" ht="21">
      <c r="A2017" s="345"/>
    </row>
    <row r="2018" spans="1:1" ht="21">
      <c r="A2018" s="345"/>
    </row>
    <row r="2019" spans="1:1" ht="21">
      <c r="A2019" s="345"/>
    </row>
    <row r="2020" spans="1:1" ht="21">
      <c r="A2020" s="345"/>
    </row>
    <row r="2021" spans="1:1" ht="21">
      <c r="A2021" s="345"/>
    </row>
    <row r="2022" spans="1:1" ht="21">
      <c r="A2022" s="345"/>
    </row>
    <row r="2023" spans="1:1" ht="21">
      <c r="A2023" s="345"/>
    </row>
    <row r="2024" spans="1:1" ht="21">
      <c r="A2024" s="345"/>
    </row>
    <row r="2025" spans="1:1" ht="21">
      <c r="A2025" s="345"/>
    </row>
    <row r="2026" spans="1:1" ht="21">
      <c r="A2026" s="345"/>
    </row>
    <row r="2027" spans="1:1" ht="21">
      <c r="A2027" s="345"/>
    </row>
    <row r="2028" spans="1:1" ht="21">
      <c r="A2028" s="345"/>
    </row>
    <row r="2029" spans="1:1" ht="21">
      <c r="A2029" s="345"/>
    </row>
    <row r="2030" spans="1:1" ht="21">
      <c r="A2030" s="345"/>
    </row>
    <row r="2031" spans="1:1" ht="21">
      <c r="A2031" s="345"/>
    </row>
    <row r="2032" spans="1:1" ht="21">
      <c r="A2032" s="345"/>
    </row>
    <row r="2033" spans="1:1" ht="21">
      <c r="A2033" s="345"/>
    </row>
    <row r="2034" spans="1:1" ht="21">
      <c r="A2034" s="345"/>
    </row>
    <row r="2035" spans="1:1" ht="21">
      <c r="A2035" s="345"/>
    </row>
    <row r="2036" spans="1:1" ht="21">
      <c r="A2036" s="345"/>
    </row>
    <row r="2037" spans="1:1" ht="21">
      <c r="A2037" s="345"/>
    </row>
    <row r="2038" spans="1:1" ht="21">
      <c r="A2038" s="345"/>
    </row>
    <row r="2039" spans="1:1" ht="21">
      <c r="A2039" s="345"/>
    </row>
    <row r="2040" spans="1:1" ht="21">
      <c r="A2040" s="345"/>
    </row>
    <row r="2041" spans="1:1" ht="21">
      <c r="A2041" s="345"/>
    </row>
    <row r="2042" spans="1:1" ht="21">
      <c r="A2042" s="345"/>
    </row>
    <row r="2043" spans="1:1" ht="21">
      <c r="A2043" s="345"/>
    </row>
    <row r="2044" spans="1:1" ht="21">
      <c r="A2044" s="345"/>
    </row>
    <row r="2045" spans="1:1" ht="21">
      <c r="A2045" s="345"/>
    </row>
    <row r="2046" spans="1:1" ht="21">
      <c r="A2046" s="345"/>
    </row>
    <row r="2047" spans="1:1" ht="21">
      <c r="A2047" s="345"/>
    </row>
    <row r="2048" spans="1:1" ht="21">
      <c r="A2048" s="345"/>
    </row>
    <row r="2049" spans="1:1" ht="21">
      <c r="A2049" s="345"/>
    </row>
    <row r="2050" spans="1:1" ht="21">
      <c r="A2050" s="345"/>
    </row>
    <row r="2051" spans="1:1" ht="21">
      <c r="A2051" s="345"/>
    </row>
    <row r="2052" spans="1:1" ht="21">
      <c r="A2052" s="345"/>
    </row>
    <row r="2053" spans="1:1" ht="21">
      <c r="A2053" s="345"/>
    </row>
    <row r="2054" spans="1:1" ht="21">
      <c r="A2054" s="345"/>
    </row>
    <row r="2055" spans="1:1" ht="21">
      <c r="A2055" s="345"/>
    </row>
    <row r="2056" spans="1:1" ht="21">
      <c r="A2056" s="345"/>
    </row>
    <row r="2057" spans="1:1" ht="21">
      <c r="A2057" s="345"/>
    </row>
    <row r="2058" spans="1:1" ht="21">
      <c r="A2058" s="345"/>
    </row>
    <row r="2059" spans="1:1" ht="21">
      <c r="A2059" s="345"/>
    </row>
    <row r="2060" spans="1:1" ht="21">
      <c r="A2060" s="345"/>
    </row>
    <row r="2061" spans="1:1" ht="21">
      <c r="A2061" s="345"/>
    </row>
    <row r="2062" spans="1:1" ht="21">
      <c r="A2062" s="345"/>
    </row>
    <row r="2063" spans="1:1" ht="21">
      <c r="A2063" s="345"/>
    </row>
    <row r="2064" spans="1:1" ht="21">
      <c r="A2064" s="345"/>
    </row>
    <row r="2065" spans="1:1" ht="21">
      <c r="A2065" s="345"/>
    </row>
    <row r="2066" spans="1:1" ht="21">
      <c r="A2066" s="345"/>
    </row>
    <row r="2067" spans="1:1" ht="21">
      <c r="A2067" s="345"/>
    </row>
    <row r="2068" spans="1:1" ht="21">
      <c r="A2068" s="345"/>
    </row>
    <row r="2069" spans="1:1" ht="21">
      <c r="A2069" s="345"/>
    </row>
    <row r="2070" spans="1:1" ht="21">
      <c r="A2070" s="345"/>
    </row>
    <row r="2071" spans="1:1" ht="21">
      <c r="A2071" s="345"/>
    </row>
    <row r="2072" spans="1:1" ht="21">
      <c r="A2072" s="345"/>
    </row>
    <row r="2073" spans="1:1" ht="21">
      <c r="A2073" s="345"/>
    </row>
    <row r="2074" spans="1:1" ht="21">
      <c r="A2074" s="345"/>
    </row>
    <row r="2075" spans="1:1" ht="21">
      <c r="A2075" s="345"/>
    </row>
    <row r="2076" spans="1:1" ht="21">
      <c r="A2076" s="345"/>
    </row>
    <row r="2077" spans="1:1" ht="21">
      <c r="A2077" s="345"/>
    </row>
    <row r="2078" spans="1:1" ht="21">
      <c r="A2078" s="345"/>
    </row>
    <row r="2079" spans="1:1" ht="21">
      <c r="A2079" s="345"/>
    </row>
    <row r="2080" spans="1:1" ht="21">
      <c r="A2080" s="345"/>
    </row>
    <row r="2081" spans="1:1" ht="21">
      <c r="A2081" s="345"/>
    </row>
    <row r="2082" spans="1:1" ht="21">
      <c r="A2082" s="345"/>
    </row>
    <row r="2083" spans="1:1" ht="21">
      <c r="A2083" s="345"/>
    </row>
    <row r="2084" spans="1:1" ht="21">
      <c r="A2084" s="345"/>
    </row>
    <row r="2085" spans="1:1" ht="21">
      <c r="A2085" s="345"/>
    </row>
    <row r="2086" spans="1:1" ht="21">
      <c r="A2086" s="345"/>
    </row>
    <row r="2087" spans="1:1" ht="21">
      <c r="A2087" s="345"/>
    </row>
    <row r="2088" spans="1:1" ht="21">
      <c r="A2088" s="345"/>
    </row>
    <row r="2089" spans="1:1" ht="21">
      <c r="A2089" s="345"/>
    </row>
    <row r="2090" spans="1:1" ht="21">
      <c r="A2090" s="345"/>
    </row>
    <row r="2091" spans="1:1" ht="21">
      <c r="A2091" s="345"/>
    </row>
    <row r="2092" spans="1:1" ht="21">
      <c r="A2092" s="345"/>
    </row>
    <row r="2093" spans="1:1" ht="21">
      <c r="A2093" s="345"/>
    </row>
    <row r="2094" spans="1:1" ht="21">
      <c r="A2094" s="345"/>
    </row>
    <row r="2095" spans="1:1" ht="21">
      <c r="A2095" s="345"/>
    </row>
    <row r="2096" spans="1:1" ht="21">
      <c r="A2096" s="345"/>
    </row>
    <row r="2097" spans="1:1" ht="21">
      <c r="A2097" s="345"/>
    </row>
    <row r="2098" spans="1:1" ht="21">
      <c r="A2098" s="345"/>
    </row>
    <row r="2099" spans="1:1" ht="21">
      <c r="A2099" s="345"/>
    </row>
    <row r="2100" spans="1:1" ht="21">
      <c r="A2100" s="345"/>
    </row>
    <row r="2101" spans="1:1" ht="21">
      <c r="A2101" s="345"/>
    </row>
    <row r="2102" spans="1:1" ht="21">
      <c r="A2102" s="345"/>
    </row>
    <row r="2103" spans="1:1" ht="21">
      <c r="A2103" s="345"/>
    </row>
    <row r="2104" spans="1:1" ht="21">
      <c r="A2104" s="345"/>
    </row>
    <row r="2105" spans="1:1" ht="21">
      <c r="A2105" s="345"/>
    </row>
    <row r="2106" spans="1:1" ht="21">
      <c r="A2106" s="345"/>
    </row>
    <row r="2107" spans="1:1" ht="21">
      <c r="A2107" s="345"/>
    </row>
    <row r="2108" spans="1:1" ht="21">
      <c r="A2108" s="345"/>
    </row>
    <row r="2109" spans="1:1" ht="21">
      <c r="A2109" s="345"/>
    </row>
    <row r="2110" spans="1:1" ht="21">
      <c r="A2110" s="345"/>
    </row>
    <row r="2111" spans="1:1" ht="21">
      <c r="A2111" s="345"/>
    </row>
    <row r="2112" spans="1:1" ht="21">
      <c r="A2112" s="345"/>
    </row>
    <row r="2113" spans="1:1" ht="21">
      <c r="A2113" s="345"/>
    </row>
    <row r="2114" spans="1:1" ht="21">
      <c r="A2114" s="345"/>
    </row>
    <row r="2115" spans="1:1" ht="21">
      <c r="A2115" s="345"/>
    </row>
    <row r="2116" spans="1:1" ht="21">
      <c r="A2116" s="345"/>
    </row>
    <row r="2117" spans="1:1" ht="21">
      <c r="A2117" s="345"/>
    </row>
    <row r="2118" spans="1:1" ht="21">
      <c r="A2118" s="345"/>
    </row>
    <row r="2119" spans="1:1" ht="21">
      <c r="A2119" s="345"/>
    </row>
    <row r="2120" spans="1:1" ht="21">
      <c r="A2120" s="345"/>
    </row>
    <row r="2121" spans="1:1" ht="21">
      <c r="A2121" s="345"/>
    </row>
    <row r="2122" spans="1:1" ht="21">
      <c r="A2122" s="345"/>
    </row>
    <row r="2123" spans="1:1" ht="21">
      <c r="A2123" s="345"/>
    </row>
    <row r="2124" spans="1:1" ht="21">
      <c r="A2124" s="345"/>
    </row>
    <row r="2125" spans="1:1" ht="21">
      <c r="A2125" s="345"/>
    </row>
    <row r="2126" spans="1:1" ht="21">
      <c r="A2126" s="345"/>
    </row>
    <row r="2127" spans="1:1" ht="21">
      <c r="A2127" s="345"/>
    </row>
    <row r="2128" spans="1:1" ht="21">
      <c r="A2128" s="345"/>
    </row>
    <row r="2129" spans="1:1" ht="21">
      <c r="A2129" s="345"/>
    </row>
    <row r="2130" spans="1:1" ht="21">
      <c r="A2130" s="345"/>
    </row>
    <row r="2131" spans="1:1" ht="21">
      <c r="A2131" s="345"/>
    </row>
    <row r="2132" spans="1:1" ht="21">
      <c r="A2132" s="345"/>
    </row>
    <row r="2133" spans="1:1" ht="21">
      <c r="A2133" s="345"/>
    </row>
    <row r="2134" spans="1:1" ht="21">
      <c r="A2134" s="345"/>
    </row>
    <row r="2135" spans="1:1" ht="21">
      <c r="A2135" s="345"/>
    </row>
    <row r="2136" spans="1:1" ht="21">
      <c r="A2136" s="345"/>
    </row>
    <row r="2137" spans="1:1" ht="21">
      <c r="A2137" s="345"/>
    </row>
    <row r="2138" spans="1:1" ht="21">
      <c r="A2138" s="345"/>
    </row>
    <row r="2139" spans="1:1" ht="21">
      <c r="A2139" s="345"/>
    </row>
    <row r="2140" spans="1:1" ht="21">
      <c r="A2140" s="345"/>
    </row>
    <row r="2141" spans="1:1" ht="21">
      <c r="A2141" s="345"/>
    </row>
    <row r="2142" spans="1:1" ht="21">
      <c r="A2142" s="345"/>
    </row>
    <row r="2143" spans="1:1" ht="21">
      <c r="A2143" s="345"/>
    </row>
    <row r="2144" spans="1:1" ht="21">
      <c r="A2144" s="345"/>
    </row>
    <row r="2145" spans="1:1" ht="21">
      <c r="A2145" s="345"/>
    </row>
    <row r="2146" spans="1:1" ht="21">
      <c r="A2146" s="345"/>
    </row>
    <row r="2147" spans="1:1" ht="21">
      <c r="A2147" s="345"/>
    </row>
    <row r="2148" spans="1:1" ht="21">
      <c r="A2148" s="345"/>
    </row>
    <row r="2149" spans="1:1" ht="21">
      <c r="A2149" s="345"/>
    </row>
    <row r="2150" spans="1:1" ht="21">
      <c r="A2150" s="345"/>
    </row>
    <row r="2151" spans="1:1" ht="21">
      <c r="A2151" s="345"/>
    </row>
    <row r="2152" spans="1:1" ht="21">
      <c r="A2152" s="345"/>
    </row>
    <row r="2153" spans="1:1" ht="21">
      <c r="A2153" s="345"/>
    </row>
    <row r="2154" spans="1:1" ht="21">
      <c r="A2154" s="345"/>
    </row>
    <row r="2155" spans="1:1" ht="21">
      <c r="A2155" s="345"/>
    </row>
    <row r="2156" spans="1:1" ht="21">
      <c r="A2156" s="345"/>
    </row>
    <row r="2157" spans="1:1" ht="21">
      <c r="A2157" s="345"/>
    </row>
    <row r="2158" spans="1:1" ht="21">
      <c r="A2158" s="345"/>
    </row>
    <row r="2159" spans="1:1" ht="21">
      <c r="A2159" s="345"/>
    </row>
    <row r="2160" spans="1:1" ht="21">
      <c r="A2160" s="345"/>
    </row>
    <row r="2161" spans="1:1" ht="21">
      <c r="A2161" s="345"/>
    </row>
    <row r="2162" spans="1:1" ht="21">
      <c r="A2162" s="345"/>
    </row>
    <row r="2163" spans="1:1" ht="21">
      <c r="A2163" s="345"/>
    </row>
    <row r="2164" spans="1:1" ht="21">
      <c r="A2164" s="345"/>
    </row>
    <row r="2165" spans="1:1" ht="21">
      <c r="A2165" s="345"/>
    </row>
    <row r="2166" spans="1:1" ht="21">
      <c r="A2166" s="345"/>
    </row>
    <row r="2167" spans="1:1" ht="21">
      <c r="A2167" s="345"/>
    </row>
    <row r="2168" spans="1:1" ht="21">
      <c r="A2168" s="345"/>
    </row>
    <row r="2169" spans="1:1" ht="21">
      <c r="A2169" s="345"/>
    </row>
    <row r="2170" spans="1:1" ht="21">
      <c r="A2170" s="345"/>
    </row>
    <row r="2171" spans="1:1" ht="21">
      <c r="A2171" s="345"/>
    </row>
    <row r="2172" spans="1:1" ht="21">
      <c r="A2172" s="345"/>
    </row>
    <row r="2173" spans="1:1" ht="21">
      <c r="A2173" s="345"/>
    </row>
    <row r="2174" spans="1:1" ht="21">
      <c r="A2174" s="345"/>
    </row>
    <row r="2175" spans="1:1" ht="21">
      <c r="A2175" s="345"/>
    </row>
    <row r="2176" spans="1:1" ht="21">
      <c r="A2176" s="345"/>
    </row>
    <row r="2177" spans="1:1" ht="21">
      <c r="A2177" s="345"/>
    </row>
    <row r="2178" spans="1:1" ht="21">
      <c r="A2178" s="345"/>
    </row>
    <row r="2179" spans="1:1" ht="21">
      <c r="A2179" s="345"/>
    </row>
    <row r="2180" spans="1:1" ht="21">
      <c r="A2180" s="345"/>
    </row>
    <row r="2181" spans="1:1" ht="21">
      <c r="A2181" s="345"/>
    </row>
    <row r="2182" spans="1:1" ht="21">
      <c r="A2182" s="345"/>
    </row>
    <row r="2183" spans="1:1" ht="21">
      <c r="A2183" s="345"/>
    </row>
    <row r="2184" spans="1:1" ht="21">
      <c r="A2184" s="345"/>
    </row>
    <row r="2185" spans="1:1" ht="21">
      <c r="A2185" s="345"/>
    </row>
    <row r="2186" spans="1:1" ht="21">
      <c r="A2186" s="345"/>
    </row>
    <row r="2187" spans="1:1" ht="21">
      <c r="A2187" s="345"/>
    </row>
    <row r="2188" spans="1:1" ht="21">
      <c r="A2188" s="345"/>
    </row>
    <row r="2189" spans="1:1" ht="21">
      <c r="A2189" s="345"/>
    </row>
    <row r="2190" spans="1:1" ht="21">
      <c r="A2190" s="345"/>
    </row>
    <row r="2191" spans="1:1" ht="21">
      <c r="A2191" s="345"/>
    </row>
    <row r="2192" spans="1:1" ht="21">
      <c r="A2192" s="345"/>
    </row>
    <row r="2193" spans="1:1" ht="21">
      <c r="A2193" s="345"/>
    </row>
    <row r="2194" spans="1:1" ht="21">
      <c r="A2194" s="345"/>
    </row>
    <row r="2195" spans="1:1" ht="21">
      <c r="A2195" s="345"/>
    </row>
    <row r="2196" spans="1:1" ht="21">
      <c r="A2196" s="345"/>
    </row>
    <row r="2197" spans="1:1" ht="21">
      <c r="A2197" s="345"/>
    </row>
    <row r="2198" spans="1:1" ht="21">
      <c r="A2198" s="345"/>
    </row>
    <row r="2199" spans="1:1" ht="21">
      <c r="A2199" s="345"/>
    </row>
    <row r="2200" spans="1:1" ht="21">
      <c r="A2200" s="345"/>
    </row>
    <row r="2201" spans="1:1" ht="21">
      <c r="A2201" s="345"/>
    </row>
    <row r="2202" spans="1:1" ht="21">
      <c r="A2202" s="345"/>
    </row>
    <row r="2203" spans="1:1" ht="21">
      <c r="A2203" s="345"/>
    </row>
    <row r="2204" spans="1:1" ht="21">
      <c r="A2204" s="345"/>
    </row>
    <row r="2205" spans="1:1" ht="21">
      <c r="A2205" s="345"/>
    </row>
    <row r="2206" spans="1:1" ht="21">
      <c r="A2206" s="345"/>
    </row>
    <row r="2207" spans="1:1" ht="21">
      <c r="A2207" s="345"/>
    </row>
    <row r="2208" spans="1:1" ht="21">
      <c r="A2208" s="345"/>
    </row>
    <row r="2209" spans="1:1" ht="21">
      <c r="A2209" s="345"/>
    </row>
    <row r="2210" spans="1:1" ht="21">
      <c r="A2210" s="345"/>
    </row>
    <row r="2211" spans="1:1" ht="21">
      <c r="A2211" s="345"/>
    </row>
    <row r="2212" spans="1:1" ht="21">
      <c r="A2212" s="345"/>
    </row>
    <row r="2213" spans="1:1" ht="21">
      <c r="A2213" s="345"/>
    </row>
    <row r="2214" spans="1:1" ht="21">
      <c r="A2214" s="345"/>
    </row>
    <row r="2215" spans="1:1" ht="21">
      <c r="A2215" s="345"/>
    </row>
    <row r="2216" spans="1:1" ht="21">
      <c r="A2216" s="345"/>
    </row>
    <row r="2217" spans="1:1" ht="21">
      <c r="A2217" s="345"/>
    </row>
    <row r="2218" spans="1:1" ht="21">
      <c r="A2218" s="345"/>
    </row>
    <row r="2219" spans="1:1" ht="21">
      <c r="A2219" s="345"/>
    </row>
    <row r="2220" spans="1:1" ht="21">
      <c r="A2220" s="345"/>
    </row>
    <row r="2221" spans="1:1" ht="21">
      <c r="A2221" s="345"/>
    </row>
    <row r="2222" spans="1:1" ht="21">
      <c r="A2222" s="345"/>
    </row>
    <row r="2223" spans="1:1" ht="21">
      <c r="A2223" s="345"/>
    </row>
    <row r="2224" spans="1:1" ht="21">
      <c r="A2224" s="345"/>
    </row>
    <row r="2225" spans="1:1" ht="21">
      <c r="A2225" s="345"/>
    </row>
    <row r="2226" spans="1:1" ht="21">
      <c r="A2226" s="345"/>
    </row>
    <row r="2227" spans="1:1" ht="21">
      <c r="A2227" s="345"/>
    </row>
    <row r="2228" spans="1:1" ht="21">
      <c r="A2228" s="345"/>
    </row>
    <row r="2229" spans="1:1" ht="21">
      <c r="A2229" s="345"/>
    </row>
    <row r="2230" spans="1:1" ht="21">
      <c r="A2230" s="345"/>
    </row>
    <row r="2231" spans="1:1" ht="21">
      <c r="A2231" s="345"/>
    </row>
    <row r="2232" spans="1:1" ht="21">
      <c r="A2232" s="345"/>
    </row>
    <row r="2233" spans="1:1" ht="21">
      <c r="A2233" s="345"/>
    </row>
    <row r="2234" spans="1:1" ht="21">
      <c r="A2234" s="345"/>
    </row>
    <row r="2235" spans="1:1" ht="21">
      <c r="A2235" s="345"/>
    </row>
    <row r="2236" spans="1:1" ht="21">
      <c r="A2236" s="345"/>
    </row>
    <row r="2237" spans="1:1" ht="21">
      <c r="A2237" s="345"/>
    </row>
    <row r="2238" spans="1:1" ht="21">
      <c r="A2238" s="345"/>
    </row>
    <row r="2239" spans="1:1" ht="21">
      <c r="A2239" s="345"/>
    </row>
    <row r="2240" spans="1:1" ht="21">
      <c r="A2240" s="345"/>
    </row>
    <row r="2241" spans="1:1" ht="21">
      <c r="A2241" s="345"/>
    </row>
    <row r="2242" spans="1:1" ht="21">
      <c r="A2242" s="345"/>
    </row>
    <row r="2243" spans="1:1" ht="21">
      <c r="A2243" s="345"/>
    </row>
    <row r="2244" spans="1:1" ht="21">
      <c r="A2244" s="345"/>
    </row>
    <row r="2245" spans="1:1" ht="21">
      <c r="A2245" s="345"/>
    </row>
    <row r="2246" spans="1:1" ht="21">
      <c r="A2246" s="345"/>
    </row>
    <row r="2247" spans="1:1" ht="21">
      <c r="A2247" s="345"/>
    </row>
    <row r="2248" spans="1:1" ht="21">
      <c r="A2248" s="345"/>
    </row>
    <row r="2249" spans="1:1" ht="21">
      <c r="A2249" s="345"/>
    </row>
    <row r="2250" spans="1:1" ht="21">
      <c r="A2250" s="345"/>
    </row>
    <row r="2251" spans="1:1" ht="21">
      <c r="A2251" s="345"/>
    </row>
    <row r="2252" spans="1:1" ht="21">
      <c r="A2252" s="345"/>
    </row>
    <row r="2253" spans="1:1" ht="21">
      <c r="A2253" s="345"/>
    </row>
    <row r="2254" spans="1:1" ht="21">
      <c r="A2254" s="345"/>
    </row>
    <row r="2255" spans="1:1" ht="21">
      <c r="A2255" s="345"/>
    </row>
    <row r="2256" spans="1:1" ht="21">
      <c r="A2256" s="345"/>
    </row>
    <row r="2257" spans="1:1" ht="21">
      <c r="A2257" s="345"/>
    </row>
    <row r="2258" spans="1:1" ht="21">
      <c r="A2258" s="345"/>
    </row>
    <row r="2259" spans="1:1" ht="21">
      <c r="A2259" s="345"/>
    </row>
    <row r="2260" spans="1:1" ht="21">
      <c r="A2260" s="345"/>
    </row>
    <row r="2261" spans="1:1" ht="21">
      <c r="A2261" s="345"/>
    </row>
    <row r="2262" spans="1:1" ht="21">
      <c r="A2262" s="345"/>
    </row>
    <row r="2263" spans="1:1" ht="21">
      <c r="A2263" s="345"/>
    </row>
    <row r="2264" spans="1:1" ht="21">
      <c r="A2264" s="345"/>
    </row>
    <row r="2265" spans="1:1" ht="21">
      <c r="A2265" s="345"/>
    </row>
    <row r="2266" spans="1:1" ht="21">
      <c r="A2266" s="345"/>
    </row>
    <row r="2267" spans="1:1" ht="21">
      <c r="A2267" s="345"/>
    </row>
    <row r="2268" spans="1:1" ht="21">
      <c r="A2268" s="345"/>
    </row>
    <row r="2269" spans="1:1" ht="21">
      <c r="A2269" s="345"/>
    </row>
    <row r="2270" spans="1:1" ht="21">
      <c r="A2270" s="345"/>
    </row>
    <row r="2271" spans="1:1" ht="21">
      <c r="A2271" s="345"/>
    </row>
    <row r="2272" spans="1:1" ht="21">
      <c r="A2272" s="345"/>
    </row>
    <row r="2273" spans="1:1" ht="21">
      <c r="A2273" s="345"/>
    </row>
    <row r="2274" spans="1:1" ht="21">
      <c r="A2274" s="345"/>
    </row>
    <row r="2275" spans="1:1" ht="21">
      <c r="A2275" s="345"/>
    </row>
    <row r="2276" spans="1:1" ht="21">
      <c r="A2276" s="345"/>
    </row>
    <row r="2277" spans="1:1" ht="21">
      <c r="A2277" s="345"/>
    </row>
    <row r="2278" spans="1:1" ht="21">
      <c r="A2278" s="345"/>
    </row>
    <row r="2279" spans="1:1" ht="21">
      <c r="A2279" s="345"/>
    </row>
    <row r="2280" spans="1:1" ht="21">
      <c r="A2280" s="345"/>
    </row>
    <row r="2281" spans="1:1" ht="21">
      <c r="A2281" s="345"/>
    </row>
    <row r="2282" spans="1:1" ht="21">
      <c r="A2282" s="345"/>
    </row>
    <row r="2283" spans="1:1" ht="21">
      <c r="A2283" s="345"/>
    </row>
    <row r="2284" spans="1:1" ht="21">
      <c r="A2284" s="345"/>
    </row>
    <row r="2285" spans="1:1" ht="21">
      <c r="A2285" s="345"/>
    </row>
    <row r="2286" spans="1:1" ht="21">
      <c r="A2286" s="345"/>
    </row>
    <row r="2287" spans="1:1" ht="21">
      <c r="A2287" s="345"/>
    </row>
    <row r="2288" spans="1:1" ht="21">
      <c r="A2288" s="345"/>
    </row>
    <row r="2289" spans="1:1" ht="21">
      <c r="A2289" s="345"/>
    </row>
    <row r="2290" spans="1:1" ht="21">
      <c r="A2290" s="345"/>
    </row>
    <row r="2291" spans="1:1" ht="21">
      <c r="A2291" s="345"/>
    </row>
    <row r="2292" spans="1:1" ht="21">
      <c r="A2292" s="345"/>
    </row>
    <row r="2293" spans="1:1" ht="21">
      <c r="A2293" s="345"/>
    </row>
    <row r="2294" spans="1:1" ht="21">
      <c r="A2294" s="345"/>
    </row>
    <row r="2295" spans="1:1" ht="21">
      <c r="A2295" s="345"/>
    </row>
    <row r="2296" spans="1:1" ht="21">
      <c r="A2296" s="345"/>
    </row>
    <row r="2297" spans="1:1" ht="21">
      <c r="A2297" s="345"/>
    </row>
    <row r="2298" spans="1:1" ht="21">
      <c r="A2298" s="345"/>
    </row>
    <row r="2299" spans="1:1" ht="21">
      <c r="A2299" s="345"/>
    </row>
    <row r="2300" spans="1:1" ht="21">
      <c r="A2300" s="345"/>
    </row>
    <row r="2301" spans="1:1" ht="21">
      <c r="A2301" s="345"/>
    </row>
    <row r="2302" spans="1:1" ht="21">
      <c r="A2302" s="345"/>
    </row>
    <row r="2303" spans="1:1" ht="21">
      <c r="A2303" s="345"/>
    </row>
    <row r="2304" spans="1:1" ht="21">
      <c r="A2304" s="345"/>
    </row>
    <row r="2305" spans="1:1" ht="21">
      <c r="A2305" s="345"/>
    </row>
    <row r="2306" spans="1:1" ht="21">
      <c r="A2306" s="345"/>
    </row>
    <row r="2307" spans="1:1" ht="21">
      <c r="A2307" s="345"/>
    </row>
    <row r="2308" spans="1:1" ht="21">
      <c r="A2308" s="345"/>
    </row>
    <row r="2309" spans="1:1" ht="21">
      <c r="A2309" s="345"/>
    </row>
    <row r="2310" spans="1:1" ht="21">
      <c r="A2310" s="345"/>
    </row>
    <row r="2311" spans="1:1" ht="21">
      <c r="A2311" s="345"/>
    </row>
    <row r="2312" spans="1:1" ht="21">
      <c r="A2312" s="345"/>
    </row>
    <row r="2313" spans="1:1" ht="21">
      <c r="A2313" s="345"/>
    </row>
    <row r="2314" spans="1:1" ht="21">
      <c r="A2314" s="345"/>
    </row>
    <row r="2315" spans="1:1" ht="21">
      <c r="A2315" s="345"/>
    </row>
    <row r="2316" spans="1:1" ht="21">
      <c r="A2316" s="345"/>
    </row>
    <row r="2317" spans="1:1" ht="21">
      <c r="A2317" s="345"/>
    </row>
    <row r="2318" spans="1:1" ht="21">
      <c r="A2318" s="345"/>
    </row>
    <row r="2319" spans="1:1" ht="21">
      <c r="A2319" s="345"/>
    </row>
    <row r="2320" spans="1:1" ht="21">
      <c r="A2320" s="345"/>
    </row>
    <row r="2321" spans="1:1" ht="21">
      <c r="A2321" s="345"/>
    </row>
    <row r="2322" spans="1:1" ht="21">
      <c r="A2322" s="345"/>
    </row>
    <row r="2323" spans="1:1" ht="21">
      <c r="A2323" s="345"/>
    </row>
    <row r="2324" spans="1:1" ht="21">
      <c r="A2324" s="345"/>
    </row>
    <row r="2325" spans="1:1" ht="21">
      <c r="A2325" s="345"/>
    </row>
    <row r="2326" spans="1:1" ht="21">
      <c r="A2326" s="345"/>
    </row>
    <row r="2327" spans="1:1" ht="21">
      <c r="A2327" s="345"/>
    </row>
    <row r="2328" spans="1:1" ht="21">
      <c r="A2328" s="345"/>
    </row>
    <row r="2329" spans="1:1" ht="21">
      <c r="A2329" s="345"/>
    </row>
    <row r="2330" spans="1:1" ht="21">
      <c r="A2330" s="345"/>
    </row>
    <row r="2331" spans="1:1" ht="21">
      <c r="A2331" s="345"/>
    </row>
    <row r="2332" spans="1:1" ht="21">
      <c r="A2332" s="345"/>
    </row>
    <row r="2333" spans="1:1" ht="21">
      <c r="A2333" s="345"/>
    </row>
    <row r="2334" spans="1:1" ht="21">
      <c r="A2334" s="345"/>
    </row>
    <row r="2335" spans="1:1" ht="21">
      <c r="A2335" s="345"/>
    </row>
    <row r="2336" spans="1:1" ht="21">
      <c r="A2336" s="345"/>
    </row>
    <row r="2337" spans="1:1" ht="21">
      <c r="A2337" s="345"/>
    </row>
    <row r="2338" spans="1:1" ht="21">
      <c r="A2338" s="345"/>
    </row>
    <row r="2339" spans="1:1" ht="21">
      <c r="A2339" s="345"/>
    </row>
    <row r="2340" spans="1:1" ht="21">
      <c r="A2340" s="345"/>
    </row>
    <row r="2341" spans="1:1" ht="21">
      <c r="A2341" s="345"/>
    </row>
    <row r="2342" spans="1:1" ht="21">
      <c r="A2342" s="345"/>
    </row>
    <row r="2343" spans="1:1" ht="21">
      <c r="A2343" s="345"/>
    </row>
    <row r="2344" spans="1:1" ht="21">
      <c r="A2344" s="345"/>
    </row>
    <row r="2345" spans="1:1" ht="21">
      <c r="A2345" s="345"/>
    </row>
    <row r="2346" spans="1:1" ht="21">
      <c r="A2346" s="345"/>
    </row>
    <row r="2347" spans="1:1" ht="21">
      <c r="A2347" s="345"/>
    </row>
    <row r="2348" spans="1:1" ht="21">
      <c r="A2348" s="345"/>
    </row>
    <row r="2349" spans="1:1" ht="21">
      <c r="A2349" s="345"/>
    </row>
    <row r="2350" spans="1:1" ht="21">
      <c r="A2350" s="345"/>
    </row>
    <row r="2351" spans="1:1" ht="21">
      <c r="A2351" s="345"/>
    </row>
    <row r="2352" spans="1:1" ht="21">
      <c r="A2352" s="345"/>
    </row>
    <row r="2353" spans="1:1" ht="21">
      <c r="A2353" s="345"/>
    </row>
    <row r="2354" spans="1:1" ht="21">
      <c r="A2354" s="345"/>
    </row>
    <row r="2355" spans="1:1" ht="21">
      <c r="A2355" s="345"/>
    </row>
    <row r="2356" spans="1:1" ht="21">
      <c r="A2356" s="345"/>
    </row>
    <row r="2357" spans="1:1" ht="21">
      <c r="A2357" s="345"/>
    </row>
    <row r="2358" spans="1:1" ht="21">
      <c r="A2358" s="345"/>
    </row>
    <row r="2359" spans="1:1" ht="21">
      <c r="A2359" s="345"/>
    </row>
    <row r="2360" spans="1:1" ht="21">
      <c r="A2360" s="345"/>
    </row>
    <row r="2361" spans="1:1" ht="21">
      <c r="A2361" s="345"/>
    </row>
    <row r="2362" spans="1:1" ht="21">
      <c r="A2362" s="345"/>
    </row>
    <row r="2363" spans="1:1" ht="21">
      <c r="A2363" s="345"/>
    </row>
    <row r="2364" spans="1:1" ht="21">
      <c r="A2364" s="345"/>
    </row>
    <row r="2365" spans="1:1" ht="21">
      <c r="A2365" s="345"/>
    </row>
    <row r="2366" spans="1:1" ht="21">
      <c r="A2366" s="345"/>
    </row>
    <row r="2367" spans="1:1" ht="21">
      <c r="A2367" s="345"/>
    </row>
    <row r="2368" spans="1:1" ht="21">
      <c r="A2368" s="345"/>
    </row>
    <row r="2369" spans="1:1" ht="21">
      <c r="A2369" s="345"/>
    </row>
    <row r="2370" spans="1:1" ht="21">
      <c r="A2370" s="345"/>
    </row>
    <row r="2371" spans="1:1" ht="21">
      <c r="A2371" s="345"/>
    </row>
    <row r="2372" spans="1:1" ht="21">
      <c r="A2372" s="345"/>
    </row>
    <row r="2373" spans="1:1" ht="21">
      <c r="A2373" s="345"/>
    </row>
    <row r="2374" spans="1:1" ht="21">
      <c r="A2374" s="345"/>
    </row>
    <row r="2375" spans="1:1" ht="21">
      <c r="A2375" s="345"/>
    </row>
    <row r="2376" spans="1:1" ht="21">
      <c r="A2376" s="345"/>
    </row>
    <row r="2377" spans="1:1" ht="21">
      <c r="A2377" s="345"/>
    </row>
    <row r="2378" spans="1:1" ht="21">
      <c r="A2378" s="345"/>
    </row>
    <row r="2379" spans="1:1" ht="21">
      <c r="A2379" s="345"/>
    </row>
    <row r="2380" spans="1:1" ht="21">
      <c r="A2380" s="345"/>
    </row>
    <row r="2381" spans="1:1" ht="21">
      <c r="A2381" s="345"/>
    </row>
    <row r="2382" spans="1:1" ht="21">
      <c r="A2382" s="345"/>
    </row>
    <row r="2383" spans="1:1" ht="21">
      <c r="A2383" s="345"/>
    </row>
    <row r="2384" spans="1:1" ht="21">
      <c r="A2384" s="345"/>
    </row>
    <row r="2385" spans="1:1" ht="21">
      <c r="A2385" s="345"/>
    </row>
    <row r="2386" spans="1:1" ht="21">
      <c r="A2386" s="345"/>
    </row>
    <row r="2387" spans="1:1" ht="21">
      <c r="A2387" s="345"/>
    </row>
    <row r="2388" spans="1:1" ht="21">
      <c r="A2388" s="345"/>
    </row>
    <row r="2389" spans="1:1" ht="21">
      <c r="A2389" s="345"/>
    </row>
    <row r="2390" spans="1:1" ht="21">
      <c r="A2390" s="345"/>
    </row>
    <row r="2391" spans="1:1" ht="21">
      <c r="A2391" s="345"/>
    </row>
    <row r="2392" spans="1:1" ht="21">
      <c r="A2392" s="345"/>
    </row>
    <row r="2393" spans="1:1" ht="21">
      <c r="A2393" s="345"/>
    </row>
    <row r="2394" spans="1:1" ht="21">
      <c r="A2394" s="345"/>
    </row>
    <row r="2395" spans="1:1" ht="21">
      <c r="A2395" s="345"/>
    </row>
    <row r="2396" spans="1:1" ht="21">
      <c r="A2396" s="345"/>
    </row>
    <row r="2397" spans="1:1" ht="21">
      <c r="A2397" s="345"/>
    </row>
    <row r="2398" spans="1:1" ht="21">
      <c r="A2398" s="345"/>
    </row>
    <row r="2399" spans="1:1" ht="21">
      <c r="A2399" s="345"/>
    </row>
    <row r="2400" spans="1:1" ht="21">
      <c r="A2400" s="345"/>
    </row>
    <row r="2401" spans="1:1" ht="21">
      <c r="A2401" s="345"/>
    </row>
    <row r="2402" spans="1:1" ht="21">
      <c r="A2402" s="345"/>
    </row>
    <row r="2403" spans="1:1" ht="21">
      <c r="A2403" s="345"/>
    </row>
    <row r="2404" spans="1:1" ht="21">
      <c r="A2404" s="345"/>
    </row>
    <row r="2405" spans="1:1" ht="21">
      <c r="A2405" s="345"/>
    </row>
    <row r="2406" spans="1:1" ht="21">
      <c r="A2406" s="345"/>
    </row>
    <row r="2407" spans="1:1" ht="21">
      <c r="A2407" s="345"/>
    </row>
    <row r="2408" spans="1:1" ht="21">
      <c r="A2408" s="345"/>
    </row>
    <row r="2409" spans="1:1" ht="21">
      <c r="A2409" s="345"/>
    </row>
    <row r="2410" spans="1:1" ht="21">
      <c r="A2410" s="345"/>
    </row>
    <row r="2411" spans="1:1" ht="21">
      <c r="A2411" s="345"/>
    </row>
    <row r="2412" spans="1:1" ht="21">
      <c r="A2412" s="345"/>
    </row>
    <row r="2413" spans="1:1" ht="21">
      <c r="A2413" s="345"/>
    </row>
    <row r="2414" spans="1:1" ht="21">
      <c r="A2414" s="345"/>
    </row>
    <row r="2415" spans="1:1" ht="21">
      <c r="A2415" s="345"/>
    </row>
    <row r="2416" spans="1:1" ht="21">
      <c r="A2416" s="345"/>
    </row>
    <row r="2417" spans="1:1" ht="21">
      <c r="A2417" s="345"/>
    </row>
    <row r="2418" spans="1:1" ht="21">
      <c r="A2418" s="345"/>
    </row>
    <row r="2419" spans="1:1" ht="21">
      <c r="A2419" s="345"/>
    </row>
    <row r="2420" spans="1:1" ht="21">
      <c r="A2420" s="345"/>
    </row>
    <row r="2421" spans="1:1" ht="21">
      <c r="A2421" s="345"/>
    </row>
    <row r="2422" spans="1:1" ht="21">
      <c r="A2422" s="345"/>
    </row>
    <row r="2423" spans="1:1" ht="21">
      <c r="A2423" s="345"/>
    </row>
    <row r="2424" spans="1:1" ht="21">
      <c r="A2424" s="345"/>
    </row>
    <row r="2425" spans="1:1" ht="21">
      <c r="A2425" s="345"/>
    </row>
    <row r="2426" spans="1:1" ht="21">
      <c r="A2426" s="345"/>
    </row>
    <row r="2427" spans="1:1" ht="21">
      <c r="A2427" s="345"/>
    </row>
    <row r="2428" spans="1:1" ht="21">
      <c r="A2428" s="345"/>
    </row>
    <row r="2429" spans="1:1" ht="21">
      <c r="A2429" s="345"/>
    </row>
    <row r="2430" spans="1:1" ht="21">
      <c r="A2430" s="345"/>
    </row>
    <row r="2431" spans="1:1" ht="21">
      <c r="A2431" s="345"/>
    </row>
    <row r="2432" spans="1:1" ht="21">
      <c r="A2432" s="345"/>
    </row>
    <row r="2433" spans="1:1" ht="21">
      <c r="A2433" s="345"/>
    </row>
    <row r="2434" spans="1:1" ht="21">
      <c r="A2434" s="345"/>
    </row>
    <row r="2435" spans="1:1" ht="21">
      <c r="A2435" s="345"/>
    </row>
    <row r="2436" spans="1:1" ht="21">
      <c r="A2436" s="345"/>
    </row>
    <row r="2437" spans="1:1" ht="21">
      <c r="A2437" s="345"/>
    </row>
    <row r="2438" spans="1:1" ht="21">
      <c r="A2438" s="345"/>
    </row>
    <row r="2439" spans="1:1" ht="21">
      <c r="A2439" s="345"/>
    </row>
    <row r="2440" spans="1:1" ht="21">
      <c r="A2440" s="345"/>
    </row>
    <row r="2441" spans="1:1" ht="21">
      <c r="A2441" s="345"/>
    </row>
    <row r="2442" spans="1:1" ht="21">
      <c r="A2442" s="345"/>
    </row>
    <row r="2443" spans="1:1" ht="21">
      <c r="A2443" s="345"/>
    </row>
    <row r="2444" spans="1:1" ht="21">
      <c r="A2444" s="345"/>
    </row>
    <row r="2445" spans="1:1" ht="21">
      <c r="A2445" s="345"/>
    </row>
    <row r="2446" spans="1:1" ht="21">
      <c r="A2446" s="345"/>
    </row>
    <row r="2447" spans="1:1" ht="21">
      <c r="A2447" s="345"/>
    </row>
    <row r="2448" spans="1:1" ht="21">
      <c r="A2448" s="345"/>
    </row>
    <row r="2449" spans="1:1" ht="21">
      <c r="A2449" s="345"/>
    </row>
    <row r="2450" spans="1:1" ht="21">
      <c r="A2450" s="345"/>
    </row>
    <row r="2451" spans="1:1" ht="21">
      <c r="A2451" s="345"/>
    </row>
    <row r="2452" spans="1:1" ht="21">
      <c r="A2452" s="345"/>
    </row>
    <row r="2453" spans="1:1" ht="21">
      <c r="A2453" s="345"/>
    </row>
    <row r="2454" spans="1:1" ht="21">
      <c r="A2454" s="345"/>
    </row>
    <row r="2455" spans="1:1" ht="21">
      <c r="A2455" s="345"/>
    </row>
    <row r="2456" spans="1:1" ht="21">
      <c r="A2456" s="345"/>
    </row>
    <row r="2457" spans="1:1" ht="21">
      <c r="A2457" s="345"/>
    </row>
    <row r="2458" spans="1:1" ht="21">
      <c r="A2458" s="345"/>
    </row>
    <row r="2459" spans="1:1" ht="21">
      <c r="A2459" s="345"/>
    </row>
    <row r="2460" spans="1:1" ht="21">
      <c r="A2460" s="345"/>
    </row>
    <row r="2461" spans="1:1" ht="21">
      <c r="A2461" s="345"/>
    </row>
    <row r="2462" spans="1:1" ht="21">
      <c r="A2462" s="345"/>
    </row>
    <row r="2463" spans="1:1" ht="21">
      <c r="A2463" s="345"/>
    </row>
    <row r="2464" spans="1:1" ht="21">
      <c r="A2464" s="345"/>
    </row>
    <row r="2465" spans="1:1" ht="21">
      <c r="A2465" s="345"/>
    </row>
    <row r="2466" spans="1:1" ht="21">
      <c r="A2466" s="345"/>
    </row>
    <row r="2467" spans="1:1" ht="21">
      <c r="A2467" s="345"/>
    </row>
    <row r="2468" spans="1:1" ht="21">
      <c r="A2468" s="345"/>
    </row>
    <row r="2469" spans="1:1" ht="21">
      <c r="A2469" s="345"/>
    </row>
    <row r="2470" spans="1:1" ht="21">
      <c r="A2470" s="345"/>
    </row>
    <row r="2471" spans="1:1" ht="21">
      <c r="A2471" s="345"/>
    </row>
    <row r="2472" spans="1:1" ht="21">
      <c r="A2472" s="345"/>
    </row>
    <row r="2473" spans="1:1" ht="21">
      <c r="A2473" s="345"/>
    </row>
    <row r="2474" spans="1:1" ht="21">
      <c r="A2474" s="345"/>
    </row>
    <row r="2475" spans="1:1" ht="21">
      <c r="A2475" s="345"/>
    </row>
    <row r="2476" spans="1:1" ht="21">
      <c r="A2476" s="345"/>
    </row>
    <row r="2477" spans="1:1" ht="21">
      <c r="A2477" s="345"/>
    </row>
    <row r="2478" spans="1:1" ht="21">
      <c r="A2478" s="345"/>
    </row>
    <row r="2479" spans="1:1" ht="21">
      <c r="A2479" s="345"/>
    </row>
    <row r="2480" spans="1:1" ht="21">
      <c r="A2480" s="345"/>
    </row>
    <row r="2481" spans="1:1" ht="21">
      <c r="A2481" s="345"/>
    </row>
    <row r="2482" spans="1:1" ht="21">
      <c r="A2482" s="345"/>
    </row>
    <row r="2483" spans="1:1" ht="21">
      <c r="A2483" s="345"/>
    </row>
    <row r="2484" spans="1:1" ht="21">
      <c r="A2484" s="345"/>
    </row>
    <row r="2485" spans="1:1" ht="21">
      <c r="A2485" s="345"/>
    </row>
    <row r="2486" spans="1:1" ht="21">
      <c r="A2486" s="345"/>
    </row>
    <row r="2487" spans="1:1" ht="21">
      <c r="A2487" s="345"/>
    </row>
    <row r="2488" spans="1:1" ht="21">
      <c r="A2488" s="345"/>
    </row>
    <row r="2489" spans="1:1" ht="21">
      <c r="A2489" s="345"/>
    </row>
    <row r="2490" spans="1:1" ht="21">
      <c r="A2490" s="345"/>
    </row>
    <row r="2491" spans="1:1" ht="21">
      <c r="A2491" s="345"/>
    </row>
    <row r="2492" spans="1:1" ht="21">
      <c r="A2492" s="345"/>
    </row>
    <row r="2493" spans="1:1" ht="21">
      <c r="A2493" s="345"/>
    </row>
    <row r="2494" spans="1:1" ht="21">
      <c r="A2494" s="345"/>
    </row>
    <row r="2495" spans="1:1" ht="21">
      <c r="A2495" s="345"/>
    </row>
    <row r="2496" spans="1:1" ht="21">
      <c r="A2496" s="345"/>
    </row>
    <row r="2497" spans="1:1" ht="21">
      <c r="A2497" s="345"/>
    </row>
    <row r="2498" spans="1:1" ht="21">
      <c r="A2498" s="345"/>
    </row>
    <row r="2499" spans="1:1" ht="21">
      <c r="A2499" s="345"/>
    </row>
    <row r="2500" spans="1:1" ht="21">
      <c r="A2500" s="345"/>
    </row>
    <row r="2501" spans="1:1" ht="21">
      <c r="A2501" s="345"/>
    </row>
    <row r="2502" spans="1:1" ht="21">
      <c r="A2502" s="345"/>
    </row>
    <row r="2503" spans="1:1" ht="21">
      <c r="A2503" s="345"/>
    </row>
    <row r="2504" spans="1:1" ht="21">
      <c r="A2504" s="345"/>
    </row>
    <row r="2505" spans="1:1" ht="21">
      <c r="A2505" s="345"/>
    </row>
    <row r="2506" spans="1:1" ht="21">
      <c r="A2506" s="345"/>
    </row>
    <row r="2507" spans="1:1" ht="21">
      <c r="A2507" s="345"/>
    </row>
    <row r="2508" spans="1:1" ht="21">
      <c r="A2508" s="345"/>
    </row>
    <row r="2509" spans="1:1" ht="21">
      <c r="A2509" s="345"/>
    </row>
    <row r="2510" spans="1:1" ht="21">
      <c r="A2510" s="345"/>
    </row>
    <row r="2511" spans="1:1" ht="21">
      <c r="A2511" s="345"/>
    </row>
    <row r="2512" spans="1:1" ht="21">
      <c r="A2512" s="345"/>
    </row>
    <row r="2513" spans="1:1" ht="21">
      <c r="A2513" s="345"/>
    </row>
    <row r="2514" spans="1:1" ht="21">
      <c r="A2514" s="345"/>
    </row>
    <row r="2515" spans="1:1" ht="21">
      <c r="A2515" s="345"/>
    </row>
    <row r="2516" spans="1:1" ht="21">
      <c r="A2516" s="345"/>
    </row>
    <row r="2517" spans="1:1" ht="21">
      <c r="A2517" s="345"/>
    </row>
    <row r="2518" spans="1:1" ht="21">
      <c r="A2518" s="345"/>
    </row>
    <row r="2519" spans="1:1" ht="21">
      <c r="A2519" s="345"/>
    </row>
    <row r="2520" spans="1:1" ht="21">
      <c r="A2520" s="345"/>
    </row>
    <row r="2521" spans="1:1" ht="21">
      <c r="A2521" s="345"/>
    </row>
    <row r="2522" spans="1:1" ht="21">
      <c r="A2522" s="345"/>
    </row>
    <row r="2523" spans="1:1" ht="21">
      <c r="A2523" s="345"/>
    </row>
    <row r="2524" spans="1:1" ht="21">
      <c r="A2524" s="345"/>
    </row>
    <row r="2525" spans="1:1" ht="21">
      <c r="A2525" s="345"/>
    </row>
    <row r="2526" spans="1:1" ht="21">
      <c r="A2526" s="345"/>
    </row>
    <row r="2527" spans="1:1" ht="21">
      <c r="A2527" s="345"/>
    </row>
    <row r="2528" spans="1:1" ht="21">
      <c r="A2528" s="345"/>
    </row>
    <row r="2529" spans="1:1" ht="21">
      <c r="A2529" s="345"/>
    </row>
    <row r="2530" spans="1:1" ht="21">
      <c r="A2530" s="345"/>
    </row>
    <row r="2531" spans="1:1" ht="21">
      <c r="A2531" s="345"/>
    </row>
    <row r="2532" spans="1:1" ht="21">
      <c r="A2532" s="345"/>
    </row>
    <row r="2533" spans="1:1" ht="21">
      <c r="A2533" s="345"/>
    </row>
    <row r="2534" spans="1:1" ht="21">
      <c r="A2534" s="345"/>
    </row>
    <row r="2535" spans="1:1" ht="21">
      <c r="A2535" s="345"/>
    </row>
    <row r="2536" spans="1:1" ht="21">
      <c r="A2536" s="345"/>
    </row>
    <row r="2537" spans="1:1" ht="21">
      <c r="A2537" s="345"/>
    </row>
    <row r="2538" spans="1:1" ht="21">
      <c r="A2538" s="345"/>
    </row>
    <row r="2539" spans="1:1" ht="21">
      <c r="A2539" s="345"/>
    </row>
    <row r="2540" spans="1:1" ht="21">
      <c r="A2540" s="345"/>
    </row>
    <row r="2541" spans="1:1" ht="21">
      <c r="A2541" s="345"/>
    </row>
    <row r="2542" spans="1:1" ht="21">
      <c r="A2542" s="345"/>
    </row>
    <row r="2543" spans="1:1" ht="21">
      <c r="A2543" s="345"/>
    </row>
    <row r="2544" spans="1:1" ht="21">
      <c r="A2544" s="345"/>
    </row>
    <row r="2545" spans="1:1" ht="21">
      <c r="A2545" s="345"/>
    </row>
    <row r="2546" spans="1:1" ht="21">
      <c r="A2546" s="345"/>
    </row>
    <row r="2547" spans="1:1" ht="21">
      <c r="A2547" s="345"/>
    </row>
    <row r="2548" spans="1:1" ht="21">
      <c r="A2548" s="345"/>
    </row>
    <row r="2549" spans="1:1" ht="21">
      <c r="A2549" s="345"/>
    </row>
    <row r="2550" spans="1:1" ht="21">
      <c r="A2550" s="345"/>
    </row>
    <row r="2551" spans="1:1" ht="21">
      <c r="A2551" s="345"/>
    </row>
    <row r="2552" spans="1:1" ht="21">
      <c r="A2552" s="345"/>
    </row>
    <row r="2553" spans="1:1" ht="21">
      <c r="A2553" s="345"/>
    </row>
    <row r="2554" spans="1:1" ht="21">
      <c r="A2554" s="345"/>
    </row>
    <row r="2555" spans="1:1" ht="21">
      <c r="A2555" s="345"/>
    </row>
    <row r="2556" spans="1:1" ht="21">
      <c r="A2556" s="345"/>
    </row>
    <row r="2557" spans="1:1" ht="21">
      <c r="A2557" s="345"/>
    </row>
    <row r="2558" spans="1:1" ht="21">
      <c r="A2558" s="345"/>
    </row>
    <row r="2559" spans="1:1" ht="21">
      <c r="A2559" s="345"/>
    </row>
    <row r="2560" spans="1:1" ht="21">
      <c r="A2560" s="345"/>
    </row>
    <row r="2561" spans="1:1" ht="21">
      <c r="A2561" s="345"/>
    </row>
    <row r="2562" spans="1:1" ht="21">
      <c r="A2562" s="345"/>
    </row>
    <row r="2563" spans="1:1" ht="21">
      <c r="A2563" s="345"/>
    </row>
    <row r="2564" spans="1:1" ht="21">
      <c r="A2564" s="345"/>
    </row>
    <row r="2565" spans="1:1" ht="21">
      <c r="A2565" s="345"/>
    </row>
    <row r="2566" spans="1:1" ht="21">
      <c r="A2566" s="345"/>
    </row>
    <row r="2567" spans="1:1" ht="21">
      <c r="A2567" s="345"/>
    </row>
    <row r="2568" spans="1:1" ht="21">
      <c r="A2568" s="345"/>
    </row>
    <row r="2569" spans="1:1" ht="21">
      <c r="A2569" s="345"/>
    </row>
    <row r="2570" spans="1:1" ht="21">
      <c r="A2570" s="345"/>
    </row>
    <row r="2571" spans="1:1" ht="21">
      <c r="A2571" s="345"/>
    </row>
    <row r="2572" spans="1:1" ht="21">
      <c r="A2572" s="345"/>
    </row>
    <row r="2573" spans="1:1" ht="21">
      <c r="A2573" s="345"/>
    </row>
    <row r="2574" spans="1:1" ht="21">
      <c r="A2574" s="345"/>
    </row>
    <row r="2575" spans="1:1" ht="21">
      <c r="A2575" s="345"/>
    </row>
    <row r="2576" spans="1:1" ht="21">
      <c r="A2576" s="345"/>
    </row>
    <row r="2577" spans="1:1" ht="21">
      <c r="A2577" s="345"/>
    </row>
    <row r="2578" spans="1:1" ht="21">
      <c r="A2578" s="345"/>
    </row>
    <row r="2579" spans="1:1" ht="21">
      <c r="A2579" s="345"/>
    </row>
    <row r="2580" spans="1:1" ht="21">
      <c r="A2580" s="345"/>
    </row>
    <row r="2581" spans="1:1" ht="21">
      <c r="A2581" s="345"/>
    </row>
    <row r="2582" spans="1:1" ht="21">
      <c r="A2582" s="345"/>
    </row>
    <row r="2583" spans="1:1" ht="21">
      <c r="A2583" s="345"/>
    </row>
    <row r="2584" spans="1:1" ht="21">
      <c r="A2584" s="345"/>
    </row>
    <row r="2585" spans="1:1" ht="21">
      <c r="A2585" s="345"/>
    </row>
    <row r="2586" spans="1:1" ht="21">
      <c r="A2586" s="345"/>
    </row>
    <row r="2587" spans="1:1" ht="21">
      <c r="A2587" s="345"/>
    </row>
    <row r="2588" spans="1:1" ht="21">
      <c r="A2588" s="345"/>
    </row>
    <row r="2589" spans="1:1" ht="21">
      <c r="A2589" s="345"/>
    </row>
    <row r="2590" spans="1:1" ht="21">
      <c r="A2590" s="345"/>
    </row>
    <row r="2591" spans="1:1" ht="21">
      <c r="A2591" s="345"/>
    </row>
    <row r="2592" spans="1:1" ht="21">
      <c r="A2592" s="345"/>
    </row>
    <row r="2593" spans="1:1" ht="21">
      <c r="A2593" s="345"/>
    </row>
    <row r="2594" spans="1:1" ht="21">
      <c r="A2594" s="345"/>
    </row>
    <row r="2595" spans="1:1" ht="21">
      <c r="A2595" s="345"/>
    </row>
    <row r="2596" spans="1:1" ht="21">
      <c r="A2596" s="345"/>
    </row>
    <row r="2597" spans="1:1" ht="21">
      <c r="A2597" s="345"/>
    </row>
    <row r="2598" spans="1:1" ht="21">
      <c r="A2598" s="345"/>
    </row>
    <row r="2599" spans="1:1" ht="21">
      <c r="A2599" s="345"/>
    </row>
    <row r="2600" spans="1:1" ht="21">
      <c r="A2600" s="345"/>
    </row>
    <row r="2601" spans="1:1" ht="21">
      <c r="A2601" s="345"/>
    </row>
    <row r="2602" spans="1:1" ht="21">
      <c r="A2602" s="345"/>
    </row>
    <row r="2603" spans="1:1" ht="21">
      <c r="A2603" s="345"/>
    </row>
    <row r="2604" spans="1:1" ht="21">
      <c r="A2604" s="345"/>
    </row>
    <row r="2605" spans="1:1" ht="21">
      <c r="A2605" s="345"/>
    </row>
    <row r="2606" spans="1:1" ht="21">
      <c r="A2606" s="345"/>
    </row>
    <row r="2607" spans="1:1" ht="21">
      <c r="A2607" s="345"/>
    </row>
    <row r="2608" spans="1:1" ht="21">
      <c r="A2608" s="345"/>
    </row>
    <row r="2609" spans="1:1" ht="21">
      <c r="A2609" s="345"/>
    </row>
    <row r="2610" spans="1:1" ht="21">
      <c r="A2610" s="345"/>
    </row>
    <row r="2611" spans="1:1" ht="21">
      <c r="A2611" s="345"/>
    </row>
    <row r="2612" spans="1:1" ht="21">
      <c r="A2612" s="345"/>
    </row>
    <row r="2613" spans="1:1" ht="21">
      <c r="A2613" s="345"/>
    </row>
    <row r="2614" spans="1:1" ht="21">
      <c r="A2614" s="345"/>
    </row>
    <row r="2615" spans="1:1" ht="21">
      <c r="A2615" s="345"/>
    </row>
    <row r="2616" spans="1:1" ht="21">
      <c r="A2616" s="345"/>
    </row>
    <row r="2617" spans="1:1" ht="21">
      <c r="A2617" s="345"/>
    </row>
    <row r="2618" spans="1:1" ht="21">
      <c r="A2618" s="345"/>
    </row>
    <row r="2619" spans="1:1" ht="21">
      <c r="A2619" s="345"/>
    </row>
    <row r="2620" spans="1:1" ht="21">
      <c r="A2620" s="345"/>
    </row>
    <row r="2621" spans="1:1" ht="21">
      <c r="A2621" s="345"/>
    </row>
    <row r="2622" spans="1:1" ht="21">
      <c r="A2622" s="345"/>
    </row>
    <row r="2623" spans="1:1" ht="21">
      <c r="A2623" s="345"/>
    </row>
    <row r="2624" spans="1:1" ht="21">
      <c r="A2624" s="345"/>
    </row>
    <row r="2625" spans="1:1" ht="21">
      <c r="A2625" s="345"/>
    </row>
    <row r="2626" spans="1:1" ht="21">
      <c r="A2626" s="345"/>
    </row>
    <row r="2627" spans="1:1" ht="21">
      <c r="A2627" s="345"/>
    </row>
    <row r="2628" spans="1:1" ht="21">
      <c r="A2628" s="345"/>
    </row>
    <row r="2629" spans="1:1" ht="21">
      <c r="A2629" s="345"/>
    </row>
    <row r="2630" spans="1:1" ht="21">
      <c r="A2630" s="345"/>
    </row>
    <row r="2631" spans="1:1" ht="21">
      <c r="A2631" s="345"/>
    </row>
    <row r="2632" spans="1:1" ht="21">
      <c r="A2632" s="345"/>
    </row>
    <row r="2633" spans="1:1" ht="21">
      <c r="A2633" s="345"/>
    </row>
    <row r="2634" spans="1:1" ht="21">
      <c r="A2634" s="345"/>
    </row>
    <row r="2635" spans="1:1" ht="21">
      <c r="A2635" s="345"/>
    </row>
    <row r="2636" spans="1:1" ht="21">
      <c r="A2636" s="345"/>
    </row>
    <row r="2637" spans="1:1" ht="21">
      <c r="A2637" s="345"/>
    </row>
    <row r="2638" spans="1:1" ht="21">
      <c r="A2638" s="345"/>
    </row>
    <row r="2639" spans="1:1" ht="21">
      <c r="A2639" s="345"/>
    </row>
    <row r="2640" spans="1:1" ht="21">
      <c r="A2640" s="345"/>
    </row>
    <row r="2641" spans="1:1" ht="21">
      <c r="A2641" s="345"/>
    </row>
    <row r="2642" spans="1:1" ht="21">
      <c r="A2642" s="345"/>
    </row>
    <row r="2643" spans="1:1" ht="21">
      <c r="A2643" s="345"/>
    </row>
    <row r="2644" spans="1:1" ht="21">
      <c r="A2644" s="345"/>
    </row>
    <row r="2645" spans="1:1" ht="21">
      <c r="A2645" s="345"/>
    </row>
    <row r="2646" spans="1:1" ht="21">
      <c r="A2646" s="345"/>
    </row>
    <row r="2647" spans="1:1" ht="21">
      <c r="A2647" s="345"/>
    </row>
    <row r="2648" spans="1:1" ht="21">
      <c r="A2648" s="345"/>
    </row>
    <row r="2649" spans="1:1" ht="21">
      <c r="A2649" s="345"/>
    </row>
    <row r="2650" spans="1:1" ht="21">
      <c r="A2650" s="345"/>
    </row>
    <row r="2651" spans="1:1" ht="21">
      <c r="A2651" s="345"/>
    </row>
    <row r="2652" spans="1:1" ht="21">
      <c r="A2652" s="345"/>
    </row>
    <row r="2653" spans="1:1" ht="21">
      <c r="A2653" s="345"/>
    </row>
    <row r="2654" spans="1:1" ht="21">
      <c r="A2654" s="345"/>
    </row>
    <row r="2655" spans="1:1" ht="21">
      <c r="A2655" s="345"/>
    </row>
    <row r="2656" spans="1:1" ht="21">
      <c r="A2656" s="345"/>
    </row>
    <row r="2657" spans="1:1" ht="21">
      <c r="A2657" s="345"/>
    </row>
    <row r="2658" spans="1:1" ht="21">
      <c r="A2658" s="345"/>
    </row>
    <row r="2659" spans="1:1" ht="21">
      <c r="A2659" s="345"/>
    </row>
    <row r="2660" spans="1:1" ht="21">
      <c r="A2660" s="345"/>
    </row>
    <row r="2661" spans="1:1" ht="21">
      <c r="A2661" s="345"/>
    </row>
    <row r="2662" spans="1:1" ht="21">
      <c r="A2662" s="345"/>
    </row>
    <row r="2663" spans="1:1" ht="21">
      <c r="A2663" s="345"/>
    </row>
    <row r="2664" spans="1:1" ht="21">
      <c r="A2664" s="345"/>
    </row>
    <row r="2665" spans="1:1" ht="21">
      <c r="A2665" s="345"/>
    </row>
    <row r="2666" spans="1:1" ht="21">
      <c r="A2666" s="345"/>
    </row>
    <row r="2667" spans="1:1" ht="21">
      <c r="A2667" s="345"/>
    </row>
    <row r="2668" spans="1:1" ht="21">
      <c r="A2668" s="345"/>
    </row>
    <row r="2669" spans="1:1" ht="21">
      <c r="A2669" s="345"/>
    </row>
    <row r="2670" spans="1:1" ht="21">
      <c r="A2670" s="345"/>
    </row>
    <row r="2671" spans="1:1" ht="21">
      <c r="A2671" s="345"/>
    </row>
    <row r="2672" spans="1:1" ht="21">
      <c r="A2672" s="345"/>
    </row>
    <row r="2673" spans="1:1" ht="21">
      <c r="A2673" s="345"/>
    </row>
    <row r="2674" spans="1:1" ht="21">
      <c r="A2674" s="345"/>
    </row>
    <row r="2675" spans="1:1" ht="21">
      <c r="A2675" s="345"/>
    </row>
    <row r="2676" spans="1:1" ht="21">
      <c r="A2676" s="345"/>
    </row>
    <row r="2677" spans="1:1" ht="21">
      <c r="A2677" s="345"/>
    </row>
    <row r="2678" spans="1:1" ht="21">
      <c r="A2678" s="345"/>
    </row>
    <row r="2679" spans="1:1" ht="21">
      <c r="A2679" s="345"/>
    </row>
    <row r="2680" spans="1:1" ht="21">
      <c r="A2680" s="345"/>
    </row>
    <row r="2681" spans="1:1" ht="21">
      <c r="A2681" s="345"/>
    </row>
    <row r="2682" spans="1:1" ht="21">
      <c r="A2682" s="345"/>
    </row>
    <row r="2683" spans="1:1" ht="21">
      <c r="A2683" s="345"/>
    </row>
    <row r="2684" spans="1:1" ht="21">
      <c r="A2684" s="345"/>
    </row>
    <row r="2685" spans="1:1" ht="21">
      <c r="A2685" s="345"/>
    </row>
    <row r="2686" spans="1:1" ht="21">
      <c r="A2686" s="345"/>
    </row>
    <row r="2687" spans="1:1" ht="21">
      <c r="A2687" s="345"/>
    </row>
    <row r="2688" spans="1:1" ht="21">
      <c r="A2688" s="345"/>
    </row>
    <row r="2689" spans="1:1" ht="21">
      <c r="A2689" s="345"/>
    </row>
    <row r="2690" spans="1:1" ht="21">
      <c r="A2690" s="345"/>
    </row>
    <row r="2691" spans="1:1" ht="21">
      <c r="A2691" s="345"/>
    </row>
    <row r="2692" spans="1:1" ht="21">
      <c r="A2692" s="345"/>
    </row>
    <row r="2693" spans="1:1" ht="21">
      <c r="A2693" s="345"/>
    </row>
    <row r="2694" spans="1:1" ht="21">
      <c r="A2694" s="345"/>
    </row>
    <row r="2695" spans="1:1" ht="21">
      <c r="A2695" s="345"/>
    </row>
    <row r="2696" spans="1:1" ht="21">
      <c r="A2696" s="345"/>
    </row>
    <row r="2697" spans="1:1" ht="21">
      <c r="A2697" s="345"/>
    </row>
    <row r="2698" spans="1:1" ht="21">
      <c r="A2698" s="345"/>
    </row>
    <row r="2699" spans="1:1" ht="21">
      <c r="A2699" s="345"/>
    </row>
    <row r="2700" spans="1:1" ht="21">
      <c r="A2700" s="345"/>
    </row>
    <row r="2701" spans="1:1" ht="21">
      <c r="A2701" s="345"/>
    </row>
    <row r="2702" spans="1:1" ht="21">
      <c r="A2702" s="345"/>
    </row>
    <row r="2703" spans="1:1" ht="21">
      <c r="A2703" s="345"/>
    </row>
    <row r="2704" spans="1:1" ht="21">
      <c r="A2704" s="345"/>
    </row>
    <row r="2705" spans="1:1" ht="21">
      <c r="A2705" s="345"/>
    </row>
    <row r="2706" spans="1:1" ht="21">
      <c r="A2706" s="345"/>
    </row>
    <row r="2707" spans="1:1" ht="21">
      <c r="A2707" s="345"/>
    </row>
    <row r="2708" spans="1:1" ht="21">
      <c r="A2708" s="345"/>
    </row>
    <row r="2709" spans="1:1" ht="21">
      <c r="A2709" s="345"/>
    </row>
    <row r="2710" spans="1:1" ht="21">
      <c r="A2710" s="345"/>
    </row>
    <row r="2711" spans="1:1" ht="21">
      <c r="A2711" s="345"/>
    </row>
    <row r="2712" spans="1:1" ht="21">
      <c r="A2712" s="345"/>
    </row>
    <row r="2713" spans="1:1" ht="21">
      <c r="A2713" s="345"/>
    </row>
    <row r="2714" spans="1:1" ht="21">
      <c r="A2714" s="345"/>
    </row>
    <row r="2715" spans="1:1" ht="21">
      <c r="A2715" s="345"/>
    </row>
    <row r="2716" spans="1:1" ht="21">
      <c r="A2716" s="345"/>
    </row>
    <row r="2717" spans="1:1" ht="21">
      <c r="A2717" s="345"/>
    </row>
    <row r="2718" spans="1:1" ht="21">
      <c r="A2718" s="345"/>
    </row>
    <row r="2719" spans="1:1" ht="21">
      <c r="A2719" s="345"/>
    </row>
    <row r="2720" spans="1:1" ht="21">
      <c r="A2720" s="345"/>
    </row>
    <row r="2721" spans="1:1" ht="21">
      <c r="A2721" s="345"/>
    </row>
    <row r="2722" spans="1:1" ht="21">
      <c r="A2722" s="345"/>
    </row>
    <row r="2723" spans="1:1" ht="21">
      <c r="A2723" s="345"/>
    </row>
    <row r="2724" spans="1:1" ht="21">
      <c r="A2724" s="345"/>
    </row>
    <row r="2725" spans="1:1" ht="21">
      <c r="A2725" s="345"/>
    </row>
    <row r="2726" spans="1:1" ht="21">
      <c r="A2726" s="345"/>
    </row>
    <row r="2727" spans="1:1" ht="21">
      <c r="A2727" s="345"/>
    </row>
    <row r="2728" spans="1:1" ht="21">
      <c r="A2728" s="345"/>
    </row>
    <row r="2729" spans="1:1" ht="21">
      <c r="A2729" s="345"/>
    </row>
    <row r="2730" spans="1:1" ht="21">
      <c r="A2730" s="345"/>
    </row>
    <row r="2731" spans="1:1" ht="21">
      <c r="A2731" s="345"/>
    </row>
    <row r="2732" spans="1:1" ht="21">
      <c r="A2732" s="345"/>
    </row>
    <row r="2733" spans="1:1" ht="21">
      <c r="A2733" s="345"/>
    </row>
    <row r="2734" spans="1:1" ht="21">
      <c r="A2734" s="345"/>
    </row>
    <row r="2735" spans="1:1" ht="21">
      <c r="A2735" s="345"/>
    </row>
    <row r="2736" spans="1:1" ht="21">
      <c r="A2736" s="345"/>
    </row>
    <row r="2737" spans="1:1" ht="21">
      <c r="A2737" s="345"/>
    </row>
    <row r="2738" spans="1:1" ht="21">
      <c r="A2738" s="345"/>
    </row>
    <row r="2739" spans="1:1" ht="21">
      <c r="A2739" s="345"/>
    </row>
    <row r="2740" spans="1:1" ht="21">
      <c r="A2740" s="345"/>
    </row>
    <row r="2741" spans="1:1" ht="21">
      <c r="A2741" s="345"/>
    </row>
    <row r="2742" spans="1:1" ht="21">
      <c r="A2742" s="345"/>
    </row>
    <row r="2743" spans="1:1" ht="21">
      <c r="A2743" s="345"/>
    </row>
    <row r="2744" spans="1:1" ht="21">
      <c r="A2744" s="345"/>
    </row>
    <row r="2745" spans="1:1" ht="21">
      <c r="A2745" s="345"/>
    </row>
    <row r="2746" spans="1:1" ht="21">
      <c r="A2746" s="345"/>
    </row>
    <row r="2747" spans="1:1" ht="21">
      <c r="A2747" s="345"/>
    </row>
    <row r="2748" spans="1:1" ht="21">
      <c r="A2748" s="345"/>
    </row>
    <row r="2749" spans="1:1" ht="21">
      <c r="A2749" s="345"/>
    </row>
    <row r="2750" spans="1:1" ht="21">
      <c r="A2750" s="345"/>
    </row>
    <row r="2751" spans="1:1" ht="21">
      <c r="A2751" s="345"/>
    </row>
    <row r="2752" spans="1:1" ht="21">
      <c r="A2752" s="345"/>
    </row>
    <row r="2753" spans="1:1" ht="21">
      <c r="A2753" s="345"/>
    </row>
    <row r="2754" spans="1:1" ht="21">
      <c r="A2754" s="345"/>
    </row>
    <row r="2755" spans="1:1" ht="21">
      <c r="A2755" s="345"/>
    </row>
    <row r="2756" spans="1:1" ht="21">
      <c r="A2756" s="345"/>
    </row>
    <row r="2757" spans="1:1" ht="21">
      <c r="A2757" s="345"/>
    </row>
    <row r="2758" spans="1:1" ht="21">
      <c r="A2758" s="345"/>
    </row>
    <row r="2759" spans="1:1" ht="21">
      <c r="A2759" s="345"/>
    </row>
    <row r="2760" spans="1:1" ht="21">
      <c r="A2760" s="345"/>
    </row>
    <row r="2761" spans="1:1" ht="21">
      <c r="A2761" s="345"/>
    </row>
    <row r="2762" spans="1:1" ht="21">
      <c r="A2762" s="345"/>
    </row>
    <row r="2763" spans="1:1" ht="21">
      <c r="A2763" s="345"/>
    </row>
    <row r="2764" spans="1:1" ht="21">
      <c r="A2764" s="345"/>
    </row>
    <row r="2765" spans="1:1" ht="21">
      <c r="A2765" s="345"/>
    </row>
    <row r="2766" spans="1:1" ht="21">
      <c r="A2766" s="345"/>
    </row>
    <row r="2767" spans="1:1" ht="21">
      <c r="A2767" s="345"/>
    </row>
    <row r="2768" spans="1:1" ht="21">
      <c r="A2768" s="345"/>
    </row>
    <row r="2769" spans="1:1" ht="21">
      <c r="A2769" s="345"/>
    </row>
    <row r="2770" spans="1:1" ht="21">
      <c r="A2770" s="345"/>
    </row>
    <row r="2771" spans="1:1" ht="21">
      <c r="A2771" s="345"/>
    </row>
    <row r="2772" spans="1:1" ht="21">
      <c r="A2772" s="345"/>
    </row>
    <row r="2773" spans="1:1" ht="21">
      <c r="A2773" s="345"/>
    </row>
    <row r="2774" spans="1:1" ht="21">
      <c r="A2774" s="345"/>
    </row>
    <row r="2775" spans="1:1" ht="21">
      <c r="A2775" s="345"/>
    </row>
    <row r="2776" spans="1:1" ht="21">
      <c r="A2776" s="345"/>
    </row>
    <row r="2777" spans="1:1" ht="21">
      <c r="A2777" s="345"/>
    </row>
    <row r="2778" spans="1:1" ht="21">
      <c r="A2778" s="345"/>
    </row>
    <row r="2779" spans="1:1" ht="21">
      <c r="A2779" s="345"/>
    </row>
    <row r="2780" spans="1:1" ht="21">
      <c r="A2780" s="345"/>
    </row>
    <row r="2781" spans="1:1" ht="21">
      <c r="A2781" s="345"/>
    </row>
    <row r="2782" spans="1:1" ht="21">
      <c r="A2782" s="345"/>
    </row>
    <row r="2783" spans="1:1" ht="21">
      <c r="A2783" s="345"/>
    </row>
    <row r="2784" spans="1:1" ht="21">
      <c r="A2784" s="345"/>
    </row>
    <row r="2785" spans="1:1" ht="21">
      <c r="A2785" s="345"/>
    </row>
    <row r="2786" spans="1:1" ht="21">
      <c r="A2786" s="345"/>
    </row>
    <row r="2787" spans="1:1" ht="21">
      <c r="A2787" s="345"/>
    </row>
    <row r="2788" spans="1:1" ht="21">
      <c r="A2788" s="345"/>
    </row>
    <row r="2789" spans="1:1" ht="21">
      <c r="A2789" s="345"/>
    </row>
    <row r="2790" spans="1:1" ht="21">
      <c r="A2790" s="345"/>
    </row>
    <row r="2791" spans="1:1" ht="21">
      <c r="A2791" s="345"/>
    </row>
    <row r="2792" spans="1:1" ht="21">
      <c r="A2792" s="345"/>
    </row>
    <row r="2793" spans="1:1" ht="21">
      <c r="A2793" s="345"/>
    </row>
    <row r="2794" spans="1:1" ht="21">
      <c r="A2794" s="345"/>
    </row>
    <row r="2795" spans="1:1" ht="21">
      <c r="A2795" s="345"/>
    </row>
    <row r="2796" spans="1:1" ht="21">
      <c r="A2796" s="345"/>
    </row>
    <row r="2797" spans="1:1" ht="21">
      <c r="A2797" s="345"/>
    </row>
    <row r="2798" spans="1:1" ht="21">
      <c r="A2798" s="345"/>
    </row>
    <row r="2799" spans="1:1" ht="21">
      <c r="A2799" s="345"/>
    </row>
    <row r="2800" spans="1:1" ht="21">
      <c r="A2800" s="345"/>
    </row>
    <row r="2801" spans="1:1" ht="21">
      <c r="A2801" s="345"/>
    </row>
    <row r="2802" spans="1:1" ht="21">
      <c r="A2802" s="345"/>
    </row>
    <row r="2803" spans="1:1" ht="21">
      <c r="A2803" s="345"/>
    </row>
    <row r="2804" spans="1:1" ht="21">
      <c r="A2804" s="345"/>
    </row>
    <row r="2805" spans="1:1" ht="21">
      <c r="A2805" s="345"/>
    </row>
    <row r="2806" spans="1:1" ht="21">
      <c r="A2806" s="345"/>
    </row>
    <row r="2807" spans="1:1" ht="21">
      <c r="A2807" s="345"/>
    </row>
    <row r="2808" spans="1:1" ht="21">
      <c r="A2808" s="345"/>
    </row>
    <row r="2809" spans="1:1" ht="21">
      <c r="A2809" s="345"/>
    </row>
    <row r="2810" spans="1:1" ht="21">
      <c r="A2810" s="345"/>
    </row>
    <row r="2811" spans="1:1" ht="21">
      <c r="A2811" s="345"/>
    </row>
    <row r="2812" spans="1:1" ht="21">
      <c r="A2812" s="345"/>
    </row>
    <row r="2813" spans="1:1" ht="21">
      <c r="A2813" s="345"/>
    </row>
    <row r="2814" spans="1:1" ht="21">
      <c r="A2814" s="345"/>
    </row>
    <row r="2815" spans="1:1" ht="21">
      <c r="A2815" s="345"/>
    </row>
    <row r="2816" spans="1:1" ht="21">
      <c r="A2816" s="345"/>
    </row>
    <row r="2817" spans="1:1" ht="21">
      <c r="A2817" s="345"/>
    </row>
    <row r="2818" spans="1:1" ht="21">
      <c r="A2818" s="345"/>
    </row>
    <row r="2819" spans="1:1" ht="21">
      <c r="A2819" s="345"/>
    </row>
    <row r="2820" spans="1:1" ht="21">
      <c r="A2820" s="345"/>
    </row>
    <row r="2821" spans="1:1" ht="21">
      <c r="A2821" s="345"/>
    </row>
    <row r="2822" spans="1:1" ht="21">
      <c r="A2822" s="345"/>
    </row>
    <row r="2823" spans="1:1" ht="21">
      <c r="A2823" s="345"/>
    </row>
    <row r="2824" spans="1:1" ht="21">
      <c r="A2824" s="345"/>
    </row>
    <row r="2825" spans="1:1" ht="21">
      <c r="A2825" s="345"/>
    </row>
    <row r="2826" spans="1:1" ht="21">
      <c r="A2826" s="345"/>
    </row>
    <row r="2827" spans="1:1" ht="21">
      <c r="A2827" s="345"/>
    </row>
    <row r="2828" spans="1:1" ht="21">
      <c r="A2828" s="345"/>
    </row>
    <row r="2829" spans="1:1" ht="21">
      <c r="A2829" s="345"/>
    </row>
    <row r="2830" spans="1:1" ht="21">
      <c r="A2830" s="345"/>
    </row>
    <row r="2831" spans="1:1" ht="21">
      <c r="A2831" s="345"/>
    </row>
    <row r="2832" spans="1:1" ht="21">
      <c r="A2832" s="345"/>
    </row>
    <row r="2833" spans="1:1" ht="21">
      <c r="A2833" s="345"/>
    </row>
    <row r="2834" spans="1:1" ht="21">
      <c r="A2834" s="345"/>
    </row>
    <row r="2835" spans="1:1" ht="21">
      <c r="A2835" s="345"/>
    </row>
    <row r="2836" spans="1:1" ht="21">
      <c r="A2836" s="345"/>
    </row>
    <row r="2837" spans="1:1" ht="21">
      <c r="A2837" s="345"/>
    </row>
    <row r="2838" spans="1:1" ht="21">
      <c r="A2838" s="345"/>
    </row>
    <row r="2839" spans="1:1" ht="21">
      <c r="A2839" s="345"/>
    </row>
    <row r="2840" spans="1:1" ht="21">
      <c r="A2840" s="345"/>
    </row>
    <row r="2841" spans="1:1" ht="21">
      <c r="A2841" s="345"/>
    </row>
    <row r="2842" spans="1:1" ht="21">
      <c r="A2842" s="345"/>
    </row>
    <row r="2843" spans="1:1" ht="21">
      <c r="A2843" s="345"/>
    </row>
    <row r="2844" spans="1:1" ht="21">
      <c r="A2844" s="345"/>
    </row>
    <row r="2845" spans="1:1" ht="21">
      <c r="A2845" s="345"/>
    </row>
    <row r="2846" spans="1:1" ht="21">
      <c r="A2846" s="345"/>
    </row>
    <row r="2847" spans="1:1" ht="21">
      <c r="A2847" s="345"/>
    </row>
    <row r="2848" spans="1:1" ht="21">
      <c r="A2848" s="345"/>
    </row>
    <row r="2849" spans="1:1" ht="21">
      <c r="A2849" s="345"/>
    </row>
    <row r="2850" spans="1:1" ht="21">
      <c r="A2850" s="345"/>
    </row>
    <row r="2851" spans="1:1" ht="21">
      <c r="A2851" s="345"/>
    </row>
    <row r="2852" spans="1:1" ht="21">
      <c r="A2852" s="345"/>
    </row>
    <row r="2853" spans="1:1" ht="21">
      <c r="A2853" s="345"/>
    </row>
    <row r="2854" spans="1:1" ht="21">
      <c r="A2854" s="345"/>
    </row>
    <row r="2855" spans="1:1" ht="21">
      <c r="A2855" s="345"/>
    </row>
    <row r="2856" spans="1:1" ht="21">
      <c r="A2856" s="345"/>
    </row>
    <row r="2857" spans="1:1" ht="21">
      <c r="A2857" s="345"/>
    </row>
    <row r="2858" spans="1:1" ht="21">
      <c r="A2858" s="345"/>
    </row>
    <row r="2859" spans="1:1" ht="21">
      <c r="A2859" s="345"/>
    </row>
    <row r="2860" spans="1:1" ht="21">
      <c r="A2860" s="345"/>
    </row>
    <row r="2861" spans="1:1" ht="21">
      <c r="A2861" s="345"/>
    </row>
    <row r="2862" spans="1:1" ht="21">
      <c r="A2862" s="345"/>
    </row>
    <row r="2863" spans="1:1" ht="21">
      <c r="A2863" s="345"/>
    </row>
    <row r="2864" spans="1:1" ht="21">
      <c r="A2864" s="345"/>
    </row>
    <row r="2865" spans="1:1" ht="21">
      <c r="A2865" s="345"/>
    </row>
    <row r="2866" spans="1:1" ht="21">
      <c r="A2866" s="345"/>
    </row>
    <row r="2867" spans="1:1" ht="21">
      <c r="A2867" s="345"/>
    </row>
    <row r="2868" spans="1:1" ht="21">
      <c r="A2868" s="345"/>
    </row>
    <row r="2869" spans="1:1" ht="21">
      <c r="A2869" s="345"/>
    </row>
    <row r="2870" spans="1:1" ht="21">
      <c r="A2870" s="345"/>
    </row>
    <row r="2871" spans="1:1" ht="21">
      <c r="A2871" s="345"/>
    </row>
    <row r="2872" spans="1:1" ht="21">
      <c r="A2872" s="345"/>
    </row>
    <row r="2873" spans="1:1" ht="21">
      <c r="A2873" s="345"/>
    </row>
    <row r="2874" spans="1:1" ht="21">
      <c r="A2874" s="345"/>
    </row>
    <row r="2875" spans="1:1" ht="21">
      <c r="A2875" s="345"/>
    </row>
    <row r="2876" spans="1:1" ht="21">
      <c r="A2876" s="345"/>
    </row>
    <row r="2877" spans="1:1" ht="21">
      <c r="A2877" s="345"/>
    </row>
    <row r="2878" spans="1:1" ht="21">
      <c r="A2878" s="345"/>
    </row>
    <row r="2879" spans="1:1" ht="21">
      <c r="A2879" s="345"/>
    </row>
    <row r="2880" spans="1:1" ht="21">
      <c r="A2880" s="345"/>
    </row>
    <row r="2881" spans="1:1" ht="21">
      <c r="A2881" s="345"/>
    </row>
    <row r="2882" spans="1:1" ht="21">
      <c r="A2882" s="345"/>
    </row>
    <row r="2883" spans="1:1" ht="21">
      <c r="A2883" s="345"/>
    </row>
    <row r="2884" spans="1:1" ht="21">
      <c r="A2884" s="345"/>
    </row>
    <row r="2885" spans="1:1" ht="21">
      <c r="A2885" s="345"/>
    </row>
    <row r="2886" spans="1:1" ht="21">
      <c r="A2886" s="345"/>
    </row>
    <row r="2887" spans="1:1" ht="21">
      <c r="A2887" s="345"/>
    </row>
    <row r="2888" spans="1:1" ht="21">
      <c r="A2888" s="345"/>
    </row>
    <row r="2889" spans="1:1" ht="21">
      <c r="A2889" s="345"/>
    </row>
    <row r="2890" spans="1:1" ht="21">
      <c r="A2890" s="345"/>
    </row>
    <row r="2891" spans="1:1" ht="21">
      <c r="A2891" s="345"/>
    </row>
    <row r="2892" spans="1:1" ht="21">
      <c r="A2892" s="345"/>
    </row>
    <row r="2893" spans="1:1" ht="21">
      <c r="A2893" s="345"/>
    </row>
    <row r="2894" spans="1:1" ht="21">
      <c r="A2894" s="345"/>
    </row>
    <row r="2895" spans="1:1" ht="21">
      <c r="A2895" s="345"/>
    </row>
    <row r="2896" spans="1:1" ht="21">
      <c r="A2896" s="345"/>
    </row>
    <row r="2897" spans="1:1" ht="21">
      <c r="A2897" s="345"/>
    </row>
    <row r="2898" spans="1:1" ht="21">
      <c r="A2898" s="345"/>
    </row>
    <row r="2899" spans="1:1" ht="21">
      <c r="A2899" s="345"/>
    </row>
    <row r="2900" spans="1:1" ht="21">
      <c r="A2900" s="345"/>
    </row>
    <row r="2901" spans="1:1" ht="21">
      <c r="A2901" s="345"/>
    </row>
    <row r="2902" spans="1:1" ht="21">
      <c r="A2902" s="345"/>
    </row>
    <row r="2903" spans="1:1" ht="21">
      <c r="A2903" s="345"/>
    </row>
    <row r="2904" spans="1:1" ht="21">
      <c r="A2904" s="345"/>
    </row>
    <row r="2905" spans="1:1" ht="21">
      <c r="A2905" s="345"/>
    </row>
    <row r="2906" spans="1:1" ht="21">
      <c r="A2906" s="345"/>
    </row>
    <row r="2907" spans="1:1" ht="21">
      <c r="A2907" s="345"/>
    </row>
    <row r="2908" spans="1:1" ht="21">
      <c r="A2908" s="345"/>
    </row>
    <row r="2909" spans="1:1" ht="21">
      <c r="A2909" s="345"/>
    </row>
    <row r="2910" spans="1:1" ht="21">
      <c r="A2910" s="345"/>
    </row>
    <row r="2911" spans="1:1" ht="21">
      <c r="A2911" s="345"/>
    </row>
    <row r="2912" spans="1:1" ht="21">
      <c r="A2912" s="345"/>
    </row>
    <row r="2913" spans="1:1" ht="21">
      <c r="A2913" s="345"/>
    </row>
    <row r="2914" spans="1:1" ht="21">
      <c r="A2914" s="345"/>
    </row>
    <row r="2915" spans="1:1" ht="21">
      <c r="A2915" s="345"/>
    </row>
    <row r="2916" spans="1:1" ht="21">
      <c r="A2916" s="345"/>
    </row>
    <row r="2917" spans="1:1" ht="21">
      <c r="A2917" s="345"/>
    </row>
    <row r="2918" spans="1:1" ht="21">
      <c r="A2918" s="345"/>
    </row>
    <row r="2919" spans="1:1" ht="21">
      <c r="A2919" s="345"/>
    </row>
    <row r="2920" spans="1:1" ht="21">
      <c r="A2920" s="345"/>
    </row>
    <row r="2921" spans="1:1" ht="21">
      <c r="A2921" s="345"/>
    </row>
    <row r="2922" spans="1:1" ht="21">
      <c r="A2922" s="345"/>
    </row>
    <row r="2923" spans="1:1" ht="21">
      <c r="A2923" s="345"/>
    </row>
    <row r="2924" spans="1:1" ht="21">
      <c r="A2924" s="345"/>
    </row>
    <row r="2925" spans="1:1" ht="21">
      <c r="A2925" s="345"/>
    </row>
    <row r="2926" spans="1:1" ht="21">
      <c r="A2926" s="345"/>
    </row>
    <row r="2927" spans="1:1" ht="21">
      <c r="A2927" s="345"/>
    </row>
    <row r="2928" spans="1:1" ht="21">
      <c r="A2928" s="345"/>
    </row>
    <row r="2929" spans="1:1" ht="21">
      <c r="A2929" s="345"/>
    </row>
    <row r="2930" spans="1:1" ht="21">
      <c r="A2930" s="345"/>
    </row>
    <row r="2931" spans="1:1" ht="21">
      <c r="A2931" s="345"/>
    </row>
    <row r="2932" spans="1:1" ht="21">
      <c r="A2932" s="345"/>
    </row>
    <row r="2933" spans="1:1" ht="21">
      <c r="A2933" s="345"/>
    </row>
    <row r="2934" spans="1:1" ht="21">
      <c r="A2934" s="345"/>
    </row>
    <row r="2935" spans="1:1" ht="21">
      <c r="A2935" s="345"/>
    </row>
    <row r="2936" spans="1:1" ht="21">
      <c r="A2936" s="345"/>
    </row>
    <row r="2937" spans="1:1" ht="21">
      <c r="A2937" s="345"/>
    </row>
    <row r="2938" spans="1:1" ht="21">
      <c r="A2938" s="345"/>
    </row>
    <row r="2939" spans="1:1" ht="21">
      <c r="A2939" s="345"/>
    </row>
    <row r="2940" spans="1:1" ht="21">
      <c r="A2940" s="345"/>
    </row>
    <row r="2941" spans="1:1" ht="21">
      <c r="A2941" s="345"/>
    </row>
    <row r="2942" spans="1:1" ht="21">
      <c r="A2942" s="345"/>
    </row>
    <row r="2943" spans="1:1" ht="21">
      <c r="A2943" s="345"/>
    </row>
    <row r="2944" spans="1:1" ht="21">
      <c r="A2944" s="345"/>
    </row>
    <row r="2945" spans="1:1" ht="21">
      <c r="A2945" s="345"/>
    </row>
    <row r="2946" spans="1:1" ht="21">
      <c r="A2946" s="345"/>
    </row>
    <row r="2947" spans="1:1" ht="21">
      <c r="A2947" s="345"/>
    </row>
    <row r="2948" spans="1:1" ht="21">
      <c r="A2948" s="345"/>
    </row>
    <row r="2949" spans="1:1" ht="21">
      <c r="A2949" s="345"/>
    </row>
    <row r="2950" spans="1:1" ht="21">
      <c r="A2950" s="345"/>
    </row>
    <row r="2951" spans="1:1" ht="21">
      <c r="A2951" s="345"/>
    </row>
    <row r="2952" spans="1:1" ht="21">
      <c r="A2952" s="345"/>
    </row>
    <row r="2953" spans="1:1" ht="21">
      <c r="A2953" s="345"/>
    </row>
    <row r="2954" spans="1:1" ht="21">
      <c r="A2954" s="345"/>
    </row>
    <row r="2955" spans="1:1" ht="21">
      <c r="A2955" s="345"/>
    </row>
    <row r="2956" spans="1:1" ht="21">
      <c r="A2956" s="345"/>
    </row>
    <row r="2957" spans="1:1" ht="21">
      <c r="A2957" s="345"/>
    </row>
    <row r="2958" spans="1:1" ht="21">
      <c r="A2958" s="345"/>
    </row>
    <row r="2959" spans="1:1" ht="21">
      <c r="A2959" s="345"/>
    </row>
    <row r="2960" spans="1:1" ht="21">
      <c r="A2960" s="345"/>
    </row>
    <row r="2961" spans="1:1" ht="21">
      <c r="A2961" s="345"/>
    </row>
    <row r="2962" spans="1:1" ht="21">
      <c r="A2962" s="345"/>
    </row>
    <row r="2963" spans="1:1" ht="21">
      <c r="A2963" s="345"/>
    </row>
    <row r="2964" spans="1:1" ht="21">
      <c r="A2964" s="345"/>
    </row>
    <row r="2965" spans="1:1" ht="21">
      <c r="A2965" s="345"/>
    </row>
    <row r="2966" spans="1:1" ht="21">
      <c r="A2966" s="345"/>
    </row>
    <row r="2967" spans="1:1" ht="21">
      <c r="A2967" s="345"/>
    </row>
    <row r="2968" spans="1:1" ht="21">
      <c r="A2968" s="345"/>
    </row>
    <row r="2969" spans="1:1" ht="21">
      <c r="A2969" s="345"/>
    </row>
    <row r="2970" spans="1:1" ht="21">
      <c r="A2970" s="345"/>
    </row>
    <row r="2971" spans="1:1" ht="21">
      <c r="A2971" s="345"/>
    </row>
    <row r="2972" spans="1:1" ht="21">
      <c r="A2972" s="345"/>
    </row>
    <row r="2973" spans="1:1" ht="21">
      <c r="A2973" s="345"/>
    </row>
    <row r="2974" spans="1:1" ht="21">
      <c r="A2974" s="345"/>
    </row>
    <row r="2975" spans="1:1" ht="21">
      <c r="A2975" s="345"/>
    </row>
    <row r="2976" spans="1:1" ht="21">
      <c r="A2976" s="345"/>
    </row>
    <row r="2977" spans="1:1" ht="21">
      <c r="A2977" s="345"/>
    </row>
    <row r="2978" spans="1:1" ht="21">
      <c r="A2978" s="345"/>
    </row>
    <row r="2979" spans="1:1" ht="21">
      <c r="A2979" s="345"/>
    </row>
    <row r="2980" spans="1:1" ht="21">
      <c r="A2980" s="345"/>
    </row>
    <row r="2981" spans="1:1" ht="21">
      <c r="A2981" s="345"/>
    </row>
    <row r="2982" spans="1:1" ht="21">
      <c r="A2982" s="345"/>
    </row>
    <row r="2983" spans="1:1" ht="21">
      <c r="A2983" s="345"/>
    </row>
    <row r="2984" spans="1:1" ht="21">
      <c r="A2984" s="345"/>
    </row>
    <row r="2985" spans="1:1" ht="21">
      <c r="A2985" s="345"/>
    </row>
    <row r="2986" spans="1:1" ht="21">
      <c r="A2986" s="345"/>
    </row>
    <row r="2987" spans="1:1" ht="21">
      <c r="A2987" s="345"/>
    </row>
    <row r="2988" spans="1:1" ht="21">
      <c r="A2988" s="345"/>
    </row>
    <row r="2989" spans="1:1" ht="21">
      <c r="A2989" s="345"/>
    </row>
    <row r="2990" spans="1:1" ht="21">
      <c r="A2990" s="345"/>
    </row>
    <row r="2991" spans="1:1" ht="21">
      <c r="A2991" s="345"/>
    </row>
    <row r="2992" spans="1:1" ht="21">
      <c r="A2992" s="345"/>
    </row>
    <row r="2993" spans="1:1" ht="21">
      <c r="A2993" s="345"/>
    </row>
    <row r="2994" spans="1:1" ht="21">
      <c r="A2994" s="345"/>
    </row>
    <row r="2995" spans="1:1" ht="21">
      <c r="A2995" s="345"/>
    </row>
    <row r="2996" spans="1:1" ht="21">
      <c r="A2996" s="345"/>
    </row>
    <row r="2997" spans="1:1" ht="21">
      <c r="A2997" s="345"/>
    </row>
    <row r="2998" spans="1:1" ht="21">
      <c r="A2998" s="345"/>
    </row>
    <row r="2999" spans="1:1" ht="21">
      <c r="A2999" s="345"/>
    </row>
    <row r="3000" spans="1:1" ht="21">
      <c r="A3000" s="345"/>
    </row>
    <row r="3001" spans="1:1" ht="21">
      <c r="A3001" s="345"/>
    </row>
    <row r="3002" spans="1:1" ht="21">
      <c r="A3002" s="345"/>
    </row>
    <row r="3003" spans="1:1" ht="21">
      <c r="A3003" s="345"/>
    </row>
    <row r="3004" spans="1:1" ht="21">
      <c r="A3004" s="345"/>
    </row>
    <row r="3005" spans="1:1" ht="21">
      <c r="A3005" s="345"/>
    </row>
    <row r="3006" spans="1:1" ht="21">
      <c r="A3006" s="345"/>
    </row>
    <row r="3007" spans="1:1" ht="21">
      <c r="A3007" s="345"/>
    </row>
    <row r="3008" spans="1:1" ht="21">
      <c r="A3008" s="345"/>
    </row>
    <row r="3009" spans="1:1" ht="21">
      <c r="A3009" s="345"/>
    </row>
    <row r="3010" spans="1:1" ht="21">
      <c r="A3010" s="345"/>
    </row>
    <row r="3011" spans="1:1" ht="21">
      <c r="A3011" s="345"/>
    </row>
    <row r="3012" spans="1:1" ht="21">
      <c r="A3012" s="345"/>
    </row>
    <row r="3013" spans="1:1" ht="21">
      <c r="A3013" s="345"/>
    </row>
    <row r="3014" spans="1:1" ht="21">
      <c r="A3014" s="345"/>
    </row>
    <row r="3015" spans="1:1" ht="21">
      <c r="A3015" s="345"/>
    </row>
    <row r="3016" spans="1:1" ht="21">
      <c r="A3016" s="345"/>
    </row>
    <row r="3017" spans="1:1" ht="21">
      <c r="A3017" s="345"/>
    </row>
    <row r="3018" spans="1:1" ht="21">
      <c r="A3018" s="345"/>
    </row>
    <row r="3019" spans="1:1" ht="21">
      <c r="A3019" s="345"/>
    </row>
    <row r="3020" spans="1:1" ht="21">
      <c r="A3020" s="345"/>
    </row>
    <row r="3021" spans="1:1" ht="21">
      <c r="A3021" s="345"/>
    </row>
    <row r="3022" spans="1:1" ht="21">
      <c r="A3022" s="345"/>
    </row>
    <row r="3023" spans="1:1" ht="21">
      <c r="A3023" s="345"/>
    </row>
    <row r="3024" spans="1:1" ht="21">
      <c r="A3024" s="345"/>
    </row>
    <row r="3025" spans="1:1" ht="21">
      <c r="A3025" s="345"/>
    </row>
    <row r="3026" spans="1:1" ht="21">
      <c r="A3026" s="345"/>
    </row>
    <row r="3027" spans="1:1" ht="21">
      <c r="A3027" s="345"/>
    </row>
    <row r="3028" spans="1:1" ht="21">
      <c r="A3028" s="345"/>
    </row>
    <row r="3029" spans="1:1" ht="21">
      <c r="A3029" s="345"/>
    </row>
    <row r="3030" spans="1:1" ht="21">
      <c r="A3030" s="345"/>
    </row>
    <row r="3031" spans="1:1" ht="21">
      <c r="A3031" s="345"/>
    </row>
    <row r="3032" spans="1:1" ht="21">
      <c r="A3032" s="345"/>
    </row>
    <row r="3033" spans="1:1" ht="21">
      <c r="A3033" s="345"/>
    </row>
    <row r="3034" spans="1:1" ht="21">
      <c r="A3034" s="345"/>
    </row>
    <row r="3035" spans="1:1" ht="21">
      <c r="A3035" s="345"/>
    </row>
    <row r="3036" spans="1:1" ht="21">
      <c r="A3036" s="345"/>
    </row>
    <row r="3037" spans="1:1" ht="21">
      <c r="A3037" s="345"/>
    </row>
    <row r="3038" spans="1:1" ht="21">
      <c r="A3038" s="345"/>
    </row>
    <row r="3039" spans="1:1" ht="21">
      <c r="A3039" s="345"/>
    </row>
    <row r="3040" spans="1:1" ht="21">
      <c r="A3040" s="345"/>
    </row>
    <row r="3041" spans="1:1" ht="21">
      <c r="A3041" s="345"/>
    </row>
    <row r="3042" spans="1:1" ht="21">
      <c r="A3042" s="345"/>
    </row>
    <row r="3043" spans="1:1" ht="21">
      <c r="A3043" s="345"/>
    </row>
    <row r="3044" spans="1:1" ht="21">
      <c r="A3044" s="345"/>
    </row>
    <row r="3045" spans="1:1" ht="21">
      <c r="A3045" s="345"/>
    </row>
    <row r="3046" spans="1:1" ht="21">
      <c r="A3046" s="345"/>
    </row>
    <row r="3047" spans="1:1" ht="21">
      <c r="A3047" s="345"/>
    </row>
    <row r="3048" spans="1:1" ht="21">
      <c r="A3048" s="345"/>
    </row>
    <row r="3049" spans="1:1" ht="21">
      <c r="A3049" s="345"/>
    </row>
    <row r="3050" spans="1:1" ht="21">
      <c r="A3050" s="345"/>
    </row>
    <row r="3051" spans="1:1" ht="21">
      <c r="A3051" s="345"/>
    </row>
    <row r="3052" spans="1:1" ht="21">
      <c r="A3052" s="345"/>
    </row>
    <row r="3053" spans="1:1" ht="21">
      <c r="A3053" s="345"/>
    </row>
    <row r="3054" spans="1:1" ht="21">
      <c r="A3054" s="345"/>
    </row>
    <row r="3055" spans="1:1" ht="21">
      <c r="A3055" s="345"/>
    </row>
    <row r="3056" spans="1:1" ht="21">
      <c r="A3056" s="345"/>
    </row>
    <row r="3057" spans="1:1" ht="21">
      <c r="A3057" s="345"/>
    </row>
    <row r="3058" spans="1:1" ht="21">
      <c r="A3058" s="345"/>
    </row>
    <row r="3059" spans="1:1" ht="21">
      <c r="A3059" s="345"/>
    </row>
    <row r="3060" spans="1:1" ht="21">
      <c r="A3060" s="345"/>
    </row>
    <row r="3061" spans="1:1" ht="21">
      <c r="A3061" s="345"/>
    </row>
    <row r="3062" spans="1:1" ht="21">
      <c r="A3062" s="345"/>
    </row>
    <row r="3063" spans="1:1" ht="21">
      <c r="A3063" s="345"/>
    </row>
    <row r="3064" spans="1:1" ht="21">
      <c r="A3064" s="345"/>
    </row>
    <row r="3065" spans="1:1" ht="21">
      <c r="A3065" s="345"/>
    </row>
    <row r="3066" spans="1:1" ht="21">
      <c r="A3066" s="345"/>
    </row>
    <row r="3067" spans="1:1" ht="21">
      <c r="A3067" s="345"/>
    </row>
    <row r="3068" spans="1:1" ht="21">
      <c r="A3068" s="345"/>
    </row>
    <row r="3069" spans="1:1" ht="21">
      <c r="A3069" s="345"/>
    </row>
    <row r="3070" spans="1:1" ht="21">
      <c r="A3070" s="345"/>
    </row>
    <row r="3071" spans="1:1" ht="21">
      <c r="A3071" s="345"/>
    </row>
    <row r="3072" spans="1:1" ht="21">
      <c r="A3072" s="345"/>
    </row>
    <row r="3073" spans="1:1" ht="21">
      <c r="A3073" s="345"/>
    </row>
    <row r="3074" spans="1:1" ht="21">
      <c r="A3074" s="345"/>
    </row>
    <row r="3075" spans="1:1" ht="21">
      <c r="A3075" s="345"/>
    </row>
    <row r="3076" spans="1:1" ht="21">
      <c r="A3076" s="345"/>
    </row>
    <row r="3077" spans="1:1" ht="21">
      <c r="A3077" s="345"/>
    </row>
    <row r="3078" spans="1:1" ht="21">
      <c r="A3078" s="345"/>
    </row>
    <row r="3079" spans="1:1" ht="21">
      <c r="A3079" s="345"/>
    </row>
    <row r="3080" spans="1:1" ht="21">
      <c r="A3080" s="345"/>
    </row>
    <row r="3081" spans="1:1" ht="21">
      <c r="A3081" s="345"/>
    </row>
    <row r="3082" spans="1:1" ht="21">
      <c r="A3082" s="345"/>
    </row>
    <row r="3083" spans="1:1" ht="21">
      <c r="A3083" s="345"/>
    </row>
    <row r="3084" spans="1:1" ht="21">
      <c r="A3084" s="345"/>
    </row>
    <row r="3085" spans="1:1" ht="21">
      <c r="A3085" s="345"/>
    </row>
    <row r="3086" spans="1:1" ht="21">
      <c r="A3086" s="345"/>
    </row>
    <row r="3087" spans="1:1" ht="21">
      <c r="A3087" s="345"/>
    </row>
    <row r="3088" spans="1:1" ht="21">
      <c r="A3088" s="345"/>
    </row>
    <row r="3089" spans="1:1" ht="21">
      <c r="A3089" s="345"/>
    </row>
    <row r="3090" spans="1:1" ht="21">
      <c r="A3090" s="345"/>
    </row>
    <row r="3091" spans="1:1" ht="21">
      <c r="A3091" s="345"/>
    </row>
    <row r="3092" spans="1:1" ht="21">
      <c r="A3092" s="345"/>
    </row>
    <row r="3093" spans="1:1" ht="21">
      <c r="A3093" s="345"/>
    </row>
    <row r="3094" spans="1:1" ht="21">
      <c r="A3094" s="345"/>
    </row>
    <row r="3095" spans="1:1" ht="21">
      <c r="A3095" s="345"/>
    </row>
    <row r="3096" spans="1:1" ht="21">
      <c r="A3096" s="345"/>
    </row>
    <row r="3097" spans="1:1" ht="21">
      <c r="A3097" s="345"/>
    </row>
    <row r="3098" spans="1:1" ht="21">
      <c r="A3098" s="345"/>
    </row>
    <row r="3099" spans="1:1" ht="21">
      <c r="A3099" s="345"/>
    </row>
    <row r="3100" spans="1:1" ht="21">
      <c r="A3100" s="345"/>
    </row>
    <row r="3101" spans="1:1" ht="21">
      <c r="A3101" s="345"/>
    </row>
    <row r="3102" spans="1:1" ht="21">
      <c r="A3102" s="345"/>
    </row>
    <row r="3103" spans="1:1" ht="21">
      <c r="A3103" s="345"/>
    </row>
    <row r="3104" spans="1:1" ht="21">
      <c r="A3104" s="345"/>
    </row>
    <row r="3105" spans="1:1" ht="21">
      <c r="A3105" s="345"/>
    </row>
    <row r="3106" spans="1:1" ht="21">
      <c r="A3106" s="345"/>
    </row>
    <row r="3107" spans="1:1" ht="21">
      <c r="A3107" s="345"/>
    </row>
    <row r="3108" spans="1:1" ht="21">
      <c r="A3108" s="345"/>
    </row>
    <row r="3109" spans="1:1" ht="21">
      <c r="A3109" s="345"/>
    </row>
    <row r="3110" spans="1:1" ht="21">
      <c r="A3110" s="345"/>
    </row>
    <row r="3111" spans="1:1" ht="21">
      <c r="A3111" s="345"/>
    </row>
    <row r="3112" spans="1:1" ht="21">
      <c r="A3112" s="345"/>
    </row>
    <row r="3113" spans="1:1" ht="21">
      <c r="A3113" s="345"/>
    </row>
    <row r="3114" spans="1:1" ht="21">
      <c r="A3114" s="345"/>
    </row>
    <row r="3115" spans="1:1" ht="21">
      <c r="A3115" s="345"/>
    </row>
    <row r="3116" spans="1:1" ht="21">
      <c r="A3116" s="345"/>
    </row>
    <row r="3117" spans="1:1" ht="21">
      <c r="A3117" s="345"/>
    </row>
    <row r="3118" spans="1:1" ht="21">
      <c r="A3118" s="345"/>
    </row>
    <row r="3119" spans="1:1" ht="21">
      <c r="A3119" s="345"/>
    </row>
    <row r="3120" spans="1:1" ht="21">
      <c r="A3120" s="345"/>
    </row>
    <row r="3121" spans="1:1" ht="21">
      <c r="A3121" s="345"/>
    </row>
    <row r="3122" spans="1:1" ht="21">
      <c r="A3122" s="345"/>
    </row>
    <row r="3123" spans="1:1" ht="21">
      <c r="A3123" s="345"/>
    </row>
    <row r="3124" spans="1:1" ht="21">
      <c r="A3124" s="345"/>
    </row>
    <row r="3125" spans="1:1" ht="21">
      <c r="A3125" s="345"/>
    </row>
    <row r="3126" spans="1:1" ht="21">
      <c r="A3126" s="345"/>
    </row>
    <row r="3127" spans="1:1" ht="21">
      <c r="A3127" s="345"/>
    </row>
    <row r="3128" spans="1:1" ht="21">
      <c r="A3128" s="345"/>
    </row>
    <row r="3129" spans="1:1" ht="21">
      <c r="A3129" s="345"/>
    </row>
    <row r="3130" spans="1:1" ht="21">
      <c r="A3130" s="345"/>
    </row>
    <row r="3131" spans="1:1" ht="21">
      <c r="A3131" s="345"/>
    </row>
    <row r="3132" spans="1:1" ht="21">
      <c r="A3132" s="345"/>
    </row>
    <row r="3133" spans="1:1" ht="21">
      <c r="A3133" s="345"/>
    </row>
    <row r="3134" spans="1:1" ht="21">
      <c r="A3134" s="345"/>
    </row>
    <row r="3135" spans="1:1" ht="21">
      <c r="A3135" s="345"/>
    </row>
    <row r="3136" spans="1:1" ht="21">
      <c r="A3136" s="345"/>
    </row>
    <row r="3137" spans="1:1" ht="21">
      <c r="A3137" s="345"/>
    </row>
    <row r="3138" spans="1:1" ht="21">
      <c r="A3138" s="345"/>
    </row>
    <row r="3139" spans="1:1" ht="21">
      <c r="A3139" s="345"/>
    </row>
    <row r="3140" spans="1:1" ht="21">
      <c r="A3140" s="345"/>
    </row>
    <row r="3141" spans="1:1" ht="21">
      <c r="A3141" s="345"/>
    </row>
    <row r="3142" spans="1:1" ht="21">
      <c r="A3142" s="345"/>
    </row>
    <row r="3143" spans="1:1" ht="21">
      <c r="A3143" s="345"/>
    </row>
    <row r="3144" spans="1:1" ht="21">
      <c r="A3144" s="345"/>
    </row>
    <row r="3145" spans="1:1" ht="21">
      <c r="A3145" s="345"/>
    </row>
    <row r="3146" spans="1:1" ht="21">
      <c r="A3146" s="345"/>
    </row>
    <row r="3147" spans="1:1" ht="21">
      <c r="A3147" s="345"/>
    </row>
    <row r="3148" spans="1:1" ht="21">
      <c r="A3148" s="345"/>
    </row>
    <row r="3149" spans="1:1" ht="21">
      <c r="A3149" s="345"/>
    </row>
    <row r="3150" spans="1:1" ht="21">
      <c r="A3150" s="345"/>
    </row>
    <row r="3151" spans="1:1" ht="21">
      <c r="A3151" s="345"/>
    </row>
    <row r="3152" spans="1:1" ht="21">
      <c r="A3152" s="345"/>
    </row>
    <row r="3153" spans="1:1" ht="21">
      <c r="A3153" s="345"/>
    </row>
    <row r="3154" spans="1:1" ht="21">
      <c r="A3154" s="345"/>
    </row>
    <row r="3155" spans="1:1" ht="21">
      <c r="A3155" s="345"/>
    </row>
    <row r="3156" spans="1:1" ht="21">
      <c r="A3156" s="345"/>
    </row>
    <row r="3157" spans="1:1" ht="21">
      <c r="A3157" s="345"/>
    </row>
    <row r="3158" spans="1:1" ht="21">
      <c r="A3158" s="345"/>
    </row>
    <row r="3159" spans="1:1" ht="21">
      <c r="A3159" s="345"/>
    </row>
    <row r="3160" spans="1:1" ht="21">
      <c r="A3160" s="345"/>
    </row>
    <row r="3161" spans="1:1" ht="21">
      <c r="A3161" s="345"/>
    </row>
    <row r="3162" spans="1:1" ht="21">
      <c r="A3162" s="345"/>
    </row>
    <row r="3163" spans="1:1" ht="21">
      <c r="A3163" s="345"/>
    </row>
    <row r="3164" spans="1:1" ht="21">
      <c r="A3164" s="345"/>
    </row>
    <row r="3165" spans="1:1" ht="21">
      <c r="A3165" s="345"/>
    </row>
    <row r="3166" spans="1:1" ht="21">
      <c r="A3166" s="345"/>
    </row>
    <row r="3167" spans="1:1" ht="21">
      <c r="A3167" s="345"/>
    </row>
    <row r="3168" spans="1:1" ht="21">
      <c r="A3168" s="345"/>
    </row>
    <row r="3169" spans="1:1" ht="21">
      <c r="A3169" s="345"/>
    </row>
    <row r="3170" spans="1:1" ht="21">
      <c r="A3170" s="345"/>
    </row>
    <row r="3171" spans="1:1" ht="21">
      <c r="A3171" s="345"/>
    </row>
    <row r="3172" spans="1:1" ht="21">
      <c r="A3172" s="345"/>
    </row>
    <row r="3173" spans="1:1" ht="21">
      <c r="A3173" s="345"/>
    </row>
    <row r="3174" spans="1:1" ht="21">
      <c r="A3174" s="345"/>
    </row>
    <row r="3175" spans="1:1" ht="21">
      <c r="A3175" s="345"/>
    </row>
    <row r="3176" spans="1:1" ht="21">
      <c r="A3176" s="345"/>
    </row>
    <row r="3177" spans="1:1" ht="21">
      <c r="A3177" s="345"/>
    </row>
    <row r="3178" spans="1:1" ht="21">
      <c r="A3178" s="345"/>
    </row>
    <row r="3179" spans="1:1" ht="21">
      <c r="A3179" s="345"/>
    </row>
    <row r="3180" spans="1:1" ht="21">
      <c r="A3180" s="345"/>
    </row>
    <row r="3181" spans="1:1" ht="21">
      <c r="A3181" s="345"/>
    </row>
    <row r="3182" spans="1:1" ht="21">
      <c r="A3182" s="345"/>
    </row>
    <row r="3183" spans="1:1" ht="21">
      <c r="A3183" s="345"/>
    </row>
    <row r="3184" spans="1:1" ht="21">
      <c r="A3184" s="345"/>
    </row>
    <row r="3185" spans="1:1" ht="21">
      <c r="A3185" s="345"/>
    </row>
    <row r="3186" spans="1:1" ht="21">
      <c r="A3186" s="345"/>
    </row>
    <row r="3187" spans="1:1" ht="21">
      <c r="A3187" s="345"/>
    </row>
    <row r="3188" spans="1:1" ht="21">
      <c r="A3188" s="345"/>
    </row>
    <row r="3189" spans="1:1" ht="21">
      <c r="A3189" s="345"/>
    </row>
    <row r="3190" spans="1:1" ht="21">
      <c r="A3190" s="345"/>
    </row>
    <row r="3191" spans="1:1" ht="21">
      <c r="A3191" s="345"/>
    </row>
    <row r="3192" spans="1:1" ht="21">
      <c r="A3192" s="345"/>
    </row>
    <row r="3193" spans="1:1" ht="21">
      <c r="A3193" s="345"/>
    </row>
    <row r="3194" spans="1:1" ht="21">
      <c r="A3194" s="345"/>
    </row>
    <row r="3195" spans="1:1" ht="21">
      <c r="A3195" s="345"/>
    </row>
    <row r="3196" spans="1:1" ht="21">
      <c r="A3196" s="345"/>
    </row>
    <row r="3197" spans="1:1" ht="21">
      <c r="A3197" s="345"/>
    </row>
    <row r="3198" spans="1:1" ht="21">
      <c r="A3198" s="345"/>
    </row>
    <row r="3199" spans="1:1" ht="21">
      <c r="A3199" s="345"/>
    </row>
    <row r="3200" spans="1:1" ht="21">
      <c r="A3200" s="345"/>
    </row>
    <row r="3201" spans="1:1" ht="21">
      <c r="A3201" s="345"/>
    </row>
    <row r="3202" spans="1:1" ht="21">
      <c r="A3202" s="345"/>
    </row>
    <row r="3203" spans="1:1" ht="21">
      <c r="A3203" s="345"/>
    </row>
    <row r="3204" spans="1:1" ht="21">
      <c r="A3204" s="345"/>
    </row>
    <row r="3205" spans="1:1" ht="21">
      <c r="A3205" s="345"/>
    </row>
    <row r="3206" spans="1:1" ht="21">
      <c r="A3206" s="345"/>
    </row>
    <row r="3207" spans="1:1" ht="21">
      <c r="A3207" s="345"/>
    </row>
    <row r="3208" spans="1:1" ht="21">
      <c r="A3208" s="345"/>
    </row>
    <row r="3209" spans="1:1" ht="21">
      <c r="A3209" s="345"/>
    </row>
    <row r="3210" spans="1:1" ht="21">
      <c r="A3210" s="345"/>
    </row>
    <row r="3211" spans="1:1" ht="21">
      <c r="A3211" s="345"/>
    </row>
    <row r="3212" spans="1:1" ht="21">
      <c r="A3212" s="345"/>
    </row>
    <row r="3213" spans="1:1" ht="21">
      <c r="A3213" s="345"/>
    </row>
    <row r="3214" spans="1:1" ht="21">
      <c r="A3214" s="345"/>
    </row>
    <row r="3215" spans="1:1" ht="21">
      <c r="A3215" s="345"/>
    </row>
    <row r="3216" spans="1:1" ht="21">
      <c r="A3216" s="345"/>
    </row>
    <row r="3217" spans="1:1" ht="21">
      <c r="A3217" s="345"/>
    </row>
    <row r="3218" spans="1:1" ht="21">
      <c r="A3218" s="345"/>
    </row>
    <row r="3219" spans="1:1" ht="21">
      <c r="A3219" s="345"/>
    </row>
    <row r="3220" spans="1:1" ht="21">
      <c r="A3220" s="345"/>
    </row>
    <row r="3221" spans="1:1" ht="21">
      <c r="A3221" s="345"/>
    </row>
    <row r="3222" spans="1:1" ht="21">
      <c r="A3222" s="345"/>
    </row>
    <row r="3223" spans="1:1" ht="21">
      <c r="A3223" s="345"/>
    </row>
    <row r="3224" spans="1:1" ht="21">
      <c r="A3224" s="345"/>
    </row>
    <row r="3225" spans="1:1" ht="21">
      <c r="A3225" s="345"/>
    </row>
    <row r="3226" spans="1:1" ht="21">
      <c r="A3226" s="345"/>
    </row>
    <row r="3227" spans="1:1" ht="21">
      <c r="A3227" s="345"/>
    </row>
    <row r="3228" spans="1:1" ht="21">
      <c r="A3228" s="345"/>
    </row>
    <row r="3229" spans="1:1" ht="21">
      <c r="A3229" s="345"/>
    </row>
    <row r="3230" spans="1:1" ht="21">
      <c r="A3230" s="345"/>
    </row>
    <row r="3231" spans="1:1" ht="21">
      <c r="A3231" s="345"/>
    </row>
    <row r="3232" spans="1:1" ht="21">
      <c r="A3232" s="345"/>
    </row>
    <row r="3233" spans="1:1" ht="21">
      <c r="A3233" s="345"/>
    </row>
    <row r="3234" spans="1:1" ht="21">
      <c r="A3234" s="345"/>
    </row>
    <row r="3235" spans="1:1" ht="21">
      <c r="A3235" s="345"/>
    </row>
    <row r="3236" spans="1:1" ht="21">
      <c r="A3236" s="345"/>
    </row>
    <row r="3237" spans="1:1" ht="21">
      <c r="A3237" s="345"/>
    </row>
    <row r="3238" spans="1:1" ht="21">
      <c r="A3238" s="345"/>
    </row>
    <row r="3239" spans="1:1" ht="21">
      <c r="A3239" s="345"/>
    </row>
    <row r="3240" spans="1:1" ht="21">
      <c r="A3240" s="345"/>
    </row>
    <row r="3241" spans="1:1" ht="21">
      <c r="A3241" s="345"/>
    </row>
    <row r="3242" spans="1:1" ht="21">
      <c r="A3242" s="345"/>
    </row>
    <row r="3243" spans="1:1" ht="21">
      <c r="A3243" s="345"/>
    </row>
    <row r="3244" spans="1:1" ht="21">
      <c r="A3244" s="345"/>
    </row>
    <row r="3245" spans="1:1" ht="21">
      <c r="A3245" s="345"/>
    </row>
    <row r="3246" spans="1:1" ht="21">
      <c r="A3246" s="345"/>
    </row>
    <row r="3247" spans="1:1" ht="21">
      <c r="A3247" s="345"/>
    </row>
    <row r="3248" spans="1:1" ht="21">
      <c r="A3248" s="345"/>
    </row>
    <row r="3249" spans="1:1" ht="21">
      <c r="A3249" s="345"/>
    </row>
    <row r="3250" spans="1:1" ht="21">
      <c r="A3250" s="345"/>
    </row>
    <row r="3251" spans="1:1" ht="21">
      <c r="A3251" s="345"/>
    </row>
    <row r="3252" spans="1:1" ht="21">
      <c r="A3252" s="345"/>
    </row>
    <row r="3253" spans="1:1" ht="21">
      <c r="A3253" s="345"/>
    </row>
    <row r="3254" spans="1:1" ht="21">
      <c r="A3254" s="345"/>
    </row>
    <row r="3255" spans="1:1" ht="21">
      <c r="A3255" s="345"/>
    </row>
    <row r="3256" spans="1:1" ht="21">
      <c r="A3256" s="345"/>
    </row>
    <row r="3257" spans="1:1" ht="21">
      <c r="A3257" s="345"/>
    </row>
    <row r="3258" spans="1:1" ht="21">
      <c r="A3258" s="345"/>
    </row>
    <row r="3259" spans="1:1" ht="21">
      <c r="A3259" s="345"/>
    </row>
    <row r="3260" spans="1:1" ht="21">
      <c r="A3260" s="345"/>
    </row>
    <row r="3261" spans="1:1" ht="21">
      <c r="A3261" s="345"/>
    </row>
    <row r="3262" spans="1:1" ht="21">
      <c r="A3262" s="345"/>
    </row>
    <row r="3263" spans="1:1" ht="21">
      <c r="A3263" s="345"/>
    </row>
    <row r="3264" spans="1:1" ht="21">
      <c r="A3264" s="345"/>
    </row>
    <row r="3265" spans="1:1" ht="21">
      <c r="A3265" s="345"/>
    </row>
    <row r="3266" spans="1:1" ht="21">
      <c r="A3266" s="345"/>
    </row>
    <row r="3267" spans="1:1" ht="21">
      <c r="A3267" s="345"/>
    </row>
    <row r="3268" spans="1:1" ht="21">
      <c r="A3268" s="345"/>
    </row>
    <row r="3269" spans="1:1" ht="21">
      <c r="A3269" s="345"/>
    </row>
    <row r="3270" spans="1:1" ht="21">
      <c r="A3270" s="345"/>
    </row>
    <row r="3271" spans="1:1" ht="21">
      <c r="A3271" s="345"/>
    </row>
    <row r="3272" spans="1:1" ht="21">
      <c r="A3272" s="345"/>
    </row>
    <row r="3273" spans="1:1" ht="21">
      <c r="A3273" s="345"/>
    </row>
    <row r="3274" spans="1:1" ht="21">
      <c r="A3274" s="345"/>
    </row>
    <row r="3275" spans="1:1" ht="21">
      <c r="A3275" s="345"/>
    </row>
    <row r="3276" spans="1:1" ht="21">
      <c r="A3276" s="345"/>
    </row>
    <row r="3277" spans="1:1" ht="21">
      <c r="A3277" s="345"/>
    </row>
    <row r="3278" spans="1:1" ht="21">
      <c r="A3278" s="345"/>
    </row>
    <row r="3279" spans="1:1" ht="21">
      <c r="A3279" s="345"/>
    </row>
    <row r="3280" spans="1:1" ht="21">
      <c r="A3280" s="345"/>
    </row>
    <row r="3281" spans="1:1" ht="21">
      <c r="A3281" s="345"/>
    </row>
    <row r="3282" spans="1:1" ht="21">
      <c r="A3282" s="345"/>
    </row>
    <row r="3283" spans="1:1" ht="21">
      <c r="A3283" s="345"/>
    </row>
    <row r="3284" spans="1:1" ht="21">
      <c r="A3284" s="345"/>
    </row>
    <row r="3285" spans="1:1" ht="21">
      <c r="A3285" s="345"/>
    </row>
    <row r="3286" spans="1:1" ht="21">
      <c r="A3286" s="345"/>
    </row>
    <row r="3287" spans="1:1" ht="21">
      <c r="A3287" s="345"/>
    </row>
    <row r="3288" spans="1:1" ht="21">
      <c r="A3288" s="345"/>
    </row>
    <row r="3289" spans="1:1" ht="21">
      <c r="A3289" s="345"/>
    </row>
    <row r="3290" spans="1:1" ht="21">
      <c r="A3290" s="345"/>
    </row>
    <row r="3291" spans="1:1" ht="21">
      <c r="A3291" s="345"/>
    </row>
    <row r="3292" spans="1:1" ht="21">
      <c r="A3292" s="345"/>
    </row>
    <row r="3293" spans="1:1" ht="21">
      <c r="A3293" s="345"/>
    </row>
    <row r="3294" spans="1:1" ht="21">
      <c r="A3294" s="345"/>
    </row>
    <row r="3295" spans="1:1" ht="21">
      <c r="A3295" s="345"/>
    </row>
    <row r="3296" spans="1:1" ht="21">
      <c r="A3296" s="345"/>
    </row>
    <row r="3297" spans="1:1" ht="21">
      <c r="A3297" s="345"/>
    </row>
    <row r="3298" spans="1:1" ht="21">
      <c r="A3298" s="345"/>
    </row>
    <row r="3299" spans="1:1" ht="21">
      <c r="A3299" s="345"/>
    </row>
    <row r="3300" spans="1:1" ht="21">
      <c r="A3300" s="345"/>
    </row>
    <row r="3301" spans="1:1" ht="21">
      <c r="A3301" s="345"/>
    </row>
    <row r="3302" spans="1:1" ht="21">
      <c r="A3302" s="345"/>
    </row>
    <row r="3303" spans="1:1" ht="21">
      <c r="A3303" s="345"/>
    </row>
    <row r="3304" spans="1:1" ht="21">
      <c r="A3304" s="345"/>
    </row>
    <row r="3305" spans="1:1" ht="21">
      <c r="A3305" s="345"/>
    </row>
    <row r="3306" spans="1:1" ht="21">
      <c r="A3306" s="345"/>
    </row>
    <row r="3307" spans="1:1" ht="21">
      <c r="A3307" s="345"/>
    </row>
    <row r="3308" spans="1:1" ht="21">
      <c r="A3308" s="345"/>
    </row>
    <row r="3309" spans="1:1" ht="21">
      <c r="A3309" s="345"/>
    </row>
    <row r="3310" spans="1:1" ht="21">
      <c r="A3310" s="345"/>
    </row>
    <row r="3311" spans="1:1" ht="21">
      <c r="A3311" s="345"/>
    </row>
    <row r="3312" spans="1:1" ht="21">
      <c r="A3312" s="345"/>
    </row>
    <row r="3313" spans="1:1" ht="21">
      <c r="A3313" s="345"/>
    </row>
    <row r="3314" spans="1:1" ht="21">
      <c r="A3314" s="345"/>
    </row>
    <row r="3315" spans="1:1" ht="21">
      <c r="A3315" s="345"/>
    </row>
    <row r="3316" spans="1:1" ht="21">
      <c r="A3316" s="345"/>
    </row>
    <row r="3317" spans="1:1" ht="21">
      <c r="A3317" s="345"/>
    </row>
    <row r="3318" spans="1:1" ht="21">
      <c r="A3318" s="345"/>
    </row>
    <row r="3319" spans="1:1" ht="21">
      <c r="A3319" s="345"/>
    </row>
    <row r="3320" spans="1:1" ht="21">
      <c r="A3320" s="345"/>
    </row>
    <row r="3321" spans="1:1" ht="21">
      <c r="A3321" s="345"/>
    </row>
    <row r="3322" spans="1:1" ht="21">
      <c r="A3322" s="345"/>
    </row>
    <row r="3323" spans="1:1" ht="21">
      <c r="A3323" s="345"/>
    </row>
    <row r="3324" spans="1:1" ht="21">
      <c r="A3324" s="345"/>
    </row>
    <row r="3325" spans="1:1" ht="21">
      <c r="A3325" s="345"/>
    </row>
    <row r="3326" spans="1:1" ht="21">
      <c r="A3326" s="345"/>
    </row>
    <row r="3327" spans="1:1" ht="21">
      <c r="A3327" s="345"/>
    </row>
    <row r="3328" spans="1:1" ht="21">
      <c r="A3328" s="345"/>
    </row>
    <row r="3329" spans="1:1" ht="21">
      <c r="A3329" s="345"/>
    </row>
    <row r="3330" spans="1:1" ht="21">
      <c r="A3330" s="345"/>
    </row>
    <row r="3331" spans="1:1" ht="21">
      <c r="A3331" s="345"/>
    </row>
    <row r="3332" spans="1:1" ht="21">
      <c r="A3332" s="345"/>
    </row>
    <row r="3333" spans="1:1" ht="21">
      <c r="A3333" s="345"/>
    </row>
    <row r="3334" spans="1:1" ht="21">
      <c r="A3334" s="345"/>
    </row>
    <row r="3335" spans="1:1" ht="21">
      <c r="A3335" s="345"/>
    </row>
    <row r="3336" spans="1:1" ht="21">
      <c r="A3336" s="345"/>
    </row>
    <row r="3337" spans="1:1" ht="21">
      <c r="A3337" s="345"/>
    </row>
    <row r="3338" spans="1:1" ht="21">
      <c r="A3338" s="345"/>
    </row>
    <row r="3339" spans="1:1" ht="21">
      <c r="A3339" s="345"/>
    </row>
    <row r="3340" spans="1:1" ht="21">
      <c r="A3340" s="345"/>
    </row>
    <row r="3341" spans="1:1" ht="21">
      <c r="A3341" s="345"/>
    </row>
    <row r="3342" spans="1:1" ht="21">
      <c r="A3342" s="345"/>
    </row>
    <row r="3343" spans="1:1" ht="21">
      <c r="A3343" s="345"/>
    </row>
    <row r="3344" spans="1:1" ht="21">
      <c r="A3344" s="345"/>
    </row>
    <row r="3345" spans="1:1" ht="21">
      <c r="A3345" s="345"/>
    </row>
    <row r="3346" spans="1:1" ht="21">
      <c r="A3346" s="345"/>
    </row>
    <row r="3347" spans="1:1" ht="21">
      <c r="A3347" s="345"/>
    </row>
    <row r="3348" spans="1:1" ht="21">
      <c r="A3348" s="345"/>
    </row>
    <row r="3349" spans="1:1" ht="21">
      <c r="A3349" s="345"/>
    </row>
    <row r="3350" spans="1:1" ht="21">
      <c r="A3350" s="345"/>
    </row>
    <row r="3351" spans="1:1" ht="21">
      <c r="A3351" s="345"/>
    </row>
    <row r="3352" spans="1:1" ht="21">
      <c r="A3352" s="345"/>
    </row>
    <row r="3353" spans="1:1" ht="21">
      <c r="A3353" s="345"/>
    </row>
    <row r="3354" spans="1:1" ht="21">
      <c r="A3354" s="345"/>
    </row>
    <row r="3355" spans="1:1" ht="21">
      <c r="A3355" s="345"/>
    </row>
    <row r="3356" spans="1:1" ht="21">
      <c r="A3356" s="345"/>
    </row>
    <row r="3357" spans="1:1" ht="21">
      <c r="A3357" s="345"/>
    </row>
    <row r="3358" spans="1:1" ht="21">
      <c r="A3358" s="345"/>
    </row>
    <row r="3359" spans="1:1" ht="21">
      <c r="A3359" s="345"/>
    </row>
    <row r="3360" spans="1:1" ht="21">
      <c r="A3360" s="345"/>
    </row>
    <row r="3361" spans="1:1" ht="21">
      <c r="A3361" s="345"/>
    </row>
    <row r="3362" spans="1:1" ht="21">
      <c r="A3362" s="345"/>
    </row>
    <row r="3363" spans="1:1" ht="21">
      <c r="A3363" s="345"/>
    </row>
    <row r="3364" spans="1:1" ht="21">
      <c r="A3364" s="345"/>
    </row>
    <row r="3365" spans="1:1" ht="21">
      <c r="A3365" s="345"/>
    </row>
    <row r="3366" spans="1:1" ht="21">
      <c r="A3366" s="345"/>
    </row>
    <row r="3367" spans="1:1" ht="21">
      <c r="A3367" s="345"/>
    </row>
    <row r="3368" spans="1:1" ht="21">
      <c r="A3368" s="345"/>
    </row>
    <row r="3369" spans="1:1" ht="21">
      <c r="A3369" s="345"/>
    </row>
    <row r="3370" spans="1:1" ht="21">
      <c r="A3370" s="345"/>
    </row>
    <row r="3371" spans="1:1" ht="21">
      <c r="A3371" s="345"/>
    </row>
    <row r="3372" spans="1:1" ht="21">
      <c r="A3372" s="345"/>
    </row>
    <row r="3373" spans="1:1" ht="21">
      <c r="A3373" s="345"/>
    </row>
    <row r="3374" spans="1:1" ht="21">
      <c r="A3374" s="345"/>
    </row>
    <row r="3375" spans="1:1" ht="21">
      <c r="A3375" s="345"/>
    </row>
    <row r="3376" spans="1:1" ht="21">
      <c r="A3376" s="345"/>
    </row>
    <row r="3377" spans="1:1" ht="21">
      <c r="A3377" s="345"/>
    </row>
    <row r="3378" spans="1:1" ht="21">
      <c r="A3378" s="345"/>
    </row>
    <row r="3379" spans="1:1" ht="21">
      <c r="A3379" s="345"/>
    </row>
    <row r="3380" spans="1:1" ht="21">
      <c r="A3380" s="345"/>
    </row>
    <row r="3381" spans="1:1" ht="21">
      <c r="A3381" s="345"/>
    </row>
    <row r="3382" spans="1:1" ht="21">
      <c r="A3382" s="345"/>
    </row>
    <row r="3383" spans="1:1" ht="21">
      <c r="A3383" s="345"/>
    </row>
    <row r="3384" spans="1:1" ht="21">
      <c r="A3384" s="345"/>
    </row>
    <row r="3385" spans="1:1" ht="21">
      <c r="A3385" s="345"/>
    </row>
    <row r="3386" spans="1:1" ht="21">
      <c r="A3386" s="345"/>
    </row>
    <row r="3387" spans="1:1" ht="21">
      <c r="A3387" s="345"/>
    </row>
    <row r="3388" spans="1:1" ht="21">
      <c r="A3388" s="345"/>
    </row>
    <row r="3389" spans="1:1" ht="21">
      <c r="A3389" s="345"/>
    </row>
    <row r="3390" spans="1:1" ht="21">
      <c r="A3390" s="345"/>
    </row>
    <row r="3391" spans="1:1" ht="21">
      <c r="A3391" s="345"/>
    </row>
    <row r="3392" spans="1:1" ht="21">
      <c r="A3392" s="345"/>
    </row>
    <row r="3393" spans="1:1" ht="21">
      <c r="A3393" s="345"/>
    </row>
    <row r="3394" spans="1:1" ht="21">
      <c r="A3394" s="345"/>
    </row>
    <row r="3395" spans="1:1" ht="21">
      <c r="A3395" s="345"/>
    </row>
    <row r="3396" spans="1:1" ht="21">
      <c r="A3396" s="345"/>
    </row>
    <row r="3397" spans="1:1" ht="21">
      <c r="A3397" s="345"/>
    </row>
    <row r="3398" spans="1:1" ht="21">
      <c r="A3398" s="345"/>
    </row>
    <row r="3399" spans="1:1" ht="21">
      <c r="A3399" s="345"/>
    </row>
    <row r="3400" spans="1:1" ht="21">
      <c r="A3400" s="345"/>
    </row>
    <row r="3401" spans="1:1" ht="21">
      <c r="A3401" s="345"/>
    </row>
    <row r="3402" spans="1:1" ht="21">
      <c r="A3402" s="345"/>
    </row>
    <row r="3403" spans="1:1" ht="21">
      <c r="A3403" s="345"/>
    </row>
    <row r="3404" spans="1:1" ht="21">
      <c r="A3404" s="345"/>
    </row>
    <row r="3405" spans="1:1" ht="21">
      <c r="A3405" s="345"/>
    </row>
    <row r="3406" spans="1:1" ht="21">
      <c r="A3406" s="345"/>
    </row>
    <row r="3407" spans="1:1" ht="21">
      <c r="A3407" s="345"/>
    </row>
    <row r="3408" spans="1:1" ht="21">
      <c r="A3408" s="345"/>
    </row>
    <row r="3409" spans="1:1" ht="21">
      <c r="A3409" s="345"/>
    </row>
    <row r="3410" spans="1:1" ht="21">
      <c r="A3410" s="345"/>
    </row>
    <row r="3411" spans="1:1" ht="21">
      <c r="A3411" s="345"/>
    </row>
    <row r="3412" spans="1:1" ht="21">
      <c r="A3412" s="345"/>
    </row>
    <row r="3413" spans="1:1" ht="21">
      <c r="A3413" s="345"/>
    </row>
    <row r="3414" spans="1:1" ht="21">
      <c r="A3414" s="345"/>
    </row>
    <row r="3415" spans="1:1" ht="21">
      <c r="A3415" s="345"/>
    </row>
    <row r="3416" spans="1:1" ht="21">
      <c r="A3416" s="345"/>
    </row>
    <row r="3417" spans="1:1" ht="21">
      <c r="A3417" s="345"/>
    </row>
    <row r="3418" spans="1:1" ht="21">
      <c r="A3418" s="345"/>
    </row>
    <row r="3419" spans="1:1" ht="21">
      <c r="A3419" s="345"/>
    </row>
    <row r="3420" spans="1:1" ht="21">
      <c r="A3420" s="345"/>
    </row>
    <row r="3421" spans="1:1" ht="21">
      <c r="A3421" s="345"/>
    </row>
    <row r="3422" spans="1:1" ht="21">
      <c r="A3422" s="345"/>
    </row>
    <row r="3423" spans="1:1" ht="21">
      <c r="A3423" s="345"/>
    </row>
    <row r="3424" spans="1:1" ht="21">
      <c r="A3424" s="345"/>
    </row>
    <row r="3425" spans="1:1" ht="21">
      <c r="A3425" s="345"/>
    </row>
    <row r="3426" spans="1:1" ht="21">
      <c r="A3426" s="345"/>
    </row>
    <row r="3427" spans="1:1" ht="21">
      <c r="A3427" s="345"/>
    </row>
    <row r="3428" spans="1:1" ht="21">
      <c r="A3428" s="345"/>
    </row>
    <row r="3429" spans="1:1" ht="21">
      <c r="A3429" s="345"/>
    </row>
    <row r="3430" spans="1:1" ht="21">
      <c r="A3430" s="345"/>
    </row>
    <row r="3431" spans="1:1" ht="21">
      <c r="A3431" s="345"/>
    </row>
    <row r="3432" spans="1:1" ht="21">
      <c r="A3432" s="345"/>
    </row>
    <row r="3433" spans="1:1" ht="21">
      <c r="A3433" s="345"/>
    </row>
    <row r="3434" spans="1:1" ht="21">
      <c r="A3434" s="345"/>
    </row>
    <row r="3435" spans="1:1" ht="21">
      <c r="A3435" s="345"/>
    </row>
    <row r="3436" spans="1:1" ht="21">
      <c r="A3436" s="345"/>
    </row>
    <row r="3437" spans="1:1" ht="21">
      <c r="A3437" s="345"/>
    </row>
    <row r="3438" spans="1:1" ht="21">
      <c r="A3438" s="345"/>
    </row>
    <row r="3439" spans="1:1" ht="21">
      <c r="A3439" s="345"/>
    </row>
    <row r="3440" spans="1:1" ht="21">
      <c r="A3440" s="345"/>
    </row>
    <row r="3441" spans="1:1" ht="21">
      <c r="A3441" s="345"/>
    </row>
    <row r="3442" spans="1:1" ht="21">
      <c r="A3442" s="345"/>
    </row>
    <row r="3443" spans="1:1" ht="21">
      <c r="A3443" s="345"/>
    </row>
    <row r="3444" spans="1:1" ht="21">
      <c r="A3444" s="345"/>
    </row>
    <row r="3445" spans="1:1" ht="21">
      <c r="A3445" s="345"/>
    </row>
    <row r="3446" spans="1:1" ht="21">
      <c r="A3446" s="345"/>
    </row>
    <row r="3447" spans="1:1" ht="21">
      <c r="A3447" s="345"/>
    </row>
    <row r="3448" spans="1:1" ht="21">
      <c r="A3448" s="345"/>
    </row>
    <row r="3449" spans="1:1" ht="21">
      <c r="A3449" s="345"/>
    </row>
    <row r="3450" spans="1:1" ht="21">
      <c r="A3450" s="345"/>
    </row>
    <row r="3451" spans="1:1" ht="21">
      <c r="A3451" s="345"/>
    </row>
    <row r="3452" spans="1:1" ht="21">
      <c r="A3452" s="345"/>
    </row>
    <row r="3453" spans="1:1" ht="21">
      <c r="A3453" s="345"/>
    </row>
    <row r="3454" spans="1:1" ht="21">
      <c r="A3454" s="345"/>
    </row>
    <row r="3455" spans="1:1" ht="21">
      <c r="A3455" s="345"/>
    </row>
    <row r="3456" spans="1:1" ht="21">
      <c r="A3456" s="345"/>
    </row>
    <row r="3457" spans="1:1" ht="21">
      <c r="A3457" s="345"/>
    </row>
    <row r="3458" spans="1:1" ht="21">
      <c r="A3458" s="345"/>
    </row>
    <row r="3459" spans="1:1" ht="21">
      <c r="A3459" s="345"/>
    </row>
    <row r="3460" spans="1:1" ht="21">
      <c r="A3460" s="345"/>
    </row>
    <row r="3461" spans="1:1" ht="21">
      <c r="A3461" s="345"/>
    </row>
    <row r="3462" spans="1:1" ht="21">
      <c r="A3462" s="345"/>
    </row>
    <row r="3463" spans="1:1" ht="21">
      <c r="A3463" s="345"/>
    </row>
    <row r="3464" spans="1:1" ht="21">
      <c r="A3464" s="345"/>
    </row>
    <row r="3465" spans="1:1" ht="21">
      <c r="A3465" s="345"/>
    </row>
    <row r="3466" spans="1:1" ht="21">
      <c r="A3466" s="345"/>
    </row>
    <row r="3467" spans="1:1" ht="21">
      <c r="A3467" s="345"/>
    </row>
    <row r="3468" spans="1:1" ht="21">
      <c r="A3468" s="345"/>
    </row>
    <row r="3469" spans="1:1" ht="21">
      <c r="A3469" s="345"/>
    </row>
    <row r="3470" spans="1:1" ht="21">
      <c r="A3470" s="345"/>
    </row>
    <row r="3471" spans="1:1" ht="21">
      <c r="A3471" s="345"/>
    </row>
    <row r="3472" spans="1:1" ht="21">
      <c r="A3472" s="345"/>
    </row>
    <row r="3473" spans="1:1" ht="21">
      <c r="A3473" s="345"/>
    </row>
    <row r="3474" spans="1:1" ht="21">
      <c r="A3474" s="345"/>
    </row>
    <row r="3475" spans="1:1" ht="21">
      <c r="A3475" s="345"/>
    </row>
    <row r="3476" spans="1:1" ht="21">
      <c r="A3476" s="345"/>
    </row>
    <row r="3477" spans="1:1" ht="21">
      <c r="A3477" s="345"/>
    </row>
    <row r="3478" spans="1:1" ht="21">
      <c r="A3478" s="345"/>
    </row>
    <row r="3479" spans="1:1" ht="21">
      <c r="A3479" s="345"/>
    </row>
    <row r="3480" spans="1:1" ht="21">
      <c r="A3480" s="345"/>
    </row>
    <row r="3481" spans="1:1" ht="21">
      <c r="A3481" s="345"/>
    </row>
    <row r="3482" spans="1:1" ht="21">
      <c r="A3482" s="345"/>
    </row>
    <row r="3483" spans="1:1" ht="21">
      <c r="A3483" s="345"/>
    </row>
    <row r="3484" spans="1:1" ht="21">
      <c r="A3484" s="345"/>
    </row>
    <row r="3485" spans="1:1" ht="21">
      <c r="A3485" s="345"/>
    </row>
    <row r="3486" spans="1:1" ht="21">
      <c r="A3486" s="345"/>
    </row>
    <row r="3487" spans="1:1" ht="21">
      <c r="A3487" s="345"/>
    </row>
    <row r="3488" spans="1:1" ht="21">
      <c r="A3488" s="345"/>
    </row>
    <row r="3489" spans="1:1" ht="21">
      <c r="A3489" s="345"/>
    </row>
    <row r="3490" spans="1:1" ht="21">
      <c r="A3490" s="345"/>
    </row>
    <row r="3491" spans="1:1" ht="21">
      <c r="A3491" s="345"/>
    </row>
    <row r="3492" spans="1:1" ht="21">
      <c r="A3492" s="345"/>
    </row>
    <row r="3493" spans="1:1" ht="21">
      <c r="A3493" s="345"/>
    </row>
    <row r="3494" spans="1:1" ht="21">
      <c r="A3494" s="345"/>
    </row>
    <row r="3495" spans="1:1" ht="21">
      <c r="A3495" s="345"/>
    </row>
    <row r="3496" spans="1:1" ht="21">
      <c r="A3496" s="345"/>
    </row>
    <row r="3497" spans="1:1" ht="21">
      <c r="A3497" s="345"/>
    </row>
    <row r="3498" spans="1:1" ht="21">
      <c r="A3498" s="345"/>
    </row>
    <row r="3499" spans="1:1" ht="21">
      <c r="A3499" s="345"/>
    </row>
    <row r="3500" spans="1:1" ht="21">
      <c r="A3500" s="345"/>
    </row>
    <row r="3501" spans="1:1" ht="21">
      <c r="A3501" s="345"/>
    </row>
    <row r="3502" spans="1:1" ht="21">
      <c r="A3502" s="345"/>
    </row>
    <row r="3503" spans="1:1" ht="21">
      <c r="A3503" s="345"/>
    </row>
    <row r="3504" spans="1:1" ht="21">
      <c r="A3504" s="345"/>
    </row>
    <row r="3505" spans="1:1" ht="21">
      <c r="A3505" s="345"/>
    </row>
    <row r="3506" spans="1:1" ht="21">
      <c r="A3506" s="345"/>
    </row>
    <row r="3507" spans="1:1" ht="21">
      <c r="A3507" s="345"/>
    </row>
    <row r="3508" spans="1:1" ht="21">
      <c r="A3508" s="345"/>
    </row>
    <row r="3509" spans="1:1" ht="21">
      <c r="A3509" s="345"/>
    </row>
    <row r="3510" spans="1:1" ht="21">
      <c r="A3510" s="345"/>
    </row>
    <row r="3511" spans="1:1" ht="21">
      <c r="A3511" s="345"/>
    </row>
    <row r="3512" spans="1:1" ht="21">
      <c r="A3512" s="345"/>
    </row>
    <row r="3513" spans="1:1" ht="21">
      <c r="A3513" s="345"/>
    </row>
    <row r="3514" spans="1:1" ht="21">
      <c r="A3514" s="345"/>
    </row>
    <row r="3515" spans="1:1" ht="21">
      <c r="A3515" s="345"/>
    </row>
    <row r="3516" spans="1:1" ht="21">
      <c r="A3516" s="345"/>
    </row>
    <row r="3517" spans="1:1" ht="21">
      <c r="A3517" s="345"/>
    </row>
    <row r="3518" spans="1:1" ht="21">
      <c r="A3518" s="345"/>
    </row>
    <row r="3519" spans="1:1" ht="21">
      <c r="A3519" s="345"/>
    </row>
    <row r="3520" spans="1:1" ht="21">
      <c r="A3520" s="345"/>
    </row>
    <row r="3521" spans="1:1" ht="21">
      <c r="A3521" s="345"/>
    </row>
    <row r="3522" spans="1:1" ht="21">
      <c r="A3522" s="345"/>
    </row>
    <row r="3523" spans="1:1" ht="21">
      <c r="A3523" s="345"/>
    </row>
    <row r="3524" spans="1:1" ht="21">
      <c r="A3524" s="345"/>
    </row>
    <row r="3525" spans="1:1" ht="21">
      <c r="A3525" s="345"/>
    </row>
    <row r="3526" spans="1:1" ht="21">
      <c r="A3526" s="345"/>
    </row>
    <row r="3527" spans="1:1" ht="21">
      <c r="A3527" s="345"/>
    </row>
    <row r="3528" spans="1:1" ht="21">
      <c r="A3528" s="345"/>
    </row>
    <row r="3529" spans="1:1" ht="21">
      <c r="A3529" s="345"/>
    </row>
    <row r="3530" spans="1:1" ht="21">
      <c r="A3530" s="345"/>
    </row>
    <row r="3531" spans="1:1" ht="21">
      <c r="A3531" s="345"/>
    </row>
    <row r="3532" spans="1:1" ht="21">
      <c r="A3532" s="345"/>
    </row>
    <row r="3533" spans="1:1" ht="21">
      <c r="A3533" s="345"/>
    </row>
    <row r="3534" spans="1:1" ht="21">
      <c r="A3534" s="345"/>
    </row>
    <row r="3535" spans="1:1" ht="21">
      <c r="A3535" s="345"/>
    </row>
    <row r="3536" spans="1:1" ht="21">
      <c r="A3536" s="345"/>
    </row>
    <row r="3537" spans="1:1" ht="21">
      <c r="A3537" s="345"/>
    </row>
    <row r="3538" spans="1:1" ht="21">
      <c r="A3538" s="345"/>
    </row>
    <row r="3539" spans="1:1" ht="21">
      <c r="A3539" s="345"/>
    </row>
    <row r="3540" spans="1:1" ht="21">
      <c r="A3540" s="345"/>
    </row>
    <row r="3541" spans="1:1" ht="21">
      <c r="A3541" s="345"/>
    </row>
    <row r="3542" spans="1:1" ht="21">
      <c r="A3542" s="345"/>
    </row>
    <row r="3543" spans="1:1" ht="21">
      <c r="A3543" s="345"/>
    </row>
    <row r="3544" spans="1:1" ht="21">
      <c r="A3544" s="345"/>
    </row>
    <row r="3545" spans="1:1" ht="21">
      <c r="A3545" s="345"/>
    </row>
    <row r="3546" spans="1:1" ht="21">
      <c r="A3546" s="345"/>
    </row>
    <row r="3547" spans="1:1" ht="21">
      <c r="A3547" s="345"/>
    </row>
    <row r="3548" spans="1:1" ht="21">
      <c r="A3548" s="345"/>
    </row>
    <row r="3549" spans="1:1" ht="21">
      <c r="A3549" s="345"/>
    </row>
    <row r="3550" spans="1:1" ht="21">
      <c r="A3550" s="345"/>
    </row>
    <row r="3551" spans="1:1" ht="21">
      <c r="A3551" s="345"/>
    </row>
    <row r="3552" spans="1:1" ht="21">
      <c r="A3552" s="345"/>
    </row>
    <row r="3553" spans="1:1" ht="21">
      <c r="A3553" s="345"/>
    </row>
    <row r="3554" spans="1:1" ht="21">
      <c r="A3554" s="345"/>
    </row>
    <row r="3555" spans="1:1" ht="21">
      <c r="A3555" s="345"/>
    </row>
    <row r="3556" spans="1:1" ht="21">
      <c r="A3556" s="345"/>
    </row>
    <row r="3557" spans="1:1" ht="21">
      <c r="A3557" s="345"/>
    </row>
    <row r="3558" spans="1:1" ht="21">
      <c r="A3558" s="345"/>
    </row>
    <row r="3559" spans="1:1" ht="21">
      <c r="A3559" s="345"/>
    </row>
    <row r="3560" spans="1:1" ht="21">
      <c r="A3560" s="345"/>
    </row>
    <row r="3561" spans="1:1" ht="21">
      <c r="A3561" s="345"/>
    </row>
    <row r="3562" spans="1:1" ht="21">
      <c r="A3562" s="345"/>
    </row>
    <row r="3563" spans="1:1" ht="21">
      <c r="A3563" s="345"/>
    </row>
    <row r="3564" spans="1:1" ht="21">
      <c r="A3564" s="345"/>
    </row>
    <row r="3565" spans="1:1" ht="21">
      <c r="A3565" s="345"/>
    </row>
    <row r="3566" spans="1:1" ht="21">
      <c r="A3566" s="345"/>
    </row>
    <row r="3567" spans="1:1" ht="21">
      <c r="A3567" s="345"/>
    </row>
    <row r="3568" spans="1:1" ht="21">
      <c r="A3568" s="345"/>
    </row>
    <row r="3569" spans="1:1" ht="21">
      <c r="A3569" s="345"/>
    </row>
    <row r="3570" spans="1:1" ht="21">
      <c r="A3570" s="345"/>
    </row>
    <row r="3571" spans="1:1" ht="21">
      <c r="A3571" s="345"/>
    </row>
    <row r="3572" spans="1:1" ht="21">
      <c r="A3572" s="345"/>
    </row>
    <row r="3573" spans="1:1" ht="21">
      <c r="A3573" s="345"/>
    </row>
    <row r="3574" spans="1:1" ht="21">
      <c r="A3574" s="345"/>
    </row>
    <row r="3575" spans="1:1" ht="21">
      <c r="A3575" s="345"/>
    </row>
    <row r="3576" spans="1:1" ht="21">
      <c r="A3576" s="345"/>
    </row>
    <row r="3577" spans="1:1" ht="21">
      <c r="A3577" s="345"/>
    </row>
    <row r="3578" spans="1:1" ht="21">
      <c r="A3578" s="345"/>
    </row>
    <row r="3579" spans="1:1" ht="21">
      <c r="A3579" s="345"/>
    </row>
    <row r="3580" spans="1:1" ht="21">
      <c r="A3580" s="345"/>
    </row>
    <row r="3581" spans="1:1" ht="21">
      <c r="A3581" s="345"/>
    </row>
    <row r="3582" spans="1:1" ht="21">
      <c r="A3582" s="345"/>
    </row>
    <row r="3583" spans="1:1" ht="21">
      <c r="A3583" s="345"/>
    </row>
    <row r="3584" spans="1:1" ht="21">
      <c r="A3584" s="345"/>
    </row>
    <row r="3585" spans="1:1" ht="21">
      <c r="A3585" s="345"/>
    </row>
    <row r="3586" spans="1:1" ht="21">
      <c r="A3586" s="345"/>
    </row>
    <row r="3587" spans="1:1" ht="21">
      <c r="A3587" s="345"/>
    </row>
    <row r="3588" spans="1:1" ht="21">
      <c r="A3588" s="345"/>
    </row>
    <row r="3589" spans="1:1" ht="21">
      <c r="A3589" s="345"/>
    </row>
    <row r="3590" spans="1:1" ht="21">
      <c r="A3590" s="345"/>
    </row>
    <row r="3591" spans="1:1" ht="21">
      <c r="A3591" s="345"/>
    </row>
    <row r="3592" spans="1:1" ht="21">
      <c r="A3592" s="345"/>
    </row>
    <row r="3593" spans="1:1" ht="21">
      <c r="A3593" s="345"/>
    </row>
    <row r="3594" spans="1:1" ht="21">
      <c r="A3594" s="345"/>
    </row>
    <row r="3595" spans="1:1" ht="21">
      <c r="A3595" s="345"/>
    </row>
    <row r="3596" spans="1:1" ht="21">
      <c r="A3596" s="345"/>
    </row>
    <row r="3597" spans="1:1" ht="21">
      <c r="A3597" s="345"/>
    </row>
    <row r="3598" spans="1:1" ht="21">
      <c r="A3598" s="345"/>
    </row>
    <row r="3599" spans="1:1" ht="21">
      <c r="A3599" s="345"/>
    </row>
    <row r="3600" spans="1:1" ht="21">
      <c r="A3600" s="345"/>
    </row>
    <row r="3601" spans="1:1" ht="21">
      <c r="A3601" s="345"/>
    </row>
    <row r="3602" spans="1:1" ht="21">
      <c r="A3602" s="345"/>
    </row>
    <row r="3603" spans="1:1" ht="21">
      <c r="A3603" s="345"/>
    </row>
    <row r="3604" spans="1:1" ht="21">
      <c r="A3604" s="345"/>
    </row>
    <row r="3605" spans="1:1" ht="21">
      <c r="A3605" s="345"/>
    </row>
    <row r="3606" spans="1:1" ht="21">
      <c r="A3606" s="345"/>
    </row>
    <row r="3607" spans="1:1" ht="21">
      <c r="A3607" s="345"/>
    </row>
    <row r="3608" spans="1:1" ht="21">
      <c r="A3608" s="345"/>
    </row>
    <row r="3609" spans="1:1" ht="21">
      <c r="A3609" s="345"/>
    </row>
    <row r="3610" spans="1:1" ht="21">
      <c r="A3610" s="345"/>
    </row>
    <row r="3611" spans="1:1" ht="21">
      <c r="A3611" s="345"/>
    </row>
    <row r="3612" spans="1:1" ht="21">
      <c r="A3612" s="345"/>
    </row>
    <row r="3613" spans="1:1" ht="21">
      <c r="A3613" s="345"/>
    </row>
    <row r="3614" spans="1:1" ht="21">
      <c r="A3614" s="345"/>
    </row>
    <row r="3615" spans="1:1" ht="21">
      <c r="A3615" s="345"/>
    </row>
    <row r="3616" spans="1:1" ht="21">
      <c r="A3616" s="345"/>
    </row>
    <row r="3617" spans="1:1" ht="21">
      <c r="A3617" s="345"/>
    </row>
    <row r="3618" spans="1:1" ht="21">
      <c r="A3618" s="345"/>
    </row>
    <row r="3619" spans="1:1" ht="21">
      <c r="A3619" s="345"/>
    </row>
    <row r="3620" spans="1:1" ht="21">
      <c r="A3620" s="345"/>
    </row>
    <row r="3621" spans="1:1" ht="21">
      <c r="A3621" s="345"/>
    </row>
    <row r="3622" spans="1:1" ht="21">
      <c r="A3622" s="345"/>
    </row>
    <row r="3623" spans="1:1" ht="21">
      <c r="A3623" s="345"/>
    </row>
    <row r="3624" spans="1:1" ht="21">
      <c r="A3624" s="345"/>
    </row>
    <row r="3625" spans="1:1" ht="21">
      <c r="A3625" s="345"/>
    </row>
    <row r="3626" spans="1:1" ht="21">
      <c r="A3626" s="345"/>
    </row>
    <row r="3627" spans="1:1" ht="21">
      <c r="A3627" s="345"/>
    </row>
    <row r="3628" spans="1:1" ht="21">
      <c r="A3628" s="345"/>
    </row>
    <row r="3629" spans="1:1" ht="21">
      <c r="A3629" s="345"/>
    </row>
    <row r="3630" spans="1:1" ht="21">
      <c r="A3630" s="345"/>
    </row>
    <row r="3631" spans="1:1" ht="21">
      <c r="A3631" s="345"/>
    </row>
    <row r="3632" spans="1:1" ht="21">
      <c r="A3632" s="345"/>
    </row>
    <row r="3633" spans="1:1" ht="21">
      <c r="A3633" s="345"/>
    </row>
    <row r="3634" spans="1:1" ht="21">
      <c r="A3634" s="345"/>
    </row>
    <row r="3635" spans="1:1" ht="21">
      <c r="A3635" s="345"/>
    </row>
    <row r="3636" spans="1:1" ht="21">
      <c r="A3636" s="345"/>
    </row>
    <row r="3637" spans="1:1" ht="21">
      <c r="A3637" s="345"/>
    </row>
    <row r="3638" spans="1:1" ht="21">
      <c r="A3638" s="345"/>
    </row>
    <row r="3639" spans="1:1" ht="21">
      <c r="A3639" s="345"/>
    </row>
    <row r="3640" spans="1:1" ht="21">
      <c r="A3640" s="345"/>
    </row>
    <row r="3641" spans="1:1" ht="21">
      <c r="A3641" s="345"/>
    </row>
    <row r="3642" spans="1:1" ht="21">
      <c r="A3642" s="345"/>
    </row>
    <row r="3643" spans="1:1" ht="21">
      <c r="A3643" s="345"/>
    </row>
    <row r="3644" spans="1:1" ht="21">
      <c r="A3644" s="345"/>
    </row>
    <row r="3645" spans="1:1" ht="21">
      <c r="A3645" s="345"/>
    </row>
    <row r="3646" spans="1:1" ht="21">
      <c r="A3646" s="345"/>
    </row>
    <row r="3647" spans="1:1" ht="21">
      <c r="A3647" s="345"/>
    </row>
    <row r="3648" spans="1:1" ht="21">
      <c r="A3648" s="345"/>
    </row>
    <row r="3649" spans="1:1" ht="21">
      <c r="A3649" s="345"/>
    </row>
    <row r="3650" spans="1:1" ht="21">
      <c r="A3650" s="345"/>
    </row>
    <row r="3651" spans="1:1" ht="21">
      <c r="A3651" s="345"/>
    </row>
    <row r="3652" spans="1:1" ht="21">
      <c r="A3652" s="345"/>
    </row>
    <row r="3653" spans="1:1" ht="21">
      <c r="A3653" s="345"/>
    </row>
    <row r="3654" spans="1:1" ht="21">
      <c r="A3654" s="345"/>
    </row>
    <row r="3655" spans="1:1" ht="21">
      <c r="A3655" s="345"/>
    </row>
    <row r="3656" spans="1:1" ht="21">
      <c r="A3656" s="345"/>
    </row>
    <row r="3657" spans="1:1" ht="21">
      <c r="A3657" s="345"/>
    </row>
    <row r="3658" spans="1:1" ht="21">
      <c r="A3658" s="345"/>
    </row>
    <row r="3659" spans="1:1" ht="21">
      <c r="A3659" s="345"/>
    </row>
    <row r="3660" spans="1:1" ht="21">
      <c r="A3660" s="345"/>
    </row>
    <row r="3661" spans="1:1" ht="21">
      <c r="A3661" s="345"/>
    </row>
    <row r="3662" spans="1:1" ht="21">
      <c r="A3662" s="345"/>
    </row>
    <row r="3663" spans="1:1" ht="21">
      <c r="A3663" s="345"/>
    </row>
    <row r="3664" spans="1:1" ht="21">
      <c r="A3664" s="345"/>
    </row>
    <row r="3665" spans="1:1" ht="21">
      <c r="A3665" s="345"/>
    </row>
    <row r="3666" spans="1:1" ht="21">
      <c r="A3666" s="345"/>
    </row>
    <row r="3667" spans="1:1" ht="21">
      <c r="A3667" s="345"/>
    </row>
    <row r="3668" spans="1:1" ht="21">
      <c r="A3668" s="345"/>
    </row>
    <row r="3669" spans="1:1" ht="21">
      <c r="A3669" s="345"/>
    </row>
    <row r="3670" spans="1:1" ht="21">
      <c r="A3670" s="345"/>
    </row>
    <row r="3671" spans="1:1" ht="21">
      <c r="A3671" s="345"/>
    </row>
    <row r="3672" spans="1:1" ht="21">
      <c r="A3672" s="345"/>
    </row>
    <row r="3673" spans="1:1" ht="21">
      <c r="A3673" s="345"/>
    </row>
    <row r="3674" spans="1:1" ht="21">
      <c r="A3674" s="345"/>
    </row>
    <row r="3675" spans="1:1" ht="21">
      <c r="A3675" s="345"/>
    </row>
    <row r="3676" spans="1:1" ht="21">
      <c r="A3676" s="345"/>
    </row>
    <row r="3677" spans="1:1" ht="21">
      <c r="A3677" s="345"/>
    </row>
    <row r="3678" spans="1:1" ht="21">
      <c r="A3678" s="345"/>
    </row>
    <row r="3679" spans="1:1" ht="21">
      <c r="A3679" s="345"/>
    </row>
    <row r="3680" spans="1:1" ht="21">
      <c r="A3680" s="345"/>
    </row>
    <row r="3681" spans="1:1" ht="21">
      <c r="A3681" s="345"/>
    </row>
    <row r="3682" spans="1:1" ht="21">
      <c r="A3682" s="345"/>
    </row>
    <row r="3683" spans="1:1" ht="21">
      <c r="A3683" s="345"/>
    </row>
    <row r="3684" spans="1:1" ht="21">
      <c r="A3684" s="345"/>
    </row>
    <row r="3685" spans="1:1" ht="21">
      <c r="A3685" s="345"/>
    </row>
    <row r="3686" spans="1:1" ht="21">
      <c r="A3686" s="345"/>
    </row>
    <row r="3687" spans="1:1" ht="21">
      <c r="A3687" s="345"/>
    </row>
    <row r="3688" spans="1:1" ht="21">
      <c r="A3688" s="345"/>
    </row>
    <row r="3689" spans="1:1" ht="21">
      <c r="A3689" s="345"/>
    </row>
    <row r="3690" spans="1:1" ht="21">
      <c r="A3690" s="345"/>
    </row>
    <row r="3691" spans="1:1" ht="21">
      <c r="A3691" s="345"/>
    </row>
    <row r="3692" spans="1:1" ht="21">
      <c r="A3692" s="345"/>
    </row>
    <row r="3693" spans="1:1" ht="21">
      <c r="A3693" s="345"/>
    </row>
    <row r="3694" spans="1:1" ht="21">
      <c r="A3694" s="345"/>
    </row>
    <row r="3695" spans="1:1" ht="21">
      <c r="A3695" s="345"/>
    </row>
    <row r="3696" spans="1:1" ht="21">
      <c r="A3696" s="345"/>
    </row>
    <row r="3697" spans="1:1" ht="21">
      <c r="A3697" s="345"/>
    </row>
    <row r="3698" spans="1:1" ht="21">
      <c r="A3698" s="345"/>
    </row>
    <row r="3699" spans="1:1" ht="21">
      <c r="A3699" s="345"/>
    </row>
    <row r="3700" spans="1:1" ht="21">
      <c r="A3700" s="345"/>
    </row>
    <row r="3701" spans="1:1" ht="21">
      <c r="A3701" s="345"/>
    </row>
    <row r="3702" spans="1:1" ht="21">
      <c r="A3702" s="345"/>
    </row>
    <row r="3703" spans="1:1" ht="21">
      <c r="A3703" s="345"/>
    </row>
    <row r="3704" spans="1:1" ht="21">
      <c r="A3704" s="345"/>
    </row>
    <row r="3705" spans="1:1" ht="21">
      <c r="A3705" s="345"/>
    </row>
    <row r="3706" spans="1:1" ht="21">
      <c r="A3706" s="345"/>
    </row>
    <row r="3707" spans="1:1" ht="21">
      <c r="A3707" s="345"/>
    </row>
    <row r="3708" spans="1:1" ht="21">
      <c r="A3708" s="345"/>
    </row>
    <row r="3709" spans="1:1" ht="21">
      <c r="A3709" s="345"/>
    </row>
    <row r="3710" spans="1:1" ht="21">
      <c r="A3710" s="345"/>
    </row>
    <row r="3711" spans="1:1" ht="21">
      <c r="A3711" s="345"/>
    </row>
    <row r="3712" spans="1:1" ht="21">
      <c r="A3712" s="345"/>
    </row>
    <row r="3713" spans="1:1" ht="21">
      <c r="A3713" s="345"/>
    </row>
    <row r="3714" spans="1:1" ht="21">
      <c r="A3714" s="345"/>
    </row>
    <row r="3715" spans="1:1" ht="21">
      <c r="A3715" s="345"/>
    </row>
    <row r="3716" spans="1:1" ht="21">
      <c r="A3716" s="345"/>
    </row>
    <row r="3717" spans="1:1" ht="21">
      <c r="A3717" s="345"/>
    </row>
    <row r="3718" spans="1:1" ht="21">
      <c r="A3718" s="345"/>
    </row>
    <row r="3719" spans="1:1" ht="21">
      <c r="A3719" s="345"/>
    </row>
    <row r="3720" spans="1:1" ht="21">
      <c r="A3720" s="345"/>
    </row>
    <row r="3721" spans="1:1" ht="21">
      <c r="A3721" s="345"/>
    </row>
    <row r="3722" spans="1:1" ht="21">
      <c r="A3722" s="345"/>
    </row>
    <row r="3723" spans="1:1" ht="21">
      <c r="A3723" s="345"/>
    </row>
    <row r="3724" spans="1:1" ht="21">
      <c r="A3724" s="345"/>
    </row>
    <row r="3725" spans="1:1" ht="21">
      <c r="A3725" s="345"/>
    </row>
    <row r="3726" spans="1:1" ht="21">
      <c r="A3726" s="345"/>
    </row>
    <row r="3727" spans="1:1" ht="21">
      <c r="A3727" s="345"/>
    </row>
    <row r="3728" spans="1:1" ht="21">
      <c r="A3728" s="345"/>
    </row>
    <row r="3729" spans="1:1" ht="21">
      <c r="A3729" s="345"/>
    </row>
    <row r="3730" spans="1:1" ht="21">
      <c r="A3730" s="345"/>
    </row>
    <row r="3731" spans="1:1" ht="21">
      <c r="A3731" s="345"/>
    </row>
    <row r="3732" spans="1:1" ht="21">
      <c r="A3732" s="345"/>
    </row>
    <row r="3733" spans="1:1" ht="21">
      <c r="A3733" s="345"/>
    </row>
    <row r="3734" spans="1:1" ht="21">
      <c r="A3734" s="345"/>
    </row>
    <row r="3735" spans="1:1" ht="21">
      <c r="A3735" s="345"/>
    </row>
    <row r="3736" spans="1:1" ht="21">
      <c r="A3736" s="345"/>
    </row>
    <row r="3737" spans="1:1" ht="21">
      <c r="A3737" s="345"/>
    </row>
    <row r="3738" spans="1:1" ht="21">
      <c r="A3738" s="345"/>
    </row>
    <row r="3739" spans="1:1" ht="21">
      <c r="A3739" s="345"/>
    </row>
    <row r="3740" spans="1:1" ht="21">
      <c r="A3740" s="345"/>
    </row>
    <row r="3741" spans="1:1" ht="21">
      <c r="A3741" s="345"/>
    </row>
    <row r="3742" spans="1:1" ht="21">
      <c r="A3742" s="345"/>
    </row>
    <row r="3743" spans="1:1" ht="21">
      <c r="A3743" s="345"/>
    </row>
    <row r="3744" spans="1:1" ht="21">
      <c r="A3744" s="345"/>
    </row>
    <row r="3745" spans="1:1" ht="21">
      <c r="A3745" s="345"/>
    </row>
    <row r="3746" spans="1:1" ht="21">
      <c r="A3746" s="345"/>
    </row>
    <row r="3747" spans="1:1" ht="21">
      <c r="A3747" s="345"/>
    </row>
    <row r="3748" spans="1:1" ht="21">
      <c r="A3748" s="345"/>
    </row>
    <row r="3749" spans="1:1" ht="21">
      <c r="A3749" s="345"/>
    </row>
    <row r="3750" spans="1:1" ht="21">
      <c r="A3750" s="345"/>
    </row>
    <row r="3751" spans="1:1" ht="21">
      <c r="A3751" s="345"/>
    </row>
    <row r="3752" spans="1:1" ht="21">
      <c r="A3752" s="345"/>
    </row>
    <row r="3753" spans="1:1" ht="21">
      <c r="A3753" s="345"/>
    </row>
    <row r="3754" spans="1:1" ht="21">
      <c r="A3754" s="345"/>
    </row>
    <row r="3755" spans="1:1" ht="21">
      <c r="A3755" s="345"/>
    </row>
    <row r="3756" spans="1:1" ht="21">
      <c r="A3756" s="345"/>
    </row>
    <row r="3757" spans="1:1" ht="21">
      <c r="A3757" s="345"/>
    </row>
    <row r="3758" spans="1:1" ht="21">
      <c r="A3758" s="345"/>
    </row>
    <row r="3759" spans="1:1" ht="21">
      <c r="A3759" s="345"/>
    </row>
    <row r="3760" spans="1:1" ht="21">
      <c r="A3760" s="345"/>
    </row>
    <row r="3761" spans="1:1" ht="21">
      <c r="A3761" s="345"/>
    </row>
    <row r="3762" spans="1:1" ht="21">
      <c r="A3762" s="345"/>
    </row>
    <row r="3763" spans="1:1" ht="21">
      <c r="A3763" s="345"/>
    </row>
    <row r="3764" spans="1:1" ht="21">
      <c r="A3764" s="345"/>
    </row>
    <row r="3765" spans="1:1" ht="21">
      <c r="A3765" s="345"/>
    </row>
    <row r="3766" spans="1:1" ht="21">
      <c r="A3766" s="345"/>
    </row>
    <row r="3767" spans="1:1" ht="21">
      <c r="A3767" s="345"/>
    </row>
    <row r="3768" spans="1:1" ht="21">
      <c r="A3768" s="345"/>
    </row>
    <row r="3769" spans="1:1" ht="21">
      <c r="A3769" s="345"/>
    </row>
    <row r="3770" spans="1:1" ht="21">
      <c r="A3770" s="345"/>
    </row>
    <row r="3771" spans="1:1" ht="21">
      <c r="A3771" s="345"/>
    </row>
    <row r="3772" spans="1:1" ht="21">
      <c r="A3772" s="345"/>
    </row>
    <row r="3773" spans="1:1" ht="21">
      <c r="A3773" s="345"/>
    </row>
    <row r="3774" spans="1:1" ht="21">
      <c r="A3774" s="345"/>
    </row>
    <row r="3775" spans="1:1" ht="21">
      <c r="A3775" s="345"/>
    </row>
    <row r="3776" spans="1:1" ht="21">
      <c r="A3776" s="345"/>
    </row>
    <row r="3777" spans="1:1" ht="21">
      <c r="A3777" s="345"/>
    </row>
    <row r="3778" spans="1:1" ht="21">
      <c r="A3778" s="345"/>
    </row>
    <row r="3779" spans="1:1" ht="21">
      <c r="A3779" s="345"/>
    </row>
    <row r="3780" spans="1:1" ht="21">
      <c r="A3780" s="345"/>
    </row>
    <row r="3781" spans="1:1" ht="21">
      <c r="A3781" s="345"/>
    </row>
    <row r="3782" spans="1:1" ht="21">
      <c r="A3782" s="345"/>
    </row>
    <row r="3783" spans="1:1" ht="21">
      <c r="A3783" s="345"/>
    </row>
    <row r="3784" spans="1:1" ht="21">
      <c r="A3784" s="345"/>
    </row>
    <row r="3785" spans="1:1" ht="21">
      <c r="A3785" s="345"/>
    </row>
    <row r="3786" spans="1:1" ht="21">
      <c r="A3786" s="345"/>
    </row>
    <row r="3787" spans="1:1" ht="21">
      <c r="A3787" s="345"/>
    </row>
    <row r="3788" spans="1:1" ht="21">
      <c r="A3788" s="345"/>
    </row>
    <row r="3789" spans="1:1" ht="21">
      <c r="A3789" s="345"/>
    </row>
    <row r="3790" spans="1:1" ht="21">
      <c r="A3790" s="345"/>
    </row>
    <row r="3791" spans="1:1" ht="21">
      <c r="A3791" s="345"/>
    </row>
    <row r="3792" spans="1:1" ht="21">
      <c r="A3792" s="345"/>
    </row>
    <row r="3793" spans="1:1" ht="21">
      <c r="A3793" s="345"/>
    </row>
    <row r="3794" spans="1:1" ht="21">
      <c r="A3794" s="345"/>
    </row>
    <row r="3795" spans="1:1" ht="21">
      <c r="A3795" s="345"/>
    </row>
    <row r="3796" spans="1:1" ht="21">
      <c r="A3796" s="345"/>
    </row>
    <row r="3797" spans="1:1" ht="21">
      <c r="A3797" s="345"/>
    </row>
    <row r="3798" spans="1:1" ht="21">
      <c r="A3798" s="345"/>
    </row>
    <row r="3799" spans="1:1" ht="21">
      <c r="A3799" s="345"/>
    </row>
    <row r="3800" spans="1:1" ht="21">
      <c r="A3800" s="345"/>
    </row>
    <row r="3801" spans="1:1" ht="21">
      <c r="A3801" s="345"/>
    </row>
    <row r="3802" spans="1:1" ht="21">
      <c r="A3802" s="345"/>
    </row>
    <row r="3803" spans="1:1" ht="21">
      <c r="A3803" s="345"/>
    </row>
    <row r="3804" spans="1:1" ht="21">
      <c r="A3804" s="345"/>
    </row>
    <row r="3805" spans="1:1" ht="21">
      <c r="A3805" s="345"/>
    </row>
    <row r="3806" spans="1:1" ht="21">
      <c r="A3806" s="345"/>
    </row>
    <row r="3807" spans="1:1" ht="21">
      <c r="A3807" s="345"/>
    </row>
    <row r="3808" spans="1:1" ht="21">
      <c r="A3808" s="345"/>
    </row>
    <row r="3809" spans="1:1" ht="21">
      <c r="A3809" s="345"/>
    </row>
    <row r="3810" spans="1:1" ht="21">
      <c r="A3810" s="345"/>
    </row>
    <row r="3811" spans="1:1" ht="21">
      <c r="A3811" s="345"/>
    </row>
    <row r="3812" spans="1:1" ht="21">
      <c r="A3812" s="345"/>
    </row>
    <row r="3813" spans="1:1" ht="21">
      <c r="A3813" s="345"/>
    </row>
    <row r="3814" spans="1:1" ht="21">
      <c r="A3814" s="345"/>
    </row>
    <row r="3815" spans="1:1" ht="21">
      <c r="A3815" s="345"/>
    </row>
    <row r="3816" spans="1:1" ht="21">
      <c r="A3816" s="345"/>
    </row>
    <row r="3817" spans="1:1" ht="21">
      <c r="A3817" s="345"/>
    </row>
    <row r="3818" spans="1:1" ht="21">
      <c r="A3818" s="345"/>
    </row>
    <row r="3819" spans="1:1" ht="21">
      <c r="A3819" s="345"/>
    </row>
    <row r="3820" spans="1:1" ht="21">
      <c r="A3820" s="345"/>
    </row>
    <row r="3821" spans="1:1" ht="21">
      <c r="A3821" s="345"/>
    </row>
    <row r="3822" spans="1:1" ht="21">
      <c r="A3822" s="345"/>
    </row>
    <row r="3823" spans="1:1" ht="21">
      <c r="A3823" s="345"/>
    </row>
    <row r="3824" spans="1:1" ht="21">
      <c r="A3824" s="345"/>
    </row>
    <row r="3825" spans="1:1" ht="21">
      <c r="A3825" s="345"/>
    </row>
    <row r="3826" spans="1:1" ht="21">
      <c r="A3826" s="345"/>
    </row>
    <row r="3827" spans="1:1" ht="21">
      <c r="A3827" s="345"/>
    </row>
    <row r="3828" spans="1:1" ht="21">
      <c r="A3828" s="345"/>
    </row>
    <row r="3829" spans="1:1" ht="21">
      <c r="A3829" s="345"/>
    </row>
    <row r="3830" spans="1:1" ht="21">
      <c r="A3830" s="345"/>
    </row>
    <row r="3831" spans="1:1" ht="21">
      <c r="A3831" s="345"/>
    </row>
    <row r="3832" spans="1:1" ht="21">
      <c r="A3832" s="345"/>
    </row>
    <row r="3833" spans="1:1" ht="21">
      <c r="A3833" s="345"/>
    </row>
    <row r="3834" spans="1:1" ht="21">
      <c r="A3834" s="345"/>
    </row>
    <row r="3835" spans="1:1" ht="21">
      <c r="A3835" s="345"/>
    </row>
    <row r="3836" spans="1:1" ht="21">
      <c r="A3836" s="345"/>
    </row>
    <row r="3837" spans="1:1" ht="21">
      <c r="A3837" s="345"/>
    </row>
    <row r="3838" spans="1:1" ht="21">
      <c r="A3838" s="345"/>
    </row>
    <row r="3839" spans="1:1" ht="21">
      <c r="A3839" s="345"/>
    </row>
    <row r="3840" spans="1:1" ht="21">
      <c r="A3840" s="345"/>
    </row>
    <row r="3841" spans="1:1" ht="21">
      <c r="A3841" s="345"/>
    </row>
    <row r="3842" spans="1:1" ht="21">
      <c r="A3842" s="345"/>
    </row>
    <row r="3843" spans="1:1" ht="21">
      <c r="A3843" s="345"/>
    </row>
    <row r="3844" spans="1:1" ht="21">
      <c r="A3844" s="345"/>
    </row>
    <row r="3845" spans="1:1" ht="21">
      <c r="A3845" s="345"/>
    </row>
    <row r="3846" spans="1:1" ht="21">
      <c r="A3846" s="345"/>
    </row>
    <row r="3847" spans="1:1" ht="21">
      <c r="A3847" s="345"/>
    </row>
    <row r="3848" spans="1:1" ht="21">
      <c r="A3848" s="345"/>
    </row>
    <row r="3849" spans="1:1" ht="21">
      <c r="A3849" s="345"/>
    </row>
    <row r="3850" spans="1:1" ht="21">
      <c r="A3850" s="345"/>
    </row>
    <row r="3851" spans="1:1" ht="21">
      <c r="A3851" s="345"/>
    </row>
    <row r="3852" spans="1:1" ht="21">
      <c r="A3852" s="345"/>
    </row>
    <row r="3853" spans="1:1" ht="21">
      <c r="A3853" s="345"/>
    </row>
    <row r="3854" spans="1:1" ht="21">
      <c r="A3854" s="345"/>
    </row>
    <row r="3855" spans="1:1" ht="21">
      <c r="A3855" s="345"/>
    </row>
    <row r="3856" spans="1:1" ht="21">
      <c r="A3856" s="345"/>
    </row>
    <row r="3857" spans="1:1" ht="21">
      <c r="A3857" s="345"/>
    </row>
    <row r="3858" spans="1:1" ht="21">
      <c r="A3858" s="345"/>
    </row>
    <row r="3859" spans="1:1" ht="21">
      <c r="A3859" s="345"/>
    </row>
    <row r="3860" spans="1:1" ht="21">
      <c r="A3860" s="345"/>
    </row>
    <row r="3861" spans="1:1" ht="21">
      <c r="A3861" s="345"/>
    </row>
    <row r="3862" spans="1:1" ht="21">
      <c r="A3862" s="345"/>
    </row>
    <row r="3863" spans="1:1" ht="21">
      <c r="A3863" s="345"/>
    </row>
    <row r="3864" spans="1:1" ht="21">
      <c r="A3864" s="345"/>
    </row>
    <row r="3865" spans="1:1" ht="21">
      <c r="A3865" s="345"/>
    </row>
    <row r="3866" spans="1:1" ht="21">
      <c r="A3866" s="345"/>
    </row>
    <row r="3867" spans="1:1" ht="21">
      <c r="A3867" s="345"/>
    </row>
    <row r="3868" spans="1:1" ht="21">
      <c r="A3868" s="345"/>
    </row>
    <row r="3869" spans="1:1" ht="21">
      <c r="A3869" s="345"/>
    </row>
    <row r="3870" spans="1:1" ht="21">
      <c r="A3870" s="345"/>
    </row>
    <row r="3871" spans="1:1" ht="21">
      <c r="A3871" s="345"/>
    </row>
    <row r="3872" spans="1:1" ht="21">
      <c r="A3872" s="345"/>
    </row>
    <row r="3873" spans="1:1" ht="21">
      <c r="A3873" s="345"/>
    </row>
    <row r="3874" spans="1:1" ht="21">
      <c r="A3874" s="345"/>
    </row>
    <row r="3875" spans="1:1" ht="21">
      <c r="A3875" s="345"/>
    </row>
    <row r="3876" spans="1:1" ht="21">
      <c r="A3876" s="345"/>
    </row>
    <row r="3877" spans="1:1" ht="21">
      <c r="A3877" s="345"/>
    </row>
    <row r="3878" spans="1:1" ht="21">
      <c r="A3878" s="345"/>
    </row>
    <row r="3879" spans="1:1" ht="21">
      <c r="A3879" s="345"/>
    </row>
    <row r="3880" spans="1:1" ht="21">
      <c r="A3880" s="345"/>
    </row>
    <row r="3881" spans="1:1" ht="21">
      <c r="A3881" s="345"/>
    </row>
    <row r="3882" spans="1:1" ht="21">
      <c r="A3882" s="345"/>
    </row>
    <row r="3883" spans="1:1" ht="21">
      <c r="A3883" s="345"/>
    </row>
    <row r="3884" spans="1:1" ht="21">
      <c r="A3884" s="345"/>
    </row>
    <row r="3885" spans="1:1" ht="21">
      <c r="A3885" s="345"/>
    </row>
    <row r="3886" spans="1:1" ht="21">
      <c r="A3886" s="345"/>
    </row>
    <row r="3887" spans="1:1" ht="21">
      <c r="A3887" s="345"/>
    </row>
    <row r="3888" spans="1:1" ht="21">
      <c r="A3888" s="345"/>
    </row>
    <row r="3889" spans="1:1" ht="21">
      <c r="A3889" s="345"/>
    </row>
    <row r="3890" spans="1:1" ht="21">
      <c r="A3890" s="345"/>
    </row>
    <row r="3891" spans="1:1" ht="21">
      <c r="A3891" s="345"/>
    </row>
    <row r="3892" spans="1:1" ht="21">
      <c r="A3892" s="345"/>
    </row>
    <row r="3893" spans="1:1" ht="21">
      <c r="A3893" s="345"/>
    </row>
    <row r="3894" spans="1:1" ht="21">
      <c r="A3894" s="345"/>
    </row>
    <row r="3895" spans="1:1" ht="21">
      <c r="A3895" s="345"/>
    </row>
    <row r="3896" spans="1:1" ht="21">
      <c r="A3896" s="345"/>
    </row>
    <row r="3897" spans="1:1" ht="21">
      <c r="A3897" s="345"/>
    </row>
    <row r="3898" spans="1:1" ht="21">
      <c r="A3898" s="345"/>
    </row>
    <row r="3899" spans="1:1" ht="21">
      <c r="A3899" s="345"/>
    </row>
    <row r="3900" spans="1:1" ht="21">
      <c r="A3900" s="345"/>
    </row>
    <row r="3901" spans="1:1" ht="21">
      <c r="A3901" s="345"/>
    </row>
    <row r="3902" spans="1:1" ht="21">
      <c r="A3902" s="345"/>
    </row>
    <row r="3903" spans="1:1" ht="21">
      <c r="A3903" s="345"/>
    </row>
    <row r="3904" spans="1:1" ht="21">
      <c r="A3904" s="345"/>
    </row>
    <row r="3905" spans="1:1" ht="21">
      <c r="A3905" s="345"/>
    </row>
    <row r="3906" spans="1:1" ht="21">
      <c r="A3906" s="345"/>
    </row>
    <row r="3907" spans="1:1" ht="21">
      <c r="A3907" s="345"/>
    </row>
    <row r="3908" spans="1:1" ht="21">
      <c r="A3908" s="345"/>
    </row>
    <row r="3909" spans="1:1" ht="21">
      <c r="A3909" s="345"/>
    </row>
    <row r="3910" spans="1:1" ht="21">
      <c r="A3910" s="345"/>
    </row>
    <row r="3911" spans="1:1" ht="21">
      <c r="A3911" s="345"/>
    </row>
    <row r="3912" spans="1:1" ht="21">
      <c r="A3912" s="345"/>
    </row>
    <row r="3913" spans="1:1" ht="21">
      <c r="A3913" s="345"/>
    </row>
    <row r="3914" spans="1:1" ht="21">
      <c r="A3914" s="345"/>
    </row>
    <row r="3915" spans="1:1" ht="21">
      <c r="A3915" s="345"/>
    </row>
    <row r="3916" spans="1:1" ht="21">
      <c r="A3916" s="345"/>
    </row>
    <row r="3917" spans="1:1" ht="21">
      <c r="A3917" s="345"/>
    </row>
    <row r="3918" spans="1:1" ht="21">
      <c r="A3918" s="345"/>
    </row>
    <row r="3919" spans="1:1" ht="21">
      <c r="A3919" s="345"/>
    </row>
    <row r="3920" spans="1:1" ht="21">
      <c r="A3920" s="345"/>
    </row>
    <row r="3921" spans="1:1" ht="21">
      <c r="A3921" s="345"/>
    </row>
    <row r="3922" spans="1:1" ht="21">
      <c r="A3922" s="345"/>
    </row>
    <row r="3923" spans="1:1" ht="21">
      <c r="A3923" s="345"/>
    </row>
    <row r="3924" spans="1:1" ht="21">
      <c r="A3924" s="345"/>
    </row>
    <row r="3925" spans="1:1" ht="21">
      <c r="A3925" s="345"/>
    </row>
    <row r="3926" spans="1:1" ht="21">
      <c r="A3926" s="345"/>
    </row>
    <row r="3927" spans="1:1" ht="21">
      <c r="A3927" s="345"/>
    </row>
    <row r="3928" spans="1:1" ht="21">
      <c r="A3928" s="345"/>
    </row>
    <row r="3929" spans="1:1" ht="21">
      <c r="A3929" s="345"/>
    </row>
    <row r="3930" spans="1:1" ht="21">
      <c r="A3930" s="345"/>
    </row>
    <row r="3931" spans="1:1" ht="21">
      <c r="A3931" s="345"/>
    </row>
    <row r="3932" spans="1:1" ht="21">
      <c r="A3932" s="345"/>
    </row>
    <row r="3933" spans="1:1" ht="21">
      <c r="A3933" s="345"/>
    </row>
    <row r="3934" spans="1:1" ht="21">
      <c r="A3934" s="345"/>
    </row>
    <row r="3935" spans="1:1" ht="21">
      <c r="A3935" s="345"/>
    </row>
    <row r="3936" spans="1:1" ht="21">
      <c r="A3936" s="345"/>
    </row>
    <row r="3937" spans="1:1" ht="21">
      <c r="A3937" s="345"/>
    </row>
    <row r="3938" spans="1:1" ht="21">
      <c r="A3938" s="345"/>
    </row>
    <row r="3939" spans="1:1" ht="21">
      <c r="A3939" s="345"/>
    </row>
    <row r="3940" spans="1:1" ht="21">
      <c r="A3940" s="345"/>
    </row>
    <row r="3941" spans="1:1" ht="21">
      <c r="A3941" s="345"/>
    </row>
    <row r="3942" spans="1:1" ht="21">
      <c r="A3942" s="345"/>
    </row>
    <row r="3943" spans="1:1" ht="21">
      <c r="A3943" s="345"/>
    </row>
    <row r="3944" spans="1:1" ht="21">
      <c r="A3944" s="345"/>
    </row>
    <row r="3945" spans="1:1" ht="21">
      <c r="A3945" s="345"/>
    </row>
    <row r="3946" spans="1:1" ht="21">
      <c r="A3946" s="345"/>
    </row>
    <row r="3947" spans="1:1" ht="21">
      <c r="A3947" s="345"/>
    </row>
    <row r="3948" spans="1:1" ht="21">
      <c r="A3948" s="345"/>
    </row>
    <row r="3949" spans="1:1" ht="21">
      <c r="A3949" s="345"/>
    </row>
    <row r="3950" spans="1:1" ht="21">
      <c r="A3950" s="345"/>
    </row>
    <row r="3951" spans="1:1" ht="21">
      <c r="A3951" s="345"/>
    </row>
    <row r="3952" spans="1:1" ht="21">
      <c r="A3952" s="345"/>
    </row>
    <row r="3953" spans="1:1" ht="21">
      <c r="A3953" s="345"/>
    </row>
    <row r="3954" spans="1:1" ht="21">
      <c r="A3954" s="345"/>
    </row>
    <row r="3955" spans="1:1" ht="21">
      <c r="A3955" s="345"/>
    </row>
    <row r="3956" spans="1:1" ht="21">
      <c r="A3956" s="345"/>
    </row>
    <row r="3957" spans="1:1" ht="21">
      <c r="A3957" s="345"/>
    </row>
    <row r="3958" spans="1:1" ht="21">
      <c r="A3958" s="345"/>
    </row>
    <row r="3959" spans="1:1" ht="21">
      <c r="A3959" s="345"/>
    </row>
    <row r="3960" spans="1:1" ht="21">
      <c r="A3960" s="345"/>
    </row>
    <row r="3961" spans="1:1" ht="21">
      <c r="A3961" s="345"/>
    </row>
    <row r="3962" spans="1:1" ht="21">
      <c r="A3962" s="345"/>
    </row>
    <row r="3963" spans="1:1" ht="21">
      <c r="A3963" s="345"/>
    </row>
    <row r="3964" spans="1:1" ht="21">
      <c r="A3964" s="345"/>
    </row>
    <row r="3965" spans="1:1" ht="21">
      <c r="A3965" s="345"/>
    </row>
    <row r="3966" spans="1:1" ht="21">
      <c r="A3966" s="345"/>
    </row>
    <row r="3967" spans="1:1" ht="21">
      <c r="A3967" s="345"/>
    </row>
    <row r="3968" spans="1:1" ht="21">
      <c r="A3968" s="345"/>
    </row>
    <row r="3969" spans="1:1" ht="21">
      <c r="A3969" s="345"/>
    </row>
    <row r="3970" spans="1:1" ht="21">
      <c r="A3970" s="345"/>
    </row>
    <row r="3971" spans="1:1" ht="21">
      <c r="A3971" s="345"/>
    </row>
    <row r="3972" spans="1:1" ht="21">
      <c r="A3972" s="345"/>
    </row>
    <row r="3973" spans="1:1" ht="21">
      <c r="A3973" s="345"/>
    </row>
    <row r="3974" spans="1:1" ht="21">
      <c r="A3974" s="345"/>
    </row>
    <row r="3975" spans="1:1" ht="21">
      <c r="A3975" s="345"/>
    </row>
    <row r="3976" spans="1:1" ht="21">
      <c r="A3976" s="345"/>
    </row>
    <row r="3977" spans="1:1" ht="21">
      <c r="A3977" s="345"/>
    </row>
    <row r="3978" spans="1:1" ht="21">
      <c r="A3978" s="345"/>
    </row>
    <row r="3979" spans="1:1" ht="21">
      <c r="A3979" s="345"/>
    </row>
    <row r="3980" spans="1:1" ht="21">
      <c r="A3980" s="345"/>
    </row>
    <row r="3981" spans="1:1" ht="21">
      <c r="A3981" s="345"/>
    </row>
    <row r="3982" spans="1:1" ht="21">
      <c r="A3982" s="345"/>
    </row>
    <row r="3983" spans="1:1" ht="21">
      <c r="A3983" s="345"/>
    </row>
    <row r="3984" spans="1:1" ht="21">
      <c r="A3984" s="345"/>
    </row>
    <row r="3985" spans="1:1" ht="21">
      <c r="A3985" s="345"/>
    </row>
    <row r="3986" spans="1:1" ht="21">
      <c r="A3986" s="345"/>
    </row>
    <row r="3987" spans="1:1" ht="21">
      <c r="A3987" s="345"/>
    </row>
    <row r="3988" spans="1:1" ht="21">
      <c r="A3988" s="345"/>
    </row>
    <row r="3989" spans="1:1" ht="21">
      <c r="A3989" s="345"/>
    </row>
    <row r="3990" spans="1:1" ht="21">
      <c r="A3990" s="345"/>
    </row>
    <row r="3991" spans="1:1" ht="21">
      <c r="A3991" s="345"/>
    </row>
    <row r="3992" spans="1:1" ht="21">
      <c r="A3992" s="345"/>
    </row>
    <row r="3993" spans="1:1" ht="21">
      <c r="A3993" s="345"/>
    </row>
    <row r="3994" spans="1:1" ht="21">
      <c r="A3994" s="345"/>
    </row>
    <row r="3995" spans="1:1" ht="21">
      <c r="A3995" s="345"/>
    </row>
    <row r="3996" spans="1:1" ht="21">
      <c r="A3996" s="345"/>
    </row>
    <row r="3997" spans="1:1" ht="21">
      <c r="A3997" s="345"/>
    </row>
    <row r="3998" spans="1:1" ht="21">
      <c r="A3998" s="345"/>
    </row>
    <row r="3999" spans="1:1" ht="21">
      <c r="A3999" s="345"/>
    </row>
    <row r="4000" spans="1:1" ht="21">
      <c r="A4000" s="345"/>
    </row>
    <row r="4001" spans="1:1" ht="21">
      <c r="A4001" s="345"/>
    </row>
    <row r="4002" spans="1:1" ht="21">
      <c r="A4002" s="345"/>
    </row>
    <row r="4003" spans="1:1" ht="21">
      <c r="A4003" s="345"/>
    </row>
    <row r="4004" spans="1:1" ht="21">
      <c r="A4004" s="345"/>
    </row>
    <row r="4005" spans="1:1" ht="21">
      <c r="A4005" s="345"/>
    </row>
    <row r="4006" spans="1:1" ht="21">
      <c r="A4006" s="345"/>
    </row>
    <row r="4007" spans="1:1" ht="21">
      <c r="A4007" s="345"/>
    </row>
    <row r="4008" spans="1:1" ht="21">
      <c r="A4008" s="345"/>
    </row>
    <row r="4009" spans="1:1" ht="21">
      <c r="A4009" s="345"/>
    </row>
    <row r="4010" spans="1:1" ht="21">
      <c r="A4010" s="345"/>
    </row>
    <row r="4011" spans="1:1" ht="21">
      <c r="A4011" s="345"/>
    </row>
    <row r="4012" spans="1:1" ht="21">
      <c r="A4012" s="345"/>
    </row>
    <row r="4013" spans="1:1" ht="21">
      <c r="A4013" s="345"/>
    </row>
    <row r="4014" spans="1:1" ht="21">
      <c r="A4014" s="345"/>
    </row>
    <row r="4015" spans="1:1" ht="21">
      <c r="A4015" s="345"/>
    </row>
    <row r="4016" spans="1:1" ht="21">
      <c r="A4016" s="345"/>
    </row>
    <row r="4017" spans="1:1" ht="21">
      <c r="A4017" s="345"/>
    </row>
    <row r="4018" spans="1:1" ht="21">
      <c r="A4018" s="345"/>
    </row>
    <row r="4019" spans="1:1" ht="21">
      <c r="A4019" s="345"/>
    </row>
    <row r="4020" spans="1:1" ht="21">
      <c r="A4020" s="345"/>
    </row>
    <row r="4021" spans="1:1" ht="21">
      <c r="A4021" s="345"/>
    </row>
    <row r="4022" spans="1:1" ht="21">
      <c r="A4022" s="345"/>
    </row>
    <row r="4023" spans="1:1" ht="21">
      <c r="A4023" s="345"/>
    </row>
    <row r="4024" spans="1:1" ht="21">
      <c r="A4024" s="345"/>
    </row>
    <row r="4025" spans="1:1" ht="21">
      <c r="A4025" s="345"/>
    </row>
    <row r="4026" spans="1:1" ht="21">
      <c r="A4026" s="345"/>
    </row>
    <row r="4027" spans="1:1" ht="21">
      <c r="A4027" s="345"/>
    </row>
    <row r="4028" spans="1:1" ht="21">
      <c r="A4028" s="345"/>
    </row>
    <row r="4029" spans="1:1" ht="21">
      <c r="A4029" s="345"/>
    </row>
    <row r="4030" spans="1:1" ht="21">
      <c r="A4030" s="345"/>
    </row>
    <row r="4031" spans="1:1" ht="21">
      <c r="A4031" s="345"/>
    </row>
    <row r="4032" spans="1:1" ht="21">
      <c r="A4032" s="345"/>
    </row>
    <row r="4033" spans="1:1" ht="21">
      <c r="A4033" s="345"/>
    </row>
    <row r="4034" spans="1:1" ht="21">
      <c r="A4034" s="345"/>
    </row>
    <row r="4035" spans="1:1" ht="21">
      <c r="A4035" s="345"/>
    </row>
    <row r="4036" spans="1:1" ht="21">
      <c r="A4036" s="345"/>
    </row>
    <row r="4037" spans="1:1" ht="21">
      <c r="A4037" s="345"/>
    </row>
    <row r="4038" spans="1:1" ht="21">
      <c r="A4038" s="345"/>
    </row>
    <row r="4039" spans="1:1" ht="21">
      <c r="A4039" s="345"/>
    </row>
    <row r="4040" spans="1:1" ht="21">
      <c r="A4040" s="345"/>
    </row>
    <row r="4041" spans="1:1" ht="21">
      <c r="A4041" s="345"/>
    </row>
    <row r="4042" spans="1:1" ht="21">
      <c r="A4042" s="345"/>
    </row>
    <row r="4043" spans="1:1" ht="21">
      <c r="A4043" s="345"/>
    </row>
    <row r="4044" spans="1:1" ht="21">
      <c r="A4044" s="345"/>
    </row>
    <row r="4045" spans="1:1" ht="21">
      <c r="A4045" s="345"/>
    </row>
    <row r="4046" spans="1:1" ht="21">
      <c r="A4046" s="345"/>
    </row>
    <row r="4047" spans="1:1" ht="21">
      <c r="A4047" s="345"/>
    </row>
    <row r="4048" spans="1:1" ht="21">
      <c r="A4048" s="345"/>
    </row>
    <row r="4049" spans="1:1" ht="21">
      <c r="A4049" s="345"/>
    </row>
    <row r="4050" spans="1:1" ht="21">
      <c r="A4050" s="345"/>
    </row>
    <row r="4051" spans="1:1" ht="21">
      <c r="A4051" s="345"/>
    </row>
    <row r="4052" spans="1:1" ht="21">
      <c r="A4052" s="345"/>
    </row>
    <row r="4053" spans="1:1" ht="21">
      <c r="A4053" s="345"/>
    </row>
    <row r="4054" spans="1:1" ht="21">
      <c r="A4054" s="345"/>
    </row>
    <row r="4055" spans="1:1" ht="21">
      <c r="A4055" s="345"/>
    </row>
    <row r="4056" spans="1:1" ht="21">
      <c r="A4056" s="345"/>
    </row>
    <row r="4057" spans="1:1" ht="21">
      <c r="A4057" s="345"/>
    </row>
    <row r="4058" spans="1:1" ht="21">
      <c r="A4058" s="345"/>
    </row>
    <row r="4059" spans="1:1" ht="21">
      <c r="A4059" s="345"/>
    </row>
    <row r="4060" spans="1:1" ht="21">
      <c r="A4060" s="345"/>
    </row>
    <row r="4061" spans="1:1" ht="21">
      <c r="A4061" s="345"/>
    </row>
    <row r="4062" spans="1:1" ht="21">
      <c r="A4062" s="345"/>
    </row>
    <row r="4063" spans="1:1" ht="21">
      <c r="A4063" s="345"/>
    </row>
    <row r="4064" spans="1:1" ht="21">
      <c r="A4064" s="345"/>
    </row>
    <row r="4065" spans="1:1" ht="21">
      <c r="A4065" s="345"/>
    </row>
    <row r="4066" spans="1:1" ht="21">
      <c r="A4066" s="345"/>
    </row>
    <row r="4067" spans="1:1" ht="21">
      <c r="A4067" s="345"/>
    </row>
    <row r="4068" spans="1:1" ht="21">
      <c r="A4068" s="345"/>
    </row>
    <row r="4069" spans="1:1" ht="21">
      <c r="A4069" s="345"/>
    </row>
    <row r="4070" spans="1:1" ht="21">
      <c r="A4070" s="345"/>
    </row>
    <row r="4071" spans="1:1" ht="21">
      <c r="A4071" s="345"/>
    </row>
    <row r="4072" spans="1:1" ht="21">
      <c r="A4072" s="345"/>
    </row>
    <row r="4073" spans="1:1" ht="21">
      <c r="A4073" s="345"/>
    </row>
    <row r="4074" spans="1:1" ht="21">
      <c r="A4074" s="345"/>
    </row>
    <row r="4075" spans="1:1" ht="21">
      <c r="A4075" s="345"/>
    </row>
    <row r="4076" spans="1:1" ht="21">
      <c r="A4076" s="345"/>
    </row>
    <row r="4077" spans="1:1" ht="21">
      <c r="A4077" s="345"/>
    </row>
    <row r="4078" spans="1:1" ht="21">
      <c r="A4078" s="345"/>
    </row>
    <row r="4079" spans="1:1" ht="21">
      <c r="A4079" s="345"/>
    </row>
    <row r="4080" spans="1:1" ht="21">
      <c r="A4080" s="345"/>
    </row>
    <row r="4081" spans="1:1" ht="21">
      <c r="A4081" s="345"/>
    </row>
    <row r="4082" spans="1:1" ht="21">
      <c r="A4082" s="345"/>
    </row>
    <row r="4083" spans="1:1" ht="21">
      <c r="A4083" s="345"/>
    </row>
    <row r="4084" spans="1:1" ht="21">
      <c r="A4084" s="345"/>
    </row>
    <row r="4085" spans="1:1" ht="21">
      <c r="A4085" s="345"/>
    </row>
    <row r="4086" spans="1:1" ht="21">
      <c r="A4086" s="345"/>
    </row>
    <row r="4087" spans="1:1" ht="21">
      <c r="A4087" s="345"/>
    </row>
    <row r="4088" spans="1:1" ht="21">
      <c r="A4088" s="345"/>
    </row>
    <row r="4089" spans="1:1" ht="21">
      <c r="A4089" s="345"/>
    </row>
    <row r="4090" spans="1:1" ht="21">
      <c r="A4090" s="345"/>
    </row>
    <row r="4091" spans="1:1" ht="21">
      <c r="A4091" s="345"/>
    </row>
    <row r="4092" spans="1:1" ht="21">
      <c r="A4092" s="345"/>
    </row>
    <row r="4093" spans="1:1" ht="21">
      <c r="A4093" s="345"/>
    </row>
    <row r="4094" spans="1:1" ht="21">
      <c r="A4094" s="345"/>
    </row>
    <row r="4095" spans="1:1" ht="21">
      <c r="A4095" s="345"/>
    </row>
    <row r="4096" spans="1:1" ht="21">
      <c r="A4096" s="345"/>
    </row>
    <row r="4097" spans="1:1" ht="21">
      <c r="A4097" s="345"/>
    </row>
    <row r="4098" spans="1:1" ht="21">
      <c r="A4098" s="345"/>
    </row>
    <row r="4099" spans="1:1" ht="21">
      <c r="A4099" s="345"/>
    </row>
    <row r="4100" spans="1:1" ht="21">
      <c r="A4100" s="345"/>
    </row>
    <row r="4101" spans="1:1" ht="21">
      <c r="A4101" s="345"/>
    </row>
    <row r="4102" spans="1:1" ht="21">
      <c r="A4102" s="345"/>
    </row>
    <row r="4103" spans="1:1" ht="21">
      <c r="A4103" s="345"/>
    </row>
    <row r="4104" spans="1:1" ht="21">
      <c r="A4104" s="345"/>
    </row>
    <row r="4105" spans="1:1" ht="21">
      <c r="A4105" s="345"/>
    </row>
    <row r="4106" spans="1:1" ht="21">
      <c r="A4106" s="345"/>
    </row>
    <row r="4107" spans="1:1" ht="21">
      <c r="A4107" s="345"/>
    </row>
    <row r="4108" spans="1:1" ht="21">
      <c r="A4108" s="345"/>
    </row>
    <row r="4109" spans="1:1" ht="21">
      <c r="A4109" s="345"/>
    </row>
    <row r="4110" spans="1:1" ht="21">
      <c r="A4110" s="345"/>
    </row>
    <row r="4111" spans="1:1" ht="21">
      <c r="A4111" s="345"/>
    </row>
    <row r="4112" spans="1:1" ht="21">
      <c r="A4112" s="345"/>
    </row>
    <row r="4113" spans="1:1" ht="21">
      <c r="A4113" s="345"/>
    </row>
    <row r="4114" spans="1:1" ht="21">
      <c r="A4114" s="345"/>
    </row>
    <row r="4115" spans="1:1" ht="21">
      <c r="A4115" s="345"/>
    </row>
    <row r="4116" spans="1:1" ht="21">
      <c r="A4116" s="345"/>
    </row>
    <row r="4117" spans="1:1" ht="21">
      <c r="A4117" s="345"/>
    </row>
    <row r="4118" spans="1:1" ht="21">
      <c r="A4118" s="345"/>
    </row>
    <row r="4119" spans="1:1" ht="21">
      <c r="A4119" s="345"/>
    </row>
    <row r="4120" spans="1:1" ht="21">
      <c r="A4120" s="345"/>
    </row>
    <row r="4121" spans="1:1" ht="21">
      <c r="A4121" s="345"/>
    </row>
    <row r="4122" spans="1:1" ht="21">
      <c r="A4122" s="345"/>
    </row>
    <row r="4123" spans="1:1" ht="21">
      <c r="A4123" s="345"/>
    </row>
    <row r="4124" spans="1:1" ht="21">
      <c r="A4124" s="345"/>
    </row>
    <row r="4125" spans="1:1" ht="21">
      <c r="A4125" s="345"/>
    </row>
    <row r="4126" spans="1:1" ht="21">
      <c r="A4126" s="345"/>
    </row>
    <row r="4127" spans="1:1" ht="21">
      <c r="A4127" s="345"/>
    </row>
    <row r="4128" spans="1:1" ht="21">
      <c r="A4128" s="345"/>
    </row>
    <row r="4129" spans="1:1" ht="21">
      <c r="A4129" s="345"/>
    </row>
    <row r="4130" spans="1:1" ht="21">
      <c r="A4130" s="345"/>
    </row>
    <row r="4131" spans="1:1" ht="21">
      <c r="A4131" s="345"/>
    </row>
    <row r="4132" spans="1:1" ht="21">
      <c r="A4132" s="345"/>
    </row>
    <row r="4133" spans="1:1" ht="21">
      <c r="A4133" s="345"/>
    </row>
    <row r="4134" spans="1:1" ht="21">
      <c r="A4134" s="345"/>
    </row>
    <row r="4135" spans="1:1" ht="21">
      <c r="A4135" s="345"/>
    </row>
    <row r="4136" spans="1:1" ht="21">
      <c r="A4136" s="345"/>
    </row>
    <row r="4137" spans="1:1" ht="21">
      <c r="A4137" s="345"/>
    </row>
    <row r="4138" spans="1:1" ht="21">
      <c r="A4138" s="345"/>
    </row>
    <row r="4139" spans="1:1" ht="21">
      <c r="A4139" s="345"/>
    </row>
    <row r="4140" spans="1:1" ht="21">
      <c r="A4140" s="345"/>
    </row>
    <row r="4141" spans="1:1" ht="21">
      <c r="A4141" s="345"/>
    </row>
    <row r="4142" spans="1:1" ht="21">
      <c r="A4142" s="345"/>
    </row>
    <row r="4143" spans="1:1" ht="21">
      <c r="A4143" s="345"/>
    </row>
    <row r="4144" spans="1:1" ht="21">
      <c r="A4144" s="345"/>
    </row>
    <row r="4145" spans="1:1" ht="21">
      <c r="A4145" s="345"/>
    </row>
    <row r="4146" spans="1:1" ht="21">
      <c r="A4146" s="345"/>
    </row>
    <row r="4147" spans="1:1" ht="21">
      <c r="A4147" s="345"/>
    </row>
    <row r="4148" spans="1:1" ht="21">
      <c r="A4148" s="345"/>
    </row>
    <row r="4149" spans="1:1" ht="21">
      <c r="A4149" s="345"/>
    </row>
    <row r="4150" spans="1:1" ht="21">
      <c r="A4150" s="345"/>
    </row>
    <row r="4151" spans="1:1" ht="21">
      <c r="A4151" s="345"/>
    </row>
    <row r="4152" spans="1:1" ht="21">
      <c r="A4152" s="345"/>
    </row>
    <row r="4153" spans="1:1" ht="21">
      <c r="A4153" s="345"/>
    </row>
    <row r="4154" spans="1:1" ht="21">
      <c r="A4154" s="345"/>
    </row>
    <row r="4155" spans="1:1" ht="21">
      <c r="A4155" s="345"/>
    </row>
    <row r="4156" spans="1:1" ht="21">
      <c r="A4156" s="345"/>
    </row>
    <row r="4157" spans="1:1" ht="21">
      <c r="A4157" s="345"/>
    </row>
    <row r="4158" spans="1:1" ht="21">
      <c r="A4158" s="345"/>
    </row>
    <row r="4159" spans="1:1" ht="21">
      <c r="A4159" s="345"/>
    </row>
    <row r="4160" spans="1:1" ht="21">
      <c r="A4160" s="345"/>
    </row>
    <row r="4161" spans="1:1" ht="21">
      <c r="A4161" s="345"/>
    </row>
    <row r="4162" spans="1:1" ht="21">
      <c r="A4162" s="345"/>
    </row>
    <row r="4163" spans="1:1" ht="21">
      <c r="A4163" s="345"/>
    </row>
    <row r="4164" spans="1:1" ht="21">
      <c r="A4164" s="345"/>
    </row>
    <row r="4165" spans="1:1" ht="21">
      <c r="A4165" s="345"/>
    </row>
    <row r="4166" spans="1:1" ht="21">
      <c r="A4166" s="345"/>
    </row>
    <row r="4167" spans="1:1" ht="21">
      <c r="A4167" s="345"/>
    </row>
    <row r="4168" spans="1:1" ht="21">
      <c r="A4168" s="345"/>
    </row>
    <row r="4169" spans="1:1" ht="21">
      <c r="A4169" s="345"/>
    </row>
    <row r="4170" spans="1:1" ht="21">
      <c r="A4170" s="345"/>
    </row>
    <row r="4171" spans="1:1" ht="21">
      <c r="A4171" s="345"/>
    </row>
    <row r="4172" spans="1:1" ht="21">
      <c r="A4172" s="345"/>
    </row>
    <row r="4173" spans="1:1" ht="21">
      <c r="A4173" s="345"/>
    </row>
    <row r="4174" spans="1:1" ht="21">
      <c r="A4174" s="345"/>
    </row>
    <row r="4175" spans="1:1" ht="21">
      <c r="A4175" s="345"/>
    </row>
    <row r="4176" spans="1:1" ht="21">
      <c r="A4176" s="345"/>
    </row>
    <row r="4177" spans="1:1" ht="21">
      <c r="A4177" s="345"/>
    </row>
    <row r="4178" spans="1:1" ht="21">
      <c r="A4178" s="345"/>
    </row>
    <row r="4179" spans="1:1" ht="21">
      <c r="A4179" s="345"/>
    </row>
    <row r="4180" spans="1:1" ht="21">
      <c r="A4180" s="345"/>
    </row>
    <row r="4181" spans="1:1" ht="21">
      <c r="A4181" s="345"/>
    </row>
    <row r="4182" spans="1:1" ht="21">
      <c r="A4182" s="345"/>
    </row>
    <row r="4183" spans="1:1" ht="21">
      <c r="A4183" s="345"/>
    </row>
    <row r="4184" spans="1:1" ht="21">
      <c r="A4184" s="345"/>
    </row>
    <row r="4185" spans="1:1" ht="21">
      <c r="A4185" s="345"/>
    </row>
    <row r="4186" spans="1:1" ht="21">
      <c r="A4186" s="345"/>
    </row>
    <row r="4187" spans="1:1" ht="21">
      <c r="A4187" s="345"/>
    </row>
    <row r="4188" spans="1:1" ht="21">
      <c r="A4188" s="345"/>
    </row>
    <row r="4189" spans="1:1" ht="21">
      <c r="A4189" s="345"/>
    </row>
    <row r="4190" spans="1:1" ht="21">
      <c r="A4190" s="345"/>
    </row>
    <row r="4191" spans="1:1" ht="21">
      <c r="A4191" s="345"/>
    </row>
    <row r="4192" spans="1:1" ht="21">
      <c r="A4192" s="345"/>
    </row>
    <row r="4193" spans="1:1" ht="21">
      <c r="A4193" s="345"/>
    </row>
    <row r="4194" spans="1:1" ht="21">
      <c r="A4194" s="345"/>
    </row>
    <row r="4195" spans="1:1" ht="21">
      <c r="A4195" s="345"/>
    </row>
    <row r="4196" spans="1:1" ht="21">
      <c r="A4196" s="345"/>
    </row>
    <row r="4197" spans="1:1" ht="21">
      <c r="A4197" s="345"/>
    </row>
    <row r="4198" spans="1:1" ht="21">
      <c r="A4198" s="345"/>
    </row>
    <row r="4199" spans="1:1" ht="21">
      <c r="A4199" s="345"/>
    </row>
    <row r="4200" spans="1:1" ht="21">
      <c r="A4200" s="345"/>
    </row>
    <row r="4201" spans="1:1" ht="21">
      <c r="A4201" s="345"/>
    </row>
    <row r="4202" spans="1:1" ht="21">
      <c r="A4202" s="345"/>
    </row>
    <row r="4203" spans="1:1" ht="21">
      <c r="A4203" s="345"/>
    </row>
    <row r="4204" spans="1:1" ht="21">
      <c r="A4204" s="345"/>
    </row>
    <row r="4205" spans="1:1" ht="21">
      <c r="A4205" s="345"/>
    </row>
    <row r="4206" spans="1:1" ht="21">
      <c r="A4206" s="345"/>
    </row>
    <row r="4207" spans="1:1" ht="21">
      <c r="A4207" s="345"/>
    </row>
    <row r="4208" spans="1:1" ht="21">
      <c r="A4208" s="345"/>
    </row>
    <row r="4209" spans="1:1" ht="21">
      <c r="A4209" s="345"/>
    </row>
    <row r="4210" spans="1:1" ht="21">
      <c r="A4210" s="345"/>
    </row>
    <row r="4211" spans="1:1" ht="21">
      <c r="A4211" s="345"/>
    </row>
    <row r="4212" spans="1:1" ht="21">
      <c r="A4212" s="345"/>
    </row>
    <row r="4213" spans="1:1" ht="21">
      <c r="A4213" s="345"/>
    </row>
    <row r="4214" spans="1:1" ht="21">
      <c r="A4214" s="345"/>
    </row>
    <row r="4215" spans="1:1" ht="21">
      <c r="A4215" s="345"/>
    </row>
    <row r="4216" spans="1:1" ht="21">
      <c r="A4216" s="345"/>
    </row>
    <row r="4217" spans="1:1" ht="21">
      <c r="A4217" s="345"/>
    </row>
    <row r="4218" spans="1:1" ht="21">
      <c r="A4218" s="345"/>
    </row>
    <row r="4219" spans="1:1" ht="21">
      <c r="A4219" s="345"/>
    </row>
    <row r="4220" spans="1:1" ht="21">
      <c r="A4220" s="345"/>
    </row>
    <row r="4221" spans="1:1" ht="21">
      <c r="A4221" s="345"/>
    </row>
    <row r="4222" spans="1:1" ht="21">
      <c r="A4222" s="345"/>
    </row>
    <row r="4223" spans="1:1" ht="21">
      <c r="A4223" s="345"/>
    </row>
    <row r="4224" spans="1:1" ht="21">
      <c r="A4224" s="345"/>
    </row>
    <row r="4225" spans="1:1" ht="21">
      <c r="A4225" s="345"/>
    </row>
    <row r="4226" spans="1:1" ht="21">
      <c r="A4226" s="345"/>
    </row>
    <row r="4227" spans="1:1" ht="21">
      <c r="A4227" s="345"/>
    </row>
    <row r="4228" spans="1:1" ht="21">
      <c r="A4228" s="345"/>
    </row>
    <row r="4229" spans="1:1" ht="21">
      <c r="A4229" s="345"/>
    </row>
    <row r="4230" spans="1:1" ht="21">
      <c r="A4230" s="345"/>
    </row>
    <row r="4231" spans="1:1" ht="21">
      <c r="A4231" s="345"/>
    </row>
    <row r="4232" spans="1:1" ht="21">
      <c r="A4232" s="345"/>
    </row>
    <row r="4233" spans="1:1" ht="21">
      <c r="A4233" s="345"/>
    </row>
    <row r="4234" spans="1:1" ht="21">
      <c r="A4234" s="345"/>
    </row>
    <row r="4235" spans="1:1" ht="21">
      <c r="A4235" s="345"/>
    </row>
    <row r="4236" spans="1:1" ht="21">
      <c r="A4236" s="345"/>
    </row>
    <row r="4237" spans="1:1" ht="21">
      <c r="A4237" s="345"/>
    </row>
    <row r="4238" spans="1:1" ht="21">
      <c r="A4238" s="345"/>
    </row>
    <row r="4239" spans="1:1" ht="21">
      <c r="A4239" s="345"/>
    </row>
    <row r="4240" spans="1:1" ht="21">
      <c r="A4240" s="345"/>
    </row>
    <row r="4241" spans="1:1" ht="21">
      <c r="A4241" s="345"/>
    </row>
    <row r="4242" spans="1:1" ht="21">
      <c r="A4242" s="345"/>
    </row>
    <row r="4243" spans="1:1" ht="21">
      <c r="A4243" s="345"/>
    </row>
    <row r="4244" spans="1:1" ht="21">
      <c r="A4244" s="345"/>
    </row>
    <row r="4245" spans="1:1" ht="21">
      <c r="A4245" s="345"/>
    </row>
    <row r="4246" spans="1:1" ht="21">
      <c r="A4246" s="345"/>
    </row>
    <row r="4247" spans="1:1" ht="21">
      <c r="A4247" s="345"/>
    </row>
    <row r="4248" spans="1:1" ht="21">
      <c r="A4248" s="345"/>
    </row>
    <row r="4249" spans="1:1" ht="21">
      <c r="A4249" s="345"/>
    </row>
    <row r="4250" spans="1:1" ht="21">
      <c r="A4250" s="345"/>
    </row>
    <row r="4251" spans="1:1" ht="21">
      <c r="A4251" s="345"/>
    </row>
    <row r="4252" spans="1:1" ht="21">
      <c r="A4252" s="345"/>
    </row>
    <row r="4253" spans="1:1" ht="21">
      <c r="A4253" s="345"/>
    </row>
    <row r="4254" spans="1:1" ht="21">
      <c r="A4254" s="345"/>
    </row>
    <row r="4255" spans="1:1" ht="21">
      <c r="A4255" s="345"/>
    </row>
    <row r="4256" spans="1:1" ht="21">
      <c r="A4256" s="345"/>
    </row>
    <row r="4257" spans="1:1" ht="21">
      <c r="A4257" s="345"/>
    </row>
    <row r="4258" spans="1:1" ht="21">
      <c r="A4258" s="345"/>
    </row>
    <row r="4259" spans="1:1" ht="21">
      <c r="A4259" s="345"/>
    </row>
    <row r="4260" spans="1:1" ht="21">
      <c r="A4260" s="345"/>
    </row>
    <row r="4261" spans="1:1" ht="21">
      <c r="A4261" s="345"/>
    </row>
    <row r="4262" spans="1:1" ht="21">
      <c r="A4262" s="345"/>
    </row>
    <row r="4263" spans="1:1" ht="21">
      <c r="A4263" s="345"/>
    </row>
    <row r="4264" spans="1:1" ht="21">
      <c r="A4264" s="345"/>
    </row>
    <row r="4265" spans="1:1" ht="21">
      <c r="A4265" s="345"/>
    </row>
    <row r="4266" spans="1:1" ht="21">
      <c r="A4266" s="345"/>
    </row>
    <row r="4267" spans="1:1" ht="21">
      <c r="A4267" s="345"/>
    </row>
    <row r="4268" spans="1:1" ht="21">
      <c r="A4268" s="345"/>
    </row>
    <row r="4269" spans="1:1" ht="21">
      <c r="A4269" s="345"/>
    </row>
    <row r="4270" spans="1:1" ht="21">
      <c r="A4270" s="345"/>
    </row>
    <row r="4271" spans="1:1" ht="21">
      <c r="A4271" s="345"/>
    </row>
    <row r="4272" spans="1:1" ht="21">
      <c r="A4272" s="345"/>
    </row>
    <row r="4273" spans="1:1" ht="21">
      <c r="A4273" s="345"/>
    </row>
    <row r="4274" spans="1:1" ht="21">
      <c r="A4274" s="345"/>
    </row>
    <row r="4275" spans="1:1" ht="21">
      <c r="A4275" s="345"/>
    </row>
    <row r="4276" spans="1:1" ht="21">
      <c r="A4276" s="345"/>
    </row>
    <row r="4277" spans="1:1" ht="21">
      <c r="A4277" s="345"/>
    </row>
    <row r="4278" spans="1:1" ht="21">
      <c r="A4278" s="345"/>
    </row>
    <row r="4279" spans="1:1" ht="21">
      <c r="A4279" s="345"/>
    </row>
    <row r="4280" spans="1:1" ht="21">
      <c r="A4280" s="345"/>
    </row>
    <row r="4281" spans="1:1" ht="21">
      <c r="A4281" s="345"/>
    </row>
    <row r="4282" spans="1:1" ht="21">
      <c r="A4282" s="345"/>
    </row>
    <row r="4283" spans="1:1" ht="21">
      <c r="A4283" s="345"/>
    </row>
    <row r="4284" spans="1:1" ht="21">
      <c r="A4284" s="345"/>
    </row>
    <row r="4285" spans="1:1" ht="21">
      <c r="A4285" s="345"/>
    </row>
    <row r="4286" spans="1:1" ht="21">
      <c r="A4286" s="345"/>
    </row>
    <row r="4287" spans="1:1" ht="21">
      <c r="A4287" s="345"/>
    </row>
    <row r="4288" spans="1:1" ht="21">
      <c r="A4288" s="345"/>
    </row>
    <row r="4289" spans="1:1" ht="21">
      <c r="A4289" s="345"/>
    </row>
    <row r="4290" spans="1:1" ht="21">
      <c r="A4290" s="345"/>
    </row>
    <row r="4291" spans="1:1" ht="21">
      <c r="A4291" s="345"/>
    </row>
    <row r="4292" spans="1:1" ht="21">
      <c r="A4292" s="345"/>
    </row>
    <row r="4293" spans="1:1" ht="21">
      <c r="A4293" s="345"/>
    </row>
    <row r="4294" spans="1:1" ht="21">
      <c r="A4294" s="345"/>
    </row>
    <row r="4295" spans="1:1" ht="21">
      <c r="A4295" s="345"/>
    </row>
    <row r="4296" spans="1:1" ht="21">
      <c r="A4296" s="345"/>
    </row>
    <row r="4297" spans="1:1" ht="21">
      <c r="A4297" s="345"/>
    </row>
    <row r="4298" spans="1:1" ht="21">
      <c r="A4298" s="345"/>
    </row>
    <row r="4299" spans="1:1" ht="21">
      <c r="A4299" s="345"/>
    </row>
    <row r="4300" spans="1:1" ht="21">
      <c r="A4300" s="345"/>
    </row>
    <row r="4301" spans="1:1" ht="21">
      <c r="A4301" s="345"/>
    </row>
    <row r="4302" spans="1:1" ht="21">
      <c r="A4302" s="345"/>
    </row>
    <row r="4303" spans="1:1" ht="21">
      <c r="A4303" s="345"/>
    </row>
    <row r="4304" spans="1:1" ht="21">
      <c r="A4304" s="345"/>
    </row>
    <row r="4305" spans="1:1" ht="21">
      <c r="A4305" s="345"/>
    </row>
    <row r="4306" spans="1:1" ht="21">
      <c r="A4306" s="345"/>
    </row>
    <row r="4307" spans="1:1" ht="21">
      <c r="A4307" s="345"/>
    </row>
    <row r="4308" spans="1:1" ht="21">
      <c r="A4308" s="345"/>
    </row>
    <row r="4309" spans="1:1" ht="21">
      <c r="A4309" s="345"/>
    </row>
    <row r="4310" spans="1:1" ht="21">
      <c r="A4310" s="345"/>
    </row>
    <row r="4311" spans="1:1" ht="21">
      <c r="A4311" s="345"/>
    </row>
    <row r="4312" spans="1:1" ht="21">
      <c r="A4312" s="345"/>
    </row>
    <row r="4313" spans="1:1" ht="21">
      <c r="A4313" s="345"/>
    </row>
    <row r="4314" spans="1:1" ht="21">
      <c r="A4314" s="345"/>
    </row>
    <row r="4315" spans="1:1" ht="21">
      <c r="A4315" s="345"/>
    </row>
    <row r="4316" spans="1:1" ht="21">
      <c r="A4316" s="345"/>
    </row>
    <row r="4317" spans="1:1" ht="21">
      <c r="A4317" s="345"/>
    </row>
    <row r="4318" spans="1:1" ht="21">
      <c r="A4318" s="345"/>
    </row>
    <row r="4319" spans="1:1" ht="21">
      <c r="A4319" s="345"/>
    </row>
    <row r="4320" spans="1:1" ht="21">
      <c r="A4320" s="345"/>
    </row>
    <row r="4321" spans="1:1" ht="21">
      <c r="A4321" s="345"/>
    </row>
    <row r="4322" spans="1:1" ht="21">
      <c r="A4322" s="345"/>
    </row>
    <row r="4323" spans="1:1" ht="21">
      <c r="A4323" s="345"/>
    </row>
    <row r="4324" spans="1:1" ht="21">
      <c r="A4324" s="345"/>
    </row>
    <row r="4325" spans="1:1" ht="21">
      <c r="A4325" s="345"/>
    </row>
    <row r="4326" spans="1:1" ht="21">
      <c r="A4326" s="345"/>
    </row>
    <row r="4327" spans="1:1" ht="21">
      <c r="A4327" s="345"/>
    </row>
    <row r="4328" spans="1:1" ht="21">
      <c r="A4328" s="345"/>
    </row>
    <row r="4329" spans="1:1" ht="21">
      <c r="A4329" s="345"/>
    </row>
    <row r="4330" spans="1:1" ht="21">
      <c r="A4330" s="345"/>
    </row>
    <row r="4331" spans="1:1" ht="21">
      <c r="A4331" s="345"/>
    </row>
    <row r="4332" spans="1:1" ht="21">
      <c r="A4332" s="345"/>
    </row>
    <row r="4333" spans="1:1" ht="21">
      <c r="A4333" s="345"/>
    </row>
    <row r="4334" spans="1:1" ht="21">
      <c r="A4334" s="345"/>
    </row>
    <row r="4335" spans="1:1" ht="21">
      <c r="A4335" s="345"/>
    </row>
    <row r="4336" spans="1:1" ht="21">
      <c r="A4336" s="345"/>
    </row>
    <row r="4337" spans="1:1" ht="21">
      <c r="A4337" s="345"/>
    </row>
    <row r="4338" spans="1:1" ht="21">
      <c r="A4338" s="345"/>
    </row>
    <row r="4339" spans="1:1" ht="21">
      <c r="A4339" s="345"/>
    </row>
    <row r="4340" spans="1:1" ht="21">
      <c r="A4340" s="345"/>
    </row>
    <row r="4341" spans="1:1" ht="21">
      <c r="A4341" s="345"/>
    </row>
    <row r="4342" spans="1:1" ht="21">
      <c r="A4342" s="345"/>
    </row>
    <row r="4343" spans="1:1" ht="21">
      <c r="A4343" s="345"/>
    </row>
    <row r="4344" spans="1:1" ht="21">
      <c r="A4344" s="345"/>
    </row>
    <row r="4345" spans="1:1" ht="21">
      <c r="A4345" s="345"/>
    </row>
    <row r="4346" spans="1:1" ht="21">
      <c r="A4346" s="345"/>
    </row>
    <row r="4347" spans="1:1" ht="21">
      <c r="A4347" s="345"/>
    </row>
    <row r="4348" spans="1:1" ht="21">
      <c r="A4348" s="345"/>
    </row>
    <row r="4349" spans="1:1" ht="21">
      <c r="A4349" s="345"/>
    </row>
    <row r="4350" spans="1:1" ht="21">
      <c r="A4350" s="345"/>
    </row>
    <row r="4351" spans="1:1" ht="21">
      <c r="A4351" s="345"/>
    </row>
    <row r="4352" spans="1:1" ht="21">
      <c r="A4352" s="345"/>
    </row>
    <row r="4353" spans="1:1" ht="21">
      <c r="A4353" s="345"/>
    </row>
    <row r="4354" spans="1:1" ht="21">
      <c r="A4354" s="345"/>
    </row>
    <row r="4355" spans="1:1" ht="21">
      <c r="A4355" s="345"/>
    </row>
    <row r="4356" spans="1:1" ht="21">
      <c r="A4356" s="345"/>
    </row>
    <row r="4357" spans="1:1" ht="21">
      <c r="A4357" s="345"/>
    </row>
    <row r="4358" spans="1:1" ht="21">
      <c r="A4358" s="345"/>
    </row>
    <row r="4359" spans="1:1" ht="21">
      <c r="A4359" s="345"/>
    </row>
    <row r="4360" spans="1:1" ht="21">
      <c r="A4360" s="345"/>
    </row>
    <row r="4361" spans="1:1" ht="21">
      <c r="A4361" s="345"/>
    </row>
    <row r="4362" spans="1:1" ht="21">
      <c r="A4362" s="345"/>
    </row>
    <row r="4363" spans="1:1" ht="21">
      <c r="A4363" s="345"/>
    </row>
    <row r="4364" spans="1:1" ht="21">
      <c r="A4364" s="345"/>
    </row>
    <row r="4365" spans="1:1" ht="21">
      <c r="A4365" s="345"/>
    </row>
    <row r="4366" spans="1:1" ht="21">
      <c r="A4366" s="345"/>
    </row>
    <row r="4367" spans="1:1" ht="21">
      <c r="A4367" s="345"/>
    </row>
    <row r="4368" spans="1:1" ht="21">
      <c r="A4368" s="345"/>
    </row>
    <row r="4369" spans="1:1" ht="21">
      <c r="A4369" s="345"/>
    </row>
    <row r="4370" spans="1:1" ht="21">
      <c r="A4370" s="345"/>
    </row>
    <row r="4371" spans="1:1" ht="21">
      <c r="A4371" s="345"/>
    </row>
    <row r="4372" spans="1:1" ht="21">
      <c r="A4372" s="345"/>
    </row>
    <row r="4373" spans="1:1" ht="21">
      <c r="A4373" s="345"/>
    </row>
    <row r="4374" spans="1:1" ht="21">
      <c r="A4374" s="345"/>
    </row>
    <row r="4375" spans="1:1" ht="21">
      <c r="A4375" s="345"/>
    </row>
    <row r="4376" spans="1:1" ht="21">
      <c r="A4376" s="345"/>
    </row>
    <row r="4377" spans="1:1" ht="21">
      <c r="A4377" s="345"/>
    </row>
    <row r="4378" spans="1:1" ht="21">
      <c r="A4378" s="345"/>
    </row>
    <row r="4379" spans="1:1" ht="21">
      <c r="A4379" s="345"/>
    </row>
    <row r="4380" spans="1:1" ht="21">
      <c r="A4380" s="345"/>
    </row>
    <row r="4381" spans="1:1" ht="21">
      <c r="A4381" s="345"/>
    </row>
    <row r="4382" spans="1:1" ht="21">
      <c r="A4382" s="345"/>
    </row>
    <row r="4383" spans="1:1" ht="21">
      <c r="A4383" s="345"/>
    </row>
    <row r="4384" spans="1:1" ht="21">
      <c r="A4384" s="345"/>
    </row>
    <row r="4385" spans="1:1" ht="21">
      <c r="A4385" s="345"/>
    </row>
    <row r="4386" spans="1:1" ht="21">
      <c r="A4386" s="345"/>
    </row>
    <row r="4387" spans="1:1" ht="21">
      <c r="A4387" s="345"/>
    </row>
    <row r="4388" spans="1:1" ht="21">
      <c r="A4388" s="345"/>
    </row>
    <row r="4389" spans="1:1" ht="21">
      <c r="A4389" s="345"/>
    </row>
    <row r="4390" spans="1:1" ht="21">
      <c r="A4390" s="345"/>
    </row>
    <row r="4391" spans="1:1" ht="21">
      <c r="A4391" s="345"/>
    </row>
    <row r="4392" spans="1:1" ht="21">
      <c r="A4392" s="345"/>
    </row>
    <row r="4393" spans="1:1" ht="21">
      <c r="A4393" s="345"/>
    </row>
    <row r="4394" spans="1:1" ht="21">
      <c r="A4394" s="345"/>
    </row>
    <row r="4395" spans="1:1" ht="21">
      <c r="A4395" s="345"/>
    </row>
    <row r="4396" spans="1:1" ht="21">
      <c r="A4396" s="345"/>
    </row>
    <row r="4397" spans="1:1" ht="21">
      <c r="A4397" s="345"/>
    </row>
    <row r="4398" spans="1:1" ht="21">
      <c r="A4398" s="345"/>
    </row>
    <row r="4399" spans="1:1" ht="21">
      <c r="A4399" s="345"/>
    </row>
    <row r="4400" spans="1:1" ht="21">
      <c r="A4400" s="345"/>
    </row>
    <row r="4401" spans="1:1" ht="21">
      <c r="A4401" s="345"/>
    </row>
    <row r="4402" spans="1:1" ht="21">
      <c r="A4402" s="345"/>
    </row>
    <row r="4403" spans="1:1" ht="21">
      <c r="A4403" s="345"/>
    </row>
    <row r="4404" spans="1:1" ht="21">
      <c r="A4404" s="345"/>
    </row>
    <row r="4405" spans="1:1" ht="21">
      <c r="A4405" s="345"/>
    </row>
    <row r="4406" spans="1:1" ht="21">
      <c r="A4406" s="345"/>
    </row>
    <row r="4407" spans="1:1" ht="21">
      <c r="A4407" s="345"/>
    </row>
    <row r="4408" spans="1:1" ht="21">
      <c r="A4408" s="345"/>
    </row>
    <row r="4409" spans="1:1" ht="21">
      <c r="A4409" s="345"/>
    </row>
    <row r="4410" spans="1:1" ht="21">
      <c r="A4410" s="345"/>
    </row>
    <row r="4411" spans="1:1" ht="21">
      <c r="A4411" s="345"/>
    </row>
    <row r="4412" spans="1:1" ht="21">
      <c r="A4412" s="345"/>
    </row>
    <row r="4413" spans="1:1" ht="21">
      <c r="A4413" s="345"/>
    </row>
    <row r="4414" spans="1:1" ht="21">
      <c r="A4414" s="345"/>
    </row>
    <row r="4415" spans="1:1" ht="21">
      <c r="A4415" s="345"/>
    </row>
    <row r="4416" spans="1:1" ht="21">
      <c r="A4416" s="345"/>
    </row>
    <row r="4417" spans="1:1" ht="21">
      <c r="A4417" s="345"/>
    </row>
    <row r="4418" spans="1:1" ht="21">
      <c r="A4418" s="345"/>
    </row>
    <row r="4419" spans="1:1" ht="21">
      <c r="A4419" s="345"/>
    </row>
    <row r="4420" spans="1:1" ht="21">
      <c r="A4420" s="345"/>
    </row>
    <row r="4421" spans="1:1" ht="21">
      <c r="A4421" s="345"/>
    </row>
    <row r="4422" spans="1:1" ht="21">
      <c r="A4422" s="345"/>
    </row>
    <row r="4423" spans="1:1" ht="21">
      <c r="A4423" s="345"/>
    </row>
    <row r="4424" spans="1:1" ht="21">
      <c r="A4424" s="345"/>
    </row>
    <row r="4425" spans="1:1" ht="21">
      <c r="A4425" s="345"/>
    </row>
    <row r="4426" spans="1:1" ht="21">
      <c r="A4426" s="345"/>
    </row>
    <row r="4427" spans="1:1" ht="21">
      <c r="A4427" s="345"/>
    </row>
    <row r="4428" spans="1:1" ht="21">
      <c r="A4428" s="345"/>
    </row>
    <row r="4429" spans="1:1" ht="21">
      <c r="A4429" s="345"/>
    </row>
    <row r="4430" spans="1:1" ht="21">
      <c r="A4430" s="345"/>
    </row>
    <row r="4431" spans="1:1" ht="21">
      <c r="A4431" s="345"/>
    </row>
    <row r="4432" spans="1:1" ht="21">
      <c r="A4432" s="345"/>
    </row>
    <row r="4433" spans="1:1" ht="21">
      <c r="A4433" s="345"/>
    </row>
    <row r="4434" spans="1:1" ht="21">
      <c r="A4434" s="345"/>
    </row>
    <row r="4435" spans="1:1" ht="21">
      <c r="A4435" s="345"/>
    </row>
    <row r="4436" spans="1:1" ht="21">
      <c r="A4436" s="345"/>
    </row>
    <row r="4437" spans="1:1" ht="21">
      <c r="A4437" s="345"/>
    </row>
    <row r="4438" spans="1:1" ht="21">
      <c r="A4438" s="345"/>
    </row>
    <row r="4439" spans="1:1" ht="21">
      <c r="A4439" s="345"/>
    </row>
    <row r="4440" spans="1:1" ht="21">
      <c r="A4440" s="345"/>
    </row>
    <row r="4441" spans="1:1" ht="21">
      <c r="A4441" s="345"/>
    </row>
    <row r="4442" spans="1:1" ht="21">
      <c r="A4442" s="345"/>
    </row>
    <row r="4443" spans="1:1" ht="21">
      <c r="A4443" s="345"/>
    </row>
    <row r="4444" spans="1:1" ht="21">
      <c r="A4444" s="345"/>
    </row>
    <row r="4445" spans="1:1" ht="21">
      <c r="A4445" s="345"/>
    </row>
    <row r="4446" spans="1:1" ht="21">
      <c r="A4446" s="345"/>
    </row>
    <row r="4447" spans="1:1" ht="21">
      <c r="A4447" s="345"/>
    </row>
    <row r="4448" spans="1:1" ht="21">
      <c r="A4448" s="345"/>
    </row>
    <row r="4449" spans="1:1" ht="21">
      <c r="A4449" s="345"/>
    </row>
    <row r="4450" spans="1:1" ht="21">
      <c r="A4450" s="345"/>
    </row>
    <row r="4451" spans="1:1" ht="21">
      <c r="A4451" s="345"/>
    </row>
    <row r="4452" spans="1:1" ht="21">
      <c r="A4452" s="345"/>
    </row>
    <row r="4453" spans="1:1" ht="21">
      <c r="A4453" s="345"/>
    </row>
    <row r="4454" spans="1:1" ht="21">
      <c r="A4454" s="345"/>
    </row>
    <row r="4455" spans="1:1" ht="21">
      <c r="A4455" s="345"/>
    </row>
    <row r="4456" spans="1:1" ht="21">
      <c r="A4456" s="345"/>
    </row>
    <row r="4457" spans="1:1" ht="21">
      <c r="A4457" s="345"/>
    </row>
    <row r="4458" spans="1:1" ht="21">
      <c r="A4458" s="345"/>
    </row>
    <row r="4459" spans="1:1" ht="21">
      <c r="A4459" s="345"/>
    </row>
    <row r="4460" spans="1:1" ht="21">
      <c r="A4460" s="345"/>
    </row>
    <row r="4461" spans="1:1" ht="21">
      <c r="A4461" s="345"/>
    </row>
    <row r="4462" spans="1:1" ht="21">
      <c r="A4462" s="345"/>
    </row>
    <row r="4463" spans="1:1" ht="21">
      <c r="A4463" s="345"/>
    </row>
    <row r="4464" spans="1:1" ht="21">
      <c r="A4464" s="345"/>
    </row>
    <row r="4465" spans="1:1" ht="21">
      <c r="A4465" s="345"/>
    </row>
    <row r="4466" spans="1:1" ht="21">
      <c r="A4466" s="345"/>
    </row>
    <row r="4467" spans="1:1" ht="21">
      <c r="A4467" s="345"/>
    </row>
    <row r="4468" spans="1:1" ht="21">
      <c r="A4468" s="345"/>
    </row>
    <row r="4469" spans="1:1" ht="21">
      <c r="A4469" s="345"/>
    </row>
    <row r="4470" spans="1:1" ht="21">
      <c r="A4470" s="345"/>
    </row>
    <row r="4471" spans="1:1" ht="21">
      <c r="A4471" s="345"/>
    </row>
    <row r="4472" spans="1:1" ht="21">
      <c r="A4472" s="345"/>
    </row>
    <row r="4473" spans="1:1" ht="21">
      <c r="A4473" s="345"/>
    </row>
    <row r="4474" spans="1:1" ht="21">
      <c r="A4474" s="345"/>
    </row>
    <row r="4475" spans="1:1" ht="21">
      <c r="A4475" s="345"/>
    </row>
    <row r="4476" spans="1:1" ht="21">
      <c r="A4476" s="345"/>
    </row>
    <row r="4477" spans="1:1" ht="21">
      <c r="A4477" s="345"/>
    </row>
    <row r="4478" spans="1:1" ht="21">
      <c r="A4478" s="345"/>
    </row>
    <row r="4479" spans="1:1" ht="21">
      <c r="A4479" s="345"/>
    </row>
    <row r="4480" spans="1:1" ht="21">
      <c r="A4480" s="345"/>
    </row>
    <row r="4481" spans="1:1" ht="21">
      <c r="A4481" s="345"/>
    </row>
    <row r="4482" spans="1:1" ht="21">
      <c r="A4482" s="345"/>
    </row>
    <row r="4483" spans="1:1" ht="21">
      <c r="A4483" s="345"/>
    </row>
    <row r="4484" spans="1:1" ht="21">
      <c r="A4484" s="345"/>
    </row>
    <row r="4485" spans="1:1" ht="21">
      <c r="A4485" s="345"/>
    </row>
    <row r="4486" spans="1:1" ht="21">
      <c r="A4486" s="345"/>
    </row>
    <row r="4487" spans="1:1" ht="21">
      <c r="A4487" s="345"/>
    </row>
    <row r="4488" spans="1:1" ht="21">
      <c r="A4488" s="345"/>
    </row>
    <row r="4489" spans="1:1" ht="21">
      <c r="A4489" s="345"/>
    </row>
    <row r="4490" spans="1:1" ht="21">
      <c r="A4490" s="345"/>
    </row>
    <row r="4491" spans="1:1" ht="21">
      <c r="A4491" s="345"/>
    </row>
    <row r="4492" spans="1:1" ht="21">
      <c r="A4492" s="345"/>
    </row>
    <row r="4493" spans="1:1" ht="21">
      <c r="A4493" s="345"/>
    </row>
    <row r="4494" spans="1:1" ht="21">
      <c r="A4494" s="345"/>
    </row>
    <row r="4495" spans="1:1" ht="21">
      <c r="A4495" s="345"/>
    </row>
    <row r="4496" spans="1:1" ht="21">
      <c r="A4496" s="345"/>
    </row>
    <row r="4497" spans="1:1" ht="21">
      <c r="A4497" s="345"/>
    </row>
    <row r="4498" spans="1:1" ht="21">
      <c r="A4498" s="345"/>
    </row>
    <row r="4499" spans="1:1" ht="21">
      <c r="A4499" s="345"/>
    </row>
    <row r="4500" spans="1:1" ht="21">
      <c r="A4500" s="345"/>
    </row>
    <row r="4501" spans="1:1" ht="21">
      <c r="A4501" s="345"/>
    </row>
    <row r="4502" spans="1:1" ht="21">
      <c r="A4502" s="345"/>
    </row>
    <row r="4503" spans="1:1" ht="21">
      <c r="A4503" s="345"/>
    </row>
    <row r="4504" spans="1:1" ht="21">
      <c r="A4504" s="345"/>
    </row>
    <row r="4505" spans="1:1" ht="21">
      <c r="A4505" s="345"/>
    </row>
    <row r="4506" spans="1:1" ht="21">
      <c r="A4506" s="345"/>
    </row>
    <row r="4507" spans="1:1" ht="21">
      <c r="A4507" s="345"/>
    </row>
    <row r="4508" spans="1:1" ht="21">
      <c r="A4508" s="345"/>
    </row>
    <row r="4509" spans="1:1" ht="21">
      <c r="A4509" s="345"/>
    </row>
    <row r="4510" spans="1:1" ht="21">
      <c r="A4510" s="345"/>
    </row>
    <row r="4511" spans="1:1" ht="21">
      <c r="A4511" s="345"/>
    </row>
    <row r="4512" spans="1:1" ht="21">
      <c r="A4512" s="345"/>
    </row>
    <row r="4513" spans="1:1" ht="21">
      <c r="A4513" s="345"/>
    </row>
    <row r="4514" spans="1:1" ht="21">
      <c r="A4514" s="345"/>
    </row>
    <row r="4515" spans="1:1" ht="21">
      <c r="A4515" s="345"/>
    </row>
    <row r="4516" spans="1:1" ht="21">
      <c r="A4516" s="345"/>
    </row>
    <row r="4517" spans="1:1" ht="21">
      <c r="A4517" s="345"/>
    </row>
    <row r="4518" spans="1:1" ht="21">
      <c r="A4518" s="345"/>
    </row>
    <row r="4519" spans="1:1" ht="21">
      <c r="A4519" s="345"/>
    </row>
    <row r="4520" spans="1:1" ht="21">
      <c r="A4520" s="345"/>
    </row>
    <row r="4521" spans="1:1" ht="21">
      <c r="A4521" s="345"/>
    </row>
    <row r="4522" spans="1:1" ht="21">
      <c r="A4522" s="345"/>
    </row>
    <row r="4523" spans="1:1" ht="21">
      <c r="A4523" s="345"/>
    </row>
    <row r="4524" spans="1:1" ht="21">
      <c r="A4524" s="345"/>
    </row>
    <row r="4525" spans="1:1" ht="21">
      <c r="A4525" s="345"/>
    </row>
    <row r="4526" spans="1:1" ht="21">
      <c r="A4526" s="345"/>
    </row>
    <row r="4527" spans="1:1" ht="21">
      <c r="A4527" s="345"/>
    </row>
    <row r="4528" spans="1:1" ht="21">
      <c r="A4528" s="345"/>
    </row>
    <row r="4529" spans="1:1" ht="21">
      <c r="A4529" s="345"/>
    </row>
    <row r="4530" spans="1:1" ht="21">
      <c r="A4530" s="345"/>
    </row>
    <row r="4531" spans="1:1" ht="21">
      <c r="A4531" s="345"/>
    </row>
    <row r="4532" spans="1:1" ht="21">
      <c r="A4532" s="345"/>
    </row>
    <row r="4533" spans="1:1" ht="21">
      <c r="A4533" s="345"/>
    </row>
    <row r="4534" spans="1:1" ht="21">
      <c r="A4534" s="345"/>
    </row>
    <row r="4535" spans="1:1" ht="21">
      <c r="A4535" s="345"/>
    </row>
    <row r="4536" spans="1:1" ht="21">
      <c r="A4536" s="345"/>
    </row>
    <row r="4537" spans="1:1" ht="21">
      <c r="A4537" s="345"/>
    </row>
    <row r="4538" spans="1:1" ht="21">
      <c r="A4538" s="345"/>
    </row>
    <row r="4539" spans="1:1" ht="21">
      <c r="A4539" s="345"/>
    </row>
    <row r="4540" spans="1:1" ht="21">
      <c r="A4540" s="345"/>
    </row>
    <row r="4541" spans="1:1" ht="21">
      <c r="A4541" s="345"/>
    </row>
    <row r="4542" spans="1:1" ht="21">
      <c r="A4542" s="345"/>
    </row>
    <row r="4543" spans="1:1" ht="21">
      <c r="A4543" s="345"/>
    </row>
    <row r="4544" spans="1:1" ht="21">
      <c r="A4544" s="345"/>
    </row>
    <row r="4545" spans="1:1" ht="21">
      <c r="A4545" s="345"/>
    </row>
    <row r="4546" spans="1:1" ht="21">
      <c r="A4546" s="345"/>
    </row>
    <row r="4547" spans="1:1" ht="21">
      <c r="A4547" s="345"/>
    </row>
    <row r="4548" spans="1:1" ht="21">
      <c r="A4548" s="345"/>
    </row>
    <row r="4549" spans="1:1" ht="21">
      <c r="A4549" s="345"/>
    </row>
    <row r="4550" spans="1:1" ht="21">
      <c r="A4550" s="345"/>
    </row>
    <row r="4551" spans="1:1" ht="21">
      <c r="A4551" s="345"/>
    </row>
    <row r="4552" spans="1:1" ht="21">
      <c r="A4552" s="345"/>
    </row>
    <row r="4553" spans="1:1" ht="21">
      <c r="A4553" s="345"/>
    </row>
    <row r="4554" spans="1:1" ht="21">
      <c r="A4554" s="345"/>
    </row>
    <row r="4555" spans="1:1" ht="21">
      <c r="A4555" s="345"/>
    </row>
    <row r="4556" spans="1:1" ht="21">
      <c r="A4556" s="345"/>
    </row>
    <row r="4557" spans="1:1" ht="21">
      <c r="A4557" s="345"/>
    </row>
    <row r="4558" spans="1:1" ht="21">
      <c r="A4558" s="345"/>
    </row>
    <row r="4559" spans="1:1" ht="21">
      <c r="A4559" s="345"/>
    </row>
    <row r="4560" spans="1:1" ht="21">
      <c r="A4560" s="345"/>
    </row>
    <row r="4561" spans="1:1" ht="21">
      <c r="A4561" s="345"/>
    </row>
    <row r="4562" spans="1:1" ht="21">
      <c r="A4562" s="345"/>
    </row>
    <row r="4563" spans="1:1" ht="21">
      <c r="A4563" s="345"/>
    </row>
    <row r="4564" spans="1:1" ht="21">
      <c r="A4564" s="345"/>
    </row>
    <row r="4565" spans="1:1" ht="21">
      <c r="A4565" s="345"/>
    </row>
    <row r="4566" spans="1:1" ht="21">
      <c r="A4566" s="345"/>
    </row>
    <row r="4567" spans="1:1" ht="21">
      <c r="A4567" s="345"/>
    </row>
    <row r="4568" spans="1:1" ht="21">
      <c r="A4568" s="345"/>
    </row>
    <row r="4569" spans="1:1" ht="21">
      <c r="A4569" s="345"/>
    </row>
    <row r="4570" spans="1:1" ht="21">
      <c r="A4570" s="345"/>
    </row>
    <row r="4571" spans="1:1" ht="21">
      <c r="A4571" s="345"/>
    </row>
    <row r="4572" spans="1:1" ht="21">
      <c r="A4572" s="345"/>
    </row>
    <row r="4573" spans="1:1" ht="21">
      <c r="A4573" s="345"/>
    </row>
    <row r="4574" spans="1:1" ht="21">
      <c r="A4574" s="345"/>
    </row>
    <row r="4575" spans="1:1" ht="21">
      <c r="A4575" s="345"/>
    </row>
    <row r="4576" spans="1:1" ht="21">
      <c r="A4576" s="345"/>
    </row>
    <row r="4577" spans="1:1" ht="21">
      <c r="A4577" s="345"/>
    </row>
    <row r="4578" spans="1:1" ht="21">
      <c r="A4578" s="345"/>
    </row>
    <row r="4579" spans="1:1" ht="21">
      <c r="A4579" s="345"/>
    </row>
    <row r="4580" spans="1:1" ht="21">
      <c r="A4580" s="345"/>
    </row>
    <row r="4581" spans="1:1" ht="21">
      <c r="A4581" s="345"/>
    </row>
    <row r="4582" spans="1:1" ht="21">
      <c r="A4582" s="345"/>
    </row>
    <row r="4583" spans="1:1" ht="21">
      <c r="A4583" s="345"/>
    </row>
    <row r="4584" spans="1:1" ht="21">
      <c r="A4584" s="345"/>
    </row>
    <row r="4585" spans="1:1" ht="21">
      <c r="A4585" s="345"/>
    </row>
    <row r="4586" spans="1:1" ht="21">
      <c r="A4586" s="345"/>
    </row>
    <row r="4587" spans="1:1" ht="21">
      <c r="A4587" s="345"/>
    </row>
    <row r="4588" spans="1:1" ht="21">
      <c r="A4588" s="345"/>
    </row>
    <row r="4589" spans="1:1" ht="21">
      <c r="A4589" s="345"/>
    </row>
    <row r="4590" spans="1:1" ht="21">
      <c r="A4590" s="345"/>
    </row>
    <row r="4591" spans="1:1" ht="21">
      <c r="A4591" s="345"/>
    </row>
    <row r="4592" spans="1:1" ht="21">
      <c r="A4592" s="345"/>
    </row>
    <row r="4593" spans="1:1" ht="21">
      <c r="A4593" s="345"/>
    </row>
    <row r="4594" spans="1:1" ht="21">
      <c r="A4594" s="345"/>
    </row>
    <row r="4595" spans="1:1" ht="21">
      <c r="A4595" s="345"/>
    </row>
    <row r="4596" spans="1:1" ht="21">
      <c r="A4596" s="345"/>
    </row>
    <row r="4597" spans="1:1" ht="21">
      <c r="A4597" s="345"/>
    </row>
    <row r="4598" spans="1:1" ht="21">
      <c r="A4598" s="345"/>
    </row>
    <row r="4599" spans="1:1" ht="21">
      <c r="A4599" s="345"/>
    </row>
    <row r="4600" spans="1:1" ht="21">
      <c r="A4600" s="345"/>
    </row>
    <row r="4601" spans="1:1" ht="21">
      <c r="A4601" s="345"/>
    </row>
    <row r="4602" spans="1:1" ht="21">
      <c r="A4602" s="345"/>
    </row>
    <row r="4603" spans="1:1" ht="21">
      <c r="A4603" s="345"/>
    </row>
    <row r="4604" spans="1:1" ht="21">
      <c r="A4604" s="345"/>
    </row>
    <row r="4605" spans="1:1" ht="21">
      <c r="A4605" s="345"/>
    </row>
    <row r="4606" spans="1:1" ht="21">
      <c r="A4606" s="345"/>
    </row>
    <row r="4607" spans="1:1" ht="21">
      <c r="A4607" s="345"/>
    </row>
    <row r="4608" spans="1:1" ht="21">
      <c r="A4608" s="345"/>
    </row>
    <row r="4609" spans="1:1" ht="21">
      <c r="A4609" s="345"/>
    </row>
    <row r="4610" spans="1:1" ht="21">
      <c r="A4610" s="345"/>
    </row>
    <row r="4611" spans="1:1" ht="21">
      <c r="A4611" s="345"/>
    </row>
    <row r="4612" spans="1:1" ht="21">
      <c r="A4612" s="345"/>
    </row>
    <row r="4613" spans="1:1" ht="21">
      <c r="A4613" s="345"/>
    </row>
    <row r="4614" spans="1:1" ht="21">
      <c r="A4614" s="345"/>
    </row>
    <row r="4615" spans="1:1" ht="21">
      <c r="A4615" s="345"/>
    </row>
    <row r="4616" spans="1:1" ht="21">
      <c r="A4616" s="345"/>
    </row>
    <row r="4617" spans="1:1" ht="21">
      <c r="A4617" s="345"/>
    </row>
    <row r="4618" spans="1:1" ht="21">
      <c r="A4618" s="345"/>
    </row>
    <row r="4619" spans="1:1" ht="21">
      <c r="A4619" s="345"/>
    </row>
    <row r="4620" spans="1:1" ht="21">
      <c r="A4620" s="345"/>
    </row>
    <row r="4621" spans="1:1" ht="21">
      <c r="A4621" s="345"/>
    </row>
    <row r="4622" spans="1:1" ht="21">
      <c r="A4622" s="345"/>
    </row>
    <row r="4623" spans="1:1" ht="21">
      <c r="A4623" s="345"/>
    </row>
    <row r="4624" spans="1:1" ht="21">
      <c r="A4624" s="345"/>
    </row>
    <row r="4625" spans="1:1" ht="21">
      <c r="A4625" s="345"/>
    </row>
    <row r="4626" spans="1:1" ht="21">
      <c r="A4626" s="345"/>
    </row>
    <row r="4627" spans="1:1" ht="21">
      <c r="A4627" s="345"/>
    </row>
    <row r="4628" spans="1:1" ht="21">
      <c r="A4628" s="345"/>
    </row>
    <row r="4629" spans="1:1" ht="21">
      <c r="A4629" s="345"/>
    </row>
    <row r="4630" spans="1:1" ht="21">
      <c r="A4630" s="345"/>
    </row>
    <row r="4631" spans="1:1" ht="21">
      <c r="A4631" s="345"/>
    </row>
    <row r="4632" spans="1:1" ht="21">
      <c r="A4632" s="345"/>
    </row>
    <row r="4633" spans="1:1" ht="21">
      <c r="A4633" s="345"/>
    </row>
    <row r="4634" spans="1:1" ht="21">
      <c r="A4634" s="345"/>
    </row>
    <row r="4635" spans="1:1" ht="21">
      <c r="A4635" s="345"/>
    </row>
    <row r="4636" spans="1:1" ht="21">
      <c r="A4636" s="345"/>
    </row>
    <row r="4637" spans="1:1" ht="21">
      <c r="A4637" s="345"/>
    </row>
    <row r="4638" spans="1:1" ht="21">
      <c r="A4638" s="345"/>
    </row>
    <row r="4639" spans="1:1" ht="21">
      <c r="A4639" s="345"/>
    </row>
    <row r="4640" spans="1:1" ht="21">
      <c r="A4640" s="345"/>
    </row>
    <row r="4641" spans="1:1" ht="21">
      <c r="A4641" s="345"/>
    </row>
    <row r="4642" spans="1:1" ht="21">
      <c r="A4642" s="345"/>
    </row>
    <row r="4643" spans="1:1" ht="21">
      <c r="A4643" s="345"/>
    </row>
    <row r="4644" spans="1:1" ht="21">
      <c r="A4644" s="345"/>
    </row>
    <row r="4645" spans="1:1" ht="21">
      <c r="A4645" s="345"/>
    </row>
    <row r="4646" spans="1:1" ht="21">
      <c r="A4646" s="345"/>
    </row>
    <row r="4647" spans="1:1" ht="21">
      <c r="A4647" s="345"/>
    </row>
    <row r="4648" spans="1:1" ht="21">
      <c r="A4648" s="345"/>
    </row>
    <row r="4649" spans="1:1" ht="21">
      <c r="A4649" s="345"/>
    </row>
    <row r="4650" spans="1:1" ht="21">
      <c r="A4650" s="345"/>
    </row>
    <row r="4651" spans="1:1" ht="21">
      <c r="A4651" s="345"/>
    </row>
    <row r="4652" spans="1:1" ht="21">
      <c r="A4652" s="345"/>
    </row>
    <row r="4653" spans="1:1" ht="21">
      <c r="A4653" s="345"/>
    </row>
    <row r="4654" spans="1:1" ht="21">
      <c r="A4654" s="345"/>
    </row>
    <row r="4655" spans="1:1" ht="21">
      <c r="A4655" s="345"/>
    </row>
    <row r="4656" spans="1:1" ht="21">
      <c r="A4656" s="345"/>
    </row>
    <row r="4657" spans="1:1" ht="21">
      <c r="A4657" s="345"/>
    </row>
    <row r="4658" spans="1:1" ht="21">
      <c r="A4658" s="345"/>
    </row>
    <row r="4659" spans="1:1" ht="21">
      <c r="A4659" s="345"/>
    </row>
    <row r="4660" spans="1:1" ht="21">
      <c r="A4660" s="345"/>
    </row>
    <row r="4661" spans="1:1" ht="21">
      <c r="A4661" s="345"/>
    </row>
    <row r="4662" spans="1:1" ht="21">
      <c r="A4662" s="345"/>
    </row>
    <row r="4663" spans="1:1" ht="21">
      <c r="A4663" s="345"/>
    </row>
    <row r="4664" spans="1:1" ht="21">
      <c r="A4664" s="345"/>
    </row>
    <row r="4665" spans="1:1" ht="21">
      <c r="A4665" s="345"/>
    </row>
    <row r="4666" spans="1:1" ht="21">
      <c r="A4666" s="345"/>
    </row>
    <row r="4667" spans="1:1" ht="21">
      <c r="A4667" s="345"/>
    </row>
    <row r="4668" spans="1:1" ht="21">
      <c r="A4668" s="345"/>
    </row>
    <row r="4669" spans="1:1" ht="21">
      <c r="A4669" s="345"/>
    </row>
    <row r="4670" spans="1:1" ht="21">
      <c r="A4670" s="345"/>
    </row>
    <row r="4671" spans="1:1" ht="21">
      <c r="A4671" s="345"/>
    </row>
    <row r="4672" spans="1:1" ht="21">
      <c r="A4672" s="345"/>
    </row>
    <row r="4673" spans="1:1" ht="21">
      <c r="A4673" s="345"/>
    </row>
    <row r="4674" spans="1:1" ht="21">
      <c r="A4674" s="345"/>
    </row>
    <row r="4675" spans="1:1" ht="21">
      <c r="A4675" s="345"/>
    </row>
    <row r="4676" spans="1:1" ht="21">
      <c r="A4676" s="345"/>
    </row>
    <row r="4677" spans="1:1" ht="21">
      <c r="A4677" s="345"/>
    </row>
    <row r="4678" spans="1:1" ht="21">
      <c r="A4678" s="345"/>
    </row>
    <row r="4679" spans="1:1" ht="21">
      <c r="A4679" s="345"/>
    </row>
    <row r="4680" spans="1:1" ht="21">
      <c r="A4680" s="345"/>
    </row>
    <row r="4681" spans="1:1" ht="21">
      <c r="A4681" s="345"/>
    </row>
    <row r="4682" spans="1:1" ht="21">
      <c r="A4682" s="345"/>
    </row>
    <row r="4683" spans="1:1" ht="21">
      <c r="A4683" s="345"/>
    </row>
    <row r="4684" spans="1:1" ht="21">
      <c r="A4684" s="345"/>
    </row>
    <row r="4685" spans="1:1" ht="21">
      <c r="A4685" s="345"/>
    </row>
    <row r="4686" spans="1:1" ht="21">
      <c r="A4686" s="345"/>
    </row>
    <row r="4687" spans="1:1" ht="21">
      <c r="A4687" s="345"/>
    </row>
    <row r="4688" spans="1:1" ht="21">
      <c r="A4688" s="345"/>
    </row>
    <row r="4689" spans="1:1" ht="21">
      <c r="A4689" s="345"/>
    </row>
    <row r="4690" spans="1:1" ht="21">
      <c r="A4690" s="345"/>
    </row>
    <row r="4691" spans="1:1" ht="21">
      <c r="A4691" s="345"/>
    </row>
    <row r="4692" spans="1:1" ht="21">
      <c r="A4692" s="345"/>
    </row>
    <row r="4693" spans="1:1" ht="21">
      <c r="A4693" s="345"/>
    </row>
    <row r="4694" spans="1:1" ht="21">
      <c r="A4694" s="345"/>
    </row>
    <row r="4695" spans="1:1" ht="21">
      <c r="A4695" s="345"/>
    </row>
    <row r="4696" spans="1:1" ht="21">
      <c r="A4696" s="345"/>
    </row>
    <row r="4697" spans="1:1" ht="21">
      <c r="A4697" s="345"/>
    </row>
    <row r="4698" spans="1:1" ht="21">
      <c r="A4698" s="345"/>
    </row>
    <row r="4699" spans="1:1" ht="21">
      <c r="A4699" s="345"/>
    </row>
    <row r="4700" spans="1:1" ht="21">
      <c r="A4700" s="345"/>
    </row>
    <row r="4701" spans="1:1" ht="21">
      <c r="A4701" s="345"/>
    </row>
    <row r="4702" spans="1:1" ht="21">
      <c r="A4702" s="345"/>
    </row>
    <row r="4703" spans="1:1" ht="21">
      <c r="A4703" s="345"/>
    </row>
    <row r="4704" spans="1:1" ht="21">
      <c r="A4704" s="345"/>
    </row>
    <row r="4705" spans="1:1" ht="21">
      <c r="A4705" s="345"/>
    </row>
    <row r="4706" spans="1:1" ht="21">
      <c r="A4706" s="345"/>
    </row>
    <row r="4707" spans="1:1" ht="21">
      <c r="A4707" s="345"/>
    </row>
    <row r="4708" spans="1:1" ht="21">
      <c r="A4708" s="345"/>
    </row>
    <row r="4709" spans="1:1" ht="21">
      <c r="A4709" s="345"/>
    </row>
    <row r="4710" spans="1:1" ht="21">
      <c r="A4710" s="345"/>
    </row>
    <row r="4711" spans="1:1" ht="21">
      <c r="A4711" s="345"/>
    </row>
    <row r="4712" spans="1:1" ht="21">
      <c r="A4712" s="345"/>
    </row>
    <row r="4713" spans="1:1" ht="21">
      <c r="A4713" s="345"/>
    </row>
    <row r="4714" spans="1:1" ht="21">
      <c r="A4714" s="345"/>
    </row>
    <row r="4715" spans="1:1" ht="21">
      <c r="A4715" s="345"/>
    </row>
    <row r="4716" spans="1:1" ht="21">
      <c r="A4716" s="345"/>
    </row>
    <row r="4717" spans="1:1" ht="21">
      <c r="A4717" s="345"/>
    </row>
    <row r="4718" spans="1:1" ht="21">
      <c r="A4718" s="345"/>
    </row>
    <row r="4719" spans="1:1" ht="21">
      <c r="A4719" s="345"/>
    </row>
    <row r="4720" spans="1:1" ht="21">
      <c r="A4720" s="345"/>
    </row>
    <row r="4721" spans="1:1" ht="21">
      <c r="A4721" s="345"/>
    </row>
    <row r="4722" spans="1:1" ht="21">
      <c r="A4722" s="345"/>
    </row>
    <row r="4723" spans="1:1" ht="21">
      <c r="A4723" s="345"/>
    </row>
    <row r="4724" spans="1:1" ht="21">
      <c r="A4724" s="345"/>
    </row>
    <row r="4725" spans="1:1" ht="21">
      <c r="A4725" s="345"/>
    </row>
    <row r="4726" spans="1:1" ht="21">
      <c r="A4726" s="345"/>
    </row>
    <row r="4727" spans="1:1" ht="21">
      <c r="A4727" s="345"/>
    </row>
    <row r="4728" spans="1:1" ht="21">
      <c r="A4728" s="345"/>
    </row>
    <row r="4729" spans="1:1" ht="21">
      <c r="A4729" s="345"/>
    </row>
    <row r="4730" spans="1:1" ht="21">
      <c r="A4730" s="345"/>
    </row>
    <row r="4731" spans="1:1" ht="21">
      <c r="A4731" s="345"/>
    </row>
    <row r="4732" spans="1:1" ht="21">
      <c r="A4732" s="345"/>
    </row>
    <row r="4733" spans="1:1" ht="21">
      <c r="A4733" s="345"/>
    </row>
    <row r="4734" spans="1:1" ht="21">
      <c r="A4734" s="345"/>
    </row>
    <row r="4735" spans="1:1" ht="21">
      <c r="A4735" s="345"/>
    </row>
    <row r="4736" spans="1:1" ht="21">
      <c r="A4736" s="345"/>
    </row>
    <row r="4737" spans="1:1" ht="21">
      <c r="A4737" s="345"/>
    </row>
    <row r="4738" spans="1:1" ht="21">
      <c r="A4738" s="345"/>
    </row>
    <row r="4739" spans="1:1" ht="21">
      <c r="A4739" s="345"/>
    </row>
    <row r="4740" spans="1:1" ht="21">
      <c r="A4740" s="345"/>
    </row>
    <row r="4741" spans="1:1" ht="21">
      <c r="A4741" s="345"/>
    </row>
    <row r="4742" spans="1:1" ht="21">
      <c r="A4742" s="345"/>
    </row>
    <row r="4743" spans="1:1" ht="21">
      <c r="A4743" s="345"/>
    </row>
    <row r="4744" spans="1:1" ht="21">
      <c r="A4744" s="345"/>
    </row>
    <row r="4745" spans="1:1" ht="21">
      <c r="A4745" s="345"/>
    </row>
    <row r="4746" spans="1:1" ht="21">
      <c r="A4746" s="345"/>
    </row>
    <row r="4747" spans="1:1" ht="21">
      <c r="A4747" s="345"/>
    </row>
    <row r="4748" spans="1:1" ht="21">
      <c r="A4748" s="345"/>
    </row>
    <row r="4749" spans="1:1" ht="21">
      <c r="A4749" s="345"/>
    </row>
    <row r="4750" spans="1:1" ht="21">
      <c r="A4750" s="345"/>
    </row>
    <row r="4751" spans="1:1" ht="21">
      <c r="A4751" s="345"/>
    </row>
    <row r="4752" spans="1:1" ht="21">
      <c r="A4752" s="345"/>
    </row>
    <row r="4753" spans="1:1" ht="21">
      <c r="A4753" s="345"/>
    </row>
    <row r="4754" spans="1:1" ht="21">
      <c r="A4754" s="345"/>
    </row>
    <row r="4755" spans="1:1" ht="21">
      <c r="A4755" s="345"/>
    </row>
    <row r="4756" spans="1:1" ht="21">
      <c r="A4756" s="345"/>
    </row>
    <row r="4757" spans="1:1" ht="21">
      <c r="A4757" s="345"/>
    </row>
    <row r="4758" spans="1:1" ht="21">
      <c r="A4758" s="345"/>
    </row>
    <row r="4759" spans="1:1" ht="21">
      <c r="A4759" s="345"/>
    </row>
    <row r="4760" spans="1:1" ht="21">
      <c r="A4760" s="345"/>
    </row>
    <row r="4761" spans="1:1" ht="21">
      <c r="A4761" s="345"/>
    </row>
    <row r="4762" spans="1:1" ht="21">
      <c r="A4762" s="345"/>
    </row>
    <row r="4763" spans="1:1" ht="21">
      <c r="A4763" s="345"/>
    </row>
    <row r="4764" spans="1:1" ht="21">
      <c r="A4764" s="345"/>
    </row>
    <row r="4765" spans="1:1" ht="21">
      <c r="A4765" s="345"/>
    </row>
    <row r="4766" spans="1:1" ht="21">
      <c r="A4766" s="345"/>
    </row>
    <row r="4767" spans="1:1" ht="21">
      <c r="A4767" s="345"/>
    </row>
    <row r="4768" spans="1:1" ht="21">
      <c r="A4768" s="345"/>
    </row>
    <row r="4769" spans="1:1" ht="21">
      <c r="A4769" s="345"/>
    </row>
    <row r="4770" spans="1:1" ht="21">
      <c r="A4770" s="345"/>
    </row>
    <row r="4771" spans="1:1" ht="21">
      <c r="A4771" s="345"/>
    </row>
    <row r="4772" spans="1:1" ht="21">
      <c r="A4772" s="345"/>
    </row>
    <row r="4773" spans="1:1" ht="21">
      <c r="A4773" s="345"/>
    </row>
    <row r="4774" spans="1:1" ht="21">
      <c r="A4774" s="345"/>
    </row>
    <row r="4775" spans="1:1" ht="21">
      <c r="A4775" s="345"/>
    </row>
    <row r="4776" spans="1:1" ht="21">
      <c r="A4776" s="345"/>
    </row>
    <row r="4777" spans="1:1" ht="21">
      <c r="A4777" s="345"/>
    </row>
    <row r="4778" spans="1:1" ht="21">
      <c r="A4778" s="345"/>
    </row>
    <row r="4779" spans="1:1" ht="21">
      <c r="A4779" s="345"/>
    </row>
    <row r="4780" spans="1:1" ht="21">
      <c r="A4780" s="345"/>
    </row>
    <row r="4781" spans="1:1" ht="21">
      <c r="A4781" s="345"/>
    </row>
    <row r="4782" spans="1:1" ht="21">
      <c r="A4782" s="345"/>
    </row>
    <row r="4783" spans="1:1" ht="21">
      <c r="A4783" s="345"/>
    </row>
    <row r="4784" spans="1:1" ht="21">
      <c r="A4784" s="345"/>
    </row>
    <row r="4785" spans="1:1" ht="21">
      <c r="A4785" s="345"/>
    </row>
    <row r="4786" spans="1:1" ht="21">
      <c r="A4786" s="345"/>
    </row>
    <row r="4787" spans="1:1" ht="21">
      <c r="A4787" s="345"/>
    </row>
    <row r="4788" spans="1:1" ht="21">
      <c r="A4788" s="345"/>
    </row>
    <row r="4789" spans="1:1" ht="21">
      <c r="A4789" s="345"/>
    </row>
    <row r="4790" spans="1:1" ht="21">
      <c r="A4790" s="345"/>
    </row>
    <row r="4791" spans="1:1" ht="21">
      <c r="A4791" s="345"/>
    </row>
    <row r="4792" spans="1:1" ht="21">
      <c r="A4792" s="345"/>
    </row>
    <row r="4793" spans="1:1" ht="21">
      <c r="A4793" s="345"/>
    </row>
    <row r="4794" spans="1:1" ht="21">
      <c r="A4794" s="345"/>
    </row>
    <row r="4795" spans="1:1" ht="21">
      <c r="A4795" s="345"/>
    </row>
    <row r="4796" spans="1:1" ht="21">
      <c r="A4796" s="345"/>
    </row>
    <row r="4797" spans="1:1" ht="21">
      <c r="A4797" s="345"/>
    </row>
    <row r="4798" spans="1:1" ht="21">
      <c r="A4798" s="345"/>
    </row>
    <row r="4799" spans="1:1" ht="21">
      <c r="A4799" s="345"/>
    </row>
    <row r="4800" spans="1:1" ht="21">
      <c r="A4800" s="345"/>
    </row>
    <row r="4801" spans="1:1" ht="21">
      <c r="A4801" s="345"/>
    </row>
    <row r="4802" spans="1:1" ht="21">
      <c r="A4802" s="345"/>
    </row>
    <row r="4803" spans="1:1" ht="21">
      <c r="A4803" s="345"/>
    </row>
    <row r="4804" spans="1:1" ht="21">
      <c r="A4804" s="345"/>
    </row>
    <row r="4805" spans="1:1" ht="21">
      <c r="A4805" s="345"/>
    </row>
    <row r="4806" spans="1:1" ht="21">
      <c r="A4806" s="345"/>
    </row>
    <row r="4807" spans="1:1" ht="21">
      <c r="A4807" s="345"/>
    </row>
    <row r="4808" spans="1:1" ht="21">
      <c r="A4808" s="345"/>
    </row>
    <row r="4809" spans="1:1" ht="21">
      <c r="A4809" s="345"/>
    </row>
    <row r="4810" spans="1:1" ht="21">
      <c r="A4810" s="345"/>
    </row>
    <row r="4811" spans="1:1" ht="21">
      <c r="A4811" s="345"/>
    </row>
    <row r="4812" spans="1:1" ht="21">
      <c r="A4812" s="345"/>
    </row>
    <row r="4813" spans="1:1" ht="21">
      <c r="A4813" s="345"/>
    </row>
    <row r="4814" spans="1:1" ht="21">
      <c r="A4814" s="345"/>
    </row>
    <row r="4815" spans="1:1" ht="21">
      <c r="A4815" s="345"/>
    </row>
    <row r="4816" spans="1:1" ht="21">
      <c r="A4816" s="345"/>
    </row>
    <row r="4817" spans="1:1" ht="21">
      <c r="A4817" s="345"/>
    </row>
    <row r="4818" spans="1:1" ht="21">
      <c r="A4818" s="345"/>
    </row>
    <row r="4819" spans="1:1" ht="21">
      <c r="A4819" s="345"/>
    </row>
    <row r="4820" spans="1:1" ht="21">
      <c r="A4820" s="345"/>
    </row>
    <row r="4821" spans="1:1" ht="21">
      <c r="A4821" s="345"/>
    </row>
    <row r="4822" spans="1:1" ht="21">
      <c r="A4822" s="345"/>
    </row>
    <row r="4823" spans="1:1" ht="21">
      <c r="A4823" s="345"/>
    </row>
    <row r="4824" spans="1:1" ht="21">
      <c r="A4824" s="345"/>
    </row>
    <row r="4825" spans="1:1" ht="21">
      <c r="A4825" s="345"/>
    </row>
    <row r="4826" spans="1:1" ht="21">
      <c r="A4826" s="345"/>
    </row>
    <row r="4827" spans="1:1" ht="21">
      <c r="A4827" s="345"/>
    </row>
    <row r="4828" spans="1:1" ht="21">
      <c r="A4828" s="345"/>
    </row>
    <row r="4829" spans="1:1" ht="21">
      <c r="A4829" s="345"/>
    </row>
    <row r="4830" spans="1:1" ht="21">
      <c r="A4830" s="345"/>
    </row>
    <row r="4831" spans="1:1" ht="21">
      <c r="A4831" s="345"/>
    </row>
    <row r="4832" spans="1:1" ht="21">
      <c r="A4832" s="345"/>
    </row>
    <row r="4833" spans="1:1" ht="21">
      <c r="A4833" s="345"/>
    </row>
    <row r="4834" spans="1:1" ht="21">
      <c r="A4834" s="345"/>
    </row>
    <row r="4835" spans="1:1" ht="21">
      <c r="A4835" s="345"/>
    </row>
    <row r="4836" spans="1:1" ht="21">
      <c r="A4836" s="345"/>
    </row>
    <row r="4837" spans="1:1" ht="21">
      <c r="A4837" s="345"/>
    </row>
    <row r="4838" spans="1:1" ht="21">
      <c r="A4838" s="345"/>
    </row>
    <row r="4839" spans="1:1" ht="21">
      <c r="A4839" s="345"/>
    </row>
    <row r="4840" spans="1:1" ht="21">
      <c r="A4840" s="345"/>
    </row>
    <row r="4841" spans="1:1" ht="21">
      <c r="A4841" s="345"/>
    </row>
    <row r="4842" spans="1:1" ht="21">
      <c r="A4842" s="345"/>
    </row>
    <row r="4843" spans="1:1" ht="21">
      <c r="A4843" s="345"/>
    </row>
    <row r="4844" spans="1:1" ht="21">
      <c r="A4844" s="345"/>
    </row>
    <row r="4845" spans="1:1" ht="21">
      <c r="A4845" s="345"/>
    </row>
    <row r="4846" spans="1:1" ht="21">
      <c r="A4846" s="345"/>
    </row>
    <row r="4847" spans="1:1" ht="21">
      <c r="A4847" s="345"/>
    </row>
    <row r="4848" spans="1:1" ht="21">
      <c r="A4848" s="345"/>
    </row>
    <row r="4849" spans="1:1" ht="21">
      <c r="A4849" s="345"/>
    </row>
    <row r="4850" spans="1:1" ht="21">
      <c r="A4850" s="345"/>
    </row>
    <row r="4851" spans="1:1" ht="21">
      <c r="A4851" s="345"/>
    </row>
    <row r="4852" spans="1:1" ht="21">
      <c r="A4852" s="345"/>
    </row>
    <row r="4853" spans="1:1" ht="21">
      <c r="A4853" s="345"/>
    </row>
    <row r="4854" spans="1:1" ht="21">
      <c r="A4854" s="345"/>
    </row>
    <row r="4855" spans="1:1" ht="21">
      <c r="A4855" s="345"/>
    </row>
    <row r="4856" spans="1:1" ht="21">
      <c r="A4856" s="345"/>
    </row>
    <row r="4857" spans="1:1" ht="21">
      <c r="A4857" s="345"/>
    </row>
    <row r="4858" spans="1:1" ht="21">
      <c r="A4858" s="345"/>
    </row>
    <row r="4859" spans="1:1" ht="21">
      <c r="A4859" s="345"/>
    </row>
    <row r="4860" spans="1:1" ht="21">
      <c r="A4860" s="345"/>
    </row>
    <row r="4861" spans="1:1" ht="21">
      <c r="A4861" s="345"/>
    </row>
    <row r="4862" spans="1:1" ht="21">
      <c r="A4862" s="345"/>
    </row>
    <row r="4863" spans="1:1" ht="21">
      <c r="A4863" s="345"/>
    </row>
    <row r="4864" spans="1:1" ht="21">
      <c r="A4864" s="345"/>
    </row>
    <row r="4865" spans="1:1" ht="21">
      <c r="A4865" s="345"/>
    </row>
    <row r="4866" spans="1:1" ht="21">
      <c r="A4866" s="345"/>
    </row>
    <row r="4867" spans="1:1" ht="21">
      <c r="A4867" s="345"/>
    </row>
    <row r="4868" spans="1:1" ht="21">
      <c r="A4868" s="345"/>
    </row>
    <row r="4869" spans="1:1" ht="21">
      <c r="A4869" s="345"/>
    </row>
    <row r="4870" spans="1:1" ht="21">
      <c r="A4870" s="345"/>
    </row>
    <row r="4871" spans="1:1" ht="21">
      <c r="A4871" s="345"/>
    </row>
    <row r="4872" spans="1:1" ht="21">
      <c r="A4872" s="345"/>
    </row>
    <row r="4873" spans="1:1" ht="21">
      <c r="A4873" s="345"/>
    </row>
    <row r="4874" spans="1:1" ht="21">
      <c r="A4874" s="345"/>
    </row>
    <row r="4875" spans="1:1" ht="21">
      <c r="A4875" s="345"/>
    </row>
    <row r="4876" spans="1:1" ht="21">
      <c r="A4876" s="345"/>
    </row>
    <row r="4877" spans="1:1" ht="21">
      <c r="A4877" s="345"/>
    </row>
    <row r="4878" spans="1:1" ht="21">
      <c r="A4878" s="345"/>
    </row>
    <row r="4879" spans="1:1" ht="21">
      <c r="A4879" s="345"/>
    </row>
    <row r="4880" spans="1:1" ht="21">
      <c r="A4880" s="345"/>
    </row>
    <row r="4881" spans="1:1" ht="21">
      <c r="A4881" s="345"/>
    </row>
    <row r="4882" spans="1:1" ht="21">
      <c r="A4882" s="345"/>
    </row>
    <row r="4883" spans="1:1" ht="21">
      <c r="A4883" s="345"/>
    </row>
    <row r="4884" spans="1:1" ht="21">
      <c r="A4884" s="345"/>
    </row>
    <row r="4885" spans="1:1" ht="21">
      <c r="A4885" s="345"/>
    </row>
    <row r="4886" spans="1:1" ht="21">
      <c r="A4886" s="345"/>
    </row>
    <row r="4887" spans="1:1" ht="21">
      <c r="A4887" s="345"/>
    </row>
    <row r="4888" spans="1:1" ht="21">
      <c r="A4888" s="345"/>
    </row>
    <row r="4889" spans="1:1" ht="21">
      <c r="A4889" s="345"/>
    </row>
    <row r="4890" spans="1:1" ht="21">
      <c r="A4890" s="345"/>
    </row>
    <row r="4891" spans="1:1" ht="21">
      <c r="A4891" s="345"/>
    </row>
    <row r="4892" spans="1:1" ht="21">
      <c r="A4892" s="345"/>
    </row>
    <row r="4893" spans="1:1" ht="21">
      <c r="A4893" s="345"/>
    </row>
    <row r="4894" spans="1:1" ht="21">
      <c r="A4894" s="345"/>
    </row>
    <row r="4895" spans="1:1" ht="21">
      <c r="A4895" s="345"/>
    </row>
    <row r="4896" spans="1:1" ht="21">
      <c r="A4896" s="345"/>
    </row>
    <row r="4897" spans="1:1" ht="21">
      <c r="A4897" s="345"/>
    </row>
    <row r="4898" spans="1:1" ht="21">
      <c r="A4898" s="345"/>
    </row>
    <row r="4899" spans="1:1" ht="21">
      <c r="A4899" s="345"/>
    </row>
    <row r="4900" spans="1:1" ht="21">
      <c r="A4900" s="345"/>
    </row>
    <row r="4901" spans="1:1" ht="21">
      <c r="A4901" s="345"/>
    </row>
    <row r="4902" spans="1:1" ht="21">
      <c r="A4902" s="345"/>
    </row>
    <row r="4903" spans="1:1" ht="21">
      <c r="A4903" s="345"/>
    </row>
    <row r="4904" spans="1:1" ht="21">
      <c r="A4904" s="345"/>
    </row>
    <row r="4905" spans="1:1" ht="21">
      <c r="A4905" s="345"/>
    </row>
    <row r="4906" spans="1:1" ht="21">
      <c r="A4906" s="345"/>
    </row>
    <row r="4907" spans="1:1" ht="21">
      <c r="A4907" s="345"/>
    </row>
    <row r="4908" spans="1:1" ht="21">
      <c r="A4908" s="345"/>
    </row>
    <row r="4909" spans="1:1" ht="21">
      <c r="A4909" s="345"/>
    </row>
    <row r="4910" spans="1:1" ht="21">
      <c r="A4910" s="345"/>
    </row>
    <row r="4911" spans="1:1" ht="21">
      <c r="A4911" s="345"/>
    </row>
    <row r="4912" spans="1:1" ht="21">
      <c r="A4912" s="345"/>
    </row>
    <row r="4913" spans="1:1" ht="21">
      <c r="A4913" s="345"/>
    </row>
    <row r="4914" spans="1:1" ht="21">
      <c r="A4914" s="345"/>
    </row>
    <row r="4915" spans="1:1" ht="21">
      <c r="A4915" s="345"/>
    </row>
    <row r="4916" spans="1:1" ht="21">
      <c r="A4916" s="345"/>
    </row>
    <row r="4917" spans="1:1" ht="21">
      <c r="A4917" s="345"/>
    </row>
    <row r="4918" spans="1:1" ht="21">
      <c r="A4918" s="345"/>
    </row>
    <row r="4919" spans="1:1" ht="21">
      <c r="A4919" s="345"/>
    </row>
    <row r="4920" spans="1:1" ht="21">
      <c r="A4920" s="345"/>
    </row>
    <row r="4921" spans="1:1" ht="21">
      <c r="A4921" s="345"/>
    </row>
    <row r="4922" spans="1:1" ht="21">
      <c r="A4922" s="345"/>
    </row>
    <row r="4923" spans="1:1" ht="21">
      <c r="A4923" s="345"/>
    </row>
    <row r="4924" spans="1:1" ht="21">
      <c r="A4924" s="345"/>
    </row>
    <row r="4925" spans="1:1" ht="21">
      <c r="A4925" s="345"/>
    </row>
    <row r="4926" spans="1:1" ht="21">
      <c r="A4926" s="345"/>
    </row>
    <row r="4927" spans="1:1" ht="21">
      <c r="A4927" s="345"/>
    </row>
    <row r="4928" spans="1:1" ht="21">
      <c r="A4928" s="345"/>
    </row>
    <row r="4929" spans="1:1" ht="21">
      <c r="A4929" s="345"/>
    </row>
    <row r="4930" spans="1:1" ht="21">
      <c r="A4930" s="345"/>
    </row>
    <row r="4931" spans="1:1" ht="21">
      <c r="A4931" s="345"/>
    </row>
    <row r="4932" spans="1:1" ht="21">
      <c r="A4932" s="345"/>
    </row>
    <row r="4933" spans="1:1" ht="21">
      <c r="A4933" s="345"/>
    </row>
    <row r="4934" spans="1:1" ht="21">
      <c r="A4934" s="345"/>
    </row>
    <row r="4935" spans="1:1" ht="21">
      <c r="A4935" s="345"/>
    </row>
    <row r="4936" spans="1:1" ht="21">
      <c r="A4936" s="345"/>
    </row>
    <row r="4937" spans="1:1" ht="21">
      <c r="A4937" s="345"/>
    </row>
    <row r="4938" spans="1:1" ht="21">
      <c r="A4938" s="345"/>
    </row>
    <row r="4939" spans="1:1" ht="21">
      <c r="A4939" s="345"/>
    </row>
    <row r="4940" spans="1:1" ht="21">
      <c r="A4940" s="345"/>
    </row>
    <row r="4941" spans="1:1" ht="21">
      <c r="A4941" s="345"/>
    </row>
    <row r="4942" spans="1:1" ht="21">
      <c r="A4942" s="345"/>
    </row>
    <row r="4943" spans="1:1" ht="21">
      <c r="A4943" s="345"/>
    </row>
    <row r="4944" spans="1:1" ht="21">
      <c r="A4944" s="345"/>
    </row>
    <row r="4945" spans="1:1" ht="21">
      <c r="A4945" s="345"/>
    </row>
    <row r="4946" spans="1:1" ht="21">
      <c r="A4946" s="345"/>
    </row>
    <row r="4947" spans="1:1" ht="21">
      <c r="A4947" s="345"/>
    </row>
    <row r="4948" spans="1:1" ht="21">
      <c r="A4948" s="345"/>
    </row>
    <row r="4949" spans="1:1" ht="21">
      <c r="A4949" s="345"/>
    </row>
    <row r="4950" spans="1:1" ht="21">
      <c r="A4950" s="345"/>
    </row>
    <row r="4951" spans="1:1" ht="21">
      <c r="A4951" s="345"/>
    </row>
    <row r="4952" spans="1:1" ht="21">
      <c r="A4952" s="345"/>
    </row>
    <row r="4953" spans="1:1" ht="21">
      <c r="A4953" s="345"/>
    </row>
    <row r="4954" spans="1:1" ht="21">
      <c r="A4954" s="345"/>
    </row>
    <row r="4955" spans="1:1" ht="21">
      <c r="A4955" s="345"/>
    </row>
    <row r="4956" spans="1:1" ht="21">
      <c r="A4956" s="345"/>
    </row>
    <row r="4957" spans="1:1" ht="21">
      <c r="A4957" s="345"/>
    </row>
    <row r="4958" spans="1:1" ht="21">
      <c r="A4958" s="345"/>
    </row>
    <row r="4959" spans="1:1" ht="21">
      <c r="A4959" s="345"/>
    </row>
    <row r="4960" spans="1:1" ht="21">
      <c r="A4960" s="345"/>
    </row>
    <row r="4961" spans="1:1" ht="21">
      <c r="A4961" s="345"/>
    </row>
    <row r="4962" spans="1:1" ht="21">
      <c r="A4962" s="345"/>
    </row>
    <row r="4963" spans="1:1" ht="21">
      <c r="A4963" s="345"/>
    </row>
    <row r="4964" spans="1:1" ht="21">
      <c r="A4964" s="345"/>
    </row>
    <row r="4965" spans="1:1" ht="21">
      <c r="A4965" s="345"/>
    </row>
    <row r="4966" spans="1:1" ht="21">
      <c r="A4966" s="345"/>
    </row>
    <row r="4967" spans="1:1" ht="21">
      <c r="A4967" s="345"/>
    </row>
    <row r="4968" spans="1:1" ht="21">
      <c r="A4968" s="345"/>
    </row>
    <row r="4969" spans="1:1" ht="21">
      <c r="A4969" s="345"/>
    </row>
    <row r="4970" spans="1:1" ht="21">
      <c r="A4970" s="345"/>
    </row>
    <row r="4971" spans="1:1" ht="21">
      <c r="A4971" s="345"/>
    </row>
    <row r="4972" spans="1:1" ht="21">
      <c r="A4972" s="345"/>
    </row>
    <row r="4973" spans="1:1" ht="21">
      <c r="A4973" s="345"/>
    </row>
    <row r="4974" spans="1:1" ht="21">
      <c r="A4974" s="345"/>
    </row>
    <row r="4975" spans="1:1" ht="21">
      <c r="A4975" s="345"/>
    </row>
    <row r="4976" spans="1:1" ht="21">
      <c r="A4976" s="345"/>
    </row>
    <row r="4977" spans="1:1" ht="21">
      <c r="A4977" s="345"/>
    </row>
    <row r="4978" spans="1:1" ht="21">
      <c r="A4978" s="345"/>
    </row>
    <row r="4979" spans="1:1" ht="21">
      <c r="A4979" s="345"/>
    </row>
    <row r="4980" spans="1:1" ht="21">
      <c r="A4980" s="345"/>
    </row>
    <row r="4981" spans="1:1" ht="21">
      <c r="A4981" s="345"/>
    </row>
    <row r="4982" spans="1:1" ht="21">
      <c r="A4982" s="345"/>
    </row>
    <row r="4983" spans="1:1" ht="21">
      <c r="A4983" s="345"/>
    </row>
    <row r="4984" spans="1:1" ht="21">
      <c r="A4984" s="345"/>
    </row>
    <row r="4985" spans="1:1" ht="21">
      <c r="A4985" s="345"/>
    </row>
    <row r="4986" spans="1:1" ht="21">
      <c r="A4986" s="345"/>
    </row>
    <row r="4987" spans="1:1" ht="21">
      <c r="A4987" s="345"/>
    </row>
    <row r="4988" spans="1:1" ht="21">
      <c r="A4988" s="345"/>
    </row>
    <row r="4989" spans="1:1" ht="21">
      <c r="A4989" s="345"/>
    </row>
    <row r="4990" spans="1:1" ht="21">
      <c r="A4990" s="345"/>
    </row>
    <row r="4991" spans="1:1" ht="21">
      <c r="A4991" s="345"/>
    </row>
    <row r="4992" spans="1:1" ht="21">
      <c r="A4992" s="345"/>
    </row>
    <row r="4993" spans="1:1" ht="21">
      <c r="A4993" s="345"/>
    </row>
    <row r="4994" spans="1:1" ht="21">
      <c r="A4994" s="345"/>
    </row>
    <row r="4995" spans="1:1" ht="21">
      <c r="A4995" s="345"/>
    </row>
    <row r="4996" spans="1:1" ht="21">
      <c r="A4996" s="345"/>
    </row>
    <row r="4997" spans="1:1" ht="21">
      <c r="A4997" s="345"/>
    </row>
    <row r="4998" spans="1:1" ht="21">
      <c r="A4998" s="345"/>
    </row>
    <row r="4999" spans="1:1" ht="21">
      <c r="A4999" s="345"/>
    </row>
    <row r="5000" spans="1:1" ht="21">
      <c r="A5000" s="345"/>
    </row>
    <row r="5001" spans="1:1" ht="21">
      <c r="A5001" s="345"/>
    </row>
    <row r="5002" spans="1:1" ht="21">
      <c r="A5002" s="345"/>
    </row>
    <row r="5003" spans="1:1" ht="21">
      <c r="A5003" s="345"/>
    </row>
    <row r="5004" spans="1:1" ht="21">
      <c r="A5004" s="345"/>
    </row>
    <row r="5005" spans="1:1" ht="21">
      <c r="A5005" s="345"/>
    </row>
    <row r="5006" spans="1:1" ht="21">
      <c r="A5006" s="345"/>
    </row>
    <row r="5007" spans="1:1" ht="21">
      <c r="A5007" s="345"/>
    </row>
    <row r="5008" spans="1:1" ht="21">
      <c r="A5008" s="345"/>
    </row>
    <row r="5009" spans="1:1" ht="21">
      <c r="A5009" s="345"/>
    </row>
    <row r="5010" spans="1:1" ht="21">
      <c r="A5010" s="345"/>
    </row>
    <row r="5011" spans="1:1" ht="21">
      <c r="A5011" s="345"/>
    </row>
    <row r="5012" spans="1:1" ht="21">
      <c r="A5012" s="345"/>
    </row>
    <row r="5013" spans="1:1" ht="21">
      <c r="A5013" s="345"/>
    </row>
    <row r="5014" spans="1:1" ht="21">
      <c r="A5014" s="345"/>
    </row>
    <row r="5015" spans="1:1" ht="21">
      <c r="A5015" s="345"/>
    </row>
    <row r="5016" spans="1:1" ht="21">
      <c r="A5016" s="345"/>
    </row>
    <row r="5017" spans="1:1" ht="21">
      <c r="A5017" s="345"/>
    </row>
    <row r="5018" spans="1:1" ht="21">
      <c r="A5018" s="345"/>
    </row>
    <row r="5019" spans="1:1" ht="21">
      <c r="A5019" s="345"/>
    </row>
    <row r="5020" spans="1:1" ht="21">
      <c r="A5020" s="345"/>
    </row>
    <row r="5021" spans="1:1" ht="21">
      <c r="A5021" s="345"/>
    </row>
    <row r="5022" spans="1:1" ht="21">
      <c r="A5022" s="345"/>
    </row>
    <row r="5023" spans="1:1" ht="21">
      <c r="A5023" s="345"/>
    </row>
    <row r="5024" spans="1:1" ht="21">
      <c r="A5024" s="345"/>
    </row>
    <row r="5025" spans="1:1" ht="21">
      <c r="A5025" s="345"/>
    </row>
    <row r="5026" spans="1:1" ht="21">
      <c r="A5026" s="345"/>
    </row>
    <row r="5027" spans="1:1" ht="21">
      <c r="A5027" s="345"/>
    </row>
    <row r="5028" spans="1:1" ht="21">
      <c r="A5028" s="345"/>
    </row>
    <row r="5029" spans="1:1" ht="21">
      <c r="A5029" s="345"/>
    </row>
    <row r="5030" spans="1:1" ht="21">
      <c r="A5030" s="345"/>
    </row>
    <row r="5031" spans="1:1" ht="21">
      <c r="A5031" s="345"/>
    </row>
    <row r="5032" spans="1:1" ht="21">
      <c r="A5032" s="345"/>
    </row>
    <row r="5033" spans="1:1" ht="21">
      <c r="A5033" s="345"/>
    </row>
    <row r="5034" spans="1:1" ht="21">
      <c r="A5034" s="345"/>
    </row>
    <row r="5035" spans="1:1" ht="21">
      <c r="A5035" s="345"/>
    </row>
    <row r="5036" spans="1:1" ht="21">
      <c r="A5036" s="345"/>
    </row>
    <row r="5037" spans="1:1" ht="21">
      <c r="A5037" s="345"/>
    </row>
    <row r="5038" spans="1:1" ht="21">
      <c r="A5038" s="345"/>
    </row>
    <row r="5039" spans="1:1" ht="21">
      <c r="A5039" s="345"/>
    </row>
    <row r="5040" spans="1:1" ht="21">
      <c r="A5040" s="345"/>
    </row>
    <row r="5041" spans="1:1" ht="21">
      <c r="A5041" s="345"/>
    </row>
    <row r="5042" spans="1:1" ht="21">
      <c r="A5042" s="345"/>
    </row>
    <row r="5043" spans="1:1" ht="21">
      <c r="A5043" s="345"/>
    </row>
    <row r="5044" spans="1:1" ht="21">
      <c r="A5044" s="345"/>
    </row>
    <row r="5045" spans="1:1" ht="21">
      <c r="A5045" s="345"/>
    </row>
    <row r="5046" spans="1:1" ht="21">
      <c r="A5046" s="345"/>
    </row>
    <row r="5047" spans="1:1" ht="21">
      <c r="A5047" s="345"/>
    </row>
    <row r="5048" spans="1:1" ht="21">
      <c r="A5048" s="345"/>
    </row>
    <row r="5049" spans="1:1" ht="21">
      <c r="A5049" s="345"/>
    </row>
    <row r="5050" spans="1:1" ht="21">
      <c r="A5050" s="345"/>
    </row>
    <row r="5051" spans="1:1" ht="21">
      <c r="A5051" s="345"/>
    </row>
    <row r="5052" spans="1:1" ht="21">
      <c r="A5052" s="345"/>
    </row>
    <row r="5053" spans="1:1" ht="21">
      <c r="A5053" s="345"/>
    </row>
    <row r="5054" spans="1:1" ht="21">
      <c r="A5054" s="345"/>
    </row>
    <row r="5055" spans="1:1" ht="21">
      <c r="A5055" s="345"/>
    </row>
    <row r="5056" spans="1:1" ht="21">
      <c r="A5056" s="345"/>
    </row>
    <row r="5057" spans="1:1" ht="21">
      <c r="A5057" s="345"/>
    </row>
    <row r="5058" spans="1:1" ht="21">
      <c r="A5058" s="345"/>
    </row>
    <row r="5059" spans="1:1" ht="21">
      <c r="A5059" s="345"/>
    </row>
    <row r="5060" spans="1:1" ht="21">
      <c r="A5060" s="345"/>
    </row>
    <row r="5061" spans="1:1" ht="21">
      <c r="A5061" s="345"/>
    </row>
    <row r="5062" spans="1:1" ht="21">
      <c r="A5062" s="345"/>
    </row>
    <row r="5063" spans="1:1" ht="21">
      <c r="A5063" s="345"/>
    </row>
    <row r="5064" spans="1:1" ht="21">
      <c r="A5064" s="345"/>
    </row>
    <row r="5065" spans="1:1" ht="21">
      <c r="A5065" s="345"/>
    </row>
    <row r="5066" spans="1:1" ht="21">
      <c r="A5066" s="345"/>
    </row>
    <row r="5067" spans="1:1" ht="21">
      <c r="A5067" s="345"/>
    </row>
    <row r="5068" spans="1:1" ht="21">
      <c r="A5068" s="345"/>
    </row>
    <row r="5069" spans="1:1" ht="21">
      <c r="A5069" s="345"/>
    </row>
    <row r="5070" spans="1:1" ht="21">
      <c r="A5070" s="345"/>
    </row>
    <row r="5071" spans="1:1" ht="21">
      <c r="A5071" s="345"/>
    </row>
    <row r="5072" spans="1:1" ht="21">
      <c r="A5072" s="345"/>
    </row>
    <row r="5073" spans="1:1" ht="21">
      <c r="A5073" s="345"/>
    </row>
    <row r="5074" spans="1:1" ht="21">
      <c r="A5074" s="345"/>
    </row>
    <row r="5075" spans="1:1" ht="21">
      <c r="A5075" s="345"/>
    </row>
    <row r="5076" spans="1:1" ht="21">
      <c r="A5076" s="345"/>
    </row>
    <row r="5077" spans="1:1" ht="21">
      <c r="A5077" s="345"/>
    </row>
    <row r="5078" spans="1:1" ht="21">
      <c r="A5078" s="345"/>
    </row>
    <row r="5079" spans="1:1" ht="21">
      <c r="A5079" s="345"/>
    </row>
    <row r="5080" spans="1:1" ht="21">
      <c r="A5080" s="345"/>
    </row>
    <row r="5081" spans="1:1" ht="21">
      <c r="A5081" s="345"/>
    </row>
    <row r="5082" spans="1:1" ht="21">
      <c r="A5082" s="345"/>
    </row>
    <row r="5083" spans="1:1" ht="21">
      <c r="A5083" s="345"/>
    </row>
    <row r="5084" spans="1:1" ht="21">
      <c r="A5084" s="345"/>
    </row>
    <row r="5085" spans="1:1" ht="21">
      <c r="A5085" s="345"/>
    </row>
    <row r="5086" spans="1:1" ht="21">
      <c r="A5086" s="345"/>
    </row>
    <row r="5087" spans="1:1" ht="21">
      <c r="A5087" s="345"/>
    </row>
    <row r="5088" spans="1:1" ht="21">
      <c r="A5088" s="345"/>
    </row>
    <row r="5089" spans="1:1" ht="21">
      <c r="A5089" s="345"/>
    </row>
    <row r="5090" spans="1:1" ht="21">
      <c r="A5090" s="345"/>
    </row>
    <row r="5091" spans="1:1" ht="21">
      <c r="A5091" s="345"/>
    </row>
    <row r="5092" spans="1:1" ht="21">
      <c r="A5092" s="345"/>
    </row>
    <row r="5093" spans="1:1" ht="21">
      <c r="A5093" s="345"/>
    </row>
    <row r="5094" spans="1:1" ht="21">
      <c r="A5094" s="345"/>
    </row>
    <row r="5095" spans="1:1" ht="21">
      <c r="A5095" s="345"/>
    </row>
    <row r="5096" spans="1:1" ht="21">
      <c r="A5096" s="345"/>
    </row>
    <row r="5097" spans="1:1" ht="21">
      <c r="A5097" s="345"/>
    </row>
    <row r="5098" spans="1:1" ht="21">
      <c r="A5098" s="345"/>
    </row>
    <row r="5099" spans="1:1" ht="21">
      <c r="A5099" s="345"/>
    </row>
    <row r="5100" spans="1:1" ht="21">
      <c r="A5100" s="345"/>
    </row>
    <row r="5101" spans="1:1" ht="21">
      <c r="A5101" s="345"/>
    </row>
    <row r="5102" spans="1:1" ht="21">
      <c r="A5102" s="345"/>
    </row>
    <row r="5103" spans="1:1" ht="21">
      <c r="A5103" s="345"/>
    </row>
    <row r="5104" spans="1:1" ht="21">
      <c r="A5104" s="345"/>
    </row>
    <row r="5105" spans="1:1" ht="21">
      <c r="A5105" s="345"/>
    </row>
    <row r="5106" spans="1:1" ht="21">
      <c r="A5106" s="345"/>
    </row>
    <row r="5107" spans="1:1" ht="21">
      <c r="A5107" s="345"/>
    </row>
    <row r="5108" spans="1:1" ht="21">
      <c r="A5108" s="345"/>
    </row>
    <row r="5109" spans="1:1" ht="21">
      <c r="A5109" s="345"/>
    </row>
    <row r="5110" spans="1:1" ht="21">
      <c r="A5110" s="345"/>
    </row>
    <row r="5111" spans="1:1" ht="21">
      <c r="A5111" s="345"/>
    </row>
    <row r="5112" spans="1:1" ht="21">
      <c r="A5112" s="345"/>
    </row>
    <row r="5113" spans="1:1" ht="21">
      <c r="A5113" s="345"/>
    </row>
    <row r="5114" spans="1:1" ht="21">
      <c r="A5114" s="345"/>
    </row>
    <row r="5115" spans="1:1" ht="21">
      <c r="A5115" s="345"/>
    </row>
    <row r="5116" spans="1:1" ht="21">
      <c r="A5116" s="345"/>
    </row>
    <row r="5117" spans="1:1" ht="21">
      <c r="A5117" s="345"/>
    </row>
    <row r="5118" spans="1:1" ht="21">
      <c r="A5118" s="345"/>
    </row>
    <row r="5119" spans="1:1" ht="21">
      <c r="A5119" s="345"/>
    </row>
    <row r="5120" spans="1:1" ht="21">
      <c r="A5120" s="345"/>
    </row>
    <row r="5121" spans="1:1" ht="21">
      <c r="A5121" s="345"/>
    </row>
    <row r="5122" spans="1:1" ht="21">
      <c r="A5122" s="345"/>
    </row>
    <row r="5123" spans="1:1" ht="21">
      <c r="A5123" s="345"/>
    </row>
    <row r="5124" spans="1:1" ht="21">
      <c r="A5124" s="345"/>
    </row>
    <row r="5125" spans="1:1" ht="21">
      <c r="A5125" s="345"/>
    </row>
    <row r="5126" spans="1:1" ht="21">
      <c r="A5126" s="345"/>
    </row>
    <row r="5127" spans="1:1" ht="21">
      <c r="A5127" s="345"/>
    </row>
    <row r="5128" spans="1:1" ht="21">
      <c r="A5128" s="345"/>
    </row>
    <row r="5129" spans="1:1" ht="21">
      <c r="A5129" s="345"/>
    </row>
    <row r="5130" spans="1:1" ht="21">
      <c r="A5130" s="345"/>
    </row>
    <row r="5131" spans="1:1" ht="21">
      <c r="A5131" s="345"/>
    </row>
    <row r="5132" spans="1:1" ht="21">
      <c r="A5132" s="345"/>
    </row>
    <row r="5133" spans="1:1" ht="21">
      <c r="A5133" s="345"/>
    </row>
    <row r="5134" spans="1:1" ht="21">
      <c r="A5134" s="345"/>
    </row>
    <row r="5135" spans="1:1" ht="21">
      <c r="A5135" s="345"/>
    </row>
    <row r="5136" spans="1:1" ht="21">
      <c r="A5136" s="345"/>
    </row>
    <row r="5137" spans="1:1" ht="21">
      <c r="A5137" s="345"/>
    </row>
    <row r="5138" spans="1:1" ht="21">
      <c r="A5138" s="345"/>
    </row>
    <row r="5139" spans="1:1" ht="21">
      <c r="A5139" s="345"/>
    </row>
    <row r="5140" spans="1:1" ht="21">
      <c r="A5140" s="345"/>
    </row>
    <row r="5141" spans="1:1" ht="21">
      <c r="A5141" s="345"/>
    </row>
    <row r="5142" spans="1:1" ht="21">
      <c r="A5142" s="345"/>
    </row>
    <row r="5143" spans="1:1" ht="21">
      <c r="A5143" s="345"/>
    </row>
    <row r="5144" spans="1:1" ht="21">
      <c r="A5144" s="345"/>
    </row>
    <row r="5145" spans="1:1" ht="21">
      <c r="A5145" s="345"/>
    </row>
    <row r="5146" spans="1:1" ht="21">
      <c r="A5146" s="345"/>
    </row>
    <row r="5147" spans="1:1" ht="21">
      <c r="A5147" s="345"/>
    </row>
    <row r="5148" spans="1:1" ht="21">
      <c r="A5148" s="345"/>
    </row>
    <row r="5149" spans="1:1" ht="21">
      <c r="A5149" s="345"/>
    </row>
    <row r="5150" spans="1:1" ht="21">
      <c r="A5150" s="345"/>
    </row>
    <row r="5151" spans="1:1" ht="21">
      <c r="A5151" s="345"/>
    </row>
    <row r="5152" spans="1:1" ht="21">
      <c r="A5152" s="345"/>
    </row>
    <row r="5153" spans="1:1" ht="21">
      <c r="A5153" s="345"/>
    </row>
    <row r="5154" spans="1:1" ht="21">
      <c r="A5154" s="345"/>
    </row>
    <row r="5155" spans="1:1" ht="21">
      <c r="A5155" s="345"/>
    </row>
    <row r="5156" spans="1:1" ht="21">
      <c r="A5156" s="345"/>
    </row>
    <row r="5157" spans="1:1" ht="21">
      <c r="A5157" s="345"/>
    </row>
    <row r="5158" spans="1:1" ht="21">
      <c r="A5158" s="345"/>
    </row>
    <row r="5159" spans="1:1" ht="21">
      <c r="A5159" s="345"/>
    </row>
    <row r="5160" spans="1:1" ht="21">
      <c r="A5160" s="345"/>
    </row>
    <row r="5161" spans="1:1" ht="21">
      <c r="A5161" s="345"/>
    </row>
    <row r="5162" spans="1:1" ht="21">
      <c r="A5162" s="345"/>
    </row>
    <row r="5163" spans="1:1" ht="21">
      <c r="A5163" s="345"/>
    </row>
    <row r="5164" spans="1:1" ht="21">
      <c r="A5164" s="345"/>
    </row>
    <row r="5165" spans="1:1" ht="21">
      <c r="A5165" s="345"/>
    </row>
    <row r="5166" spans="1:1" ht="21">
      <c r="A5166" s="345"/>
    </row>
    <row r="5167" spans="1:1" ht="21">
      <c r="A5167" s="345"/>
    </row>
    <row r="5168" spans="1:1" ht="21">
      <c r="A5168" s="345"/>
    </row>
    <row r="5169" spans="1:1" ht="21">
      <c r="A5169" s="345"/>
    </row>
    <row r="5170" spans="1:1" ht="21">
      <c r="A5170" s="345"/>
    </row>
    <row r="5171" spans="1:1" ht="21">
      <c r="A5171" s="345"/>
    </row>
    <row r="5172" spans="1:1" ht="21">
      <c r="A5172" s="345"/>
    </row>
    <row r="5173" spans="1:1" ht="21">
      <c r="A5173" s="345"/>
    </row>
    <row r="5174" spans="1:1" ht="21">
      <c r="A5174" s="345"/>
    </row>
    <row r="5175" spans="1:1" ht="21">
      <c r="A5175" s="345"/>
    </row>
    <row r="5176" spans="1:1" ht="21">
      <c r="A5176" s="345"/>
    </row>
    <row r="5177" spans="1:1" ht="21">
      <c r="A5177" s="345"/>
    </row>
    <row r="5178" spans="1:1" ht="21">
      <c r="A5178" s="345"/>
    </row>
    <row r="5179" spans="1:1" ht="21">
      <c r="A5179" s="345"/>
    </row>
    <row r="5180" spans="1:1" ht="21">
      <c r="A5180" s="345"/>
    </row>
    <row r="5181" spans="1:1" ht="21">
      <c r="A5181" s="345"/>
    </row>
    <row r="5182" spans="1:1" ht="21">
      <c r="A5182" s="345"/>
    </row>
    <row r="5183" spans="1:1" ht="21">
      <c r="A5183" s="345"/>
    </row>
    <row r="5184" spans="1:1" ht="21">
      <c r="A5184" s="345"/>
    </row>
    <row r="5185" spans="1:1" ht="21">
      <c r="A5185" s="345"/>
    </row>
    <row r="5186" spans="1:1" ht="21">
      <c r="A5186" s="345"/>
    </row>
    <row r="5187" spans="1:1" ht="21">
      <c r="A5187" s="345"/>
    </row>
    <row r="5188" spans="1:1" ht="21">
      <c r="A5188" s="345"/>
    </row>
    <row r="5189" spans="1:1" ht="21">
      <c r="A5189" s="345"/>
    </row>
    <row r="5190" spans="1:1" ht="21">
      <c r="A5190" s="345"/>
    </row>
    <row r="5191" spans="1:1" ht="21">
      <c r="A5191" s="345"/>
    </row>
    <row r="5192" spans="1:1" ht="21">
      <c r="A5192" s="345"/>
    </row>
    <row r="5193" spans="1:1" ht="21">
      <c r="A5193" s="345"/>
    </row>
    <row r="5194" spans="1:1" ht="21">
      <c r="A5194" s="345"/>
    </row>
    <row r="5195" spans="1:1" ht="21">
      <c r="A5195" s="345"/>
    </row>
    <row r="5196" spans="1:1" ht="21">
      <c r="A5196" s="345"/>
    </row>
    <row r="5197" spans="1:1" ht="21">
      <c r="A5197" s="345"/>
    </row>
    <row r="5198" spans="1:1" ht="21">
      <c r="A5198" s="345"/>
    </row>
    <row r="5199" spans="1:1" ht="21">
      <c r="A5199" s="345"/>
    </row>
    <row r="5200" spans="1:1" ht="21">
      <c r="A5200" s="345"/>
    </row>
    <row r="5201" spans="1:1" ht="21">
      <c r="A5201" s="345"/>
    </row>
    <row r="5202" spans="1:1" ht="21">
      <c r="A5202" s="345"/>
    </row>
    <row r="5203" spans="1:1" ht="21">
      <c r="A5203" s="345"/>
    </row>
    <row r="5204" spans="1:1" ht="21">
      <c r="A5204" s="345"/>
    </row>
    <row r="5205" spans="1:1" ht="21">
      <c r="A5205" s="345"/>
    </row>
    <row r="5206" spans="1:1" ht="21">
      <c r="A5206" s="345"/>
    </row>
    <row r="5207" spans="1:1" ht="21">
      <c r="A5207" s="345"/>
    </row>
    <row r="5208" spans="1:1" ht="21">
      <c r="A5208" s="345"/>
    </row>
    <row r="5209" spans="1:1" ht="21">
      <c r="A5209" s="345"/>
    </row>
    <row r="5210" spans="1:1" ht="21">
      <c r="A5210" s="345"/>
    </row>
    <row r="5211" spans="1:1" ht="21">
      <c r="A5211" s="345"/>
    </row>
    <row r="5212" spans="1:1" ht="21">
      <c r="A5212" s="345"/>
    </row>
    <row r="5213" spans="1:1" ht="21">
      <c r="A5213" s="345"/>
    </row>
    <row r="5214" spans="1:1" ht="21">
      <c r="A5214" s="345"/>
    </row>
    <row r="5215" spans="1:1" ht="21">
      <c r="A5215" s="345"/>
    </row>
    <row r="5216" spans="1:1" ht="21">
      <c r="A5216" s="345"/>
    </row>
    <row r="5217" spans="1:1" ht="21">
      <c r="A5217" s="345"/>
    </row>
    <row r="5218" spans="1:1" ht="21">
      <c r="A5218" s="345"/>
    </row>
    <row r="5219" spans="1:1" ht="21">
      <c r="A5219" s="345"/>
    </row>
    <row r="5220" spans="1:1" ht="21">
      <c r="A5220" s="345"/>
    </row>
    <row r="5221" spans="1:1" ht="21">
      <c r="A5221" s="345"/>
    </row>
    <row r="5222" spans="1:1" ht="21">
      <c r="A5222" s="345"/>
    </row>
    <row r="5223" spans="1:1" ht="21">
      <c r="A5223" s="345"/>
    </row>
    <row r="5224" spans="1:1" ht="21">
      <c r="A5224" s="345"/>
    </row>
    <row r="5225" spans="1:1" ht="21">
      <c r="A5225" s="345"/>
    </row>
    <row r="5226" spans="1:1" ht="21">
      <c r="A5226" s="345"/>
    </row>
    <row r="5227" spans="1:1" ht="21">
      <c r="A5227" s="345"/>
    </row>
    <row r="5228" spans="1:1" ht="21">
      <c r="A5228" s="345"/>
    </row>
    <row r="5229" spans="1:1" ht="21">
      <c r="A5229" s="345"/>
    </row>
    <row r="5230" spans="1:1" ht="21">
      <c r="A5230" s="345"/>
    </row>
    <row r="5231" spans="1:1" ht="21">
      <c r="A5231" s="345"/>
    </row>
    <row r="5232" spans="1:1" ht="21">
      <c r="A5232" s="345"/>
    </row>
    <row r="5233" spans="1:1" ht="21">
      <c r="A5233" s="345"/>
    </row>
    <row r="5234" spans="1:1" ht="21">
      <c r="A5234" s="345"/>
    </row>
    <row r="5235" spans="1:1" ht="21">
      <c r="A5235" s="345"/>
    </row>
    <row r="5236" spans="1:1" ht="21">
      <c r="A5236" s="345"/>
    </row>
    <row r="5237" spans="1:1" ht="21">
      <c r="A5237" s="345"/>
    </row>
    <row r="5238" spans="1:1" ht="21">
      <c r="A5238" s="345"/>
    </row>
    <row r="5239" spans="1:1" ht="21">
      <c r="A5239" s="345"/>
    </row>
    <row r="5240" spans="1:1" ht="21">
      <c r="A5240" s="345"/>
    </row>
    <row r="5241" spans="1:1" ht="21">
      <c r="A5241" s="345"/>
    </row>
    <row r="5242" spans="1:1" ht="21">
      <c r="A5242" s="345"/>
    </row>
    <row r="5243" spans="1:1" ht="21">
      <c r="A5243" s="345"/>
    </row>
    <row r="5244" spans="1:1" ht="21">
      <c r="A5244" s="345"/>
    </row>
    <row r="5245" spans="1:1" ht="21">
      <c r="A5245" s="345"/>
    </row>
    <row r="5246" spans="1:1" ht="21">
      <c r="A5246" s="345"/>
    </row>
    <row r="5247" spans="1:1" ht="21">
      <c r="A5247" s="345"/>
    </row>
    <row r="5248" spans="1:1" ht="21">
      <c r="A5248" s="345"/>
    </row>
    <row r="5249" spans="1:1" ht="21">
      <c r="A5249" s="345"/>
    </row>
    <row r="5250" spans="1:1" ht="21">
      <c r="A5250" s="345"/>
    </row>
    <row r="5251" spans="1:1" ht="21">
      <c r="A5251" s="345"/>
    </row>
    <row r="5252" spans="1:1" ht="21">
      <c r="A5252" s="345"/>
    </row>
    <row r="5253" spans="1:1" ht="21">
      <c r="A5253" s="345"/>
    </row>
    <row r="5254" spans="1:1" ht="21">
      <c r="A5254" s="345"/>
    </row>
    <row r="5255" spans="1:1" ht="21">
      <c r="A5255" s="345"/>
    </row>
    <row r="5256" spans="1:1" ht="21">
      <c r="A5256" s="345"/>
    </row>
    <row r="5257" spans="1:1" ht="21">
      <c r="A5257" s="345"/>
    </row>
    <row r="5258" spans="1:1" ht="21">
      <c r="A5258" s="345"/>
    </row>
    <row r="5259" spans="1:1" ht="21">
      <c r="A5259" s="345"/>
    </row>
    <row r="5260" spans="1:1" ht="21">
      <c r="A5260" s="345"/>
    </row>
    <row r="5261" spans="1:1" ht="21">
      <c r="A5261" s="345"/>
    </row>
    <row r="5262" spans="1:1" ht="21">
      <c r="A5262" s="345"/>
    </row>
    <row r="5263" spans="1:1" ht="21">
      <c r="A5263" s="345"/>
    </row>
    <row r="5264" spans="1:1" ht="21">
      <c r="A5264" s="345"/>
    </row>
    <row r="5265" spans="1:1" ht="21">
      <c r="A5265" s="345"/>
    </row>
    <row r="5266" spans="1:1" ht="21">
      <c r="A5266" s="345"/>
    </row>
    <row r="5267" spans="1:1" ht="21">
      <c r="A5267" s="345"/>
    </row>
    <row r="5268" spans="1:1" ht="21">
      <c r="A5268" s="345"/>
    </row>
    <row r="5269" spans="1:1" ht="21">
      <c r="A5269" s="345"/>
    </row>
    <row r="5270" spans="1:1" ht="21">
      <c r="A5270" s="345"/>
    </row>
    <row r="5271" spans="1:1" ht="21">
      <c r="A5271" s="345"/>
    </row>
    <row r="5272" spans="1:1" ht="21">
      <c r="A5272" s="345"/>
    </row>
    <row r="5273" spans="1:1" ht="21">
      <c r="A5273" s="345"/>
    </row>
    <row r="5274" spans="1:1" ht="21">
      <c r="A5274" s="345"/>
    </row>
    <row r="5275" spans="1:1" ht="21">
      <c r="A5275" s="345"/>
    </row>
    <row r="5276" spans="1:1" ht="21">
      <c r="A5276" s="345"/>
    </row>
    <row r="5277" spans="1:1" ht="21">
      <c r="A5277" s="345"/>
    </row>
    <row r="5278" spans="1:1" ht="21">
      <c r="A5278" s="345"/>
    </row>
    <row r="5279" spans="1:1" ht="21">
      <c r="A5279" s="345"/>
    </row>
    <row r="5280" spans="1:1" ht="21">
      <c r="A5280" s="345"/>
    </row>
    <row r="5281" spans="1:1" ht="21">
      <c r="A5281" s="345"/>
    </row>
    <row r="5282" spans="1:1" ht="21">
      <c r="A5282" s="345"/>
    </row>
    <row r="5283" spans="1:1" ht="21">
      <c r="A5283" s="345"/>
    </row>
    <row r="5284" spans="1:1" ht="21">
      <c r="A5284" s="345"/>
    </row>
    <row r="5285" spans="1:1" ht="21">
      <c r="A5285" s="345"/>
    </row>
    <row r="5286" spans="1:1" ht="21">
      <c r="A5286" s="345"/>
    </row>
    <row r="5287" spans="1:1" ht="21">
      <c r="A5287" s="345"/>
    </row>
    <row r="5288" spans="1:1" ht="21">
      <c r="A5288" s="345"/>
    </row>
    <row r="5289" spans="1:1" ht="21">
      <c r="A5289" s="345"/>
    </row>
    <row r="5290" spans="1:1" ht="21">
      <c r="A5290" s="345"/>
    </row>
    <row r="5291" spans="1:1" ht="21">
      <c r="A5291" s="345"/>
    </row>
    <row r="5292" spans="1:1" ht="21">
      <c r="A5292" s="345"/>
    </row>
    <row r="5293" spans="1:1" ht="21">
      <c r="A5293" s="345"/>
    </row>
    <row r="5294" spans="1:1" ht="21">
      <c r="A5294" s="345"/>
    </row>
    <row r="5295" spans="1:1" ht="21">
      <c r="A5295" s="345"/>
    </row>
    <row r="5296" spans="1:1" ht="21">
      <c r="A5296" s="345"/>
    </row>
    <row r="5297" spans="1:1" ht="21">
      <c r="A5297" s="345"/>
    </row>
    <row r="5298" spans="1:1" ht="21">
      <c r="A5298" s="345"/>
    </row>
    <row r="5299" spans="1:1" ht="21">
      <c r="A5299" s="345"/>
    </row>
    <row r="5300" spans="1:1" ht="21">
      <c r="A5300" s="345"/>
    </row>
    <row r="5301" spans="1:1" ht="21">
      <c r="A5301" s="345"/>
    </row>
    <row r="5302" spans="1:1" ht="21">
      <c r="A5302" s="345"/>
    </row>
    <row r="5303" spans="1:1" ht="21">
      <c r="A5303" s="345"/>
    </row>
    <row r="5304" spans="1:1" ht="21">
      <c r="A5304" s="345"/>
    </row>
    <row r="5305" spans="1:1" ht="21">
      <c r="A5305" s="345"/>
    </row>
    <row r="5306" spans="1:1" ht="21">
      <c r="A5306" s="345"/>
    </row>
    <row r="5307" spans="1:1" ht="21">
      <c r="A5307" s="345"/>
    </row>
    <row r="5308" spans="1:1" ht="21">
      <c r="A5308" s="345"/>
    </row>
    <row r="5309" spans="1:1" ht="21">
      <c r="A5309" s="345"/>
    </row>
    <row r="5310" spans="1:1" ht="21">
      <c r="A5310" s="345"/>
    </row>
    <row r="5311" spans="1:1" ht="21">
      <c r="A5311" s="345"/>
    </row>
    <row r="5312" spans="1:1" ht="21">
      <c r="A5312" s="345"/>
    </row>
    <row r="5313" spans="1:1" ht="21">
      <c r="A5313" s="345"/>
    </row>
    <row r="5314" spans="1:1" ht="21">
      <c r="A5314" s="345"/>
    </row>
    <row r="5315" spans="1:1" ht="21">
      <c r="A5315" s="345"/>
    </row>
    <row r="5316" spans="1:1" ht="21">
      <c r="A5316" s="345"/>
    </row>
    <row r="5317" spans="1:1" ht="21">
      <c r="A5317" s="345"/>
    </row>
    <row r="5318" spans="1:1" ht="21">
      <c r="A5318" s="345"/>
    </row>
    <row r="5319" spans="1:1" ht="21">
      <c r="A5319" s="345"/>
    </row>
    <row r="5320" spans="1:1" ht="21">
      <c r="A5320" s="345"/>
    </row>
    <row r="5321" spans="1:1" ht="21">
      <c r="A5321" s="345"/>
    </row>
    <row r="5322" spans="1:1" ht="21">
      <c r="A5322" s="345"/>
    </row>
    <row r="5323" spans="1:1" ht="21">
      <c r="A5323" s="345"/>
    </row>
    <row r="5324" spans="1:1" ht="21">
      <c r="A5324" s="345"/>
    </row>
    <row r="5325" spans="1:1" ht="21">
      <c r="A5325" s="345"/>
    </row>
    <row r="5326" spans="1:1" ht="21">
      <c r="A5326" s="345"/>
    </row>
    <row r="5327" spans="1:1" ht="21">
      <c r="A5327" s="345"/>
    </row>
    <row r="5328" spans="1:1" ht="21">
      <c r="A5328" s="345"/>
    </row>
    <row r="5329" spans="1:1" ht="21">
      <c r="A5329" s="345"/>
    </row>
    <row r="5330" spans="1:1" ht="21">
      <c r="A5330" s="345"/>
    </row>
    <row r="5331" spans="1:1" ht="21">
      <c r="A5331" s="345"/>
    </row>
    <row r="5332" spans="1:1" ht="21">
      <c r="A5332" s="345"/>
    </row>
    <row r="5333" spans="1:1" ht="21">
      <c r="A5333" s="345"/>
    </row>
    <row r="5334" spans="1:1" ht="21">
      <c r="A5334" s="345"/>
    </row>
    <row r="5335" spans="1:1" ht="21">
      <c r="A5335" s="345"/>
    </row>
    <row r="5336" spans="1:1" ht="21">
      <c r="A5336" s="345"/>
    </row>
    <row r="5337" spans="1:1" ht="21">
      <c r="A5337" s="345"/>
    </row>
    <row r="5338" spans="1:1" ht="21">
      <c r="A5338" s="345"/>
    </row>
    <row r="5339" spans="1:1" ht="21">
      <c r="A5339" s="345"/>
    </row>
    <row r="5340" spans="1:1" ht="21">
      <c r="A5340" s="345"/>
    </row>
    <row r="5341" spans="1:1" ht="21">
      <c r="A5341" s="345"/>
    </row>
    <row r="5342" spans="1:1" ht="21">
      <c r="A5342" s="345"/>
    </row>
    <row r="5343" spans="1:1" ht="21">
      <c r="A5343" s="345"/>
    </row>
    <row r="5344" spans="1:1" ht="21">
      <c r="A5344" s="345"/>
    </row>
    <row r="5345" spans="1:1" ht="21">
      <c r="A5345" s="345"/>
    </row>
    <row r="5346" spans="1:1" ht="21">
      <c r="A5346" s="345"/>
    </row>
    <row r="5347" spans="1:1" ht="21">
      <c r="A5347" s="345"/>
    </row>
    <row r="5348" spans="1:1" ht="21">
      <c r="A5348" s="345"/>
    </row>
    <row r="5349" spans="1:1" ht="21">
      <c r="A5349" s="345"/>
    </row>
    <row r="5350" spans="1:1" ht="21">
      <c r="A5350" s="345"/>
    </row>
    <row r="5351" spans="1:1" ht="21">
      <c r="A5351" s="345"/>
    </row>
    <row r="5352" spans="1:1" ht="21">
      <c r="A5352" s="345"/>
    </row>
    <row r="5353" spans="1:1" ht="21">
      <c r="A5353" s="345"/>
    </row>
    <row r="5354" spans="1:1" ht="21">
      <c r="A5354" s="345"/>
    </row>
    <row r="5355" spans="1:1" ht="21">
      <c r="A5355" s="345"/>
    </row>
    <row r="5356" spans="1:1" ht="21">
      <c r="A5356" s="345"/>
    </row>
    <row r="5357" spans="1:1" ht="21">
      <c r="A5357" s="345"/>
    </row>
    <row r="5358" spans="1:1" ht="21">
      <c r="A5358" s="345"/>
    </row>
    <row r="5359" spans="1:1" ht="21">
      <c r="A5359" s="345"/>
    </row>
    <row r="5360" spans="1:1" ht="21">
      <c r="A5360" s="345"/>
    </row>
    <row r="5361" spans="1:1" ht="21">
      <c r="A5361" s="345"/>
    </row>
    <row r="5362" spans="1:1" ht="21">
      <c r="A5362" s="345"/>
    </row>
    <row r="5363" spans="1:1" ht="21">
      <c r="A5363" s="345"/>
    </row>
    <row r="5364" spans="1:1" ht="21">
      <c r="A5364" s="345"/>
    </row>
    <row r="5365" spans="1:1" ht="21">
      <c r="A5365" s="345"/>
    </row>
    <row r="5366" spans="1:1" ht="21">
      <c r="A5366" s="345"/>
    </row>
    <row r="5367" spans="1:1" ht="21">
      <c r="A5367" s="345"/>
    </row>
    <row r="5368" spans="1:1" ht="21">
      <c r="A5368" s="345"/>
    </row>
    <row r="5369" spans="1:1" ht="21">
      <c r="A5369" s="345"/>
    </row>
    <row r="5370" spans="1:1" ht="21">
      <c r="A5370" s="345"/>
    </row>
    <row r="5371" spans="1:1" ht="21">
      <c r="A5371" s="345"/>
    </row>
    <row r="5372" spans="1:1" ht="21">
      <c r="A5372" s="345"/>
    </row>
    <row r="5373" spans="1:1" ht="21">
      <c r="A5373" s="345"/>
    </row>
    <row r="5374" spans="1:1" ht="21">
      <c r="A5374" s="345"/>
    </row>
    <row r="5375" spans="1:1" ht="21">
      <c r="A5375" s="345"/>
    </row>
    <row r="5376" spans="1:1" ht="21">
      <c r="A5376" s="345"/>
    </row>
    <row r="5377" spans="1:1" ht="21">
      <c r="A5377" s="345"/>
    </row>
    <row r="5378" spans="1:1" ht="21">
      <c r="A5378" s="345"/>
    </row>
    <row r="5379" spans="1:1" ht="21">
      <c r="A5379" s="345"/>
    </row>
    <row r="5380" spans="1:1" ht="21">
      <c r="A5380" s="345"/>
    </row>
    <row r="5381" spans="1:1" ht="21">
      <c r="A5381" s="345"/>
    </row>
    <row r="5382" spans="1:1" ht="21">
      <c r="A5382" s="345"/>
    </row>
    <row r="5383" spans="1:1" ht="21">
      <c r="A5383" s="345"/>
    </row>
    <row r="5384" spans="1:1" ht="21">
      <c r="A5384" s="345"/>
    </row>
    <row r="5385" spans="1:1" ht="21">
      <c r="A5385" s="345"/>
    </row>
    <row r="5386" spans="1:1" ht="21">
      <c r="A5386" s="345"/>
    </row>
    <row r="5387" spans="1:1" ht="21">
      <c r="A5387" s="345"/>
    </row>
    <row r="5388" spans="1:1" ht="21">
      <c r="A5388" s="345"/>
    </row>
    <row r="5389" spans="1:1" ht="21">
      <c r="A5389" s="345"/>
    </row>
    <row r="5390" spans="1:1" ht="21">
      <c r="A5390" s="345"/>
    </row>
    <row r="5391" spans="1:1" ht="21">
      <c r="A5391" s="345"/>
    </row>
    <row r="5392" spans="1:1" ht="21">
      <c r="A5392" s="345"/>
    </row>
    <row r="5393" spans="1:1" ht="21">
      <c r="A5393" s="345"/>
    </row>
    <row r="5394" spans="1:1" ht="21">
      <c r="A5394" s="345"/>
    </row>
    <row r="5395" spans="1:1" ht="21">
      <c r="A5395" s="345"/>
    </row>
    <row r="5396" spans="1:1" ht="21">
      <c r="A5396" s="345"/>
    </row>
    <row r="5397" spans="1:1" ht="21">
      <c r="A5397" s="345"/>
    </row>
    <row r="5398" spans="1:1" ht="21">
      <c r="A5398" s="345"/>
    </row>
    <row r="5399" spans="1:1" ht="21">
      <c r="A5399" s="345"/>
    </row>
    <row r="5400" spans="1:1" ht="21">
      <c r="A5400" s="345"/>
    </row>
    <row r="5401" spans="1:1" ht="21">
      <c r="A5401" s="345"/>
    </row>
    <row r="5402" spans="1:1" ht="21">
      <c r="A5402" s="345"/>
    </row>
    <row r="5403" spans="1:1" ht="21">
      <c r="A5403" s="345"/>
    </row>
    <row r="5404" spans="1:1" ht="21">
      <c r="A5404" s="345"/>
    </row>
    <row r="5405" spans="1:1" ht="21">
      <c r="A5405" s="345"/>
    </row>
    <row r="5406" spans="1:1" ht="21">
      <c r="A5406" s="345"/>
    </row>
    <row r="5407" spans="1:1" ht="21">
      <c r="A5407" s="345"/>
    </row>
    <row r="5408" spans="1:1" ht="21">
      <c r="A5408" s="345"/>
    </row>
    <row r="5409" spans="1:1" ht="21">
      <c r="A5409" s="345"/>
    </row>
    <row r="5410" spans="1:1" ht="21">
      <c r="A5410" s="345"/>
    </row>
    <row r="5411" spans="1:1" ht="21">
      <c r="A5411" s="345"/>
    </row>
    <row r="5412" spans="1:1" ht="21">
      <c r="A5412" s="345"/>
    </row>
    <row r="5413" spans="1:1" ht="21">
      <c r="A5413" s="345"/>
    </row>
    <row r="5414" spans="1:1" ht="21">
      <c r="A5414" s="345"/>
    </row>
    <row r="5415" spans="1:1" ht="21">
      <c r="A5415" s="345"/>
    </row>
    <row r="5416" spans="1:1" ht="21">
      <c r="A5416" s="345"/>
    </row>
    <row r="5417" spans="1:1" ht="21">
      <c r="A5417" s="345"/>
    </row>
    <row r="5418" spans="1:1" ht="21">
      <c r="A5418" s="345"/>
    </row>
    <row r="5419" spans="1:1" ht="21">
      <c r="A5419" s="345"/>
    </row>
    <row r="5420" spans="1:1" ht="21">
      <c r="A5420" s="345"/>
    </row>
    <row r="5421" spans="1:1" ht="21">
      <c r="A5421" s="345"/>
    </row>
    <row r="5422" spans="1:1" ht="21">
      <c r="A5422" s="345"/>
    </row>
    <row r="5423" spans="1:1" ht="21">
      <c r="A5423" s="345"/>
    </row>
    <row r="5424" spans="1:1" ht="21">
      <c r="A5424" s="345"/>
    </row>
    <row r="5425" spans="1:1" ht="21">
      <c r="A5425" s="345"/>
    </row>
    <row r="5426" spans="1:1" ht="21">
      <c r="A5426" s="345"/>
    </row>
    <row r="5427" spans="1:1" ht="21">
      <c r="A5427" s="345"/>
    </row>
    <row r="5428" spans="1:1" ht="21">
      <c r="A5428" s="345"/>
    </row>
    <row r="5429" spans="1:1" ht="21">
      <c r="A5429" s="345"/>
    </row>
    <row r="5430" spans="1:1" ht="21">
      <c r="A5430" s="345"/>
    </row>
    <row r="5431" spans="1:1" ht="21">
      <c r="A5431" s="345"/>
    </row>
    <row r="5432" spans="1:1" ht="21">
      <c r="A5432" s="345"/>
    </row>
    <row r="5433" spans="1:1" ht="21">
      <c r="A5433" s="345"/>
    </row>
    <row r="5434" spans="1:1" ht="21">
      <c r="A5434" s="345"/>
    </row>
    <row r="5435" spans="1:1" ht="21">
      <c r="A5435" s="345"/>
    </row>
    <row r="5436" spans="1:1" ht="21">
      <c r="A5436" s="345"/>
    </row>
    <row r="5437" spans="1:1" ht="21">
      <c r="A5437" s="345"/>
    </row>
    <row r="5438" spans="1:1" ht="21">
      <c r="A5438" s="345"/>
    </row>
    <row r="5439" spans="1:1" ht="21">
      <c r="A5439" s="345"/>
    </row>
    <row r="5440" spans="1:1" ht="21">
      <c r="A5440" s="345"/>
    </row>
    <row r="5441" spans="1:1" ht="21">
      <c r="A5441" s="345"/>
    </row>
    <row r="5442" spans="1:1" ht="21">
      <c r="A5442" s="345"/>
    </row>
    <row r="5443" spans="1:1" ht="21">
      <c r="A5443" s="345"/>
    </row>
    <row r="5444" spans="1:1" ht="21">
      <c r="A5444" s="345"/>
    </row>
    <row r="5445" spans="1:1" ht="21">
      <c r="A5445" s="345"/>
    </row>
    <row r="5446" spans="1:1" ht="21">
      <c r="A5446" s="345"/>
    </row>
    <row r="5447" spans="1:1" ht="21">
      <c r="A5447" s="345"/>
    </row>
    <row r="5448" spans="1:1" ht="21">
      <c r="A5448" s="345"/>
    </row>
    <row r="5449" spans="1:1" ht="21">
      <c r="A5449" s="345"/>
    </row>
    <row r="5450" spans="1:1" ht="21">
      <c r="A5450" s="345"/>
    </row>
    <row r="5451" spans="1:1" ht="21">
      <c r="A5451" s="345"/>
    </row>
    <row r="5452" spans="1:1" ht="21">
      <c r="A5452" s="345"/>
    </row>
    <row r="5453" spans="1:1" ht="21">
      <c r="A5453" s="345"/>
    </row>
    <row r="5454" spans="1:1" ht="21">
      <c r="A5454" s="345"/>
    </row>
    <row r="5455" spans="1:1" ht="21">
      <c r="A5455" s="345"/>
    </row>
    <row r="5456" spans="1:1" ht="21">
      <c r="A5456" s="345"/>
    </row>
    <row r="5457" spans="1:1" ht="21">
      <c r="A5457" s="345"/>
    </row>
    <row r="5458" spans="1:1" ht="21">
      <c r="A5458" s="345"/>
    </row>
    <row r="5459" spans="1:1" ht="21">
      <c r="A5459" s="345"/>
    </row>
    <row r="5460" spans="1:1" ht="21">
      <c r="A5460" s="345"/>
    </row>
    <row r="5461" spans="1:1" ht="21">
      <c r="A5461" s="345"/>
    </row>
    <row r="5462" spans="1:1" ht="21">
      <c r="A5462" s="345"/>
    </row>
    <row r="5463" spans="1:1" ht="21">
      <c r="A5463" s="345"/>
    </row>
    <row r="5464" spans="1:1" ht="21">
      <c r="A5464" s="345"/>
    </row>
    <row r="5465" spans="1:1" ht="21">
      <c r="A5465" s="345"/>
    </row>
    <row r="5466" spans="1:1" ht="21">
      <c r="A5466" s="345"/>
    </row>
    <row r="5467" spans="1:1" ht="21">
      <c r="A5467" s="345"/>
    </row>
    <row r="5468" spans="1:1" ht="21">
      <c r="A5468" s="345"/>
    </row>
    <row r="5469" spans="1:1" ht="21">
      <c r="A5469" s="345"/>
    </row>
    <row r="5470" spans="1:1" ht="21">
      <c r="A5470" s="345"/>
    </row>
    <row r="5471" spans="1:1" ht="21">
      <c r="A5471" s="345"/>
    </row>
    <row r="5472" spans="1:1" ht="21">
      <c r="A5472" s="345"/>
    </row>
    <row r="5473" spans="1:1" ht="21">
      <c r="A5473" s="345"/>
    </row>
    <row r="5474" spans="1:1" ht="21">
      <c r="A5474" s="345"/>
    </row>
    <row r="5475" spans="1:1" ht="21">
      <c r="A5475" s="345"/>
    </row>
    <row r="5476" spans="1:1" ht="21">
      <c r="A5476" s="345"/>
    </row>
    <row r="5477" spans="1:1" ht="21">
      <c r="A5477" s="345"/>
    </row>
    <row r="5478" spans="1:1" ht="21">
      <c r="A5478" s="345"/>
    </row>
    <row r="5479" spans="1:1" ht="21">
      <c r="A5479" s="345"/>
    </row>
    <row r="5480" spans="1:1" ht="21">
      <c r="A5480" s="345"/>
    </row>
    <row r="5481" spans="1:1" ht="21">
      <c r="A5481" s="345"/>
    </row>
    <row r="5482" spans="1:1" ht="21">
      <c r="A5482" s="345"/>
    </row>
    <row r="5483" spans="1:1" ht="21">
      <c r="A5483" s="345"/>
    </row>
    <row r="5484" spans="1:1" ht="21">
      <c r="A5484" s="345"/>
    </row>
    <row r="5485" spans="1:1" ht="21">
      <c r="A5485" s="345"/>
    </row>
    <row r="5486" spans="1:1" ht="21">
      <c r="A5486" s="345"/>
    </row>
    <row r="5487" spans="1:1" ht="21">
      <c r="A5487" s="345"/>
    </row>
    <row r="5488" spans="1:1" ht="21">
      <c r="A5488" s="345"/>
    </row>
    <row r="5489" spans="1:1" ht="21">
      <c r="A5489" s="345"/>
    </row>
    <row r="5490" spans="1:1" ht="21">
      <c r="A5490" s="345"/>
    </row>
    <row r="5491" spans="1:1" ht="21">
      <c r="A5491" s="345"/>
    </row>
    <row r="5492" spans="1:1" ht="21">
      <c r="A5492" s="345"/>
    </row>
    <row r="5493" spans="1:1" ht="21">
      <c r="A5493" s="345"/>
    </row>
    <row r="5494" spans="1:1" ht="21">
      <c r="A5494" s="345"/>
    </row>
    <row r="5495" spans="1:1" ht="21">
      <c r="A5495" s="345"/>
    </row>
    <row r="5496" spans="1:1" ht="21">
      <c r="A5496" s="345"/>
    </row>
    <row r="5497" spans="1:1" ht="21">
      <c r="A5497" s="345"/>
    </row>
    <row r="5498" spans="1:1" ht="21">
      <c r="A5498" s="345"/>
    </row>
    <row r="5499" spans="1:1" ht="21">
      <c r="A5499" s="345"/>
    </row>
    <row r="5500" spans="1:1" ht="21">
      <c r="A5500" s="345"/>
    </row>
    <row r="5501" spans="1:1" ht="21">
      <c r="A5501" s="345"/>
    </row>
    <row r="5502" spans="1:1" ht="21">
      <c r="A5502" s="345"/>
    </row>
    <row r="5503" spans="1:1" ht="21">
      <c r="A5503" s="345"/>
    </row>
    <row r="5504" spans="1:1" ht="21">
      <c r="A5504" s="345"/>
    </row>
    <row r="5505" spans="1:1" ht="21">
      <c r="A5505" s="345"/>
    </row>
    <row r="5506" spans="1:1" ht="21">
      <c r="A5506" s="345"/>
    </row>
    <row r="5507" spans="1:1" ht="21">
      <c r="A5507" s="345"/>
    </row>
    <row r="5508" spans="1:1" ht="21">
      <c r="A5508" s="345"/>
    </row>
    <row r="5509" spans="1:1" ht="21">
      <c r="A5509" s="345"/>
    </row>
    <row r="5510" spans="1:1" ht="21">
      <c r="A5510" s="345"/>
    </row>
    <row r="5511" spans="1:1" ht="21">
      <c r="A5511" s="345"/>
    </row>
    <row r="5512" spans="1:1" ht="21">
      <c r="A5512" s="345"/>
    </row>
    <row r="5513" spans="1:1" ht="21">
      <c r="A5513" s="345"/>
    </row>
    <row r="5514" spans="1:1" ht="21">
      <c r="A5514" s="345"/>
    </row>
    <row r="5515" spans="1:1" ht="21">
      <c r="A5515" s="345"/>
    </row>
    <row r="5516" spans="1:1" ht="21">
      <c r="A5516" s="345"/>
    </row>
    <row r="5517" spans="1:1" ht="21">
      <c r="A5517" s="345"/>
    </row>
    <row r="5518" spans="1:1" ht="21">
      <c r="A5518" s="345"/>
    </row>
    <row r="5519" spans="1:1" ht="21">
      <c r="A5519" s="345"/>
    </row>
    <row r="5520" spans="1:1" ht="21">
      <c r="A5520" s="345"/>
    </row>
    <row r="5521" spans="1:1" ht="21">
      <c r="A5521" s="345"/>
    </row>
    <row r="5522" spans="1:1" ht="21">
      <c r="A5522" s="345"/>
    </row>
    <row r="5523" spans="1:1" ht="21">
      <c r="A5523" s="345"/>
    </row>
    <row r="5524" spans="1:1" ht="21">
      <c r="A5524" s="345"/>
    </row>
    <row r="5525" spans="1:1" ht="21">
      <c r="A5525" s="345"/>
    </row>
    <row r="5526" spans="1:1" ht="21">
      <c r="A5526" s="345"/>
    </row>
    <row r="5527" spans="1:1" ht="21">
      <c r="A5527" s="345"/>
    </row>
    <row r="5528" spans="1:1" ht="21">
      <c r="A5528" s="345"/>
    </row>
    <row r="5529" spans="1:1" ht="21">
      <c r="A5529" s="345"/>
    </row>
    <row r="5530" spans="1:1" ht="21">
      <c r="A5530" s="345"/>
    </row>
    <row r="5531" spans="1:1" ht="21">
      <c r="A5531" s="345"/>
    </row>
    <row r="5532" spans="1:1" ht="21">
      <c r="A5532" s="345"/>
    </row>
    <row r="5533" spans="1:1" ht="21">
      <c r="A5533" s="345"/>
    </row>
    <row r="5534" spans="1:1" ht="21">
      <c r="A5534" s="345"/>
    </row>
    <row r="5535" spans="1:1" ht="21">
      <c r="A5535" s="345"/>
    </row>
    <row r="5536" spans="1:1" ht="21">
      <c r="A5536" s="345"/>
    </row>
    <row r="5537" spans="1:1" ht="21">
      <c r="A5537" s="345"/>
    </row>
    <row r="5538" spans="1:1" ht="21">
      <c r="A5538" s="345"/>
    </row>
    <row r="5539" spans="1:1" ht="21">
      <c r="A5539" s="345"/>
    </row>
    <row r="5540" spans="1:1" ht="21">
      <c r="A5540" s="345"/>
    </row>
    <row r="5541" spans="1:1" ht="21">
      <c r="A5541" s="345"/>
    </row>
    <row r="5542" spans="1:1" ht="21">
      <c r="A5542" s="345"/>
    </row>
    <row r="5543" spans="1:1" ht="21">
      <c r="A5543" s="345"/>
    </row>
    <row r="5544" spans="1:1" ht="21">
      <c r="A5544" s="345"/>
    </row>
    <row r="5545" spans="1:1" ht="21">
      <c r="A5545" s="345"/>
    </row>
    <row r="5546" spans="1:1" ht="21">
      <c r="A5546" s="345"/>
    </row>
    <row r="5547" spans="1:1" ht="21">
      <c r="A5547" s="345"/>
    </row>
    <row r="5548" spans="1:1" ht="21">
      <c r="A5548" s="345"/>
    </row>
    <row r="5549" spans="1:1" ht="21">
      <c r="A5549" s="345"/>
    </row>
    <row r="5550" spans="1:1" ht="21">
      <c r="A5550" s="345"/>
    </row>
    <row r="5551" spans="1:1" ht="21">
      <c r="A5551" s="345"/>
    </row>
    <row r="5552" spans="1:1" ht="21">
      <c r="A5552" s="345"/>
    </row>
    <row r="5553" spans="1:1" ht="21">
      <c r="A5553" s="345"/>
    </row>
    <row r="5554" spans="1:1" ht="21">
      <c r="A5554" s="345"/>
    </row>
    <row r="5555" spans="1:1" ht="21">
      <c r="A5555" s="345"/>
    </row>
    <row r="5556" spans="1:1" ht="21">
      <c r="A5556" s="345"/>
    </row>
    <row r="5557" spans="1:1" ht="21">
      <c r="A5557" s="345"/>
    </row>
    <row r="5558" spans="1:1" ht="21">
      <c r="A5558" s="345"/>
    </row>
    <row r="5559" spans="1:1" ht="21">
      <c r="A5559" s="345"/>
    </row>
    <row r="5560" spans="1:1" ht="21">
      <c r="A5560" s="345"/>
    </row>
    <row r="5561" spans="1:1" ht="21">
      <c r="A5561" s="345"/>
    </row>
    <row r="5562" spans="1:1" ht="21">
      <c r="A5562" s="345"/>
    </row>
    <row r="5563" spans="1:1" ht="21">
      <c r="A5563" s="345"/>
    </row>
    <row r="5564" spans="1:1" ht="21">
      <c r="A5564" s="345"/>
    </row>
    <row r="5565" spans="1:1" ht="21">
      <c r="A5565" s="345"/>
    </row>
    <row r="5566" spans="1:1" ht="21">
      <c r="A5566" s="345"/>
    </row>
    <row r="5567" spans="1:1" ht="21">
      <c r="A5567" s="345"/>
    </row>
    <row r="5568" spans="1:1" ht="21">
      <c r="A5568" s="345"/>
    </row>
    <row r="5569" spans="1:1" ht="21">
      <c r="A5569" s="345"/>
    </row>
    <row r="5570" spans="1:1" ht="21">
      <c r="A5570" s="345"/>
    </row>
    <row r="5571" spans="1:1" ht="21">
      <c r="A5571" s="345"/>
    </row>
    <row r="5572" spans="1:1" ht="21">
      <c r="A5572" s="345"/>
    </row>
    <row r="5573" spans="1:1" ht="21">
      <c r="A5573" s="345"/>
    </row>
    <row r="5574" spans="1:1" ht="21">
      <c r="A5574" s="345"/>
    </row>
    <row r="5575" spans="1:1" ht="21">
      <c r="A5575" s="345"/>
    </row>
    <row r="5576" spans="1:1" ht="21">
      <c r="A5576" s="345"/>
    </row>
    <row r="5577" spans="1:1" ht="21">
      <c r="A5577" s="345"/>
    </row>
    <row r="5578" spans="1:1" ht="21">
      <c r="A5578" s="345"/>
    </row>
    <row r="5579" spans="1:1" ht="21">
      <c r="A5579" s="345"/>
    </row>
    <row r="5580" spans="1:1" ht="21">
      <c r="A5580" s="345"/>
    </row>
    <row r="5581" spans="1:1" ht="21">
      <c r="A5581" s="345"/>
    </row>
    <row r="5582" spans="1:1" ht="21">
      <c r="A5582" s="345"/>
    </row>
    <row r="5583" spans="1:1" ht="21">
      <c r="A5583" s="345"/>
    </row>
    <row r="5584" spans="1:1" ht="21">
      <c r="A5584" s="345"/>
    </row>
    <row r="5585" spans="1:1" ht="21">
      <c r="A5585" s="345"/>
    </row>
    <row r="5586" spans="1:1" ht="21">
      <c r="A5586" s="345"/>
    </row>
    <row r="5587" spans="1:1" ht="21">
      <c r="A5587" s="345"/>
    </row>
    <row r="5588" spans="1:1" ht="21">
      <c r="A5588" s="345"/>
    </row>
    <row r="5589" spans="1:1" ht="21">
      <c r="A5589" s="345"/>
    </row>
    <row r="5590" spans="1:1" ht="21">
      <c r="A5590" s="345"/>
    </row>
    <row r="5591" spans="1:1" ht="21">
      <c r="A5591" s="345"/>
    </row>
    <row r="5592" spans="1:1" ht="21">
      <c r="A5592" s="345"/>
    </row>
    <row r="5593" spans="1:1" ht="21">
      <c r="A5593" s="345"/>
    </row>
    <row r="5594" spans="1:1" ht="21">
      <c r="A5594" s="345"/>
    </row>
    <row r="5595" spans="1:1" ht="21">
      <c r="A5595" s="345"/>
    </row>
    <row r="5596" spans="1:1" ht="21">
      <c r="A5596" s="345"/>
    </row>
    <row r="5597" spans="1:1" ht="21">
      <c r="A5597" s="345"/>
    </row>
    <row r="5598" spans="1:1" ht="21">
      <c r="A5598" s="345"/>
    </row>
    <row r="5599" spans="1:1" ht="21">
      <c r="A5599" s="345"/>
    </row>
    <row r="5600" spans="1:1" ht="21">
      <c r="A5600" s="345"/>
    </row>
    <row r="5601" spans="1:1" ht="21">
      <c r="A5601" s="345"/>
    </row>
    <row r="5602" spans="1:1" ht="21">
      <c r="A5602" s="345"/>
    </row>
    <row r="5603" spans="1:1" ht="21">
      <c r="A5603" s="345"/>
    </row>
    <row r="5604" spans="1:1" ht="21">
      <c r="A5604" s="345"/>
    </row>
    <row r="5605" spans="1:1" ht="21">
      <c r="A5605" s="345"/>
    </row>
    <row r="5606" spans="1:1" ht="21">
      <c r="A5606" s="345"/>
    </row>
    <row r="5607" spans="1:1" ht="21">
      <c r="A5607" s="345"/>
    </row>
    <row r="5608" spans="1:1" ht="21">
      <c r="A5608" s="345"/>
    </row>
    <row r="5609" spans="1:1" ht="21">
      <c r="A5609" s="345"/>
    </row>
    <row r="5610" spans="1:1" ht="21">
      <c r="A5610" s="345"/>
    </row>
    <row r="5611" spans="1:1" ht="21">
      <c r="A5611" s="345"/>
    </row>
    <row r="5612" spans="1:1" ht="21">
      <c r="A5612" s="345"/>
    </row>
    <row r="5613" spans="1:1" ht="21">
      <c r="A5613" s="345"/>
    </row>
    <row r="5614" spans="1:1" ht="21">
      <c r="A5614" s="345"/>
    </row>
    <row r="5615" spans="1:1" ht="21">
      <c r="A5615" s="345"/>
    </row>
    <row r="5616" spans="1:1" ht="21">
      <c r="A5616" s="345"/>
    </row>
    <row r="5617" spans="1:1" ht="21">
      <c r="A5617" s="345"/>
    </row>
    <row r="5618" spans="1:1" ht="21">
      <c r="A5618" s="345"/>
    </row>
    <row r="5619" spans="1:1" ht="21">
      <c r="A5619" s="345"/>
    </row>
    <row r="5620" spans="1:1" ht="21">
      <c r="A5620" s="345"/>
    </row>
    <row r="5621" spans="1:1" ht="21">
      <c r="A5621" s="345"/>
    </row>
    <row r="5622" spans="1:1" ht="21">
      <c r="A5622" s="345"/>
    </row>
    <row r="5623" spans="1:1" ht="21">
      <c r="A5623" s="345"/>
    </row>
    <row r="5624" spans="1:1" ht="21">
      <c r="A5624" s="345"/>
    </row>
    <row r="5625" spans="1:1" ht="21">
      <c r="A5625" s="345"/>
    </row>
    <row r="5626" spans="1:1" ht="21">
      <c r="A5626" s="345"/>
    </row>
    <row r="5627" spans="1:1" ht="21">
      <c r="A5627" s="345"/>
    </row>
    <row r="5628" spans="1:1" ht="21">
      <c r="A5628" s="345"/>
    </row>
    <row r="5629" spans="1:1" ht="21">
      <c r="A5629" s="345"/>
    </row>
    <row r="5630" spans="1:1" ht="21">
      <c r="A5630" s="345"/>
    </row>
    <row r="5631" spans="1:1" ht="21">
      <c r="A5631" s="345"/>
    </row>
    <row r="5632" spans="1:1" ht="21">
      <c r="A5632" s="345"/>
    </row>
    <row r="5633" spans="1:1" ht="21">
      <c r="A5633" s="345"/>
    </row>
    <row r="5634" spans="1:1" ht="21">
      <c r="A5634" s="345"/>
    </row>
    <row r="5635" spans="1:1" ht="21">
      <c r="A5635" s="345"/>
    </row>
    <row r="5636" spans="1:1" ht="21">
      <c r="A5636" s="345"/>
    </row>
    <row r="5637" spans="1:1" ht="21">
      <c r="A5637" s="345"/>
    </row>
    <row r="5638" spans="1:1" ht="21">
      <c r="A5638" s="345"/>
    </row>
    <row r="5639" spans="1:1" ht="21">
      <c r="A5639" s="345"/>
    </row>
    <row r="5640" spans="1:1" ht="21">
      <c r="A5640" s="345"/>
    </row>
    <row r="5641" spans="1:1" ht="21">
      <c r="A5641" s="345"/>
    </row>
    <row r="5642" spans="1:1" ht="21">
      <c r="A5642" s="345"/>
    </row>
    <row r="5643" spans="1:1" ht="21">
      <c r="A5643" s="345"/>
    </row>
    <row r="5644" spans="1:1" ht="21">
      <c r="A5644" s="345"/>
    </row>
    <row r="5645" spans="1:1" ht="21">
      <c r="A5645" s="345"/>
    </row>
    <row r="5646" spans="1:1" ht="21">
      <c r="A5646" s="345"/>
    </row>
    <row r="5647" spans="1:1" ht="21">
      <c r="A5647" s="345"/>
    </row>
    <row r="5648" spans="1:1" ht="21">
      <c r="A5648" s="345"/>
    </row>
    <row r="5649" spans="1:1" ht="21">
      <c r="A5649" s="345"/>
    </row>
    <row r="5650" spans="1:1" ht="21">
      <c r="A5650" s="345"/>
    </row>
    <row r="5651" spans="1:1" ht="21">
      <c r="A5651" s="345"/>
    </row>
    <row r="5652" spans="1:1" ht="21">
      <c r="A5652" s="345"/>
    </row>
    <row r="5653" spans="1:1" ht="21">
      <c r="A5653" s="345"/>
    </row>
    <row r="5654" spans="1:1" ht="21">
      <c r="A5654" s="345"/>
    </row>
    <row r="5655" spans="1:1" ht="21">
      <c r="A5655" s="345"/>
    </row>
    <row r="5656" spans="1:1" ht="21">
      <c r="A5656" s="345"/>
    </row>
    <row r="5657" spans="1:1" ht="21">
      <c r="A5657" s="345"/>
    </row>
    <row r="5658" spans="1:1" ht="21">
      <c r="A5658" s="345"/>
    </row>
    <row r="5659" spans="1:1" ht="21">
      <c r="A5659" s="345"/>
    </row>
    <row r="5660" spans="1:1" ht="21">
      <c r="A5660" s="345"/>
    </row>
    <row r="5661" spans="1:1" ht="21">
      <c r="A5661" s="345"/>
    </row>
    <row r="5662" spans="1:1" ht="21">
      <c r="A5662" s="345"/>
    </row>
    <row r="5663" spans="1:1" ht="21">
      <c r="A5663" s="345"/>
    </row>
    <row r="5664" spans="1:1" ht="21">
      <c r="A5664" s="345"/>
    </row>
    <row r="5665" spans="1:1" ht="21">
      <c r="A5665" s="345"/>
    </row>
    <row r="5666" spans="1:1" ht="21">
      <c r="A5666" s="345"/>
    </row>
    <row r="5667" spans="1:1" ht="21">
      <c r="A5667" s="345"/>
    </row>
    <row r="5668" spans="1:1" ht="21">
      <c r="A5668" s="345"/>
    </row>
    <row r="5669" spans="1:1" ht="21">
      <c r="A5669" s="345"/>
    </row>
    <row r="5670" spans="1:1" ht="21">
      <c r="A5670" s="345"/>
    </row>
    <row r="5671" spans="1:1" ht="21">
      <c r="A5671" s="345"/>
    </row>
    <row r="5672" spans="1:1" ht="21">
      <c r="A5672" s="345"/>
    </row>
    <row r="5673" spans="1:1" ht="21">
      <c r="A5673" s="345"/>
    </row>
    <row r="5674" spans="1:1" ht="21">
      <c r="A5674" s="345"/>
    </row>
    <row r="5675" spans="1:1" ht="21">
      <c r="A5675" s="345"/>
    </row>
    <row r="5676" spans="1:1" ht="21">
      <c r="A5676" s="345"/>
    </row>
    <row r="5677" spans="1:1" ht="21">
      <c r="A5677" s="345"/>
    </row>
    <row r="5678" spans="1:1" ht="21">
      <c r="A5678" s="345"/>
    </row>
    <row r="5679" spans="1:1" ht="21">
      <c r="A5679" s="345"/>
    </row>
    <row r="5680" spans="1:1" ht="21">
      <c r="A5680" s="345"/>
    </row>
    <row r="5681" spans="1:1" ht="21">
      <c r="A5681" s="345"/>
    </row>
    <row r="5682" spans="1:1" ht="21">
      <c r="A5682" s="345"/>
    </row>
    <row r="5683" spans="1:1" ht="21">
      <c r="A5683" s="345"/>
    </row>
    <row r="5684" spans="1:1" ht="21">
      <c r="A5684" s="345"/>
    </row>
    <row r="5685" spans="1:1" ht="21">
      <c r="A5685" s="345"/>
    </row>
    <row r="5686" spans="1:1" ht="21">
      <c r="A5686" s="345"/>
    </row>
    <row r="5687" spans="1:1" ht="21">
      <c r="A5687" s="345"/>
    </row>
    <row r="5688" spans="1:1" ht="21">
      <c r="A5688" s="345"/>
    </row>
    <row r="5689" spans="1:1" ht="21">
      <c r="A5689" s="345"/>
    </row>
    <row r="5690" spans="1:1" ht="21">
      <c r="A5690" s="345"/>
    </row>
    <row r="5691" spans="1:1" ht="21">
      <c r="A5691" s="345"/>
    </row>
    <row r="5692" spans="1:1" ht="21">
      <c r="A5692" s="345"/>
    </row>
    <row r="5693" spans="1:1" ht="21">
      <c r="A5693" s="345"/>
    </row>
    <row r="5694" spans="1:1" ht="21">
      <c r="A5694" s="345"/>
    </row>
    <row r="5695" spans="1:1" ht="21">
      <c r="A5695" s="345"/>
    </row>
    <row r="5696" spans="1:1" ht="21">
      <c r="A5696" s="345"/>
    </row>
    <row r="5697" spans="1:1" ht="21">
      <c r="A5697" s="345"/>
    </row>
    <row r="5698" spans="1:1" ht="21">
      <c r="A5698" s="345"/>
    </row>
    <row r="5699" spans="1:1" ht="21">
      <c r="A5699" s="345"/>
    </row>
    <row r="5700" spans="1:1" ht="21">
      <c r="A5700" s="345"/>
    </row>
    <row r="5701" spans="1:1" ht="21">
      <c r="A5701" s="345"/>
    </row>
    <row r="5702" spans="1:1" ht="21">
      <c r="A5702" s="345"/>
    </row>
    <row r="5703" spans="1:1" ht="21">
      <c r="A5703" s="345"/>
    </row>
    <row r="5704" spans="1:1" ht="21">
      <c r="A5704" s="345"/>
    </row>
    <row r="5705" spans="1:1" ht="21">
      <c r="A5705" s="345"/>
    </row>
    <row r="5706" spans="1:1" ht="21">
      <c r="A5706" s="345"/>
    </row>
    <row r="5707" spans="1:1" ht="21">
      <c r="A5707" s="345"/>
    </row>
    <row r="5708" spans="1:1" ht="21">
      <c r="A5708" s="345"/>
    </row>
    <row r="5709" spans="1:1" ht="21">
      <c r="A5709" s="345"/>
    </row>
    <row r="5710" spans="1:1" ht="21">
      <c r="A5710" s="345"/>
    </row>
    <row r="5711" spans="1:1" ht="21">
      <c r="A5711" s="345"/>
    </row>
    <row r="5712" spans="1:1" ht="21">
      <c r="A5712" s="345"/>
    </row>
    <row r="5713" spans="1:1" ht="21">
      <c r="A5713" s="345"/>
    </row>
    <row r="5714" spans="1:1" ht="21">
      <c r="A5714" s="345"/>
    </row>
    <row r="5715" spans="1:1" ht="21">
      <c r="A5715" s="345"/>
    </row>
    <row r="5716" spans="1:1" ht="21">
      <c r="A5716" s="345"/>
    </row>
    <row r="5717" spans="1:1" ht="21">
      <c r="A5717" s="345"/>
    </row>
    <row r="5718" spans="1:1" ht="21">
      <c r="A5718" s="345"/>
    </row>
    <row r="5719" spans="1:1" ht="21">
      <c r="A5719" s="345"/>
    </row>
    <row r="5720" spans="1:1" ht="21">
      <c r="A5720" s="345"/>
    </row>
    <row r="5721" spans="1:1" ht="21">
      <c r="A5721" s="345"/>
    </row>
    <row r="5722" spans="1:1" ht="21">
      <c r="A5722" s="345"/>
    </row>
    <row r="5723" spans="1:1" ht="21">
      <c r="A5723" s="345"/>
    </row>
    <row r="5724" spans="1:1" ht="21">
      <c r="A5724" s="345"/>
    </row>
    <row r="5725" spans="1:1" ht="21">
      <c r="A5725" s="345"/>
    </row>
    <row r="5726" spans="1:1" ht="21">
      <c r="A5726" s="345"/>
    </row>
    <row r="5727" spans="1:1" ht="21">
      <c r="A5727" s="345"/>
    </row>
    <row r="5728" spans="1:1" ht="21">
      <c r="A5728" s="345"/>
    </row>
    <row r="5729" spans="1:1" ht="21">
      <c r="A5729" s="345"/>
    </row>
    <row r="5730" spans="1:1" ht="21">
      <c r="A5730" s="345"/>
    </row>
    <row r="5731" spans="1:1" ht="21">
      <c r="A5731" s="345"/>
    </row>
    <row r="5732" spans="1:1" ht="21">
      <c r="A5732" s="345"/>
    </row>
    <row r="5733" spans="1:1" ht="21">
      <c r="A5733" s="345"/>
    </row>
    <row r="5734" spans="1:1" ht="21">
      <c r="A5734" s="345"/>
    </row>
    <row r="5735" spans="1:1" ht="21">
      <c r="A5735" s="345"/>
    </row>
    <row r="5736" spans="1:1" ht="21">
      <c r="A5736" s="345"/>
    </row>
    <row r="5737" spans="1:1" ht="21">
      <c r="A5737" s="345"/>
    </row>
    <row r="5738" spans="1:1" ht="21">
      <c r="A5738" s="345"/>
    </row>
    <row r="5739" spans="1:1" ht="21">
      <c r="A5739" s="345"/>
    </row>
    <row r="5740" spans="1:1" ht="21">
      <c r="A5740" s="345"/>
    </row>
    <row r="5741" spans="1:1" ht="21">
      <c r="A5741" s="345"/>
    </row>
    <row r="5742" spans="1:1" ht="21">
      <c r="A5742" s="345"/>
    </row>
    <row r="5743" spans="1:1" ht="21">
      <c r="A5743" s="345"/>
    </row>
    <row r="5744" spans="1:1" ht="21">
      <c r="A5744" s="345"/>
    </row>
    <row r="5745" spans="1:1" ht="21">
      <c r="A5745" s="345"/>
    </row>
    <row r="5746" spans="1:1" ht="21">
      <c r="A5746" s="345"/>
    </row>
    <row r="5747" spans="1:1" ht="21">
      <c r="A5747" s="345"/>
    </row>
    <row r="5748" spans="1:1" ht="21">
      <c r="A5748" s="345"/>
    </row>
    <row r="5749" spans="1:1" ht="21">
      <c r="A5749" s="345"/>
    </row>
    <row r="5750" spans="1:1" ht="21">
      <c r="A5750" s="345"/>
    </row>
    <row r="5751" spans="1:1" ht="21">
      <c r="A5751" s="345"/>
    </row>
    <row r="5752" spans="1:1" ht="21">
      <c r="A5752" s="345"/>
    </row>
    <row r="5753" spans="1:1" ht="21">
      <c r="A5753" s="345"/>
    </row>
    <row r="5754" spans="1:1" ht="21">
      <c r="A5754" s="345"/>
    </row>
    <row r="5755" spans="1:1" ht="21">
      <c r="A5755" s="345"/>
    </row>
    <row r="5756" spans="1:1" ht="21">
      <c r="A5756" s="345"/>
    </row>
    <row r="5757" spans="1:1" ht="21">
      <c r="A5757" s="345"/>
    </row>
    <row r="5758" spans="1:1" ht="21">
      <c r="A5758" s="345"/>
    </row>
    <row r="5759" spans="1:1" ht="21">
      <c r="A5759" s="345"/>
    </row>
    <row r="5760" spans="1:1" ht="21">
      <c r="A5760" s="345"/>
    </row>
    <row r="5761" spans="1:1" ht="21">
      <c r="A5761" s="345"/>
    </row>
    <row r="5762" spans="1:1" ht="21">
      <c r="A5762" s="345"/>
    </row>
    <row r="5763" spans="1:1" ht="21">
      <c r="A5763" s="345"/>
    </row>
    <row r="5764" spans="1:1" ht="21">
      <c r="A5764" s="345"/>
    </row>
    <row r="5765" spans="1:1" ht="21">
      <c r="A5765" s="345"/>
    </row>
    <row r="5766" spans="1:1" ht="21">
      <c r="A5766" s="345"/>
    </row>
    <row r="5767" spans="1:1" ht="21">
      <c r="A5767" s="345"/>
    </row>
    <row r="5768" spans="1:1" ht="21">
      <c r="A5768" s="345"/>
    </row>
    <row r="5769" spans="1:1" ht="21">
      <c r="A5769" s="345"/>
    </row>
    <row r="5770" spans="1:1" ht="21">
      <c r="A5770" s="345"/>
    </row>
    <row r="5771" spans="1:1" ht="21">
      <c r="A5771" s="345"/>
    </row>
    <row r="5772" spans="1:1" ht="21">
      <c r="A5772" s="345"/>
    </row>
    <row r="5773" spans="1:1" ht="21">
      <c r="A5773" s="345"/>
    </row>
    <row r="5774" spans="1:1" ht="21">
      <c r="A5774" s="345"/>
    </row>
    <row r="5775" spans="1:1" ht="21">
      <c r="A5775" s="345"/>
    </row>
    <row r="5776" spans="1:1" ht="21">
      <c r="A5776" s="345"/>
    </row>
    <row r="5777" spans="1:1" ht="21">
      <c r="A5777" s="345"/>
    </row>
    <row r="5778" spans="1:1" ht="21">
      <c r="A5778" s="345"/>
    </row>
    <row r="5779" spans="1:1" ht="21">
      <c r="A5779" s="345"/>
    </row>
    <row r="5780" spans="1:1" ht="21">
      <c r="A5780" s="345"/>
    </row>
    <row r="5781" spans="1:1" ht="21">
      <c r="A5781" s="345"/>
    </row>
    <row r="5782" spans="1:1" ht="21">
      <c r="A5782" s="345"/>
    </row>
    <row r="5783" spans="1:1" ht="21">
      <c r="A5783" s="345"/>
    </row>
    <row r="5784" spans="1:1" ht="21">
      <c r="A5784" s="345"/>
    </row>
    <row r="5785" spans="1:1" ht="21">
      <c r="A5785" s="345"/>
    </row>
    <row r="5786" spans="1:1" ht="21">
      <c r="A5786" s="345"/>
    </row>
    <row r="5787" spans="1:1" ht="21">
      <c r="A5787" s="345"/>
    </row>
    <row r="5788" spans="1:1" ht="21">
      <c r="A5788" s="345"/>
    </row>
    <row r="5789" spans="1:1" ht="21">
      <c r="A5789" s="345"/>
    </row>
    <row r="5790" spans="1:1" ht="21">
      <c r="A5790" s="345"/>
    </row>
    <row r="5791" spans="1:1" ht="21">
      <c r="A5791" s="345"/>
    </row>
    <row r="5792" spans="1:1" ht="21">
      <c r="A5792" s="345"/>
    </row>
    <row r="5793" spans="1:1" ht="21">
      <c r="A5793" s="345"/>
    </row>
    <row r="5794" spans="1:1" ht="21">
      <c r="A5794" s="345"/>
    </row>
    <row r="5795" spans="1:1" ht="21">
      <c r="A5795" s="345"/>
    </row>
    <row r="5796" spans="1:1" ht="21">
      <c r="A5796" s="345"/>
    </row>
    <row r="5797" spans="1:1" ht="21">
      <c r="A5797" s="345"/>
    </row>
    <row r="5798" spans="1:1" ht="21">
      <c r="A5798" s="345"/>
    </row>
    <row r="5799" spans="1:1" ht="21">
      <c r="A5799" s="345"/>
    </row>
    <row r="5800" spans="1:1" ht="21">
      <c r="A5800" s="345"/>
    </row>
    <row r="5801" spans="1:1" ht="21">
      <c r="A5801" s="345"/>
    </row>
    <row r="5802" spans="1:1" ht="21">
      <c r="A5802" s="345"/>
    </row>
    <row r="5803" spans="1:1" ht="21">
      <c r="A5803" s="345"/>
    </row>
    <row r="5804" spans="1:1" ht="21">
      <c r="A5804" s="345"/>
    </row>
    <row r="5805" spans="1:1" ht="21">
      <c r="A5805" s="345"/>
    </row>
    <row r="5806" spans="1:1" ht="21">
      <c r="A5806" s="345"/>
    </row>
    <row r="5807" spans="1:1" ht="21">
      <c r="A5807" s="345"/>
    </row>
    <row r="5808" spans="1:1" ht="21">
      <c r="A5808" s="345"/>
    </row>
    <row r="5809" spans="1:1" ht="21">
      <c r="A5809" s="345"/>
    </row>
    <row r="5810" spans="1:1" ht="21">
      <c r="A5810" s="345"/>
    </row>
    <row r="5811" spans="1:1" ht="21">
      <c r="A5811" s="345"/>
    </row>
    <row r="5812" spans="1:1" ht="21">
      <c r="A5812" s="345"/>
    </row>
    <row r="5813" spans="1:1" ht="21">
      <c r="A5813" s="345"/>
    </row>
    <row r="5814" spans="1:1" ht="21">
      <c r="A5814" s="345"/>
    </row>
    <row r="5815" spans="1:1" ht="21">
      <c r="A5815" s="345"/>
    </row>
    <row r="5816" spans="1:1" ht="21">
      <c r="A5816" s="345"/>
    </row>
    <row r="5817" spans="1:1" ht="21">
      <c r="A5817" s="345"/>
    </row>
    <row r="5818" spans="1:1" ht="21">
      <c r="A5818" s="345"/>
    </row>
    <row r="5819" spans="1:1" ht="21">
      <c r="A5819" s="345"/>
    </row>
    <row r="5820" spans="1:1" ht="21">
      <c r="A5820" s="345"/>
    </row>
    <row r="5821" spans="1:1" ht="21">
      <c r="A5821" s="345"/>
    </row>
    <row r="5822" spans="1:1" ht="21">
      <c r="A5822" s="345"/>
    </row>
    <row r="5823" spans="1:1" ht="21">
      <c r="A5823" s="345"/>
    </row>
    <row r="5824" spans="1:1" ht="21">
      <c r="A5824" s="345"/>
    </row>
    <row r="5825" spans="1:1" ht="21">
      <c r="A5825" s="345"/>
    </row>
    <row r="5826" spans="1:1" ht="21">
      <c r="A5826" s="345"/>
    </row>
    <row r="5827" spans="1:1" ht="21">
      <c r="A5827" s="345"/>
    </row>
    <row r="5828" spans="1:1" ht="21">
      <c r="A5828" s="345"/>
    </row>
    <row r="5829" spans="1:1" ht="21">
      <c r="A5829" s="345"/>
    </row>
    <row r="5830" spans="1:1" ht="21">
      <c r="A5830" s="345"/>
    </row>
    <row r="5831" spans="1:1" ht="21">
      <c r="A5831" s="345"/>
    </row>
    <row r="5832" spans="1:1" ht="21">
      <c r="A5832" s="345"/>
    </row>
    <row r="5833" spans="1:1" ht="21">
      <c r="A5833" s="345"/>
    </row>
    <row r="5834" spans="1:1" ht="21">
      <c r="A5834" s="345"/>
    </row>
    <row r="5835" spans="1:1" ht="21">
      <c r="A5835" s="345"/>
    </row>
    <row r="5836" spans="1:1" ht="21">
      <c r="A5836" s="345"/>
    </row>
    <row r="5837" spans="1:1" ht="21">
      <c r="A5837" s="345"/>
    </row>
    <row r="5838" spans="1:1" ht="21">
      <c r="A5838" s="345"/>
    </row>
    <row r="5839" spans="1:1" ht="21">
      <c r="A5839" s="345"/>
    </row>
    <row r="5840" spans="1:1" ht="21">
      <c r="A5840" s="345"/>
    </row>
    <row r="5841" spans="1:1" ht="21">
      <c r="A5841" s="345"/>
    </row>
    <row r="5842" spans="1:1" ht="21">
      <c r="A5842" s="345"/>
    </row>
    <row r="5843" spans="1:1" ht="21">
      <c r="A5843" s="345"/>
    </row>
    <row r="5844" spans="1:1" ht="21">
      <c r="A5844" s="345"/>
    </row>
    <row r="5845" spans="1:1" ht="21">
      <c r="A5845" s="345"/>
    </row>
    <row r="5846" spans="1:1" ht="21">
      <c r="A5846" s="345"/>
    </row>
    <row r="5847" spans="1:1" ht="21">
      <c r="A5847" s="345"/>
    </row>
    <row r="5848" spans="1:1" ht="21">
      <c r="A5848" s="345"/>
    </row>
    <row r="5849" spans="1:1" ht="21">
      <c r="A5849" s="345"/>
    </row>
    <row r="5850" spans="1:1" ht="21">
      <c r="A5850" s="345"/>
    </row>
    <row r="5851" spans="1:1" ht="21">
      <c r="A5851" s="345"/>
    </row>
    <row r="5852" spans="1:1" ht="21">
      <c r="A5852" s="345"/>
    </row>
    <row r="5853" spans="1:1" ht="21">
      <c r="A5853" s="345"/>
    </row>
    <row r="5854" spans="1:1" ht="21">
      <c r="A5854" s="345"/>
    </row>
    <row r="5855" spans="1:1" ht="21">
      <c r="A5855" s="345"/>
    </row>
    <row r="5856" spans="1:1" ht="21">
      <c r="A5856" s="345"/>
    </row>
    <row r="5857" spans="1:1" ht="21">
      <c r="A5857" s="345"/>
    </row>
    <row r="5858" spans="1:1" ht="21">
      <c r="A5858" s="345"/>
    </row>
    <row r="5859" spans="1:1" ht="21">
      <c r="A5859" s="345"/>
    </row>
    <row r="5860" spans="1:1" ht="21">
      <c r="A5860" s="345"/>
    </row>
    <row r="5861" spans="1:1" ht="21">
      <c r="A5861" s="345"/>
    </row>
    <row r="5862" spans="1:1" ht="21">
      <c r="A5862" s="345"/>
    </row>
    <row r="5863" spans="1:1" ht="21">
      <c r="A5863" s="345"/>
    </row>
    <row r="5864" spans="1:1" ht="21">
      <c r="A5864" s="345"/>
    </row>
    <row r="5865" spans="1:1" ht="21">
      <c r="A5865" s="345"/>
    </row>
    <row r="5866" spans="1:1" ht="21">
      <c r="A5866" s="345"/>
    </row>
    <row r="5867" spans="1:1" ht="21">
      <c r="A5867" s="345"/>
    </row>
    <row r="5868" spans="1:1" ht="21">
      <c r="A5868" s="345"/>
    </row>
    <row r="5869" spans="1:1" ht="21">
      <c r="A5869" s="345"/>
    </row>
    <row r="5870" spans="1:1" ht="21">
      <c r="A5870" s="345"/>
    </row>
    <row r="5871" spans="1:1" ht="21">
      <c r="A5871" s="345"/>
    </row>
    <row r="5872" spans="1:1" ht="21">
      <c r="A5872" s="345"/>
    </row>
    <row r="5873" spans="1:1" ht="21">
      <c r="A5873" s="345"/>
    </row>
    <row r="5874" spans="1:1" ht="21">
      <c r="A5874" s="345"/>
    </row>
    <row r="5875" spans="1:1" ht="21">
      <c r="A5875" s="345"/>
    </row>
    <row r="5876" spans="1:1" ht="21">
      <c r="A5876" s="345"/>
    </row>
    <row r="5877" spans="1:1" ht="21">
      <c r="A5877" s="345"/>
    </row>
    <row r="5878" spans="1:1" ht="21">
      <c r="A5878" s="345"/>
    </row>
    <row r="5879" spans="1:1" ht="21">
      <c r="A5879" s="345"/>
    </row>
    <row r="5880" spans="1:1" ht="21">
      <c r="A5880" s="345"/>
    </row>
    <row r="5881" spans="1:1" ht="21">
      <c r="A5881" s="345"/>
    </row>
    <row r="5882" spans="1:1" ht="21">
      <c r="A5882" s="345"/>
    </row>
    <row r="5883" spans="1:1" ht="21">
      <c r="A5883" s="345"/>
    </row>
    <row r="5884" spans="1:1" ht="21">
      <c r="A5884" s="345"/>
    </row>
    <row r="5885" spans="1:1" ht="21">
      <c r="A5885" s="345"/>
    </row>
    <row r="5886" spans="1:1" ht="21">
      <c r="A5886" s="345"/>
    </row>
    <row r="5887" spans="1:1" ht="21">
      <c r="A5887" s="345"/>
    </row>
    <row r="5888" spans="1:1" ht="21">
      <c r="A5888" s="345"/>
    </row>
    <row r="5889" spans="1:1" ht="21">
      <c r="A5889" s="345"/>
    </row>
    <row r="5890" spans="1:1" ht="21">
      <c r="A5890" s="345"/>
    </row>
    <row r="5891" spans="1:1" ht="21">
      <c r="A5891" s="345"/>
    </row>
    <row r="5892" spans="1:1" ht="21">
      <c r="A5892" s="345"/>
    </row>
    <row r="5893" spans="1:1" ht="21">
      <c r="A5893" s="345"/>
    </row>
    <row r="5894" spans="1:1" ht="21">
      <c r="A5894" s="345"/>
    </row>
    <row r="5895" spans="1:1" ht="21">
      <c r="A5895" s="345"/>
    </row>
    <row r="5896" spans="1:1" ht="21">
      <c r="A5896" s="345"/>
    </row>
    <row r="5897" spans="1:1" ht="21">
      <c r="A5897" s="345"/>
    </row>
    <row r="5898" spans="1:1" ht="21">
      <c r="A5898" s="345"/>
    </row>
    <row r="5899" spans="1:1" ht="21">
      <c r="A5899" s="345"/>
    </row>
    <row r="5900" spans="1:1" ht="21">
      <c r="A5900" s="345"/>
    </row>
    <row r="5901" spans="1:1" ht="21">
      <c r="A5901" s="345"/>
    </row>
    <row r="5902" spans="1:1" ht="21">
      <c r="A5902" s="345"/>
    </row>
    <row r="5903" spans="1:1" ht="21">
      <c r="A5903" s="345"/>
    </row>
    <row r="5904" spans="1:1" ht="21">
      <c r="A5904" s="345"/>
    </row>
    <row r="5905" spans="1:1" ht="21">
      <c r="A5905" s="345"/>
    </row>
    <row r="5906" spans="1:1" ht="21">
      <c r="A5906" s="345"/>
    </row>
    <row r="5907" spans="1:1" ht="21">
      <c r="A5907" s="345"/>
    </row>
    <row r="5908" spans="1:1" ht="21">
      <c r="A5908" s="345"/>
    </row>
    <row r="5909" spans="1:1" ht="21">
      <c r="A5909" s="345"/>
    </row>
    <row r="5910" spans="1:1" ht="21">
      <c r="A5910" s="345"/>
    </row>
    <row r="5911" spans="1:1" ht="21">
      <c r="A5911" s="345"/>
    </row>
    <row r="5912" spans="1:1" ht="21">
      <c r="A5912" s="345"/>
    </row>
    <row r="5913" spans="1:1" ht="21">
      <c r="A5913" s="345"/>
    </row>
    <row r="5914" spans="1:1" ht="21">
      <c r="A5914" s="345"/>
    </row>
    <row r="5915" spans="1:1" ht="21">
      <c r="A5915" s="345"/>
    </row>
    <row r="5916" spans="1:1" ht="21">
      <c r="A5916" s="345"/>
    </row>
    <row r="5917" spans="1:1" ht="21">
      <c r="A5917" s="345"/>
    </row>
    <row r="5918" spans="1:1" ht="21">
      <c r="A5918" s="345"/>
    </row>
    <row r="5919" spans="1:1" ht="21">
      <c r="A5919" s="345"/>
    </row>
    <row r="5920" spans="1:1" ht="21">
      <c r="A5920" s="345"/>
    </row>
    <row r="5921" spans="1:1" ht="21">
      <c r="A5921" s="345"/>
    </row>
    <row r="5922" spans="1:1" ht="21">
      <c r="A5922" s="345"/>
    </row>
    <row r="5923" spans="1:1" ht="21">
      <c r="A5923" s="345"/>
    </row>
    <row r="5924" spans="1:1" ht="21">
      <c r="A5924" s="345"/>
    </row>
    <row r="5925" spans="1:1" ht="21">
      <c r="A5925" s="345"/>
    </row>
    <row r="5926" spans="1:1" ht="21">
      <c r="A5926" s="345"/>
    </row>
    <row r="5927" spans="1:1" ht="21">
      <c r="A5927" s="345"/>
    </row>
    <row r="5928" spans="1:1" ht="21">
      <c r="A5928" s="345"/>
    </row>
    <row r="5929" spans="1:1" ht="21">
      <c r="A5929" s="345"/>
    </row>
    <row r="5930" spans="1:1" ht="21">
      <c r="A5930" s="345"/>
    </row>
    <row r="5931" spans="1:1" ht="21">
      <c r="A5931" s="345"/>
    </row>
    <row r="5932" spans="1:1" ht="21">
      <c r="A5932" s="345"/>
    </row>
    <row r="5933" spans="1:1" ht="21">
      <c r="A5933" s="345"/>
    </row>
    <row r="5934" spans="1:1" ht="21">
      <c r="A5934" s="345"/>
    </row>
    <row r="5935" spans="1:1" ht="21">
      <c r="A5935" s="345"/>
    </row>
    <row r="5936" spans="1:1" ht="21">
      <c r="A5936" s="345"/>
    </row>
    <row r="5937" spans="1:1" ht="21">
      <c r="A5937" s="345"/>
    </row>
    <row r="5938" spans="1:1" ht="21">
      <c r="A5938" s="345"/>
    </row>
    <row r="5939" spans="1:1" ht="21">
      <c r="A5939" s="345"/>
    </row>
    <row r="5940" spans="1:1" ht="21">
      <c r="A5940" s="345"/>
    </row>
    <row r="5941" spans="1:1" ht="21">
      <c r="A5941" s="345"/>
    </row>
    <row r="5942" spans="1:1" ht="21">
      <c r="A5942" s="345"/>
    </row>
    <row r="5943" spans="1:1" ht="21">
      <c r="A5943" s="345"/>
    </row>
    <row r="5944" spans="1:1" ht="21">
      <c r="A5944" s="345"/>
    </row>
    <row r="5945" spans="1:1" ht="21">
      <c r="A5945" s="345"/>
    </row>
    <row r="5946" spans="1:1" ht="21">
      <c r="A5946" s="345"/>
    </row>
    <row r="5947" spans="1:1" ht="21">
      <c r="A5947" s="345"/>
    </row>
    <row r="5948" spans="1:1" ht="21">
      <c r="A5948" s="345"/>
    </row>
    <row r="5949" spans="1:1" ht="21">
      <c r="A5949" s="345"/>
    </row>
    <row r="5950" spans="1:1" ht="21">
      <c r="A5950" s="345"/>
    </row>
    <row r="5951" spans="1:1" ht="21">
      <c r="A5951" s="345"/>
    </row>
    <row r="5952" spans="1:1" ht="21">
      <c r="A5952" s="345"/>
    </row>
    <row r="5953" spans="1:1" ht="21">
      <c r="A5953" s="345"/>
    </row>
    <row r="5954" spans="1:1" ht="21">
      <c r="A5954" s="345"/>
    </row>
    <row r="5955" spans="1:1" ht="21">
      <c r="A5955" s="345"/>
    </row>
    <row r="5956" spans="1:1" ht="21">
      <c r="A5956" s="345"/>
    </row>
    <row r="5957" spans="1:1" ht="21">
      <c r="A5957" s="345"/>
    </row>
    <row r="5958" spans="1:1" ht="21">
      <c r="A5958" s="345"/>
    </row>
    <row r="5959" spans="1:1" ht="21">
      <c r="A5959" s="345"/>
    </row>
    <row r="5960" spans="1:1" ht="21">
      <c r="A5960" s="345"/>
    </row>
    <row r="5961" spans="1:1" ht="21">
      <c r="A5961" s="345"/>
    </row>
    <row r="5962" spans="1:1" ht="21">
      <c r="A5962" s="345"/>
    </row>
    <row r="5963" spans="1:1" ht="21">
      <c r="A5963" s="345"/>
    </row>
    <row r="5964" spans="1:1" ht="21">
      <c r="A5964" s="345"/>
    </row>
    <row r="5965" spans="1:1" ht="21">
      <c r="A5965" s="345"/>
    </row>
    <row r="5966" spans="1:1" ht="21">
      <c r="A5966" s="345"/>
    </row>
    <row r="5967" spans="1:1" ht="21">
      <c r="A5967" s="345"/>
    </row>
    <row r="5968" spans="1:1" ht="21">
      <c r="A5968" s="345"/>
    </row>
    <row r="5969" spans="1:1" ht="21">
      <c r="A5969" s="345"/>
    </row>
    <row r="5970" spans="1:1" ht="21">
      <c r="A5970" s="345"/>
    </row>
    <row r="5971" spans="1:1" ht="21">
      <c r="A5971" s="345"/>
    </row>
    <row r="5972" spans="1:1" ht="21">
      <c r="A5972" s="345"/>
    </row>
    <row r="5973" spans="1:1" ht="21">
      <c r="A5973" s="345"/>
    </row>
    <row r="5974" spans="1:1" ht="21">
      <c r="A5974" s="345"/>
    </row>
    <row r="5975" spans="1:1" ht="21">
      <c r="A5975" s="345"/>
    </row>
    <row r="5976" spans="1:1" ht="21">
      <c r="A5976" s="345"/>
    </row>
    <row r="5977" spans="1:1" ht="21">
      <c r="A5977" s="345"/>
    </row>
    <row r="5978" spans="1:1" ht="21">
      <c r="A5978" s="345"/>
    </row>
    <row r="5979" spans="1:1" ht="21">
      <c r="A5979" s="345"/>
    </row>
    <row r="5980" spans="1:1" ht="21">
      <c r="A5980" s="345"/>
    </row>
    <row r="5981" spans="1:1" ht="21">
      <c r="A5981" s="345"/>
    </row>
    <row r="5982" spans="1:1" ht="21">
      <c r="A5982" s="345"/>
    </row>
    <row r="5983" spans="1:1" ht="21">
      <c r="A5983" s="345"/>
    </row>
    <row r="5984" spans="1:1" ht="21">
      <c r="A5984" s="345"/>
    </row>
    <row r="5985" spans="1:1" ht="21">
      <c r="A5985" s="345"/>
    </row>
    <row r="5986" spans="1:1" ht="21">
      <c r="A5986" s="345"/>
    </row>
    <row r="5987" spans="1:1" ht="21">
      <c r="A5987" s="345"/>
    </row>
    <row r="5988" spans="1:1" ht="21">
      <c r="A5988" s="345"/>
    </row>
    <row r="5989" spans="1:1" ht="21">
      <c r="A5989" s="345"/>
    </row>
    <row r="5990" spans="1:1" ht="21">
      <c r="A5990" s="345"/>
    </row>
    <row r="5991" spans="1:1" ht="21">
      <c r="A5991" s="345"/>
    </row>
    <row r="5992" spans="1:1" ht="21">
      <c r="A5992" s="345"/>
    </row>
    <row r="5993" spans="1:1" ht="21">
      <c r="A5993" s="345"/>
    </row>
    <row r="5994" spans="1:1" ht="21">
      <c r="A5994" s="345"/>
    </row>
    <row r="5995" spans="1:1" ht="21">
      <c r="A5995" s="345"/>
    </row>
    <row r="5996" spans="1:1" ht="21">
      <c r="A5996" s="345"/>
    </row>
    <row r="5997" spans="1:1" ht="21">
      <c r="A5997" s="345"/>
    </row>
    <row r="5998" spans="1:1" ht="21">
      <c r="A5998" s="345"/>
    </row>
    <row r="5999" spans="1:1" ht="21">
      <c r="A5999" s="345"/>
    </row>
    <row r="6000" spans="1:1" ht="21">
      <c r="A6000" s="345"/>
    </row>
    <row r="6001" spans="1:1" ht="21">
      <c r="A6001" s="345"/>
    </row>
    <row r="6002" spans="1:1" ht="21">
      <c r="A6002" s="345"/>
    </row>
    <row r="6003" spans="1:1" ht="21">
      <c r="A6003" s="345"/>
    </row>
    <row r="6004" spans="1:1" ht="21">
      <c r="A6004" s="345"/>
    </row>
    <row r="6005" spans="1:1" ht="21">
      <c r="A6005" s="345"/>
    </row>
    <row r="6006" spans="1:1" ht="21">
      <c r="A6006" s="345"/>
    </row>
    <row r="6007" spans="1:1" ht="21">
      <c r="A6007" s="345"/>
    </row>
    <row r="6008" spans="1:1" ht="21">
      <c r="A6008" s="345"/>
    </row>
    <row r="6009" spans="1:1" ht="21">
      <c r="A6009" s="345"/>
    </row>
    <row r="6010" spans="1:1" ht="21">
      <c r="A6010" s="345"/>
    </row>
    <row r="6011" spans="1:1" ht="21">
      <c r="A6011" s="345"/>
    </row>
    <row r="6012" spans="1:1" ht="21">
      <c r="A6012" s="345"/>
    </row>
    <row r="6013" spans="1:1" ht="21">
      <c r="A6013" s="345"/>
    </row>
    <row r="6014" spans="1:1" ht="21">
      <c r="A6014" s="345"/>
    </row>
    <row r="6015" spans="1:1" ht="21">
      <c r="A6015" s="345"/>
    </row>
    <row r="6016" spans="1:1" ht="21">
      <c r="A6016" s="345"/>
    </row>
    <row r="6017" spans="1:1" ht="21">
      <c r="A6017" s="345"/>
    </row>
    <row r="6018" spans="1:1" ht="21">
      <c r="A6018" s="345"/>
    </row>
    <row r="6019" spans="1:1" ht="21">
      <c r="A6019" s="345"/>
    </row>
    <row r="6020" spans="1:1" ht="21">
      <c r="A6020" s="345"/>
    </row>
    <row r="6021" spans="1:1" ht="21">
      <c r="A6021" s="345"/>
    </row>
    <row r="6022" spans="1:1" ht="21">
      <c r="A6022" s="345"/>
    </row>
    <row r="6023" spans="1:1" ht="21">
      <c r="A6023" s="345"/>
    </row>
    <row r="6024" spans="1:1" ht="21">
      <c r="A6024" s="345"/>
    </row>
    <row r="6025" spans="1:1" ht="21">
      <c r="A6025" s="345"/>
    </row>
    <row r="6026" spans="1:1" ht="21">
      <c r="A6026" s="345"/>
    </row>
    <row r="6027" spans="1:1" ht="21">
      <c r="A6027" s="345"/>
    </row>
    <row r="6028" spans="1:1" ht="21">
      <c r="A6028" s="345"/>
    </row>
    <row r="6029" spans="1:1" ht="21">
      <c r="A6029" s="345"/>
    </row>
    <row r="6030" spans="1:1" ht="21">
      <c r="A6030" s="345"/>
    </row>
    <row r="6031" spans="1:1" ht="21">
      <c r="A6031" s="345"/>
    </row>
    <row r="6032" spans="1:1" ht="21">
      <c r="A6032" s="345"/>
    </row>
    <row r="6033" spans="1:1" ht="21">
      <c r="A6033" s="345"/>
    </row>
    <row r="6034" spans="1:1" ht="21">
      <c r="A6034" s="345"/>
    </row>
    <row r="6035" spans="1:1" ht="21">
      <c r="A6035" s="345"/>
    </row>
    <row r="6036" spans="1:1" ht="21">
      <c r="A6036" s="345"/>
    </row>
    <row r="6037" spans="1:1" ht="21">
      <c r="A6037" s="345"/>
    </row>
    <row r="6038" spans="1:1" ht="21">
      <c r="A6038" s="345"/>
    </row>
    <row r="6039" spans="1:1" ht="21">
      <c r="A6039" s="345"/>
    </row>
    <row r="6040" spans="1:1" ht="21">
      <c r="A6040" s="345"/>
    </row>
    <row r="6041" spans="1:1" ht="21">
      <c r="A6041" s="345"/>
    </row>
    <row r="6042" spans="1:1" ht="21">
      <c r="A6042" s="345"/>
    </row>
    <row r="6043" spans="1:1" ht="21">
      <c r="A6043" s="345"/>
    </row>
    <row r="6044" spans="1:1" ht="21">
      <c r="A6044" s="345"/>
    </row>
    <row r="6045" spans="1:1" ht="21">
      <c r="A6045" s="345"/>
    </row>
    <row r="6046" spans="1:1" ht="21">
      <c r="A6046" s="345"/>
    </row>
    <row r="6047" spans="1:1" ht="21">
      <c r="A6047" s="345"/>
    </row>
    <row r="6048" spans="1:1" ht="21">
      <c r="A6048" s="345"/>
    </row>
    <row r="6049" spans="1:1" ht="21">
      <c r="A6049" s="345"/>
    </row>
    <row r="6050" spans="1:1" ht="21">
      <c r="A6050" s="345"/>
    </row>
    <row r="6051" spans="1:1" ht="21">
      <c r="A6051" s="345"/>
    </row>
    <row r="6052" spans="1:1" ht="21">
      <c r="A6052" s="345"/>
    </row>
    <row r="6053" spans="1:1" ht="21">
      <c r="A6053" s="345"/>
    </row>
    <row r="6054" spans="1:1" ht="21">
      <c r="A6054" s="345"/>
    </row>
    <row r="6055" spans="1:1" ht="21">
      <c r="A6055" s="345"/>
    </row>
    <row r="6056" spans="1:1" ht="21">
      <c r="A6056" s="345"/>
    </row>
    <row r="6057" spans="1:1" ht="21">
      <c r="A6057" s="345"/>
    </row>
    <row r="6058" spans="1:1" ht="21">
      <c r="A6058" s="345"/>
    </row>
    <row r="6059" spans="1:1" ht="21">
      <c r="A6059" s="345"/>
    </row>
    <row r="6060" spans="1:1" ht="21">
      <c r="A6060" s="345"/>
    </row>
    <row r="6061" spans="1:1" ht="21">
      <c r="A6061" s="345"/>
    </row>
    <row r="6062" spans="1:1" ht="21">
      <c r="A6062" s="345"/>
    </row>
    <row r="6063" spans="1:1" ht="21">
      <c r="A6063" s="345"/>
    </row>
    <row r="6064" spans="1:1" ht="21">
      <c r="A6064" s="345"/>
    </row>
    <row r="6065" spans="1:1" ht="21">
      <c r="A6065" s="345"/>
    </row>
    <row r="6066" spans="1:1" ht="21">
      <c r="A6066" s="345"/>
    </row>
    <row r="6067" spans="1:1" ht="21">
      <c r="A6067" s="345"/>
    </row>
    <row r="6068" spans="1:1" ht="21">
      <c r="A6068" s="345"/>
    </row>
    <row r="6069" spans="1:1" ht="21">
      <c r="A6069" s="345"/>
    </row>
    <row r="6070" spans="1:1" ht="21">
      <c r="A6070" s="345"/>
    </row>
    <row r="6071" spans="1:1" ht="21">
      <c r="A6071" s="345"/>
    </row>
    <row r="6072" spans="1:1" ht="21">
      <c r="A6072" s="345"/>
    </row>
    <row r="6073" spans="1:1" ht="21">
      <c r="A6073" s="345"/>
    </row>
    <row r="6074" spans="1:1" ht="21">
      <c r="A6074" s="345"/>
    </row>
    <row r="6075" spans="1:1" ht="21">
      <c r="A6075" s="345"/>
    </row>
    <row r="6076" spans="1:1" ht="21">
      <c r="A6076" s="345"/>
    </row>
    <row r="6077" spans="1:1" ht="21">
      <c r="A6077" s="345"/>
    </row>
    <row r="6078" spans="1:1" ht="21">
      <c r="A6078" s="345"/>
    </row>
    <row r="6079" spans="1:1" ht="21">
      <c r="A6079" s="345"/>
    </row>
    <row r="6080" spans="1:1" ht="21">
      <c r="A6080" s="345"/>
    </row>
    <row r="6081" spans="1:1" ht="21">
      <c r="A6081" s="345"/>
    </row>
    <row r="6082" spans="1:1" ht="21">
      <c r="A6082" s="345"/>
    </row>
    <row r="6083" spans="1:1" ht="21">
      <c r="A6083" s="345"/>
    </row>
    <row r="6084" spans="1:1" ht="21">
      <c r="A6084" s="345"/>
    </row>
    <row r="6085" spans="1:1" ht="21">
      <c r="A6085" s="345"/>
    </row>
    <row r="6086" spans="1:1" ht="21">
      <c r="A6086" s="345"/>
    </row>
    <row r="6087" spans="1:1" ht="21">
      <c r="A6087" s="345"/>
    </row>
    <row r="6088" spans="1:1" ht="21">
      <c r="A6088" s="345"/>
    </row>
    <row r="6089" spans="1:1" ht="21">
      <c r="A6089" s="345"/>
    </row>
    <row r="6090" spans="1:1" ht="21">
      <c r="A6090" s="345"/>
    </row>
    <row r="6091" spans="1:1" ht="21">
      <c r="A6091" s="345"/>
    </row>
    <row r="6092" spans="1:1" ht="21">
      <c r="A6092" s="345"/>
    </row>
    <row r="6093" spans="1:1" ht="21">
      <c r="A6093" s="345"/>
    </row>
    <row r="6094" spans="1:1" ht="21">
      <c r="A6094" s="345"/>
    </row>
    <row r="6095" spans="1:1" ht="21">
      <c r="A6095" s="345"/>
    </row>
    <row r="6096" spans="1:1" ht="21">
      <c r="A6096" s="345"/>
    </row>
    <row r="6097" spans="1:1" ht="21">
      <c r="A6097" s="345"/>
    </row>
    <row r="6098" spans="1:1" ht="21">
      <c r="A6098" s="345"/>
    </row>
    <row r="6099" spans="1:1" ht="21">
      <c r="A6099" s="345"/>
    </row>
    <row r="6100" spans="1:1" ht="21">
      <c r="A6100" s="345"/>
    </row>
    <row r="6101" spans="1:1" ht="21">
      <c r="A6101" s="345"/>
    </row>
    <row r="6102" spans="1:1" ht="21">
      <c r="A6102" s="345"/>
    </row>
    <row r="6103" spans="1:1" ht="21">
      <c r="A6103" s="345"/>
    </row>
    <row r="6104" spans="1:1" ht="21">
      <c r="A6104" s="345"/>
    </row>
    <row r="6105" spans="1:1" ht="21">
      <c r="A6105" s="345"/>
    </row>
    <row r="6106" spans="1:1" ht="21">
      <c r="A6106" s="345"/>
    </row>
    <row r="6107" spans="1:1" ht="21">
      <c r="A6107" s="345"/>
    </row>
    <row r="6108" spans="1:1" ht="21">
      <c r="A6108" s="345"/>
    </row>
    <row r="6109" spans="1:1" ht="21">
      <c r="A6109" s="345"/>
    </row>
    <row r="6110" spans="1:1" ht="21">
      <c r="A6110" s="345"/>
    </row>
    <row r="6111" spans="1:1" ht="21">
      <c r="A6111" s="345"/>
    </row>
    <row r="6112" spans="1:1" ht="21">
      <c r="A6112" s="345"/>
    </row>
    <row r="6113" spans="1:1" ht="21">
      <c r="A6113" s="345"/>
    </row>
    <row r="6114" spans="1:1" ht="21">
      <c r="A6114" s="345"/>
    </row>
    <row r="6115" spans="1:1" ht="21">
      <c r="A6115" s="345"/>
    </row>
    <row r="6116" spans="1:1" ht="21">
      <c r="A6116" s="345"/>
    </row>
    <row r="6117" spans="1:1" ht="21">
      <c r="A6117" s="345"/>
    </row>
    <row r="6118" spans="1:1" ht="21">
      <c r="A6118" s="345"/>
    </row>
    <row r="6119" spans="1:1" ht="21">
      <c r="A6119" s="345"/>
    </row>
    <row r="6120" spans="1:1" ht="21">
      <c r="A6120" s="345"/>
    </row>
    <row r="6121" spans="1:1" ht="21">
      <c r="A6121" s="345"/>
    </row>
    <row r="6122" spans="1:1" ht="21">
      <c r="A6122" s="345"/>
    </row>
    <row r="6123" spans="1:1" ht="21">
      <c r="A6123" s="345"/>
    </row>
    <row r="6124" spans="1:1" ht="21">
      <c r="A6124" s="345"/>
    </row>
    <row r="6125" spans="1:1" ht="21">
      <c r="A6125" s="345"/>
    </row>
    <row r="6126" spans="1:1" ht="21">
      <c r="A6126" s="345"/>
    </row>
    <row r="6127" spans="1:1" ht="21">
      <c r="A6127" s="345"/>
    </row>
    <row r="6128" spans="1:1" ht="21">
      <c r="A6128" s="345"/>
    </row>
    <row r="6129" spans="1:1" ht="21">
      <c r="A6129" s="345"/>
    </row>
    <row r="6130" spans="1:1" ht="21">
      <c r="A6130" s="345"/>
    </row>
    <row r="6131" spans="1:1" ht="21">
      <c r="A6131" s="345"/>
    </row>
    <row r="6132" spans="1:1" ht="21">
      <c r="A6132" s="345"/>
    </row>
    <row r="6133" spans="1:1" ht="21">
      <c r="A6133" s="345"/>
    </row>
    <row r="6134" spans="1:1" ht="21">
      <c r="A6134" s="345"/>
    </row>
    <row r="6135" spans="1:1" ht="21">
      <c r="A6135" s="345"/>
    </row>
    <row r="6136" spans="1:1" ht="21">
      <c r="A6136" s="345"/>
    </row>
    <row r="6137" spans="1:1" ht="21">
      <c r="A6137" s="345"/>
    </row>
    <row r="6138" spans="1:1" ht="21">
      <c r="A6138" s="345"/>
    </row>
    <row r="6139" spans="1:1" ht="21">
      <c r="A6139" s="345"/>
    </row>
    <row r="6140" spans="1:1" ht="21">
      <c r="A6140" s="345"/>
    </row>
    <row r="6141" spans="1:1" ht="21">
      <c r="A6141" s="345"/>
    </row>
    <row r="6142" spans="1:1" ht="21">
      <c r="A6142" s="345"/>
    </row>
    <row r="6143" spans="1:1" ht="21">
      <c r="A6143" s="345"/>
    </row>
    <row r="6144" spans="1:1" ht="21">
      <c r="A6144" s="345"/>
    </row>
    <row r="6145" spans="1:1" ht="21">
      <c r="A6145" s="345"/>
    </row>
    <row r="6146" spans="1:1" ht="21">
      <c r="A6146" s="345"/>
    </row>
    <row r="6147" spans="1:1" ht="21">
      <c r="A6147" s="345"/>
    </row>
    <row r="6148" spans="1:1" ht="21">
      <c r="A6148" s="345"/>
    </row>
    <row r="6149" spans="1:1" ht="21">
      <c r="A6149" s="345"/>
    </row>
    <row r="6150" spans="1:1" ht="21">
      <c r="A6150" s="345"/>
    </row>
    <row r="6151" spans="1:1" ht="21">
      <c r="A6151" s="345"/>
    </row>
    <row r="6152" spans="1:1" ht="21">
      <c r="A6152" s="345"/>
    </row>
    <row r="6153" spans="1:1" ht="21">
      <c r="A6153" s="345"/>
    </row>
    <row r="6154" spans="1:1" ht="21">
      <c r="A6154" s="345"/>
    </row>
    <row r="6155" spans="1:1" ht="21">
      <c r="A6155" s="345"/>
    </row>
    <row r="6156" spans="1:1" ht="21">
      <c r="A6156" s="345"/>
    </row>
    <row r="6157" spans="1:1" ht="21">
      <c r="A6157" s="345"/>
    </row>
    <row r="6158" spans="1:1" ht="21">
      <c r="A6158" s="345"/>
    </row>
    <row r="6159" spans="1:1" ht="21">
      <c r="A6159" s="345"/>
    </row>
    <row r="6160" spans="1:1" ht="21">
      <c r="A6160" s="345"/>
    </row>
    <row r="6161" spans="1:1" ht="21">
      <c r="A6161" s="345"/>
    </row>
    <row r="6162" spans="1:1" ht="21">
      <c r="A6162" s="345"/>
    </row>
    <row r="6163" spans="1:1" ht="21">
      <c r="A6163" s="345"/>
    </row>
    <row r="6164" spans="1:1" ht="21">
      <c r="A6164" s="345"/>
    </row>
    <row r="6165" spans="1:1" ht="21">
      <c r="A6165" s="345"/>
    </row>
    <row r="6166" spans="1:1" ht="21">
      <c r="A6166" s="345"/>
    </row>
    <row r="6167" spans="1:1" ht="21">
      <c r="A6167" s="345"/>
    </row>
    <row r="6168" spans="1:1" ht="21">
      <c r="A6168" s="345"/>
    </row>
    <row r="6169" spans="1:1" ht="21">
      <c r="A6169" s="345"/>
    </row>
    <row r="6170" spans="1:1" ht="21">
      <c r="A6170" s="345"/>
    </row>
    <row r="6171" spans="1:1" ht="21">
      <c r="A6171" s="345"/>
    </row>
    <row r="6172" spans="1:1" ht="21">
      <c r="A6172" s="345"/>
    </row>
    <row r="6173" spans="1:1" ht="21">
      <c r="A6173" s="345"/>
    </row>
    <row r="6174" spans="1:1" ht="21">
      <c r="A6174" s="345"/>
    </row>
    <row r="6175" spans="1:1" ht="21">
      <c r="A6175" s="345"/>
    </row>
    <row r="6176" spans="1:1" ht="21">
      <c r="A6176" s="345"/>
    </row>
    <row r="6177" spans="1:1" ht="21">
      <c r="A6177" s="345"/>
    </row>
    <row r="6178" spans="1:1" ht="21">
      <c r="A6178" s="345"/>
    </row>
    <row r="6179" spans="1:1" ht="21">
      <c r="A6179" s="345"/>
    </row>
    <row r="6180" spans="1:1" ht="21">
      <c r="A6180" s="345"/>
    </row>
    <row r="6181" spans="1:1" ht="21">
      <c r="A6181" s="345"/>
    </row>
    <row r="6182" spans="1:1" ht="21">
      <c r="A6182" s="345"/>
    </row>
    <row r="6183" spans="1:1" ht="21">
      <c r="A6183" s="345"/>
    </row>
    <row r="6184" spans="1:1" ht="21">
      <c r="A6184" s="345"/>
    </row>
    <row r="6185" spans="1:1" ht="21">
      <c r="A6185" s="345"/>
    </row>
    <row r="6186" spans="1:1" ht="21">
      <c r="A6186" s="345"/>
    </row>
    <row r="6187" spans="1:1" ht="21">
      <c r="A6187" s="345"/>
    </row>
    <row r="6188" spans="1:1" ht="21">
      <c r="A6188" s="345"/>
    </row>
    <row r="6189" spans="1:1" ht="21">
      <c r="A6189" s="345"/>
    </row>
    <row r="6190" spans="1:1" ht="21">
      <c r="A6190" s="345"/>
    </row>
    <row r="6191" spans="1:1" ht="21">
      <c r="A6191" s="345"/>
    </row>
    <row r="6192" spans="1:1" ht="21">
      <c r="A6192" s="345"/>
    </row>
    <row r="6193" spans="1:1" ht="21">
      <c r="A6193" s="345"/>
    </row>
    <row r="6194" spans="1:1" ht="21">
      <c r="A6194" s="345"/>
    </row>
    <row r="6195" spans="1:1" ht="21">
      <c r="A6195" s="345"/>
    </row>
    <row r="6196" spans="1:1" ht="21">
      <c r="A6196" s="345"/>
    </row>
    <row r="6197" spans="1:1" ht="21">
      <c r="A6197" s="345"/>
    </row>
    <row r="6198" spans="1:1" ht="21">
      <c r="A6198" s="345"/>
    </row>
    <row r="6199" spans="1:1" ht="21">
      <c r="A6199" s="345"/>
    </row>
    <row r="6200" spans="1:1" ht="21">
      <c r="A6200" s="345"/>
    </row>
    <row r="6201" spans="1:1" ht="21">
      <c r="A6201" s="345"/>
    </row>
    <row r="6202" spans="1:1" ht="21">
      <c r="A6202" s="345"/>
    </row>
    <row r="6203" spans="1:1" ht="21">
      <c r="A6203" s="345"/>
    </row>
    <row r="6204" spans="1:1" ht="21">
      <c r="A6204" s="345"/>
    </row>
    <row r="6205" spans="1:1" ht="21">
      <c r="A6205" s="345"/>
    </row>
    <row r="6206" spans="1:1" ht="21">
      <c r="A6206" s="345"/>
    </row>
    <row r="6207" spans="1:1" ht="21">
      <c r="A6207" s="345"/>
    </row>
    <row r="6208" spans="1:1" ht="21">
      <c r="A6208" s="345"/>
    </row>
    <row r="6209" spans="1:1" ht="21">
      <c r="A6209" s="345"/>
    </row>
    <row r="6210" spans="1:1" ht="21">
      <c r="A6210" s="345"/>
    </row>
    <row r="6211" spans="1:1" ht="21">
      <c r="A6211" s="345"/>
    </row>
    <row r="6212" spans="1:1" ht="21">
      <c r="A6212" s="345"/>
    </row>
    <row r="6213" spans="1:1" ht="21">
      <c r="A6213" s="345"/>
    </row>
    <row r="6214" spans="1:1" ht="21">
      <c r="A6214" s="345"/>
    </row>
    <row r="6215" spans="1:1" ht="21">
      <c r="A6215" s="345"/>
    </row>
    <row r="6216" spans="1:1" ht="21">
      <c r="A6216" s="345"/>
    </row>
    <row r="6217" spans="1:1" ht="21">
      <c r="A6217" s="345"/>
    </row>
    <row r="6218" spans="1:1" ht="21">
      <c r="A6218" s="345"/>
    </row>
    <row r="6219" spans="1:1" ht="21">
      <c r="A6219" s="345"/>
    </row>
    <row r="6220" spans="1:1" ht="21">
      <c r="A6220" s="345"/>
    </row>
    <row r="6221" spans="1:1" ht="21">
      <c r="A6221" s="345"/>
    </row>
    <row r="6222" spans="1:1" ht="21">
      <c r="A6222" s="345"/>
    </row>
    <row r="6223" spans="1:1" ht="21">
      <c r="A6223" s="345"/>
    </row>
    <row r="6224" spans="1:1" ht="21">
      <c r="A6224" s="345"/>
    </row>
    <row r="6225" spans="1:1" ht="21">
      <c r="A6225" s="345"/>
    </row>
    <row r="6226" spans="1:1" ht="21">
      <c r="A6226" s="345"/>
    </row>
    <row r="6227" spans="1:1" ht="21">
      <c r="A6227" s="345"/>
    </row>
    <row r="6228" spans="1:1" ht="21">
      <c r="A6228" s="345"/>
    </row>
    <row r="6229" spans="1:1" ht="21">
      <c r="A6229" s="345"/>
    </row>
    <row r="6230" spans="1:1" ht="21">
      <c r="A6230" s="345"/>
    </row>
    <row r="6231" spans="1:1" ht="21">
      <c r="A6231" s="345"/>
    </row>
    <row r="6232" spans="1:1" ht="21">
      <c r="A6232" s="345"/>
    </row>
    <row r="6233" spans="1:1" ht="21">
      <c r="A6233" s="345"/>
    </row>
    <row r="6234" spans="1:1" ht="21">
      <c r="A6234" s="345"/>
    </row>
    <row r="6235" spans="1:1" ht="21">
      <c r="A6235" s="345"/>
    </row>
    <row r="6236" spans="1:1" ht="21">
      <c r="A6236" s="345"/>
    </row>
    <row r="6237" spans="1:1" ht="21">
      <c r="A6237" s="345"/>
    </row>
    <row r="6238" spans="1:1" ht="21">
      <c r="A6238" s="345"/>
    </row>
    <row r="6239" spans="1:1" ht="21">
      <c r="A6239" s="345"/>
    </row>
    <row r="6240" spans="1:1" ht="21">
      <c r="A6240" s="345"/>
    </row>
    <row r="6241" spans="1:1" ht="21">
      <c r="A6241" s="345"/>
    </row>
    <row r="6242" spans="1:1" ht="21">
      <c r="A6242" s="345"/>
    </row>
    <row r="6243" spans="1:1" ht="21">
      <c r="A6243" s="345"/>
    </row>
    <row r="6244" spans="1:1" ht="21">
      <c r="A6244" s="345"/>
    </row>
    <row r="6245" spans="1:1" ht="21">
      <c r="A6245" s="345"/>
    </row>
    <row r="6246" spans="1:1" ht="21">
      <c r="A6246" s="345"/>
    </row>
    <row r="6247" spans="1:1" ht="21">
      <c r="A6247" s="345"/>
    </row>
    <row r="6248" spans="1:1" ht="21">
      <c r="A6248" s="345"/>
    </row>
    <row r="6249" spans="1:1" ht="21">
      <c r="A6249" s="345"/>
    </row>
    <row r="6250" spans="1:1" ht="21">
      <c r="A6250" s="345"/>
    </row>
    <row r="6251" spans="1:1" ht="21">
      <c r="A6251" s="345"/>
    </row>
    <row r="6252" spans="1:1" ht="21">
      <c r="A6252" s="345"/>
    </row>
    <row r="6253" spans="1:1" ht="21">
      <c r="A6253" s="345"/>
    </row>
    <row r="6254" spans="1:1" ht="21">
      <c r="A6254" s="345"/>
    </row>
    <row r="6255" spans="1:1" ht="21">
      <c r="A6255" s="345"/>
    </row>
    <row r="6256" spans="1:1" ht="21">
      <c r="A6256" s="345"/>
    </row>
    <row r="6257" spans="1:1" ht="21">
      <c r="A6257" s="345"/>
    </row>
    <row r="6258" spans="1:1" ht="21">
      <c r="A6258" s="345"/>
    </row>
    <row r="6259" spans="1:1" ht="21">
      <c r="A6259" s="345"/>
    </row>
    <row r="6260" spans="1:1" ht="21">
      <c r="A6260" s="345"/>
    </row>
    <row r="6261" spans="1:1" ht="21">
      <c r="A6261" s="345"/>
    </row>
    <row r="6262" spans="1:1" ht="21">
      <c r="A6262" s="345"/>
    </row>
    <row r="6263" spans="1:1" ht="21">
      <c r="A6263" s="345"/>
    </row>
    <row r="6264" spans="1:1" ht="21">
      <c r="A6264" s="345"/>
    </row>
    <row r="6265" spans="1:1" ht="21">
      <c r="A6265" s="345"/>
    </row>
    <row r="6266" spans="1:1" ht="21">
      <c r="A6266" s="345"/>
    </row>
    <row r="6267" spans="1:1" ht="21">
      <c r="A6267" s="345"/>
    </row>
    <row r="6268" spans="1:1" ht="21">
      <c r="A6268" s="345"/>
    </row>
    <row r="6269" spans="1:1" ht="21">
      <c r="A6269" s="345"/>
    </row>
    <row r="6270" spans="1:1" ht="21">
      <c r="A6270" s="345"/>
    </row>
    <row r="6271" spans="1:1" ht="21">
      <c r="A6271" s="345"/>
    </row>
    <row r="6272" spans="1:1" ht="21">
      <c r="A6272" s="345"/>
    </row>
    <row r="6273" spans="1:1" ht="21">
      <c r="A6273" s="345"/>
    </row>
    <row r="6274" spans="1:1" ht="21">
      <c r="A6274" s="345"/>
    </row>
    <row r="6275" spans="1:1" ht="21">
      <c r="A6275" s="345"/>
    </row>
    <row r="6276" spans="1:1" ht="21">
      <c r="A6276" s="345"/>
    </row>
    <row r="6277" spans="1:1" ht="21">
      <c r="A6277" s="345"/>
    </row>
    <row r="6278" spans="1:1" ht="21">
      <c r="A6278" s="345"/>
    </row>
    <row r="6279" spans="1:1" ht="21">
      <c r="A6279" s="345"/>
    </row>
    <row r="6280" spans="1:1" ht="21">
      <c r="A6280" s="345"/>
    </row>
    <row r="6281" spans="1:1" ht="21">
      <c r="A6281" s="345"/>
    </row>
    <row r="6282" spans="1:1" ht="21">
      <c r="A6282" s="345"/>
    </row>
    <row r="6283" spans="1:1" ht="21">
      <c r="A6283" s="345"/>
    </row>
    <row r="6284" spans="1:1" ht="21">
      <c r="A6284" s="345"/>
    </row>
    <row r="6285" spans="1:1" ht="21">
      <c r="A6285" s="345"/>
    </row>
    <row r="6286" spans="1:1" ht="21">
      <c r="A6286" s="345"/>
    </row>
    <row r="6287" spans="1:1" ht="21">
      <c r="A6287" s="345"/>
    </row>
    <row r="6288" spans="1:1" ht="21">
      <c r="A6288" s="345"/>
    </row>
    <row r="6289" spans="1:1" ht="21">
      <c r="A6289" s="345"/>
    </row>
    <row r="6290" spans="1:1" ht="21">
      <c r="A6290" s="345"/>
    </row>
    <row r="6291" spans="1:1" ht="21">
      <c r="A6291" s="345"/>
    </row>
    <row r="6292" spans="1:1" ht="21">
      <c r="A6292" s="345"/>
    </row>
    <row r="6293" spans="1:1" ht="21">
      <c r="A6293" s="345"/>
    </row>
    <row r="6294" spans="1:1" ht="21">
      <c r="A6294" s="345"/>
    </row>
    <row r="6295" spans="1:1" ht="21">
      <c r="A6295" s="345"/>
    </row>
    <row r="6296" spans="1:1" ht="21">
      <c r="A6296" s="345"/>
    </row>
    <row r="6297" spans="1:1" ht="21">
      <c r="A6297" s="345"/>
    </row>
    <row r="6298" spans="1:1" ht="21">
      <c r="A6298" s="345"/>
    </row>
    <row r="6299" spans="1:1" ht="21">
      <c r="A6299" s="345"/>
    </row>
    <row r="6300" spans="1:1" ht="21">
      <c r="A6300" s="345"/>
    </row>
    <row r="6301" spans="1:1" ht="21">
      <c r="A6301" s="345"/>
    </row>
    <row r="6302" spans="1:1" ht="21">
      <c r="A6302" s="345"/>
    </row>
    <row r="6303" spans="1:1" ht="21">
      <c r="A6303" s="345"/>
    </row>
    <row r="6304" spans="1:1" ht="21">
      <c r="A6304" s="345"/>
    </row>
    <row r="6305" spans="1:1" ht="21">
      <c r="A6305" s="345"/>
    </row>
    <row r="6306" spans="1:1" ht="21">
      <c r="A6306" s="345"/>
    </row>
    <row r="6307" spans="1:1" ht="21">
      <c r="A6307" s="345"/>
    </row>
    <row r="6308" spans="1:1" ht="21">
      <c r="A6308" s="345"/>
    </row>
    <row r="6309" spans="1:1" ht="21">
      <c r="A6309" s="345"/>
    </row>
    <row r="6310" spans="1:1" ht="21">
      <c r="A6310" s="345"/>
    </row>
    <row r="6311" spans="1:1" ht="21">
      <c r="A6311" s="345"/>
    </row>
    <row r="6312" spans="1:1" ht="21">
      <c r="A6312" s="345"/>
    </row>
    <row r="6313" spans="1:1" ht="21">
      <c r="A6313" s="345"/>
    </row>
    <row r="6314" spans="1:1" ht="21">
      <c r="A6314" s="345"/>
    </row>
    <row r="6315" spans="1:1" ht="21">
      <c r="A6315" s="345"/>
    </row>
    <row r="6316" spans="1:1" ht="21">
      <c r="A6316" s="345"/>
    </row>
    <row r="6317" spans="1:1" ht="21">
      <c r="A6317" s="345"/>
    </row>
    <row r="6318" spans="1:1" ht="21">
      <c r="A6318" s="345"/>
    </row>
    <row r="6319" spans="1:1" ht="21">
      <c r="A6319" s="345"/>
    </row>
    <row r="6320" spans="1:1" ht="21">
      <c r="A6320" s="345"/>
    </row>
    <row r="6321" spans="1:1" ht="21">
      <c r="A6321" s="345"/>
    </row>
    <row r="6322" spans="1:1" ht="21">
      <c r="A6322" s="345"/>
    </row>
    <row r="6323" spans="1:1" ht="21">
      <c r="A6323" s="345"/>
    </row>
    <row r="6324" spans="1:1" ht="21">
      <c r="A6324" s="345"/>
    </row>
    <row r="6325" spans="1:1" ht="21">
      <c r="A6325" s="345"/>
    </row>
    <row r="6326" spans="1:1" ht="21">
      <c r="A6326" s="345"/>
    </row>
    <row r="6327" spans="1:1" ht="21">
      <c r="A6327" s="345"/>
    </row>
    <row r="6328" spans="1:1" ht="21">
      <c r="A6328" s="345"/>
    </row>
    <row r="6329" spans="1:1" ht="21">
      <c r="A6329" s="345"/>
    </row>
    <row r="6330" spans="1:1" ht="21">
      <c r="A6330" s="345"/>
    </row>
    <row r="6331" spans="1:1" ht="21">
      <c r="A6331" s="345"/>
    </row>
    <row r="6332" spans="1:1" ht="21">
      <c r="A6332" s="345"/>
    </row>
    <row r="6333" spans="1:1" ht="21">
      <c r="A6333" s="345"/>
    </row>
    <row r="6334" spans="1:1" ht="21">
      <c r="A6334" s="345"/>
    </row>
    <row r="6335" spans="1:1" ht="21">
      <c r="A6335" s="345"/>
    </row>
    <row r="6336" spans="1:1" ht="21">
      <c r="A6336" s="345"/>
    </row>
    <row r="6337" spans="1:1" ht="21">
      <c r="A6337" s="345"/>
    </row>
    <row r="6338" spans="1:1" ht="21">
      <c r="A6338" s="345"/>
    </row>
    <row r="6339" spans="1:1" ht="21">
      <c r="A6339" s="345"/>
    </row>
    <row r="6340" spans="1:1" ht="21">
      <c r="A6340" s="345"/>
    </row>
    <row r="6341" spans="1:1" ht="21">
      <c r="A6341" s="345"/>
    </row>
    <row r="6342" spans="1:1" ht="21">
      <c r="A6342" s="345"/>
    </row>
    <row r="6343" spans="1:1" ht="21">
      <c r="A6343" s="345"/>
    </row>
    <row r="6344" spans="1:1" ht="21">
      <c r="A6344" s="345"/>
    </row>
    <row r="6345" spans="1:1" ht="21">
      <c r="A6345" s="345"/>
    </row>
    <row r="6346" spans="1:1" ht="21">
      <c r="A6346" s="345"/>
    </row>
    <row r="6347" spans="1:1" ht="21">
      <c r="A6347" s="345"/>
    </row>
    <row r="6348" spans="1:1" ht="21">
      <c r="A6348" s="345"/>
    </row>
    <row r="6349" spans="1:1" ht="21">
      <c r="A6349" s="345"/>
    </row>
    <row r="6350" spans="1:1" ht="21">
      <c r="A6350" s="345"/>
    </row>
    <row r="6351" spans="1:1" ht="21">
      <c r="A6351" s="345"/>
    </row>
    <row r="6352" spans="1:1" ht="21">
      <c r="A6352" s="345"/>
    </row>
    <row r="6353" spans="1:1" ht="21">
      <c r="A6353" s="345"/>
    </row>
    <row r="6354" spans="1:1" ht="21">
      <c r="A6354" s="345"/>
    </row>
    <row r="6355" spans="1:1" ht="21">
      <c r="A6355" s="345"/>
    </row>
    <row r="6356" spans="1:1" ht="21">
      <c r="A6356" s="345"/>
    </row>
    <row r="6357" spans="1:1" ht="21">
      <c r="A6357" s="345"/>
    </row>
    <row r="6358" spans="1:1" ht="21">
      <c r="A6358" s="345"/>
    </row>
    <row r="6359" spans="1:1" ht="21">
      <c r="A6359" s="345"/>
    </row>
    <row r="6360" spans="1:1" ht="21">
      <c r="A6360" s="345"/>
    </row>
    <row r="6361" spans="1:1" ht="21">
      <c r="A6361" s="345"/>
    </row>
    <row r="6362" spans="1:1" ht="21">
      <c r="A6362" s="345"/>
    </row>
    <row r="6363" spans="1:1" ht="21">
      <c r="A6363" s="345"/>
    </row>
    <row r="6364" spans="1:1" ht="21">
      <c r="A6364" s="345"/>
    </row>
    <row r="6365" spans="1:1" ht="21">
      <c r="A6365" s="345"/>
    </row>
    <row r="6366" spans="1:1" ht="21">
      <c r="A6366" s="345"/>
    </row>
    <row r="6367" spans="1:1" ht="21">
      <c r="A6367" s="345"/>
    </row>
    <row r="6368" spans="1:1" ht="21">
      <c r="A6368" s="345"/>
    </row>
    <row r="6369" spans="1:1" ht="21">
      <c r="A6369" s="345"/>
    </row>
    <row r="6370" spans="1:1" ht="21">
      <c r="A6370" s="345"/>
    </row>
    <row r="6371" spans="1:1" ht="21">
      <c r="A6371" s="345"/>
    </row>
    <row r="6372" spans="1:1" ht="21">
      <c r="A6372" s="345"/>
    </row>
    <row r="6373" spans="1:1" ht="21">
      <c r="A6373" s="345"/>
    </row>
    <row r="6374" spans="1:1" ht="21">
      <c r="A6374" s="345"/>
    </row>
    <row r="6375" spans="1:1" ht="21">
      <c r="A6375" s="345"/>
    </row>
    <row r="6376" spans="1:1" ht="21">
      <c r="A6376" s="345"/>
    </row>
    <row r="6377" spans="1:1" ht="21">
      <c r="A6377" s="345"/>
    </row>
    <row r="6378" spans="1:1" ht="21">
      <c r="A6378" s="345"/>
    </row>
    <row r="6379" spans="1:1" ht="21">
      <c r="A6379" s="345"/>
    </row>
    <row r="6380" spans="1:1" ht="21">
      <c r="A6380" s="345"/>
    </row>
    <row r="6381" spans="1:1" ht="21">
      <c r="A6381" s="345"/>
    </row>
    <row r="6382" spans="1:1" ht="21">
      <c r="A6382" s="345"/>
    </row>
    <row r="6383" spans="1:1" ht="21">
      <c r="A6383" s="345"/>
    </row>
    <row r="6384" spans="1:1" ht="21">
      <c r="A6384" s="345"/>
    </row>
    <row r="6385" spans="1:1" ht="21">
      <c r="A6385" s="345"/>
    </row>
    <row r="6386" spans="1:1" ht="21">
      <c r="A6386" s="345"/>
    </row>
    <row r="6387" spans="1:1" ht="21">
      <c r="A6387" s="345"/>
    </row>
    <row r="6388" spans="1:1" ht="21">
      <c r="A6388" s="345"/>
    </row>
    <row r="6389" spans="1:1" ht="21">
      <c r="A6389" s="345"/>
    </row>
    <row r="6390" spans="1:1" ht="21">
      <c r="A6390" s="345"/>
    </row>
    <row r="6391" spans="1:1" ht="21">
      <c r="A6391" s="345"/>
    </row>
    <row r="6392" spans="1:1" ht="21">
      <c r="A6392" s="345"/>
    </row>
    <row r="6393" spans="1:1" ht="21">
      <c r="A6393" s="345"/>
    </row>
    <row r="6394" spans="1:1" ht="21">
      <c r="A6394" s="345"/>
    </row>
    <row r="6395" spans="1:1" ht="21">
      <c r="A6395" s="345"/>
    </row>
    <row r="6396" spans="1:1" ht="21">
      <c r="A6396" s="345"/>
    </row>
    <row r="6397" spans="1:1" ht="21">
      <c r="A6397" s="345"/>
    </row>
    <row r="6398" spans="1:1" ht="21">
      <c r="A6398" s="345"/>
    </row>
    <row r="6399" spans="1:1" ht="21">
      <c r="A6399" s="345"/>
    </row>
    <row r="6400" spans="1:1" ht="21">
      <c r="A6400" s="345"/>
    </row>
    <row r="6401" spans="1:1" ht="21">
      <c r="A6401" s="345"/>
    </row>
    <row r="6402" spans="1:1" ht="21">
      <c r="A6402" s="345"/>
    </row>
    <row r="6403" spans="1:1" ht="21">
      <c r="A6403" s="345"/>
    </row>
    <row r="6404" spans="1:1" ht="21">
      <c r="A6404" s="345"/>
    </row>
    <row r="6405" spans="1:1" ht="21">
      <c r="A6405" s="345"/>
    </row>
    <row r="6406" spans="1:1" ht="21">
      <c r="A6406" s="345"/>
    </row>
    <row r="6407" spans="1:1" ht="21">
      <c r="A6407" s="345"/>
    </row>
    <row r="6408" spans="1:1" ht="21">
      <c r="A6408" s="345"/>
    </row>
    <row r="6409" spans="1:1" ht="21">
      <c r="A6409" s="345"/>
    </row>
    <row r="6410" spans="1:1" ht="21">
      <c r="A6410" s="345"/>
    </row>
    <row r="6411" spans="1:1" ht="21">
      <c r="A6411" s="345"/>
    </row>
    <row r="6412" spans="1:1" ht="21">
      <c r="A6412" s="345"/>
    </row>
    <row r="6413" spans="1:1" ht="21">
      <c r="A6413" s="345"/>
    </row>
    <row r="6414" spans="1:1" ht="21">
      <c r="A6414" s="345"/>
    </row>
    <row r="6415" spans="1:1" ht="21">
      <c r="A6415" s="345"/>
    </row>
    <row r="6416" spans="1:1" ht="21">
      <c r="A6416" s="345"/>
    </row>
    <row r="6417" spans="1:1" ht="21">
      <c r="A6417" s="345"/>
    </row>
    <row r="6418" spans="1:1" ht="21">
      <c r="A6418" s="345"/>
    </row>
    <row r="6419" spans="1:1" ht="21">
      <c r="A6419" s="345"/>
    </row>
    <row r="6420" spans="1:1" ht="21">
      <c r="A6420" s="345"/>
    </row>
    <row r="6421" spans="1:1" ht="21">
      <c r="A6421" s="345"/>
    </row>
    <row r="6422" spans="1:1" ht="21">
      <c r="A6422" s="345"/>
    </row>
    <row r="6423" spans="1:1" ht="21">
      <c r="A6423" s="345"/>
    </row>
    <row r="6424" spans="1:1" ht="21">
      <c r="A6424" s="345"/>
    </row>
    <row r="6425" spans="1:1" ht="21">
      <c r="A6425" s="345"/>
    </row>
    <row r="6426" spans="1:1" ht="21">
      <c r="A6426" s="345"/>
    </row>
    <row r="6427" spans="1:1" ht="21">
      <c r="A6427" s="345"/>
    </row>
    <row r="6428" spans="1:1" ht="21">
      <c r="A6428" s="345"/>
    </row>
    <row r="6429" spans="1:1" ht="21">
      <c r="A6429" s="345"/>
    </row>
    <row r="6430" spans="1:1" ht="21">
      <c r="A6430" s="345"/>
    </row>
    <row r="6431" spans="1:1" ht="21">
      <c r="A6431" s="345"/>
    </row>
    <row r="6432" spans="1:1" ht="21">
      <c r="A6432" s="345"/>
    </row>
    <row r="6433" spans="1:1" ht="21">
      <c r="A6433" s="345"/>
    </row>
    <row r="6434" spans="1:1" ht="21">
      <c r="A6434" s="345"/>
    </row>
    <row r="6435" spans="1:1" ht="21">
      <c r="A6435" s="345"/>
    </row>
    <row r="6436" spans="1:1" ht="21">
      <c r="A6436" s="345"/>
    </row>
    <row r="6437" spans="1:1" ht="21">
      <c r="A6437" s="345"/>
    </row>
    <row r="6438" spans="1:1" ht="21">
      <c r="A6438" s="345"/>
    </row>
    <row r="6439" spans="1:1" ht="21">
      <c r="A6439" s="345"/>
    </row>
    <row r="6440" spans="1:1" ht="21">
      <c r="A6440" s="345"/>
    </row>
    <row r="6441" spans="1:1" ht="21">
      <c r="A6441" s="345"/>
    </row>
    <row r="6442" spans="1:1" ht="21">
      <c r="A6442" s="345"/>
    </row>
    <row r="6443" spans="1:1" ht="21">
      <c r="A6443" s="345"/>
    </row>
    <row r="6444" spans="1:1" ht="21">
      <c r="A6444" s="345"/>
    </row>
    <row r="6445" spans="1:1" ht="21">
      <c r="A6445" s="345"/>
    </row>
    <row r="6446" spans="1:1" ht="21">
      <c r="A6446" s="345"/>
    </row>
    <row r="6447" spans="1:1" ht="21">
      <c r="A6447" s="345"/>
    </row>
    <row r="6448" spans="1:1" ht="21">
      <c r="A6448" s="345"/>
    </row>
    <row r="6449" spans="1:1" ht="21">
      <c r="A6449" s="345"/>
    </row>
    <row r="6450" spans="1:1" ht="21">
      <c r="A6450" s="345"/>
    </row>
    <row r="6451" spans="1:1" ht="21">
      <c r="A6451" s="345"/>
    </row>
    <row r="6452" spans="1:1" ht="21">
      <c r="A6452" s="345"/>
    </row>
    <row r="6453" spans="1:1" ht="21">
      <c r="A6453" s="345"/>
    </row>
    <row r="6454" spans="1:1" ht="21">
      <c r="A6454" s="345"/>
    </row>
    <row r="6455" spans="1:1" ht="21">
      <c r="A6455" s="345"/>
    </row>
    <row r="6456" spans="1:1" ht="21">
      <c r="A6456" s="345"/>
    </row>
    <row r="6457" spans="1:1" ht="21">
      <c r="A6457" s="345"/>
    </row>
    <row r="6458" spans="1:1" ht="21">
      <c r="A6458" s="345"/>
    </row>
    <row r="6459" spans="1:1" ht="21">
      <c r="A6459" s="345"/>
    </row>
    <row r="6460" spans="1:1" ht="21">
      <c r="A6460" s="345"/>
    </row>
    <row r="6461" spans="1:1" ht="21">
      <c r="A6461" s="345"/>
    </row>
    <row r="6462" spans="1:1" ht="21">
      <c r="A6462" s="345"/>
    </row>
    <row r="6463" spans="1:1" ht="21">
      <c r="A6463" s="345"/>
    </row>
    <row r="6464" spans="1:1" ht="21">
      <c r="A6464" s="345"/>
    </row>
    <row r="6465" spans="1:1" ht="21">
      <c r="A6465" s="345"/>
    </row>
    <row r="6466" spans="1:1" ht="21">
      <c r="A6466" s="345"/>
    </row>
    <row r="6467" spans="1:1" ht="21">
      <c r="A6467" s="345"/>
    </row>
    <row r="6468" spans="1:1" ht="21">
      <c r="A6468" s="345"/>
    </row>
    <row r="6469" spans="1:1" ht="21">
      <c r="A6469" s="345"/>
    </row>
    <row r="6470" spans="1:1" ht="21">
      <c r="A6470" s="345"/>
    </row>
    <row r="6471" spans="1:1" ht="21">
      <c r="A6471" s="345"/>
    </row>
    <row r="6472" spans="1:1" ht="21">
      <c r="A6472" s="345"/>
    </row>
    <row r="6473" spans="1:1" ht="21">
      <c r="A6473" s="345"/>
    </row>
    <row r="6474" spans="1:1" ht="21">
      <c r="A6474" s="345"/>
    </row>
    <row r="6475" spans="1:1" ht="21">
      <c r="A6475" s="345"/>
    </row>
    <row r="6476" spans="1:1" ht="21">
      <c r="A6476" s="345"/>
    </row>
    <row r="6477" spans="1:1" ht="21">
      <c r="A6477" s="345"/>
    </row>
    <row r="6478" spans="1:1" ht="21">
      <c r="A6478" s="345"/>
    </row>
    <row r="6479" spans="1:1" ht="21">
      <c r="A6479" s="345"/>
    </row>
    <row r="6480" spans="1:1" ht="21">
      <c r="A6480" s="345"/>
    </row>
    <row r="6481" spans="1:1" ht="21">
      <c r="A6481" s="345"/>
    </row>
    <row r="6482" spans="1:1" ht="21">
      <c r="A6482" s="345"/>
    </row>
    <row r="6483" spans="1:1" ht="21">
      <c r="A6483" s="345"/>
    </row>
    <row r="6484" spans="1:1" ht="21">
      <c r="A6484" s="345"/>
    </row>
    <row r="6485" spans="1:1" ht="21">
      <c r="A6485" s="345"/>
    </row>
    <row r="6486" spans="1:1" ht="21">
      <c r="A6486" s="345"/>
    </row>
    <row r="6487" spans="1:1" ht="21">
      <c r="A6487" s="345"/>
    </row>
    <row r="6488" spans="1:1" ht="21">
      <c r="A6488" s="345"/>
    </row>
    <row r="6489" spans="1:1" ht="21">
      <c r="A6489" s="345"/>
    </row>
    <row r="6490" spans="1:1" ht="21">
      <c r="A6490" s="345"/>
    </row>
    <row r="6491" spans="1:1" ht="21">
      <c r="A6491" s="345"/>
    </row>
    <row r="6492" spans="1:1" ht="21">
      <c r="A6492" s="345"/>
    </row>
    <row r="6493" spans="1:1" ht="21">
      <c r="A6493" s="345"/>
    </row>
    <row r="6494" spans="1:1" ht="21">
      <c r="A6494" s="345"/>
    </row>
    <row r="6495" spans="1:1" ht="21">
      <c r="A6495" s="345"/>
    </row>
    <row r="6496" spans="1:1" ht="21">
      <c r="A6496" s="345"/>
    </row>
    <row r="6497" spans="1:1" ht="21">
      <c r="A6497" s="345"/>
    </row>
    <row r="6498" spans="1:1" ht="21">
      <c r="A6498" s="345"/>
    </row>
    <row r="6499" spans="1:1" ht="21">
      <c r="A6499" s="345"/>
    </row>
    <row r="6500" spans="1:1" ht="21">
      <c r="A6500" s="345"/>
    </row>
    <row r="6501" spans="1:1" ht="21">
      <c r="A6501" s="345"/>
    </row>
    <row r="6502" spans="1:1" ht="21">
      <c r="A6502" s="345"/>
    </row>
    <row r="6503" spans="1:1" ht="21">
      <c r="A6503" s="345"/>
    </row>
    <row r="6504" spans="1:1" ht="21">
      <c r="A6504" s="345"/>
    </row>
    <row r="6505" spans="1:1" ht="21">
      <c r="A6505" s="345"/>
    </row>
    <row r="6506" spans="1:1" ht="21">
      <c r="A6506" s="345"/>
    </row>
    <row r="6507" spans="1:1" ht="21">
      <c r="A6507" s="345"/>
    </row>
    <row r="6508" spans="1:1" ht="21">
      <c r="A6508" s="345"/>
    </row>
    <row r="6509" spans="1:1" ht="21">
      <c r="A6509" s="345"/>
    </row>
    <row r="6510" spans="1:1" ht="21">
      <c r="A6510" s="345"/>
    </row>
    <row r="6511" spans="1:1" ht="21">
      <c r="A6511" s="345"/>
    </row>
    <row r="6512" spans="1:1" ht="21">
      <c r="A6512" s="345"/>
    </row>
    <row r="6513" spans="1:1" ht="21">
      <c r="A6513" s="345"/>
    </row>
    <row r="6514" spans="1:1" ht="21">
      <c r="A6514" s="345"/>
    </row>
    <row r="6515" spans="1:1" ht="21">
      <c r="A6515" s="345"/>
    </row>
    <row r="6516" spans="1:1" ht="21">
      <c r="A6516" s="345"/>
    </row>
    <row r="6517" spans="1:1" ht="21">
      <c r="A6517" s="345"/>
    </row>
    <row r="6518" spans="1:1" ht="21">
      <c r="A6518" s="345"/>
    </row>
    <row r="6519" spans="1:1" ht="21">
      <c r="A6519" s="345"/>
    </row>
    <row r="6520" spans="1:1" ht="21">
      <c r="A6520" s="345"/>
    </row>
    <row r="6521" spans="1:1" ht="21">
      <c r="A6521" s="345"/>
    </row>
    <row r="6522" spans="1:1" ht="21">
      <c r="A6522" s="345"/>
    </row>
    <row r="6523" spans="1:1" ht="21">
      <c r="A6523" s="345"/>
    </row>
    <row r="6524" spans="1:1" ht="21">
      <c r="A6524" s="345"/>
    </row>
    <row r="6525" spans="1:1" ht="21">
      <c r="A6525" s="345"/>
    </row>
    <row r="6526" spans="1:1" ht="21">
      <c r="A6526" s="345"/>
    </row>
    <row r="6527" spans="1:1" ht="21">
      <c r="A6527" s="345"/>
    </row>
    <row r="6528" spans="1:1" ht="21">
      <c r="A6528" s="345"/>
    </row>
    <row r="6529" spans="1:1" ht="21">
      <c r="A6529" s="345"/>
    </row>
    <row r="6530" spans="1:1" ht="21">
      <c r="A6530" s="345"/>
    </row>
    <row r="6531" spans="1:1" ht="21">
      <c r="A6531" s="345"/>
    </row>
    <row r="6532" spans="1:1" ht="21">
      <c r="A6532" s="345"/>
    </row>
    <row r="6533" spans="1:1" ht="21">
      <c r="A6533" s="345"/>
    </row>
    <row r="6534" spans="1:1" ht="21">
      <c r="A6534" s="345"/>
    </row>
    <row r="6535" spans="1:1" ht="21">
      <c r="A6535" s="345"/>
    </row>
    <row r="6536" spans="1:1" ht="21">
      <c r="A6536" s="345"/>
    </row>
    <row r="6537" spans="1:1" ht="21">
      <c r="A6537" s="345"/>
    </row>
    <row r="6538" spans="1:1" ht="21">
      <c r="A6538" s="345"/>
    </row>
    <row r="6539" spans="1:1" ht="21">
      <c r="A6539" s="345"/>
    </row>
    <row r="6540" spans="1:1" ht="21">
      <c r="A6540" s="345"/>
    </row>
    <row r="6541" spans="1:1" ht="21">
      <c r="A6541" s="345"/>
    </row>
    <row r="6542" spans="1:1" ht="21">
      <c r="A6542" s="345"/>
    </row>
    <row r="6543" spans="1:1" ht="21">
      <c r="A6543" s="345"/>
    </row>
    <row r="6544" spans="1:1" ht="21">
      <c r="A6544" s="345"/>
    </row>
    <row r="6545" spans="1:1" ht="21">
      <c r="A6545" s="345"/>
    </row>
    <row r="6546" spans="1:1" ht="21">
      <c r="A6546" s="345"/>
    </row>
    <row r="6547" spans="1:1" ht="21">
      <c r="A6547" s="345"/>
    </row>
    <row r="6548" spans="1:1" ht="21">
      <c r="A6548" s="345"/>
    </row>
    <row r="6549" spans="1:1" ht="21">
      <c r="A6549" s="345"/>
    </row>
    <row r="6550" spans="1:1" ht="21">
      <c r="A6550" s="345"/>
    </row>
    <row r="6551" spans="1:1" ht="21">
      <c r="A6551" s="345"/>
    </row>
    <row r="6552" spans="1:1" ht="21">
      <c r="A6552" s="345"/>
    </row>
    <row r="6553" spans="1:1" ht="21">
      <c r="A6553" s="345"/>
    </row>
    <row r="6554" spans="1:1" ht="21">
      <c r="A6554" s="345"/>
    </row>
    <row r="6555" spans="1:1" ht="21">
      <c r="A6555" s="345"/>
    </row>
    <row r="6556" spans="1:1" ht="21">
      <c r="A6556" s="345"/>
    </row>
    <row r="6557" spans="1:1" ht="21">
      <c r="A6557" s="345"/>
    </row>
    <row r="6558" spans="1:1" ht="21">
      <c r="A6558" s="345"/>
    </row>
    <row r="6559" spans="1:1" ht="21">
      <c r="A6559" s="345"/>
    </row>
    <row r="6560" spans="1:1" ht="21">
      <c r="A6560" s="345"/>
    </row>
    <row r="6561" spans="1:1" ht="21">
      <c r="A6561" s="345"/>
    </row>
    <row r="6562" spans="1:1" ht="21">
      <c r="A6562" s="345"/>
    </row>
    <row r="6563" spans="1:1" ht="21">
      <c r="A6563" s="345"/>
    </row>
    <row r="6564" spans="1:1" ht="21">
      <c r="A6564" s="345"/>
    </row>
    <row r="6565" spans="1:1" ht="21">
      <c r="A6565" s="345"/>
    </row>
    <row r="6566" spans="1:1" ht="21">
      <c r="A6566" s="345"/>
    </row>
    <row r="6567" spans="1:1" ht="21">
      <c r="A6567" s="345"/>
    </row>
    <row r="6568" spans="1:1" ht="21">
      <c r="A6568" s="345"/>
    </row>
    <row r="6569" spans="1:1" ht="21">
      <c r="A6569" s="345"/>
    </row>
    <row r="6570" spans="1:1" ht="21">
      <c r="A6570" s="345"/>
    </row>
    <row r="6571" spans="1:1" ht="21">
      <c r="A6571" s="345"/>
    </row>
    <row r="6572" spans="1:1" ht="21">
      <c r="A6572" s="345"/>
    </row>
    <row r="6573" spans="1:1" ht="21">
      <c r="A6573" s="345"/>
    </row>
    <row r="6574" spans="1:1" ht="21">
      <c r="A6574" s="345"/>
    </row>
    <row r="6575" spans="1:1" ht="21">
      <c r="A6575" s="345"/>
    </row>
    <row r="6576" spans="1:1" ht="21">
      <c r="A6576" s="345"/>
    </row>
    <row r="6577" spans="1:1" ht="21">
      <c r="A6577" s="345"/>
    </row>
    <row r="6578" spans="1:1" ht="21">
      <c r="A6578" s="345"/>
    </row>
    <row r="6579" spans="1:1" ht="21">
      <c r="A6579" s="345"/>
    </row>
    <row r="6580" spans="1:1" ht="21">
      <c r="A6580" s="345"/>
    </row>
    <row r="6581" spans="1:1" ht="21">
      <c r="A6581" s="345"/>
    </row>
    <row r="6582" spans="1:1" ht="21">
      <c r="A6582" s="345"/>
    </row>
    <row r="6583" spans="1:1" ht="21">
      <c r="A6583" s="345"/>
    </row>
    <row r="6584" spans="1:1" ht="21">
      <c r="A6584" s="345"/>
    </row>
    <row r="6585" spans="1:1" ht="21">
      <c r="A6585" s="345"/>
    </row>
    <row r="6586" spans="1:1" ht="21">
      <c r="A6586" s="345"/>
    </row>
    <row r="6587" spans="1:1" ht="21">
      <c r="A6587" s="345"/>
    </row>
    <row r="6588" spans="1:1" ht="21">
      <c r="A6588" s="345"/>
    </row>
    <row r="6589" spans="1:1" ht="21">
      <c r="A6589" s="345"/>
    </row>
    <row r="6590" spans="1:1" ht="21">
      <c r="A6590" s="345"/>
    </row>
    <row r="6591" spans="1:1" ht="21">
      <c r="A6591" s="345"/>
    </row>
    <row r="6592" spans="1:1" ht="21">
      <c r="A6592" s="345"/>
    </row>
    <row r="6593" spans="1:1" ht="21">
      <c r="A6593" s="345"/>
    </row>
    <row r="6594" spans="1:1" ht="21">
      <c r="A6594" s="345"/>
    </row>
    <row r="6595" spans="1:1" ht="21">
      <c r="A6595" s="345"/>
    </row>
    <row r="6596" spans="1:1" ht="21">
      <c r="A6596" s="345"/>
    </row>
    <row r="6597" spans="1:1" ht="21">
      <c r="A6597" s="345"/>
    </row>
    <row r="6598" spans="1:1" ht="21">
      <c r="A6598" s="345"/>
    </row>
    <row r="6599" spans="1:1" ht="21">
      <c r="A6599" s="345"/>
    </row>
    <row r="6600" spans="1:1" ht="21">
      <c r="A6600" s="345"/>
    </row>
    <row r="6601" spans="1:1" ht="21">
      <c r="A6601" s="345"/>
    </row>
    <row r="6602" spans="1:1" ht="21">
      <c r="A6602" s="345"/>
    </row>
    <row r="6603" spans="1:1" ht="21">
      <c r="A6603" s="345"/>
    </row>
    <row r="6604" spans="1:1" ht="21">
      <c r="A6604" s="345"/>
    </row>
    <row r="6605" spans="1:1" ht="21">
      <c r="A6605" s="345"/>
    </row>
    <row r="6606" spans="1:1" ht="21">
      <c r="A6606" s="345"/>
    </row>
    <row r="6607" spans="1:1" ht="21">
      <c r="A6607" s="345"/>
    </row>
    <row r="6608" spans="1:1" ht="21">
      <c r="A6608" s="345"/>
    </row>
    <row r="6609" spans="1:1" ht="21">
      <c r="A6609" s="345"/>
    </row>
    <row r="6610" spans="1:1" ht="21">
      <c r="A6610" s="345"/>
    </row>
    <row r="6611" spans="1:1" ht="21">
      <c r="A6611" s="345"/>
    </row>
    <row r="6612" spans="1:1" ht="21">
      <c r="A6612" s="345"/>
    </row>
    <row r="6613" spans="1:1" ht="21">
      <c r="A6613" s="345"/>
    </row>
    <row r="6614" spans="1:1" ht="21">
      <c r="A6614" s="345"/>
    </row>
    <row r="6615" spans="1:1" ht="21">
      <c r="A6615" s="345"/>
    </row>
    <row r="6616" spans="1:1" ht="21">
      <c r="A6616" s="345"/>
    </row>
    <row r="6617" spans="1:1" ht="21">
      <c r="A6617" s="345"/>
    </row>
    <row r="6618" spans="1:1" ht="21">
      <c r="A6618" s="345"/>
    </row>
    <row r="6619" spans="1:1" ht="21">
      <c r="A6619" s="345"/>
    </row>
    <row r="6620" spans="1:1" ht="21">
      <c r="A6620" s="345"/>
    </row>
    <row r="6621" spans="1:1" ht="21">
      <c r="A6621" s="345"/>
    </row>
    <row r="6622" spans="1:1" ht="21">
      <c r="A6622" s="345"/>
    </row>
    <row r="6623" spans="1:1" ht="21">
      <c r="A6623" s="345"/>
    </row>
    <row r="6624" spans="1:1" ht="21">
      <c r="A6624" s="345"/>
    </row>
    <row r="6625" spans="1:1" ht="21">
      <c r="A6625" s="345"/>
    </row>
    <row r="6626" spans="1:1" ht="21">
      <c r="A6626" s="345"/>
    </row>
    <row r="6627" spans="1:1" ht="21">
      <c r="A6627" s="345"/>
    </row>
    <row r="6628" spans="1:1" ht="21">
      <c r="A6628" s="345"/>
    </row>
    <row r="6629" spans="1:1" ht="21">
      <c r="A6629" s="345"/>
    </row>
    <row r="6630" spans="1:1" ht="21">
      <c r="A6630" s="345"/>
    </row>
    <row r="6631" spans="1:1" ht="21">
      <c r="A6631" s="345"/>
    </row>
    <row r="6632" spans="1:1" ht="21">
      <c r="A6632" s="345"/>
    </row>
    <row r="6633" spans="1:1" ht="21">
      <c r="A6633" s="345"/>
    </row>
    <row r="6634" spans="1:1" ht="21">
      <c r="A6634" s="345"/>
    </row>
    <row r="6635" spans="1:1" ht="21">
      <c r="A6635" s="345"/>
    </row>
    <row r="6636" spans="1:1" ht="21">
      <c r="A6636" s="345"/>
    </row>
    <row r="6637" spans="1:1" ht="21">
      <c r="A6637" s="345"/>
    </row>
    <row r="6638" spans="1:1" ht="21">
      <c r="A6638" s="345"/>
    </row>
    <row r="6639" spans="1:1" ht="21">
      <c r="A6639" s="345"/>
    </row>
    <row r="6640" spans="1:1" ht="21">
      <c r="A6640" s="345"/>
    </row>
    <row r="6641" spans="1:1" ht="21">
      <c r="A6641" s="345"/>
    </row>
    <row r="6642" spans="1:1" ht="21">
      <c r="A6642" s="345"/>
    </row>
    <row r="6643" spans="1:1" ht="21">
      <c r="A6643" s="345"/>
    </row>
    <row r="6644" spans="1:1" ht="21">
      <c r="A6644" s="345"/>
    </row>
    <row r="6645" spans="1:1" ht="21">
      <c r="A6645" s="345"/>
    </row>
    <row r="6646" spans="1:1" ht="21">
      <c r="A6646" s="345"/>
    </row>
    <row r="6647" spans="1:1" ht="21">
      <c r="A6647" s="345"/>
    </row>
    <row r="6648" spans="1:1" ht="21">
      <c r="A6648" s="345"/>
    </row>
    <row r="6649" spans="1:1" ht="21">
      <c r="A6649" s="345"/>
    </row>
    <row r="6650" spans="1:1" ht="21">
      <c r="A6650" s="345"/>
    </row>
    <row r="6651" spans="1:1" ht="21">
      <c r="A6651" s="345"/>
    </row>
    <row r="6652" spans="1:1" ht="21">
      <c r="A6652" s="345"/>
    </row>
    <row r="6653" spans="1:1" ht="21">
      <c r="A6653" s="345"/>
    </row>
    <row r="6654" spans="1:1" ht="21">
      <c r="A6654" s="345"/>
    </row>
    <row r="6655" spans="1:1" ht="21">
      <c r="A6655" s="345"/>
    </row>
    <row r="6656" spans="1:1" ht="21">
      <c r="A6656" s="345"/>
    </row>
    <row r="6657" spans="1:1" ht="21">
      <c r="A6657" s="345"/>
    </row>
    <row r="6658" spans="1:1" ht="21">
      <c r="A6658" s="345"/>
    </row>
    <row r="6659" spans="1:1" ht="21">
      <c r="A6659" s="345"/>
    </row>
    <row r="6660" spans="1:1" ht="21">
      <c r="A6660" s="345"/>
    </row>
    <row r="6661" spans="1:1" ht="21">
      <c r="A6661" s="345"/>
    </row>
    <row r="6662" spans="1:1" ht="21">
      <c r="A6662" s="345"/>
    </row>
    <row r="6663" spans="1:1" ht="21">
      <c r="A6663" s="345"/>
    </row>
    <row r="6664" spans="1:1" ht="21">
      <c r="A6664" s="345"/>
    </row>
    <row r="6665" spans="1:1" ht="21">
      <c r="A6665" s="345"/>
    </row>
    <row r="6666" spans="1:1" ht="21">
      <c r="A6666" s="345"/>
    </row>
    <row r="6667" spans="1:1" ht="21">
      <c r="A6667" s="345"/>
    </row>
    <row r="6668" spans="1:1" ht="21">
      <c r="A6668" s="345"/>
    </row>
    <row r="6669" spans="1:1" ht="21">
      <c r="A6669" s="345"/>
    </row>
    <row r="6670" spans="1:1" ht="21">
      <c r="A6670" s="345"/>
    </row>
    <row r="6671" spans="1:1" ht="21">
      <c r="A6671" s="345"/>
    </row>
    <row r="6672" spans="1:1" ht="21">
      <c r="A6672" s="345"/>
    </row>
    <row r="6673" spans="1:1" ht="21">
      <c r="A6673" s="345"/>
    </row>
    <row r="6674" spans="1:1" ht="21">
      <c r="A6674" s="345"/>
    </row>
    <row r="6675" spans="1:1" ht="21">
      <c r="A6675" s="345"/>
    </row>
    <row r="6676" spans="1:1" ht="21">
      <c r="A6676" s="345"/>
    </row>
    <row r="6677" spans="1:1" ht="21">
      <c r="A6677" s="345"/>
    </row>
    <row r="6678" spans="1:1" ht="21">
      <c r="A6678" s="345"/>
    </row>
    <row r="6679" spans="1:1" ht="21">
      <c r="A6679" s="345"/>
    </row>
    <row r="6680" spans="1:1" ht="21">
      <c r="A6680" s="345"/>
    </row>
    <row r="6681" spans="1:1" ht="21">
      <c r="A6681" s="345"/>
    </row>
    <row r="6682" spans="1:1" ht="21">
      <c r="A6682" s="345"/>
    </row>
    <row r="6683" spans="1:1" ht="21">
      <c r="A6683" s="345"/>
    </row>
    <row r="6684" spans="1:1" ht="21">
      <c r="A6684" s="345"/>
    </row>
    <row r="6685" spans="1:1" ht="21">
      <c r="A6685" s="345"/>
    </row>
    <row r="6686" spans="1:1" ht="21">
      <c r="A6686" s="345"/>
    </row>
    <row r="6687" spans="1:1" ht="21">
      <c r="A6687" s="345"/>
    </row>
    <row r="6688" spans="1:1" ht="21">
      <c r="A6688" s="345"/>
    </row>
    <row r="6689" spans="1:1" ht="21">
      <c r="A6689" s="345"/>
    </row>
    <row r="6690" spans="1:1" ht="21">
      <c r="A6690" s="345"/>
    </row>
    <row r="6691" spans="1:1" ht="21">
      <c r="A6691" s="345"/>
    </row>
    <row r="6692" spans="1:1" ht="21">
      <c r="A6692" s="345"/>
    </row>
    <row r="6693" spans="1:1" ht="21">
      <c r="A6693" s="345"/>
    </row>
    <row r="6694" spans="1:1" ht="21">
      <c r="A6694" s="345"/>
    </row>
    <row r="6695" spans="1:1" ht="21">
      <c r="A6695" s="345"/>
    </row>
    <row r="6696" spans="1:1" ht="21">
      <c r="A6696" s="345"/>
    </row>
    <row r="6697" spans="1:1" ht="21">
      <c r="A6697" s="345"/>
    </row>
    <row r="6698" spans="1:1" ht="21">
      <c r="A6698" s="345"/>
    </row>
    <row r="6699" spans="1:1" ht="21">
      <c r="A6699" s="345"/>
    </row>
    <row r="6700" spans="1:1" ht="21">
      <c r="A6700" s="345"/>
    </row>
    <row r="6701" spans="1:1" ht="21">
      <c r="A6701" s="345"/>
    </row>
    <row r="6702" spans="1:1" ht="21">
      <c r="A6702" s="345"/>
    </row>
    <row r="6703" spans="1:1" ht="21">
      <c r="A6703" s="345"/>
    </row>
    <row r="6704" spans="1:1" ht="21">
      <c r="A6704" s="345"/>
    </row>
    <row r="6705" spans="1:1" ht="21">
      <c r="A6705" s="345"/>
    </row>
    <row r="6706" spans="1:1" ht="21">
      <c r="A6706" s="345"/>
    </row>
    <row r="6707" spans="1:1" ht="21">
      <c r="A6707" s="345"/>
    </row>
    <row r="6708" spans="1:1" ht="21">
      <c r="A6708" s="345"/>
    </row>
    <row r="6709" spans="1:1" ht="21">
      <c r="A6709" s="345"/>
    </row>
    <row r="6710" spans="1:1" ht="21">
      <c r="A6710" s="345"/>
    </row>
    <row r="6711" spans="1:1" ht="21">
      <c r="A6711" s="345"/>
    </row>
    <row r="6712" spans="1:1" ht="21">
      <c r="A6712" s="345"/>
    </row>
    <row r="6713" spans="1:1" ht="21">
      <c r="A6713" s="345"/>
    </row>
    <row r="6714" spans="1:1" ht="21">
      <c r="A6714" s="345"/>
    </row>
    <row r="6715" spans="1:1" ht="21">
      <c r="A6715" s="345"/>
    </row>
    <row r="6716" spans="1:1" ht="21">
      <c r="A6716" s="345"/>
    </row>
    <row r="6717" spans="1:1" ht="21">
      <c r="A6717" s="345"/>
    </row>
    <row r="6718" spans="1:1" ht="21">
      <c r="A6718" s="345"/>
    </row>
    <row r="6719" spans="1:1" ht="21">
      <c r="A6719" s="345"/>
    </row>
    <row r="6720" spans="1:1" ht="21">
      <c r="A6720" s="345"/>
    </row>
    <row r="6721" spans="1:1" ht="21">
      <c r="A6721" s="345"/>
    </row>
    <row r="6722" spans="1:1" ht="21">
      <c r="A6722" s="345"/>
    </row>
    <row r="6723" spans="1:1" ht="21">
      <c r="A6723" s="345"/>
    </row>
    <row r="6724" spans="1:1" ht="21">
      <c r="A6724" s="345"/>
    </row>
    <row r="6725" spans="1:1" ht="21">
      <c r="A6725" s="345"/>
    </row>
    <row r="6726" spans="1:1" ht="21">
      <c r="A6726" s="345"/>
    </row>
    <row r="6727" spans="1:1" ht="21">
      <c r="A6727" s="345"/>
    </row>
    <row r="6728" spans="1:1" ht="21">
      <c r="A6728" s="345"/>
    </row>
    <row r="6729" spans="1:1" ht="21">
      <c r="A6729" s="345"/>
    </row>
    <row r="6730" spans="1:1" ht="21">
      <c r="A6730" s="345"/>
    </row>
    <row r="6731" spans="1:1" ht="21">
      <c r="A6731" s="345"/>
    </row>
    <row r="6732" spans="1:1" ht="21">
      <c r="A6732" s="345"/>
    </row>
    <row r="6733" spans="1:1" ht="21">
      <c r="A6733" s="345"/>
    </row>
    <row r="6734" spans="1:1" ht="21">
      <c r="A6734" s="345"/>
    </row>
    <row r="6735" spans="1:1" ht="21">
      <c r="A6735" s="345"/>
    </row>
    <row r="6736" spans="1:1" ht="21">
      <c r="A6736" s="345"/>
    </row>
    <row r="6737" spans="1:1" ht="21">
      <c r="A6737" s="345"/>
    </row>
    <row r="6738" spans="1:1" ht="21">
      <c r="A6738" s="345"/>
    </row>
    <row r="6739" spans="1:1" ht="21">
      <c r="A6739" s="345"/>
    </row>
    <row r="6740" spans="1:1" ht="21">
      <c r="A6740" s="345"/>
    </row>
    <row r="6741" spans="1:1" ht="21">
      <c r="A6741" s="345"/>
    </row>
    <row r="6742" spans="1:1" ht="21">
      <c r="A6742" s="345"/>
    </row>
    <row r="6743" spans="1:1" ht="21">
      <c r="A6743" s="345"/>
    </row>
    <row r="6744" spans="1:1" ht="21">
      <c r="A6744" s="345"/>
    </row>
    <row r="6745" spans="1:1" ht="21">
      <c r="A6745" s="345"/>
    </row>
    <row r="6746" spans="1:1" ht="21">
      <c r="A6746" s="345"/>
    </row>
    <row r="6747" spans="1:1" ht="21">
      <c r="A6747" s="345"/>
    </row>
    <row r="6748" spans="1:1" ht="21">
      <c r="A6748" s="345"/>
    </row>
    <row r="6749" spans="1:1" ht="21">
      <c r="A6749" s="345"/>
    </row>
    <row r="6750" spans="1:1" ht="21">
      <c r="A6750" s="345"/>
    </row>
    <row r="6751" spans="1:1" ht="21">
      <c r="A6751" s="345"/>
    </row>
    <row r="6752" spans="1:1" ht="21">
      <c r="A6752" s="345"/>
    </row>
    <row r="6753" spans="1:1" ht="21">
      <c r="A6753" s="345"/>
    </row>
    <row r="6754" spans="1:1" ht="21">
      <c r="A6754" s="345"/>
    </row>
    <row r="6755" spans="1:1" ht="21">
      <c r="A6755" s="345"/>
    </row>
    <row r="6756" spans="1:1" ht="21">
      <c r="A6756" s="345"/>
    </row>
    <row r="6757" spans="1:1" ht="21">
      <c r="A6757" s="345"/>
    </row>
    <row r="6758" spans="1:1" ht="21">
      <c r="A6758" s="345"/>
    </row>
    <row r="6759" spans="1:1" ht="21">
      <c r="A6759" s="345"/>
    </row>
    <row r="6760" spans="1:1" ht="21">
      <c r="A6760" s="345"/>
    </row>
    <row r="6761" spans="1:1" ht="21">
      <c r="A6761" s="345"/>
    </row>
    <row r="6762" spans="1:1" ht="21">
      <c r="A6762" s="345"/>
    </row>
    <row r="6763" spans="1:1" ht="21">
      <c r="A6763" s="345"/>
    </row>
    <row r="6764" spans="1:1" ht="21">
      <c r="A6764" s="345"/>
    </row>
    <row r="6765" spans="1:1" ht="21">
      <c r="A6765" s="345"/>
    </row>
    <row r="6766" spans="1:1" ht="21">
      <c r="A6766" s="345"/>
    </row>
    <row r="6767" spans="1:1" ht="21">
      <c r="A6767" s="345"/>
    </row>
    <row r="6768" spans="1:1" ht="21">
      <c r="A6768" s="345"/>
    </row>
    <row r="6769" spans="1:1" ht="21">
      <c r="A6769" s="345"/>
    </row>
    <row r="6770" spans="1:1" ht="21">
      <c r="A6770" s="345"/>
    </row>
    <row r="6771" spans="1:1" ht="21">
      <c r="A6771" s="345"/>
    </row>
    <row r="6772" spans="1:1" ht="21">
      <c r="A6772" s="345"/>
    </row>
    <row r="6773" spans="1:1" ht="21">
      <c r="A6773" s="345"/>
    </row>
    <row r="6774" spans="1:1" ht="21">
      <c r="A6774" s="345"/>
    </row>
    <row r="6775" spans="1:1" ht="21">
      <c r="A6775" s="345"/>
    </row>
    <row r="6776" spans="1:1" ht="21">
      <c r="A6776" s="345"/>
    </row>
    <row r="6777" spans="1:1" ht="21">
      <c r="A6777" s="345"/>
    </row>
    <row r="6778" spans="1:1" ht="21">
      <c r="A6778" s="345"/>
    </row>
    <row r="6779" spans="1:1" ht="21">
      <c r="A6779" s="345"/>
    </row>
    <row r="6780" spans="1:1" ht="21">
      <c r="A6780" s="345"/>
    </row>
    <row r="6781" spans="1:1" ht="21">
      <c r="A6781" s="345"/>
    </row>
    <row r="6782" spans="1:1" ht="21">
      <c r="A6782" s="345"/>
    </row>
    <row r="6783" spans="1:1" ht="21">
      <c r="A6783" s="345"/>
    </row>
    <row r="6784" spans="1:1" ht="21">
      <c r="A6784" s="345"/>
    </row>
    <row r="6785" spans="1:1" ht="21">
      <c r="A6785" s="345"/>
    </row>
    <row r="6786" spans="1:1" ht="21">
      <c r="A6786" s="345"/>
    </row>
    <row r="6787" spans="1:1" ht="21">
      <c r="A6787" s="345"/>
    </row>
    <row r="6788" spans="1:1" ht="21">
      <c r="A6788" s="345"/>
    </row>
    <row r="6789" spans="1:1" ht="21">
      <c r="A6789" s="345"/>
    </row>
    <row r="6790" spans="1:1" ht="21">
      <c r="A6790" s="345"/>
    </row>
    <row r="6791" spans="1:1" ht="21">
      <c r="A6791" s="345"/>
    </row>
    <row r="6792" spans="1:1" ht="21">
      <c r="A6792" s="345"/>
    </row>
    <row r="6793" spans="1:1" ht="21">
      <c r="A6793" s="345"/>
    </row>
    <row r="6794" spans="1:1" ht="21">
      <c r="A6794" s="345"/>
    </row>
    <row r="6795" spans="1:1" ht="21">
      <c r="A6795" s="345"/>
    </row>
    <row r="6796" spans="1:1" ht="21">
      <c r="A6796" s="345"/>
    </row>
    <row r="6797" spans="1:1" ht="21">
      <c r="A6797" s="345"/>
    </row>
    <row r="6798" spans="1:1" ht="21">
      <c r="A6798" s="345"/>
    </row>
    <row r="6799" spans="1:1" ht="21">
      <c r="A6799" s="345"/>
    </row>
    <row r="6800" spans="1:1" ht="21">
      <c r="A6800" s="345"/>
    </row>
    <row r="6801" spans="1:1" ht="21">
      <c r="A6801" s="345"/>
    </row>
    <row r="6802" spans="1:1" ht="21">
      <c r="A6802" s="345"/>
    </row>
    <row r="6803" spans="1:1" ht="21">
      <c r="A6803" s="345"/>
    </row>
    <row r="6804" spans="1:1" ht="21">
      <c r="A6804" s="345"/>
    </row>
    <row r="6805" spans="1:1" ht="21">
      <c r="A6805" s="345"/>
    </row>
    <row r="6806" spans="1:1" ht="21">
      <c r="A6806" s="345"/>
    </row>
    <row r="6807" spans="1:1" ht="21">
      <c r="A6807" s="345"/>
    </row>
    <row r="6808" spans="1:1" ht="21">
      <c r="A6808" s="345"/>
    </row>
    <row r="6809" spans="1:1" ht="21">
      <c r="A6809" s="345"/>
    </row>
    <row r="6810" spans="1:1" ht="21">
      <c r="A6810" s="345"/>
    </row>
    <row r="6811" spans="1:1" ht="21">
      <c r="A6811" s="345"/>
    </row>
    <row r="6812" spans="1:1" ht="21">
      <c r="A6812" s="345"/>
    </row>
    <row r="6813" spans="1:1" ht="21">
      <c r="A6813" s="345"/>
    </row>
    <row r="6814" spans="1:1" ht="21">
      <c r="A6814" s="345"/>
    </row>
    <row r="6815" spans="1:1" ht="21">
      <c r="A6815" s="345"/>
    </row>
    <row r="6816" spans="1:1" ht="21">
      <c r="A6816" s="345"/>
    </row>
    <row r="6817" spans="1:1" ht="21">
      <c r="A6817" s="345"/>
    </row>
    <row r="6818" spans="1:1" ht="21">
      <c r="A6818" s="345"/>
    </row>
    <row r="6819" spans="1:1" ht="21">
      <c r="A6819" s="345"/>
    </row>
    <row r="6820" spans="1:1" ht="21">
      <c r="A6820" s="345"/>
    </row>
    <row r="6821" spans="1:1" ht="21">
      <c r="A6821" s="345"/>
    </row>
    <row r="6822" spans="1:1" ht="21">
      <c r="A6822" s="345"/>
    </row>
    <row r="6823" spans="1:1" ht="21">
      <c r="A6823" s="345"/>
    </row>
    <row r="6824" spans="1:1" ht="21">
      <c r="A6824" s="345"/>
    </row>
    <row r="6825" spans="1:1" ht="21">
      <c r="A6825" s="345"/>
    </row>
    <row r="6826" spans="1:1" ht="21">
      <c r="A6826" s="345"/>
    </row>
    <row r="6827" spans="1:1" ht="21">
      <c r="A6827" s="345"/>
    </row>
    <row r="6828" spans="1:1" ht="21">
      <c r="A6828" s="345"/>
    </row>
    <row r="6829" spans="1:1" ht="21">
      <c r="A6829" s="345"/>
    </row>
    <row r="6830" spans="1:1" ht="21">
      <c r="A6830" s="345"/>
    </row>
    <row r="6831" spans="1:1" ht="21">
      <c r="A6831" s="345"/>
    </row>
    <row r="6832" spans="1:1" ht="21">
      <c r="A6832" s="345"/>
    </row>
    <row r="6833" spans="1:1" ht="21">
      <c r="A6833" s="345"/>
    </row>
    <row r="6834" spans="1:1" ht="21">
      <c r="A6834" s="345"/>
    </row>
    <row r="6835" spans="1:1" ht="21">
      <c r="A6835" s="345"/>
    </row>
    <row r="6836" spans="1:1" ht="21">
      <c r="A6836" s="345"/>
    </row>
    <row r="6837" spans="1:1" ht="21">
      <c r="A6837" s="345"/>
    </row>
    <row r="6838" spans="1:1" ht="21">
      <c r="A6838" s="345"/>
    </row>
    <row r="6839" spans="1:1" ht="21">
      <c r="A6839" s="345"/>
    </row>
    <row r="6840" spans="1:1" ht="21">
      <c r="A6840" s="345"/>
    </row>
    <row r="6841" spans="1:1" ht="21">
      <c r="A6841" s="345"/>
    </row>
    <row r="6842" spans="1:1" ht="21">
      <c r="A6842" s="345"/>
    </row>
    <row r="6843" spans="1:1" ht="21">
      <c r="A6843" s="345"/>
    </row>
    <row r="6844" spans="1:1" ht="21">
      <c r="A6844" s="345"/>
    </row>
    <row r="6845" spans="1:1" ht="21">
      <c r="A6845" s="345"/>
    </row>
    <row r="6846" spans="1:1" ht="21">
      <c r="A6846" s="345"/>
    </row>
    <row r="6847" spans="1:1" ht="21">
      <c r="A6847" s="345"/>
    </row>
    <row r="6848" spans="1:1" ht="21">
      <c r="A6848" s="345"/>
    </row>
    <row r="6849" spans="1:1" ht="21">
      <c r="A6849" s="345"/>
    </row>
    <row r="6850" spans="1:1" ht="21">
      <c r="A6850" s="345"/>
    </row>
    <row r="6851" spans="1:1" ht="21">
      <c r="A6851" s="345"/>
    </row>
    <row r="6852" spans="1:1" ht="21">
      <c r="A6852" s="345"/>
    </row>
    <row r="6853" spans="1:1" ht="21">
      <c r="A6853" s="345"/>
    </row>
    <row r="6854" spans="1:1" ht="21">
      <c r="A6854" s="345"/>
    </row>
    <row r="6855" spans="1:1" ht="21">
      <c r="A6855" s="345"/>
    </row>
    <row r="6856" spans="1:1" ht="21">
      <c r="A6856" s="345"/>
    </row>
    <row r="6857" spans="1:1" ht="21">
      <c r="A6857" s="345"/>
    </row>
    <row r="6858" spans="1:1" ht="21">
      <c r="A6858" s="345"/>
    </row>
    <row r="6859" spans="1:1" ht="21">
      <c r="A6859" s="345"/>
    </row>
    <row r="6860" spans="1:1" ht="21">
      <c r="A6860" s="345"/>
    </row>
    <row r="6861" spans="1:1" ht="21">
      <c r="A6861" s="345"/>
    </row>
    <row r="6862" spans="1:1" ht="21">
      <c r="A6862" s="345"/>
    </row>
    <row r="6863" spans="1:1" ht="21">
      <c r="A6863" s="345"/>
    </row>
    <row r="6864" spans="1:1" ht="21">
      <c r="A6864" s="345"/>
    </row>
    <row r="6865" spans="1:1" ht="21">
      <c r="A6865" s="345"/>
    </row>
    <row r="6866" spans="1:1" ht="21">
      <c r="A6866" s="345"/>
    </row>
    <row r="6867" spans="1:1" ht="21">
      <c r="A6867" s="345"/>
    </row>
    <row r="6868" spans="1:1" ht="21">
      <c r="A6868" s="345"/>
    </row>
    <row r="6869" spans="1:1" ht="21">
      <c r="A6869" s="345"/>
    </row>
    <row r="6870" spans="1:1" ht="21">
      <c r="A6870" s="345"/>
    </row>
    <row r="6871" spans="1:1" ht="21">
      <c r="A6871" s="345"/>
    </row>
    <row r="6872" spans="1:1" ht="21">
      <c r="A6872" s="345"/>
    </row>
    <row r="6873" spans="1:1" ht="21">
      <c r="A6873" s="345"/>
    </row>
    <row r="6874" spans="1:1" ht="21">
      <c r="A6874" s="345"/>
    </row>
    <row r="6875" spans="1:1" ht="21">
      <c r="A6875" s="345"/>
    </row>
    <row r="6876" spans="1:1" ht="21">
      <c r="A6876" s="345"/>
    </row>
    <row r="6877" spans="1:1" ht="21">
      <c r="A6877" s="345"/>
    </row>
    <row r="6878" spans="1:1" ht="21">
      <c r="A6878" s="345"/>
    </row>
    <row r="6879" spans="1:1" ht="21">
      <c r="A6879" s="345"/>
    </row>
    <row r="6880" spans="1:1" ht="21">
      <c r="A6880" s="345"/>
    </row>
    <row r="6881" spans="1:1" ht="21">
      <c r="A6881" s="345"/>
    </row>
    <row r="6882" spans="1:1" ht="21">
      <c r="A6882" s="345"/>
    </row>
    <row r="6883" spans="1:1" ht="21">
      <c r="A6883" s="345"/>
    </row>
    <row r="6884" spans="1:1" ht="21">
      <c r="A6884" s="345"/>
    </row>
    <row r="6885" spans="1:1" ht="21">
      <c r="A6885" s="345"/>
    </row>
    <row r="6886" spans="1:1" ht="21">
      <c r="A6886" s="345"/>
    </row>
    <row r="6887" spans="1:1" ht="21">
      <c r="A6887" s="345"/>
    </row>
    <row r="6888" spans="1:1" ht="21">
      <c r="A6888" s="345"/>
    </row>
    <row r="6889" spans="1:1" ht="21">
      <c r="A6889" s="345"/>
    </row>
    <row r="6890" spans="1:1" ht="21">
      <c r="A6890" s="345"/>
    </row>
    <row r="6891" spans="1:1" ht="21">
      <c r="A6891" s="345"/>
    </row>
    <row r="6892" spans="1:1" ht="21">
      <c r="A6892" s="345"/>
    </row>
    <row r="6893" spans="1:1" ht="21">
      <c r="A6893" s="345"/>
    </row>
    <row r="6894" spans="1:1" ht="21">
      <c r="A6894" s="345"/>
    </row>
    <row r="6895" spans="1:1" ht="21">
      <c r="A6895" s="345"/>
    </row>
    <row r="6896" spans="1:1" ht="21">
      <c r="A6896" s="345"/>
    </row>
    <row r="6897" spans="1:1" ht="21">
      <c r="A6897" s="345"/>
    </row>
    <row r="6898" spans="1:1" ht="21">
      <c r="A6898" s="345"/>
    </row>
    <row r="6899" spans="1:1" ht="21">
      <c r="A6899" s="345"/>
    </row>
    <row r="6900" spans="1:1" ht="21">
      <c r="A6900" s="345"/>
    </row>
    <row r="6901" spans="1:1" ht="21">
      <c r="A6901" s="345"/>
    </row>
    <row r="6902" spans="1:1" ht="21">
      <c r="A6902" s="345"/>
    </row>
    <row r="6903" spans="1:1" ht="21">
      <c r="A6903" s="345"/>
    </row>
    <row r="6904" spans="1:1" ht="21">
      <c r="A6904" s="345"/>
    </row>
    <row r="6905" spans="1:1" ht="21">
      <c r="A6905" s="345"/>
    </row>
    <row r="6906" spans="1:1" ht="21">
      <c r="A6906" s="345"/>
    </row>
    <row r="6907" spans="1:1" ht="21">
      <c r="A6907" s="345"/>
    </row>
    <row r="6908" spans="1:1" ht="21">
      <c r="A6908" s="345"/>
    </row>
    <row r="6909" spans="1:1" ht="21">
      <c r="A6909" s="345"/>
    </row>
    <row r="6910" spans="1:1" ht="21">
      <c r="A6910" s="345"/>
    </row>
    <row r="6911" spans="1:1" ht="21">
      <c r="A6911" s="345"/>
    </row>
    <row r="6912" spans="1:1" ht="21">
      <c r="A6912" s="345"/>
    </row>
    <row r="6913" spans="1:1" ht="21">
      <c r="A6913" s="345"/>
    </row>
    <row r="6914" spans="1:1" ht="21">
      <c r="A6914" s="345"/>
    </row>
    <row r="6915" spans="1:1" ht="21">
      <c r="A6915" s="345"/>
    </row>
    <row r="6916" spans="1:1" ht="21">
      <c r="A6916" s="345"/>
    </row>
    <row r="6917" spans="1:1" ht="21">
      <c r="A6917" s="345"/>
    </row>
    <row r="6918" spans="1:1" ht="21">
      <c r="A6918" s="345"/>
    </row>
    <row r="6919" spans="1:1" ht="21">
      <c r="A6919" s="345"/>
    </row>
    <row r="6920" spans="1:1" ht="21">
      <c r="A6920" s="345"/>
    </row>
    <row r="6921" spans="1:1" ht="21">
      <c r="A6921" s="345"/>
    </row>
    <row r="6922" spans="1:1" ht="21">
      <c r="A6922" s="345"/>
    </row>
    <row r="6923" spans="1:1" ht="21">
      <c r="A6923" s="345"/>
    </row>
    <row r="6924" spans="1:1" ht="21">
      <c r="A6924" s="345"/>
    </row>
    <row r="6925" spans="1:1" ht="21">
      <c r="A6925" s="345"/>
    </row>
    <row r="6926" spans="1:1" ht="21">
      <c r="A6926" s="345"/>
    </row>
    <row r="6927" spans="1:1" ht="21">
      <c r="A6927" s="345"/>
    </row>
    <row r="6928" spans="1:1" ht="21">
      <c r="A6928" s="345"/>
    </row>
    <row r="6929" spans="1:1" ht="21">
      <c r="A6929" s="345"/>
    </row>
    <row r="6930" spans="1:1" ht="21">
      <c r="A6930" s="345"/>
    </row>
    <row r="6931" spans="1:1" ht="21">
      <c r="A6931" s="345"/>
    </row>
    <row r="6932" spans="1:1" ht="21">
      <c r="A6932" s="345"/>
    </row>
    <row r="6933" spans="1:1" ht="21">
      <c r="A6933" s="345"/>
    </row>
    <row r="6934" spans="1:1" ht="21">
      <c r="A6934" s="345"/>
    </row>
    <row r="6935" spans="1:1" ht="21">
      <c r="A6935" s="345"/>
    </row>
    <row r="6936" spans="1:1" ht="21">
      <c r="A6936" s="345"/>
    </row>
    <row r="6937" spans="1:1" ht="21">
      <c r="A6937" s="345"/>
    </row>
    <row r="6938" spans="1:1" ht="21">
      <c r="A6938" s="345"/>
    </row>
    <row r="6939" spans="1:1" ht="21">
      <c r="A6939" s="345"/>
    </row>
    <row r="6940" spans="1:1" ht="21">
      <c r="A6940" s="345"/>
    </row>
    <row r="6941" spans="1:1" ht="21">
      <c r="A6941" s="345"/>
    </row>
    <row r="6942" spans="1:1" ht="21">
      <c r="A6942" s="345"/>
    </row>
    <row r="6943" spans="1:1" ht="21">
      <c r="A6943" s="345"/>
    </row>
    <row r="6944" spans="1:1" ht="21">
      <c r="A6944" s="345"/>
    </row>
    <row r="6945" spans="1:1" ht="21">
      <c r="A6945" s="345"/>
    </row>
    <row r="6946" spans="1:1" ht="21">
      <c r="A6946" s="345"/>
    </row>
    <row r="6947" spans="1:1" ht="21">
      <c r="A6947" s="345"/>
    </row>
    <row r="6948" spans="1:1" ht="21">
      <c r="A6948" s="345"/>
    </row>
    <row r="6949" spans="1:1" ht="21">
      <c r="A6949" s="345"/>
    </row>
    <row r="6950" spans="1:1" ht="21">
      <c r="A6950" s="345"/>
    </row>
    <row r="6951" spans="1:1" ht="21">
      <c r="A6951" s="345"/>
    </row>
    <row r="6952" spans="1:1" ht="21">
      <c r="A6952" s="345"/>
    </row>
    <row r="6953" spans="1:1" ht="21">
      <c r="A6953" s="345"/>
    </row>
    <row r="6954" spans="1:1" ht="21">
      <c r="A6954" s="345"/>
    </row>
    <row r="6955" spans="1:1" ht="21">
      <c r="A6955" s="345"/>
    </row>
    <row r="6956" spans="1:1" ht="21">
      <c r="A6956" s="345"/>
    </row>
    <row r="6957" spans="1:1" ht="21">
      <c r="A6957" s="345"/>
    </row>
    <row r="6958" spans="1:1" ht="21">
      <c r="A6958" s="345"/>
    </row>
    <row r="6959" spans="1:1" ht="21">
      <c r="A6959" s="345"/>
    </row>
    <row r="6960" spans="1:1" ht="21">
      <c r="A6960" s="345"/>
    </row>
    <row r="6961" spans="1:1" ht="21">
      <c r="A6961" s="345"/>
    </row>
    <row r="6962" spans="1:1" ht="21">
      <c r="A6962" s="345"/>
    </row>
    <row r="6963" spans="1:1" ht="21">
      <c r="A6963" s="345"/>
    </row>
    <row r="6964" spans="1:1" ht="21">
      <c r="A6964" s="345"/>
    </row>
    <row r="6965" spans="1:1" ht="21">
      <c r="A6965" s="345"/>
    </row>
    <row r="6966" spans="1:1" ht="21">
      <c r="A6966" s="345"/>
    </row>
    <row r="6967" spans="1:1" ht="21">
      <c r="A6967" s="345"/>
    </row>
    <row r="6968" spans="1:1" ht="21">
      <c r="A6968" s="345"/>
    </row>
    <row r="6969" spans="1:1" ht="21">
      <c r="A6969" s="345"/>
    </row>
    <row r="6970" spans="1:1" ht="21">
      <c r="A6970" s="345"/>
    </row>
    <row r="6971" spans="1:1" ht="21">
      <c r="A6971" s="345"/>
    </row>
    <row r="6972" spans="1:1" ht="21">
      <c r="A6972" s="345"/>
    </row>
    <row r="6973" spans="1:1" ht="21">
      <c r="A6973" s="345"/>
    </row>
    <row r="6974" spans="1:1" ht="21">
      <c r="A6974" s="345"/>
    </row>
    <row r="6975" spans="1:1" ht="21">
      <c r="A6975" s="345"/>
    </row>
    <row r="6976" spans="1:1" ht="21">
      <c r="A6976" s="345"/>
    </row>
    <row r="6977" spans="1:1" ht="21">
      <c r="A6977" s="345"/>
    </row>
    <row r="6978" spans="1:1" ht="21">
      <c r="A6978" s="345"/>
    </row>
    <row r="6979" spans="1:1" ht="21">
      <c r="A6979" s="345"/>
    </row>
    <row r="6980" spans="1:1" ht="21">
      <c r="A6980" s="345"/>
    </row>
    <row r="6981" spans="1:1" ht="21">
      <c r="A6981" s="345"/>
    </row>
    <row r="6982" spans="1:1" ht="21">
      <c r="A6982" s="345"/>
    </row>
    <row r="6983" spans="1:1" ht="21">
      <c r="A6983" s="345"/>
    </row>
    <row r="6984" spans="1:1" ht="21">
      <c r="A6984" s="345"/>
    </row>
    <row r="6985" spans="1:1" ht="21">
      <c r="A6985" s="345"/>
    </row>
    <row r="6986" spans="1:1" ht="21">
      <c r="A6986" s="345"/>
    </row>
    <row r="6987" spans="1:1" ht="21">
      <c r="A6987" s="345"/>
    </row>
    <row r="6988" spans="1:1" ht="21">
      <c r="A6988" s="345"/>
    </row>
    <row r="6989" spans="1:1" ht="21">
      <c r="A6989" s="345"/>
    </row>
    <row r="6990" spans="1:1" ht="21">
      <c r="A6990" s="345"/>
    </row>
    <row r="6991" spans="1:1" ht="21">
      <c r="A6991" s="345"/>
    </row>
    <row r="6992" spans="1:1" ht="21">
      <c r="A6992" s="345"/>
    </row>
    <row r="6993" spans="1:1" ht="21">
      <c r="A6993" s="345"/>
    </row>
    <row r="6994" spans="1:1" ht="21">
      <c r="A6994" s="345"/>
    </row>
    <row r="6995" spans="1:1" ht="21">
      <c r="A6995" s="345"/>
    </row>
    <row r="6996" spans="1:1" ht="21">
      <c r="A6996" s="345"/>
    </row>
    <row r="6997" spans="1:1" ht="21">
      <c r="A6997" s="345"/>
    </row>
    <row r="6998" spans="1:1" ht="21">
      <c r="A6998" s="345"/>
    </row>
    <row r="6999" spans="1:1" ht="21">
      <c r="A6999" s="345"/>
    </row>
    <row r="7000" spans="1:1" ht="21">
      <c r="A7000" s="345"/>
    </row>
    <row r="7001" spans="1:1" ht="21">
      <c r="A7001" s="345"/>
    </row>
    <row r="7002" spans="1:1" ht="21">
      <c r="A7002" s="345"/>
    </row>
    <row r="7003" spans="1:1" ht="21">
      <c r="A7003" s="345"/>
    </row>
    <row r="7004" spans="1:1" ht="21">
      <c r="A7004" s="345"/>
    </row>
    <row r="7005" spans="1:1" ht="21">
      <c r="A7005" s="345"/>
    </row>
    <row r="7006" spans="1:1" ht="21">
      <c r="A7006" s="345"/>
    </row>
    <row r="7007" spans="1:1" ht="21">
      <c r="A7007" s="345"/>
    </row>
    <row r="7008" spans="1:1" ht="21">
      <c r="A7008" s="345"/>
    </row>
    <row r="7009" spans="1:1" ht="21">
      <c r="A7009" s="345"/>
    </row>
    <row r="7010" spans="1:1" ht="21">
      <c r="A7010" s="345"/>
    </row>
    <row r="7011" spans="1:1" ht="21">
      <c r="A7011" s="345"/>
    </row>
    <row r="7012" spans="1:1" ht="21">
      <c r="A7012" s="345"/>
    </row>
    <row r="7013" spans="1:1" ht="21">
      <c r="A7013" s="345"/>
    </row>
    <row r="7014" spans="1:1" ht="21">
      <c r="A7014" s="345"/>
    </row>
    <row r="7015" spans="1:1" ht="21">
      <c r="A7015" s="345"/>
    </row>
    <row r="7016" spans="1:1" ht="21">
      <c r="A7016" s="345"/>
    </row>
    <row r="7017" spans="1:1" ht="21">
      <c r="A7017" s="345"/>
    </row>
    <row r="7018" spans="1:1" ht="21">
      <c r="A7018" s="345"/>
    </row>
    <row r="7019" spans="1:1" ht="21">
      <c r="A7019" s="345"/>
    </row>
    <row r="7020" spans="1:1" ht="21">
      <c r="A7020" s="345"/>
    </row>
    <row r="7021" spans="1:1" ht="21">
      <c r="A7021" s="345"/>
    </row>
    <row r="7022" spans="1:1" ht="21">
      <c r="A7022" s="345"/>
    </row>
    <row r="7023" spans="1:1" ht="21">
      <c r="A7023" s="345"/>
    </row>
    <row r="7024" spans="1:1" ht="21">
      <c r="A7024" s="345"/>
    </row>
    <row r="7025" spans="1:1" ht="21">
      <c r="A7025" s="345"/>
    </row>
    <row r="7026" spans="1:1" ht="21">
      <c r="A7026" s="345"/>
    </row>
    <row r="7027" spans="1:1" ht="21">
      <c r="A7027" s="345"/>
    </row>
    <row r="7028" spans="1:1" ht="21">
      <c r="A7028" s="345"/>
    </row>
    <row r="7029" spans="1:1" ht="21">
      <c r="A7029" s="345"/>
    </row>
    <row r="7030" spans="1:1" ht="21">
      <c r="A7030" s="345"/>
    </row>
    <row r="7031" spans="1:1" ht="21">
      <c r="A7031" s="345"/>
    </row>
    <row r="7032" spans="1:1" ht="21">
      <c r="A7032" s="345"/>
    </row>
    <row r="7033" spans="1:1" ht="21">
      <c r="A7033" s="345"/>
    </row>
    <row r="7034" spans="1:1" ht="21">
      <c r="A7034" s="345"/>
    </row>
    <row r="7035" spans="1:1" ht="21">
      <c r="A7035" s="345"/>
    </row>
    <row r="7036" spans="1:1" ht="21">
      <c r="A7036" s="345"/>
    </row>
    <row r="7037" spans="1:1" ht="21">
      <c r="A7037" s="345"/>
    </row>
    <row r="7038" spans="1:1" ht="21">
      <c r="A7038" s="345"/>
    </row>
    <row r="7039" spans="1:1" ht="21">
      <c r="A7039" s="345"/>
    </row>
    <row r="7040" spans="1:1" ht="21">
      <c r="A7040" s="345"/>
    </row>
    <row r="7041" spans="1:1" ht="21">
      <c r="A7041" s="345"/>
    </row>
    <row r="7042" spans="1:1" ht="21">
      <c r="A7042" s="345"/>
    </row>
    <row r="7043" spans="1:1" ht="21">
      <c r="A7043" s="345"/>
    </row>
    <row r="7044" spans="1:1" ht="21">
      <c r="A7044" s="345"/>
    </row>
    <row r="7045" spans="1:1" ht="21">
      <c r="A7045" s="345"/>
    </row>
    <row r="7046" spans="1:1" ht="21">
      <c r="A7046" s="345"/>
    </row>
    <row r="7047" spans="1:1" ht="21">
      <c r="A7047" s="345"/>
    </row>
    <row r="7048" spans="1:1" ht="21">
      <c r="A7048" s="345"/>
    </row>
    <row r="7049" spans="1:1" ht="21">
      <c r="A7049" s="345"/>
    </row>
    <row r="7050" spans="1:1" ht="21">
      <c r="A7050" s="345"/>
    </row>
    <row r="7051" spans="1:1" ht="21">
      <c r="A7051" s="345"/>
    </row>
    <row r="7052" spans="1:1" ht="21">
      <c r="A7052" s="345"/>
    </row>
    <row r="7053" spans="1:1" ht="21">
      <c r="A7053" s="345"/>
    </row>
    <row r="7054" spans="1:1" ht="21">
      <c r="A7054" s="345"/>
    </row>
    <row r="7055" spans="1:1" ht="21">
      <c r="A7055" s="345"/>
    </row>
    <row r="7056" spans="1:1" ht="21">
      <c r="A7056" s="345"/>
    </row>
    <row r="7057" spans="1:1" ht="21">
      <c r="A7057" s="345"/>
    </row>
    <row r="7058" spans="1:1" ht="21">
      <c r="A7058" s="345"/>
    </row>
    <row r="7059" spans="1:1" ht="21">
      <c r="A7059" s="345"/>
    </row>
    <row r="7060" spans="1:1" ht="21">
      <c r="A7060" s="345"/>
    </row>
    <row r="7061" spans="1:1" ht="21">
      <c r="A7061" s="345"/>
    </row>
    <row r="7062" spans="1:1" ht="21">
      <c r="A7062" s="345"/>
    </row>
    <row r="7063" spans="1:1" ht="21">
      <c r="A7063" s="345"/>
    </row>
    <row r="7064" spans="1:1" ht="21">
      <c r="A7064" s="345"/>
    </row>
    <row r="7065" spans="1:1" ht="21">
      <c r="A7065" s="345"/>
    </row>
    <row r="7066" spans="1:1" ht="21">
      <c r="A7066" s="345"/>
    </row>
    <row r="7067" spans="1:1" ht="21">
      <c r="A7067" s="345"/>
    </row>
    <row r="7068" spans="1:1" ht="21">
      <c r="A7068" s="345"/>
    </row>
    <row r="7069" spans="1:1" ht="21">
      <c r="A7069" s="345"/>
    </row>
    <row r="7070" spans="1:1" ht="21">
      <c r="A7070" s="345"/>
    </row>
    <row r="7071" spans="1:1" ht="21">
      <c r="A7071" s="345"/>
    </row>
    <row r="7072" spans="1:1" ht="21">
      <c r="A7072" s="345"/>
    </row>
    <row r="7073" spans="1:1" ht="21">
      <c r="A7073" s="345"/>
    </row>
    <row r="7074" spans="1:1" ht="21">
      <c r="A7074" s="345"/>
    </row>
    <row r="7075" spans="1:1" ht="21">
      <c r="A7075" s="345"/>
    </row>
    <row r="7076" spans="1:1" ht="21">
      <c r="A7076" s="345"/>
    </row>
    <row r="7077" spans="1:1" ht="21">
      <c r="A7077" s="345"/>
    </row>
    <row r="7078" spans="1:1" ht="21">
      <c r="A7078" s="345"/>
    </row>
    <row r="7079" spans="1:1" ht="21">
      <c r="A7079" s="345"/>
    </row>
    <row r="7080" spans="1:1" ht="21">
      <c r="A7080" s="345"/>
    </row>
    <row r="7081" spans="1:1" ht="21">
      <c r="A7081" s="345"/>
    </row>
    <row r="7082" spans="1:1" ht="21">
      <c r="A7082" s="345"/>
    </row>
    <row r="7083" spans="1:1" ht="21">
      <c r="A7083" s="345"/>
    </row>
    <row r="7084" spans="1:1" ht="21">
      <c r="A7084" s="345"/>
    </row>
    <row r="7085" spans="1:1" ht="21">
      <c r="A7085" s="345"/>
    </row>
    <row r="7086" spans="1:1" ht="21">
      <c r="A7086" s="345"/>
    </row>
    <row r="7087" spans="1:1" ht="21">
      <c r="A7087" s="345"/>
    </row>
    <row r="7088" spans="1:1" ht="21">
      <c r="A7088" s="345"/>
    </row>
    <row r="7089" spans="1:1" ht="21">
      <c r="A7089" s="345"/>
    </row>
    <row r="7090" spans="1:1" ht="21">
      <c r="A7090" s="345"/>
    </row>
    <row r="7091" spans="1:1" ht="21">
      <c r="A7091" s="345"/>
    </row>
    <row r="7092" spans="1:1" ht="21">
      <c r="A7092" s="345"/>
    </row>
    <row r="7093" spans="1:1" ht="21">
      <c r="A7093" s="345"/>
    </row>
    <row r="7094" spans="1:1" ht="21">
      <c r="A7094" s="345"/>
    </row>
    <row r="7095" spans="1:1" ht="21">
      <c r="A7095" s="345"/>
    </row>
    <row r="7096" spans="1:1" ht="21">
      <c r="A7096" s="345"/>
    </row>
    <row r="7097" spans="1:1" ht="21">
      <c r="A7097" s="345"/>
    </row>
    <row r="7098" spans="1:1" ht="21">
      <c r="A7098" s="345"/>
    </row>
    <row r="7099" spans="1:1" ht="21">
      <c r="A7099" s="345"/>
    </row>
    <row r="7100" spans="1:1" ht="21">
      <c r="A7100" s="345"/>
    </row>
    <row r="7101" spans="1:1" ht="21">
      <c r="A7101" s="345"/>
    </row>
    <row r="7102" spans="1:1" ht="21">
      <c r="A7102" s="345"/>
    </row>
    <row r="7103" spans="1:1" ht="21">
      <c r="A7103" s="345"/>
    </row>
    <row r="7104" spans="1:1" ht="21">
      <c r="A7104" s="345"/>
    </row>
    <row r="7105" spans="1:1" ht="21">
      <c r="A7105" s="345"/>
    </row>
    <row r="7106" spans="1:1" ht="21">
      <c r="A7106" s="345"/>
    </row>
    <row r="7107" spans="1:1" ht="21">
      <c r="A7107" s="345"/>
    </row>
    <row r="7108" spans="1:1" ht="21">
      <c r="A7108" s="345"/>
    </row>
    <row r="7109" spans="1:1" ht="21">
      <c r="A7109" s="345"/>
    </row>
    <row r="7110" spans="1:1" ht="21">
      <c r="A7110" s="345"/>
    </row>
    <row r="7111" spans="1:1" ht="21">
      <c r="A7111" s="345"/>
    </row>
    <row r="7112" spans="1:1" ht="21">
      <c r="A7112" s="345"/>
    </row>
    <row r="7113" spans="1:1" ht="21">
      <c r="A7113" s="345"/>
    </row>
    <row r="7114" spans="1:1" ht="21">
      <c r="A7114" s="345"/>
    </row>
    <row r="7115" spans="1:1" ht="21">
      <c r="A7115" s="345"/>
    </row>
    <row r="7116" spans="1:1" ht="21">
      <c r="A7116" s="345"/>
    </row>
    <row r="7117" spans="1:1" ht="21">
      <c r="A7117" s="345"/>
    </row>
    <row r="7118" spans="1:1" ht="21">
      <c r="A7118" s="345"/>
    </row>
    <row r="7119" spans="1:1" ht="21">
      <c r="A7119" s="345"/>
    </row>
    <row r="7120" spans="1:1" ht="21">
      <c r="A7120" s="345"/>
    </row>
    <row r="7121" spans="1:1" ht="21">
      <c r="A7121" s="345"/>
    </row>
    <row r="7122" spans="1:1" ht="21">
      <c r="A7122" s="345"/>
    </row>
    <row r="7123" spans="1:1" ht="21">
      <c r="A7123" s="345"/>
    </row>
    <row r="7124" spans="1:1" ht="21">
      <c r="A7124" s="345"/>
    </row>
    <row r="7125" spans="1:1" ht="21">
      <c r="A7125" s="345"/>
    </row>
    <row r="7126" spans="1:1" ht="21">
      <c r="A7126" s="345"/>
    </row>
    <row r="7127" spans="1:1" ht="21">
      <c r="A7127" s="345"/>
    </row>
    <row r="7128" spans="1:1" ht="21">
      <c r="A7128" s="345"/>
    </row>
    <row r="7129" spans="1:1" ht="21">
      <c r="A7129" s="345"/>
    </row>
    <row r="7130" spans="1:1" ht="21">
      <c r="A7130" s="345"/>
    </row>
    <row r="7131" spans="1:1" ht="21">
      <c r="A7131" s="345"/>
    </row>
    <row r="7132" spans="1:1" ht="21">
      <c r="A7132" s="345"/>
    </row>
    <row r="7133" spans="1:1" ht="21">
      <c r="A7133" s="345"/>
    </row>
    <row r="7134" spans="1:1" ht="21">
      <c r="A7134" s="345"/>
    </row>
    <row r="7135" spans="1:1" ht="21">
      <c r="A7135" s="345"/>
    </row>
    <row r="7136" spans="1:1" ht="21">
      <c r="A7136" s="345"/>
    </row>
    <row r="7137" spans="1:1" ht="21">
      <c r="A7137" s="345"/>
    </row>
    <row r="7138" spans="1:1" ht="21">
      <c r="A7138" s="345"/>
    </row>
    <row r="7139" spans="1:1" ht="21">
      <c r="A7139" s="345"/>
    </row>
    <row r="7140" spans="1:1" ht="21">
      <c r="A7140" s="345"/>
    </row>
    <row r="7141" spans="1:1" ht="21">
      <c r="A7141" s="345"/>
    </row>
    <row r="7142" spans="1:1" ht="21">
      <c r="A7142" s="345"/>
    </row>
    <row r="7143" spans="1:1" ht="21">
      <c r="A7143" s="345"/>
    </row>
    <row r="7144" spans="1:1" ht="21">
      <c r="A7144" s="345"/>
    </row>
    <row r="7145" spans="1:1" ht="21">
      <c r="A7145" s="345"/>
    </row>
    <row r="7146" spans="1:1" ht="21">
      <c r="A7146" s="345"/>
    </row>
    <row r="7147" spans="1:1" ht="21">
      <c r="A7147" s="345"/>
    </row>
    <row r="7148" spans="1:1" ht="21">
      <c r="A7148" s="345"/>
    </row>
    <row r="7149" spans="1:1" ht="21">
      <c r="A7149" s="345"/>
    </row>
    <row r="7150" spans="1:1" ht="21">
      <c r="A7150" s="345"/>
    </row>
    <row r="7151" spans="1:1" ht="21">
      <c r="A7151" s="345"/>
    </row>
    <row r="7152" spans="1:1" ht="21">
      <c r="A7152" s="345"/>
    </row>
    <row r="7153" spans="1:1" ht="21">
      <c r="A7153" s="345"/>
    </row>
    <row r="7154" spans="1:1" ht="21">
      <c r="A7154" s="345"/>
    </row>
    <row r="7155" spans="1:1" ht="21">
      <c r="A7155" s="345"/>
    </row>
    <row r="7156" spans="1:1" ht="21">
      <c r="A7156" s="345"/>
    </row>
    <row r="7157" spans="1:1" ht="21">
      <c r="A7157" s="345"/>
    </row>
    <row r="7158" spans="1:1" ht="21">
      <c r="A7158" s="345"/>
    </row>
    <row r="7159" spans="1:1" ht="21">
      <c r="A7159" s="345"/>
    </row>
    <row r="7160" spans="1:1" ht="21">
      <c r="A7160" s="345"/>
    </row>
    <row r="7161" spans="1:1" ht="21">
      <c r="A7161" s="345"/>
    </row>
    <row r="7162" spans="1:1" ht="21">
      <c r="A7162" s="345"/>
    </row>
    <row r="7163" spans="1:1" ht="21">
      <c r="A7163" s="345"/>
    </row>
    <row r="7164" spans="1:1" ht="21">
      <c r="A7164" s="345"/>
    </row>
    <row r="7165" spans="1:1" ht="21">
      <c r="A7165" s="345"/>
    </row>
    <row r="7166" spans="1:1" ht="21">
      <c r="A7166" s="345"/>
    </row>
    <row r="7167" spans="1:1" ht="21">
      <c r="A7167" s="345"/>
    </row>
    <row r="7168" spans="1:1" ht="21">
      <c r="A7168" s="345"/>
    </row>
    <row r="7169" spans="1:1" ht="21">
      <c r="A7169" s="345"/>
    </row>
    <row r="7170" spans="1:1" ht="21">
      <c r="A7170" s="345"/>
    </row>
    <row r="7171" spans="1:1" ht="21">
      <c r="A7171" s="345"/>
    </row>
    <row r="7172" spans="1:1" ht="21">
      <c r="A7172" s="345"/>
    </row>
    <row r="7173" spans="1:1" ht="21">
      <c r="A7173" s="345"/>
    </row>
    <row r="7174" spans="1:1" ht="21">
      <c r="A7174" s="345"/>
    </row>
    <row r="7175" spans="1:1" ht="21">
      <c r="A7175" s="345"/>
    </row>
    <row r="7176" spans="1:1" ht="21">
      <c r="A7176" s="345"/>
    </row>
    <row r="7177" spans="1:1" ht="21">
      <c r="A7177" s="345"/>
    </row>
    <row r="7178" spans="1:1" ht="21">
      <c r="A7178" s="345"/>
    </row>
    <row r="7179" spans="1:1" ht="21">
      <c r="A7179" s="345"/>
    </row>
    <row r="7180" spans="1:1" ht="21">
      <c r="A7180" s="345"/>
    </row>
    <row r="7181" spans="1:1" ht="21">
      <c r="A7181" s="345"/>
    </row>
    <row r="7182" spans="1:1" ht="21">
      <c r="A7182" s="345"/>
    </row>
    <row r="7183" spans="1:1" ht="21">
      <c r="A7183" s="345"/>
    </row>
    <row r="7184" spans="1:1" ht="21">
      <c r="A7184" s="345"/>
    </row>
    <row r="7185" spans="1:1" ht="21">
      <c r="A7185" s="345"/>
    </row>
    <row r="7186" spans="1:1" ht="21">
      <c r="A7186" s="345"/>
    </row>
    <row r="7187" spans="1:1" ht="21">
      <c r="A7187" s="345"/>
    </row>
    <row r="7188" spans="1:1" ht="21">
      <c r="A7188" s="345"/>
    </row>
    <row r="7189" spans="1:1" ht="21">
      <c r="A7189" s="345"/>
    </row>
    <row r="7190" spans="1:1" ht="21">
      <c r="A7190" s="345"/>
    </row>
    <row r="7191" spans="1:1" ht="21">
      <c r="A7191" s="345"/>
    </row>
    <row r="7192" spans="1:1" ht="21">
      <c r="A7192" s="345"/>
    </row>
    <row r="7193" spans="1:1" ht="21">
      <c r="A7193" s="345"/>
    </row>
    <row r="7194" spans="1:1" ht="21">
      <c r="A7194" s="345"/>
    </row>
    <row r="7195" spans="1:1" ht="21">
      <c r="A7195" s="345"/>
    </row>
    <row r="7196" spans="1:1" ht="21">
      <c r="A7196" s="345"/>
    </row>
    <row r="7197" spans="1:1" ht="21">
      <c r="A7197" s="345"/>
    </row>
    <row r="7198" spans="1:1" ht="21">
      <c r="A7198" s="345"/>
    </row>
    <row r="7199" spans="1:1" ht="21">
      <c r="A7199" s="345"/>
    </row>
    <row r="7200" spans="1:1" ht="21">
      <c r="A7200" s="345"/>
    </row>
    <row r="7201" spans="1:1" ht="21">
      <c r="A7201" s="345"/>
    </row>
    <row r="7202" spans="1:1" ht="21">
      <c r="A7202" s="345"/>
    </row>
    <row r="7203" spans="1:1" ht="21">
      <c r="A7203" s="345"/>
    </row>
    <row r="7204" spans="1:1" ht="21">
      <c r="A7204" s="345"/>
    </row>
    <row r="7205" spans="1:1" ht="21">
      <c r="A7205" s="345"/>
    </row>
    <row r="7206" spans="1:1" ht="21">
      <c r="A7206" s="345"/>
    </row>
    <row r="7207" spans="1:1" ht="21">
      <c r="A7207" s="345"/>
    </row>
    <row r="7208" spans="1:1" ht="21">
      <c r="A7208" s="345"/>
    </row>
    <row r="7209" spans="1:1" ht="21">
      <c r="A7209" s="345"/>
    </row>
    <row r="7210" spans="1:1" ht="21">
      <c r="A7210" s="345"/>
    </row>
    <row r="7211" spans="1:1" ht="21">
      <c r="A7211" s="345"/>
    </row>
    <row r="7212" spans="1:1" ht="21">
      <c r="A7212" s="345"/>
    </row>
    <row r="7213" spans="1:1" ht="21">
      <c r="A7213" s="345"/>
    </row>
    <row r="7214" spans="1:1" ht="21">
      <c r="A7214" s="345"/>
    </row>
    <row r="7215" spans="1:1" ht="21">
      <c r="A7215" s="345"/>
    </row>
    <row r="7216" spans="1:1" ht="21">
      <c r="A7216" s="345"/>
    </row>
    <row r="7217" spans="1:1" ht="21">
      <c r="A7217" s="345"/>
    </row>
    <row r="7218" spans="1:1" ht="21">
      <c r="A7218" s="345"/>
    </row>
    <row r="7219" spans="1:1" ht="21">
      <c r="A7219" s="345"/>
    </row>
    <row r="7220" spans="1:1" ht="21">
      <c r="A7220" s="345"/>
    </row>
    <row r="7221" spans="1:1" ht="21">
      <c r="A7221" s="345"/>
    </row>
    <row r="7222" spans="1:1" ht="21">
      <c r="A7222" s="345"/>
    </row>
    <row r="7223" spans="1:1" ht="21">
      <c r="A7223" s="345"/>
    </row>
    <row r="7224" spans="1:1" ht="21">
      <c r="A7224" s="345"/>
    </row>
    <row r="7225" spans="1:1" ht="21">
      <c r="A7225" s="345"/>
    </row>
    <row r="7226" spans="1:1" ht="21">
      <c r="A7226" s="345"/>
    </row>
    <row r="7227" spans="1:1" ht="21">
      <c r="A7227" s="345"/>
    </row>
    <row r="7228" spans="1:1" ht="21">
      <c r="A7228" s="345"/>
    </row>
    <row r="7229" spans="1:1" ht="21">
      <c r="A7229" s="345"/>
    </row>
    <row r="7230" spans="1:1" ht="21">
      <c r="A7230" s="345"/>
    </row>
    <row r="7231" spans="1:1" ht="21">
      <c r="A7231" s="345"/>
    </row>
    <row r="7232" spans="1:1" ht="21">
      <c r="A7232" s="345"/>
    </row>
    <row r="7233" spans="1:1" ht="21">
      <c r="A7233" s="345"/>
    </row>
    <row r="7234" spans="1:1" ht="21">
      <c r="A7234" s="345"/>
    </row>
    <row r="7235" spans="1:1" ht="21">
      <c r="A7235" s="345"/>
    </row>
    <row r="7236" spans="1:1" ht="21">
      <c r="A7236" s="345"/>
    </row>
    <row r="7237" spans="1:1" ht="21">
      <c r="A7237" s="345"/>
    </row>
    <row r="7238" spans="1:1" ht="21">
      <c r="A7238" s="345"/>
    </row>
    <row r="7239" spans="1:1" ht="21">
      <c r="A7239" s="345"/>
    </row>
    <row r="7240" spans="1:1" ht="21">
      <c r="A7240" s="345"/>
    </row>
    <row r="7241" spans="1:1" ht="21">
      <c r="A7241" s="345"/>
    </row>
    <row r="7242" spans="1:1" ht="21">
      <c r="A7242" s="345"/>
    </row>
    <row r="7243" spans="1:1" ht="21">
      <c r="A7243" s="345"/>
    </row>
    <row r="7244" spans="1:1" ht="21">
      <c r="A7244" s="345"/>
    </row>
    <row r="7245" spans="1:1" ht="21">
      <c r="A7245" s="345"/>
    </row>
    <row r="7246" spans="1:1" ht="21">
      <c r="A7246" s="345"/>
    </row>
    <row r="7247" spans="1:1" ht="21">
      <c r="A7247" s="345"/>
    </row>
    <row r="7248" spans="1:1" ht="21">
      <c r="A7248" s="345"/>
    </row>
    <row r="7249" spans="1:1" ht="21">
      <c r="A7249" s="345"/>
    </row>
    <row r="7250" spans="1:1" ht="21">
      <c r="A7250" s="345"/>
    </row>
    <row r="7251" spans="1:1" ht="21">
      <c r="A7251" s="345"/>
    </row>
    <row r="7252" spans="1:1" ht="21">
      <c r="A7252" s="345"/>
    </row>
    <row r="7253" spans="1:1" ht="21">
      <c r="A7253" s="345"/>
    </row>
    <row r="7254" spans="1:1" ht="21">
      <c r="A7254" s="345"/>
    </row>
    <row r="7255" spans="1:1" ht="21">
      <c r="A7255" s="345"/>
    </row>
    <row r="7256" spans="1:1" ht="21">
      <c r="A7256" s="345"/>
    </row>
    <row r="7257" spans="1:1" ht="21">
      <c r="A7257" s="345"/>
    </row>
    <row r="7258" spans="1:1" ht="21">
      <c r="A7258" s="345"/>
    </row>
    <row r="7259" spans="1:1" ht="21">
      <c r="A7259" s="345"/>
    </row>
    <row r="7260" spans="1:1" ht="21">
      <c r="A7260" s="345"/>
    </row>
    <row r="7261" spans="1:1" ht="21">
      <c r="A7261" s="345"/>
    </row>
    <row r="7262" spans="1:1" ht="21">
      <c r="A7262" s="345"/>
    </row>
    <row r="7263" spans="1:1" ht="21">
      <c r="A7263" s="345"/>
    </row>
    <row r="7264" spans="1:1" ht="21">
      <c r="A7264" s="345"/>
    </row>
    <row r="7265" spans="1:1" ht="21">
      <c r="A7265" s="345"/>
    </row>
    <row r="7266" spans="1:1" ht="21">
      <c r="A7266" s="345"/>
    </row>
    <row r="7267" spans="1:1" ht="21">
      <c r="A7267" s="345"/>
    </row>
    <row r="7268" spans="1:1" ht="21">
      <c r="A7268" s="345"/>
    </row>
    <row r="7269" spans="1:1" ht="21">
      <c r="A7269" s="345"/>
    </row>
    <row r="7270" spans="1:1" ht="21">
      <c r="A7270" s="345"/>
    </row>
    <row r="7271" spans="1:1" ht="21">
      <c r="A7271" s="345"/>
    </row>
    <row r="7272" spans="1:1" ht="21">
      <c r="A7272" s="345"/>
    </row>
    <row r="7273" spans="1:1" ht="21">
      <c r="A7273" s="345"/>
    </row>
    <row r="7274" spans="1:1" ht="21">
      <c r="A7274" s="345"/>
    </row>
    <row r="7275" spans="1:1" ht="21">
      <c r="A7275" s="345"/>
    </row>
    <row r="7276" spans="1:1" ht="21">
      <c r="A7276" s="345"/>
    </row>
    <row r="7277" spans="1:1" ht="21">
      <c r="A7277" s="345"/>
    </row>
    <row r="7278" spans="1:1" ht="21">
      <c r="A7278" s="345"/>
    </row>
    <row r="7279" spans="1:1" ht="21">
      <c r="A7279" s="345"/>
    </row>
    <row r="7280" spans="1:1" ht="21">
      <c r="A7280" s="345"/>
    </row>
    <row r="7281" spans="1:1" ht="21">
      <c r="A7281" s="345"/>
    </row>
    <row r="7282" spans="1:1" ht="21">
      <c r="A7282" s="345"/>
    </row>
    <row r="7283" spans="1:1" ht="21">
      <c r="A7283" s="345"/>
    </row>
    <row r="7284" spans="1:1" ht="21">
      <c r="A7284" s="345"/>
    </row>
    <row r="7285" spans="1:1" ht="21">
      <c r="A7285" s="345"/>
    </row>
    <row r="7286" spans="1:1" ht="21">
      <c r="A7286" s="345"/>
    </row>
    <row r="7287" spans="1:1" ht="21">
      <c r="A7287" s="345"/>
    </row>
    <row r="7288" spans="1:1" ht="21">
      <c r="A7288" s="345"/>
    </row>
    <row r="7289" spans="1:1" ht="21">
      <c r="A7289" s="345"/>
    </row>
    <row r="7290" spans="1:1" ht="21">
      <c r="A7290" s="345"/>
    </row>
    <row r="7291" spans="1:1" ht="21">
      <c r="A7291" s="345"/>
    </row>
    <row r="7292" spans="1:1" ht="21">
      <c r="A7292" s="345"/>
    </row>
    <row r="7293" spans="1:1" ht="21">
      <c r="A7293" s="345"/>
    </row>
    <row r="7294" spans="1:1" ht="21">
      <c r="A7294" s="345"/>
    </row>
    <row r="7295" spans="1:1" ht="21">
      <c r="A7295" s="345"/>
    </row>
    <row r="7296" spans="1:1" ht="21">
      <c r="A7296" s="345"/>
    </row>
    <row r="7297" spans="1:1" ht="21">
      <c r="A7297" s="345"/>
    </row>
    <row r="7298" spans="1:1" ht="21">
      <c r="A7298" s="345"/>
    </row>
    <row r="7299" spans="1:1" ht="21">
      <c r="A7299" s="345"/>
    </row>
    <row r="7300" spans="1:1" ht="21">
      <c r="A7300" s="345"/>
    </row>
    <row r="7301" spans="1:1" ht="21">
      <c r="A7301" s="345"/>
    </row>
    <row r="7302" spans="1:1" ht="21">
      <c r="A7302" s="345"/>
    </row>
    <row r="7303" spans="1:1" ht="21">
      <c r="A7303" s="345"/>
    </row>
    <row r="7304" spans="1:1" ht="21">
      <c r="A7304" s="345"/>
    </row>
    <row r="7305" spans="1:1" ht="21">
      <c r="A7305" s="345"/>
    </row>
    <row r="7306" spans="1:1" ht="21">
      <c r="A7306" s="345"/>
    </row>
    <row r="7307" spans="1:1" ht="21">
      <c r="A7307" s="345"/>
    </row>
    <row r="7308" spans="1:1" ht="21">
      <c r="A7308" s="345"/>
    </row>
    <row r="7309" spans="1:1" ht="21">
      <c r="A7309" s="345"/>
    </row>
    <row r="7310" spans="1:1" ht="21">
      <c r="A7310" s="345"/>
    </row>
    <row r="7311" spans="1:1" ht="21">
      <c r="A7311" s="345"/>
    </row>
    <row r="7312" spans="1:1" ht="21">
      <c r="A7312" s="345"/>
    </row>
    <row r="7313" spans="1:1" ht="21">
      <c r="A7313" s="345"/>
    </row>
    <row r="7314" spans="1:1" ht="21">
      <c r="A7314" s="345"/>
    </row>
    <row r="7315" spans="1:1" ht="21">
      <c r="A7315" s="345"/>
    </row>
    <row r="7316" spans="1:1" ht="21">
      <c r="A7316" s="345"/>
    </row>
    <row r="7317" spans="1:1" ht="21">
      <c r="A7317" s="345"/>
    </row>
    <row r="7318" spans="1:1" ht="21">
      <c r="A7318" s="345"/>
    </row>
    <row r="7319" spans="1:1" ht="21">
      <c r="A7319" s="345"/>
    </row>
    <row r="7320" spans="1:1" ht="21">
      <c r="A7320" s="345"/>
    </row>
    <row r="7321" spans="1:1" ht="21">
      <c r="A7321" s="345"/>
    </row>
    <row r="7322" spans="1:1" ht="21">
      <c r="A7322" s="345"/>
    </row>
    <row r="7323" spans="1:1" ht="21">
      <c r="A7323" s="345"/>
    </row>
    <row r="7324" spans="1:1" ht="21">
      <c r="A7324" s="345"/>
    </row>
    <row r="7325" spans="1:1" ht="21">
      <c r="A7325" s="345"/>
    </row>
    <row r="7326" spans="1:1" ht="21">
      <c r="A7326" s="345"/>
    </row>
    <row r="7327" spans="1:1" ht="21">
      <c r="A7327" s="345"/>
    </row>
    <row r="7328" spans="1:1" ht="21">
      <c r="A7328" s="345"/>
    </row>
    <row r="7329" spans="1:1" ht="21">
      <c r="A7329" s="345"/>
    </row>
    <row r="7330" spans="1:1" ht="21">
      <c r="A7330" s="345"/>
    </row>
    <row r="7331" spans="1:1" ht="21">
      <c r="A7331" s="345"/>
    </row>
    <row r="7332" spans="1:1" ht="21">
      <c r="A7332" s="345"/>
    </row>
    <row r="7333" spans="1:1" ht="21">
      <c r="A7333" s="345"/>
    </row>
    <row r="7334" spans="1:1" ht="21">
      <c r="A7334" s="345"/>
    </row>
    <row r="7335" spans="1:1" ht="21">
      <c r="A7335" s="345"/>
    </row>
    <row r="7336" spans="1:1" ht="21">
      <c r="A7336" s="345"/>
    </row>
    <row r="7337" spans="1:1" ht="21">
      <c r="A7337" s="345"/>
    </row>
    <row r="7338" spans="1:1" ht="21">
      <c r="A7338" s="345"/>
    </row>
    <row r="7339" spans="1:1" ht="21">
      <c r="A7339" s="345"/>
    </row>
    <row r="7340" spans="1:1" ht="21">
      <c r="A7340" s="345"/>
    </row>
    <row r="7341" spans="1:1" ht="21">
      <c r="A7341" s="345"/>
    </row>
    <row r="7342" spans="1:1" ht="21">
      <c r="A7342" s="345"/>
    </row>
    <row r="7343" spans="1:1" ht="21">
      <c r="A7343" s="345"/>
    </row>
    <row r="7344" spans="1:1" ht="21">
      <c r="A7344" s="345"/>
    </row>
    <row r="7345" spans="1:1" ht="21">
      <c r="A7345" s="345"/>
    </row>
    <row r="7346" spans="1:1" ht="21">
      <c r="A7346" s="345"/>
    </row>
    <row r="7347" spans="1:1" ht="21">
      <c r="A7347" s="345"/>
    </row>
    <row r="7348" spans="1:1" ht="21">
      <c r="A7348" s="345"/>
    </row>
    <row r="7349" spans="1:1" ht="21">
      <c r="A7349" s="345"/>
    </row>
    <row r="7350" spans="1:1" ht="21">
      <c r="A7350" s="345"/>
    </row>
    <row r="7351" spans="1:1" ht="21">
      <c r="A7351" s="345"/>
    </row>
    <row r="7352" spans="1:1" ht="21">
      <c r="A7352" s="345"/>
    </row>
    <row r="7353" spans="1:1" ht="21">
      <c r="A7353" s="345"/>
    </row>
    <row r="7354" spans="1:1" ht="21">
      <c r="A7354" s="345"/>
    </row>
    <row r="7355" spans="1:1" ht="21">
      <c r="A7355" s="345"/>
    </row>
    <row r="7356" spans="1:1" ht="21">
      <c r="A7356" s="345"/>
    </row>
    <row r="7357" spans="1:1" ht="21">
      <c r="A7357" s="345"/>
    </row>
    <row r="7358" spans="1:1" ht="21">
      <c r="A7358" s="345"/>
    </row>
    <row r="7359" spans="1:1" ht="21">
      <c r="A7359" s="345"/>
    </row>
    <row r="7360" spans="1:1" ht="21">
      <c r="A7360" s="345"/>
    </row>
    <row r="7361" spans="1:1" ht="21">
      <c r="A7361" s="345"/>
    </row>
    <row r="7362" spans="1:1" ht="21">
      <c r="A7362" s="345"/>
    </row>
    <row r="7363" spans="1:1" ht="21">
      <c r="A7363" s="345"/>
    </row>
    <row r="7364" spans="1:1" ht="21">
      <c r="A7364" s="345"/>
    </row>
    <row r="7365" spans="1:1" ht="21">
      <c r="A7365" s="345"/>
    </row>
    <row r="7366" spans="1:1" ht="21">
      <c r="A7366" s="345"/>
    </row>
    <row r="7367" spans="1:1" ht="21">
      <c r="A7367" s="345"/>
    </row>
    <row r="7368" spans="1:1" ht="21">
      <c r="A7368" s="345"/>
    </row>
    <row r="7369" spans="1:1" ht="21">
      <c r="A7369" s="345"/>
    </row>
    <row r="7370" spans="1:1" ht="21">
      <c r="A7370" s="345"/>
    </row>
    <row r="7371" spans="1:1" ht="21">
      <c r="A7371" s="345"/>
    </row>
    <row r="7372" spans="1:1" ht="21">
      <c r="A7372" s="345"/>
    </row>
    <row r="7373" spans="1:1" ht="21">
      <c r="A7373" s="345"/>
    </row>
    <row r="7374" spans="1:1" ht="21">
      <c r="A7374" s="345"/>
    </row>
    <row r="7375" spans="1:1" ht="21">
      <c r="A7375" s="345"/>
    </row>
    <row r="7376" spans="1:1" ht="21">
      <c r="A7376" s="345"/>
    </row>
    <row r="7377" spans="1:1" ht="21">
      <c r="A7377" s="345"/>
    </row>
    <row r="7378" spans="1:1" ht="21">
      <c r="A7378" s="345"/>
    </row>
    <row r="7379" spans="1:1" ht="21">
      <c r="A7379" s="345"/>
    </row>
    <row r="7380" spans="1:1" ht="21">
      <c r="A7380" s="345"/>
    </row>
    <row r="7381" spans="1:1" ht="21">
      <c r="A7381" s="345"/>
    </row>
    <row r="7382" spans="1:1" ht="21">
      <c r="A7382" s="345"/>
    </row>
    <row r="7383" spans="1:1" ht="21">
      <c r="A7383" s="345"/>
    </row>
    <row r="7384" spans="1:1" ht="21">
      <c r="A7384" s="345"/>
    </row>
    <row r="7385" spans="1:1" ht="21">
      <c r="A7385" s="345"/>
    </row>
    <row r="7386" spans="1:1" ht="21">
      <c r="A7386" s="345"/>
    </row>
    <row r="7387" spans="1:1" ht="21">
      <c r="A7387" s="345"/>
    </row>
    <row r="7388" spans="1:1" ht="21">
      <c r="A7388" s="345"/>
    </row>
    <row r="7389" spans="1:1" ht="21">
      <c r="A7389" s="345"/>
    </row>
    <row r="7390" spans="1:1" ht="21">
      <c r="A7390" s="345"/>
    </row>
    <row r="7391" spans="1:1" ht="21">
      <c r="A7391" s="345"/>
    </row>
    <row r="7392" spans="1:1" ht="21">
      <c r="A7392" s="345"/>
    </row>
    <row r="7393" spans="1:1" ht="21">
      <c r="A7393" s="345"/>
    </row>
    <row r="7394" spans="1:1" ht="21">
      <c r="A7394" s="345"/>
    </row>
    <row r="7395" spans="1:1" ht="21">
      <c r="A7395" s="345"/>
    </row>
    <row r="7396" spans="1:1" ht="21">
      <c r="A7396" s="345"/>
    </row>
    <row r="7397" spans="1:1" ht="21">
      <c r="A7397" s="345"/>
    </row>
    <row r="7398" spans="1:1" ht="21">
      <c r="A7398" s="345"/>
    </row>
    <row r="7399" spans="1:1" ht="21">
      <c r="A7399" s="345"/>
    </row>
    <row r="7400" spans="1:1" ht="21">
      <c r="A7400" s="345"/>
    </row>
    <row r="7401" spans="1:1" ht="21">
      <c r="A7401" s="345"/>
    </row>
    <row r="7402" spans="1:1" ht="21">
      <c r="A7402" s="345"/>
    </row>
    <row r="7403" spans="1:1" ht="21">
      <c r="A7403" s="345"/>
    </row>
    <row r="7404" spans="1:1" ht="21">
      <c r="A7404" s="345"/>
    </row>
    <row r="7405" spans="1:1" ht="21">
      <c r="A7405" s="345"/>
    </row>
    <row r="7406" spans="1:1" ht="21">
      <c r="A7406" s="345"/>
    </row>
    <row r="7407" spans="1:1" ht="21">
      <c r="A7407" s="345"/>
    </row>
    <row r="7408" spans="1:1" ht="21">
      <c r="A7408" s="345"/>
    </row>
    <row r="7409" spans="1:1" ht="21">
      <c r="A7409" s="345"/>
    </row>
    <row r="7410" spans="1:1" ht="21">
      <c r="A7410" s="345"/>
    </row>
    <row r="7411" spans="1:1" ht="21">
      <c r="A7411" s="345"/>
    </row>
    <row r="7412" spans="1:1" ht="21">
      <c r="A7412" s="345"/>
    </row>
    <row r="7413" spans="1:1" ht="21">
      <c r="A7413" s="345"/>
    </row>
    <row r="7414" spans="1:1" ht="21">
      <c r="A7414" s="345"/>
    </row>
    <row r="7415" spans="1:1" ht="21">
      <c r="A7415" s="345"/>
    </row>
    <row r="7416" spans="1:1" ht="21">
      <c r="A7416" s="345"/>
    </row>
    <row r="7417" spans="1:1" ht="21">
      <c r="A7417" s="345"/>
    </row>
    <row r="7418" spans="1:1" ht="21">
      <c r="A7418" s="345"/>
    </row>
    <row r="7419" spans="1:1" ht="21">
      <c r="A7419" s="345"/>
    </row>
    <row r="7420" spans="1:1" ht="21">
      <c r="A7420" s="345"/>
    </row>
    <row r="7421" spans="1:1" ht="21">
      <c r="A7421" s="345"/>
    </row>
    <row r="7422" spans="1:1" ht="21">
      <c r="A7422" s="345"/>
    </row>
    <row r="7423" spans="1:1" ht="21">
      <c r="A7423" s="345"/>
    </row>
    <row r="7424" spans="1:1" ht="21">
      <c r="A7424" s="345"/>
    </row>
    <row r="7425" spans="1:1" ht="21">
      <c r="A7425" s="345"/>
    </row>
    <row r="7426" spans="1:1" ht="21">
      <c r="A7426" s="345"/>
    </row>
    <row r="7427" spans="1:1" ht="21">
      <c r="A7427" s="345"/>
    </row>
    <row r="7428" spans="1:1" ht="21">
      <c r="A7428" s="345"/>
    </row>
    <row r="7429" spans="1:1" ht="21">
      <c r="A7429" s="345"/>
    </row>
    <row r="7430" spans="1:1" ht="21">
      <c r="A7430" s="345"/>
    </row>
    <row r="7431" spans="1:1" ht="21">
      <c r="A7431" s="345"/>
    </row>
    <row r="7432" spans="1:1" ht="21">
      <c r="A7432" s="345"/>
    </row>
    <row r="7433" spans="1:1" ht="21">
      <c r="A7433" s="345"/>
    </row>
    <row r="7434" spans="1:1" ht="21">
      <c r="A7434" s="345"/>
    </row>
    <row r="7435" spans="1:1" ht="21">
      <c r="A7435" s="345"/>
    </row>
    <row r="7436" spans="1:1" ht="21">
      <c r="A7436" s="345"/>
    </row>
    <row r="7437" spans="1:1" ht="21">
      <c r="A7437" s="345"/>
    </row>
    <row r="7438" spans="1:1" ht="21">
      <c r="A7438" s="345"/>
    </row>
    <row r="7439" spans="1:1" ht="21">
      <c r="A7439" s="345"/>
    </row>
    <row r="7440" spans="1:1" ht="21">
      <c r="A7440" s="345"/>
    </row>
    <row r="7441" spans="1:1" ht="21">
      <c r="A7441" s="345"/>
    </row>
    <row r="7442" spans="1:1" ht="21">
      <c r="A7442" s="345"/>
    </row>
    <row r="7443" spans="1:1" ht="21">
      <c r="A7443" s="345"/>
    </row>
    <row r="7444" spans="1:1" ht="21">
      <c r="A7444" s="345"/>
    </row>
    <row r="7445" spans="1:1" ht="21">
      <c r="A7445" s="345"/>
    </row>
    <row r="7446" spans="1:1" ht="21">
      <c r="A7446" s="345"/>
    </row>
    <row r="7447" spans="1:1" ht="21">
      <c r="A7447" s="345"/>
    </row>
    <row r="7448" spans="1:1" ht="21">
      <c r="A7448" s="345"/>
    </row>
    <row r="7449" spans="1:1" ht="21">
      <c r="A7449" s="345"/>
    </row>
    <row r="7450" spans="1:1" ht="21">
      <c r="A7450" s="345"/>
    </row>
    <row r="7451" spans="1:1" ht="21">
      <c r="A7451" s="345"/>
    </row>
    <row r="7452" spans="1:1" ht="21">
      <c r="A7452" s="345"/>
    </row>
    <row r="7453" spans="1:1" ht="21">
      <c r="A7453" s="345"/>
    </row>
    <row r="7454" spans="1:1" ht="21">
      <c r="A7454" s="345"/>
    </row>
    <row r="7455" spans="1:1" ht="21">
      <c r="A7455" s="345"/>
    </row>
    <row r="7456" spans="1:1" ht="21">
      <c r="A7456" s="345"/>
    </row>
    <row r="7457" spans="1:1" ht="21">
      <c r="A7457" s="345"/>
    </row>
    <row r="7458" spans="1:1" ht="21">
      <c r="A7458" s="345"/>
    </row>
    <row r="7459" spans="1:1" ht="21">
      <c r="A7459" s="345"/>
    </row>
    <row r="7460" spans="1:1" ht="21">
      <c r="A7460" s="345"/>
    </row>
    <row r="7461" spans="1:1" ht="21">
      <c r="A7461" s="345"/>
    </row>
    <row r="7462" spans="1:1" ht="21">
      <c r="A7462" s="345"/>
    </row>
    <row r="7463" spans="1:1" ht="21">
      <c r="A7463" s="345"/>
    </row>
    <row r="7464" spans="1:1" ht="21">
      <c r="A7464" s="345"/>
    </row>
    <row r="7465" spans="1:1" ht="21">
      <c r="A7465" s="345"/>
    </row>
    <row r="7466" spans="1:1" ht="21">
      <c r="A7466" s="345"/>
    </row>
    <row r="7467" spans="1:1" ht="21">
      <c r="A7467" s="345"/>
    </row>
    <row r="7468" spans="1:1" ht="21">
      <c r="A7468" s="345"/>
    </row>
    <row r="7469" spans="1:1" ht="21">
      <c r="A7469" s="345"/>
    </row>
    <row r="7470" spans="1:1" ht="21">
      <c r="A7470" s="345"/>
    </row>
    <row r="7471" spans="1:1" ht="21">
      <c r="A7471" s="345"/>
    </row>
    <row r="7472" spans="1:1" ht="21">
      <c r="A7472" s="345"/>
    </row>
    <row r="7473" spans="1:1" ht="21">
      <c r="A7473" s="345"/>
    </row>
    <row r="7474" spans="1:1" ht="21">
      <c r="A7474" s="345"/>
    </row>
    <row r="7475" spans="1:1" ht="21">
      <c r="A7475" s="345"/>
    </row>
    <row r="7476" spans="1:1" ht="21">
      <c r="A7476" s="345"/>
    </row>
    <row r="7477" spans="1:1" ht="21">
      <c r="A7477" s="345"/>
    </row>
    <row r="7478" spans="1:1" ht="21">
      <c r="A7478" s="345"/>
    </row>
    <row r="7479" spans="1:1" ht="21">
      <c r="A7479" s="345"/>
    </row>
    <row r="7480" spans="1:1" ht="21">
      <c r="A7480" s="345"/>
    </row>
    <row r="7481" spans="1:1" ht="21">
      <c r="A7481" s="345"/>
    </row>
    <row r="7482" spans="1:1" ht="21">
      <c r="A7482" s="345"/>
    </row>
    <row r="7483" spans="1:1" ht="21">
      <c r="A7483" s="345"/>
    </row>
    <row r="7484" spans="1:1" ht="21">
      <c r="A7484" s="345"/>
    </row>
    <row r="7485" spans="1:1" ht="21">
      <c r="A7485" s="345"/>
    </row>
    <row r="7486" spans="1:1" ht="21">
      <c r="A7486" s="345"/>
    </row>
    <row r="7487" spans="1:1" ht="21">
      <c r="A7487" s="345"/>
    </row>
    <row r="7488" spans="1:1" ht="21">
      <c r="A7488" s="345"/>
    </row>
    <row r="7489" spans="1:1" ht="21">
      <c r="A7489" s="345"/>
    </row>
    <row r="7490" spans="1:1" ht="21">
      <c r="A7490" s="345"/>
    </row>
    <row r="7491" spans="1:1" ht="21">
      <c r="A7491" s="345"/>
    </row>
    <row r="7492" spans="1:1" ht="21">
      <c r="A7492" s="345"/>
    </row>
    <row r="7493" spans="1:1" ht="21">
      <c r="A7493" s="345"/>
    </row>
    <row r="7494" spans="1:1" ht="21">
      <c r="A7494" s="345"/>
    </row>
    <row r="7495" spans="1:1" ht="21">
      <c r="A7495" s="345"/>
    </row>
    <row r="7496" spans="1:1" ht="21">
      <c r="A7496" s="345"/>
    </row>
    <row r="7497" spans="1:1" ht="21">
      <c r="A7497" s="345"/>
    </row>
    <row r="7498" spans="1:1" ht="21">
      <c r="A7498" s="345"/>
    </row>
    <row r="7499" spans="1:1" ht="21">
      <c r="A7499" s="345"/>
    </row>
    <row r="7500" spans="1:1" ht="21">
      <c r="A7500" s="345"/>
    </row>
    <row r="7501" spans="1:1" ht="21">
      <c r="A7501" s="345"/>
    </row>
    <row r="7502" spans="1:1" ht="21">
      <c r="A7502" s="345"/>
    </row>
    <row r="7503" spans="1:1" ht="21">
      <c r="A7503" s="345"/>
    </row>
    <row r="7504" spans="1:1" ht="21">
      <c r="A7504" s="345"/>
    </row>
    <row r="7505" spans="1:1" ht="21">
      <c r="A7505" s="345"/>
    </row>
    <row r="7506" spans="1:1" ht="21">
      <c r="A7506" s="345"/>
    </row>
    <row r="7507" spans="1:1" ht="21">
      <c r="A7507" s="345"/>
    </row>
    <row r="7508" spans="1:1" ht="21">
      <c r="A7508" s="345"/>
    </row>
    <row r="7509" spans="1:1" ht="21">
      <c r="A7509" s="345"/>
    </row>
    <row r="7510" spans="1:1" ht="21">
      <c r="A7510" s="345"/>
    </row>
    <row r="7511" spans="1:1" ht="21">
      <c r="A7511" s="345"/>
    </row>
    <row r="7512" spans="1:1" ht="21">
      <c r="A7512" s="345"/>
    </row>
    <row r="7513" spans="1:1" ht="21">
      <c r="A7513" s="345"/>
    </row>
    <row r="7514" spans="1:1" ht="21">
      <c r="A7514" s="345"/>
    </row>
    <row r="7515" spans="1:1" ht="21">
      <c r="A7515" s="345"/>
    </row>
    <row r="7516" spans="1:1" ht="21">
      <c r="A7516" s="345"/>
    </row>
    <row r="7517" spans="1:1" ht="21">
      <c r="A7517" s="345"/>
    </row>
    <row r="7518" spans="1:1" ht="21">
      <c r="A7518" s="345"/>
    </row>
    <row r="7519" spans="1:1" ht="21">
      <c r="A7519" s="345"/>
    </row>
    <row r="7520" spans="1:1" ht="21">
      <c r="A7520" s="345"/>
    </row>
    <row r="7521" spans="1:1" ht="21">
      <c r="A7521" s="345"/>
    </row>
    <row r="7522" spans="1:1" ht="21">
      <c r="A7522" s="345"/>
    </row>
    <row r="7523" spans="1:1" ht="21">
      <c r="A7523" s="345"/>
    </row>
    <row r="7524" spans="1:1" ht="21">
      <c r="A7524" s="345"/>
    </row>
    <row r="7525" spans="1:1" ht="21">
      <c r="A7525" s="345"/>
    </row>
    <row r="7526" spans="1:1" ht="21">
      <c r="A7526" s="345"/>
    </row>
    <row r="7527" spans="1:1" ht="21">
      <c r="A7527" s="345"/>
    </row>
    <row r="7528" spans="1:1" ht="21">
      <c r="A7528" s="345"/>
    </row>
    <row r="7529" spans="1:1" ht="21">
      <c r="A7529" s="345"/>
    </row>
    <row r="7530" spans="1:1" ht="21">
      <c r="A7530" s="345"/>
    </row>
    <row r="7531" spans="1:1" ht="21">
      <c r="A7531" s="345"/>
    </row>
    <row r="7532" spans="1:1" ht="21">
      <c r="A7532" s="345"/>
    </row>
    <row r="7533" spans="1:1" ht="21">
      <c r="A7533" s="345"/>
    </row>
    <row r="7534" spans="1:1" ht="21">
      <c r="A7534" s="345"/>
    </row>
    <row r="7535" spans="1:1" ht="21">
      <c r="A7535" s="345"/>
    </row>
    <row r="7536" spans="1:1" ht="21">
      <c r="A7536" s="345"/>
    </row>
    <row r="7537" spans="1:1" ht="21">
      <c r="A7537" s="345"/>
    </row>
    <row r="7538" spans="1:1" ht="21">
      <c r="A7538" s="345"/>
    </row>
    <row r="7539" spans="1:1" ht="21">
      <c r="A7539" s="345"/>
    </row>
    <row r="7540" spans="1:1" ht="21">
      <c r="A7540" s="345"/>
    </row>
    <row r="7541" spans="1:1" ht="21">
      <c r="A7541" s="345"/>
    </row>
    <row r="7542" spans="1:1" ht="21">
      <c r="A7542" s="345"/>
    </row>
    <row r="7543" spans="1:1" ht="21">
      <c r="A7543" s="345"/>
    </row>
    <row r="7544" spans="1:1" ht="21">
      <c r="A7544" s="345"/>
    </row>
    <row r="7545" spans="1:1" ht="21">
      <c r="A7545" s="345"/>
    </row>
    <row r="7546" spans="1:1" ht="21">
      <c r="A7546" s="345"/>
    </row>
    <row r="7547" spans="1:1" ht="21">
      <c r="A7547" s="345"/>
    </row>
    <row r="7548" spans="1:1" ht="21">
      <c r="A7548" s="345"/>
    </row>
    <row r="7549" spans="1:1" ht="21">
      <c r="A7549" s="345"/>
    </row>
    <row r="7550" spans="1:1" ht="21">
      <c r="A7550" s="345"/>
    </row>
    <row r="7551" spans="1:1" ht="21">
      <c r="A7551" s="345"/>
    </row>
    <row r="7552" spans="1:1" ht="21">
      <c r="A7552" s="345"/>
    </row>
    <row r="7553" spans="1:1" ht="21">
      <c r="A7553" s="345"/>
    </row>
    <row r="7554" spans="1:1" ht="21">
      <c r="A7554" s="345"/>
    </row>
    <row r="7555" spans="1:1" ht="21">
      <c r="A7555" s="345"/>
    </row>
    <row r="7556" spans="1:1" ht="21">
      <c r="A7556" s="345"/>
    </row>
    <row r="7557" spans="1:1" ht="21">
      <c r="A7557" s="345"/>
    </row>
    <row r="7558" spans="1:1" ht="21">
      <c r="A7558" s="345"/>
    </row>
    <row r="7559" spans="1:1" ht="21">
      <c r="A7559" s="345"/>
    </row>
    <row r="7560" spans="1:1" ht="21">
      <c r="A7560" s="345"/>
    </row>
    <row r="7561" spans="1:1" ht="21">
      <c r="A7561" s="345"/>
    </row>
    <row r="7562" spans="1:1" ht="21">
      <c r="A7562" s="345"/>
    </row>
    <row r="7563" spans="1:1" ht="21">
      <c r="A7563" s="345"/>
    </row>
    <row r="7564" spans="1:1" ht="21">
      <c r="A7564" s="345"/>
    </row>
    <row r="7565" spans="1:1" ht="21">
      <c r="A7565" s="345"/>
    </row>
    <row r="7566" spans="1:1" ht="21">
      <c r="A7566" s="345"/>
    </row>
    <row r="7567" spans="1:1" ht="21">
      <c r="A7567" s="345"/>
    </row>
    <row r="7568" spans="1:1" ht="21">
      <c r="A7568" s="345"/>
    </row>
    <row r="7569" spans="1:1" ht="21">
      <c r="A7569" s="345"/>
    </row>
    <row r="7570" spans="1:1" ht="21">
      <c r="A7570" s="345"/>
    </row>
    <row r="7571" spans="1:1" ht="21">
      <c r="A7571" s="345"/>
    </row>
    <row r="7572" spans="1:1" ht="21">
      <c r="A7572" s="345"/>
    </row>
    <row r="7573" spans="1:1" ht="21">
      <c r="A7573" s="345"/>
    </row>
    <row r="7574" spans="1:1" ht="21">
      <c r="A7574" s="345"/>
    </row>
    <row r="7575" spans="1:1" ht="21">
      <c r="A7575" s="345"/>
    </row>
    <row r="7576" spans="1:1" ht="21">
      <c r="A7576" s="345"/>
    </row>
    <row r="7577" spans="1:1" ht="21">
      <c r="A7577" s="345"/>
    </row>
    <row r="7578" spans="1:1" ht="21">
      <c r="A7578" s="345"/>
    </row>
    <row r="7579" spans="1:1" ht="21">
      <c r="A7579" s="345"/>
    </row>
    <row r="7580" spans="1:1" ht="21">
      <c r="A7580" s="345"/>
    </row>
    <row r="7581" spans="1:1" ht="21">
      <c r="A7581" s="345"/>
    </row>
    <row r="7582" spans="1:1" ht="21">
      <c r="A7582" s="345"/>
    </row>
    <row r="7583" spans="1:1" ht="21">
      <c r="A7583" s="345"/>
    </row>
    <row r="7584" spans="1:1" ht="21">
      <c r="A7584" s="345"/>
    </row>
    <row r="7585" spans="1:1" ht="21">
      <c r="A7585" s="345"/>
    </row>
    <row r="7586" spans="1:1" ht="21">
      <c r="A7586" s="345"/>
    </row>
    <row r="7587" spans="1:1" ht="21">
      <c r="A7587" s="345"/>
    </row>
    <row r="7588" spans="1:1" ht="21">
      <c r="A7588" s="345"/>
    </row>
    <row r="7589" spans="1:1" ht="21">
      <c r="A7589" s="345"/>
    </row>
    <row r="7590" spans="1:1" ht="21">
      <c r="A7590" s="345"/>
    </row>
    <row r="7591" spans="1:1" ht="21">
      <c r="A7591" s="345"/>
    </row>
    <row r="7592" spans="1:1" ht="21">
      <c r="A7592" s="345"/>
    </row>
    <row r="7593" spans="1:1" ht="21">
      <c r="A7593" s="345"/>
    </row>
    <row r="7594" spans="1:1" ht="21">
      <c r="A7594" s="345"/>
    </row>
    <row r="7595" spans="1:1" ht="21">
      <c r="A7595" s="345"/>
    </row>
    <row r="7596" spans="1:1" ht="21">
      <c r="A7596" s="345"/>
    </row>
    <row r="7597" spans="1:1" ht="21">
      <c r="A7597" s="345"/>
    </row>
    <row r="7598" spans="1:1" ht="21">
      <c r="A7598" s="345"/>
    </row>
    <row r="7599" spans="1:1" ht="21">
      <c r="A7599" s="345"/>
    </row>
    <row r="7600" spans="1:1" ht="21">
      <c r="A7600" s="345"/>
    </row>
    <row r="7601" spans="1:1" ht="21">
      <c r="A7601" s="345"/>
    </row>
    <row r="7602" spans="1:1" ht="21">
      <c r="A7602" s="345"/>
    </row>
    <row r="7603" spans="1:1" ht="21">
      <c r="A7603" s="345"/>
    </row>
    <row r="7604" spans="1:1" ht="21">
      <c r="A7604" s="345"/>
    </row>
    <row r="7605" spans="1:1" ht="21">
      <c r="A7605" s="345"/>
    </row>
    <row r="7606" spans="1:1" ht="21">
      <c r="A7606" s="345"/>
    </row>
    <row r="7607" spans="1:1" ht="21">
      <c r="A7607" s="345"/>
    </row>
    <row r="7608" spans="1:1" ht="21">
      <c r="A7608" s="345"/>
    </row>
    <row r="7609" spans="1:1" ht="21">
      <c r="A7609" s="345"/>
    </row>
    <row r="7610" spans="1:1" ht="21">
      <c r="A7610" s="345"/>
    </row>
    <row r="7611" spans="1:1" ht="21">
      <c r="A7611" s="345"/>
    </row>
    <row r="7612" spans="1:1" ht="21">
      <c r="A7612" s="345"/>
    </row>
    <row r="7613" spans="1:1" ht="21">
      <c r="A7613" s="345"/>
    </row>
    <row r="7614" spans="1:1" ht="21">
      <c r="A7614" s="345"/>
    </row>
    <row r="7615" spans="1:1" ht="21">
      <c r="A7615" s="345"/>
    </row>
    <row r="7616" spans="1:1" ht="21">
      <c r="A7616" s="345"/>
    </row>
    <row r="7617" spans="1:1" ht="21">
      <c r="A7617" s="345"/>
    </row>
    <row r="7618" spans="1:1" ht="21">
      <c r="A7618" s="345"/>
    </row>
    <row r="7619" spans="1:1" ht="21">
      <c r="A7619" s="345"/>
    </row>
    <row r="7620" spans="1:1" ht="21">
      <c r="A7620" s="345"/>
    </row>
    <row r="7621" spans="1:1" ht="21">
      <c r="A7621" s="345"/>
    </row>
    <row r="7622" spans="1:1" ht="21">
      <c r="A7622" s="345"/>
    </row>
    <row r="7623" spans="1:1" ht="21">
      <c r="A7623" s="345"/>
    </row>
    <row r="7624" spans="1:1" ht="21">
      <c r="A7624" s="345"/>
    </row>
    <row r="7625" spans="1:1" ht="21">
      <c r="A7625" s="345"/>
    </row>
    <row r="7626" spans="1:1" ht="21">
      <c r="A7626" s="345"/>
    </row>
    <row r="7627" spans="1:1" ht="21">
      <c r="A7627" s="345"/>
    </row>
    <row r="7628" spans="1:1" ht="21">
      <c r="A7628" s="345"/>
    </row>
    <row r="7629" spans="1:1" ht="21">
      <c r="A7629" s="345"/>
    </row>
    <row r="7630" spans="1:1" ht="21">
      <c r="A7630" s="345"/>
    </row>
    <row r="7631" spans="1:1" ht="21">
      <c r="A7631" s="345"/>
    </row>
    <row r="7632" spans="1:1" ht="21">
      <c r="A7632" s="345"/>
    </row>
    <row r="7633" spans="1:1" ht="21">
      <c r="A7633" s="345"/>
    </row>
    <row r="7634" spans="1:1" ht="21">
      <c r="A7634" s="345"/>
    </row>
    <row r="7635" spans="1:1" ht="21">
      <c r="A7635" s="345"/>
    </row>
    <row r="7636" spans="1:1" ht="21">
      <c r="A7636" s="345"/>
    </row>
    <row r="7637" spans="1:1" ht="21">
      <c r="A7637" s="345"/>
    </row>
    <row r="7638" spans="1:1" ht="21">
      <c r="A7638" s="345"/>
    </row>
    <row r="7639" spans="1:1" ht="21">
      <c r="A7639" s="345"/>
    </row>
    <row r="7640" spans="1:1" ht="21">
      <c r="A7640" s="345"/>
    </row>
    <row r="7641" spans="1:1" ht="21">
      <c r="A7641" s="345"/>
    </row>
    <row r="7642" spans="1:1" ht="21">
      <c r="A7642" s="345"/>
    </row>
    <row r="7643" spans="1:1" ht="21">
      <c r="A7643" s="345"/>
    </row>
    <row r="7644" spans="1:1" ht="21">
      <c r="A7644" s="345"/>
    </row>
    <row r="7645" spans="1:1" ht="21">
      <c r="A7645" s="345"/>
    </row>
    <row r="7646" spans="1:1" ht="21">
      <c r="A7646" s="345"/>
    </row>
    <row r="7647" spans="1:1" ht="21">
      <c r="A7647" s="345"/>
    </row>
    <row r="7648" spans="1:1" ht="21">
      <c r="A7648" s="345"/>
    </row>
    <row r="7649" spans="1:1" ht="21">
      <c r="A7649" s="345"/>
    </row>
    <row r="7650" spans="1:1" ht="21">
      <c r="A7650" s="345"/>
    </row>
    <row r="7651" spans="1:1" ht="21">
      <c r="A7651" s="345"/>
    </row>
    <row r="7652" spans="1:1" ht="21">
      <c r="A7652" s="345"/>
    </row>
    <row r="7653" spans="1:1" ht="21">
      <c r="A7653" s="345"/>
    </row>
    <row r="7654" spans="1:1" ht="21">
      <c r="A7654" s="345"/>
    </row>
    <row r="7655" spans="1:1" ht="21">
      <c r="A7655" s="345"/>
    </row>
    <row r="7656" spans="1:1" ht="21">
      <c r="A7656" s="345"/>
    </row>
    <row r="7657" spans="1:1" ht="21">
      <c r="A7657" s="345"/>
    </row>
    <row r="7658" spans="1:1" ht="21">
      <c r="A7658" s="345"/>
    </row>
    <row r="7659" spans="1:1" ht="21">
      <c r="A7659" s="345"/>
    </row>
    <row r="7660" spans="1:1" ht="21">
      <c r="A7660" s="345"/>
    </row>
    <row r="7661" spans="1:1" ht="21">
      <c r="A7661" s="345"/>
    </row>
    <row r="7662" spans="1:1" ht="21">
      <c r="A7662" s="345"/>
    </row>
    <row r="7663" spans="1:1" ht="21">
      <c r="A7663" s="345"/>
    </row>
    <row r="7664" spans="1:1" ht="21">
      <c r="A7664" s="345"/>
    </row>
    <row r="7665" spans="1:1" ht="21">
      <c r="A7665" s="345"/>
    </row>
    <row r="7666" spans="1:1" ht="21">
      <c r="A7666" s="345"/>
    </row>
    <row r="7667" spans="1:1" ht="21">
      <c r="A7667" s="345"/>
    </row>
    <row r="7668" spans="1:1" ht="21">
      <c r="A7668" s="345"/>
    </row>
    <row r="7669" spans="1:1" ht="21">
      <c r="A7669" s="345"/>
    </row>
    <row r="7670" spans="1:1" ht="21">
      <c r="A7670" s="345"/>
    </row>
    <row r="7671" spans="1:1" ht="21">
      <c r="A7671" s="345"/>
    </row>
    <row r="7672" spans="1:1" ht="21">
      <c r="A7672" s="345"/>
    </row>
    <row r="7673" spans="1:1" ht="21">
      <c r="A7673" s="345"/>
    </row>
    <row r="7674" spans="1:1" ht="21">
      <c r="A7674" s="345"/>
    </row>
    <row r="7675" spans="1:1" ht="21">
      <c r="A7675" s="345"/>
    </row>
    <row r="7676" spans="1:1" ht="21">
      <c r="A7676" s="345"/>
    </row>
    <row r="7677" spans="1:1" ht="21">
      <c r="A7677" s="345"/>
    </row>
    <row r="7678" spans="1:1" ht="21">
      <c r="A7678" s="345"/>
    </row>
    <row r="7679" spans="1:1" ht="21">
      <c r="A7679" s="345"/>
    </row>
    <row r="7680" spans="1:1" ht="21">
      <c r="A7680" s="345"/>
    </row>
    <row r="7681" spans="1:1" ht="21">
      <c r="A7681" s="345"/>
    </row>
    <row r="7682" spans="1:1" ht="21">
      <c r="A7682" s="345"/>
    </row>
    <row r="7683" spans="1:1" ht="21">
      <c r="A7683" s="345"/>
    </row>
    <row r="7684" spans="1:1" ht="21">
      <c r="A7684" s="345"/>
    </row>
    <row r="7685" spans="1:1" ht="21">
      <c r="A7685" s="345"/>
    </row>
    <row r="7686" spans="1:1" ht="21">
      <c r="A7686" s="345"/>
    </row>
    <row r="7687" spans="1:1" ht="21">
      <c r="A7687" s="345"/>
    </row>
    <row r="7688" spans="1:1" ht="21">
      <c r="A7688" s="345"/>
    </row>
    <row r="7689" spans="1:1" ht="21">
      <c r="A7689" s="345"/>
    </row>
    <row r="7690" spans="1:1" ht="21">
      <c r="A7690" s="345"/>
    </row>
    <row r="7691" spans="1:1" ht="21">
      <c r="A7691" s="345"/>
    </row>
    <row r="7692" spans="1:1" ht="21">
      <c r="A7692" s="345"/>
    </row>
    <row r="7693" spans="1:1" ht="21">
      <c r="A7693" s="345"/>
    </row>
    <row r="7694" spans="1:1" ht="21">
      <c r="A7694" s="345"/>
    </row>
    <row r="7695" spans="1:1" ht="21">
      <c r="A7695" s="345"/>
    </row>
    <row r="7696" spans="1:1" ht="21">
      <c r="A7696" s="345"/>
    </row>
    <row r="7697" spans="1:1" ht="21">
      <c r="A7697" s="345"/>
    </row>
    <row r="7698" spans="1:1" ht="21">
      <c r="A7698" s="345"/>
    </row>
    <row r="7699" spans="1:1" ht="21">
      <c r="A7699" s="345"/>
    </row>
    <row r="7700" spans="1:1" ht="21">
      <c r="A7700" s="345"/>
    </row>
    <row r="7701" spans="1:1" ht="21">
      <c r="A7701" s="345"/>
    </row>
    <row r="7702" spans="1:1" ht="21">
      <c r="A7702" s="345"/>
    </row>
    <row r="7703" spans="1:1" ht="21">
      <c r="A7703" s="345"/>
    </row>
    <row r="7704" spans="1:1" ht="21">
      <c r="A7704" s="345"/>
    </row>
    <row r="7705" spans="1:1" ht="21">
      <c r="A7705" s="345"/>
    </row>
    <row r="7706" spans="1:1" ht="21">
      <c r="A7706" s="345"/>
    </row>
    <row r="7707" spans="1:1" ht="21">
      <c r="A7707" s="345"/>
    </row>
    <row r="7708" spans="1:1" ht="21">
      <c r="A7708" s="345"/>
    </row>
    <row r="7709" spans="1:1" ht="21">
      <c r="A7709" s="345"/>
    </row>
    <row r="7710" spans="1:1" ht="21">
      <c r="A7710" s="345"/>
    </row>
    <row r="7711" spans="1:1" ht="21">
      <c r="A7711" s="345"/>
    </row>
    <row r="7712" spans="1:1" ht="21">
      <c r="A7712" s="345"/>
    </row>
    <row r="7713" spans="1:1" ht="21">
      <c r="A7713" s="345"/>
    </row>
    <row r="7714" spans="1:1" ht="21">
      <c r="A7714" s="345"/>
    </row>
    <row r="7715" spans="1:1" ht="21">
      <c r="A7715" s="345"/>
    </row>
    <row r="7716" spans="1:1" ht="21">
      <c r="A7716" s="345"/>
    </row>
    <row r="7717" spans="1:1" ht="21">
      <c r="A7717" s="345"/>
    </row>
    <row r="7718" spans="1:1" ht="21">
      <c r="A7718" s="345"/>
    </row>
    <row r="7719" spans="1:1" ht="21">
      <c r="A7719" s="345"/>
    </row>
    <row r="7720" spans="1:1" ht="21">
      <c r="A7720" s="345"/>
    </row>
    <row r="7721" spans="1:1" ht="21">
      <c r="A7721" s="345"/>
    </row>
    <row r="7722" spans="1:1" ht="21">
      <c r="A7722" s="345"/>
    </row>
    <row r="7723" spans="1:1" ht="21">
      <c r="A7723" s="345"/>
    </row>
    <row r="7724" spans="1:1" ht="21">
      <c r="A7724" s="345"/>
    </row>
    <row r="7725" spans="1:1" ht="21">
      <c r="A7725" s="345"/>
    </row>
    <row r="7726" spans="1:1" ht="21">
      <c r="A7726" s="345"/>
    </row>
    <row r="7727" spans="1:1" ht="21">
      <c r="A7727" s="345"/>
    </row>
    <row r="7728" spans="1:1" ht="21">
      <c r="A7728" s="345"/>
    </row>
    <row r="7729" spans="1:1" ht="21">
      <c r="A7729" s="345"/>
    </row>
    <row r="7730" spans="1:1" ht="21">
      <c r="A7730" s="345"/>
    </row>
    <row r="7731" spans="1:1" ht="21">
      <c r="A7731" s="345"/>
    </row>
    <row r="7732" spans="1:1" ht="21">
      <c r="A7732" s="345"/>
    </row>
    <row r="7733" spans="1:1" ht="21">
      <c r="A7733" s="345"/>
    </row>
    <row r="7734" spans="1:1" ht="21">
      <c r="A7734" s="345"/>
    </row>
    <row r="7735" spans="1:1" ht="21">
      <c r="A7735" s="345"/>
    </row>
    <row r="7736" spans="1:1" ht="21">
      <c r="A7736" s="345"/>
    </row>
    <row r="7737" spans="1:1" ht="21">
      <c r="A7737" s="345"/>
    </row>
    <row r="7738" spans="1:1" ht="21">
      <c r="A7738" s="345"/>
    </row>
    <row r="7739" spans="1:1" ht="21">
      <c r="A7739" s="345"/>
    </row>
    <row r="7740" spans="1:1" ht="21">
      <c r="A7740" s="345"/>
    </row>
    <row r="7741" spans="1:1" ht="21">
      <c r="A7741" s="345"/>
    </row>
    <row r="7742" spans="1:1" ht="21">
      <c r="A7742" s="345"/>
    </row>
    <row r="7743" spans="1:1" ht="21">
      <c r="A7743" s="345"/>
    </row>
    <row r="7744" spans="1:1" ht="21">
      <c r="A7744" s="345"/>
    </row>
    <row r="7745" spans="1:1" ht="21">
      <c r="A7745" s="345"/>
    </row>
    <row r="7746" spans="1:1" ht="21">
      <c r="A7746" s="345"/>
    </row>
    <row r="7747" spans="1:1" ht="21">
      <c r="A7747" s="345"/>
    </row>
    <row r="7748" spans="1:1" ht="21">
      <c r="A7748" s="345"/>
    </row>
    <row r="7749" spans="1:1" ht="21">
      <c r="A7749" s="345"/>
    </row>
    <row r="7750" spans="1:1" ht="21">
      <c r="A7750" s="345"/>
    </row>
    <row r="7751" spans="1:1" ht="21">
      <c r="A7751" s="345"/>
    </row>
    <row r="7752" spans="1:1" ht="21">
      <c r="A7752" s="345"/>
    </row>
    <row r="7753" spans="1:1" ht="21">
      <c r="A7753" s="345"/>
    </row>
    <row r="7754" spans="1:1" ht="21">
      <c r="A7754" s="345"/>
    </row>
    <row r="7755" spans="1:1" ht="21">
      <c r="A7755" s="345"/>
    </row>
    <row r="7756" spans="1:1" ht="21">
      <c r="A7756" s="345"/>
    </row>
    <row r="7757" spans="1:1" ht="21">
      <c r="A7757" s="345"/>
    </row>
    <row r="7758" spans="1:1" ht="21">
      <c r="A7758" s="345"/>
    </row>
    <row r="7759" spans="1:1" ht="21">
      <c r="A7759" s="345"/>
    </row>
    <row r="7760" spans="1:1" ht="21">
      <c r="A7760" s="345"/>
    </row>
    <row r="7761" spans="1:1" ht="21">
      <c r="A7761" s="345"/>
    </row>
    <row r="7762" spans="1:1" ht="21">
      <c r="A7762" s="345"/>
    </row>
    <row r="7763" spans="1:1" ht="21">
      <c r="A7763" s="345"/>
    </row>
    <row r="7764" spans="1:1" ht="21">
      <c r="A7764" s="345"/>
    </row>
    <row r="7765" spans="1:1" ht="21">
      <c r="A7765" s="345"/>
    </row>
    <row r="7766" spans="1:1" ht="21">
      <c r="A7766" s="345"/>
    </row>
    <row r="7767" spans="1:1" ht="21">
      <c r="A7767" s="345"/>
    </row>
    <row r="7768" spans="1:1" ht="21">
      <c r="A7768" s="345"/>
    </row>
    <row r="7769" spans="1:1" ht="21">
      <c r="A7769" s="345"/>
    </row>
    <row r="7770" spans="1:1" ht="21">
      <c r="A7770" s="345"/>
    </row>
    <row r="7771" spans="1:1" ht="21">
      <c r="A7771" s="345"/>
    </row>
    <row r="7772" spans="1:1" ht="21">
      <c r="A7772" s="345"/>
    </row>
    <row r="7773" spans="1:1" ht="21">
      <c r="A7773" s="345"/>
    </row>
    <row r="7774" spans="1:1" ht="21">
      <c r="A7774" s="345"/>
    </row>
    <row r="7775" spans="1:1" ht="21">
      <c r="A7775" s="345"/>
    </row>
    <row r="7776" spans="1:1" ht="21">
      <c r="A7776" s="345"/>
    </row>
    <row r="7777" spans="1:1" ht="21">
      <c r="A7777" s="345"/>
    </row>
    <row r="7778" spans="1:1" ht="21">
      <c r="A7778" s="345"/>
    </row>
    <row r="7779" spans="1:1" ht="21">
      <c r="A7779" s="345"/>
    </row>
    <row r="7780" spans="1:1" ht="21">
      <c r="A7780" s="345"/>
    </row>
    <row r="7781" spans="1:1" ht="21">
      <c r="A7781" s="345"/>
    </row>
    <row r="7782" spans="1:1" ht="21">
      <c r="A7782" s="345"/>
    </row>
    <row r="7783" spans="1:1" ht="21">
      <c r="A7783" s="345"/>
    </row>
    <row r="7784" spans="1:1" ht="21">
      <c r="A7784" s="345"/>
    </row>
    <row r="7785" spans="1:1" ht="21">
      <c r="A7785" s="345"/>
    </row>
    <row r="7786" spans="1:1" ht="21">
      <c r="A7786" s="345"/>
    </row>
    <row r="7787" spans="1:1" ht="21">
      <c r="A7787" s="345"/>
    </row>
    <row r="7788" spans="1:1" ht="21">
      <c r="A7788" s="345"/>
    </row>
    <row r="7789" spans="1:1" ht="21">
      <c r="A7789" s="345"/>
    </row>
    <row r="7790" spans="1:1" ht="21">
      <c r="A7790" s="345"/>
    </row>
    <row r="7791" spans="1:1" ht="21">
      <c r="A7791" s="345"/>
    </row>
    <row r="7792" spans="1:1" ht="21">
      <c r="A7792" s="345"/>
    </row>
    <row r="7793" spans="1:1" ht="21">
      <c r="A7793" s="345"/>
    </row>
    <row r="7794" spans="1:1" ht="21">
      <c r="A7794" s="345"/>
    </row>
    <row r="7795" spans="1:1" ht="21">
      <c r="A7795" s="345"/>
    </row>
    <row r="7796" spans="1:1" ht="21">
      <c r="A7796" s="345"/>
    </row>
    <row r="7797" spans="1:1" ht="21">
      <c r="A7797" s="345"/>
    </row>
    <row r="7798" spans="1:1" ht="21">
      <c r="A7798" s="345"/>
    </row>
    <row r="7799" spans="1:1" ht="21">
      <c r="A7799" s="345"/>
    </row>
    <row r="7800" spans="1:1" ht="21">
      <c r="A7800" s="345"/>
    </row>
    <row r="7801" spans="1:1" ht="21">
      <c r="A7801" s="345"/>
    </row>
    <row r="7802" spans="1:1" ht="21">
      <c r="A7802" s="345"/>
    </row>
    <row r="7803" spans="1:1" ht="21">
      <c r="A7803" s="345"/>
    </row>
    <row r="7804" spans="1:1" ht="21">
      <c r="A7804" s="345"/>
    </row>
    <row r="7805" spans="1:1" ht="21">
      <c r="A7805" s="345"/>
    </row>
    <row r="7806" spans="1:1" ht="21">
      <c r="A7806" s="345"/>
    </row>
    <row r="7807" spans="1:1" ht="21">
      <c r="A7807" s="345"/>
    </row>
    <row r="7808" spans="1:1" ht="21">
      <c r="A7808" s="345"/>
    </row>
    <row r="7809" spans="1:1" ht="21">
      <c r="A7809" s="345"/>
    </row>
    <row r="7810" spans="1:1" ht="21">
      <c r="A7810" s="345"/>
    </row>
    <row r="7811" spans="1:1" ht="21">
      <c r="A7811" s="345"/>
    </row>
    <row r="7812" spans="1:1" ht="21">
      <c r="A7812" s="345"/>
    </row>
    <row r="7813" spans="1:1" ht="21">
      <c r="A7813" s="345"/>
    </row>
    <row r="7814" spans="1:1" ht="21">
      <c r="A7814" s="345"/>
    </row>
    <row r="7815" spans="1:1" ht="21">
      <c r="A7815" s="345"/>
    </row>
    <row r="7816" spans="1:1" ht="21">
      <c r="A7816" s="345"/>
    </row>
    <row r="7817" spans="1:1" ht="21">
      <c r="A7817" s="345"/>
    </row>
    <row r="7818" spans="1:1" ht="21">
      <c r="A7818" s="345"/>
    </row>
    <row r="7819" spans="1:1" ht="21">
      <c r="A7819" s="345"/>
    </row>
    <row r="7820" spans="1:1" ht="21">
      <c r="A7820" s="345"/>
    </row>
    <row r="7821" spans="1:1" ht="21">
      <c r="A7821" s="345"/>
    </row>
    <row r="7822" spans="1:1" ht="21">
      <c r="A7822" s="345"/>
    </row>
    <row r="7823" spans="1:1" ht="21">
      <c r="A7823" s="345"/>
    </row>
    <row r="7824" spans="1:1" ht="21">
      <c r="A7824" s="345"/>
    </row>
    <row r="7825" spans="1:1" ht="21">
      <c r="A7825" s="345"/>
    </row>
    <row r="7826" spans="1:1" ht="21">
      <c r="A7826" s="345"/>
    </row>
    <row r="7827" spans="1:1" ht="21">
      <c r="A7827" s="345"/>
    </row>
    <row r="7828" spans="1:1" ht="21">
      <c r="A7828" s="345"/>
    </row>
    <row r="7829" spans="1:1" ht="21">
      <c r="A7829" s="345"/>
    </row>
    <row r="7830" spans="1:1" ht="21">
      <c r="A7830" s="345"/>
    </row>
    <row r="7831" spans="1:1" ht="21">
      <c r="A7831" s="345"/>
    </row>
    <row r="7832" spans="1:1" ht="21">
      <c r="A7832" s="345"/>
    </row>
    <row r="7833" spans="1:1" ht="21">
      <c r="A7833" s="345"/>
    </row>
    <row r="7834" spans="1:1" ht="21">
      <c r="A7834" s="345"/>
    </row>
    <row r="7835" spans="1:1" ht="21">
      <c r="A7835" s="345"/>
    </row>
    <row r="7836" spans="1:1" ht="21">
      <c r="A7836" s="345"/>
    </row>
    <row r="7837" spans="1:1" ht="21">
      <c r="A7837" s="345"/>
    </row>
    <row r="7838" spans="1:1" ht="21">
      <c r="A7838" s="345"/>
    </row>
    <row r="7839" spans="1:1" ht="21">
      <c r="A7839" s="345"/>
    </row>
    <row r="7840" spans="1:1" ht="21">
      <c r="A7840" s="345"/>
    </row>
    <row r="7841" spans="1:1" ht="21">
      <c r="A7841" s="345"/>
    </row>
    <row r="7842" spans="1:1" ht="21">
      <c r="A7842" s="345"/>
    </row>
    <row r="7843" spans="1:1" ht="21">
      <c r="A7843" s="345"/>
    </row>
    <row r="7844" spans="1:1" ht="21">
      <c r="A7844" s="345"/>
    </row>
    <row r="7845" spans="1:1" ht="21">
      <c r="A7845" s="345"/>
    </row>
    <row r="7846" spans="1:1" ht="21">
      <c r="A7846" s="345"/>
    </row>
    <row r="7847" spans="1:1" ht="21">
      <c r="A7847" s="345"/>
    </row>
    <row r="7848" spans="1:1" ht="21">
      <c r="A7848" s="345"/>
    </row>
    <row r="7849" spans="1:1" ht="21">
      <c r="A7849" s="345"/>
    </row>
    <row r="7850" spans="1:1" ht="21">
      <c r="A7850" s="345"/>
    </row>
    <row r="7851" spans="1:1" ht="21">
      <c r="A7851" s="345"/>
    </row>
    <row r="7852" spans="1:1" ht="21">
      <c r="A7852" s="345"/>
    </row>
    <row r="7853" spans="1:1" ht="21">
      <c r="A7853" s="345"/>
    </row>
    <row r="7854" spans="1:1" ht="21">
      <c r="A7854" s="345"/>
    </row>
    <row r="7855" spans="1:1" ht="21">
      <c r="A7855" s="345"/>
    </row>
    <row r="7856" spans="1:1" ht="21">
      <c r="A7856" s="345"/>
    </row>
    <row r="7857" spans="1:1" ht="21">
      <c r="A7857" s="345"/>
    </row>
    <row r="7858" spans="1:1" ht="21">
      <c r="A7858" s="345"/>
    </row>
    <row r="7859" spans="1:1" ht="21">
      <c r="A7859" s="345"/>
    </row>
    <row r="7860" spans="1:1" ht="21">
      <c r="A7860" s="345"/>
    </row>
    <row r="7861" spans="1:1" ht="21">
      <c r="A7861" s="345"/>
    </row>
    <row r="7862" spans="1:1" ht="21">
      <c r="A7862" s="345"/>
    </row>
    <row r="7863" spans="1:1" ht="21">
      <c r="A7863" s="345"/>
    </row>
    <row r="7864" spans="1:1" ht="21">
      <c r="A7864" s="345"/>
    </row>
    <row r="7865" spans="1:1" ht="21">
      <c r="A7865" s="345"/>
    </row>
    <row r="7866" spans="1:1" ht="21">
      <c r="A7866" s="345"/>
    </row>
    <row r="7867" spans="1:1" ht="21">
      <c r="A7867" s="345"/>
    </row>
    <row r="7868" spans="1:1" ht="21">
      <c r="A7868" s="345"/>
    </row>
    <row r="7869" spans="1:1" ht="21">
      <c r="A7869" s="345"/>
    </row>
    <row r="7870" spans="1:1" ht="21">
      <c r="A7870" s="345"/>
    </row>
    <row r="7871" spans="1:1" ht="21">
      <c r="A7871" s="345"/>
    </row>
    <row r="7872" spans="1:1" ht="21">
      <c r="A7872" s="345"/>
    </row>
    <row r="7873" spans="1:1" ht="21">
      <c r="A7873" s="345"/>
    </row>
    <row r="7874" spans="1:1" ht="21">
      <c r="A7874" s="345"/>
    </row>
    <row r="7875" spans="1:1" ht="21">
      <c r="A7875" s="345"/>
    </row>
    <row r="7876" spans="1:1" ht="21">
      <c r="A7876" s="345"/>
    </row>
    <row r="7877" spans="1:1" ht="21">
      <c r="A7877" s="345"/>
    </row>
    <row r="7878" spans="1:1" ht="21">
      <c r="A7878" s="345"/>
    </row>
    <row r="7879" spans="1:1" ht="21">
      <c r="A7879" s="345"/>
    </row>
    <row r="7880" spans="1:1" ht="21">
      <c r="A7880" s="345"/>
    </row>
    <row r="7881" spans="1:1" ht="21">
      <c r="A7881" s="345"/>
    </row>
    <row r="7882" spans="1:1" ht="21">
      <c r="A7882" s="345"/>
    </row>
    <row r="7883" spans="1:1" ht="21">
      <c r="A7883" s="345"/>
    </row>
    <row r="7884" spans="1:1" ht="21">
      <c r="A7884" s="345"/>
    </row>
    <row r="7885" spans="1:1" ht="21">
      <c r="A7885" s="345"/>
    </row>
    <row r="7886" spans="1:1" ht="21">
      <c r="A7886" s="345"/>
    </row>
    <row r="7887" spans="1:1" ht="21">
      <c r="A7887" s="345"/>
    </row>
    <row r="7888" spans="1:1" ht="21">
      <c r="A7888" s="345"/>
    </row>
    <row r="7889" spans="1:1" ht="21">
      <c r="A7889" s="345"/>
    </row>
    <row r="7890" spans="1:1" ht="21">
      <c r="A7890" s="345"/>
    </row>
    <row r="7891" spans="1:1" ht="21">
      <c r="A7891" s="345"/>
    </row>
    <row r="7892" spans="1:1" ht="21">
      <c r="A7892" s="345"/>
    </row>
    <row r="7893" spans="1:1" ht="21">
      <c r="A7893" s="345"/>
    </row>
    <row r="7894" spans="1:1" ht="21">
      <c r="A7894" s="345"/>
    </row>
    <row r="7895" spans="1:1" ht="21">
      <c r="A7895" s="345"/>
    </row>
    <row r="7896" spans="1:1" ht="21">
      <c r="A7896" s="345"/>
    </row>
    <row r="7897" spans="1:1" ht="21">
      <c r="A7897" s="345"/>
    </row>
    <row r="7898" spans="1:1" ht="21">
      <c r="A7898" s="345"/>
    </row>
    <row r="7899" spans="1:1" ht="21">
      <c r="A7899" s="345"/>
    </row>
    <row r="7900" spans="1:1" ht="21">
      <c r="A7900" s="345"/>
    </row>
    <row r="7901" spans="1:1" ht="21">
      <c r="A7901" s="345"/>
    </row>
    <row r="7902" spans="1:1" ht="21">
      <c r="A7902" s="345"/>
    </row>
    <row r="7903" spans="1:1" ht="21">
      <c r="A7903" s="345"/>
    </row>
    <row r="7904" spans="1:1" ht="21">
      <c r="A7904" s="345"/>
    </row>
    <row r="7905" spans="1:1" ht="21">
      <c r="A7905" s="345"/>
    </row>
    <row r="7906" spans="1:1" ht="21">
      <c r="A7906" s="345"/>
    </row>
    <row r="7907" spans="1:1" ht="21">
      <c r="A7907" s="345"/>
    </row>
    <row r="7908" spans="1:1" ht="21">
      <c r="A7908" s="345"/>
    </row>
    <row r="7909" spans="1:1" ht="21">
      <c r="A7909" s="345"/>
    </row>
    <row r="7910" spans="1:1" ht="21">
      <c r="A7910" s="345"/>
    </row>
    <row r="7911" spans="1:1" ht="21">
      <c r="A7911" s="345"/>
    </row>
    <row r="7912" spans="1:1" ht="21">
      <c r="A7912" s="345"/>
    </row>
    <row r="7913" spans="1:1" ht="21">
      <c r="A7913" s="345"/>
    </row>
    <row r="7914" spans="1:1" ht="21">
      <c r="A7914" s="345"/>
    </row>
    <row r="7915" spans="1:1" ht="21">
      <c r="A7915" s="345"/>
    </row>
    <row r="7916" spans="1:1" ht="21">
      <c r="A7916" s="345"/>
    </row>
    <row r="7917" spans="1:1" ht="21">
      <c r="A7917" s="345"/>
    </row>
    <row r="7918" spans="1:1" ht="21">
      <c r="A7918" s="345"/>
    </row>
    <row r="7919" spans="1:1" ht="21">
      <c r="A7919" s="345"/>
    </row>
    <row r="7920" spans="1:1" ht="21">
      <c r="A7920" s="345"/>
    </row>
    <row r="7921" spans="1:1" ht="21">
      <c r="A7921" s="345"/>
    </row>
    <row r="7922" spans="1:1" ht="21">
      <c r="A7922" s="345"/>
    </row>
    <row r="7923" spans="1:1" ht="21">
      <c r="A7923" s="345"/>
    </row>
    <row r="7924" spans="1:1" ht="21">
      <c r="A7924" s="345"/>
    </row>
    <row r="7925" spans="1:1" ht="21">
      <c r="A7925" s="345"/>
    </row>
    <row r="7926" spans="1:1" ht="21">
      <c r="A7926" s="345"/>
    </row>
    <row r="7927" spans="1:1" ht="21">
      <c r="A7927" s="345"/>
    </row>
    <row r="7928" spans="1:1" ht="21">
      <c r="A7928" s="345"/>
    </row>
    <row r="7929" spans="1:1" ht="21">
      <c r="A7929" s="345"/>
    </row>
    <row r="7930" spans="1:1" ht="21">
      <c r="A7930" s="345"/>
    </row>
    <row r="7931" spans="1:1" ht="21">
      <c r="A7931" s="345"/>
    </row>
    <row r="7932" spans="1:1" ht="21">
      <c r="A7932" s="345"/>
    </row>
    <row r="7933" spans="1:1" ht="21">
      <c r="A7933" s="345"/>
    </row>
    <row r="7934" spans="1:1" ht="21">
      <c r="A7934" s="345"/>
    </row>
    <row r="7935" spans="1:1" ht="21">
      <c r="A7935" s="345"/>
    </row>
    <row r="7936" spans="1:1" ht="21">
      <c r="A7936" s="345"/>
    </row>
    <row r="7937" spans="1:1" ht="21">
      <c r="A7937" s="345"/>
    </row>
    <row r="7938" spans="1:1" ht="21">
      <c r="A7938" s="345"/>
    </row>
    <row r="7939" spans="1:1" ht="21">
      <c r="A7939" s="345"/>
    </row>
    <row r="7940" spans="1:1" ht="21">
      <c r="A7940" s="345"/>
    </row>
    <row r="7941" spans="1:1" ht="21">
      <c r="A7941" s="345"/>
    </row>
    <row r="7942" spans="1:1" ht="21">
      <c r="A7942" s="345"/>
    </row>
    <row r="7943" spans="1:1" ht="21">
      <c r="A7943" s="345"/>
    </row>
    <row r="7944" spans="1:1" ht="21">
      <c r="A7944" s="345"/>
    </row>
    <row r="7945" spans="1:1" ht="21">
      <c r="A7945" s="345"/>
    </row>
    <row r="7946" spans="1:1" ht="21">
      <c r="A7946" s="345"/>
    </row>
    <row r="7947" spans="1:1" ht="21">
      <c r="A7947" s="345"/>
    </row>
    <row r="7948" spans="1:1" ht="21">
      <c r="A7948" s="345"/>
    </row>
    <row r="7949" spans="1:1" ht="21">
      <c r="A7949" s="345"/>
    </row>
    <row r="7950" spans="1:1" ht="21">
      <c r="A7950" s="345"/>
    </row>
    <row r="7951" spans="1:1" ht="21">
      <c r="A7951" s="345"/>
    </row>
    <row r="7952" spans="1:1" ht="21">
      <c r="A7952" s="345"/>
    </row>
    <row r="7953" spans="1:1" ht="21">
      <c r="A7953" s="345"/>
    </row>
    <row r="7954" spans="1:1" ht="21">
      <c r="A7954" s="345"/>
    </row>
    <row r="7955" spans="1:1" ht="21">
      <c r="A7955" s="345"/>
    </row>
    <row r="7956" spans="1:1" ht="21">
      <c r="A7956" s="345"/>
    </row>
    <row r="7957" spans="1:1" ht="21">
      <c r="A7957" s="345"/>
    </row>
    <row r="7958" spans="1:1" ht="21">
      <c r="A7958" s="345"/>
    </row>
    <row r="7959" spans="1:1" ht="21">
      <c r="A7959" s="345"/>
    </row>
    <row r="7960" spans="1:1" ht="21">
      <c r="A7960" s="345"/>
    </row>
    <row r="7961" spans="1:1" ht="21">
      <c r="A7961" s="345"/>
    </row>
    <row r="7962" spans="1:1" ht="21">
      <c r="A7962" s="345"/>
    </row>
    <row r="7963" spans="1:1" ht="21">
      <c r="A7963" s="345"/>
    </row>
    <row r="7964" spans="1:1" ht="21">
      <c r="A7964" s="345"/>
    </row>
    <row r="7965" spans="1:1" ht="21">
      <c r="A7965" s="345"/>
    </row>
    <row r="7966" spans="1:1" ht="21">
      <c r="A7966" s="345"/>
    </row>
    <row r="7967" spans="1:1" ht="21">
      <c r="A7967" s="345"/>
    </row>
    <row r="7968" spans="1:1" ht="21">
      <c r="A7968" s="345"/>
    </row>
    <row r="7969" spans="1:1" ht="21">
      <c r="A7969" s="345"/>
    </row>
    <row r="7970" spans="1:1" ht="21">
      <c r="A7970" s="345"/>
    </row>
    <row r="7971" spans="1:1" ht="21">
      <c r="A7971" s="345"/>
    </row>
    <row r="7972" spans="1:1" ht="21">
      <c r="A7972" s="345"/>
    </row>
    <row r="7973" spans="1:1" ht="21">
      <c r="A7973" s="345"/>
    </row>
    <row r="7974" spans="1:1" ht="21">
      <c r="A7974" s="345"/>
    </row>
    <row r="7975" spans="1:1" ht="21">
      <c r="A7975" s="345"/>
    </row>
    <row r="7976" spans="1:1" ht="21">
      <c r="A7976" s="345"/>
    </row>
    <row r="7977" spans="1:1" ht="21">
      <c r="A7977" s="345"/>
    </row>
    <row r="7978" spans="1:1" ht="21">
      <c r="A7978" s="345"/>
    </row>
    <row r="7979" spans="1:1" ht="21">
      <c r="A7979" s="345"/>
    </row>
    <row r="7980" spans="1:1" ht="21">
      <c r="A7980" s="345"/>
    </row>
    <row r="7981" spans="1:1" ht="21">
      <c r="A7981" s="345"/>
    </row>
    <row r="7982" spans="1:1" ht="21">
      <c r="A7982" s="345"/>
    </row>
    <row r="7983" spans="1:1" ht="21">
      <c r="A7983" s="345"/>
    </row>
    <row r="7984" spans="1:1" ht="21">
      <c r="A7984" s="345"/>
    </row>
    <row r="7985" spans="1:1" ht="21">
      <c r="A7985" s="345"/>
    </row>
    <row r="7986" spans="1:1" ht="21">
      <c r="A7986" s="345"/>
    </row>
    <row r="7987" spans="1:1" ht="21">
      <c r="A7987" s="345"/>
    </row>
    <row r="7988" spans="1:1" ht="21">
      <c r="A7988" s="345"/>
    </row>
    <row r="7989" spans="1:1" ht="21">
      <c r="A7989" s="345"/>
    </row>
    <row r="7990" spans="1:1" ht="21">
      <c r="A7990" s="345"/>
    </row>
    <row r="7991" spans="1:1" ht="21">
      <c r="A7991" s="345"/>
    </row>
    <row r="7992" spans="1:1" ht="21">
      <c r="A7992" s="345"/>
    </row>
    <row r="7993" spans="1:1" ht="21">
      <c r="A7993" s="345"/>
    </row>
    <row r="7994" spans="1:1" ht="21">
      <c r="A7994" s="345"/>
    </row>
    <row r="7995" spans="1:1" ht="21">
      <c r="A7995" s="345"/>
    </row>
    <row r="7996" spans="1:1" ht="21">
      <c r="A7996" s="345"/>
    </row>
    <row r="7997" spans="1:1" ht="21">
      <c r="A7997" s="345"/>
    </row>
    <row r="7998" spans="1:1" ht="21">
      <c r="A7998" s="345"/>
    </row>
    <row r="7999" spans="1:1" ht="21">
      <c r="A7999" s="345"/>
    </row>
    <row r="8000" spans="1:1" ht="21">
      <c r="A8000" s="345"/>
    </row>
    <row r="8001" spans="1:1" ht="21">
      <c r="A8001" s="345"/>
    </row>
    <row r="8002" spans="1:1" ht="21">
      <c r="A8002" s="345"/>
    </row>
    <row r="8003" spans="1:1" ht="21">
      <c r="A8003" s="345"/>
    </row>
    <row r="8004" spans="1:1" ht="21">
      <c r="A8004" s="345"/>
    </row>
    <row r="8005" spans="1:1" ht="21">
      <c r="A8005" s="345"/>
    </row>
    <row r="8006" spans="1:1" ht="21">
      <c r="A8006" s="345"/>
    </row>
    <row r="8007" spans="1:1" ht="21">
      <c r="A8007" s="345"/>
    </row>
    <row r="8008" spans="1:1" ht="21">
      <c r="A8008" s="345"/>
    </row>
    <row r="8009" spans="1:1" ht="21">
      <c r="A8009" s="345"/>
    </row>
    <row r="8010" spans="1:1" ht="21">
      <c r="A8010" s="345"/>
    </row>
    <row r="8011" spans="1:1" ht="21">
      <c r="A8011" s="345"/>
    </row>
    <row r="8012" spans="1:1" ht="21">
      <c r="A8012" s="345"/>
    </row>
    <row r="8013" spans="1:1" ht="21">
      <c r="A8013" s="345"/>
    </row>
    <row r="8014" spans="1:1" ht="21">
      <c r="A8014" s="345"/>
    </row>
    <row r="8015" spans="1:1" ht="21">
      <c r="A8015" s="345"/>
    </row>
    <row r="8016" spans="1:1" ht="21">
      <c r="A8016" s="345"/>
    </row>
    <row r="8017" spans="1:1" ht="21">
      <c r="A8017" s="345"/>
    </row>
    <row r="8018" spans="1:1" ht="21">
      <c r="A8018" s="345"/>
    </row>
    <row r="8019" spans="1:1" ht="21">
      <c r="A8019" s="345"/>
    </row>
    <row r="8020" spans="1:1" ht="21">
      <c r="A8020" s="345"/>
    </row>
    <row r="8021" spans="1:1" ht="21">
      <c r="A8021" s="345"/>
    </row>
    <row r="8022" spans="1:1" ht="21">
      <c r="A8022" s="345"/>
    </row>
    <row r="8023" spans="1:1" ht="21">
      <c r="A8023" s="345"/>
    </row>
    <row r="8024" spans="1:1" ht="21">
      <c r="A8024" s="345"/>
    </row>
    <row r="8025" spans="1:1" ht="21">
      <c r="A8025" s="345"/>
    </row>
    <row r="8026" spans="1:1" ht="21">
      <c r="A8026" s="345"/>
    </row>
    <row r="8027" spans="1:1" ht="21">
      <c r="A8027" s="345"/>
    </row>
    <row r="8028" spans="1:1" ht="21">
      <c r="A8028" s="345"/>
    </row>
    <row r="8029" spans="1:1" ht="21">
      <c r="A8029" s="345"/>
    </row>
    <row r="8030" spans="1:1" ht="21">
      <c r="A8030" s="345"/>
    </row>
    <row r="8031" spans="1:1" ht="21">
      <c r="A8031" s="345"/>
    </row>
    <row r="8032" spans="1:1" ht="21">
      <c r="A8032" s="345"/>
    </row>
    <row r="8033" spans="1:1" ht="21">
      <c r="A8033" s="345"/>
    </row>
    <row r="8034" spans="1:1" ht="21">
      <c r="A8034" s="345"/>
    </row>
    <row r="8035" spans="1:1" ht="21">
      <c r="A8035" s="345"/>
    </row>
    <row r="8036" spans="1:1" ht="21">
      <c r="A8036" s="345"/>
    </row>
    <row r="8037" spans="1:1" ht="21">
      <c r="A8037" s="345"/>
    </row>
    <row r="8038" spans="1:1" ht="21">
      <c r="A8038" s="345"/>
    </row>
    <row r="8039" spans="1:1" ht="21">
      <c r="A8039" s="345"/>
    </row>
    <row r="8040" spans="1:1" ht="21">
      <c r="A8040" s="345"/>
    </row>
    <row r="8041" spans="1:1" ht="21">
      <c r="A8041" s="345"/>
    </row>
    <row r="8042" spans="1:1" ht="21">
      <c r="A8042" s="345"/>
    </row>
    <row r="8043" spans="1:1" ht="21">
      <c r="A8043" s="345"/>
    </row>
    <row r="8044" spans="1:1" ht="21">
      <c r="A8044" s="345"/>
    </row>
    <row r="8045" spans="1:1" ht="21">
      <c r="A8045" s="345"/>
    </row>
    <row r="8046" spans="1:1" ht="21">
      <c r="A8046" s="345"/>
    </row>
    <row r="8047" spans="1:1" ht="21">
      <c r="A8047" s="345"/>
    </row>
    <row r="8048" spans="1:1" ht="21">
      <c r="A8048" s="345"/>
    </row>
    <row r="8049" spans="1:1" ht="21">
      <c r="A8049" s="345"/>
    </row>
    <row r="8050" spans="1:1" ht="21">
      <c r="A8050" s="345"/>
    </row>
    <row r="8051" spans="1:1" ht="21">
      <c r="A8051" s="345"/>
    </row>
    <row r="8052" spans="1:1" ht="21">
      <c r="A8052" s="345"/>
    </row>
    <row r="8053" spans="1:1" ht="21">
      <c r="A8053" s="345"/>
    </row>
    <row r="8054" spans="1:1" ht="21">
      <c r="A8054" s="345"/>
    </row>
    <row r="8055" spans="1:1" ht="21">
      <c r="A8055" s="345"/>
    </row>
    <row r="8056" spans="1:1" ht="21">
      <c r="A8056" s="345"/>
    </row>
    <row r="8057" spans="1:1" ht="21">
      <c r="A8057" s="345"/>
    </row>
    <row r="8058" spans="1:1" ht="21">
      <c r="A8058" s="345"/>
    </row>
    <row r="8059" spans="1:1" ht="21">
      <c r="A8059" s="345"/>
    </row>
    <row r="8060" spans="1:1" ht="21">
      <c r="A8060" s="345"/>
    </row>
    <row r="8061" spans="1:1" ht="21">
      <c r="A8061" s="345"/>
    </row>
    <row r="8062" spans="1:1" ht="21">
      <c r="A8062" s="345"/>
    </row>
    <row r="8063" spans="1:1" ht="21">
      <c r="A8063" s="345"/>
    </row>
    <row r="8064" spans="1:1" ht="21">
      <c r="A8064" s="345"/>
    </row>
    <row r="8065" spans="1:1" ht="21">
      <c r="A8065" s="345"/>
    </row>
    <row r="8066" spans="1:1" ht="21">
      <c r="A8066" s="345"/>
    </row>
    <row r="8067" spans="1:1" ht="21">
      <c r="A8067" s="345"/>
    </row>
    <row r="8068" spans="1:1" ht="21">
      <c r="A8068" s="345"/>
    </row>
    <row r="8069" spans="1:1" ht="21">
      <c r="A8069" s="345"/>
    </row>
    <row r="8070" spans="1:1" ht="21">
      <c r="A8070" s="345"/>
    </row>
    <row r="8071" spans="1:1" ht="21">
      <c r="A8071" s="345"/>
    </row>
    <row r="8072" spans="1:1" ht="21">
      <c r="A8072" s="345"/>
    </row>
    <row r="8073" spans="1:1" ht="21">
      <c r="A8073" s="345"/>
    </row>
    <row r="8074" spans="1:1" ht="21">
      <c r="A8074" s="345"/>
    </row>
    <row r="8075" spans="1:1" ht="21">
      <c r="A8075" s="345"/>
    </row>
    <row r="8076" spans="1:1" ht="21">
      <c r="A8076" s="345"/>
    </row>
    <row r="8077" spans="1:1" ht="21">
      <c r="A8077" s="345"/>
    </row>
    <row r="8078" spans="1:1" ht="21">
      <c r="A8078" s="345"/>
    </row>
    <row r="8079" spans="1:1" ht="21">
      <c r="A8079" s="345"/>
    </row>
    <row r="8080" spans="1:1" ht="21">
      <c r="A8080" s="345"/>
    </row>
    <row r="8081" spans="1:1" ht="21">
      <c r="A8081" s="345"/>
    </row>
    <row r="8082" spans="1:1" ht="21">
      <c r="A8082" s="345"/>
    </row>
    <row r="8083" spans="1:1" ht="21">
      <c r="A8083" s="345"/>
    </row>
    <row r="8084" spans="1:1" ht="21">
      <c r="A8084" s="345"/>
    </row>
    <row r="8085" spans="1:1" ht="21">
      <c r="A8085" s="345"/>
    </row>
    <row r="8086" spans="1:1" ht="21">
      <c r="A8086" s="345"/>
    </row>
    <row r="8087" spans="1:1" ht="21">
      <c r="A8087" s="345"/>
    </row>
    <row r="8088" spans="1:1" ht="21">
      <c r="A8088" s="345"/>
    </row>
    <row r="8089" spans="1:1" ht="21">
      <c r="A8089" s="345"/>
    </row>
    <row r="8090" spans="1:1" ht="21">
      <c r="A8090" s="345"/>
    </row>
    <row r="8091" spans="1:1" ht="21">
      <c r="A8091" s="345"/>
    </row>
    <row r="8092" spans="1:1" ht="21">
      <c r="A8092" s="345"/>
    </row>
    <row r="8093" spans="1:1" ht="21">
      <c r="A8093" s="345"/>
    </row>
    <row r="8094" spans="1:1" ht="21">
      <c r="A8094" s="345"/>
    </row>
    <row r="8095" spans="1:1" ht="21">
      <c r="A8095" s="345"/>
    </row>
    <row r="8096" spans="1:1" ht="21">
      <c r="A8096" s="345"/>
    </row>
    <row r="8097" spans="1:1" ht="21">
      <c r="A8097" s="345"/>
    </row>
    <row r="8098" spans="1:1" ht="21">
      <c r="A8098" s="345"/>
    </row>
    <row r="8099" spans="1:1" ht="21">
      <c r="A8099" s="345"/>
    </row>
    <row r="8100" spans="1:1" ht="21">
      <c r="A8100" s="345"/>
    </row>
    <row r="8101" spans="1:1" ht="21">
      <c r="A8101" s="345"/>
    </row>
    <row r="8102" spans="1:1" ht="21">
      <c r="A8102" s="345"/>
    </row>
    <row r="8103" spans="1:1" ht="21">
      <c r="A8103" s="345"/>
    </row>
    <row r="8104" spans="1:1" ht="21">
      <c r="A8104" s="345"/>
    </row>
    <row r="8105" spans="1:1" ht="21">
      <c r="A8105" s="345"/>
    </row>
    <row r="8106" spans="1:1" ht="21">
      <c r="A8106" s="345"/>
    </row>
    <row r="8107" spans="1:1" ht="21">
      <c r="A8107" s="345"/>
    </row>
    <row r="8108" spans="1:1" ht="21">
      <c r="A8108" s="345"/>
    </row>
    <row r="8109" spans="1:1" ht="21">
      <c r="A8109" s="345"/>
    </row>
    <row r="8110" spans="1:1" ht="21">
      <c r="A8110" s="345"/>
    </row>
    <row r="8111" spans="1:1" ht="21">
      <c r="A8111" s="345"/>
    </row>
    <row r="8112" spans="1:1" ht="21">
      <c r="A8112" s="345"/>
    </row>
    <row r="8113" spans="1:1" ht="21">
      <c r="A8113" s="345"/>
    </row>
    <row r="8114" spans="1:1" ht="21">
      <c r="A8114" s="345"/>
    </row>
    <row r="8115" spans="1:1" ht="21">
      <c r="A8115" s="345"/>
    </row>
    <row r="8116" spans="1:1" ht="21">
      <c r="A8116" s="345"/>
    </row>
    <row r="8117" spans="1:1" ht="21">
      <c r="A8117" s="345"/>
    </row>
    <row r="8118" spans="1:1" ht="21">
      <c r="A8118" s="345"/>
    </row>
    <row r="8119" spans="1:1" ht="21">
      <c r="A8119" s="345"/>
    </row>
    <row r="8120" spans="1:1" ht="21">
      <c r="A8120" s="345"/>
    </row>
    <row r="8121" spans="1:1" ht="21">
      <c r="A8121" s="345"/>
    </row>
    <row r="8122" spans="1:1" ht="21">
      <c r="A8122" s="345"/>
    </row>
    <row r="8123" spans="1:1" ht="21">
      <c r="A8123" s="345"/>
    </row>
    <row r="8124" spans="1:1" ht="21">
      <c r="A8124" s="345"/>
    </row>
    <row r="8125" spans="1:1" ht="21">
      <c r="A8125" s="345"/>
    </row>
    <row r="8126" spans="1:1" ht="21">
      <c r="A8126" s="345"/>
    </row>
    <row r="8127" spans="1:1" ht="21">
      <c r="A8127" s="345"/>
    </row>
    <row r="8128" spans="1:1" ht="21">
      <c r="A8128" s="345"/>
    </row>
    <row r="8129" spans="1:1" ht="21">
      <c r="A8129" s="345"/>
    </row>
    <row r="8130" spans="1:1" ht="21">
      <c r="A8130" s="345"/>
    </row>
    <row r="8131" spans="1:1" ht="21">
      <c r="A8131" s="345"/>
    </row>
    <row r="8132" spans="1:1" ht="21">
      <c r="A8132" s="345"/>
    </row>
    <row r="8133" spans="1:1" ht="21">
      <c r="A8133" s="345"/>
    </row>
    <row r="8134" spans="1:1" ht="21">
      <c r="A8134" s="345"/>
    </row>
    <row r="8135" spans="1:1" ht="21">
      <c r="A8135" s="345"/>
    </row>
    <row r="8136" spans="1:1" ht="21">
      <c r="A8136" s="345"/>
    </row>
    <row r="8137" spans="1:1" ht="21">
      <c r="A8137" s="345"/>
    </row>
    <row r="8138" spans="1:1" ht="21">
      <c r="A8138" s="345"/>
    </row>
    <row r="8139" spans="1:1" ht="21">
      <c r="A8139" s="345"/>
    </row>
    <row r="8140" spans="1:1" ht="21">
      <c r="A8140" s="345"/>
    </row>
    <row r="8141" spans="1:1" ht="21">
      <c r="A8141" s="345"/>
    </row>
    <row r="8142" spans="1:1" ht="21">
      <c r="A8142" s="345"/>
    </row>
    <row r="8143" spans="1:1" ht="21">
      <c r="A8143" s="345"/>
    </row>
    <row r="8144" spans="1:1" ht="21">
      <c r="A8144" s="345"/>
    </row>
    <row r="8145" spans="1:1" ht="21">
      <c r="A8145" s="345"/>
    </row>
    <row r="8146" spans="1:1" ht="21">
      <c r="A8146" s="345"/>
    </row>
    <row r="8147" spans="1:1" ht="21">
      <c r="A8147" s="345"/>
    </row>
    <row r="8148" spans="1:1" ht="21">
      <c r="A8148" s="345"/>
    </row>
    <row r="8149" spans="1:1" ht="21">
      <c r="A8149" s="345"/>
    </row>
    <row r="8150" spans="1:1" ht="21">
      <c r="A8150" s="345"/>
    </row>
    <row r="8151" spans="1:1" ht="21">
      <c r="A8151" s="345"/>
    </row>
    <row r="8152" spans="1:1" ht="21">
      <c r="A8152" s="345"/>
    </row>
    <row r="8153" spans="1:1" ht="21">
      <c r="A8153" s="345"/>
    </row>
    <row r="8154" spans="1:1" ht="21">
      <c r="A8154" s="345"/>
    </row>
    <row r="8155" spans="1:1" ht="21">
      <c r="A8155" s="345"/>
    </row>
    <row r="8156" spans="1:1" ht="21">
      <c r="A8156" s="345"/>
    </row>
    <row r="8157" spans="1:1" ht="21">
      <c r="A8157" s="345"/>
    </row>
    <row r="8158" spans="1:1" ht="21">
      <c r="A8158" s="345"/>
    </row>
    <row r="8159" spans="1:1" ht="21">
      <c r="A8159" s="345"/>
    </row>
    <row r="8160" spans="1:1" ht="21">
      <c r="A8160" s="345"/>
    </row>
    <row r="8161" spans="1:1" ht="21">
      <c r="A8161" s="345"/>
    </row>
    <row r="8162" spans="1:1" ht="21">
      <c r="A8162" s="345"/>
    </row>
    <row r="8163" spans="1:1" ht="21">
      <c r="A8163" s="345"/>
    </row>
    <row r="8164" spans="1:1" ht="21">
      <c r="A8164" s="345"/>
    </row>
    <row r="8165" spans="1:1" ht="21">
      <c r="A8165" s="345"/>
    </row>
    <row r="8166" spans="1:1" ht="21">
      <c r="A8166" s="345"/>
    </row>
    <row r="8167" spans="1:1" ht="21">
      <c r="A8167" s="345"/>
    </row>
    <row r="8168" spans="1:1" ht="21">
      <c r="A8168" s="345"/>
    </row>
    <row r="8169" spans="1:1" ht="21">
      <c r="A8169" s="345"/>
    </row>
    <row r="8170" spans="1:1" ht="21">
      <c r="A8170" s="345"/>
    </row>
    <row r="8171" spans="1:1" ht="21">
      <c r="A8171" s="345"/>
    </row>
    <row r="8172" spans="1:1" ht="21">
      <c r="A8172" s="345"/>
    </row>
    <row r="8173" spans="1:1" ht="21">
      <c r="A8173" s="345"/>
    </row>
    <row r="8174" spans="1:1" ht="21">
      <c r="A8174" s="345"/>
    </row>
    <row r="8175" spans="1:1" ht="21">
      <c r="A8175" s="345"/>
    </row>
    <row r="8176" spans="1:1" ht="21">
      <c r="A8176" s="345"/>
    </row>
    <row r="8177" spans="1:1" ht="21">
      <c r="A8177" s="345"/>
    </row>
    <row r="8178" spans="1:1" ht="21">
      <c r="A8178" s="345"/>
    </row>
    <row r="8179" spans="1:1" ht="21">
      <c r="A8179" s="345"/>
    </row>
    <row r="8180" spans="1:1" ht="21">
      <c r="A8180" s="345"/>
    </row>
    <row r="8181" spans="1:1" ht="21">
      <c r="A8181" s="345"/>
    </row>
    <row r="8182" spans="1:1" ht="21">
      <c r="A8182" s="345"/>
    </row>
    <row r="8183" spans="1:1" ht="21">
      <c r="A8183" s="345"/>
    </row>
    <row r="8184" spans="1:1" ht="21">
      <c r="A8184" s="345"/>
    </row>
    <row r="8185" spans="1:1" ht="21">
      <c r="A8185" s="345"/>
    </row>
    <row r="8186" spans="1:1" ht="21">
      <c r="A8186" s="345"/>
    </row>
    <row r="8187" spans="1:1" ht="21">
      <c r="A8187" s="345"/>
    </row>
    <row r="8188" spans="1:1" ht="21">
      <c r="A8188" s="345"/>
    </row>
    <row r="8189" spans="1:1" ht="21">
      <c r="A8189" s="345"/>
    </row>
    <row r="8190" spans="1:1" ht="21">
      <c r="A8190" s="345"/>
    </row>
    <row r="8191" spans="1:1" ht="21">
      <c r="A8191" s="345"/>
    </row>
    <row r="8192" spans="1:1" ht="21">
      <c r="A8192" s="345"/>
    </row>
    <row r="8193" spans="1:1" ht="21">
      <c r="A8193" s="345"/>
    </row>
    <row r="8194" spans="1:1" ht="21">
      <c r="A8194" s="345"/>
    </row>
    <row r="8195" spans="1:1" ht="21">
      <c r="A8195" s="345"/>
    </row>
    <row r="8196" spans="1:1" ht="21">
      <c r="A8196" s="345"/>
    </row>
    <row r="8197" spans="1:1" ht="21">
      <c r="A8197" s="345"/>
    </row>
    <row r="8198" spans="1:1" ht="21">
      <c r="A8198" s="345"/>
    </row>
    <row r="8199" spans="1:1" ht="21">
      <c r="A8199" s="345"/>
    </row>
    <row r="8200" spans="1:1" ht="21">
      <c r="A8200" s="345"/>
    </row>
    <row r="8201" spans="1:1" ht="21">
      <c r="A8201" s="345"/>
    </row>
    <row r="8202" spans="1:1" ht="21">
      <c r="A8202" s="345"/>
    </row>
    <row r="8203" spans="1:1" ht="21">
      <c r="A8203" s="345"/>
    </row>
    <row r="8204" spans="1:1" ht="21">
      <c r="A8204" s="345"/>
    </row>
    <row r="8205" spans="1:1" ht="21">
      <c r="A8205" s="345"/>
    </row>
    <row r="8206" spans="1:1" ht="21">
      <c r="A8206" s="345"/>
    </row>
    <row r="8207" spans="1:1" ht="21">
      <c r="A8207" s="345"/>
    </row>
    <row r="8208" spans="1:1" ht="21">
      <c r="A8208" s="345"/>
    </row>
    <row r="8209" spans="1:1" ht="21">
      <c r="A8209" s="345"/>
    </row>
    <row r="8210" spans="1:1" ht="21">
      <c r="A8210" s="345"/>
    </row>
    <row r="8211" spans="1:1" ht="21">
      <c r="A8211" s="345"/>
    </row>
    <row r="8212" spans="1:1" ht="21">
      <c r="A8212" s="345"/>
    </row>
    <row r="8213" spans="1:1" ht="21">
      <c r="A8213" s="345"/>
    </row>
    <row r="8214" spans="1:1" ht="21">
      <c r="A8214" s="345"/>
    </row>
    <row r="8215" spans="1:1" ht="21">
      <c r="A8215" s="345"/>
    </row>
    <row r="8216" spans="1:1" ht="21">
      <c r="A8216" s="345"/>
    </row>
    <row r="8217" spans="1:1" ht="21">
      <c r="A8217" s="345"/>
    </row>
    <row r="8218" spans="1:1" ht="21">
      <c r="A8218" s="345"/>
    </row>
    <row r="8219" spans="1:1" ht="21">
      <c r="A8219" s="345"/>
    </row>
    <row r="8220" spans="1:1" ht="21">
      <c r="A8220" s="345"/>
    </row>
    <row r="8221" spans="1:1" ht="21">
      <c r="A8221" s="345"/>
    </row>
    <row r="8222" spans="1:1" ht="21">
      <c r="A8222" s="345"/>
    </row>
    <row r="8223" spans="1:1" ht="21">
      <c r="A8223" s="345"/>
    </row>
    <row r="8224" spans="1:1" ht="21">
      <c r="A8224" s="345"/>
    </row>
    <row r="8225" spans="1:1" ht="21">
      <c r="A8225" s="345"/>
    </row>
    <row r="8226" spans="1:1" ht="21">
      <c r="A8226" s="345"/>
    </row>
    <row r="8227" spans="1:1" ht="21">
      <c r="A8227" s="345"/>
    </row>
    <row r="8228" spans="1:1" ht="21">
      <c r="A8228" s="345"/>
    </row>
    <row r="8229" spans="1:1" ht="21">
      <c r="A8229" s="345"/>
    </row>
    <row r="8230" spans="1:1" ht="21">
      <c r="A8230" s="345"/>
    </row>
    <row r="8231" spans="1:1" ht="21">
      <c r="A8231" s="345"/>
    </row>
    <row r="8232" spans="1:1" ht="21">
      <c r="A8232" s="345"/>
    </row>
    <row r="8233" spans="1:1" ht="21">
      <c r="A8233" s="345"/>
    </row>
    <row r="8234" spans="1:1" ht="21">
      <c r="A8234" s="345"/>
    </row>
    <row r="8235" spans="1:1" ht="21">
      <c r="A8235" s="345"/>
    </row>
    <row r="8236" spans="1:1" ht="21">
      <c r="A8236" s="345"/>
    </row>
    <row r="8237" spans="1:1" ht="21">
      <c r="A8237" s="345"/>
    </row>
    <row r="8238" spans="1:1" ht="21">
      <c r="A8238" s="345"/>
    </row>
    <row r="8239" spans="1:1" ht="21">
      <c r="A8239" s="345"/>
    </row>
    <row r="8240" spans="1:1" ht="21">
      <c r="A8240" s="345"/>
    </row>
    <row r="8241" spans="1:1" ht="21">
      <c r="A8241" s="345"/>
    </row>
    <row r="8242" spans="1:1" ht="21">
      <c r="A8242" s="345"/>
    </row>
    <row r="8243" spans="1:1" ht="21">
      <c r="A8243" s="345"/>
    </row>
    <row r="8244" spans="1:1" ht="21">
      <c r="A8244" s="345"/>
    </row>
    <row r="8245" spans="1:1" ht="21">
      <c r="A8245" s="345"/>
    </row>
    <row r="8246" spans="1:1" ht="21">
      <c r="A8246" s="345"/>
    </row>
    <row r="8247" spans="1:1" ht="21">
      <c r="A8247" s="345"/>
    </row>
    <row r="8248" spans="1:1" ht="21">
      <c r="A8248" s="345"/>
    </row>
    <row r="8249" spans="1:1" ht="21">
      <c r="A8249" s="345"/>
    </row>
    <row r="8250" spans="1:1" ht="21">
      <c r="A8250" s="345"/>
    </row>
    <row r="8251" spans="1:1" ht="21">
      <c r="A8251" s="345"/>
    </row>
    <row r="8252" spans="1:1" ht="21">
      <c r="A8252" s="345"/>
    </row>
    <row r="8253" spans="1:1" ht="21">
      <c r="A8253" s="345"/>
    </row>
    <row r="8254" spans="1:1" ht="21">
      <c r="A8254" s="345"/>
    </row>
    <row r="8255" spans="1:1" ht="21">
      <c r="A8255" s="345"/>
    </row>
    <row r="8256" spans="1:1" ht="21">
      <c r="A8256" s="345"/>
    </row>
    <row r="8257" spans="1:1" ht="21">
      <c r="A8257" s="345"/>
    </row>
    <row r="8258" spans="1:1" ht="21">
      <c r="A8258" s="345"/>
    </row>
    <row r="8259" spans="1:1" ht="21">
      <c r="A8259" s="345"/>
    </row>
    <row r="8260" spans="1:1" ht="21">
      <c r="A8260" s="345"/>
    </row>
    <row r="8261" spans="1:1" ht="21">
      <c r="A8261" s="345"/>
    </row>
    <row r="8262" spans="1:1" ht="21">
      <c r="A8262" s="345"/>
    </row>
    <row r="8263" spans="1:1" ht="21">
      <c r="A8263" s="345"/>
    </row>
    <row r="8264" spans="1:1" ht="21">
      <c r="A8264" s="345"/>
    </row>
    <row r="8265" spans="1:1" ht="21">
      <c r="A8265" s="345"/>
    </row>
    <row r="8266" spans="1:1" ht="21">
      <c r="A8266" s="345"/>
    </row>
    <row r="8267" spans="1:1" ht="21">
      <c r="A8267" s="345"/>
    </row>
    <row r="8268" spans="1:1" ht="21">
      <c r="A8268" s="345"/>
    </row>
    <row r="8269" spans="1:1" ht="21">
      <c r="A8269" s="345"/>
    </row>
    <row r="8270" spans="1:1" ht="21">
      <c r="A8270" s="345"/>
    </row>
    <row r="8271" spans="1:1" ht="21">
      <c r="A8271" s="345"/>
    </row>
    <row r="8272" spans="1:1" ht="21">
      <c r="A8272" s="345"/>
    </row>
    <row r="8273" spans="1:1" ht="21">
      <c r="A8273" s="345"/>
    </row>
    <row r="8274" spans="1:1" ht="21">
      <c r="A8274" s="345"/>
    </row>
    <row r="8275" spans="1:1" ht="21">
      <c r="A8275" s="345"/>
    </row>
    <row r="8276" spans="1:1" ht="21">
      <c r="A8276" s="345"/>
    </row>
    <row r="8277" spans="1:1" ht="21">
      <c r="A8277" s="345"/>
    </row>
    <row r="8278" spans="1:1" ht="21">
      <c r="A8278" s="345"/>
    </row>
    <row r="8279" spans="1:1" ht="21">
      <c r="A8279" s="345"/>
    </row>
    <row r="8280" spans="1:1" ht="21">
      <c r="A8280" s="345"/>
    </row>
    <row r="8281" spans="1:1" ht="21">
      <c r="A8281" s="345"/>
    </row>
    <row r="8282" spans="1:1" ht="21">
      <c r="A8282" s="345"/>
    </row>
    <row r="8283" spans="1:1" ht="21">
      <c r="A8283" s="345"/>
    </row>
    <row r="8284" spans="1:1" ht="21">
      <c r="A8284" s="345"/>
    </row>
    <row r="8285" spans="1:1" ht="21">
      <c r="A8285" s="345"/>
    </row>
    <row r="8286" spans="1:1" ht="21">
      <c r="A8286" s="345"/>
    </row>
    <row r="8287" spans="1:1" ht="21">
      <c r="A8287" s="345"/>
    </row>
    <row r="8288" spans="1:1" ht="21">
      <c r="A8288" s="345"/>
    </row>
    <row r="8289" spans="1:1" ht="21">
      <c r="A8289" s="345"/>
    </row>
    <row r="8290" spans="1:1" ht="21">
      <c r="A8290" s="345"/>
    </row>
    <row r="8291" spans="1:1" ht="21">
      <c r="A8291" s="345"/>
    </row>
    <row r="8292" spans="1:1" ht="21">
      <c r="A8292" s="345"/>
    </row>
    <row r="8293" spans="1:1" ht="21">
      <c r="A8293" s="345"/>
    </row>
    <row r="8294" spans="1:1" ht="21">
      <c r="A8294" s="345"/>
    </row>
    <row r="8295" spans="1:1" ht="21">
      <c r="A8295" s="345"/>
    </row>
    <row r="8296" spans="1:1" ht="21">
      <c r="A8296" s="345"/>
    </row>
    <row r="8297" spans="1:1" ht="21">
      <c r="A8297" s="345"/>
    </row>
    <row r="8298" spans="1:1" ht="21">
      <c r="A8298" s="345"/>
    </row>
    <row r="8299" spans="1:1" ht="21">
      <c r="A8299" s="345"/>
    </row>
    <row r="8300" spans="1:1" ht="21">
      <c r="A8300" s="345"/>
    </row>
    <row r="8301" spans="1:1" ht="21">
      <c r="A8301" s="345"/>
    </row>
    <row r="8302" spans="1:1" ht="21">
      <c r="A8302" s="345"/>
    </row>
    <row r="8303" spans="1:1" ht="21">
      <c r="A8303" s="345"/>
    </row>
    <row r="8304" spans="1:1" ht="21">
      <c r="A8304" s="345"/>
    </row>
    <row r="8305" spans="1:1" ht="21">
      <c r="A8305" s="345"/>
    </row>
    <row r="8306" spans="1:1" ht="21">
      <c r="A8306" s="345"/>
    </row>
    <row r="8307" spans="1:1" ht="21">
      <c r="A8307" s="345"/>
    </row>
    <row r="8308" spans="1:1" ht="21">
      <c r="A8308" s="345"/>
    </row>
    <row r="8309" spans="1:1" ht="21">
      <c r="A8309" s="345"/>
    </row>
    <row r="8310" spans="1:1" ht="21">
      <c r="A8310" s="345"/>
    </row>
    <row r="8311" spans="1:1" ht="21">
      <c r="A8311" s="345"/>
    </row>
    <row r="8312" spans="1:1" ht="21">
      <c r="A8312" s="345"/>
    </row>
    <row r="8313" spans="1:1" ht="21">
      <c r="A8313" s="345"/>
    </row>
    <row r="8314" spans="1:1" ht="21">
      <c r="A8314" s="345"/>
    </row>
    <row r="8315" spans="1:1" ht="21">
      <c r="A8315" s="345"/>
    </row>
    <row r="8316" spans="1:1" ht="21">
      <c r="A8316" s="345"/>
    </row>
    <row r="8317" spans="1:1" ht="21">
      <c r="A8317" s="345"/>
    </row>
    <row r="8318" spans="1:1" ht="21">
      <c r="A8318" s="345"/>
    </row>
    <row r="8319" spans="1:1" ht="21">
      <c r="A8319" s="345"/>
    </row>
    <row r="8320" spans="1:1" ht="21">
      <c r="A8320" s="345"/>
    </row>
    <row r="8321" spans="1:1" ht="21">
      <c r="A8321" s="345"/>
    </row>
    <row r="8322" spans="1:1" ht="21">
      <c r="A8322" s="345"/>
    </row>
    <row r="8323" spans="1:1" ht="21">
      <c r="A8323" s="345"/>
    </row>
    <row r="8324" spans="1:1" ht="21">
      <c r="A8324" s="345"/>
    </row>
    <row r="8325" spans="1:1" ht="21">
      <c r="A8325" s="345"/>
    </row>
    <row r="8326" spans="1:1" ht="21">
      <c r="A8326" s="345"/>
    </row>
    <row r="8327" spans="1:1" ht="21">
      <c r="A8327" s="345"/>
    </row>
    <row r="8328" spans="1:1" ht="21">
      <c r="A8328" s="345"/>
    </row>
    <row r="8329" spans="1:1" ht="21">
      <c r="A8329" s="345"/>
    </row>
    <row r="8330" spans="1:1" ht="21">
      <c r="A8330" s="345"/>
    </row>
    <row r="8331" spans="1:1" ht="21">
      <c r="A8331" s="345"/>
    </row>
    <row r="8332" spans="1:1" ht="21">
      <c r="A8332" s="345"/>
    </row>
    <row r="8333" spans="1:1" ht="21">
      <c r="A8333" s="345"/>
    </row>
    <row r="8334" spans="1:1" ht="21">
      <c r="A8334" s="345"/>
    </row>
    <row r="8335" spans="1:1" ht="21">
      <c r="A8335" s="345"/>
    </row>
    <row r="8336" spans="1:1" ht="21">
      <c r="A8336" s="345"/>
    </row>
    <row r="8337" spans="1:1" ht="21">
      <c r="A8337" s="345"/>
    </row>
    <row r="8338" spans="1:1" ht="21">
      <c r="A8338" s="345"/>
    </row>
    <row r="8339" spans="1:1" ht="21">
      <c r="A8339" s="345"/>
    </row>
    <row r="8340" spans="1:1" ht="21">
      <c r="A8340" s="345"/>
    </row>
    <row r="8341" spans="1:1" ht="21">
      <c r="A8341" s="345"/>
    </row>
    <row r="8342" spans="1:1" ht="21">
      <c r="A8342" s="345"/>
    </row>
    <row r="8343" spans="1:1" ht="21">
      <c r="A8343" s="345"/>
    </row>
    <row r="8344" spans="1:1" ht="21">
      <c r="A8344" s="345"/>
    </row>
    <row r="8345" spans="1:1" ht="21">
      <c r="A8345" s="345"/>
    </row>
    <row r="8346" spans="1:1" ht="21">
      <c r="A8346" s="345"/>
    </row>
    <row r="8347" spans="1:1" ht="21">
      <c r="A8347" s="345"/>
    </row>
    <row r="8348" spans="1:1" ht="21">
      <c r="A8348" s="345"/>
    </row>
    <row r="8349" spans="1:1" ht="21">
      <c r="A8349" s="345"/>
    </row>
    <row r="8350" spans="1:1" ht="21">
      <c r="A8350" s="345"/>
    </row>
    <row r="8351" spans="1:1" ht="21">
      <c r="A8351" s="345"/>
    </row>
    <row r="8352" spans="1:1" ht="21">
      <c r="A8352" s="345"/>
    </row>
    <row r="8353" spans="1:1" ht="21">
      <c r="A8353" s="345"/>
    </row>
    <row r="8354" spans="1:1" ht="21">
      <c r="A8354" s="345"/>
    </row>
    <row r="8355" spans="1:1" ht="21">
      <c r="A8355" s="345"/>
    </row>
    <row r="8356" spans="1:1" ht="21">
      <c r="A8356" s="345"/>
    </row>
    <row r="8357" spans="1:1" ht="21">
      <c r="A8357" s="345"/>
    </row>
    <row r="8358" spans="1:1" ht="21">
      <c r="A8358" s="345"/>
    </row>
    <row r="8359" spans="1:1" ht="21">
      <c r="A8359" s="345"/>
    </row>
    <row r="8360" spans="1:1" ht="21">
      <c r="A8360" s="345"/>
    </row>
    <row r="8361" spans="1:1" ht="21">
      <c r="A8361" s="345"/>
    </row>
    <row r="8362" spans="1:1" ht="21">
      <c r="A8362" s="345"/>
    </row>
    <row r="8363" spans="1:1" ht="21">
      <c r="A8363" s="345"/>
    </row>
    <row r="8364" spans="1:1" ht="21">
      <c r="A8364" s="345"/>
    </row>
    <row r="8365" spans="1:1" ht="21">
      <c r="A8365" s="345"/>
    </row>
    <row r="8366" spans="1:1" ht="21">
      <c r="A8366" s="345"/>
    </row>
    <row r="8367" spans="1:1" ht="21">
      <c r="A8367" s="345"/>
    </row>
    <row r="8368" spans="1:1" ht="21">
      <c r="A8368" s="345"/>
    </row>
    <row r="8369" spans="1:1" ht="21">
      <c r="A8369" s="345"/>
    </row>
    <row r="8370" spans="1:1" ht="21">
      <c r="A8370" s="345"/>
    </row>
    <row r="8371" spans="1:1" ht="21">
      <c r="A8371" s="345"/>
    </row>
    <row r="8372" spans="1:1" ht="21">
      <c r="A8372" s="345"/>
    </row>
    <row r="8373" spans="1:1" ht="21">
      <c r="A8373" s="345"/>
    </row>
    <row r="8374" spans="1:1" ht="21">
      <c r="A8374" s="345"/>
    </row>
    <row r="8375" spans="1:1" ht="21">
      <c r="A8375" s="345"/>
    </row>
    <row r="8376" spans="1:1" ht="21">
      <c r="A8376" s="345"/>
    </row>
    <row r="8377" spans="1:1" ht="21">
      <c r="A8377" s="345"/>
    </row>
    <row r="8378" spans="1:1" ht="21">
      <c r="A8378" s="345"/>
    </row>
    <row r="8379" spans="1:1" ht="21">
      <c r="A8379" s="345"/>
    </row>
    <row r="8380" spans="1:1" ht="21">
      <c r="A8380" s="345"/>
    </row>
    <row r="8381" spans="1:1" ht="21">
      <c r="A8381" s="345"/>
    </row>
    <row r="8382" spans="1:1" ht="21">
      <c r="A8382" s="345"/>
    </row>
    <row r="8383" spans="1:1" ht="21">
      <c r="A8383" s="345"/>
    </row>
    <row r="8384" spans="1:1" ht="21">
      <c r="A8384" s="345"/>
    </row>
    <row r="8385" spans="1:1" ht="21">
      <c r="A8385" s="345"/>
    </row>
    <row r="8386" spans="1:1" ht="21">
      <c r="A8386" s="345"/>
    </row>
    <row r="8387" spans="1:1" ht="21">
      <c r="A8387" s="345"/>
    </row>
    <row r="8388" spans="1:1" ht="21">
      <c r="A8388" s="345"/>
    </row>
    <row r="8389" spans="1:1" ht="21">
      <c r="A8389" s="345"/>
    </row>
    <row r="8390" spans="1:1" ht="21">
      <c r="A8390" s="345"/>
    </row>
    <row r="8391" spans="1:1" ht="21">
      <c r="A8391" s="345"/>
    </row>
    <row r="8392" spans="1:1" ht="21">
      <c r="A8392" s="345"/>
    </row>
    <row r="8393" spans="1:1" ht="21">
      <c r="A8393" s="345"/>
    </row>
    <row r="8394" spans="1:1" ht="21">
      <c r="A8394" s="345"/>
    </row>
    <row r="8395" spans="1:1" ht="21">
      <c r="A8395" s="345"/>
    </row>
    <row r="8396" spans="1:1" ht="21">
      <c r="A8396" s="345"/>
    </row>
    <row r="8397" spans="1:1" ht="21">
      <c r="A8397" s="345"/>
    </row>
    <row r="8398" spans="1:1" ht="21">
      <c r="A8398" s="345"/>
    </row>
    <row r="8399" spans="1:1" ht="21">
      <c r="A8399" s="345"/>
    </row>
    <row r="8400" spans="1:1" ht="21">
      <c r="A8400" s="345"/>
    </row>
    <row r="8401" spans="1:1" ht="21">
      <c r="A8401" s="345"/>
    </row>
    <row r="8402" spans="1:1" ht="21">
      <c r="A8402" s="345"/>
    </row>
    <row r="8403" spans="1:1" ht="21">
      <c r="A8403" s="345"/>
    </row>
    <row r="8404" spans="1:1" ht="21">
      <c r="A8404" s="345"/>
    </row>
    <row r="8405" spans="1:1" ht="21">
      <c r="A8405" s="345"/>
    </row>
    <row r="8406" spans="1:1" ht="21">
      <c r="A8406" s="345"/>
    </row>
    <row r="8407" spans="1:1" ht="21">
      <c r="A8407" s="345"/>
    </row>
    <row r="8408" spans="1:1" ht="21">
      <c r="A8408" s="345"/>
    </row>
    <row r="8409" spans="1:1" ht="21">
      <c r="A8409" s="345"/>
    </row>
    <row r="8410" spans="1:1" ht="21">
      <c r="A8410" s="345"/>
    </row>
    <row r="8411" spans="1:1" ht="21">
      <c r="A8411" s="345"/>
    </row>
    <row r="8412" spans="1:1" ht="21">
      <c r="A8412" s="345"/>
    </row>
    <row r="8413" spans="1:1" ht="21">
      <c r="A8413" s="345"/>
    </row>
    <row r="8414" spans="1:1" ht="21">
      <c r="A8414" s="345"/>
    </row>
    <row r="8415" spans="1:1" ht="21">
      <c r="A8415" s="345"/>
    </row>
    <row r="8416" spans="1:1" ht="21">
      <c r="A8416" s="345"/>
    </row>
    <row r="8417" spans="1:1" ht="21">
      <c r="A8417" s="345"/>
    </row>
    <row r="8418" spans="1:1" ht="21">
      <c r="A8418" s="345"/>
    </row>
    <row r="8419" spans="1:1" ht="21">
      <c r="A8419" s="345"/>
    </row>
    <row r="8420" spans="1:1" ht="21">
      <c r="A8420" s="345"/>
    </row>
    <row r="8421" spans="1:1" ht="21">
      <c r="A8421" s="345"/>
    </row>
    <row r="8422" spans="1:1" ht="21">
      <c r="A8422" s="345"/>
    </row>
    <row r="8423" spans="1:1" ht="21">
      <c r="A8423" s="345"/>
    </row>
    <row r="8424" spans="1:1" ht="21">
      <c r="A8424" s="345"/>
    </row>
    <row r="8425" spans="1:1" ht="21">
      <c r="A8425" s="345"/>
    </row>
    <row r="8426" spans="1:1" ht="21">
      <c r="A8426" s="345"/>
    </row>
    <row r="8427" spans="1:1" ht="21">
      <c r="A8427" s="345"/>
    </row>
    <row r="8428" spans="1:1" ht="21">
      <c r="A8428" s="345"/>
    </row>
    <row r="8429" spans="1:1" ht="21">
      <c r="A8429" s="345"/>
    </row>
    <row r="8430" spans="1:1" ht="21">
      <c r="A8430" s="345"/>
    </row>
    <row r="8431" spans="1:1" ht="21">
      <c r="A8431" s="345"/>
    </row>
    <row r="8432" spans="1:1" ht="21">
      <c r="A8432" s="345"/>
    </row>
    <row r="8433" spans="1:1" ht="21">
      <c r="A8433" s="345"/>
    </row>
    <row r="8434" spans="1:1" ht="21">
      <c r="A8434" s="345"/>
    </row>
    <row r="8435" spans="1:1" ht="21">
      <c r="A8435" s="345"/>
    </row>
    <row r="8436" spans="1:1" ht="21">
      <c r="A8436" s="345"/>
    </row>
    <row r="8437" spans="1:1" ht="21">
      <c r="A8437" s="345"/>
    </row>
    <row r="8438" spans="1:1" ht="21">
      <c r="A8438" s="345"/>
    </row>
    <row r="8439" spans="1:1" ht="21">
      <c r="A8439" s="345"/>
    </row>
    <row r="8440" spans="1:1" ht="21">
      <c r="A8440" s="345"/>
    </row>
    <row r="8441" spans="1:1" ht="21">
      <c r="A8441" s="345"/>
    </row>
    <row r="8442" spans="1:1" ht="21">
      <c r="A8442" s="345"/>
    </row>
    <row r="8443" spans="1:1" ht="21">
      <c r="A8443" s="345"/>
    </row>
    <row r="8444" spans="1:1" ht="21">
      <c r="A8444" s="345"/>
    </row>
    <row r="8445" spans="1:1" ht="21">
      <c r="A8445" s="345"/>
    </row>
    <row r="8446" spans="1:1" ht="21">
      <c r="A8446" s="345"/>
    </row>
    <row r="8447" spans="1:1" ht="21">
      <c r="A8447" s="345"/>
    </row>
    <row r="8448" spans="1:1" ht="21">
      <c r="A8448" s="345"/>
    </row>
    <row r="8449" spans="1:1" ht="21">
      <c r="A8449" s="345"/>
    </row>
    <row r="8450" spans="1:1" ht="21">
      <c r="A8450" s="345"/>
    </row>
    <row r="8451" spans="1:1" ht="21">
      <c r="A8451" s="345"/>
    </row>
    <row r="8452" spans="1:1" ht="21">
      <c r="A8452" s="345"/>
    </row>
    <row r="8453" spans="1:1" ht="21">
      <c r="A8453" s="345"/>
    </row>
    <row r="8454" spans="1:1" ht="21">
      <c r="A8454" s="345"/>
    </row>
    <row r="8455" spans="1:1" ht="21">
      <c r="A8455" s="345"/>
    </row>
    <row r="8456" spans="1:1" ht="21">
      <c r="A8456" s="345"/>
    </row>
    <row r="8457" spans="1:1" ht="21">
      <c r="A8457" s="345"/>
    </row>
    <row r="8458" spans="1:1" ht="21">
      <c r="A8458" s="345"/>
    </row>
    <row r="8459" spans="1:1" ht="21">
      <c r="A8459" s="345"/>
    </row>
    <row r="8460" spans="1:1" ht="21">
      <c r="A8460" s="345"/>
    </row>
    <row r="8461" spans="1:1" ht="21">
      <c r="A8461" s="345"/>
    </row>
    <row r="8462" spans="1:1" ht="21">
      <c r="A8462" s="345"/>
    </row>
    <row r="8463" spans="1:1" ht="21">
      <c r="A8463" s="345"/>
    </row>
    <row r="8464" spans="1:1" ht="21">
      <c r="A8464" s="345"/>
    </row>
    <row r="8465" spans="1:1" ht="21">
      <c r="A8465" s="345"/>
    </row>
    <row r="8466" spans="1:1" ht="21">
      <c r="A8466" s="345"/>
    </row>
    <row r="8467" spans="1:1" ht="21">
      <c r="A8467" s="345"/>
    </row>
    <row r="8468" spans="1:1" ht="21">
      <c r="A8468" s="345"/>
    </row>
    <row r="8469" spans="1:1" ht="21">
      <c r="A8469" s="345"/>
    </row>
    <row r="8470" spans="1:1" ht="21">
      <c r="A8470" s="345"/>
    </row>
    <row r="8471" spans="1:1" ht="21">
      <c r="A8471" s="345"/>
    </row>
    <row r="8472" spans="1:1" ht="21">
      <c r="A8472" s="345"/>
    </row>
    <row r="8473" spans="1:1" ht="21">
      <c r="A8473" s="345"/>
    </row>
    <row r="8474" spans="1:1" ht="21">
      <c r="A8474" s="345"/>
    </row>
    <row r="8475" spans="1:1" ht="21">
      <c r="A8475" s="345"/>
    </row>
    <row r="8476" spans="1:1" ht="21">
      <c r="A8476" s="345"/>
    </row>
    <row r="8477" spans="1:1" ht="21">
      <c r="A8477" s="345"/>
    </row>
    <row r="8478" spans="1:1" ht="21">
      <c r="A8478" s="345"/>
    </row>
    <row r="8479" spans="1:1" ht="21">
      <c r="A8479" s="345"/>
    </row>
    <row r="8480" spans="1:1" ht="21">
      <c r="A8480" s="345"/>
    </row>
    <row r="8481" spans="1:1" ht="21">
      <c r="A8481" s="345"/>
    </row>
    <row r="8482" spans="1:1" ht="21">
      <c r="A8482" s="345"/>
    </row>
    <row r="8483" spans="1:1" ht="21">
      <c r="A8483" s="345"/>
    </row>
    <row r="8484" spans="1:1" ht="21">
      <c r="A8484" s="345"/>
    </row>
    <row r="8485" spans="1:1" ht="21">
      <c r="A8485" s="345"/>
    </row>
    <row r="8486" spans="1:1" ht="21">
      <c r="A8486" s="345"/>
    </row>
    <row r="8487" spans="1:1" ht="21">
      <c r="A8487" s="345"/>
    </row>
    <row r="8488" spans="1:1" ht="21">
      <c r="A8488" s="345"/>
    </row>
    <row r="8489" spans="1:1" ht="21">
      <c r="A8489" s="345"/>
    </row>
    <row r="8490" spans="1:1" ht="21">
      <c r="A8490" s="345"/>
    </row>
    <row r="8491" spans="1:1" ht="21">
      <c r="A8491" s="345"/>
    </row>
    <row r="8492" spans="1:1" ht="21">
      <c r="A8492" s="345"/>
    </row>
    <row r="8493" spans="1:1" ht="21">
      <c r="A8493" s="345"/>
    </row>
    <row r="8494" spans="1:1" ht="21">
      <c r="A8494" s="345"/>
    </row>
    <row r="8495" spans="1:1" ht="21">
      <c r="A8495" s="345"/>
    </row>
    <row r="8496" spans="1:1" ht="21">
      <c r="A8496" s="345"/>
    </row>
    <row r="8497" spans="1:1" ht="21">
      <c r="A8497" s="345"/>
    </row>
    <row r="8498" spans="1:1" ht="21">
      <c r="A8498" s="345"/>
    </row>
    <row r="8499" spans="1:1" ht="21">
      <c r="A8499" s="345"/>
    </row>
    <row r="8500" spans="1:1" ht="21">
      <c r="A8500" s="345"/>
    </row>
    <row r="8501" spans="1:1" ht="21">
      <c r="A8501" s="345"/>
    </row>
    <row r="8502" spans="1:1" ht="21">
      <c r="A8502" s="345"/>
    </row>
    <row r="8503" spans="1:1" ht="21">
      <c r="A8503" s="345"/>
    </row>
    <row r="8504" spans="1:1" ht="21">
      <c r="A8504" s="345"/>
    </row>
    <row r="8505" spans="1:1" ht="21">
      <c r="A8505" s="345"/>
    </row>
    <row r="8506" spans="1:1" ht="21">
      <c r="A8506" s="345"/>
    </row>
    <row r="8507" spans="1:1" ht="21">
      <c r="A8507" s="345"/>
    </row>
    <row r="8508" spans="1:1" ht="21">
      <c r="A8508" s="345"/>
    </row>
    <row r="8509" spans="1:1" ht="21">
      <c r="A8509" s="345"/>
    </row>
    <row r="8510" spans="1:1" ht="21">
      <c r="A8510" s="345"/>
    </row>
    <row r="8511" spans="1:1" ht="21">
      <c r="A8511" s="345"/>
    </row>
    <row r="8512" spans="1:1" ht="21">
      <c r="A8512" s="345"/>
    </row>
    <row r="8513" spans="1:1" ht="21">
      <c r="A8513" s="345"/>
    </row>
    <row r="8514" spans="1:1" ht="21">
      <c r="A8514" s="345"/>
    </row>
    <row r="8515" spans="1:1" ht="21">
      <c r="A8515" s="345"/>
    </row>
    <row r="8516" spans="1:1" ht="21">
      <c r="A8516" s="345"/>
    </row>
    <row r="8517" spans="1:1" ht="21">
      <c r="A8517" s="345"/>
    </row>
    <row r="8518" spans="1:1" ht="21">
      <c r="A8518" s="345"/>
    </row>
    <row r="8519" spans="1:1" ht="21">
      <c r="A8519" s="345"/>
    </row>
    <row r="8520" spans="1:1" ht="21">
      <c r="A8520" s="345"/>
    </row>
    <row r="8521" spans="1:1" ht="21">
      <c r="A8521" s="345"/>
    </row>
    <row r="8522" spans="1:1" ht="21">
      <c r="A8522" s="345"/>
    </row>
    <row r="8523" spans="1:1" ht="21">
      <c r="A8523" s="345"/>
    </row>
    <row r="8524" spans="1:1" ht="21">
      <c r="A8524" s="345"/>
    </row>
    <row r="8525" spans="1:1" ht="21">
      <c r="A8525" s="345"/>
    </row>
    <row r="8526" spans="1:1" ht="21">
      <c r="A8526" s="345"/>
    </row>
    <row r="8527" spans="1:1" ht="21">
      <c r="A8527" s="345"/>
    </row>
    <row r="8528" spans="1:1" ht="21">
      <c r="A8528" s="345"/>
    </row>
    <row r="8529" spans="1:1" ht="21">
      <c r="A8529" s="345"/>
    </row>
    <row r="8530" spans="1:1" ht="21">
      <c r="A8530" s="345"/>
    </row>
    <row r="8531" spans="1:1" ht="21">
      <c r="A8531" s="345"/>
    </row>
    <row r="8532" spans="1:1" ht="21">
      <c r="A8532" s="345"/>
    </row>
    <row r="8533" spans="1:1" ht="21">
      <c r="A8533" s="345"/>
    </row>
    <row r="8534" spans="1:1" ht="21">
      <c r="A8534" s="345"/>
    </row>
    <row r="8535" spans="1:1" ht="21">
      <c r="A8535" s="345"/>
    </row>
    <row r="8536" spans="1:1" ht="21">
      <c r="A8536" s="345"/>
    </row>
    <row r="8537" spans="1:1" ht="21">
      <c r="A8537" s="345"/>
    </row>
    <row r="8538" spans="1:1" ht="21">
      <c r="A8538" s="345"/>
    </row>
    <row r="8539" spans="1:1" ht="21">
      <c r="A8539" s="345"/>
    </row>
    <row r="8540" spans="1:1" ht="21">
      <c r="A8540" s="345"/>
    </row>
    <row r="8541" spans="1:1" ht="21">
      <c r="A8541" s="345"/>
    </row>
    <row r="8542" spans="1:1" ht="21">
      <c r="A8542" s="345"/>
    </row>
    <row r="8543" spans="1:1" ht="21">
      <c r="A8543" s="345"/>
    </row>
    <row r="8544" spans="1:1" ht="21">
      <c r="A8544" s="345"/>
    </row>
    <row r="8545" spans="1:1" ht="21">
      <c r="A8545" s="345"/>
    </row>
    <row r="8546" spans="1:1" ht="21">
      <c r="A8546" s="345"/>
    </row>
    <row r="8547" spans="1:1" ht="21">
      <c r="A8547" s="345"/>
    </row>
    <row r="8548" spans="1:1" ht="21">
      <c r="A8548" s="345"/>
    </row>
    <row r="8549" spans="1:1" ht="21">
      <c r="A8549" s="345"/>
    </row>
    <row r="8550" spans="1:1" ht="21">
      <c r="A8550" s="345"/>
    </row>
    <row r="8551" spans="1:1" ht="21">
      <c r="A8551" s="345"/>
    </row>
    <row r="8552" spans="1:1" ht="21">
      <c r="A8552" s="345"/>
    </row>
    <row r="8553" spans="1:1" ht="21">
      <c r="A8553" s="345"/>
    </row>
    <row r="8554" spans="1:1" ht="21">
      <c r="A8554" s="345"/>
    </row>
    <row r="8555" spans="1:1" ht="21">
      <c r="A8555" s="345"/>
    </row>
    <row r="8556" spans="1:1" ht="21">
      <c r="A8556" s="345"/>
    </row>
    <row r="8557" spans="1:1" ht="21">
      <c r="A8557" s="345"/>
    </row>
    <row r="8558" spans="1:1" ht="21">
      <c r="A8558" s="345"/>
    </row>
    <row r="8559" spans="1:1" ht="21">
      <c r="A8559" s="345"/>
    </row>
    <row r="8560" spans="1:1" ht="21">
      <c r="A8560" s="345"/>
    </row>
    <row r="8561" spans="1:1" ht="21">
      <c r="A8561" s="345"/>
    </row>
    <row r="8562" spans="1:1" ht="21">
      <c r="A8562" s="345"/>
    </row>
    <row r="8563" spans="1:1" ht="21">
      <c r="A8563" s="345"/>
    </row>
    <row r="8564" spans="1:1" ht="21">
      <c r="A8564" s="345"/>
    </row>
    <row r="8565" spans="1:1" ht="21">
      <c r="A8565" s="345"/>
    </row>
    <row r="8566" spans="1:1" ht="21">
      <c r="A8566" s="345"/>
    </row>
    <row r="8567" spans="1:1" ht="21">
      <c r="A8567" s="345"/>
    </row>
    <row r="8568" spans="1:1" ht="21">
      <c r="A8568" s="345"/>
    </row>
    <row r="8569" spans="1:1" ht="21">
      <c r="A8569" s="345"/>
    </row>
    <row r="8570" spans="1:1" ht="21">
      <c r="A8570" s="345"/>
    </row>
    <row r="8571" spans="1:1" ht="21">
      <c r="A8571" s="345"/>
    </row>
    <row r="8572" spans="1:1" ht="21">
      <c r="A8572" s="345"/>
    </row>
    <row r="8573" spans="1:1" ht="21">
      <c r="A8573" s="345"/>
    </row>
    <row r="8574" spans="1:1" ht="21">
      <c r="A8574" s="345"/>
    </row>
    <row r="8575" spans="1:1" ht="21">
      <c r="A8575" s="345"/>
    </row>
    <row r="8576" spans="1:1" ht="21">
      <c r="A8576" s="345"/>
    </row>
    <row r="8577" spans="1:1" ht="21">
      <c r="A8577" s="345"/>
    </row>
    <row r="8578" spans="1:1" ht="21">
      <c r="A8578" s="345"/>
    </row>
    <row r="8579" spans="1:1" ht="21">
      <c r="A8579" s="345"/>
    </row>
    <row r="8580" spans="1:1" ht="21">
      <c r="A8580" s="345"/>
    </row>
    <row r="8581" spans="1:1" ht="21">
      <c r="A8581" s="345"/>
    </row>
    <row r="8582" spans="1:1" ht="21">
      <c r="A8582" s="345"/>
    </row>
    <row r="8583" spans="1:1" ht="21">
      <c r="A8583" s="345"/>
    </row>
    <row r="8584" spans="1:1" ht="21">
      <c r="A8584" s="345"/>
    </row>
    <row r="8585" spans="1:1" ht="21">
      <c r="A8585" s="345"/>
    </row>
    <row r="8586" spans="1:1" ht="21">
      <c r="A8586" s="345"/>
    </row>
    <row r="8587" spans="1:1" ht="21">
      <c r="A8587" s="345"/>
    </row>
    <row r="8588" spans="1:1" ht="21">
      <c r="A8588" s="345"/>
    </row>
    <row r="8589" spans="1:1" ht="21">
      <c r="A8589" s="345"/>
    </row>
    <row r="8590" spans="1:1" ht="21">
      <c r="A8590" s="345"/>
    </row>
    <row r="8591" spans="1:1" ht="21">
      <c r="A8591" s="345"/>
    </row>
    <row r="8592" spans="1:1" ht="21">
      <c r="A8592" s="345"/>
    </row>
    <row r="8593" spans="1:1" ht="21">
      <c r="A8593" s="345"/>
    </row>
    <row r="8594" spans="1:1" ht="21">
      <c r="A8594" s="345"/>
    </row>
    <row r="8595" spans="1:1" ht="21">
      <c r="A8595" s="345"/>
    </row>
    <row r="8596" spans="1:1" ht="21">
      <c r="A8596" s="345"/>
    </row>
    <row r="8597" spans="1:1" ht="21">
      <c r="A8597" s="345"/>
    </row>
    <row r="8598" spans="1:1" ht="21">
      <c r="A8598" s="345"/>
    </row>
    <row r="8599" spans="1:1" ht="21">
      <c r="A8599" s="345"/>
    </row>
    <row r="8600" spans="1:1" ht="21">
      <c r="A8600" s="345"/>
    </row>
    <row r="8601" spans="1:1" ht="21">
      <c r="A8601" s="345"/>
    </row>
    <row r="8602" spans="1:1" ht="21">
      <c r="A8602" s="345"/>
    </row>
    <row r="8603" spans="1:1" ht="21">
      <c r="A8603" s="345"/>
    </row>
    <row r="8604" spans="1:1" ht="21">
      <c r="A8604" s="345"/>
    </row>
    <row r="8605" spans="1:1" ht="21">
      <c r="A8605" s="345"/>
    </row>
    <row r="8606" spans="1:1" ht="21">
      <c r="A8606" s="345"/>
    </row>
    <row r="8607" spans="1:1" ht="21">
      <c r="A8607" s="345"/>
    </row>
    <row r="8608" spans="1:1" ht="21">
      <c r="A8608" s="345"/>
    </row>
    <row r="8609" spans="1:1" ht="21">
      <c r="A8609" s="345"/>
    </row>
    <row r="8610" spans="1:1" ht="21">
      <c r="A8610" s="345"/>
    </row>
    <row r="8611" spans="1:1" ht="21">
      <c r="A8611" s="345"/>
    </row>
    <row r="8612" spans="1:1" ht="21">
      <c r="A8612" s="345"/>
    </row>
    <row r="8613" spans="1:1" ht="21">
      <c r="A8613" s="345"/>
    </row>
    <row r="8614" spans="1:1" ht="21">
      <c r="A8614" s="345"/>
    </row>
    <row r="8615" spans="1:1" ht="21">
      <c r="A8615" s="345"/>
    </row>
    <row r="8616" spans="1:1" ht="21">
      <c r="A8616" s="345"/>
    </row>
    <row r="8617" spans="1:1" ht="21">
      <c r="A8617" s="345"/>
    </row>
    <row r="8618" spans="1:1" ht="21">
      <c r="A8618" s="345"/>
    </row>
    <row r="8619" spans="1:1" ht="21">
      <c r="A8619" s="345"/>
    </row>
    <row r="8620" spans="1:1" ht="21">
      <c r="A8620" s="345"/>
    </row>
    <row r="8621" spans="1:1" ht="21">
      <c r="A8621" s="345"/>
    </row>
    <row r="8622" spans="1:1" ht="21">
      <c r="A8622" s="345"/>
    </row>
    <row r="8623" spans="1:1" ht="21">
      <c r="A8623" s="345"/>
    </row>
    <row r="8624" spans="1:1" ht="21">
      <c r="A8624" s="345"/>
    </row>
    <row r="8625" spans="1:1" ht="21">
      <c r="A8625" s="345"/>
    </row>
    <row r="8626" spans="1:1" ht="21">
      <c r="A8626" s="345"/>
    </row>
    <row r="8627" spans="1:1" ht="21">
      <c r="A8627" s="345"/>
    </row>
    <row r="8628" spans="1:1" ht="21">
      <c r="A8628" s="345"/>
    </row>
    <row r="8629" spans="1:1" ht="21">
      <c r="A8629" s="345"/>
    </row>
    <row r="8630" spans="1:1" ht="21">
      <c r="A8630" s="345"/>
    </row>
    <row r="8631" spans="1:1" ht="21">
      <c r="A8631" s="345"/>
    </row>
    <row r="8632" spans="1:1" ht="21">
      <c r="A8632" s="345"/>
    </row>
    <row r="8633" spans="1:1" ht="21">
      <c r="A8633" s="345"/>
    </row>
    <row r="8634" spans="1:1" ht="21">
      <c r="A8634" s="345"/>
    </row>
    <row r="8635" spans="1:1" ht="21">
      <c r="A8635" s="345"/>
    </row>
    <row r="8636" spans="1:1" ht="21">
      <c r="A8636" s="345"/>
    </row>
    <row r="8637" spans="1:1" ht="21">
      <c r="A8637" s="345"/>
    </row>
    <row r="8638" spans="1:1" ht="21">
      <c r="A8638" s="345"/>
    </row>
    <row r="8639" spans="1:1" ht="21">
      <c r="A8639" s="345"/>
    </row>
    <row r="8640" spans="1:1" ht="21">
      <c r="A8640" s="345"/>
    </row>
    <row r="8641" spans="1:1" ht="21">
      <c r="A8641" s="345"/>
    </row>
    <row r="8642" spans="1:1" ht="21">
      <c r="A8642" s="345"/>
    </row>
    <row r="8643" spans="1:1" ht="21">
      <c r="A8643" s="345"/>
    </row>
    <row r="8644" spans="1:1" ht="21">
      <c r="A8644" s="345"/>
    </row>
    <row r="8645" spans="1:1" ht="21">
      <c r="A8645" s="345"/>
    </row>
    <row r="8646" spans="1:1" ht="21">
      <c r="A8646" s="345"/>
    </row>
    <row r="8647" spans="1:1" ht="21">
      <c r="A8647" s="345"/>
    </row>
    <row r="8648" spans="1:1" ht="21">
      <c r="A8648" s="345"/>
    </row>
    <row r="8649" spans="1:1" ht="21">
      <c r="A8649" s="345"/>
    </row>
    <row r="8650" spans="1:1" ht="21">
      <c r="A8650" s="345"/>
    </row>
    <row r="8651" spans="1:1" ht="21">
      <c r="A8651" s="345"/>
    </row>
    <row r="8652" spans="1:1" ht="21">
      <c r="A8652" s="345"/>
    </row>
    <row r="8653" spans="1:1" ht="21">
      <c r="A8653" s="345"/>
    </row>
    <row r="8654" spans="1:1" ht="21">
      <c r="A8654" s="345"/>
    </row>
    <row r="8655" spans="1:1" ht="21">
      <c r="A8655" s="345"/>
    </row>
    <row r="8656" spans="1:1" ht="21">
      <c r="A8656" s="345"/>
    </row>
    <row r="8657" spans="1:1" ht="21">
      <c r="A8657" s="345"/>
    </row>
    <row r="8658" spans="1:1" ht="21">
      <c r="A8658" s="345"/>
    </row>
    <row r="8659" spans="1:1" ht="21">
      <c r="A8659" s="345"/>
    </row>
    <row r="8660" spans="1:1" ht="21">
      <c r="A8660" s="345"/>
    </row>
    <row r="8661" spans="1:1" ht="21">
      <c r="A8661" s="345"/>
    </row>
    <row r="8662" spans="1:1" ht="21">
      <c r="A8662" s="345"/>
    </row>
    <row r="8663" spans="1:1" ht="21">
      <c r="A8663" s="345"/>
    </row>
    <row r="8664" spans="1:1" ht="21">
      <c r="A8664" s="345"/>
    </row>
    <row r="8665" spans="1:1" ht="21">
      <c r="A8665" s="345"/>
    </row>
    <row r="8666" spans="1:1" ht="21">
      <c r="A8666" s="345"/>
    </row>
    <row r="8667" spans="1:1" ht="21">
      <c r="A8667" s="345"/>
    </row>
    <row r="8668" spans="1:1" ht="21">
      <c r="A8668" s="345"/>
    </row>
    <row r="8669" spans="1:1" ht="21">
      <c r="A8669" s="345"/>
    </row>
    <row r="8670" spans="1:1" ht="21">
      <c r="A8670" s="345"/>
    </row>
    <row r="8671" spans="1:1" ht="21">
      <c r="A8671" s="345"/>
    </row>
    <row r="8672" spans="1:1" ht="21">
      <c r="A8672" s="345"/>
    </row>
    <row r="8673" spans="1:1" ht="21">
      <c r="A8673" s="345"/>
    </row>
    <row r="8674" spans="1:1" ht="21">
      <c r="A8674" s="345"/>
    </row>
    <row r="8675" spans="1:1" ht="21">
      <c r="A8675" s="345"/>
    </row>
    <row r="8676" spans="1:1" ht="21">
      <c r="A8676" s="345"/>
    </row>
    <row r="8677" spans="1:1" ht="21">
      <c r="A8677" s="345"/>
    </row>
    <row r="8678" spans="1:1" ht="21">
      <c r="A8678" s="345"/>
    </row>
    <row r="8679" spans="1:1" ht="21">
      <c r="A8679" s="345"/>
    </row>
    <row r="8680" spans="1:1" ht="21">
      <c r="A8680" s="345"/>
    </row>
    <row r="8681" spans="1:1" ht="21">
      <c r="A8681" s="345"/>
    </row>
    <row r="8682" spans="1:1" ht="21">
      <c r="A8682" s="345"/>
    </row>
    <row r="8683" spans="1:1" ht="21">
      <c r="A8683" s="345"/>
    </row>
    <row r="8684" spans="1:1" ht="21">
      <c r="A8684" s="345"/>
    </row>
    <row r="8685" spans="1:1" ht="21">
      <c r="A8685" s="345"/>
    </row>
    <row r="8686" spans="1:1" ht="21">
      <c r="A8686" s="345"/>
    </row>
    <row r="8687" spans="1:1" ht="21">
      <c r="A8687" s="345"/>
    </row>
    <row r="8688" spans="1:1" ht="21">
      <c r="A8688" s="345"/>
    </row>
    <row r="8689" spans="1:1" ht="21">
      <c r="A8689" s="345"/>
    </row>
    <row r="8690" spans="1:1" ht="21">
      <c r="A8690" s="345"/>
    </row>
    <row r="8691" spans="1:1" ht="21">
      <c r="A8691" s="345"/>
    </row>
    <row r="8692" spans="1:1" ht="21">
      <c r="A8692" s="345"/>
    </row>
    <row r="8693" spans="1:1" ht="21">
      <c r="A8693" s="345"/>
    </row>
    <row r="8694" spans="1:1" ht="21">
      <c r="A8694" s="345"/>
    </row>
    <row r="8695" spans="1:1" ht="21">
      <c r="A8695" s="345"/>
    </row>
    <row r="8696" spans="1:1" ht="21">
      <c r="A8696" s="345"/>
    </row>
    <row r="8697" spans="1:1" ht="21">
      <c r="A8697" s="345"/>
    </row>
    <row r="8698" spans="1:1" ht="21">
      <c r="A8698" s="345"/>
    </row>
    <row r="8699" spans="1:1" ht="21">
      <c r="A8699" s="345"/>
    </row>
    <row r="8700" spans="1:1" ht="21">
      <c r="A8700" s="345"/>
    </row>
    <row r="8701" spans="1:1" ht="21">
      <c r="A8701" s="345"/>
    </row>
    <row r="8702" spans="1:1" ht="21">
      <c r="A8702" s="345"/>
    </row>
    <row r="8703" spans="1:1" ht="21">
      <c r="A8703" s="345"/>
    </row>
    <row r="8704" spans="1:1" ht="21">
      <c r="A8704" s="345"/>
    </row>
    <row r="8705" spans="1:1" ht="21">
      <c r="A8705" s="345"/>
    </row>
    <row r="8706" spans="1:1" ht="21">
      <c r="A8706" s="345"/>
    </row>
    <row r="8707" spans="1:1" ht="21">
      <c r="A8707" s="345"/>
    </row>
    <row r="8708" spans="1:1" ht="21">
      <c r="A8708" s="345"/>
    </row>
    <row r="8709" spans="1:1" ht="21">
      <c r="A8709" s="345"/>
    </row>
    <row r="8710" spans="1:1" ht="21">
      <c r="A8710" s="345"/>
    </row>
    <row r="8711" spans="1:1" ht="21">
      <c r="A8711" s="345"/>
    </row>
    <row r="8712" spans="1:1" ht="21">
      <c r="A8712" s="345"/>
    </row>
    <row r="8713" spans="1:1" ht="21">
      <c r="A8713" s="345"/>
    </row>
    <row r="8714" spans="1:1" ht="21">
      <c r="A8714" s="345"/>
    </row>
    <row r="8715" spans="1:1" ht="21">
      <c r="A8715" s="345"/>
    </row>
    <row r="8716" spans="1:1" ht="21">
      <c r="A8716" s="345"/>
    </row>
    <row r="8717" spans="1:1" ht="21">
      <c r="A8717" s="345"/>
    </row>
    <row r="8718" spans="1:1" ht="21">
      <c r="A8718" s="345"/>
    </row>
    <row r="8719" spans="1:1" ht="21">
      <c r="A8719" s="345"/>
    </row>
    <row r="8720" spans="1:1" ht="21">
      <c r="A8720" s="345"/>
    </row>
    <row r="8721" spans="1:1" ht="21">
      <c r="A8721" s="345"/>
    </row>
    <row r="8722" spans="1:1" ht="21">
      <c r="A8722" s="345"/>
    </row>
    <row r="8723" spans="1:1" ht="21">
      <c r="A8723" s="345"/>
    </row>
    <row r="8724" spans="1:1" ht="21">
      <c r="A8724" s="345"/>
    </row>
    <row r="8725" spans="1:1" ht="21">
      <c r="A8725" s="345"/>
    </row>
    <row r="8726" spans="1:1" ht="21">
      <c r="A8726" s="345"/>
    </row>
    <row r="8727" spans="1:1" ht="21">
      <c r="A8727" s="345"/>
    </row>
    <row r="8728" spans="1:1" ht="21">
      <c r="A8728" s="345"/>
    </row>
    <row r="8729" spans="1:1" ht="21">
      <c r="A8729" s="345"/>
    </row>
    <row r="8730" spans="1:1" ht="21">
      <c r="A8730" s="345"/>
    </row>
    <row r="8731" spans="1:1" ht="21">
      <c r="A8731" s="345"/>
    </row>
    <row r="8732" spans="1:1" ht="21">
      <c r="A8732" s="345"/>
    </row>
    <row r="8733" spans="1:1" ht="21">
      <c r="A8733" s="345"/>
    </row>
    <row r="8734" spans="1:1" ht="21">
      <c r="A8734" s="345"/>
    </row>
    <row r="8735" spans="1:1" ht="21">
      <c r="A8735" s="345"/>
    </row>
    <row r="8736" spans="1:1" ht="21">
      <c r="A8736" s="345"/>
    </row>
    <row r="8737" spans="1:1" ht="21">
      <c r="A8737" s="345"/>
    </row>
    <row r="8738" spans="1:1" ht="21">
      <c r="A8738" s="345"/>
    </row>
    <row r="8739" spans="1:1" ht="21">
      <c r="A8739" s="345"/>
    </row>
    <row r="8740" spans="1:1" ht="21">
      <c r="A8740" s="345"/>
    </row>
    <row r="8741" spans="1:1" ht="21">
      <c r="A8741" s="345"/>
    </row>
    <row r="8742" spans="1:1" ht="21">
      <c r="A8742" s="345"/>
    </row>
    <row r="8743" spans="1:1" ht="21">
      <c r="A8743" s="345"/>
    </row>
    <row r="8744" spans="1:1" ht="21">
      <c r="A8744" s="345"/>
    </row>
    <row r="8745" spans="1:1" ht="21">
      <c r="A8745" s="345"/>
    </row>
    <row r="8746" spans="1:1" ht="21">
      <c r="A8746" s="345"/>
    </row>
    <row r="8747" spans="1:1" ht="21">
      <c r="A8747" s="345"/>
    </row>
    <row r="8748" spans="1:1" ht="21">
      <c r="A8748" s="345"/>
    </row>
    <row r="8749" spans="1:1" ht="21">
      <c r="A8749" s="345"/>
    </row>
    <row r="8750" spans="1:1" ht="21">
      <c r="A8750" s="345"/>
    </row>
    <row r="8751" spans="1:1" ht="21">
      <c r="A8751" s="345"/>
    </row>
    <row r="8752" spans="1:1" ht="21">
      <c r="A8752" s="345"/>
    </row>
    <row r="8753" spans="1:1" ht="21">
      <c r="A8753" s="345"/>
    </row>
    <row r="8754" spans="1:1" ht="21">
      <c r="A8754" s="345"/>
    </row>
    <row r="8755" spans="1:1" ht="21">
      <c r="A8755" s="345"/>
    </row>
    <row r="8756" spans="1:1" ht="21">
      <c r="A8756" s="345"/>
    </row>
    <row r="8757" spans="1:1" ht="21">
      <c r="A8757" s="345"/>
    </row>
    <row r="8758" spans="1:1" ht="21">
      <c r="A8758" s="345"/>
    </row>
    <row r="8759" spans="1:1" ht="21">
      <c r="A8759" s="345"/>
    </row>
    <row r="8760" spans="1:1" ht="21">
      <c r="A8760" s="345"/>
    </row>
    <row r="8761" spans="1:1" ht="21">
      <c r="A8761" s="345"/>
    </row>
    <row r="8762" spans="1:1" ht="21">
      <c r="A8762" s="345"/>
    </row>
    <row r="8763" spans="1:1" ht="21">
      <c r="A8763" s="345"/>
    </row>
    <row r="8764" spans="1:1" ht="21">
      <c r="A8764" s="345"/>
    </row>
    <row r="8765" spans="1:1" ht="21">
      <c r="A8765" s="345"/>
    </row>
    <row r="8766" spans="1:1" ht="21">
      <c r="A8766" s="345"/>
    </row>
    <row r="8767" spans="1:1" ht="21">
      <c r="A8767" s="345"/>
    </row>
    <row r="8768" spans="1:1" ht="21">
      <c r="A8768" s="345"/>
    </row>
    <row r="8769" spans="1:1" ht="21">
      <c r="A8769" s="345"/>
    </row>
    <row r="8770" spans="1:1" ht="21">
      <c r="A8770" s="345"/>
    </row>
    <row r="8771" spans="1:1" ht="21">
      <c r="A8771" s="345"/>
    </row>
    <row r="8772" spans="1:1" ht="21">
      <c r="A8772" s="345"/>
    </row>
    <row r="8773" spans="1:1" ht="21">
      <c r="A8773" s="345"/>
    </row>
    <row r="8774" spans="1:1" ht="21">
      <c r="A8774" s="345"/>
    </row>
    <row r="8775" spans="1:1" ht="21">
      <c r="A8775" s="345"/>
    </row>
    <row r="8776" spans="1:1" ht="21">
      <c r="A8776" s="345"/>
    </row>
    <row r="8777" spans="1:1" ht="21">
      <c r="A8777" s="345"/>
    </row>
    <row r="8778" spans="1:1" ht="21">
      <c r="A8778" s="345"/>
    </row>
    <row r="8779" spans="1:1" ht="21">
      <c r="A8779" s="345"/>
    </row>
    <row r="8780" spans="1:1" ht="21">
      <c r="A8780" s="345"/>
    </row>
    <row r="8781" spans="1:1" ht="21">
      <c r="A8781" s="345"/>
    </row>
    <row r="8782" spans="1:1" ht="21">
      <c r="A8782" s="345"/>
    </row>
    <row r="8783" spans="1:1" ht="21">
      <c r="A8783" s="345"/>
    </row>
    <row r="8784" spans="1:1" ht="21">
      <c r="A8784" s="345"/>
    </row>
    <row r="8785" spans="1:1" ht="21">
      <c r="A8785" s="345"/>
    </row>
    <row r="8786" spans="1:1" ht="21">
      <c r="A8786" s="345"/>
    </row>
    <row r="8787" spans="1:1" ht="21">
      <c r="A8787" s="345"/>
    </row>
    <row r="8788" spans="1:1" ht="21">
      <c r="A8788" s="345"/>
    </row>
    <row r="8789" spans="1:1" ht="21">
      <c r="A8789" s="345"/>
    </row>
    <row r="8790" spans="1:1" ht="21">
      <c r="A8790" s="345"/>
    </row>
    <row r="8791" spans="1:1" ht="21">
      <c r="A8791" s="345"/>
    </row>
    <row r="8792" spans="1:1" ht="21">
      <c r="A8792" s="345"/>
    </row>
    <row r="8793" spans="1:1" ht="21">
      <c r="A8793" s="345"/>
    </row>
    <row r="8794" spans="1:1" ht="21">
      <c r="A8794" s="345"/>
    </row>
    <row r="8795" spans="1:1" ht="21">
      <c r="A8795" s="345"/>
    </row>
    <row r="8796" spans="1:1" ht="21">
      <c r="A8796" s="345"/>
    </row>
    <row r="8797" spans="1:1" ht="21">
      <c r="A8797" s="345"/>
    </row>
    <row r="8798" spans="1:1" ht="21">
      <c r="A8798" s="345"/>
    </row>
    <row r="8799" spans="1:1" ht="21">
      <c r="A8799" s="345"/>
    </row>
    <row r="8800" spans="1:1" ht="21">
      <c r="A8800" s="345"/>
    </row>
    <row r="8801" spans="1:1" ht="21">
      <c r="A8801" s="345"/>
    </row>
    <row r="8802" spans="1:1" ht="21">
      <c r="A8802" s="345"/>
    </row>
    <row r="8803" spans="1:1" ht="21">
      <c r="A8803" s="345"/>
    </row>
    <row r="8804" spans="1:1" ht="21">
      <c r="A8804" s="345"/>
    </row>
    <row r="8805" spans="1:1" ht="21">
      <c r="A8805" s="345"/>
    </row>
    <row r="8806" spans="1:1" ht="21">
      <c r="A8806" s="345"/>
    </row>
    <row r="8807" spans="1:1" ht="21">
      <c r="A8807" s="345"/>
    </row>
    <row r="8808" spans="1:1" ht="21">
      <c r="A8808" s="345"/>
    </row>
    <row r="8809" spans="1:1" ht="21">
      <c r="A8809" s="345"/>
    </row>
    <row r="8810" spans="1:1" ht="21">
      <c r="A8810" s="345"/>
    </row>
    <row r="8811" spans="1:1" ht="21">
      <c r="A8811" s="345"/>
    </row>
    <row r="8812" spans="1:1" ht="21">
      <c r="A8812" s="345"/>
    </row>
    <row r="8813" spans="1:1" ht="21">
      <c r="A8813" s="345"/>
    </row>
    <row r="8814" spans="1:1" ht="21">
      <c r="A8814" s="345"/>
    </row>
    <row r="8815" spans="1:1" ht="21">
      <c r="A8815" s="345"/>
    </row>
    <row r="8816" spans="1:1" ht="21">
      <c r="A8816" s="345"/>
    </row>
    <row r="8817" spans="1:1" ht="21">
      <c r="A8817" s="345"/>
    </row>
    <row r="8818" spans="1:1" ht="21">
      <c r="A8818" s="345"/>
    </row>
    <row r="8819" spans="1:1" ht="21">
      <c r="A8819" s="345"/>
    </row>
    <row r="8820" spans="1:1" ht="21">
      <c r="A8820" s="345"/>
    </row>
    <row r="8821" spans="1:1" ht="21">
      <c r="A8821" s="345"/>
    </row>
    <row r="8822" spans="1:1" ht="21">
      <c r="A8822" s="345"/>
    </row>
    <row r="8823" spans="1:1" ht="21">
      <c r="A8823" s="345"/>
    </row>
    <row r="8824" spans="1:1" ht="21">
      <c r="A8824" s="345"/>
    </row>
    <row r="8825" spans="1:1" ht="21">
      <c r="A8825" s="345"/>
    </row>
    <row r="8826" spans="1:1" ht="21">
      <c r="A8826" s="345"/>
    </row>
    <row r="8827" spans="1:1" ht="21">
      <c r="A8827" s="345"/>
    </row>
    <row r="8828" spans="1:1" ht="21">
      <c r="A8828" s="345"/>
    </row>
    <row r="8829" spans="1:1" ht="21">
      <c r="A8829" s="345"/>
    </row>
    <row r="8830" spans="1:1" ht="21">
      <c r="A8830" s="345"/>
    </row>
    <row r="8831" spans="1:1" ht="21">
      <c r="A8831" s="345"/>
    </row>
    <row r="8832" spans="1:1" ht="21">
      <c r="A8832" s="345"/>
    </row>
    <row r="8833" spans="1:1" ht="21">
      <c r="A8833" s="345"/>
    </row>
    <row r="8834" spans="1:1" ht="21">
      <c r="A8834" s="345"/>
    </row>
    <row r="8835" spans="1:1" ht="21">
      <c r="A8835" s="345"/>
    </row>
    <row r="8836" spans="1:1" ht="21">
      <c r="A8836" s="345"/>
    </row>
    <row r="8837" spans="1:1" ht="21">
      <c r="A8837" s="345"/>
    </row>
    <row r="8838" spans="1:1" ht="21">
      <c r="A8838" s="345"/>
    </row>
    <row r="8839" spans="1:1" ht="21">
      <c r="A8839" s="345"/>
    </row>
    <row r="8840" spans="1:1" ht="21">
      <c r="A8840" s="345"/>
    </row>
    <row r="8841" spans="1:1" ht="21">
      <c r="A8841" s="345"/>
    </row>
    <row r="8842" spans="1:1" ht="21">
      <c r="A8842" s="345"/>
    </row>
    <row r="8843" spans="1:1" ht="21">
      <c r="A8843" s="345"/>
    </row>
    <row r="8844" spans="1:1" ht="21">
      <c r="A8844" s="345"/>
    </row>
    <row r="8845" spans="1:1" ht="21">
      <c r="A8845" s="345"/>
    </row>
    <row r="8846" spans="1:1" ht="21">
      <c r="A8846" s="345"/>
    </row>
    <row r="8847" spans="1:1" ht="21">
      <c r="A8847" s="345"/>
    </row>
    <row r="8848" spans="1:1" ht="21">
      <c r="A8848" s="345"/>
    </row>
    <row r="8849" spans="1:1" ht="21">
      <c r="A8849" s="345"/>
    </row>
    <row r="8850" spans="1:1" ht="21">
      <c r="A8850" s="345"/>
    </row>
    <row r="8851" spans="1:1" ht="21">
      <c r="A8851" s="345"/>
    </row>
    <row r="8852" spans="1:1" ht="21">
      <c r="A8852" s="345"/>
    </row>
    <row r="8853" spans="1:1" ht="21">
      <c r="A8853" s="345"/>
    </row>
    <row r="8854" spans="1:1" ht="21">
      <c r="A8854" s="345"/>
    </row>
    <row r="8855" spans="1:1" ht="21">
      <c r="A8855" s="345"/>
    </row>
    <row r="8856" spans="1:1" ht="21">
      <c r="A8856" s="345"/>
    </row>
    <row r="8857" spans="1:1" ht="21">
      <c r="A8857" s="345"/>
    </row>
    <row r="8858" spans="1:1" ht="21">
      <c r="A8858" s="345"/>
    </row>
    <row r="8859" spans="1:1" ht="21">
      <c r="A8859" s="345"/>
    </row>
    <row r="8860" spans="1:1" ht="21">
      <c r="A8860" s="345"/>
    </row>
    <row r="8861" spans="1:1" ht="21">
      <c r="A8861" s="345"/>
    </row>
    <row r="8862" spans="1:1" ht="21">
      <c r="A8862" s="345"/>
    </row>
    <row r="8863" spans="1:1" ht="21">
      <c r="A8863" s="345"/>
    </row>
    <row r="8864" spans="1:1" ht="21">
      <c r="A8864" s="345"/>
    </row>
    <row r="8865" spans="1:1" ht="21">
      <c r="A8865" s="345"/>
    </row>
    <row r="8866" spans="1:1" ht="21">
      <c r="A8866" s="345"/>
    </row>
    <row r="8867" spans="1:1" ht="21">
      <c r="A8867" s="345"/>
    </row>
    <row r="8868" spans="1:1" ht="21">
      <c r="A8868" s="345"/>
    </row>
    <row r="8869" spans="1:1" ht="21">
      <c r="A8869" s="345"/>
    </row>
    <row r="8870" spans="1:1" ht="21">
      <c r="A8870" s="345"/>
    </row>
    <row r="8871" spans="1:1" ht="21">
      <c r="A8871" s="345"/>
    </row>
    <row r="8872" spans="1:1" ht="21">
      <c r="A8872" s="345"/>
    </row>
    <row r="8873" spans="1:1" ht="21">
      <c r="A8873" s="345"/>
    </row>
    <row r="8874" spans="1:1" ht="21">
      <c r="A8874" s="345"/>
    </row>
    <row r="8875" spans="1:1" ht="21">
      <c r="A8875" s="345"/>
    </row>
    <row r="8876" spans="1:1" ht="21">
      <c r="A8876" s="345"/>
    </row>
    <row r="8877" spans="1:1" ht="21">
      <c r="A8877" s="345"/>
    </row>
    <row r="8878" spans="1:1" ht="21">
      <c r="A8878" s="345"/>
    </row>
    <row r="8879" spans="1:1" ht="21">
      <c r="A8879" s="345"/>
    </row>
    <row r="8880" spans="1:1" ht="21">
      <c r="A8880" s="345"/>
    </row>
    <row r="8881" spans="1:1" ht="21">
      <c r="A8881" s="345"/>
    </row>
    <row r="8882" spans="1:1" ht="21">
      <c r="A8882" s="345"/>
    </row>
    <row r="8883" spans="1:1" ht="21">
      <c r="A8883" s="345"/>
    </row>
    <row r="8884" spans="1:1" ht="21">
      <c r="A8884" s="345"/>
    </row>
    <row r="8885" spans="1:1" ht="21">
      <c r="A8885" s="345"/>
    </row>
    <row r="8886" spans="1:1" ht="21">
      <c r="A8886" s="345"/>
    </row>
    <row r="8887" spans="1:1" ht="21">
      <c r="A8887" s="345"/>
    </row>
    <row r="8888" spans="1:1" ht="21">
      <c r="A8888" s="345"/>
    </row>
    <row r="8889" spans="1:1" ht="21">
      <c r="A8889" s="345"/>
    </row>
    <row r="8890" spans="1:1" ht="21">
      <c r="A8890" s="345"/>
    </row>
    <row r="8891" spans="1:1" ht="21">
      <c r="A8891" s="345"/>
    </row>
    <row r="8892" spans="1:1" ht="21">
      <c r="A8892" s="345"/>
    </row>
    <row r="8893" spans="1:1" ht="21">
      <c r="A8893" s="345"/>
    </row>
    <row r="8894" spans="1:1" ht="21">
      <c r="A8894" s="345"/>
    </row>
    <row r="8895" spans="1:1" ht="21">
      <c r="A8895" s="345"/>
    </row>
    <row r="8896" spans="1:1" ht="21">
      <c r="A8896" s="345"/>
    </row>
    <row r="8897" spans="1:1" ht="21">
      <c r="A8897" s="345"/>
    </row>
    <row r="8898" spans="1:1" ht="21">
      <c r="A8898" s="345"/>
    </row>
    <row r="8899" spans="1:1" ht="21">
      <c r="A8899" s="345"/>
    </row>
    <row r="8900" spans="1:1" ht="21">
      <c r="A8900" s="345"/>
    </row>
    <row r="8901" spans="1:1" ht="21">
      <c r="A8901" s="345"/>
    </row>
    <row r="8902" spans="1:1" ht="21">
      <c r="A8902" s="345"/>
    </row>
    <row r="8903" spans="1:1" ht="21">
      <c r="A8903" s="345"/>
    </row>
    <row r="8904" spans="1:1" ht="21">
      <c r="A8904" s="345"/>
    </row>
    <row r="8905" spans="1:1" ht="21">
      <c r="A8905" s="345"/>
    </row>
    <row r="8906" spans="1:1" ht="21">
      <c r="A8906" s="345"/>
    </row>
    <row r="8907" spans="1:1" ht="21">
      <c r="A8907" s="345"/>
    </row>
    <row r="8908" spans="1:1" ht="21">
      <c r="A8908" s="345"/>
    </row>
    <row r="8909" spans="1:1" ht="21">
      <c r="A8909" s="345"/>
    </row>
    <row r="8910" spans="1:1" ht="21">
      <c r="A8910" s="345"/>
    </row>
    <row r="8911" spans="1:1" ht="21">
      <c r="A8911" s="345"/>
    </row>
    <row r="8912" spans="1:1" ht="21">
      <c r="A8912" s="345"/>
    </row>
    <row r="8913" spans="1:1" ht="21">
      <c r="A8913" s="345"/>
    </row>
    <row r="8914" spans="1:1" ht="21">
      <c r="A8914" s="345"/>
    </row>
    <row r="8915" spans="1:1" ht="21">
      <c r="A8915" s="345"/>
    </row>
    <row r="8916" spans="1:1" ht="21">
      <c r="A8916" s="345"/>
    </row>
    <row r="8917" spans="1:1" ht="21">
      <c r="A8917" s="345"/>
    </row>
    <row r="8918" spans="1:1" ht="21">
      <c r="A8918" s="345"/>
    </row>
    <row r="8919" spans="1:1" ht="21">
      <c r="A8919" s="345"/>
    </row>
    <row r="8920" spans="1:1" ht="21">
      <c r="A8920" s="345"/>
    </row>
    <row r="8921" spans="1:1" ht="21">
      <c r="A8921" s="345"/>
    </row>
    <row r="8922" spans="1:1" ht="21">
      <c r="A8922" s="345"/>
    </row>
    <row r="8923" spans="1:1" ht="21">
      <c r="A8923" s="345"/>
    </row>
    <row r="8924" spans="1:1" ht="21">
      <c r="A8924" s="345"/>
    </row>
    <row r="8925" spans="1:1" ht="21">
      <c r="A8925" s="345"/>
    </row>
    <row r="8926" spans="1:1" ht="21">
      <c r="A8926" s="345"/>
    </row>
    <row r="8927" spans="1:1" ht="21">
      <c r="A8927" s="345"/>
    </row>
    <row r="8928" spans="1:1" ht="21">
      <c r="A8928" s="345"/>
    </row>
    <row r="8929" spans="1:1" ht="21">
      <c r="A8929" s="345"/>
    </row>
    <row r="8930" spans="1:1" ht="21">
      <c r="A8930" s="345"/>
    </row>
    <row r="8931" spans="1:1" ht="21">
      <c r="A8931" s="345"/>
    </row>
    <row r="8932" spans="1:1" ht="21">
      <c r="A8932" s="345"/>
    </row>
    <row r="8933" spans="1:1" ht="21">
      <c r="A8933" s="345"/>
    </row>
    <row r="8934" spans="1:1" ht="21">
      <c r="A8934" s="345"/>
    </row>
    <row r="8935" spans="1:1" ht="21">
      <c r="A8935" s="345"/>
    </row>
    <row r="8936" spans="1:1" ht="21">
      <c r="A8936" s="345"/>
    </row>
    <row r="8937" spans="1:1" ht="21">
      <c r="A8937" s="345"/>
    </row>
    <row r="8938" spans="1:1" ht="21">
      <c r="A8938" s="345"/>
    </row>
    <row r="8939" spans="1:1" ht="21">
      <c r="A8939" s="345"/>
    </row>
    <row r="8940" spans="1:1" ht="21">
      <c r="A8940" s="345"/>
    </row>
    <row r="8941" spans="1:1" ht="21">
      <c r="A8941" s="345"/>
    </row>
    <row r="8942" spans="1:1" ht="21">
      <c r="A8942" s="345"/>
    </row>
    <row r="8943" spans="1:1" ht="21">
      <c r="A8943" s="345"/>
    </row>
    <row r="8944" spans="1:1" ht="21">
      <c r="A8944" s="345"/>
    </row>
    <row r="8945" spans="1:1" ht="21">
      <c r="A8945" s="345"/>
    </row>
    <row r="8946" spans="1:1" ht="21">
      <c r="A8946" s="345"/>
    </row>
    <row r="8947" spans="1:1" ht="21">
      <c r="A8947" s="345"/>
    </row>
    <row r="8948" spans="1:1" ht="21">
      <c r="A8948" s="345"/>
    </row>
    <row r="8949" spans="1:1" ht="21">
      <c r="A8949" s="345"/>
    </row>
    <row r="8950" spans="1:1" ht="21">
      <c r="A8950" s="345"/>
    </row>
    <row r="8951" spans="1:1" ht="21">
      <c r="A8951" s="345"/>
    </row>
    <row r="8952" spans="1:1" ht="21">
      <c r="A8952" s="345"/>
    </row>
    <row r="8953" spans="1:1" ht="21">
      <c r="A8953" s="345"/>
    </row>
    <row r="8954" spans="1:1" ht="21">
      <c r="A8954" s="345"/>
    </row>
    <row r="8955" spans="1:1" ht="21">
      <c r="A8955" s="345"/>
    </row>
    <row r="8956" spans="1:1" ht="21">
      <c r="A8956" s="345"/>
    </row>
    <row r="8957" spans="1:1" ht="21">
      <c r="A8957" s="345"/>
    </row>
    <row r="8958" spans="1:1" ht="21">
      <c r="A8958" s="345"/>
    </row>
    <row r="8959" spans="1:1" ht="21">
      <c r="A8959" s="345"/>
    </row>
    <row r="8960" spans="1:1" ht="21">
      <c r="A8960" s="345"/>
    </row>
    <row r="8961" spans="1:1" ht="21">
      <c r="A8961" s="345"/>
    </row>
    <row r="8962" spans="1:1" ht="21">
      <c r="A8962" s="345"/>
    </row>
    <row r="8963" spans="1:1" ht="21">
      <c r="A8963" s="345"/>
    </row>
    <row r="8964" spans="1:1" ht="21">
      <c r="A8964" s="345"/>
    </row>
    <row r="8965" spans="1:1" ht="21">
      <c r="A8965" s="345"/>
    </row>
    <row r="8966" spans="1:1" ht="21">
      <c r="A8966" s="345"/>
    </row>
    <row r="8967" spans="1:1" ht="21">
      <c r="A8967" s="345"/>
    </row>
    <row r="8968" spans="1:1" ht="21">
      <c r="A8968" s="345"/>
    </row>
    <row r="8969" spans="1:1" ht="21">
      <c r="A8969" s="345"/>
    </row>
    <row r="8970" spans="1:1" ht="21">
      <c r="A8970" s="345"/>
    </row>
    <row r="8971" spans="1:1" ht="21">
      <c r="A8971" s="345"/>
    </row>
    <row r="8972" spans="1:1" ht="21">
      <c r="A8972" s="345"/>
    </row>
    <row r="8973" spans="1:1" ht="21">
      <c r="A8973" s="345"/>
    </row>
    <row r="8974" spans="1:1" ht="21">
      <c r="A8974" s="345"/>
    </row>
    <row r="8975" spans="1:1" ht="21">
      <c r="A8975" s="345"/>
    </row>
    <row r="8976" spans="1:1" ht="21">
      <c r="A8976" s="345"/>
    </row>
    <row r="8977" spans="1:1" ht="21">
      <c r="A8977" s="345"/>
    </row>
    <row r="8978" spans="1:1" ht="21">
      <c r="A8978" s="345"/>
    </row>
    <row r="8979" spans="1:1" ht="21">
      <c r="A8979" s="345"/>
    </row>
    <row r="8980" spans="1:1" ht="21">
      <c r="A8980" s="345"/>
    </row>
    <row r="8981" spans="1:1" ht="21">
      <c r="A8981" s="345"/>
    </row>
    <row r="8982" spans="1:1" ht="21">
      <c r="A8982" s="345"/>
    </row>
    <row r="8983" spans="1:1" ht="21">
      <c r="A8983" s="345"/>
    </row>
    <row r="8984" spans="1:1" ht="21">
      <c r="A8984" s="345"/>
    </row>
    <row r="8985" spans="1:1" ht="21">
      <c r="A8985" s="345"/>
    </row>
    <row r="8986" spans="1:1" ht="21">
      <c r="A8986" s="345"/>
    </row>
    <row r="8987" spans="1:1" ht="21">
      <c r="A8987" s="345"/>
    </row>
    <row r="8988" spans="1:1" ht="21">
      <c r="A8988" s="345"/>
    </row>
    <row r="8989" spans="1:1" ht="21">
      <c r="A8989" s="345"/>
    </row>
    <row r="8990" spans="1:1" ht="21">
      <c r="A8990" s="345"/>
    </row>
    <row r="8991" spans="1:1" ht="21">
      <c r="A8991" s="345"/>
    </row>
    <row r="8992" spans="1:1" ht="21">
      <c r="A8992" s="345"/>
    </row>
    <row r="8993" spans="1:1" ht="21">
      <c r="A8993" s="345"/>
    </row>
    <row r="8994" spans="1:1" ht="21">
      <c r="A8994" s="345"/>
    </row>
    <row r="8995" spans="1:1" ht="21">
      <c r="A8995" s="345"/>
    </row>
    <row r="8996" spans="1:1" ht="21">
      <c r="A8996" s="345"/>
    </row>
    <row r="8997" spans="1:1" ht="21">
      <c r="A8997" s="345"/>
    </row>
    <row r="8998" spans="1:1" ht="21">
      <c r="A8998" s="345"/>
    </row>
    <row r="8999" spans="1:1" ht="21">
      <c r="A8999" s="345"/>
    </row>
    <row r="9000" spans="1:1" ht="21">
      <c r="A9000" s="345"/>
    </row>
    <row r="9001" spans="1:1" ht="21">
      <c r="A9001" s="345"/>
    </row>
    <row r="9002" spans="1:1" ht="21">
      <c r="A9002" s="345"/>
    </row>
    <row r="9003" spans="1:1" ht="21">
      <c r="A9003" s="345"/>
    </row>
    <row r="9004" spans="1:1" ht="21">
      <c r="A9004" s="345"/>
    </row>
    <row r="9005" spans="1:1" ht="21">
      <c r="A9005" s="345"/>
    </row>
    <row r="9006" spans="1:1" ht="21">
      <c r="A9006" s="345"/>
    </row>
    <row r="9007" spans="1:1" ht="21">
      <c r="A9007" s="345"/>
    </row>
    <row r="9008" spans="1:1" ht="21">
      <c r="A9008" s="345"/>
    </row>
    <row r="9009" spans="1:1" ht="21">
      <c r="A9009" s="345"/>
    </row>
    <row r="9010" spans="1:1" ht="21">
      <c r="A9010" s="345"/>
    </row>
    <row r="9011" spans="1:1" ht="21">
      <c r="A9011" s="345"/>
    </row>
    <row r="9012" spans="1:1" ht="21">
      <c r="A9012" s="345"/>
    </row>
    <row r="9013" spans="1:1" ht="21">
      <c r="A9013" s="345"/>
    </row>
    <row r="9014" spans="1:1" ht="21">
      <c r="A9014" s="345"/>
    </row>
    <row r="9015" spans="1:1" ht="21">
      <c r="A9015" s="345"/>
    </row>
    <row r="9016" spans="1:1" ht="21">
      <c r="A9016" s="345"/>
    </row>
    <row r="9017" spans="1:1" ht="21">
      <c r="A9017" s="345"/>
    </row>
    <row r="9018" spans="1:1" ht="21">
      <c r="A9018" s="345"/>
    </row>
    <row r="9019" spans="1:1" ht="21">
      <c r="A9019" s="345"/>
    </row>
    <row r="9020" spans="1:1" ht="21">
      <c r="A9020" s="345"/>
    </row>
    <row r="9021" spans="1:1" ht="21">
      <c r="A9021" s="345"/>
    </row>
    <row r="9022" spans="1:1" ht="21">
      <c r="A9022" s="345"/>
    </row>
    <row r="9023" spans="1:1" ht="21">
      <c r="A9023" s="345"/>
    </row>
    <row r="9024" spans="1:1" ht="21">
      <c r="A9024" s="345"/>
    </row>
    <row r="9025" spans="1:1" ht="21">
      <c r="A9025" s="345"/>
    </row>
    <row r="9026" spans="1:1" ht="21">
      <c r="A9026" s="345"/>
    </row>
    <row r="9027" spans="1:1" ht="21">
      <c r="A9027" s="345"/>
    </row>
    <row r="9028" spans="1:1" ht="21">
      <c r="A9028" s="345"/>
    </row>
    <row r="9029" spans="1:1" ht="21">
      <c r="A9029" s="345"/>
    </row>
    <row r="9030" spans="1:1" ht="21">
      <c r="A9030" s="345"/>
    </row>
    <row r="9031" spans="1:1" ht="21">
      <c r="A9031" s="345"/>
    </row>
    <row r="9032" spans="1:1" ht="21">
      <c r="A9032" s="345"/>
    </row>
    <row r="9033" spans="1:1" ht="21">
      <c r="A9033" s="345"/>
    </row>
    <row r="9034" spans="1:1" ht="21">
      <c r="A9034" s="345"/>
    </row>
    <row r="9035" spans="1:1" ht="21">
      <c r="A9035" s="345"/>
    </row>
    <row r="9036" spans="1:1" ht="21">
      <c r="A9036" s="345"/>
    </row>
    <row r="9037" spans="1:1" ht="21">
      <c r="A9037" s="345"/>
    </row>
    <row r="9038" spans="1:1" ht="21">
      <c r="A9038" s="345"/>
    </row>
    <row r="9039" spans="1:1" ht="21">
      <c r="A9039" s="345"/>
    </row>
    <row r="9040" spans="1:1" ht="21">
      <c r="A9040" s="345"/>
    </row>
    <row r="9041" spans="1:1" ht="21">
      <c r="A9041" s="345"/>
    </row>
    <row r="9042" spans="1:1" ht="21">
      <c r="A9042" s="345"/>
    </row>
    <row r="9043" spans="1:1" ht="21">
      <c r="A9043" s="345"/>
    </row>
    <row r="9044" spans="1:1" ht="21">
      <c r="A9044" s="345"/>
    </row>
    <row r="9045" spans="1:1" ht="21">
      <c r="A9045" s="345"/>
    </row>
    <row r="9046" spans="1:1" ht="21">
      <c r="A9046" s="345"/>
    </row>
    <row r="9047" spans="1:1" ht="21">
      <c r="A9047" s="345"/>
    </row>
    <row r="9048" spans="1:1" ht="21">
      <c r="A9048" s="345"/>
    </row>
    <row r="9049" spans="1:1" ht="21">
      <c r="A9049" s="345"/>
    </row>
    <row r="9050" spans="1:1" ht="21">
      <c r="A9050" s="345"/>
    </row>
    <row r="9051" spans="1:1" ht="21">
      <c r="A9051" s="345"/>
    </row>
    <row r="9052" spans="1:1" ht="21">
      <c r="A9052" s="345"/>
    </row>
    <row r="9053" spans="1:1" ht="21">
      <c r="A9053" s="345"/>
    </row>
    <row r="9054" spans="1:1" ht="21">
      <c r="A9054" s="345"/>
    </row>
    <row r="9055" spans="1:1" ht="21">
      <c r="A9055" s="345"/>
    </row>
    <row r="9056" spans="1:1" ht="21">
      <c r="A9056" s="345"/>
    </row>
    <row r="9057" spans="1:1" ht="21">
      <c r="A9057" s="345"/>
    </row>
    <row r="9058" spans="1:1" ht="21">
      <c r="A9058" s="345"/>
    </row>
    <row r="9059" spans="1:1" ht="21">
      <c r="A9059" s="345"/>
    </row>
    <row r="9060" spans="1:1" ht="21">
      <c r="A9060" s="345"/>
    </row>
    <row r="9061" spans="1:1" ht="21">
      <c r="A9061" s="345"/>
    </row>
    <row r="9062" spans="1:1" ht="21">
      <c r="A9062" s="345"/>
    </row>
    <row r="9063" spans="1:1" ht="21">
      <c r="A9063" s="345"/>
    </row>
    <row r="9064" spans="1:1" ht="21">
      <c r="A9064" s="345"/>
    </row>
    <row r="9065" spans="1:1" ht="21">
      <c r="A9065" s="345"/>
    </row>
    <row r="9066" spans="1:1" ht="21">
      <c r="A9066" s="345"/>
    </row>
    <row r="9067" spans="1:1" ht="21">
      <c r="A9067" s="345"/>
    </row>
    <row r="9068" spans="1:1" ht="21">
      <c r="A9068" s="345"/>
    </row>
    <row r="9069" spans="1:1" ht="21">
      <c r="A9069" s="345"/>
    </row>
    <row r="9070" spans="1:1" ht="21">
      <c r="A9070" s="345"/>
    </row>
    <row r="9071" spans="1:1" ht="21">
      <c r="A9071" s="345"/>
    </row>
    <row r="9072" spans="1:1" ht="21">
      <c r="A9072" s="345"/>
    </row>
    <row r="9073" spans="1:1" ht="21">
      <c r="A9073" s="345"/>
    </row>
    <row r="9074" spans="1:1" ht="21">
      <c r="A9074" s="345"/>
    </row>
    <row r="9075" spans="1:1" ht="21">
      <c r="A9075" s="345"/>
    </row>
    <row r="9076" spans="1:1" ht="21">
      <c r="A9076" s="345"/>
    </row>
    <row r="9077" spans="1:1" ht="21">
      <c r="A9077" s="345"/>
    </row>
    <row r="9078" spans="1:1" ht="21">
      <c r="A9078" s="345"/>
    </row>
    <row r="9079" spans="1:1" ht="21">
      <c r="A9079" s="345"/>
    </row>
    <row r="9080" spans="1:1" ht="21">
      <c r="A9080" s="345"/>
    </row>
    <row r="9081" spans="1:1" ht="21">
      <c r="A9081" s="345"/>
    </row>
    <row r="9082" spans="1:1" ht="21">
      <c r="A9082" s="345"/>
    </row>
    <row r="9083" spans="1:1" ht="21">
      <c r="A9083" s="345"/>
    </row>
    <row r="9084" spans="1:1" ht="21">
      <c r="A9084" s="345"/>
    </row>
    <row r="9085" spans="1:1" ht="21">
      <c r="A9085" s="345"/>
    </row>
    <row r="9086" spans="1:1" ht="21">
      <c r="A9086" s="345"/>
    </row>
    <row r="9087" spans="1:1" ht="21">
      <c r="A9087" s="345"/>
    </row>
    <row r="9088" spans="1:1" ht="21">
      <c r="A9088" s="345"/>
    </row>
    <row r="9089" spans="1:1" ht="21">
      <c r="A9089" s="345"/>
    </row>
    <row r="9090" spans="1:1" ht="21">
      <c r="A9090" s="345"/>
    </row>
    <row r="9091" spans="1:1" ht="21">
      <c r="A9091" s="345"/>
    </row>
    <row r="9092" spans="1:1" ht="21">
      <c r="A9092" s="345"/>
    </row>
    <row r="9093" spans="1:1" ht="21">
      <c r="A9093" s="345"/>
    </row>
    <row r="9094" spans="1:1" ht="21">
      <c r="A9094" s="345"/>
    </row>
    <row r="9095" spans="1:1" ht="21">
      <c r="A9095" s="345"/>
    </row>
    <row r="9096" spans="1:1" ht="21">
      <c r="A9096" s="345"/>
    </row>
    <row r="9097" spans="1:1" ht="21">
      <c r="A9097" s="345"/>
    </row>
    <row r="9098" spans="1:1" ht="21">
      <c r="A9098" s="345"/>
    </row>
    <row r="9099" spans="1:1" ht="21">
      <c r="A9099" s="345"/>
    </row>
    <row r="9100" spans="1:1" ht="21">
      <c r="A9100" s="345"/>
    </row>
    <row r="9101" spans="1:1" ht="21">
      <c r="A9101" s="345"/>
    </row>
    <row r="9102" spans="1:1" ht="21">
      <c r="A9102" s="345"/>
    </row>
    <row r="9103" spans="1:1" ht="21">
      <c r="A9103" s="345"/>
    </row>
    <row r="9104" spans="1:1" ht="21">
      <c r="A9104" s="345"/>
    </row>
    <row r="9105" spans="1:1" ht="21">
      <c r="A9105" s="345"/>
    </row>
    <row r="9106" spans="1:1" ht="21">
      <c r="A9106" s="345"/>
    </row>
    <row r="9107" spans="1:1" ht="21">
      <c r="A9107" s="345"/>
    </row>
    <row r="9108" spans="1:1" ht="21">
      <c r="A9108" s="345"/>
    </row>
    <row r="9109" spans="1:1" ht="21">
      <c r="A9109" s="345"/>
    </row>
    <row r="9110" spans="1:1" ht="21">
      <c r="A9110" s="345"/>
    </row>
    <row r="9111" spans="1:1" ht="21">
      <c r="A9111" s="345"/>
    </row>
    <row r="9112" spans="1:1" ht="21">
      <c r="A9112" s="345"/>
    </row>
    <row r="9113" spans="1:1" ht="21">
      <c r="A9113" s="345"/>
    </row>
    <row r="9114" spans="1:1" ht="21">
      <c r="A9114" s="345"/>
    </row>
    <row r="9115" spans="1:1" ht="21">
      <c r="A9115" s="345"/>
    </row>
    <row r="9116" spans="1:1" ht="21">
      <c r="A9116" s="345"/>
    </row>
    <row r="9117" spans="1:1" ht="21">
      <c r="A9117" s="345"/>
    </row>
    <row r="9118" spans="1:1" ht="21">
      <c r="A9118" s="345"/>
    </row>
    <row r="9119" spans="1:1" ht="21">
      <c r="A9119" s="345"/>
    </row>
    <row r="9120" spans="1:1" ht="21">
      <c r="A9120" s="345"/>
    </row>
    <row r="9121" spans="1:1" ht="21">
      <c r="A9121" s="345"/>
    </row>
    <row r="9122" spans="1:1" ht="21">
      <c r="A9122" s="345"/>
    </row>
    <row r="9123" spans="1:1" ht="21">
      <c r="A9123" s="345"/>
    </row>
    <row r="9124" spans="1:1" ht="21">
      <c r="A9124" s="345"/>
    </row>
    <row r="9125" spans="1:1" ht="21">
      <c r="A9125" s="345"/>
    </row>
    <row r="9126" spans="1:1" ht="21">
      <c r="A9126" s="345"/>
    </row>
    <row r="9127" spans="1:1" ht="21">
      <c r="A9127" s="345"/>
    </row>
    <row r="9128" spans="1:1" ht="21">
      <c r="A9128" s="345"/>
    </row>
    <row r="9129" spans="1:1" ht="21">
      <c r="A9129" s="345"/>
    </row>
    <row r="9130" spans="1:1" ht="21">
      <c r="A9130" s="345"/>
    </row>
    <row r="9131" spans="1:1" ht="21">
      <c r="A9131" s="345"/>
    </row>
    <row r="9132" spans="1:1" ht="21">
      <c r="A9132" s="345"/>
    </row>
    <row r="9133" spans="1:1" ht="21">
      <c r="A9133" s="345"/>
    </row>
    <row r="9134" spans="1:1" ht="21">
      <c r="A9134" s="345"/>
    </row>
    <row r="9135" spans="1:1" ht="21">
      <c r="A9135" s="345"/>
    </row>
    <row r="9136" spans="1:1" ht="21">
      <c r="A9136" s="345"/>
    </row>
    <row r="9137" spans="1:1" ht="21">
      <c r="A9137" s="345"/>
    </row>
    <row r="9138" spans="1:1" ht="21">
      <c r="A9138" s="345"/>
    </row>
    <row r="9139" spans="1:1" ht="21">
      <c r="A9139" s="345"/>
    </row>
    <row r="9140" spans="1:1" ht="21">
      <c r="A9140" s="345"/>
    </row>
    <row r="9141" spans="1:1" ht="21">
      <c r="A9141" s="345"/>
    </row>
    <row r="9142" spans="1:1" ht="21">
      <c r="A9142" s="345"/>
    </row>
    <row r="9143" spans="1:1" ht="21">
      <c r="A9143" s="345"/>
    </row>
    <row r="9144" spans="1:1" ht="21">
      <c r="A9144" s="345"/>
    </row>
    <row r="9145" spans="1:1" ht="21">
      <c r="A9145" s="345"/>
    </row>
    <row r="9146" spans="1:1" ht="21">
      <c r="A9146" s="345"/>
    </row>
    <row r="9147" spans="1:1" ht="21">
      <c r="A9147" s="345"/>
    </row>
    <row r="9148" spans="1:1" ht="21">
      <c r="A9148" s="345"/>
    </row>
    <row r="9149" spans="1:1" ht="21">
      <c r="A9149" s="345"/>
    </row>
    <row r="9150" spans="1:1" ht="21">
      <c r="A9150" s="345"/>
    </row>
    <row r="9151" spans="1:1" ht="21">
      <c r="A9151" s="345"/>
    </row>
    <row r="9152" spans="1:1" ht="21">
      <c r="A9152" s="345"/>
    </row>
    <row r="9153" spans="1:1" ht="21">
      <c r="A9153" s="345"/>
    </row>
    <row r="9154" spans="1:1" ht="21">
      <c r="A9154" s="345"/>
    </row>
    <row r="9155" spans="1:1" ht="21">
      <c r="A9155" s="345"/>
    </row>
    <row r="9156" spans="1:1" ht="21">
      <c r="A9156" s="345"/>
    </row>
    <row r="9157" spans="1:1" ht="21">
      <c r="A9157" s="345"/>
    </row>
    <row r="9158" spans="1:1" ht="21">
      <c r="A9158" s="345"/>
    </row>
    <row r="9159" spans="1:1" ht="21">
      <c r="A9159" s="345"/>
    </row>
    <row r="9160" spans="1:1" ht="21">
      <c r="A9160" s="345"/>
    </row>
    <row r="9161" spans="1:1" ht="21">
      <c r="A9161" s="345"/>
    </row>
    <row r="9162" spans="1:1" ht="21">
      <c r="A9162" s="345"/>
    </row>
    <row r="9163" spans="1:1" ht="21">
      <c r="A9163" s="345"/>
    </row>
    <row r="9164" spans="1:1" ht="21">
      <c r="A9164" s="345"/>
    </row>
    <row r="9165" spans="1:1" ht="21">
      <c r="A9165" s="345"/>
    </row>
    <row r="9166" spans="1:1" ht="21">
      <c r="A9166" s="345"/>
    </row>
    <row r="9167" spans="1:1" ht="21">
      <c r="A9167" s="345"/>
    </row>
    <row r="9168" spans="1:1" ht="21">
      <c r="A9168" s="345"/>
    </row>
    <row r="9169" spans="1:1" ht="21">
      <c r="A9169" s="345"/>
    </row>
    <row r="9170" spans="1:1" ht="21">
      <c r="A9170" s="345"/>
    </row>
    <row r="9171" spans="1:1" ht="21">
      <c r="A9171" s="345"/>
    </row>
    <row r="9172" spans="1:1" ht="21">
      <c r="A9172" s="345"/>
    </row>
    <row r="9173" spans="1:1" ht="21">
      <c r="A9173" s="345"/>
    </row>
    <row r="9174" spans="1:1" ht="21">
      <c r="A9174" s="345"/>
    </row>
    <row r="9175" spans="1:1" ht="21">
      <c r="A9175" s="345"/>
    </row>
    <row r="9176" spans="1:1" ht="21">
      <c r="A9176" s="345"/>
    </row>
    <row r="9177" spans="1:1" ht="21">
      <c r="A9177" s="345"/>
    </row>
    <row r="9178" spans="1:1" ht="21">
      <c r="A9178" s="345"/>
    </row>
    <row r="9179" spans="1:1" ht="21">
      <c r="A9179" s="345"/>
    </row>
    <row r="9180" spans="1:1" ht="21">
      <c r="A9180" s="345"/>
    </row>
    <row r="9181" spans="1:1" ht="21">
      <c r="A9181" s="345"/>
    </row>
    <row r="9182" spans="1:1" ht="21">
      <c r="A9182" s="345"/>
    </row>
    <row r="9183" spans="1:1" ht="21">
      <c r="A9183" s="345"/>
    </row>
    <row r="9184" spans="1:1" ht="21">
      <c r="A9184" s="345"/>
    </row>
    <row r="9185" spans="1:1" ht="21">
      <c r="A9185" s="345"/>
    </row>
    <row r="9186" spans="1:1" ht="21">
      <c r="A9186" s="345"/>
    </row>
    <row r="9187" spans="1:1" ht="21">
      <c r="A9187" s="345"/>
    </row>
    <row r="9188" spans="1:1" ht="21">
      <c r="A9188" s="345"/>
    </row>
    <row r="9189" spans="1:1" ht="21">
      <c r="A9189" s="345"/>
    </row>
    <row r="9190" spans="1:1" ht="21">
      <c r="A9190" s="345"/>
    </row>
    <row r="9191" spans="1:1" ht="21">
      <c r="A9191" s="345"/>
    </row>
    <row r="9192" spans="1:1" ht="21">
      <c r="A9192" s="345"/>
    </row>
    <row r="9193" spans="1:1" ht="21">
      <c r="A9193" s="345"/>
    </row>
    <row r="9194" spans="1:1" ht="21">
      <c r="A9194" s="345"/>
    </row>
    <row r="9195" spans="1:1" ht="21">
      <c r="A9195" s="345"/>
    </row>
    <row r="9196" spans="1:1" ht="21">
      <c r="A9196" s="345"/>
    </row>
    <row r="9197" spans="1:1" ht="21">
      <c r="A9197" s="345"/>
    </row>
    <row r="9198" spans="1:1" ht="21">
      <c r="A9198" s="345"/>
    </row>
    <row r="9199" spans="1:1" ht="21">
      <c r="A9199" s="345"/>
    </row>
    <row r="9200" spans="1:1" ht="21">
      <c r="A9200" s="345"/>
    </row>
    <row r="9201" spans="1:1" ht="21">
      <c r="A9201" s="345"/>
    </row>
    <row r="9202" spans="1:1" ht="21">
      <c r="A9202" s="345"/>
    </row>
    <row r="9203" spans="1:1" ht="21">
      <c r="A9203" s="345"/>
    </row>
    <row r="9204" spans="1:1" ht="21">
      <c r="A9204" s="345"/>
    </row>
    <row r="9205" spans="1:1" ht="21">
      <c r="A9205" s="345"/>
    </row>
    <row r="9206" spans="1:1" ht="21">
      <c r="A9206" s="345"/>
    </row>
    <row r="9207" spans="1:1" ht="21">
      <c r="A9207" s="345"/>
    </row>
    <row r="9208" spans="1:1" ht="21">
      <c r="A9208" s="345"/>
    </row>
    <row r="9209" spans="1:1" ht="21">
      <c r="A9209" s="345"/>
    </row>
    <row r="9210" spans="1:1" ht="21">
      <c r="A9210" s="345"/>
    </row>
    <row r="9211" spans="1:1" ht="21">
      <c r="A9211" s="345"/>
    </row>
    <row r="9212" spans="1:1" ht="21">
      <c r="A9212" s="345"/>
    </row>
    <row r="9213" spans="1:1" ht="21">
      <c r="A9213" s="345"/>
    </row>
    <row r="9214" spans="1:1" ht="21">
      <c r="A9214" s="345"/>
    </row>
    <row r="9215" spans="1:1" ht="21">
      <c r="A9215" s="345"/>
    </row>
    <row r="9216" spans="1:1" ht="21">
      <c r="A9216" s="345"/>
    </row>
    <row r="9217" spans="1:1" ht="21">
      <c r="A9217" s="345"/>
    </row>
    <row r="9218" spans="1:1" ht="21">
      <c r="A9218" s="345"/>
    </row>
    <row r="9219" spans="1:1" ht="21">
      <c r="A9219" s="345"/>
    </row>
    <row r="9220" spans="1:1" ht="21">
      <c r="A9220" s="345"/>
    </row>
    <row r="9221" spans="1:1" ht="21">
      <c r="A9221" s="345"/>
    </row>
    <row r="9222" spans="1:1" ht="21">
      <c r="A9222" s="345"/>
    </row>
    <row r="9223" spans="1:1" ht="21">
      <c r="A9223" s="345"/>
    </row>
    <row r="9224" spans="1:1" ht="21">
      <c r="A9224" s="345"/>
    </row>
    <row r="9225" spans="1:1" ht="21">
      <c r="A9225" s="345"/>
    </row>
    <row r="9226" spans="1:1" ht="21">
      <c r="A9226" s="345"/>
    </row>
    <row r="9227" spans="1:1" ht="21">
      <c r="A9227" s="345"/>
    </row>
    <row r="9228" spans="1:1" ht="21">
      <c r="A9228" s="345"/>
    </row>
    <row r="9229" spans="1:1" ht="21">
      <c r="A9229" s="345"/>
    </row>
    <row r="9230" spans="1:1" ht="21">
      <c r="A9230" s="345"/>
    </row>
    <row r="9231" spans="1:1" ht="21">
      <c r="A9231" s="345"/>
    </row>
    <row r="9232" spans="1:1" ht="21">
      <c r="A9232" s="345"/>
    </row>
    <row r="9233" spans="1:1" ht="21">
      <c r="A9233" s="345"/>
    </row>
    <row r="9234" spans="1:1" ht="21">
      <c r="A9234" s="345"/>
    </row>
    <row r="9235" spans="1:1" ht="21">
      <c r="A9235" s="345"/>
    </row>
    <row r="9236" spans="1:1" ht="21">
      <c r="A9236" s="345"/>
    </row>
    <row r="9237" spans="1:1" ht="21">
      <c r="A9237" s="345"/>
    </row>
    <row r="9238" spans="1:1" ht="21">
      <c r="A9238" s="345"/>
    </row>
    <row r="9239" spans="1:1" ht="21">
      <c r="A9239" s="345"/>
    </row>
    <row r="9240" spans="1:1" ht="21">
      <c r="A9240" s="345"/>
    </row>
    <row r="9241" spans="1:1" ht="21">
      <c r="A9241" s="345"/>
    </row>
    <row r="9242" spans="1:1" ht="21">
      <c r="A9242" s="345"/>
    </row>
    <row r="9243" spans="1:1" ht="21">
      <c r="A9243" s="345"/>
    </row>
    <row r="9244" spans="1:1" ht="21">
      <c r="A9244" s="345"/>
    </row>
    <row r="9245" spans="1:1" ht="21">
      <c r="A9245" s="345"/>
    </row>
    <row r="9246" spans="1:1" ht="21">
      <c r="A9246" s="345"/>
    </row>
    <row r="9247" spans="1:1" ht="21">
      <c r="A9247" s="345"/>
    </row>
    <row r="9248" spans="1:1" ht="21">
      <c r="A9248" s="345"/>
    </row>
    <row r="9249" spans="1:1" ht="21">
      <c r="A9249" s="345"/>
    </row>
    <row r="9250" spans="1:1" ht="21">
      <c r="A9250" s="345"/>
    </row>
    <row r="9251" spans="1:1" ht="21">
      <c r="A9251" s="345"/>
    </row>
    <row r="9252" spans="1:1" ht="21">
      <c r="A9252" s="345"/>
    </row>
    <row r="9253" spans="1:1" ht="21">
      <c r="A9253" s="345"/>
    </row>
    <row r="9254" spans="1:1" ht="21">
      <c r="A9254" s="345"/>
    </row>
    <row r="9255" spans="1:1" ht="21">
      <c r="A9255" s="345"/>
    </row>
    <row r="9256" spans="1:1" ht="21">
      <c r="A9256" s="345"/>
    </row>
    <row r="9257" spans="1:1" ht="21">
      <c r="A9257" s="345"/>
    </row>
    <row r="9258" spans="1:1" ht="21">
      <c r="A9258" s="345"/>
    </row>
    <row r="9259" spans="1:1" ht="21">
      <c r="A9259" s="345"/>
    </row>
    <row r="9260" spans="1:1" ht="21">
      <c r="A9260" s="345"/>
    </row>
    <row r="9261" spans="1:1" ht="21">
      <c r="A9261" s="345"/>
    </row>
    <row r="9262" spans="1:1" ht="21">
      <c r="A9262" s="345"/>
    </row>
    <row r="9263" spans="1:1" ht="21">
      <c r="A9263" s="345"/>
    </row>
    <row r="9264" spans="1:1" ht="21">
      <c r="A9264" s="345"/>
    </row>
    <row r="9265" spans="1:1" ht="21">
      <c r="A9265" s="345"/>
    </row>
    <row r="9266" spans="1:1" ht="21">
      <c r="A9266" s="345"/>
    </row>
    <row r="9267" spans="1:1" ht="21">
      <c r="A9267" s="345"/>
    </row>
    <row r="9268" spans="1:1" ht="21">
      <c r="A9268" s="345"/>
    </row>
    <row r="9269" spans="1:1" ht="21">
      <c r="A9269" s="345"/>
    </row>
    <row r="9270" spans="1:1" ht="21">
      <c r="A9270" s="345"/>
    </row>
    <row r="9271" spans="1:1" ht="21">
      <c r="A9271" s="345"/>
    </row>
    <row r="9272" spans="1:1" ht="21">
      <c r="A9272" s="345"/>
    </row>
    <row r="9273" spans="1:1" ht="21">
      <c r="A9273" s="345"/>
    </row>
    <row r="9274" spans="1:1" ht="21">
      <c r="A9274" s="345"/>
    </row>
    <row r="9275" spans="1:1" ht="21">
      <c r="A9275" s="345"/>
    </row>
    <row r="9276" spans="1:1" ht="21">
      <c r="A9276" s="345"/>
    </row>
    <row r="9277" spans="1:1" ht="21">
      <c r="A9277" s="345"/>
    </row>
    <row r="9278" spans="1:1" ht="21">
      <c r="A9278" s="345"/>
    </row>
    <row r="9279" spans="1:1" ht="21">
      <c r="A9279" s="345"/>
    </row>
    <row r="9280" spans="1:1" ht="21">
      <c r="A9280" s="345"/>
    </row>
    <row r="9281" spans="1:1" ht="21">
      <c r="A9281" s="345"/>
    </row>
    <row r="9282" spans="1:1" ht="21">
      <c r="A9282" s="345"/>
    </row>
    <row r="9283" spans="1:1" ht="21">
      <c r="A9283" s="345"/>
    </row>
    <row r="9284" spans="1:1" ht="21">
      <c r="A9284" s="345"/>
    </row>
    <row r="9285" spans="1:1" ht="21">
      <c r="A9285" s="345"/>
    </row>
    <row r="9286" spans="1:1" ht="21">
      <c r="A9286" s="345"/>
    </row>
    <row r="9287" spans="1:1" ht="21">
      <c r="A9287" s="345"/>
    </row>
    <row r="9288" spans="1:1" ht="21">
      <c r="A9288" s="345"/>
    </row>
    <row r="9289" spans="1:1" ht="21">
      <c r="A9289" s="345"/>
    </row>
    <row r="9290" spans="1:1" ht="21">
      <c r="A9290" s="345"/>
    </row>
    <row r="9291" spans="1:1" ht="21">
      <c r="A9291" s="345"/>
    </row>
    <row r="9292" spans="1:1" ht="21">
      <c r="A9292" s="345"/>
    </row>
    <row r="9293" spans="1:1" ht="21">
      <c r="A9293" s="345"/>
    </row>
    <row r="9294" spans="1:1" ht="21">
      <c r="A9294" s="345"/>
    </row>
    <row r="9295" spans="1:1" ht="21">
      <c r="A9295" s="345"/>
    </row>
    <row r="9296" spans="1:1" ht="21">
      <c r="A9296" s="345"/>
    </row>
    <row r="9297" spans="1:1" ht="21">
      <c r="A9297" s="345"/>
    </row>
    <row r="9298" spans="1:1" ht="21">
      <c r="A9298" s="345"/>
    </row>
    <row r="9299" spans="1:1" ht="21">
      <c r="A9299" s="345"/>
    </row>
    <row r="9300" spans="1:1" ht="21">
      <c r="A9300" s="345"/>
    </row>
    <row r="9301" spans="1:1" ht="21">
      <c r="A9301" s="345"/>
    </row>
    <row r="9302" spans="1:1" ht="21">
      <c r="A9302" s="345"/>
    </row>
    <row r="9303" spans="1:1" ht="21">
      <c r="A9303" s="345"/>
    </row>
    <row r="9304" spans="1:1" ht="21">
      <c r="A9304" s="345"/>
    </row>
    <row r="9305" spans="1:1" ht="21">
      <c r="A9305" s="345"/>
    </row>
    <row r="9306" spans="1:1" ht="21">
      <c r="A9306" s="345"/>
    </row>
    <row r="9307" spans="1:1" ht="21">
      <c r="A9307" s="345"/>
    </row>
    <row r="9308" spans="1:1" ht="21">
      <c r="A9308" s="345"/>
    </row>
    <row r="9309" spans="1:1" ht="21">
      <c r="A9309" s="345"/>
    </row>
    <row r="9310" spans="1:1" ht="21">
      <c r="A9310" s="345"/>
    </row>
    <row r="9311" spans="1:1" ht="21">
      <c r="A9311" s="345"/>
    </row>
    <row r="9312" spans="1:1" ht="21">
      <c r="A9312" s="345"/>
    </row>
    <row r="9313" spans="1:1" ht="21">
      <c r="A9313" s="345"/>
    </row>
    <row r="9314" spans="1:1" ht="21">
      <c r="A9314" s="345"/>
    </row>
    <row r="9315" spans="1:1" ht="21">
      <c r="A9315" s="345"/>
    </row>
    <row r="9316" spans="1:1" ht="21">
      <c r="A9316" s="345"/>
    </row>
    <row r="9317" spans="1:1" ht="21">
      <c r="A9317" s="345"/>
    </row>
    <row r="9318" spans="1:1" ht="21">
      <c r="A9318" s="345"/>
    </row>
    <row r="9319" spans="1:1" ht="21">
      <c r="A9319" s="345"/>
    </row>
    <row r="9320" spans="1:1" ht="21">
      <c r="A9320" s="345"/>
    </row>
    <row r="9321" spans="1:1" ht="21">
      <c r="A9321" s="345"/>
    </row>
    <row r="9322" spans="1:1" ht="21">
      <c r="A9322" s="345"/>
    </row>
    <row r="9323" spans="1:1" ht="21">
      <c r="A9323" s="345"/>
    </row>
    <row r="9324" spans="1:1" ht="21">
      <c r="A9324" s="345"/>
    </row>
    <row r="9325" spans="1:1" ht="21">
      <c r="A9325" s="345"/>
    </row>
    <row r="9326" spans="1:1" ht="21">
      <c r="A9326" s="345"/>
    </row>
    <row r="9327" spans="1:1" ht="21">
      <c r="A9327" s="345"/>
    </row>
    <row r="9328" spans="1:1" ht="21">
      <c r="A9328" s="345"/>
    </row>
    <row r="9329" spans="1:1" ht="21">
      <c r="A9329" s="345"/>
    </row>
    <row r="9330" spans="1:1" ht="21">
      <c r="A9330" s="345"/>
    </row>
    <row r="9331" spans="1:1" ht="21">
      <c r="A9331" s="345"/>
    </row>
    <row r="9332" spans="1:1" ht="21">
      <c r="A9332" s="345"/>
    </row>
    <row r="9333" spans="1:1" ht="21">
      <c r="A9333" s="345"/>
    </row>
    <row r="9334" spans="1:1" ht="21">
      <c r="A9334" s="345"/>
    </row>
    <row r="9335" spans="1:1" ht="21">
      <c r="A9335" s="345"/>
    </row>
    <row r="9336" spans="1:1" ht="21">
      <c r="A9336" s="345"/>
    </row>
    <row r="9337" spans="1:1" ht="21">
      <c r="A9337" s="345"/>
    </row>
    <row r="9338" spans="1:1" ht="21">
      <c r="A9338" s="345"/>
    </row>
    <row r="9339" spans="1:1" ht="21">
      <c r="A9339" s="345"/>
    </row>
    <row r="9340" spans="1:1" ht="21">
      <c r="A9340" s="345"/>
    </row>
    <row r="9341" spans="1:1" ht="21">
      <c r="A9341" s="345"/>
    </row>
    <row r="9342" spans="1:1" ht="21">
      <c r="A9342" s="345"/>
    </row>
    <row r="9343" spans="1:1" ht="21">
      <c r="A9343" s="345"/>
    </row>
    <row r="9344" spans="1:1" ht="21">
      <c r="A9344" s="345"/>
    </row>
    <row r="9345" spans="1:1" ht="21">
      <c r="A9345" s="345"/>
    </row>
    <row r="9346" spans="1:1" ht="21">
      <c r="A9346" s="345"/>
    </row>
    <row r="9347" spans="1:1" ht="21">
      <c r="A9347" s="345"/>
    </row>
    <row r="9348" spans="1:1" ht="21">
      <c r="A9348" s="345"/>
    </row>
    <row r="9349" spans="1:1" ht="21">
      <c r="A9349" s="345"/>
    </row>
    <row r="9350" spans="1:1" ht="21">
      <c r="A9350" s="345"/>
    </row>
    <row r="9351" spans="1:1" ht="21">
      <c r="A9351" s="345"/>
    </row>
    <row r="9352" spans="1:1" ht="21">
      <c r="A9352" s="345"/>
    </row>
    <row r="9353" spans="1:1" ht="21">
      <c r="A9353" s="345"/>
    </row>
    <row r="9354" spans="1:1" ht="21">
      <c r="A9354" s="345"/>
    </row>
    <row r="9355" spans="1:1" ht="21">
      <c r="A9355" s="345"/>
    </row>
    <row r="9356" spans="1:1" ht="21">
      <c r="A9356" s="345"/>
    </row>
    <row r="9357" spans="1:1" ht="21">
      <c r="A9357" s="345"/>
    </row>
    <row r="9358" spans="1:1" ht="21">
      <c r="A9358" s="345"/>
    </row>
    <row r="9359" spans="1:1" ht="21">
      <c r="A9359" s="345"/>
    </row>
    <row r="9360" spans="1:1" ht="21">
      <c r="A9360" s="345"/>
    </row>
    <row r="9361" spans="1:1" ht="21">
      <c r="A9361" s="345"/>
    </row>
    <row r="9362" spans="1:1" ht="21">
      <c r="A9362" s="345"/>
    </row>
    <row r="9363" spans="1:1" ht="21">
      <c r="A9363" s="345"/>
    </row>
    <row r="9364" spans="1:1" ht="21">
      <c r="A9364" s="345"/>
    </row>
    <row r="9365" spans="1:1" ht="21">
      <c r="A9365" s="345"/>
    </row>
    <row r="9366" spans="1:1" ht="21">
      <c r="A9366" s="345"/>
    </row>
    <row r="9367" spans="1:1" ht="21">
      <c r="A9367" s="345"/>
    </row>
    <row r="9368" spans="1:1" ht="21">
      <c r="A9368" s="345"/>
    </row>
    <row r="9369" spans="1:1" ht="21">
      <c r="A9369" s="345"/>
    </row>
    <row r="9370" spans="1:1" ht="21">
      <c r="A9370" s="345"/>
    </row>
    <row r="9371" spans="1:1" ht="21">
      <c r="A9371" s="345"/>
    </row>
    <row r="9372" spans="1:1" ht="21">
      <c r="A9372" s="345"/>
    </row>
    <row r="9373" spans="1:1" ht="21">
      <c r="A9373" s="345"/>
    </row>
    <row r="9374" spans="1:1" ht="21">
      <c r="A9374" s="345"/>
    </row>
    <row r="9375" spans="1:1" ht="21">
      <c r="A9375" s="345"/>
    </row>
    <row r="9376" spans="1:1" ht="21">
      <c r="A9376" s="345"/>
    </row>
    <row r="9377" spans="1:1" ht="21">
      <c r="A9377" s="345"/>
    </row>
    <row r="9378" spans="1:1" ht="21">
      <c r="A9378" s="345"/>
    </row>
    <row r="9379" spans="1:1" ht="21">
      <c r="A9379" s="345"/>
    </row>
    <row r="9380" spans="1:1" ht="21">
      <c r="A9380" s="345"/>
    </row>
    <row r="9381" spans="1:1" ht="21">
      <c r="A9381" s="345"/>
    </row>
    <row r="9382" spans="1:1" ht="21">
      <c r="A9382" s="345"/>
    </row>
    <row r="9383" spans="1:1" ht="21">
      <c r="A9383" s="345"/>
    </row>
    <row r="9384" spans="1:1" ht="21">
      <c r="A9384" s="345"/>
    </row>
    <row r="9385" spans="1:1" ht="21">
      <c r="A9385" s="345"/>
    </row>
    <row r="9386" spans="1:1" ht="21">
      <c r="A9386" s="345"/>
    </row>
    <row r="9387" spans="1:1" ht="21">
      <c r="A9387" s="345"/>
    </row>
    <row r="9388" spans="1:1" ht="21">
      <c r="A9388" s="345"/>
    </row>
    <row r="9389" spans="1:1" ht="21">
      <c r="A9389" s="345"/>
    </row>
    <row r="9390" spans="1:1" ht="21">
      <c r="A9390" s="345"/>
    </row>
    <row r="9391" spans="1:1" ht="21">
      <c r="A9391" s="345"/>
    </row>
    <row r="9392" spans="1:1" ht="21">
      <c r="A9392" s="345"/>
    </row>
    <row r="9393" spans="1:1" ht="21">
      <c r="A9393" s="345"/>
    </row>
    <row r="9394" spans="1:1" ht="21">
      <c r="A9394" s="345"/>
    </row>
    <row r="9395" spans="1:1" ht="21">
      <c r="A9395" s="345"/>
    </row>
    <row r="9396" spans="1:1" ht="21">
      <c r="A9396" s="345"/>
    </row>
    <row r="9397" spans="1:1" ht="21">
      <c r="A9397" s="345"/>
    </row>
    <row r="9398" spans="1:1" ht="21">
      <c r="A9398" s="345"/>
    </row>
    <row r="9399" spans="1:1" ht="21">
      <c r="A9399" s="345"/>
    </row>
    <row r="9400" spans="1:1" ht="21">
      <c r="A9400" s="345"/>
    </row>
    <row r="9401" spans="1:1" ht="21">
      <c r="A9401" s="345"/>
    </row>
    <row r="9402" spans="1:1" ht="21">
      <c r="A9402" s="345"/>
    </row>
    <row r="9403" spans="1:1" ht="21">
      <c r="A9403" s="345"/>
    </row>
    <row r="9404" spans="1:1" ht="21">
      <c r="A9404" s="345"/>
    </row>
    <row r="9405" spans="1:1" ht="21">
      <c r="A9405" s="345"/>
    </row>
    <row r="9406" spans="1:1" ht="21">
      <c r="A9406" s="345"/>
    </row>
    <row r="9407" spans="1:1" ht="21">
      <c r="A9407" s="345"/>
    </row>
    <row r="9408" spans="1:1" ht="21">
      <c r="A9408" s="345"/>
    </row>
    <row r="9409" spans="1:1" ht="21">
      <c r="A9409" s="345"/>
    </row>
    <row r="9410" spans="1:1" ht="21">
      <c r="A9410" s="345"/>
    </row>
    <row r="9411" spans="1:1" ht="21">
      <c r="A9411" s="345"/>
    </row>
    <row r="9412" spans="1:1" ht="21">
      <c r="A9412" s="345"/>
    </row>
    <row r="9413" spans="1:1" ht="21">
      <c r="A9413" s="345"/>
    </row>
    <row r="9414" spans="1:1" ht="21">
      <c r="A9414" s="345"/>
    </row>
    <row r="9415" spans="1:1" ht="21">
      <c r="A9415" s="345"/>
    </row>
    <row r="9416" spans="1:1" ht="21">
      <c r="A9416" s="345"/>
    </row>
    <row r="9417" spans="1:1" ht="21">
      <c r="A9417" s="345"/>
    </row>
    <row r="9418" spans="1:1" ht="21">
      <c r="A9418" s="345"/>
    </row>
    <row r="9419" spans="1:1" ht="21">
      <c r="A9419" s="345"/>
    </row>
    <row r="9420" spans="1:1" ht="21">
      <c r="A9420" s="345"/>
    </row>
    <row r="9421" spans="1:1" ht="21">
      <c r="A9421" s="345"/>
    </row>
    <row r="9422" spans="1:1" ht="21">
      <c r="A9422" s="345"/>
    </row>
    <row r="9423" spans="1:1" ht="21">
      <c r="A9423" s="345"/>
    </row>
    <row r="9424" spans="1:1" ht="21">
      <c r="A9424" s="345"/>
    </row>
    <row r="9425" spans="1:1" ht="21">
      <c r="A9425" s="345"/>
    </row>
    <row r="9426" spans="1:1" ht="21">
      <c r="A9426" s="345"/>
    </row>
    <row r="9427" spans="1:1" ht="21">
      <c r="A9427" s="345"/>
    </row>
    <row r="9428" spans="1:1" ht="21">
      <c r="A9428" s="345"/>
    </row>
    <row r="9429" spans="1:1" ht="21">
      <c r="A9429" s="345"/>
    </row>
    <row r="9430" spans="1:1" ht="21">
      <c r="A9430" s="345"/>
    </row>
    <row r="9431" spans="1:1" ht="21">
      <c r="A9431" s="345"/>
    </row>
    <row r="9432" spans="1:1" ht="21">
      <c r="A9432" s="345"/>
    </row>
    <row r="9433" spans="1:1" ht="21">
      <c r="A9433" s="345"/>
    </row>
    <row r="9434" spans="1:1" ht="21">
      <c r="A9434" s="345"/>
    </row>
    <row r="9435" spans="1:1" ht="21">
      <c r="A9435" s="345"/>
    </row>
    <row r="9436" spans="1:1" ht="21">
      <c r="A9436" s="345"/>
    </row>
    <row r="9437" spans="1:1" ht="21">
      <c r="A9437" s="345"/>
    </row>
    <row r="9438" spans="1:1" ht="21">
      <c r="A9438" s="345"/>
    </row>
    <row r="9439" spans="1:1" ht="21">
      <c r="A9439" s="345"/>
    </row>
    <row r="9440" spans="1:1" ht="21">
      <c r="A9440" s="345"/>
    </row>
    <row r="9441" spans="1:1" ht="21">
      <c r="A9441" s="345"/>
    </row>
    <row r="9442" spans="1:1" ht="21">
      <c r="A9442" s="345"/>
    </row>
    <row r="9443" spans="1:1" ht="21">
      <c r="A9443" s="345"/>
    </row>
    <row r="9444" spans="1:1" ht="21">
      <c r="A9444" s="345"/>
    </row>
    <row r="9445" spans="1:1" ht="21">
      <c r="A9445" s="345"/>
    </row>
    <row r="9446" spans="1:1" ht="21">
      <c r="A9446" s="345"/>
    </row>
    <row r="9447" spans="1:1" ht="21">
      <c r="A9447" s="345"/>
    </row>
    <row r="9448" spans="1:1" ht="21">
      <c r="A9448" s="345"/>
    </row>
    <row r="9449" spans="1:1" ht="21">
      <c r="A9449" s="345"/>
    </row>
    <row r="9450" spans="1:1" ht="21">
      <c r="A9450" s="345"/>
    </row>
    <row r="9451" spans="1:1" ht="21">
      <c r="A9451" s="345"/>
    </row>
    <row r="9452" spans="1:1" ht="21">
      <c r="A9452" s="345"/>
    </row>
    <row r="9453" spans="1:1" ht="21">
      <c r="A9453" s="345"/>
    </row>
    <row r="9454" spans="1:1" ht="21">
      <c r="A9454" s="345"/>
    </row>
    <row r="9455" spans="1:1" ht="21">
      <c r="A9455" s="345"/>
    </row>
    <row r="9456" spans="1:1" ht="21">
      <c r="A9456" s="345"/>
    </row>
    <row r="9457" spans="1:1" ht="21">
      <c r="A9457" s="345"/>
    </row>
    <row r="9458" spans="1:1" ht="21">
      <c r="A9458" s="345"/>
    </row>
    <row r="9459" spans="1:1" ht="21">
      <c r="A9459" s="345"/>
    </row>
    <row r="9460" spans="1:1" ht="21">
      <c r="A9460" s="345"/>
    </row>
    <row r="9461" spans="1:1" ht="21">
      <c r="A9461" s="345"/>
    </row>
    <row r="9462" spans="1:1" ht="21">
      <c r="A9462" s="345"/>
    </row>
    <row r="9463" spans="1:1" ht="21">
      <c r="A9463" s="345"/>
    </row>
    <row r="9464" spans="1:1" ht="21">
      <c r="A9464" s="345"/>
    </row>
    <row r="9465" spans="1:1" ht="21">
      <c r="A9465" s="345"/>
    </row>
    <row r="9466" spans="1:1" ht="21">
      <c r="A9466" s="345"/>
    </row>
    <row r="9467" spans="1:1" ht="21">
      <c r="A9467" s="345"/>
    </row>
    <row r="9468" spans="1:1" ht="21">
      <c r="A9468" s="345"/>
    </row>
    <row r="9469" spans="1:1" ht="21">
      <c r="A9469" s="345"/>
    </row>
    <row r="9470" spans="1:1" ht="21">
      <c r="A9470" s="345"/>
    </row>
    <row r="9471" spans="1:1" ht="21">
      <c r="A9471" s="345"/>
    </row>
    <row r="9472" spans="1:1" ht="21">
      <c r="A9472" s="345"/>
    </row>
    <row r="9473" spans="1:1" ht="21">
      <c r="A9473" s="345"/>
    </row>
    <row r="9474" spans="1:1" ht="21">
      <c r="A9474" s="345"/>
    </row>
    <row r="9475" spans="1:1" ht="21">
      <c r="A9475" s="345"/>
    </row>
    <row r="9476" spans="1:1" ht="21">
      <c r="A9476" s="345"/>
    </row>
    <row r="9477" spans="1:1" ht="21">
      <c r="A9477" s="345"/>
    </row>
    <row r="9478" spans="1:1" ht="21">
      <c r="A9478" s="345"/>
    </row>
    <row r="9479" spans="1:1" ht="21">
      <c r="A9479" s="345"/>
    </row>
    <row r="9480" spans="1:1" ht="21">
      <c r="A9480" s="345"/>
    </row>
    <row r="9481" spans="1:1" ht="21">
      <c r="A9481" s="345"/>
    </row>
    <row r="9482" spans="1:1" ht="21">
      <c r="A9482" s="345"/>
    </row>
    <row r="9483" spans="1:1" ht="21">
      <c r="A9483" s="345"/>
    </row>
    <row r="9484" spans="1:1" ht="21">
      <c r="A9484" s="345"/>
    </row>
    <row r="9485" spans="1:1" ht="21">
      <c r="A9485" s="345"/>
    </row>
    <row r="9486" spans="1:1" ht="21">
      <c r="A9486" s="345"/>
    </row>
    <row r="9487" spans="1:1" ht="21">
      <c r="A9487" s="345"/>
    </row>
    <row r="9488" spans="1:1" ht="21">
      <c r="A9488" s="345"/>
    </row>
    <row r="9489" spans="1:1" ht="21">
      <c r="A9489" s="345"/>
    </row>
    <row r="9490" spans="1:1" ht="21">
      <c r="A9490" s="345"/>
    </row>
    <row r="9491" spans="1:1" ht="21">
      <c r="A9491" s="345"/>
    </row>
    <row r="9492" spans="1:1" ht="21">
      <c r="A9492" s="345"/>
    </row>
    <row r="9493" spans="1:1" ht="21">
      <c r="A9493" s="345"/>
    </row>
    <row r="9494" spans="1:1" ht="21">
      <c r="A9494" s="345"/>
    </row>
    <row r="9495" spans="1:1" ht="21">
      <c r="A9495" s="345"/>
    </row>
    <row r="9496" spans="1:1" ht="21">
      <c r="A9496" s="345"/>
    </row>
    <row r="9497" spans="1:1" ht="21">
      <c r="A9497" s="345"/>
    </row>
    <row r="9498" spans="1:1" ht="21">
      <c r="A9498" s="345"/>
    </row>
    <row r="9499" spans="1:1" ht="21">
      <c r="A9499" s="345"/>
    </row>
    <row r="9500" spans="1:1" ht="21">
      <c r="A9500" s="345"/>
    </row>
    <row r="9501" spans="1:1" ht="21">
      <c r="A9501" s="345"/>
    </row>
    <row r="9502" spans="1:1" ht="21">
      <c r="A9502" s="345"/>
    </row>
    <row r="9503" spans="1:1" ht="21">
      <c r="A9503" s="345"/>
    </row>
    <row r="9504" spans="1:1" ht="21">
      <c r="A9504" s="345"/>
    </row>
    <row r="9505" spans="1:1" ht="21">
      <c r="A9505" s="345"/>
    </row>
    <row r="9506" spans="1:1" ht="21">
      <c r="A9506" s="345"/>
    </row>
    <row r="9507" spans="1:1" ht="21">
      <c r="A9507" s="345"/>
    </row>
    <row r="9508" spans="1:1" ht="21">
      <c r="A9508" s="345"/>
    </row>
    <row r="9509" spans="1:1" ht="21">
      <c r="A9509" s="345"/>
    </row>
    <row r="9510" spans="1:1" ht="21">
      <c r="A9510" s="345"/>
    </row>
    <row r="9511" spans="1:1" ht="21">
      <c r="A9511" s="345"/>
    </row>
    <row r="9512" spans="1:1" ht="21">
      <c r="A9512" s="345"/>
    </row>
    <row r="9513" spans="1:1" ht="21">
      <c r="A9513" s="345"/>
    </row>
    <row r="9514" spans="1:1" ht="21">
      <c r="A9514" s="345"/>
    </row>
    <row r="9515" spans="1:1" ht="21">
      <c r="A9515" s="345"/>
    </row>
    <row r="9516" spans="1:1" ht="21">
      <c r="A9516" s="345"/>
    </row>
    <row r="9517" spans="1:1" ht="21">
      <c r="A9517" s="345"/>
    </row>
    <row r="9518" spans="1:1" ht="21">
      <c r="A9518" s="345"/>
    </row>
    <row r="9519" spans="1:1" ht="21">
      <c r="A9519" s="345"/>
    </row>
    <row r="9520" spans="1:1" ht="21">
      <c r="A9520" s="345"/>
    </row>
    <row r="9521" spans="1:1" ht="21">
      <c r="A9521" s="345"/>
    </row>
    <row r="9522" spans="1:1" ht="21">
      <c r="A9522" s="345"/>
    </row>
    <row r="9523" spans="1:1" ht="21">
      <c r="A9523" s="345"/>
    </row>
    <row r="9524" spans="1:1" ht="21">
      <c r="A9524" s="345"/>
    </row>
    <row r="9525" spans="1:1" ht="21">
      <c r="A9525" s="345"/>
    </row>
    <row r="9526" spans="1:1" ht="21">
      <c r="A9526" s="345"/>
    </row>
    <row r="9527" spans="1:1" ht="21">
      <c r="A9527" s="345"/>
    </row>
    <row r="9528" spans="1:1" ht="21">
      <c r="A9528" s="345"/>
    </row>
    <row r="9529" spans="1:1" ht="21">
      <c r="A9529" s="345"/>
    </row>
    <row r="9530" spans="1:1" ht="21">
      <c r="A9530" s="345"/>
    </row>
    <row r="9531" spans="1:1" ht="21">
      <c r="A9531" s="345"/>
    </row>
    <row r="9532" spans="1:1" ht="21">
      <c r="A9532" s="345"/>
    </row>
    <row r="9533" spans="1:1" ht="21">
      <c r="A9533" s="345"/>
    </row>
    <row r="9534" spans="1:1" ht="21">
      <c r="A9534" s="345"/>
    </row>
    <row r="9535" spans="1:1" ht="21">
      <c r="A9535" s="345"/>
    </row>
    <row r="9536" spans="1:1" ht="21">
      <c r="A9536" s="345"/>
    </row>
    <row r="9537" spans="1:1" ht="21">
      <c r="A9537" s="345"/>
    </row>
    <row r="9538" spans="1:1" ht="21">
      <c r="A9538" s="345"/>
    </row>
    <row r="9539" spans="1:1" ht="21">
      <c r="A9539" s="345"/>
    </row>
    <row r="9540" spans="1:1" ht="21">
      <c r="A9540" s="345"/>
    </row>
    <row r="9541" spans="1:1" ht="21">
      <c r="A9541" s="345"/>
    </row>
    <row r="9542" spans="1:1" ht="21">
      <c r="A9542" s="345"/>
    </row>
    <row r="9543" spans="1:1" ht="21">
      <c r="A9543" s="345"/>
    </row>
    <row r="9544" spans="1:1" ht="21">
      <c r="A9544" s="345"/>
    </row>
    <row r="9545" spans="1:1" ht="21">
      <c r="A9545" s="345"/>
    </row>
    <row r="9546" spans="1:1" ht="21">
      <c r="A9546" s="345"/>
    </row>
    <row r="9547" spans="1:1" ht="21">
      <c r="A9547" s="345"/>
    </row>
    <row r="9548" spans="1:1" ht="21">
      <c r="A9548" s="345"/>
    </row>
    <row r="9549" spans="1:1" ht="21">
      <c r="A9549" s="345"/>
    </row>
    <row r="9550" spans="1:1" ht="21">
      <c r="A9550" s="345"/>
    </row>
    <row r="9551" spans="1:1" ht="21">
      <c r="A9551" s="345"/>
    </row>
    <row r="9552" spans="1:1" ht="21">
      <c r="A9552" s="345"/>
    </row>
    <row r="9553" spans="1:1" ht="21">
      <c r="A9553" s="345"/>
    </row>
    <row r="9554" spans="1:1" ht="21">
      <c r="A9554" s="345"/>
    </row>
    <row r="9555" spans="1:1" ht="21">
      <c r="A9555" s="345"/>
    </row>
    <row r="9556" spans="1:1" ht="21">
      <c r="A9556" s="345"/>
    </row>
    <row r="9557" spans="1:1" ht="21">
      <c r="A9557" s="345"/>
    </row>
    <row r="9558" spans="1:1" ht="21">
      <c r="A9558" s="345"/>
    </row>
    <row r="9559" spans="1:1" ht="21">
      <c r="A9559" s="345"/>
    </row>
    <row r="9560" spans="1:1" ht="21">
      <c r="A9560" s="345"/>
    </row>
    <row r="9561" spans="1:1" ht="21">
      <c r="A9561" s="345"/>
    </row>
    <row r="9562" spans="1:1" ht="21">
      <c r="A9562" s="345"/>
    </row>
    <row r="9563" spans="1:1" ht="21">
      <c r="A9563" s="345"/>
    </row>
    <row r="9564" spans="1:1" ht="21">
      <c r="A9564" s="345"/>
    </row>
    <row r="9565" spans="1:1" ht="21">
      <c r="A9565" s="345"/>
    </row>
    <row r="9566" spans="1:1" ht="21">
      <c r="A9566" s="345"/>
    </row>
    <row r="9567" spans="1:1" ht="21">
      <c r="A9567" s="345"/>
    </row>
    <row r="9568" spans="1:1" ht="21">
      <c r="A9568" s="345"/>
    </row>
    <row r="9569" spans="1:1" ht="21">
      <c r="A9569" s="345"/>
    </row>
    <row r="9570" spans="1:1" ht="21">
      <c r="A9570" s="345"/>
    </row>
    <row r="9571" spans="1:1" ht="21">
      <c r="A9571" s="345"/>
    </row>
    <row r="9572" spans="1:1" ht="21">
      <c r="A9572" s="345"/>
    </row>
    <row r="9573" spans="1:1" ht="21">
      <c r="A9573" s="345"/>
    </row>
    <row r="9574" spans="1:1" ht="21">
      <c r="A9574" s="345"/>
    </row>
    <row r="9575" spans="1:1" ht="21">
      <c r="A9575" s="345"/>
    </row>
    <row r="9576" spans="1:1" ht="21">
      <c r="A9576" s="345"/>
    </row>
    <row r="9577" spans="1:1" ht="21">
      <c r="A9577" s="345"/>
    </row>
    <row r="9578" spans="1:1" ht="21">
      <c r="A9578" s="345"/>
    </row>
    <row r="9579" spans="1:1" ht="21">
      <c r="A9579" s="345"/>
    </row>
    <row r="9580" spans="1:1" ht="21">
      <c r="A9580" s="345"/>
    </row>
    <row r="9581" spans="1:1" ht="21">
      <c r="A9581" s="345"/>
    </row>
    <row r="9582" spans="1:1" ht="21">
      <c r="A9582" s="345"/>
    </row>
    <row r="9583" spans="1:1" ht="21">
      <c r="A9583" s="345"/>
    </row>
    <row r="9584" spans="1:1" ht="21">
      <c r="A9584" s="345"/>
    </row>
    <row r="9585" spans="1:1" ht="21">
      <c r="A9585" s="345"/>
    </row>
    <row r="9586" spans="1:1" ht="21">
      <c r="A9586" s="345"/>
    </row>
    <row r="9587" spans="1:1" ht="21">
      <c r="A9587" s="345"/>
    </row>
    <row r="9588" spans="1:1" ht="21">
      <c r="A9588" s="345"/>
    </row>
    <row r="9589" spans="1:1" ht="21">
      <c r="A9589" s="345"/>
    </row>
    <row r="9590" spans="1:1" ht="21">
      <c r="A9590" s="345"/>
    </row>
    <row r="9591" spans="1:1" ht="21">
      <c r="A9591" s="345"/>
    </row>
    <row r="9592" spans="1:1" ht="21">
      <c r="A9592" s="345"/>
    </row>
    <row r="9593" spans="1:1" ht="21">
      <c r="A9593" s="345"/>
    </row>
    <row r="9594" spans="1:1" ht="21">
      <c r="A9594" s="345"/>
    </row>
    <row r="9595" spans="1:1" ht="21">
      <c r="A9595" s="345"/>
    </row>
    <row r="9596" spans="1:1" ht="21">
      <c r="A9596" s="345"/>
    </row>
    <row r="9597" spans="1:1" ht="21">
      <c r="A9597" s="345"/>
    </row>
    <row r="9598" spans="1:1" ht="21">
      <c r="A9598" s="345"/>
    </row>
    <row r="9599" spans="1:1" ht="21">
      <c r="A9599" s="345"/>
    </row>
    <row r="9600" spans="1:1" ht="21">
      <c r="A9600" s="345"/>
    </row>
    <row r="9601" spans="1:1" ht="21">
      <c r="A9601" s="345"/>
    </row>
    <row r="9602" spans="1:1" ht="21">
      <c r="A9602" s="345"/>
    </row>
    <row r="9603" spans="1:1" ht="21">
      <c r="A9603" s="345"/>
    </row>
    <row r="9604" spans="1:1" ht="21">
      <c r="A9604" s="345"/>
    </row>
    <row r="9605" spans="1:1" ht="21">
      <c r="A9605" s="345"/>
    </row>
    <row r="9606" spans="1:1" ht="21">
      <c r="A9606" s="345"/>
    </row>
    <row r="9607" spans="1:1" ht="21">
      <c r="A9607" s="345"/>
    </row>
    <row r="9608" spans="1:1" ht="21">
      <c r="A9608" s="345"/>
    </row>
    <row r="9609" spans="1:1" ht="21">
      <c r="A9609" s="345"/>
    </row>
    <row r="9610" spans="1:1" ht="21">
      <c r="A9610" s="345"/>
    </row>
    <row r="9611" spans="1:1" ht="21">
      <c r="A9611" s="345"/>
    </row>
    <row r="9612" spans="1:1" ht="21">
      <c r="A9612" s="345"/>
    </row>
    <row r="9613" spans="1:1" ht="21">
      <c r="A9613" s="345"/>
    </row>
    <row r="9614" spans="1:1" ht="21">
      <c r="A9614" s="345"/>
    </row>
    <row r="9615" spans="1:1" ht="21">
      <c r="A9615" s="345"/>
    </row>
    <row r="9616" spans="1:1" ht="21">
      <c r="A9616" s="345"/>
    </row>
    <row r="9617" spans="1:1" ht="21">
      <c r="A9617" s="345"/>
    </row>
    <row r="9618" spans="1:1" ht="21">
      <c r="A9618" s="345"/>
    </row>
    <row r="9619" spans="1:1" ht="21">
      <c r="A9619" s="345"/>
    </row>
    <row r="9620" spans="1:1" ht="21">
      <c r="A9620" s="345"/>
    </row>
    <row r="9621" spans="1:1" ht="21">
      <c r="A9621" s="345"/>
    </row>
    <row r="9622" spans="1:1" ht="21">
      <c r="A9622" s="345"/>
    </row>
    <row r="9623" spans="1:1" ht="21">
      <c r="A9623" s="345"/>
    </row>
    <row r="9624" spans="1:1" ht="21">
      <c r="A9624" s="345"/>
    </row>
    <row r="9625" spans="1:1" ht="21">
      <c r="A9625" s="345"/>
    </row>
    <row r="9626" spans="1:1" ht="21">
      <c r="A9626" s="345"/>
    </row>
    <row r="9627" spans="1:1" ht="21">
      <c r="A9627" s="345"/>
    </row>
    <row r="9628" spans="1:1" ht="21">
      <c r="A9628" s="345"/>
    </row>
    <row r="9629" spans="1:1" ht="21">
      <c r="A9629" s="345"/>
    </row>
    <row r="9630" spans="1:1" ht="21">
      <c r="A9630" s="345"/>
    </row>
    <row r="9631" spans="1:1" ht="21">
      <c r="A9631" s="345"/>
    </row>
    <row r="9632" spans="1:1" ht="21">
      <c r="A9632" s="345"/>
    </row>
    <row r="9633" spans="1:1" ht="21">
      <c r="A9633" s="345"/>
    </row>
    <row r="9634" spans="1:1" ht="21">
      <c r="A9634" s="345"/>
    </row>
    <row r="9635" spans="1:1" ht="21">
      <c r="A9635" s="345"/>
    </row>
    <row r="9636" spans="1:1" ht="21">
      <c r="A9636" s="345"/>
    </row>
    <row r="9637" spans="1:1" ht="21">
      <c r="A9637" s="345"/>
    </row>
    <row r="9638" spans="1:1" ht="21">
      <c r="A9638" s="345"/>
    </row>
    <row r="9639" spans="1:1" ht="21">
      <c r="A9639" s="345"/>
    </row>
    <row r="9640" spans="1:1" ht="21">
      <c r="A9640" s="345"/>
    </row>
    <row r="9641" spans="1:1" ht="21">
      <c r="A9641" s="345"/>
    </row>
    <row r="9642" spans="1:1" ht="21">
      <c r="A9642" s="345"/>
    </row>
    <row r="9643" spans="1:1" ht="21">
      <c r="A9643" s="345"/>
    </row>
    <row r="9644" spans="1:1" ht="21">
      <c r="A9644" s="345"/>
    </row>
    <row r="9645" spans="1:1" ht="21">
      <c r="A9645" s="345"/>
    </row>
    <row r="9646" spans="1:1" ht="21">
      <c r="A9646" s="345"/>
    </row>
    <row r="9647" spans="1:1" ht="21">
      <c r="A9647" s="345"/>
    </row>
    <row r="9648" spans="1:1" ht="21">
      <c r="A9648" s="345"/>
    </row>
    <row r="9649" spans="1:1" ht="21">
      <c r="A9649" s="345"/>
    </row>
    <row r="9650" spans="1:1" ht="21">
      <c r="A9650" s="345"/>
    </row>
    <row r="9651" spans="1:1" ht="21">
      <c r="A9651" s="345"/>
    </row>
    <row r="9652" spans="1:1" ht="21">
      <c r="A9652" s="345"/>
    </row>
    <row r="9653" spans="1:1" ht="21">
      <c r="A9653" s="345"/>
    </row>
    <row r="9654" spans="1:1" ht="21">
      <c r="A9654" s="345"/>
    </row>
    <row r="9655" spans="1:1" ht="21">
      <c r="A9655" s="345"/>
    </row>
    <row r="9656" spans="1:1" ht="21">
      <c r="A9656" s="345"/>
    </row>
    <row r="9657" spans="1:1" ht="21">
      <c r="A9657" s="345"/>
    </row>
    <row r="9658" spans="1:1" ht="21">
      <c r="A9658" s="345"/>
    </row>
    <row r="9659" spans="1:1" ht="21">
      <c r="A9659" s="345"/>
    </row>
    <row r="9660" spans="1:1" ht="21">
      <c r="A9660" s="345"/>
    </row>
    <row r="9661" spans="1:1" ht="21">
      <c r="A9661" s="345"/>
    </row>
    <row r="9662" spans="1:1" ht="21">
      <c r="A9662" s="345"/>
    </row>
    <row r="9663" spans="1:1" ht="21">
      <c r="A9663" s="345"/>
    </row>
    <row r="9664" spans="1:1" ht="21">
      <c r="A9664" s="345"/>
    </row>
    <row r="9665" spans="1:1" ht="21">
      <c r="A9665" s="345"/>
    </row>
    <row r="9666" spans="1:1" ht="21">
      <c r="A9666" s="345"/>
    </row>
    <row r="9667" spans="1:1" ht="21">
      <c r="A9667" s="345"/>
    </row>
    <row r="9668" spans="1:1" ht="21">
      <c r="A9668" s="345"/>
    </row>
    <row r="9669" spans="1:1" ht="21">
      <c r="A9669" s="345"/>
    </row>
    <row r="9670" spans="1:1" ht="21">
      <c r="A9670" s="345"/>
    </row>
    <row r="9671" spans="1:1" ht="21">
      <c r="A9671" s="345"/>
    </row>
    <row r="9672" spans="1:1" ht="21">
      <c r="A9672" s="345"/>
    </row>
    <row r="9673" spans="1:1" ht="21">
      <c r="A9673" s="345"/>
    </row>
    <row r="9674" spans="1:1" ht="21">
      <c r="A9674" s="345"/>
    </row>
    <row r="9675" spans="1:1" ht="21">
      <c r="A9675" s="345"/>
    </row>
    <row r="9676" spans="1:1" ht="21">
      <c r="A9676" s="345"/>
    </row>
    <row r="9677" spans="1:1" ht="21">
      <c r="A9677" s="345"/>
    </row>
    <row r="9678" spans="1:1" ht="21">
      <c r="A9678" s="345"/>
    </row>
    <row r="9679" spans="1:1" ht="21">
      <c r="A9679" s="345"/>
    </row>
    <row r="9680" spans="1:1" ht="21">
      <c r="A9680" s="345"/>
    </row>
    <row r="9681" spans="1:1" ht="21">
      <c r="A9681" s="345"/>
    </row>
    <row r="9682" spans="1:1" ht="21">
      <c r="A9682" s="345"/>
    </row>
    <row r="9683" spans="1:1" ht="21">
      <c r="A9683" s="345"/>
    </row>
    <row r="9684" spans="1:1" ht="21">
      <c r="A9684" s="345"/>
    </row>
    <row r="9685" spans="1:1" ht="21">
      <c r="A9685" s="345"/>
    </row>
    <row r="9686" spans="1:1" ht="21">
      <c r="A9686" s="345"/>
    </row>
    <row r="9687" spans="1:1" ht="21">
      <c r="A9687" s="345"/>
    </row>
    <row r="9688" spans="1:1" ht="21">
      <c r="A9688" s="345"/>
    </row>
    <row r="9689" spans="1:1" ht="21">
      <c r="A9689" s="345"/>
    </row>
    <row r="9690" spans="1:1" ht="21">
      <c r="A9690" s="345"/>
    </row>
    <row r="9691" spans="1:1" ht="21">
      <c r="A9691" s="345"/>
    </row>
    <row r="9692" spans="1:1" ht="21">
      <c r="A9692" s="345"/>
    </row>
    <row r="9693" spans="1:1" ht="21">
      <c r="A9693" s="345"/>
    </row>
    <row r="9694" spans="1:1" ht="21">
      <c r="A9694" s="345"/>
    </row>
    <row r="9695" spans="1:1" ht="21">
      <c r="A9695" s="345"/>
    </row>
    <row r="9696" spans="1:1" ht="21">
      <c r="A9696" s="345"/>
    </row>
    <row r="9697" spans="1:1" ht="21">
      <c r="A9697" s="345"/>
    </row>
    <row r="9698" spans="1:1" ht="21">
      <c r="A9698" s="345"/>
    </row>
    <row r="9699" spans="1:1" ht="21">
      <c r="A9699" s="345"/>
    </row>
    <row r="9700" spans="1:1" ht="21">
      <c r="A9700" s="345"/>
    </row>
    <row r="9701" spans="1:1" ht="21">
      <c r="A9701" s="345"/>
    </row>
    <row r="9702" spans="1:1" ht="21">
      <c r="A9702" s="345"/>
    </row>
    <row r="9703" spans="1:1" ht="21">
      <c r="A9703" s="345"/>
    </row>
    <row r="9704" spans="1:1" ht="21">
      <c r="A9704" s="345"/>
    </row>
    <row r="9705" spans="1:1" ht="21">
      <c r="A9705" s="345"/>
    </row>
    <row r="9706" spans="1:1" ht="21">
      <c r="A9706" s="345"/>
    </row>
    <row r="9707" spans="1:1" ht="21">
      <c r="A9707" s="345"/>
    </row>
    <row r="9708" spans="1:1" ht="21">
      <c r="A9708" s="345"/>
    </row>
    <row r="9709" spans="1:1" ht="21">
      <c r="A9709" s="345"/>
    </row>
    <row r="9710" spans="1:1" ht="21">
      <c r="A9710" s="345"/>
    </row>
    <row r="9711" spans="1:1" ht="21">
      <c r="A9711" s="345"/>
    </row>
    <row r="9712" spans="1:1" ht="21">
      <c r="A9712" s="345"/>
    </row>
    <row r="9713" spans="1:1" ht="21">
      <c r="A9713" s="345"/>
    </row>
    <row r="9714" spans="1:1" ht="21">
      <c r="A9714" s="345"/>
    </row>
    <row r="9715" spans="1:1" ht="21">
      <c r="A9715" s="345"/>
    </row>
    <row r="9716" spans="1:1" ht="21">
      <c r="A9716" s="345"/>
    </row>
    <row r="9717" spans="1:1" ht="21">
      <c r="A9717" s="345"/>
    </row>
    <row r="9718" spans="1:1" ht="21">
      <c r="A9718" s="345"/>
    </row>
    <row r="9719" spans="1:1" ht="21">
      <c r="A9719" s="345"/>
    </row>
    <row r="9720" spans="1:1" ht="21">
      <c r="A9720" s="345"/>
    </row>
    <row r="9721" spans="1:1" ht="21">
      <c r="A9721" s="345"/>
    </row>
    <row r="9722" spans="1:1" ht="21">
      <c r="A9722" s="345"/>
    </row>
    <row r="9723" spans="1:1" ht="21">
      <c r="A9723" s="345"/>
    </row>
    <row r="9724" spans="1:1" ht="21">
      <c r="A9724" s="345"/>
    </row>
    <row r="9725" spans="1:1" ht="21">
      <c r="A9725" s="345"/>
    </row>
    <row r="9726" spans="1:1" ht="21">
      <c r="A9726" s="345"/>
    </row>
    <row r="9727" spans="1:1" ht="21">
      <c r="A9727" s="345"/>
    </row>
    <row r="9728" spans="1:1" ht="21">
      <c r="A9728" s="345"/>
    </row>
    <row r="9729" spans="1:1" ht="21">
      <c r="A9729" s="345"/>
    </row>
    <row r="9730" spans="1:1" ht="21">
      <c r="A9730" s="345"/>
    </row>
    <row r="9731" spans="1:1" ht="21">
      <c r="A9731" s="345"/>
    </row>
    <row r="9732" spans="1:1" ht="21">
      <c r="A9732" s="345"/>
    </row>
    <row r="9733" spans="1:1" ht="21">
      <c r="A9733" s="345"/>
    </row>
    <row r="9734" spans="1:1" ht="21">
      <c r="A9734" s="345"/>
    </row>
    <row r="9735" spans="1:1" ht="21">
      <c r="A9735" s="345"/>
    </row>
    <row r="9736" spans="1:1" ht="21">
      <c r="A9736" s="345"/>
    </row>
    <row r="9737" spans="1:1" ht="21">
      <c r="A9737" s="345"/>
    </row>
    <row r="9738" spans="1:1" ht="21">
      <c r="A9738" s="345"/>
    </row>
    <row r="9739" spans="1:1" ht="21">
      <c r="A9739" s="345"/>
    </row>
    <row r="9740" spans="1:1" ht="21">
      <c r="A9740" s="345"/>
    </row>
    <row r="9741" spans="1:1" ht="21">
      <c r="A9741" s="345"/>
    </row>
    <row r="9742" spans="1:1" ht="21">
      <c r="A9742" s="345"/>
    </row>
    <row r="9743" spans="1:1" ht="21">
      <c r="A9743" s="345"/>
    </row>
    <row r="9744" spans="1:1" ht="21">
      <c r="A9744" s="345"/>
    </row>
    <row r="9745" spans="1:1" ht="21">
      <c r="A9745" s="345"/>
    </row>
    <row r="9746" spans="1:1" ht="21">
      <c r="A9746" s="345"/>
    </row>
    <row r="9747" spans="1:1" ht="21">
      <c r="A9747" s="345"/>
    </row>
    <row r="9748" spans="1:1" ht="21">
      <c r="A9748" s="345"/>
    </row>
    <row r="9749" spans="1:1" ht="21">
      <c r="A9749" s="345"/>
    </row>
    <row r="9750" spans="1:1" ht="21">
      <c r="A9750" s="345"/>
    </row>
    <row r="9751" spans="1:1" ht="21">
      <c r="A9751" s="345"/>
    </row>
    <row r="9752" spans="1:1" ht="21">
      <c r="A9752" s="345"/>
    </row>
    <row r="9753" spans="1:1" ht="21">
      <c r="A9753" s="345"/>
    </row>
    <row r="9754" spans="1:1" ht="21">
      <c r="A9754" s="345"/>
    </row>
    <row r="9755" spans="1:1" ht="21">
      <c r="A9755" s="345"/>
    </row>
    <row r="9756" spans="1:1" ht="21">
      <c r="A9756" s="345"/>
    </row>
    <row r="9757" spans="1:1" ht="21">
      <c r="A9757" s="345"/>
    </row>
    <row r="9758" spans="1:1" ht="21">
      <c r="A9758" s="345"/>
    </row>
    <row r="9759" spans="1:1" ht="21">
      <c r="A9759" s="345"/>
    </row>
    <row r="9760" spans="1:1" ht="21">
      <c r="A9760" s="345"/>
    </row>
    <row r="9761" spans="1:1" ht="21">
      <c r="A9761" s="345"/>
    </row>
    <row r="9762" spans="1:1" ht="21">
      <c r="A9762" s="345"/>
    </row>
    <row r="9763" spans="1:1" ht="21">
      <c r="A9763" s="345"/>
    </row>
    <row r="9764" spans="1:1" ht="21">
      <c r="A9764" s="345"/>
    </row>
    <row r="9765" spans="1:1" ht="21">
      <c r="A9765" s="345"/>
    </row>
    <row r="9766" spans="1:1" ht="21">
      <c r="A9766" s="345"/>
    </row>
    <row r="9767" spans="1:1" ht="21">
      <c r="A9767" s="345"/>
    </row>
    <row r="9768" spans="1:1" ht="21">
      <c r="A9768" s="345"/>
    </row>
    <row r="9769" spans="1:1" ht="21">
      <c r="A9769" s="345"/>
    </row>
    <row r="9770" spans="1:1" ht="21">
      <c r="A9770" s="345"/>
    </row>
    <row r="9771" spans="1:1" ht="21">
      <c r="A9771" s="345"/>
    </row>
    <row r="9772" spans="1:1" ht="21">
      <c r="A9772" s="345"/>
    </row>
    <row r="9773" spans="1:1" ht="21">
      <c r="A9773" s="345"/>
    </row>
    <row r="9774" spans="1:1" ht="21">
      <c r="A9774" s="345"/>
    </row>
    <row r="9775" spans="1:1" ht="21">
      <c r="A9775" s="345"/>
    </row>
    <row r="9776" spans="1:1" ht="21">
      <c r="A9776" s="345"/>
    </row>
    <row r="9777" spans="1:1" ht="21">
      <c r="A9777" s="345"/>
    </row>
    <row r="9778" spans="1:1" ht="21">
      <c r="A9778" s="345"/>
    </row>
    <row r="9779" spans="1:1" ht="21">
      <c r="A9779" s="345"/>
    </row>
    <row r="9780" spans="1:1" ht="21">
      <c r="A9780" s="345"/>
    </row>
    <row r="9781" spans="1:1" ht="21">
      <c r="A9781" s="345"/>
    </row>
    <row r="9782" spans="1:1" ht="21">
      <c r="A9782" s="345"/>
    </row>
    <row r="9783" spans="1:1" ht="21">
      <c r="A9783" s="345"/>
    </row>
    <row r="9784" spans="1:1" ht="21">
      <c r="A9784" s="345"/>
    </row>
    <row r="9785" spans="1:1" ht="21">
      <c r="A9785" s="345"/>
    </row>
    <row r="9786" spans="1:1" ht="21">
      <c r="A9786" s="345"/>
    </row>
    <row r="9787" spans="1:1" ht="21">
      <c r="A9787" s="345"/>
    </row>
    <row r="9788" spans="1:1" ht="21">
      <c r="A9788" s="345"/>
    </row>
    <row r="9789" spans="1:1" ht="21">
      <c r="A9789" s="345"/>
    </row>
    <row r="9790" spans="1:1" ht="21">
      <c r="A9790" s="345"/>
    </row>
    <row r="9791" spans="1:1" ht="21">
      <c r="A9791" s="345"/>
    </row>
    <row r="9792" spans="1:1" ht="21">
      <c r="A9792" s="345"/>
    </row>
    <row r="9793" spans="1:1" ht="21">
      <c r="A9793" s="345"/>
    </row>
    <row r="9794" spans="1:1" ht="21">
      <c r="A9794" s="345"/>
    </row>
    <row r="9795" spans="1:1" ht="21">
      <c r="A9795" s="345"/>
    </row>
    <row r="9796" spans="1:1" ht="21">
      <c r="A9796" s="345"/>
    </row>
    <row r="9797" spans="1:1" ht="21">
      <c r="A9797" s="345"/>
    </row>
    <row r="9798" spans="1:1" ht="21">
      <c r="A9798" s="345"/>
    </row>
    <row r="9799" spans="1:1" ht="21">
      <c r="A9799" s="345"/>
    </row>
    <row r="9800" spans="1:1" ht="21">
      <c r="A9800" s="345"/>
    </row>
    <row r="9801" spans="1:1" ht="21">
      <c r="A9801" s="345"/>
    </row>
    <row r="9802" spans="1:1" ht="21">
      <c r="A9802" s="345"/>
    </row>
    <row r="9803" spans="1:1" ht="21">
      <c r="A9803" s="345"/>
    </row>
    <row r="9804" spans="1:1" ht="21">
      <c r="A9804" s="345"/>
    </row>
    <row r="9805" spans="1:1" ht="21">
      <c r="A9805" s="345"/>
    </row>
    <row r="9806" spans="1:1" ht="21">
      <c r="A9806" s="345"/>
    </row>
    <row r="9807" spans="1:1" ht="21">
      <c r="A9807" s="345"/>
    </row>
    <row r="9808" spans="1:1" ht="21">
      <c r="A9808" s="345"/>
    </row>
    <row r="9809" spans="1:1" ht="21">
      <c r="A9809" s="345"/>
    </row>
    <row r="9810" spans="1:1" ht="21">
      <c r="A9810" s="345"/>
    </row>
    <row r="9811" spans="1:1" ht="21">
      <c r="A9811" s="345"/>
    </row>
    <row r="9812" spans="1:1" ht="21">
      <c r="A9812" s="345"/>
    </row>
    <row r="9813" spans="1:1" ht="21">
      <c r="A9813" s="345"/>
    </row>
    <row r="9814" spans="1:1" ht="21">
      <c r="A9814" s="345"/>
    </row>
    <row r="9815" spans="1:1" ht="21">
      <c r="A9815" s="345"/>
    </row>
    <row r="9816" spans="1:1" ht="21">
      <c r="A9816" s="345"/>
    </row>
    <row r="9817" spans="1:1" ht="21">
      <c r="A9817" s="345"/>
    </row>
    <row r="9818" spans="1:1" ht="21">
      <c r="A9818" s="345"/>
    </row>
    <row r="9819" spans="1:1" ht="21">
      <c r="A9819" s="345"/>
    </row>
    <row r="9820" spans="1:1" ht="21">
      <c r="A9820" s="345"/>
    </row>
    <row r="9821" spans="1:1" ht="21">
      <c r="A9821" s="345"/>
    </row>
    <row r="9822" spans="1:1" ht="21">
      <c r="A9822" s="345"/>
    </row>
    <row r="9823" spans="1:1" ht="21">
      <c r="A9823" s="345"/>
    </row>
    <row r="9824" spans="1:1" ht="21">
      <c r="A9824" s="345"/>
    </row>
    <row r="9825" spans="1:1" ht="21">
      <c r="A9825" s="345"/>
    </row>
    <row r="9826" spans="1:1" ht="21">
      <c r="A9826" s="345"/>
    </row>
    <row r="9827" spans="1:1" ht="21">
      <c r="A9827" s="345"/>
    </row>
    <row r="9828" spans="1:1" ht="21">
      <c r="A9828" s="345"/>
    </row>
    <row r="9829" spans="1:1" ht="21">
      <c r="A9829" s="345"/>
    </row>
    <row r="9830" spans="1:1" ht="21">
      <c r="A9830" s="345"/>
    </row>
    <row r="9831" spans="1:1" ht="21">
      <c r="A9831" s="345"/>
    </row>
    <row r="9832" spans="1:1" ht="21">
      <c r="A9832" s="345"/>
    </row>
    <row r="9833" spans="1:1" ht="21">
      <c r="A9833" s="345"/>
    </row>
    <row r="9834" spans="1:1" ht="21">
      <c r="A9834" s="345"/>
    </row>
    <row r="9835" spans="1:1" ht="21">
      <c r="A9835" s="345"/>
    </row>
    <row r="9836" spans="1:1" ht="21">
      <c r="A9836" s="345"/>
    </row>
    <row r="9837" spans="1:1" ht="21">
      <c r="A9837" s="345"/>
    </row>
    <row r="9838" spans="1:1" ht="21">
      <c r="A9838" s="345"/>
    </row>
    <row r="9839" spans="1:1" ht="21">
      <c r="A9839" s="345"/>
    </row>
    <row r="9840" spans="1:1" ht="21">
      <c r="A9840" s="345"/>
    </row>
    <row r="9841" spans="1:1" ht="21">
      <c r="A9841" s="345"/>
    </row>
    <row r="9842" spans="1:1" ht="21">
      <c r="A9842" s="345"/>
    </row>
    <row r="9843" spans="1:1" ht="21">
      <c r="A9843" s="345"/>
    </row>
    <row r="9844" spans="1:1" ht="21">
      <c r="A9844" s="345"/>
    </row>
    <row r="9845" spans="1:1" ht="21">
      <c r="A9845" s="345"/>
    </row>
    <row r="9846" spans="1:1" ht="21">
      <c r="A9846" s="345"/>
    </row>
    <row r="9847" spans="1:1" ht="21">
      <c r="A9847" s="345"/>
    </row>
    <row r="9848" spans="1:1" ht="21">
      <c r="A9848" s="345"/>
    </row>
    <row r="9849" spans="1:1" ht="21">
      <c r="A9849" s="345"/>
    </row>
    <row r="9850" spans="1:1" ht="21">
      <c r="A9850" s="345"/>
    </row>
    <row r="9851" spans="1:1" ht="21">
      <c r="A9851" s="345"/>
    </row>
    <row r="9852" spans="1:1" ht="21">
      <c r="A9852" s="345"/>
    </row>
    <row r="9853" spans="1:1" ht="21">
      <c r="A9853" s="345"/>
    </row>
    <row r="9854" spans="1:1" ht="21">
      <c r="A9854" s="345"/>
    </row>
    <row r="9855" spans="1:1" ht="21">
      <c r="A9855" s="345"/>
    </row>
    <row r="9856" spans="1:1" ht="21">
      <c r="A9856" s="345"/>
    </row>
    <row r="9857" spans="1:1" ht="21">
      <c r="A9857" s="345"/>
    </row>
    <row r="9858" spans="1:1" ht="21">
      <c r="A9858" s="345"/>
    </row>
    <row r="9859" spans="1:1" ht="21">
      <c r="A9859" s="345"/>
    </row>
    <row r="9860" spans="1:1" ht="21">
      <c r="A9860" s="345"/>
    </row>
    <row r="9861" spans="1:1" ht="21">
      <c r="A9861" s="345"/>
    </row>
    <row r="9862" spans="1:1" ht="21">
      <c r="A9862" s="345"/>
    </row>
    <row r="9863" spans="1:1" ht="21">
      <c r="A9863" s="345"/>
    </row>
    <row r="9864" spans="1:1" ht="21">
      <c r="A9864" s="345"/>
    </row>
    <row r="9865" spans="1:1" ht="21">
      <c r="A9865" s="345"/>
    </row>
    <row r="9866" spans="1:1" ht="21">
      <c r="A9866" s="345"/>
    </row>
    <row r="9867" spans="1:1" ht="21">
      <c r="A9867" s="345"/>
    </row>
    <row r="9868" spans="1:1" ht="21">
      <c r="A9868" s="345"/>
    </row>
    <row r="9869" spans="1:1" ht="21">
      <c r="A9869" s="345"/>
    </row>
    <row r="9870" spans="1:1" ht="21">
      <c r="A9870" s="345"/>
    </row>
    <row r="9871" spans="1:1" ht="21">
      <c r="A9871" s="345"/>
    </row>
    <row r="9872" spans="1:1" ht="21">
      <c r="A9872" s="345"/>
    </row>
    <row r="9873" spans="1:1" ht="21">
      <c r="A9873" s="345"/>
    </row>
    <row r="9874" spans="1:1" ht="21">
      <c r="A9874" s="345"/>
    </row>
    <row r="9875" spans="1:1" ht="21">
      <c r="A9875" s="345"/>
    </row>
    <row r="9876" spans="1:1" ht="21">
      <c r="A9876" s="345"/>
    </row>
    <row r="9877" spans="1:1" ht="21">
      <c r="A9877" s="345"/>
    </row>
    <row r="9878" spans="1:1" ht="21">
      <c r="A9878" s="345"/>
    </row>
    <row r="9879" spans="1:1" ht="21">
      <c r="A9879" s="345"/>
    </row>
    <row r="9880" spans="1:1" ht="21">
      <c r="A9880" s="345"/>
    </row>
    <row r="9881" spans="1:1" ht="21">
      <c r="A9881" s="345"/>
    </row>
    <row r="9882" spans="1:1" ht="21">
      <c r="A9882" s="345"/>
    </row>
    <row r="9883" spans="1:1" ht="21">
      <c r="A9883" s="345"/>
    </row>
    <row r="9884" spans="1:1" ht="21">
      <c r="A9884" s="345"/>
    </row>
    <row r="9885" spans="1:1" ht="21">
      <c r="A9885" s="345"/>
    </row>
    <row r="9886" spans="1:1" ht="21">
      <c r="A9886" s="345"/>
    </row>
    <row r="9887" spans="1:1" ht="21">
      <c r="A9887" s="345"/>
    </row>
    <row r="9888" spans="1:1" ht="21">
      <c r="A9888" s="345"/>
    </row>
    <row r="9889" spans="1:1" ht="21">
      <c r="A9889" s="345"/>
    </row>
    <row r="9890" spans="1:1" ht="21">
      <c r="A9890" s="345"/>
    </row>
    <row r="9891" spans="1:1" ht="21">
      <c r="A9891" s="345"/>
    </row>
    <row r="9892" spans="1:1" ht="21">
      <c r="A9892" s="345"/>
    </row>
    <row r="9893" spans="1:1" ht="21">
      <c r="A9893" s="345"/>
    </row>
    <row r="9894" spans="1:1" ht="21">
      <c r="A9894" s="345"/>
    </row>
    <row r="9895" spans="1:1" ht="21">
      <c r="A9895" s="345"/>
    </row>
    <row r="9896" spans="1:1" ht="21">
      <c r="A9896" s="345"/>
    </row>
    <row r="9897" spans="1:1" ht="21">
      <c r="A9897" s="345"/>
    </row>
    <row r="9898" spans="1:1" ht="21">
      <c r="A9898" s="345"/>
    </row>
    <row r="9899" spans="1:1" ht="21">
      <c r="A9899" s="345"/>
    </row>
    <row r="9900" spans="1:1" ht="21">
      <c r="A9900" s="345"/>
    </row>
    <row r="9901" spans="1:1" ht="21">
      <c r="A9901" s="345"/>
    </row>
    <row r="9902" spans="1:1" ht="21">
      <c r="A9902" s="345"/>
    </row>
    <row r="9903" spans="1:1" ht="21">
      <c r="A9903" s="345"/>
    </row>
    <row r="9904" spans="1:1" ht="21">
      <c r="A9904" s="345"/>
    </row>
    <row r="9905" spans="1:1" ht="21">
      <c r="A9905" s="345"/>
    </row>
    <row r="9906" spans="1:1" ht="21">
      <c r="A9906" s="345"/>
    </row>
    <row r="9907" spans="1:1" ht="21">
      <c r="A9907" s="345"/>
    </row>
    <row r="9908" spans="1:1" ht="21">
      <c r="A9908" s="345"/>
    </row>
    <row r="9909" spans="1:1" ht="21">
      <c r="A9909" s="345"/>
    </row>
    <row r="9910" spans="1:1" ht="21">
      <c r="A9910" s="345"/>
    </row>
    <row r="9911" spans="1:1" ht="21">
      <c r="A9911" s="345"/>
    </row>
    <row r="9912" spans="1:1" ht="21">
      <c r="A9912" s="345"/>
    </row>
    <row r="9913" spans="1:1" ht="21">
      <c r="A9913" s="345"/>
    </row>
    <row r="9914" spans="1:1" ht="21">
      <c r="A9914" s="345"/>
    </row>
    <row r="9915" spans="1:1" ht="21">
      <c r="A9915" s="345"/>
    </row>
    <row r="9916" spans="1:1" ht="21">
      <c r="A9916" s="345"/>
    </row>
    <row r="9917" spans="1:1" ht="21">
      <c r="A9917" s="345"/>
    </row>
    <row r="9918" spans="1:1" ht="21">
      <c r="A9918" s="345"/>
    </row>
    <row r="9919" spans="1:1" ht="21">
      <c r="A9919" s="345"/>
    </row>
    <row r="9920" spans="1:1" ht="21">
      <c r="A9920" s="345"/>
    </row>
    <row r="9921" spans="1:1" ht="21">
      <c r="A9921" s="345"/>
    </row>
    <row r="9922" spans="1:1" ht="21">
      <c r="A9922" s="345"/>
    </row>
    <row r="9923" spans="1:1" ht="21">
      <c r="A9923" s="345"/>
    </row>
    <row r="9924" spans="1:1" ht="21">
      <c r="A9924" s="345"/>
    </row>
    <row r="9925" spans="1:1" ht="21">
      <c r="A9925" s="345"/>
    </row>
    <row r="9926" spans="1:1" ht="21">
      <c r="A9926" s="345"/>
    </row>
    <row r="9927" spans="1:1" ht="21">
      <c r="A9927" s="345"/>
    </row>
    <row r="9928" spans="1:1" ht="21">
      <c r="A9928" s="345"/>
    </row>
    <row r="9929" spans="1:1" ht="21">
      <c r="A9929" s="345"/>
    </row>
    <row r="9930" spans="1:1" ht="21">
      <c r="A9930" s="345"/>
    </row>
    <row r="9931" spans="1:1" ht="21">
      <c r="A9931" s="345"/>
    </row>
    <row r="9932" spans="1:1" ht="21">
      <c r="A9932" s="345"/>
    </row>
    <row r="9933" spans="1:1" ht="21">
      <c r="A9933" s="345"/>
    </row>
    <row r="9934" spans="1:1" ht="21">
      <c r="A9934" s="345"/>
    </row>
    <row r="9935" spans="1:1" ht="21">
      <c r="A9935" s="345"/>
    </row>
    <row r="9936" spans="1:1" ht="21">
      <c r="A9936" s="345"/>
    </row>
    <row r="9937" spans="1:1" ht="21">
      <c r="A9937" s="345"/>
    </row>
    <row r="9938" spans="1:1" ht="21">
      <c r="A9938" s="345"/>
    </row>
    <row r="9939" spans="1:1" ht="21">
      <c r="A9939" s="345"/>
    </row>
    <row r="9940" spans="1:1" ht="21">
      <c r="A9940" s="345"/>
    </row>
    <row r="9941" spans="1:1" ht="21">
      <c r="A9941" s="345"/>
    </row>
    <row r="9942" spans="1:1" ht="21">
      <c r="A9942" s="345"/>
    </row>
    <row r="9943" spans="1:1" ht="21">
      <c r="A9943" s="345"/>
    </row>
    <row r="9944" spans="1:1" ht="21">
      <c r="A9944" s="345"/>
    </row>
    <row r="9945" spans="1:1" ht="21">
      <c r="A9945" s="345"/>
    </row>
    <row r="9946" spans="1:1" ht="21">
      <c r="A9946" s="345"/>
    </row>
    <row r="9947" spans="1:1" ht="21">
      <c r="A9947" s="345"/>
    </row>
    <row r="9948" spans="1:1" ht="21">
      <c r="A9948" s="345"/>
    </row>
    <row r="9949" spans="1:1" ht="21">
      <c r="A9949" s="345"/>
    </row>
    <row r="9950" spans="1:1" ht="21">
      <c r="A9950" s="345"/>
    </row>
    <row r="9951" spans="1:1" ht="21">
      <c r="A9951" s="345"/>
    </row>
    <row r="9952" spans="1:1" ht="21">
      <c r="A9952" s="345"/>
    </row>
    <row r="9953" spans="1:1" ht="21">
      <c r="A9953" s="345"/>
    </row>
    <row r="9954" spans="1:1" ht="21">
      <c r="A9954" s="345"/>
    </row>
    <row r="9955" spans="1:1" ht="21">
      <c r="A9955" s="345"/>
    </row>
    <row r="9956" spans="1:1" ht="21">
      <c r="A9956" s="345"/>
    </row>
    <row r="9957" spans="1:1" ht="21">
      <c r="A9957" s="345"/>
    </row>
    <row r="9958" spans="1:1" ht="21">
      <c r="A9958" s="345"/>
    </row>
    <row r="9959" spans="1:1" ht="21">
      <c r="A9959" s="345"/>
    </row>
    <row r="9960" spans="1:1" ht="21">
      <c r="A9960" s="345"/>
    </row>
    <row r="9961" spans="1:1" ht="21">
      <c r="A9961" s="345"/>
    </row>
    <row r="9962" spans="1:1" ht="21">
      <c r="A9962" s="345"/>
    </row>
    <row r="9963" spans="1:1" ht="21">
      <c r="A9963" s="345"/>
    </row>
    <row r="9964" spans="1:1" ht="21">
      <c r="A9964" s="345"/>
    </row>
    <row r="9965" spans="1:1" ht="21">
      <c r="A9965" s="345"/>
    </row>
    <row r="9966" spans="1:1" ht="21">
      <c r="A9966" s="345"/>
    </row>
    <row r="9967" spans="1:1" ht="21">
      <c r="A9967" s="345"/>
    </row>
    <row r="9968" spans="1:1" ht="21">
      <c r="A9968" s="345"/>
    </row>
    <row r="9969" spans="1:1" ht="21">
      <c r="A9969" s="345"/>
    </row>
    <row r="9970" spans="1:1" ht="21">
      <c r="A9970" s="345"/>
    </row>
    <row r="9971" spans="1:1" ht="21">
      <c r="A9971" s="345"/>
    </row>
    <row r="9972" spans="1:1" ht="21">
      <c r="A9972" s="345"/>
    </row>
    <row r="9973" spans="1:1" ht="21">
      <c r="A9973" s="345"/>
    </row>
    <row r="9974" spans="1:1" ht="21">
      <c r="A9974" s="345"/>
    </row>
    <row r="9975" spans="1:1" ht="21">
      <c r="A9975" s="345"/>
    </row>
    <row r="9976" spans="1:1" ht="21">
      <c r="A9976" s="345"/>
    </row>
    <row r="9977" spans="1:1" ht="21">
      <c r="A9977" s="345"/>
    </row>
    <row r="9978" spans="1:1" ht="21">
      <c r="A9978" s="345"/>
    </row>
    <row r="9979" spans="1:1" ht="21">
      <c r="A9979" s="345"/>
    </row>
    <row r="9980" spans="1:1" ht="21">
      <c r="A9980" s="345"/>
    </row>
    <row r="9981" spans="1:1" ht="21">
      <c r="A9981" s="345"/>
    </row>
    <row r="9982" spans="1:1" ht="21">
      <c r="A9982" s="345"/>
    </row>
    <row r="9983" spans="1:1" ht="21">
      <c r="A9983" s="345"/>
    </row>
    <row r="9984" spans="1:1" ht="21">
      <c r="A9984" s="345"/>
    </row>
    <row r="9985" spans="1:1" ht="21">
      <c r="A9985" s="345"/>
    </row>
    <row r="9986" spans="1:1" ht="21">
      <c r="A9986" s="345"/>
    </row>
    <row r="9987" spans="1:1" ht="21">
      <c r="A9987" s="345"/>
    </row>
    <row r="9988" spans="1:1" ht="21">
      <c r="A9988" s="345"/>
    </row>
    <row r="9989" spans="1:1" ht="21">
      <c r="A9989" s="345"/>
    </row>
    <row r="9990" spans="1:1" ht="21">
      <c r="A9990" s="345"/>
    </row>
    <row r="9991" spans="1:1" ht="21">
      <c r="A9991" s="345"/>
    </row>
    <row r="9992" spans="1:1" ht="21">
      <c r="A9992" s="345"/>
    </row>
    <row r="9993" spans="1:1" ht="21">
      <c r="A9993" s="345"/>
    </row>
    <row r="9994" spans="1:1" ht="21">
      <c r="A9994" s="345"/>
    </row>
    <row r="9995" spans="1:1" ht="21">
      <c r="A9995" s="345"/>
    </row>
    <row r="9996" spans="1:1" ht="21">
      <c r="A9996" s="345"/>
    </row>
    <row r="9997" spans="1:1" ht="21">
      <c r="A9997" s="345"/>
    </row>
    <row r="9998" spans="1:1" ht="21">
      <c r="A9998" s="345"/>
    </row>
    <row r="9999" spans="1:1" ht="21">
      <c r="A9999" s="345"/>
    </row>
    <row r="10000" spans="1:1" ht="21">
      <c r="A10000" s="345"/>
    </row>
    <row r="10001" spans="1:1" ht="21">
      <c r="A10001" s="345"/>
    </row>
    <row r="10002" spans="1:1" ht="21">
      <c r="A10002" s="345"/>
    </row>
    <row r="10003" spans="1:1" ht="21">
      <c r="A10003" s="345"/>
    </row>
    <row r="10004" spans="1:1" ht="21">
      <c r="A10004" s="345"/>
    </row>
    <row r="10005" spans="1:1" ht="21">
      <c r="A10005" s="345"/>
    </row>
    <row r="10006" spans="1:1" ht="21">
      <c r="A10006" s="345"/>
    </row>
    <row r="10007" spans="1:1" ht="21">
      <c r="A10007" s="345"/>
    </row>
    <row r="10008" spans="1:1" ht="21">
      <c r="A10008" s="345"/>
    </row>
    <row r="10009" spans="1:1" ht="21">
      <c r="A10009" s="345"/>
    </row>
    <row r="10010" spans="1:1" ht="21">
      <c r="A10010" s="345"/>
    </row>
    <row r="10011" spans="1:1" ht="21">
      <c r="A10011" s="345"/>
    </row>
    <row r="10012" spans="1:1" ht="21">
      <c r="A10012" s="345"/>
    </row>
    <row r="10013" spans="1:1" ht="21">
      <c r="A10013" s="345"/>
    </row>
    <row r="10014" spans="1:1" ht="21">
      <c r="A10014" s="345"/>
    </row>
    <row r="10015" spans="1:1" ht="21">
      <c r="A10015" s="345"/>
    </row>
    <row r="10016" spans="1:1" ht="21">
      <c r="A10016" s="345"/>
    </row>
    <row r="10017" spans="1:1" ht="21">
      <c r="A10017" s="345"/>
    </row>
    <row r="10018" spans="1:1" ht="21">
      <c r="A10018" s="345"/>
    </row>
    <row r="10019" spans="1:1" ht="21">
      <c r="A10019" s="345"/>
    </row>
    <row r="10020" spans="1:1" ht="21">
      <c r="A10020" s="345"/>
    </row>
    <row r="10021" spans="1:1" ht="21">
      <c r="A10021" s="345"/>
    </row>
    <row r="10022" spans="1:1" ht="21">
      <c r="A10022" s="345"/>
    </row>
    <row r="10023" spans="1:1" ht="21">
      <c r="A10023" s="345"/>
    </row>
    <row r="10024" spans="1:1" ht="21">
      <c r="A10024" s="345"/>
    </row>
    <row r="10025" spans="1:1" ht="21">
      <c r="A10025" s="345"/>
    </row>
    <row r="10026" spans="1:1" ht="21">
      <c r="A10026" s="345"/>
    </row>
    <row r="10027" spans="1:1" ht="21">
      <c r="A10027" s="345"/>
    </row>
    <row r="10028" spans="1:1" ht="21">
      <c r="A10028" s="345"/>
    </row>
    <row r="10029" spans="1:1" ht="21">
      <c r="A10029" s="345"/>
    </row>
    <row r="10030" spans="1:1" ht="21">
      <c r="A10030" s="345"/>
    </row>
    <row r="10031" spans="1:1" ht="21">
      <c r="A10031" s="345"/>
    </row>
    <row r="10032" spans="1:1" ht="21">
      <c r="A10032" s="345"/>
    </row>
    <row r="10033" spans="1:1" ht="21">
      <c r="A10033" s="345"/>
    </row>
    <row r="10034" spans="1:1" ht="21">
      <c r="A10034" s="345"/>
    </row>
    <row r="10035" spans="1:1" ht="21">
      <c r="A10035" s="345"/>
    </row>
    <row r="10036" spans="1:1" ht="21">
      <c r="A10036" s="345"/>
    </row>
    <row r="10037" spans="1:1" ht="21">
      <c r="A10037" s="345"/>
    </row>
    <row r="10038" spans="1:1" ht="21">
      <c r="A10038" s="345"/>
    </row>
    <row r="10039" spans="1:1" ht="21">
      <c r="A10039" s="345"/>
    </row>
    <row r="10040" spans="1:1" ht="21">
      <c r="A10040" s="345"/>
    </row>
    <row r="10041" spans="1:1" ht="21">
      <c r="A10041" s="345"/>
    </row>
    <row r="10042" spans="1:1" ht="21">
      <c r="A10042" s="345"/>
    </row>
    <row r="10043" spans="1:1" ht="21">
      <c r="A10043" s="345"/>
    </row>
    <row r="10044" spans="1:1" ht="21">
      <c r="A10044" s="345"/>
    </row>
    <row r="10045" spans="1:1" ht="21">
      <c r="A10045" s="345"/>
    </row>
    <row r="10046" spans="1:1" ht="21">
      <c r="A10046" s="345"/>
    </row>
    <row r="10047" spans="1:1" ht="21">
      <c r="A10047" s="345"/>
    </row>
    <row r="10048" spans="1:1" ht="21">
      <c r="A10048" s="345"/>
    </row>
    <row r="10049" spans="1:1" ht="21">
      <c r="A10049" s="345"/>
    </row>
    <row r="10050" spans="1:1" ht="21">
      <c r="A10050" s="345"/>
    </row>
    <row r="10051" spans="1:1" ht="21">
      <c r="A10051" s="345"/>
    </row>
    <row r="10052" spans="1:1" ht="21">
      <c r="A10052" s="345"/>
    </row>
    <row r="10053" spans="1:1" ht="21">
      <c r="A10053" s="345"/>
    </row>
    <row r="10054" spans="1:1" ht="21">
      <c r="A10054" s="345"/>
    </row>
    <row r="10055" spans="1:1" ht="21">
      <c r="A10055" s="345"/>
    </row>
    <row r="10056" spans="1:1" ht="21">
      <c r="A10056" s="345"/>
    </row>
    <row r="10057" spans="1:1" ht="21">
      <c r="A10057" s="345"/>
    </row>
    <row r="10058" spans="1:1" ht="21">
      <c r="A10058" s="345"/>
    </row>
    <row r="10059" spans="1:1" ht="21">
      <c r="A10059" s="345"/>
    </row>
    <row r="10060" spans="1:1" ht="21">
      <c r="A10060" s="345"/>
    </row>
    <row r="10061" spans="1:1" ht="21">
      <c r="A10061" s="345"/>
    </row>
    <row r="10062" spans="1:1" ht="21">
      <c r="A10062" s="345"/>
    </row>
    <row r="10063" spans="1:1" ht="21">
      <c r="A10063" s="345"/>
    </row>
    <row r="10064" spans="1:1" ht="21">
      <c r="A10064" s="345"/>
    </row>
    <row r="10065" spans="1:1" ht="21">
      <c r="A10065" s="345"/>
    </row>
    <row r="10066" spans="1:1" ht="21">
      <c r="A10066" s="345"/>
    </row>
    <row r="10067" spans="1:1" ht="21">
      <c r="A10067" s="345"/>
    </row>
    <row r="10068" spans="1:1" ht="21">
      <c r="A10068" s="345"/>
    </row>
    <row r="10069" spans="1:1" ht="21">
      <c r="A10069" s="345"/>
    </row>
    <row r="10070" spans="1:1" ht="21">
      <c r="A10070" s="345"/>
    </row>
    <row r="10071" spans="1:1" ht="21">
      <c r="A10071" s="345"/>
    </row>
    <row r="10072" spans="1:1" ht="21">
      <c r="A10072" s="345"/>
    </row>
    <row r="10073" spans="1:1" ht="21">
      <c r="A10073" s="345"/>
    </row>
    <row r="10074" spans="1:1" ht="21">
      <c r="A10074" s="345"/>
    </row>
    <row r="10075" spans="1:1" ht="21">
      <c r="A10075" s="345"/>
    </row>
    <row r="10076" spans="1:1" ht="21">
      <c r="A10076" s="345"/>
    </row>
    <row r="10077" spans="1:1" ht="21">
      <c r="A10077" s="345"/>
    </row>
    <row r="10078" spans="1:1" ht="21">
      <c r="A10078" s="345"/>
    </row>
    <row r="10079" spans="1:1" ht="21">
      <c r="A10079" s="345"/>
    </row>
    <row r="10080" spans="1:1" ht="21">
      <c r="A10080" s="345"/>
    </row>
    <row r="10081" spans="1:1" ht="21">
      <c r="A10081" s="345"/>
    </row>
    <row r="10082" spans="1:1" ht="21">
      <c r="A10082" s="345"/>
    </row>
    <row r="10083" spans="1:1" ht="21">
      <c r="A10083" s="345"/>
    </row>
    <row r="10084" spans="1:1" ht="21">
      <c r="A10084" s="345"/>
    </row>
    <row r="10085" spans="1:1" ht="21">
      <c r="A10085" s="345"/>
    </row>
    <row r="10086" spans="1:1" ht="21">
      <c r="A10086" s="345"/>
    </row>
    <row r="10087" spans="1:1" ht="21">
      <c r="A10087" s="345"/>
    </row>
    <row r="10088" spans="1:1" ht="21">
      <c r="A10088" s="345"/>
    </row>
    <row r="10089" spans="1:1" ht="21">
      <c r="A10089" s="345"/>
    </row>
    <row r="10090" spans="1:1" ht="21">
      <c r="A10090" s="345"/>
    </row>
    <row r="10091" spans="1:1" ht="21">
      <c r="A10091" s="345"/>
    </row>
    <row r="10092" spans="1:1" ht="21">
      <c r="A10092" s="345"/>
    </row>
    <row r="10093" spans="1:1" ht="21">
      <c r="A10093" s="345"/>
    </row>
    <row r="10094" spans="1:1" ht="21">
      <c r="A10094" s="345"/>
    </row>
    <row r="10095" spans="1:1" ht="21">
      <c r="A10095" s="345"/>
    </row>
    <row r="10096" spans="1:1" ht="21">
      <c r="A10096" s="345"/>
    </row>
    <row r="10097" spans="1:1" ht="21">
      <c r="A10097" s="345"/>
    </row>
    <row r="10098" spans="1:1" ht="21">
      <c r="A10098" s="345"/>
    </row>
    <row r="10099" spans="1:1" ht="21">
      <c r="A10099" s="345"/>
    </row>
    <row r="10100" spans="1:1" ht="21">
      <c r="A10100" s="345"/>
    </row>
    <row r="10101" spans="1:1" ht="21">
      <c r="A10101" s="345"/>
    </row>
    <row r="10102" spans="1:1" ht="21">
      <c r="A10102" s="345"/>
    </row>
    <row r="10103" spans="1:1" ht="21">
      <c r="A10103" s="345"/>
    </row>
    <row r="10104" spans="1:1" ht="21">
      <c r="A10104" s="345"/>
    </row>
    <row r="10105" spans="1:1" ht="21">
      <c r="A10105" s="345"/>
    </row>
    <row r="10106" spans="1:1" ht="21">
      <c r="A10106" s="345"/>
    </row>
    <row r="10107" spans="1:1" ht="21">
      <c r="A10107" s="345"/>
    </row>
    <row r="10108" spans="1:1" ht="21">
      <c r="A10108" s="345"/>
    </row>
    <row r="10109" spans="1:1" ht="21">
      <c r="A10109" s="345"/>
    </row>
    <row r="10110" spans="1:1" ht="21">
      <c r="A10110" s="345"/>
    </row>
    <row r="10111" spans="1:1" ht="21">
      <c r="A10111" s="345"/>
    </row>
    <row r="10112" spans="1:1" ht="21">
      <c r="A10112" s="345"/>
    </row>
    <row r="10113" spans="1:1" ht="21">
      <c r="A10113" s="345"/>
    </row>
    <row r="10114" spans="1:1" ht="21">
      <c r="A10114" s="345"/>
    </row>
    <row r="10115" spans="1:1" ht="21">
      <c r="A10115" s="345"/>
    </row>
    <row r="10116" spans="1:1" ht="21">
      <c r="A10116" s="345"/>
    </row>
    <row r="10117" spans="1:1" ht="21">
      <c r="A10117" s="345"/>
    </row>
    <row r="10118" spans="1:1" ht="21">
      <c r="A10118" s="345"/>
    </row>
    <row r="10119" spans="1:1" ht="21">
      <c r="A10119" s="345"/>
    </row>
    <row r="10120" spans="1:1" ht="21">
      <c r="A10120" s="345"/>
    </row>
    <row r="10121" spans="1:1" ht="21">
      <c r="A10121" s="345"/>
    </row>
    <row r="10122" spans="1:1" ht="21">
      <c r="A10122" s="345"/>
    </row>
    <row r="10123" spans="1:1" ht="21">
      <c r="A10123" s="345"/>
    </row>
    <row r="10124" spans="1:1" ht="21">
      <c r="A10124" s="345"/>
    </row>
    <row r="10125" spans="1:1" ht="21">
      <c r="A10125" s="345"/>
    </row>
    <row r="10126" spans="1:1" ht="21">
      <c r="A10126" s="345"/>
    </row>
    <row r="10127" spans="1:1" ht="21">
      <c r="A10127" s="345"/>
    </row>
    <row r="10128" spans="1:1" ht="21">
      <c r="A10128" s="345"/>
    </row>
    <row r="10129" spans="1:1" ht="21">
      <c r="A10129" s="345"/>
    </row>
    <row r="10130" spans="1:1" ht="21">
      <c r="A10130" s="345"/>
    </row>
    <row r="10131" spans="1:1" ht="21">
      <c r="A10131" s="345"/>
    </row>
    <row r="10132" spans="1:1" ht="21">
      <c r="A10132" s="345"/>
    </row>
    <row r="10133" spans="1:1" ht="21">
      <c r="A10133" s="345"/>
    </row>
    <row r="10134" spans="1:1" ht="21">
      <c r="A10134" s="345"/>
    </row>
    <row r="10135" spans="1:1" ht="21">
      <c r="A10135" s="345"/>
    </row>
    <row r="10136" spans="1:1" ht="21">
      <c r="A10136" s="345"/>
    </row>
    <row r="10137" spans="1:1" ht="21">
      <c r="A10137" s="345"/>
    </row>
    <row r="10138" spans="1:1" ht="21">
      <c r="A10138" s="345"/>
    </row>
    <row r="10139" spans="1:1" ht="21">
      <c r="A10139" s="345"/>
    </row>
    <row r="10140" spans="1:1" ht="21">
      <c r="A10140" s="345"/>
    </row>
    <row r="10141" spans="1:1" ht="21">
      <c r="A10141" s="345"/>
    </row>
    <row r="10142" spans="1:1" ht="21">
      <c r="A10142" s="345"/>
    </row>
    <row r="10143" spans="1:1" ht="21">
      <c r="A10143" s="345"/>
    </row>
    <row r="10144" spans="1:1" ht="21">
      <c r="A10144" s="345"/>
    </row>
    <row r="10145" spans="1:1" ht="21">
      <c r="A10145" s="345"/>
    </row>
    <row r="10146" spans="1:1" ht="21">
      <c r="A10146" s="345"/>
    </row>
    <row r="10147" spans="1:1" ht="21">
      <c r="A10147" s="345"/>
    </row>
    <row r="10148" spans="1:1" ht="21">
      <c r="A10148" s="345"/>
    </row>
    <row r="10149" spans="1:1" ht="21">
      <c r="A10149" s="345"/>
    </row>
    <row r="10150" spans="1:1" ht="21">
      <c r="A10150" s="345"/>
    </row>
    <row r="10151" spans="1:1" ht="21">
      <c r="A10151" s="345"/>
    </row>
    <row r="10152" spans="1:1" ht="21">
      <c r="A10152" s="345"/>
    </row>
    <row r="10153" spans="1:1" ht="21">
      <c r="A10153" s="345"/>
    </row>
    <row r="10154" spans="1:1" ht="21">
      <c r="A10154" s="345"/>
    </row>
    <row r="10155" spans="1:1" ht="21">
      <c r="A10155" s="345"/>
    </row>
    <row r="10156" spans="1:1" ht="21">
      <c r="A10156" s="345"/>
    </row>
    <row r="10157" spans="1:1" ht="21">
      <c r="A10157" s="345"/>
    </row>
    <row r="10158" spans="1:1" ht="21">
      <c r="A10158" s="345"/>
    </row>
    <row r="10159" spans="1:1" ht="21">
      <c r="A10159" s="345"/>
    </row>
    <row r="10160" spans="1:1" ht="21">
      <c r="A10160" s="345"/>
    </row>
    <row r="10161" spans="1:1" ht="21">
      <c r="A10161" s="345"/>
    </row>
    <row r="10162" spans="1:1" ht="21">
      <c r="A10162" s="345"/>
    </row>
    <row r="10163" spans="1:1" ht="21">
      <c r="A10163" s="345"/>
    </row>
    <row r="10164" spans="1:1" ht="21">
      <c r="A10164" s="345"/>
    </row>
    <row r="10165" spans="1:1" ht="21">
      <c r="A10165" s="345"/>
    </row>
    <row r="10166" spans="1:1" ht="21">
      <c r="A10166" s="345"/>
    </row>
    <row r="10167" spans="1:1" ht="21">
      <c r="A10167" s="345"/>
    </row>
    <row r="10168" spans="1:1" ht="21">
      <c r="A10168" s="345"/>
    </row>
    <row r="10169" spans="1:1" ht="21">
      <c r="A10169" s="345"/>
    </row>
    <row r="10170" spans="1:1" ht="21">
      <c r="A10170" s="345"/>
    </row>
    <row r="10171" spans="1:1" ht="21">
      <c r="A10171" s="345"/>
    </row>
    <row r="10172" spans="1:1" ht="21">
      <c r="A10172" s="345"/>
    </row>
    <row r="10173" spans="1:1" ht="21">
      <c r="A10173" s="345"/>
    </row>
    <row r="10174" spans="1:1" ht="21">
      <c r="A10174" s="345"/>
    </row>
    <row r="10175" spans="1:1" ht="21">
      <c r="A10175" s="345"/>
    </row>
    <row r="10176" spans="1:1" ht="21">
      <c r="A10176" s="345"/>
    </row>
    <row r="10177" spans="1:1" ht="21">
      <c r="A10177" s="345"/>
    </row>
    <row r="10178" spans="1:1" ht="21">
      <c r="A10178" s="345"/>
    </row>
    <row r="10179" spans="1:1" ht="21">
      <c r="A10179" s="345"/>
    </row>
    <row r="10180" spans="1:1" ht="21">
      <c r="A10180" s="345"/>
    </row>
    <row r="10181" spans="1:1" ht="21">
      <c r="A10181" s="345"/>
    </row>
    <row r="10182" spans="1:1" ht="21">
      <c r="A10182" s="345"/>
    </row>
    <row r="10183" spans="1:1" ht="21">
      <c r="A10183" s="345"/>
    </row>
    <row r="10184" spans="1:1" ht="21">
      <c r="A10184" s="345"/>
    </row>
    <row r="10185" spans="1:1" ht="21">
      <c r="A10185" s="345"/>
    </row>
    <row r="10186" spans="1:1" ht="21">
      <c r="A10186" s="345"/>
    </row>
    <row r="10187" spans="1:1" ht="21">
      <c r="A10187" s="345"/>
    </row>
    <row r="10188" spans="1:1" ht="21">
      <c r="A10188" s="345"/>
    </row>
    <row r="10189" spans="1:1" ht="21">
      <c r="A10189" s="345"/>
    </row>
    <row r="10190" spans="1:1" ht="21">
      <c r="A10190" s="345"/>
    </row>
    <row r="10191" spans="1:1" ht="21">
      <c r="A10191" s="345"/>
    </row>
    <row r="10192" spans="1:1" ht="21">
      <c r="A10192" s="345"/>
    </row>
    <row r="10193" spans="1:1" ht="21">
      <c r="A10193" s="345"/>
    </row>
    <row r="10194" spans="1:1" ht="21">
      <c r="A10194" s="345"/>
    </row>
    <row r="10195" spans="1:1" ht="21">
      <c r="A10195" s="345"/>
    </row>
    <row r="10196" spans="1:1" ht="21">
      <c r="A10196" s="345"/>
    </row>
    <row r="10197" spans="1:1" ht="21">
      <c r="A10197" s="345"/>
    </row>
    <row r="10198" spans="1:1" ht="21">
      <c r="A10198" s="345"/>
    </row>
    <row r="10199" spans="1:1" ht="21">
      <c r="A10199" s="345"/>
    </row>
    <row r="10200" spans="1:1" ht="21">
      <c r="A10200" s="345"/>
    </row>
    <row r="10201" spans="1:1" ht="21">
      <c r="A10201" s="345"/>
    </row>
    <row r="10202" spans="1:1" ht="21">
      <c r="A10202" s="345"/>
    </row>
    <row r="10203" spans="1:1" ht="21">
      <c r="A10203" s="345"/>
    </row>
    <row r="10204" spans="1:1" ht="21">
      <c r="A10204" s="345"/>
    </row>
    <row r="10205" spans="1:1" ht="21">
      <c r="A10205" s="345"/>
    </row>
    <row r="10206" spans="1:1" ht="21">
      <c r="A10206" s="345"/>
    </row>
    <row r="10207" spans="1:1" ht="21">
      <c r="A10207" s="345"/>
    </row>
    <row r="10208" spans="1:1" ht="21">
      <c r="A10208" s="345"/>
    </row>
    <row r="10209" spans="1:1" ht="21">
      <c r="A10209" s="345"/>
    </row>
    <row r="10210" spans="1:1" ht="21">
      <c r="A10210" s="345"/>
    </row>
    <row r="10211" spans="1:1" ht="21">
      <c r="A10211" s="345"/>
    </row>
    <row r="10212" spans="1:1" ht="21">
      <c r="A10212" s="345"/>
    </row>
    <row r="10213" spans="1:1" ht="21">
      <c r="A10213" s="345"/>
    </row>
    <row r="10214" spans="1:1" ht="21">
      <c r="A10214" s="345"/>
    </row>
    <row r="10215" spans="1:1" ht="21">
      <c r="A10215" s="345"/>
    </row>
    <row r="10216" spans="1:1" ht="21">
      <c r="A10216" s="345"/>
    </row>
    <row r="10217" spans="1:1" ht="21">
      <c r="A10217" s="345"/>
    </row>
    <row r="10218" spans="1:1" ht="21">
      <c r="A10218" s="345"/>
    </row>
    <row r="10219" spans="1:1" ht="21">
      <c r="A10219" s="345"/>
    </row>
    <row r="10220" spans="1:1" ht="21">
      <c r="A10220" s="345"/>
    </row>
    <row r="10221" spans="1:1" ht="21">
      <c r="A10221" s="345"/>
    </row>
    <row r="10222" spans="1:1" ht="21">
      <c r="A10222" s="345"/>
    </row>
    <row r="10223" spans="1:1" ht="21">
      <c r="A10223" s="345"/>
    </row>
    <row r="10224" spans="1:1" ht="21">
      <c r="A10224" s="345"/>
    </row>
    <row r="10225" spans="1:1" ht="21">
      <c r="A10225" s="345"/>
    </row>
    <row r="10226" spans="1:1" ht="21">
      <c r="A10226" s="345"/>
    </row>
    <row r="10227" spans="1:1" ht="21">
      <c r="A10227" s="345"/>
    </row>
    <row r="10228" spans="1:1" ht="21">
      <c r="A10228" s="345"/>
    </row>
    <row r="10229" spans="1:1" ht="21">
      <c r="A10229" s="345"/>
    </row>
    <row r="10230" spans="1:1" ht="21">
      <c r="A10230" s="345"/>
    </row>
    <row r="10231" spans="1:1" ht="21">
      <c r="A10231" s="345"/>
    </row>
    <row r="10232" spans="1:1" ht="21">
      <c r="A10232" s="345"/>
    </row>
    <row r="10233" spans="1:1" ht="21">
      <c r="A10233" s="345"/>
    </row>
    <row r="10234" spans="1:1" ht="21">
      <c r="A10234" s="345"/>
    </row>
    <row r="10235" spans="1:1" ht="21">
      <c r="A10235" s="345"/>
    </row>
    <row r="10236" spans="1:1" ht="21">
      <c r="A10236" s="345"/>
    </row>
    <row r="10237" spans="1:1" ht="21">
      <c r="A10237" s="345"/>
    </row>
    <row r="10238" spans="1:1" ht="21">
      <c r="A10238" s="345"/>
    </row>
    <row r="10239" spans="1:1" ht="21">
      <c r="A10239" s="345"/>
    </row>
    <row r="10240" spans="1:1" ht="21">
      <c r="A10240" s="345"/>
    </row>
    <row r="10241" spans="1:1" ht="21">
      <c r="A10241" s="345"/>
    </row>
    <row r="10242" spans="1:1" ht="21">
      <c r="A10242" s="345"/>
    </row>
    <row r="10243" spans="1:1" ht="21">
      <c r="A10243" s="345"/>
    </row>
    <row r="10244" spans="1:1" ht="21">
      <c r="A10244" s="345"/>
    </row>
    <row r="10245" spans="1:1" ht="21">
      <c r="A10245" s="345"/>
    </row>
    <row r="10246" spans="1:1" ht="21">
      <c r="A10246" s="345"/>
    </row>
    <row r="10247" spans="1:1" ht="21">
      <c r="A10247" s="345"/>
    </row>
    <row r="10248" spans="1:1" ht="21">
      <c r="A10248" s="345"/>
    </row>
    <row r="10249" spans="1:1" ht="21">
      <c r="A10249" s="345"/>
    </row>
    <row r="10250" spans="1:1" ht="21">
      <c r="A10250" s="345"/>
    </row>
    <row r="10251" spans="1:1" ht="21">
      <c r="A10251" s="345"/>
    </row>
    <row r="10252" spans="1:1" ht="21">
      <c r="A10252" s="345"/>
    </row>
    <row r="10253" spans="1:1" ht="21">
      <c r="A10253" s="345"/>
    </row>
    <row r="10254" spans="1:1" ht="21">
      <c r="A10254" s="345"/>
    </row>
    <row r="10255" spans="1:1" ht="21">
      <c r="A10255" s="345"/>
    </row>
    <row r="10256" spans="1:1" ht="21">
      <c r="A10256" s="345"/>
    </row>
    <row r="10257" spans="1:1" ht="21">
      <c r="A10257" s="345"/>
    </row>
    <row r="10258" spans="1:1" ht="21">
      <c r="A10258" s="345"/>
    </row>
    <row r="10259" spans="1:1" ht="21">
      <c r="A10259" s="345"/>
    </row>
    <row r="10260" spans="1:1" ht="21">
      <c r="A10260" s="345"/>
    </row>
    <row r="10261" spans="1:1" ht="21">
      <c r="A10261" s="345"/>
    </row>
    <row r="10262" spans="1:1" ht="21">
      <c r="A10262" s="345"/>
    </row>
    <row r="10263" spans="1:1" ht="21">
      <c r="A10263" s="345"/>
    </row>
    <row r="10264" spans="1:1" ht="21">
      <c r="A10264" s="345"/>
    </row>
    <row r="10265" spans="1:1" ht="21">
      <c r="A10265" s="345"/>
    </row>
    <row r="10266" spans="1:1" ht="21">
      <c r="A10266" s="345"/>
    </row>
    <row r="10267" spans="1:1" ht="21">
      <c r="A10267" s="345"/>
    </row>
    <row r="10268" spans="1:1" ht="21">
      <c r="A10268" s="345"/>
    </row>
    <row r="10269" spans="1:1" ht="21">
      <c r="A10269" s="345"/>
    </row>
    <row r="10270" spans="1:1" ht="21">
      <c r="A10270" s="345"/>
    </row>
    <row r="10271" spans="1:1" ht="21">
      <c r="A10271" s="345"/>
    </row>
    <row r="10272" spans="1:1" ht="21">
      <c r="A10272" s="345"/>
    </row>
    <row r="10273" spans="1:1" ht="21">
      <c r="A10273" s="345"/>
    </row>
    <row r="10274" spans="1:1" ht="21">
      <c r="A10274" s="345"/>
    </row>
    <row r="10275" spans="1:1" ht="21">
      <c r="A10275" s="345"/>
    </row>
    <row r="10276" spans="1:1" ht="21">
      <c r="A10276" s="345"/>
    </row>
    <row r="10277" spans="1:1" ht="21">
      <c r="A10277" s="345"/>
    </row>
    <row r="10278" spans="1:1" ht="21">
      <c r="A10278" s="345"/>
    </row>
    <row r="10279" spans="1:1" ht="21">
      <c r="A10279" s="345"/>
    </row>
    <row r="10280" spans="1:1" ht="21">
      <c r="A10280" s="345"/>
    </row>
    <row r="10281" spans="1:1" ht="21">
      <c r="A10281" s="345"/>
    </row>
    <row r="10282" spans="1:1" ht="21">
      <c r="A10282" s="345"/>
    </row>
    <row r="10283" spans="1:1" ht="21">
      <c r="A10283" s="345"/>
    </row>
    <row r="10284" spans="1:1" ht="21">
      <c r="A10284" s="345"/>
    </row>
    <row r="10285" spans="1:1" ht="21">
      <c r="A10285" s="345"/>
    </row>
    <row r="10286" spans="1:1" ht="21">
      <c r="A10286" s="345"/>
    </row>
    <row r="10287" spans="1:1" ht="21">
      <c r="A10287" s="345"/>
    </row>
    <row r="10288" spans="1:1" ht="21">
      <c r="A10288" s="345"/>
    </row>
    <row r="10289" spans="1:1" ht="21">
      <c r="A10289" s="345"/>
    </row>
    <row r="10290" spans="1:1" ht="21">
      <c r="A10290" s="345"/>
    </row>
    <row r="10291" spans="1:1" ht="21">
      <c r="A10291" s="345"/>
    </row>
    <row r="10292" spans="1:1" ht="21">
      <c r="A10292" s="345"/>
    </row>
    <row r="10293" spans="1:1" ht="21">
      <c r="A10293" s="345"/>
    </row>
    <row r="10294" spans="1:1" ht="21">
      <c r="A10294" s="345"/>
    </row>
    <row r="10295" spans="1:1" ht="21">
      <c r="A10295" s="345"/>
    </row>
    <row r="10296" spans="1:1" ht="21">
      <c r="A10296" s="345"/>
    </row>
    <row r="10297" spans="1:1" ht="21">
      <c r="A10297" s="345"/>
    </row>
    <row r="10298" spans="1:1" ht="21">
      <c r="A10298" s="345"/>
    </row>
    <row r="10299" spans="1:1" ht="21">
      <c r="A10299" s="345"/>
    </row>
    <row r="10300" spans="1:1" ht="21">
      <c r="A10300" s="345"/>
    </row>
    <row r="10301" spans="1:1" ht="21">
      <c r="A10301" s="345"/>
    </row>
    <row r="10302" spans="1:1" ht="21">
      <c r="A10302" s="345"/>
    </row>
    <row r="10303" spans="1:1" ht="21">
      <c r="A10303" s="345"/>
    </row>
    <row r="10304" spans="1:1" ht="21">
      <c r="A10304" s="345"/>
    </row>
    <row r="10305" spans="1:1" ht="21">
      <c r="A10305" s="345"/>
    </row>
    <row r="10306" spans="1:1" ht="21">
      <c r="A10306" s="345"/>
    </row>
    <row r="10307" spans="1:1" ht="21">
      <c r="A10307" s="345"/>
    </row>
    <row r="10308" spans="1:1" ht="21">
      <c r="A10308" s="345"/>
    </row>
    <row r="10309" spans="1:1" ht="21">
      <c r="A10309" s="345"/>
    </row>
    <row r="10310" spans="1:1" ht="21">
      <c r="A10310" s="345"/>
    </row>
    <row r="10311" spans="1:1" ht="21">
      <c r="A10311" s="345"/>
    </row>
    <row r="10312" spans="1:1" ht="21">
      <c r="A10312" s="345"/>
    </row>
    <row r="10313" spans="1:1" ht="21">
      <c r="A10313" s="345"/>
    </row>
    <row r="10314" spans="1:1" ht="21">
      <c r="A10314" s="345"/>
    </row>
    <row r="10315" spans="1:1" ht="21">
      <c r="A10315" s="345"/>
    </row>
    <row r="10316" spans="1:1" ht="21">
      <c r="A10316" s="345"/>
    </row>
    <row r="10317" spans="1:1" ht="21">
      <c r="A10317" s="345"/>
    </row>
    <row r="10318" spans="1:1" ht="21">
      <c r="A10318" s="345"/>
    </row>
    <row r="10319" spans="1:1" ht="21">
      <c r="A10319" s="345"/>
    </row>
    <row r="10320" spans="1:1" ht="21">
      <c r="A10320" s="345"/>
    </row>
    <row r="10321" spans="1:1" ht="21">
      <c r="A10321" s="345"/>
    </row>
    <row r="10322" spans="1:1" ht="21">
      <c r="A10322" s="345"/>
    </row>
    <row r="10323" spans="1:1" ht="21">
      <c r="A10323" s="345"/>
    </row>
    <row r="10324" spans="1:1" ht="21">
      <c r="A10324" s="345"/>
    </row>
    <row r="10325" spans="1:1" ht="21">
      <c r="A10325" s="345"/>
    </row>
    <row r="10326" spans="1:1" ht="21">
      <c r="A10326" s="345"/>
    </row>
    <row r="10327" spans="1:1" ht="21">
      <c r="A10327" s="345"/>
    </row>
    <row r="10328" spans="1:1" ht="21">
      <c r="A10328" s="345"/>
    </row>
    <row r="10329" spans="1:1" ht="21">
      <c r="A10329" s="345"/>
    </row>
    <row r="10330" spans="1:1" ht="21">
      <c r="A10330" s="345"/>
    </row>
    <row r="10331" spans="1:1" ht="21">
      <c r="A10331" s="345"/>
    </row>
    <row r="10332" spans="1:1" ht="21">
      <c r="A10332" s="345"/>
    </row>
    <row r="10333" spans="1:1" ht="21">
      <c r="A10333" s="345"/>
    </row>
    <row r="10334" spans="1:1" ht="21">
      <c r="A10334" s="345"/>
    </row>
    <row r="10335" spans="1:1" ht="21">
      <c r="A10335" s="345"/>
    </row>
    <row r="10336" spans="1:1" ht="21">
      <c r="A10336" s="345"/>
    </row>
    <row r="10337" spans="1:1" ht="21">
      <c r="A10337" s="345"/>
    </row>
    <row r="10338" spans="1:1" ht="21">
      <c r="A10338" s="345"/>
    </row>
    <row r="10339" spans="1:1" ht="21">
      <c r="A10339" s="345"/>
    </row>
    <row r="10340" spans="1:1" ht="21">
      <c r="A10340" s="345"/>
    </row>
    <row r="10341" spans="1:1" ht="21">
      <c r="A10341" s="345"/>
    </row>
    <row r="10342" spans="1:1" ht="21">
      <c r="A10342" s="345"/>
    </row>
    <row r="10343" spans="1:1" ht="21">
      <c r="A10343" s="345"/>
    </row>
    <row r="10344" spans="1:1" ht="21">
      <c r="A10344" s="345"/>
    </row>
    <row r="10345" spans="1:1" ht="21">
      <c r="A10345" s="345"/>
    </row>
    <row r="10346" spans="1:1" ht="21">
      <c r="A10346" s="345"/>
    </row>
    <row r="10347" spans="1:1" ht="21">
      <c r="A10347" s="345"/>
    </row>
    <row r="10348" spans="1:1" ht="21">
      <c r="A10348" s="345"/>
    </row>
    <row r="10349" spans="1:1" ht="21">
      <c r="A10349" s="345"/>
    </row>
    <row r="10350" spans="1:1" ht="21">
      <c r="A10350" s="345"/>
    </row>
    <row r="10351" spans="1:1" ht="21">
      <c r="A10351" s="345"/>
    </row>
    <row r="10352" spans="1:1" ht="21">
      <c r="A10352" s="345"/>
    </row>
    <row r="10353" spans="1:1" ht="21">
      <c r="A10353" s="345"/>
    </row>
    <row r="10354" spans="1:1" ht="21">
      <c r="A10354" s="345"/>
    </row>
    <row r="10355" spans="1:1" ht="21">
      <c r="A10355" s="345"/>
    </row>
    <row r="10356" spans="1:1" ht="21">
      <c r="A10356" s="345"/>
    </row>
    <row r="10357" spans="1:1" ht="21">
      <c r="A10357" s="345"/>
    </row>
    <row r="10358" spans="1:1" ht="21">
      <c r="A10358" s="345"/>
    </row>
    <row r="10359" spans="1:1" ht="21">
      <c r="A10359" s="345"/>
    </row>
    <row r="10360" spans="1:1" ht="21">
      <c r="A10360" s="345"/>
    </row>
    <row r="10361" spans="1:1" ht="21">
      <c r="A10361" s="345"/>
    </row>
    <row r="10362" spans="1:1" ht="21">
      <c r="A10362" s="345"/>
    </row>
    <row r="10363" spans="1:1" ht="21">
      <c r="A10363" s="345"/>
    </row>
    <row r="10364" spans="1:1" ht="21">
      <c r="A10364" s="345"/>
    </row>
    <row r="10365" spans="1:1" ht="21">
      <c r="A10365" s="345"/>
    </row>
    <row r="10366" spans="1:1" ht="21">
      <c r="A10366" s="345"/>
    </row>
    <row r="10367" spans="1:1" ht="21">
      <c r="A10367" s="345"/>
    </row>
    <row r="10368" spans="1:1" ht="21">
      <c r="A10368" s="345"/>
    </row>
    <row r="10369" spans="1:1" ht="21">
      <c r="A10369" s="345"/>
    </row>
    <row r="10370" spans="1:1" ht="21">
      <c r="A10370" s="345"/>
    </row>
    <row r="10371" spans="1:1" ht="21">
      <c r="A10371" s="345"/>
    </row>
    <row r="10372" spans="1:1" ht="21">
      <c r="A10372" s="345"/>
    </row>
    <row r="10373" spans="1:1" ht="21">
      <c r="A10373" s="345"/>
    </row>
    <row r="10374" spans="1:1" ht="21">
      <c r="A10374" s="345"/>
    </row>
    <row r="10375" spans="1:1" ht="21">
      <c r="A10375" s="345"/>
    </row>
    <row r="10376" spans="1:1" ht="21">
      <c r="A10376" s="345"/>
    </row>
    <row r="10377" spans="1:1" ht="21">
      <c r="A10377" s="345"/>
    </row>
    <row r="10378" spans="1:1" ht="21">
      <c r="A10378" s="345"/>
    </row>
    <row r="10379" spans="1:1" ht="21">
      <c r="A10379" s="345"/>
    </row>
    <row r="10380" spans="1:1" ht="21">
      <c r="A10380" s="345"/>
    </row>
    <row r="10381" spans="1:1" ht="21">
      <c r="A10381" s="345"/>
    </row>
    <row r="10382" spans="1:1" ht="21">
      <c r="A10382" s="345"/>
    </row>
    <row r="10383" spans="1:1" ht="21">
      <c r="A10383" s="345"/>
    </row>
    <row r="10384" spans="1:1" ht="21">
      <c r="A10384" s="345"/>
    </row>
    <row r="10385" spans="1:1" ht="21">
      <c r="A10385" s="345"/>
    </row>
    <row r="10386" spans="1:1" ht="21">
      <c r="A10386" s="345"/>
    </row>
    <row r="10387" spans="1:1" ht="21">
      <c r="A10387" s="345"/>
    </row>
    <row r="10388" spans="1:1" ht="21">
      <c r="A10388" s="345"/>
    </row>
    <row r="10389" spans="1:1" ht="21">
      <c r="A10389" s="345"/>
    </row>
    <row r="10390" spans="1:1" ht="21">
      <c r="A10390" s="345"/>
    </row>
    <row r="10391" spans="1:1" ht="21">
      <c r="A10391" s="345"/>
    </row>
    <row r="10392" spans="1:1" ht="21">
      <c r="A10392" s="345"/>
    </row>
    <row r="10393" spans="1:1" ht="21">
      <c r="A10393" s="345"/>
    </row>
    <row r="10394" spans="1:1" ht="21">
      <c r="A10394" s="345"/>
    </row>
    <row r="10395" spans="1:1" ht="21">
      <c r="A10395" s="345"/>
    </row>
    <row r="10396" spans="1:1" ht="21">
      <c r="A10396" s="345"/>
    </row>
    <row r="10397" spans="1:1" ht="21">
      <c r="A10397" s="345"/>
    </row>
    <row r="10398" spans="1:1" ht="21">
      <c r="A10398" s="345"/>
    </row>
    <row r="10399" spans="1:1" ht="21">
      <c r="A10399" s="345"/>
    </row>
    <row r="10400" spans="1:1" ht="21">
      <c r="A10400" s="345"/>
    </row>
    <row r="10401" spans="1:1" ht="21">
      <c r="A10401" s="345"/>
    </row>
    <row r="10402" spans="1:1" ht="21">
      <c r="A10402" s="345"/>
    </row>
    <row r="10403" spans="1:1" ht="21">
      <c r="A10403" s="345"/>
    </row>
    <row r="10404" spans="1:1" ht="21">
      <c r="A10404" s="345"/>
    </row>
    <row r="10405" spans="1:1" ht="21">
      <c r="A10405" s="345"/>
    </row>
    <row r="10406" spans="1:1" ht="21">
      <c r="A10406" s="345"/>
    </row>
    <row r="10407" spans="1:1" ht="21">
      <c r="A10407" s="345"/>
    </row>
    <row r="10408" spans="1:1" ht="21">
      <c r="A10408" s="345"/>
    </row>
    <row r="10409" spans="1:1" ht="21">
      <c r="A10409" s="345"/>
    </row>
    <row r="10410" spans="1:1" ht="21">
      <c r="A10410" s="345"/>
    </row>
    <row r="10411" spans="1:1" ht="21">
      <c r="A10411" s="345"/>
    </row>
    <row r="10412" spans="1:1" ht="21">
      <c r="A10412" s="345"/>
    </row>
    <row r="10413" spans="1:1" ht="21">
      <c r="A10413" s="345"/>
    </row>
    <row r="10414" spans="1:1" ht="21">
      <c r="A10414" s="345"/>
    </row>
    <row r="10415" spans="1:1" ht="21">
      <c r="A10415" s="345"/>
    </row>
    <row r="10416" spans="1:1" ht="21">
      <c r="A10416" s="345"/>
    </row>
    <row r="10417" spans="1:1" ht="21">
      <c r="A10417" s="345"/>
    </row>
    <row r="10418" spans="1:1" ht="21">
      <c r="A10418" s="345"/>
    </row>
    <row r="10419" spans="1:1" ht="21">
      <c r="A10419" s="345"/>
    </row>
    <row r="10420" spans="1:1" ht="21">
      <c r="A10420" s="345"/>
    </row>
    <row r="10421" spans="1:1" ht="21">
      <c r="A10421" s="345"/>
    </row>
    <row r="10422" spans="1:1" ht="21">
      <c r="A10422" s="345"/>
    </row>
    <row r="10423" spans="1:1" ht="21">
      <c r="A10423" s="345"/>
    </row>
    <row r="10424" spans="1:1" ht="21">
      <c r="A10424" s="345"/>
    </row>
    <row r="10425" spans="1:1" ht="21">
      <c r="A10425" s="345"/>
    </row>
    <row r="10426" spans="1:1" ht="21">
      <c r="A10426" s="345"/>
    </row>
    <row r="10427" spans="1:1" ht="21">
      <c r="A10427" s="345"/>
    </row>
    <row r="10428" spans="1:1" ht="21">
      <c r="A10428" s="345"/>
    </row>
    <row r="10429" spans="1:1" ht="21">
      <c r="A10429" s="345"/>
    </row>
    <row r="10430" spans="1:1" ht="21">
      <c r="A10430" s="345"/>
    </row>
    <row r="10431" spans="1:1" ht="21">
      <c r="A10431" s="345"/>
    </row>
    <row r="10432" spans="1:1" ht="21">
      <c r="A10432" s="345"/>
    </row>
    <row r="10433" spans="1:1" ht="21">
      <c r="A10433" s="345"/>
    </row>
    <row r="10434" spans="1:1" ht="21">
      <c r="A10434" s="345"/>
    </row>
    <row r="10435" spans="1:1" ht="21">
      <c r="A10435" s="345"/>
    </row>
    <row r="10436" spans="1:1" ht="21">
      <c r="A10436" s="345"/>
    </row>
    <row r="10437" spans="1:1" ht="21">
      <c r="A10437" s="345"/>
    </row>
    <row r="10438" spans="1:1" ht="21">
      <c r="A10438" s="345"/>
    </row>
    <row r="10439" spans="1:1" ht="21">
      <c r="A10439" s="345"/>
    </row>
    <row r="10440" spans="1:1" ht="21">
      <c r="A10440" s="345"/>
    </row>
    <row r="10441" spans="1:1" ht="21">
      <c r="A10441" s="345"/>
    </row>
    <row r="10442" spans="1:1" ht="21">
      <c r="A10442" s="345"/>
    </row>
    <row r="10443" spans="1:1" ht="21">
      <c r="A10443" s="345"/>
    </row>
    <row r="10444" spans="1:1" ht="21">
      <c r="A10444" s="345"/>
    </row>
    <row r="10445" spans="1:1" ht="21">
      <c r="A10445" s="345"/>
    </row>
    <row r="10446" spans="1:1" ht="21">
      <c r="A10446" s="345"/>
    </row>
    <row r="10447" spans="1:1" ht="21">
      <c r="A10447" s="345"/>
    </row>
    <row r="10448" spans="1:1" ht="21">
      <c r="A10448" s="345"/>
    </row>
    <row r="10449" spans="1:1" ht="21">
      <c r="A10449" s="345"/>
    </row>
    <row r="10450" spans="1:1" ht="21">
      <c r="A10450" s="345"/>
    </row>
    <row r="10451" spans="1:1" ht="21">
      <c r="A10451" s="345"/>
    </row>
    <row r="10452" spans="1:1" ht="21">
      <c r="A10452" s="345"/>
    </row>
    <row r="10453" spans="1:1" ht="21">
      <c r="A10453" s="345"/>
    </row>
    <row r="10454" spans="1:1" ht="21">
      <c r="A10454" s="345"/>
    </row>
    <row r="10455" spans="1:1" ht="21">
      <c r="A10455" s="345"/>
    </row>
    <row r="10456" spans="1:1" ht="21">
      <c r="A10456" s="345"/>
    </row>
    <row r="10457" spans="1:1" ht="21">
      <c r="A10457" s="345"/>
    </row>
    <row r="10458" spans="1:1" ht="21">
      <c r="A10458" s="345"/>
    </row>
    <row r="10459" spans="1:1" ht="21">
      <c r="A10459" s="345"/>
    </row>
    <row r="10460" spans="1:1" ht="21">
      <c r="A10460" s="345"/>
    </row>
    <row r="10461" spans="1:1" ht="21">
      <c r="A10461" s="345"/>
    </row>
    <row r="10462" spans="1:1" ht="21">
      <c r="A10462" s="345"/>
    </row>
    <row r="10463" spans="1:1" ht="21">
      <c r="A10463" s="345"/>
    </row>
    <row r="10464" spans="1:1" ht="21">
      <c r="A10464" s="345"/>
    </row>
    <row r="10465" spans="1:1" ht="21">
      <c r="A10465" s="345"/>
    </row>
    <row r="10466" spans="1:1" ht="21">
      <c r="A10466" s="345"/>
    </row>
    <row r="10467" spans="1:1" ht="21">
      <c r="A10467" s="345"/>
    </row>
    <row r="10468" spans="1:1" ht="21">
      <c r="A10468" s="345"/>
    </row>
    <row r="10469" spans="1:1" ht="21">
      <c r="A10469" s="345"/>
    </row>
    <row r="10470" spans="1:1" ht="21">
      <c r="A10470" s="345"/>
    </row>
    <row r="10471" spans="1:1" ht="21">
      <c r="A10471" s="345"/>
    </row>
    <row r="10472" spans="1:1" ht="21">
      <c r="A10472" s="345"/>
    </row>
    <row r="10473" spans="1:1" ht="21">
      <c r="A10473" s="345"/>
    </row>
    <row r="10474" spans="1:1" ht="21">
      <c r="A10474" s="345"/>
    </row>
    <row r="10475" spans="1:1" ht="21">
      <c r="A10475" s="345"/>
    </row>
    <row r="10476" spans="1:1" ht="21">
      <c r="A10476" s="345"/>
    </row>
    <row r="10477" spans="1:1" ht="21">
      <c r="A10477" s="345"/>
    </row>
    <row r="10478" spans="1:1" ht="21">
      <c r="A10478" s="345"/>
    </row>
    <row r="10479" spans="1:1" ht="21">
      <c r="A10479" s="345"/>
    </row>
    <row r="10480" spans="1:1" ht="21">
      <c r="A10480" s="345"/>
    </row>
    <row r="10481" spans="1:1" ht="21">
      <c r="A10481" s="345"/>
    </row>
    <row r="10482" spans="1:1" ht="21">
      <c r="A10482" s="345"/>
    </row>
    <row r="10483" spans="1:1" ht="21">
      <c r="A10483" s="345"/>
    </row>
    <row r="10484" spans="1:1" ht="21">
      <c r="A10484" s="345"/>
    </row>
    <row r="10485" spans="1:1" ht="21">
      <c r="A10485" s="345"/>
    </row>
    <row r="10486" spans="1:1" ht="21">
      <c r="A10486" s="345"/>
    </row>
    <row r="10487" spans="1:1" ht="21">
      <c r="A10487" s="345"/>
    </row>
    <row r="10488" spans="1:1" ht="21">
      <c r="A10488" s="345"/>
    </row>
    <row r="10489" spans="1:1" ht="21">
      <c r="A10489" s="345"/>
    </row>
    <row r="10490" spans="1:1" ht="21">
      <c r="A10490" s="345"/>
    </row>
    <row r="10491" spans="1:1" ht="21">
      <c r="A10491" s="345"/>
    </row>
    <row r="10492" spans="1:1" ht="21">
      <c r="A10492" s="345"/>
    </row>
    <row r="10493" spans="1:1" ht="21">
      <c r="A10493" s="345"/>
    </row>
    <row r="10494" spans="1:1" ht="21">
      <c r="A10494" s="345"/>
    </row>
    <row r="10495" spans="1:1" ht="21">
      <c r="A10495" s="345"/>
    </row>
    <row r="10496" spans="1:1" ht="21">
      <c r="A10496" s="345"/>
    </row>
    <row r="10497" spans="1:1" ht="21">
      <c r="A10497" s="345"/>
    </row>
    <row r="10498" spans="1:1" ht="21">
      <c r="A10498" s="345"/>
    </row>
    <row r="10499" spans="1:1" ht="21">
      <c r="A10499" s="345"/>
    </row>
    <row r="10500" spans="1:1" ht="21">
      <c r="A10500" s="345"/>
    </row>
    <row r="10501" spans="1:1" ht="21">
      <c r="A10501" s="345"/>
    </row>
    <row r="10502" spans="1:1" ht="21">
      <c r="A10502" s="345"/>
    </row>
    <row r="10503" spans="1:1" ht="21">
      <c r="A10503" s="345"/>
    </row>
    <row r="10504" spans="1:1" ht="21">
      <c r="A10504" s="345"/>
    </row>
    <row r="10505" spans="1:1" ht="21">
      <c r="A10505" s="345"/>
    </row>
    <row r="10506" spans="1:1" ht="21">
      <c r="A10506" s="345"/>
    </row>
    <row r="10507" spans="1:1" ht="21">
      <c r="A10507" s="345"/>
    </row>
    <row r="10508" spans="1:1" ht="21">
      <c r="A10508" s="345"/>
    </row>
    <row r="10509" spans="1:1" ht="21">
      <c r="A10509" s="345"/>
    </row>
    <row r="10510" spans="1:1" ht="21">
      <c r="A10510" s="345"/>
    </row>
    <row r="10511" spans="1:1" ht="21">
      <c r="A10511" s="345"/>
    </row>
    <row r="10512" spans="1:1" ht="21">
      <c r="A10512" s="345"/>
    </row>
    <row r="10513" spans="1:1" ht="21">
      <c r="A10513" s="345"/>
    </row>
    <row r="10514" spans="1:1" ht="21">
      <c r="A10514" s="345"/>
    </row>
    <row r="10515" spans="1:1" ht="21">
      <c r="A10515" s="345"/>
    </row>
    <row r="10516" spans="1:1" ht="21">
      <c r="A10516" s="345"/>
    </row>
    <row r="10517" spans="1:1" ht="21">
      <c r="A10517" s="345"/>
    </row>
    <row r="10518" spans="1:1" ht="21">
      <c r="A10518" s="345"/>
    </row>
    <row r="10519" spans="1:1" ht="21">
      <c r="A10519" s="345"/>
    </row>
    <row r="10520" spans="1:1" ht="21">
      <c r="A10520" s="345"/>
    </row>
    <row r="10521" spans="1:1" ht="21">
      <c r="A10521" s="345"/>
    </row>
    <row r="10522" spans="1:1" ht="21">
      <c r="A10522" s="345"/>
    </row>
    <row r="10523" spans="1:1" ht="21">
      <c r="A10523" s="345"/>
    </row>
    <row r="10524" spans="1:1" ht="21">
      <c r="A10524" s="345"/>
    </row>
    <row r="10525" spans="1:1" ht="21">
      <c r="A10525" s="345"/>
    </row>
    <row r="10526" spans="1:1" ht="21">
      <c r="A10526" s="345"/>
    </row>
    <row r="10527" spans="1:1" ht="21">
      <c r="A10527" s="345"/>
    </row>
    <row r="10528" spans="1:1" ht="21">
      <c r="A10528" s="345"/>
    </row>
    <row r="10529" spans="1:1" ht="21">
      <c r="A10529" s="345"/>
    </row>
    <row r="10530" spans="1:1" ht="21">
      <c r="A10530" s="345"/>
    </row>
    <row r="10531" spans="1:1" ht="21">
      <c r="A10531" s="345"/>
    </row>
    <row r="10532" spans="1:1" ht="21">
      <c r="A10532" s="345"/>
    </row>
    <row r="10533" spans="1:1" ht="21">
      <c r="A10533" s="345"/>
    </row>
    <row r="10534" spans="1:1" ht="21">
      <c r="A10534" s="345"/>
    </row>
    <row r="10535" spans="1:1" ht="21">
      <c r="A10535" s="345"/>
    </row>
    <row r="10536" spans="1:1" ht="21">
      <c r="A10536" s="345"/>
    </row>
    <row r="10537" spans="1:1" ht="21">
      <c r="A10537" s="345"/>
    </row>
    <row r="10538" spans="1:1" ht="21">
      <c r="A10538" s="345"/>
    </row>
    <row r="10539" spans="1:1" ht="21">
      <c r="A10539" s="345"/>
    </row>
    <row r="10540" spans="1:1" ht="21">
      <c r="A10540" s="345"/>
    </row>
    <row r="10541" spans="1:1" ht="21">
      <c r="A10541" s="345"/>
    </row>
    <row r="10542" spans="1:1" ht="21">
      <c r="A10542" s="345"/>
    </row>
    <row r="10543" spans="1:1" ht="21">
      <c r="A10543" s="345"/>
    </row>
    <row r="10544" spans="1:1" ht="21">
      <c r="A10544" s="345"/>
    </row>
    <row r="10545" spans="1:1" ht="21">
      <c r="A10545" s="345"/>
    </row>
    <row r="10546" spans="1:1" ht="21">
      <c r="A10546" s="345"/>
    </row>
    <row r="10547" spans="1:1" ht="21">
      <c r="A10547" s="345"/>
    </row>
    <row r="10548" spans="1:1" ht="21">
      <c r="A10548" s="345"/>
    </row>
    <row r="10549" spans="1:1" ht="21">
      <c r="A10549" s="345"/>
    </row>
    <row r="10550" spans="1:1" ht="21">
      <c r="A10550" s="345"/>
    </row>
    <row r="10551" spans="1:1" ht="21">
      <c r="A10551" s="345"/>
    </row>
    <row r="10552" spans="1:1" ht="21">
      <c r="A10552" s="345"/>
    </row>
    <row r="10553" spans="1:1" ht="21">
      <c r="A10553" s="345"/>
    </row>
    <row r="10554" spans="1:1" ht="21">
      <c r="A10554" s="345"/>
    </row>
    <row r="10555" spans="1:1" ht="21">
      <c r="A10555" s="345"/>
    </row>
    <row r="10556" spans="1:1" ht="21">
      <c r="A10556" s="345"/>
    </row>
    <row r="10557" spans="1:1" ht="21">
      <c r="A10557" s="345"/>
    </row>
    <row r="10558" spans="1:1" ht="21">
      <c r="A10558" s="345"/>
    </row>
    <row r="10559" spans="1:1" ht="21">
      <c r="A10559" s="345"/>
    </row>
    <row r="10560" spans="1:1" ht="21">
      <c r="A10560" s="345"/>
    </row>
    <row r="10561" spans="1:1" ht="21">
      <c r="A10561" s="345"/>
    </row>
    <row r="10562" spans="1:1" ht="21">
      <c r="A10562" s="345"/>
    </row>
    <row r="10563" spans="1:1" ht="21">
      <c r="A10563" s="345"/>
    </row>
    <row r="10564" spans="1:1" ht="21">
      <c r="A10564" s="345"/>
    </row>
    <row r="10565" spans="1:1" ht="21">
      <c r="A10565" s="345"/>
    </row>
    <row r="10566" spans="1:1" ht="21">
      <c r="A10566" s="345"/>
    </row>
    <row r="10567" spans="1:1" ht="21">
      <c r="A10567" s="345"/>
    </row>
    <row r="10568" spans="1:1" ht="21">
      <c r="A10568" s="345"/>
    </row>
    <row r="10569" spans="1:1" ht="21">
      <c r="A10569" s="345"/>
    </row>
    <row r="10570" spans="1:1" ht="21">
      <c r="A10570" s="345"/>
    </row>
    <row r="10571" spans="1:1" ht="21">
      <c r="A10571" s="345"/>
    </row>
    <row r="10572" spans="1:1" ht="21">
      <c r="A10572" s="345"/>
    </row>
    <row r="10573" spans="1:1" ht="21">
      <c r="A10573" s="345"/>
    </row>
    <row r="10574" spans="1:1" ht="21">
      <c r="A10574" s="345"/>
    </row>
    <row r="10575" spans="1:1" ht="21">
      <c r="A10575" s="345"/>
    </row>
    <row r="10576" spans="1:1" ht="21">
      <c r="A10576" s="345"/>
    </row>
    <row r="10577" spans="1:1" ht="21">
      <c r="A10577" s="345"/>
    </row>
    <row r="10578" spans="1:1" ht="21">
      <c r="A10578" s="345"/>
    </row>
    <row r="10579" spans="1:1" ht="21">
      <c r="A10579" s="345"/>
    </row>
    <row r="10580" spans="1:1" ht="21">
      <c r="A10580" s="345"/>
    </row>
    <row r="10581" spans="1:1" ht="21">
      <c r="A10581" s="345"/>
    </row>
    <row r="10582" spans="1:1" ht="21">
      <c r="A10582" s="345"/>
    </row>
    <row r="10583" spans="1:1" ht="21">
      <c r="A10583" s="345"/>
    </row>
    <row r="10584" spans="1:1" ht="21">
      <c r="A10584" s="345"/>
    </row>
    <row r="10585" spans="1:1" ht="21">
      <c r="A10585" s="345"/>
    </row>
    <row r="10586" spans="1:1" ht="21">
      <c r="A10586" s="345"/>
    </row>
    <row r="10587" spans="1:1" ht="21">
      <c r="A10587" s="345"/>
    </row>
    <row r="10588" spans="1:1" ht="21">
      <c r="A10588" s="345"/>
    </row>
    <row r="10589" spans="1:1" ht="21">
      <c r="A10589" s="345"/>
    </row>
    <row r="10590" spans="1:1" ht="21">
      <c r="A10590" s="345"/>
    </row>
    <row r="10591" spans="1:1" ht="21">
      <c r="A10591" s="345"/>
    </row>
    <row r="10592" spans="1:1" ht="21">
      <c r="A10592" s="345"/>
    </row>
    <row r="10593" spans="1:1" ht="21">
      <c r="A10593" s="345"/>
    </row>
    <row r="10594" spans="1:1" ht="21">
      <c r="A10594" s="345"/>
    </row>
    <row r="10595" spans="1:1" ht="21">
      <c r="A10595" s="345"/>
    </row>
    <row r="10596" spans="1:1" ht="21">
      <c r="A10596" s="345"/>
    </row>
    <row r="10597" spans="1:1" ht="21">
      <c r="A10597" s="345"/>
    </row>
    <row r="10598" spans="1:1" ht="21">
      <c r="A10598" s="345"/>
    </row>
    <row r="10599" spans="1:1" ht="21">
      <c r="A10599" s="345"/>
    </row>
    <row r="10600" spans="1:1" ht="21">
      <c r="A10600" s="345"/>
    </row>
    <row r="10601" spans="1:1" ht="21">
      <c r="A10601" s="345"/>
    </row>
    <row r="10602" spans="1:1" ht="21">
      <c r="A10602" s="345"/>
    </row>
    <row r="10603" spans="1:1" ht="21">
      <c r="A10603" s="345"/>
    </row>
    <row r="10604" spans="1:1" ht="21">
      <c r="A10604" s="345"/>
    </row>
    <row r="10605" spans="1:1" ht="21">
      <c r="A10605" s="345"/>
    </row>
    <row r="10606" spans="1:1" ht="21">
      <c r="A10606" s="345"/>
    </row>
    <row r="10607" spans="1:1" ht="21">
      <c r="A10607" s="345"/>
    </row>
    <row r="10608" spans="1:1" ht="21">
      <c r="A10608" s="345"/>
    </row>
    <row r="10609" spans="1:1" ht="21">
      <c r="A10609" s="345"/>
    </row>
    <row r="10610" spans="1:1" ht="21">
      <c r="A10610" s="345"/>
    </row>
    <row r="10611" spans="1:1" ht="21">
      <c r="A10611" s="345"/>
    </row>
    <row r="10612" spans="1:1" ht="21">
      <c r="A10612" s="345"/>
    </row>
    <row r="10613" spans="1:1" ht="21">
      <c r="A10613" s="345"/>
    </row>
    <row r="10614" spans="1:1" ht="21">
      <c r="A10614" s="345"/>
    </row>
    <row r="10615" spans="1:1" ht="21">
      <c r="A10615" s="345"/>
    </row>
    <row r="10616" spans="1:1" ht="21">
      <c r="A10616" s="345"/>
    </row>
    <row r="10617" spans="1:1" ht="21">
      <c r="A10617" s="345"/>
    </row>
    <row r="10618" spans="1:1" ht="21">
      <c r="A10618" s="345"/>
    </row>
    <row r="10619" spans="1:1" ht="21">
      <c r="A10619" s="345"/>
    </row>
    <row r="10620" spans="1:1" ht="21">
      <c r="A10620" s="345"/>
    </row>
    <row r="10621" spans="1:1" ht="21">
      <c r="A10621" s="345"/>
    </row>
    <row r="10622" spans="1:1" ht="21">
      <c r="A10622" s="345"/>
    </row>
    <row r="10623" spans="1:1" ht="21">
      <c r="A10623" s="345"/>
    </row>
    <row r="10624" spans="1:1" ht="21">
      <c r="A10624" s="345"/>
    </row>
    <row r="10625" spans="1:1" ht="21">
      <c r="A10625" s="345"/>
    </row>
    <row r="10626" spans="1:1" ht="21">
      <c r="A10626" s="345"/>
    </row>
    <row r="10627" spans="1:1" ht="21">
      <c r="A10627" s="345"/>
    </row>
    <row r="10628" spans="1:1" ht="21">
      <c r="A10628" s="345"/>
    </row>
    <row r="10629" spans="1:1" ht="21">
      <c r="A10629" s="345"/>
    </row>
    <row r="10630" spans="1:1" ht="21">
      <c r="A10630" s="345"/>
    </row>
    <row r="10631" spans="1:1" ht="21">
      <c r="A10631" s="345"/>
    </row>
    <row r="10632" spans="1:1" ht="21">
      <c r="A10632" s="345"/>
    </row>
    <row r="10633" spans="1:1" ht="21">
      <c r="A10633" s="345"/>
    </row>
    <row r="10634" spans="1:1" ht="21">
      <c r="A10634" s="345"/>
    </row>
    <row r="10635" spans="1:1" ht="21">
      <c r="A10635" s="345"/>
    </row>
    <row r="10636" spans="1:1" ht="21">
      <c r="A10636" s="345"/>
    </row>
    <row r="10637" spans="1:1" ht="21">
      <c r="A10637" s="345"/>
    </row>
    <row r="10638" spans="1:1" ht="21">
      <c r="A10638" s="345"/>
    </row>
    <row r="10639" spans="1:1" ht="21">
      <c r="A10639" s="345"/>
    </row>
    <row r="10640" spans="1:1" ht="21">
      <c r="A10640" s="345"/>
    </row>
    <row r="10641" spans="1:1" ht="21">
      <c r="A10641" s="345"/>
    </row>
    <row r="10642" spans="1:1" ht="21">
      <c r="A10642" s="345"/>
    </row>
    <row r="10643" spans="1:1" ht="21">
      <c r="A10643" s="345"/>
    </row>
    <row r="10644" spans="1:1" ht="21">
      <c r="A10644" s="345"/>
    </row>
    <row r="10645" spans="1:1" ht="21">
      <c r="A10645" s="345"/>
    </row>
    <row r="10646" spans="1:1" ht="21">
      <c r="A10646" s="345"/>
    </row>
    <row r="10647" spans="1:1" ht="21">
      <c r="A10647" s="345"/>
    </row>
    <row r="10648" spans="1:1" ht="21">
      <c r="A10648" s="345"/>
    </row>
    <row r="10649" spans="1:1" ht="21">
      <c r="A10649" s="345"/>
    </row>
    <row r="10650" spans="1:1" ht="21">
      <c r="A10650" s="345"/>
    </row>
    <row r="10651" spans="1:1" ht="21">
      <c r="A10651" s="345"/>
    </row>
    <row r="10652" spans="1:1" ht="21">
      <c r="A10652" s="345"/>
    </row>
    <row r="10653" spans="1:1" ht="21">
      <c r="A10653" s="345"/>
    </row>
    <row r="10654" spans="1:1" ht="21">
      <c r="A10654" s="345"/>
    </row>
    <row r="10655" spans="1:1" ht="21">
      <c r="A10655" s="345"/>
    </row>
    <row r="10656" spans="1:1" ht="21">
      <c r="A10656" s="345"/>
    </row>
    <row r="10657" spans="1:1" ht="21">
      <c r="A10657" s="345"/>
    </row>
    <row r="10658" spans="1:1" ht="21">
      <c r="A10658" s="345"/>
    </row>
    <row r="10659" spans="1:1" ht="21">
      <c r="A10659" s="345"/>
    </row>
    <row r="10660" spans="1:1" ht="21">
      <c r="A10660" s="345"/>
    </row>
    <row r="10661" spans="1:1" ht="21">
      <c r="A10661" s="345"/>
    </row>
    <row r="10662" spans="1:1" ht="21">
      <c r="A10662" s="345"/>
    </row>
    <row r="10663" spans="1:1" ht="21">
      <c r="A10663" s="345"/>
    </row>
    <row r="10664" spans="1:1" ht="21">
      <c r="A10664" s="345"/>
    </row>
    <row r="10665" spans="1:1" ht="21">
      <c r="A10665" s="345"/>
    </row>
    <row r="10666" spans="1:1" ht="21">
      <c r="A10666" s="345"/>
    </row>
    <row r="10667" spans="1:1" ht="21">
      <c r="A10667" s="345"/>
    </row>
    <row r="10668" spans="1:1" ht="21">
      <c r="A10668" s="345"/>
    </row>
    <row r="10669" spans="1:1" ht="21">
      <c r="A10669" s="345"/>
    </row>
    <row r="10670" spans="1:1" ht="21">
      <c r="A10670" s="345"/>
    </row>
    <row r="10671" spans="1:1" ht="21">
      <c r="A10671" s="345"/>
    </row>
    <row r="10672" spans="1:1" ht="21">
      <c r="A10672" s="345"/>
    </row>
    <row r="10673" spans="1:1" ht="21">
      <c r="A10673" s="345"/>
    </row>
    <row r="10674" spans="1:1" ht="21">
      <c r="A10674" s="345"/>
    </row>
    <row r="10675" spans="1:1" ht="21">
      <c r="A10675" s="345"/>
    </row>
    <row r="10676" spans="1:1" ht="21">
      <c r="A10676" s="345"/>
    </row>
    <row r="10677" spans="1:1" ht="21">
      <c r="A10677" s="345"/>
    </row>
    <row r="10678" spans="1:1" ht="21">
      <c r="A10678" s="345"/>
    </row>
    <row r="10679" spans="1:1" ht="21">
      <c r="A10679" s="345"/>
    </row>
    <row r="10680" spans="1:1" ht="21">
      <c r="A10680" s="345"/>
    </row>
    <row r="10681" spans="1:1" ht="21">
      <c r="A10681" s="345"/>
    </row>
    <row r="10682" spans="1:1" ht="21">
      <c r="A10682" s="345"/>
    </row>
    <row r="10683" spans="1:1" ht="21">
      <c r="A10683" s="345"/>
    </row>
    <row r="10684" spans="1:1" ht="21">
      <c r="A10684" s="345"/>
    </row>
    <row r="10685" spans="1:1" ht="21">
      <c r="A10685" s="345"/>
    </row>
    <row r="10686" spans="1:1" ht="21">
      <c r="A10686" s="345"/>
    </row>
    <row r="10687" spans="1:1" ht="21">
      <c r="A10687" s="345"/>
    </row>
    <row r="10688" spans="1:1" ht="21">
      <c r="A10688" s="345"/>
    </row>
    <row r="10689" spans="1:1" ht="21">
      <c r="A10689" s="345"/>
    </row>
    <row r="10690" spans="1:1" ht="21">
      <c r="A10690" s="345"/>
    </row>
    <row r="10691" spans="1:1" ht="21">
      <c r="A10691" s="345"/>
    </row>
    <row r="10692" spans="1:1" ht="21">
      <c r="A10692" s="345"/>
    </row>
    <row r="10693" spans="1:1" ht="21">
      <c r="A10693" s="345"/>
    </row>
    <row r="10694" spans="1:1" ht="21">
      <c r="A10694" s="345"/>
    </row>
    <row r="10695" spans="1:1" ht="21">
      <c r="A10695" s="345"/>
    </row>
    <row r="10696" spans="1:1" ht="21">
      <c r="A10696" s="345"/>
    </row>
    <row r="10697" spans="1:1" ht="21">
      <c r="A10697" s="345"/>
    </row>
    <row r="10698" spans="1:1" ht="21">
      <c r="A10698" s="345"/>
    </row>
    <row r="10699" spans="1:1" ht="21">
      <c r="A10699" s="345"/>
    </row>
    <row r="10700" spans="1:1" ht="21">
      <c r="A10700" s="345"/>
    </row>
    <row r="10701" spans="1:1" ht="21">
      <c r="A10701" s="345"/>
    </row>
    <row r="10702" spans="1:1" ht="21">
      <c r="A10702" s="345"/>
    </row>
    <row r="10703" spans="1:1" ht="21">
      <c r="A10703" s="345"/>
    </row>
    <row r="10704" spans="1:1" ht="21">
      <c r="A10704" s="345"/>
    </row>
    <row r="10705" spans="1:1" ht="21">
      <c r="A10705" s="345"/>
    </row>
    <row r="10706" spans="1:1" ht="21">
      <c r="A10706" s="345"/>
    </row>
    <row r="10707" spans="1:1" ht="21">
      <c r="A10707" s="345"/>
    </row>
    <row r="10708" spans="1:1" ht="21">
      <c r="A10708" s="345"/>
    </row>
    <row r="10709" spans="1:1" ht="21">
      <c r="A10709" s="345"/>
    </row>
    <row r="10710" spans="1:1" ht="21">
      <c r="A10710" s="345"/>
    </row>
    <row r="10711" spans="1:1" ht="21">
      <c r="A10711" s="345"/>
    </row>
    <row r="10712" spans="1:1" ht="21">
      <c r="A10712" s="345"/>
    </row>
    <row r="10713" spans="1:1" ht="21">
      <c r="A10713" s="345"/>
    </row>
    <row r="10714" spans="1:1" ht="21">
      <c r="A10714" s="345"/>
    </row>
    <row r="10715" spans="1:1" ht="21">
      <c r="A10715" s="345"/>
    </row>
    <row r="10716" spans="1:1" ht="21">
      <c r="A10716" s="345"/>
    </row>
    <row r="10717" spans="1:1" ht="21">
      <c r="A10717" s="345"/>
    </row>
    <row r="10718" spans="1:1" ht="21">
      <c r="A10718" s="345"/>
    </row>
    <row r="10719" spans="1:1" ht="21">
      <c r="A10719" s="345"/>
    </row>
    <row r="10720" spans="1:1" ht="21">
      <c r="A10720" s="345"/>
    </row>
    <row r="10721" spans="1:1" ht="21">
      <c r="A10721" s="345"/>
    </row>
    <row r="10722" spans="1:1" ht="21">
      <c r="A10722" s="345"/>
    </row>
    <row r="10723" spans="1:1" ht="21">
      <c r="A10723" s="345"/>
    </row>
    <row r="10724" spans="1:1" ht="21">
      <c r="A10724" s="345"/>
    </row>
    <row r="10725" spans="1:1" ht="21">
      <c r="A10725" s="345"/>
    </row>
    <row r="10726" spans="1:1" ht="21">
      <c r="A10726" s="345"/>
    </row>
    <row r="10727" spans="1:1" ht="21">
      <c r="A10727" s="345"/>
    </row>
    <row r="10728" spans="1:1" ht="21">
      <c r="A10728" s="345"/>
    </row>
    <row r="10729" spans="1:1" ht="21">
      <c r="A10729" s="345"/>
    </row>
    <row r="10730" spans="1:1" ht="21">
      <c r="A10730" s="345"/>
    </row>
    <row r="10731" spans="1:1" ht="21">
      <c r="A10731" s="345"/>
    </row>
    <row r="10732" spans="1:1" ht="21">
      <c r="A10732" s="345"/>
    </row>
    <row r="10733" spans="1:1" ht="21">
      <c r="A10733" s="345"/>
    </row>
    <row r="10734" spans="1:1" ht="21">
      <c r="A10734" s="345"/>
    </row>
    <row r="10735" spans="1:1" ht="21">
      <c r="A10735" s="345"/>
    </row>
    <row r="10736" spans="1:1" ht="21">
      <c r="A10736" s="345"/>
    </row>
    <row r="10737" spans="1:1" ht="21">
      <c r="A10737" s="345"/>
    </row>
    <row r="10738" spans="1:1" ht="21">
      <c r="A10738" s="345"/>
    </row>
    <row r="10739" spans="1:1" ht="21">
      <c r="A10739" s="345"/>
    </row>
    <row r="10740" spans="1:1" ht="21">
      <c r="A10740" s="345"/>
    </row>
    <row r="10741" spans="1:1" ht="21">
      <c r="A10741" s="345"/>
    </row>
    <row r="10742" spans="1:1" ht="21">
      <c r="A10742" s="345"/>
    </row>
    <row r="10743" spans="1:1" ht="21">
      <c r="A10743" s="345"/>
    </row>
    <row r="10744" spans="1:1" ht="21">
      <c r="A10744" s="345"/>
    </row>
    <row r="10745" spans="1:1" ht="21">
      <c r="A10745" s="345"/>
    </row>
    <row r="10746" spans="1:1" ht="21">
      <c r="A10746" s="345"/>
    </row>
    <row r="10747" spans="1:1" ht="21">
      <c r="A10747" s="345"/>
    </row>
    <row r="10748" spans="1:1" ht="21">
      <c r="A10748" s="345"/>
    </row>
    <row r="10749" spans="1:1" ht="21">
      <c r="A10749" s="345"/>
    </row>
    <row r="10750" spans="1:1" ht="21">
      <c r="A10750" s="345"/>
    </row>
    <row r="10751" spans="1:1" ht="21">
      <c r="A10751" s="345"/>
    </row>
    <row r="10752" spans="1:1" ht="21">
      <c r="A10752" s="345"/>
    </row>
    <row r="10753" spans="1:1" ht="21">
      <c r="A10753" s="345"/>
    </row>
    <row r="10754" spans="1:1" ht="21">
      <c r="A10754" s="345"/>
    </row>
    <row r="10755" spans="1:1" ht="21">
      <c r="A10755" s="345"/>
    </row>
    <row r="10756" spans="1:1" ht="21">
      <c r="A10756" s="345"/>
    </row>
    <row r="10757" spans="1:1" ht="21">
      <c r="A10757" s="345"/>
    </row>
    <row r="10758" spans="1:1" ht="21">
      <c r="A10758" s="345"/>
    </row>
    <row r="10759" spans="1:1" ht="21">
      <c r="A10759" s="345"/>
    </row>
    <row r="10760" spans="1:1" ht="21">
      <c r="A10760" s="345"/>
    </row>
    <row r="10761" spans="1:1" ht="21">
      <c r="A10761" s="345"/>
    </row>
    <row r="10762" spans="1:1" ht="21">
      <c r="A10762" s="345"/>
    </row>
    <row r="10763" spans="1:1" ht="21">
      <c r="A10763" s="345"/>
    </row>
    <row r="10764" spans="1:1" ht="21">
      <c r="A10764" s="345"/>
    </row>
    <row r="10765" spans="1:1" ht="21">
      <c r="A10765" s="345"/>
    </row>
    <row r="10766" spans="1:1" ht="21">
      <c r="A10766" s="345"/>
    </row>
    <row r="10767" spans="1:1" ht="21">
      <c r="A10767" s="345"/>
    </row>
    <row r="10768" spans="1:1" ht="21">
      <c r="A10768" s="345"/>
    </row>
    <row r="10769" spans="1:1" ht="21">
      <c r="A10769" s="345"/>
    </row>
    <row r="10770" spans="1:1" ht="21">
      <c r="A10770" s="345"/>
    </row>
    <row r="10771" spans="1:1" ht="21">
      <c r="A10771" s="345"/>
    </row>
    <row r="10772" spans="1:1" ht="21">
      <c r="A10772" s="345"/>
    </row>
    <row r="10773" spans="1:1" ht="21">
      <c r="A10773" s="345"/>
    </row>
    <row r="10774" spans="1:1" ht="21">
      <c r="A10774" s="345"/>
    </row>
    <row r="10775" spans="1:1" ht="21">
      <c r="A10775" s="345"/>
    </row>
    <row r="10776" spans="1:1" ht="21">
      <c r="A10776" s="345"/>
    </row>
    <row r="10777" spans="1:1" ht="21">
      <c r="A10777" s="345"/>
    </row>
    <row r="10778" spans="1:1" ht="21">
      <c r="A10778" s="345"/>
    </row>
    <row r="10779" spans="1:1" ht="21">
      <c r="A10779" s="345"/>
    </row>
    <row r="10780" spans="1:1" ht="21">
      <c r="A10780" s="345"/>
    </row>
    <row r="10781" spans="1:1" ht="21">
      <c r="A10781" s="345"/>
    </row>
    <row r="10782" spans="1:1" ht="21">
      <c r="A10782" s="345"/>
    </row>
    <row r="10783" spans="1:1" ht="21">
      <c r="A10783" s="345"/>
    </row>
    <row r="10784" spans="1:1" ht="21">
      <c r="A10784" s="345"/>
    </row>
    <row r="10785" spans="1:1" ht="21">
      <c r="A10785" s="345"/>
    </row>
    <row r="10786" spans="1:1" ht="21">
      <c r="A10786" s="345"/>
    </row>
    <row r="10787" spans="1:1" ht="21">
      <c r="A10787" s="345"/>
    </row>
    <row r="10788" spans="1:1" ht="21">
      <c r="A10788" s="345"/>
    </row>
    <row r="10789" spans="1:1" ht="21">
      <c r="A10789" s="345"/>
    </row>
    <row r="10790" spans="1:1" ht="21">
      <c r="A10790" s="345"/>
    </row>
    <row r="10791" spans="1:1" ht="21">
      <c r="A10791" s="345"/>
    </row>
    <row r="10792" spans="1:1" ht="21">
      <c r="A10792" s="345"/>
    </row>
    <row r="10793" spans="1:1" ht="21">
      <c r="A10793" s="345"/>
    </row>
    <row r="10794" spans="1:1" ht="21">
      <c r="A10794" s="345"/>
    </row>
    <row r="10795" spans="1:1" ht="21">
      <c r="A10795" s="345"/>
    </row>
    <row r="10796" spans="1:1" ht="21">
      <c r="A10796" s="345"/>
    </row>
    <row r="10797" spans="1:1" ht="21">
      <c r="A10797" s="345"/>
    </row>
    <row r="10798" spans="1:1" ht="21">
      <c r="A10798" s="345"/>
    </row>
    <row r="10799" spans="1:1" ht="21">
      <c r="A10799" s="345"/>
    </row>
    <row r="10800" spans="1:1" ht="21">
      <c r="A10800" s="345"/>
    </row>
    <row r="10801" spans="1:1" ht="21">
      <c r="A10801" s="345"/>
    </row>
    <row r="10802" spans="1:1" ht="21">
      <c r="A10802" s="345"/>
    </row>
    <row r="10803" spans="1:1" ht="21">
      <c r="A10803" s="345"/>
    </row>
    <row r="10804" spans="1:1" ht="21">
      <c r="A10804" s="345"/>
    </row>
    <row r="10805" spans="1:1" ht="21">
      <c r="A10805" s="345"/>
    </row>
    <row r="10806" spans="1:1" ht="21">
      <c r="A10806" s="345"/>
    </row>
    <row r="10807" spans="1:1" ht="21">
      <c r="A10807" s="345"/>
    </row>
    <row r="10808" spans="1:1" ht="21">
      <c r="A10808" s="345"/>
    </row>
    <row r="10809" spans="1:1" ht="21">
      <c r="A10809" s="345"/>
    </row>
    <row r="10810" spans="1:1" ht="21">
      <c r="A10810" s="345"/>
    </row>
    <row r="10811" spans="1:1" ht="21">
      <c r="A10811" s="345"/>
    </row>
    <row r="10812" spans="1:1" ht="21">
      <c r="A10812" s="345"/>
    </row>
    <row r="10813" spans="1:1" ht="21">
      <c r="A10813" s="345"/>
    </row>
    <row r="10814" spans="1:1" ht="21">
      <c r="A10814" s="345"/>
    </row>
    <row r="10815" spans="1:1" ht="21">
      <c r="A10815" s="345"/>
    </row>
    <row r="10816" spans="1:1" ht="21">
      <c r="A10816" s="345"/>
    </row>
    <row r="10817" spans="1:1" ht="21">
      <c r="A10817" s="345"/>
    </row>
    <row r="10818" spans="1:1" ht="21">
      <c r="A10818" s="345"/>
    </row>
    <row r="10819" spans="1:1" ht="21">
      <c r="A10819" s="345"/>
    </row>
    <row r="10820" spans="1:1" ht="21">
      <c r="A10820" s="345"/>
    </row>
    <row r="10821" spans="1:1" ht="21">
      <c r="A10821" s="345"/>
    </row>
    <row r="10822" spans="1:1" ht="21">
      <c r="A10822" s="345"/>
    </row>
    <row r="10823" spans="1:1" ht="21">
      <c r="A10823" s="345"/>
    </row>
    <row r="10824" spans="1:1" ht="21">
      <c r="A10824" s="345"/>
    </row>
    <row r="10825" spans="1:1" ht="21">
      <c r="A10825" s="345"/>
    </row>
    <row r="10826" spans="1:1" ht="21">
      <c r="A10826" s="345"/>
    </row>
    <row r="10827" spans="1:1" ht="21">
      <c r="A10827" s="345"/>
    </row>
    <row r="10828" spans="1:1" ht="21">
      <c r="A10828" s="345"/>
    </row>
    <row r="10829" spans="1:1" ht="21">
      <c r="A10829" s="345"/>
    </row>
    <row r="10830" spans="1:1" ht="21">
      <c r="A10830" s="345"/>
    </row>
    <row r="10831" spans="1:1" ht="21">
      <c r="A10831" s="345"/>
    </row>
    <row r="10832" spans="1:1" ht="21">
      <c r="A10832" s="345"/>
    </row>
    <row r="10833" spans="1:1" ht="21">
      <c r="A10833" s="345"/>
    </row>
    <row r="10834" spans="1:1" ht="21">
      <c r="A10834" s="345"/>
    </row>
    <row r="10835" spans="1:1" ht="21">
      <c r="A10835" s="345"/>
    </row>
    <row r="10836" spans="1:1" ht="21">
      <c r="A10836" s="345"/>
    </row>
    <row r="10837" spans="1:1" ht="21">
      <c r="A10837" s="345"/>
    </row>
    <row r="10838" spans="1:1" ht="21">
      <c r="A10838" s="345"/>
    </row>
    <row r="10839" spans="1:1" ht="21">
      <c r="A10839" s="345"/>
    </row>
    <row r="10840" spans="1:1" ht="21">
      <c r="A10840" s="345"/>
    </row>
    <row r="10841" spans="1:1" ht="21">
      <c r="A10841" s="345"/>
    </row>
    <row r="10842" spans="1:1" ht="21">
      <c r="A10842" s="345"/>
    </row>
    <row r="10843" spans="1:1" ht="21">
      <c r="A10843" s="345"/>
    </row>
    <row r="10844" spans="1:1" ht="21">
      <c r="A10844" s="345"/>
    </row>
    <row r="10845" spans="1:1" ht="21">
      <c r="A10845" s="345"/>
    </row>
    <row r="10846" spans="1:1" ht="21">
      <c r="A10846" s="345"/>
    </row>
    <row r="10847" spans="1:1" ht="21">
      <c r="A10847" s="345"/>
    </row>
    <row r="10848" spans="1:1" ht="21">
      <c r="A10848" s="345"/>
    </row>
    <row r="10849" spans="1:1" ht="21">
      <c r="A10849" s="345"/>
    </row>
    <row r="10850" spans="1:1" ht="21">
      <c r="A10850" s="345"/>
    </row>
    <row r="10851" spans="1:1" ht="21">
      <c r="A10851" s="345"/>
    </row>
    <row r="10852" spans="1:1" ht="21">
      <c r="A10852" s="345"/>
    </row>
    <row r="10853" spans="1:1" ht="21">
      <c r="A10853" s="345"/>
    </row>
    <row r="10854" spans="1:1" ht="21">
      <c r="A10854" s="345"/>
    </row>
    <row r="10855" spans="1:1" ht="21">
      <c r="A10855" s="345"/>
    </row>
    <row r="10856" spans="1:1" ht="21">
      <c r="A10856" s="345"/>
    </row>
    <row r="10857" spans="1:1" ht="21">
      <c r="A10857" s="345"/>
    </row>
    <row r="10858" spans="1:1" ht="21">
      <c r="A10858" s="345"/>
    </row>
    <row r="10859" spans="1:1" ht="21">
      <c r="A10859" s="345"/>
    </row>
    <row r="10860" spans="1:1" ht="21">
      <c r="A10860" s="345"/>
    </row>
    <row r="10861" spans="1:1" ht="21">
      <c r="A10861" s="345"/>
    </row>
    <row r="10862" spans="1:1" ht="21">
      <c r="A10862" s="345"/>
    </row>
    <row r="10863" spans="1:1" ht="21">
      <c r="A10863" s="345"/>
    </row>
    <row r="10864" spans="1:1" ht="21">
      <c r="A10864" s="345"/>
    </row>
    <row r="10865" spans="1:1" ht="21">
      <c r="A10865" s="345"/>
    </row>
    <row r="10866" spans="1:1" ht="21">
      <c r="A10866" s="345"/>
    </row>
    <row r="10867" spans="1:1" ht="21">
      <c r="A10867" s="345"/>
    </row>
    <row r="10868" spans="1:1" ht="21">
      <c r="A10868" s="345"/>
    </row>
    <row r="10869" spans="1:1" ht="21">
      <c r="A10869" s="345"/>
    </row>
    <row r="10870" spans="1:1" ht="21">
      <c r="A10870" s="345"/>
    </row>
    <row r="10871" spans="1:1" ht="21">
      <c r="A10871" s="345"/>
    </row>
    <row r="10872" spans="1:1" ht="21">
      <c r="A10872" s="345"/>
    </row>
    <row r="10873" spans="1:1" ht="21">
      <c r="A10873" s="345"/>
    </row>
    <row r="10874" spans="1:1" ht="21">
      <c r="A10874" s="345"/>
    </row>
    <row r="10875" spans="1:1" ht="21">
      <c r="A10875" s="345"/>
    </row>
    <row r="10876" spans="1:1" ht="21">
      <c r="A10876" s="345"/>
    </row>
    <row r="10877" spans="1:1" ht="21">
      <c r="A10877" s="345"/>
    </row>
    <row r="10878" spans="1:1" ht="21">
      <c r="A10878" s="345"/>
    </row>
    <row r="10879" spans="1:1" ht="21">
      <c r="A10879" s="345"/>
    </row>
    <row r="10880" spans="1:1" ht="21">
      <c r="A10880" s="345"/>
    </row>
    <row r="10881" spans="1:1" ht="21">
      <c r="A10881" s="345"/>
    </row>
    <row r="10882" spans="1:1" ht="21">
      <c r="A10882" s="345"/>
    </row>
    <row r="10883" spans="1:1" ht="21">
      <c r="A10883" s="345"/>
    </row>
    <row r="10884" spans="1:1" ht="21">
      <c r="A10884" s="345"/>
    </row>
    <row r="10885" spans="1:1" ht="21">
      <c r="A10885" s="345"/>
    </row>
    <row r="10886" spans="1:1" ht="21">
      <c r="A10886" s="345"/>
    </row>
    <row r="10887" spans="1:1" ht="21">
      <c r="A10887" s="345"/>
    </row>
    <row r="10888" spans="1:1" ht="21">
      <c r="A10888" s="345"/>
    </row>
    <row r="10889" spans="1:1" ht="21">
      <c r="A10889" s="345"/>
    </row>
    <row r="10890" spans="1:1" ht="21">
      <c r="A10890" s="345"/>
    </row>
    <row r="10891" spans="1:1" ht="21">
      <c r="A10891" s="345"/>
    </row>
    <row r="10892" spans="1:1" ht="21">
      <c r="A10892" s="345"/>
    </row>
    <row r="10893" spans="1:1" ht="21">
      <c r="A10893" s="345"/>
    </row>
    <row r="10894" spans="1:1" ht="21">
      <c r="A10894" s="345"/>
    </row>
    <row r="10895" spans="1:1" ht="21">
      <c r="A10895" s="345"/>
    </row>
    <row r="10896" spans="1:1" ht="21">
      <c r="A10896" s="345"/>
    </row>
    <row r="10897" spans="1:1" ht="21">
      <c r="A10897" s="345"/>
    </row>
    <row r="10898" spans="1:1" ht="21">
      <c r="A10898" s="345"/>
    </row>
    <row r="10899" spans="1:1" ht="21">
      <c r="A10899" s="345"/>
    </row>
    <row r="10900" spans="1:1" ht="21">
      <c r="A10900" s="345"/>
    </row>
    <row r="10901" spans="1:1" ht="21">
      <c r="A10901" s="345"/>
    </row>
    <row r="10902" spans="1:1" ht="21">
      <c r="A10902" s="345"/>
    </row>
    <row r="10903" spans="1:1" ht="21">
      <c r="A10903" s="345"/>
    </row>
    <row r="10904" spans="1:1" ht="21">
      <c r="A10904" s="345"/>
    </row>
    <row r="10905" spans="1:1" ht="21">
      <c r="A10905" s="345"/>
    </row>
    <row r="10906" spans="1:1" ht="21">
      <c r="A10906" s="345"/>
    </row>
    <row r="10907" spans="1:1" ht="21">
      <c r="A10907" s="345"/>
    </row>
    <row r="10908" spans="1:1" ht="21">
      <c r="A10908" s="345"/>
    </row>
    <row r="10909" spans="1:1" ht="21">
      <c r="A10909" s="345"/>
    </row>
    <row r="10910" spans="1:1" ht="21">
      <c r="A10910" s="345"/>
    </row>
    <row r="10911" spans="1:1" ht="21">
      <c r="A10911" s="345"/>
    </row>
    <row r="10912" spans="1:1" ht="21">
      <c r="A10912" s="345"/>
    </row>
    <row r="10913" spans="1:1" ht="21">
      <c r="A10913" s="345"/>
    </row>
    <row r="10914" spans="1:1" ht="21">
      <c r="A10914" s="345"/>
    </row>
    <row r="10915" spans="1:1" ht="21">
      <c r="A10915" s="345"/>
    </row>
    <row r="10916" spans="1:1" ht="21">
      <c r="A10916" s="345"/>
    </row>
    <row r="10917" spans="1:1" ht="21">
      <c r="A10917" s="345"/>
    </row>
    <row r="10918" spans="1:1" ht="21">
      <c r="A10918" s="345"/>
    </row>
    <row r="10919" spans="1:1" ht="21">
      <c r="A10919" s="345"/>
    </row>
    <row r="10920" spans="1:1" ht="21">
      <c r="A10920" s="345"/>
    </row>
    <row r="10921" spans="1:1" ht="21">
      <c r="A10921" s="345"/>
    </row>
    <row r="10922" spans="1:1" ht="21">
      <c r="A10922" s="345"/>
    </row>
    <row r="10923" spans="1:1" ht="21">
      <c r="A10923" s="345"/>
    </row>
    <row r="10924" spans="1:1" ht="21">
      <c r="A10924" s="345"/>
    </row>
    <row r="10925" spans="1:1" ht="21">
      <c r="A10925" s="345"/>
    </row>
    <row r="10926" spans="1:1" ht="21">
      <c r="A10926" s="345"/>
    </row>
    <row r="10927" spans="1:1" ht="21">
      <c r="A10927" s="345"/>
    </row>
    <row r="10928" spans="1:1" ht="21">
      <c r="A10928" s="345"/>
    </row>
    <row r="10929" spans="1:1" ht="21">
      <c r="A10929" s="345"/>
    </row>
    <row r="10930" spans="1:1" ht="21">
      <c r="A10930" s="345"/>
    </row>
    <row r="10931" spans="1:1" ht="21">
      <c r="A10931" s="345"/>
    </row>
    <row r="10932" spans="1:1" ht="21">
      <c r="A10932" s="345"/>
    </row>
    <row r="10933" spans="1:1" ht="21">
      <c r="A10933" s="345"/>
    </row>
    <row r="10934" spans="1:1" ht="21">
      <c r="A10934" s="345"/>
    </row>
    <row r="10935" spans="1:1" ht="21">
      <c r="A10935" s="345"/>
    </row>
    <row r="10936" spans="1:1" ht="21">
      <c r="A10936" s="345"/>
    </row>
    <row r="10937" spans="1:1" ht="21">
      <c r="A10937" s="345"/>
    </row>
    <row r="10938" spans="1:1" ht="21">
      <c r="A10938" s="345"/>
    </row>
    <row r="10939" spans="1:1" ht="21">
      <c r="A10939" s="345"/>
    </row>
    <row r="10940" spans="1:1" ht="21">
      <c r="A10940" s="345"/>
    </row>
    <row r="10941" spans="1:1" ht="21">
      <c r="A10941" s="345"/>
    </row>
    <row r="10942" spans="1:1" ht="21">
      <c r="A10942" s="345"/>
    </row>
    <row r="10943" spans="1:1" ht="21">
      <c r="A10943" s="345"/>
    </row>
    <row r="10944" spans="1:1" ht="21">
      <c r="A10944" s="345"/>
    </row>
    <row r="10945" spans="1:1" ht="21">
      <c r="A10945" s="345"/>
    </row>
    <row r="10946" spans="1:1" ht="21">
      <c r="A10946" s="345"/>
    </row>
    <row r="10947" spans="1:1" ht="21">
      <c r="A10947" s="345"/>
    </row>
    <row r="10948" spans="1:1" ht="21">
      <c r="A10948" s="345"/>
    </row>
    <row r="10949" spans="1:1" ht="21">
      <c r="A10949" s="345"/>
    </row>
    <row r="10950" spans="1:1" ht="21">
      <c r="A10950" s="345"/>
    </row>
    <row r="10951" spans="1:1" ht="21">
      <c r="A10951" s="345"/>
    </row>
    <row r="10952" spans="1:1" ht="21">
      <c r="A10952" s="345"/>
    </row>
    <row r="10953" spans="1:1" ht="21">
      <c r="A10953" s="345"/>
    </row>
    <row r="10954" spans="1:1" ht="21">
      <c r="A10954" s="345"/>
    </row>
    <row r="10955" spans="1:1" ht="21">
      <c r="A10955" s="345"/>
    </row>
    <row r="10956" spans="1:1" ht="21">
      <c r="A10956" s="345"/>
    </row>
    <row r="10957" spans="1:1" ht="21">
      <c r="A10957" s="345"/>
    </row>
    <row r="10958" spans="1:1" ht="21">
      <c r="A10958" s="345"/>
    </row>
    <row r="10959" spans="1:1" ht="21">
      <c r="A10959" s="345"/>
    </row>
    <row r="10960" spans="1:1" ht="21">
      <c r="A10960" s="345"/>
    </row>
    <row r="10961" spans="1:1" ht="21">
      <c r="A10961" s="345"/>
    </row>
    <row r="10962" spans="1:1" ht="21">
      <c r="A10962" s="345"/>
    </row>
    <row r="10963" spans="1:1" ht="21">
      <c r="A10963" s="345"/>
    </row>
    <row r="10964" spans="1:1" ht="21">
      <c r="A10964" s="345"/>
    </row>
    <row r="10965" spans="1:1" ht="21">
      <c r="A10965" s="345"/>
    </row>
    <row r="10966" spans="1:1" ht="21">
      <c r="A10966" s="345"/>
    </row>
    <row r="10967" spans="1:1" ht="21">
      <c r="A10967" s="345"/>
    </row>
    <row r="10968" spans="1:1" ht="21">
      <c r="A10968" s="345"/>
    </row>
    <row r="10969" spans="1:1" ht="21">
      <c r="A10969" s="345"/>
    </row>
    <row r="10970" spans="1:1" ht="21">
      <c r="A10970" s="345"/>
    </row>
    <row r="10971" spans="1:1" ht="21">
      <c r="A10971" s="345"/>
    </row>
    <row r="10972" spans="1:1" ht="21">
      <c r="A10972" s="345"/>
    </row>
    <row r="10973" spans="1:1" ht="21">
      <c r="A10973" s="345"/>
    </row>
    <row r="10974" spans="1:1" ht="21">
      <c r="A10974" s="345"/>
    </row>
    <row r="10975" spans="1:1" ht="21">
      <c r="A10975" s="345"/>
    </row>
    <row r="10976" spans="1:1" ht="21">
      <c r="A10976" s="345"/>
    </row>
    <row r="10977" spans="1:1" ht="21">
      <c r="A10977" s="345"/>
    </row>
    <row r="10978" spans="1:1" ht="21">
      <c r="A10978" s="345"/>
    </row>
    <row r="10979" spans="1:1" ht="21">
      <c r="A10979" s="345"/>
    </row>
    <row r="10980" spans="1:1" ht="21">
      <c r="A10980" s="345"/>
    </row>
    <row r="10981" spans="1:1" ht="21">
      <c r="A10981" s="345"/>
    </row>
    <row r="10982" spans="1:1" ht="21">
      <c r="A10982" s="345"/>
    </row>
    <row r="10983" spans="1:1" ht="21">
      <c r="A10983" s="345"/>
    </row>
    <row r="10984" spans="1:1" ht="21">
      <c r="A10984" s="345"/>
    </row>
    <row r="10985" spans="1:1" ht="21">
      <c r="A10985" s="345"/>
    </row>
    <row r="10986" spans="1:1" ht="21">
      <c r="A10986" s="345"/>
    </row>
    <row r="10987" spans="1:1" ht="21">
      <c r="A10987" s="345"/>
    </row>
    <row r="10988" spans="1:1" ht="21">
      <c r="A10988" s="345"/>
    </row>
    <row r="10989" spans="1:1" ht="21">
      <c r="A10989" s="345"/>
    </row>
    <row r="10990" spans="1:1" ht="21">
      <c r="A10990" s="345"/>
    </row>
    <row r="10991" spans="1:1" ht="21">
      <c r="A10991" s="345"/>
    </row>
    <row r="10992" spans="1:1" ht="21">
      <c r="A10992" s="345"/>
    </row>
    <row r="10993" spans="1:1" ht="21">
      <c r="A10993" s="345"/>
    </row>
    <row r="10994" spans="1:1" ht="21">
      <c r="A10994" s="345"/>
    </row>
    <row r="10995" spans="1:1" ht="21">
      <c r="A10995" s="345"/>
    </row>
    <row r="10996" spans="1:1" ht="21">
      <c r="A10996" s="345"/>
    </row>
    <row r="10997" spans="1:1" ht="21">
      <c r="A10997" s="345"/>
    </row>
    <row r="10998" spans="1:1" ht="21">
      <c r="A10998" s="345"/>
    </row>
    <row r="10999" spans="1:1" ht="21">
      <c r="A10999" s="345"/>
    </row>
    <row r="11000" spans="1:1" ht="21">
      <c r="A11000" s="345"/>
    </row>
    <row r="11001" spans="1:1" ht="21">
      <c r="A11001" s="345"/>
    </row>
    <row r="11002" spans="1:1" ht="21">
      <c r="A11002" s="345"/>
    </row>
    <row r="11003" spans="1:1" ht="21">
      <c r="A11003" s="345"/>
    </row>
    <row r="11004" spans="1:1" ht="21">
      <c r="A11004" s="345"/>
    </row>
    <row r="11005" spans="1:1" ht="21">
      <c r="A11005" s="345"/>
    </row>
    <row r="11006" spans="1:1" ht="21">
      <c r="A11006" s="345"/>
    </row>
    <row r="11007" spans="1:1" ht="21">
      <c r="A11007" s="345"/>
    </row>
    <row r="11008" spans="1:1" ht="21">
      <c r="A11008" s="345"/>
    </row>
    <row r="11009" spans="1:1" ht="21">
      <c r="A11009" s="345"/>
    </row>
    <row r="11010" spans="1:1" ht="21">
      <c r="A11010" s="345"/>
    </row>
    <row r="11011" spans="1:1" ht="21">
      <c r="A11011" s="345"/>
    </row>
    <row r="11012" spans="1:1" ht="21">
      <c r="A11012" s="345"/>
    </row>
    <row r="11013" spans="1:1" ht="21">
      <c r="A11013" s="345"/>
    </row>
    <row r="11014" spans="1:1" ht="21">
      <c r="A11014" s="345"/>
    </row>
    <row r="11015" spans="1:1" ht="21">
      <c r="A11015" s="345"/>
    </row>
    <row r="11016" spans="1:1" ht="21">
      <c r="A11016" s="345"/>
    </row>
    <row r="11017" spans="1:1" ht="21">
      <c r="A11017" s="345"/>
    </row>
    <row r="11018" spans="1:1" ht="21">
      <c r="A11018" s="345"/>
    </row>
    <row r="11019" spans="1:1" ht="21">
      <c r="A11019" s="345"/>
    </row>
    <row r="11020" spans="1:1" ht="21">
      <c r="A11020" s="345"/>
    </row>
    <row r="11021" spans="1:1" ht="21">
      <c r="A11021" s="345"/>
    </row>
    <row r="11022" spans="1:1" ht="21">
      <c r="A11022" s="345"/>
    </row>
    <row r="11023" spans="1:1" ht="21">
      <c r="A11023" s="345"/>
    </row>
    <row r="11024" spans="1:1" ht="21">
      <c r="A11024" s="345"/>
    </row>
    <row r="11025" spans="1:1" ht="21">
      <c r="A11025" s="345"/>
    </row>
    <row r="11026" spans="1:1" ht="21">
      <c r="A11026" s="345"/>
    </row>
    <row r="11027" spans="1:1" ht="21">
      <c r="A11027" s="345"/>
    </row>
    <row r="11028" spans="1:1" ht="21">
      <c r="A11028" s="345"/>
    </row>
    <row r="11029" spans="1:1" ht="21">
      <c r="A11029" s="345"/>
    </row>
    <row r="11030" spans="1:1" ht="21">
      <c r="A11030" s="345"/>
    </row>
    <row r="11031" spans="1:1" ht="21">
      <c r="A11031" s="345"/>
    </row>
    <row r="11032" spans="1:1" ht="21">
      <c r="A11032" s="345"/>
    </row>
    <row r="11033" spans="1:1" ht="21">
      <c r="A11033" s="345"/>
    </row>
    <row r="11034" spans="1:1" ht="21">
      <c r="A11034" s="345"/>
    </row>
    <row r="11035" spans="1:1" ht="21">
      <c r="A11035" s="345"/>
    </row>
    <row r="11036" spans="1:1" ht="21">
      <c r="A11036" s="345"/>
    </row>
    <row r="11037" spans="1:1" ht="21">
      <c r="A11037" s="345"/>
    </row>
    <row r="11038" spans="1:1" ht="21">
      <c r="A11038" s="345"/>
    </row>
    <row r="11039" spans="1:1" ht="21">
      <c r="A11039" s="345"/>
    </row>
    <row r="11040" spans="1:1" ht="21">
      <c r="A11040" s="345"/>
    </row>
    <row r="11041" spans="1:1" ht="21">
      <c r="A11041" s="345"/>
    </row>
    <row r="11042" spans="1:1" ht="21">
      <c r="A11042" s="345"/>
    </row>
    <row r="11043" spans="1:1" ht="21">
      <c r="A11043" s="345"/>
    </row>
    <row r="11044" spans="1:1" ht="21">
      <c r="A11044" s="345"/>
    </row>
    <row r="11045" spans="1:1" ht="21">
      <c r="A11045" s="345"/>
    </row>
    <row r="11046" spans="1:1" ht="21">
      <c r="A11046" s="345"/>
    </row>
    <row r="11047" spans="1:1" ht="21">
      <c r="A11047" s="345"/>
    </row>
    <row r="11048" spans="1:1" ht="21">
      <c r="A11048" s="345"/>
    </row>
    <row r="11049" spans="1:1" ht="21">
      <c r="A11049" s="345"/>
    </row>
    <row r="11050" spans="1:1" ht="21">
      <c r="A11050" s="345"/>
    </row>
    <row r="11051" spans="1:1" ht="21">
      <c r="A11051" s="345"/>
    </row>
    <row r="11052" spans="1:1" ht="21">
      <c r="A11052" s="345"/>
    </row>
    <row r="11053" spans="1:1" ht="21">
      <c r="A11053" s="345"/>
    </row>
    <row r="11054" spans="1:1" ht="21">
      <c r="A11054" s="345"/>
    </row>
    <row r="11055" spans="1:1" ht="21">
      <c r="A11055" s="345"/>
    </row>
    <row r="11056" spans="1:1" ht="21">
      <c r="A11056" s="345"/>
    </row>
    <row r="11057" spans="1:1" ht="21">
      <c r="A11057" s="345"/>
    </row>
    <row r="11058" spans="1:1" ht="21">
      <c r="A11058" s="345"/>
    </row>
    <row r="11059" spans="1:1" ht="21">
      <c r="A11059" s="345"/>
    </row>
    <row r="11060" spans="1:1" ht="21">
      <c r="A11060" s="345"/>
    </row>
    <row r="11061" spans="1:1" ht="21">
      <c r="A11061" s="345"/>
    </row>
    <row r="11062" spans="1:1" ht="21">
      <c r="A11062" s="345"/>
    </row>
    <row r="11063" spans="1:1" ht="21">
      <c r="A11063" s="345"/>
    </row>
    <row r="11064" spans="1:1" ht="21">
      <c r="A11064" s="345"/>
    </row>
    <row r="11065" spans="1:1" ht="21">
      <c r="A11065" s="345"/>
    </row>
    <row r="11066" spans="1:1" ht="21">
      <c r="A11066" s="345"/>
    </row>
    <row r="11067" spans="1:1" ht="21">
      <c r="A11067" s="345"/>
    </row>
    <row r="11068" spans="1:1" ht="21">
      <c r="A11068" s="345"/>
    </row>
    <row r="11069" spans="1:1" ht="21">
      <c r="A11069" s="345"/>
    </row>
    <row r="11070" spans="1:1" ht="21">
      <c r="A11070" s="345"/>
    </row>
    <row r="11071" spans="1:1" ht="21">
      <c r="A11071" s="345"/>
    </row>
    <row r="11072" spans="1:1" ht="21">
      <c r="A11072" s="345"/>
    </row>
    <row r="11073" spans="1:1" ht="21">
      <c r="A11073" s="345"/>
    </row>
    <row r="11074" spans="1:1" ht="21">
      <c r="A11074" s="345"/>
    </row>
    <row r="11075" spans="1:1" ht="21">
      <c r="A11075" s="345"/>
    </row>
    <row r="11076" spans="1:1" ht="21">
      <c r="A11076" s="345"/>
    </row>
    <row r="11077" spans="1:1" ht="21">
      <c r="A11077" s="345"/>
    </row>
    <row r="11078" spans="1:1" ht="21">
      <c r="A11078" s="345"/>
    </row>
    <row r="11079" spans="1:1" ht="21">
      <c r="A11079" s="345"/>
    </row>
    <row r="11080" spans="1:1" ht="21">
      <c r="A11080" s="345"/>
    </row>
    <row r="11081" spans="1:1" ht="21">
      <c r="A11081" s="345"/>
    </row>
    <row r="11082" spans="1:1" ht="21">
      <c r="A11082" s="345"/>
    </row>
    <row r="11083" spans="1:1" ht="21">
      <c r="A11083" s="345"/>
    </row>
    <row r="11084" spans="1:1" ht="21">
      <c r="A11084" s="345"/>
    </row>
    <row r="11085" spans="1:1" ht="21">
      <c r="A11085" s="345"/>
    </row>
    <row r="11086" spans="1:1" ht="21">
      <c r="A11086" s="345"/>
    </row>
    <row r="11087" spans="1:1" ht="21">
      <c r="A11087" s="345"/>
    </row>
    <row r="11088" spans="1:1" ht="21">
      <c r="A11088" s="345"/>
    </row>
    <row r="11089" spans="1:1" ht="21">
      <c r="A11089" s="345"/>
    </row>
    <row r="11090" spans="1:1" ht="21">
      <c r="A11090" s="345"/>
    </row>
    <row r="11091" spans="1:1" ht="21">
      <c r="A11091" s="345"/>
    </row>
    <row r="11092" spans="1:1" ht="21">
      <c r="A11092" s="345"/>
    </row>
    <row r="11093" spans="1:1" ht="21">
      <c r="A11093" s="345"/>
    </row>
    <row r="11094" spans="1:1" ht="21">
      <c r="A11094" s="345"/>
    </row>
    <row r="11095" spans="1:1" ht="21">
      <c r="A11095" s="345"/>
    </row>
    <row r="11096" spans="1:1" ht="21">
      <c r="A11096" s="345"/>
    </row>
    <row r="11097" spans="1:1" ht="21">
      <c r="A11097" s="345"/>
    </row>
    <row r="11098" spans="1:1" ht="21">
      <c r="A11098" s="345"/>
    </row>
    <row r="11099" spans="1:1" ht="21">
      <c r="A11099" s="345"/>
    </row>
    <row r="11100" spans="1:1" ht="21">
      <c r="A11100" s="345"/>
    </row>
    <row r="11101" spans="1:1" ht="21">
      <c r="A11101" s="345"/>
    </row>
    <row r="11102" spans="1:1" ht="21">
      <c r="A11102" s="345"/>
    </row>
    <row r="11103" spans="1:1" ht="21">
      <c r="A11103" s="345"/>
    </row>
    <row r="11104" spans="1:1" ht="21">
      <c r="A11104" s="345"/>
    </row>
    <row r="11105" spans="1:1" ht="21">
      <c r="A11105" s="345"/>
    </row>
    <row r="11106" spans="1:1" ht="21">
      <c r="A11106" s="345"/>
    </row>
    <row r="11107" spans="1:1" ht="21">
      <c r="A11107" s="345"/>
    </row>
    <row r="11108" spans="1:1" ht="21">
      <c r="A11108" s="345"/>
    </row>
    <row r="11109" spans="1:1" ht="21">
      <c r="A11109" s="345"/>
    </row>
    <row r="11110" spans="1:1" ht="21">
      <c r="A11110" s="345"/>
    </row>
    <row r="11111" spans="1:1" ht="21">
      <c r="A11111" s="345"/>
    </row>
    <row r="11112" spans="1:1" ht="21">
      <c r="A11112" s="345"/>
    </row>
    <row r="11113" spans="1:1" ht="21">
      <c r="A11113" s="345"/>
    </row>
    <row r="11114" spans="1:1" ht="21">
      <c r="A11114" s="345"/>
    </row>
    <row r="11115" spans="1:1" ht="21">
      <c r="A11115" s="345"/>
    </row>
    <row r="11116" spans="1:1" ht="21">
      <c r="A11116" s="345"/>
    </row>
    <row r="11117" spans="1:1" ht="21">
      <c r="A11117" s="345"/>
    </row>
    <row r="11118" spans="1:1" ht="21">
      <c r="A11118" s="345"/>
    </row>
    <row r="11119" spans="1:1" ht="21">
      <c r="A11119" s="345"/>
    </row>
    <row r="11120" spans="1:1" ht="21">
      <c r="A11120" s="345"/>
    </row>
    <row r="11121" spans="1:1" ht="21">
      <c r="A11121" s="345"/>
    </row>
    <row r="11122" spans="1:1" ht="21">
      <c r="A11122" s="345"/>
    </row>
    <row r="11123" spans="1:1" ht="21">
      <c r="A11123" s="345"/>
    </row>
    <row r="11124" spans="1:1" ht="21">
      <c r="A11124" s="345"/>
    </row>
    <row r="11125" spans="1:1" ht="21">
      <c r="A11125" s="345"/>
    </row>
    <row r="11126" spans="1:1" ht="21">
      <c r="A11126" s="345"/>
    </row>
    <row r="11127" spans="1:1" ht="21">
      <c r="A11127" s="345"/>
    </row>
    <row r="11128" spans="1:1" ht="21">
      <c r="A11128" s="345"/>
    </row>
    <row r="11129" spans="1:1" ht="21">
      <c r="A11129" s="345"/>
    </row>
    <row r="11130" spans="1:1" ht="21">
      <c r="A11130" s="345"/>
    </row>
    <row r="11131" spans="1:1" ht="21">
      <c r="A11131" s="345"/>
    </row>
    <row r="11132" spans="1:1" ht="21">
      <c r="A11132" s="345"/>
    </row>
    <row r="11133" spans="1:1" ht="21">
      <c r="A11133" s="345"/>
    </row>
    <row r="11134" spans="1:1" ht="21">
      <c r="A11134" s="345"/>
    </row>
    <row r="11135" spans="1:1" ht="21">
      <c r="A11135" s="345"/>
    </row>
    <row r="11136" spans="1:1" ht="21">
      <c r="A11136" s="345"/>
    </row>
    <row r="11137" spans="1:1" ht="21">
      <c r="A11137" s="345"/>
    </row>
    <row r="11138" spans="1:1" ht="21">
      <c r="A11138" s="345"/>
    </row>
    <row r="11139" spans="1:1" ht="21">
      <c r="A11139" s="345"/>
    </row>
    <row r="11140" spans="1:1" ht="21">
      <c r="A11140" s="345"/>
    </row>
    <row r="11141" spans="1:1" ht="21">
      <c r="A11141" s="345"/>
    </row>
    <row r="11142" spans="1:1" ht="21">
      <c r="A11142" s="345"/>
    </row>
    <row r="11143" spans="1:1" ht="21">
      <c r="A11143" s="345"/>
    </row>
    <row r="11144" spans="1:1" ht="21">
      <c r="A11144" s="345"/>
    </row>
    <row r="11145" spans="1:1" ht="21">
      <c r="A11145" s="345"/>
    </row>
    <row r="11146" spans="1:1" ht="21">
      <c r="A11146" s="345"/>
    </row>
    <row r="11147" spans="1:1" ht="21">
      <c r="A11147" s="345"/>
    </row>
    <row r="11148" spans="1:1" ht="21">
      <c r="A11148" s="345"/>
    </row>
    <row r="11149" spans="1:1" ht="21">
      <c r="A11149" s="345"/>
    </row>
    <row r="11150" spans="1:1" ht="21">
      <c r="A11150" s="345"/>
    </row>
    <row r="11151" spans="1:1" ht="21">
      <c r="A11151" s="345"/>
    </row>
    <row r="11152" spans="1:1" ht="21">
      <c r="A11152" s="345"/>
    </row>
    <row r="11153" spans="1:1" ht="21">
      <c r="A11153" s="345"/>
    </row>
    <row r="11154" spans="1:1" ht="21">
      <c r="A11154" s="345"/>
    </row>
    <row r="11155" spans="1:1" ht="21">
      <c r="A11155" s="345"/>
    </row>
    <row r="11156" spans="1:1" ht="21">
      <c r="A11156" s="345"/>
    </row>
    <row r="11157" spans="1:1" ht="21">
      <c r="A11157" s="345"/>
    </row>
    <row r="11158" spans="1:1" ht="21">
      <c r="A11158" s="345"/>
    </row>
    <row r="11159" spans="1:1" ht="21">
      <c r="A11159" s="345"/>
    </row>
    <row r="11160" spans="1:1" ht="21">
      <c r="A11160" s="345"/>
    </row>
    <row r="11161" spans="1:1" ht="21">
      <c r="A11161" s="345"/>
    </row>
    <row r="11162" spans="1:1" ht="21">
      <c r="A11162" s="345"/>
    </row>
    <row r="11163" spans="1:1" ht="21">
      <c r="A11163" s="345"/>
    </row>
    <row r="11164" spans="1:1" ht="21">
      <c r="A11164" s="345"/>
    </row>
    <row r="11165" spans="1:1" ht="21">
      <c r="A11165" s="345"/>
    </row>
    <row r="11166" spans="1:1" ht="21">
      <c r="A11166" s="345"/>
    </row>
    <row r="11167" spans="1:1" ht="21">
      <c r="A11167" s="345"/>
    </row>
    <row r="11168" spans="1:1" ht="21">
      <c r="A11168" s="345"/>
    </row>
    <row r="11169" spans="1:1" ht="21">
      <c r="A11169" s="345"/>
    </row>
    <row r="11170" spans="1:1" ht="21">
      <c r="A11170" s="345"/>
    </row>
    <row r="11171" spans="1:1" ht="21">
      <c r="A11171" s="345"/>
    </row>
    <row r="11172" spans="1:1" ht="21">
      <c r="A11172" s="345"/>
    </row>
    <row r="11173" spans="1:1" ht="21">
      <c r="A11173" s="345"/>
    </row>
    <row r="11174" spans="1:1" ht="21">
      <c r="A11174" s="345"/>
    </row>
    <row r="11175" spans="1:1" ht="21">
      <c r="A11175" s="345"/>
    </row>
    <row r="11176" spans="1:1" ht="21">
      <c r="A11176" s="345"/>
    </row>
    <row r="11177" spans="1:1" ht="21">
      <c r="A11177" s="345"/>
    </row>
    <row r="11178" spans="1:1" ht="21">
      <c r="A11178" s="345"/>
    </row>
    <row r="11179" spans="1:1" ht="21">
      <c r="A11179" s="345"/>
    </row>
    <row r="11180" spans="1:1" ht="21">
      <c r="A11180" s="345"/>
    </row>
    <row r="11181" spans="1:1" ht="21">
      <c r="A11181" s="345"/>
    </row>
    <row r="11182" spans="1:1" ht="21">
      <c r="A11182" s="345"/>
    </row>
    <row r="11183" spans="1:1" ht="21">
      <c r="A11183" s="345"/>
    </row>
    <row r="11184" spans="1:1" ht="21">
      <c r="A11184" s="345"/>
    </row>
    <row r="11185" spans="1:1" ht="21">
      <c r="A11185" s="345"/>
    </row>
    <row r="11186" spans="1:1" ht="21">
      <c r="A11186" s="345"/>
    </row>
    <row r="11187" spans="1:1" ht="21">
      <c r="A11187" s="345"/>
    </row>
    <row r="11188" spans="1:1" ht="21">
      <c r="A11188" s="345"/>
    </row>
    <row r="11189" spans="1:1" ht="21">
      <c r="A11189" s="345"/>
    </row>
    <row r="11190" spans="1:1" ht="21">
      <c r="A11190" s="345"/>
    </row>
    <row r="11191" spans="1:1" ht="21">
      <c r="A11191" s="345"/>
    </row>
    <row r="11192" spans="1:1" ht="21">
      <c r="A11192" s="345"/>
    </row>
    <row r="11193" spans="1:1" ht="21">
      <c r="A11193" s="345"/>
    </row>
    <row r="11194" spans="1:1" ht="21">
      <c r="A11194" s="345"/>
    </row>
    <row r="11195" spans="1:1" ht="21">
      <c r="A11195" s="345"/>
    </row>
    <row r="11196" spans="1:1" ht="21">
      <c r="A11196" s="345"/>
    </row>
    <row r="11197" spans="1:1" ht="21">
      <c r="A11197" s="345"/>
    </row>
    <row r="11198" spans="1:1" ht="21">
      <c r="A11198" s="345"/>
    </row>
    <row r="11199" spans="1:1" ht="21">
      <c r="A11199" s="345"/>
    </row>
    <row r="11200" spans="1:1" ht="21">
      <c r="A11200" s="345"/>
    </row>
    <row r="11201" spans="1:1" ht="21">
      <c r="A11201" s="345"/>
    </row>
    <row r="11202" spans="1:1" ht="21">
      <c r="A11202" s="345"/>
    </row>
    <row r="11203" spans="1:1" ht="21">
      <c r="A11203" s="345"/>
    </row>
    <row r="11204" spans="1:1" ht="21">
      <c r="A11204" s="345"/>
    </row>
    <row r="11205" spans="1:1" ht="21">
      <c r="A11205" s="345"/>
    </row>
    <row r="11206" spans="1:1" ht="21">
      <c r="A11206" s="345"/>
    </row>
    <row r="11207" spans="1:1" ht="21">
      <c r="A11207" s="345"/>
    </row>
    <row r="11208" spans="1:1" ht="21">
      <c r="A11208" s="345"/>
    </row>
    <row r="11209" spans="1:1" ht="21">
      <c r="A11209" s="345"/>
    </row>
    <row r="11210" spans="1:1" ht="21">
      <c r="A11210" s="345"/>
    </row>
    <row r="11211" spans="1:1" ht="21">
      <c r="A11211" s="345"/>
    </row>
    <row r="11212" spans="1:1" ht="21">
      <c r="A11212" s="345"/>
    </row>
    <row r="11213" spans="1:1" ht="21">
      <c r="A11213" s="345"/>
    </row>
    <row r="11214" spans="1:1" ht="21">
      <c r="A11214" s="345"/>
    </row>
    <row r="11215" spans="1:1" ht="21">
      <c r="A11215" s="345"/>
    </row>
    <row r="11216" spans="1:1" ht="21">
      <c r="A11216" s="345"/>
    </row>
    <row r="11217" spans="1:1" ht="21">
      <c r="A11217" s="345"/>
    </row>
    <row r="11218" spans="1:1" ht="21">
      <c r="A11218" s="345"/>
    </row>
    <row r="11219" spans="1:1" ht="21">
      <c r="A11219" s="345"/>
    </row>
    <row r="11220" spans="1:1" ht="21">
      <c r="A11220" s="345"/>
    </row>
    <row r="11221" spans="1:1" ht="21">
      <c r="A11221" s="345"/>
    </row>
    <row r="11222" spans="1:1" ht="21">
      <c r="A11222" s="345"/>
    </row>
    <row r="11223" spans="1:1" ht="21">
      <c r="A11223" s="345"/>
    </row>
    <row r="11224" spans="1:1" ht="21">
      <c r="A11224" s="345"/>
    </row>
    <row r="11225" spans="1:1" ht="21">
      <c r="A11225" s="345"/>
    </row>
    <row r="11226" spans="1:1" ht="21">
      <c r="A11226" s="345"/>
    </row>
    <row r="11227" spans="1:1" ht="21">
      <c r="A11227" s="345"/>
    </row>
    <row r="11228" spans="1:1" ht="21">
      <c r="A11228" s="345"/>
    </row>
    <row r="11229" spans="1:1" ht="21">
      <c r="A11229" s="345"/>
    </row>
    <row r="11230" spans="1:1" ht="21">
      <c r="A11230" s="345"/>
    </row>
    <row r="11231" spans="1:1" ht="21">
      <c r="A11231" s="345"/>
    </row>
    <row r="11232" spans="1:1" ht="21">
      <c r="A11232" s="345"/>
    </row>
    <row r="11233" spans="1:1" ht="21">
      <c r="A11233" s="345"/>
    </row>
    <row r="11234" spans="1:1" ht="21">
      <c r="A11234" s="345"/>
    </row>
    <row r="11235" spans="1:1" ht="21">
      <c r="A11235" s="345"/>
    </row>
    <row r="11236" spans="1:1" ht="21">
      <c r="A11236" s="345"/>
    </row>
    <row r="11237" spans="1:1" ht="21">
      <c r="A11237" s="345"/>
    </row>
    <row r="11238" spans="1:1" ht="21">
      <c r="A11238" s="345"/>
    </row>
    <row r="11239" spans="1:1" ht="21">
      <c r="A11239" s="345"/>
    </row>
    <row r="11240" spans="1:1" ht="21">
      <c r="A11240" s="345"/>
    </row>
    <row r="11241" spans="1:1" ht="21">
      <c r="A11241" s="345"/>
    </row>
    <row r="11242" spans="1:1" ht="21">
      <c r="A11242" s="345"/>
    </row>
    <row r="11243" spans="1:1" ht="21">
      <c r="A11243" s="345"/>
    </row>
    <row r="11244" spans="1:1" ht="21">
      <c r="A11244" s="345"/>
    </row>
    <row r="11245" spans="1:1" ht="21">
      <c r="A11245" s="345"/>
    </row>
    <row r="11246" spans="1:1" ht="21">
      <c r="A11246" s="345"/>
    </row>
    <row r="11247" spans="1:1" ht="21">
      <c r="A11247" s="345"/>
    </row>
    <row r="11248" spans="1:1" ht="21">
      <c r="A11248" s="345"/>
    </row>
    <row r="11249" spans="1:1" ht="21">
      <c r="A11249" s="345"/>
    </row>
    <row r="11250" spans="1:1" ht="21">
      <c r="A11250" s="345"/>
    </row>
    <row r="11251" spans="1:1" ht="21">
      <c r="A11251" s="345"/>
    </row>
    <row r="11252" spans="1:1" ht="21">
      <c r="A11252" s="345"/>
    </row>
    <row r="11253" spans="1:1" ht="21">
      <c r="A11253" s="345"/>
    </row>
    <row r="11254" spans="1:1" ht="21">
      <c r="A11254" s="345"/>
    </row>
    <row r="11255" spans="1:1" ht="21">
      <c r="A11255" s="345"/>
    </row>
    <row r="11256" spans="1:1" ht="21">
      <c r="A11256" s="345"/>
    </row>
    <row r="11257" spans="1:1" ht="21">
      <c r="A11257" s="345"/>
    </row>
    <row r="11258" spans="1:1" ht="21">
      <c r="A11258" s="345"/>
    </row>
    <row r="11259" spans="1:1" ht="21">
      <c r="A11259" s="345"/>
    </row>
    <row r="11260" spans="1:1" ht="21">
      <c r="A11260" s="345"/>
    </row>
    <row r="11261" spans="1:1" ht="21">
      <c r="A11261" s="345"/>
    </row>
    <row r="11262" spans="1:1" ht="21">
      <c r="A11262" s="345"/>
    </row>
    <row r="11263" spans="1:1" ht="21">
      <c r="A11263" s="345"/>
    </row>
    <row r="11264" spans="1:1" ht="21">
      <c r="A11264" s="345"/>
    </row>
    <row r="11265" spans="1:1" ht="21">
      <c r="A11265" s="345"/>
    </row>
    <row r="11266" spans="1:1" ht="21">
      <c r="A11266" s="345"/>
    </row>
    <row r="11267" spans="1:1" ht="21">
      <c r="A11267" s="345"/>
    </row>
    <row r="11268" spans="1:1" ht="21">
      <c r="A11268" s="345"/>
    </row>
    <row r="11269" spans="1:1" ht="21">
      <c r="A11269" s="345"/>
    </row>
    <row r="11270" spans="1:1" ht="21">
      <c r="A11270" s="345"/>
    </row>
    <row r="11271" spans="1:1" ht="21">
      <c r="A11271" s="345"/>
    </row>
    <row r="11272" spans="1:1" ht="21">
      <c r="A11272" s="345"/>
    </row>
    <row r="11273" spans="1:1" ht="21">
      <c r="A11273" s="345"/>
    </row>
    <row r="11274" spans="1:1" ht="21">
      <c r="A11274" s="345"/>
    </row>
    <row r="11275" spans="1:1" ht="21">
      <c r="A11275" s="345"/>
    </row>
    <row r="11276" spans="1:1" ht="21">
      <c r="A11276" s="345"/>
    </row>
    <row r="11277" spans="1:1" ht="21">
      <c r="A11277" s="345"/>
    </row>
    <row r="11278" spans="1:1" ht="21">
      <c r="A11278" s="345"/>
    </row>
    <row r="11279" spans="1:1" ht="21">
      <c r="A11279" s="345"/>
    </row>
    <row r="11280" spans="1:1" ht="21">
      <c r="A11280" s="345"/>
    </row>
    <row r="11281" spans="1:1" ht="21">
      <c r="A11281" s="345"/>
    </row>
    <row r="11282" spans="1:1" ht="21">
      <c r="A11282" s="345"/>
    </row>
    <row r="11283" spans="1:1" ht="21">
      <c r="A11283" s="345"/>
    </row>
    <row r="11284" spans="1:1" ht="21">
      <c r="A11284" s="345"/>
    </row>
    <row r="11285" spans="1:1" ht="21">
      <c r="A11285" s="345"/>
    </row>
    <row r="11286" spans="1:1" ht="21">
      <c r="A11286" s="345"/>
    </row>
    <row r="11287" spans="1:1" ht="21">
      <c r="A11287" s="345"/>
    </row>
    <row r="11288" spans="1:1" ht="21">
      <c r="A11288" s="345"/>
    </row>
    <row r="11289" spans="1:1" ht="21">
      <c r="A11289" s="345"/>
    </row>
    <row r="11290" spans="1:1" ht="21">
      <c r="A11290" s="345"/>
    </row>
    <row r="11291" spans="1:1" ht="21">
      <c r="A11291" s="345"/>
    </row>
    <row r="11292" spans="1:1" ht="21">
      <c r="A11292" s="345"/>
    </row>
    <row r="11293" spans="1:1" ht="21">
      <c r="A11293" s="345"/>
    </row>
    <row r="11294" spans="1:1" ht="21">
      <c r="A11294" s="345"/>
    </row>
    <row r="11295" spans="1:1" ht="21">
      <c r="A11295" s="345"/>
    </row>
    <row r="11296" spans="1:1" ht="21">
      <c r="A11296" s="345"/>
    </row>
    <row r="11297" spans="1:1" ht="21">
      <c r="A11297" s="345"/>
    </row>
    <row r="11298" spans="1:1" ht="21">
      <c r="A11298" s="345"/>
    </row>
    <row r="11299" spans="1:1" ht="21">
      <c r="A11299" s="345"/>
    </row>
    <row r="11300" spans="1:1" ht="21">
      <c r="A11300" s="345"/>
    </row>
    <row r="11301" spans="1:1" ht="21">
      <c r="A11301" s="345"/>
    </row>
    <row r="11302" spans="1:1" ht="21">
      <c r="A11302" s="345"/>
    </row>
    <row r="11303" spans="1:1" ht="21">
      <c r="A11303" s="345"/>
    </row>
    <row r="11304" spans="1:1" ht="21">
      <c r="A11304" s="345"/>
    </row>
    <row r="11305" spans="1:1" ht="21">
      <c r="A11305" s="345"/>
    </row>
    <row r="11306" spans="1:1" ht="21">
      <c r="A11306" s="345"/>
    </row>
    <row r="11307" spans="1:1" ht="21">
      <c r="A11307" s="345"/>
    </row>
    <row r="11308" spans="1:1" ht="21">
      <c r="A11308" s="345"/>
    </row>
    <row r="11309" spans="1:1" ht="21">
      <c r="A11309" s="345"/>
    </row>
    <row r="11310" spans="1:1" ht="21">
      <c r="A11310" s="345"/>
    </row>
    <row r="11311" spans="1:1" ht="21">
      <c r="A11311" s="345"/>
    </row>
    <row r="11312" spans="1:1" ht="21">
      <c r="A11312" s="345"/>
    </row>
    <row r="11313" spans="1:1" ht="21">
      <c r="A11313" s="345"/>
    </row>
    <row r="11314" spans="1:1" ht="21">
      <c r="A11314" s="345"/>
    </row>
    <row r="11315" spans="1:1" ht="21">
      <c r="A11315" s="345"/>
    </row>
    <row r="11316" spans="1:1" ht="21">
      <c r="A11316" s="345"/>
    </row>
    <row r="11317" spans="1:1" ht="21">
      <c r="A11317" s="345"/>
    </row>
    <row r="11318" spans="1:1" ht="21">
      <c r="A11318" s="345"/>
    </row>
    <row r="11319" spans="1:1" ht="21">
      <c r="A11319" s="345"/>
    </row>
    <row r="11320" spans="1:1" ht="21">
      <c r="A11320" s="345"/>
    </row>
    <row r="11321" spans="1:1" ht="21">
      <c r="A11321" s="345"/>
    </row>
    <row r="11322" spans="1:1" ht="21">
      <c r="A11322" s="345"/>
    </row>
    <row r="11323" spans="1:1" ht="21">
      <c r="A11323" s="345"/>
    </row>
    <row r="11324" spans="1:1" ht="21">
      <c r="A11324" s="345"/>
    </row>
    <row r="11325" spans="1:1" ht="21">
      <c r="A11325" s="345"/>
    </row>
    <row r="11326" spans="1:1" ht="21">
      <c r="A11326" s="345"/>
    </row>
    <row r="11327" spans="1:1" ht="21">
      <c r="A11327" s="345"/>
    </row>
    <row r="11328" spans="1:1" ht="21">
      <c r="A11328" s="345"/>
    </row>
    <row r="11329" spans="1:1" ht="21">
      <c r="A11329" s="345"/>
    </row>
    <row r="11330" spans="1:1" ht="21">
      <c r="A11330" s="345"/>
    </row>
    <row r="11331" spans="1:1" ht="21">
      <c r="A11331" s="345"/>
    </row>
    <row r="11332" spans="1:1" ht="21">
      <c r="A11332" s="345"/>
    </row>
    <row r="11333" spans="1:1" ht="21">
      <c r="A11333" s="345"/>
    </row>
    <row r="11334" spans="1:1" ht="21">
      <c r="A11334" s="345"/>
    </row>
    <row r="11335" spans="1:1" ht="21">
      <c r="A11335" s="345"/>
    </row>
    <row r="11336" spans="1:1" ht="21">
      <c r="A11336" s="345"/>
    </row>
    <row r="11337" spans="1:1" ht="21">
      <c r="A11337" s="345"/>
    </row>
    <row r="11338" spans="1:1" ht="21">
      <c r="A11338" s="345"/>
    </row>
    <row r="11339" spans="1:1" ht="21">
      <c r="A11339" s="345"/>
    </row>
    <row r="11340" spans="1:1" ht="21">
      <c r="A11340" s="345"/>
    </row>
    <row r="11341" spans="1:1" ht="21">
      <c r="A11341" s="345"/>
    </row>
    <row r="11342" spans="1:1" ht="21">
      <c r="A11342" s="345"/>
    </row>
    <row r="11343" spans="1:1" ht="21">
      <c r="A11343" s="345"/>
    </row>
    <row r="11344" spans="1:1" ht="21">
      <c r="A11344" s="345"/>
    </row>
    <row r="11345" spans="1:1" ht="21">
      <c r="A11345" s="345"/>
    </row>
    <row r="11346" spans="1:1" ht="21">
      <c r="A11346" s="345"/>
    </row>
    <row r="11347" spans="1:1" ht="21">
      <c r="A11347" s="345"/>
    </row>
    <row r="11348" spans="1:1" ht="21">
      <c r="A11348" s="345"/>
    </row>
    <row r="11349" spans="1:1" ht="21">
      <c r="A11349" s="345"/>
    </row>
    <row r="11350" spans="1:1" ht="21">
      <c r="A11350" s="345"/>
    </row>
    <row r="11351" spans="1:1" ht="21">
      <c r="A11351" s="345"/>
    </row>
    <row r="11352" spans="1:1" ht="21">
      <c r="A11352" s="345"/>
    </row>
    <row r="11353" spans="1:1" ht="21">
      <c r="A11353" s="345"/>
    </row>
    <row r="11354" spans="1:1" ht="21">
      <c r="A11354" s="345"/>
    </row>
    <row r="11355" spans="1:1" ht="21">
      <c r="A11355" s="345"/>
    </row>
    <row r="11356" spans="1:1" ht="21">
      <c r="A11356" s="345"/>
    </row>
    <row r="11357" spans="1:1" ht="21">
      <c r="A11357" s="345"/>
    </row>
    <row r="11358" spans="1:1" ht="21">
      <c r="A11358" s="345"/>
    </row>
    <row r="11359" spans="1:1" ht="21">
      <c r="A11359" s="345"/>
    </row>
    <row r="11360" spans="1:1" ht="21">
      <c r="A11360" s="345"/>
    </row>
    <row r="11361" spans="1:1" ht="21">
      <c r="A11361" s="345"/>
    </row>
    <row r="11362" spans="1:1" ht="21">
      <c r="A11362" s="345"/>
    </row>
    <row r="11363" spans="1:1" ht="21">
      <c r="A11363" s="345"/>
    </row>
    <row r="11364" spans="1:1" ht="21">
      <c r="A11364" s="345"/>
    </row>
    <row r="11365" spans="1:1" ht="21">
      <c r="A11365" s="345"/>
    </row>
    <row r="11366" spans="1:1" ht="21">
      <c r="A11366" s="345"/>
    </row>
    <row r="11367" spans="1:1" ht="21">
      <c r="A11367" s="345"/>
    </row>
    <row r="11368" spans="1:1" ht="21">
      <c r="A11368" s="345"/>
    </row>
    <row r="11369" spans="1:1" ht="21">
      <c r="A11369" s="345"/>
    </row>
    <row r="11370" spans="1:1" ht="21">
      <c r="A11370" s="345"/>
    </row>
    <row r="11371" spans="1:1" ht="21">
      <c r="A11371" s="345"/>
    </row>
    <row r="11372" spans="1:1" ht="21">
      <c r="A11372" s="345"/>
    </row>
    <row r="11373" spans="1:1" ht="21">
      <c r="A11373" s="345"/>
    </row>
    <row r="11374" spans="1:1" ht="21">
      <c r="A11374" s="345"/>
    </row>
    <row r="11375" spans="1:1" ht="21">
      <c r="A11375" s="345"/>
    </row>
    <row r="11376" spans="1:1" ht="21">
      <c r="A11376" s="345"/>
    </row>
    <row r="11377" spans="1:1" ht="21">
      <c r="A11377" s="345"/>
    </row>
    <row r="11378" spans="1:1" ht="21">
      <c r="A11378" s="345"/>
    </row>
    <row r="11379" spans="1:1" ht="21">
      <c r="A11379" s="345"/>
    </row>
    <row r="11380" spans="1:1" ht="21">
      <c r="A11380" s="345"/>
    </row>
    <row r="11381" spans="1:1" ht="21">
      <c r="A11381" s="345"/>
    </row>
    <row r="11382" spans="1:1" ht="21">
      <c r="A11382" s="345"/>
    </row>
    <row r="11383" spans="1:1" ht="21">
      <c r="A11383" s="345"/>
    </row>
    <row r="11384" spans="1:1" ht="21">
      <c r="A11384" s="345"/>
    </row>
    <row r="11385" spans="1:1" ht="21">
      <c r="A11385" s="345"/>
    </row>
    <row r="11386" spans="1:1" ht="21">
      <c r="A11386" s="345"/>
    </row>
    <row r="11387" spans="1:1" ht="21">
      <c r="A11387" s="345"/>
    </row>
    <row r="11388" spans="1:1" ht="21">
      <c r="A11388" s="345"/>
    </row>
    <row r="11389" spans="1:1" ht="21">
      <c r="A11389" s="345"/>
    </row>
    <row r="11390" spans="1:1" ht="21">
      <c r="A11390" s="345"/>
    </row>
    <row r="11391" spans="1:1" ht="21">
      <c r="A11391" s="345"/>
    </row>
    <row r="11392" spans="1:1" ht="21">
      <c r="A11392" s="345"/>
    </row>
    <row r="11393" spans="1:1" ht="21">
      <c r="A11393" s="345"/>
    </row>
    <row r="11394" spans="1:1" ht="21">
      <c r="A11394" s="345"/>
    </row>
    <row r="11395" spans="1:1" ht="21">
      <c r="A11395" s="345"/>
    </row>
    <row r="11396" spans="1:1" ht="21">
      <c r="A11396" s="345"/>
    </row>
    <row r="11397" spans="1:1" ht="21">
      <c r="A11397" s="345"/>
    </row>
    <row r="11398" spans="1:1" ht="21">
      <c r="A11398" s="345"/>
    </row>
    <row r="11399" spans="1:1" ht="21">
      <c r="A11399" s="345"/>
    </row>
    <row r="11400" spans="1:1" ht="21">
      <c r="A11400" s="345"/>
    </row>
    <row r="11401" spans="1:1" ht="21">
      <c r="A11401" s="345"/>
    </row>
    <row r="11402" spans="1:1" ht="21">
      <c r="A11402" s="345"/>
    </row>
    <row r="11403" spans="1:1" ht="21">
      <c r="A11403" s="345"/>
    </row>
    <row r="11404" spans="1:1" ht="21">
      <c r="A11404" s="345"/>
    </row>
    <row r="11405" spans="1:1" ht="21">
      <c r="A11405" s="345"/>
    </row>
    <row r="11406" spans="1:1" ht="21">
      <c r="A11406" s="345"/>
    </row>
    <row r="11407" spans="1:1" ht="21">
      <c r="A11407" s="345"/>
    </row>
    <row r="11408" spans="1:1" ht="21">
      <c r="A11408" s="345"/>
    </row>
    <row r="11409" spans="1:1" ht="21">
      <c r="A11409" s="345"/>
    </row>
    <row r="11410" spans="1:1" ht="21">
      <c r="A11410" s="345"/>
    </row>
    <row r="11411" spans="1:1" ht="21">
      <c r="A11411" s="345"/>
    </row>
    <row r="11412" spans="1:1" ht="21">
      <c r="A11412" s="345"/>
    </row>
    <row r="11413" spans="1:1" ht="21">
      <c r="A11413" s="345"/>
    </row>
    <row r="11414" spans="1:1" ht="21">
      <c r="A11414" s="345"/>
    </row>
    <row r="11415" spans="1:1" ht="21">
      <c r="A11415" s="345"/>
    </row>
    <row r="11416" spans="1:1" ht="21">
      <c r="A11416" s="345"/>
    </row>
    <row r="11417" spans="1:1" ht="21">
      <c r="A11417" s="345"/>
    </row>
    <row r="11418" spans="1:1" ht="21">
      <c r="A11418" s="345"/>
    </row>
    <row r="11419" spans="1:1" ht="21">
      <c r="A11419" s="345"/>
    </row>
    <row r="11420" spans="1:1" ht="21">
      <c r="A11420" s="345"/>
    </row>
    <row r="11421" spans="1:1" ht="21">
      <c r="A11421" s="345"/>
    </row>
    <row r="11422" spans="1:1" ht="21">
      <c r="A11422" s="345"/>
    </row>
    <row r="11423" spans="1:1" ht="21">
      <c r="A11423" s="345"/>
    </row>
    <row r="11424" spans="1:1" ht="21">
      <c r="A11424" s="345"/>
    </row>
    <row r="11425" spans="1:1" ht="21">
      <c r="A11425" s="345"/>
    </row>
    <row r="11426" spans="1:1" ht="21">
      <c r="A11426" s="345"/>
    </row>
    <row r="11427" spans="1:1" ht="21">
      <c r="A11427" s="345"/>
    </row>
    <row r="11428" spans="1:1" ht="21">
      <c r="A11428" s="345"/>
    </row>
    <row r="11429" spans="1:1" ht="21">
      <c r="A11429" s="345"/>
    </row>
    <row r="11430" spans="1:1" ht="21">
      <c r="A11430" s="345"/>
    </row>
    <row r="11431" spans="1:1" ht="21">
      <c r="A11431" s="345"/>
    </row>
    <row r="11432" spans="1:1" ht="21">
      <c r="A11432" s="345"/>
    </row>
    <row r="11433" spans="1:1" ht="21">
      <c r="A11433" s="345"/>
    </row>
    <row r="11434" spans="1:1" ht="21">
      <c r="A11434" s="345"/>
    </row>
    <row r="11435" spans="1:1" ht="21">
      <c r="A11435" s="345"/>
    </row>
    <row r="11436" spans="1:1" ht="21">
      <c r="A11436" s="345"/>
    </row>
    <row r="11437" spans="1:1" ht="21">
      <c r="A11437" s="345"/>
    </row>
    <row r="11438" spans="1:1" ht="21">
      <c r="A11438" s="345"/>
    </row>
    <row r="11439" spans="1:1" ht="21">
      <c r="A11439" s="345"/>
    </row>
    <row r="11440" spans="1:1" ht="21">
      <c r="A11440" s="345"/>
    </row>
    <row r="11441" spans="1:1" ht="21">
      <c r="A11441" s="345"/>
    </row>
    <row r="11442" spans="1:1" ht="21">
      <c r="A11442" s="345"/>
    </row>
    <row r="11443" spans="1:1" ht="21">
      <c r="A11443" s="345"/>
    </row>
    <row r="11444" spans="1:1" ht="21">
      <c r="A11444" s="345"/>
    </row>
    <row r="11445" spans="1:1" ht="21">
      <c r="A11445" s="345"/>
    </row>
    <row r="11446" spans="1:1" ht="21">
      <c r="A11446" s="345"/>
    </row>
    <row r="11447" spans="1:1" ht="21">
      <c r="A11447" s="345"/>
    </row>
    <row r="11448" spans="1:1" ht="21">
      <c r="A11448" s="345"/>
    </row>
    <row r="11449" spans="1:1" ht="21">
      <c r="A11449" s="345"/>
    </row>
    <row r="11450" spans="1:1" ht="21">
      <c r="A11450" s="345"/>
    </row>
    <row r="11451" spans="1:1" ht="21">
      <c r="A11451" s="345"/>
    </row>
    <row r="11452" spans="1:1" ht="21">
      <c r="A11452" s="345"/>
    </row>
    <row r="11453" spans="1:1" ht="21">
      <c r="A11453" s="345"/>
    </row>
    <row r="11454" spans="1:1" ht="21">
      <c r="A11454" s="345"/>
    </row>
    <row r="11455" spans="1:1" ht="21">
      <c r="A11455" s="345"/>
    </row>
    <row r="11456" spans="1:1" ht="21">
      <c r="A11456" s="345"/>
    </row>
    <row r="11457" spans="1:1" ht="21">
      <c r="A11457" s="345"/>
    </row>
    <row r="11458" spans="1:1" ht="21">
      <c r="A11458" s="345"/>
    </row>
    <row r="11459" spans="1:1" ht="21">
      <c r="A11459" s="345"/>
    </row>
    <row r="11460" spans="1:1" ht="21">
      <c r="A11460" s="345"/>
    </row>
    <row r="11461" spans="1:1" ht="21">
      <c r="A11461" s="345"/>
    </row>
    <row r="11462" spans="1:1" ht="21">
      <c r="A11462" s="345"/>
    </row>
    <row r="11463" spans="1:1" ht="21">
      <c r="A11463" s="345"/>
    </row>
    <row r="11464" spans="1:1" ht="21">
      <c r="A11464" s="345"/>
    </row>
    <row r="11465" spans="1:1" ht="21">
      <c r="A11465" s="345"/>
    </row>
    <row r="11466" spans="1:1" ht="21">
      <c r="A11466" s="345"/>
    </row>
    <row r="11467" spans="1:1" ht="21">
      <c r="A11467" s="345"/>
    </row>
    <row r="11468" spans="1:1" ht="21">
      <c r="A11468" s="345"/>
    </row>
    <row r="11469" spans="1:1" ht="21">
      <c r="A11469" s="345"/>
    </row>
    <row r="11470" spans="1:1" ht="21">
      <c r="A11470" s="345"/>
    </row>
    <row r="11471" spans="1:1" ht="21">
      <c r="A11471" s="345"/>
    </row>
    <row r="11472" spans="1:1" ht="21">
      <c r="A11472" s="345"/>
    </row>
    <row r="11473" spans="1:1" ht="21">
      <c r="A11473" s="345"/>
    </row>
    <row r="11474" spans="1:1" ht="21">
      <c r="A11474" s="345"/>
    </row>
    <row r="11475" spans="1:1" ht="21">
      <c r="A11475" s="345"/>
    </row>
    <row r="11476" spans="1:1" ht="21">
      <c r="A11476" s="345"/>
    </row>
    <row r="11477" spans="1:1" ht="21">
      <c r="A11477" s="345"/>
    </row>
    <row r="11478" spans="1:1" ht="21">
      <c r="A11478" s="345"/>
    </row>
    <row r="11479" spans="1:1" ht="21">
      <c r="A11479" s="345"/>
    </row>
    <row r="11480" spans="1:1" ht="21">
      <c r="A11480" s="345"/>
    </row>
    <row r="11481" spans="1:1" ht="21">
      <c r="A11481" s="345"/>
    </row>
    <row r="11482" spans="1:1" ht="21">
      <c r="A11482" s="345"/>
    </row>
    <row r="11483" spans="1:1" ht="21">
      <c r="A11483" s="345"/>
    </row>
    <row r="11484" spans="1:1" ht="21">
      <c r="A11484" s="345"/>
    </row>
    <row r="11485" spans="1:1" ht="21">
      <c r="A11485" s="345"/>
    </row>
    <row r="11486" spans="1:1" ht="21">
      <c r="A11486" s="345"/>
    </row>
    <row r="11487" spans="1:1" ht="21">
      <c r="A11487" s="345"/>
    </row>
    <row r="11488" spans="1:1" ht="21">
      <c r="A11488" s="345"/>
    </row>
    <row r="11489" spans="1:1" ht="21">
      <c r="A11489" s="345"/>
    </row>
    <row r="11490" spans="1:1" ht="21">
      <c r="A11490" s="345"/>
    </row>
    <row r="11491" spans="1:1" ht="21">
      <c r="A11491" s="345"/>
    </row>
    <row r="11492" spans="1:1" ht="21">
      <c r="A11492" s="345"/>
    </row>
    <row r="11493" spans="1:1" ht="21">
      <c r="A11493" s="345"/>
    </row>
    <row r="11494" spans="1:1" ht="21">
      <c r="A11494" s="345"/>
    </row>
    <row r="11495" spans="1:1" ht="21">
      <c r="A11495" s="345"/>
    </row>
    <row r="11496" spans="1:1" ht="21">
      <c r="A11496" s="345"/>
    </row>
    <row r="11497" spans="1:1" ht="21">
      <c r="A11497" s="345"/>
    </row>
    <row r="11498" spans="1:1" ht="21">
      <c r="A11498" s="345"/>
    </row>
    <row r="11499" spans="1:1" ht="21">
      <c r="A11499" s="345"/>
    </row>
    <row r="11500" spans="1:1" ht="21">
      <c r="A11500" s="345"/>
    </row>
    <row r="11501" spans="1:1" ht="21">
      <c r="A11501" s="345"/>
    </row>
    <row r="11502" spans="1:1" ht="21">
      <c r="A11502" s="345"/>
    </row>
    <row r="11503" spans="1:1" ht="21">
      <c r="A11503" s="345"/>
    </row>
    <row r="11504" spans="1:1" ht="21">
      <c r="A11504" s="345"/>
    </row>
    <row r="11505" spans="1:1" ht="21">
      <c r="A11505" s="345"/>
    </row>
    <row r="11506" spans="1:1" ht="21">
      <c r="A11506" s="345"/>
    </row>
    <row r="11507" spans="1:1" ht="21">
      <c r="A11507" s="345"/>
    </row>
    <row r="11508" spans="1:1" ht="21">
      <c r="A11508" s="345"/>
    </row>
    <row r="11509" spans="1:1" ht="21">
      <c r="A11509" s="345"/>
    </row>
    <row r="11510" spans="1:1" ht="21">
      <c r="A11510" s="345"/>
    </row>
    <row r="11511" spans="1:1" ht="21">
      <c r="A11511" s="345"/>
    </row>
    <row r="11512" spans="1:1" ht="21">
      <c r="A11512" s="345"/>
    </row>
    <row r="11513" spans="1:1" ht="21">
      <c r="A11513" s="345"/>
    </row>
    <row r="11514" spans="1:1" ht="21">
      <c r="A11514" s="345"/>
    </row>
    <row r="11515" spans="1:1" ht="21">
      <c r="A11515" s="345"/>
    </row>
    <row r="11516" spans="1:1" ht="21">
      <c r="A11516" s="345"/>
    </row>
    <row r="11517" spans="1:1" ht="21">
      <c r="A11517" s="345"/>
    </row>
    <row r="11518" spans="1:1" ht="21">
      <c r="A11518" s="345"/>
    </row>
    <row r="11519" spans="1:1" ht="21">
      <c r="A11519" s="345"/>
    </row>
    <row r="11520" spans="1:1" ht="21">
      <c r="A11520" s="345"/>
    </row>
    <row r="11521" spans="1:1" ht="21">
      <c r="A11521" s="345"/>
    </row>
    <row r="11522" spans="1:1" ht="21">
      <c r="A11522" s="345"/>
    </row>
    <row r="11523" spans="1:1" ht="21">
      <c r="A11523" s="345"/>
    </row>
    <row r="11524" spans="1:1" ht="21">
      <c r="A11524" s="345"/>
    </row>
    <row r="11525" spans="1:1" ht="21">
      <c r="A11525" s="345"/>
    </row>
    <row r="11526" spans="1:1" ht="21">
      <c r="A11526" s="345"/>
    </row>
    <row r="11527" spans="1:1" ht="21">
      <c r="A11527" s="345"/>
    </row>
    <row r="11528" spans="1:1" ht="21">
      <c r="A11528" s="345"/>
    </row>
    <row r="11529" spans="1:1" ht="21">
      <c r="A11529" s="345"/>
    </row>
    <row r="11530" spans="1:1" ht="21">
      <c r="A11530" s="345"/>
    </row>
    <row r="11531" spans="1:1" ht="21">
      <c r="A11531" s="345"/>
    </row>
    <row r="11532" spans="1:1" ht="21">
      <c r="A11532" s="345"/>
    </row>
    <row r="11533" spans="1:1" ht="21">
      <c r="A11533" s="345"/>
    </row>
    <row r="11534" spans="1:1" ht="21">
      <c r="A11534" s="345"/>
    </row>
    <row r="11535" spans="1:1" ht="21">
      <c r="A11535" s="345"/>
    </row>
    <row r="11536" spans="1:1" ht="21">
      <c r="A11536" s="345"/>
    </row>
    <row r="11537" spans="1:1" ht="21">
      <c r="A11537" s="345"/>
    </row>
    <row r="11538" spans="1:1" ht="21">
      <c r="A11538" s="345"/>
    </row>
    <row r="11539" spans="1:1" ht="21">
      <c r="A11539" s="345"/>
    </row>
    <row r="11540" spans="1:1" ht="21">
      <c r="A11540" s="345"/>
    </row>
    <row r="11541" spans="1:1" ht="21">
      <c r="A11541" s="345"/>
    </row>
    <row r="11542" spans="1:1" ht="21">
      <c r="A11542" s="345"/>
    </row>
    <row r="11543" spans="1:1" ht="21">
      <c r="A11543" s="345"/>
    </row>
    <row r="11544" spans="1:1" ht="21">
      <c r="A11544" s="345"/>
    </row>
    <row r="11545" spans="1:1" ht="21">
      <c r="A11545" s="345"/>
    </row>
    <row r="11546" spans="1:1" ht="21">
      <c r="A11546" s="345"/>
    </row>
    <row r="11547" spans="1:1" ht="21">
      <c r="A11547" s="345"/>
    </row>
    <row r="11548" spans="1:1" ht="21">
      <c r="A11548" s="345"/>
    </row>
    <row r="11549" spans="1:1" ht="21">
      <c r="A11549" s="345"/>
    </row>
    <row r="11550" spans="1:1" ht="21">
      <c r="A11550" s="345"/>
    </row>
    <row r="11551" spans="1:1" ht="21">
      <c r="A11551" s="345"/>
    </row>
    <row r="11552" spans="1:1" ht="21">
      <c r="A11552" s="345"/>
    </row>
    <row r="11553" spans="1:1" ht="21">
      <c r="A11553" s="345"/>
    </row>
    <row r="11554" spans="1:1" ht="21">
      <c r="A11554" s="345"/>
    </row>
    <row r="11555" spans="1:1" ht="21">
      <c r="A11555" s="345"/>
    </row>
    <row r="11556" spans="1:1" ht="21">
      <c r="A11556" s="345"/>
    </row>
    <row r="11557" spans="1:1" ht="21">
      <c r="A11557" s="345"/>
    </row>
    <row r="11558" spans="1:1" ht="21">
      <c r="A11558" s="345"/>
    </row>
    <row r="11559" spans="1:1" ht="21">
      <c r="A11559" s="345"/>
    </row>
    <row r="11560" spans="1:1" ht="21">
      <c r="A11560" s="345"/>
    </row>
    <row r="11561" spans="1:1" ht="21">
      <c r="A11561" s="345"/>
    </row>
    <row r="11562" spans="1:1" ht="21">
      <c r="A11562" s="345"/>
    </row>
    <row r="11563" spans="1:1" ht="21">
      <c r="A11563" s="345"/>
    </row>
    <row r="11564" spans="1:1" ht="21">
      <c r="A11564" s="345"/>
    </row>
    <row r="11565" spans="1:1" ht="21">
      <c r="A11565" s="345"/>
    </row>
    <row r="11566" spans="1:1" ht="21">
      <c r="A11566" s="345"/>
    </row>
    <row r="11567" spans="1:1" ht="21">
      <c r="A11567" s="345"/>
    </row>
    <row r="11568" spans="1:1" ht="21">
      <c r="A11568" s="345"/>
    </row>
    <row r="11569" spans="1:1" ht="21">
      <c r="A11569" s="345"/>
    </row>
    <row r="11570" spans="1:1" ht="21">
      <c r="A11570" s="345"/>
    </row>
    <row r="11571" spans="1:1" ht="21">
      <c r="A11571" s="345"/>
    </row>
    <row r="11572" spans="1:1" ht="21">
      <c r="A11572" s="345"/>
    </row>
    <row r="11573" spans="1:1" ht="21">
      <c r="A11573" s="345"/>
    </row>
    <row r="11574" spans="1:1" ht="21">
      <c r="A11574" s="345"/>
    </row>
    <row r="11575" spans="1:1" ht="21">
      <c r="A11575" s="345"/>
    </row>
    <row r="11576" spans="1:1" ht="21">
      <c r="A11576" s="345"/>
    </row>
    <row r="11577" spans="1:1" ht="21">
      <c r="A11577" s="345"/>
    </row>
    <row r="11578" spans="1:1" ht="21">
      <c r="A11578" s="345"/>
    </row>
    <row r="11579" spans="1:1" ht="21">
      <c r="A11579" s="345"/>
    </row>
    <row r="11580" spans="1:1" ht="21">
      <c r="A11580" s="345"/>
    </row>
    <row r="11581" spans="1:1" ht="21">
      <c r="A11581" s="345"/>
    </row>
    <row r="11582" spans="1:1" ht="21">
      <c r="A11582" s="345"/>
    </row>
    <row r="11583" spans="1:1" ht="21">
      <c r="A11583" s="345"/>
    </row>
    <row r="11584" spans="1:1" ht="21">
      <c r="A11584" s="345"/>
    </row>
    <row r="11585" spans="1:1" ht="21">
      <c r="A11585" s="345"/>
    </row>
    <row r="11586" spans="1:1" ht="21">
      <c r="A11586" s="345"/>
    </row>
    <row r="11587" spans="1:1" ht="21">
      <c r="A11587" s="345"/>
    </row>
    <row r="11588" spans="1:1" ht="21">
      <c r="A11588" s="345"/>
    </row>
    <row r="11589" spans="1:1" ht="21">
      <c r="A11589" s="345"/>
    </row>
    <row r="11590" spans="1:1" ht="21">
      <c r="A11590" s="345"/>
    </row>
    <row r="11591" spans="1:1" ht="21">
      <c r="A11591" s="345"/>
    </row>
    <row r="11592" spans="1:1" ht="21">
      <c r="A11592" s="345"/>
    </row>
    <row r="11593" spans="1:1" ht="21">
      <c r="A11593" s="345"/>
    </row>
    <row r="11594" spans="1:1" ht="21">
      <c r="A11594" s="345"/>
    </row>
    <row r="11595" spans="1:1" ht="21">
      <c r="A11595" s="345"/>
    </row>
    <row r="11596" spans="1:1" ht="21">
      <c r="A11596" s="345"/>
    </row>
    <row r="11597" spans="1:1" ht="21">
      <c r="A11597" s="345"/>
    </row>
    <row r="11598" spans="1:1" ht="21">
      <c r="A11598" s="345"/>
    </row>
    <row r="11599" spans="1:1" ht="21">
      <c r="A11599" s="345"/>
    </row>
    <row r="11600" spans="1:1" ht="21">
      <c r="A11600" s="345"/>
    </row>
    <row r="11601" spans="1:1" ht="21">
      <c r="A11601" s="345"/>
    </row>
    <row r="11602" spans="1:1" ht="21">
      <c r="A11602" s="345"/>
    </row>
    <row r="11603" spans="1:1" ht="21">
      <c r="A11603" s="345"/>
    </row>
    <row r="11604" spans="1:1" ht="21">
      <c r="A11604" s="345"/>
    </row>
    <row r="11605" spans="1:1" ht="21">
      <c r="A11605" s="345"/>
    </row>
    <row r="11606" spans="1:1" ht="21">
      <c r="A11606" s="345"/>
    </row>
    <row r="11607" spans="1:1" ht="21">
      <c r="A11607" s="345"/>
    </row>
    <row r="11608" spans="1:1" ht="21">
      <c r="A11608" s="345"/>
    </row>
    <row r="11609" spans="1:1" ht="21">
      <c r="A11609" s="345"/>
    </row>
    <row r="11610" spans="1:1" ht="21">
      <c r="A11610" s="345"/>
    </row>
    <row r="11611" spans="1:1" ht="21">
      <c r="A11611" s="345"/>
    </row>
    <row r="11612" spans="1:1" ht="21">
      <c r="A11612" s="345"/>
    </row>
    <row r="11613" spans="1:1" ht="21">
      <c r="A11613" s="345"/>
    </row>
    <row r="11614" spans="1:1" ht="21">
      <c r="A11614" s="345"/>
    </row>
    <row r="11615" spans="1:1" ht="21">
      <c r="A11615" s="345"/>
    </row>
    <row r="11616" spans="1:1" ht="21">
      <c r="A11616" s="345"/>
    </row>
    <row r="11617" spans="1:1" ht="21">
      <c r="A11617" s="345"/>
    </row>
    <row r="11618" spans="1:1" ht="21">
      <c r="A11618" s="345"/>
    </row>
    <row r="11619" spans="1:1" ht="21">
      <c r="A11619" s="345"/>
    </row>
    <row r="11620" spans="1:1" ht="21">
      <c r="A11620" s="345"/>
    </row>
    <row r="11621" spans="1:1" ht="21">
      <c r="A11621" s="345"/>
    </row>
    <row r="11622" spans="1:1" ht="21">
      <c r="A11622" s="345"/>
    </row>
    <row r="11623" spans="1:1" ht="21">
      <c r="A11623" s="345"/>
    </row>
    <row r="11624" spans="1:1" ht="21">
      <c r="A11624" s="345"/>
    </row>
    <row r="11625" spans="1:1" ht="21">
      <c r="A11625" s="345"/>
    </row>
    <row r="11626" spans="1:1" ht="21">
      <c r="A11626" s="345"/>
    </row>
    <row r="11627" spans="1:1" ht="21">
      <c r="A11627" s="345"/>
    </row>
    <row r="11628" spans="1:1" ht="21">
      <c r="A11628" s="345"/>
    </row>
    <row r="11629" spans="1:1" ht="21">
      <c r="A11629" s="345"/>
    </row>
    <row r="11630" spans="1:1" ht="21">
      <c r="A11630" s="345"/>
    </row>
    <row r="11631" spans="1:1" ht="21">
      <c r="A11631" s="345"/>
    </row>
    <row r="11632" spans="1:1" ht="21">
      <c r="A11632" s="345"/>
    </row>
    <row r="11633" spans="1:1" ht="21">
      <c r="A11633" s="345"/>
    </row>
    <row r="11634" spans="1:1" ht="21">
      <c r="A11634" s="345"/>
    </row>
    <row r="11635" spans="1:1" ht="21">
      <c r="A11635" s="345"/>
    </row>
    <row r="11636" spans="1:1" ht="21">
      <c r="A11636" s="345"/>
    </row>
    <row r="11637" spans="1:1" ht="21">
      <c r="A11637" s="345"/>
    </row>
    <row r="11638" spans="1:1" ht="21">
      <c r="A11638" s="345"/>
    </row>
    <row r="11639" spans="1:1" ht="21">
      <c r="A11639" s="345"/>
    </row>
    <row r="11640" spans="1:1" ht="21">
      <c r="A11640" s="345"/>
    </row>
    <row r="11641" spans="1:1" ht="21">
      <c r="A11641" s="345"/>
    </row>
    <row r="11642" spans="1:1" ht="21">
      <c r="A11642" s="345"/>
    </row>
    <row r="11643" spans="1:1" ht="21">
      <c r="A11643" s="345"/>
    </row>
    <row r="11644" spans="1:1" ht="21">
      <c r="A11644" s="345"/>
    </row>
    <row r="11645" spans="1:1" ht="21">
      <c r="A11645" s="345"/>
    </row>
    <row r="11646" spans="1:1" ht="21">
      <c r="A11646" s="345"/>
    </row>
    <row r="11647" spans="1:1" ht="21">
      <c r="A11647" s="345"/>
    </row>
    <row r="11648" spans="1:1" ht="21">
      <c r="A11648" s="345"/>
    </row>
    <row r="11649" spans="1:1" ht="21">
      <c r="A11649" s="345"/>
    </row>
    <row r="11650" spans="1:1" ht="21">
      <c r="A11650" s="345"/>
    </row>
    <row r="11651" spans="1:1" ht="21">
      <c r="A11651" s="345"/>
    </row>
    <row r="11652" spans="1:1" ht="21">
      <c r="A11652" s="345"/>
    </row>
    <row r="11653" spans="1:1" ht="21">
      <c r="A11653" s="345"/>
    </row>
    <row r="11654" spans="1:1" ht="21">
      <c r="A11654" s="345"/>
    </row>
    <row r="11655" spans="1:1" ht="21">
      <c r="A11655" s="345"/>
    </row>
    <row r="11656" spans="1:1" ht="21">
      <c r="A11656" s="345"/>
    </row>
    <row r="11657" spans="1:1" ht="21">
      <c r="A11657" s="345"/>
    </row>
    <row r="11658" spans="1:1" ht="21">
      <c r="A11658" s="345"/>
    </row>
    <row r="11659" spans="1:1" ht="21">
      <c r="A11659" s="345"/>
    </row>
    <row r="11660" spans="1:1" ht="21">
      <c r="A11660" s="345"/>
    </row>
    <row r="11661" spans="1:1" ht="21">
      <c r="A11661" s="345"/>
    </row>
    <row r="11662" spans="1:1" ht="21">
      <c r="A11662" s="345"/>
    </row>
    <row r="11663" spans="1:1" ht="21">
      <c r="A11663" s="345"/>
    </row>
    <row r="11664" spans="1:1" ht="21">
      <c r="A11664" s="345"/>
    </row>
    <row r="11665" spans="1:1" ht="21">
      <c r="A11665" s="345"/>
    </row>
    <row r="11666" spans="1:1" ht="21">
      <c r="A11666" s="345"/>
    </row>
    <row r="11667" spans="1:1" ht="21">
      <c r="A11667" s="345"/>
    </row>
    <row r="11668" spans="1:1" ht="21">
      <c r="A11668" s="345"/>
    </row>
    <row r="11669" spans="1:1" ht="21">
      <c r="A11669" s="345"/>
    </row>
    <row r="11670" spans="1:1" ht="21">
      <c r="A11670" s="345"/>
    </row>
    <row r="11671" spans="1:1" ht="21">
      <c r="A11671" s="345"/>
    </row>
    <row r="11672" spans="1:1" ht="21">
      <c r="A11672" s="345"/>
    </row>
    <row r="11673" spans="1:1" ht="21">
      <c r="A11673" s="345"/>
    </row>
    <row r="11674" spans="1:1" ht="21">
      <c r="A11674" s="345"/>
    </row>
    <row r="11675" spans="1:1" ht="21">
      <c r="A11675" s="345"/>
    </row>
    <row r="11676" spans="1:1" ht="21">
      <c r="A11676" s="345"/>
    </row>
    <row r="11677" spans="1:1" ht="21">
      <c r="A11677" s="345"/>
    </row>
    <row r="11678" spans="1:1" ht="21">
      <c r="A11678" s="345"/>
    </row>
    <row r="11679" spans="1:1" ht="21">
      <c r="A11679" s="345"/>
    </row>
    <row r="11680" spans="1:1" ht="21">
      <c r="A11680" s="345"/>
    </row>
    <row r="11681" spans="1:1" ht="21">
      <c r="A11681" s="345"/>
    </row>
    <row r="11682" spans="1:1" ht="21">
      <c r="A11682" s="345"/>
    </row>
    <row r="11683" spans="1:1" ht="21">
      <c r="A11683" s="345"/>
    </row>
    <row r="11684" spans="1:1" ht="21">
      <c r="A11684" s="345"/>
    </row>
    <row r="11685" spans="1:1" ht="21">
      <c r="A11685" s="345"/>
    </row>
    <row r="11686" spans="1:1" ht="21">
      <c r="A11686" s="345"/>
    </row>
    <row r="11687" spans="1:1" ht="21">
      <c r="A11687" s="345"/>
    </row>
    <row r="11688" spans="1:1" ht="21">
      <c r="A11688" s="345"/>
    </row>
    <row r="11689" spans="1:1" ht="21">
      <c r="A11689" s="345"/>
    </row>
    <row r="11690" spans="1:1" ht="21">
      <c r="A11690" s="345"/>
    </row>
    <row r="11691" spans="1:1" ht="21">
      <c r="A11691" s="345"/>
    </row>
    <row r="11692" spans="1:1" ht="21">
      <c r="A11692" s="345"/>
    </row>
    <row r="11693" spans="1:1" ht="21">
      <c r="A11693" s="345"/>
    </row>
    <row r="11694" spans="1:1" ht="21">
      <c r="A11694" s="345"/>
    </row>
    <row r="11695" spans="1:1" ht="21">
      <c r="A11695" s="345"/>
    </row>
    <row r="11696" spans="1:1" ht="21">
      <c r="A11696" s="345"/>
    </row>
    <row r="11697" spans="1:1" ht="21">
      <c r="A11697" s="345"/>
    </row>
    <row r="11698" spans="1:1" ht="21">
      <c r="A11698" s="345"/>
    </row>
    <row r="11699" spans="1:1" ht="21">
      <c r="A11699" s="345"/>
    </row>
    <row r="11700" spans="1:1" ht="21">
      <c r="A11700" s="345"/>
    </row>
    <row r="11701" spans="1:1" ht="21">
      <c r="A11701" s="345"/>
    </row>
    <row r="11702" spans="1:1" ht="21">
      <c r="A11702" s="345"/>
    </row>
    <row r="11703" spans="1:1" ht="21">
      <c r="A11703" s="345"/>
    </row>
    <row r="11704" spans="1:1" ht="21">
      <c r="A11704" s="345"/>
    </row>
    <row r="11705" spans="1:1" ht="21">
      <c r="A11705" s="345"/>
    </row>
    <row r="11706" spans="1:1" ht="21">
      <c r="A11706" s="345"/>
    </row>
    <row r="11707" spans="1:1" ht="21">
      <c r="A11707" s="345"/>
    </row>
    <row r="11708" spans="1:1" ht="21">
      <c r="A11708" s="345"/>
    </row>
    <row r="11709" spans="1:1" ht="21">
      <c r="A11709" s="345"/>
    </row>
    <row r="11710" spans="1:1" ht="21">
      <c r="A11710" s="345"/>
    </row>
    <row r="11711" spans="1:1" ht="21">
      <c r="A11711" s="345"/>
    </row>
    <row r="11712" spans="1:1" ht="21">
      <c r="A11712" s="345"/>
    </row>
    <row r="11713" spans="1:1" ht="21">
      <c r="A11713" s="345"/>
    </row>
    <row r="11714" spans="1:1" ht="21">
      <c r="A11714" s="345"/>
    </row>
    <row r="11715" spans="1:1" ht="21">
      <c r="A11715" s="345"/>
    </row>
    <row r="11716" spans="1:1" ht="21">
      <c r="A11716" s="345"/>
    </row>
    <row r="11717" spans="1:1" ht="21">
      <c r="A11717" s="345"/>
    </row>
    <row r="11718" spans="1:1" ht="21">
      <c r="A11718" s="345"/>
    </row>
    <row r="11719" spans="1:1" ht="21">
      <c r="A11719" s="345"/>
    </row>
    <row r="11720" spans="1:1" ht="21">
      <c r="A11720" s="345"/>
    </row>
    <row r="11721" spans="1:1" ht="21">
      <c r="A11721" s="345"/>
    </row>
    <row r="11722" spans="1:1" ht="21">
      <c r="A11722" s="345"/>
    </row>
    <row r="11723" spans="1:1" ht="21">
      <c r="A11723" s="345"/>
    </row>
    <row r="11724" spans="1:1" ht="21">
      <c r="A11724" s="345"/>
    </row>
    <row r="11725" spans="1:1" ht="21">
      <c r="A11725" s="345"/>
    </row>
    <row r="11726" spans="1:1" ht="21">
      <c r="A11726" s="345"/>
    </row>
    <row r="11727" spans="1:1" ht="21">
      <c r="A11727" s="345"/>
    </row>
    <row r="11728" spans="1:1" ht="21">
      <c r="A11728" s="345"/>
    </row>
    <row r="11729" spans="1:1" ht="21">
      <c r="A11729" s="345"/>
    </row>
    <row r="11730" spans="1:1" ht="21">
      <c r="A11730" s="345"/>
    </row>
    <row r="11731" spans="1:1" ht="21">
      <c r="A11731" s="345"/>
    </row>
    <row r="11732" spans="1:1" ht="21">
      <c r="A11732" s="345"/>
    </row>
    <row r="11733" spans="1:1" ht="21">
      <c r="A11733" s="345"/>
    </row>
    <row r="11734" spans="1:1" ht="21">
      <c r="A11734" s="345"/>
    </row>
    <row r="11735" spans="1:1" ht="21">
      <c r="A11735" s="345"/>
    </row>
    <row r="11736" spans="1:1" ht="21">
      <c r="A11736" s="345"/>
    </row>
    <row r="11737" spans="1:1" ht="21">
      <c r="A11737" s="345"/>
    </row>
    <row r="11738" spans="1:1" ht="21">
      <c r="A11738" s="345"/>
    </row>
    <row r="11739" spans="1:1" ht="21">
      <c r="A11739" s="345"/>
    </row>
    <row r="11740" spans="1:1" ht="21">
      <c r="A11740" s="345"/>
    </row>
    <row r="11741" spans="1:1" ht="21">
      <c r="A11741" s="345"/>
    </row>
    <row r="11742" spans="1:1" ht="21">
      <c r="A11742" s="345"/>
    </row>
    <row r="11743" spans="1:1" ht="21">
      <c r="A11743" s="345"/>
    </row>
    <row r="11744" spans="1:1" ht="21">
      <c r="A11744" s="345"/>
    </row>
    <row r="11745" spans="1:1" ht="21">
      <c r="A11745" s="345"/>
    </row>
    <row r="11746" spans="1:1" ht="21">
      <c r="A11746" s="345"/>
    </row>
    <row r="11747" spans="1:1" ht="21">
      <c r="A11747" s="345"/>
    </row>
    <row r="11748" spans="1:1" ht="21">
      <c r="A11748" s="345"/>
    </row>
    <row r="11749" spans="1:1" ht="21">
      <c r="A11749" s="345"/>
    </row>
    <row r="11750" spans="1:1" ht="21">
      <c r="A11750" s="345"/>
    </row>
    <row r="11751" spans="1:1" ht="21">
      <c r="A11751" s="345"/>
    </row>
    <row r="11752" spans="1:1" ht="21">
      <c r="A11752" s="345"/>
    </row>
    <row r="11753" spans="1:1" ht="21">
      <c r="A11753" s="345"/>
    </row>
    <row r="11754" spans="1:1" ht="21">
      <c r="A11754" s="345"/>
    </row>
    <row r="11755" spans="1:1" ht="21">
      <c r="A11755" s="345"/>
    </row>
    <row r="11756" spans="1:1" ht="21">
      <c r="A11756" s="345"/>
    </row>
    <row r="11757" spans="1:1" ht="21">
      <c r="A11757" s="345"/>
    </row>
    <row r="11758" spans="1:1" ht="21">
      <c r="A11758" s="345"/>
    </row>
    <row r="11759" spans="1:1" ht="21">
      <c r="A11759" s="345"/>
    </row>
    <row r="11760" spans="1:1" ht="21">
      <c r="A11760" s="345"/>
    </row>
    <row r="11761" spans="1:1" ht="21">
      <c r="A11761" s="345"/>
    </row>
    <row r="11762" spans="1:1" ht="21">
      <c r="A11762" s="345"/>
    </row>
    <row r="11763" spans="1:1" ht="21">
      <c r="A11763" s="345"/>
    </row>
    <row r="11764" spans="1:1" ht="21">
      <c r="A11764" s="345"/>
    </row>
    <row r="11765" spans="1:1" ht="21">
      <c r="A11765" s="345"/>
    </row>
    <row r="11766" spans="1:1" ht="21">
      <c r="A11766" s="345"/>
    </row>
    <row r="11767" spans="1:1" ht="21">
      <c r="A11767" s="345"/>
    </row>
    <row r="11768" spans="1:1" ht="21">
      <c r="A11768" s="345"/>
    </row>
    <row r="11769" spans="1:1" ht="21">
      <c r="A11769" s="345"/>
    </row>
    <row r="11770" spans="1:1" ht="21">
      <c r="A11770" s="345"/>
    </row>
    <row r="11771" spans="1:1" ht="21">
      <c r="A11771" s="345"/>
    </row>
    <row r="11772" spans="1:1" ht="21">
      <c r="A11772" s="345"/>
    </row>
    <row r="11773" spans="1:1" ht="21">
      <c r="A11773" s="345"/>
    </row>
    <row r="11774" spans="1:1" ht="21">
      <c r="A11774" s="345"/>
    </row>
    <row r="11775" spans="1:1" ht="21">
      <c r="A11775" s="345"/>
    </row>
    <row r="11776" spans="1:1" ht="21">
      <c r="A11776" s="345"/>
    </row>
    <row r="11777" spans="1:1" ht="21">
      <c r="A11777" s="345"/>
    </row>
    <row r="11778" spans="1:1" ht="21">
      <c r="A11778" s="345"/>
    </row>
    <row r="11779" spans="1:1" ht="21">
      <c r="A11779" s="345"/>
    </row>
    <row r="11780" spans="1:1" ht="21">
      <c r="A11780" s="345"/>
    </row>
    <row r="11781" spans="1:1" ht="21">
      <c r="A11781" s="345"/>
    </row>
    <row r="11782" spans="1:1" ht="21">
      <c r="A11782" s="345"/>
    </row>
    <row r="11783" spans="1:1" ht="21">
      <c r="A11783" s="345"/>
    </row>
    <row r="11784" spans="1:1" ht="21">
      <c r="A11784" s="345"/>
    </row>
    <row r="11785" spans="1:1" ht="21">
      <c r="A11785" s="345"/>
    </row>
    <row r="11786" spans="1:1" ht="21">
      <c r="A11786" s="345"/>
    </row>
    <row r="11787" spans="1:1" ht="21">
      <c r="A11787" s="345"/>
    </row>
    <row r="11788" spans="1:1" ht="21">
      <c r="A11788" s="345"/>
    </row>
    <row r="11789" spans="1:1" ht="21">
      <c r="A11789" s="345"/>
    </row>
    <row r="11790" spans="1:1" ht="21">
      <c r="A11790" s="345"/>
    </row>
    <row r="11791" spans="1:1" ht="21">
      <c r="A11791" s="345"/>
    </row>
    <row r="11792" spans="1:1" ht="21">
      <c r="A11792" s="345"/>
    </row>
    <row r="11793" spans="1:1" ht="21">
      <c r="A11793" s="345"/>
    </row>
    <row r="11794" spans="1:1" ht="21">
      <c r="A11794" s="345"/>
    </row>
    <row r="11795" spans="1:1" ht="21">
      <c r="A11795" s="345"/>
    </row>
    <row r="11796" spans="1:1" ht="21">
      <c r="A11796" s="345"/>
    </row>
    <row r="11797" spans="1:1" ht="21">
      <c r="A11797" s="345"/>
    </row>
    <row r="11798" spans="1:1" ht="21">
      <c r="A11798" s="345"/>
    </row>
    <row r="11799" spans="1:1" ht="21">
      <c r="A11799" s="345"/>
    </row>
    <row r="11800" spans="1:1" ht="21">
      <c r="A11800" s="345"/>
    </row>
    <row r="11801" spans="1:1" ht="21">
      <c r="A11801" s="345"/>
    </row>
    <row r="11802" spans="1:1" ht="21">
      <c r="A11802" s="345"/>
    </row>
    <row r="11803" spans="1:1" ht="21">
      <c r="A11803" s="345"/>
    </row>
    <row r="11804" spans="1:1" ht="21">
      <c r="A11804" s="345"/>
    </row>
    <row r="11805" spans="1:1" ht="21">
      <c r="A11805" s="345"/>
    </row>
    <row r="11806" spans="1:1" ht="21">
      <c r="A11806" s="345"/>
    </row>
    <row r="11807" spans="1:1" ht="21">
      <c r="A11807" s="345"/>
    </row>
    <row r="11808" spans="1:1" ht="21">
      <c r="A11808" s="345"/>
    </row>
    <row r="11809" spans="1:1" ht="21">
      <c r="A11809" s="345"/>
    </row>
    <row r="11810" spans="1:1" ht="21">
      <c r="A11810" s="345"/>
    </row>
    <row r="11811" spans="1:1" ht="21">
      <c r="A11811" s="345"/>
    </row>
    <row r="11812" spans="1:1" ht="21">
      <c r="A11812" s="345"/>
    </row>
    <row r="11813" spans="1:1" ht="21">
      <c r="A11813" s="345"/>
    </row>
    <row r="11814" spans="1:1" ht="21">
      <c r="A11814" s="345"/>
    </row>
    <row r="11815" spans="1:1" ht="21">
      <c r="A11815" s="345"/>
    </row>
    <row r="11816" spans="1:1" ht="21">
      <c r="A11816" s="345"/>
    </row>
    <row r="11817" spans="1:1" ht="21">
      <c r="A11817" s="345"/>
    </row>
    <row r="11818" spans="1:1" ht="21">
      <c r="A11818" s="345"/>
    </row>
    <row r="11819" spans="1:1" ht="21">
      <c r="A11819" s="345"/>
    </row>
    <row r="11820" spans="1:1" ht="21">
      <c r="A11820" s="345"/>
    </row>
    <row r="11821" spans="1:1" ht="21">
      <c r="A11821" s="345"/>
    </row>
    <row r="11822" spans="1:1" ht="21">
      <c r="A11822" s="345"/>
    </row>
    <row r="11823" spans="1:1" ht="21">
      <c r="A11823" s="345"/>
    </row>
    <row r="11824" spans="1:1" ht="21">
      <c r="A11824" s="345"/>
    </row>
    <row r="11825" spans="1:1" ht="21">
      <c r="A11825" s="345"/>
    </row>
    <row r="11826" spans="1:1" ht="21">
      <c r="A11826" s="345"/>
    </row>
    <row r="11827" spans="1:1" ht="21">
      <c r="A11827" s="345"/>
    </row>
    <row r="11828" spans="1:1" ht="21">
      <c r="A11828" s="345"/>
    </row>
    <row r="11829" spans="1:1" ht="21">
      <c r="A11829" s="345"/>
    </row>
    <row r="11830" spans="1:1" ht="21">
      <c r="A11830" s="345"/>
    </row>
    <row r="11831" spans="1:1" ht="21">
      <c r="A11831" s="345"/>
    </row>
    <row r="11832" spans="1:1" ht="21">
      <c r="A11832" s="345"/>
    </row>
    <row r="11833" spans="1:1" ht="21">
      <c r="A11833" s="345"/>
    </row>
    <row r="11834" spans="1:1" ht="21">
      <c r="A11834" s="345"/>
    </row>
    <row r="11835" spans="1:1" ht="21">
      <c r="A11835" s="345"/>
    </row>
    <row r="11836" spans="1:1" ht="21">
      <c r="A11836" s="345"/>
    </row>
    <row r="11837" spans="1:1" ht="21">
      <c r="A11837" s="345"/>
    </row>
    <row r="11838" spans="1:1" ht="21">
      <c r="A11838" s="345"/>
    </row>
    <row r="11839" spans="1:1" ht="21">
      <c r="A11839" s="345"/>
    </row>
    <row r="11840" spans="1:1" ht="21">
      <c r="A11840" s="345"/>
    </row>
    <row r="11841" spans="1:1" ht="21">
      <c r="A11841" s="345"/>
    </row>
    <row r="11842" spans="1:1" ht="21">
      <c r="A11842" s="345"/>
    </row>
    <row r="11843" spans="1:1" ht="21">
      <c r="A11843" s="345"/>
    </row>
    <row r="11844" spans="1:1" ht="21">
      <c r="A11844" s="345"/>
    </row>
    <row r="11845" spans="1:1" ht="21">
      <c r="A11845" s="345"/>
    </row>
    <row r="11846" spans="1:1" ht="21">
      <c r="A11846" s="345"/>
    </row>
    <row r="11847" spans="1:1" ht="21">
      <c r="A11847" s="345"/>
    </row>
    <row r="11848" spans="1:1" ht="21">
      <c r="A11848" s="345"/>
    </row>
    <row r="11849" spans="1:1" ht="21">
      <c r="A11849" s="345"/>
    </row>
    <row r="11850" spans="1:1" ht="21">
      <c r="A11850" s="345"/>
    </row>
    <row r="11851" spans="1:1" ht="21">
      <c r="A11851" s="345"/>
    </row>
    <row r="11852" spans="1:1" ht="21">
      <c r="A11852" s="345"/>
    </row>
    <row r="11853" spans="1:1" ht="21">
      <c r="A11853" s="345"/>
    </row>
    <row r="11854" spans="1:1" ht="21">
      <c r="A11854" s="345"/>
    </row>
    <row r="11855" spans="1:1" ht="21">
      <c r="A11855" s="345"/>
    </row>
    <row r="11856" spans="1:1" ht="21">
      <c r="A11856" s="345"/>
    </row>
    <row r="11857" spans="1:1" ht="21">
      <c r="A11857" s="345"/>
    </row>
    <row r="11858" spans="1:1" ht="21">
      <c r="A11858" s="345"/>
    </row>
    <row r="11859" spans="1:1" ht="21">
      <c r="A11859" s="345"/>
    </row>
    <row r="11860" spans="1:1" ht="21">
      <c r="A11860" s="345"/>
    </row>
    <row r="11861" spans="1:1" ht="21">
      <c r="A11861" s="345"/>
    </row>
    <row r="11862" spans="1:1" ht="21">
      <c r="A11862" s="345"/>
    </row>
    <row r="11863" spans="1:1" ht="21">
      <c r="A11863" s="345"/>
    </row>
    <row r="11864" spans="1:1" ht="21">
      <c r="A11864" s="345"/>
    </row>
    <row r="11865" spans="1:1" ht="21">
      <c r="A11865" s="345"/>
    </row>
    <row r="11866" spans="1:1" ht="21">
      <c r="A11866" s="345"/>
    </row>
    <row r="11867" spans="1:1" ht="21">
      <c r="A11867" s="345"/>
    </row>
    <row r="11868" spans="1:1" ht="21">
      <c r="A11868" s="345"/>
    </row>
    <row r="11869" spans="1:1" ht="21">
      <c r="A11869" s="345"/>
    </row>
    <row r="11870" spans="1:1" ht="21">
      <c r="A11870" s="345"/>
    </row>
    <row r="11871" spans="1:1" ht="21">
      <c r="A11871" s="345"/>
    </row>
    <row r="11872" spans="1:1" ht="21">
      <c r="A11872" s="345"/>
    </row>
    <row r="11873" spans="1:1" ht="21">
      <c r="A11873" s="345"/>
    </row>
    <row r="11874" spans="1:1" ht="21">
      <c r="A11874" s="345"/>
    </row>
    <row r="11875" spans="1:1" ht="21">
      <c r="A11875" s="345"/>
    </row>
    <row r="11876" spans="1:1" ht="21">
      <c r="A11876" s="345"/>
    </row>
    <row r="11877" spans="1:1" ht="21">
      <c r="A11877" s="345"/>
    </row>
    <row r="11878" spans="1:1" ht="21">
      <c r="A11878" s="345"/>
    </row>
    <row r="11879" spans="1:1" ht="21">
      <c r="A11879" s="345"/>
    </row>
    <row r="11880" spans="1:1" ht="21">
      <c r="A11880" s="345"/>
    </row>
    <row r="11881" spans="1:1" ht="21">
      <c r="A11881" s="345"/>
    </row>
    <row r="11882" spans="1:1" ht="21">
      <c r="A11882" s="345"/>
    </row>
    <row r="11883" spans="1:1" ht="21">
      <c r="A11883" s="345"/>
    </row>
    <row r="11884" spans="1:1" ht="21">
      <c r="A11884" s="345"/>
    </row>
    <row r="11885" spans="1:1" ht="21">
      <c r="A11885" s="345"/>
    </row>
    <row r="11886" spans="1:1" ht="21">
      <c r="A11886" s="345"/>
    </row>
    <row r="11887" spans="1:1" ht="21">
      <c r="A11887" s="345"/>
    </row>
    <row r="11888" spans="1:1" ht="21">
      <c r="A11888" s="345"/>
    </row>
    <row r="11889" spans="1:1" ht="21">
      <c r="A11889" s="345"/>
    </row>
    <row r="11890" spans="1:1" ht="21">
      <c r="A11890" s="345"/>
    </row>
    <row r="11891" spans="1:1" ht="21">
      <c r="A11891" s="345"/>
    </row>
    <row r="11892" spans="1:1" ht="21">
      <c r="A11892" s="345"/>
    </row>
    <row r="11893" spans="1:1" ht="21">
      <c r="A11893" s="345"/>
    </row>
    <row r="11894" spans="1:1" ht="21">
      <c r="A11894" s="345"/>
    </row>
    <row r="11895" spans="1:1" ht="21">
      <c r="A11895" s="345"/>
    </row>
    <row r="11896" spans="1:1" ht="21">
      <c r="A11896" s="345"/>
    </row>
    <row r="11897" spans="1:1" ht="21">
      <c r="A11897" s="345"/>
    </row>
    <row r="11898" spans="1:1" ht="21">
      <c r="A11898" s="345"/>
    </row>
    <row r="11899" spans="1:1" ht="21">
      <c r="A11899" s="345"/>
    </row>
    <row r="11900" spans="1:1" ht="21">
      <c r="A11900" s="345"/>
    </row>
    <row r="11901" spans="1:1" ht="21">
      <c r="A11901" s="345"/>
    </row>
    <row r="11902" spans="1:1" ht="21">
      <c r="A11902" s="345"/>
    </row>
    <row r="11903" spans="1:1" ht="21">
      <c r="A11903" s="345"/>
    </row>
    <row r="11904" spans="1:1" ht="21">
      <c r="A11904" s="345"/>
    </row>
    <row r="11905" spans="1:1" ht="21">
      <c r="A11905" s="345"/>
    </row>
    <row r="11906" spans="1:1" ht="21">
      <c r="A11906" s="345"/>
    </row>
    <row r="11907" spans="1:1" ht="21">
      <c r="A11907" s="345"/>
    </row>
    <row r="11908" spans="1:1" ht="21">
      <c r="A11908" s="345"/>
    </row>
    <row r="11909" spans="1:1" ht="21">
      <c r="A11909" s="345"/>
    </row>
    <row r="11910" spans="1:1" ht="21">
      <c r="A11910" s="345"/>
    </row>
    <row r="11911" spans="1:1" ht="21">
      <c r="A11911" s="345"/>
    </row>
    <row r="11912" spans="1:1" ht="21">
      <c r="A11912" s="345"/>
    </row>
    <row r="11913" spans="1:1" ht="21">
      <c r="A11913" s="345"/>
    </row>
    <row r="11914" spans="1:1" ht="21">
      <c r="A11914" s="345"/>
    </row>
    <row r="11915" spans="1:1" ht="21">
      <c r="A11915" s="345"/>
    </row>
    <row r="11916" spans="1:1" ht="21">
      <c r="A11916" s="345"/>
    </row>
    <row r="11917" spans="1:1" ht="21">
      <c r="A11917" s="345"/>
    </row>
    <row r="11918" spans="1:1" ht="21">
      <c r="A11918" s="345"/>
    </row>
    <row r="11919" spans="1:1" ht="21">
      <c r="A11919" s="345"/>
    </row>
    <row r="11920" spans="1:1" ht="21">
      <c r="A11920" s="345"/>
    </row>
    <row r="11921" spans="1:1" ht="21">
      <c r="A11921" s="345"/>
    </row>
    <row r="11922" spans="1:1" ht="21">
      <c r="A11922" s="345"/>
    </row>
    <row r="11923" spans="1:1" ht="21">
      <c r="A11923" s="345"/>
    </row>
    <row r="11924" spans="1:1" ht="21">
      <c r="A11924" s="345"/>
    </row>
    <row r="11925" spans="1:1" ht="21">
      <c r="A11925" s="345"/>
    </row>
    <row r="11926" spans="1:1" ht="21">
      <c r="A11926" s="345"/>
    </row>
    <row r="11927" spans="1:1" ht="21">
      <c r="A11927" s="345"/>
    </row>
    <row r="11928" spans="1:1" ht="21">
      <c r="A11928" s="345"/>
    </row>
    <row r="11929" spans="1:1" ht="21">
      <c r="A11929" s="345"/>
    </row>
    <row r="11930" spans="1:1" ht="21">
      <c r="A11930" s="345"/>
    </row>
    <row r="11931" spans="1:1" ht="21">
      <c r="A11931" s="345"/>
    </row>
    <row r="11932" spans="1:1" ht="21">
      <c r="A11932" s="345"/>
    </row>
    <row r="11933" spans="1:1" ht="21">
      <c r="A11933" s="345"/>
    </row>
    <row r="11934" spans="1:1" ht="21">
      <c r="A11934" s="345"/>
    </row>
    <row r="11935" spans="1:1" ht="21">
      <c r="A11935" s="345"/>
    </row>
    <row r="11936" spans="1:1" ht="21">
      <c r="A11936" s="345"/>
    </row>
    <row r="11937" spans="1:1" ht="21">
      <c r="A11937" s="345"/>
    </row>
    <row r="11938" spans="1:1" ht="21">
      <c r="A11938" s="345"/>
    </row>
    <row r="11939" spans="1:1" ht="21">
      <c r="A11939" s="345"/>
    </row>
    <row r="11940" spans="1:1" ht="21">
      <c r="A11940" s="345"/>
    </row>
    <row r="11941" spans="1:1" ht="21">
      <c r="A11941" s="345"/>
    </row>
    <row r="11942" spans="1:1" ht="21">
      <c r="A11942" s="345"/>
    </row>
    <row r="11943" spans="1:1" ht="21">
      <c r="A11943" s="345"/>
    </row>
    <row r="11944" spans="1:1" ht="21">
      <c r="A11944" s="345"/>
    </row>
    <row r="11945" spans="1:1" ht="21">
      <c r="A11945" s="345"/>
    </row>
    <row r="11946" spans="1:1" ht="21">
      <c r="A11946" s="345"/>
    </row>
    <row r="11947" spans="1:1" ht="21">
      <c r="A11947" s="345"/>
    </row>
    <row r="11948" spans="1:1" ht="21">
      <c r="A11948" s="345"/>
    </row>
    <row r="11949" spans="1:1" ht="21">
      <c r="A11949" s="345"/>
    </row>
    <row r="11950" spans="1:1" ht="21">
      <c r="A11950" s="345"/>
    </row>
    <row r="11951" spans="1:1" ht="21">
      <c r="A11951" s="345"/>
    </row>
    <row r="11952" spans="1:1" ht="21">
      <c r="A11952" s="345"/>
    </row>
    <row r="11953" spans="1:1" ht="21">
      <c r="A11953" s="345"/>
    </row>
    <row r="11954" spans="1:1" ht="21">
      <c r="A11954" s="345"/>
    </row>
    <row r="11955" spans="1:1" ht="21">
      <c r="A11955" s="345"/>
    </row>
    <row r="11956" spans="1:1" ht="21">
      <c r="A11956" s="345"/>
    </row>
    <row r="11957" spans="1:1" ht="21">
      <c r="A11957" s="345"/>
    </row>
    <row r="11958" spans="1:1" ht="21">
      <c r="A11958" s="345"/>
    </row>
    <row r="11959" spans="1:1" ht="21">
      <c r="A11959" s="345"/>
    </row>
    <row r="11960" spans="1:1" ht="21">
      <c r="A11960" s="345"/>
    </row>
    <row r="11961" spans="1:1" ht="21">
      <c r="A11961" s="345"/>
    </row>
    <row r="11962" spans="1:1" ht="21">
      <c r="A11962" s="345"/>
    </row>
    <row r="11963" spans="1:1" ht="21">
      <c r="A11963" s="345"/>
    </row>
    <row r="11964" spans="1:1" ht="21">
      <c r="A11964" s="345"/>
    </row>
    <row r="11965" spans="1:1" ht="21">
      <c r="A11965" s="345"/>
    </row>
    <row r="11966" spans="1:1" ht="21">
      <c r="A11966" s="345"/>
    </row>
    <row r="11967" spans="1:1" ht="21">
      <c r="A11967" s="345"/>
    </row>
    <row r="11968" spans="1:1" ht="21">
      <c r="A11968" s="345"/>
    </row>
    <row r="11969" spans="1:1" ht="21">
      <c r="A11969" s="345"/>
    </row>
    <row r="11970" spans="1:1" ht="21">
      <c r="A11970" s="345"/>
    </row>
    <row r="11971" spans="1:1" ht="21">
      <c r="A11971" s="345"/>
    </row>
    <row r="11972" spans="1:1" ht="21">
      <c r="A11972" s="345"/>
    </row>
    <row r="11973" spans="1:1" ht="21">
      <c r="A11973" s="345"/>
    </row>
    <row r="11974" spans="1:1" ht="21">
      <c r="A11974" s="345"/>
    </row>
    <row r="11975" spans="1:1" ht="21">
      <c r="A11975" s="345"/>
    </row>
    <row r="11976" spans="1:1" ht="21">
      <c r="A11976" s="345"/>
    </row>
    <row r="11977" spans="1:1" ht="21">
      <c r="A11977" s="345"/>
    </row>
    <row r="11978" spans="1:1" ht="21">
      <c r="A11978" s="345"/>
    </row>
    <row r="11979" spans="1:1" ht="21">
      <c r="A11979" s="345"/>
    </row>
    <row r="11980" spans="1:1" ht="21">
      <c r="A11980" s="345"/>
    </row>
    <row r="11981" spans="1:1" ht="21">
      <c r="A11981" s="345"/>
    </row>
    <row r="11982" spans="1:1" ht="21">
      <c r="A11982" s="345"/>
    </row>
    <row r="11983" spans="1:1" ht="21">
      <c r="A11983" s="345"/>
    </row>
    <row r="11984" spans="1:1" ht="21">
      <c r="A11984" s="345"/>
    </row>
    <row r="11985" spans="1:1" ht="21">
      <c r="A11985" s="345"/>
    </row>
    <row r="11986" spans="1:1" ht="21">
      <c r="A11986" s="345"/>
    </row>
    <row r="11987" spans="1:1" ht="21">
      <c r="A11987" s="345"/>
    </row>
    <row r="11988" spans="1:1" ht="21">
      <c r="A11988" s="345"/>
    </row>
    <row r="11989" spans="1:1" ht="21">
      <c r="A11989" s="345"/>
    </row>
    <row r="11990" spans="1:1" ht="21">
      <c r="A11990" s="345"/>
    </row>
    <row r="11991" spans="1:1" ht="21">
      <c r="A11991" s="345"/>
    </row>
    <row r="11992" spans="1:1" ht="21">
      <c r="A11992" s="345"/>
    </row>
    <row r="11993" spans="1:1" ht="21">
      <c r="A11993" s="345"/>
    </row>
    <row r="11994" spans="1:1" ht="21">
      <c r="A11994" s="345"/>
    </row>
    <row r="11995" spans="1:1" ht="21">
      <c r="A11995" s="345"/>
    </row>
    <row r="11996" spans="1:1" ht="21">
      <c r="A11996" s="345"/>
    </row>
    <row r="11997" spans="1:1" ht="21">
      <c r="A11997" s="345"/>
    </row>
    <row r="11998" spans="1:1" ht="21">
      <c r="A11998" s="345"/>
    </row>
    <row r="11999" spans="1:1" ht="21">
      <c r="A11999" s="345"/>
    </row>
    <row r="12000" spans="1:1" ht="21">
      <c r="A12000" s="345"/>
    </row>
    <row r="12001" spans="1:1" ht="21">
      <c r="A12001" s="345"/>
    </row>
    <row r="12002" spans="1:1" ht="21">
      <c r="A12002" s="345"/>
    </row>
    <row r="12003" spans="1:1" ht="21">
      <c r="A12003" s="345"/>
    </row>
    <row r="12004" spans="1:1" ht="21">
      <c r="A12004" s="345"/>
    </row>
    <row r="12005" spans="1:1" ht="21">
      <c r="A12005" s="345"/>
    </row>
    <row r="12006" spans="1:1" ht="21">
      <c r="A12006" s="345"/>
    </row>
    <row r="12007" spans="1:1" ht="21">
      <c r="A12007" s="345"/>
    </row>
    <row r="12008" spans="1:1" ht="21">
      <c r="A12008" s="345"/>
    </row>
    <row r="12009" spans="1:1" ht="21">
      <c r="A12009" s="345"/>
    </row>
    <row r="12010" spans="1:1" ht="21">
      <c r="A12010" s="345"/>
    </row>
    <row r="12011" spans="1:1" ht="21">
      <c r="A12011" s="345"/>
    </row>
    <row r="12012" spans="1:1" ht="21">
      <c r="A12012" s="345"/>
    </row>
    <row r="12013" spans="1:1" ht="21">
      <c r="A12013" s="345"/>
    </row>
    <row r="12014" spans="1:1" ht="21">
      <c r="A12014" s="345"/>
    </row>
    <row r="12015" spans="1:1" ht="21">
      <c r="A12015" s="345"/>
    </row>
    <row r="12016" spans="1:1" ht="21">
      <c r="A12016" s="345"/>
    </row>
    <row r="12017" spans="1:1" ht="21">
      <c r="A12017" s="345"/>
    </row>
    <row r="12018" spans="1:1" ht="21">
      <c r="A12018" s="345"/>
    </row>
    <row r="12019" spans="1:1" ht="21">
      <c r="A12019" s="345"/>
    </row>
    <row r="12020" spans="1:1" ht="21">
      <c r="A12020" s="345"/>
    </row>
    <row r="12021" spans="1:1" ht="21">
      <c r="A12021" s="345"/>
    </row>
    <row r="12022" spans="1:1" ht="21">
      <c r="A12022" s="345"/>
    </row>
    <row r="12023" spans="1:1" ht="21">
      <c r="A12023" s="345"/>
    </row>
    <row r="12024" spans="1:1" ht="21">
      <c r="A12024" s="345"/>
    </row>
    <row r="12025" spans="1:1" ht="21">
      <c r="A12025" s="345"/>
    </row>
    <row r="12026" spans="1:1" ht="21">
      <c r="A12026" s="345"/>
    </row>
    <row r="12027" spans="1:1" ht="21">
      <c r="A12027" s="345"/>
    </row>
    <row r="12028" spans="1:1" ht="21">
      <c r="A12028" s="345"/>
    </row>
    <row r="12029" spans="1:1" ht="21">
      <c r="A12029" s="345"/>
    </row>
    <row r="12030" spans="1:1" ht="21">
      <c r="A12030" s="345"/>
    </row>
    <row r="12031" spans="1:1" ht="21">
      <c r="A12031" s="345"/>
    </row>
    <row r="12032" spans="1:1" ht="21">
      <c r="A12032" s="345"/>
    </row>
    <row r="12033" spans="1:1" ht="21">
      <c r="A12033" s="345"/>
    </row>
    <row r="12034" spans="1:1" ht="21">
      <c r="A12034" s="345"/>
    </row>
    <row r="12035" spans="1:1" ht="21">
      <c r="A12035" s="345"/>
    </row>
    <row r="12036" spans="1:1" ht="21">
      <c r="A12036" s="345"/>
    </row>
    <row r="12037" spans="1:1" ht="21">
      <c r="A12037" s="345"/>
    </row>
    <row r="12038" spans="1:1" ht="21">
      <c r="A12038" s="345"/>
    </row>
    <row r="12039" spans="1:1" ht="21">
      <c r="A12039" s="345"/>
    </row>
    <row r="12040" spans="1:1" ht="21">
      <c r="A12040" s="345"/>
    </row>
    <row r="12041" spans="1:1" ht="21">
      <c r="A12041" s="345"/>
    </row>
    <row r="12042" spans="1:1" ht="21">
      <c r="A12042" s="345"/>
    </row>
    <row r="12043" spans="1:1" ht="21">
      <c r="A12043" s="345"/>
    </row>
    <row r="12044" spans="1:1" ht="21">
      <c r="A12044" s="345"/>
    </row>
    <row r="12045" spans="1:1" ht="21">
      <c r="A12045" s="345"/>
    </row>
    <row r="12046" spans="1:1" ht="21">
      <c r="A12046" s="345"/>
    </row>
    <row r="12047" spans="1:1" ht="21">
      <c r="A12047" s="345"/>
    </row>
    <row r="12048" spans="1:1" ht="21">
      <c r="A12048" s="345"/>
    </row>
    <row r="12049" spans="1:1" ht="21">
      <c r="A12049" s="345"/>
    </row>
    <row r="12050" spans="1:1" ht="21">
      <c r="A12050" s="345"/>
    </row>
    <row r="12051" spans="1:1" ht="21">
      <c r="A12051" s="345"/>
    </row>
    <row r="12052" spans="1:1" ht="21">
      <c r="A12052" s="345"/>
    </row>
    <row r="12053" spans="1:1" ht="21">
      <c r="A12053" s="345"/>
    </row>
    <row r="12054" spans="1:1" ht="21">
      <c r="A12054" s="345"/>
    </row>
    <row r="12055" spans="1:1" ht="21">
      <c r="A12055" s="345"/>
    </row>
    <row r="12056" spans="1:1" ht="21">
      <c r="A12056" s="345"/>
    </row>
    <row r="12057" spans="1:1" ht="21">
      <c r="A12057" s="345"/>
    </row>
    <row r="12058" spans="1:1" ht="21">
      <c r="A12058" s="345"/>
    </row>
    <row r="12059" spans="1:1" ht="21">
      <c r="A12059" s="345"/>
    </row>
    <row r="12060" spans="1:1" ht="21">
      <c r="A12060" s="345"/>
    </row>
    <row r="12061" spans="1:1" ht="21">
      <c r="A12061" s="345"/>
    </row>
    <row r="12062" spans="1:1" ht="21">
      <c r="A12062" s="345"/>
    </row>
    <row r="12063" spans="1:1" ht="21">
      <c r="A12063" s="345"/>
    </row>
    <row r="12064" spans="1:1" ht="21">
      <c r="A12064" s="345"/>
    </row>
    <row r="12065" spans="1:1" ht="21">
      <c r="A12065" s="345"/>
    </row>
    <row r="12066" spans="1:1" ht="21">
      <c r="A12066" s="345"/>
    </row>
    <row r="12067" spans="1:1" ht="21">
      <c r="A12067" s="345"/>
    </row>
    <row r="12068" spans="1:1" ht="21">
      <c r="A12068" s="345"/>
    </row>
    <row r="12069" spans="1:1" ht="21">
      <c r="A12069" s="345"/>
    </row>
    <row r="12070" spans="1:1" ht="21">
      <c r="A12070" s="345"/>
    </row>
    <row r="12071" spans="1:1" ht="21">
      <c r="A12071" s="345"/>
    </row>
    <row r="12072" spans="1:1" ht="21">
      <c r="A12072" s="345"/>
    </row>
    <row r="12073" spans="1:1" ht="21">
      <c r="A12073" s="345"/>
    </row>
    <row r="12074" spans="1:1" ht="21">
      <c r="A12074" s="345"/>
    </row>
    <row r="12075" spans="1:1" ht="21">
      <c r="A12075" s="345"/>
    </row>
    <row r="12076" spans="1:1" ht="21">
      <c r="A12076" s="345"/>
    </row>
    <row r="12077" spans="1:1" ht="21">
      <c r="A12077" s="345"/>
    </row>
    <row r="12078" spans="1:1" ht="21">
      <c r="A12078" s="345"/>
    </row>
    <row r="12079" spans="1:1" ht="21">
      <c r="A12079" s="345"/>
    </row>
    <row r="12080" spans="1:1" ht="21">
      <c r="A12080" s="345"/>
    </row>
    <row r="12081" spans="1:1" ht="21">
      <c r="A12081" s="345"/>
    </row>
    <row r="12082" spans="1:1" ht="21">
      <c r="A12082" s="345"/>
    </row>
    <row r="12083" spans="1:1" ht="21">
      <c r="A12083" s="345"/>
    </row>
    <row r="12084" spans="1:1" ht="21">
      <c r="A12084" s="345"/>
    </row>
    <row r="12085" spans="1:1" ht="21">
      <c r="A12085" s="345"/>
    </row>
    <row r="12086" spans="1:1" ht="21">
      <c r="A12086" s="345"/>
    </row>
    <row r="12087" spans="1:1" ht="21">
      <c r="A12087" s="345"/>
    </row>
    <row r="12088" spans="1:1" ht="21">
      <c r="A12088" s="345"/>
    </row>
    <row r="12089" spans="1:1" ht="21">
      <c r="A12089" s="345"/>
    </row>
    <row r="12090" spans="1:1" ht="21">
      <c r="A12090" s="345"/>
    </row>
    <row r="12091" spans="1:1" ht="21">
      <c r="A12091" s="345"/>
    </row>
    <row r="12092" spans="1:1" ht="21">
      <c r="A12092" s="345"/>
    </row>
    <row r="12093" spans="1:1" ht="21">
      <c r="A12093" s="345"/>
    </row>
    <row r="12094" spans="1:1" ht="21">
      <c r="A12094" s="345"/>
    </row>
    <row r="12095" spans="1:1" ht="21">
      <c r="A12095" s="345"/>
    </row>
    <row r="12096" spans="1:1" ht="21">
      <c r="A12096" s="345"/>
    </row>
    <row r="12097" spans="1:1" ht="21">
      <c r="A12097" s="345"/>
    </row>
    <row r="12098" spans="1:1" ht="21">
      <c r="A12098" s="345"/>
    </row>
    <row r="12099" spans="1:1" ht="21">
      <c r="A12099" s="345"/>
    </row>
    <row r="12100" spans="1:1" ht="21">
      <c r="A12100" s="345"/>
    </row>
    <row r="12101" spans="1:1" ht="21">
      <c r="A12101" s="345"/>
    </row>
    <row r="12102" spans="1:1" ht="21">
      <c r="A12102" s="345"/>
    </row>
    <row r="12103" spans="1:1" ht="21">
      <c r="A12103" s="345"/>
    </row>
    <row r="12104" spans="1:1" ht="21">
      <c r="A12104" s="345"/>
    </row>
    <row r="12105" spans="1:1" ht="21">
      <c r="A12105" s="345"/>
    </row>
    <row r="12106" spans="1:1" ht="21">
      <c r="A12106" s="345"/>
    </row>
    <row r="12107" spans="1:1" ht="21">
      <c r="A12107" s="345"/>
    </row>
    <row r="12108" spans="1:1" ht="21">
      <c r="A12108" s="345"/>
    </row>
    <row r="12109" spans="1:1" ht="21">
      <c r="A12109" s="345"/>
    </row>
    <row r="12110" spans="1:1" ht="21">
      <c r="A12110" s="345"/>
    </row>
    <row r="12111" spans="1:1" ht="21">
      <c r="A12111" s="345"/>
    </row>
    <row r="12112" spans="1:1" ht="21">
      <c r="A12112" s="345"/>
    </row>
    <row r="12113" spans="1:1" ht="21">
      <c r="A12113" s="345"/>
    </row>
    <row r="12114" spans="1:1" ht="21">
      <c r="A12114" s="345"/>
    </row>
    <row r="12115" spans="1:1" ht="21">
      <c r="A12115" s="345"/>
    </row>
    <row r="12116" spans="1:1" ht="21">
      <c r="A12116" s="345"/>
    </row>
    <row r="12117" spans="1:1" ht="21">
      <c r="A12117" s="345"/>
    </row>
    <row r="12118" spans="1:1" ht="21">
      <c r="A12118" s="345"/>
    </row>
    <row r="12119" spans="1:1" ht="21">
      <c r="A12119" s="345"/>
    </row>
    <row r="12120" spans="1:1" ht="21">
      <c r="A12120" s="345"/>
    </row>
    <row r="12121" spans="1:1" ht="21">
      <c r="A12121" s="345"/>
    </row>
    <row r="12122" spans="1:1" ht="21">
      <c r="A12122" s="345"/>
    </row>
    <row r="12123" spans="1:1" ht="21">
      <c r="A12123" s="345"/>
    </row>
    <row r="12124" spans="1:1" ht="21">
      <c r="A12124" s="345"/>
    </row>
    <row r="12125" spans="1:1" ht="21">
      <c r="A12125" s="345"/>
    </row>
    <row r="12126" spans="1:1" ht="21">
      <c r="A12126" s="345"/>
    </row>
    <row r="12127" spans="1:1" ht="21">
      <c r="A12127" s="345"/>
    </row>
    <row r="12128" spans="1:1" ht="21">
      <c r="A12128" s="345"/>
    </row>
    <row r="12129" spans="1:1" ht="21">
      <c r="A12129" s="345"/>
    </row>
    <row r="12130" spans="1:1" ht="21">
      <c r="A12130" s="345"/>
    </row>
    <row r="12131" spans="1:1" ht="21">
      <c r="A12131" s="345"/>
    </row>
    <row r="12132" spans="1:1" ht="21">
      <c r="A12132" s="345"/>
    </row>
    <row r="12133" spans="1:1" ht="21">
      <c r="A12133" s="345"/>
    </row>
    <row r="12134" spans="1:1" ht="21">
      <c r="A12134" s="345"/>
    </row>
    <row r="12135" spans="1:1" ht="21">
      <c r="A12135" s="345"/>
    </row>
    <row r="12136" spans="1:1" ht="21">
      <c r="A12136" s="345"/>
    </row>
    <row r="12137" spans="1:1" ht="21">
      <c r="A12137" s="345"/>
    </row>
    <row r="12138" spans="1:1" ht="21">
      <c r="A12138" s="345"/>
    </row>
    <row r="12139" spans="1:1" ht="21">
      <c r="A12139" s="345"/>
    </row>
    <row r="12140" spans="1:1" ht="21">
      <c r="A12140" s="345"/>
    </row>
    <row r="12141" spans="1:1" ht="21">
      <c r="A12141" s="345"/>
    </row>
    <row r="12142" spans="1:1" ht="21">
      <c r="A12142" s="345"/>
    </row>
    <row r="12143" spans="1:1" ht="21">
      <c r="A12143" s="345"/>
    </row>
    <row r="12144" spans="1:1" ht="21">
      <c r="A12144" s="345"/>
    </row>
    <row r="12145" spans="1:1" ht="21">
      <c r="A12145" s="345"/>
    </row>
    <row r="12146" spans="1:1" ht="21">
      <c r="A12146" s="345"/>
    </row>
    <row r="12147" spans="1:1" ht="21">
      <c r="A12147" s="345"/>
    </row>
    <row r="12148" spans="1:1" ht="21">
      <c r="A12148" s="345"/>
    </row>
    <row r="12149" spans="1:1" ht="21">
      <c r="A12149" s="345"/>
    </row>
    <row r="12150" spans="1:1" ht="21">
      <c r="A12150" s="345"/>
    </row>
    <row r="12151" spans="1:1" ht="21">
      <c r="A12151" s="345"/>
    </row>
    <row r="12152" spans="1:1" ht="21">
      <c r="A12152" s="345"/>
    </row>
    <row r="12153" spans="1:1" ht="21">
      <c r="A12153" s="345"/>
    </row>
    <row r="12154" spans="1:1" ht="21">
      <c r="A12154" s="345"/>
    </row>
    <row r="12155" spans="1:1" ht="21">
      <c r="A12155" s="345"/>
    </row>
    <row r="12156" spans="1:1" ht="21">
      <c r="A12156" s="345"/>
    </row>
    <row r="12157" spans="1:1" ht="21">
      <c r="A12157" s="345"/>
    </row>
    <row r="12158" spans="1:1" ht="21">
      <c r="A12158" s="345"/>
    </row>
    <row r="12159" spans="1:1" ht="21">
      <c r="A12159" s="345"/>
    </row>
    <row r="12160" spans="1:1" ht="21">
      <c r="A12160" s="345"/>
    </row>
    <row r="12161" spans="1:1" ht="21">
      <c r="A12161" s="345"/>
    </row>
    <row r="12162" spans="1:1" ht="21">
      <c r="A12162" s="345"/>
    </row>
    <row r="12163" spans="1:1" ht="21">
      <c r="A12163" s="345"/>
    </row>
    <row r="12164" spans="1:1" ht="21">
      <c r="A12164" s="345"/>
    </row>
    <row r="12165" spans="1:1" ht="21">
      <c r="A12165" s="345"/>
    </row>
    <row r="12166" spans="1:1" ht="21">
      <c r="A12166" s="345"/>
    </row>
    <row r="12167" spans="1:1" ht="21">
      <c r="A12167" s="345"/>
    </row>
    <row r="12168" spans="1:1" ht="21">
      <c r="A12168" s="345"/>
    </row>
    <row r="12169" spans="1:1" ht="21">
      <c r="A12169" s="345"/>
    </row>
    <row r="12170" spans="1:1" ht="21">
      <c r="A12170" s="345"/>
    </row>
    <row r="12171" spans="1:1" ht="21">
      <c r="A12171" s="345"/>
    </row>
    <row r="12172" spans="1:1" ht="21">
      <c r="A12172" s="345"/>
    </row>
    <row r="12173" spans="1:1" ht="21">
      <c r="A12173" s="345"/>
    </row>
    <row r="12174" spans="1:1" ht="21">
      <c r="A12174" s="345"/>
    </row>
    <row r="12175" spans="1:1" ht="21">
      <c r="A12175" s="345"/>
    </row>
    <row r="12176" spans="1:1" ht="21">
      <c r="A12176" s="345"/>
    </row>
    <row r="12177" spans="1:1" ht="21">
      <c r="A12177" s="345"/>
    </row>
    <row r="12178" spans="1:1" ht="21">
      <c r="A12178" s="345"/>
    </row>
    <row r="12179" spans="1:1" ht="21">
      <c r="A12179" s="345"/>
    </row>
    <row r="12180" spans="1:1" ht="21">
      <c r="A12180" s="345"/>
    </row>
    <row r="12181" spans="1:1" ht="21">
      <c r="A12181" s="345"/>
    </row>
    <row r="12182" spans="1:1" ht="21">
      <c r="A12182" s="345"/>
    </row>
    <row r="12183" spans="1:1" ht="21">
      <c r="A12183" s="345"/>
    </row>
    <row r="12184" spans="1:1" ht="21">
      <c r="A12184" s="345"/>
    </row>
    <row r="12185" spans="1:1" ht="21">
      <c r="A12185" s="345"/>
    </row>
    <row r="12186" spans="1:1" ht="21">
      <c r="A12186" s="345"/>
    </row>
    <row r="12187" spans="1:1" ht="21">
      <c r="A12187" s="345"/>
    </row>
    <row r="12188" spans="1:1" ht="21">
      <c r="A12188" s="345"/>
    </row>
    <row r="12189" spans="1:1" ht="21">
      <c r="A12189" s="345"/>
    </row>
    <row r="12190" spans="1:1" ht="21">
      <c r="A12190" s="345"/>
    </row>
    <row r="12191" spans="1:1" ht="21">
      <c r="A12191" s="345"/>
    </row>
    <row r="12192" spans="1:1" ht="21">
      <c r="A12192" s="345"/>
    </row>
    <row r="12193" spans="1:1" ht="21">
      <c r="A12193" s="345"/>
    </row>
    <row r="12194" spans="1:1" ht="21">
      <c r="A12194" s="345"/>
    </row>
    <row r="12195" spans="1:1" ht="21">
      <c r="A12195" s="345"/>
    </row>
    <row r="12196" spans="1:1" ht="21">
      <c r="A12196" s="345"/>
    </row>
    <row r="12197" spans="1:1" ht="21">
      <c r="A12197" s="345"/>
    </row>
    <row r="12198" spans="1:1" ht="21">
      <c r="A12198" s="345"/>
    </row>
    <row r="12199" spans="1:1" ht="21">
      <c r="A12199" s="345"/>
    </row>
    <row r="12200" spans="1:1" ht="21">
      <c r="A12200" s="345"/>
    </row>
    <row r="12201" spans="1:1" ht="21">
      <c r="A12201" s="345"/>
    </row>
    <row r="12202" spans="1:1" ht="21">
      <c r="A12202" s="345"/>
    </row>
    <row r="12203" spans="1:1" ht="21">
      <c r="A12203" s="345"/>
    </row>
    <row r="12204" spans="1:1" ht="21">
      <c r="A12204" s="345"/>
    </row>
    <row r="12205" spans="1:1" ht="21">
      <c r="A12205" s="345"/>
    </row>
    <row r="12206" spans="1:1" ht="21">
      <c r="A12206" s="345"/>
    </row>
    <row r="12207" spans="1:1" ht="21">
      <c r="A12207" s="345"/>
    </row>
    <row r="12208" spans="1:1" ht="21">
      <c r="A12208" s="345"/>
    </row>
    <row r="12209" spans="1:1" ht="21">
      <c r="A12209" s="345"/>
    </row>
    <row r="12210" spans="1:1" ht="21">
      <c r="A12210" s="345"/>
    </row>
    <row r="12211" spans="1:1" ht="21">
      <c r="A12211" s="345"/>
    </row>
    <row r="12212" spans="1:1" ht="21">
      <c r="A12212" s="345"/>
    </row>
    <row r="12213" spans="1:1" ht="21">
      <c r="A12213" s="345"/>
    </row>
    <row r="12214" spans="1:1" ht="21">
      <c r="A12214" s="345"/>
    </row>
    <row r="12215" spans="1:1" ht="21">
      <c r="A12215" s="345"/>
    </row>
    <row r="12216" spans="1:1" ht="21">
      <c r="A12216" s="345"/>
    </row>
    <row r="12217" spans="1:1" ht="21">
      <c r="A12217" s="345"/>
    </row>
    <row r="12218" spans="1:1" ht="21">
      <c r="A12218" s="345"/>
    </row>
    <row r="12219" spans="1:1" ht="21">
      <c r="A12219" s="345"/>
    </row>
    <row r="12220" spans="1:1" ht="21">
      <c r="A12220" s="345"/>
    </row>
    <row r="12221" spans="1:1" ht="21">
      <c r="A12221" s="345"/>
    </row>
    <row r="12222" spans="1:1" ht="21">
      <c r="A12222" s="345"/>
    </row>
    <row r="12223" spans="1:1" ht="21">
      <c r="A12223" s="345"/>
    </row>
    <row r="12224" spans="1:1" ht="21">
      <c r="A12224" s="345"/>
    </row>
    <row r="12225" spans="1:1" ht="21">
      <c r="A12225" s="345"/>
    </row>
    <row r="12226" spans="1:1" ht="21">
      <c r="A12226" s="345"/>
    </row>
    <row r="12227" spans="1:1" ht="21">
      <c r="A12227" s="345"/>
    </row>
    <row r="12228" spans="1:1" ht="21">
      <c r="A12228" s="345"/>
    </row>
    <row r="12229" spans="1:1" ht="21">
      <c r="A12229" s="345"/>
    </row>
    <row r="12230" spans="1:1" ht="21">
      <c r="A12230" s="345"/>
    </row>
    <row r="12231" spans="1:1" ht="21">
      <c r="A12231" s="345"/>
    </row>
    <row r="12232" spans="1:1" ht="21">
      <c r="A12232" s="345"/>
    </row>
    <row r="12233" spans="1:1" ht="21">
      <c r="A12233" s="345"/>
    </row>
    <row r="12234" spans="1:1" ht="21">
      <c r="A12234" s="345"/>
    </row>
    <row r="12235" spans="1:1" ht="21">
      <c r="A12235" s="345"/>
    </row>
    <row r="12236" spans="1:1" ht="21">
      <c r="A12236" s="345"/>
    </row>
    <row r="12237" spans="1:1" ht="21">
      <c r="A12237" s="345"/>
    </row>
    <row r="12238" spans="1:1" ht="21">
      <c r="A12238" s="345"/>
    </row>
    <row r="12239" spans="1:1" ht="21">
      <c r="A12239" s="345"/>
    </row>
    <row r="12240" spans="1:1" ht="21">
      <c r="A12240" s="345"/>
    </row>
    <row r="12241" spans="1:1" ht="21">
      <c r="A12241" s="345"/>
    </row>
    <row r="12242" spans="1:1" ht="21">
      <c r="A12242" s="345"/>
    </row>
    <row r="12243" spans="1:1" ht="21">
      <c r="A12243" s="345"/>
    </row>
    <row r="12244" spans="1:1" ht="21">
      <c r="A12244" s="345"/>
    </row>
    <row r="12245" spans="1:1" ht="21">
      <c r="A12245" s="345"/>
    </row>
    <row r="12246" spans="1:1" ht="21">
      <c r="A12246" s="345"/>
    </row>
    <row r="12247" spans="1:1" ht="21">
      <c r="A12247" s="345"/>
    </row>
    <row r="12248" spans="1:1" ht="21">
      <c r="A12248" s="345"/>
    </row>
    <row r="12249" spans="1:1" ht="21">
      <c r="A12249" s="345"/>
    </row>
    <row r="12250" spans="1:1" ht="21">
      <c r="A12250" s="345"/>
    </row>
    <row r="12251" spans="1:1" ht="21">
      <c r="A12251" s="345"/>
    </row>
    <row r="12252" spans="1:1" ht="21">
      <c r="A12252" s="345"/>
    </row>
    <row r="12253" spans="1:1" ht="21">
      <c r="A12253" s="345"/>
    </row>
    <row r="12254" spans="1:1" ht="21">
      <c r="A12254" s="345"/>
    </row>
    <row r="12255" spans="1:1" ht="21">
      <c r="A12255" s="345"/>
    </row>
    <row r="12256" spans="1:1" ht="21">
      <c r="A12256" s="345"/>
    </row>
    <row r="12257" spans="1:1" ht="21">
      <c r="A12257" s="345"/>
    </row>
    <row r="12258" spans="1:1" ht="21">
      <c r="A12258" s="345"/>
    </row>
    <row r="12259" spans="1:1" ht="21">
      <c r="A12259" s="345"/>
    </row>
    <row r="12260" spans="1:1" ht="21">
      <c r="A12260" s="345"/>
    </row>
    <row r="12261" spans="1:1" ht="21">
      <c r="A12261" s="345"/>
    </row>
    <row r="12262" spans="1:1" ht="21">
      <c r="A12262" s="345"/>
    </row>
    <row r="12263" spans="1:1" ht="21">
      <c r="A12263" s="345"/>
    </row>
    <row r="12264" spans="1:1" ht="21">
      <c r="A12264" s="345"/>
    </row>
    <row r="12265" spans="1:1" ht="21">
      <c r="A12265" s="345"/>
    </row>
    <row r="12266" spans="1:1" ht="21">
      <c r="A12266" s="345"/>
    </row>
    <row r="12267" spans="1:1" ht="21">
      <c r="A12267" s="345"/>
    </row>
    <row r="12268" spans="1:1" ht="21">
      <c r="A12268" s="345"/>
    </row>
    <row r="12269" spans="1:1" ht="21">
      <c r="A12269" s="345"/>
    </row>
    <row r="12270" spans="1:1" ht="21">
      <c r="A12270" s="345"/>
    </row>
    <row r="12271" spans="1:1" ht="21">
      <c r="A12271" s="345"/>
    </row>
    <row r="12272" spans="1:1" ht="21">
      <c r="A12272" s="345"/>
    </row>
    <row r="12273" spans="1:1" ht="21">
      <c r="A12273" s="345"/>
    </row>
    <row r="12274" spans="1:1" ht="21">
      <c r="A12274" s="345"/>
    </row>
    <row r="12275" spans="1:1" ht="21">
      <c r="A12275" s="345"/>
    </row>
    <row r="12276" spans="1:1" ht="21">
      <c r="A12276" s="345"/>
    </row>
    <row r="12277" spans="1:1" ht="21">
      <c r="A12277" s="345"/>
    </row>
    <row r="12278" spans="1:1" ht="21">
      <c r="A12278" s="345"/>
    </row>
    <row r="12279" spans="1:1" ht="21">
      <c r="A12279" s="345"/>
    </row>
    <row r="12280" spans="1:1" ht="21">
      <c r="A12280" s="345"/>
    </row>
    <row r="12281" spans="1:1" ht="21">
      <c r="A12281" s="345"/>
    </row>
    <row r="12282" spans="1:1" ht="21">
      <c r="A12282" s="345"/>
    </row>
    <row r="12283" spans="1:1" ht="21">
      <c r="A12283" s="345"/>
    </row>
    <row r="12284" spans="1:1" ht="21">
      <c r="A12284" s="345"/>
    </row>
    <row r="12285" spans="1:1" ht="21">
      <c r="A12285" s="345"/>
    </row>
    <row r="12286" spans="1:1" ht="21">
      <c r="A12286" s="345"/>
    </row>
    <row r="12287" spans="1:1" ht="21">
      <c r="A12287" s="345"/>
    </row>
    <row r="12288" spans="1:1" ht="21">
      <c r="A12288" s="345"/>
    </row>
    <row r="12289" spans="1:1" ht="21">
      <c r="A12289" s="345"/>
    </row>
    <row r="12290" spans="1:1" ht="21">
      <c r="A12290" s="345"/>
    </row>
    <row r="12291" spans="1:1" ht="21">
      <c r="A12291" s="345"/>
    </row>
    <row r="12292" spans="1:1" ht="21">
      <c r="A12292" s="345"/>
    </row>
    <row r="12293" spans="1:1" ht="21">
      <c r="A12293" s="345"/>
    </row>
    <row r="12294" spans="1:1" ht="21">
      <c r="A12294" s="345"/>
    </row>
    <row r="12295" spans="1:1" ht="21">
      <c r="A12295" s="345"/>
    </row>
    <row r="12296" spans="1:1" ht="21">
      <c r="A12296" s="345"/>
    </row>
    <row r="12297" spans="1:1" ht="21">
      <c r="A12297" s="345"/>
    </row>
    <row r="12298" spans="1:1" ht="21">
      <c r="A12298" s="345"/>
    </row>
    <row r="12299" spans="1:1" ht="21">
      <c r="A12299" s="345"/>
    </row>
    <row r="12300" spans="1:1" ht="21">
      <c r="A12300" s="345"/>
    </row>
    <row r="12301" spans="1:1" ht="21">
      <c r="A12301" s="345"/>
    </row>
    <row r="12302" spans="1:1" ht="21">
      <c r="A12302" s="345"/>
    </row>
    <row r="12303" spans="1:1" ht="21">
      <c r="A12303" s="345"/>
    </row>
    <row r="12304" spans="1:1" ht="21">
      <c r="A12304" s="345"/>
    </row>
    <row r="12305" spans="1:1" ht="21">
      <c r="A12305" s="345"/>
    </row>
    <row r="12306" spans="1:1" ht="21">
      <c r="A12306" s="345"/>
    </row>
    <row r="12307" spans="1:1" ht="21">
      <c r="A12307" s="345"/>
    </row>
    <row r="12308" spans="1:1" ht="21">
      <c r="A12308" s="345"/>
    </row>
    <row r="12309" spans="1:1" ht="21">
      <c r="A12309" s="345"/>
    </row>
    <row r="12310" spans="1:1" ht="21">
      <c r="A12310" s="345"/>
    </row>
    <row r="12311" spans="1:1" ht="21">
      <c r="A12311" s="345"/>
    </row>
    <row r="12312" spans="1:1" ht="21">
      <c r="A12312" s="345"/>
    </row>
    <row r="12313" spans="1:1" ht="21">
      <c r="A12313" s="345"/>
    </row>
    <row r="12314" spans="1:1" ht="21">
      <c r="A12314" s="345"/>
    </row>
    <row r="12315" spans="1:1" ht="21">
      <c r="A12315" s="345"/>
    </row>
    <row r="12316" spans="1:1" ht="21">
      <c r="A12316" s="345"/>
    </row>
    <row r="12317" spans="1:1" ht="21">
      <c r="A12317" s="345"/>
    </row>
    <row r="12318" spans="1:1" ht="21">
      <c r="A12318" s="345"/>
    </row>
    <row r="12319" spans="1:1" ht="21">
      <c r="A12319" s="345"/>
    </row>
    <row r="12320" spans="1:1" ht="21">
      <c r="A12320" s="345"/>
    </row>
    <row r="12321" spans="1:1" ht="21">
      <c r="A12321" s="345"/>
    </row>
    <row r="12322" spans="1:1" ht="21">
      <c r="A12322" s="345"/>
    </row>
    <row r="12323" spans="1:1" ht="21">
      <c r="A12323" s="345"/>
    </row>
    <row r="12324" spans="1:1" ht="21">
      <c r="A12324" s="345"/>
    </row>
    <row r="12325" spans="1:1" ht="21">
      <c r="A12325" s="345"/>
    </row>
    <row r="12326" spans="1:1" ht="21">
      <c r="A12326" s="345"/>
    </row>
    <row r="12327" spans="1:1" ht="21">
      <c r="A12327" s="345"/>
    </row>
    <row r="12328" spans="1:1" ht="21">
      <c r="A12328" s="345"/>
    </row>
    <row r="12329" spans="1:1" ht="21">
      <c r="A12329" s="345"/>
    </row>
    <row r="12330" spans="1:1" ht="21">
      <c r="A12330" s="345"/>
    </row>
    <row r="12331" spans="1:1" ht="21">
      <c r="A12331" s="345"/>
    </row>
    <row r="12332" spans="1:1" ht="21">
      <c r="A12332" s="345"/>
    </row>
    <row r="12333" spans="1:1" ht="21">
      <c r="A12333" s="345"/>
    </row>
    <row r="12334" spans="1:1" ht="21">
      <c r="A12334" s="345"/>
    </row>
    <row r="12335" spans="1:1" ht="21">
      <c r="A12335" s="345"/>
    </row>
    <row r="12336" spans="1:1" ht="21">
      <c r="A12336" s="345"/>
    </row>
    <row r="12337" spans="1:1" ht="21">
      <c r="A12337" s="345"/>
    </row>
    <row r="12338" spans="1:1" ht="21">
      <c r="A12338" s="345"/>
    </row>
    <row r="12339" spans="1:1" ht="21">
      <c r="A12339" s="345"/>
    </row>
    <row r="12340" spans="1:1" ht="21">
      <c r="A12340" s="345"/>
    </row>
    <row r="12341" spans="1:1" ht="21">
      <c r="A12341" s="345"/>
    </row>
    <row r="12342" spans="1:1" ht="21">
      <c r="A12342" s="345"/>
    </row>
    <row r="12343" spans="1:1" ht="21">
      <c r="A12343" s="345"/>
    </row>
    <row r="12344" spans="1:1" ht="21">
      <c r="A12344" s="345"/>
    </row>
    <row r="12345" spans="1:1" ht="21">
      <c r="A12345" s="345"/>
    </row>
    <row r="12346" spans="1:1" ht="21">
      <c r="A12346" s="345"/>
    </row>
    <row r="12347" spans="1:1" ht="21">
      <c r="A12347" s="345"/>
    </row>
    <row r="12348" spans="1:1" ht="21">
      <c r="A12348" s="345"/>
    </row>
    <row r="12349" spans="1:1" ht="21">
      <c r="A12349" s="345"/>
    </row>
    <row r="12350" spans="1:1" ht="21">
      <c r="A12350" s="345"/>
    </row>
    <row r="12351" spans="1:1" ht="21">
      <c r="A12351" s="345"/>
    </row>
    <row r="12352" spans="1:1" ht="21">
      <c r="A12352" s="345"/>
    </row>
    <row r="12353" spans="1:1" ht="21">
      <c r="A12353" s="345"/>
    </row>
    <row r="12354" spans="1:1" ht="21">
      <c r="A12354" s="345"/>
    </row>
    <row r="12355" spans="1:1" ht="21">
      <c r="A12355" s="345"/>
    </row>
    <row r="12356" spans="1:1" ht="21">
      <c r="A12356" s="345"/>
    </row>
    <row r="12357" spans="1:1" ht="21">
      <c r="A12357" s="345"/>
    </row>
    <row r="12358" spans="1:1" ht="21">
      <c r="A12358" s="345"/>
    </row>
    <row r="12359" spans="1:1" ht="21">
      <c r="A12359" s="345"/>
    </row>
    <row r="12360" spans="1:1" ht="21">
      <c r="A12360" s="345"/>
    </row>
    <row r="12361" spans="1:1" ht="21">
      <c r="A12361" s="345"/>
    </row>
    <row r="12362" spans="1:1" ht="21">
      <c r="A12362" s="345"/>
    </row>
    <row r="12363" spans="1:1" ht="21">
      <c r="A12363" s="345"/>
    </row>
    <row r="12364" spans="1:1" ht="21">
      <c r="A12364" s="345"/>
    </row>
    <row r="12365" spans="1:1" ht="21">
      <c r="A12365" s="345"/>
    </row>
    <row r="12366" spans="1:1" ht="21">
      <c r="A12366" s="345"/>
    </row>
    <row r="12367" spans="1:1" ht="21">
      <c r="A12367" s="345"/>
    </row>
    <row r="12368" spans="1:1" ht="21">
      <c r="A12368" s="345"/>
    </row>
    <row r="12369" spans="1:1" ht="21">
      <c r="A12369" s="345"/>
    </row>
    <row r="12370" spans="1:1" ht="21">
      <c r="A12370" s="345"/>
    </row>
    <row r="12371" spans="1:1" ht="21">
      <c r="A12371" s="345"/>
    </row>
    <row r="12372" spans="1:1" ht="21">
      <c r="A12372" s="345"/>
    </row>
    <row r="12373" spans="1:1" ht="21">
      <c r="A12373" s="345"/>
    </row>
    <row r="12374" spans="1:1" ht="21">
      <c r="A12374" s="345"/>
    </row>
    <row r="12375" spans="1:1" ht="21">
      <c r="A12375" s="345"/>
    </row>
    <row r="12376" spans="1:1" ht="21">
      <c r="A12376" s="345"/>
    </row>
    <row r="12377" spans="1:1" ht="21">
      <c r="A12377" s="345"/>
    </row>
    <row r="12378" spans="1:1" ht="21">
      <c r="A12378" s="345"/>
    </row>
    <row r="12379" spans="1:1" ht="21">
      <c r="A12379" s="345"/>
    </row>
    <row r="12380" spans="1:1" ht="21">
      <c r="A12380" s="345"/>
    </row>
    <row r="12381" spans="1:1" ht="21">
      <c r="A12381" s="345"/>
    </row>
    <row r="12382" spans="1:1" ht="21">
      <c r="A12382" s="345"/>
    </row>
    <row r="12383" spans="1:1" ht="21">
      <c r="A12383" s="345"/>
    </row>
    <row r="12384" spans="1:1" ht="21">
      <c r="A12384" s="345"/>
    </row>
    <row r="12385" spans="1:1" ht="21">
      <c r="A12385" s="345"/>
    </row>
    <row r="12386" spans="1:1" ht="21">
      <c r="A12386" s="345"/>
    </row>
    <row r="12387" spans="1:1" ht="21">
      <c r="A12387" s="345"/>
    </row>
    <row r="12388" spans="1:1" ht="21">
      <c r="A12388" s="345"/>
    </row>
    <row r="12389" spans="1:1" ht="21">
      <c r="A12389" s="345"/>
    </row>
    <row r="12390" spans="1:1" ht="21">
      <c r="A12390" s="345"/>
    </row>
    <row r="12391" spans="1:1" ht="21">
      <c r="A12391" s="345"/>
    </row>
    <row r="12392" spans="1:1" ht="21">
      <c r="A12392" s="345"/>
    </row>
    <row r="12393" spans="1:1" ht="21">
      <c r="A12393" s="345"/>
    </row>
    <row r="12394" spans="1:1" ht="21">
      <c r="A12394" s="345"/>
    </row>
    <row r="12395" spans="1:1" ht="21">
      <c r="A12395" s="345"/>
    </row>
    <row r="12396" spans="1:1" ht="21">
      <c r="A12396" s="345"/>
    </row>
    <row r="12397" spans="1:1" ht="21">
      <c r="A12397" s="345"/>
    </row>
    <row r="12398" spans="1:1" ht="21">
      <c r="A12398" s="345"/>
    </row>
    <row r="12399" spans="1:1" ht="21">
      <c r="A12399" s="345"/>
    </row>
    <row r="12400" spans="1:1" ht="21">
      <c r="A12400" s="345"/>
    </row>
    <row r="12401" spans="1:1" ht="21">
      <c r="A12401" s="345"/>
    </row>
    <row r="12402" spans="1:1" ht="21">
      <c r="A12402" s="345"/>
    </row>
    <row r="12403" spans="1:1" ht="21">
      <c r="A12403" s="345"/>
    </row>
    <row r="12404" spans="1:1" ht="21">
      <c r="A12404" s="345"/>
    </row>
    <row r="12405" spans="1:1" ht="21">
      <c r="A12405" s="345"/>
    </row>
    <row r="12406" spans="1:1" ht="21">
      <c r="A12406" s="345"/>
    </row>
    <row r="12407" spans="1:1" ht="21">
      <c r="A12407" s="345"/>
    </row>
    <row r="12408" spans="1:1" ht="21">
      <c r="A12408" s="345"/>
    </row>
    <row r="12409" spans="1:1" ht="21">
      <c r="A12409" s="345"/>
    </row>
    <row r="12410" spans="1:1" ht="21">
      <c r="A12410" s="345"/>
    </row>
    <row r="12411" spans="1:1" ht="21">
      <c r="A12411" s="345"/>
    </row>
    <row r="12412" spans="1:1" ht="21">
      <c r="A12412" s="345"/>
    </row>
    <row r="12413" spans="1:1" ht="21">
      <c r="A12413" s="345"/>
    </row>
    <row r="12414" spans="1:1" ht="21">
      <c r="A12414" s="345"/>
    </row>
    <row r="12415" spans="1:1" ht="21">
      <c r="A12415" s="345"/>
    </row>
    <row r="12416" spans="1:1" ht="21">
      <c r="A12416" s="345"/>
    </row>
    <row r="12417" spans="1:1" ht="21">
      <c r="A12417" s="345"/>
    </row>
    <row r="12418" spans="1:1" ht="21">
      <c r="A12418" s="345"/>
    </row>
    <row r="12419" spans="1:1" ht="21">
      <c r="A12419" s="345"/>
    </row>
    <row r="12420" spans="1:1" ht="21">
      <c r="A12420" s="345"/>
    </row>
    <row r="12421" spans="1:1" ht="21">
      <c r="A12421" s="345"/>
    </row>
    <row r="12422" spans="1:1" ht="21">
      <c r="A12422" s="345"/>
    </row>
    <row r="12423" spans="1:1" ht="21">
      <c r="A12423" s="345"/>
    </row>
    <row r="12424" spans="1:1" ht="21">
      <c r="A12424" s="345"/>
    </row>
    <row r="12425" spans="1:1" ht="21">
      <c r="A12425" s="345"/>
    </row>
    <row r="12426" spans="1:1" ht="21">
      <c r="A12426" s="345"/>
    </row>
    <row r="12427" spans="1:1" ht="21">
      <c r="A12427" s="345"/>
    </row>
    <row r="12428" spans="1:1" ht="21">
      <c r="A12428" s="345"/>
    </row>
    <row r="12429" spans="1:1" ht="21">
      <c r="A12429" s="345"/>
    </row>
    <row r="12430" spans="1:1" ht="21">
      <c r="A12430" s="345"/>
    </row>
    <row r="12431" spans="1:1" ht="21">
      <c r="A12431" s="345"/>
    </row>
    <row r="12432" spans="1:1" ht="21">
      <c r="A12432" s="345"/>
    </row>
    <row r="12433" spans="1:1" ht="21">
      <c r="A12433" s="345"/>
    </row>
    <row r="12434" spans="1:1" ht="21">
      <c r="A12434" s="345"/>
    </row>
    <row r="12435" spans="1:1" ht="21">
      <c r="A12435" s="345"/>
    </row>
    <row r="12436" spans="1:1" ht="21">
      <c r="A12436" s="345"/>
    </row>
    <row r="12437" spans="1:1" ht="21">
      <c r="A12437" s="345"/>
    </row>
    <row r="12438" spans="1:1" ht="21">
      <c r="A12438" s="345"/>
    </row>
    <row r="12439" spans="1:1" ht="21">
      <c r="A12439" s="345"/>
    </row>
    <row r="12440" spans="1:1" ht="21">
      <c r="A12440" s="345"/>
    </row>
    <row r="12441" spans="1:1" ht="21">
      <c r="A12441" s="345"/>
    </row>
    <row r="12442" spans="1:1" ht="21">
      <c r="A12442" s="345"/>
    </row>
    <row r="12443" spans="1:1" ht="21">
      <c r="A12443" s="345"/>
    </row>
    <row r="12444" spans="1:1" ht="21">
      <c r="A12444" s="345"/>
    </row>
    <row r="12445" spans="1:1" ht="21">
      <c r="A12445" s="345"/>
    </row>
    <row r="12446" spans="1:1" ht="21">
      <c r="A12446" s="345"/>
    </row>
    <row r="12447" spans="1:1" ht="21">
      <c r="A12447" s="345"/>
    </row>
    <row r="12448" spans="1:1" ht="21">
      <c r="A12448" s="345"/>
    </row>
    <row r="12449" spans="1:1" ht="21">
      <c r="A12449" s="345"/>
    </row>
    <row r="12450" spans="1:1" ht="21">
      <c r="A12450" s="345"/>
    </row>
    <row r="12451" spans="1:1" ht="21">
      <c r="A12451" s="345"/>
    </row>
    <row r="12452" spans="1:1" ht="21">
      <c r="A12452" s="345"/>
    </row>
    <row r="12453" spans="1:1" ht="21">
      <c r="A12453" s="345"/>
    </row>
    <row r="12454" spans="1:1" ht="21">
      <c r="A12454" s="345"/>
    </row>
    <row r="12455" spans="1:1" ht="21">
      <c r="A12455" s="345"/>
    </row>
    <row r="12456" spans="1:1" ht="21">
      <c r="A12456" s="345"/>
    </row>
    <row r="12457" spans="1:1" ht="21">
      <c r="A12457" s="345"/>
    </row>
    <row r="12458" spans="1:1" ht="21">
      <c r="A12458" s="345"/>
    </row>
    <row r="12459" spans="1:1" ht="21">
      <c r="A12459" s="345"/>
    </row>
    <row r="12460" spans="1:1" ht="21">
      <c r="A12460" s="345"/>
    </row>
    <row r="12461" spans="1:1" ht="21">
      <c r="A12461" s="345"/>
    </row>
    <row r="12462" spans="1:1" ht="21">
      <c r="A12462" s="345"/>
    </row>
    <row r="12463" spans="1:1" ht="21">
      <c r="A12463" s="345"/>
    </row>
    <row r="12464" spans="1:1" ht="21">
      <c r="A12464" s="345"/>
    </row>
    <row r="12465" spans="1:1" ht="21">
      <c r="A12465" s="345"/>
    </row>
    <row r="12466" spans="1:1" ht="21">
      <c r="A12466" s="345"/>
    </row>
    <row r="12467" spans="1:1" ht="21">
      <c r="A12467" s="345"/>
    </row>
    <row r="12468" spans="1:1" ht="21">
      <c r="A12468" s="345"/>
    </row>
    <row r="12469" spans="1:1" ht="21">
      <c r="A12469" s="345"/>
    </row>
    <row r="12470" spans="1:1" ht="21">
      <c r="A12470" s="345"/>
    </row>
    <row r="12471" spans="1:1" ht="21">
      <c r="A12471" s="345"/>
    </row>
    <row r="12472" spans="1:1" ht="21">
      <c r="A12472" s="345"/>
    </row>
    <row r="12473" spans="1:1" ht="21">
      <c r="A12473" s="345"/>
    </row>
    <row r="12474" spans="1:1" ht="21">
      <c r="A12474" s="345"/>
    </row>
    <row r="12475" spans="1:1" ht="21">
      <c r="A12475" s="345"/>
    </row>
    <row r="12476" spans="1:1" ht="21">
      <c r="A12476" s="345"/>
    </row>
    <row r="12477" spans="1:1" ht="21">
      <c r="A12477" s="345"/>
    </row>
    <row r="12478" spans="1:1" ht="21">
      <c r="A12478" s="345"/>
    </row>
    <row r="12479" spans="1:1" ht="21">
      <c r="A12479" s="345"/>
    </row>
    <row r="12480" spans="1:1" ht="21">
      <c r="A12480" s="345"/>
    </row>
    <row r="12481" spans="1:1" ht="21">
      <c r="A12481" s="345"/>
    </row>
    <row r="12482" spans="1:1" ht="21">
      <c r="A12482" s="345"/>
    </row>
    <row r="12483" spans="1:1" ht="21">
      <c r="A12483" s="345"/>
    </row>
    <row r="12484" spans="1:1" ht="21">
      <c r="A12484" s="345"/>
    </row>
    <row r="12485" spans="1:1" ht="21">
      <c r="A12485" s="345"/>
    </row>
    <row r="12486" spans="1:1" ht="21">
      <c r="A12486" s="345"/>
    </row>
    <row r="12487" spans="1:1" ht="21">
      <c r="A12487" s="345"/>
    </row>
    <row r="12488" spans="1:1" ht="21">
      <c r="A12488" s="345"/>
    </row>
    <row r="12489" spans="1:1" ht="21">
      <c r="A12489" s="345"/>
    </row>
    <row r="12490" spans="1:1" ht="21">
      <c r="A12490" s="345"/>
    </row>
    <row r="12491" spans="1:1" ht="21">
      <c r="A12491" s="345"/>
    </row>
    <row r="12492" spans="1:1" ht="21">
      <c r="A12492" s="345"/>
    </row>
    <row r="12493" spans="1:1" ht="21">
      <c r="A12493" s="345"/>
    </row>
    <row r="12494" spans="1:1" ht="21">
      <c r="A12494" s="345"/>
    </row>
    <row r="12495" spans="1:1" ht="21">
      <c r="A12495" s="345"/>
    </row>
    <row r="12496" spans="1:1" ht="21">
      <c r="A12496" s="345"/>
    </row>
    <row r="12497" spans="1:1" ht="21">
      <c r="A12497" s="345"/>
    </row>
    <row r="12498" spans="1:1" ht="21">
      <c r="A12498" s="345"/>
    </row>
    <row r="12499" spans="1:1" ht="21">
      <c r="A12499" s="345"/>
    </row>
    <row r="12500" spans="1:1" ht="21">
      <c r="A12500" s="345"/>
    </row>
    <row r="12501" spans="1:1" ht="21">
      <c r="A12501" s="345"/>
    </row>
    <row r="12502" spans="1:1" ht="21">
      <c r="A12502" s="345"/>
    </row>
    <row r="12503" spans="1:1" ht="21">
      <c r="A12503" s="345"/>
    </row>
    <row r="12504" spans="1:1" ht="21">
      <c r="A12504" s="345"/>
    </row>
    <row r="12505" spans="1:1" ht="21">
      <c r="A12505" s="345"/>
    </row>
    <row r="12506" spans="1:1" ht="21">
      <c r="A12506" s="345"/>
    </row>
    <row r="12507" spans="1:1" ht="21">
      <c r="A12507" s="345"/>
    </row>
    <row r="12508" spans="1:1" ht="21">
      <c r="A12508" s="345"/>
    </row>
    <row r="12509" spans="1:1" ht="21">
      <c r="A12509" s="345"/>
    </row>
    <row r="12510" spans="1:1" ht="21">
      <c r="A12510" s="345"/>
    </row>
    <row r="12511" spans="1:1" ht="21">
      <c r="A12511" s="345"/>
    </row>
    <row r="12512" spans="1:1" ht="21">
      <c r="A12512" s="345"/>
    </row>
    <row r="12513" spans="1:1" ht="21">
      <c r="A12513" s="345"/>
    </row>
    <row r="12514" spans="1:1" ht="21">
      <c r="A12514" s="345"/>
    </row>
    <row r="12515" spans="1:1" ht="21">
      <c r="A12515" s="345"/>
    </row>
    <row r="12516" spans="1:1" ht="21">
      <c r="A12516" s="345"/>
    </row>
    <row r="12517" spans="1:1" ht="21">
      <c r="A12517" s="345"/>
    </row>
    <row r="12518" spans="1:1" ht="21">
      <c r="A12518" s="345"/>
    </row>
    <row r="12519" spans="1:1" ht="21">
      <c r="A12519" s="345"/>
    </row>
    <row r="12520" spans="1:1" ht="21">
      <c r="A12520" s="345"/>
    </row>
    <row r="12521" spans="1:1" ht="21">
      <c r="A12521" s="345"/>
    </row>
    <row r="12522" spans="1:1" ht="21">
      <c r="A12522" s="345"/>
    </row>
    <row r="12523" spans="1:1" ht="21">
      <c r="A12523" s="345"/>
    </row>
    <row r="12524" spans="1:1" ht="21">
      <c r="A12524" s="345"/>
    </row>
    <row r="12525" spans="1:1" ht="21">
      <c r="A12525" s="345"/>
    </row>
    <row r="12526" spans="1:1" ht="21">
      <c r="A12526" s="345"/>
    </row>
    <row r="12527" spans="1:1" ht="21">
      <c r="A12527" s="345"/>
    </row>
    <row r="12528" spans="1:1" ht="21">
      <c r="A12528" s="345"/>
    </row>
    <row r="12529" spans="1:1" ht="21">
      <c r="A12529" s="345"/>
    </row>
    <row r="12530" spans="1:1" ht="21">
      <c r="A12530" s="345"/>
    </row>
    <row r="12531" spans="1:1" ht="21">
      <c r="A12531" s="345"/>
    </row>
    <row r="12532" spans="1:1" ht="21">
      <c r="A12532" s="345"/>
    </row>
    <row r="12533" spans="1:1" ht="21">
      <c r="A12533" s="345"/>
    </row>
    <row r="12534" spans="1:1" ht="21">
      <c r="A12534" s="345"/>
    </row>
    <row r="12535" spans="1:1" ht="21">
      <c r="A12535" s="345"/>
    </row>
    <row r="12536" spans="1:1" ht="21">
      <c r="A12536" s="345"/>
    </row>
    <row r="12537" spans="1:1" ht="21">
      <c r="A12537" s="345"/>
    </row>
    <row r="12538" spans="1:1" ht="21">
      <c r="A12538" s="345"/>
    </row>
    <row r="12539" spans="1:1" ht="21">
      <c r="A12539" s="345"/>
    </row>
    <row r="12540" spans="1:1" ht="21">
      <c r="A12540" s="345"/>
    </row>
    <row r="12541" spans="1:1" ht="21">
      <c r="A12541" s="345"/>
    </row>
    <row r="12542" spans="1:1" ht="21">
      <c r="A12542" s="345"/>
    </row>
    <row r="12543" spans="1:1" ht="21">
      <c r="A12543" s="345"/>
    </row>
    <row r="12544" spans="1:1" ht="21">
      <c r="A12544" s="345"/>
    </row>
    <row r="12545" spans="1:1" ht="21">
      <c r="A12545" s="345"/>
    </row>
    <row r="12546" spans="1:1" ht="21">
      <c r="A12546" s="345"/>
    </row>
    <row r="12547" spans="1:1" ht="21">
      <c r="A12547" s="345"/>
    </row>
    <row r="12548" spans="1:1" ht="21">
      <c r="A12548" s="345"/>
    </row>
    <row r="12549" spans="1:1" ht="21">
      <c r="A12549" s="345"/>
    </row>
    <row r="12550" spans="1:1" ht="21">
      <c r="A12550" s="345"/>
    </row>
    <row r="12551" spans="1:1" ht="21">
      <c r="A12551" s="345"/>
    </row>
    <row r="12552" spans="1:1" ht="21">
      <c r="A12552" s="345"/>
    </row>
    <row r="12553" spans="1:1" ht="21">
      <c r="A12553" s="345"/>
    </row>
    <row r="12554" spans="1:1" ht="21">
      <c r="A12554" s="345"/>
    </row>
    <row r="12555" spans="1:1" ht="21">
      <c r="A12555" s="345"/>
    </row>
    <row r="12556" spans="1:1" ht="21">
      <c r="A12556" s="345"/>
    </row>
    <row r="12557" spans="1:1" ht="21">
      <c r="A12557" s="345"/>
    </row>
    <row r="12558" spans="1:1" ht="21">
      <c r="A12558" s="345"/>
    </row>
    <row r="12559" spans="1:1" ht="21">
      <c r="A12559" s="345"/>
    </row>
    <row r="12560" spans="1:1" ht="21">
      <c r="A12560" s="345"/>
    </row>
    <row r="12561" spans="1:1" ht="21">
      <c r="A12561" s="345"/>
    </row>
    <row r="12562" spans="1:1" ht="21">
      <c r="A12562" s="345"/>
    </row>
    <row r="12563" spans="1:1" ht="21">
      <c r="A12563" s="345"/>
    </row>
    <row r="12564" spans="1:1" ht="21">
      <c r="A12564" s="345"/>
    </row>
    <row r="12565" spans="1:1" ht="21">
      <c r="A12565" s="345"/>
    </row>
    <row r="12566" spans="1:1" ht="21">
      <c r="A12566" s="345"/>
    </row>
    <row r="12567" spans="1:1" ht="21">
      <c r="A12567" s="345"/>
    </row>
    <row r="12568" spans="1:1" ht="21">
      <c r="A12568" s="345"/>
    </row>
    <row r="12569" spans="1:1" ht="21">
      <c r="A12569" s="345"/>
    </row>
    <row r="12570" spans="1:1" ht="21">
      <c r="A12570" s="345"/>
    </row>
    <row r="12571" spans="1:1" ht="21">
      <c r="A12571" s="345"/>
    </row>
    <row r="12572" spans="1:1" ht="21">
      <c r="A12572" s="345"/>
    </row>
    <row r="12573" spans="1:1" ht="21">
      <c r="A12573" s="345"/>
    </row>
    <row r="12574" spans="1:1" ht="21">
      <c r="A12574" s="345"/>
    </row>
    <row r="12575" spans="1:1" ht="21">
      <c r="A12575" s="345"/>
    </row>
    <row r="12576" spans="1:1" ht="21">
      <c r="A12576" s="345"/>
    </row>
    <row r="12577" spans="1:1" ht="21">
      <c r="A12577" s="345"/>
    </row>
    <row r="12578" spans="1:1" ht="21">
      <c r="A12578" s="345"/>
    </row>
    <row r="12579" spans="1:1" ht="21">
      <c r="A12579" s="345"/>
    </row>
    <row r="12580" spans="1:1" ht="21">
      <c r="A12580" s="345"/>
    </row>
    <row r="12581" spans="1:1" ht="21">
      <c r="A12581" s="345"/>
    </row>
    <row r="12582" spans="1:1" ht="21">
      <c r="A12582" s="345"/>
    </row>
    <row r="12583" spans="1:1" ht="21">
      <c r="A12583" s="345"/>
    </row>
    <row r="12584" spans="1:1" ht="21">
      <c r="A12584" s="345"/>
    </row>
    <row r="12585" spans="1:1" ht="21">
      <c r="A12585" s="345"/>
    </row>
    <row r="12586" spans="1:1" ht="21">
      <c r="A12586" s="345"/>
    </row>
    <row r="12587" spans="1:1" ht="21">
      <c r="A12587" s="345"/>
    </row>
    <row r="12588" spans="1:1" ht="21">
      <c r="A12588" s="345"/>
    </row>
    <row r="12589" spans="1:1" ht="21">
      <c r="A12589" s="345"/>
    </row>
    <row r="12590" spans="1:1" ht="21">
      <c r="A12590" s="345"/>
    </row>
    <row r="12591" spans="1:1" ht="21">
      <c r="A12591" s="345"/>
    </row>
    <row r="12592" spans="1:1" ht="21">
      <c r="A12592" s="345"/>
    </row>
    <row r="12593" spans="1:1" ht="21">
      <c r="A12593" s="345"/>
    </row>
    <row r="12594" spans="1:1" ht="21">
      <c r="A12594" s="345"/>
    </row>
    <row r="12595" spans="1:1" ht="21">
      <c r="A12595" s="345"/>
    </row>
    <row r="12596" spans="1:1" ht="21">
      <c r="A12596" s="345"/>
    </row>
    <row r="12597" spans="1:1" ht="21">
      <c r="A12597" s="345"/>
    </row>
    <row r="12598" spans="1:1" ht="21">
      <c r="A12598" s="345"/>
    </row>
    <row r="12599" spans="1:1" ht="21">
      <c r="A12599" s="345"/>
    </row>
    <row r="12600" spans="1:1" ht="21">
      <c r="A12600" s="345"/>
    </row>
    <row r="12601" spans="1:1" ht="21">
      <c r="A12601" s="345"/>
    </row>
    <row r="12602" spans="1:1" ht="21">
      <c r="A12602" s="345"/>
    </row>
    <row r="12603" spans="1:1" ht="21">
      <c r="A12603" s="345"/>
    </row>
    <row r="12604" spans="1:1" ht="21">
      <c r="A12604" s="345"/>
    </row>
    <row r="12605" spans="1:1" ht="21">
      <c r="A12605" s="345"/>
    </row>
    <row r="12606" spans="1:1" ht="21">
      <c r="A12606" s="345"/>
    </row>
    <row r="12607" spans="1:1" ht="21">
      <c r="A12607" s="345"/>
    </row>
    <row r="12608" spans="1:1" ht="21">
      <c r="A12608" s="345"/>
    </row>
    <row r="12609" spans="1:1" ht="21">
      <c r="A12609" s="345"/>
    </row>
    <row r="12610" spans="1:1" ht="21">
      <c r="A12610" s="345"/>
    </row>
    <row r="12611" spans="1:1" ht="21">
      <c r="A12611" s="345"/>
    </row>
    <row r="12612" spans="1:1" ht="21">
      <c r="A12612" s="345"/>
    </row>
    <row r="12613" spans="1:1" ht="21">
      <c r="A12613" s="345"/>
    </row>
    <row r="12614" spans="1:1" ht="21">
      <c r="A12614" s="345"/>
    </row>
    <row r="12615" spans="1:1" ht="21">
      <c r="A12615" s="345"/>
    </row>
    <row r="12616" spans="1:1" ht="21">
      <c r="A12616" s="345"/>
    </row>
    <row r="12617" spans="1:1" ht="21">
      <c r="A12617" s="345"/>
    </row>
    <row r="12618" spans="1:1" ht="21">
      <c r="A12618" s="345"/>
    </row>
    <row r="12619" spans="1:1" ht="21">
      <c r="A12619" s="345"/>
    </row>
    <row r="12620" spans="1:1" ht="21">
      <c r="A12620" s="345"/>
    </row>
    <row r="12621" spans="1:1" ht="21">
      <c r="A12621" s="345"/>
    </row>
    <row r="12622" spans="1:1" ht="21">
      <c r="A12622" s="345"/>
    </row>
    <row r="12623" spans="1:1" ht="21">
      <c r="A12623" s="345"/>
    </row>
    <row r="12624" spans="1:1" ht="21">
      <c r="A12624" s="345"/>
    </row>
    <row r="12625" spans="1:1" ht="21">
      <c r="A12625" s="345"/>
    </row>
    <row r="12626" spans="1:1" ht="21">
      <c r="A12626" s="345"/>
    </row>
    <row r="12627" spans="1:1" ht="21">
      <c r="A12627" s="345"/>
    </row>
    <row r="12628" spans="1:1" ht="21">
      <c r="A12628" s="345"/>
    </row>
    <row r="12629" spans="1:1" ht="21">
      <c r="A12629" s="345"/>
    </row>
    <row r="12630" spans="1:1" ht="21">
      <c r="A12630" s="345"/>
    </row>
    <row r="12631" spans="1:1" ht="21">
      <c r="A12631" s="345"/>
    </row>
    <row r="12632" spans="1:1" ht="21">
      <c r="A12632" s="345"/>
    </row>
    <row r="12633" spans="1:1" ht="21">
      <c r="A12633" s="345"/>
    </row>
    <row r="12634" spans="1:1" ht="21">
      <c r="A12634" s="345"/>
    </row>
    <row r="12635" spans="1:1" ht="21">
      <c r="A12635" s="345"/>
    </row>
    <row r="12636" spans="1:1" ht="21">
      <c r="A12636" s="345"/>
    </row>
    <row r="12637" spans="1:1" ht="21">
      <c r="A12637" s="345"/>
    </row>
    <row r="12638" spans="1:1" ht="21">
      <c r="A12638" s="345"/>
    </row>
    <row r="12639" spans="1:1" ht="21">
      <c r="A12639" s="345"/>
    </row>
    <row r="12640" spans="1:1" ht="21">
      <c r="A12640" s="345"/>
    </row>
    <row r="12641" spans="1:1" ht="21">
      <c r="A12641" s="345"/>
    </row>
    <row r="12642" spans="1:1" ht="21">
      <c r="A12642" s="345"/>
    </row>
    <row r="12643" spans="1:1" ht="21">
      <c r="A12643" s="345"/>
    </row>
    <row r="12644" spans="1:1" ht="21">
      <c r="A12644" s="345"/>
    </row>
    <row r="12645" spans="1:1" ht="21">
      <c r="A12645" s="345"/>
    </row>
    <row r="12646" spans="1:1" ht="21">
      <c r="A12646" s="345"/>
    </row>
    <row r="12647" spans="1:1" ht="21">
      <c r="A12647" s="345"/>
    </row>
    <row r="12648" spans="1:1" ht="21">
      <c r="A12648" s="345"/>
    </row>
    <row r="12649" spans="1:1" ht="21">
      <c r="A12649" s="345"/>
    </row>
    <row r="12650" spans="1:1" ht="21">
      <c r="A12650" s="345"/>
    </row>
    <row r="12651" spans="1:1" ht="21">
      <c r="A12651" s="345"/>
    </row>
    <row r="12652" spans="1:1" ht="21">
      <c r="A12652" s="345"/>
    </row>
    <row r="12653" spans="1:1" ht="21">
      <c r="A12653" s="345"/>
    </row>
    <row r="12654" spans="1:1" ht="21">
      <c r="A12654" s="345"/>
    </row>
    <row r="12655" spans="1:1" ht="21">
      <c r="A12655" s="345"/>
    </row>
    <row r="12656" spans="1:1" ht="21">
      <c r="A12656" s="345"/>
    </row>
    <row r="12657" spans="1:1" ht="21">
      <c r="A12657" s="345"/>
    </row>
    <row r="12658" spans="1:1" ht="21">
      <c r="A12658" s="345"/>
    </row>
    <row r="12659" spans="1:1" ht="21">
      <c r="A12659" s="345"/>
    </row>
    <row r="12660" spans="1:1" ht="21">
      <c r="A12660" s="345"/>
    </row>
    <row r="12661" spans="1:1" ht="21">
      <c r="A12661" s="345"/>
    </row>
    <row r="12662" spans="1:1" ht="21">
      <c r="A12662" s="345"/>
    </row>
    <row r="12663" spans="1:1" ht="21">
      <c r="A12663" s="345"/>
    </row>
    <row r="12664" spans="1:1" ht="21">
      <c r="A12664" s="345"/>
    </row>
    <row r="12665" spans="1:1" ht="21">
      <c r="A12665" s="345"/>
    </row>
    <row r="12666" spans="1:1" ht="21">
      <c r="A12666" s="345"/>
    </row>
    <row r="12667" spans="1:1" ht="21">
      <c r="A12667" s="345"/>
    </row>
    <row r="12668" spans="1:1" ht="21">
      <c r="A12668" s="345"/>
    </row>
    <row r="12669" spans="1:1" ht="21">
      <c r="A12669" s="345"/>
    </row>
    <row r="12670" spans="1:1" ht="21">
      <c r="A12670" s="345"/>
    </row>
    <row r="12671" spans="1:1" ht="21">
      <c r="A12671" s="345"/>
    </row>
    <row r="12672" spans="1:1" ht="21">
      <c r="A12672" s="345"/>
    </row>
    <row r="12673" spans="1:1" ht="21">
      <c r="A12673" s="345"/>
    </row>
    <row r="12674" spans="1:1" ht="21">
      <c r="A12674" s="345"/>
    </row>
    <row r="12675" spans="1:1" ht="21">
      <c r="A12675" s="345"/>
    </row>
    <row r="12676" spans="1:1" ht="21">
      <c r="A12676" s="345"/>
    </row>
    <row r="12677" spans="1:1" ht="21">
      <c r="A12677" s="345"/>
    </row>
    <row r="12678" spans="1:1" ht="21">
      <c r="A12678" s="345"/>
    </row>
    <row r="12679" spans="1:1" ht="21">
      <c r="A12679" s="345"/>
    </row>
    <row r="12680" spans="1:1" ht="21">
      <c r="A12680" s="345"/>
    </row>
    <row r="12681" spans="1:1" ht="21">
      <c r="A12681" s="345"/>
    </row>
    <row r="12682" spans="1:1" ht="21">
      <c r="A12682" s="345"/>
    </row>
    <row r="12683" spans="1:1" ht="21">
      <c r="A12683" s="345"/>
    </row>
    <row r="12684" spans="1:1" ht="21">
      <c r="A12684" s="345"/>
    </row>
    <row r="12685" spans="1:1" ht="21">
      <c r="A12685" s="345"/>
    </row>
    <row r="12686" spans="1:1" ht="21">
      <c r="A12686" s="345"/>
    </row>
    <row r="12687" spans="1:1" ht="21">
      <c r="A12687" s="345"/>
    </row>
    <row r="12688" spans="1:1" ht="21">
      <c r="A12688" s="345"/>
    </row>
    <row r="12689" spans="1:1" ht="21">
      <c r="A12689" s="345"/>
    </row>
    <row r="12690" spans="1:1" ht="21">
      <c r="A12690" s="345"/>
    </row>
    <row r="12691" spans="1:1" ht="21">
      <c r="A12691" s="345"/>
    </row>
    <row r="12692" spans="1:1" ht="21">
      <c r="A12692" s="345"/>
    </row>
    <row r="12693" spans="1:1" ht="21">
      <c r="A12693" s="345"/>
    </row>
    <row r="12694" spans="1:1" ht="21">
      <c r="A12694" s="345"/>
    </row>
    <row r="12695" spans="1:1" ht="21">
      <c r="A12695" s="345"/>
    </row>
    <row r="12696" spans="1:1" ht="21">
      <c r="A12696" s="345"/>
    </row>
    <row r="12697" spans="1:1" ht="21">
      <c r="A12697" s="345"/>
    </row>
    <row r="12698" spans="1:1" ht="21">
      <c r="A12698" s="345"/>
    </row>
    <row r="12699" spans="1:1" ht="21">
      <c r="A12699" s="345"/>
    </row>
    <row r="12700" spans="1:1" ht="21">
      <c r="A12700" s="345"/>
    </row>
    <row r="12701" spans="1:1" ht="21">
      <c r="A12701" s="345"/>
    </row>
    <row r="12702" spans="1:1" ht="21">
      <c r="A12702" s="345"/>
    </row>
    <row r="12703" spans="1:1" ht="21">
      <c r="A12703" s="345"/>
    </row>
    <row r="12704" spans="1:1" ht="21">
      <c r="A12704" s="345"/>
    </row>
    <row r="12705" spans="1:1" ht="21">
      <c r="A12705" s="345"/>
    </row>
    <row r="12706" spans="1:1" ht="21">
      <c r="A12706" s="345"/>
    </row>
    <row r="12707" spans="1:1" ht="21">
      <c r="A12707" s="345"/>
    </row>
    <row r="12708" spans="1:1" ht="21">
      <c r="A12708" s="345"/>
    </row>
    <row r="12709" spans="1:1" ht="21">
      <c r="A12709" s="345"/>
    </row>
    <row r="12710" spans="1:1" ht="21">
      <c r="A12710" s="345"/>
    </row>
    <row r="12711" spans="1:1" ht="21">
      <c r="A12711" s="345"/>
    </row>
    <row r="12712" spans="1:1" ht="21">
      <c r="A12712" s="345"/>
    </row>
    <row r="12713" spans="1:1" ht="21">
      <c r="A12713" s="345"/>
    </row>
    <row r="12714" spans="1:1" ht="21">
      <c r="A12714" s="345"/>
    </row>
    <row r="12715" spans="1:1" ht="21">
      <c r="A12715" s="345"/>
    </row>
    <row r="12716" spans="1:1" ht="21">
      <c r="A12716" s="345"/>
    </row>
    <row r="12717" spans="1:1" ht="21">
      <c r="A12717" s="345"/>
    </row>
    <row r="12718" spans="1:1" ht="21">
      <c r="A12718" s="345"/>
    </row>
    <row r="12719" spans="1:1" ht="21">
      <c r="A12719" s="345"/>
    </row>
    <row r="12720" spans="1:1" ht="21">
      <c r="A12720" s="345"/>
    </row>
    <row r="12721" spans="1:1" ht="21">
      <c r="A12721" s="345"/>
    </row>
    <row r="12722" spans="1:1" ht="21">
      <c r="A12722" s="345"/>
    </row>
    <row r="12723" spans="1:1" ht="21">
      <c r="A12723" s="345"/>
    </row>
    <row r="12724" spans="1:1" ht="21">
      <c r="A12724" s="345"/>
    </row>
    <row r="12725" spans="1:1" ht="21">
      <c r="A12725" s="345"/>
    </row>
    <row r="12726" spans="1:1" ht="21">
      <c r="A12726" s="345"/>
    </row>
    <row r="12727" spans="1:1" ht="21">
      <c r="A12727" s="345"/>
    </row>
    <row r="12728" spans="1:1" ht="21">
      <c r="A12728" s="345"/>
    </row>
    <row r="12729" spans="1:1" ht="21">
      <c r="A12729" s="345"/>
    </row>
    <row r="12730" spans="1:1" ht="21">
      <c r="A12730" s="345"/>
    </row>
    <row r="12731" spans="1:1" ht="21">
      <c r="A12731" s="345"/>
    </row>
    <row r="12732" spans="1:1" ht="21">
      <c r="A12732" s="345"/>
    </row>
    <row r="12733" spans="1:1" ht="21">
      <c r="A12733" s="345"/>
    </row>
    <row r="12734" spans="1:1" ht="21">
      <c r="A12734" s="345"/>
    </row>
    <row r="12735" spans="1:1" ht="21">
      <c r="A12735" s="345"/>
    </row>
    <row r="12736" spans="1:1" ht="21">
      <c r="A12736" s="345"/>
    </row>
    <row r="12737" spans="1:1" ht="21">
      <c r="A12737" s="345"/>
    </row>
    <row r="12738" spans="1:1" ht="21">
      <c r="A12738" s="345"/>
    </row>
    <row r="12739" spans="1:1" ht="21">
      <c r="A12739" s="345"/>
    </row>
    <row r="12740" spans="1:1" ht="21">
      <c r="A12740" s="345"/>
    </row>
    <row r="12741" spans="1:1" ht="21">
      <c r="A12741" s="345"/>
    </row>
    <row r="12742" spans="1:1" ht="21">
      <c r="A12742" s="345"/>
    </row>
    <row r="12743" spans="1:1" ht="21">
      <c r="A12743" s="345"/>
    </row>
    <row r="12744" spans="1:1" ht="21">
      <c r="A12744" s="345"/>
    </row>
    <row r="12745" spans="1:1" ht="21">
      <c r="A12745" s="345"/>
    </row>
    <row r="12746" spans="1:1" ht="21">
      <c r="A12746" s="345"/>
    </row>
    <row r="12747" spans="1:1" ht="21">
      <c r="A12747" s="345"/>
    </row>
    <row r="12748" spans="1:1" ht="21">
      <c r="A12748" s="345"/>
    </row>
    <row r="12749" spans="1:1" ht="21">
      <c r="A12749" s="345"/>
    </row>
    <row r="12750" spans="1:1" ht="21">
      <c r="A12750" s="345"/>
    </row>
    <row r="12751" spans="1:1" ht="21">
      <c r="A12751" s="345"/>
    </row>
    <row r="12752" spans="1:1" ht="21">
      <c r="A12752" s="345"/>
    </row>
    <row r="12753" spans="1:1" ht="21">
      <c r="A12753" s="345"/>
    </row>
    <row r="12754" spans="1:1" ht="21">
      <c r="A12754" s="345"/>
    </row>
    <row r="12755" spans="1:1" ht="21">
      <c r="A12755" s="345"/>
    </row>
    <row r="12756" spans="1:1" ht="21">
      <c r="A12756" s="345"/>
    </row>
    <row r="12757" spans="1:1" ht="21">
      <c r="A12757" s="345"/>
    </row>
    <row r="12758" spans="1:1" ht="21">
      <c r="A12758" s="345"/>
    </row>
    <row r="12759" spans="1:1" ht="21">
      <c r="A12759" s="345"/>
    </row>
    <row r="12760" spans="1:1" ht="21">
      <c r="A12760" s="345"/>
    </row>
    <row r="12761" spans="1:1" ht="21">
      <c r="A12761" s="345"/>
    </row>
    <row r="12762" spans="1:1" ht="21">
      <c r="A12762" s="345"/>
    </row>
    <row r="12763" spans="1:1" ht="21">
      <c r="A12763" s="345"/>
    </row>
    <row r="12764" spans="1:1" ht="21">
      <c r="A12764" s="345"/>
    </row>
    <row r="12765" spans="1:1" ht="21">
      <c r="A12765" s="345"/>
    </row>
    <row r="12766" spans="1:1" ht="21">
      <c r="A12766" s="345"/>
    </row>
    <row r="12767" spans="1:1" ht="21">
      <c r="A12767" s="345"/>
    </row>
    <row r="12768" spans="1:1" ht="21">
      <c r="A12768" s="345"/>
    </row>
    <row r="12769" spans="1:1" ht="21">
      <c r="A12769" s="345"/>
    </row>
    <row r="12770" spans="1:1" ht="21">
      <c r="A12770" s="345"/>
    </row>
    <row r="12771" spans="1:1" ht="21">
      <c r="A12771" s="345"/>
    </row>
    <row r="12772" spans="1:1" ht="21">
      <c r="A12772" s="345"/>
    </row>
    <row r="12773" spans="1:1" ht="21">
      <c r="A12773" s="345"/>
    </row>
    <row r="12774" spans="1:1" ht="21">
      <c r="A12774" s="345"/>
    </row>
    <row r="12775" spans="1:1" ht="21">
      <c r="A12775" s="345"/>
    </row>
    <row r="12776" spans="1:1" ht="21">
      <c r="A12776" s="345"/>
    </row>
    <row r="12777" spans="1:1" ht="21">
      <c r="A12777" s="345"/>
    </row>
    <row r="12778" spans="1:1" ht="21">
      <c r="A12778" s="345"/>
    </row>
    <row r="12779" spans="1:1" ht="21">
      <c r="A12779" s="345"/>
    </row>
    <row r="12780" spans="1:1" ht="21">
      <c r="A12780" s="345"/>
    </row>
    <row r="12781" spans="1:1" ht="21">
      <c r="A12781" s="345"/>
    </row>
    <row r="12782" spans="1:1" ht="21">
      <c r="A12782" s="345"/>
    </row>
    <row r="12783" spans="1:1" ht="21">
      <c r="A12783" s="345"/>
    </row>
    <row r="12784" spans="1:1" ht="21">
      <c r="A12784" s="345"/>
    </row>
    <row r="12785" spans="1:1" ht="21">
      <c r="A12785" s="345"/>
    </row>
    <row r="12786" spans="1:1" ht="21">
      <c r="A12786" s="345"/>
    </row>
    <row r="12787" spans="1:1" ht="21">
      <c r="A12787" s="345"/>
    </row>
    <row r="12788" spans="1:1" ht="21">
      <c r="A12788" s="345"/>
    </row>
    <row r="12789" spans="1:1" ht="21">
      <c r="A12789" s="345"/>
    </row>
    <row r="12790" spans="1:1" ht="21">
      <c r="A12790" s="345"/>
    </row>
    <row r="12791" spans="1:1" ht="21">
      <c r="A12791" s="345"/>
    </row>
    <row r="12792" spans="1:1" ht="21">
      <c r="A12792" s="345"/>
    </row>
    <row r="12793" spans="1:1" ht="21">
      <c r="A12793" s="345"/>
    </row>
    <row r="12794" spans="1:1" ht="21">
      <c r="A12794" s="345"/>
    </row>
    <row r="12795" spans="1:1" ht="21">
      <c r="A12795" s="345"/>
    </row>
    <row r="12796" spans="1:1" ht="21">
      <c r="A12796" s="345"/>
    </row>
    <row r="12797" spans="1:1" ht="21">
      <c r="A12797" s="345"/>
    </row>
    <row r="12798" spans="1:1" ht="21">
      <c r="A12798" s="345"/>
    </row>
    <row r="12799" spans="1:1" ht="21">
      <c r="A12799" s="345"/>
    </row>
    <row r="12800" spans="1:1" ht="21">
      <c r="A12800" s="345"/>
    </row>
    <row r="12801" spans="1:1" ht="21">
      <c r="A12801" s="345"/>
    </row>
    <row r="12802" spans="1:1" ht="21">
      <c r="A12802" s="345"/>
    </row>
    <row r="12803" spans="1:1" ht="21">
      <c r="A12803" s="345"/>
    </row>
    <row r="12804" spans="1:1" ht="21">
      <c r="A12804" s="345"/>
    </row>
    <row r="12805" spans="1:1" ht="21">
      <c r="A12805" s="345"/>
    </row>
    <row r="12806" spans="1:1" ht="21">
      <c r="A12806" s="345"/>
    </row>
    <row r="12807" spans="1:1" ht="21">
      <c r="A12807" s="345"/>
    </row>
    <row r="12808" spans="1:1" ht="21">
      <c r="A12808" s="345"/>
    </row>
    <row r="12809" spans="1:1" ht="21">
      <c r="A12809" s="345"/>
    </row>
    <row r="12810" spans="1:1" ht="21">
      <c r="A12810" s="345"/>
    </row>
    <row r="12811" spans="1:1" ht="21">
      <c r="A12811" s="345"/>
    </row>
    <row r="12812" spans="1:1" ht="21">
      <c r="A12812" s="345"/>
    </row>
    <row r="12813" spans="1:1" ht="21">
      <c r="A12813" s="345"/>
    </row>
    <row r="12814" spans="1:1" ht="21">
      <c r="A12814" s="345"/>
    </row>
    <row r="12815" spans="1:1" ht="21">
      <c r="A12815" s="345"/>
    </row>
    <row r="12816" spans="1:1" ht="21">
      <c r="A12816" s="345"/>
    </row>
    <row r="12817" spans="1:1" ht="21">
      <c r="A12817" s="345"/>
    </row>
    <row r="12818" spans="1:1" ht="21">
      <c r="A12818" s="345"/>
    </row>
    <row r="12819" spans="1:1" ht="21">
      <c r="A12819" s="345"/>
    </row>
    <row r="12820" spans="1:1" ht="21">
      <c r="A12820" s="345"/>
    </row>
    <row r="12821" spans="1:1" ht="21">
      <c r="A12821" s="345"/>
    </row>
    <row r="12822" spans="1:1" ht="21">
      <c r="A12822" s="345"/>
    </row>
    <row r="12823" spans="1:1" ht="21">
      <c r="A12823" s="345"/>
    </row>
    <row r="12824" spans="1:1" ht="21">
      <c r="A12824" s="345"/>
    </row>
    <row r="12825" spans="1:1" ht="21">
      <c r="A12825" s="345"/>
    </row>
    <row r="12826" spans="1:1" ht="21">
      <c r="A12826" s="345"/>
    </row>
    <row r="12827" spans="1:1" ht="21">
      <c r="A12827" s="345"/>
    </row>
    <row r="12828" spans="1:1" ht="21">
      <c r="A12828" s="345"/>
    </row>
    <row r="12829" spans="1:1" ht="21">
      <c r="A12829" s="345"/>
    </row>
    <row r="12830" spans="1:1" ht="21">
      <c r="A12830" s="345"/>
    </row>
    <row r="12831" spans="1:1" ht="21">
      <c r="A12831" s="345"/>
    </row>
    <row r="12832" spans="1:1" ht="21">
      <c r="A12832" s="345"/>
    </row>
    <row r="12833" spans="1:1" ht="21">
      <c r="A12833" s="345"/>
    </row>
    <row r="12834" spans="1:1" ht="21">
      <c r="A12834" s="345"/>
    </row>
    <row r="12835" spans="1:1" ht="21">
      <c r="A12835" s="345"/>
    </row>
    <row r="12836" spans="1:1" ht="21">
      <c r="A12836" s="345"/>
    </row>
    <row r="12837" spans="1:1" ht="21">
      <c r="A12837" s="345"/>
    </row>
    <row r="12838" spans="1:1" ht="21">
      <c r="A12838" s="345"/>
    </row>
    <row r="12839" spans="1:1" ht="21">
      <c r="A12839" s="345"/>
    </row>
    <row r="12840" spans="1:1" ht="21">
      <c r="A12840" s="345"/>
    </row>
    <row r="12841" spans="1:1" ht="21">
      <c r="A12841" s="345"/>
    </row>
    <row r="12842" spans="1:1" ht="21">
      <c r="A12842" s="345"/>
    </row>
    <row r="12843" spans="1:1" ht="21">
      <c r="A12843" s="345"/>
    </row>
    <row r="12844" spans="1:1" ht="21">
      <c r="A12844" s="345"/>
    </row>
    <row r="12845" spans="1:1" ht="21">
      <c r="A12845" s="345"/>
    </row>
    <row r="12846" spans="1:1" ht="21">
      <c r="A12846" s="345"/>
    </row>
    <row r="12847" spans="1:1" ht="21">
      <c r="A12847" s="345"/>
    </row>
    <row r="12848" spans="1:1" ht="21">
      <c r="A12848" s="345"/>
    </row>
    <row r="12849" spans="1:1" ht="21">
      <c r="A12849" s="345"/>
    </row>
    <row r="12850" spans="1:1" ht="21">
      <c r="A12850" s="345"/>
    </row>
    <row r="12851" spans="1:1" ht="21">
      <c r="A12851" s="345"/>
    </row>
    <row r="12852" spans="1:1" ht="21">
      <c r="A12852" s="345"/>
    </row>
    <row r="12853" spans="1:1" ht="21">
      <c r="A12853" s="345"/>
    </row>
    <row r="12854" spans="1:1" ht="21">
      <c r="A12854" s="345"/>
    </row>
    <row r="12855" spans="1:1" ht="21">
      <c r="A12855" s="345"/>
    </row>
    <row r="12856" spans="1:1" ht="21">
      <c r="A12856" s="345"/>
    </row>
    <row r="12857" spans="1:1" ht="21">
      <c r="A12857" s="345"/>
    </row>
    <row r="12858" spans="1:1" ht="21">
      <c r="A12858" s="345"/>
    </row>
    <row r="12859" spans="1:1" ht="21">
      <c r="A12859" s="345"/>
    </row>
    <row r="12860" spans="1:1" ht="21">
      <c r="A12860" s="345"/>
    </row>
    <row r="12861" spans="1:1" ht="21">
      <c r="A12861" s="345"/>
    </row>
    <row r="12862" spans="1:1" ht="21">
      <c r="A12862" s="345"/>
    </row>
    <row r="12863" spans="1:1" ht="21">
      <c r="A12863" s="345"/>
    </row>
    <row r="12864" spans="1:1" ht="21">
      <c r="A12864" s="345"/>
    </row>
    <row r="12865" spans="1:1" ht="21">
      <c r="A12865" s="345"/>
    </row>
    <row r="12866" spans="1:1" ht="21">
      <c r="A12866" s="345"/>
    </row>
    <row r="12867" spans="1:1" ht="21">
      <c r="A12867" s="345"/>
    </row>
    <row r="12868" spans="1:1" ht="21">
      <c r="A12868" s="345"/>
    </row>
    <row r="12869" spans="1:1" ht="21">
      <c r="A12869" s="345"/>
    </row>
    <row r="12870" spans="1:1" ht="21">
      <c r="A12870" s="345"/>
    </row>
    <row r="12871" spans="1:1" ht="21">
      <c r="A12871" s="345"/>
    </row>
    <row r="12872" spans="1:1" ht="21">
      <c r="A12872" s="345"/>
    </row>
    <row r="12873" spans="1:1" ht="21">
      <c r="A12873" s="345"/>
    </row>
    <row r="12874" spans="1:1" ht="21">
      <c r="A12874" s="345"/>
    </row>
    <row r="12875" spans="1:1" ht="21">
      <c r="A12875" s="345"/>
    </row>
    <row r="12876" spans="1:1" ht="21">
      <c r="A12876" s="345"/>
    </row>
    <row r="12877" spans="1:1" ht="21">
      <c r="A12877" s="345"/>
    </row>
    <row r="12878" spans="1:1" ht="21">
      <c r="A12878" s="345"/>
    </row>
    <row r="12879" spans="1:1" ht="21">
      <c r="A12879" s="345"/>
    </row>
    <row r="12880" spans="1:1" ht="21">
      <c r="A12880" s="345"/>
    </row>
    <row r="12881" spans="1:1" ht="21">
      <c r="A12881" s="345"/>
    </row>
    <row r="12882" spans="1:1" ht="21">
      <c r="A12882" s="345"/>
    </row>
    <row r="12883" spans="1:1" ht="21">
      <c r="A12883" s="345"/>
    </row>
    <row r="12884" spans="1:1" ht="21">
      <c r="A12884" s="345"/>
    </row>
    <row r="12885" spans="1:1" ht="21">
      <c r="A12885" s="345"/>
    </row>
    <row r="12886" spans="1:1" ht="21">
      <c r="A12886" s="345"/>
    </row>
    <row r="12887" spans="1:1" ht="21">
      <c r="A12887" s="345"/>
    </row>
    <row r="12888" spans="1:1" ht="21">
      <c r="A12888" s="345"/>
    </row>
    <row r="12889" spans="1:1" ht="21">
      <c r="A12889" s="345"/>
    </row>
    <row r="12890" spans="1:1" ht="21">
      <c r="A12890" s="345"/>
    </row>
    <row r="12891" spans="1:1" ht="21">
      <c r="A12891" s="345"/>
    </row>
    <row r="12892" spans="1:1" ht="21">
      <c r="A12892" s="345"/>
    </row>
    <row r="12893" spans="1:1" ht="21">
      <c r="A12893" s="345"/>
    </row>
    <row r="12894" spans="1:1" ht="21">
      <c r="A12894" s="345"/>
    </row>
    <row r="12895" spans="1:1" ht="21">
      <c r="A12895" s="345"/>
    </row>
    <row r="12896" spans="1:1" ht="21">
      <c r="A12896" s="345"/>
    </row>
    <row r="12897" spans="1:1" ht="21">
      <c r="A12897" s="345"/>
    </row>
    <row r="12898" spans="1:1" ht="21">
      <c r="A12898" s="345"/>
    </row>
    <row r="12899" spans="1:1" ht="21">
      <c r="A12899" s="345"/>
    </row>
    <row r="12900" spans="1:1" ht="21">
      <c r="A12900" s="345"/>
    </row>
    <row r="12901" spans="1:1" ht="21">
      <c r="A12901" s="345"/>
    </row>
    <row r="12902" spans="1:1" ht="21">
      <c r="A12902" s="345"/>
    </row>
    <row r="12903" spans="1:1" ht="21">
      <c r="A12903" s="345"/>
    </row>
    <row r="12904" spans="1:1" ht="21">
      <c r="A12904" s="345"/>
    </row>
    <row r="12905" spans="1:1" ht="21">
      <c r="A12905" s="345"/>
    </row>
    <row r="12906" spans="1:1" ht="21">
      <c r="A12906" s="345"/>
    </row>
    <row r="12907" spans="1:1" ht="21">
      <c r="A12907" s="345"/>
    </row>
    <row r="12908" spans="1:1" ht="21">
      <c r="A12908" s="345"/>
    </row>
    <row r="12909" spans="1:1" ht="21">
      <c r="A12909" s="345"/>
    </row>
    <row r="12910" spans="1:1" ht="21">
      <c r="A12910" s="345"/>
    </row>
    <row r="12911" spans="1:1" ht="21">
      <c r="A12911" s="345"/>
    </row>
    <row r="12912" spans="1:1" ht="21">
      <c r="A12912" s="345"/>
    </row>
    <row r="12913" spans="1:1" ht="21">
      <c r="A12913" s="345"/>
    </row>
    <row r="12914" spans="1:1" ht="21">
      <c r="A12914" s="345"/>
    </row>
    <row r="12915" spans="1:1" ht="21">
      <c r="A12915" s="345"/>
    </row>
    <row r="12916" spans="1:1" ht="21">
      <c r="A12916" s="345"/>
    </row>
    <row r="12917" spans="1:1" ht="21">
      <c r="A12917" s="345"/>
    </row>
    <row r="12918" spans="1:1" ht="21">
      <c r="A12918" s="345"/>
    </row>
    <row r="12919" spans="1:1" ht="21">
      <c r="A12919" s="345"/>
    </row>
    <row r="12920" spans="1:1" ht="21">
      <c r="A12920" s="345"/>
    </row>
    <row r="12921" spans="1:1" ht="21">
      <c r="A12921" s="345"/>
    </row>
    <row r="12922" spans="1:1" ht="21">
      <c r="A12922" s="345"/>
    </row>
    <row r="12923" spans="1:1" ht="21">
      <c r="A12923" s="345"/>
    </row>
    <row r="12924" spans="1:1" ht="21">
      <c r="A12924" s="345"/>
    </row>
    <row r="12925" spans="1:1" ht="21">
      <c r="A12925" s="345"/>
    </row>
    <row r="12926" spans="1:1" ht="21">
      <c r="A12926" s="345"/>
    </row>
    <row r="12927" spans="1:1" ht="21">
      <c r="A12927" s="345"/>
    </row>
    <row r="12928" spans="1:1" ht="21">
      <c r="A12928" s="345"/>
    </row>
    <row r="12929" spans="1:1" ht="21">
      <c r="A12929" s="345"/>
    </row>
    <row r="12930" spans="1:1" ht="21">
      <c r="A12930" s="345"/>
    </row>
    <row r="12931" spans="1:1" ht="21">
      <c r="A12931" s="345"/>
    </row>
    <row r="12932" spans="1:1" ht="21">
      <c r="A12932" s="345"/>
    </row>
    <row r="12933" spans="1:1" ht="21">
      <c r="A12933" s="345"/>
    </row>
    <row r="12934" spans="1:1" ht="21">
      <c r="A12934" s="345"/>
    </row>
    <row r="12935" spans="1:1" ht="21">
      <c r="A12935" s="345"/>
    </row>
    <row r="12936" spans="1:1" ht="21">
      <c r="A12936" s="345"/>
    </row>
    <row r="12937" spans="1:1" ht="21">
      <c r="A12937" s="345"/>
    </row>
    <row r="12938" spans="1:1" ht="21">
      <c r="A12938" s="345"/>
    </row>
    <row r="12939" spans="1:1" ht="21">
      <c r="A12939" s="345"/>
    </row>
    <row r="12940" spans="1:1" ht="21">
      <c r="A12940" s="345"/>
    </row>
    <row r="12941" spans="1:1" ht="21">
      <c r="A12941" s="345"/>
    </row>
    <row r="12942" spans="1:1" ht="21">
      <c r="A12942" s="345"/>
    </row>
    <row r="12943" spans="1:1" ht="21">
      <c r="A12943" s="345"/>
    </row>
    <row r="12944" spans="1:1" ht="21">
      <c r="A12944" s="345"/>
    </row>
    <row r="12945" spans="1:1" ht="21">
      <c r="A12945" s="345"/>
    </row>
    <row r="12946" spans="1:1" ht="21">
      <c r="A12946" s="345"/>
    </row>
    <row r="12947" spans="1:1" ht="21">
      <c r="A12947" s="345"/>
    </row>
    <row r="12948" spans="1:1" ht="21">
      <c r="A12948" s="345"/>
    </row>
    <row r="12949" spans="1:1" ht="21">
      <c r="A12949" s="345"/>
    </row>
    <row r="12950" spans="1:1" ht="21">
      <c r="A12950" s="345"/>
    </row>
    <row r="12951" spans="1:1" ht="21">
      <c r="A12951" s="345"/>
    </row>
    <row r="12952" spans="1:1" ht="21">
      <c r="A12952" s="345"/>
    </row>
    <row r="12953" spans="1:1" ht="21">
      <c r="A12953" s="345"/>
    </row>
    <row r="12954" spans="1:1" ht="21">
      <c r="A12954" s="345"/>
    </row>
    <row r="12955" spans="1:1" ht="21">
      <c r="A12955" s="345"/>
    </row>
    <row r="12956" spans="1:1" ht="21">
      <c r="A12956" s="345"/>
    </row>
    <row r="12957" spans="1:1" ht="21">
      <c r="A12957" s="345"/>
    </row>
    <row r="12958" spans="1:1" ht="21">
      <c r="A12958" s="345"/>
    </row>
    <row r="12959" spans="1:1" ht="21">
      <c r="A12959" s="345"/>
    </row>
    <row r="12960" spans="1:1" ht="21">
      <c r="A12960" s="345"/>
    </row>
    <row r="12961" spans="1:1" ht="21">
      <c r="A12961" s="345"/>
    </row>
    <row r="12962" spans="1:1" ht="21">
      <c r="A12962" s="345"/>
    </row>
    <row r="12963" spans="1:1" ht="21">
      <c r="A12963" s="345"/>
    </row>
    <row r="12964" spans="1:1" ht="21">
      <c r="A12964" s="345"/>
    </row>
    <row r="12965" spans="1:1" ht="21">
      <c r="A12965" s="345"/>
    </row>
    <row r="12966" spans="1:1" ht="21">
      <c r="A12966" s="345"/>
    </row>
    <row r="12967" spans="1:1" ht="21">
      <c r="A12967" s="345"/>
    </row>
    <row r="12968" spans="1:1" ht="21">
      <c r="A12968" s="345"/>
    </row>
    <row r="12969" spans="1:1" ht="21">
      <c r="A12969" s="345"/>
    </row>
    <row r="12970" spans="1:1" ht="21">
      <c r="A12970" s="345"/>
    </row>
    <row r="12971" spans="1:1" ht="21">
      <c r="A12971" s="345"/>
    </row>
    <row r="12972" spans="1:1" ht="21">
      <c r="A12972" s="345"/>
    </row>
    <row r="12973" spans="1:1" ht="21">
      <c r="A12973" s="345"/>
    </row>
    <row r="12974" spans="1:1" ht="21">
      <c r="A12974" s="345"/>
    </row>
    <row r="12975" spans="1:1" ht="21">
      <c r="A12975" s="345"/>
    </row>
    <row r="12976" spans="1:1" ht="21">
      <c r="A12976" s="345"/>
    </row>
    <row r="12977" spans="1:1" ht="21">
      <c r="A12977" s="345"/>
    </row>
    <row r="12978" spans="1:1" ht="21">
      <c r="A12978" s="345"/>
    </row>
    <row r="12979" spans="1:1" ht="21">
      <c r="A12979" s="345"/>
    </row>
    <row r="12980" spans="1:1" ht="21">
      <c r="A12980" s="345"/>
    </row>
    <row r="12981" spans="1:1" ht="21">
      <c r="A12981" s="345"/>
    </row>
    <row r="12982" spans="1:1" ht="21">
      <c r="A12982" s="345"/>
    </row>
    <row r="12983" spans="1:1" ht="21">
      <c r="A12983" s="345"/>
    </row>
    <row r="12984" spans="1:1" ht="21">
      <c r="A12984" s="345"/>
    </row>
    <row r="12985" spans="1:1" ht="21">
      <c r="A12985" s="345"/>
    </row>
    <row r="12986" spans="1:1" ht="21">
      <c r="A12986" s="345"/>
    </row>
    <row r="12987" spans="1:1" ht="21">
      <c r="A12987" s="345"/>
    </row>
    <row r="12988" spans="1:1" ht="21">
      <c r="A12988" s="345"/>
    </row>
    <row r="12989" spans="1:1" ht="21">
      <c r="A12989" s="345"/>
    </row>
    <row r="12990" spans="1:1" ht="21">
      <c r="A12990" s="345"/>
    </row>
    <row r="12991" spans="1:1" ht="21">
      <c r="A12991" s="345"/>
    </row>
    <row r="12992" spans="1:1" ht="21">
      <c r="A12992" s="345"/>
    </row>
    <row r="12993" spans="1:1" ht="21">
      <c r="A12993" s="345"/>
    </row>
    <row r="12994" spans="1:1" ht="21">
      <c r="A12994" s="345"/>
    </row>
    <row r="12995" spans="1:1" ht="21">
      <c r="A12995" s="345"/>
    </row>
    <row r="12996" spans="1:1" ht="21">
      <c r="A12996" s="345"/>
    </row>
    <row r="12997" spans="1:1" ht="21">
      <c r="A12997" s="345"/>
    </row>
    <row r="12998" spans="1:1" ht="21">
      <c r="A12998" s="345"/>
    </row>
    <row r="12999" spans="1:1" ht="21">
      <c r="A12999" s="345"/>
    </row>
    <row r="13000" spans="1:1" ht="21">
      <c r="A13000" s="345"/>
    </row>
    <row r="13001" spans="1:1" ht="21">
      <c r="A13001" s="345"/>
    </row>
    <row r="13002" spans="1:1" ht="21">
      <c r="A13002" s="345"/>
    </row>
    <row r="13003" spans="1:1" ht="21">
      <c r="A13003" s="345"/>
    </row>
    <row r="13004" spans="1:1" ht="21">
      <c r="A13004" s="345"/>
    </row>
    <row r="13005" spans="1:1" ht="21">
      <c r="A13005" s="345"/>
    </row>
    <row r="13006" spans="1:1" ht="21">
      <c r="A13006" s="345"/>
    </row>
    <row r="13007" spans="1:1" ht="21">
      <c r="A13007" s="345"/>
    </row>
    <row r="13008" spans="1:1" ht="21">
      <c r="A13008" s="345"/>
    </row>
    <row r="13009" spans="1:1" ht="21">
      <c r="A13009" s="345"/>
    </row>
    <row r="13010" spans="1:1" ht="21">
      <c r="A13010" s="345"/>
    </row>
    <row r="13011" spans="1:1" ht="21">
      <c r="A13011" s="345"/>
    </row>
    <row r="13012" spans="1:1" ht="21">
      <c r="A13012" s="345"/>
    </row>
    <row r="13013" spans="1:1" ht="21">
      <c r="A13013" s="345"/>
    </row>
    <row r="13014" spans="1:1" ht="21">
      <c r="A13014" s="345"/>
    </row>
    <row r="13015" spans="1:1" ht="21">
      <c r="A13015" s="345"/>
    </row>
    <row r="13016" spans="1:1" ht="21">
      <c r="A13016" s="345"/>
    </row>
    <row r="13017" spans="1:1" ht="21">
      <c r="A13017" s="345"/>
    </row>
    <row r="13018" spans="1:1" ht="21">
      <c r="A13018" s="345"/>
    </row>
    <row r="13019" spans="1:1" ht="21">
      <c r="A13019" s="345"/>
    </row>
    <row r="13020" spans="1:1" ht="21">
      <c r="A13020" s="345"/>
    </row>
    <row r="13021" spans="1:1" ht="21">
      <c r="A13021" s="345"/>
    </row>
    <row r="13022" spans="1:1" ht="21">
      <c r="A13022" s="345"/>
    </row>
    <row r="13023" spans="1:1" ht="21">
      <c r="A13023" s="345"/>
    </row>
    <row r="13024" spans="1:1" ht="21">
      <c r="A13024" s="345"/>
    </row>
    <row r="13025" spans="1:1" ht="21">
      <c r="A13025" s="345"/>
    </row>
    <row r="13026" spans="1:1" ht="21">
      <c r="A13026" s="345"/>
    </row>
    <row r="13027" spans="1:1" ht="21">
      <c r="A13027" s="345"/>
    </row>
    <row r="13028" spans="1:1" ht="21">
      <c r="A13028" s="345"/>
    </row>
    <row r="13029" spans="1:1" ht="21">
      <c r="A13029" s="345"/>
    </row>
    <row r="13030" spans="1:1" ht="21">
      <c r="A13030" s="345"/>
    </row>
    <row r="13031" spans="1:1" ht="21">
      <c r="A13031" s="345"/>
    </row>
    <row r="13032" spans="1:1" ht="21">
      <c r="A13032" s="345"/>
    </row>
    <row r="13033" spans="1:1" ht="21">
      <c r="A13033" s="345"/>
    </row>
    <row r="13034" spans="1:1" ht="21">
      <c r="A13034" s="345"/>
    </row>
    <row r="13035" spans="1:1" ht="21">
      <c r="A13035" s="345"/>
    </row>
    <row r="13036" spans="1:1" ht="21">
      <c r="A13036" s="345"/>
    </row>
    <row r="13037" spans="1:1" ht="21">
      <c r="A13037" s="345"/>
    </row>
    <row r="13038" spans="1:1" ht="21">
      <c r="A13038" s="345"/>
    </row>
    <row r="13039" spans="1:1" ht="21">
      <c r="A13039" s="345"/>
    </row>
    <row r="13040" spans="1:1" ht="21">
      <c r="A13040" s="345"/>
    </row>
    <row r="13041" spans="1:1" ht="21">
      <c r="A13041" s="345"/>
    </row>
    <row r="13042" spans="1:1" ht="21">
      <c r="A13042" s="345"/>
    </row>
    <row r="13043" spans="1:1" ht="21">
      <c r="A13043" s="345"/>
    </row>
    <row r="13044" spans="1:1" ht="21">
      <c r="A13044" s="345"/>
    </row>
    <row r="13045" spans="1:1" ht="21">
      <c r="A13045" s="345"/>
    </row>
    <row r="13046" spans="1:1" ht="21">
      <c r="A13046" s="345"/>
    </row>
    <row r="13047" spans="1:1" ht="21">
      <c r="A13047" s="345"/>
    </row>
    <row r="13048" spans="1:1" ht="21">
      <c r="A13048" s="345"/>
    </row>
    <row r="13049" spans="1:1" ht="21">
      <c r="A13049" s="345"/>
    </row>
    <row r="13050" spans="1:1" ht="21">
      <c r="A13050" s="345"/>
    </row>
    <row r="13051" spans="1:1" ht="21">
      <c r="A13051" s="345"/>
    </row>
    <row r="13052" spans="1:1" ht="21">
      <c r="A13052" s="345"/>
    </row>
    <row r="13053" spans="1:1" ht="21">
      <c r="A13053" s="345"/>
    </row>
    <row r="13054" spans="1:1" ht="21">
      <c r="A13054" s="345"/>
    </row>
    <row r="13055" spans="1:1" ht="21">
      <c r="A13055" s="345"/>
    </row>
    <row r="13056" spans="1:1" ht="21">
      <c r="A13056" s="345"/>
    </row>
    <row r="13057" spans="1:1" ht="21">
      <c r="A13057" s="345"/>
    </row>
    <row r="13058" spans="1:1" ht="21">
      <c r="A13058" s="345"/>
    </row>
    <row r="13059" spans="1:1" ht="21">
      <c r="A13059" s="345"/>
    </row>
    <row r="13060" spans="1:1" ht="21">
      <c r="A13060" s="345"/>
    </row>
    <row r="13061" spans="1:1" ht="21">
      <c r="A13061" s="345"/>
    </row>
    <row r="13062" spans="1:1" ht="21">
      <c r="A13062" s="345"/>
    </row>
    <row r="13063" spans="1:1" ht="21">
      <c r="A13063" s="345"/>
    </row>
    <row r="13064" spans="1:1" ht="21">
      <c r="A13064" s="345"/>
    </row>
    <row r="13065" spans="1:1" ht="21">
      <c r="A13065" s="345"/>
    </row>
    <row r="13066" spans="1:1" ht="21">
      <c r="A13066" s="345"/>
    </row>
    <row r="13067" spans="1:1" ht="21">
      <c r="A13067" s="345"/>
    </row>
    <row r="13068" spans="1:1" ht="21">
      <c r="A13068" s="345"/>
    </row>
    <row r="13069" spans="1:1" ht="21">
      <c r="A13069" s="345"/>
    </row>
    <row r="13070" spans="1:1" ht="21">
      <c r="A13070" s="345"/>
    </row>
    <row r="13071" spans="1:1" ht="21">
      <c r="A13071" s="345"/>
    </row>
    <row r="13072" spans="1:1" ht="21">
      <c r="A13072" s="345"/>
    </row>
    <row r="13073" spans="1:1" ht="21">
      <c r="A13073" s="345"/>
    </row>
    <row r="13074" spans="1:1" ht="21">
      <c r="A13074" s="345"/>
    </row>
    <row r="13075" spans="1:1" ht="21">
      <c r="A13075" s="345"/>
    </row>
    <row r="13076" spans="1:1" ht="21">
      <c r="A13076" s="345"/>
    </row>
    <row r="13077" spans="1:1" ht="21">
      <c r="A13077" s="345"/>
    </row>
    <row r="13078" spans="1:1" ht="21">
      <c r="A13078" s="345"/>
    </row>
    <row r="13079" spans="1:1" ht="21">
      <c r="A13079" s="345"/>
    </row>
    <row r="13080" spans="1:1" ht="21">
      <c r="A13080" s="345"/>
    </row>
    <row r="13081" spans="1:1" ht="21">
      <c r="A13081" s="345"/>
    </row>
    <row r="13082" spans="1:1" ht="21">
      <c r="A13082" s="345"/>
    </row>
    <row r="13083" spans="1:1" ht="21">
      <c r="A13083" s="345"/>
    </row>
    <row r="13084" spans="1:1" ht="21">
      <c r="A13084" s="345"/>
    </row>
    <row r="13085" spans="1:1" ht="21">
      <c r="A13085" s="345"/>
    </row>
    <row r="13086" spans="1:1" ht="21">
      <c r="A13086" s="345"/>
    </row>
    <row r="13087" spans="1:1" ht="21">
      <c r="A13087" s="345"/>
    </row>
    <row r="13088" spans="1:1" ht="21">
      <c r="A13088" s="345"/>
    </row>
    <row r="13089" spans="1:1" ht="21">
      <c r="A13089" s="345"/>
    </row>
    <row r="13090" spans="1:1" ht="21">
      <c r="A13090" s="345"/>
    </row>
    <row r="13091" spans="1:1" ht="21">
      <c r="A13091" s="345"/>
    </row>
    <row r="13092" spans="1:1" ht="21">
      <c r="A13092" s="345"/>
    </row>
    <row r="13093" spans="1:1" ht="21">
      <c r="A13093" s="345"/>
    </row>
    <row r="13094" spans="1:1" ht="21">
      <c r="A13094" s="345"/>
    </row>
    <row r="13095" spans="1:1" ht="21">
      <c r="A13095" s="345"/>
    </row>
    <row r="13096" spans="1:1" ht="21">
      <c r="A13096" s="345"/>
    </row>
    <row r="13097" spans="1:1" ht="21">
      <c r="A13097" s="345"/>
    </row>
    <row r="13098" spans="1:1" ht="21">
      <c r="A13098" s="345"/>
    </row>
    <row r="13099" spans="1:1" ht="21">
      <c r="A13099" s="345"/>
    </row>
    <row r="13100" spans="1:1" ht="21">
      <c r="A13100" s="345"/>
    </row>
    <row r="13101" spans="1:1" ht="21">
      <c r="A13101" s="345"/>
    </row>
    <row r="13102" spans="1:1" ht="21">
      <c r="A13102" s="345"/>
    </row>
    <row r="13103" spans="1:1" ht="21">
      <c r="A13103" s="345"/>
    </row>
    <row r="13104" spans="1:1" ht="21">
      <c r="A13104" s="345"/>
    </row>
    <row r="13105" spans="1:1" ht="21">
      <c r="A13105" s="345"/>
    </row>
    <row r="13106" spans="1:1" ht="21">
      <c r="A13106" s="345"/>
    </row>
    <row r="13107" spans="1:1" ht="21">
      <c r="A13107" s="345"/>
    </row>
    <row r="13108" spans="1:1" ht="21">
      <c r="A13108" s="345"/>
    </row>
    <row r="13109" spans="1:1" ht="21">
      <c r="A13109" s="345"/>
    </row>
    <row r="13110" spans="1:1" ht="21">
      <c r="A13110" s="345"/>
    </row>
    <row r="13111" spans="1:1" ht="21">
      <c r="A13111" s="345"/>
    </row>
    <row r="13112" spans="1:1" ht="21">
      <c r="A13112" s="345"/>
    </row>
    <row r="13113" spans="1:1" ht="21">
      <c r="A13113" s="345"/>
    </row>
    <row r="13114" spans="1:1" ht="21">
      <c r="A13114" s="345"/>
    </row>
    <row r="13115" spans="1:1" ht="21">
      <c r="A13115" s="345"/>
    </row>
    <row r="13116" spans="1:1" ht="21">
      <c r="A13116" s="345"/>
    </row>
    <row r="13117" spans="1:1" ht="21">
      <c r="A13117" s="345"/>
    </row>
    <row r="13118" spans="1:1" ht="21">
      <c r="A13118" s="345"/>
    </row>
    <row r="13119" spans="1:1" ht="21">
      <c r="A13119" s="345"/>
    </row>
    <row r="13120" spans="1:1" ht="21">
      <c r="A13120" s="345"/>
    </row>
    <row r="13121" spans="1:1" ht="21">
      <c r="A13121" s="345"/>
    </row>
    <row r="13122" spans="1:1" ht="21">
      <c r="A13122" s="345"/>
    </row>
    <row r="13123" spans="1:1" ht="21">
      <c r="A13123" s="345"/>
    </row>
    <row r="13124" spans="1:1" ht="21">
      <c r="A13124" s="345"/>
    </row>
    <row r="13125" spans="1:1" ht="21">
      <c r="A13125" s="345"/>
    </row>
    <row r="13126" spans="1:1" ht="21">
      <c r="A13126" s="345"/>
    </row>
    <row r="13127" spans="1:1" ht="21">
      <c r="A13127" s="345"/>
    </row>
    <row r="13128" spans="1:1" ht="21">
      <c r="A13128" s="345"/>
    </row>
    <row r="13129" spans="1:1" ht="21">
      <c r="A13129" s="345"/>
    </row>
    <row r="13130" spans="1:1" ht="21">
      <c r="A13130" s="345"/>
    </row>
    <row r="13131" spans="1:1" ht="21">
      <c r="A13131" s="345"/>
    </row>
    <row r="13132" spans="1:1" ht="21">
      <c r="A13132" s="345"/>
    </row>
    <row r="13133" spans="1:1" ht="21">
      <c r="A13133" s="345"/>
    </row>
    <row r="13134" spans="1:1" ht="21">
      <c r="A13134" s="345"/>
    </row>
    <row r="13135" spans="1:1" ht="21">
      <c r="A13135" s="345"/>
    </row>
    <row r="13136" spans="1:1" ht="21">
      <c r="A13136" s="345"/>
    </row>
    <row r="13137" spans="1:1" ht="21">
      <c r="A13137" s="345"/>
    </row>
    <row r="13138" spans="1:1" ht="21">
      <c r="A13138" s="345"/>
    </row>
    <row r="13139" spans="1:1" ht="21">
      <c r="A13139" s="345"/>
    </row>
    <row r="13140" spans="1:1" ht="21">
      <c r="A13140" s="345"/>
    </row>
    <row r="13141" spans="1:1" ht="21">
      <c r="A13141" s="345"/>
    </row>
    <row r="13142" spans="1:1" ht="21">
      <c r="A13142" s="345"/>
    </row>
    <row r="13143" spans="1:1" ht="21">
      <c r="A13143" s="345"/>
    </row>
    <row r="13144" spans="1:1" ht="21">
      <c r="A13144" s="345"/>
    </row>
    <row r="13145" spans="1:1" ht="21">
      <c r="A13145" s="345"/>
    </row>
    <row r="13146" spans="1:1" ht="21">
      <c r="A13146" s="345"/>
    </row>
    <row r="13147" spans="1:1" ht="21">
      <c r="A13147" s="345"/>
    </row>
    <row r="13148" spans="1:1" ht="21">
      <c r="A13148" s="345"/>
    </row>
    <row r="13149" spans="1:1" ht="21">
      <c r="A13149" s="345"/>
    </row>
    <row r="13150" spans="1:1" ht="21">
      <c r="A13150" s="345"/>
    </row>
    <row r="13151" spans="1:1" ht="21">
      <c r="A13151" s="345"/>
    </row>
    <row r="13152" spans="1:1" ht="21">
      <c r="A13152" s="345"/>
    </row>
    <row r="13153" spans="1:1" ht="21">
      <c r="A13153" s="345"/>
    </row>
    <row r="13154" spans="1:1" ht="21">
      <c r="A13154" s="345"/>
    </row>
    <row r="13155" spans="1:1" ht="21">
      <c r="A13155" s="345"/>
    </row>
    <row r="13156" spans="1:1" ht="21">
      <c r="A13156" s="345"/>
    </row>
    <row r="13157" spans="1:1" ht="21">
      <c r="A13157" s="345"/>
    </row>
    <row r="13158" spans="1:1" ht="21">
      <c r="A13158" s="345"/>
    </row>
    <row r="13159" spans="1:1" ht="21">
      <c r="A13159" s="345"/>
    </row>
    <row r="13160" spans="1:1" ht="21">
      <c r="A13160" s="345"/>
    </row>
    <row r="13161" spans="1:1" ht="21">
      <c r="A13161" s="345"/>
    </row>
    <row r="13162" spans="1:1" ht="21">
      <c r="A13162" s="345"/>
    </row>
    <row r="13163" spans="1:1" ht="21">
      <c r="A13163" s="345"/>
    </row>
    <row r="13164" spans="1:1" ht="21">
      <c r="A13164" s="345"/>
    </row>
    <row r="13165" spans="1:1" ht="21">
      <c r="A13165" s="345"/>
    </row>
    <row r="13166" spans="1:1" ht="21">
      <c r="A13166" s="345"/>
    </row>
    <row r="13167" spans="1:1" ht="21">
      <c r="A13167" s="345"/>
    </row>
    <row r="13168" spans="1:1" ht="21">
      <c r="A13168" s="345"/>
    </row>
    <row r="13169" spans="1:1" ht="21">
      <c r="A13169" s="345"/>
    </row>
    <row r="13170" spans="1:1" ht="21">
      <c r="A13170" s="345"/>
    </row>
    <row r="13171" spans="1:1" ht="21">
      <c r="A13171" s="345"/>
    </row>
    <row r="13172" spans="1:1" ht="21">
      <c r="A13172" s="345"/>
    </row>
    <row r="13173" spans="1:1" ht="21">
      <c r="A13173" s="345"/>
    </row>
    <row r="13174" spans="1:1" ht="21">
      <c r="A13174" s="345"/>
    </row>
    <row r="13175" spans="1:1" ht="21">
      <c r="A13175" s="345"/>
    </row>
    <row r="13176" spans="1:1" ht="21">
      <c r="A13176" s="345"/>
    </row>
    <row r="13177" spans="1:1" ht="21">
      <c r="A13177" s="345"/>
    </row>
    <row r="13178" spans="1:1" ht="21">
      <c r="A13178" s="345"/>
    </row>
    <row r="13179" spans="1:1" ht="21">
      <c r="A13179" s="345"/>
    </row>
    <row r="13180" spans="1:1" ht="21">
      <c r="A13180" s="345"/>
    </row>
    <row r="13181" spans="1:1" ht="21">
      <c r="A13181" s="345"/>
    </row>
    <row r="13182" spans="1:1" ht="21">
      <c r="A13182" s="345"/>
    </row>
    <row r="13183" spans="1:1" ht="21">
      <c r="A13183" s="345"/>
    </row>
    <row r="13184" spans="1:1" ht="21">
      <c r="A13184" s="345"/>
    </row>
    <row r="13185" spans="1:1" ht="21">
      <c r="A13185" s="345"/>
    </row>
    <row r="13186" spans="1:1" ht="21">
      <c r="A13186" s="345"/>
    </row>
    <row r="13187" spans="1:1" ht="21">
      <c r="A13187" s="345"/>
    </row>
    <row r="13188" spans="1:1" ht="21">
      <c r="A13188" s="345"/>
    </row>
    <row r="13189" spans="1:1" ht="21">
      <c r="A13189" s="345"/>
    </row>
    <row r="13190" spans="1:1" ht="21">
      <c r="A13190" s="345"/>
    </row>
    <row r="13191" spans="1:1" ht="21">
      <c r="A13191" s="345"/>
    </row>
    <row r="13192" spans="1:1" ht="21">
      <c r="A13192" s="345"/>
    </row>
    <row r="13193" spans="1:1" ht="21">
      <c r="A13193" s="345"/>
    </row>
    <row r="13194" spans="1:1" ht="21">
      <c r="A13194" s="345"/>
    </row>
    <row r="13195" spans="1:1" ht="21">
      <c r="A13195" s="345"/>
    </row>
    <row r="13196" spans="1:1" ht="21">
      <c r="A13196" s="345"/>
    </row>
    <row r="13197" spans="1:1" ht="21">
      <c r="A13197" s="345"/>
    </row>
    <row r="13198" spans="1:1" ht="21">
      <c r="A13198" s="345"/>
    </row>
    <row r="13199" spans="1:1" ht="21">
      <c r="A13199" s="345"/>
    </row>
    <row r="13200" spans="1:1" ht="21">
      <c r="A13200" s="345"/>
    </row>
    <row r="13201" spans="1:1" ht="21">
      <c r="A13201" s="345"/>
    </row>
    <row r="13202" spans="1:1" ht="21">
      <c r="A13202" s="345"/>
    </row>
    <row r="13203" spans="1:1" ht="21">
      <c r="A13203" s="345"/>
    </row>
    <row r="13204" spans="1:1" ht="21">
      <c r="A13204" s="345"/>
    </row>
    <row r="13205" spans="1:1" ht="21">
      <c r="A13205" s="345"/>
    </row>
    <row r="13206" spans="1:1" ht="21">
      <c r="A13206" s="345"/>
    </row>
    <row r="13207" spans="1:1" ht="21">
      <c r="A13207" s="345"/>
    </row>
    <row r="13208" spans="1:1" ht="21">
      <c r="A13208" s="345"/>
    </row>
    <row r="13209" spans="1:1" ht="21">
      <c r="A13209" s="345"/>
    </row>
    <row r="13210" spans="1:1" ht="21">
      <c r="A13210" s="345"/>
    </row>
    <row r="13211" spans="1:1" ht="21">
      <c r="A13211" s="345"/>
    </row>
    <row r="13212" spans="1:1" ht="21">
      <c r="A13212" s="345"/>
    </row>
    <row r="13213" spans="1:1" ht="21">
      <c r="A13213" s="345"/>
    </row>
    <row r="13214" spans="1:1" ht="21">
      <c r="A13214" s="345"/>
    </row>
    <row r="13215" spans="1:1" ht="21">
      <c r="A13215" s="345"/>
    </row>
    <row r="13216" spans="1:1" ht="21">
      <c r="A13216" s="345"/>
    </row>
    <row r="13217" spans="1:1" ht="21">
      <c r="A13217" s="345"/>
    </row>
    <row r="13218" spans="1:1" ht="21">
      <c r="A13218" s="345"/>
    </row>
    <row r="13219" spans="1:1" ht="21">
      <c r="A13219" s="345"/>
    </row>
    <row r="13220" spans="1:1" ht="21">
      <c r="A13220" s="345"/>
    </row>
    <row r="13221" spans="1:1" ht="21">
      <c r="A13221" s="345"/>
    </row>
    <row r="13222" spans="1:1" ht="21">
      <c r="A13222" s="345"/>
    </row>
    <row r="13223" spans="1:1" ht="21">
      <c r="A13223" s="345"/>
    </row>
    <row r="13224" spans="1:1" ht="21">
      <c r="A13224" s="345"/>
    </row>
    <row r="13225" spans="1:1" ht="21">
      <c r="A13225" s="345"/>
    </row>
    <row r="13226" spans="1:1" ht="21">
      <c r="A13226" s="345"/>
    </row>
    <row r="13227" spans="1:1" ht="21">
      <c r="A13227" s="345"/>
    </row>
    <row r="13228" spans="1:1" ht="21">
      <c r="A13228" s="345"/>
    </row>
    <row r="13229" spans="1:1" ht="21">
      <c r="A13229" s="345"/>
    </row>
    <row r="13230" spans="1:1" ht="21">
      <c r="A13230" s="345"/>
    </row>
    <row r="13231" spans="1:1" ht="21">
      <c r="A13231" s="345"/>
    </row>
    <row r="13232" spans="1:1" ht="21">
      <c r="A13232" s="345"/>
    </row>
    <row r="13233" spans="1:1" ht="21">
      <c r="A13233" s="345"/>
    </row>
    <row r="13234" spans="1:1" ht="21">
      <c r="A13234" s="345"/>
    </row>
    <row r="13235" spans="1:1" ht="21">
      <c r="A13235" s="345"/>
    </row>
    <row r="13236" spans="1:1" ht="21">
      <c r="A13236" s="345"/>
    </row>
    <row r="13237" spans="1:1" ht="21">
      <c r="A13237" s="345"/>
    </row>
    <row r="13238" spans="1:1" ht="21">
      <c r="A13238" s="345"/>
    </row>
    <row r="13239" spans="1:1" ht="21">
      <c r="A13239" s="345"/>
    </row>
    <row r="13240" spans="1:1" ht="21">
      <c r="A13240" s="345"/>
    </row>
    <row r="13241" spans="1:1" ht="21">
      <c r="A13241" s="345"/>
    </row>
    <row r="13242" spans="1:1" ht="21">
      <c r="A13242" s="345"/>
    </row>
    <row r="13243" spans="1:1" ht="21">
      <c r="A13243" s="345"/>
    </row>
    <row r="13244" spans="1:1" ht="21">
      <c r="A13244" s="345"/>
    </row>
    <row r="13245" spans="1:1" ht="21">
      <c r="A13245" s="345"/>
    </row>
    <row r="13246" spans="1:1" ht="21">
      <c r="A13246" s="345"/>
    </row>
    <row r="13247" spans="1:1" ht="21">
      <c r="A13247" s="345"/>
    </row>
    <row r="13248" spans="1:1" ht="21">
      <c r="A13248" s="345"/>
    </row>
    <row r="13249" spans="1:1" ht="21">
      <c r="A13249" s="345"/>
    </row>
    <row r="13250" spans="1:1" ht="21">
      <c r="A13250" s="345"/>
    </row>
    <row r="13251" spans="1:1" ht="21">
      <c r="A13251" s="345"/>
    </row>
    <row r="13252" spans="1:1" ht="21">
      <c r="A13252" s="345"/>
    </row>
    <row r="13253" spans="1:1" ht="21">
      <c r="A13253" s="345"/>
    </row>
    <row r="13254" spans="1:1" ht="21">
      <c r="A13254" s="345"/>
    </row>
    <row r="13255" spans="1:1" ht="21">
      <c r="A13255" s="345"/>
    </row>
    <row r="13256" spans="1:1" ht="21">
      <c r="A13256" s="345"/>
    </row>
    <row r="13257" spans="1:1" ht="21">
      <c r="A13257" s="345"/>
    </row>
    <row r="13258" spans="1:1" ht="21">
      <c r="A13258" s="345"/>
    </row>
    <row r="13259" spans="1:1" ht="21">
      <c r="A13259" s="345"/>
    </row>
    <row r="13260" spans="1:1" ht="21">
      <c r="A13260" s="345"/>
    </row>
    <row r="13261" spans="1:1" ht="21">
      <c r="A13261" s="345"/>
    </row>
    <row r="13262" spans="1:1" ht="21">
      <c r="A13262" s="345"/>
    </row>
    <row r="13263" spans="1:1" ht="21">
      <c r="A13263" s="345"/>
    </row>
    <row r="13264" spans="1:1" ht="21">
      <c r="A13264" s="345"/>
    </row>
    <row r="13265" spans="1:1" ht="21">
      <c r="A13265" s="345"/>
    </row>
    <row r="13266" spans="1:1" ht="21">
      <c r="A13266" s="345"/>
    </row>
    <row r="13267" spans="1:1" ht="21">
      <c r="A13267" s="345"/>
    </row>
    <row r="13268" spans="1:1" ht="21">
      <c r="A13268" s="345"/>
    </row>
    <row r="13269" spans="1:1" ht="21">
      <c r="A13269" s="345"/>
    </row>
    <row r="13270" spans="1:1" ht="21">
      <c r="A13270" s="345"/>
    </row>
    <row r="13271" spans="1:1" ht="21">
      <c r="A13271" s="345"/>
    </row>
    <row r="13272" spans="1:1" ht="21">
      <c r="A13272" s="345"/>
    </row>
    <row r="13273" spans="1:1" ht="21">
      <c r="A13273" s="345"/>
    </row>
    <row r="13274" spans="1:1" ht="21">
      <c r="A13274" s="345"/>
    </row>
    <row r="13275" spans="1:1" ht="21">
      <c r="A13275" s="345"/>
    </row>
    <row r="13276" spans="1:1" ht="21">
      <c r="A13276" s="345"/>
    </row>
    <row r="13277" spans="1:1" ht="21">
      <c r="A13277" s="345"/>
    </row>
    <row r="13278" spans="1:1" ht="21">
      <c r="A13278" s="345"/>
    </row>
    <row r="13279" spans="1:1" ht="21">
      <c r="A13279" s="345"/>
    </row>
    <row r="13280" spans="1:1" ht="21">
      <c r="A13280" s="345"/>
    </row>
    <row r="13281" spans="1:1" ht="21">
      <c r="A13281" s="345"/>
    </row>
    <row r="13282" spans="1:1" ht="21">
      <c r="A13282" s="345"/>
    </row>
    <row r="13283" spans="1:1" ht="21">
      <c r="A13283" s="345"/>
    </row>
    <row r="13284" spans="1:1" ht="21">
      <c r="A13284" s="345"/>
    </row>
    <row r="13285" spans="1:1" ht="21">
      <c r="A13285" s="345"/>
    </row>
    <row r="13286" spans="1:1" ht="21">
      <c r="A13286" s="345"/>
    </row>
    <row r="13287" spans="1:1" ht="21">
      <c r="A13287" s="345"/>
    </row>
    <row r="13288" spans="1:1" ht="21">
      <c r="A13288" s="345"/>
    </row>
    <row r="13289" spans="1:1" ht="21">
      <c r="A13289" s="345"/>
    </row>
    <row r="13290" spans="1:1" ht="21">
      <c r="A13290" s="345"/>
    </row>
    <row r="13291" spans="1:1" ht="21">
      <c r="A13291" s="345"/>
    </row>
    <row r="13292" spans="1:1" ht="21">
      <c r="A13292" s="345"/>
    </row>
    <row r="13293" spans="1:1" ht="21">
      <c r="A13293" s="345"/>
    </row>
    <row r="13294" spans="1:1" ht="21">
      <c r="A13294" s="345"/>
    </row>
    <row r="13295" spans="1:1" ht="21">
      <c r="A13295" s="345"/>
    </row>
    <row r="13296" spans="1:1" ht="21">
      <c r="A13296" s="345"/>
    </row>
    <row r="13297" spans="1:1" ht="21">
      <c r="A13297" s="345"/>
    </row>
    <row r="13298" spans="1:1" ht="21">
      <c r="A13298" s="345"/>
    </row>
    <row r="13299" spans="1:1" ht="21">
      <c r="A13299" s="345"/>
    </row>
    <row r="13300" spans="1:1" ht="21">
      <c r="A13300" s="345"/>
    </row>
    <row r="13301" spans="1:1" ht="21">
      <c r="A13301" s="345"/>
    </row>
    <row r="13302" spans="1:1" ht="21">
      <c r="A13302" s="345"/>
    </row>
    <row r="13303" spans="1:1" ht="21">
      <c r="A13303" s="345"/>
    </row>
    <row r="13304" spans="1:1" ht="21">
      <c r="A13304" s="345"/>
    </row>
    <row r="13305" spans="1:1" ht="21">
      <c r="A13305" s="345"/>
    </row>
    <row r="13306" spans="1:1" ht="21">
      <c r="A13306" s="345"/>
    </row>
    <row r="13307" spans="1:1" ht="21">
      <c r="A13307" s="345"/>
    </row>
    <row r="13308" spans="1:1" ht="21">
      <c r="A13308" s="345"/>
    </row>
    <row r="13309" spans="1:1" ht="21">
      <c r="A13309" s="345"/>
    </row>
    <row r="13310" spans="1:1" ht="21">
      <c r="A13310" s="345"/>
    </row>
    <row r="13311" spans="1:1" ht="21">
      <c r="A13311" s="345"/>
    </row>
    <row r="13312" spans="1:1" ht="21">
      <c r="A13312" s="345"/>
    </row>
    <row r="13313" spans="1:1" ht="21">
      <c r="A13313" s="345"/>
    </row>
    <row r="13314" spans="1:1" ht="21">
      <c r="A13314" s="345"/>
    </row>
    <row r="13315" spans="1:1" ht="21">
      <c r="A13315" s="345"/>
    </row>
    <row r="13316" spans="1:1" ht="21">
      <c r="A13316" s="345"/>
    </row>
    <row r="13317" spans="1:1" ht="21">
      <c r="A13317" s="345"/>
    </row>
    <row r="13318" spans="1:1" ht="21">
      <c r="A13318" s="345"/>
    </row>
    <row r="13319" spans="1:1" ht="21">
      <c r="A13319" s="345"/>
    </row>
    <row r="13320" spans="1:1" ht="21">
      <c r="A13320" s="345"/>
    </row>
    <row r="13321" spans="1:1" ht="21">
      <c r="A13321" s="345"/>
    </row>
    <row r="13322" spans="1:1" ht="21">
      <c r="A13322" s="345"/>
    </row>
    <row r="13323" spans="1:1" ht="21">
      <c r="A13323" s="345"/>
    </row>
    <row r="13324" spans="1:1" ht="21">
      <c r="A13324" s="345"/>
    </row>
    <row r="13325" spans="1:1" ht="21">
      <c r="A13325" s="345"/>
    </row>
    <row r="13326" spans="1:1" ht="21">
      <c r="A13326" s="345"/>
    </row>
    <row r="13327" spans="1:1" ht="21">
      <c r="A13327" s="345"/>
    </row>
    <row r="13328" spans="1:1" ht="21">
      <c r="A13328" s="345"/>
    </row>
    <row r="13329" spans="1:1" ht="21">
      <c r="A13329" s="345"/>
    </row>
    <row r="13330" spans="1:1" ht="21">
      <c r="A13330" s="345"/>
    </row>
    <row r="13331" spans="1:1" ht="21">
      <c r="A13331" s="345"/>
    </row>
    <row r="13332" spans="1:1" ht="21">
      <c r="A13332" s="345"/>
    </row>
    <row r="13333" spans="1:1" ht="21">
      <c r="A13333" s="345"/>
    </row>
    <row r="13334" spans="1:1" ht="21">
      <c r="A13334" s="345"/>
    </row>
    <row r="13335" spans="1:1" ht="21">
      <c r="A13335" s="345"/>
    </row>
    <row r="13336" spans="1:1" ht="21">
      <c r="A13336" s="345"/>
    </row>
    <row r="13337" spans="1:1" ht="21">
      <c r="A13337" s="345"/>
    </row>
    <row r="13338" spans="1:1" ht="21">
      <c r="A13338" s="345"/>
    </row>
    <row r="13339" spans="1:1" ht="21">
      <c r="A13339" s="345"/>
    </row>
    <row r="13340" spans="1:1" ht="21">
      <c r="A13340" s="345"/>
    </row>
    <row r="13341" spans="1:1" ht="21">
      <c r="A13341" s="345"/>
    </row>
    <row r="13342" spans="1:1" ht="21">
      <c r="A13342" s="345"/>
    </row>
    <row r="13343" spans="1:1" ht="21">
      <c r="A13343" s="345"/>
    </row>
    <row r="13344" spans="1:1" ht="21">
      <c r="A13344" s="345"/>
    </row>
    <row r="13345" spans="1:1" ht="21">
      <c r="A13345" s="345"/>
    </row>
    <row r="13346" spans="1:1" ht="21">
      <c r="A13346" s="345"/>
    </row>
    <row r="13347" spans="1:1" ht="21">
      <c r="A13347" s="345"/>
    </row>
    <row r="13348" spans="1:1" ht="21">
      <c r="A13348" s="345"/>
    </row>
    <row r="13349" spans="1:1" ht="21">
      <c r="A13349" s="345"/>
    </row>
    <row r="13350" spans="1:1" ht="21">
      <c r="A13350" s="345"/>
    </row>
    <row r="13351" spans="1:1" ht="21">
      <c r="A13351" s="345"/>
    </row>
    <row r="13352" spans="1:1" ht="21">
      <c r="A13352" s="345"/>
    </row>
    <row r="13353" spans="1:1" ht="21">
      <c r="A13353" s="345"/>
    </row>
    <row r="13354" spans="1:1" ht="21">
      <c r="A13354" s="345"/>
    </row>
    <row r="13355" spans="1:1" ht="21">
      <c r="A13355" s="345"/>
    </row>
    <row r="13356" spans="1:1" ht="21">
      <c r="A13356" s="345"/>
    </row>
    <row r="13357" spans="1:1" ht="21">
      <c r="A13357" s="345"/>
    </row>
    <row r="13358" spans="1:1" ht="21">
      <c r="A13358" s="345"/>
    </row>
    <row r="13359" spans="1:1" ht="21">
      <c r="A13359" s="345"/>
    </row>
    <row r="13360" spans="1:1" ht="21">
      <c r="A13360" s="345"/>
    </row>
    <row r="13361" spans="1:1" ht="21">
      <c r="A13361" s="345"/>
    </row>
    <row r="13362" spans="1:1" ht="21">
      <c r="A13362" s="345"/>
    </row>
    <row r="13363" spans="1:1" ht="21">
      <c r="A13363" s="345"/>
    </row>
    <row r="13364" spans="1:1" ht="21">
      <c r="A13364" s="345"/>
    </row>
    <row r="13365" spans="1:1" ht="21">
      <c r="A13365" s="345"/>
    </row>
    <row r="13366" spans="1:1" ht="21">
      <c r="A13366" s="345"/>
    </row>
    <row r="13367" spans="1:1" ht="21">
      <c r="A13367" s="345"/>
    </row>
    <row r="13368" spans="1:1" ht="21">
      <c r="A13368" s="345"/>
    </row>
    <row r="13369" spans="1:1" ht="21">
      <c r="A13369" s="345"/>
    </row>
    <row r="13370" spans="1:1" ht="21">
      <c r="A13370" s="345"/>
    </row>
    <row r="13371" spans="1:1" ht="21">
      <c r="A13371" s="345"/>
    </row>
    <row r="13372" spans="1:1" ht="21">
      <c r="A13372" s="345"/>
    </row>
    <row r="13373" spans="1:1" ht="21">
      <c r="A13373" s="345"/>
    </row>
    <row r="13374" spans="1:1" ht="21">
      <c r="A13374" s="345"/>
    </row>
    <row r="13375" spans="1:1" ht="21">
      <c r="A13375" s="345"/>
    </row>
    <row r="13376" spans="1:1" ht="21">
      <c r="A13376" s="345"/>
    </row>
    <row r="13377" spans="1:1" ht="21">
      <c r="A13377" s="345"/>
    </row>
    <row r="13378" spans="1:1" ht="21">
      <c r="A13378" s="345"/>
    </row>
    <row r="13379" spans="1:1" ht="21">
      <c r="A13379" s="345"/>
    </row>
    <row r="13380" spans="1:1" ht="21">
      <c r="A13380" s="345"/>
    </row>
    <row r="13381" spans="1:1" ht="21">
      <c r="A13381" s="345"/>
    </row>
    <row r="13382" spans="1:1" ht="21">
      <c r="A13382" s="345"/>
    </row>
    <row r="13383" spans="1:1" ht="21">
      <c r="A13383" s="345"/>
    </row>
    <row r="13384" spans="1:1" ht="21">
      <c r="A13384" s="345"/>
    </row>
    <row r="13385" spans="1:1" ht="21">
      <c r="A13385" s="345"/>
    </row>
    <row r="13386" spans="1:1" ht="21">
      <c r="A13386" s="345"/>
    </row>
    <row r="13387" spans="1:1" ht="21">
      <c r="A13387" s="345"/>
    </row>
    <row r="13388" spans="1:1" ht="21">
      <c r="A13388" s="345"/>
    </row>
    <row r="13389" spans="1:1" ht="21">
      <c r="A13389" s="345"/>
    </row>
    <row r="13390" spans="1:1" ht="21">
      <c r="A13390" s="345"/>
    </row>
    <row r="13391" spans="1:1" ht="21">
      <c r="A13391" s="345"/>
    </row>
    <row r="13392" spans="1:1" ht="21">
      <c r="A13392" s="345"/>
    </row>
    <row r="13393" spans="1:1" ht="21">
      <c r="A13393" s="345"/>
    </row>
    <row r="13394" spans="1:1" ht="21">
      <c r="A13394" s="345"/>
    </row>
    <row r="13395" spans="1:1" ht="21">
      <c r="A13395" s="345"/>
    </row>
    <row r="13396" spans="1:1" ht="21">
      <c r="A13396" s="345"/>
    </row>
    <row r="13397" spans="1:1" ht="21">
      <c r="A13397" s="345"/>
    </row>
    <row r="13398" spans="1:1" ht="21">
      <c r="A13398" s="345"/>
    </row>
    <row r="13399" spans="1:1" ht="21">
      <c r="A13399" s="345"/>
    </row>
    <row r="13400" spans="1:1" ht="21">
      <c r="A13400" s="345"/>
    </row>
    <row r="13401" spans="1:1" ht="21">
      <c r="A13401" s="345"/>
    </row>
    <row r="13402" spans="1:1" ht="21">
      <c r="A13402" s="345"/>
    </row>
    <row r="13403" spans="1:1" ht="21">
      <c r="A13403" s="345"/>
    </row>
    <row r="13404" spans="1:1" ht="21">
      <c r="A13404" s="345"/>
    </row>
    <row r="13405" spans="1:1" ht="21">
      <c r="A13405" s="345"/>
    </row>
    <row r="13406" spans="1:1" ht="21">
      <c r="A13406" s="345"/>
    </row>
    <row r="13407" spans="1:1" ht="21">
      <c r="A13407" s="345"/>
    </row>
    <row r="13408" spans="1:1" ht="21">
      <c r="A13408" s="345"/>
    </row>
    <row r="13409" spans="1:1" ht="21">
      <c r="A13409" s="345"/>
    </row>
    <row r="13410" spans="1:1" ht="21">
      <c r="A13410" s="345"/>
    </row>
    <row r="13411" spans="1:1" ht="21">
      <c r="A13411" s="345"/>
    </row>
    <row r="13412" spans="1:1" ht="21">
      <c r="A13412" s="345"/>
    </row>
    <row r="13413" spans="1:1" ht="21">
      <c r="A13413" s="345"/>
    </row>
    <row r="13414" spans="1:1" ht="21">
      <c r="A13414" s="345"/>
    </row>
    <row r="13415" spans="1:1" ht="21">
      <c r="A13415" s="345"/>
    </row>
    <row r="13416" spans="1:1" ht="21">
      <c r="A13416" s="345"/>
    </row>
    <row r="13417" spans="1:1" ht="21">
      <c r="A13417" s="345"/>
    </row>
    <row r="13418" spans="1:1" ht="21">
      <c r="A13418" s="345"/>
    </row>
    <row r="13419" spans="1:1" ht="21">
      <c r="A13419" s="345"/>
    </row>
    <row r="13420" spans="1:1" ht="21">
      <c r="A13420" s="345"/>
    </row>
    <row r="13421" spans="1:1" ht="21">
      <c r="A13421" s="345"/>
    </row>
    <row r="13422" spans="1:1" ht="21">
      <c r="A13422" s="345"/>
    </row>
    <row r="13423" spans="1:1" ht="21">
      <c r="A13423" s="345"/>
    </row>
    <row r="13424" spans="1:1" ht="21">
      <c r="A13424" s="345"/>
    </row>
    <row r="13425" spans="1:1" ht="21">
      <c r="A13425" s="345"/>
    </row>
    <row r="13426" spans="1:1" ht="21">
      <c r="A13426" s="345"/>
    </row>
    <row r="13427" spans="1:1" ht="21">
      <c r="A13427" s="345"/>
    </row>
    <row r="13428" spans="1:1" ht="21">
      <c r="A13428" s="345"/>
    </row>
    <row r="13429" spans="1:1" ht="21">
      <c r="A13429" s="345"/>
    </row>
    <row r="13430" spans="1:1" ht="21">
      <c r="A13430" s="345"/>
    </row>
    <row r="13431" spans="1:1" ht="21">
      <c r="A13431" s="345"/>
    </row>
    <row r="13432" spans="1:1" ht="21">
      <c r="A13432" s="345"/>
    </row>
    <row r="13433" spans="1:1" ht="21">
      <c r="A13433" s="345"/>
    </row>
    <row r="13434" spans="1:1" ht="21">
      <c r="A13434" s="345"/>
    </row>
    <row r="13435" spans="1:1" ht="21">
      <c r="A13435" s="345"/>
    </row>
    <row r="13436" spans="1:1" ht="21">
      <c r="A13436" s="345"/>
    </row>
    <row r="13437" spans="1:1" ht="21">
      <c r="A13437" s="345"/>
    </row>
    <row r="13438" spans="1:1" ht="21">
      <c r="A13438" s="345"/>
    </row>
    <row r="13439" spans="1:1" ht="21">
      <c r="A13439" s="345"/>
    </row>
    <row r="13440" spans="1:1" ht="21">
      <c r="A13440" s="345"/>
    </row>
    <row r="13441" spans="1:1" ht="21">
      <c r="A13441" s="345"/>
    </row>
    <row r="13442" spans="1:1" ht="21">
      <c r="A13442" s="345"/>
    </row>
    <row r="13443" spans="1:1" ht="21">
      <c r="A13443" s="345"/>
    </row>
    <row r="13444" spans="1:1" ht="21">
      <c r="A13444" s="345"/>
    </row>
    <row r="13445" spans="1:1" ht="21">
      <c r="A13445" s="345"/>
    </row>
    <row r="13446" spans="1:1" ht="21">
      <c r="A13446" s="345"/>
    </row>
    <row r="13447" spans="1:1" ht="21">
      <c r="A13447" s="345"/>
    </row>
    <row r="13448" spans="1:1" ht="21">
      <c r="A13448" s="345"/>
    </row>
    <row r="13449" spans="1:1" ht="21">
      <c r="A13449" s="345"/>
    </row>
    <row r="13450" spans="1:1" ht="21">
      <c r="A13450" s="345"/>
    </row>
    <row r="13451" spans="1:1" ht="21">
      <c r="A13451" s="345"/>
    </row>
    <row r="13452" spans="1:1" ht="21">
      <c r="A13452" s="345"/>
    </row>
    <row r="13453" spans="1:1" ht="21">
      <c r="A13453" s="345"/>
    </row>
    <row r="13454" spans="1:1" ht="21">
      <c r="A13454" s="345"/>
    </row>
    <row r="13455" spans="1:1" ht="21">
      <c r="A13455" s="345"/>
    </row>
    <row r="13456" spans="1:1" ht="21">
      <c r="A13456" s="345"/>
    </row>
    <row r="13457" spans="1:1" ht="21">
      <c r="A13457" s="345"/>
    </row>
    <row r="13458" spans="1:1" ht="21">
      <c r="A13458" s="345"/>
    </row>
    <row r="13459" spans="1:1" ht="21">
      <c r="A13459" s="345"/>
    </row>
    <row r="13460" spans="1:1" ht="21">
      <c r="A13460" s="345"/>
    </row>
    <row r="13461" spans="1:1" ht="21">
      <c r="A13461" s="345"/>
    </row>
    <row r="13462" spans="1:1" ht="21">
      <c r="A13462" s="345"/>
    </row>
    <row r="13463" spans="1:1" ht="21">
      <c r="A13463" s="345"/>
    </row>
    <row r="13464" spans="1:1" ht="21">
      <c r="A13464" s="345"/>
    </row>
    <row r="13465" spans="1:1" ht="21">
      <c r="A13465" s="345"/>
    </row>
    <row r="13466" spans="1:1" ht="21">
      <c r="A13466" s="345"/>
    </row>
    <row r="13467" spans="1:1" ht="21">
      <c r="A13467" s="345"/>
    </row>
    <row r="13468" spans="1:1" ht="21">
      <c r="A13468" s="345"/>
    </row>
    <row r="13469" spans="1:1" ht="21">
      <c r="A13469" s="345"/>
    </row>
    <row r="13470" spans="1:1" ht="21">
      <c r="A13470" s="345"/>
    </row>
    <row r="13471" spans="1:1" ht="21">
      <c r="A13471" s="345"/>
    </row>
    <row r="13472" spans="1:1" ht="21">
      <c r="A13472" s="345"/>
    </row>
    <row r="13473" spans="1:1" ht="21">
      <c r="A13473" s="345"/>
    </row>
    <row r="13474" spans="1:1" ht="21">
      <c r="A13474" s="345"/>
    </row>
    <row r="13475" spans="1:1" ht="21">
      <c r="A13475" s="345"/>
    </row>
    <row r="13476" spans="1:1" ht="21">
      <c r="A13476" s="345"/>
    </row>
    <row r="13477" spans="1:1" ht="21">
      <c r="A13477" s="345"/>
    </row>
    <row r="13478" spans="1:1" ht="21">
      <c r="A13478" s="345"/>
    </row>
    <row r="13479" spans="1:1" ht="21">
      <c r="A13479" s="345"/>
    </row>
    <row r="13480" spans="1:1" ht="21">
      <c r="A13480" s="345"/>
    </row>
    <row r="13481" spans="1:1" ht="21">
      <c r="A13481" s="345"/>
    </row>
    <row r="13482" spans="1:1" ht="21">
      <c r="A13482" s="345"/>
    </row>
    <row r="13483" spans="1:1" ht="21">
      <c r="A13483" s="345"/>
    </row>
    <row r="13484" spans="1:1" ht="21">
      <c r="A13484" s="345"/>
    </row>
    <row r="13485" spans="1:1" ht="21">
      <c r="A13485" s="345"/>
    </row>
    <row r="13486" spans="1:1" ht="21">
      <c r="A13486" s="345"/>
    </row>
    <row r="13487" spans="1:1" ht="21">
      <c r="A13487" s="345"/>
    </row>
    <row r="13488" spans="1:1" ht="21">
      <c r="A13488" s="345"/>
    </row>
    <row r="13489" spans="1:1" ht="21">
      <c r="A13489" s="345"/>
    </row>
    <row r="13490" spans="1:1" ht="21">
      <c r="A13490" s="345"/>
    </row>
    <row r="13491" spans="1:1" ht="21">
      <c r="A13491" s="345"/>
    </row>
    <row r="13492" spans="1:1" ht="21">
      <c r="A13492" s="345"/>
    </row>
    <row r="13493" spans="1:1" ht="21">
      <c r="A13493" s="345"/>
    </row>
    <row r="13494" spans="1:1" ht="21">
      <c r="A13494" s="345"/>
    </row>
    <row r="13495" spans="1:1" ht="21">
      <c r="A13495" s="345"/>
    </row>
    <row r="13496" spans="1:1" ht="21">
      <c r="A13496" s="345"/>
    </row>
    <row r="13497" spans="1:1" ht="21">
      <c r="A13497" s="345"/>
    </row>
    <row r="13498" spans="1:1" ht="21">
      <c r="A13498" s="345"/>
    </row>
    <row r="13499" spans="1:1" ht="21">
      <c r="A13499" s="345"/>
    </row>
    <row r="13500" spans="1:1" ht="21">
      <c r="A13500" s="345"/>
    </row>
    <row r="13501" spans="1:1" ht="21">
      <c r="A13501" s="345"/>
    </row>
    <row r="13502" spans="1:1" ht="21">
      <c r="A13502" s="345"/>
    </row>
    <row r="13503" spans="1:1" ht="21">
      <c r="A13503" s="345"/>
    </row>
    <row r="13504" spans="1:1" ht="21">
      <c r="A13504" s="345"/>
    </row>
    <row r="13505" spans="1:1" ht="21">
      <c r="A13505" s="345"/>
    </row>
    <row r="13506" spans="1:1" ht="21">
      <c r="A13506" s="345"/>
    </row>
    <row r="13507" spans="1:1" ht="21">
      <c r="A13507" s="345"/>
    </row>
    <row r="13508" spans="1:1" ht="21">
      <c r="A13508" s="345"/>
    </row>
    <row r="13509" spans="1:1" ht="21">
      <c r="A13509" s="345"/>
    </row>
    <row r="13510" spans="1:1" ht="21">
      <c r="A13510" s="345"/>
    </row>
    <row r="13511" spans="1:1" ht="21">
      <c r="A13511" s="345"/>
    </row>
    <row r="13512" spans="1:1" ht="21">
      <c r="A13512" s="345"/>
    </row>
    <row r="13513" spans="1:1" ht="21">
      <c r="A13513" s="345"/>
    </row>
    <row r="13514" spans="1:1" ht="21">
      <c r="A13514" s="345"/>
    </row>
    <row r="13515" spans="1:1" ht="21">
      <c r="A13515" s="345"/>
    </row>
    <row r="13516" spans="1:1" ht="21">
      <c r="A13516" s="345"/>
    </row>
    <row r="13517" spans="1:1" ht="21">
      <c r="A13517" s="345"/>
    </row>
    <row r="13518" spans="1:1" ht="21">
      <c r="A13518" s="345"/>
    </row>
    <row r="13519" spans="1:1" ht="21">
      <c r="A13519" s="345"/>
    </row>
    <row r="13520" spans="1:1" ht="21">
      <c r="A13520" s="345"/>
    </row>
    <row r="13521" spans="1:1" ht="21">
      <c r="A13521" s="345"/>
    </row>
    <row r="13522" spans="1:1" ht="21">
      <c r="A13522" s="345"/>
    </row>
    <row r="13523" spans="1:1" ht="21">
      <c r="A13523" s="345"/>
    </row>
    <row r="13524" spans="1:1" ht="21">
      <c r="A13524" s="345"/>
    </row>
    <row r="13525" spans="1:1" ht="21">
      <c r="A13525" s="345"/>
    </row>
    <row r="13526" spans="1:1" ht="21">
      <c r="A13526" s="345"/>
    </row>
    <row r="13527" spans="1:1" ht="21">
      <c r="A13527" s="345"/>
    </row>
    <row r="13528" spans="1:1" ht="21">
      <c r="A13528" s="345"/>
    </row>
    <row r="13529" spans="1:1" ht="21">
      <c r="A13529" s="345"/>
    </row>
    <row r="13530" spans="1:1" ht="21">
      <c r="A13530" s="345"/>
    </row>
    <row r="13531" spans="1:1" ht="21">
      <c r="A13531" s="345"/>
    </row>
    <row r="13532" spans="1:1" ht="21">
      <c r="A13532" s="345"/>
    </row>
    <row r="13533" spans="1:1" ht="21">
      <c r="A13533" s="345"/>
    </row>
    <row r="13534" spans="1:1" ht="21">
      <c r="A13534" s="345"/>
    </row>
    <row r="13535" spans="1:1" ht="21">
      <c r="A13535" s="345"/>
    </row>
    <row r="13536" spans="1:1" ht="21">
      <c r="A13536" s="345"/>
    </row>
    <row r="13537" spans="1:1" ht="21">
      <c r="A13537" s="345"/>
    </row>
    <row r="13538" spans="1:1" ht="21">
      <c r="A13538" s="345"/>
    </row>
    <row r="13539" spans="1:1" ht="21">
      <c r="A13539" s="345"/>
    </row>
    <row r="13540" spans="1:1" ht="21">
      <c r="A13540" s="345"/>
    </row>
    <row r="13541" spans="1:1" ht="21">
      <c r="A13541" s="345"/>
    </row>
    <row r="13542" spans="1:1" ht="21">
      <c r="A13542" s="345"/>
    </row>
    <row r="13543" spans="1:1" ht="21">
      <c r="A13543" s="345"/>
    </row>
    <row r="13544" spans="1:1" ht="21">
      <c r="A13544" s="345"/>
    </row>
    <row r="13545" spans="1:1" ht="21">
      <c r="A13545" s="345"/>
    </row>
    <row r="13546" spans="1:1" ht="21">
      <c r="A13546" s="345"/>
    </row>
    <row r="13547" spans="1:1" ht="21">
      <c r="A13547" s="345"/>
    </row>
    <row r="13548" spans="1:1" ht="21">
      <c r="A13548" s="345"/>
    </row>
    <row r="13549" spans="1:1" ht="21">
      <c r="A13549" s="345"/>
    </row>
    <row r="13550" spans="1:1" ht="21">
      <c r="A13550" s="345"/>
    </row>
    <row r="13551" spans="1:1" ht="21">
      <c r="A13551" s="345"/>
    </row>
    <row r="13552" spans="1:1" ht="21">
      <c r="A13552" s="345"/>
    </row>
    <row r="13553" spans="1:1" ht="21">
      <c r="A13553" s="345"/>
    </row>
    <row r="13554" spans="1:1" ht="21">
      <c r="A13554" s="345"/>
    </row>
    <row r="13555" spans="1:1" ht="21">
      <c r="A13555" s="345"/>
    </row>
    <row r="13556" spans="1:1" ht="21">
      <c r="A13556" s="345"/>
    </row>
    <row r="13557" spans="1:1" ht="21">
      <c r="A13557" s="345"/>
    </row>
    <row r="13558" spans="1:1" ht="21">
      <c r="A13558" s="345"/>
    </row>
    <row r="13559" spans="1:1" ht="21">
      <c r="A13559" s="345"/>
    </row>
    <row r="13560" spans="1:1" ht="21">
      <c r="A13560" s="345"/>
    </row>
    <row r="13561" spans="1:1" ht="21">
      <c r="A13561" s="345"/>
    </row>
    <row r="13562" spans="1:1" ht="21">
      <c r="A13562" s="345"/>
    </row>
    <row r="13563" spans="1:1" ht="21">
      <c r="A13563" s="345"/>
    </row>
    <row r="13564" spans="1:1" ht="21">
      <c r="A13564" s="345"/>
    </row>
    <row r="13565" spans="1:1" ht="21">
      <c r="A13565" s="345"/>
    </row>
    <row r="13566" spans="1:1" ht="21">
      <c r="A13566" s="345"/>
    </row>
    <row r="13567" spans="1:1" ht="21">
      <c r="A13567" s="345"/>
    </row>
    <row r="13568" spans="1:1" ht="21">
      <c r="A13568" s="345"/>
    </row>
    <row r="13569" spans="1:1" ht="21">
      <c r="A13569" s="345"/>
    </row>
    <row r="13570" spans="1:1" ht="21">
      <c r="A13570" s="345"/>
    </row>
    <row r="13571" spans="1:1" ht="21">
      <c r="A13571" s="345"/>
    </row>
    <row r="13572" spans="1:1" ht="21">
      <c r="A13572" s="345"/>
    </row>
    <row r="13573" spans="1:1" ht="21">
      <c r="A13573" s="345"/>
    </row>
    <row r="13574" spans="1:1" ht="21">
      <c r="A13574" s="345"/>
    </row>
    <row r="13575" spans="1:1" ht="21">
      <c r="A13575" s="345"/>
    </row>
    <row r="13576" spans="1:1" ht="21">
      <c r="A13576" s="345"/>
    </row>
    <row r="13577" spans="1:1" ht="21">
      <c r="A13577" s="345"/>
    </row>
    <row r="13578" spans="1:1" ht="21">
      <c r="A13578" s="345"/>
    </row>
    <row r="13579" spans="1:1" ht="21">
      <c r="A13579" s="345"/>
    </row>
    <row r="13580" spans="1:1" ht="21">
      <c r="A13580" s="345"/>
    </row>
    <row r="13581" spans="1:1" ht="21">
      <c r="A13581" s="345"/>
    </row>
    <row r="13582" spans="1:1" ht="21">
      <c r="A13582" s="345"/>
    </row>
    <row r="13583" spans="1:1" ht="21">
      <c r="A13583" s="345"/>
    </row>
    <row r="13584" spans="1:1" ht="21">
      <c r="A13584" s="345"/>
    </row>
    <row r="13585" spans="1:1" ht="21">
      <c r="A13585" s="345"/>
    </row>
    <row r="13586" spans="1:1" ht="21">
      <c r="A13586" s="345"/>
    </row>
    <row r="13587" spans="1:1" ht="21">
      <c r="A13587" s="345"/>
    </row>
    <row r="13588" spans="1:1" ht="21">
      <c r="A13588" s="345"/>
    </row>
    <row r="13589" spans="1:1" ht="21">
      <c r="A13589" s="345"/>
    </row>
    <row r="13590" spans="1:1" ht="21">
      <c r="A13590" s="345"/>
    </row>
    <row r="13591" spans="1:1" ht="21">
      <c r="A13591" s="345"/>
    </row>
    <row r="13592" spans="1:1" ht="21">
      <c r="A13592" s="345"/>
    </row>
    <row r="13593" spans="1:1" ht="21">
      <c r="A13593" s="345"/>
    </row>
    <row r="13594" spans="1:1" ht="21">
      <c r="A13594" s="345"/>
    </row>
    <row r="13595" spans="1:1" ht="21">
      <c r="A13595" s="345"/>
    </row>
    <row r="13596" spans="1:1" ht="21">
      <c r="A13596" s="345"/>
    </row>
    <row r="13597" spans="1:1" ht="21">
      <c r="A13597" s="345"/>
    </row>
    <row r="13598" spans="1:1" ht="21">
      <c r="A13598" s="345"/>
    </row>
    <row r="13599" spans="1:1" ht="21">
      <c r="A13599" s="345"/>
    </row>
    <row r="13600" spans="1:1" ht="21">
      <c r="A13600" s="345"/>
    </row>
    <row r="13601" spans="1:1" ht="21">
      <c r="A13601" s="345"/>
    </row>
    <row r="13602" spans="1:1" ht="21">
      <c r="A13602" s="345"/>
    </row>
    <row r="13603" spans="1:1" ht="21">
      <c r="A13603" s="345"/>
    </row>
    <row r="13604" spans="1:1" ht="21">
      <c r="A13604" s="345"/>
    </row>
    <row r="13605" spans="1:1" ht="21">
      <c r="A13605" s="345"/>
    </row>
    <row r="13606" spans="1:1" ht="21">
      <c r="A13606" s="345"/>
    </row>
    <row r="13607" spans="1:1" ht="21">
      <c r="A13607" s="345"/>
    </row>
    <row r="13608" spans="1:1" ht="21">
      <c r="A13608" s="345"/>
    </row>
    <row r="13609" spans="1:1" ht="21">
      <c r="A13609" s="345"/>
    </row>
    <row r="13610" spans="1:1" ht="21">
      <c r="A13610" s="345"/>
    </row>
    <row r="13611" spans="1:1" ht="21">
      <c r="A13611" s="345"/>
    </row>
    <row r="13612" spans="1:1" ht="21">
      <c r="A13612" s="345"/>
    </row>
    <row r="13613" spans="1:1" ht="21">
      <c r="A13613" s="345"/>
    </row>
    <row r="13614" spans="1:1" ht="21">
      <c r="A13614" s="345"/>
    </row>
    <row r="13615" spans="1:1" ht="21">
      <c r="A13615" s="345"/>
    </row>
    <row r="13616" spans="1:1" ht="21">
      <c r="A13616" s="345"/>
    </row>
    <row r="13617" spans="1:1" ht="21">
      <c r="A13617" s="345"/>
    </row>
    <row r="13618" spans="1:1" ht="21">
      <c r="A13618" s="345"/>
    </row>
    <row r="13619" spans="1:1" ht="21">
      <c r="A13619" s="345"/>
    </row>
    <row r="13620" spans="1:1" ht="21">
      <c r="A13620" s="345"/>
    </row>
    <row r="13621" spans="1:1" ht="21">
      <c r="A13621" s="345"/>
    </row>
    <row r="13622" spans="1:1" ht="21">
      <c r="A13622" s="345"/>
    </row>
    <row r="13623" spans="1:1" ht="21">
      <c r="A13623" s="345"/>
    </row>
    <row r="13624" spans="1:1" ht="21">
      <c r="A13624" s="345"/>
    </row>
    <row r="13625" spans="1:1" ht="21">
      <c r="A13625" s="345"/>
    </row>
    <row r="13626" spans="1:1" ht="21">
      <c r="A13626" s="345"/>
    </row>
    <row r="13627" spans="1:1" ht="21">
      <c r="A13627" s="345"/>
    </row>
    <row r="13628" spans="1:1" ht="21">
      <c r="A13628" s="345"/>
    </row>
    <row r="13629" spans="1:1" ht="21">
      <c r="A13629" s="345"/>
    </row>
    <row r="13630" spans="1:1" ht="21">
      <c r="A13630" s="345"/>
    </row>
    <row r="13631" spans="1:1" ht="21">
      <c r="A13631" s="345"/>
    </row>
    <row r="13632" spans="1:1" ht="21">
      <c r="A13632" s="345"/>
    </row>
    <row r="13633" spans="1:1" ht="21">
      <c r="A13633" s="345"/>
    </row>
    <row r="13634" spans="1:1" ht="21">
      <c r="A13634" s="345"/>
    </row>
    <row r="13635" spans="1:1" ht="21">
      <c r="A13635" s="345"/>
    </row>
    <row r="13636" spans="1:1" ht="21">
      <c r="A13636" s="345"/>
    </row>
    <row r="13637" spans="1:1" ht="21">
      <c r="A13637" s="345"/>
    </row>
    <row r="13638" spans="1:1" ht="21">
      <c r="A13638" s="345"/>
    </row>
    <row r="13639" spans="1:1" ht="21">
      <c r="A13639" s="345"/>
    </row>
    <row r="13640" spans="1:1" ht="21">
      <c r="A13640" s="345"/>
    </row>
    <row r="13641" spans="1:1" ht="21">
      <c r="A13641" s="345"/>
    </row>
    <row r="13642" spans="1:1" ht="21">
      <c r="A13642" s="345"/>
    </row>
    <row r="13643" spans="1:1" ht="21">
      <c r="A13643" s="345"/>
    </row>
    <row r="13644" spans="1:1" ht="21">
      <c r="A13644" s="345"/>
    </row>
    <row r="13645" spans="1:1" ht="21">
      <c r="A13645" s="345"/>
    </row>
    <row r="13646" spans="1:1" ht="21">
      <c r="A13646" s="345"/>
    </row>
    <row r="13647" spans="1:1" ht="21">
      <c r="A13647" s="345"/>
    </row>
    <row r="13648" spans="1:1" ht="21">
      <c r="A13648" s="345"/>
    </row>
    <row r="13649" spans="1:1" ht="21">
      <c r="A13649" s="345"/>
    </row>
    <row r="13650" spans="1:1" ht="21">
      <c r="A13650" s="345"/>
    </row>
    <row r="13651" spans="1:1" ht="21">
      <c r="A13651" s="345"/>
    </row>
    <row r="13652" spans="1:1" ht="21">
      <c r="A13652" s="345"/>
    </row>
    <row r="13653" spans="1:1" ht="21">
      <c r="A13653" s="345"/>
    </row>
    <row r="13654" spans="1:1" ht="21">
      <c r="A13654" s="345"/>
    </row>
    <row r="13655" spans="1:1" ht="21">
      <c r="A13655" s="345"/>
    </row>
    <row r="13656" spans="1:1" ht="21">
      <c r="A13656" s="345"/>
    </row>
    <row r="13657" spans="1:1" ht="21">
      <c r="A13657" s="345"/>
    </row>
    <row r="13658" spans="1:1" ht="21">
      <c r="A13658" s="345"/>
    </row>
    <row r="13659" spans="1:1" ht="21">
      <c r="A13659" s="345"/>
    </row>
    <row r="13660" spans="1:1" ht="21">
      <c r="A13660" s="345"/>
    </row>
    <row r="13661" spans="1:1" ht="21">
      <c r="A13661" s="345"/>
    </row>
    <row r="13662" spans="1:1" ht="21">
      <c r="A13662" s="345"/>
    </row>
    <row r="13663" spans="1:1" ht="21">
      <c r="A13663" s="345"/>
    </row>
    <row r="13664" spans="1:1" ht="21">
      <c r="A13664" s="345"/>
    </row>
    <row r="13665" spans="1:1" ht="21">
      <c r="A13665" s="345"/>
    </row>
    <row r="13666" spans="1:1" ht="21">
      <c r="A13666" s="345"/>
    </row>
    <row r="13667" spans="1:1" ht="21">
      <c r="A13667" s="345"/>
    </row>
    <row r="13668" spans="1:1" ht="21">
      <c r="A13668" s="345"/>
    </row>
    <row r="13669" spans="1:1" ht="21">
      <c r="A13669" s="345"/>
    </row>
    <row r="13670" spans="1:1" ht="21">
      <c r="A13670" s="345"/>
    </row>
    <row r="13671" spans="1:1" ht="21">
      <c r="A13671" s="345"/>
    </row>
    <row r="13672" spans="1:1" ht="21">
      <c r="A13672" s="345"/>
    </row>
    <row r="13673" spans="1:1" ht="21">
      <c r="A13673" s="345"/>
    </row>
    <row r="13674" spans="1:1" ht="21">
      <c r="A13674" s="345"/>
    </row>
    <row r="13675" spans="1:1" ht="21">
      <c r="A13675" s="345"/>
    </row>
    <row r="13676" spans="1:1" ht="21">
      <c r="A13676" s="345"/>
    </row>
    <row r="13677" spans="1:1" ht="21">
      <c r="A13677" s="345"/>
    </row>
    <row r="13678" spans="1:1" ht="21">
      <c r="A13678" s="345"/>
    </row>
    <row r="13679" spans="1:1" ht="21">
      <c r="A13679" s="345"/>
    </row>
    <row r="13680" spans="1:1" ht="21">
      <c r="A13680" s="345"/>
    </row>
    <row r="13681" spans="1:1" ht="21">
      <c r="A13681" s="345"/>
    </row>
    <row r="13682" spans="1:1" ht="21">
      <c r="A13682" s="345"/>
    </row>
    <row r="13683" spans="1:1" ht="21">
      <c r="A13683" s="345"/>
    </row>
    <row r="13684" spans="1:1" ht="21">
      <c r="A13684" s="345"/>
    </row>
    <row r="13685" spans="1:1" ht="21">
      <c r="A13685" s="345"/>
    </row>
    <row r="13686" spans="1:1" ht="21">
      <c r="A13686" s="345"/>
    </row>
    <row r="13687" spans="1:1" ht="21">
      <c r="A13687" s="345"/>
    </row>
    <row r="13688" spans="1:1" ht="21">
      <c r="A13688" s="345"/>
    </row>
    <row r="13689" spans="1:1" ht="21">
      <c r="A13689" s="345"/>
    </row>
    <row r="13690" spans="1:1" ht="21">
      <c r="A13690" s="345"/>
    </row>
    <row r="13691" spans="1:1" ht="21">
      <c r="A13691" s="345"/>
    </row>
    <row r="13692" spans="1:1" ht="21">
      <c r="A13692" s="345"/>
    </row>
    <row r="13693" spans="1:1" ht="21">
      <c r="A13693" s="345"/>
    </row>
    <row r="13694" spans="1:1" ht="21">
      <c r="A13694" s="345"/>
    </row>
    <row r="13695" spans="1:1" ht="21">
      <c r="A13695" s="345"/>
    </row>
    <row r="13696" spans="1:1" ht="21">
      <c r="A13696" s="345"/>
    </row>
    <row r="13697" spans="1:1" ht="21">
      <c r="A13697" s="345"/>
    </row>
    <row r="13698" spans="1:1" ht="21">
      <c r="A13698" s="345"/>
    </row>
    <row r="13699" spans="1:1" ht="21">
      <c r="A13699" s="345"/>
    </row>
    <row r="13700" spans="1:1" ht="21">
      <c r="A13700" s="345"/>
    </row>
    <row r="13701" spans="1:1" ht="21">
      <c r="A13701" s="345"/>
    </row>
    <row r="13702" spans="1:1" ht="21">
      <c r="A13702" s="345"/>
    </row>
    <row r="13703" spans="1:1" ht="21">
      <c r="A13703" s="345"/>
    </row>
    <row r="13704" spans="1:1" ht="21">
      <c r="A13704" s="345"/>
    </row>
    <row r="13705" spans="1:1" ht="21">
      <c r="A13705" s="345"/>
    </row>
    <row r="13706" spans="1:1" ht="21">
      <c r="A13706" s="345"/>
    </row>
    <row r="13707" spans="1:1" ht="21">
      <c r="A13707" s="345"/>
    </row>
    <row r="13708" spans="1:1" ht="21">
      <c r="A13708" s="345"/>
    </row>
    <row r="13709" spans="1:1" ht="21">
      <c r="A13709" s="345"/>
    </row>
    <row r="13710" spans="1:1" ht="21">
      <c r="A13710" s="345"/>
    </row>
    <row r="13711" spans="1:1" ht="21">
      <c r="A13711" s="345"/>
    </row>
    <row r="13712" spans="1:1" ht="21">
      <c r="A13712" s="345"/>
    </row>
    <row r="13713" spans="1:1" ht="21">
      <c r="A13713" s="345"/>
    </row>
    <row r="13714" spans="1:1" ht="21">
      <c r="A13714" s="345"/>
    </row>
    <row r="13715" spans="1:1" ht="21">
      <c r="A13715" s="345"/>
    </row>
    <row r="13716" spans="1:1" ht="21">
      <c r="A13716" s="345"/>
    </row>
    <row r="13717" spans="1:1" ht="21">
      <c r="A13717" s="345"/>
    </row>
    <row r="13718" spans="1:1" ht="21">
      <c r="A13718" s="345"/>
    </row>
    <row r="13719" spans="1:1" ht="21">
      <c r="A13719" s="345"/>
    </row>
    <row r="13720" spans="1:1" ht="21">
      <c r="A13720" s="345"/>
    </row>
    <row r="13721" spans="1:1" ht="21">
      <c r="A13721" s="345"/>
    </row>
    <row r="13722" spans="1:1" ht="21">
      <c r="A13722" s="345"/>
    </row>
    <row r="13723" spans="1:1" ht="21">
      <c r="A13723" s="345"/>
    </row>
    <row r="13724" spans="1:1" ht="21">
      <c r="A13724" s="345"/>
    </row>
    <row r="13725" spans="1:1" ht="21">
      <c r="A13725" s="345"/>
    </row>
    <row r="13726" spans="1:1" ht="21">
      <c r="A13726" s="345"/>
    </row>
    <row r="13727" spans="1:1" ht="21">
      <c r="A13727" s="345"/>
    </row>
    <row r="13728" spans="1:1" ht="21">
      <c r="A13728" s="345"/>
    </row>
    <row r="13729" spans="1:1" ht="21">
      <c r="A13729" s="345"/>
    </row>
    <row r="13730" spans="1:1" ht="21">
      <c r="A13730" s="345"/>
    </row>
    <row r="13731" spans="1:1" ht="21">
      <c r="A13731" s="345"/>
    </row>
    <row r="13732" spans="1:1" ht="21">
      <c r="A13732" s="345"/>
    </row>
    <row r="13733" spans="1:1" ht="21">
      <c r="A13733" s="345"/>
    </row>
    <row r="13734" spans="1:1" ht="21">
      <c r="A13734" s="345"/>
    </row>
    <row r="13735" spans="1:1" ht="21">
      <c r="A13735" s="345"/>
    </row>
    <row r="13736" spans="1:1" ht="21">
      <c r="A13736" s="345"/>
    </row>
    <row r="13737" spans="1:1" ht="21">
      <c r="A13737" s="345"/>
    </row>
    <row r="13738" spans="1:1" ht="21">
      <c r="A13738" s="345"/>
    </row>
    <row r="13739" spans="1:1" ht="21">
      <c r="A13739" s="345"/>
    </row>
    <row r="13740" spans="1:1" ht="21">
      <c r="A13740" s="345"/>
    </row>
    <row r="13741" spans="1:1" ht="21">
      <c r="A13741" s="345"/>
    </row>
    <row r="13742" spans="1:1" ht="21">
      <c r="A13742" s="345"/>
    </row>
    <row r="13743" spans="1:1" ht="21">
      <c r="A13743" s="345"/>
    </row>
    <row r="13744" spans="1:1" ht="21">
      <c r="A13744" s="345"/>
    </row>
    <row r="13745" spans="1:1" ht="21">
      <c r="A13745" s="345"/>
    </row>
    <row r="13746" spans="1:1" ht="21">
      <c r="A13746" s="345"/>
    </row>
    <row r="13747" spans="1:1" ht="21">
      <c r="A13747" s="345"/>
    </row>
    <row r="13748" spans="1:1" ht="21">
      <c r="A13748" s="345"/>
    </row>
    <row r="13749" spans="1:1" ht="21">
      <c r="A13749" s="345"/>
    </row>
    <row r="13750" spans="1:1" ht="21">
      <c r="A13750" s="345"/>
    </row>
    <row r="13751" spans="1:1" ht="21">
      <c r="A13751" s="345"/>
    </row>
    <row r="13752" spans="1:1" ht="21">
      <c r="A13752" s="345"/>
    </row>
    <row r="13753" spans="1:1" ht="21">
      <c r="A13753" s="345"/>
    </row>
    <row r="13754" spans="1:1" ht="21">
      <c r="A13754" s="345"/>
    </row>
    <row r="13755" spans="1:1" ht="21">
      <c r="A13755" s="345"/>
    </row>
    <row r="13756" spans="1:1" ht="21">
      <c r="A13756" s="345"/>
    </row>
    <row r="13757" spans="1:1" ht="21">
      <c r="A13757" s="345"/>
    </row>
    <row r="13758" spans="1:1" ht="21">
      <c r="A13758" s="345"/>
    </row>
    <row r="13759" spans="1:1" ht="21">
      <c r="A13759" s="345"/>
    </row>
    <row r="13760" spans="1:1" ht="21">
      <c r="A13760" s="345"/>
    </row>
    <row r="13761" spans="1:1" ht="21">
      <c r="A13761" s="345"/>
    </row>
    <row r="13762" spans="1:1" ht="21">
      <c r="A13762" s="345"/>
    </row>
    <row r="13763" spans="1:1" ht="21">
      <c r="A13763" s="345"/>
    </row>
    <row r="13764" spans="1:1" ht="21">
      <c r="A13764" s="345"/>
    </row>
    <row r="13765" spans="1:1" ht="21">
      <c r="A13765" s="345"/>
    </row>
    <row r="13766" spans="1:1" ht="21">
      <c r="A13766" s="345"/>
    </row>
    <row r="13767" spans="1:1" ht="21">
      <c r="A13767" s="345"/>
    </row>
    <row r="13768" spans="1:1" ht="21">
      <c r="A13768" s="345"/>
    </row>
    <row r="13769" spans="1:1" ht="21">
      <c r="A13769" s="345"/>
    </row>
    <row r="13770" spans="1:1" ht="21">
      <c r="A13770" s="345"/>
    </row>
    <row r="13771" spans="1:1" ht="21">
      <c r="A13771" s="345"/>
    </row>
    <row r="13772" spans="1:1" ht="21">
      <c r="A13772" s="345"/>
    </row>
    <row r="13773" spans="1:1" ht="21">
      <c r="A13773" s="345"/>
    </row>
    <row r="13774" spans="1:1" ht="21">
      <c r="A13774" s="345"/>
    </row>
    <row r="13775" spans="1:1" ht="21">
      <c r="A13775" s="345"/>
    </row>
    <row r="13776" spans="1:1" ht="21">
      <c r="A13776" s="345"/>
    </row>
    <row r="13777" spans="1:1" ht="21">
      <c r="A13777" s="345"/>
    </row>
    <row r="13778" spans="1:1" ht="21">
      <c r="A13778" s="345"/>
    </row>
    <row r="13779" spans="1:1" ht="21">
      <c r="A13779" s="345"/>
    </row>
    <row r="13780" spans="1:1" ht="21">
      <c r="A13780" s="345"/>
    </row>
    <row r="13781" spans="1:1" ht="21">
      <c r="A13781" s="345"/>
    </row>
    <row r="13782" spans="1:1" ht="21">
      <c r="A13782" s="345"/>
    </row>
    <row r="13783" spans="1:1" ht="21">
      <c r="A13783" s="345"/>
    </row>
    <row r="13784" spans="1:1" ht="21">
      <c r="A13784" s="345"/>
    </row>
    <row r="13785" spans="1:1" ht="21">
      <c r="A13785" s="345"/>
    </row>
    <row r="13786" spans="1:1" ht="21">
      <c r="A13786" s="345"/>
    </row>
    <row r="13787" spans="1:1" ht="21">
      <c r="A13787" s="345"/>
    </row>
    <row r="13788" spans="1:1" ht="21">
      <c r="A13788" s="345"/>
    </row>
    <row r="13789" spans="1:1" ht="21">
      <c r="A13789" s="345"/>
    </row>
    <row r="13790" spans="1:1" ht="21">
      <c r="A13790" s="345"/>
    </row>
    <row r="13791" spans="1:1" ht="21">
      <c r="A13791" s="345"/>
    </row>
    <row r="13792" spans="1:1" ht="21">
      <c r="A13792" s="345"/>
    </row>
    <row r="13793" spans="1:1" ht="21">
      <c r="A13793" s="345"/>
    </row>
    <row r="13794" spans="1:1" ht="21">
      <c r="A13794" s="345"/>
    </row>
    <row r="13795" spans="1:1" ht="21">
      <c r="A13795" s="345"/>
    </row>
    <row r="13796" spans="1:1" ht="21">
      <c r="A13796" s="345"/>
    </row>
    <row r="13797" spans="1:1" ht="21">
      <c r="A13797" s="345"/>
    </row>
    <row r="13798" spans="1:1" ht="21">
      <c r="A13798" s="345"/>
    </row>
    <row r="13799" spans="1:1" ht="21">
      <c r="A13799" s="345"/>
    </row>
    <row r="13800" spans="1:1" ht="21">
      <c r="A13800" s="345"/>
    </row>
    <row r="13801" spans="1:1" ht="21">
      <c r="A13801" s="345"/>
    </row>
    <row r="13802" spans="1:1" ht="21">
      <c r="A13802" s="345"/>
    </row>
    <row r="13803" spans="1:1" ht="21">
      <c r="A13803" s="345"/>
    </row>
    <row r="13804" spans="1:1" ht="21">
      <c r="A13804" s="345"/>
    </row>
    <row r="13805" spans="1:1" ht="21">
      <c r="A13805" s="345"/>
    </row>
    <row r="13806" spans="1:1" ht="21">
      <c r="A13806" s="345"/>
    </row>
    <row r="13807" spans="1:1" ht="21">
      <c r="A13807" s="345"/>
    </row>
    <row r="13808" spans="1:1" ht="21">
      <c r="A13808" s="345"/>
    </row>
    <row r="13809" spans="1:1" ht="21">
      <c r="A13809" s="345"/>
    </row>
    <row r="13810" spans="1:1" ht="21">
      <c r="A13810" s="345"/>
    </row>
    <row r="13811" spans="1:1" ht="21">
      <c r="A13811" s="345"/>
    </row>
    <row r="13812" spans="1:1" ht="21">
      <c r="A13812" s="345"/>
    </row>
    <row r="13813" spans="1:1" ht="21">
      <c r="A13813" s="345"/>
    </row>
    <row r="13814" spans="1:1" ht="21">
      <c r="A13814" s="345"/>
    </row>
    <row r="13815" spans="1:1" ht="21">
      <c r="A13815" s="345"/>
    </row>
    <row r="13816" spans="1:1" ht="21">
      <c r="A13816" s="345"/>
    </row>
    <row r="13817" spans="1:1" ht="21">
      <c r="A13817" s="345"/>
    </row>
    <row r="13818" spans="1:1" ht="21">
      <c r="A13818" s="345"/>
    </row>
    <row r="13819" spans="1:1" ht="21">
      <c r="A13819" s="345"/>
    </row>
    <row r="13820" spans="1:1" ht="21">
      <c r="A13820" s="345"/>
    </row>
    <row r="13821" spans="1:1" ht="21">
      <c r="A13821" s="345"/>
    </row>
    <row r="13822" spans="1:1" ht="21">
      <c r="A13822" s="345"/>
    </row>
    <row r="13823" spans="1:1" ht="21">
      <c r="A13823" s="345"/>
    </row>
    <row r="13824" spans="1:1" ht="21">
      <c r="A13824" s="345"/>
    </row>
    <row r="13825" spans="1:1" ht="21">
      <c r="A13825" s="345"/>
    </row>
    <row r="13826" spans="1:1" ht="21">
      <c r="A13826" s="345"/>
    </row>
    <row r="13827" spans="1:1" ht="21">
      <c r="A13827" s="345"/>
    </row>
    <row r="13828" spans="1:1" ht="21">
      <c r="A13828" s="345"/>
    </row>
    <row r="13829" spans="1:1" ht="21">
      <c r="A13829" s="345"/>
    </row>
    <row r="13830" spans="1:1" ht="21">
      <c r="A13830" s="345"/>
    </row>
    <row r="13831" spans="1:1" ht="21">
      <c r="A13831" s="345"/>
    </row>
    <row r="13832" spans="1:1" ht="21">
      <c r="A13832" s="345"/>
    </row>
    <row r="13833" spans="1:1" ht="21">
      <c r="A13833" s="345"/>
    </row>
    <row r="13834" spans="1:1" ht="21">
      <c r="A13834" s="345"/>
    </row>
    <row r="13835" spans="1:1" ht="21">
      <c r="A13835" s="345"/>
    </row>
    <row r="13836" spans="1:1" ht="21">
      <c r="A13836" s="345"/>
    </row>
    <row r="13837" spans="1:1" ht="21">
      <c r="A13837" s="345"/>
    </row>
    <row r="13838" spans="1:1" ht="21">
      <c r="A13838" s="345"/>
    </row>
    <row r="13839" spans="1:1" ht="21">
      <c r="A13839" s="345"/>
    </row>
    <row r="13840" spans="1:1" ht="21">
      <c r="A13840" s="345"/>
    </row>
    <row r="13841" spans="1:1" ht="21">
      <c r="A13841" s="345"/>
    </row>
    <row r="13842" spans="1:1" ht="21">
      <c r="A13842" s="345"/>
    </row>
    <row r="13843" spans="1:1" ht="21">
      <c r="A13843" s="345"/>
    </row>
    <row r="13844" spans="1:1" ht="21">
      <c r="A13844" s="345"/>
    </row>
    <row r="13845" spans="1:1" ht="21">
      <c r="A13845" s="345"/>
    </row>
    <row r="13846" spans="1:1" ht="21">
      <c r="A13846" s="345"/>
    </row>
    <row r="13847" spans="1:1" ht="21">
      <c r="A13847" s="345"/>
    </row>
    <row r="13848" spans="1:1" ht="21">
      <c r="A13848" s="345"/>
    </row>
    <row r="13849" spans="1:1" ht="21">
      <c r="A13849" s="345"/>
    </row>
    <row r="13850" spans="1:1" ht="21">
      <c r="A13850" s="345"/>
    </row>
    <row r="13851" spans="1:1" ht="21">
      <c r="A13851" s="345"/>
    </row>
    <row r="13852" spans="1:1" ht="21">
      <c r="A13852" s="345"/>
    </row>
    <row r="13853" spans="1:1" ht="21">
      <c r="A13853" s="345"/>
    </row>
    <row r="13854" spans="1:1" ht="21">
      <c r="A13854" s="345"/>
    </row>
    <row r="13855" spans="1:1" ht="21">
      <c r="A13855" s="345"/>
    </row>
    <row r="13856" spans="1:1" ht="21">
      <c r="A13856" s="345"/>
    </row>
    <row r="13857" spans="1:1" ht="21">
      <c r="A13857" s="345"/>
    </row>
    <row r="13858" spans="1:1" ht="21">
      <c r="A13858" s="345"/>
    </row>
    <row r="13859" spans="1:1" ht="21">
      <c r="A13859" s="345"/>
    </row>
    <row r="13860" spans="1:1" ht="21">
      <c r="A13860" s="345"/>
    </row>
    <row r="13861" spans="1:1" ht="21">
      <c r="A13861" s="345"/>
    </row>
    <row r="13862" spans="1:1" ht="21">
      <c r="A13862" s="345"/>
    </row>
    <row r="13863" spans="1:1" ht="21">
      <c r="A13863" s="345"/>
    </row>
    <row r="13864" spans="1:1" ht="21">
      <c r="A13864" s="345"/>
    </row>
    <row r="13865" spans="1:1" ht="21">
      <c r="A13865" s="345"/>
    </row>
    <row r="13866" spans="1:1" ht="21">
      <c r="A13866" s="345"/>
    </row>
    <row r="13867" spans="1:1" ht="21">
      <c r="A13867" s="345"/>
    </row>
    <row r="13868" spans="1:1" ht="21">
      <c r="A13868" s="345"/>
    </row>
    <row r="13869" spans="1:1" ht="21">
      <c r="A13869" s="345"/>
    </row>
    <row r="13870" spans="1:1" ht="21">
      <c r="A13870" s="345"/>
    </row>
    <row r="13871" spans="1:1" ht="21">
      <c r="A13871" s="345"/>
    </row>
    <row r="13872" spans="1:1" ht="21">
      <c r="A13872" s="345"/>
    </row>
    <row r="13873" spans="1:1" ht="21">
      <c r="A13873" s="345"/>
    </row>
    <row r="13874" spans="1:1" ht="21">
      <c r="A13874" s="345"/>
    </row>
    <row r="13875" spans="1:1" ht="21">
      <c r="A13875" s="345"/>
    </row>
    <row r="13876" spans="1:1" ht="21">
      <c r="A13876" s="345"/>
    </row>
    <row r="13877" spans="1:1" ht="21">
      <c r="A13877" s="345"/>
    </row>
    <row r="13878" spans="1:1" ht="21">
      <c r="A13878" s="345"/>
    </row>
    <row r="13879" spans="1:1" ht="21">
      <c r="A13879" s="345"/>
    </row>
    <row r="13880" spans="1:1" ht="21">
      <c r="A13880" s="345"/>
    </row>
    <row r="13881" spans="1:1" ht="21">
      <c r="A13881" s="345"/>
    </row>
    <row r="13882" spans="1:1" ht="21">
      <c r="A13882" s="345"/>
    </row>
    <row r="13883" spans="1:1" ht="21">
      <c r="A13883" s="345"/>
    </row>
    <row r="13884" spans="1:1" ht="21">
      <c r="A13884" s="345"/>
    </row>
    <row r="13885" spans="1:1" ht="21">
      <c r="A13885" s="345"/>
    </row>
    <row r="13886" spans="1:1" ht="21">
      <c r="A13886" s="345"/>
    </row>
    <row r="13887" spans="1:1" ht="21">
      <c r="A13887" s="345"/>
    </row>
    <row r="13888" spans="1:1" ht="21">
      <c r="A13888" s="345"/>
    </row>
    <row r="13889" spans="1:1" ht="21">
      <c r="A13889" s="345"/>
    </row>
    <row r="13890" spans="1:1" ht="21">
      <c r="A13890" s="345"/>
    </row>
    <row r="13891" spans="1:1" ht="21">
      <c r="A13891" s="345"/>
    </row>
    <row r="13892" spans="1:1" ht="21">
      <c r="A13892" s="345"/>
    </row>
    <row r="13893" spans="1:1" ht="21">
      <c r="A13893" s="345"/>
    </row>
    <row r="13894" spans="1:1" ht="21">
      <c r="A13894" s="345"/>
    </row>
    <row r="13895" spans="1:1" ht="21">
      <c r="A13895" s="345"/>
    </row>
    <row r="13896" spans="1:1" ht="21">
      <c r="A13896" s="345"/>
    </row>
    <row r="13897" spans="1:1" ht="21">
      <c r="A13897" s="345"/>
    </row>
    <row r="13898" spans="1:1" ht="21">
      <c r="A13898" s="345"/>
    </row>
    <row r="13899" spans="1:1" ht="21">
      <c r="A13899" s="345"/>
    </row>
    <row r="13900" spans="1:1" ht="21">
      <c r="A13900" s="345"/>
    </row>
    <row r="13901" spans="1:1" ht="21">
      <c r="A13901" s="345"/>
    </row>
    <row r="13902" spans="1:1" ht="21">
      <c r="A13902" s="345"/>
    </row>
    <row r="13903" spans="1:1" ht="21">
      <c r="A13903" s="345"/>
    </row>
    <row r="13904" spans="1:1" ht="21">
      <c r="A13904" s="345"/>
    </row>
    <row r="13905" spans="1:1" ht="21">
      <c r="A13905" s="345"/>
    </row>
    <row r="13906" spans="1:1" ht="21">
      <c r="A13906" s="345"/>
    </row>
    <row r="13907" spans="1:1" ht="21">
      <c r="A13907" s="345"/>
    </row>
    <row r="13908" spans="1:1" ht="21">
      <c r="A13908" s="345"/>
    </row>
    <row r="13909" spans="1:1" ht="21">
      <c r="A13909" s="345"/>
    </row>
    <row r="13910" spans="1:1" ht="21">
      <c r="A13910" s="345"/>
    </row>
    <row r="13911" spans="1:1" ht="21">
      <c r="A13911" s="345"/>
    </row>
    <row r="13912" spans="1:1" ht="21">
      <c r="A13912" s="345"/>
    </row>
    <row r="13913" spans="1:1" ht="21">
      <c r="A13913" s="345"/>
    </row>
    <row r="13914" spans="1:1" ht="21">
      <c r="A13914" s="345"/>
    </row>
    <row r="13915" spans="1:1" ht="21">
      <c r="A13915" s="345"/>
    </row>
    <row r="13916" spans="1:1" ht="21">
      <c r="A13916" s="345"/>
    </row>
    <row r="13917" spans="1:1" ht="21">
      <c r="A13917" s="345"/>
    </row>
    <row r="13918" spans="1:1" ht="21">
      <c r="A13918" s="345"/>
    </row>
    <row r="13919" spans="1:1" ht="21">
      <c r="A13919" s="345"/>
    </row>
    <row r="13920" spans="1:1" ht="21">
      <c r="A13920" s="345"/>
    </row>
    <row r="13921" spans="1:1" ht="21">
      <c r="A13921" s="345"/>
    </row>
    <row r="13922" spans="1:1" ht="21">
      <c r="A13922" s="345"/>
    </row>
    <row r="13923" spans="1:1" ht="21">
      <c r="A13923" s="345"/>
    </row>
    <row r="13924" spans="1:1" ht="21">
      <c r="A13924" s="345"/>
    </row>
    <row r="13925" spans="1:1" ht="21">
      <c r="A13925" s="345"/>
    </row>
    <row r="13926" spans="1:1" ht="21">
      <c r="A13926" s="345"/>
    </row>
    <row r="13927" spans="1:1" ht="21">
      <c r="A13927" s="345"/>
    </row>
    <row r="13928" spans="1:1" ht="21">
      <c r="A13928" s="345"/>
    </row>
    <row r="13929" spans="1:1" ht="21">
      <c r="A13929" s="345"/>
    </row>
    <row r="13930" spans="1:1" ht="21">
      <c r="A13930" s="345"/>
    </row>
    <row r="13931" spans="1:1" ht="21">
      <c r="A13931" s="345"/>
    </row>
    <row r="13932" spans="1:1" ht="21">
      <c r="A13932" s="345"/>
    </row>
    <row r="13933" spans="1:1" ht="21">
      <c r="A13933" s="345"/>
    </row>
    <row r="13934" spans="1:1" ht="21">
      <c r="A13934" s="345"/>
    </row>
    <row r="13935" spans="1:1" ht="21">
      <c r="A13935" s="345"/>
    </row>
    <row r="13936" spans="1:1" ht="21">
      <c r="A13936" s="345"/>
    </row>
    <row r="13937" spans="1:1" ht="21">
      <c r="A13937" s="345"/>
    </row>
    <row r="13938" spans="1:1" ht="21">
      <c r="A13938" s="345"/>
    </row>
    <row r="13939" spans="1:1" ht="21">
      <c r="A13939" s="345"/>
    </row>
    <row r="13940" spans="1:1" ht="21">
      <c r="A13940" s="345"/>
    </row>
    <row r="13941" spans="1:1" ht="21">
      <c r="A13941" s="345"/>
    </row>
    <row r="13942" spans="1:1" ht="21">
      <c r="A13942" s="345"/>
    </row>
    <row r="13943" spans="1:1" ht="21">
      <c r="A13943" s="345"/>
    </row>
    <row r="13944" spans="1:1" ht="21">
      <c r="A13944" s="345"/>
    </row>
    <row r="13945" spans="1:1" ht="21">
      <c r="A13945" s="345"/>
    </row>
    <row r="13946" spans="1:1" ht="21">
      <c r="A13946" s="345"/>
    </row>
    <row r="13947" spans="1:1" ht="21">
      <c r="A13947" s="345"/>
    </row>
    <row r="13948" spans="1:1" ht="21">
      <c r="A13948" s="345"/>
    </row>
    <row r="13949" spans="1:1" ht="21">
      <c r="A13949" s="345"/>
    </row>
    <row r="13950" spans="1:1" ht="21">
      <c r="A13950" s="345"/>
    </row>
    <row r="13951" spans="1:1" ht="21">
      <c r="A13951" s="345"/>
    </row>
    <row r="13952" spans="1:1" ht="21">
      <c r="A13952" s="345"/>
    </row>
    <row r="13953" spans="1:1" ht="21">
      <c r="A13953" s="345"/>
    </row>
    <row r="13954" spans="1:1" ht="21">
      <c r="A13954" s="345"/>
    </row>
    <row r="13955" spans="1:1" ht="21">
      <c r="A13955" s="345"/>
    </row>
    <row r="13956" spans="1:1" ht="21">
      <c r="A13956" s="345"/>
    </row>
    <row r="13957" spans="1:1" ht="21">
      <c r="A13957" s="345"/>
    </row>
    <row r="13958" spans="1:1" ht="21">
      <c r="A13958" s="345"/>
    </row>
    <row r="13959" spans="1:1" ht="21">
      <c r="A13959" s="345"/>
    </row>
    <row r="13960" spans="1:1" ht="21">
      <c r="A13960" s="345"/>
    </row>
    <row r="13961" spans="1:1" ht="21">
      <c r="A13961" s="345"/>
    </row>
    <row r="13962" spans="1:1" ht="21">
      <c r="A13962" s="345"/>
    </row>
    <row r="13963" spans="1:1" ht="21">
      <c r="A13963" s="345"/>
    </row>
    <row r="13964" spans="1:1" ht="21">
      <c r="A13964" s="345"/>
    </row>
    <row r="13965" spans="1:1" ht="21">
      <c r="A13965" s="345"/>
    </row>
    <row r="13966" spans="1:1" ht="21">
      <c r="A13966" s="345"/>
    </row>
    <row r="13967" spans="1:1" ht="21">
      <c r="A13967" s="345"/>
    </row>
    <row r="13968" spans="1:1" ht="21">
      <c r="A13968" s="345"/>
    </row>
    <row r="13969" spans="1:1" ht="21">
      <c r="A13969" s="345"/>
    </row>
    <row r="13970" spans="1:1" ht="21">
      <c r="A13970" s="345"/>
    </row>
    <row r="13971" spans="1:1" ht="21">
      <c r="A13971" s="345"/>
    </row>
    <row r="13972" spans="1:1" ht="21">
      <c r="A13972" s="345"/>
    </row>
    <row r="13973" spans="1:1" ht="21">
      <c r="A13973" s="345"/>
    </row>
    <row r="13974" spans="1:1" ht="21">
      <c r="A13974" s="345"/>
    </row>
    <row r="13975" spans="1:1" ht="21">
      <c r="A13975" s="345"/>
    </row>
    <row r="13976" spans="1:1" ht="21">
      <c r="A13976" s="345"/>
    </row>
    <row r="13977" spans="1:1" ht="21">
      <c r="A13977" s="345"/>
    </row>
    <row r="13978" spans="1:1" ht="21">
      <c r="A13978" s="345"/>
    </row>
    <row r="13979" spans="1:1" ht="21">
      <c r="A13979" s="345"/>
    </row>
    <row r="13980" spans="1:1" ht="21">
      <c r="A13980" s="345"/>
    </row>
    <row r="13981" spans="1:1" ht="21">
      <c r="A13981" s="345"/>
    </row>
    <row r="13982" spans="1:1" ht="21">
      <c r="A13982" s="345"/>
    </row>
    <row r="13983" spans="1:1" ht="21">
      <c r="A13983" s="345"/>
    </row>
    <row r="13984" spans="1:1" ht="21">
      <c r="A13984" s="345"/>
    </row>
    <row r="13985" spans="1:1" ht="21">
      <c r="A13985" s="345"/>
    </row>
    <row r="13986" spans="1:1" ht="21">
      <c r="A13986" s="345"/>
    </row>
    <row r="13987" spans="1:1" ht="21">
      <c r="A13987" s="345"/>
    </row>
    <row r="13988" spans="1:1" ht="21">
      <c r="A13988" s="345"/>
    </row>
    <row r="13989" spans="1:1" ht="21">
      <c r="A13989" s="345"/>
    </row>
    <row r="13990" spans="1:1" ht="21">
      <c r="A13990" s="345"/>
    </row>
    <row r="13991" spans="1:1" ht="21">
      <c r="A13991" s="345"/>
    </row>
    <row r="13992" spans="1:1" ht="21">
      <c r="A13992" s="345"/>
    </row>
    <row r="13993" spans="1:1" ht="21">
      <c r="A13993" s="345"/>
    </row>
    <row r="13994" spans="1:1" ht="21">
      <c r="A13994" s="345"/>
    </row>
    <row r="13995" spans="1:1" ht="21">
      <c r="A13995" s="345"/>
    </row>
    <row r="13996" spans="1:1" ht="21">
      <c r="A13996" s="345"/>
    </row>
    <row r="13997" spans="1:1" ht="21">
      <c r="A13997" s="345"/>
    </row>
    <row r="13998" spans="1:1" ht="21">
      <c r="A13998" s="345"/>
    </row>
    <row r="13999" spans="1:1" ht="21">
      <c r="A13999" s="345"/>
    </row>
    <row r="14000" spans="1:1" ht="21">
      <c r="A14000" s="345"/>
    </row>
    <row r="14001" spans="1:1" ht="21">
      <c r="A14001" s="345"/>
    </row>
    <row r="14002" spans="1:1" ht="21">
      <c r="A14002" s="345"/>
    </row>
    <row r="14003" spans="1:1" ht="21">
      <c r="A14003" s="345"/>
    </row>
    <row r="14004" spans="1:1" ht="21">
      <c r="A14004" s="345"/>
    </row>
    <row r="14005" spans="1:1" ht="21">
      <c r="A14005" s="345"/>
    </row>
    <row r="14006" spans="1:1" ht="21">
      <c r="A14006" s="345"/>
    </row>
    <row r="14007" spans="1:1" ht="21">
      <c r="A14007" s="345"/>
    </row>
    <row r="14008" spans="1:1" ht="21">
      <c r="A14008" s="345"/>
    </row>
    <row r="14009" spans="1:1" ht="21">
      <c r="A14009" s="345"/>
    </row>
    <row r="14010" spans="1:1" ht="21">
      <c r="A14010" s="345"/>
    </row>
    <row r="14011" spans="1:1" ht="21">
      <c r="A14011" s="345"/>
    </row>
    <row r="14012" spans="1:1" ht="21">
      <c r="A14012" s="345"/>
    </row>
    <row r="14013" spans="1:1" ht="21">
      <c r="A14013" s="345"/>
    </row>
    <row r="14014" spans="1:1" ht="21">
      <c r="A14014" s="345"/>
    </row>
    <row r="14015" spans="1:1" ht="21">
      <c r="A14015" s="345"/>
    </row>
    <row r="14016" spans="1:1" ht="21">
      <c r="A14016" s="345"/>
    </row>
    <row r="14017" spans="1:1" ht="21">
      <c r="A14017" s="345"/>
    </row>
    <row r="14018" spans="1:1" ht="21">
      <c r="A14018" s="345"/>
    </row>
    <row r="14019" spans="1:1" ht="21">
      <c r="A14019" s="345"/>
    </row>
    <row r="14020" spans="1:1" ht="21">
      <c r="A14020" s="345"/>
    </row>
    <row r="14021" spans="1:1" ht="21">
      <c r="A14021" s="345"/>
    </row>
    <row r="14022" spans="1:1" ht="21">
      <c r="A14022" s="345"/>
    </row>
    <row r="14023" spans="1:1" ht="21">
      <c r="A14023" s="345"/>
    </row>
    <row r="14024" spans="1:1" ht="21">
      <c r="A14024" s="345"/>
    </row>
    <row r="14025" spans="1:1" ht="21">
      <c r="A14025" s="345"/>
    </row>
    <row r="14026" spans="1:1" ht="21">
      <c r="A14026" s="345"/>
    </row>
    <row r="14027" spans="1:1" ht="21">
      <c r="A14027" s="345"/>
    </row>
    <row r="14028" spans="1:1" ht="21">
      <c r="A14028" s="345"/>
    </row>
    <row r="14029" spans="1:1" ht="21">
      <c r="A14029" s="345"/>
    </row>
    <row r="14030" spans="1:1" ht="21">
      <c r="A14030" s="345"/>
    </row>
    <row r="14031" spans="1:1" ht="21">
      <c r="A14031" s="345"/>
    </row>
    <row r="14032" spans="1:1" ht="21">
      <c r="A14032" s="345"/>
    </row>
    <row r="14033" spans="1:1" ht="21">
      <c r="A14033" s="345"/>
    </row>
    <row r="14034" spans="1:1" ht="21">
      <c r="A14034" s="345"/>
    </row>
    <row r="14035" spans="1:1" ht="21">
      <c r="A14035" s="345"/>
    </row>
    <row r="14036" spans="1:1" ht="21">
      <c r="A14036" s="345"/>
    </row>
    <row r="14037" spans="1:1" ht="21">
      <c r="A14037" s="345"/>
    </row>
    <row r="14038" spans="1:1" ht="21">
      <c r="A14038" s="345"/>
    </row>
    <row r="14039" spans="1:1" ht="21">
      <c r="A14039" s="345"/>
    </row>
    <row r="14040" spans="1:1" ht="21">
      <c r="A14040" s="345"/>
    </row>
    <row r="14041" spans="1:1" ht="21">
      <c r="A14041" s="345"/>
    </row>
    <row r="14042" spans="1:1" ht="21">
      <c r="A14042" s="345"/>
    </row>
    <row r="14043" spans="1:1" ht="21">
      <c r="A14043" s="345"/>
    </row>
    <row r="14044" spans="1:1" ht="21">
      <c r="A14044" s="345"/>
    </row>
    <row r="14045" spans="1:1" ht="21">
      <c r="A14045" s="345"/>
    </row>
    <row r="14046" spans="1:1" ht="21">
      <c r="A14046" s="345"/>
    </row>
    <row r="14047" spans="1:1" ht="21">
      <c r="A14047" s="345"/>
    </row>
    <row r="14048" spans="1:1" ht="21">
      <c r="A14048" s="345"/>
    </row>
    <row r="14049" spans="1:1" ht="21">
      <c r="A14049" s="345"/>
    </row>
    <row r="14050" spans="1:1" ht="21">
      <c r="A14050" s="345"/>
    </row>
    <row r="14051" spans="1:1" ht="21">
      <c r="A14051" s="345"/>
    </row>
    <row r="14052" spans="1:1" ht="21">
      <c r="A14052" s="345"/>
    </row>
    <row r="14053" spans="1:1" ht="21">
      <c r="A14053" s="345"/>
    </row>
    <row r="14054" spans="1:1" ht="21">
      <c r="A14054" s="345"/>
    </row>
    <row r="14055" spans="1:1" ht="21">
      <c r="A14055" s="345"/>
    </row>
    <row r="14056" spans="1:1" ht="21">
      <c r="A14056" s="345"/>
    </row>
    <row r="14057" spans="1:1" ht="21">
      <c r="A14057" s="345"/>
    </row>
    <row r="14058" spans="1:1" ht="21">
      <c r="A14058" s="345"/>
    </row>
    <row r="14059" spans="1:1" ht="21">
      <c r="A14059" s="345"/>
    </row>
    <row r="14060" spans="1:1" ht="21">
      <c r="A14060" s="345"/>
    </row>
    <row r="14061" spans="1:1" ht="21">
      <c r="A14061" s="345"/>
    </row>
    <row r="14062" spans="1:1" ht="21">
      <c r="A14062" s="345"/>
    </row>
    <row r="14063" spans="1:1" ht="21">
      <c r="A14063" s="345"/>
    </row>
    <row r="14064" spans="1:1" ht="21">
      <c r="A14064" s="345"/>
    </row>
    <row r="14065" spans="1:1" ht="21">
      <c r="A14065" s="345"/>
    </row>
    <row r="14066" spans="1:1" ht="21">
      <c r="A14066" s="345"/>
    </row>
    <row r="14067" spans="1:1" ht="21">
      <c r="A14067" s="345"/>
    </row>
    <row r="14068" spans="1:1" ht="21">
      <c r="A14068" s="345"/>
    </row>
    <row r="14069" spans="1:1" ht="21">
      <c r="A14069" s="345"/>
    </row>
    <row r="14070" spans="1:1" ht="21">
      <c r="A14070" s="345"/>
    </row>
    <row r="14071" spans="1:1" ht="21">
      <c r="A14071" s="345"/>
    </row>
    <row r="14072" spans="1:1" ht="21">
      <c r="A14072" s="345"/>
    </row>
    <row r="14073" spans="1:1" ht="21">
      <c r="A14073" s="345"/>
    </row>
    <row r="14074" spans="1:1" ht="21">
      <c r="A14074" s="345"/>
    </row>
    <row r="14075" spans="1:1" ht="21">
      <c r="A14075" s="345"/>
    </row>
    <row r="14076" spans="1:1" ht="21">
      <c r="A14076" s="345"/>
    </row>
    <row r="14077" spans="1:1" ht="21">
      <c r="A14077" s="345"/>
    </row>
    <row r="14078" spans="1:1" ht="21">
      <c r="A14078" s="345"/>
    </row>
    <row r="14079" spans="1:1" ht="21">
      <c r="A14079" s="345"/>
    </row>
    <row r="14080" spans="1:1" ht="21">
      <c r="A14080" s="345"/>
    </row>
    <row r="14081" spans="1:1" ht="21">
      <c r="A14081" s="345"/>
    </row>
    <row r="14082" spans="1:1" ht="21">
      <c r="A14082" s="345"/>
    </row>
    <row r="14083" spans="1:1" ht="21">
      <c r="A14083" s="345"/>
    </row>
    <row r="14084" spans="1:1" ht="21">
      <c r="A14084" s="345"/>
    </row>
    <row r="14085" spans="1:1" ht="21">
      <c r="A14085" s="345"/>
    </row>
    <row r="14086" spans="1:1" ht="21">
      <c r="A14086" s="345"/>
    </row>
    <row r="14087" spans="1:1" ht="21">
      <c r="A14087" s="345"/>
    </row>
    <row r="14088" spans="1:1" ht="21">
      <c r="A14088" s="345"/>
    </row>
    <row r="14089" spans="1:1" ht="21">
      <c r="A14089" s="345"/>
    </row>
    <row r="14090" spans="1:1" ht="21">
      <c r="A14090" s="345"/>
    </row>
    <row r="14091" spans="1:1" ht="21">
      <c r="A14091" s="345"/>
    </row>
    <row r="14092" spans="1:1" ht="21">
      <c r="A14092" s="345"/>
    </row>
    <row r="14093" spans="1:1" ht="21">
      <c r="A14093" s="345"/>
    </row>
    <row r="14094" spans="1:1" ht="21">
      <c r="A14094" s="345"/>
    </row>
    <row r="14095" spans="1:1" ht="21">
      <c r="A14095" s="345"/>
    </row>
    <row r="14096" spans="1:1" ht="21">
      <c r="A14096" s="345"/>
    </row>
    <row r="14097" spans="1:1" ht="21">
      <c r="A14097" s="345"/>
    </row>
    <row r="14098" spans="1:1" ht="21">
      <c r="A14098" s="345"/>
    </row>
    <row r="14099" spans="1:1" ht="21">
      <c r="A14099" s="345"/>
    </row>
    <row r="14100" spans="1:1" ht="21">
      <c r="A14100" s="345"/>
    </row>
    <row r="14101" spans="1:1" ht="21">
      <c r="A14101" s="345"/>
    </row>
    <row r="14102" spans="1:1" ht="21">
      <c r="A14102" s="345"/>
    </row>
    <row r="14103" spans="1:1" ht="21">
      <c r="A14103" s="345"/>
    </row>
    <row r="14104" spans="1:1" ht="21">
      <c r="A14104" s="345"/>
    </row>
    <row r="14105" spans="1:1" ht="21">
      <c r="A14105" s="345"/>
    </row>
    <row r="14106" spans="1:1" ht="21">
      <c r="A14106" s="345"/>
    </row>
    <row r="14107" spans="1:1" ht="21">
      <c r="A14107" s="345"/>
    </row>
    <row r="14108" spans="1:1" ht="21">
      <c r="A14108" s="345"/>
    </row>
    <row r="14109" spans="1:1" ht="21">
      <c r="A14109" s="345"/>
    </row>
    <row r="14110" spans="1:1" ht="21">
      <c r="A14110" s="345"/>
    </row>
    <row r="14111" spans="1:1" ht="21">
      <c r="A14111" s="345"/>
    </row>
    <row r="14112" spans="1:1" ht="21">
      <c r="A14112" s="345"/>
    </row>
    <row r="14113" spans="1:1" ht="21">
      <c r="A14113" s="345"/>
    </row>
    <row r="14114" spans="1:1" ht="21">
      <c r="A14114" s="345"/>
    </row>
    <row r="14115" spans="1:1" ht="21">
      <c r="A14115" s="345"/>
    </row>
    <row r="14116" spans="1:1" ht="21">
      <c r="A14116" s="345"/>
    </row>
    <row r="14117" spans="1:1" ht="21">
      <c r="A14117" s="345"/>
    </row>
    <row r="14118" spans="1:1" ht="21">
      <c r="A14118" s="345"/>
    </row>
    <row r="14119" spans="1:1" ht="21">
      <c r="A14119" s="345"/>
    </row>
    <row r="14120" spans="1:1" ht="21">
      <c r="A14120" s="345"/>
    </row>
    <row r="14121" spans="1:1" ht="21">
      <c r="A14121" s="345"/>
    </row>
    <row r="14122" spans="1:1" ht="21">
      <c r="A14122" s="345"/>
    </row>
    <row r="14123" spans="1:1" ht="21">
      <c r="A14123" s="345"/>
    </row>
    <row r="14124" spans="1:1" ht="21">
      <c r="A14124" s="345"/>
    </row>
    <row r="14125" spans="1:1" ht="21">
      <c r="A14125" s="345"/>
    </row>
    <row r="14126" spans="1:1" ht="21">
      <c r="A14126" s="345"/>
    </row>
    <row r="14127" spans="1:1" ht="21">
      <c r="A14127" s="345"/>
    </row>
    <row r="14128" spans="1:1" ht="21">
      <c r="A14128" s="345"/>
    </row>
    <row r="14129" spans="1:1" ht="21">
      <c r="A14129" s="345"/>
    </row>
    <row r="14130" spans="1:1" ht="21">
      <c r="A14130" s="345"/>
    </row>
    <row r="14131" spans="1:1" ht="21">
      <c r="A14131" s="345"/>
    </row>
    <row r="14132" spans="1:1" ht="21">
      <c r="A14132" s="345"/>
    </row>
    <row r="14133" spans="1:1" ht="21">
      <c r="A14133" s="345"/>
    </row>
    <row r="14134" spans="1:1" ht="21">
      <c r="A14134" s="345"/>
    </row>
    <row r="14135" spans="1:1" ht="21">
      <c r="A14135" s="345"/>
    </row>
    <row r="14136" spans="1:1" ht="21">
      <c r="A14136" s="345"/>
    </row>
    <row r="14137" spans="1:1" ht="21">
      <c r="A14137" s="345"/>
    </row>
    <row r="14138" spans="1:1" ht="21">
      <c r="A14138" s="345"/>
    </row>
    <row r="14139" spans="1:1" ht="21">
      <c r="A14139" s="345"/>
    </row>
    <row r="14140" spans="1:1" ht="21">
      <c r="A14140" s="345"/>
    </row>
    <row r="14141" spans="1:1" ht="21">
      <c r="A14141" s="345"/>
    </row>
    <row r="14142" spans="1:1" ht="21">
      <c r="A14142" s="345"/>
    </row>
    <row r="14143" spans="1:1" ht="21">
      <c r="A14143" s="345"/>
    </row>
    <row r="14144" spans="1:1" ht="21">
      <c r="A14144" s="345"/>
    </row>
    <row r="14145" spans="1:1" ht="21">
      <c r="A14145" s="345"/>
    </row>
    <row r="14146" spans="1:1" ht="21">
      <c r="A14146" s="345"/>
    </row>
    <row r="14147" spans="1:1" ht="21">
      <c r="A14147" s="345"/>
    </row>
    <row r="14148" spans="1:1" ht="21">
      <c r="A14148" s="345"/>
    </row>
    <row r="14149" spans="1:1" ht="21">
      <c r="A14149" s="345"/>
    </row>
    <row r="14150" spans="1:1" ht="21">
      <c r="A14150" s="345"/>
    </row>
    <row r="14151" spans="1:1" ht="21">
      <c r="A14151" s="345"/>
    </row>
    <row r="14152" spans="1:1" ht="21">
      <c r="A14152" s="345"/>
    </row>
    <row r="14153" spans="1:1" ht="21">
      <c r="A14153" s="345"/>
    </row>
    <row r="14154" spans="1:1" ht="21">
      <c r="A14154" s="345"/>
    </row>
    <row r="14155" spans="1:1" ht="21">
      <c r="A14155" s="345"/>
    </row>
    <row r="14156" spans="1:1" ht="21">
      <c r="A14156" s="345"/>
    </row>
    <row r="14157" spans="1:1" ht="21">
      <c r="A14157" s="345"/>
    </row>
    <row r="14158" spans="1:1" ht="21">
      <c r="A14158" s="345"/>
    </row>
    <row r="14159" spans="1:1" ht="21">
      <c r="A14159" s="345"/>
    </row>
    <row r="14160" spans="1:1" ht="21">
      <c r="A14160" s="345"/>
    </row>
    <row r="14161" spans="1:1" ht="21">
      <c r="A14161" s="345"/>
    </row>
    <row r="14162" spans="1:1" ht="21">
      <c r="A14162" s="345"/>
    </row>
    <row r="14163" spans="1:1" ht="21">
      <c r="A14163" s="345"/>
    </row>
    <row r="14164" spans="1:1" ht="21">
      <c r="A14164" s="345"/>
    </row>
    <row r="14165" spans="1:1" ht="21">
      <c r="A14165" s="345"/>
    </row>
    <row r="14166" spans="1:1" ht="21">
      <c r="A14166" s="345"/>
    </row>
    <row r="14167" spans="1:1" ht="21">
      <c r="A14167" s="345"/>
    </row>
    <row r="14168" spans="1:1" ht="21">
      <c r="A14168" s="345"/>
    </row>
    <row r="14169" spans="1:1" ht="21">
      <c r="A14169" s="345"/>
    </row>
    <row r="14170" spans="1:1" ht="21">
      <c r="A14170" s="345"/>
    </row>
    <row r="14171" spans="1:1" ht="21">
      <c r="A14171" s="345"/>
    </row>
    <row r="14172" spans="1:1" ht="21">
      <c r="A14172" s="345"/>
    </row>
    <row r="14173" spans="1:1" ht="21">
      <c r="A14173" s="345"/>
    </row>
    <row r="14174" spans="1:1" ht="21">
      <c r="A14174" s="345"/>
    </row>
    <row r="14175" spans="1:1" ht="21">
      <c r="A14175" s="345"/>
    </row>
    <row r="14176" spans="1:1" ht="21">
      <c r="A14176" s="345"/>
    </row>
    <row r="14177" spans="1:1" ht="21">
      <c r="A14177" s="345"/>
    </row>
    <row r="14178" spans="1:1" ht="21">
      <c r="A14178" s="345"/>
    </row>
    <row r="14179" spans="1:1" ht="21">
      <c r="A14179" s="345"/>
    </row>
    <row r="14180" spans="1:1" ht="21">
      <c r="A14180" s="345"/>
    </row>
    <row r="14181" spans="1:1" ht="21">
      <c r="A14181" s="345"/>
    </row>
    <row r="14182" spans="1:1" ht="21">
      <c r="A14182" s="345"/>
    </row>
    <row r="14183" spans="1:1" ht="21">
      <c r="A14183" s="345"/>
    </row>
    <row r="14184" spans="1:1" ht="21">
      <c r="A14184" s="345"/>
    </row>
    <row r="14185" spans="1:1" ht="21">
      <c r="A14185" s="345"/>
    </row>
    <row r="14186" spans="1:1" ht="21">
      <c r="A14186" s="345"/>
    </row>
    <row r="14187" spans="1:1" ht="21">
      <c r="A14187" s="345"/>
    </row>
    <row r="14188" spans="1:1" ht="21">
      <c r="A14188" s="345"/>
    </row>
    <row r="14189" spans="1:1" ht="21">
      <c r="A14189" s="345"/>
    </row>
    <row r="14190" spans="1:1" ht="21">
      <c r="A14190" s="345"/>
    </row>
    <row r="14191" spans="1:1" ht="21">
      <c r="A14191" s="345"/>
    </row>
    <row r="14192" spans="1:1" ht="21">
      <c r="A14192" s="345"/>
    </row>
    <row r="14193" spans="1:1" ht="21">
      <c r="A14193" s="345"/>
    </row>
    <row r="14194" spans="1:1" ht="21">
      <c r="A14194" s="345"/>
    </row>
    <row r="14195" spans="1:1" ht="21">
      <c r="A14195" s="345"/>
    </row>
    <row r="14196" spans="1:1" ht="21">
      <c r="A14196" s="345"/>
    </row>
    <row r="14197" spans="1:1" ht="21">
      <c r="A14197" s="345"/>
    </row>
    <row r="14198" spans="1:1" ht="21">
      <c r="A14198" s="345"/>
    </row>
    <row r="14199" spans="1:1" ht="21">
      <c r="A14199" s="345"/>
    </row>
    <row r="14200" spans="1:1" ht="21">
      <c r="A14200" s="345"/>
    </row>
    <row r="14201" spans="1:1" ht="21">
      <c r="A14201" s="345"/>
    </row>
    <row r="14202" spans="1:1" ht="21">
      <c r="A14202" s="345"/>
    </row>
    <row r="14203" spans="1:1" ht="21">
      <c r="A14203" s="345"/>
    </row>
    <row r="14204" spans="1:1" ht="21">
      <c r="A14204" s="345"/>
    </row>
    <row r="14205" spans="1:1" ht="21">
      <c r="A14205" s="345"/>
    </row>
    <row r="14206" spans="1:1" ht="21">
      <c r="A14206" s="345"/>
    </row>
    <row r="14207" spans="1:1" ht="21">
      <c r="A14207" s="345"/>
    </row>
    <row r="14208" spans="1:1" ht="21">
      <c r="A14208" s="345"/>
    </row>
    <row r="14209" spans="1:1" ht="21">
      <c r="A14209" s="345"/>
    </row>
    <row r="14210" spans="1:1" ht="21">
      <c r="A14210" s="345"/>
    </row>
    <row r="14211" spans="1:1" ht="21">
      <c r="A14211" s="345"/>
    </row>
    <row r="14212" spans="1:1" ht="21">
      <c r="A14212" s="345"/>
    </row>
    <row r="14213" spans="1:1" ht="21">
      <c r="A14213" s="345"/>
    </row>
    <row r="14214" spans="1:1" ht="21">
      <c r="A14214" s="345"/>
    </row>
    <row r="14215" spans="1:1" ht="21">
      <c r="A14215" s="345"/>
    </row>
    <row r="14216" spans="1:1" ht="21">
      <c r="A14216" s="345"/>
    </row>
    <row r="14217" spans="1:1" ht="21">
      <c r="A14217" s="345"/>
    </row>
    <row r="14218" spans="1:1" ht="21">
      <c r="A14218" s="345"/>
    </row>
    <row r="14219" spans="1:1" ht="21">
      <c r="A14219" s="345"/>
    </row>
    <row r="14220" spans="1:1" ht="21">
      <c r="A14220" s="345"/>
    </row>
    <row r="14221" spans="1:1" ht="21">
      <c r="A14221" s="345"/>
    </row>
    <row r="14222" spans="1:1" ht="21">
      <c r="A14222" s="345"/>
    </row>
    <row r="14223" spans="1:1" ht="21">
      <c r="A14223" s="345"/>
    </row>
    <row r="14224" spans="1:1" ht="21">
      <c r="A14224" s="345"/>
    </row>
    <row r="14225" spans="1:1" ht="21">
      <c r="A14225" s="345"/>
    </row>
    <row r="14226" spans="1:1" ht="21">
      <c r="A14226" s="345"/>
    </row>
    <row r="14227" spans="1:1" ht="21">
      <c r="A14227" s="345"/>
    </row>
    <row r="14228" spans="1:1" ht="21">
      <c r="A14228" s="345"/>
    </row>
    <row r="14229" spans="1:1" ht="21">
      <c r="A14229" s="345"/>
    </row>
    <row r="14230" spans="1:1" ht="21">
      <c r="A14230" s="345"/>
    </row>
    <row r="14231" spans="1:1" ht="21">
      <c r="A14231" s="345"/>
    </row>
    <row r="14232" spans="1:1" ht="21">
      <c r="A14232" s="345"/>
    </row>
    <row r="14233" spans="1:1" ht="21">
      <c r="A14233" s="345"/>
    </row>
    <row r="14234" spans="1:1" ht="21">
      <c r="A14234" s="345"/>
    </row>
    <row r="14235" spans="1:1" ht="21">
      <c r="A14235" s="345"/>
    </row>
    <row r="14236" spans="1:1" ht="21">
      <c r="A14236" s="345"/>
    </row>
    <row r="14237" spans="1:1" ht="21">
      <c r="A14237" s="345"/>
    </row>
    <row r="14238" spans="1:1" ht="21">
      <c r="A14238" s="345"/>
    </row>
    <row r="14239" spans="1:1" ht="21">
      <c r="A14239" s="345"/>
    </row>
    <row r="14240" spans="1:1" ht="21">
      <c r="A14240" s="345"/>
    </row>
    <row r="14241" spans="1:1" ht="21">
      <c r="A14241" s="345"/>
    </row>
    <row r="14242" spans="1:1" ht="21">
      <c r="A14242" s="345"/>
    </row>
    <row r="14243" spans="1:1" ht="21">
      <c r="A14243" s="345"/>
    </row>
    <row r="14244" spans="1:1" ht="21">
      <c r="A14244" s="345"/>
    </row>
    <row r="14245" spans="1:1" ht="21">
      <c r="A14245" s="345"/>
    </row>
    <row r="14246" spans="1:1" ht="21">
      <c r="A14246" s="345"/>
    </row>
    <row r="14247" spans="1:1" ht="21">
      <c r="A14247" s="345"/>
    </row>
    <row r="14248" spans="1:1" ht="21">
      <c r="A14248" s="345"/>
    </row>
    <row r="14249" spans="1:1" ht="21">
      <c r="A14249" s="345"/>
    </row>
    <row r="14250" spans="1:1" ht="21">
      <c r="A14250" s="345"/>
    </row>
    <row r="14251" spans="1:1" ht="21">
      <c r="A14251" s="345"/>
    </row>
    <row r="14252" spans="1:1" ht="21">
      <c r="A14252" s="345"/>
    </row>
    <row r="14253" spans="1:1" ht="21">
      <c r="A14253" s="345"/>
    </row>
    <row r="14254" spans="1:1" ht="21">
      <c r="A14254" s="345"/>
    </row>
    <row r="14255" spans="1:1" ht="21">
      <c r="A14255" s="345"/>
    </row>
    <row r="14256" spans="1:1" ht="21">
      <c r="A14256" s="345"/>
    </row>
    <row r="14257" spans="1:1" ht="21">
      <c r="A14257" s="345"/>
    </row>
    <row r="14258" spans="1:1" ht="21">
      <c r="A14258" s="345"/>
    </row>
    <row r="14259" spans="1:1" ht="21">
      <c r="A14259" s="345"/>
    </row>
    <row r="14260" spans="1:1" ht="21">
      <c r="A14260" s="345"/>
    </row>
    <row r="14261" spans="1:1" ht="21">
      <c r="A14261" s="345"/>
    </row>
    <row r="14262" spans="1:1" ht="21">
      <c r="A14262" s="345"/>
    </row>
    <row r="14263" spans="1:1" ht="21">
      <c r="A14263" s="345"/>
    </row>
    <row r="14264" spans="1:1" ht="21">
      <c r="A14264" s="345"/>
    </row>
    <row r="14265" spans="1:1" ht="21">
      <c r="A14265" s="345"/>
    </row>
    <row r="14266" spans="1:1" ht="21">
      <c r="A14266" s="345"/>
    </row>
    <row r="14267" spans="1:1" ht="21">
      <c r="A14267" s="345"/>
    </row>
    <row r="14268" spans="1:1" ht="21">
      <c r="A14268" s="345"/>
    </row>
    <row r="14269" spans="1:1" ht="21">
      <c r="A14269" s="345"/>
    </row>
    <row r="14270" spans="1:1" ht="21">
      <c r="A14270" s="345"/>
    </row>
    <row r="14271" spans="1:1" ht="21">
      <c r="A14271" s="345"/>
    </row>
    <row r="14272" spans="1:1" ht="21">
      <c r="A14272" s="345"/>
    </row>
    <row r="14273" spans="1:1" ht="21">
      <c r="A14273" s="345"/>
    </row>
    <row r="14274" spans="1:1" ht="21">
      <c r="A14274" s="345"/>
    </row>
    <row r="14275" spans="1:1" ht="21">
      <c r="A14275" s="345"/>
    </row>
    <row r="14276" spans="1:1" ht="21">
      <c r="A14276" s="345"/>
    </row>
    <row r="14277" spans="1:1" ht="21">
      <c r="A14277" s="345"/>
    </row>
    <row r="14278" spans="1:1" ht="21">
      <c r="A14278" s="345"/>
    </row>
    <row r="14279" spans="1:1" ht="21">
      <c r="A14279" s="345"/>
    </row>
    <row r="14280" spans="1:1" ht="21">
      <c r="A14280" s="345"/>
    </row>
    <row r="14281" spans="1:1" ht="21">
      <c r="A14281" s="345"/>
    </row>
    <row r="14282" spans="1:1" ht="21">
      <c r="A14282" s="345"/>
    </row>
    <row r="14283" spans="1:1" ht="21">
      <c r="A14283" s="345"/>
    </row>
    <row r="14284" spans="1:1" ht="21">
      <c r="A14284" s="345"/>
    </row>
    <row r="14285" spans="1:1" ht="21">
      <c r="A14285" s="345"/>
    </row>
    <row r="14286" spans="1:1" ht="21">
      <c r="A14286" s="345"/>
    </row>
    <row r="14287" spans="1:1" ht="21">
      <c r="A14287" s="345"/>
    </row>
    <row r="14288" spans="1:1" ht="21">
      <c r="A14288" s="345"/>
    </row>
    <row r="14289" spans="1:1" ht="21">
      <c r="A14289" s="345"/>
    </row>
    <row r="14290" spans="1:1" ht="21">
      <c r="A14290" s="345"/>
    </row>
    <row r="14291" spans="1:1" ht="21">
      <c r="A14291" s="345"/>
    </row>
    <row r="14292" spans="1:1" ht="21">
      <c r="A14292" s="345"/>
    </row>
    <row r="14293" spans="1:1" ht="21">
      <c r="A14293" s="345"/>
    </row>
    <row r="14294" spans="1:1" ht="21">
      <c r="A14294" s="345"/>
    </row>
    <row r="14295" spans="1:1" ht="21">
      <c r="A14295" s="345"/>
    </row>
    <row r="14296" spans="1:1" ht="21">
      <c r="A14296" s="345"/>
    </row>
    <row r="14297" spans="1:1" ht="21">
      <c r="A14297" s="345"/>
    </row>
    <row r="14298" spans="1:1" ht="21">
      <c r="A14298" s="345"/>
    </row>
    <row r="14299" spans="1:1" ht="21">
      <c r="A14299" s="345"/>
    </row>
    <row r="14300" spans="1:1" ht="21">
      <c r="A14300" s="345"/>
    </row>
    <row r="14301" spans="1:1" ht="21">
      <c r="A14301" s="345"/>
    </row>
    <row r="14302" spans="1:1" ht="21">
      <c r="A14302" s="345"/>
    </row>
    <row r="14303" spans="1:1" ht="21">
      <c r="A14303" s="345"/>
    </row>
    <row r="14304" spans="1:1" ht="21">
      <c r="A14304" s="345"/>
    </row>
    <row r="14305" spans="1:1" ht="21">
      <c r="A14305" s="345"/>
    </row>
    <row r="14306" spans="1:1" ht="21">
      <c r="A14306" s="345"/>
    </row>
    <row r="14307" spans="1:1" ht="21">
      <c r="A14307" s="345"/>
    </row>
    <row r="14308" spans="1:1" ht="21">
      <c r="A14308" s="345"/>
    </row>
    <row r="14309" spans="1:1" ht="21">
      <c r="A14309" s="345"/>
    </row>
    <row r="14310" spans="1:1" ht="21">
      <c r="A14310" s="345"/>
    </row>
    <row r="14311" spans="1:1" ht="21">
      <c r="A14311" s="345"/>
    </row>
    <row r="14312" spans="1:1" ht="21">
      <c r="A14312" s="345"/>
    </row>
    <row r="14313" spans="1:1" ht="21">
      <c r="A14313" s="345"/>
    </row>
    <row r="14314" spans="1:1" ht="21">
      <c r="A14314" s="345"/>
    </row>
    <row r="14315" spans="1:1" ht="21">
      <c r="A14315" s="345"/>
    </row>
    <row r="14316" spans="1:1" ht="21">
      <c r="A14316" s="345"/>
    </row>
    <row r="14317" spans="1:1" ht="21">
      <c r="A14317" s="345"/>
    </row>
    <row r="14318" spans="1:1" ht="21">
      <c r="A14318" s="345"/>
    </row>
    <row r="14319" spans="1:1" ht="21">
      <c r="A14319" s="345"/>
    </row>
    <row r="14320" spans="1:1" ht="21">
      <c r="A14320" s="345"/>
    </row>
    <row r="14321" spans="1:1" ht="21">
      <c r="A14321" s="345"/>
    </row>
    <row r="14322" spans="1:1" ht="21">
      <c r="A14322" s="345"/>
    </row>
    <row r="14323" spans="1:1" ht="21">
      <c r="A14323" s="345"/>
    </row>
    <row r="14324" spans="1:1" ht="21">
      <c r="A14324" s="345"/>
    </row>
    <row r="14325" spans="1:1" ht="21">
      <c r="A14325" s="345"/>
    </row>
    <row r="14326" spans="1:1" ht="21">
      <c r="A14326" s="345"/>
    </row>
    <row r="14327" spans="1:1" ht="21">
      <c r="A14327" s="345"/>
    </row>
    <row r="14328" spans="1:1" ht="21">
      <c r="A14328" s="345"/>
    </row>
    <row r="14329" spans="1:1" ht="21">
      <c r="A14329" s="345"/>
    </row>
    <row r="14330" spans="1:1" ht="21">
      <c r="A14330" s="345"/>
    </row>
    <row r="14331" spans="1:1" ht="21">
      <c r="A14331" s="345"/>
    </row>
    <row r="14332" spans="1:1" ht="21">
      <c r="A14332" s="345"/>
    </row>
    <row r="14333" spans="1:1" ht="21">
      <c r="A14333" s="345"/>
    </row>
    <row r="14334" spans="1:1" ht="21">
      <c r="A14334" s="345"/>
    </row>
    <row r="14335" spans="1:1" ht="21">
      <c r="A14335" s="345"/>
    </row>
    <row r="14336" spans="1:1" ht="21">
      <c r="A14336" s="345"/>
    </row>
    <row r="14337" spans="1:1" ht="21">
      <c r="A14337" s="345"/>
    </row>
    <row r="14338" spans="1:1" ht="21">
      <c r="A14338" s="345"/>
    </row>
    <row r="14339" spans="1:1" ht="21">
      <c r="A14339" s="345"/>
    </row>
    <row r="14340" spans="1:1" ht="21">
      <c r="A14340" s="345"/>
    </row>
    <row r="14341" spans="1:1" ht="21">
      <c r="A14341" s="345"/>
    </row>
    <row r="14342" spans="1:1" ht="21">
      <c r="A14342" s="345"/>
    </row>
    <row r="14343" spans="1:1" ht="21">
      <c r="A14343" s="345"/>
    </row>
    <row r="14344" spans="1:1" ht="21">
      <c r="A14344" s="345"/>
    </row>
    <row r="14345" spans="1:1" ht="21">
      <c r="A14345" s="345"/>
    </row>
    <row r="14346" spans="1:1" ht="21">
      <c r="A14346" s="345"/>
    </row>
    <row r="14347" spans="1:1" ht="21">
      <c r="A14347" s="345"/>
    </row>
    <row r="14348" spans="1:1" ht="21">
      <c r="A14348" s="345"/>
    </row>
    <row r="14349" spans="1:1" ht="21">
      <c r="A14349" s="345"/>
    </row>
    <row r="14350" spans="1:1" ht="21">
      <c r="A14350" s="345"/>
    </row>
    <row r="14351" spans="1:1" ht="21">
      <c r="A14351" s="345"/>
    </row>
    <row r="14352" spans="1:1" ht="21">
      <c r="A14352" s="345"/>
    </row>
    <row r="14353" spans="1:1" ht="21">
      <c r="A14353" s="345"/>
    </row>
    <row r="14354" spans="1:1" ht="21">
      <c r="A14354" s="345"/>
    </row>
    <row r="14355" spans="1:1" ht="21">
      <c r="A14355" s="345"/>
    </row>
    <row r="14356" spans="1:1" ht="21">
      <c r="A14356" s="345"/>
    </row>
    <row r="14357" spans="1:1" ht="21">
      <c r="A14357" s="345"/>
    </row>
    <row r="14358" spans="1:1" ht="21">
      <c r="A14358" s="345"/>
    </row>
    <row r="14359" spans="1:1" ht="21">
      <c r="A14359" s="345"/>
    </row>
    <row r="14360" spans="1:1" ht="21">
      <c r="A14360" s="345"/>
    </row>
    <row r="14361" spans="1:1" ht="21">
      <c r="A14361" s="345"/>
    </row>
    <row r="14362" spans="1:1" ht="21">
      <c r="A14362" s="345"/>
    </row>
    <row r="14363" spans="1:1" ht="21">
      <c r="A14363" s="345"/>
    </row>
    <row r="14364" spans="1:1" ht="21">
      <c r="A14364" s="345"/>
    </row>
    <row r="14365" spans="1:1" ht="21">
      <c r="A14365" s="345"/>
    </row>
    <row r="14366" spans="1:1" ht="21">
      <c r="A14366" s="345"/>
    </row>
    <row r="14367" spans="1:1" ht="21">
      <c r="A14367" s="345"/>
    </row>
    <row r="14368" spans="1:1" ht="21">
      <c r="A14368" s="345"/>
    </row>
    <row r="14369" spans="1:1" ht="21">
      <c r="A14369" s="345"/>
    </row>
    <row r="14370" spans="1:1" ht="21">
      <c r="A14370" s="345"/>
    </row>
    <row r="14371" spans="1:1" ht="21">
      <c r="A14371" s="345"/>
    </row>
    <row r="14372" spans="1:1" ht="21">
      <c r="A14372" s="345"/>
    </row>
    <row r="14373" spans="1:1" ht="21">
      <c r="A14373" s="345"/>
    </row>
    <row r="14374" spans="1:1" ht="21">
      <c r="A14374" s="345"/>
    </row>
    <row r="14375" spans="1:1" ht="21">
      <c r="A14375" s="345"/>
    </row>
    <row r="14376" spans="1:1" ht="21">
      <c r="A14376" s="345"/>
    </row>
    <row r="14377" spans="1:1" ht="21">
      <c r="A14377" s="345"/>
    </row>
    <row r="14378" spans="1:1" ht="21">
      <c r="A14378" s="345"/>
    </row>
    <row r="14379" spans="1:1" ht="21">
      <c r="A14379" s="345"/>
    </row>
    <row r="14380" spans="1:1" ht="21">
      <c r="A14380" s="345"/>
    </row>
    <row r="14381" spans="1:1" ht="21">
      <c r="A14381" s="345"/>
    </row>
    <row r="14382" spans="1:1" ht="21">
      <c r="A14382" s="345"/>
    </row>
    <row r="14383" spans="1:1" ht="21">
      <c r="A14383" s="345"/>
    </row>
    <row r="14384" spans="1:1" ht="21">
      <c r="A14384" s="345"/>
    </row>
    <row r="14385" spans="1:1" ht="21">
      <c r="A14385" s="345"/>
    </row>
    <row r="14386" spans="1:1" ht="21">
      <c r="A14386" s="345"/>
    </row>
    <row r="14387" spans="1:1" ht="21">
      <c r="A14387" s="345"/>
    </row>
    <row r="14388" spans="1:1" ht="21">
      <c r="A14388" s="345"/>
    </row>
    <row r="14389" spans="1:1" ht="21">
      <c r="A14389" s="345"/>
    </row>
    <row r="14390" spans="1:1" ht="21">
      <c r="A14390" s="345"/>
    </row>
    <row r="14391" spans="1:1" ht="21">
      <c r="A14391" s="345"/>
    </row>
    <row r="14392" spans="1:1" ht="21">
      <c r="A14392" s="345"/>
    </row>
    <row r="14393" spans="1:1" ht="21">
      <c r="A14393" s="345"/>
    </row>
    <row r="14394" spans="1:1" ht="21">
      <c r="A14394" s="345"/>
    </row>
    <row r="14395" spans="1:1" ht="21">
      <c r="A14395" s="345"/>
    </row>
    <row r="14396" spans="1:1" ht="21">
      <c r="A14396" s="345"/>
    </row>
    <row r="14397" spans="1:1" ht="21">
      <c r="A14397" s="345"/>
    </row>
    <row r="14398" spans="1:1" ht="21">
      <c r="A14398" s="345"/>
    </row>
    <row r="14399" spans="1:1" ht="21">
      <c r="A14399" s="345"/>
    </row>
    <row r="14400" spans="1:1" ht="21">
      <c r="A14400" s="345"/>
    </row>
    <row r="14401" spans="1:1" ht="21">
      <c r="A14401" s="345"/>
    </row>
    <row r="14402" spans="1:1" ht="21">
      <c r="A14402" s="345"/>
    </row>
    <row r="14403" spans="1:1" ht="21">
      <c r="A14403" s="345"/>
    </row>
    <row r="14404" spans="1:1" ht="21">
      <c r="A14404" s="345"/>
    </row>
    <row r="14405" spans="1:1" ht="21">
      <c r="A14405" s="345"/>
    </row>
    <row r="14406" spans="1:1" ht="21">
      <c r="A14406" s="345"/>
    </row>
    <row r="14407" spans="1:1" ht="21">
      <c r="A14407" s="345"/>
    </row>
    <row r="14408" spans="1:1" ht="21">
      <c r="A14408" s="345"/>
    </row>
    <row r="14409" spans="1:1" ht="21">
      <c r="A14409" s="345"/>
    </row>
    <row r="14410" spans="1:1" ht="21">
      <c r="A14410" s="345"/>
    </row>
    <row r="14411" spans="1:1" ht="21">
      <c r="A14411" s="345"/>
    </row>
    <row r="14412" spans="1:1" ht="21">
      <c r="A14412" s="345"/>
    </row>
    <row r="14413" spans="1:1" ht="21">
      <c r="A14413" s="345"/>
    </row>
    <row r="14414" spans="1:1" ht="21">
      <c r="A14414" s="345"/>
    </row>
    <row r="14415" spans="1:1" ht="21">
      <c r="A14415" s="345"/>
    </row>
    <row r="14416" spans="1:1" ht="21">
      <c r="A14416" s="345"/>
    </row>
    <row r="14417" spans="1:1" ht="21">
      <c r="A14417" s="345"/>
    </row>
    <row r="14418" spans="1:1" ht="21">
      <c r="A14418" s="345"/>
    </row>
    <row r="14419" spans="1:1" ht="21">
      <c r="A14419" s="345"/>
    </row>
    <row r="14420" spans="1:1" ht="21">
      <c r="A14420" s="345"/>
    </row>
    <row r="14421" spans="1:1" ht="21">
      <c r="A14421" s="345"/>
    </row>
    <row r="14422" spans="1:1" ht="21">
      <c r="A14422" s="345"/>
    </row>
    <row r="14423" spans="1:1" ht="21">
      <c r="A14423" s="345"/>
    </row>
    <row r="14424" spans="1:1" ht="21">
      <c r="A14424" s="345"/>
    </row>
    <row r="14425" spans="1:1" ht="21">
      <c r="A14425" s="345"/>
    </row>
    <row r="14426" spans="1:1" ht="21">
      <c r="A14426" s="345"/>
    </row>
    <row r="14427" spans="1:1" ht="21">
      <c r="A14427" s="345"/>
    </row>
    <row r="14428" spans="1:1" ht="21">
      <c r="A14428" s="345"/>
    </row>
    <row r="14429" spans="1:1" ht="21">
      <c r="A14429" s="345"/>
    </row>
    <row r="14430" spans="1:1" ht="21">
      <c r="A14430" s="345"/>
    </row>
    <row r="14431" spans="1:1" ht="21">
      <c r="A14431" s="345"/>
    </row>
    <row r="14432" spans="1:1" ht="21">
      <c r="A14432" s="345"/>
    </row>
    <row r="14433" spans="1:1" ht="21">
      <c r="A14433" s="345"/>
    </row>
    <row r="14434" spans="1:1" ht="21">
      <c r="A14434" s="345"/>
    </row>
    <row r="14435" spans="1:1" ht="21">
      <c r="A14435" s="345"/>
    </row>
    <row r="14436" spans="1:1" ht="21">
      <c r="A14436" s="345"/>
    </row>
    <row r="14437" spans="1:1" ht="21">
      <c r="A14437" s="345"/>
    </row>
    <row r="14438" spans="1:1" ht="21">
      <c r="A14438" s="345"/>
    </row>
    <row r="14439" spans="1:1" ht="21">
      <c r="A14439" s="345"/>
    </row>
    <row r="14440" spans="1:1" ht="21">
      <c r="A14440" s="345"/>
    </row>
    <row r="14441" spans="1:1" ht="21">
      <c r="A14441" s="345"/>
    </row>
    <row r="14442" spans="1:1" ht="21">
      <c r="A14442" s="345"/>
    </row>
    <row r="14443" spans="1:1" ht="21">
      <c r="A14443" s="345"/>
    </row>
    <row r="14444" spans="1:1" ht="21">
      <c r="A14444" s="345"/>
    </row>
    <row r="14445" spans="1:1" ht="21">
      <c r="A14445" s="345"/>
    </row>
    <row r="14446" spans="1:1" ht="21">
      <c r="A14446" s="345"/>
    </row>
    <row r="14447" spans="1:1" ht="21">
      <c r="A14447" s="345"/>
    </row>
    <row r="14448" spans="1:1" ht="21">
      <c r="A14448" s="345"/>
    </row>
    <row r="14449" spans="1:1" ht="21">
      <c r="A14449" s="345"/>
    </row>
    <row r="14450" spans="1:1" ht="21">
      <c r="A14450" s="345"/>
    </row>
    <row r="14451" spans="1:1" ht="21">
      <c r="A14451" s="345"/>
    </row>
    <row r="14452" spans="1:1" ht="21">
      <c r="A14452" s="345"/>
    </row>
    <row r="14453" spans="1:1" ht="21">
      <c r="A14453" s="345"/>
    </row>
    <row r="14454" spans="1:1" ht="21">
      <c r="A14454" s="345"/>
    </row>
    <row r="14455" spans="1:1" ht="21">
      <c r="A14455" s="345"/>
    </row>
    <row r="14456" spans="1:1" ht="21">
      <c r="A14456" s="345"/>
    </row>
    <row r="14457" spans="1:1" ht="21">
      <c r="A14457" s="345"/>
    </row>
    <row r="14458" spans="1:1" ht="21">
      <c r="A14458" s="345"/>
    </row>
    <row r="14459" spans="1:1" ht="21">
      <c r="A14459" s="345"/>
    </row>
    <row r="14460" spans="1:1" ht="21">
      <c r="A14460" s="345"/>
    </row>
    <row r="14461" spans="1:1" ht="21">
      <c r="A14461" s="345"/>
    </row>
    <row r="14462" spans="1:1" ht="21">
      <c r="A14462" s="345"/>
    </row>
    <row r="14463" spans="1:1" ht="21">
      <c r="A14463" s="345"/>
    </row>
    <row r="14464" spans="1:1" ht="21">
      <c r="A14464" s="345"/>
    </row>
    <row r="14465" spans="1:1" ht="21">
      <c r="A14465" s="345"/>
    </row>
    <row r="14466" spans="1:1" ht="21">
      <c r="A14466" s="345"/>
    </row>
    <row r="14467" spans="1:1" ht="21">
      <c r="A14467" s="345"/>
    </row>
    <row r="14468" spans="1:1" ht="21">
      <c r="A14468" s="345"/>
    </row>
    <row r="14469" spans="1:1" ht="21">
      <c r="A14469" s="345"/>
    </row>
    <row r="14470" spans="1:1" ht="21">
      <c r="A14470" s="345"/>
    </row>
    <row r="14471" spans="1:1" ht="21">
      <c r="A14471" s="345"/>
    </row>
    <row r="14472" spans="1:1" ht="21">
      <c r="A14472" s="345"/>
    </row>
    <row r="14473" spans="1:1" ht="21">
      <c r="A14473" s="345"/>
    </row>
    <row r="14474" spans="1:1" ht="21">
      <c r="A14474" s="345"/>
    </row>
    <row r="14475" spans="1:1" ht="21">
      <c r="A14475" s="345"/>
    </row>
    <row r="14476" spans="1:1" ht="21">
      <c r="A14476" s="345"/>
    </row>
    <row r="14477" spans="1:1" ht="21">
      <c r="A14477" s="345"/>
    </row>
    <row r="14478" spans="1:1" ht="21">
      <c r="A14478" s="345"/>
    </row>
    <row r="14479" spans="1:1" ht="21">
      <c r="A14479" s="345"/>
    </row>
    <row r="14480" spans="1:1" ht="21">
      <c r="A14480" s="345"/>
    </row>
    <row r="14481" spans="1:1" ht="21">
      <c r="A14481" s="345"/>
    </row>
    <row r="14482" spans="1:1" ht="21">
      <c r="A14482" s="345"/>
    </row>
    <row r="14483" spans="1:1" ht="21">
      <c r="A14483" s="345"/>
    </row>
    <row r="14484" spans="1:1" ht="21">
      <c r="A14484" s="345"/>
    </row>
    <row r="14485" spans="1:1" ht="21">
      <c r="A14485" s="345"/>
    </row>
    <row r="14486" spans="1:1" ht="21">
      <c r="A14486" s="345"/>
    </row>
    <row r="14487" spans="1:1" ht="21">
      <c r="A14487" s="345"/>
    </row>
    <row r="14488" spans="1:1" ht="21">
      <c r="A14488" s="345"/>
    </row>
    <row r="14489" spans="1:1" ht="21">
      <c r="A14489" s="345"/>
    </row>
    <row r="14490" spans="1:1" ht="21">
      <c r="A14490" s="345"/>
    </row>
    <row r="14491" spans="1:1" ht="21">
      <c r="A14491" s="345"/>
    </row>
    <row r="14492" spans="1:1" ht="21">
      <c r="A14492" s="345"/>
    </row>
    <row r="14493" spans="1:1" ht="21">
      <c r="A14493" s="345"/>
    </row>
    <row r="14494" spans="1:1" ht="21">
      <c r="A14494" s="345"/>
    </row>
    <row r="14495" spans="1:1" ht="21">
      <c r="A14495" s="345"/>
    </row>
    <row r="14496" spans="1:1" ht="21">
      <c r="A14496" s="345"/>
    </row>
    <row r="14497" spans="1:1" ht="21">
      <c r="A14497" s="345"/>
    </row>
    <row r="14498" spans="1:1" ht="21">
      <c r="A14498" s="345"/>
    </row>
    <row r="14499" spans="1:1" ht="21">
      <c r="A14499" s="345"/>
    </row>
    <row r="14500" spans="1:1" ht="21">
      <c r="A14500" s="345"/>
    </row>
    <row r="14501" spans="1:1" ht="21">
      <c r="A14501" s="345"/>
    </row>
    <row r="14502" spans="1:1" ht="21">
      <c r="A14502" s="345"/>
    </row>
    <row r="14503" spans="1:1" ht="21">
      <c r="A14503" s="345"/>
    </row>
    <row r="14504" spans="1:1" ht="21">
      <c r="A14504" s="345"/>
    </row>
    <row r="14505" spans="1:1" ht="21">
      <c r="A14505" s="345"/>
    </row>
    <row r="14506" spans="1:1" ht="21">
      <c r="A14506" s="345"/>
    </row>
    <row r="14507" spans="1:1" ht="21">
      <c r="A14507" s="345"/>
    </row>
    <row r="14508" spans="1:1" ht="21">
      <c r="A14508" s="345"/>
    </row>
    <row r="14509" spans="1:1" ht="21">
      <c r="A14509" s="345"/>
    </row>
    <row r="14510" spans="1:1" ht="21">
      <c r="A14510" s="345"/>
    </row>
    <row r="14511" spans="1:1" ht="21">
      <c r="A14511" s="345"/>
    </row>
    <row r="14512" spans="1:1" ht="21">
      <c r="A14512" s="345"/>
    </row>
    <row r="14513" spans="1:1" ht="21">
      <c r="A14513" s="345"/>
    </row>
    <row r="14514" spans="1:1" ht="21">
      <c r="A14514" s="345"/>
    </row>
    <row r="14515" spans="1:1" ht="21">
      <c r="A14515" s="345"/>
    </row>
    <row r="14516" spans="1:1" ht="21">
      <c r="A14516" s="345"/>
    </row>
    <row r="14517" spans="1:1" ht="21">
      <c r="A14517" s="345"/>
    </row>
    <row r="14518" spans="1:1" ht="21">
      <c r="A14518" s="345"/>
    </row>
    <row r="14519" spans="1:1" ht="21">
      <c r="A14519" s="345"/>
    </row>
    <row r="14520" spans="1:1" ht="21">
      <c r="A14520" s="345"/>
    </row>
    <row r="14521" spans="1:1" ht="21">
      <c r="A14521" s="345"/>
    </row>
    <row r="14522" spans="1:1" ht="21">
      <c r="A14522" s="345"/>
    </row>
    <row r="14523" spans="1:1" ht="21">
      <c r="A14523" s="345"/>
    </row>
    <row r="14524" spans="1:1" ht="21">
      <c r="A14524" s="345"/>
    </row>
    <row r="14525" spans="1:1" ht="21">
      <c r="A14525" s="345"/>
    </row>
    <row r="14526" spans="1:1" ht="21">
      <c r="A14526" s="345"/>
    </row>
    <row r="14527" spans="1:1" ht="21">
      <c r="A14527" s="345"/>
    </row>
    <row r="14528" spans="1:1" ht="21">
      <c r="A14528" s="345"/>
    </row>
    <row r="14529" spans="1:1" ht="21">
      <c r="A14529" s="345"/>
    </row>
    <row r="14530" spans="1:1" ht="21">
      <c r="A14530" s="345"/>
    </row>
    <row r="14531" spans="1:1" ht="21">
      <c r="A14531" s="345"/>
    </row>
    <row r="14532" spans="1:1" ht="21">
      <c r="A14532" s="345"/>
    </row>
    <row r="14533" spans="1:1" ht="21">
      <c r="A14533" s="345"/>
    </row>
    <row r="14534" spans="1:1" ht="21">
      <c r="A14534" s="345"/>
    </row>
    <row r="14535" spans="1:1" ht="21">
      <c r="A14535" s="345"/>
    </row>
    <row r="14536" spans="1:1" ht="21">
      <c r="A14536" s="345"/>
    </row>
    <row r="14537" spans="1:1" ht="21">
      <c r="A14537" s="345"/>
    </row>
    <row r="14538" spans="1:1" ht="21">
      <c r="A14538" s="345"/>
    </row>
    <row r="14539" spans="1:1" ht="21">
      <c r="A14539" s="345"/>
    </row>
    <row r="14540" spans="1:1" ht="21">
      <c r="A14540" s="345"/>
    </row>
    <row r="14541" spans="1:1" ht="21">
      <c r="A14541" s="345"/>
    </row>
    <row r="14542" spans="1:1" ht="21">
      <c r="A14542" s="345"/>
    </row>
    <row r="14543" spans="1:1" ht="21">
      <c r="A14543" s="345"/>
    </row>
    <row r="14544" spans="1:1" ht="21">
      <c r="A14544" s="345"/>
    </row>
    <row r="14545" spans="1:1" ht="21">
      <c r="A14545" s="345"/>
    </row>
    <row r="14546" spans="1:1" ht="21">
      <c r="A14546" s="345"/>
    </row>
    <row r="14547" spans="1:1" ht="21">
      <c r="A14547" s="345"/>
    </row>
    <row r="14548" spans="1:1" ht="21">
      <c r="A14548" s="345"/>
    </row>
    <row r="14549" spans="1:1" ht="21">
      <c r="A14549" s="345"/>
    </row>
    <row r="14550" spans="1:1" ht="21">
      <c r="A14550" s="345"/>
    </row>
    <row r="14551" spans="1:1" ht="21">
      <c r="A14551" s="345"/>
    </row>
    <row r="14552" spans="1:1" ht="21">
      <c r="A14552" s="345"/>
    </row>
    <row r="14553" spans="1:1" ht="21">
      <c r="A14553" s="345"/>
    </row>
    <row r="14554" spans="1:1" ht="21">
      <c r="A14554" s="345"/>
    </row>
    <row r="14555" spans="1:1" ht="21">
      <c r="A14555" s="345"/>
    </row>
    <row r="14556" spans="1:1" ht="21">
      <c r="A14556" s="345"/>
    </row>
    <row r="14557" spans="1:1" ht="21">
      <c r="A14557" s="345"/>
    </row>
    <row r="14558" spans="1:1" ht="21">
      <c r="A14558" s="345"/>
    </row>
    <row r="14559" spans="1:1" ht="21">
      <c r="A14559" s="345"/>
    </row>
    <row r="14560" spans="1:1" ht="21">
      <c r="A14560" s="345"/>
    </row>
    <row r="14561" spans="1:1" ht="21">
      <c r="A14561" s="345"/>
    </row>
    <row r="14562" spans="1:1" ht="21">
      <c r="A14562" s="345"/>
    </row>
    <row r="14563" spans="1:1" ht="21">
      <c r="A14563" s="345"/>
    </row>
    <row r="14564" spans="1:1" ht="21">
      <c r="A14564" s="345"/>
    </row>
    <row r="14565" spans="1:1" ht="21">
      <c r="A14565" s="345"/>
    </row>
    <row r="14566" spans="1:1" ht="21">
      <c r="A14566" s="345"/>
    </row>
    <row r="14567" spans="1:1" ht="21">
      <c r="A14567" s="345"/>
    </row>
    <row r="14568" spans="1:1" ht="21">
      <c r="A14568" s="345"/>
    </row>
    <row r="14569" spans="1:1" ht="21">
      <c r="A14569" s="345"/>
    </row>
    <row r="14570" spans="1:1" ht="21">
      <c r="A14570" s="345"/>
    </row>
    <row r="14571" spans="1:1" ht="21">
      <c r="A14571" s="345"/>
    </row>
    <row r="14572" spans="1:1" ht="21">
      <c r="A14572" s="345"/>
    </row>
    <row r="14573" spans="1:1" ht="21">
      <c r="A14573" s="345"/>
    </row>
    <row r="14574" spans="1:1" ht="21">
      <c r="A14574" s="345"/>
    </row>
    <row r="14575" spans="1:1" ht="21">
      <c r="A14575" s="345"/>
    </row>
    <row r="14576" spans="1:1" ht="21">
      <c r="A14576" s="345"/>
    </row>
    <row r="14577" spans="1:1" ht="21">
      <c r="A14577" s="345"/>
    </row>
    <row r="14578" spans="1:1" ht="21">
      <c r="A14578" s="345"/>
    </row>
    <row r="14579" spans="1:1" ht="21">
      <c r="A14579" s="345"/>
    </row>
    <row r="14580" spans="1:1" ht="21">
      <c r="A14580" s="345"/>
    </row>
    <row r="14581" spans="1:1" ht="21">
      <c r="A14581" s="345"/>
    </row>
    <row r="14582" spans="1:1" ht="21">
      <c r="A14582" s="345"/>
    </row>
    <row r="14583" spans="1:1" ht="21">
      <c r="A14583" s="345"/>
    </row>
    <row r="14584" spans="1:1" ht="21">
      <c r="A14584" s="345"/>
    </row>
    <row r="14585" spans="1:1" ht="21">
      <c r="A14585" s="345"/>
    </row>
    <row r="14586" spans="1:1" ht="21">
      <c r="A14586" s="345"/>
    </row>
    <row r="14587" spans="1:1" ht="21">
      <c r="A14587" s="345"/>
    </row>
    <row r="14588" spans="1:1" ht="21">
      <c r="A14588" s="345"/>
    </row>
    <row r="14589" spans="1:1" ht="21">
      <c r="A14589" s="345"/>
    </row>
    <row r="14590" spans="1:1" ht="21">
      <c r="A14590" s="345"/>
    </row>
    <row r="14591" spans="1:1" ht="21">
      <c r="A14591" s="345"/>
    </row>
    <row r="14592" spans="1:1" ht="21">
      <c r="A14592" s="345"/>
    </row>
    <row r="14593" spans="1:1" ht="21">
      <c r="A14593" s="345"/>
    </row>
    <row r="14594" spans="1:1" ht="21">
      <c r="A14594" s="345"/>
    </row>
    <row r="14595" spans="1:1" ht="21">
      <c r="A14595" s="345"/>
    </row>
    <row r="14596" spans="1:1" ht="21">
      <c r="A14596" s="345"/>
    </row>
    <row r="14597" spans="1:1" ht="21">
      <c r="A14597" s="345"/>
    </row>
    <row r="14598" spans="1:1" ht="21">
      <c r="A14598" s="345"/>
    </row>
    <row r="14599" spans="1:1" ht="21">
      <c r="A14599" s="345"/>
    </row>
    <row r="14600" spans="1:1" ht="21">
      <c r="A14600" s="345"/>
    </row>
    <row r="14601" spans="1:1" ht="21">
      <c r="A14601" s="345"/>
    </row>
    <row r="14602" spans="1:1" ht="21">
      <c r="A14602" s="345"/>
    </row>
    <row r="14603" spans="1:1" ht="21">
      <c r="A14603" s="345"/>
    </row>
    <row r="14604" spans="1:1" ht="21">
      <c r="A14604" s="345"/>
    </row>
    <row r="14605" spans="1:1" ht="21">
      <c r="A14605" s="345"/>
    </row>
    <row r="14606" spans="1:1" ht="21">
      <c r="A14606" s="345"/>
    </row>
    <row r="14607" spans="1:1" ht="21">
      <c r="A14607" s="345"/>
    </row>
    <row r="14608" spans="1:1" ht="21">
      <c r="A14608" s="345"/>
    </row>
    <row r="14609" spans="1:1" ht="21">
      <c r="A14609" s="345"/>
    </row>
    <row r="14610" spans="1:1" ht="21">
      <c r="A14610" s="345"/>
    </row>
    <row r="14611" spans="1:1" ht="21">
      <c r="A14611" s="345"/>
    </row>
    <row r="14612" spans="1:1" ht="21">
      <c r="A14612" s="345"/>
    </row>
    <row r="14613" spans="1:1" ht="21">
      <c r="A14613" s="345"/>
    </row>
    <row r="14614" spans="1:1" ht="21">
      <c r="A14614" s="345"/>
    </row>
    <row r="14615" spans="1:1" ht="21">
      <c r="A14615" s="345"/>
    </row>
    <row r="14616" spans="1:1" ht="21">
      <c r="A14616" s="345"/>
    </row>
    <row r="14617" spans="1:1" ht="21">
      <c r="A14617" s="345"/>
    </row>
    <row r="14618" spans="1:1" ht="21">
      <c r="A14618" s="345"/>
    </row>
    <row r="14619" spans="1:1" ht="21">
      <c r="A14619" s="345"/>
    </row>
    <row r="14620" spans="1:1" ht="21">
      <c r="A14620" s="345"/>
    </row>
    <row r="14621" spans="1:1" ht="21">
      <c r="A14621" s="345"/>
    </row>
    <row r="14622" spans="1:1" ht="21">
      <c r="A14622" s="345"/>
    </row>
    <row r="14623" spans="1:1" ht="21">
      <c r="A14623" s="345"/>
    </row>
    <row r="14624" spans="1:1" ht="21">
      <c r="A14624" s="345"/>
    </row>
    <row r="14625" spans="1:1" ht="21">
      <c r="A14625" s="345"/>
    </row>
    <row r="14626" spans="1:1" ht="21">
      <c r="A14626" s="345"/>
    </row>
    <row r="14627" spans="1:1" ht="21">
      <c r="A14627" s="345"/>
    </row>
    <row r="14628" spans="1:1" ht="21">
      <c r="A14628" s="345"/>
    </row>
    <row r="14629" spans="1:1" ht="21">
      <c r="A14629" s="345"/>
    </row>
    <row r="14630" spans="1:1" ht="21">
      <c r="A14630" s="345"/>
    </row>
    <row r="14631" spans="1:1" ht="21">
      <c r="A14631" s="345"/>
    </row>
    <row r="14632" spans="1:1" ht="21">
      <c r="A14632" s="345"/>
    </row>
    <row r="14633" spans="1:1" ht="21">
      <c r="A14633" s="345"/>
    </row>
    <row r="14634" spans="1:1" ht="21">
      <c r="A14634" s="345"/>
    </row>
    <row r="14635" spans="1:1" ht="21">
      <c r="A14635" s="345"/>
    </row>
    <row r="14636" spans="1:1" ht="21">
      <c r="A14636" s="345"/>
    </row>
    <row r="14637" spans="1:1" ht="21">
      <c r="A14637" s="345"/>
    </row>
    <row r="14638" spans="1:1" ht="21">
      <c r="A14638" s="345"/>
    </row>
    <row r="14639" spans="1:1" ht="21">
      <c r="A14639" s="345"/>
    </row>
    <row r="14640" spans="1:1" ht="21">
      <c r="A14640" s="345"/>
    </row>
    <row r="14641" spans="1:1" ht="21">
      <c r="A14641" s="345"/>
    </row>
    <row r="14642" spans="1:1" ht="21">
      <c r="A14642" s="345"/>
    </row>
    <row r="14643" spans="1:1" ht="21">
      <c r="A14643" s="345"/>
    </row>
    <row r="14644" spans="1:1" ht="21">
      <c r="A14644" s="345"/>
    </row>
    <row r="14645" spans="1:1" ht="21">
      <c r="A14645" s="345"/>
    </row>
    <row r="14646" spans="1:1" ht="21">
      <c r="A14646" s="345"/>
    </row>
    <row r="14647" spans="1:1" ht="21">
      <c r="A14647" s="345"/>
    </row>
    <row r="14648" spans="1:1" ht="21">
      <c r="A14648" s="345"/>
    </row>
    <row r="14649" spans="1:1" ht="21">
      <c r="A14649" s="345"/>
    </row>
    <row r="14650" spans="1:1" ht="21">
      <c r="A14650" s="345"/>
    </row>
    <row r="14651" spans="1:1" ht="21">
      <c r="A14651" s="345"/>
    </row>
    <row r="14652" spans="1:1" ht="21">
      <c r="A14652" s="345"/>
    </row>
    <row r="14653" spans="1:1" ht="21">
      <c r="A14653" s="345"/>
    </row>
    <row r="14654" spans="1:1" ht="21">
      <c r="A14654" s="345"/>
    </row>
    <row r="14655" spans="1:1" ht="21">
      <c r="A14655" s="345"/>
    </row>
    <row r="14656" spans="1:1" ht="21">
      <c r="A14656" s="345"/>
    </row>
    <row r="14657" spans="1:1" ht="21">
      <c r="A14657" s="345"/>
    </row>
    <row r="14658" spans="1:1" ht="21">
      <c r="A14658" s="345"/>
    </row>
    <row r="14659" spans="1:1" ht="21">
      <c r="A14659" s="345"/>
    </row>
    <row r="14660" spans="1:1" ht="21">
      <c r="A14660" s="345"/>
    </row>
    <row r="14661" spans="1:1" ht="21">
      <c r="A14661" s="345"/>
    </row>
    <row r="14662" spans="1:1" ht="21">
      <c r="A14662" s="345"/>
    </row>
    <row r="14663" spans="1:1" ht="21">
      <c r="A14663" s="345"/>
    </row>
    <row r="14664" spans="1:1" ht="21">
      <c r="A14664" s="345"/>
    </row>
    <row r="14665" spans="1:1" ht="21">
      <c r="A14665" s="345"/>
    </row>
    <row r="14666" spans="1:1" ht="21">
      <c r="A14666" s="345"/>
    </row>
    <row r="14667" spans="1:1" ht="21">
      <c r="A14667" s="345"/>
    </row>
    <row r="14668" spans="1:1" ht="21">
      <c r="A14668" s="345"/>
    </row>
    <row r="14669" spans="1:1" ht="21">
      <c r="A14669" s="345"/>
    </row>
    <row r="14670" spans="1:1" ht="21">
      <c r="A14670" s="345"/>
    </row>
    <row r="14671" spans="1:1" ht="21">
      <c r="A14671" s="345"/>
    </row>
    <row r="14672" spans="1:1" ht="21">
      <c r="A14672" s="345"/>
    </row>
    <row r="14673" spans="1:1" ht="21">
      <c r="A14673" s="345"/>
    </row>
    <row r="14674" spans="1:1" ht="21">
      <c r="A14674" s="345"/>
    </row>
    <row r="14675" spans="1:1" ht="21">
      <c r="A14675" s="345"/>
    </row>
    <row r="14676" spans="1:1" ht="21">
      <c r="A14676" s="345"/>
    </row>
    <row r="14677" spans="1:1" ht="21">
      <c r="A14677" s="345"/>
    </row>
    <row r="14678" spans="1:1" ht="21">
      <c r="A14678" s="345"/>
    </row>
    <row r="14679" spans="1:1" ht="21">
      <c r="A14679" s="345"/>
    </row>
    <row r="14680" spans="1:1" ht="21">
      <c r="A14680" s="345"/>
    </row>
    <row r="14681" spans="1:1" ht="21">
      <c r="A14681" s="345"/>
    </row>
    <row r="14682" spans="1:1" ht="21">
      <c r="A14682" s="345"/>
    </row>
    <row r="14683" spans="1:1" ht="21">
      <c r="A14683" s="345"/>
    </row>
    <row r="14684" spans="1:1" ht="21">
      <c r="A14684" s="345"/>
    </row>
    <row r="14685" spans="1:1" ht="21">
      <c r="A14685" s="345"/>
    </row>
    <row r="14686" spans="1:1" ht="21">
      <c r="A14686" s="345"/>
    </row>
    <row r="14687" spans="1:1" ht="21">
      <c r="A14687" s="345"/>
    </row>
    <row r="14688" spans="1:1" ht="21">
      <c r="A14688" s="345"/>
    </row>
    <row r="14689" spans="1:1" ht="21">
      <c r="A14689" s="345"/>
    </row>
    <row r="14690" spans="1:1" ht="21">
      <c r="A14690" s="345"/>
    </row>
    <row r="14691" spans="1:1" ht="21">
      <c r="A14691" s="345"/>
    </row>
    <row r="14692" spans="1:1" ht="21">
      <c r="A14692" s="345"/>
    </row>
    <row r="14693" spans="1:1" ht="21">
      <c r="A14693" s="345"/>
    </row>
    <row r="14694" spans="1:1" ht="21">
      <c r="A14694" s="345"/>
    </row>
    <row r="14695" spans="1:1" ht="21">
      <c r="A14695" s="345"/>
    </row>
    <row r="14696" spans="1:1" ht="21">
      <c r="A14696" s="345"/>
    </row>
    <row r="14697" spans="1:1" ht="21">
      <c r="A14697" s="345"/>
    </row>
    <row r="14698" spans="1:1" ht="21">
      <c r="A14698" s="345"/>
    </row>
    <row r="14699" spans="1:1" ht="21">
      <c r="A14699" s="345"/>
    </row>
    <row r="14700" spans="1:1" ht="21">
      <c r="A14700" s="345"/>
    </row>
    <row r="14701" spans="1:1" ht="21">
      <c r="A14701" s="345"/>
    </row>
    <row r="14702" spans="1:1" ht="21">
      <c r="A14702" s="345"/>
    </row>
    <row r="14703" spans="1:1" ht="21">
      <c r="A14703" s="345"/>
    </row>
    <row r="14704" spans="1:1" ht="21">
      <c r="A14704" s="345"/>
    </row>
    <row r="14705" spans="1:1" ht="21">
      <c r="A14705" s="345"/>
    </row>
    <row r="14706" spans="1:1" ht="21">
      <c r="A14706" s="345"/>
    </row>
    <row r="14707" spans="1:1" ht="21">
      <c r="A14707" s="345"/>
    </row>
    <row r="14708" spans="1:1" ht="21">
      <c r="A14708" s="345"/>
    </row>
    <row r="14709" spans="1:1" ht="21">
      <c r="A14709" s="345"/>
    </row>
    <row r="14710" spans="1:1" ht="21">
      <c r="A14710" s="345"/>
    </row>
    <row r="14711" spans="1:1" ht="21">
      <c r="A14711" s="345"/>
    </row>
    <row r="14712" spans="1:1" ht="21">
      <c r="A14712" s="345"/>
    </row>
    <row r="14713" spans="1:1" ht="21">
      <c r="A14713" s="345"/>
    </row>
    <row r="14714" spans="1:1" ht="21">
      <c r="A14714" s="345"/>
    </row>
    <row r="14715" spans="1:1" ht="21">
      <c r="A14715" s="345"/>
    </row>
    <row r="14716" spans="1:1" ht="21">
      <c r="A14716" s="345"/>
    </row>
    <row r="14717" spans="1:1" ht="21">
      <c r="A14717" s="345"/>
    </row>
    <row r="14718" spans="1:1" ht="21">
      <c r="A14718" s="345"/>
    </row>
    <row r="14719" spans="1:1" ht="21">
      <c r="A14719" s="345"/>
    </row>
    <row r="14720" spans="1:1" ht="21">
      <c r="A14720" s="345"/>
    </row>
    <row r="14721" spans="1:1" ht="21">
      <c r="A14721" s="345"/>
    </row>
    <row r="14722" spans="1:1" ht="21">
      <c r="A14722" s="345"/>
    </row>
    <row r="14723" spans="1:1" ht="21">
      <c r="A14723" s="345"/>
    </row>
    <row r="14724" spans="1:1" ht="21">
      <c r="A14724" s="345"/>
    </row>
    <row r="14725" spans="1:1" ht="21">
      <c r="A14725" s="345"/>
    </row>
    <row r="14726" spans="1:1" ht="21">
      <c r="A14726" s="345"/>
    </row>
    <row r="14727" spans="1:1" ht="21">
      <c r="A14727" s="345"/>
    </row>
    <row r="14728" spans="1:1" ht="21">
      <c r="A14728" s="345"/>
    </row>
    <row r="14729" spans="1:1" ht="21">
      <c r="A14729" s="345"/>
    </row>
    <row r="14730" spans="1:1" ht="21">
      <c r="A14730" s="345"/>
    </row>
    <row r="14731" spans="1:1" ht="21">
      <c r="A14731" s="345"/>
    </row>
    <row r="14732" spans="1:1" ht="21">
      <c r="A14732" s="345"/>
    </row>
    <row r="14733" spans="1:1" ht="21">
      <c r="A14733" s="345"/>
    </row>
    <row r="14734" spans="1:1" ht="21">
      <c r="A14734" s="345"/>
    </row>
    <row r="14735" spans="1:1" ht="21">
      <c r="A14735" s="345"/>
    </row>
    <row r="14736" spans="1:1" ht="21">
      <c r="A14736" s="345"/>
    </row>
    <row r="14737" spans="1:1" ht="21">
      <c r="A14737" s="345"/>
    </row>
    <row r="14738" spans="1:1" ht="21">
      <c r="A14738" s="345"/>
    </row>
    <row r="14739" spans="1:1" ht="21">
      <c r="A14739" s="345"/>
    </row>
    <row r="14740" spans="1:1" ht="21">
      <c r="A14740" s="345"/>
    </row>
    <row r="14741" spans="1:1" ht="21">
      <c r="A14741" s="345"/>
    </row>
    <row r="14742" spans="1:1" ht="21">
      <c r="A14742" s="345"/>
    </row>
    <row r="14743" spans="1:1" ht="21">
      <c r="A14743" s="345"/>
    </row>
    <row r="14744" spans="1:1" ht="21">
      <c r="A14744" s="345"/>
    </row>
    <row r="14745" spans="1:1" ht="21">
      <c r="A14745" s="345"/>
    </row>
    <row r="14746" spans="1:1" ht="21">
      <c r="A14746" s="345"/>
    </row>
    <row r="14747" spans="1:1" ht="21">
      <c r="A14747" s="345"/>
    </row>
    <row r="14748" spans="1:1" ht="21">
      <c r="A14748" s="345"/>
    </row>
    <row r="14749" spans="1:1" ht="21">
      <c r="A14749" s="345"/>
    </row>
    <row r="14750" spans="1:1" ht="21">
      <c r="A14750" s="345"/>
    </row>
    <row r="14751" spans="1:1" ht="21">
      <c r="A14751" s="345"/>
    </row>
    <row r="14752" spans="1:1" ht="21">
      <c r="A14752" s="345"/>
    </row>
    <row r="14753" spans="1:1" ht="21">
      <c r="A14753" s="345"/>
    </row>
    <row r="14754" spans="1:1" ht="21">
      <c r="A14754" s="345"/>
    </row>
    <row r="14755" spans="1:1" ht="21">
      <c r="A14755" s="345"/>
    </row>
    <row r="14756" spans="1:1" ht="21">
      <c r="A14756" s="345"/>
    </row>
    <row r="14757" spans="1:1" ht="21">
      <c r="A14757" s="345"/>
    </row>
    <row r="14758" spans="1:1" ht="21">
      <c r="A14758" s="345"/>
    </row>
    <row r="14759" spans="1:1" ht="21">
      <c r="A14759" s="345"/>
    </row>
    <row r="14760" spans="1:1" ht="21">
      <c r="A14760" s="345"/>
    </row>
    <row r="14761" spans="1:1" ht="21">
      <c r="A14761" s="345"/>
    </row>
    <row r="14762" spans="1:1" ht="21">
      <c r="A14762" s="345"/>
    </row>
    <row r="14763" spans="1:1" ht="21">
      <c r="A14763" s="345"/>
    </row>
    <row r="14764" spans="1:1" ht="21">
      <c r="A14764" s="345"/>
    </row>
    <row r="14765" spans="1:1" ht="21">
      <c r="A14765" s="345"/>
    </row>
    <row r="14766" spans="1:1" ht="21">
      <c r="A14766" s="345"/>
    </row>
    <row r="14767" spans="1:1" ht="21">
      <c r="A14767" s="345"/>
    </row>
    <row r="14768" spans="1:1" ht="21">
      <c r="A14768" s="345"/>
    </row>
    <row r="14769" spans="1:1" ht="21">
      <c r="A14769" s="345"/>
    </row>
    <row r="14770" spans="1:1" ht="21">
      <c r="A14770" s="345"/>
    </row>
    <row r="14771" spans="1:1" ht="21">
      <c r="A14771" s="345"/>
    </row>
    <row r="14772" spans="1:1" ht="21">
      <c r="A14772" s="345"/>
    </row>
    <row r="14773" spans="1:1" ht="21">
      <c r="A14773" s="345"/>
    </row>
    <row r="14774" spans="1:1" ht="21">
      <c r="A14774" s="345"/>
    </row>
    <row r="14775" spans="1:1" ht="21">
      <c r="A14775" s="345"/>
    </row>
    <row r="14776" spans="1:1" ht="21">
      <c r="A14776" s="345"/>
    </row>
    <row r="14777" spans="1:1" ht="21">
      <c r="A14777" s="345"/>
    </row>
    <row r="14778" spans="1:1" ht="21">
      <c r="A14778" s="345"/>
    </row>
    <row r="14779" spans="1:1" ht="21">
      <c r="A14779" s="345"/>
    </row>
    <row r="14780" spans="1:1" ht="21">
      <c r="A14780" s="345"/>
    </row>
    <row r="14781" spans="1:1" ht="21">
      <c r="A14781" s="345"/>
    </row>
    <row r="14782" spans="1:1" ht="21">
      <c r="A14782" s="345"/>
    </row>
    <row r="14783" spans="1:1" ht="21">
      <c r="A14783" s="345"/>
    </row>
    <row r="14784" spans="1:1" ht="21">
      <c r="A14784" s="345"/>
    </row>
    <row r="14785" spans="1:1" ht="21">
      <c r="A14785" s="345"/>
    </row>
    <row r="14786" spans="1:1" ht="21">
      <c r="A14786" s="345"/>
    </row>
    <row r="14787" spans="1:1" ht="21">
      <c r="A14787" s="345"/>
    </row>
    <row r="14788" spans="1:1" ht="21">
      <c r="A14788" s="345"/>
    </row>
    <row r="14789" spans="1:1" ht="21">
      <c r="A14789" s="345"/>
    </row>
    <row r="14790" spans="1:1" ht="21">
      <c r="A14790" s="345"/>
    </row>
    <row r="14791" spans="1:1" ht="21">
      <c r="A14791" s="345"/>
    </row>
    <row r="14792" spans="1:1" ht="21">
      <c r="A14792" s="345"/>
    </row>
    <row r="14793" spans="1:1" ht="21">
      <c r="A14793" s="345"/>
    </row>
    <row r="14794" spans="1:1" ht="21">
      <c r="A14794" s="345"/>
    </row>
    <row r="14795" spans="1:1" ht="21">
      <c r="A14795" s="345"/>
    </row>
    <row r="14796" spans="1:1" ht="21">
      <c r="A14796" s="345"/>
    </row>
    <row r="14797" spans="1:1" ht="21">
      <c r="A14797" s="345"/>
    </row>
    <row r="14798" spans="1:1" ht="21">
      <c r="A14798" s="345"/>
    </row>
    <row r="14799" spans="1:1" ht="21">
      <c r="A14799" s="345"/>
    </row>
    <row r="14800" spans="1:1" ht="21">
      <c r="A14800" s="345"/>
    </row>
    <row r="14801" spans="1:1" ht="21">
      <c r="A14801" s="345"/>
    </row>
    <row r="14802" spans="1:1" ht="21">
      <c r="A14802" s="345"/>
    </row>
    <row r="14803" spans="1:1" ht="21">
      <c r="A14803" s="345"/>
    </row>
    <row r="14804" spans="1:1" ht="21">
      <c r="A14804" s="345"/>
    </row>
    <row r="14805" spans="1:1" ht="21">
      <c r="A14805" s="345"/>
    </row>
    <row r="14806" spans="1:1" ht="21">
      <c r="A14806" s="345"/>
    </row>
    <row r="14807" spans="1:1" ht="21">
      <c r="A14807" s="345"/>
    </row>
    <row r="14808" spans="1:1" ht="21">
      <c r="A14808" s="345"/>
    </row>
    <row r="14809" spans="1:1" ht="21">
      <c r="A14809" s="345"/>
    </row>
    <row r="14810" spans="1:1" ht="21">
      <c r="A14810" s="345"/>
    </row>
    <row r="14811" spans="1:1" ht="21">
      <c r="A14811" s="345"/>
    </row>
    <row r="14812" spans="1:1" ht="21">
      <c r="A14812" s="345"/>
    </row>
    <row r="14813" spans="1:1" ht="21">
      <c r="A14813" s="345"/>
    </row>
    <row r="14814" spans="1:1" ht="21">
      <c r="A14814" s="345"/>
    </row>
    <row r="14815" spans="1:1" ht="21">
      <c r="A14815" s="345"/>
    </row>
    <row r="14816" spans="1:1" ht="21">
      <c r="A14816" s="345"/>
    </row>
    <row r="14817" spans="1:1" ht="21">
      <c r="A14817" s="345"/>
    </row>
    <row r="14818" spans="1:1" ht="21">
      <c r="A14818" s="345"/>
    </row>
    <row r="14819" spans="1:1" ht="21">
      <c r="A14819" s="345"/>
    </row>
    <row r="14820" spans="1:1" ht="21">
      <c r="A14820" s="345"/>
    </row>
    <row r="14821" spans="1:1" ht="21">
      <c r="A14821" s="345"/>
    </row>
    <row r="14822" spans="1:1" ht="21">
      <c r="A14822" s="345"/>
    </row>
    <row r="14823" spans="1:1" ht="21">
      <c r="A14823" s="345"/>
    </row>
    <row r="14824" spans="1:1" ht="21">
      <c r="A14824" s="345"/>
    </row>
    <row r="14825" spans="1:1" ht="21">
      <c r="A14825" s="345"/>
    </row>
    <row r="14826" spans="1:1" ht="21">
      <c r="A14826" s="345"/>
    </row>
    <row r="14827" spans="1:1" ht="21">
      <c r="A14827" s="345"/>
    </row>
    <row r="14828" spans="1:1" ht="21">
      <c r="A14828" s="345"/>
    </row>
    <row r="14829" spans="1:1" ht="21">
      <c r="A14829" s="345"/>
    </row>
    <row r="14830" spans="1:1" ht="21">
      <c r="A14830" s="345"/>
    </row>
    <row r="14831" spans="1:1" ht="21">
      <c r="A14831" s="345"/>
    </row>
    <row r="14832" spans="1:1" ht="21">
      <c r="A14832" s="345"/>
    </row>
    <row r="14833" spans="1:1" ht="21">
      <c r="A14833" s="345"/>
    </row>
    <row r="14834" spans="1:1" ht="21">
      <c r="A14834" s="345"/>
    </row>
    <row r="14835" spans="1:1" ht="21">
      <c r="A14835" s="345"/>
    </row>
    <row r="14836" spans="1:1" ht="21">
      <c r="A14836" s="345"/>
    </row>
    <row r="14837" spans="1:1" ht="21">
      <c r="A14837" s="345"/>
    </row>
    <row r="14838" spans="1:1" ht="21">
      <c r="A14838" s="345"/>
    </row>
    <row r="14839" spans="1:1" ht="21">
      <c r="A14839" s="345"/>
    </row>
    <row r="14840" spans="1:1" ht="21">
      <c r="A14840" s="345"/>
    </row>
    <row r="14841" spans="1:1" ht="21">
      <c r="A14841" s="345"/>
    </row>
    <row r="14842" spans="1:1" ht="21">
      <c r="A14842" s="345"/>
    </row>
    <row r="14843" spans="1:1" ht="21">
      <c r="A14843" s="345"/>
    </row>
    <row r="14844" spans="1:1" ht="21">
      <c r="A14844" s="345"/>
    </row>
    <row r="14845" spans="1:1" ht="21">
      <c r="A14845" s="345"/>
    </row>
    <row r="14846" spans="1:1" ht="21">
      <c r="A14846" s="345"/>
    </row>
    <row r="14847" spans="1:1" ht="21">
      <c r="A14847" s="345"/>
    </row>
    <row r="14848" spans="1:1" ht="21">
      <c r="A14848" s="345"/>
    </row>
    <row r="14849" spans="1:1" ht="21">
      <c r="A14849" s="345"/>
    </row>
    <row r="14850" spans="1:1" ht="21">
      <c r="A14850" s="345"/>
    </row>
    <row r="14851" spans="1:1" ht="21">
      <c r="A14851" s="345"/>
    </row>
    <row r="14852" spans="1:1" ht="21">
      <c r="A14852" s="345"/>
    </row>
    <row r="14853" spans="1:1" ht="21">
      <c r="A14853" s="345"/>
    </row>
    <row r="14854" spans="1:1" ht="21">
      <c r="A14854" s="345"/>
    </row>
    <row r="14855" spans="1:1" ht="21">
      <c r="A14855" s="345"/>
    </row>
    <row r="14856" spans="1:1" ht="21">
      <c r="A14856" s="345"/>
    </row>
    <row r="14857" spans="1:1" ht="21">
      <c r="A14857" s="345"/>
    </row>
    <row r="14858" spans="1:1" ht="21">
      <c r="A14858" s="345"/>
    </row>
    <row r="14859" spans="1:1" ht="21">
      <c r="A14859" s="345"/>
    </row>
    <row r="14860" spans="1:1" ht="21">
      <c r="A14860" s="345"/>
    </row>
    <row r="14861" spans="1:1" ht="21">
      <c r="A14861" s="345"/>
    </row>
    <row r="14862" spans="1:1" ht="21">
      <c r="A14862" s="345"/>
    </row>
    <row r="14863" spans="1:1" ht="21">
      <c r="A14863" s="345"/>
    </row>
    <row r="14864" spans="1:1" ht="21">
      <c r="A14864" s="345"/>
    </row>
    <row r="14865" spans="1:1" ht="21">
      <c r="A14865" s="345"/>
    </row>
    <row r="14866" spans="1:1" ht="21">
      <c r="A14866" s="345"/>
    </row>
    <row r="14867" spans="1:1" ht="21">
      <c r="A14867" s="345"/>
    </row>
    <row r="14868" spans="1:1" ht="21">
      <c r="A14868" s="345"/>
    </row>
    <row r="14869" spans="1:1" ht="21">
      <c r="A14869" s="345"/>
    </row>
    <row r="14870" spans="1:1" ht="21">
      <c r="A14870" s="345"/>
    </row>
    <row r="14871" spans="1:1" ht="21">
      <c r="A14871" s="345"/>
    </row>
    <row r="14872" spans="1:1" ht="21">
      <c r="A14872" s="345"/>
    </row>
    <row r="14873" spans="1:1" ht="21">
      <c r="A14873" s="345"/>
    </row>
    <row r="14874" spans="1:1" ht="21">
      <c r="A14874" s="345"/>
    </row>
    <row r="14875" spans="1:1" ht="21">
      <c r="A14875" s="345"/>
    </row>
    <row r="14876" spans="1:1" ht="21">
      <c r="A14876" s="345"/>
    </row>
    <row r="14877" spans="1:1" ht="21">
      <c r="A14877" s="345"/>
    </row>
    <row r="14878" spans="1:1" ht="21">
      <c r="A14878" s="345"/>
    </row>
    <row r="14879" spans="1:1" ht="21">
      <c r="A14879" s="345"/>
    </row>
    <row r="14880" spans="1:1" ht="21">
      <c r="A14880" s="345"/>
    </row>
    <row r="14881" spans="1:1" ht="21">
      <c r="A14881" s="345"/>
    </row>
    <row r="14882" spans="1:1" ht="21">
      <c r="A14882" s="345"/>
    </row>
    <row r="14883" spans="1:1" ht="21">
      <c r="A14883" s="345"/>
    </row>
    <row r="14884" spans="1:1" ht="21">
      <c r="A14884" s="345"/>
    </row>
    <row r="14885" spans="1:1" ht="21">
      <c r="A14885" s="345"/>
    </row>
    <row r="14886" spans="1:1" ht="21">
      <c r="A14886" s="345"/>
    </row>
    <row r="14887" spans="1:1" ht="21">
      <c r="A14887" s="345"/>
    </row>
    <row r="14888" spans="1:1" ht="21">
      <c r="A14888" s="345"/>
    </row>
    <row r="14889" spans="1:1" ht="21">
      <c r="A14889" s="345"/>
    </row>
    <row r="14890" spans="1:1" ht="21">
      <c r="A14890" s="345"/>
    </row>
    <row r="14891" spans="1:1" ht="21">
      <c r="A14891" s="345"/>
    </row>
    <row r="14892" spans="1:1" ht="21">
      <c r="A14892" s="345"/>
    </row>
    <row r="14893" spans="1:1" ht="21">
      <c r="A14893" s="345"/>
    </row>
    <row r="14894" spans="1:1" ht="21">
      <c r="A14894" s="345"/>
    </row>
    <row r="14895" spans="1:1" ht="21">
      <c r="A14895" s="345"/>
    </row>
    <row r="14896" spans="1:1" ht="21">
      <c r="A14896" s="345"/>
    </row>
    <row r="14897" spans="1:1" ht="21">
      <c r="A14897" s="345"/>
    </row>
    <row r="14898" spans="1:1" ht="21">
      <c r="A14898" s="345"/>
    </row>
    <row r="14899" spans="1:1" ht="21">
      <c r="A14899" s="345"/>
    </row>
    <row r="14900" spans="1:1" ht="21">
      <c r="A14900" s="345"/>
    </row>
    <row r="14901" spans="1:1" ht="21">
      <c r="A14901" s="345"/>
    </row>
    <row r="14902" spans="1:1" ht="21">
      <c r="A14902" s="345"/>
    </row>
    <row r="14903" spans="1:1" ht="21">
      <c r="A14903" s="345"/>
    </row>
    <row r="14904" spans="1:1" ht="21">
      <c r="A14904" s="345"/>
    </row>
    <row r="14905" spans="1:1" ht="21">
      <c r="A14905" s="345"/>
    </row>
    <row r="14906" spans="1:1" ht="21">
      <c r="A14906" s="345"/>
    </row>
    <row r="14907" spans="1:1" ht="21">
      <c r="A14907" s="345"/>
    </row>
    <row r="14908" spans="1:1" ht="21">
      <c r="A14908" s="345"/>
    </row>
    <row r="14909" spans="1:1" ht="21">
      <c r="A14909" s="345"/>
    </row>
    <row r="14910" spans="1:1" ht="21">
      <c r="A14910" s="345"/>
    </row>
    <row r="14911" spans="1:1" ht="21">
      <c r="A14911" s="345"/>
    </row>
    <row r="14912" spans="1:1" ht="21">
      <c r="A14912" s="345"/>
    </row>
    <row r="14913" spans="1:1" ht="21">
      <c r="A14913" s="345"/>
    </row>
    <row r="14914" spans="1:1" ht="21">
      <c r="A14914" s="345"/>
    </row>
    <row r="14915" spans="1:1" ht="21">
      <c r="A14915" s="345"/>
    </row>
    <row r="14916" spans="1:1" ht="21">
      <c r="A14916" s="345"/>
    </row>
    <row r="14917" spans="1:1" ht="21">
      <c r="A14917" s="345"/>
    </row>
    <row r="14918" spans="1:1" ht="21">
      <c r="A14918" s="345"/>
    </row>
    <row r="14919" spans="1:1" ht="21">
      <c r="A14919" s="345"/>
    </row>
    <row r="14920" spans="1:1" ht="21">
      <c r="A14920" s="345"/>
    </row>
    <row r="14921" spans="1:1" ht="21">
      <c r="A14921" s="345"/>
    </row>
    <row r="14922" spans="1:1" ht="21">
      <c r="A14922" s="345"/>
    </row>
    <row r="14923" spans="1:1" ht="21">
      <c r="A14923" s="345"/>
    </row>
    <row r="14924" spans="1:1" ht="21">
      <c r="A14924" s="345"/>
    </row>
    <row r="14925" spans="1:1" ht="21">
      <c r="A14925" s="345"/>
    </row>
    <row r="14926" spans="1:1" ht="21">
      <c r="A14926" s="345"/>
    </row>
    <row r="14927" spans="1:1" ht="21">
      <c r="A14927" s="345"/>
    </row>
    <row r="14928" spans="1:1" ht="21">
      <c r="A14928" s="345"/>
    </row>
    <row r="14929" spans="1:1" ht="21">
      <c r="A14929" s="345"/>
    </row>
    <row r="14930" spans="1:1" ht="21">
      <c r="A14930" s="345"/>
    </row>
    <row r="14931" spans="1:1" ht="21">
      <c r="A14931" s="345"/>
    </row>
    <row r="14932" spans="1:1" ht="21">
      <c r="A14932" s="345"/>
    </row>
    <row r="14933" spans="1:1" ht="21">
      <c r="A14933" s="345"/>
    </row>
    <row r="14934" spans="1:1" ht="21">
      <c r="A14934" s="345"/>
    </row>
    <row r="14935" spans="1:1" ht="21">
      <c r="A14935" s="345"/>
    </row>
    <row r="14936" spans="1:1" ht="21">
      <c r="A14936" s="345"/>
    </row>
    <row r="14937" spans="1:1" ht="21">
      <c r="A14937" s="345"/>
    </row>
    <row r="14938" spans="1:1" ht="21">
      <c r="A14938" s="345"/>
    </row>
    <row r="14939" spans="1:1" ht="21">
      <c r="A14939" s="345"/>
    </row>
    <row r="14940" spans="1:1" ht="21">
      <c r="A14940" s="345"/>
    </row>
    <row r="14941" spans="1:1" ht="21">
      <c r="A14941" s="345"/>
    </row>
    <row r="14942" spans="1:1" ht="21">
      <c r="A14942" s="345"/>
    </row>
    <row r="14943" spans="1:1" ht="21">
      <c r="A14943" s="345"/>
    </row>
    <row r="14944" spans="1:1" ht="21">
      <c r="A14944" s="345"/>
    </row>
    <row r="14945" spans="1:1" ht="21">
      <c r="A14945" s="345"/>
    </row>
    <row r="14946" spans="1:1" ht="21">
      <c r="A14946" s="345"/>
    </row>
    <row r="14947" spans="1:1" ht="21">
      <c r="A14947" s="345"/>
    </row>
    <row r="14948" spans="1:1" ht="21">
      <c r="A14948" s="345"/>
    </row>
    <row r="14949" spans="1:1" ht="21">
      <c r="A14949" s="345"/>
    </row>
    <row r="14950" spans="1:1" ht="21">
      <c r="A14950" s="345"/>
    </row>
    <row r="14951" spans="1:1" ht="21">
      <c r="A14951" s="345"/>
    </row>
    <row r="14952" spans="1:1" ht="21">
      <c r="A14952" s="345"/>
    </row>
    <row r="14953" spans="1:1" ht="21">
      <c r="A14953" s="345"/>
    </row>
    <row r="14954" spans="1:1" ht="21">
      <c r="A14954" s="345"/>
    </row>
    <row r="14955" spans="1:1" ht="21">
      <c r="A14955" s="345"/>
    </row>
    <row r="14956" spans="1:1" ht="21">
      <c r="A14956" s="345"/>
    </row>
    <row r="14957" spans="1:1" ht="21">
      <c r="A14957" s="345"/>
    </row>
    <row r="14958" spans="1:1" ht="21">
      <c r="A14958" s="345"/>
    </row>
    <row r="14959" spans="1:1" ht="21">
      <c r="A14959" s="345"/>
    </row>
    <row r="14960" spans="1:1" ht="21">
      <c r="A14960" s="345"/>
    </row>
    <row r="14961" spans="1:1" ht="21">
      <c r="A14961" s="345"/>
    </row>
    <row r="14962" spans="1:1" ht="21">
      <c r="A14962" s="345"/>
    </row>
    <row r="14963" spans="1:1" ht="21">
      <c r="A14963" s="345"/>
    </row>
    <row r="14964" spans="1:1" ht="21">
      <c r="A14964" s="345"/>
    </row>
    <row r="14965" spans="1:1" ht="21">
      <c r="A14965" s="345"/>
    </row>
    <row r="14966" spans="1:1" ht="21">
      <c r="A14966" s="345"/>
    </row>
    <row r="14967" spans="1:1" ht="21">
      <c r="A14967" s="345"/>
    </row>
    <row r="14968" spans="1:1" ht="21">
      <c r="A14968" s="345"/>
    </row>
    <row r="14969" spans="1:1" ht="21">
      <c r="A14969" s="345"/>
    </row>
    <row r="14970" spans="1:1" ht="21">
      <c r="A14970" s="345"/>
    </row>
    <row r="14971" spans="1:1" ht="21">
      <c r="A14971" s="345"/>
    </row>
    <row r="14972" spans="1:1" ht="21">
      <c r="A14972" s="345"/>
    </row>
    <row r="14973" spans="1:1" ht="21">
      <c r="A14973" s="345"/>
    </row>
    <row r="14974" spans="1:1" ht="21">
      <c r="A14974" s="345"/>
    </row>
    <row r="14975" spans="1:1" ht="21">
      <c r="A14975" s="345"/>
    </row>
    <row r="14976" spans="1:1" ht="21">
      <c r="A14976" s="345"/>
    </row>
    <row r="14977" spans="1:1" ht="21">
      <c r="A14977" s="345"/>
    </row>
    <row r="14978" spans="1:1" ht="21">
      <c r="A14978" s="345"/>
    </row>
    <row r="14979" spans="1:1" ht="21">
      <c r="A14979" s="345"/>
    </row>
    <row r="14980" spans="1:1" ht="21">
      <c r="A14980" s="345"/>
    </row>
    <row r="14981" spans="1:1" ht="21">
      <c r="A14981" s="345"/>
    </row>
    <row r="14982" spans="1:1" ht="21">
      <c r="A14982" s="345"/>
    </row>
    <row r="14983" spans="1:1" ht="21">
      <c r="A14983" s="345"/>
    </row>
    <row r="14984" spans="1:1" ht="21">
      <c r="A14984" s="345"/>
    </row>
    <row r="14985" spans="1:1" ht="21">
      <c r="A14985" s="345"/>
    </row>
    <row r="14986" spans="1:1" ht="21">
      <c r="A14986" s="345"/>
    </row>
    <row r="14987" spans="1:1" ht="21">
      <c r="A14987" s="345"/>
    </row>
    <row r="14988" spans="1:1" ht="21">
      <c r="A14988" s="345"/>
    </row>
    <row r="14989" spans="1:1" ht="21">
      <c r="A14989" s="345"/>
    </row>
    <row r="14990" spans="1:1" ht="21">
      <c r="A14990" s="345"/>
    </row>
    <row r="14991" spans="1:1" ht="21">
      <c r="A14991" s="345"/>
    </row>
    <row r="14992" spans="1:1" ht="21">
      <c r="A14992" s="345"/>
    </row>
    <row r="14993" spans="1:1" ht="21">
      <c r="A14993" s="345"/>
    </row>
    <row r="14994" spans="1:1" ht="21">
      <c r="A14994" s="345"/>
    </row>
    <row r="14995" spans="1:1" ht="21">
      <c r="A14995" s="345"/>
    </row>
    <row r="14996" spans="1:1" ht="21">
      <c r="A14996" s="345"/>
    </row>
    <row r="14997" spans="1:1" ht="21">
      <c r="A14997" s="345"/>
    </row>
    <row r="14998" spans="1:1" ht="21">
      <c r="A14998" s="345"/>
    </row>
    <row r="14999" spans="1:1" ht="21">
      <c r="A14999" s="345"/>
    </row>
    <row r="15000" spans="1:1" ht="21">
      <c r="A15000" s="345"/>
    </row>
    <row r="15001" spans="1:1" ht="21">
      <c r="A15001" s="345"/>
    </row>
    <row r="15002" spans="1:1" ht="21">
      <c r="A15002" s="345"/>
    </row>
    <row r="15003" spans="1:1" ht="21">
      <c r="A15003" s="345"/>
    </row>
    <row r="15004" spans="1:1" ht="21">
      <c r="A15004" s="345"/>
    </row>
    <row r="15005" spans="1:1" ht="21">
      <c r="A15005" s="345"/>
    </row>
    <row r="15006" spans="1:1" ht="21">
      <c r="A15006" s="345"/>
    </row>
    <row r="15007" spans="1:1" ht="21">
      <c r="A15007" s="345"/>
    </row>
    <row r="15008" spans="1:1" ht="21">
      <c r="A15008" s="345"/>
    </row>
    <row r="15009" spans="1:1" ht="21">
      <c r="A15009" s="345"/>
    </row>
    <row r="15010" spans="1:1" ht="21">
      <c r="A15010" s="345"/>
    </row>
    <row r="15011" spans="1:1" ht="21">
      <c r="A15011" s="345"/>
    </row>
    <row r="15012" spans="1:1" ht="21">
      <c r="A15012" s="345"/>
    </row>
    <row r="15013" spans="1:1" ht="21">
      <c r="A15013" s="345"/>
    </row>
    <row r="15014" spans="1:1" ht="21">
      <c r="A15014" s="345"/>
    </row>
    <row r="15015" spans="1:1" ht="21">
      <c r="A15015" s="345"/>
    </row>
    <row r="15016" spans="1:1" ht="21">
      <c r="A15016" s="345"/>
    </row>
    <row r="15017" spans="1:1" ht="21">
      <c r="A15017" s="345"/>
    </row>
    <row r="15018" spans="1:1" ht="21">
      <c r="A15018" s="345"/>
    </row>
    <row r="15019" spans="1:1" ht="21">
      <c r="A15019" s="345"/>
    </row>
    <row r="15020" spans="1:1" ht="21">
      <c r="A15020" s="345"/>
    </row>
    <row r="15021" spans="1:1" ht="21">
      <c r="A15021" s="345"/>
    </row>
    <row r="15022" spans="1:1" ht="21">
      <c r="A15022" s="345"/>
    </row>
    <row r="15023" spans="1:1" ht="21">
      <c r="A15023" s="345"/>
    </row>
    <row r="15024" spans="1:1" ht="21">
      <c r="A15024" s="345"/>
    </row>
    <row r="15025" spans="1:1" ht="21">
      <c r="A15025" s="345"/>
    </row>
    <row r="15026" spans="1:1" ht="21">
      <c r="A15026" s="345"/>
    </row>
    <row r="15027" spans="1:1" ht="21">
      <c r="A15027" s="345"/>
    </row>
    <row r="15028" spans="1:1" ht="21">
      <c r="A15028" s="345"/>
    </row>
    <row r="15029" spans="1:1" ht="21">
      <c r="A15029" s="345"/>
    </row>
    <row r="15030" spans="1:1" ht="21">
      <c r="A15030" s="345"/>
    </row>
    <row r="15031" spans="1:1" ht="21">
      <c r="A15031" s="345"/>
    </row>
    <row r="15032" spans="1:1" ht="21">
      <c r="A15032" s="345"/>
    </row>
    <row r="15033" spans="1:1" ht="21">
      <c r="A15033" s="345"/>
    </row>
    <row r="15034" spans="1:1" ht="21">
      <c r="A15034" s="345"/>
    </row>
    <row r="15035" spans="1:1" ht="21">
      <c r="A15035" s="345"/>
    </row>
    <row r="15036" spans="1:1" ht="21">
      <c r="A15036" s="345"/>
    </row>
    <row r="15037" spans="1:1" ht="21">
      <c r="A15037" s="345"/>
    </row>
    <row r="15038" spans="1:1" ht="21">
      <c r="A15038" s="345"/>
    </row>
    <row r="15039" spans="1:1" ht="21">
      <c r="A15039" s="345"/>
    </row>
    <row r="15040" spans="1:1" ht="21">
      <c r="A15040" s="345"/>
    </row>
    <row r="15041" spans="1:1" ht="21">
      <c r="A15041" s="345"/>
    </row>
    <row r="15042" spans="1:1" ht="21">
      <c r="A15042" s="345"/>
    </row>
    <row r="15043" spans="1:1" ht="21">
      <c r="A15043" s="345"/>
    </row>
    <row r="15044" spans="1:1" ht="21">
      <c r="A15044" s="345"/>
    </row>
    <row r="15045" spans="1:1" ht="21">
      <c r="A15045" s="345"/>
    </row>
    <row r="15046" spans="1:1" ht="21">
      <c r="A15046" s="345"/>
    </row>
    <row r="15047" spans="1:1" ht="21">
      <c r="A15047" s="345"/>
    </row>
    <row r="15048" spans="1:1" ht="21">
      <c r="A15048" s="345"/>
    </row>
    <row r="15049" spans="1:1" ht="21">
      <c r="A15049" s="345"/>
    </row>
    <row r="15050" spans="1:1" ht="21">
      <c r="A15050" s="345"/>
    </row>
    <row r="15051" spans="1:1" ht="21">
      <c r="A15051" s="345"/>
    </row>
    <row r="15052" spans="1:1" ht="21">
      <c r="A15052" s="345"/>
    </row>
    <row r="15053" spans="1:1" ht="21">
      <c r="A15053" s="345"/>
    </row>
    <row r="15054" spans="1:1" ht="21">
      <c r="A15054" s="345"/>
    </row>
    <row r="15055" spans="1:1" ht="21">
      <c r="A15055" s="345"/>
    </row>
    <row r="15056" spans="1:1" ht="21">
      <c r="A15056" s="345"/>
    </row>
    <row r="15057" spans="1:1" ht="21">
      <c r="A15057" s="345"/>
    </row>
    <row r="15058" spans="1:1" ht="21">
      <c r="A15058" s="345"/>
    </row>
    <row r="15059" spans="1:1" ht="21">
      <c r="A15059" s="345"/>
    </row>
    <row r="15060" spans="1:1" ht="21">
      <c r="A15060" s="345"/>
    </row>
    <row r="15061" spans="1:1" ht="21">
      <c r="A15061" s="345"/>
    </row>
    <row r="15062" spans="1:1" ht="21">
      <c r="A15062" s="345"/>
    </row>
    <row r="15063" spans="1:1" ht="21">
      <c r="A15063" s="345"/>
    </row>
    <row r="15064" spans="1:1" ht="21">
      <c r="A15064" s="345"/>
    </row>
    <row r="15065" spans="1:1" ht="21">
      <c r="A15065" s="345"/>
    </row>
    <row r="15066" spans="1:1" ht="21">
      <c r="A15066" s="345"/>
    </row>
    <row r="15067" spans="1:1" ht="21">
      <c r="A15067" s="345"/>
    </row>
    <row r="15068" spans="1:1" ht="21">
      <c r="A15068" s="345"/>
    </row>
    <row r="15069" spans="1:1" ht="21">
      <c r="A15069" s="345"/>
    </row>
    <row r="15070" spans="1:1" ht="21">
      <c r="A15070" s="345"/>
    </row>
    <row r="15071" spans="1:1" ht="21">
      <c r="A15071" s="345"/>
    </row>
    <row r="15072" spans="1:1" ht="21">
      <c r="A15072" s="345"/>
    </row>
    <row r="15073" spans="1:1" ht="21">
      <c r="A15073" s="345"/>
    </row>
    <row r="15074" spans="1:1" ht="21">
      <c r="A15074" s="345"/>
    </row>
    <row r="15075" spans="1:1" ht="21">
      <c r="A15075" s="345"/>
    </row>
    <row r="15076" spans="1:1" ht="21">
      <c r="A15076" s="345"/>
    </row>
    <row r="15077" spans="1:1" ht="21">
      <c r="A15077" s="345"/>
    </row>
    <row r="15078" spans="1:1" ht="21">
      <c r="A15078" s="345"/>
    </row>
    <row r="15079" spans="1:1" ht="21">
      <c r="A15079" s="345"/>
    </row>
    <row r="15080" spans="1:1" ht="21">
      <c r="A15080" s="345"/>
    </row>
    <row r="15081" spans="1:1" ht="21">
      <c r="A15081" s="345"/>
    </row>
    <row r="15082" spans="1:1" ht="21">
      <c r="A15082" s="345"/>
    </row>
    <row r="15083" spans="1:1" ht="21">
      <c r="A15083" s="345"/>
    </row>
    <row r="15084" spans="1:1" ht="21">
      <c r="A15084" s="345"/>
    </row>
    <row r="15085" spans="1:1" ht="21">
      <c r="A15085" s="345"/>
    </row>
    <row r="15086" spans="1:1" ht="21">
      <c r="A15086" s="345"/>
    </row>
    <row r="15087" spans="1:1" ht="21">
      <c r="A15087" s="345"/>
    </row>
    <row r="15088" spans="1:1" ht="21">
      <c r="A15088" s="345"/>
    </row>
    <row r="15089" spans="1:1" ht="21">
      <c r="A15089" s="345"/>
    </row>
    <row r="15090" spans="1:1" ht="21">
      <c r="A15090" s="345"/>
    </row>
    <row r="15091" spans="1:1" ht="21">
      <c r="A15091" s="345"/>
    </row>
    <row r="15092" spans="1:1" ht="21">
      <c r="A15092" s="345"/>
    </row>
    <row r="15093" spans="1:1" ht="21">
      <c r="A15093" s="345"/>
    </row>
    <row r="15094" spans="1:1" ht="21">
      <c r="A15094" s="345"/>
    </row>
    <row r="15095" spans="1:1" ht="21">
      <c r="A15095" s="345"/>
    </row>
    <row r="15096" spans="1:1" ht="21">
      <c r="A15096" s="345"/>
    </row>
    <row r="15097" spans="1:1" ht="21">
      <c r="A15097" s="345"/>
    </row>
    <row r="15098" spans="1:1" ht="21">
      <c r="A15098" s="345"/>
    </row>
    <row r="15099" spans="1:1" ht="21">
      <c r="A15099" s="345"/>
    </row>
    <row r="15100" spans="1:1" ht="21">
      <c r="A15100" s="345"/>
    </row>
    <row r="15101" spans="1:1" ht="21">
      <c r="A15101" s="345"/>
    </row>
    <row r="15102" spans="1:1" ht="21">
      <c r="A15102" s="345"/>
    </row>
    <row r="15103" spans="1:1" ht="21">
      <c r="A15103" s="345"/>
    </row>
    <row r="15104" spans="1:1" ht="21">
      <c r="A15104" s="345"/>
    </row>
    <row r="15105" spans="1:1" ht="21">
      <c r="A15105" s="345"/>
    </row>
    <row r="15106" spans="1:1" ht="21">
      <c r="A15106" s="345"/>
    </row>
    <row r="15107" spans="1:1" ht="21">
      <c r="A15107" s="345"/>
    </row>
    <row r="15108" spans="1:1" ht="21">
      <c r="A15108" s="345"/>
    </row>
    <row r="15109" spans="1:1" ht="21">
      <c r="A15109" s="345"/>
    </row>
    <row r="15110" spans="1:1" ht="21">
      <c r="A15110" s="345"/>
    </row>
    <row r="15111" spans="1:1" ht="21">
      <c r="A15111" s="345"/>
    </row>
    <row r="15112" spans="1:1" ht="21">
      <c r="A15112" s="345"/>
    </row>
    <row r="15113" spans="1:1" ht="21">
      <c r="A15113" s="345"/>
    </row>
    <row r="15114" spans="1:1" ht="21">
      <c r="A15114" s="345"/>
    </row>
    <row r="15115" spans="1:1" ht="21">
      <c r="A15115" s="345"/>
    </row>
    <row r="15116" spans="1:1" ht="21">
      <c r="A15116" s="345"/>
    </row>
    <row r="15117" spans="1:1" ht="21">
      <c r="A15117" s="345"/>
    </row>
    <row r="15118" spans="1:1" ht="21">
      <c r="A15118" s="345"/>
    </row>
    <row r="15119" spans="1:1" ht="21">
      <c r="A15119" s="345"/>
    </row>
    <row r="15120" spans="1:1" ht="21">
      <c r="A15120" s="345"/>
    </row>
    <row r="15121" spans="1:1" ht="21">
      <c r="A15121" s="345"/>
    </row>
    <row r="15122" spans="1:1" ht="21">
      <c r="A15122" s="345"/>
    </row>
    <row r="15123" spans="1:1" ht="21">
      <c r="A15123" s="345"/>
    </row>
    <row r="15124" spans="1:1" ht="21">
      <c r="A15124" s="345"/>
    </row>
    <row r="15125" spans="1:1" ht="21">
      <c r="A15125" s="345"/>
    </row>
    <row r="15126" spans="1:1" ht="21">
      <c r="A15126" s="345"/>
    </row>
    <row r="15127" spans="1:1" ht="21">
      <c r="A15127" s="345"/>
    </row>
    <row r="15128" spans="1:1" ht="21">
      <c r="A15128" s="345"/>
    </row>
    <row r="15129" spans="1:1" ht="21">
      <c r="A15129" s="345"/>
    </row>
    <row r="15130" spans="1:1" ht="21">
      <c r="A15130" s="345"/>
    </row>
    <row r="15131" spans="1:1" ht="21">
      <c r="A15131" s="345"/>
    </row>
    <row r="15132" spans="1:1" ht="21">
      <c r="A15132" s="345"/>
    </row>
    <row r="15133" spans="1:1" ht="21">
      <c r="A15133" s="345"/>
    </row>
    <row r="15134" spans="1:1" ht="21">
      <c r="A15134" s="345"/>
    </row>
    <row r="15135" spans="1:1" ht="21">
      <c r="A15135" s="345"/>
    </row>
    <row r="15136" spans="1:1" ht="21">
      <c r="A15136" s="345"/>
    </row>
    <row r="15137" spans="1:1" ht="21">
      <c r="A15137" s="345"/>
    </row>
    <row r="15138" spans="1:1" ht="21">
      <c r="A15138" s="345"/>
    </row>
    <row r="15139" spans="1:1" ht="21">
      <c r="A15139" s="345"/>
    </row>
    <row r="15140" spans="1:1" ht="21">
      <c r="A15140" s="345"/>
    </row>
    <row r="15141" spans="1:1" ht="21">
      <c r="A15141" s="345"/>
    </row>
    <row r="15142" spans="1:1" ht="21">
      <c r="A15142" s="345"/>
    </row>
    <row r="15143" spans="1:1" ht="21">
      <c r="A15143" s="345"/>
    </row>
    <row r="15144" spans="1:1" ht="21">
      <c r="A15144" s="345"/>
    </row>
    <row r="15145" spans="1:1" ht="21">
      <c r="A15145" s="345"/>
    </row>
    <row r="15146" spans="1:1" ht="21">
      <c r="A15146" s="345"/>
    </row>
    <row r="15147" spans="1:1" ht="21">
      <c r="A15147" s="345"/>
    </row>
    <row r="15148" spans="1:1" ht="21">
      <c r="A15148" s="345"/>
    </row>
    <row r="15149" spans="1:1" ht="21">
      <c r="A15149" s="345"/>
    </row>
    <row r="15150" spans="1:1" ht="21">
      <c r="A15150" s="345"/>
    </row>
    <row r="15151" spans="1:1" ht="21">
      <c r="A15151" s="345"/>
    </row>
    <row r="15152" spans="1:1" ht="21">
      <c r="A15152" s="345"/>
    </row>
    <row r="15153" spans="1:1" ht="21">
      <c r="A15153" s="345"/>
    </row>
    <row r="15154" spans="1:1" ht="21">
      <c r="A15154" s="345"/>
    </row>
    <row r="15155" spans="1:1" ht="21">
      <c r="A15155" s="345"/>
    </row>
    <row r="15156" spans="1:1" ht="21">
      <c r="A15156" s="345"/>
    </row>
    <row r="15157" spans="1:1" ht="21">
      <c r="A15157" s="345"/>
    </row>
    <row r="15158" spans="1:1" ht="21">
      <c r="A15158" s="345"/>
    </row>
    <row r="15159" spans="1:1" ht="21">
      <c r="A15159" s="345"/>
    </row>
    <row r="15160" spans="1:1" ht="21">
      <c r="A15160" s="345"/>
    </row>
    <row r="15161" spans="1:1" ht="21">
      <c r="A15161" s="345"/>
    </row>
    <row r="15162" spans="1:1" ht="21">
      <c r="A15162" s="345"/>
    </row>
    <row r="15163" spans="1:1" ht="21">
      <c r="A15163" s="345"/>
    </row>
    <row r="15164" spans="1:1" ht="21">
      <c r="A15164" s="345"/>
    </row>
    <row r="15165" spans="1:1" ht="21">
      <c r="A15165" s="345"/>
    </row>
    <row r="15166" spans="1:1" ht="21">
      <c r="A15166" s="345"/>
    </row>
    <row r="15167" spans="1:1" ht="21">
      <c r="A15167" s="345"/>
    </row>
    <row r="15168" spans="1:1" ht="21">
      <c r="A15168" s="345"/>
    </row>
    <row r="15169" spans="1:1" ht="21">
      <c r="A15169" s="345"/>
    </row>
    <row r="15170" spans="1:1" ht="21">
      <c r="A15170" s="345"/>
    </row>
    <row r="15171" spans="1:1" ht="21">
      <c r="A15171" s="345"/>
    </row>
    <row r="15172" spans="1:1" ht="21">
      <c r="A15172" s="345"/>
    </row>
    <row r="15173" spans="1:1" ht="21">
      <c r="A15173" s="345"/>
    </row>
    <row r="15174" spans="1:1" ht="21">
      <c r="A15174" s="345"/>
    </row>
    <row r="15175" spans="1:1" ht="21">
      <c r="A15175" s="345"/>
    </row>
    <row r="15176" spans="1:1" ht="21">
      <c r="A15176" s="345"/>
    </row>
    <row r="15177" spans="1:1" ht="21">
      <c r="A15177" s="345"/>
    </row>
    <row r="15178" spans="1:1" ht="21">
      <c r="A15178" s="345"/>
    </row>
    <row r="15179" spans="1:1" ht="21">
      <c r="A15179" s="345"/>
    </row>
    <row r="15180" spans="1:1" ht="21">
      <c r="A15180" s="345"/>
    </row>
    <row r="15181" spans="1:1" ht="21">
      <c r="A15181" s="345"/>
    </row>
    <row r="15182" spans="1:1" ht="21">
      <c r="A15182" s="345"/>
    </row>
    <row r="15183" spans="1:1" ht="21">
      <c r="A15183" s="345"/>
    </row>
    <row r="15184" spans="1:1" ht="21">
      <c r="A15184" s="345"/>
    </row>
    <row r="15185" spans="1:1" ht="21">
      <c r="A15185" s="345"/>
    </row>
    <row r="15186" spans="1:1" ht="21">
      <c r="A15186" s="345"/>
    </row>
    <row r="15187" spans="1:1" ht="21">
      <c r="A15187" s="345"/>
    </row>
    <row r="15188" spans="1:1" ht="21">
      <c r="A15188" s="345"/>
    </row>
    <row r="15189" spans="1:1" ht="21">
      <c r="A15189" s="345"/>
    </row>
    <row r="15190" spans="1:1" ht="21">
      <c r="A15190" s="345"/>
    </row>
    <row r="15191" spans="1:1" ht="21">
      <c r="A15191" s="345"/>
    </row>
    <row r="15192" spans="1:1" ht="21">
      <c r="A15192" s="345"/>
    </row>
    <row r="15193" spans="1:1" ht="21">
      <c r="A15193" s="345"/>
    </row>
    <row r="15194" spans="1:1" ht="21">
      <c r="A15194" s="345"/>
    </row>
    <row r="15195" spans="1:1" ht="21">
      <c r="A15195" s="345"/>
    </row>
    <row r="15196" spans="1:1" ht="21">
      <c r="A15196" s="345"/>
    </row>
    <row r="15197" spans="1:1" ht="21">
      <c r="A15197" s="345"/>
    </row>
    <row r="15198" spans="1:1" ht="21">
      <c r="A15198" s="345"/>
    </row>
    <row r="15199" spans="1:1" ht="21">
      <c r="A15199" s="345"/>
    </row>
    <row r="15200" spans="1:1" ht="21">
      <c r="A15200" s="345"/>
    </row>
    <row r="15201" spans="1:1" ht="21">
      <c r="A15201" s="345"/>
    </row>
    <row r="15202" spans="1:1" ht="21">
      <c r="A15202" s="345"/>
    </row>
    <row r="15203" spans="1:1" ht="21">
      <c r="A15203" s="345"/>
    </row>
    <row r="15204" spans="1:1" ht="21">
      <c r="A15204" s="345"/>
    </row>
    <row r="15205" spans="1:1" ht="21">
      <c r="A15205" s="345"/>
    </row>
    <row r="15206" spans="1:1" ht="21">
      <c r="A15206" s="345"/>
    </row>
    <row r="15207" spans="1:1" ht="21">
      <c r="A15207" s="345"/>
    </row>
    <row r="15208" spans="1:1" ht="21">
      <c r="A15208" s="345"/>
    </row>
    <row r="15209" spans="1:1" ht="21">
      <c r="A15209" s="345"/>
    </row>
    <row r="15210" spans="1:1" ht="21">
      <c r="A15210" s="345"/>
    </row>
    <row r="15211" spans="1:1" ht="21">
      <c r="A15211" s="345"/>
    </row>
    <row r="15212" spans="1:1" ht="21">
      <c r="A15212" s="345"/>
    </row>
    <row r="15213" spans="1:1" ht="21">
      <c r="A15213" s="345"/>
    </row>
    <row r="15214" spans="1:1" ht="21">
      <c r="A15214" s="345"/>
    </row>
    <row r="15215" spans="1:1" ht="21">
      <c r="A15215" s="345"/>
    </row>
    <row r="15216" spans="1:1" ht="21">
      <c r="A15216" s="345"/>
    </row>
    <row r="15217" spans="1:1" ht="21">
      <c r="A15217" s="345"/>
    </row>
    <row r="15218" spans="1:1" ht="21">
      <c r="A15218" s="345"/>
    </row>
    <row r="15219" spans="1:1" ht="21">
      <c r="A15219" s="345"/>
    </row>
    <row r="15220" spans="1:1" ht="21">
      <c r="A15220" s="345"/>
    </row>
    <row r="15221" spans="1:1" ht="21">
      <c r="A15221" s="345"/>
    </row>
    <row r="15222" spans="1:1" ht="21">
      <c r="A15222" s="345"/>
    </row>
    <row r="15223" spans="1:1" ht="21">
      <c r="A15223" s="345"/>
    </row>
    <row r="15224" spans="1:1" ht="21">
      <c r="A15224" s="345"/>
    </row>
    <row r="15225" spans="1:1" ht="21">
      <c r="A15225" s="345"/>
    </row>
    <row r="15226" spans="1:1" ht="21">
      <c r="A15226" s="345"/>
    </row>
    <row r="15227" spans="1:1" ht="21">
      <c r="A15227" s="345"/>
    </row>
    <row r="15228" spans="1:1" ht="21">
      <c r="A15228" s="345"/>
    </row>
    <row r="15229" spans="1:1" ht="21">
      <c r="A15229" s="345"/>
    </row>
    <row r="15230" spans="1:1" ht="21">
      <c r="A15230" s="345"/>
    </row>
    <row r="15231" spans="1:1" ht="21">
      <c r="A15231" s="345"/>
    </row>
    <row r="15232" spans="1:1" ht="21">
      <c r="A15232" s="345"/>
    </row>
    <row r="15233" spans="1:1" ht="21">
      <c r="A15233" s="345"/>
    </row>
    <row r="15234" spans="1:1" ht="21">
      <c r="A15234" s="345"/>
    </row>
    <row r="15235" spans="1:1" ht="21">
      <c r="A15235" s="345"/>
    </row>
    <row r="15236" spans="1:1" ht="21">
      <c r="A15236" s="345"/>
    </row>
    <row r="15237" spans="1:1" ht="21">
      <c r="A15237" s="345"/>
    </row>
    <row r="15238" spans="1:1" ht="21">
      <c r="A15238" s="345"/>
    </row>
    <row r="15239" spans="1:1" ht="21">
      <c r="A15239" s="345"/>
    </row>
    <row r="15240" spans="1:1" ht="21">
      <c r="A15240" s="345"/>
    </row>
    <row r="15241" spans="1:1" ht="21">
      <c r="A15241" s="345"/>
    </row>
    <row r="15242" spans="1:1" ht="21">
      <c r="A15242" s="345"/>
    </row>
    <row r="15243" spans="1:1" ht="21">
      <c r="A15243" s="345"/>
    </row>
    <row r="15244" spans="1:1" ht="21">
      <c r="A15244" s="345"/>
    </row>
    <row r="15245" spans="1:1" ht="21">
      <c r="A15245" s="345"/>
    </row>
    <row r="15246" spans="1:1" ht="21">
      <c r="A15246" s="345"/>
    </row>
    <row r="15247" spans="1:1" ht="21">
      <c r="A15247" s="345"/>
    </row>
    <row r="15248" spans="1:1" ht="21">
      <c r="A15248" s="345"/>
    </row>
    <row r="15249" spans="1:1" ht="21">
      <c r="A15249" s="345"/>
    </row>
    <row r="15250" spans="1:1" ht="21">
      <c r="A15250" s="345"/>
    </row>
    <row r="15251" spans="1:1" ht="21">
      <c r="A15251" s="345"/>
    </row>
    <row r="15252" spans="1:1" ht="21">
      <c r="A15252" s="345"/>
    </row>
    <row r="15253" spans="1:1" ht="21">
      <c r="A15253" s="345"/>
    </row>
    <row r="15254" spans="1:1" ht="21">
      <c r="A15254" s="345"/>
    </row>
    <row r="15255" spans="1:1" ht="21">
      <c r="A15255" s="345"/>
    </row>
    <row r="15256" spans="1:1" ht="21">
      <c r="A15256" s="345"/>
    </row>
    <row r="15257" spans="1:1" ht="21">
      <c r="A15257" s="345"/>
    </row>
    <row r="15258" spans="1:1" ht="21">
      <c r="A15258" s="345"/>
    </row>
    <row r="15259" spans="1:1" ht="21">
      <c r="A15259" s="345"/>
    </row>
    <row r="15260" spans="1:1" ht="21">
      <c r="A15260" s="345"/>
    </row>
    <row r="15261" spans="1:1" ht="21">
      <c r="A15261" s="345"/>
    </row>
    <row r="15262" spans="1:1" ht="21">
      <c r="A15262" s="345"/>
    </row>
    <row r="15263" spans="1:1" ht="21">
      <c r="A15263" s="345"/>
    </row>
    <row r="15264" spans="1:1" ht="21">
      <c r="A15264" s="345"/>
    </row>
    <row r="15265" spans="1:1" ht="21">
      <c r="A15265" s="345"/>
    </row>
    <row r="15266" spans="1:1" ht="21">
      <c r="A15266" s="345"/>
    </row>
    <row r="15267" spans="1:1" ht="21">
      <c r="A15267" s="345"/>
    </row>
    <row r="15268" spans="1:1" ht="21">
      <c r="A15268" s="345"/>
    </row>
    <row r="15269" spans="1:1" ht="21">
      <c r="A15269" s="345"/>
    </row>
    <row r="15270" spans="1:1" ht="21">
      <c r="A15270" s="345"/>
    </row>
    <row r="15271" spans="1:1" ht="21">
      <c r="A15271" s="345"/>
    </row>
    <row r="15272" spans="1:1" ht="21">
      <c r="A15272" s="345"/>
    </row>
    <row r="15273" spans="1:1" ht="21">
      <c r="A15273" s="345"/>
    </row>
    <row r="15274" spans="1:1" ht="21">
      <c r="A15274" s="345"/>
    </row>
    <row r="15275" spans="1:1" ht="21">
      <c r="A15275" s="345"/>
    </row>
    <row r="15276" spans="1:1" ht="21">
      <c r="A15276" s="345"/>
    </row>
    <row r="15277" spans="1:1" ht="21">
      <c r="A15277" s="345"/>
    </row>
    <row r="15278" spans="1:1" ht="21">
      <c r="A15278" s="345"/>
    </row>
    <row r="15279" spans="1:1" ht="21">
      <c r="A15279" s="345"/>
    </row>
    <row r="15280" spans="1:1" ht="21">
      <c r="A15280" s="345"/>
    </row>
    <row r="15281" spans="1:1" ht="21">
      <c r="A15281" s="345"/>
    </row>
    <row r="15282" spans="1:1" ht="21">
      <c r="A15282" s="345"/>
    </row>
    <row r="15283" spans="1:1" ht="21">
      <c r="A15283" s="345"/>
    </row>
    <row r="15284" spans="1:1" ht="21">
      <c r="A15284" s="345"/>
    </row>
    <row r="15285" spans="1:1" ht="21">
      <c r="A15285" s="345"/>
    </row>
    <row r="15286" spans="1:1" ht="21">
      <c r="A15286" s="345"/>
    </row>
    <row r="15287" spans="1:1" ht="21">
      <c r="A15287" s="345"/>
    </row>
    <row r="15288" spans="1:1" ht="21">
      <c r="A15288" s="345"/>
    </row>
    <row r="15289" spans="1:1" ht="21">
      <c r="A15289" s="345"/>
    </row>
    <row r="15290" spans="1:1" ht="21">
      <c r="A15290" s="345"/>
    </row>
    <row r="15291" spans="1:1" ht="21">
      <c r="A15291" s="345"/>
    </row>
    <row r="15292" spans="1:1" ht="21">
      <c r="A15292" s="345"/>
    </row>
    <row r="15293" spans="1:1" ht="21">
      <c r="A15293" s="345"/>
    </row>
    <row r="15294" spans="1:1" ht="21">
      <c r="A15294" s="345"/>
    </row>
    <row r="15295" spans="1:1" ht="21">
      <c r="A15295" s="345"/>
    </row>
    <row r="15296" spans="1:1" ht="21">
      <c r="A15296" s="345"/>
    </row>
    <row r="15297" spans="1:1" ht="21">
      <c r="A15297" s="345"/>
    </row>
    <row r="15298" spans="1:1" ht="21">
      <c r="A15298" s="345"/>
    </row>
    <row r="15299" spans="1:1" ht="21">
      <c r="A15299" s="345"/>
    </row>
    <row r="15300" spans="1:1" ht="21">
      <c r="A15300" s="345"/>
    </row>
    <row r="15301" spans="1:1" ht="21">
      <c r="A15301" s="345"/>
    </row>
    <row r="15302" spans="1:1" ht="21">
      <c r="A15302" s="345"/>
    </row>
    <row r="15303" spans="1:1" ht="21">
      <c r="A15303" s="345"/>
    </row>
    <row r="15304" spans="1:1" ht="21">
      <c r="A15304" s="345"/>
    </row>
    <row r="15305" spans="1:1" ht="21">
      <c r="A15305" s="345"/>
    </row>
    <row r="15306" spans="1:1" ht="21">
      <c r="A15306" s="345"/>
    </row>
    <row r="15307" spans="1:1" ht="21">
      <c r="A15307" s="345"/>
    </row>
    <row r="15308" spans="1:1" ht="21">
      <c r="A15308" s="345"/>
    </row>
    <row r="15309" spans="1:1" ht="21">
      <c r="A15309" s="345"/>
    </row>
    <row r="15310" spans="1:1" ht="21">
      <c r="A15310" s="345"/>
    </row>
    <row r="15311" spans="1:1" ht="21">
      <c r="A15311" s="345"/>
    </row>
    <row r="15312" spans="1:1" ht="21">
      <c r="A15312" s="345"/>
    </row>
    <row r="15313" spans="1:1" ht="21">
      <c r="A15313" s="345"/>
    </row>
    <row r="15314" spans="1:1" ht="21">
      <c r="A15314" s="345"/>
    </row>
    <row r="15315" spans="1:1" ht="21">
      <c r="A15315" s="345"/>
    </row>
    <row r="15316" spans="1:1" ht="21">
      <c r="A15316" s="345"/>
    </row>
    <row r="15317" spans="1:1" ht="21">
      <c r="A15317" s="345"/>
    </row>
    <row r="15318" spans="1:1" ht="21">
      <c r="A15318" s="345"/>
    </row>
    <row r="15319" spans="1:1" ht="21">
      <c r="A15319" s="345"/>
    </row>
    <row r="15320" spans="1:1" ht="21">
      <c r="A15320" s="345"/>
    </row>
    <row r="15321" spans="1:1" ht="21">
      <c r="A15321" s="345"/>
    </row>
    <row r="15322" spans="1:1" ht="21">
      <c r="A15322" s="345"/>
    </row>
    <row r="15323" spans="1:1" ht="21">
      <c r="A15323" s="345"/>
    </row>
    <row r="15324" spans="1:1" ht="21">
      <c r="A15324" s="345"/>
    </row>
    <row r="15325" spans="1:1" ht="21">
      <c r="A15325" s="345"/>
    </row>
    <row r="15326" spans="1:1" ht="21">
      <c r="A15326" s="345"/>
    </row>
    <row r="15327" spans="1:1" ht="21">
      <c r="A15327" s="345"/>
    </row>
    <row r="15328" spans="1:1" ht="21">
      <c r="A15328" s="345"/>
    </row>
    <row r="15329" spans="1:1" ht="21">
      <c r="A15329" s="345"/>
    </row>
    <row r="15330" spans="1:1" ht="21">
      <c r="A15330" s="345"/>
    </row>
    <row r="15331" spans="1:1" ht="21">
      <c r="A15331" s="345"/>
    </row>
    <row r="15332" spans="1:1" ht="21">
      <c r="A15332" s="345"/>
    </row>
    <row r="15333" spans="1:1" ht="21">
      <c r="A15333" s="345"/>
    </row>
    <row r="15334" spans="1:1" ht="21">
      <c r="A15334" s="345"/>
    </row>
    <row r="15335" spans="1:1" ht="21">
      <c r="A15335" s="345"/>
    </row>
    <row r="15336" spans="1:1" ht="21">
      <c r="A15336" s="345"/>
    </row>
    <row r="15337" spans="1:1" ht="21">
      <c r="A15337" s="345"/>
    </row>
    <row r="15338" spans="1:1" ht="21">
      <c r="A15338" s="345"/>
    </row>
    <row r="15339" spans="1:1" ht="21">
      <c r="A15339" s="345"/>
    </row>
    <row r="15340" spans="1:1" ht="21">
      <c r="A15340" s="345"/>
    </row>
    <row r="15341" spans="1:1" ht="21">
      <c r="A15341" s="345"/>
    </row>
    <row r="15342" spans="1:1" ht="21">
      <c r="A15342" s="345"/>
    </row>
    <row r="15343" spans="1:1" ht="21">
      <c r="A15343" s="345"/>
    </row>
    <row r="15344" spans="1:1" ht="21">
      <c r="A15344" s="345"/>
    </row>
    <row r="15345" spans="1:1" ht="21">
      <c r="A15345" s="345"/>
    </row>
    <row r="15346" spans="1:1" ht="21">
      <c r="A15346" s="345"/>
    </row>
    <row r="15347" spans="1:1" ht="21">
      <c r="A15347" s="345"/>
    </row>
    <row r="15348" spans="1:1" ht="21">
      <c r="A15348" s="345"/>
    </row>
    <row r="15349" spans="1:1" ht="21">
      <c r="A15349" s="345"/>
    </row>
    <row r="15350" spans="1:1" ht="21">
      <c r="A15350" s="345"/>
    </row>
    <row r="15351" spans="1:1" ht="21">
      <c r="A15351" s="345"/>
    </row>
    <row r="15352" spans="1:1" ht="21">
      <c r="A15352" s="345"/>
    </row>
    <row r="15353" spans="1:1" ht="21">
      <c r="A15353" s="345"/>
    </row>
    <row r="15354" spans="1:1" ht="21">
      <c r="A15354" s="345"/>
    </row>
    <row r="15355" spans="1:1" ht="21">
      <c r="A15355" s="345"/>
    </row>
    <row r="15356" spans="1:1" ht="21">
      <c r="A15356" s="345"/>
    </row>
    <row r="15357" spans="1:1" ht="21">
      <c r="A15357" s="345"/>
    </row>
    <row r="15358" spans="1:1" ht="21">
      <c r="A15358" s="345"/>
    </row>
    <row r="15359" spans="1:1" ht="21">
      <c r="A15359" s="345"/>
    </row>
    <row r="15360" spans="1:1" ht="21">
      <c r="A15360" s="345"/>
    </row>
    <row r="15361" spans="1:1" ht="21">
      <c r="A15361" s="345"/>
    </row>
    <row r="15362" spans="1:1" ht="21">
      <c r="A15362" s="345"/>
    </row>
    <row r="15363" spans="1:1" ht="21">
      <c r="A15363" s="345"/>
    </row>
    <row r="15364" spans="1:1" ht="21">
      <c r="A15364" s="345"/>
    </row>
    <row r="15365" spans="1:1" ht="21">
      <c r="A15365" s="345"/>
    </row>
    <row r="15366" spans="1:1" ht="21">
      <c r="A15366" s="345"/>
    </row>
    <row r="15367" spans="1:1" ht="21">
      <c r="A15367" s="345"/>
    </row>
    <row r="15368" spans="1:1" ht="21">
      <c r="A15368" s="345"/>
    </row>
    <row r="15369" spans="1:1" ht="21">
      <c r="A15369" s="345"/>
    </row>
    <row r="15370" spans="1:1" ht="21">
      <c r="A15370" s="345"/>
    </row>
    <row r="15371" spans="1:1" ht="21">
      <c r="A15371" s="345"/>
    </row>
    <row r="15372" spans="1:1" ht="21">
      <c r="A15372" s="345"/>
    </row>
    <row r="15373" spans="1:1" ht="21">
      <c r="A15373" s="345"/>
    </row>
    <row r="15374" spans="1:1" ht="21">
      <c r="A15374" s="345"/>
    </row>
    <row r="15375" spans="1:1" ht="21">
      <c r="A15375" s="345"/>
    </row>
    <row r="15376" spans="1:1" ht="21">
      <c r="A15376" s="345"/>
    </row>
    <row r="15377" spans="1:1" ht="21">
      <c r="A15377" s="345"/>
    </row>
    <row r="15378" spans="1:1" ht="21">
      <c r="A15378" s="345"/>
    </row>
    <row r="15379" spans="1:1" ht="21">
      <c r="A15379" s="345"/>
    </row>
    <row r="15380" spans="1:1" ht="21">
      <c r="A15380" s="345"/>
    </row>
    <row r="15381" spans="1:1" ht="21">
      <c r="A15381" s="345"/>
    </row>
    <row r="15382" spans="1:1" ht="21">
      <c r="A15382" s="345"/>
    </row>
    <row r="15383" spans="1:1" ht="21">
      <c r="A15383" s="345"/>
    </row>
    <row r="15384" spans="1:1" ht="21">
      <c r="A15384" s="345"/>
    </row>
    <row r="15385" spans="1:1" ht="21">
      <c r="A15385" s="345"/>
    </row>
    <row r="15386" spans="1:1" ht="21">
      <c r="A15386" s="345"/>
    </row>
    <row r="15387" spans="1:1" ht="21">
      <c r="A15387" s="345"/>
    </row>
    <row r="15388" spans="1:1" ht="21">
      <c r="A15388" s="345"/>
    </row>
    <row r="15389" spans="1:1" ht="21">
      <c r="A15389" s="345"/>
    </row>
    <row r="15390" spans="1:1" ht="21">
      <c r="A15390" s="345"/>
    </row>
    <row r="15391" spans="1:1" ht="21">
      <c r="A15391" s="345"/>
    </row>
    <row r="15392" spans="1:1" ht="21">
      <c r="A15392" s="345"/>
    </row>
    <row r="15393" spans="1:1" ht="21">
      <c r="A15393" s="345"/>
    </row>
    <row r="15394" spans="1:1" ht="21">
      <c r="A15394" s="345"/>
    </row>
    <row r="15395" spans="1:1" ht="21">
      <c r="A15395" s="345"/>
    </row>
    <row r="15396" spans="1:1" ht="21">
      <c r="A15396" s="345"/>
    </row>
    <row r="15397" spans="1:1" ht="21">
      <c r="A15397" s="345"/>
    </row>
    <row r="15398" spans="1:1" ht="21">
      <c r="A15398" s="345"/>
    </row>
    <row r="15399" spans="1:1" ht="21">
      <c r="A15399" s="345"/>
    </row>
    <row r="15400" spans="1:1" ht="21">
      <c r="A15400" s="345"/>
    </row>
    <row r="15401" spans="1:1" ht="21">
      <c r="A15401" s="345"/>
    </row>
    <row r="15402" spans="1:1" ht="21">
      <c r="A15402" s="345"/>
    </row>
    <row r="15403" spans="1:1" ht="21">
      <c r="A15403" s="345"/>
    </row>
    <row r="15404" spans="1:1" ht="21">
      <c r="A15404" s="345"/>
    </row>
    <row r="15405" spans="1:1" ht="21">
      <c r="A15405" s="345"/>
    </row>
    <row r="15406" spans="1:1" ht="21">
      <c r="A15406" s="345"/>
    </row>
    <row r="15407" spans="1:1" ht="21">
      <c r="A15407" s="345"/>
    </row>
    <row r="15408" spans="1:1" ht="21">
      <c r="A15408" s="345"/>
    </row>
    <row r="15409" spans="1:1" ht="21">
      <c r="A15409" s="345"/>
    </row>
    <row r="15410" spans="1:1" ht="21">
      <c r="A15410" s="345"/>
    </row>
    <row r="15411" spans="1:1" ht="21">
      <c r="A15411" s="345"/>
    </row>
    <row r="15412" spans="1:1" ht="21">
      <c r="A15412" s="345"/>
    </row>
    <row r="15413" spans="1:1" ht="21">
      <c r="A15413" s="345"/>
    </row>
    <row r="15414" spans="1:1" ht="21">
      <c r="A15414" s="345"/>
    </row>
    <row r="15415" spans="1:1" ht="21">
      <c r="A15415" s="345"/>
    </row>
    <row r="15416" spans="1:1" ht="21">
      <c r="A15416" s="345"/>
    </row>
    <row r="15417" spans="1:1" ht="21">
      <c r="A15417" s="345"/>
    </row>
    <row r="15418" spans="1:1" ht="21">
      <c r="A15418" s="345"/>
    </row>
    <row r="15419" spans="1:1" ht="21">
      <c r="A15419" s="345"/>
    </row>
    <row r="15420" spans="1:1" ht="21">
      <c r="A15420" s="345"/>
    </row>
    <row r="15421" spans="1:1" ht="21">
      <c r="A15421" s="345"/>
    </row>
    <row r="15422" spans="1:1" ht="21">
      <c r="A15422" s="345"/>
    </row>
    <row r="15423" spans="1:1" ht="21">
      <c r="A15423" s="345"/>
    </row>
    <row r="15424" spans="1:1" ht="21">
      <c r="A15424" s="345"/>
    </row>
    <row r="15425" spans="1:1" ht="21">
      <c r="A15425" s="345"/>
    </row>
    <row r="15426" spans="1:1" ht="21">
      <c r="A15426" s="345"/>
    </row>
    <row r="15427" spans="1:1" ht="21">
      <c r="A15427" s="345"/>
    </row>
    <row r="15428" spans="1:1" ht="21">
      <c r="A15428" s="345"/>
    </row>
    <row r="15429" spans="1:1" ht="21">
      <c r="A15429" s="345"/>
    </row>
    <row r="15430" spans="1:1" ht="21">
      <c r="A15430" s="345"/>
    </row>
    <row r="15431" spans="1:1" ht="21">
      <c r="A15431" s="345"/>
    </row>
    <row r="15432" spans="1:1" ht="21">
      <c r="A15432" s="345"/>
    </row>
    <row r="15433" spans="1:1" ht="21">
      <c r="A15433" s="345"/>
    </row>
    <row r="15434" spans="1:1" ht="21">
      <c r="A15434" s="345"/>
    </row>
    <row r="15435" spans="1:1" ht="21">
      <c r="A15435" s="345"/>
    </row>
    <row r="15436" spans="1:1" ht="21">
      <c r="A15436" s="345"/>
    </row>
    <row r="15437" spans="1:1" ht="21">
      <c r="A15437" s="345"/>
    </row>
    <row r="15438" spans="1:1" ht="21">
      <c r="A15438" s="345"/>
    </row>
    <row r="15439" spans="1:1" ht="21">
      <c r="A15439" s="345"/>
    </row>
    <row r="15440" spans="1:1" ht="21">
      <c r="A15440" s="345"/>
    </row>
    <row r="15441" spans="1:1" ht="21">
      <c r="A15441" s="345"/>
    </row>
    <row r="15442" spans="1:1" ht="21">
      <c r="A15442" s="345"/>
    </row>
    <row r="15443" spans="1:1" ht="21">
      <c r="A15443" s="345"/>
    </row>
    <row r="15444" spans="1:1" ht="21">
      <c r="A15444" s="345"/>
    </row>
    <row r="15445" spans="1:1" ht="21">
      <c r="A15445" s="345"/>
    </row>
    <row r="15446" spans="1:1" ht="21">
      <c r="A15446" s="345"/>
    </row>
    <row r="15447" spans="1:1" ht="21">
      <c r="A15447" s="345"/>
    </row>
    <row r="15448" spans="1:1" ht="21">
      <c r="A15448" s="345"/>
    </row>
    <row r="15449" spans="1:1" ht="21">
      <c r="A15449" s="345"/>
    </row>
    <row r="15450" spans="1:1" ht="21">
      <c r="A15450" s="345"/>
    </row>
    <row r="15451" spans="1:1" ht="21">
      <c r="A15451" s="345"/>
    </row>
    <row r="15452" spans="1:1" ht="21">
      <c r="A15452" s="345"/>
    </row>
    <row r="15453" spans="1:1" ht="21">
      <c r="A15453" s="345"/>
    </row>
    <row r="15454" spans="1:1" ht="21">
      <c r="A15454" s="345"/>
    </row>
    <row r="15455" spans="1:1" ht="21">
      <c r="A15455" s="345"/>
    </row>
    <row r="15456" spans="1:1" ht="21">
      <c r="A15456" s="345"/>
    </row>
    <row r="15457" spans="1:1" ht="21">
      <c r="A15457" s="345"/>
    </row>
    <row r="15458" spans="1:1" ht="21">
      <c r="A15458" s="345"/>
    </row>
    <row r="15459" spans="1:1" ht="21">
      <c r="A15459" s="345"/>
    </row>
    <row r="15460" spans="1:1" ht="21">
      <c r="A15460" s="345"/>
    </row>
    <row r="15461" spans="1:1" ht="21">
      <c r="A15461" s="345"/>
    </row>
    <row r="15462" spans="1:1" ht="21">
      <c r="A15462" s="345"/>
    </row>
    <row r="15463" spans="1:1" ht="21">
      <c r="A15463" s="345"/>
    </row>
    <row r="15464" spans="1:1" ht="21">
      <c r="A15464" s="345"/>
    </row>
    <row r="15465" spans="1:1" ht="21">
      <c r="A15465" s="345"/>
    </row>
    <row r="15466" spans="1:1" ht="21">
      <c r="A15466" s="345"/>
    </row>
    <row r="15467" spans="1:1" ht="21">
      <c r="A15467" s="345"/>
    </row>
    <row r="15468" spans="1:1" ht="21">
      <c r="A15468" s="345"/>
    </row>
    <row r="15469" spans="1:1" ht="21">
      <c r="A15469" s="345"/>
    </row>
    <row r="15470" spans="1:1" ht="21">
      <c r="A15470" s="345"/>
    </row>
    <row r="15471" spans="1:1" ht="21">
      <c r="A15471" s="345"/>
    </row>
    <row r="15472" spans="1:1" ht="21">
      <c r="A15472" s="345"/>
    </row>
    <row r="15473" spans="1:1" ht="21">
      <c r="A15473" s="345"/>
    </row>
    <row r="15474" spans="1:1" ht="21">
      <c r="A15474" s="345"/>
    </row>
    <row r="15475" spans="1:1" ht="21">
      <c r="A15475" s="345"/>
    </row>
    <row r="15476" spans="1:1" ht="21">
      <c r="A15476" s="345"/>
    </row>
    <row r="15477" spans="1:1" ht="21">
      <c r="A15477" s="345"/>
    </row>
    <row r="15478" spans="1:1" ht="21">
      <c r="A15478" s="345"/>
    </row>
    <row r="15479" spans="1:1" ht="21">
      <c r="A15479" s="345"/>
    </row>
    <row r="15480" spans="1:1" ht="21">
      <c r="A15480" s="345"/>
    </row>
    <row r="15481" spans="1:1" ht="21">
      <c r="A15481" s="345"/>
    </row>
    <row r="15482" spans="1:1" ht="21">
      <c r="A15482" s="345"/>
    </row>
    <row r="15483" spans="1:1" ht="21">
      <c r="A15483" s="345"/>
    </row>
    <row r="15484" spans="1:1" ht="21">
      <c r="A15484" s="345"/>
    </row>
    <row r="15485" spans="1:1" ht="21">
      <c r="A15485" s="345"/>
    </row>
    <row r="15486" spans="1:1" ht="21">
      <c r="A15486" s="345"/>
    </row>
    <row r="15487" spans="1:1" ht="21">
      <c r="A15487" s="345"/>
    </row>
    <row r="15488" spans="1:1" ht="21">
      <c r="A15488" s="345"/>
    </row>
    <row r="15489" spans="1:1" ht="21">
      <c r="A15489" s="345"/>
    </row>
    <row r="15490" spans="1:1" ht="21">
      <c r="A15490" s="345"/>
    </row>
    <row r="15491" spans="1:1" ht="21">
      <c r="A15491" s="345"/>
    </row>
    <row r="15492" spans="1:1" ht="21">
      <c r="A15492" s="345"/>
    </row>
    <row r="15493" spans="1:1" ht="21">
      <c r="A15493" s="345"/>
    </row>
    <row r="15494" spans="1:1" ht="21">
      <c r="A15494" s="345"/>
    </row>
    <row r="15495" spans="1:1" ht="21">
      <c r="A15495" s="345"/>
    </row>
    <row r="15496" spans="1:1" ht="21">
      <c r="A15496" s="345"/>
    </row>
    <row r="15497" spans="1:1" ht="21">
      <c r="A15497" s="345"/>
    </row>
    <row r="15498" spans="1:1" ht="21">
      <c r="A15498" s="345"/>
    </row>
    <row r="15499" spans="1:1" ht="21">
      <c r="A15499" s="345"/>
    </row>
    <row r="15500" spans="1:1" ht="21">
      <c r="A15500" s="345"/>
    </row>
    <row r="15501" spans="1:1" ht="21">
      <c r="A15501" s="345"/>
    </row>
    <row r="15502" spans="1:1" ht="21">
      <c r="A15502" s="345"/>
    </row>
    <row r="15503" spans="1:1" ht="21">
      <c r="A15503" s="345"/>
    </row>
    <row r="15504" spans="1:1" ht="21">
      <c r="A15504" s="345"/>
    </row>
    <row r="15505" spans="1:1" ht="21">
      <c r="A15505" s="345"/>
    </row>
    <row r="15506" spans="1:1" ht="21">
      <c r="A15506" s="345"/>
    </row>
    <row r="15507" spans="1:1" ht="21">
      <c r="A15507" s="345"/>
    </row>
    <row r="15508" spans="1:1" ht="21">
      <c r="A15508" s="345"/>
    </row>
    <row r="15509" spans="1:1" ht="21">
      <c r="A15509" s="345"/>
    </row>
    <row r="15510" spans="1:1" ht="21">
      <c r="A15510" s="345"/>
    </row>
    <row r="15511" spans="1:1" ht="21">
      <c r="A15511" s="345"/>
    </row>
    <row r="15512" spans="1:1" ht="21">
      <c r="A15512" s="345"/>
    </row>
    <row r="15513" spans="1:1" ht="21">
      <c r="A15513" s="345"/>
    </row>
    <row r="15514" spans="1:1" ht="21">
      <c r="A15514" s="345"/>
    </row>
    <row r="15515" spans="1:1" ht="21">
      <c r="A15515" s="345"/>
    </row>
    <row r="15516" spans="1:1" ht="21">
      <c r="A15516" s="345"/>
    </row>
    <row r="15517" spans="1:1" ht="21">
      <c r="A15517" s="345"/>
    </row>
    <row r="15518" spans="1:1" ht="21">
      <c r="A15518" s="345"/>
    </row>
    <row r="15519" spans="1:1" ht="21">
      <c r="A15519" s="345"/>
    </row>
    <row r="15520" spans="1:1" ht="21">
      <c r="A15520" s="345"/>
    </row>
    <row r="15521" spans="1:1" ht="21">
      <c r="A15521" s="345"/>
    </row>
    <row r="15522" spans="1:1" ht="21">
      <c r="A15522" s="345"/>
    </row>
    <row r="15523" spans="1:1" ht="21">
      <c r="A15523" s="345"/>
    </row>
    <row r="15524" spans="1:1" ht="21">
      <c r="A15524" s="345"/>
    </row>
    <row r="15525" spans="1:1" ht="21">
      <c r="A15525" s="345"/>
    </row>
    <row r="15526" spans="1:1" ht="21">
      <c r="A15526" s="345"/>
    </row>
    <row r="15527" spans="1:1" ht="21">
      <c r="A15527" s="345"/>
    </row>
    <row r="15528" spans="1:1" ht="21">
      <c r="A15528" s="345"/>
    </row>
    <row r="15529" spans="1:1" ht="21">
      <c r="A15529" s="345"/>
    </row>
    <row r="15530" spans="1:1" ht="21">
      <c r="A15530" s="345"/>
    </row>
    <row r="15531" spans="1:1" ht="21">
      <c r="A15531" s="345"/>
    </row>
    <row r="15532" spans="1:1" ht="21">
      <c r="A15532" s="345"/>
    </row>
    <row r="15533" spans="1:1" ht="21">
      <c r="A15533" s="345"/>
    </row>
    <row r="15534" spans="1:1" ht="21">
      <c r="A15534" s="345"/>
    </row>
    <row r="15535" spans="1:1" ht="21">
      <c r="A15535" s="345"/>
    </row>
    <row r="15536" spans="1:1" ht="21">
      <c r="A15536" s="345"/>
    </row>
    <row r="15537" spans="1:1" ht="21">
      <c r="A15537" s="345"/>
    </row>
    <row r="15538" spans="1:1" ht="21">
      <c r="A15538" s="345"/>
    </row>
    <row r="15539" spans="1:1" ht="21">
      <c r="A15539" s="345"/>
    </row>
    <row r="15540" spans="1:1" ht="21">
      <c r="A15540" s="345"/>
    </row>
    <row r="15541" spans="1:1" ht="21">
      <c r="A15541" s="345"/>
    </row>
    <row r="15542" spans="1:1" ht="21">
      <c r="A15542" s="345"/>
    </row>
    <row r="15543" spans="1:1" ht="21">
      <c r="A15543" s="345"/>
    </row>
    <row r="15544" spans="1:1" ht="21">
      <c r="A15544" s="345"/>
    </row>
    <row r="15545" spans="1:1" ht="21">
      <c r="A15545" s="345"/>
    </row>
    <row r="15546" spans="1:1" ht="21">
      <c r="A15546" s="345"/>
    </row>
    <row r="15547" spans="1:1" ht="21">
      <c r="A15547" s="345"/>
    </row>
    <row r="15548" spans="1:1" ht="21">
      <c r="A15548" s="345"/>
    </row>
    <row r="15549" spans="1:1" ht="21">
      <c r="A15549" s="345"/>
    </row>
    <row r="15550" spans="1:1" ht="21">
      <c r="A15550" s="345"/>
    </row>
    <row r="15551" spans="1:1" ht="21">
      <c r="A15551" s="345"/>
    </row>
    <row r="15552" spans="1:1" ht="21">
      <c r="A15552" s="345"/>
    </row>
    <row r="15553" spans="1:1" ht="21">
      <c r="A15553" s="345"/>
    </row>
    <row r="15554" spans="1:1" ht="21">
      <c r="A15554" s="345"/>
    </row>
    <row r="15555" spans="1:1" ht="21">
      <c r="A15555" s="345"/>
    </row>
    <row r="15556" spans="1:1" ht="21">
      <c r="A15556" s="345"/>
    </row>
    <row r="15557" spans="1:1" ht="21">
      <c r="A15557" s="345"/>
    </row>
    <row r="15558" spans="1:1" ht="21">
      <c r="A15558" s="345"/>
    </row>
    <row r="15559" spans="1:1" ht="21">
      <c r="A15559" s="345"/>
    </row>
    <row r="15560" spans="1:1" ht="21">
      <c r="A15560" s="345"/>
    </row>
    <row r="15561" spans="1:1" ht="21">
      <c r="A15561" s="345"/>
    </row>
    <row r="15562" spans="1:1" ht="21">
      <c r="A15562" s="345"/>
    </row>
    <row r="15563" spans="1:1" ht="21">
      <c r="A15563" s="345"/>
    </row>
    <row r="15564" spans="1:1" ht="21">
      <c r="A15564" s="345"/>
    </row>
    <row r="15565" spans="1:1" ht="21">
      <c r="A15565" s="345"/>
    </row>
    <row r="15566" spans="1:1" ht="21">
      <c r="A15566" s="345"/>
    </row>
    <row r="15567" spans="1:1" ht="21">
      <c r="A15567" s="345"/>
    </row>
    <row r="15568" spans="1:1" ht="21">
      <c r="A15568" s="345"/>
    </row>
    <row r="15569" spans="1:1" ht="21">
      <c r="A15569" s="345"/>
    </row>
    <row r="15570" spans="1:1" ht="21">
      <c r="A15570" s="345"/>
    </row>
    <row r="15571" spans="1:1" ht="21">
      <c r="A15571" s="345"/>
    </row>
    <row r="15572" spans="1:1" ht="21">
      <c r="A15572" s="345"/>
    </row>
    <row r="15573" spans="1:1" ht="21">
      <c r="A15573" s="345"/>
    </row>
    <row r="15574" spans="1:1" ht="21">
      <c r="A15574" s="345"/>
    </row>
    <row r="15575" spans="1:1" ht="21">
      <c r="A15575" s="345"/>
    </row>
    <row r="15576" spans="1:1" ht="21">
      <c r="A15576" s="345"/>
    </row>
    <row r="15577" spans="1:1" ht="21">
      <c r="A15577" s="345"/>
    </row>
    <row r="15578" spans="1:1" ht="21">
      <c r="A15578" s="345"/>
    </row>
    <row r="15579" spans="1:1" ht="21">
      <c r="A15579" s="345"/>
    </row>
    <row r="15580" spans="1:1" ht="21">
      <c r="A15580" s="345"/>
    </row>
    <row r="15581" spans="1:1" ht="21">
      <c r="A15581" s="345"/>
    </row>
    <row r="15582" spans="1:1" ht="21">
      <c r="A15582" s="345"/>
    </row>
    <row r="15583" spans="1:1" ht="21">
      <c r="A15583" s="345"/>
    </row>
    <row r="15584" spans="1:1" ht="21">
      <c r="A15584" s="345"/>
    </row>
    <row r="15585" spans="1:1" ht="21">
      <c r="A15585" s="345"/>
    </row>
    <row r="15586" spans="1:1" ht="21">
      <c r="A15586" s="345"/>
    </row>
    <row r="15587" spans="1:1" ht="21">
      <c r="A15587" s="345"/>
    </row>
    <row r="15588" spans="1:1" ht="21">
      <c r="A15588" s="345"/>
    </row>
    <row r="15589" spans="1:1" ht="21">
      <c r="A15589" s="345"/>
    </row>
    <row r="15590" spans="1:1" ht="21">
      <c r="A15590" s="345"/>
    </row>
    <row r="15591" spans="1:1" ht="21">
      <c r="A15591" s="345"/>
    </row>
    <row r="15592" spans="1:1" ht="21">
      <c r="A15592" s="345"/>
    </row>
    <row r="15593" spans="1:1" ht="21">
      <c r="A15593" s="345"/>
    </row>
    <row r="15594" spans="1:1" ht="21">
      <c r="A15594" s="345"/>
    </row>
    <row r="15595" spans="1:1" ht="21">
      <c r="A15595" s="345"/>
    </row>
    <row r="15596" spans="1:1" ht="21">
      <c r="A15596" s="345"/>
    </row>
    <row r="15597" spans="1:1" ht="21">
      <c r="A15597" s="345"/>
    </row>
    <row r="15598" spans="1:1" ht="21">
      <c r="A15598" s="345"/>
    </row>
    <row r="15599" spans="1:1" ht="21">
      <c r="A15599" s="345"/>
    </row>
    <row r="15600" spans="1:1" ht="21">
      <c r="A15600" s="345"/>
    </row>
    <row r="15601" spans="1:1" ht="21">
      <c r="A15601" s="345"/>
    </row>
    <row r="15602" spans="1:1" ht="21">
      <c r="A15602" s="345"/>
    </row>
    <row r="15603" spans="1:1" ht="21">
      <c r="A15603" s="345"/>
    </row>
    <row r="15604" spans="1:1" ht="21">
      <c r="A15604" s="345"/>
    </row>
    <row r="15605" spans="1:1" ht="21">
      <c r="A15605" s="345"/>
    </row>
    <row r="15606" spans="1:1" ht="21">
      <c r="A15606" s="345"/>
    </row>
    <row r="15607" spans="1:1" ht="21">
      <c r="A15607" s="345"/>
    </row>
    <row r="15608" spans="1:1" ht="21">
      <c r="A15608" s="345"/>
    </row>
    <row r="15609" spans="1:1" ht="21">
      <c r="A15609" s="345"/>
    </row>
    <row r="15610" spans="1:1" ht="21">
      <c r="A15610" s="345"/>
    </row>
    <row r="15611" spans="1:1" ht="21">
      <c r="A15611" s="345"/>
    </row>
    <row r="15612" spans="1:1" ht="21">
      <c r="A15612" s="345"/>
    </row>
    <row r="15613" spans="1:1" ht="21">
      <c r="A15613" s="345"/>
    </row>
    <row r="15614" spans="1:1" ht="21">
      <c r="A15614" s="345"/>
    </row>
    <row r="15615" spans="1:1" ht="21">
      <c r="A15615" s="345"/>
    </row>
    <row r="15616" spans="1:1" ht="21">
      <c r="A15616" s="345"/>
    </row>
    <row r="15617" spans="1:1" ht="21">
      <c r="A15617" s="345"/>
    </row>
    <row r="15618" spans="1:1" ht="21">
      <c r="A15618" s="345"/>
    </row>
    <row r="15619" spans="1:1" ht="21">
      <c r="A15619" s="345"/>
    </row>
    <row r="15620" spans="1:1" ht="21">
      <c r="A15620" s="345"/>
    </row>
    <row r="15621" spans="1:1" ht="21">
      <c r="A15621" s="345"/>
    </row>
    <row r="15622" spans="1:1" ht="21">
      <c r="A15622" s="345"/>
    </row>
    <row r="15623" spans="1:1" ht="21">
      <c r="A15623" s="345"/>
    </row>
    <row r="15624" spans="1:1" ht="21">
      <c r="A15624" s="345"/>
    </row>
    <row r="15625" spans="1:1" ht="21">
      <c r="A15625" s="345"/>
    </row>
    <row r="15626" spans="1:1" ht="21">
      <c r="A15626" s="345"/>
    </row>
    <row r="15627" spans="1:1" ht="21">
      <c r="A15627" s="345"/>
    </row>
    <row r="15628" spans="1:1" ht="21">
      <c r="A15628" s="345"/>
    </row>
    <row r="15629" spans="1:1" ht="21">
      <c r="A15629" s="345"/>
    </row>
    <row r="15630" spans="1:1" ht="21">
      <c r="A15630" s="345"/>
    </row>
    <row r="15631" spans="1:1" ht="21">
      <c r="A15631" s="345"/>
    </row>
    <row r="15632" spans="1:1" ht="21">
      <c r="A15632" s="345"/>
    </row>
    <row r="15633" spans="1:1" ht="21">
      <c r="A15633" s="345"/>
    </row>
    <row r="15634" spans="1:1" ht="21">
      <c r="A15634" s="345"/>
    </row>
    <row r="15635" spans="1:1" ht="21">
      <c r="A15635" s="345"/>
    </row>
    <row r="15636" spans="1:1" ht="21">
      <c r="A15636" s="345"/>
    </row>
    <row r="15637" spans="1:1" ht="21">
      <c r="A15637" s="345"/>
    </row>
    <row r="15638" spans="1:1" ht="21">
      <c r="A15638" s="345"/>
    </row>
    <row r="15639" spans="1:1" ht="21">
      <c r="A15639" s="345"/>
    </row>
    <row r="15640" spans="1:1" ht="21">
      <c r="A15640" s="345"/>
    </row>
    <row r="15641" spans="1:1" ht="21">
      <c r="A15641" s="345"/>
    </row>
    <row r="15642" spans="1:1" ht="21">
      <c r="A15642" s="345"/>
    </row>
    <row r="15643" spans="1:1" ht="21">
      <c r="A15643" s="345"/>
    </row>
    <row r="15644" spans="1:1" ht="21">
      <c r="A15644" s="345"/>
    </row>
    <row r="15645" spans="1:1" ht="21">
      <c r="A15645" s="345"/>
    </row>
    <row r="15646" spans="1:1" ht="21">
      <c r="A15646" s="345"/>
    </row>
    <row r="15647" spans="1:1" ht="21">
      <c r="A15647" s="345"/>
    </row>
    <row r="15648" spans="1:1" ht="21">
      <c r="A15648" s="345"/>
    </row>
    <row r="15649" spans="1:1" ht="21">
      <c r="A15649" s="345"/>
    </row>
    <row r="15650" spans="1:1" ht="21">
      <c r="A15650" s="345"/>
    </row>
    <row r="15651" spans="1:1" ht="21">
      <c r="A15651" s="345"/>
    </row>
    <row r="15652" spans="1:1" ht="21">
      <c r="A15652" s="345"/>
    </row>
    <row r="15653" spans="1:1" ht="21">
      <c r="A15653" s="345"/>
    </row>
    <row r="15654" spans="1:1" ht="21">
      <c r="A15654" s="345"/>
    </row>
    <row r="15655" spans="1:1" ht="21">
      <c r="A15655" s="345"/>
    </row>
    <row r="15656" spans="1:1" ht="21">
      <c r="A15656" s="345"/>
    </row>
    <row r="15657" spans="1:1" ht="21">
      <c r="A15657" s="345"/>
    </row>
    <row r="15658" spans="1:1" ht="21">
      <c r="A15658" s="345"/>
    </row>
    <row r="15659" spans="1:1" ht="21">
      <c r="A15659" s="345"/>
    </row>
    <row r="15660" spans="1:1" ht="21">
      <c r="A15660" s="345"/>
    </row>
    <row r="15661" spans="1:1" ht="21">
      <c r="A15661" s="345"/>
    </row>
    <row r="15662" spans="1:1" ht="21">
      <c r="A15662" s="345"/>
    </row>
    <row r="15663" spans="1:1" ht="21">
      <c r="A15663" s="345"/>
    </row>
    <row r="15664" spans="1:1" ht="21">
      <c r="A15664" s="345"/>
    </row>
    <row r="15665" spans="1:1" ht="21">
      <c r="A15665" s="345"/>
    </row>
    <row r="15666" spans="1:1" ht="21">
      <c r="A15666" s="345"/>
    </row>
    <row r="15667" spans="1:1" ht="21">
      <c r="A15667" s="345"/>
    </row>
    <row r="15668" spans="1:1" ht="21">
      <c r="A15668" s="345"/>
    </row>
    <row r="15669" spans="1:1" ht="21">
      <c r="A15669" s="345"/>
    </row>
    <row r="15670" spans="1:1" ht="21">
      <c r="A15670" s="345"/>
    </row>
    <row r="15671" spans="1:1" ht="21">
      <c r="A15671" s="345"/>
    </row>
    <row r="15672" spans="1:1" ht="21">
      <c r="A15672" s="345"/>
    </row>
    <row r="15673" spans="1:1" ht="21">
      <c r="A15673" s="345"/>
    </row>
    <row r="15674" spans="1:1" ht="21">
      <c r="A15674" s="345"/>
    </row>
    <row r="15675" spans="1:1" ht="21">
      <c r="A15675" s="345"/>
    </row>
    <row r="15676" spans="1:1" ht="21">
      <c r="A15676" s="345"/>
    </row>
    <row r="15677" spans="1:1" ht="21">
      <c r="A15677" s="345"/>
    </row>
    <row r="15678" spans="1:1" ht="21">
      <c r="A15678" s="345"/>
    </row>
    <row r="15679" spans="1:1" ht="21">
      <c r="A15679" s="345"/>
    </row>
    <row r="15680" spans="1:1" ht="21">
      <c r="A15680" s="345"/>
    </row>
    <row r="15681" spans="1:1" ht="21">
      <c r="A15681" s="345"/>
    </row>
    <row r="15682" spans="1:1" ht="21">
      <c r="A15682" s="345"/>
    </row>
    <row r="15683" spans="1:1" ht="21">
      <c r="A15683" s="345"/>
    </row>
    <row r="15684" spans="1:1" ht="21">
      <c r="A15684" s="345"/>
    </row>
    <row r="15685" spans="1:1" ht="21">
      <c r="A15685" s="345"/>
    </row>
    <row r="15686" spans="1:1" ht="21">
      <c r="A15686" s="345"/>
    </row>
    <row r="15687" spans="1:1" ht="21">
      <c r="A15687" s="345"/>
    </row>
    <row r="15688" spans="1:1" ht="21">
      <c r="A15688" s="345"/>
    </row>
    <row r="15689" spans="1:1" ht="21">
      <c r="A15689" s="345"/>
    </row>
    <row r="15690" spans="1:1" ht="21">
      <c r="A15690" s="345"/>
    </row>
    <row r="15691" spans="1:1" ht="21">
      <c r="A15691" s="345"/>
    </row>
    <row r="15692" spans="1:1" ht="21">
      <c r="A15692" s="345"/>
    </row>
    <row r="15693" spans="1:1" ht="21">
      <c r="A15693" s="345"/>
    </row>
    <row r="15694" spans="1:1" ht="21">
      <c r="A15694" s="345"/>
    </row>
    <row r="15695" spans="1:1" ht="21">
      <c r="A15695" s="345"/>
    </row>
    <row r="15696" spans="1:1" ht="21">
      <c r="A15696" s="345"/>
    </row>
    <row r="15697" spans="1:1" ht="21">
      <c r="A15697" s="345"/>
    </row>
    <row r="15698" spans="1:1" ht="21">
      <c r="A15698" s="345"/>
    </row>
    <row r="15699" spans="1:1" ht="21">
      <c r="A15699" s="345"/>
    </row>
    <row r="15700" spans="1:1" ht="21">
      <c r="A15700" s="345"/>
    </row>
    <row r="15701" spans="1:1" ht="21">
      <c r="A15701" s="345"/>
    </row>
    <row r="15702" spans="1:1" ht="21">
      <c r="A15702" s="345"/>
    </row>
    <row r="15703" spans="1:1" ht="21">
      <c r="A15703" s="345"/>
    </row>
    <row r="15704" spans="1:1" ht="21">
      <c r="A15704" s="345"/>
    </row>
    <row r="15705" spans="1:1" ht="21">
      <c r="A15705" s="345"/>
    </row>
    <row r="15706" spans="1:1" ht="21">
      <c r="A15706" s="345"/>
    </row>
    <row r="15707" spans="1:1" ht="21">
      <c r="A15707" s="345"/>
    </row>
    <row r="15708" spans="1:1" ht="21">
      <c r="A15708" s="345"/>
    </row>
    <row r="15709" spans="1:1" ht="21">
      <c r="A15709" s="345"/>
    </row>
    <row r="15710" spans="1:1" ht="21">
      <c r="A15710" s="345"/>
    </row>
    <row r="15711" spans="1:1" ht="21">
      <c r="A15711" s="345"/>
    </row>
    <row r="15712" spans="1:1" ht="21">
      <c r="A15712" s="345"/>
    </row>
    <row r="15713" spans="1:1" ht="21">
      <c r="A15713" s="345"/>
    </row>
    <row r="15714" spans="1:1" ht="21">
      <c r="A15714" s="345"/>
    </row>
    <row r="15715" spans="1:1" ht="21">
      <c r="A15715" s="345"/>
    </row>
    <row r="15716" spans="1:1" ht="21">
      <c r="A15716" s="345"/>
    </row>
    <row r="15717" spans="1:1" ht="21">
      <c r="A15717" s="345"/>
    </row>
    <row r="15718" spans="1:1" ht="21">
      <c r="A15718" s="345"/>
    </row>
    <row r="15719" spans="1:1" ht="21">
      <c r="A15719" s="345"/>
    </row>
    <row r="15720" spans="1:1" ht="21">
      <c r="A15720" s="345"/>
    </row>
    <row r="15721" spans="1:1" ht="21">
      <c r="A15721" s="345"/>
    </row>
    <row r="15722" spans="1:1" ht="21">
      <c r="A15722" s="345"/>
    </row>
    <row r="15723" spans="1:1" ht="21">
      <c r="A15723" s="345"/>
    </row>
    <row r="15724" spans="1:1" ht="21">
      <c r="A15724" s="345"/>
    </row>
    <row r="15725" spans="1:1" ht="21">
      <c r="A15725" s="345"/>
    </row>
    <row r="15726" spans="1:1" ht="21">
      <c r="A15726" s="345"/>
    </row>
    <row r="15727" spans="1:1" ht="21">
      <c r="A15727" s="345"/>
    </row>
    <row r="15728" spans="1:1" ht="21">
      <c r="A15728" s="345"/>
    </row>
    <row r="15729" spans="1:1" ht="21">
      <c r="A15729" s="345"/>
    </row>
    <row r="15730" spans="1:1" ht="21">
      <c r="A15730" s="345"/>
    </row>
    <row r="15731" spans="1:1" ht="21">
      <c r="A15731" s="345"/>
    </row>
    <row r="15732" spans="1:1" ht="21">
      <c r="A15732" s="345"/>
    </row>
    <row r="15733" spans="1:1" ht="21">
      <c r="A15733" s="345"/>
    </row>
    <row r="15734" spans="1:1" ht="21">
      <c r="A15734" s="345"/>
    </row>
    <row r="15735" spans="1:1" ht="21">
      <c r="A15735" s="345"/>
    </row>
    <row r="15736" spans="1:1" ht="21">
      <c r="A15736" s="345"/>
    </row>
    <row r="15737" spans="1:1" ht="21">
      <c r="A15737" s="345"/>
    </row>
    <row r="15738" spans="1:1" ht="21">
      <c r="A15738" s="345"/>
    </row>
    <row r="15739" spans="1:1" ht="21">
      <c r="A15739" s="345"/>
    </row>
    <row r="15740" spans="1:1" ht="21">
      <c r="A15740" s="345"/>
    </row>
    <row r="15741" spans="1:1" ht="21">
      <c r="A15741" s="345"/>
    </row>
    <row r="15742" spans="1:1" ht="21">
      <c r="A15742" s="345"/>
    </row>
    <row r="15743" spans="1:1" ht="21">
      <c r="A15743" s="345"/>
    </row>
    <row r="15744" spans="1:1" ht="21">
      <c r="A15744" s="345"/>
    </row>
    <row r="15745" spans="1:1" ht="21">
      <c r="A15745" s="345"/>
    </row>
    <row r="15746" spans="1:1" ht="21">
      <c r="A15746" s="345"/>
    </row>
    <row r="15747" spans="1:1" ht="21">
      <c r="A15747" s="345"/>
    </row>
    <row r="15748" spans="1:1" ht="21">
      <c r="A15748" s="345"/>
    </row>
    <row r="15749" spans="1:1" ht="21">
      <c r="A15749" s="345"/>
    </row>
    <row r="15750" spans="1:1" ht="21">
      <c r="A15750" s="345"/>
    </row>
    <row r="15751" spans="1:1" ht="21">
      <c r="A15751" s="345"/>
    </row>
    <row r="15752" spans="1:1" ht="21">
      <c r="A15752" s="345"/>
    </row>
    <row r="15753" spans="1:1" ht="21">
      <c r="A15753" s="345"/>
    </row>
    <row r="15754" spans="1:1" ht="21">
      <c r="A15754" s="345"/>
    </row>
    <row r="15755" spans="1:1" ht="21">
      <c r="A15755" s="345"/>
    </row>
    <row r="15756" spans="1:1" ht="21">
      <c r="A15756" s="345"/>
    </row>
    <row r="15757" spans="1:1" ht="21">
      <c r="A15757" s="345"/>
    </row>
    <row r="15758" spans="1:1" ht="21">
      <c r="A15758" s="345"/>
    </row>
    <row r="15759" spans="1:1" ht="21">
      <c r="A15759" s="345"/>
    </row>
    <row r="15760" spans="1:1" ht="21">
      <c r="A15760" s="345"/>
    </row>
    <row r="15761" spans="1:1" ht="21">
      <c r="A15761" s="345"/>
    </row>
    <row r="15762" spans="1:1" ht="21">
      <c r="A15762" s="345"/>
    </row>
    <row r="15763" spans="1:1" ht="21">
      <c r="A15763" s="345"/>
    </row>
    <row r="15764" spans="1:1" ht="21">
      <c r="A15764" s="345"/>
    </row>
    <row r="15765" spans="1:1" ht="21">
      <c r="A15765" s="345"/>
    </row>
    <row r="15766" spans="1:1" ht="21">
      <c r="A15766" s="345"/>
    </row>
    <row r="15767" spans="1:1" ht="21">
      <c r="A15767" s="345"/>
    </row>
    <row r="15768" spans="1:1" ht="21">
      <c r="A15768" s="345"/>
    </row>
    <row r="15769" spans="1:1" ht="21">
      <c r="A15769" s="345"/>
    </row>
    <row r="15770" spans="1:1" ht="21">
      <c r="A15770" s="345"/>
    </row>
    <row r="15771" spans="1:1" ht="21">
      <c r="A15771" s="345"/>
    </row>
    <row r="15772" spans="1:1" ht="21">
      <c r="A15772" s="345"/>
    </row>
    <row r="15773" spans="1:1" ht="21">
      <c r="A15773" s="345"/>
    </row>
    <row r="15774" spans="1:1" ht="21">
      <c r="A15774" s="345"/>
    </row>
    <row r="15775" spans="1:1" ht="21">
      <c r="A15775" s="345"/>
    </row>
    <row r="15776" spans="1:1" ht="21">
      <c r="A15776" s="345"/>
    </row>
    <row r="15777" spans="1:1" ht="21">
      <c r="A15777" s="345"/>
    </row>
    <row r="15778" spans="1:1" ht="21">
      <c r="A15778" s="345"/>
    </row>
    <row r="15779" spans="1:1" ht="21">
      <c r="A15779" s="345"/>
    </row>
    <row r="15780" spans="1:1" ht="21">
      <c r="A15780" s="345"/>
    </row>
    <row r="15781" spans="1:1" ht="21">
      <c r="A15781" s="345"/>
    </row>
    <row r="15782" spans="1:1" ht="21">
      <c r="A15782" s="345"/>
    </row>
    <row r="15783" spans="1:1" ht="21">
      <c r="A15783" s="345"/>
    </row>
    <row r="15784" spans="1:1" ht="21">
      <c r="A15784" s="345"/>
    </row>
    <row r="15785" spans="1:1" ht="21">
      <c r="A15785" s="345"/>
    </row>
    <row r="15786" spans="1:1" ht="21">
      <c r="A15786" s="345"/>
    </row>
    <row r="15787" spans="1:1" ht="21">
      <c r="A15787" s="345"/>
    </row>
    <row r="15788" spans="1:1" ht="21">
      <c r="A15788" s="345"/>
    </row>
    <row r="15789" spans="1:1" ht="21">
      <c r="A15789" s="345"/>
    </row>
    <row r="15790" spans="1:1" ht="21">
      <c r="A15790" s="345"/>
    </row>
    <row r="15791" spans="1:1" ht="21">
      <c r="A15791" s="345"/>
    </row>
    <row r="15792" spans="1:1" ht="21">
      <c r="A15792" s="345"/>
    </row>
    <row r="15793" spans="1:1" ht="21">
      <c r="A15793" s="345"/>
    </row>
    <row r="15794" spans="1:1" ht="21">
      <c r="A15794" s="345"/>
    </row>
    <row r="15795" spans="1:1" ht="21">
      <c r="A15795" s="345"/>
    </row>
    <row r="15796" spans="1:1" ht="21">
      <c r="A15796" s="345"/>
    </row>
    <row r="15797" spans="1:1" ht="21">
      <c r="A15797" s="345"/>
    </row>
    <row r="15798" spans="1:1" ht="21">
      <c r="A15798" s="345"/>
    </row>
    <row r="15799" spans="1:1" ht="21">
      <c r="A15799" s="345"/>
    </row>
    <row r="15800" spans="1:1" ht="21">
      <c r="A15800" s="345"/>
    </row>
    <row r="15801" spans="1:1" ht="21">
      <c r="A15801" s="345"/>
    </row>
    <row r="15802" spans="1:1" ht="21">
      <c r="A15802" s="345"/>
    </row>
    <row r="15803" spans="1:1" ht="21">
      <c r="A15803" s="345"/>
    </row>
    <row r="15804" spans="1:1" ht="21">
      <c r="A15804" s="345"/>
    </row>
    <row r="15805" spans="1:1" ht="21">
      <c r="A15805" s="345"/>
    </row>
    <row r="15806" spans="1:1" ht="21">
      <c r="A15806" s="345"/>
    </row>
    <row r="15807" spans="1:1" ht="21">
      <c r="A15807" s="345"/>
    </row>
    <row r="15808" spans="1:1" ht="21">
      <c r="A15808" s="345"/>
    </row>
    <row r="15809" spans="1:1" ht="21">
      <c r="A15809" s="345"/>
    </row>
    <row r="15810" spans="1:1" ht="21">
      <c r="A15810" s="345"/>
    </row>
    <row r="15811" spans="1:1" ht="21">
      <c r="A15811" s="345"/>
    </row>
    <row r="15812" spans="1:1" ht="21">
      <c r="A15812" s="345"/>
    </row>
    <row r="15813" spans="1:1" ht="21">
      <c r="A15813" s="345"/>
    </row>
    <row r="15814" spans="1:1" ht="21">
      <c r="A15814" s="345"/>
    </row>
    <row r="15815" spans="1:1" ht="21">
      <c r="A15815" s="345"/>
    </row>
    <row r="15816" spans="1:1" ht="21">
      <c r="A15816" s="345"/>
    </row>
    <row r="15817" spans="1:1" ht="21">
      <c r="A15817" s="345"/>
    </row>
    <row r="15818" spans="1:1" ht="21">
      <c r="A15818" s="345"/>
    </row>
    <row r="15819" spans="1:1" ht="21">
      <c r="A15819" s="345"/>
    </row>
    <row r="15820" spans="1:1" ht="21">
      <c r="A15820" s="345"/>
    </row>
    <row r="15821" spans="1:1" ht="21">
      <c r="A15821" s="345"/>
    </row>
    <row r="15822" spans="1:1" ht="21">
      <c r="A15822" s="345"/>
    </row>
    <row r="15823" spans="1:1" ht="21">
      <c r="A15823" s="345"/>
    </row>
    <row r="15824" spans="1:1" ht="21">
      <c r="A15824" s="345"/>
    </row>
    <row r="15825" spans="1:1" ht="21">
      <c r="A15825" s="345"/>
    </row>
    <row r="15826" spans="1:1" ht="21">
      <c r="A15826" s="345"/>
    </row>
    <row r="15827" spans="1:1" ht="21">
      <c r="A15827" s="345"/>
    </row>
    <row r="15828" spans="1:1" ht="21">
      <c r="A15828" s="345"/>
    </row>
    <row r="15829" spans="1:1" ht="21">
      <c r="A15829" s="345"/>
    </row>
    <row r="15830" spans="1:1" ht="21">
      <c r="A15830" s="345"/>
    </row>
    <row r="15831" spans="1:1" ht="21">
      <c r="A15831" s="345"/>
    </row>
    <row r="15832" spans="1:1" ht="21">
      <c r="A15832" s="345"/>
    </row>
    <row r="15833" spans="1:1" ht="21">
      <c r="A15833" s="345"/>
    </row>
    <row r="15834" spans="1:1" ht="21">
      <c r="A15834" s="345"/>
    </row>
    <row r="15835" spans="1:1" ht="21">
      <c r="A15835" s="345"/>
    </row>
    <row r="15836" spans="1:1" ht="21">
      <c r="A15836" s="345"/>
    </row>
    <row r="15837" spans="1:1" ht="21">
      <c r="A15837" s="345"/>
    </row>
    <row r="15838" spans="1:1" ht="21">
      <c r="A15838" s="345"/>
    </row>
    <row r="15839" spans="1:1" ht="21">
      <c r="A15839" s="345"/>
    </row>
    <row r="15840" spans="1:1" ht="21">
      <c r="A15840" s="345"/>
    </row>
    <row r="15841" spans="1:1" ht="21">
      <c r="A15841" s="345"/>
    </row>
    <row r="15842" spans="1:1" ht="21">
      <c r="A15842" s="345"/>
    </row>
    <row r="15843" spans="1:1" ht="21">
      <c r="A15843" s="345"/>
    </row>
    <row r="15844" spans="1:1" ht="21">
      <c r="A15844" s="345"/>
    </row>
    <row r="15845" spans="1:1" ht="21">
      <c r="A15845" s="345"/>
    </row>
    <row r="15846" spans="1:1" ht="21">
      <c r="A15846" s="345"/>
    </row>
    <row r="15847" spans="1:1" ht="21">
      <c r="A15847" s="345"/>
    </row>
    <row r="15848" spans="1:1" ht="21">
      <c r="A15848" s="345"/>
    </row>
    <row r="15849" spans="1:1" ht="21">
      <c r="A15849" s="345"/>
    </row>
    <row r="15850" spans="1:1" ht="21">
      <c r="A15850" s="345"/>
    </row>
    <row r="15851" spans="1:1" ht="21">
      <c r="A15851" s="345"/>
    </row>
    <row r="15852" spans="1:1" ht="21">
      <c r="A15852" s="345"/>
    </row>
    <row r="15853" spans="1:1" ht="21">
      <c r="A15853" s="345"/>
    </row>
    <row r="15854" spans="1:1" ht="21">
      <c r="A15854" s="345"/>
    </row>
    <row r="15855" spans="1:1" ht="21">
      <c r="A15855" s="345"/>
    </row>
    <row r="15856" spans="1:1" ht="21">
      <c r="A15856" s="345"/>
    </row>
    <row r="15857" spans="1:1" ht="21">
      <c r="A15857" s="345"/>
    </row>
    <row r="15858" spans="1:1" ht="21">
      <c r="A15858" s="345"/>
    </row>
    <row r="15859" spans="1:1" ht="21">
      <c r="A15859" s="345"/>
    </row>
    <row r="15860" spans="1:1" ht="21">
      <c r="A15860" s="345"/>
    </row>
    <row r="15861" spans="1:1" ht="21">
      <c r="A15861" s="345"/>
    </row>
    <row r="15862" spans="1:1" ht="21">
      <c r="A15862" s="345"/>
    </row>
    <row r="15863" spans="1:1" ht="21">
      <c r="A15863" s="345"/>
    </row>
    <row r="15864" spans="1:1" ht="21">
      <c r="A15864" s="345"/>
    </row>
    <row r="15865" spans="1:1" ht="21">
      <c r="A15865" s="345"/>
    </row>
    <row r="15866" spans="1:1" ht="21">
      <c r="A15866" s="345"/>
    </row>
    <row r="15867" spans="1:1" ht="21">
      <c r="A15867" s="345"/>
    </row>
    <row r="15868" spans="1:1" ht="21">
      <c r="A15868" s="345"/>
    </row>
    <row r="15869" spans="1:1" ht="21">
      <c r="A15869" s="345"/>
    </row>
    <row r="15870" spans="1:1" ht="21">
      <c r="A15870" s="345"/>
    </row>
    <row r="15871" spans="1:1" ht="21">
      <c r="A15871" s="345"/>
    </row>
    <row r="15872" spans="1:1" ht="21">
      <c r="A15872" s="345"/>
    </row>
    <row r="15873" spans="1:1" ht="21">
      <c r="A15873" s="345"/>
    </row>
    <row r="15874" spans="1:1" ht="21">
      <c r="A15874" s="345"/>
    </row>
    <row r="15875" spans="1:1" ht="21">
      <c r="A15875" s="345"/>
    </row>
    <row r="15876" spans="1:1" ht="21">
      <c r="A15876" s="345"/>
    </row>
    <row r="15877" spans="1:1" ht="21">
      <c r="A15877" s="345"/>
    </row>
    <row r="15878" spans="1:1" ht="21">
      <c r="A15878" s="345"/>
    </row>
    <row r="15879" spans="1:1" ht="21">
      <c r="A15879" s="345"/>
    </row>
    <row r="15880" spans="1:1" ht="21">
      <c r="A15880" s="345"/>
    </row>
    <row r="15881" spans="1:1" ht="21">
      <c r="A15881" s="345"/>
    </row>
    <row r="15882" spans="1:1" ht="21">
      <c r="A15882" s="345"/>
    </row>
    <row r="15883" spans="1:1" ht="21">
      <c r="A15883" s="345"/>
    </row>
    <row r="15884" spans="1:1" ht="21">
      <c r="A15884" s="345"/>
    </row>
    <row r="15885" spans="1:1" ht="21">
      <c r="A15885" s="345"/>
    </row>
    <row r="15886" spans="1:1" ht="21">
      <c r="A15886" s="345"/>
    </row>
    <row r="15887" spans="1:1" ht="21">
      <c r="A15887" s="345"/>
    </row>
    <row r="15888" spans="1:1" ht="21">
      <c r="A15888" s="345"/>
    </row>
    <row r="15889" spans="1:1" ht="21">
      <c r="A15889" s="345"/>
    </row>
    <row r="15890" spans="1:1" ht="21">
      <c r="A15890" s="345"/>
    </row>
    <row r="15891" spans="1:1" ht="21">
      <c r="A15891" s="345"/>
    </row>
    <row r="15892" spans="1:1" ht="21">
      <c r="A15892" s="345"/>
    </row>
    <row r="15893" spans="1:1" ht="21">
      <c r="A15893" s="345"/>
    </row>
    <row r="15894" spans="1:1" ht="21">
      <c r="A15894" s="345"/>
    </row>
    <row r="15895" spans="1:1" ht="21">
      <c r="A15895" s="345"/>
    </row>
    <row r="15896" spans="1:1" ht="21">
      <c r="A15896" s="345"/>
    </row>
    <row r="15897" spans="1:1" ht="21">
      <c r="A15897" s="345"/>
    </row>
    <row r="15898" spans="1:1" ht="21">
      <c r="A15898" s="345"/>
    </row>
    <row r="15899" spans="1:1" ht="21">
      <c r="A15899" s="345"/>
    </row>
    <row r="15900" spans="1:1" ht="21">
      <c r="A15900" s="345"/>
    </row>
    <row r="15901" spans="1:1" ht="21">
      <c r="A15901" s="345"/>
    </row>
    <row r="15902" spans="1:1" ht="21">
      <c r="A15902" s="345"/>
    </row>
    <row r="15903" spans="1:1" ht="21">
      <c r="A15903" s="345"/>
    </row>
    <row r="15904" spans="1:1" ht="21">
      <c r="A15904" s="345"/>
    </row>
    <row r="15905" spans="1:1" ht="21">
      <c r="A15905" s="345"/>
    </row>
    <row r="15906" spans="1:1" ht="21">
      <c r="A15906" s="345"/>
    </row>
    <row r="15907" spans="1:1" ht="21">
      <c r="A15907" s="345"/>
    </row>
    <row r="15908" spans="1:1" ht="21">
      <c r="A15908" s="345"/>
    </row>
    <row r="15909" spans="1:1" ht="21">
      <c r="A15909" s="345"/>
    </row>
    <row r="15910" spans="1:1" ht="21">
      <c r="A15910" s="345"/>
    </row>
    <row r="15911" spans="1:1" ht="21">
      <c r="A15911" s="345"/>
    </row>
    <row r="15912" spans="1:1" ht="21">
      <c r="A15912" s="345"/>
    </row>
    <row r="15913" spans="1:1" ht="21">
      <c r="A15913" s="345"/>
    </row>
    <row r="15914" spans="1:1" ht="21">
      <c r="A15914" s="345"/>
    </row>
    <row r="15915" spans="1:1" ht="21">
      <c r="A15915" s="345"/>
    </row>
    <row r="15916" spans="1:1" ht="21">
      <c r="A15916" s="345"/>
    </row>
    <row r="15917" spans="1:1" ht="21">
      <c r="A15917" s="345"/>
    </row>
    <row r="15918" spans="1:1" ht="21">
      <c r="A15918" s="345"/>
    </row>
    <row r="15919" spans="1:1" ht="21">
      <c r="A15919" s="345"/>
    </row>
    <row r="15920" spans="1:1" ht="21">
      <c r="A15920" s="345"/>
    </row>
    <row r="15921" spans="1:1" ht="21">
      <c r="A15921" s="345"/>
    </row>
    <row r="15922" spans="1:1" ht="21">
      <c r="A15922" s="345"/>
    </row>
    <row r="15923" spans="1:1" ht="21">
      <c r="A15923" s="345"/>
    </row>
    <row r="15924" spans="1:1" ht="21">
      <c r="A15924" s="345"/>
    </row>
    <row r="15925" spans="1:1" ht="21">
      <c r="A15925" s="345"/>
    </row>
    <row r="15926" spans="1:1" ht="21">
      <c r="A15926" s="345"/>
    </row>
    <row r="15927" spans="1:1" ht="21">
      <c r="A15927" s="345"/>
    </row>
    <row r="15928" spans="1:1" ht="21">
      <c r="A15928" s="345"/>
    </row>
    <row r="15929" spans="1:1" ht="21">
      <c r="A15929" s="345"/>
    </row>
    <row r="15930" spans="1:1" ht="21">
      <c r="A15930" s="345"/>
    </row>
    <row r="15931" spans="1:1" ht="21">
      <c r="A15931" s="345"/>
    </row>
    <row r="15932" spans="1:1" ht="21">
      <c r="A15932" s="345"/>
    </row>
    <row r="15933" spans="1:1" ht="21">
      <c r="A15933" s="345"/>
    </row>
    <row r="15934" spans="1:1" ht="21">
      <c r="A15934" s="345"/>
    </row>
    <row r="15935" spans="1:1" ht="21">
      <c r="A15935" s="345"/>
    </row>
    <row r="15936" spans="1:1" ht="21">
      <c r="A15936" s="345"/>
    </row>
    <row r="15937" spans="1:1" ht="21">
      <c r="A15937" s="345"/>
    </row>
    <row r="15938" spans="1:1" ht="21">
      <c r="A15938" s="345"/>
    </row>
    <row r="15939" spans="1:1" ht="21">
      <c r="A15939" s="345"/>
    </row>
    <row r="15940" spans="1:1" ht="21">
      <c r="A15940" s="345"/>
    </row>
    <row r="15941" spans="1:1" ht="21">
      <c r="A15941" s="345"/>
    </row>
    <row r="15942" spans="1:1" ht="21">
      <c r="A15942" s="345"/>
    </row>
    <row r="15943" spans="1:1" ht="21">
      <c r="A15943" s="345"/>
    </row>
    <row r="15944" spans="1:1" ht="21">
      <c r="A15944" s="345"/>
    </row>
    <row r="15945" spans="1:1" ht="21">
      <c r="A15945" s="345"/>
    </row>
    <row r="15946" spans="1:1" ht="21">
      <c r="A15946" s="345"/>
    </row>
    <row r="15947" spans="1:1" ht="21">
      <c r="A15947" s="345"/>
    </row>
    <row r="15948" spans="1:1" ht="21">
      <c r="A15948" s="345"/>
    </row>
    <row r="15949" spans="1:1" ht="21">
      <c r="A15949" s="345"/>
    </row>
    <row r="15950" spans="1:1" ht="21">
      <c r="A15950" s="345"/>
    </row>
    <row r="15951" spans="1:1" ht="21">
      <c r="A15951" s="345"/>
    </row>
    <row r="15952" spans="1:1" ht="21">
      <c r="A15952" s="345"/>
    </row>
    <row r="15953" spans="1:1" ht="21">
      <c r="A15953" s="345"/>
    </row>
    <row r="15954" spans="1:1" ht="21">
      <c r="A15954" s="345"/>
    </row>
    <row r="15955" spans="1:1" ht="21">
      <c r="A15955" s="345"/>
    </row>
    <row r="15956" spans="1:1" ht="21">
      <c r="A15956" s="345"/>
    </row>
    <row r="15957" spans="1:1" ht="21">
      <c r="A15957" s="345"/>
    </row>
    <row r="15958" spans="1:1" ht="21">
      <c r="A15958" s="345"/>
    </row>
    <row r="15959" spans="1:1" ht="21">
      <c r="A15959" s="345"/>
    </row>
    <row r="15960" spans="1:1" ht="21">
      <c r="A15960" s="345"/>
    </row>
    <row r="15961" spans="1:1" ht="21">
      <c r="A15961" s="345"/>
    </row>
    <row r="15962" spans="1:1" ht="21">
      <c r="A15962" s="345"/>
    </row>
    <row r="15963" spans="1:1" ht="21">
      <c r="A15963" s="345"/>
    </row>
    <row r="15964" spans="1:1" ht="21">
      <c r="A15964" s="345"/>
    </row>
    <row r="15965" spans="1:1" ht="21">
      <c r="A15965" s="345"/>
    </row>
    <row r="15966" spans="1:1" ht="21">
      <c r="A15966" s="345"/>
    </row>
    <row r="15967" spans="1:1" ht="21">
      <c r="A15967" s="345"/>
    </row>
    <row r="15968" spans="1:1" ht="21">
      <c r="A15968" s="345"/>
    </row>
    <row r="15969" spans="1:1" ht="21">
      <c r="A15969" s="345"/>
    </row>
    <row r="15970" spans="1:1" ht="21">
      <c r="A15970" s="345"/>
    </row>
    <row r="15971" spans="1:1" ht="21">
      <c r="A15971" s="345"/>
    </row>
    <row r="15972" spans="1:1" ht="21">
      <c r="A15972" s="345"/>
    </row>
    <row r="15973" spans="1:1" ht="21">
      <c r="A15973" s="345"/>
    </row>
    <row r="15974" spans="1:1" ht="21">
      <c r="A15974" s="345"/>
    </row>
    <row r="15975" spans="1:1" ht="21">
      <c r="A15975" s="345"/>
    </row>
    <row r="15976" spans="1:1" ht="21">
      <c r="A15976" s="345"/>
    </row>
    <row r="15977" spans="1:1" ht="21">
      <c r="A15977" s="345"/>
    </row>
    <row r="15978" spans="1:1" ht="21">
      <c r="A15978" s="345"/>
    </row>
    <row r="15979" spans="1:1" ht="21">
      <c r="A15979" s="345"/>
    </row>
    <row r="15980" spans="1:1" ht="21">
      <c r="A15980" s="345"/>
    </row>
    <row r="15981" spans="1:1" ht="21">
      <c r="A15981" s="345"/>
    </row>
    <row r="15982" spans="1:1" ht="21">
      <c r="A15982" s="345"/>
    </row>
    <row r="15983" spans="1:1" ht="21">
      <c r="A15983" s="345"/>
    </row>
    <row r="15984" spans="1:1" ht="21">
      <c r="A15984" s="345"/>
    </row>
    <row r="15985" spans="1:1" ht="21">
      <c r="A15985" s="345"/>
    </row>
    <row r="15986" spans="1:1" ht="21">
      <c r="A15986" s="345"/>
    </row>
    <row r="15987" spans="1:1" ht="21">
      <c r="A15987" s="345"/>
    </row>
    <row r="15988" spans="1:1" ht="21">
      <c r="A15988" s="345"/>
    </row>
    <row r="15989" spans="1:1" ht="21">
      <c r="A15989" s="345"/>
    </row>
    <row r="15990" spans="1:1" ht="21">
      <c r="A15990" s="345"/>
    </row>
    <row r="15991" spans="1:1" ht="21">
      <c r="A15991" s="345"/>
    </row>
    <row r="15992" spans="1:1" ht="21">
      <c r="A15992" s="345"/>
    </row>
    <row r="15993" spans="1:1" ht="21">
      <c r="A15993" s="345"/>
    </row>
    <row r="15994" spans="1:1" ht="21">
      <c r="A15994" s="345"/>
    </row>
    <row r="15995" spans="1:1" ht="21">
      <c r="A15995" s="345"/>
    </row>
    <row r="15996" spans="1:1" ht="21">
      <c r="A15996" s="345"/>
    </row>
    <row r="15997" spans="1:1" ht="21">
      <c r="A15997" s="345"/>
    </row>
    <row r="15998" spans="1:1" ht="21">
      <c r="A15998" s="345"/>
    </row>
    <row r="15999" spans="1:1" ht="21">
      <c r="A15999" s="345"/>
    </row>
    <row r="16000" spans="1:1" ht="21">
      <c r="A16000" s="345"/>
    </row>
    <row r="16001" spans="1:1" ht="21">
      <c r="A16001" s="345"/>
    </row>
    <row r="16002" spans="1:1" ht="21">
      <c r="A16002" s="345"/>
    </row>
    <row r="16003" spans="1:1" ht="21">
      <c r="A16003" s="345"/>
    </row>
    <row r="16004" spans="1:1" ht="21">
      <c r="A16004" s="345"/>
    </row>
    <row r="16005" spans="1:1" ht="21">
      <c r="A16005" s="345"/>
    </row>
    <row r="16006" spans="1:1" ht="21">
      <c r="A16006" s="345"/>
    </row>
    <row r="16007" spans="1:1" ht="21">
      <c r="A16007" s="345"/>
    </row>
    <row r="16008" spans="1:1" ht="21">
      <c r="A16008" s="345"/>
    </row>
    <row r="16009" spans="1:1" ht="21">
      <c r="A16009" s="345"/>
    </row>
    <row r="16010" spans="1:1" ht="21">
      <c r="A16010" s="345"/>
    </row>
    <row r="16011" spans="1:1" ht="21">
      <c r="A16011" s="345"/>
    </row>
    <row r="16012" spans="1:1" ht="21">
      <c r="A16012" s="345"/>
    </row>
    <row r="16013" spans="1:1" ht="21">
      <c r="A16013" s="345"/>
    </row>
    <row r="16014" spans="1:1" ht="21">
      <c r="A16014" s="345"/>
    </row>
    <row r="16015" spans="1:1" ht="21">
      <c r="A16015" s="345"/>
    </row>
    <row r="16016" spans="1:1" ht="21">
      <c r="A16016" s="345"/>
    </row>
    <row r="16017" spans="1:1" ht="21">
      <c r="A16017" s="345"/>
    </row>
    <row r="16018" spans="1:1" ht="21">
      <c r="A16018" s="345"/>
    </row>
    <row r="16019" spans="1:1" ht="21">
      <c r="A16019" s="345"/>
    </row>
    <row r="16020" spans="1:1" ht="21">
      <c r="A16020" s="345"/>
    </row>
    <row r="16021" spans="1:1" ht="21">
      <c r="A16021" s="345"/>
    </row>
    <row r="16022" spans="1:1" ht="21">
      <c r="A16022" s="345"/>
    </row>
    <row r="16023" spans="1:1" ht="21">
      <c r="A16023" s="345"/>
    </row>
    <row r="16024" spans="1:1" ht="21">
      <c r="A16024" s="345"/>
    </row>
    <row r="16025" spans="1:1" ht="21">
      <c r="A16025" s="345"/>
    </row>
    <row r="16026" spans="1:1" ht="21">
      <c r="A16026" s="345"/>
    </row>
    <row r="16027" spans="1:1" ht="21">
      <c r="A16027" s="345"/>
    </row>
    <row r="16028" spans="1:1" ht="21">
      <c r="A16028" s="345"/>
    </row>
    <row r="16029" spans="1:1" ht="21">
      <c r="A16029" s="345"/>
    </row>
    <row r="16030" spans="1:1" ht="21">
      <c r="A16030" s="345"/>
    </row>
    <row r="16031" spans="1:1" ht="21">
      <c r="A16031" s="345"/>
    </row>
    <row r="16032" spans="1:1" ht="21">
      <c r="A16032" s="345"/>
    </row>
    <row r="16033" spans="1:1" ht="21">
      <c r="A16033" s="345"/>
    </row>
    <row r="16034" spans="1:1" ht="21">
      <c r="A16034" s="345"/>
    </row>
    <row r="16035" spans="1:1" ht="21">
      <c r="A16035" s="345"/>
    </row>
    <row r="16036" spans="1:1" ht="21">
      <c r="A16036" s="345"/>
    </row>
    <row r="16037" spans="1:1" ht="21">
      <c r="A16037" s="345"/>
    </row>
    <row r="16038" spans="1:1" ht="21">
      <c r="A16038" s="345"/>
    </row>
    <row r="16039" spans="1:1" ht="21">
      <c r="A16039" s="345"/>
    </row>
    <row r="16040" spans="1:1" ht="21">
      <c r="A16040" s="345"/>
    </row>
    <row r="16041" spans="1:1" ht="21">
      <c r="A16041" s="345"/>
    </row>
    <row r="16042" spans="1:1" ht="21">
      <c r="A16042" s="345"/>
    </row>
    <row r="16043" spans="1:1" ht="21">
      <c r="A16043" s="345"/>
    </row>
    <row r="16044" spans="1:1" ht="21">
      <c r="A16044" s="345"/>
    </row>
    <row r="16045" spans="1:1" ht="21">
      <c r="A16045" s="345"/>
    </row>
    <row r="16046" spans="1:1" ht="21">
      <c r="A16046" s="345"/>
    </row>
    <row r="16047" spans="1:1" ht="21">
      <c r="A16047" s="345"/>
    </row>
    <row r="16048" spans="1:1" ht="21">
      <c r="A16048" s="345"/>
    </row>
    <row r="16049" spans="1:1" ht="21">
      <c r="A16049" s="345"/>
    </row>
    <row r="16050" spans="1:1" ht="21">
      <c r="A16050" s="345"/>
    </row>
    <row r="16051" spans="1:1" ht="21">
      <c r="A16051" s="345"/>
    </row>
    <row r="16052" spans="1:1" ht="21">
      <c r="A16052" s="345"/>
    </row>
    <row r="16053" spans="1:1" ht="21">
      <c r="A16053" s="345"/>
    </row>
    <row r="16054" spans="1:1" ht="21">
      <c r="A16054" s="345"/>
    </row>
    <row r="16055" spans="1:1" ht="21">
      <c r="A16055" s="345"/>
    </row>
    <row r="16056" spans="1:1" ht="21">
      <c r="A16056" s="345"/>
    </row>
    <row r="16057" spans="1:1" ht="21">
      <c r="A16057" s="345"/>
    </row>
    <row r="16058" spans="1:1" ht="21">
      <c r="A16058" s="345"/>
    </row>
    <row r="16059" spans="1:1" ht="21">
      <c r="A16059" s="345"/>
    </row>
    <row r="16060" spans="1:1" ht="21">
      <c r="A16060" s="345"/>
    </row>
    <row r="16061" spans="1:1" ht="21">
      <c r="A16061" s="345"/>
    </row>
    <row r="16062" spans="1:1" ht="21">
      <c r="A16062" s="345"/>
    </row>
    <row r="16063" spans="1:1" ht="21">
      <c r="A16063" s="345"/>
    </row>
    <row r="16064" spans="1:1" ht="21">
      <c r="A16064" s="345"/>
    </row>
    <row r="16065" spans="1:1" ht="21">
      <c r="A16065" s="345"/>
    </row>
    <row r="16066" spans="1:1" ht="21">
      <c r="A16066" s="345"/>
    </row>
    <row r="16067" spans="1:1" ht="21">
      <c r="A16067" s="345"/>
    </row>
    <row r="16068" spans="1:1" ht="21">
      <c r="A16068" s="345"/>
    </row>
    <row r="16069" spans="1:1" ht="21">
      <c r="A16069" s="345"/>
    </row>
    <row r="16070" spans="1:1" ht="21">
      <c r="A16070" s="345"/>
    </row>
    <row r="16071" spans="1:1" ht="21">
      <c r="A16071" s="345"/>
    </row>
    <row r="16072" spans="1:1" ht="21">
      <c r="A16072" s="345"/>
    </row>
    <row r="16073" spans="1:1" ht="21">
      <c r="A16073" s="345"/>
    </row>
    <row r="16074" spans="1:1" ht="21">
      <c r="A16074" s="345"/>
    </row>
    <row r="16075" spans="1:1" ht="21">
      <c r="A16075" s="345"/>
    </row>
    <row r="16076" spans="1:1" ht="21">
      <c r="A16076" s="345"/>
    </row>
    <row r="16077" spans="1:1" ht="21">
      <c r="A16077" s="345"/>
    </row>
    <row r="16078" spans="1:1" ht="21">
      <c r="A16078" s="345"/>
    </row>
    <row r="16079" spans="1:1" ht="21">
      <c r="A16079" s="345"/>
    </row>
    <row r="16080" spans="1:1" ht="21">
      <c r="A16080" s="345"/>
    </row>
    <row r="16081" spans="1:1" ht="21">
      <c r="A16081" s="345"/>
    </row>
    <row r="16082" spans="1:1" ht="21">
      <c r="A16082" s="345"/>
    </row>
    <row r="16083" spans="1:1" ht="21">
      <c r="A16083" s="345"/>
    </row>
    <row r="16084" spans="1:1" ht="21">
      <c r="A16084" s="345"/>
    </row>
    <row r="16085" spans="1:1" ht="21">
      <c r="A16085" s="345"/>
    </row>
    <row r="16086" spans="1:1" ht="21">
      <c r="A16086" s="345"/>
    </row>
    <row r="16087" spans="1:1" ht="21">
      <c r="A16087" s="345"/>
    </row>
    <row r="16088" spans="1:1" ht="21">
      <c r="A16088" s="345"/>
    </row>
    <row r="16089" spans="1:1" ht="21">
      <c r="A16089" s="345"/>
    </row>
    <row r="16090" spans="1:1" ht="21">
      <c r="A16090" s="345"/>
    </row>
    <row r="16091" spans="1:1" ht="21">
      <c r="A16091" s="345"/>
    </row>
    <row r="16092" spans="1:1" ht="21">
      <c r="A16092" s="345"/>
    </row>
    <row r="16093" spans="1:1" ht="21">
      <c r="A16093" s="345"/>
    </row>
    <row r="16094" spans="1:1" ht="21">
      <c r="A16094" s="345"/>
    </row>
    <row r="16095" spans="1:1" ht="21">
      <c r="A16095" s="345"/>
    </row>
    <row r="16096" spans="1:1" ht="21">
      <c r="A16096" s="345"/>
    </row>
    <row r="16097" spans="1:1" ht="21">
      <c r="A16097" s="345"/>
    </row>
    <row r="16098" spans="1:1" ht="21">
      <c r="A16098" s="345"/>
    </row>
    <row r="16099" spans="1:1" ht="21">
      <c r="A16099" s="345"/>
    </row>
    <row r="16100" spans="1:1" ht="21">
      <c r="A16100" s="345"/>
    </row>
    <row r="16101" spans="1:1" ht="21">
      <c r="A16101" s="345"/>
    </row>
    <row r="16102" spans="1:1" ht="21">
      <c r="A16102" s="345"/>
    </row>
    <row r="16103" spans="1:1" ht="21">
      <c r="A16103" s="345"/>
    </row>
    <row r="16104" spans="1:1" ht="21">
      <c r="A16104" s="345"/>
    </row>
    <row r="16105" spans="1:1" ht="21">
      <c r="A16105" s="345"/>
    </row>
    <row r="16106" spans="1:1" ht="21">
      <c r="A16106" s="345"/>
    </row>
    <row r="16107" spans="1:1" ht="21">
      <c r="A16107" s="345"/>
    </row>
    <row r="16108" spans="1:1" ht="21">
      <c r="A16108" s="345"/>
    </row>
    <row r="16109" spans="1:1" ht="21">
      <c r="A16109" s="345"/>
    </row>
    <row r="16110" spans="1:1" ht="21">
      <c r="A16110" s="345"/>
    </row>
    <row r="16111" spans="1:1" ht="21">
      <c r="A16111" s="345"/>
    </row>
    <row r="16112" spans="1:1" ht="21">
      <c r="A16112" s="345"/>
    </row>
    <row r="16113" spans="1:1" ht="21">
      <c r="A16113" s="345"/>
    </row>
    <row r="16114" spans="1:1" ht="21">
      <c r="A16114" s="345"/>
    </row>
    <row r="16115" spans="1:1" ht="21">
      <c r="A16115" s="345"/>
    </row>
    <row r="16116" spans="1:1" ht="21">
      <c r="A16116" s="345"/>
    </row>
    <row r="16117" spans="1:1" ht="21">
      <c r="A16117" s="345"/>
    </row>
    <row r="16118" spans="1:1" ht="21">
      <c r="A16118" s="345"/>
    </row>
    <row r="16119" spans="1:1" ht="21">
      <c r="A16119" s="345"/>
    </row>
    <row r="16120" spans="1:1" ht="21">
      <c r="A16120" s="345"/>
    </row>
    <row r="16121" spans="1:1" ht="21">
      <c r="A16121" s="345"/>
    </row>
    <row r="16122" spans="1:1" ht="21">
      <c r="A16122" s="345"/>
    </row>
    <row r="16123" spans="1:1" ht="21">
      <c r="A16123" s="345"/>
    </row>
    <row r="16124" spans="1:1" ht="21">
      <c r="A16124" s="345"/>
    </row>
    <row r="16125" spans="1:1" ht="21">
      <c r="A16125" s="345"/>
    </row>
    <row r="16126" spans="1:1" ht="21">
      <c r="A16126" s="345"/>
    </row>
    <row r="16127" spans="1:1" ht="21">
      <c r="A16127" s="345"/>
    </row>
    <row r="16128" spans="1:1" ht="21">
      <c r="A16128" s="345"/>
    </row>
    <row r="16129" spans="1:1" ht="21">
      <c r="A16129" s="345"/>
    </row>
    <row r="16130" spans="1:1" ht="21">
      <c r="A16130" s="345"/>
    </row>
    <row r="16131" spans="1:1" ht="21">
      <c r="A16131" s="345"/>
    </row>
    <row r="16132" spans="1:1" ht="21">
      <c r="A16132" s="345"/>
    </row>
    <row r="16133" spans="1:1" ht="21">
      <c r="A16133" s="345"/>
    </row>
    <row r="16134" spans="1:1" ht="21">
      <c r="A16134" s="345"/>
    </row>
    <row r="16135" spans="1:1" ht="21">
      <c r="A16135" s="345"/>
    </row>
    <row r="16136" spans="1:1" ht="21">
      <c r="A16136" s="345"/>
    </row>
    <row r="16137" spans="1:1" ht="21">
      <c r="A16137" s="345"/>
    </row>
    <row r="16138" spans="1:1" ht="21">
      <c r="A16138" s="345"/>
    </row>
    <row r="16139" spans="1:1" ht="21">
      <c r="A16139" s="345"/>
    </row>
    <row r="16140" spans="1:1" ht="21">
      <c r="A16140" s="345"/>
    </row>
    <row r="16141" spans="1:1" ht="21">
      <c r="A16141" s="345"/>
    </row>
    <row r="16142" spans="1:1" ht="21">
      <c r="A16142" s="345"/>
    </row>
    <row r="16143" spans="1:1" ht="21">
      <c r="A16143" s="345"/>
    </row>
    <row r="16144" spans="1:1" ht="21">
      <c r="A16144" s="345"/>
    </row>
    <row r="16145" spans="1:1" ht="21">
      <c r="A16145" s="345"/>
    </row>
    <row r="16146" spans="1:1" ht="21">
      <c r="A16146" s="345"/>
    </row>
    <row r="16147" spans="1:1" ht="21">
      <c r="A16147" s="345"/>
    </row>
    <row r="16148" spans="1:1" ht="21">
      <c r="A16148" s="345"/>
    </row>
    <row r="16149" spans="1:1" ht="21">
      <c r="A16149" s="345"/>
    </row>
    <row r="16150" spans="1:1" ht="21">
      <c r="A16150" s="345"/>
    </row>
    <row r="16151" spans="1:1" ht="21">
      <c r="A16151" s="345"/>
    </row>
    <row r="16152" spans="1:1" ht="21">
      <c r="A16152" s="345"/>
    </row>
    <row r="16153" spans="1:1" ht="21">
      <c r="A16153" s="345"/>
    </row>
    <row r="16154" spans="1:1" ht="21">
      <c r="A16154" s="345"/>
    </row>
    <row r="16155" spans="1:1" ht="21">
      <c r="A16155" s="345"/>
    </row>
    <row r="16156" spans="1:1" ht="21">
      <c r="A16156" s="345"/>
    </row>
    <row r="16157" spans="1:1" ht="21">
      <c r="A16157" s="345"/>
    </row>
    <row r="16158" spans="1:1" ht="21">
      <c r="A16158" s="345"/>
    </row>
    <row r="16159" spans="1:1" ht="21">
      <c r="A16159" s="345"/>
    </row>
    <row r="16160" spans="1:1" ht="21">
      <c r="A16160" s="345"/>
    </row>
    <row r="16161" spans="1:1" ht="21">
      <c r="A16161" s="345"/>
    </row>
    <row r="16162" spans="1:1" ht="21">
      <c r="A16162" s="345"/>
    </row>
    <row r="16163" spans="1:1" ht="21">
      <c r="A16163" s="345"/>
    </row>
    <row r="16164" spans="1:1" ht="21">
      <c r="A16164" s="345"/>
    </row>
    <row r="16165" spans="1:1" ht="21">
      <c r="A16165" s="345"/>
    </row>
    <row r="16166" spans="1:1" ht="21">
      <c r="A16166" s="345"/>
    </row>
    <row r="16167" spans="1:1" ht="21">
      <c r="A16167" s="345"/>
    </row>
    <row r="16168" spans="1:1" ht="21">
      <c r="A16168" s="345"/>
    </row>
    <row r="16169" spans="1:1" ht="21">
      <c r="A16169" s="345"/>
    </row>
    <row r="16170" spans="1:1" ht="21">
      <c r="A16170" s="345"/>
    </row>
    <row r="16171" spans="1:1" ht="21">
      <c r="A16171" s="345"/>
    </row>
    <row r="16172" spans="1:1" ht="21">
      <c r="A16172" s="345"/>
    </row>
    <row r="16173" spans="1:1" ht="21">
      <c r="A16173" s="345"/>
    </row>
    <row r="16174" spans="1:1" ht="21">
      <c r="A16174" s="345"/>
    </row>
    <row r="16175" spans="1:1" ht="21">
      <c r="A16175" s="345"/>
    </row>
    <row r="16176" spans="1:1" ht="21">
      <c r="A16176" s="345"/>
    </row>
    <row r="16177" spans="1:1" ht="21">
      <c r="A16177" s="345"/>
    </row>
    <row r="16178" spans="1:1" ht="21">
      <c r="A16178" s="345"/>
    </row>
    <row r="16179" spans="1:1" ht="21">
      <c r="A16179" s="345"/>
    </row>
    <row r="16180" spans="1:1" ht="21">
      <c r="A16180" s="345"/>
    </row>
    <row r="16181" spans="1:1" ht="21">
      <c r="A16181" s="345"/>
    </row>
    <row r="16182" spans="1:1" ht="21">
      <c r="A16182" s="345"/>
    </row>
    <row r="16183" spans="1:1" ht="21">
      <c r="A16183" s="345"/>
    </row>
    <row r="16184" spans="1:1" ht="21">
      <c r="A16184" s="345"/>
    </row>
    <row r="16185" spans="1:1" ht="21">
      <c r="A16185" s="345"/>
    </row>
    <row r="16186" spans="1:1" ht="21">
      <c r="A16186" s="345"/>
    </row>
    <row r="16187" spans="1:1" ht="21">
      <c r="A16187" s="345"/>
    </row>
    <row r="16188" spans="1:1" ht="21">
      <c r="A16188" s="345"/>
    </row>
    <row r="16189" spans="1:1" ht="21">
      <c r="A16189" s="345"/>
    </row>
    <row r="16190" spans="1:1" ht="21">
      <c r="A16190" s="345"/>
    </row>
    <row r="16191" spans="1:1" ht="21">
      <c r="A16191" s="345"/>
    </row>
    <row r="16192" spans="1:1" ht="21">
      <c r="A16192" s="345"/>
    </row>
    <row r="16193" spans="1:1" ht="21">
      <c r="A16193" s="345"/>
    </row>
    <row r="16194" spans="1:1" ht="21">
      <c r="A16194" s="345"/>
    </row>
    <row r="16195" spans="1:1" ht="21">
      <c r="A16195" s="345"/>
    </row>
    <row r="16196" spans="1:1" ht="21">
      <c r="A16196" s="345"/>
    </row>
    <row r="16197" spans="1:1" ht="21">
      <c r="A16197" s="345"/>
    </row>
    <row r="16198" spans="1:1" ht="21">
      <c r="A16198" s="345"/>
    </row>
    <row r="16199" spans="1:1" ht="21">
      <c r="A16199" s="345"/>
    </row>
    <row r="16200" spans="1:1" ht="21">
      <c r="A16200" s="345"/>
    </row>
    <row r="16201" spans="1:1" ht="21">
      <c r="A16201" s="345"/>
    </row>
    <row r="16202" spans="1:1" ht="21">
      <c r="A16202" s="345"/>
    </row>
    <row r="16203" spans="1:1" ht="21">
      <c r="A16203" s="345"/>
    </row>
    <row r="16204" spans="1:1" ht="21">
      <c r="A16204" s="345"/>
    </row>
    <row r="16205" spans="1:1" ht="21">
      <c r="A16205" s="345"/>
    </row>
    <row r="16206" spans="1:1" ht="21">
      <c r="A16206" s="345"/>
    </row>
    <row r="16207" spans="1:1" ht="21">
      <c r="A16207" s="345"/>
    </row>
    <row r="16208" spans="1:1" ht="21">
      <c r="A16208" s="345"/>
    </row>
    <row r="16209" spans="1:1" ht="21">
      <c r="A16209" s="345"/>
    </row>
    <row r="16210" spans="1:1" ht="21">
      <c r="A16210" s="345"/>
    </row>
    <row r="16211" spans="1:1" ht="21">
      <c r="A16211" s="345"/>
    </row>
    <row r="16212" spans="1:1" ht="21">
      <c r="A16212" s="345"/>
    </row>
    <row r="16213" spans="1:1" ht="21">
      <c r="A16213" s="345"/>
    </row>
    <row r="16214" spans="1:1" ht="21">
      <c r="A16214" s="345"/>
    </row>
    <row r="16215" spans="1:1" ht="21">
      <c r="A16215" s="345"/>
    </row>
    <row r="16216" spans="1:1" ht="21">
      <c r="A16216" s="345"/>
    </row>
    <row r="16217" spans="1:1" ht="21">
      <c r="A16217" s="345"/>
    </row>
    <row r="16218" spans="1:1" ht="21">
      <c r="A16218" s="345"/>
    </row>
    <row r="16219" spans="1:1" ht="21">
      <c r="A16219" s="345"/>
    </row>
    <row r="16220" spans="1:1" ht="21">
      <c r="A16220" s="345"/>
    </row>
    <row r="16221" spans="1:1" ht="21">
      <c r="A16221" s="345"/>
    </row>
    <row r="16222" spans="1:1" ht="21">
      <c r="A16222" s="345"/>
    </row>
    <row r="16223" spans="1:1" ht="21">
      <c r="A16223" s="345"/>
    </row>
    <row r="16224" spans="1:1" ht="21">
      <c r="A16224" s="345"/>
    </row>
    <row r="16225" spans="1:1" ht="21">
      <c r="A16225" s="345"/>
    </row>
    <row r="16226" spans="1:1" ht="21">
      <c r="A16226" s="345"/>
    </row>
    <row r="16227" spans="1:1" ht="21">
      <c r="A16227" s="345"/>
    </row>
    <row r="16228" spans="1:1" ht="21">
      <c r="A16228" s="345"/>
    </row>
    <row r="16229" spans="1:1" ht="21">
      <c r="A16229" s="345"/>
    </row>
    <row r="16230" spans="1:1" ht="21">
      <c r="A16230" s="345"/>
    </row>
    <row r="16231" spans="1:1" ht="21">
      <c r="A16231" s="345"/>
    </row>
    <row r="16232" spans="1:1" ht="21">
      <c r="A16232" s="345"/>
    </row>
    <row r="16233" spans="1:1" ht="21">
      <c r="A16233" s="345"/>
    </row>
    <row r="16234" spans="1:1" ht="21">
      <c r="A16234" s="345"/>
    </row>
    <row r="16235" spans="1:1" ht="21">
      <c r="A16235" s="345"/>
    </row>
    <row r="16236" spans="1:1" ht="21">
      <c r="A16236" s="345"/>
    </row>
    <row r="16237" spans="1:1" ht="21">
      <c r="A16237" s="345"/>
    </row>
    <row r="16238" spans="1:1" ht="21">
      <c r="A16238" s="345"/>
    </row>
    <row r="16239" spans="1:1" ht="21">
      <c r="A16239" s="345"/>
    </row>
    <row r="16240" spans="1:1" ht="21">
      <c r="A16240" s="345"/>
    </row>
    <row r="16241" spans="1:1" ht="21">
      <c r="A16241" s="345"/>
    </row>
    <row r="16242" spans="1:1" ht="21">
      <c r="A16242" s="345"/>
    </row>
    <row r="16243" spans="1:1" ht="21">
      <c r="A16243" s="345"/>
    </row>
    <row r="16244" spans="1:1" ht="21">
      <c r="A16244" s="345"/>
    </row>
    <row r="16245" spans="1:1" ht="21">
      <c r="A16245" s="345"/>
    </row>
    <row r="16246" spans="1:1" ht="21">
      <c r="A16246" s="345"/>
    </row>
    <row r="16247" spans="1:1" ht="21">
      <c r="A16247" s="345"/>
    </row>
    <row r="16248" spans="1:1" ht="21">
      <c r="A16248" s="345"/>
    </row>
    <row r="16249" spans="1:1" ht="21">
      <c r="A16249" s="345"/>
    </row>
    <row r="16250" spans="1:1" ht="21">
      <c r="A16250" s="345"/>
    </row>
    <row r="16251" spans="1:1" ht="21">
      <c r="A16251" s="345"/>
    </row>
    <row r="16252" spans="1:1" ht="21">
      <c r="A16252" s="345"/>
    </row>
    <row r="16253" spans="1:1" ht="21">
      <c r="A16253" s="345"/>
    </row>
    <row r="16254" spans="1:1" ht="21">
      <c r="A16254" s="345"/>
    </row>
    <row r="16255" spans="1:1" ht="21">
      <c r="A16255" s="345"/>
    </row>
    <row r="16256" spans="1:1" ht="21">
      <c r="A16256" s="345"/>
    </row>
    <row r="16257" spans="1:1" ht="21">
      <c r="A16257" s="345"/>
    </row>
    <row r="16258" spans="1:1" ht="21">
      <c r="A16258" s="345"/>
    </row>
    <row r="16259" spans="1:1" ht="21">
      <c r="A16259" s="345"/>
    </row>
    <row r="16260" spans="1:1" ht="21">
      <c r="A16260" s="345"/>
    </row>
    <row r="16261" spans="1:1" ht="21">
      <c r="A16261" s="345"/>
    </row>
    <row r="16262" spans="1:1" ht="21">
      <c r="A16262" s="345"/>
    </row>
    <row r="16263" spans="1:1" ht="21">
      <c r="A16263" s="345"/>
    </row>
    <row r="16264" spans="1:1" ht="21">
      <c r="A16264" s="345"/>
    </row>
    <row r="16265" spans="1:1" ht="21">
      <c r="A16265" s="345"/>
    </row>
    <row r="16266" spans="1:1" ht="21">
      <c r="A16266" s="345"/>
    </row>
    <row r="16267" spans="1:1" ht="21">
      <c r="A16267" s="345"/>
    </row>
    <row r="16268" spans="1:1" ht="21">
      <c r="A16268" s="345"/>
    </row>
    <row r="16269" spans="1:1" ht="21">
      <c r="A16269" s="345"/>
    </row>
    <row r="16270" spans="1:1" ht="21">
      <c r="A16270" s="345"/>
    </row>
    <row r="16271" spans="1:1" ht="21">
      <c r="A16271" s="345"/>
    </row>
    <row r="16272" spans="1:1" ht="21">
      <c r="A16272" s="345"/>
    </row>
    <row r="16273" spans="1:1" ht="21">
      <c r="A16273" s="345"/>
    </row>
    <row r="16274" spans="1:1" ht="21">
      <c r="A16274" s="345"/>
    </row>
    <row r="16275" spans="1:1" ht="21">
      <c r="A16275" s="345"/>
    </row>
    <row r="16276" spans="1:1" ht="21">
      <c r="A16276" s="345"/>
    </row>
    <row r="16277" spans="1:1" ht="21">
      <c r="A16277" s="345"/>
    </row>
    <row r="16278" spans="1:1" ht="21">
      <c r="A16278" s="345"/>
    </row>
    <row r="16279" spans="1:1" ht="21">
      <c r="A16279" s="345"/>
    </row>
    <row r="16280" spans="1:1" ht="21">
      <c r="A16280" s="345"/>
    </row>
    <row r="16281" spans="1:1" ht="21">
      <c r="A16281" s="345"/>
    </row>
    <row r="16282" spans="1:1" ht="21">
      <c r="A16282" s="345"/>
    </row>
    <row r="16283" spans="1:1" ht="21">
      <c r="A16283" s="345"/>
    </row>
    <row r="16284" spans="1:1" ht="21">
      <c r="A16284" s="345"/>
    </row>
    <row r="16285" spans="1:1" ht="21">
      <c r="A16285" s="345"/>
    </row>
    <row r="16286" spans="1:1" ht="21">
      <c r="A16286" s="345"/>
    </row>
    <row r="16287" spans="1:1" ht="21">
      <c r="A16287" s="345"/>
    </row>
    <row r="16288" spans="1:1" ht="21">
      <c r="A16288" s="345"/>
    </row>
    <row r="16289" spans="1:1" ht="21">
      <c r="A16289" s="345"/>
    </row>
    <row r="16290" spans="1:1" ht="21">
      <c r="A16290" s="345"/>
    </row>
    <row r="16291" spans="1:1" ht="21">
      <c r="A16291" s="345"/>
    </row>
    <row r="16292" spans="1:1" ht="21">
      <c r="A16292" s="345"/>
    </row>
    <row r="16293" spans="1:1" ht="21">
      <c r="A16293" s="345"/>
    </row>
    <row r="16294" spans="1:1" ht="21">
      <c r="A16294" s="345"/>
    </row>
    <row r="16295" spans="1:1" ht="21">
      <c r="A16295" s="345"/>
    </row>
    <row r="16296" spans="1:1" ht="21">
      <c r="A16296" s="345"/>
    </row>
    <row r="16297" spans="1:1" ht="21">
      <c r="A16297" s="345"/>
    </row>
    <row r="16298" spans="1:1" ht="21">
      <c r="A16298" s="345"/>
    </row>
    <row r="16299" spans="1:1" ht="21">
      <c r="A16299" s="345"/>
    </row>
    <row r="16300" spans="1:1" ht="21">
      <c r="A16300" s="345"/>
    </row>
    <row r="16301" spans="1:1" ht="21">
      <c r="A16301" s="345"/>
    </row>
    <row r="16302" spans="1:1" ht="21">
      <c r="A16302" s="345"/>
    </row>
    <row r="16303" spans="1:1" ht="21">
      <c r="A16303" s="345"/>
    </row>
    <row r="16304" spans="1:1" ht="21">
      <c r="A16304" s="345"/>
    </row>
    <row r="16305" spans="1:1" ht="21">
      <c r="A16305" s="345"/>
    </row>
    <row r="16306" spans="1:1" ht="21">
      <c r="A16306" s="345"/>
    </row>
    <row r="16307" spans="1:1" ht="21">
      <c r="A16307" s="345"/>
    </row>
    <row r="16308" spans="1:1" ht="21">
      <c r="A16308" s="345"/>
    </row>
    <row r="16309" spans="1:1" ht="21">
      <c r="A16309" s="345"/>
    </row>
    <row r="16310" spans="1:1" ht="21">
      <c r="A16310" s="345"/>
    </row>
    <row r="16311" spans="1:1" ht="21">
      <c r="A16311" s="345"/>
    </row>
    <row r="16312" spans="1:1" ht="21">
      <c r="A16312" s="345"/>
    </row>
    <row r="16313" spans="1:1" ht="21">
      <c r="A16313" s="345"/>
    </row>
    <row r="16314" spans="1:1" ht="21">
      <c r="A16314" s="345"/>
    </row>
    <row r="16315" spans="1:1" ht="21">
      <c r="A16315" s="345"/>
    </row>
    <row r="16316" spans="1:1" ht="21">
      <c r="A16316" s="345"/>
    </row>
    <row r="16317" spans="1:1" ht="21">
      <c r="A16317" s="345"/>
    </row>
    <row r="16318" spans="1:1" ht="21">
      <c r="A16318" s="345"/>
    </row>
    <row r="16319" spans="1:1" ht="21">
      <c r="A16319" s="345"/>
    </row>
    <row r="16320" spans="1:1" ht="21">
      <c r="A16320" s="345"/>
    </row>
    <row r="16321" spans="1:1" ht="21">
      <c r="A16321" s="345"/>
    </row>
    <row r="16322" spans="1:1" ht="21">
      <c r="A16322" s="345"/>
    </row>
    <row r="16323" spans="1:1" ht="21">
      <c r="A16323" s="345"/>
    </row>
    <row r="16324" spans="1:1" ht="21">
      <c r="A16324" s="345"/>
    </row>
    <row r="16325" spans="1:1" ht="21">
      <c r="A16325" s="345"/>
    </row>
    <row r="16326" spans="1:1" ht="21">
      <c r="A16326" s="345"/>
    </row>
    <row r="16327" spans="1:1" ht="21">
      <c r="A16327" s="345"/>
    </row>
    <row r="16328" spans="1:1" ht="21">
      <c r="A16328" s="345"/>
    </row>
    <row r="16329" spans="1:1" ht="21">
      <c r="A16329" s="345"/>
    </row>
    <row r="16330" spans="1:1" ht="21">
      <c r="A16330" s="345"/>
    </row>
    <row r="16331" spans="1:1" ht="21">
      <c r="A16331" s="345"/>
    </row>
    <row r="16332" spans="1:1" ht="21">
      <c r="A16332" s="345"/>
    </row>
    <row r="16333" spans="1:1" ht="21">
      <c r="A16333" s="345"/>
    </row>
    <row r="16334" spans="1:1" ht="21">
      <c r="A16334" s="345"/>
    </row>
    <row r="16335" spans="1:1" ht="21">
      <c r="A16335" s="345"/>
    </row>
    <row r="16336" spans="1:1" ht="21">
      <c r="A16336" s="345"/>
    </row>
    <row r="16337" spans="1:1" ht="21">
      <c r="A16337" s="345"/>
    </row>
    <row r="16338" spans="1:1" ht="21">
      <c r="A16338" s="345"/>
    </row>
    <row r="16339" spans="1:1" ht="21">
      <c r="A16339" s="345"/>
    </row>
    <row r="16340" spans="1:1" ht="21">
      <c r="A16340" s="345"/>
    </row>
    <row r="16341" spans="1:1" ht="21">
      <c r="A16341" s="345"/>
    </row>
    <row r="16342" spans="1:1" ht="21">
      <c r="A16342" s="345"/>
    </row>
    <row r="16343" spans="1:1" ht="21">
      <c r="A16343" s="345"/>
    </row>
    <row r="16344" spans="1:1" ht="21">
      <c r="A16344" s="345"/>
    </row>
    <row r="16345" spans="1:1" ht="21">
      <c r="A16345" s="345"/>
    </row>
    <row r="16346" spans="1:1" ht="21">
      <c r="A16346" s="345"/>
    </row>
    <row r="16347" spans="1:1" ht="21">
      <c r="A16347" s="345"/>
    </row>
    <row r="16348" spans="1:1" ht="21">
      <c r="A16348" s="345"/>
    </row>
    <row r="16349" spans="1:1" ht="21">
      <c r="A16349" s="345"/>
    </row>
    <row r="16350" spans="1:1" ht="21">
      <c r="A16350" s="345"/>
    </row>
    <row r="16351" spans="1:1" ht="21">
      <c r="A16351" s="345"/>
    </row>
    <row r="16352" spans="1:1" ht="21">
      <c r="A16352" s="345"/>
    </row>
    <row r="16353" spans="1:1" ht="21">
      <c r="A16353" s="345"/>
    </row>
    <row r="16354" spans="1:1" ht="21">
      <c r="A16354" s="345"/>
    </row>
    <row r="16355" spans="1:1" ht="21">
      <c r="A16355" s="345"/>
    </row>
    <row r="16356" spans="1:1" ht="21">
      <c r="A16356" s="345"/>
    </row>
    <row r="16357" spans="1:1" ht="21">
      <c r="A16357" s="345"/>
    </row>
    <row r="16358" spans="1:1" ht="21">
      <c r="A16358" s="345"/>
    </row>
    <row r="16359" spans="1:1" ht="21">
      <c r="A16359" s="345"/>
    </row>
    <row r="16360" spans="1:1" ht="21">
      <c r="A16360" s="345"/>
    </row>
    <row r="16361" spans="1:1" ht="21">
      <c r="A16361" s="345"/>
    </row>
    <row r="16362" spans="1:1" ht="21">
      <c r="A16362" s="345"/>
    </row>
    <row r="16363" spans="1:1" ht="21">
      <c r="A16363" s="345"/>
    </row>
    <row r="16364" spans="1:1" ht="21">
      <c r="A16364" s="345"/>
    </row>
    <row r="16365" spans="1:1" ht="21">
      <c r="A16365" s="345"/>
    </row>
    <row r="16366" spans="1:1" ht="21">
      <c r="A16366" s="345"/>
    </row>
    <row r="16367" spans="1:1" ht="21">
      <c r="A16367" s="345"/>
    </row>
    <row r="16368" spans="1:1" ht="21">
      <c r="A16368" s="345"/>
    </row>
    <row r="16369" spans="1:1" ht="21">
      <c r="A16369" s="345"/>
    </row>
    <row r="16370" spans="1:1" ht="21">
      <c r="A16370" s="345"/>
    </row>
    <row r="16371" spans="1:1" ht="21">
      <c r="A16371" s="345"/>
    </row>
    <row r="16372" spans="1:1" ht="21">
      <c r="A16372" s="345"/>
    </row>
    <row r="16373" spans="1:1" ht="21">
      <c r="A16373" s="345"/>
    </row>
    <row r="16374" spans="1:1" ht="21">
      <c r="A16374" s="345"/>
    </row>
    <row r="16375" spans="1:1" ht="21">
      <c r="A16375" s="345"/>
    </row>
    <row r="16376" spans="1:1" ht="21">
      <c r="A16376" s="345"/>
    </row>
    <row r="16377" spans="1:1" ht="21">
      <c r="A16377" s="345"/>
    </row>
    <row r="16378" spans="1:1" ht="21">
      <c r="A16378" s="345"/>
    </row>
    <row r="16379" spans="1:1" ht="21">
      <c r="A16379" s="345"/>
    </row>
    <row r="16380" spans="1:1" ht="21">
      <c r="A16380" s="345"/>
    </row>
    <row r="16381" spans="1:1" ht="21">
      <c r="A16381" s="345"/>
    </row>
    <row r="16382" spans="1:1" ht="21">
      <c r="A16382" s="345"/>
    </row>
    <row r="16383" spans="1:1" ht="21">
      <c r="A16383" s="345"/>
    </row>
    <row r="16384" spans="1:1" ht="21">
      <c r="A16384" s="345"/>
    </row>
    <row r="16385" spans="1:1" ht="21">
      <c r="A16385" s="345"/>
    </row>
    <row r="16386" spans="1:1" ht="21">
      <c r="A16386" s="345"/>
    </row>
  </sheetData>
  <sheetProtection algorithmName="SHA-512" hashValue="M1dg25FDvvm/uaHVCL6Qfls8ZSapXNiRU1cTXcZUKsIhtNAIIjZS5+nMhKqq5IcRtU5sQjCFXnToOpGZRLsg0w==" saltValue="5XUR6+3UwxkmPSRfhlzqJw==" spinCount="100000" sheet="1" objects="1" scenarios="1" formatColumns="0" autoFilter="0"/>
  <mergeCells count="2">
    <mergeCell ref="B4:B5"/>
    <mergeCell ref="A4:A5"/>
  </mergeCells>
  <hyperlinks>
    <hyperlink ref="B12" r:id="rId1" tooltip="My rights" display="https://www.lassuranceretraite.fr/portail-info/hors-menu/traductions/english/my-rights.html" xr:uid="{373843B6-2174-41F9-849C-5FFE96C55FCB}"/>
    <hyperlink ref="B11" r:id="rId2" tooltip="Survivors' Pension - Finnish Centre for Pensions" display="https://www.etk.fi/en/finnish-pension-system/pensions/earnings-related-pension-benefits/survivors-pension/?utm_source=chatgpt.com" xr:uid="{6404EF52-98DC-405A-90CE-1E1CF9C57063}"/>
    <hyperlink ref="B10" r:id="rId3" tooltip="State Pension Insurance Act–Riigi Teataja" display="https://www.riigiteataja.ee/en/eli/504022019001/consolide" xr:uid="{878AA1D8-5E6B-42A0-90CE-D4BC02CC266B}"/>
    <hyperlink ref="B9" r:id="rId4" tooltip="Geschiedenenrente" display="https://www.deutsche-rentenversicherung.de/SharedDocs/Glossareintraege/DE/G/geschiedenenrente.html?utm_source=chatgpt.com" xr:uid="{522ED88C-B08F-4543-8E61-C2642C1E6F05}"/>
    <hyperlink ref="B13" r:id="rId5" tooltip="Primary pension - Ministry of Labour and Social Affairs" display="https://ypergasias.gov.gr/en/social-security/pensions/primary-pension/" xr:uid="{9D881E9A-D7AA-43AB-BBAE-4D38F3915E4C}"/>
    <hyperlink ref="B14" r:id="rId6" tooltip="_x000a_            _x000a_                _x000a_            _x000a_            _x000a_                _x000a_                    Operational Guidelines: Bereaved Partner’s (Contributory) Pension_x000a_                _x000a_            _x000a_            _x000a_                _x000a_            _x000a_        " display="https://www.gov.ie/en/department-of-social-protection/publications/operational-guidelines-bereaved-partners-contributory-pension/" xr:uid="{4B7B75C5-B73A-4C23-AAF2-C82000022BF0}"/>
    <hyperlink ref="B15" r:id="rId7" tooltip="SSA - POMS: GN 01763.020 - Icelandic Benefits Eligibility Requirements - 04/25/2019" display="https://secure.ssa.gov/apps10/poms.nsf/lnx/0201763020" xr:uid="{54C79AC8-6D94-4DF8-B094-0212A87F74AD}"/>
    <hyperlink ref="B16" r:id="rId8" tooltip="Pensions and Social Security – Consolato Generale d'Italia a Edimburgo" display="https://consedimburgo.esteri.it/en/servizi-consolari-e-visti/servizi-per-il-cittadino-italiano/pensioni-e-sicurezza-sociale/" xr:uid="{78D48159-9CEF-41F0-8F4A-1F407DE30D37}"/>
    <hyperlink ref="B17" r:id="rId9" tooltip="Ministarstvo Republike Hrvatske - Pensions" display="https://mss.gov.hr/pension/pensions/124" xr:uid="{F7E24E97-39FE-470C-9BCD-AFBB4D30407A}"/>
    <hyperlink ref="B18" r:id="rId10" tooltip="Granting and payment of survivor's pension | Valsts sociālās apdrošināšanas aģentūra" display="https://www.vsaa.gov.lv/en/services/granting-and-payment-survivors-pension" xr:uid="{30BB1CF9-0D75-4767-A01E-240973A437E1}"/>
    <hyperlink ref="B19" r:id="rId11" tooltip="Verwitwetenrente | AHV - IV - FAK" display="https://www.ahv.li/leistungen/ahv/verwitwetenrente?utm_source=chatgpt.com" xr:uid="{8297FC80-2114-4230-8971-9F009A39D25C}"/>
    <hyperlink ref="B20" r:id="rId12" tooltip="Social insurance pensions for widows ..." display="https://socmin.lrv.lt/en/activities/social-insurance-1/social-insurance-benefits/social-insurance-pensions-for-widows-widowers-and-orphans/?utm_source=chatgpt.com" xr:uid="{0CE194CB-23F1-4267-9A40-EDEB87B9075A}"/>
    <hyperlink ref="B21" r:id="rId13" tooltip="Calculating the survival pension" display="https://cnap.public.lu/en/pensions/pension-survie/pension-survie1.html?utm_source=chatgpt.com" xr:uid="{72712F5B-232E-4881-9E5C-9904A1134059}"/>
    <hyperlink ref="B22" r:id="rId14" tooltip="Widow/er's Pension CAN - Social Security" display="https://socialsecurity.gov.mt/en/information-and-applications-for-benefits-and-services/bilateral-agreements/widow-ers-pension-can/?utm_source=chatgpt.com" xr:uid="{250745B0-2D59-49F0-AB65-4357928C0184}"/>
    <hyperlink ref="B23" r:id="rId15" tooltip="Qualifying conditions if your partner or ex-partner has died" display="https://www.svb.nl/en/anw/what-are-the-conditions/read-more-about-the-the-qualifying-conditions-that-apply-if-your-partner-or-ex-partner-has-died?utm_source=chatgpt.com" xr:uid="{6A3D0FE6-A931-46A1-9008-A2632CC41742}"/>
    <hyperlink ref="B24" r:id="rId16" tooltip="Receiving a pension" display="https://www.nav.no/har-pensjon/en?utm_source=chatgpt.com" xr:uid="{4473E558-5DB2-4C96-943E-BEA3B650219E}"/>
    <hyperlink ref="B25" r:id="rId17" tooltip="Survivors' Pensions" display="https://www.sozialministerium.gv.at/en/Topics/Social-Affairs/Social-Insurance/Pension-Insurance/Types-of-Pension/Survivors%E2%80%99-Pensions.html?utm_source=chatgpt.com" xr:uid="{991207A2-3CFA-486D-A080-5EBCBABBA614}"/>
    <hyperlink ref="B26" r:id="rId18" tooltip="Uprawnieni członkowie rodziny spełniający określone ..." display="https://www.zus.pl/uprawnieni-czlonkowie-rodziny-spelniajacy-okreslone-warunki-do-renty-rodzinnej?utm_source=chatgpt.com" xr:uid="{A3F0B571-7D68-4EC5-872D-17FEA672240D}"/>
    <hyperlink ref="B27" r:id="rId19" tooltip="Apply for a survivor's pension - gov.pt" display="https://www2.gov.pt/en/servicos/requerer-a-pensao-de-sobrevivencia" xr:uid="{7F60E0F9-6DB9-4EB6-BDBA-430867BEA347}"/>
    <hyperlink ref="B28" r:id="rId20" tooltip="Your rights country by country" display="https://ec.europa.eu/social/BlobServlet?docId=13772&amp;langId=en&amp;utm_source=chatgpt.com" xr:uid="{9E856B43-B15B-46C5-B824-4D01EA1B55D1}"/>
    <hyperlink ref="B29" r:id="rId21" tooltip="Survivor's pension – financial support in the event of death | Pensionsmyndigheten" display="https://www.pensionsmyndigheten.se/other-languages/english-engelska/english-engelska/survivors-pension-financial-support-in-the-event-of-death" xr:uid="{C128AE00-9AE4-4DA0-BC0B-7440ECB8215C}"/>
    <hyperlink ref="B30" r:id="rId22" tooltip="3.03 - OASI Survivors' Pensions" display="https://www.ahv-iv.ch/p/3.03.e?utm_source=chatgpt.com" xr:uid="{DCE38177-7004-4994-B29D-C2C1C6135C1B}"/>
    <hyperlink ref="B31" r:id="rId23" tooltip="How to apply for a widow's pension" display="https://socpoist.sk/en/life-situations/pension/how-apply-widows-pension?utm_source=chatgpt.com" xr:uid="{B5B0BFCF-DEA4-49F4-904B-02F66D11914B}"/>
    <hyperlink ref="B32" r:id="rId24" tooltip="How is the widow-er's pension assessed if a divorced ..." display="https://www.zpiz.si/content2020en/assessment-of-a-widow-ers-pension?utm_source=chatgpt.com" xr:uid="{81C68DF0-1285-4B2C-A6A1-E6495E7655A8}"/>
    <hyperlink ref="B33" r:id="rId25" tooltip="Seguridad Social: Benefits / Pensions for Workers" display="https://www.seg-social.es/wps/portal/wss/internet/Trabajadores/PrestacionesPensionesTrabajadores/10964/10966/28489/28490?utm_source=chatgpt.com" xr:uid="{2BFD7C4B-A20E-493D-B901-4C8626BD052C}"/>
    <hyperlink ref="B34" r:id="rId26" tooltip="Widow's/widower's pension - ČSSZ Web Other Languages" display="https://www.cssz.cz/web/lang/vdovsky/vdovecky?lang=en&amp;utm_source=chatgpt.com" xr:uid="{29DD7F6A-356E-4C40-B59D-6E59B49E43BE}"/>
    <hyperlink ref="B35" r:id="rId27" tooltip="Hungary" display="https://www.issa.int/sites/default/files/documents/2024-12/Hungary.pdf?utm_source=chatgpt.com" xr:uid="{5FF450B7-0F0E-487A-AAAC-F337C7EFE438}"/>
    <hyperlink ref="B36" r:id="rId28" tooltip="Cyprus" display="https://www.issa.int/sites/default/files/documents/2024-12/Cyprus.pdf?utm_source=chatgpt.com" xr:uid="{289C9CCA-988D-4F41-ABCE-96CE7A82D0B2}"/>
    <hyperlink ref="B6" r:id="rId29" tooltip="            Pension_x000a_     | Settling in Belgium" display="https://settlinginbelgium.be/en/work-and-retirement/retirement" xr:uid="{E638385E-692A-47D0-86EA-5DBB7BDFE96A}"/>
    <hyperlink ref="B7" r:id="rId30" tooltip="Retiring from work - pfg.bg" display="https://pfg.bg/en/4/50/53/56?utm_source=chatgpt.com" xr:uid="{D4BD5285-8659-4D6A-A444-B9AB8294B8FF}"/>
    <hyperlink ref="B8" r:id="rId31" tooltip="_x000a__x000a_Tax on Danish and non-Danish pensions_x000a_" display="https://lifeindenmark.borger.dk/pension/tax-on-danish-and-non-danish-pensions" xr:uid="{E97374A1-9BE2-44DC-9D51-80EA1652E4DA}"/>
    <hyperlink ref="A4:A5" location="Thema" display="Thema" xr:uid="{1FF50A3F-D59A-4343-9C9C-2E6B34BB19F7}"/>
  </hyperlinks>
  <pageMargins left="0.7" right="0.7" top="0.78740157499999996" bottom="0.78740157499999996" header="0.3" footer="0.3"/>
  <drawing r:id="rId3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EDA0-E59F-49E5-9041-373B85E974C6}">
  <sheetPr codeName="Tabelle67"/>
  <dimension ref="A1:F44"/>
  <sheetViews>
    <sheetView showGridLines="0" zoomScaleNormal="100" workbookViewId="0">
      <pane ySplit="6" topLeftCell="A7" activePane="bottomLeft" state="frozen"/>
      <selection activeCell="B15" sqref="B15:I21"/>
      <selection pane="bottomLeft" activeCell="B15" sqref="B15:I21"/>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7.28515625" style="402" customWidth="1"/>
    <col min="2" max="2" width="18.7109375" style="5" customWidth="1"/>
    <col min="3" max="3" width="62.85546875" style="326" customWidth="1"/>
    <col min="4" max="4" width="45" style="326" customWidth="1"/>
    <col min="5" max="5" width="54.85546875" style="326" customWidth="1"/>
    <col min="6" max="6" width="9.140625" customWidth="1"/>
    <col min="7" max="16384" width="11.42578125" hidden="1"/>
  </cols>
  <sheetData>
    <row r="1" spans="1:6" ht="52.5" customHeight="1">
      <c r="C1" s="1040" t="s">
        <v>3760</v>
      </c>
      <c r="D1" s="1041"/>
      <c r="E1" s="1042"/>
      <c r="F1" s="402"/>
    </row>
    <row r="2" spans="1:6" ht="18" customHeight="1">
      <c r="B2" s="1037" t="s">
        <v>3683</v>
      </c>
      <c r="C2" s="1037"/>
      <c r="D2" s="1037"/>
      <c r="E2" s="1037"/>
      <c r="F2" s="402"/>
    </row>
    <row r="3" spans="1:6" ht="18" customHeight="1">
      <c r="B3" s="1037"/>
      <c r="C3" s="1037"/>
      <c r="D3" s="1037"/>
      <c r="E3" s="1037"/>
      <c r="F3" s="402"/>
    </row>
    <row r="4" spans="1:6" ht="18" customHeight="1">
      <c r="B4" s="1037"/>
      <c r="C4" s="1037"/>
      <c r="D4" s="1037"/>
      <c r="E4" s="1037"/>
      <c r="F4" s="402"/>
    </row>
    <row r="5" spans="1:6" ht="18" customHeight="1">
      <c r="B5" s="1037"/>
      <c r="C5" s="1037"/>
      <c r="D5" s="1037"/>
      <c r="E5" s="1037"/>
      <c r="F5" s="402"/>
    </row>
    <row r="6" spans="1:6" ht="39.950000000000003" customHeight="1">
      <c r="B6" s="405" t="s">
        <v>1622</v>
      </c>
      <c r="C6" s="405" t="s">
        <v>3755</v>
      </c>
      <c r="D6" s="405" t="s">
        <v>3756</v>
      </c>
      <c r="E6" s="405" t="s">
        <v>3757</v>
      </c>
      <c r="F6" s="402"/>
    </row>
    <row r="7" spans="1:6" ht="75">
      <c r="B7" s="399" t="s">
        <v>0</v>
      </c>
      <c r="C7" s="400" t="s">
        <v>3684</v>
      </c>
      <c r="D7" s="401" t="s">
        <v>3685</v>
      </c>
      <c r="E7" s="401" t="s">
        <v>3686</v>
      </c>
      <c r="F7" s="402"/>
    </row>
    <row r="8" spans="1:6" ht="45">
      <c r="B8" s="406" t="s">
        <v>1</v>
      </c>
      <c r="C8" s="408" t="s">
        <v>3687</v>
      </c>
      <c r="D8" s="408" t="s">
        <v>3688</v>
      </c>
      <c r="E8" s="408" t="s">
        <v>3688</v>
      </c>
      <c r="F8" s="402"/>
    </row>
    <row r="9" spans="1:6" ht="45">
      <c r="B9" s="399" t="s">
        <v>2</v>
      </c>
      <c r="C9" s="401" t="s">
        <v>3689</v>
      </c>
      <c r="D9" s="401" t="s">
        <v>3688</v>
      </c>
      <c r="E9" s="401" t="s">
        <v>3688</v>
      </c>
      <c r="F9" s="402"/>
    </row>
    <row r="10" spans="1:6" ht="75">
      <c r="B10" s="406" t="s">
        <v>3</v>
      </c>
      <c r="C10" s="407" t="s">
        <v>3690</v>
      </c>
      <c r="D10" s="407" t="s">
        <v>3691</v>
      </c>
      <c r="E10" s="408" t="s">
        <v>3692</v>
      </c>
      <c r="F10" s="402"/>
    </row>
    <row r="11" spans="1:6" ht="60">
      <c r="B11" s="399" t="s">
        <v>4</v>
      </c>
      <c r="C11" s="400" t="s">
        <v>3693</v>
      </c>
      <c r="D11" s="401" t="s">
        <v>3694</v>
      </c>
      <c r="E11" s="400" t="s">
        <v>3695</v>
      </c>
      <c r="F11" s="402"/>
    </row>
    <row r="12" spans="1:6" ht="60">
      <c r="B12" s="406" t="s">
        <v>5</v>
      </c>
      <c r="C12" s="407" t="s">
        <v>3696</v>
      </c>
      <c r="D12" s="408" t="s">
        <v>3697</v>
      </c>
      <c r="E12" s="407" t="s">
        <v>3698</v>
      </c>
      <c r="F12" s="402"/>
    </row>
    <row r="13" spans="1:6" ht="60">
      <c r="B13" s="399" t="s">
        <v>6</v>
      </c>
      <c r="C13" s="400" t="s">
        <v>3699</v>
      </c>
      <c r="D13" s="401" t="s">
        <v>3700</v>
      </c>
      <c r="E13" s="401" t="s">
        <v>3701</v>
      </c>
      <c r="F13" s="402"/>
    </row>
    <row r="14" spans="1:6" s="141" customFormat="1" ht="60">
      <c r="A14" s="402"/>
      <c r="B14" s="406" t="s">
        <v>7</v>
      </c>
      <c r="C14" s="407" t="s">
        <v>3702</v>
      </c>
      <c r="D14" s="408" t="s">
        <v>3697</v>
      </c>
      <c r="E14" s="408" t="s">
        <v>3703</v>
      </c>
      <c r="F14" s="402"/>
    </row>
    <row r="15" spans="1:6" ht="60">
      <c r="B15" s="399" t="s">
        <v>8</v>
      </c>
      <c r="C15" s="400" t="s">
        <v>3704</v>
      </c>
      <c r="D15" s="401" t="s">
        <v>3688</v>
      </c>
      <c r="E15" s="401" t="s">
        <v>3688</v>
      </c>
      <c r="F15" s="402"/>
    </row>
    <row r="16" spans="1:6" s="141" customFormat="1" ht="60">
      <c r="A16" s="402"/>
      <c r="B16" s="406" t="s">
        <v>9</v>
      </c>
      <c r="C16" s="407" t="s">
        <v>3705</v>
      </c>
      <c r="D16" s="408" t="s">
        <v>3688</v>
      </c>
      <c r="E16" s="408" t="s">
        <v>3688</v>
      </c>
      <c r="F16" s="402"/>
    </row>
    <row r="17" spans="1:6" ht="60">
      <c r="B17" s="399" t="s">
        <v>10</v>
      </c>
      <c r="C17" s="400" t="s">
        <v>3706</v>
      </c>
      <c r="D17" s="401" t="s">
        <v>3707</v>
      </c>
      <c r="E17" s="400" t="s">
        <v>3708</v>
      </c>
      <c r="F17" s="402"/>
    </row>
    <row r="18" spans="1:6" s="141" customFormat="1" ht="45">
      <c r="A18" s="402"/>
      <c r="B18" s="406" t="s">
        <v>11</v>
      </c>
      <c r="C18" s="407" t="s">
        <v>3709</v>
      </c>
      <c r="D18" s="408" t="s">
        <v>3697</v>
      </c>
      <c r="E18" s="407" t="s">
        <v>3710</v>
      </c>
      <c r="F18" s="402"/>
    </row>
    <row r="19" spans="1:6" ht="60">
      <c r="B19" s="399" t="s">
        <v>12</v>
      </c>
      <c r="C19" s="401" t="s">
        <v>3711</v>
      </c>
      <c r="D19" s="401" t="s">
        <v>3688</v>
      </c>
      <c r="E19" s="401" t="s">
        <v>3688</v>
      </c>
      <c r="F19" s="402"/>
    </row>
    <row r="20" spans="1:6" s="141" customFormat="1" ht="60">
      <c r="A20" s="402"/>
      <c r="B20" s="406" t="s">
        <v>13</v>
      </c>
      <c r="C20" s="407" t="s">
        <v>3712</v>
      </c>
      <c r="D20" s="408" t="s">
        <v>3697</v>
      </c>
      <c r="E20" s="407" t="s">
        <v>3713</v>
      </c>
      <c r="F20" s="402"/>
    </row>
    <row r="21" spans="1:6" ht="30">
      <c r="B21" s="399" t="s">
        <v>14</v>
      </c>
      <c r="C21" s="401" t="s">
        <v>3714</v>
      </c>
      <c r="D21" s="401" t="s">
        <v>3688</v>
      </c>
      <c r="E21" s="401" t="s">
        <v>3688</v>
      </c>
      <c r="F21" s="402"/>
    </row>
    <row r="22" spans="1:6" s="141" customFormat="1" ht="60">
      <c r="A22" s="402"/>
      <c r="B22" s="406" t="s">
        <v>15</v>
      </c>
      <c r="C22" s="407" t="s">
        <v>3715</v>
      </c>
      <c r="D22" s="408" t="s">
        <v>3716</v>
      </c>
      <c r="E22" s="407" t="s">
        <v>3717</v>
      </c>
      <c r="F22" s="402"/>
    </row>
    <row r="23" spans="1:6" ht="60">
      <c r="B23" s="399" t="s">
        <v>16</v>
      </c>
      <c r="C23" s="400" t="s">
        <v>3718</v>
      </c>
      <c r="D23" s="401" t="s">
        <v>3719</v>
      </c>
      <c r="E23" s="400" t="s">
        <v>3720</v>
      </c>
      <c r="F23" s="402"/>
    </row>
    <row r="24" spans="1:6" s="141" customFormat="1" ht="45">
      <c r="A24" s="402"/>
      <c r="B24" s="406" t="s">
        <v>17</v>
      </c>
      <c r="C24" s="407" t="s">
        <v>3721</v>
      </c>
      <c r="D24" s="407" t="s">
        <v>3722</v>
      </c>
      <c r="E24" s="407" t="s">
        <v>3723</v>
      </c>
      <c r="F24" s="402"/>
    </row>
    <row r="25" spans="1:6" ht="75">
      <c r="B25" s="399" t="s">
        <v>18</v>
      </c>
      <c r="C25" s="400" t="s">
        <v>3724</v>
      </c>
      <c r="D25" s="400" t="s">
        <v>3725</v>
      </c>
      <c r="E25" s="400" t="s">
        <v>3726</v>
      </c>
      <c r="F25" s="402"/>
    </row>
    <row r="26" spans="1:6" s="141" customFormat="1" ht="60">
      <c r="A26" s="402"/>
      <c r="B26" s="406" t="s">
        <v>19</v>
      </c>
      <c r="C26" s="407" t="s">
        <v>3727</v>
      </c>
      <c r="D26" s="407" t="s">
        <v>3728</v>
      </c>
      <c r="E26" s="407" t="s">
        <v>3729</v>
      </c>
      <c r="F26" s="402"/>
    </row>
    <row r="27" spans="1:6" ht="60">
      <c r="B27" s="399" t="s">
        <v>20</v>
      </c>
      <c r="C27" s="400" t="s">
        <v>3730</v>
      </c>
      <c r="D27" s="401" t="s">
        <v>3697</v>
      </c>
      <c r="E27" s="401" t="s">
        <v>3731</v>
      </c>
      <c r="F27" s="402"/>
    </row>
    <row r="28" spans="1:6" s="141" customFormat="1" ht="60">
      <c r="A28" s="402"/>
      <c r="B28" s="406" t="s">
        <v>21</v>
      </c>
      <c r="C28" s="408" t="s">
        <v>3732</v>
      </c>
      <c r="D28" s="408" t="s">
        <v>3733</v>
      </c>
      <c r="E28" s="408" t="s">
        <v>3734</v>
      </c>
      <c r="F28" s="402"/>
    </row>
    <row r="29" spans="1:6" ht="45">
      <c r="B29" s="399" t="s">
        <v>22</v>
      </c>
      <c r="C29" s="401" t="s">
        <v>3735</v>
      </c>
      <c r="D29" s="401" t="s">
        <v>3688</v>
      </c>
      <c r="E29" s="401" t="s">
        <v>3688</v>
      </c>
      <c r="F29" s="402"/>
    </row>
    <row r="30" spans="1:6" s="141" customFormat="1" ht="60">
      <c r="A30" s="402"/>
      <c r="B30" s="406" t="s">
        <v>23</v>
      </c>
      <c r="C30" s="407" t="s">
        <v>3736</v>
      </c>
      <c r="D30" s="408" t="s">
        <v>3688</v>
      </c>
      <c r="E30" s="408" t="s">
        <v>3688</v>
      </c>
      <c r="F30" s="402"/>
    </row>
    <row r="31" spans="1:6" ht="75">
      <c r="B31" s="399" t="s">
        <v>24</v>
      </c>
      <c r="C31" s="400" t="s">
        <v>3737</v>
      </c>
      <c r="D31" s="400" t="s">
        <v>3738</v>
      </c>
      <c r="E31" s="400" t="s">
        <v>3739</v>
      </c>
      <c r="F31" s="402"/>
    </row>
    <row r="32" spans="1:6" s="141" customFormat="1" ht="90">
      <c r="A32" s="402"/>
      <c r="B32" s="406" t="s">
        <v>25</v>
      </c>
      <c r="C32" s="407" t="s">
        <v>3740</v>
      </c>
      <c r="D32" s="408" t="s">
        <v>3741</v>
      </c>
      <c r="E32" s="408" t="s">
        <v>3742</v>
      </c>
      <c r="F32" s="402"/>
    </row>
    <row r="33" spans="1:6" ht="30">
      <c r="B33" s="399" t="s">
        <v>26</v>
      </c>
      <c r="C33" s="400" t="s">
        <v>3743</v>
      </c>
      <c r="D33" s="401" t="s">
        <v>3744</v>
      </c>
      <c r="E33" s="401" t="s">
        <v>3745</v>
      </c>
      <c r="F33" s="402"/>
    </row>
    <row r="34" spans="1:6" s="141" customFormat="1" ht="75">
      <c r="A34" s="402"/>
      <c r="B34" s="406" t="s">
        <v>27</v>
      </c>
      <c r="C34" s="407" t="s">
        <v>3746</v>
      </c>
      <c r="D34" s="408" t="s">
        <v>3747</v>
      </c>
      <c r="E34" s="407" t="s">
        <v>3748</v>
      </c>
      <c r="F34" s="402"/>
    </row>
    <row r="35" spans="1:6" ht="45">
      <c r="B35" s="399" t="s">
        <v>2240</v>
      </c>
      <c r="C35" s="400" t="s">
        <v>3749</v>
      </c>
      <c r="D35" s="401" t="s">
        <v>3688</v>
      </c>
      <c r="E35" s="401" t="s">
        <v>3688</v>
      </c>
      <c r="F35" s="402"/>
    </row>
    <row r="36" spans="1:6" s="141" customFormat="1" ht="60">
      <c r="A36" s="402"/>
      <c r="B36" s="406" t="s">
        <v>29</v>
      </c>
      <c r="C36" s="408" t="s">
        <v>3750</v>
      </c>
      <c r="D36" s="408" t="s">
        <v>3751</v>
      </c>
      <c r="E36" s="408" t="s">
        <v>3752</v>
      </c>
      <c r="F36" s="402"/>
    </row>
    <row r="37" spans="1:6" ht="30">
      <c r="B37" s="399" t="s">
        <v>30</v>
      </c>
      <c r="C37" s="401" t="s">
        <v>3714</v>
      </c>
      <c r="D37" s="401" t="s">
        <v>3688</v>
      </c>
      <c r="E37" s="401" t="s">
        <v>3688</v>
      </c>
      <c r="F37" s="402"/>
    </row>
    <row r="38" spans="1:6">
      <c r="B38" s="403"/>
      <c r="C38" s="404"/>
      <c r="D38" s="404"/>
      <c r="E38" s="404"/>
      <c r="F38" s="402"/>
    </row>
    <row r="39" spans="1:6">
      <c r="B39" s="1038" t="s">
        <v>3759</v>
      </c>
      <c r="C39" s="1039"/>
      <c r="D39" s="1039"/>
      <c r="E39" s="1039"/>
      <c r="F39" s="402"/>
    </row>
    <row r="40" spans="1:6">
      <c r="B40" s="1039"/>
      <c r="C40" s="1039"/>
      <c r="D40" s="1039"/>
      <c r="E40" s="1039"/>
      <c r="F40" s="402"/>
    </row>
    <row r="41" spans="1:6">
      <c r="B41" s="1039"/>
      <c r="C41" s="1039"/>
      <c r="D41" s="1039"/>
      <c r="E41" s="1039"/>
      <c r="F41" s="402"/>
    </row>
    <row r="42" spans="1:6">
      <c r="B42" s="1039"/>
      <c r="C42" s="1039"/>
      <c r="D42" s="1039"/>
      <c r="E42" s="1039"/>
      <c r="F42" s="402"/>
    </row>
    <row r="43" spans="1:6">
      <c r="B43" s="1039"/>
      <c r="C43" s="1039"/>
      <c r="D43" s="1039"/>
      <c r="E43" s="1039"/>
      <c r="F43" s="402"/>
    </row>
    <row r="44" spans="1:6">
      <c r="B44" s="403"/>
      <c r="C44" s="404"/>
      <c r="D44" s="404"/>
      <c r="E44" s="404"/>
      <c r="F44" s="402"/>
    </row>
  </sheetData>
  <sheetProtection algorithmName="SHA-512" hashValue="6WN6lhMHzSrQIVbqsVfiyAaXsv1QYnFFMyzC1D29+vgxS8DjUvD+4ybclEvTrz3fywTuGKmD1Cxt+m3NGFpCAw==" saltValue="bYLqsRvpieRsHn3eZpzlBA==" spinCount="100000" sheet="1" objects="1" scenarios="1" formatColumns="0" autoFilter="0"/>
  <mergeCells count="3">
    <mergeCell ref="B2:E5"/>
    <mergeCell ref="B39:E43"/>
    <mergeCell ref="C1:E1"/>
  </mergeCells>
  <hyperlinks>
    <hyperlink ref="B2" r:id="rId1" tooltip="Comparative tables" display="https://www.missoc.org/missoc-database/comparative-tables/?utm_source=chatgpt.com" xr:uid="{2BF06825-463B-452E-B280-BB848DB29CCC}"/>
    <hyperlink ref="C7" r:id="rId2" tooltip="Pension as a divorcee" display="https://www.sfpd.fgov.be/en/pension-amount/calculation/types-of-pensions/divorced/?utm_source=chatgpt.com" xr:uid="{0048B3EB-E7A9-440E-8753-D3FBBC04B4F3}"/>
    <hyperlink ref="C10" r:id="rId3" tooltip="Hinterbliebenenrente" display="https://www.deutsche-rentenversicherung.de/DRV/DE/Rente/In-der-Rente/Hinterbliebenenrente?utm_source=chatgpt.com" xr:uid="{06C8C8C5-F019-4188-9F16-387E68679507}"/>
    <hyperlink ref="D10" r:id="rId4" tooltip="§ 243 SGB VI Witwenrente und Witwerrente an vor dem 1. ..." display="https://www.sozialgesetzbuch-sgb.de/sgbvi/243.html?utm_source=chatgpt.com" xr:uid="{07EB1272-BF59-4DF8-ABB8-676F49C3E79F}"/>
    <hyperlink ref="C11" r:id="rId5" tooltip="State Pension Insurance Act" display="https://www.riigiteataja.ee/en/eli/501022016016/consolide?utm_source=chatgpt.com" xr:uid="{BD2A0C4E-6B48-4981-8060-5CBFA6890F1F}"/>
    <hyperlink ref="E11" r:id="rId6" tooltip="Europe, 2018 - Estonia" display="https://www.ssa.gov/policy/docs/progdesc/ssptw/2018-2019/europe/estonia.html?utm_source=chatgpt.com" xr:uid="{23829508-BE6F-413D-BCAE-F9193E96193D}"/>
    <hyperlink ref="C12" r:id="rId7" tooltip="Survivors’ Pension - Finnish Centre for Pensions" display="https://www.etk.fi/en/finnish-pension-system/pensions/earnings-related-pension-benefits/survivors-pension/" xr:uid="{85A812E9-731B-4BF7-87DA-5E2AB964326E}"/>
    <hyperlink ref="E12" r:id="rId8" tooltip="Survivors’ Pension - Finnish Centre for Pensions" display="https://www.etk.fi/en/finnish-pension-system/pensions/earnings-related-pension-benefits/survivors-pension/" xr:uid="{4208AE50-33D6-45C2-B74B-4EB1CBEADD5B}"/>
    <hyperlink ref="C13" r:id="rId9" tooltip="Retirement pension | Service Public" display="https://www.service-public.gouv.fr/particuliers/vosdroits/F13104?lang=en" xr:uid="{5F84C2E0-2D5A-4F8D-B426-618BE4569AB9}"/>
    <hyperlink ref="C14" r:id="rId10" tooltip="Your social security rights in Greece - European Commission" display="https://ec.europa.eu/social/BlobServlet?docId=13767&amp;langId=en&amp;utm_source=chatgpt.com" xr:uid="{05787247-00B7-4BBB-9B46-A058A114BF83}"/>
    <hyperlink ref="C15" r:id="rId11" tooltip="Bereaved Partner's (Contributory) Pension" display="https://www.citizensinformation.ie/en/social-welfare/death-related-benefits/bereaved-partners-contributory-pension/?utm_source=chatgpt.com" xr:uid="{3CE58EE7-507E-455D-809E-81F6EDD7D32F}"/>
    <hyperlink ref="C16" r:id="rId12" tooltip="GN 01763.020 - Icelandic Benefits Eligibility Requirements" display="https://secure.ssa.gov/apps10/poms.nsf/lnx/0201763020?utm_source=chatgpt.com" xr:uid="{03F19F8C-2332-4061-95BA-A1960E971534}"/>
    <hyperlink ref="C17" r:id="rId13" tooltip="Your rights country by country" display="https://employment-social-affairs.ec.europa.eu/document/download/1526299a-d95c-441b-8a5e-71acb2c981eb_en" xr:uid="{BC63239A-CA14-4DE4-B01D-00EA9C0E5C02}"/>
    <hyperlink ref="E17" r:id="rId14" tooltip="Your rights country by country" display="https://employment-social-affairs.ec.europa.eu/document/download/1526299a-d95c-441b-8a5e-71acb2c981eb_en" xr:uid="{4185CFEA-5B3D-4541-AD41-880E36DA1A51}"/>
    <hyperlink ref="C18" r:id="rId15" tooltip="Your rights country by country" display="https://employment-social-affairs.ec.europa.eu/document/download/3f43aab0-d0c5-4c70-a7d2-f56fa6ee565c_en?prefLang=lt" xr:uid="{A00E7D87-FCB9-4E28-AFAB-B824D3A6C71B}"/>
    <hyperlink ref="E18" r:id="rId16" tooltip="Your rights country by country" display="https://employment-social-affairs.ec.europa.eu/document/download/3f43aab0-d0c5-4c70-a7d2-f56fa6ee565c_en?prefLang=lt" xr:uid="{B86C155F-D0D5-4A96-9DB1-4FA1F426EA6B}"/>
    <hyperlink ref="C20" r:id="rId17" tooltip="Verwitwetenrente | AHV - IV - FAK" display="https://www.ahv.li/leistungen/ahv/verwitwetenrente?utm_source=chatgpt.com" xr:uid="{9B19FCEB-F7A4-4DE6-905B-18361123ED74}"/>
    <hyperlink ref="E20" r:id="rId18" tooltip="Hinterlassenenrenten der AHV" display="https://www.ahv-iv.ch/p/3.03.d?utm_source=chatgpt.com" xr:uid="{AFDCEE42-B6B9-4C99-A771-5500751B1AC0}"/>
    <hyperlink ref="C22" r:id="rId19" tooltip="Your rights country by country" display="https://ec.europa.eu/social/BlobServlet?docId=13752&amp;langId=en" xr:uid="{81B4454C-FE16-4EFA-A5AB-B39EB7E42B64}"/>
    <hyperlink ref="E22" r:id="rId20" tooltip="Your rights country by country" display="https://ec.europa.eu/social/BlobServlet?docId=13752&amp;langId=en" xr:uid="{44B1EAB9-9C5E-4F01-89AE-B193DDC7C376}"/>
    <hyperlink ref="C23" r:id="rId21" tooltip="Widow/er's Pension - Social Security" display="https://socialsecurity.gov.mt/en/information-and-applications-for-benefits-and-services/contributory-pensions/contributory-widow-ers-pension/?utm_source=chatgpt.com" xr:uid="{97C4C01D-3867-42F6-972A-72AC8406B346}"/>
    <hyperlink ref="E23" r:id="rId22" tooltip="Widow/er's Pension - Social Security" display="https://socialsecurity.gov.mt/en/information-and-applications-for-benefits-and-services/contributory-pensions/contributory-widow-ers-pension/?utm_source=chatgpt.com" xr:uid="{8460AEE1-E634-4B2D-BDD3-28D250CACCAB}"/>
    <hyperlink ref="C24" r:id="rId23" tooltip="Explanation of Anw survivor benefit" display="https://www.svb.nl/en/anw/what-is-an-anw-survivor-benefit?utm_source=chatgpt.com" xr:uid="{95CB50F2-0601-44C0-A635-46E49F1D6CE8}"/>
    <hyperlink ref="D24" r:id="rId24" tooltip="Qualifying conditions if your partner or ex-partner has died" display="https://www.svb.nl/en/anw/what-are-the-conditions/read-more-about-the-the-qualifying-conditions-that-apply-if-your-partner-or-ex-partner-has-died?utm_source=chatgpt.com" xr:uid="{EBA3A39F-9E14-4015-B4C5-BE4F8032FF0B}"/>
    <hyperlink ref="E24" r:id="rId25" tooltip="End of entitlement | Anw | SVB" display="https://www.svb.nl/en/anw/anw-survivor-benefit-stops/when-can-anw-survivor-benefit-be-stopped?utm_source=chatgpt.com" xr:uid="{8EB16B24-8215-4E1F-A3DE-711DBDC5E8ED}"/>
    <hyperlink ref="C25" r:id="rId26" tooltip="Survivor's pension" display="https://www.nav.no/gjenlevendepensjon/en?utm_source=chatgpt.com" xr:uid="{67F34EE1-DDCC-4E51-93BB-DC619C9481EB}"/>
    <hyperlink ref="D25" r:id="rId27" tooltip="Retirement pension" display="https://www.nav.no/alderspensjon/en?utm_source=chatgpt.com" xr:uid="{12E3D9A6-0CEE-4EC0-9CFB-C1DCC09340B8}"/>
    <hyperlink ref="E25" r:id="rId28" tooltip="Survivor's pension" display="https://www.nav.no/gjenlevendepensjon/en?utm_source=chatgpt.com" xr:uid="{3EC581E3-1CA0-421E-926B-899650EDE4BA}"/>
    <hyperlink ref="C26" r:id="rId29" tooltip="Survivors' Pensions" display="https://www.sozialministerium.gv.at/en/Topics/Social-Affairs/Social-Insurance/Pension-Insurance/Types-of-Pension/Survivors%E2%80%99-Pensions.html?utm_source=chatgpt.com" xr:uid="{D43A855B-E78E-49AA-9F1C-89B98D4BA1E5}"/>
    <hyperlink ref="D26" r:id="rId30" tooltip="Austria VIII" display="https://ec.europa.eu/employment_social/soc-prot/missoc98/english/08/at.htm?utm_source=chatgpt.com" xr:uid="{5BF03BAC-B3DD-4866-A048-FCE167B7B3CF}"/>
    <hyperlink ref="E26" r:id="rId31" tooltip="Austria VIII" display="https://ec.europa.eu/employment_social/soc-prot/missoc98/english/08/at.htm?utm_source=chatgpt.com" xr:uid="{FD25EF7F-98FA-4E1C-8128-AC1366AB91FB}"/>
    <hyperlink ref="C27" r:id="rId32" tooltip="Your social security rights in Poland - European Commission" display="https://ec.europa.eu/social/BlobServlet?docId=13769&amp;langId=en&amp;utm_source=chatgpt.com" xr:uid="{1D6B545C-326A-48F3-8F53-AB283D80D17C}"/>
    <hyperlink ref="C30" r:id="rId33" tooltip="Survivor's pension – financial support in the event of death" display="https://www.pensionsmyndigheten.se/other-languages/english-engelska/english-engelska/survivors-pension-financial-support-in-the-event-of-death?utm_source=chatgpt.com" xr:uid="{06A38CF5-B0E3-43A8-883A-75D37CC9F8DA}"/>
    <hyperlink ref="C31" r:id="rId34" tooltip="Survivor’s pension" display="https://www.zas.admin.ch/en/survivors-pension" xr:uid="{6915028E-DEDD-47F8-84FC-39ED5CBB9F56}"/>
    <hyperlink ref="D31" r:id="rId35" tooltip="Survivor’s pension" display="https://www.zas.admin.ch/en/survivors-pension" xr:uid="{52338CD9-78B7-47EE-A208-251D4DD7B519}"/>
    <hyperlink ref="E31" r:id="rId36" tooltip="Survivor’s pension" display="https://www.zas.admin.ch/en/survivors-pension" xr:uid="{FFEA90D7-FA86-4179-B61B-FA80B45BA208}"/>
    <hyperlink ref="C32" r:id="rId37" tooltip="How to apply for a widower's pension" display="https://www.socpoist.sk/en/life-situations/pension/how-apply-widowers-pension?utm_source=chatgpt.com" xr:uid="{904EAFC5-3684-4334-A02D-DD57D7F32705}"/>
    <hyperlink ref="C33" r:id="rId38" tooltip="Your rights country by country" display="https://www.syllogos.gr/images/PDF_Anakoinoseon/social_security_rights_in_Slovenia.pdf" xr:uid="{30B46DA1-F3A8-4F2F-8780-11E8CEEAA207}"/>
    <hyperlink ref="C34" r:id="rId39" tooltip="Seguridad Social: Benefits / Pensions for Workers" display="https://www.seg-social.es/wps/portal/wss/internet/Trabajadores/PrestacionesPensionesTrabajadores/10964/10966/28489/28490/5151" xr:uid="{183A1BAF-E1EB-47DC-B302-25EC265FD74B}"/>
    <hyperlink ref="E34" r:id="rId40" tooltip="Seguridad Social: Benefits / Pensions for Workers" display="https://www.seg-social.es/wps/portal/wss/internet/Trabajadores/PrestacionesPensionesTrabajadores/10964/10966/28489/28490/5151" xr:uid="{78B66F31-5EE9-45CC-85DD-461BF684AA57}"/>
    <hyperlink ref="C35" r:id="rId41" tooltip="the application is processed by the Czech Social Security ..." display="https://portal.gov.cz/en/sluzby-vs/widows-and-widowers-pension--the-application-is-processed-by-the-czech-social-security-administration-S84?utm_source=chatgpt.com" xr:uid="{A5252BFF-617D-4D59-A334-511FA5F28A41}"/>
  </hyperlinks>
  <pageMargins left="0.7" right="0.7" top="0.78740157499999996" bottom="0.78740157499999996" header="0.3" footer="0.3"/>
  <drawing r:id="rId42"/>
  <tableParts count="1">
    <tablePart r:id="rId43"/>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97BFF-1430-4C9A-84FF-D1D289E2F148}">
  <sheetPr codeName="Tabelle68"/>
  <dimension ref="A1:I75"/>
  <sheetViews>
    <sheetView topLeftCell="B2" workbookViewId="0">
      <pane xSplit="1" ySplit="4" topLeftCell="C6"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42578125" customWidth="1"/>
    <col min="2" max="2" width="21" customWidth="1"/>
    <col min="3" max="3" width="49.28515625" customWidth="1"/>
    <col min="4" max="4" width="49.28515625" style="120" customWidth="1"/>
    <col min="5" max="5" width="33.28515625" style="326" customWidth="1"/>
    <col min="6" max="6" width="13.28515625" style="274" customWidth="1"/>
    <col min="7" max="7" width="17.42578125" customWidth="1"/>
    <col min="8" max="8" width="11.42578125" hidden="1" customWidth="1"/>
    <col min="9" max="9" width="44.28515625" hidden="1" customWidth="1"/>
    <col min="10" max="16384" width="11.42578125" hidden="1"/>
  </cols>
  <sheetData>
    <row r="1" spans="1:9">
      <c r="A1" s="122"/>
      <c r="B1" s="122"/>
      <c r="C1" s="122"/>
      <c r="D1" s="418"/>
      <c r="E1" s="409"/>
      <c r="F1" s="410"/>
      <c r="G1" s="122"/>
    </row>
    <row r="2" spans="1:9" ht="28.5">
      <c r="A2" s="122"/>
      <c r="B2" s="1043" t="s">
        <v>3761</v>
      </c>
      <c r="C2" s="1043"/>
      <c r="D2" s="1043"/>
      <c r="E2" s="1043"/>
      <c r="F2" s="1043"/>
      <c r="G2" s="26"/>
    </row>
    <row r="3" spans="1:9" s="150" customFormat="1" ht="42" customHeight="1">
      <c r="A3" s="416"/>
      <c r="B3" s="1044" t="s">
        <v>3762</v>
      </c>
      <c r="C3" s="1044"/>
      <c r="D3" s="1044"/>
      <c r="E3" s="1044"/>
      <c r="F3" s="1044"/>
      <c r="G3" s="416"/>
      <c r="I3" s="358"/>
    </row>
    <row r="4" spans="1:9" s="150" customFormat="1" ht="42" customHeight="1">
      <c r="A4" s="416"/>
      <c r="B4" s="1044"/>
      <c r="C4" s="1044"/>
      <c r="D4" s="1044"/>
      <c r="E4" s="1044"/>
      <c r="F4" s="1044"/>
      <c r="G4" s="416"/>
      <c r="I4" s="20"/>
    </row>
    <row r="5" spans="1:9" ht="30">
      <c r="A5" s="122"/>
      <c r="B5" s="411" t="s">
        <v>1622</v>
      </c>
      <c r="C5" s="412" t="s">
        <v>3763</v>
      </c>
      <c r="D5" s="412" t="s">
        <v>3828</v>
      </c>
      <c r="E5" s="412" t="s">
        <v>2198</v>
      </c>
      <c r="F5" s="412" t="s">
        <v>3764</v>
      </c>
      <c r="G5" s="122"/>
    </row>
    <row r="6" spans="1:9" ht="45">
      <c r="A6" s="122"/>
      <c r="B6" s="412" t="s">
        <v>0</v>
      </c>
      <c r="C6" s="413" t="s">
        <v>3765</v>
      </c>
      <c r="D6" s="417" t="s">
        <v>3829</v>
      </c>
      <c r="E6" s="414" t="s">
        <v>3766</v>
      </c>
      <c r="F6" s="396" t="s">
        <v>2278</v>
      </c>
      <c r="G6" s="122"/>
    </row>
    <row r="7" spans="1:9" ht="30">
      <c r="A7" s="122"/>
      <c r="B7" s="412" t="s">
        <v>1</v>
      </c>
      <c r="C7" s="415" t="s">
        <v>3767</v>
      </c>
      <c r="D7" s="159" t="s">
        <v>3830</v>
      </c>
      <c r="E7" s="414" t="s">
        <v>3768</v>
      </c>
      <c r="F7" s="396" t="s">
        <v>2278</v>
      </c>
      <c r="G7" s="122"/>
    </row>
    <row r="8" spans="1:9" ht="38.25">
      <c r="A8" s="122"/>
      <c r="B8" s="412" t="s">
        <v>2</v>
      </c>
      <c r="C8" s="415" t="s">
        <v>3769</v>
      </c>
      <c r="D8" s="415" t="s">
        <v>3831</v>
      </c>
      <c r="E8" s="414" t="s">
        <v>3770</v>
      </c>
      <c r="F8" s="396" t="s">
        <v>2278</v>
      </c>
      <c r="G8" s="122"/>
    </row>
    <row r="9" spans="1:9" ht="75">
      <c r="A9" s="122"/>
      <c r="B9" s="412" t="s">
        <v>3</v>
      </c>
      <c r="C9" s="415" t="s">
        <v>3771</v>
      </c>
      <c r="D9" s="417" t="s">
        <v>3832</v>
      </c>
      <c r="E9" s="414" t="s">
        <v>3772</v>
      </c>
      <c r="F9" s="396" t="s">
        <v>2278</v>
      </c>
      <c r="G9" s="122"/>
    </row>
    <row r="10" spans="1:9" ht="45">
      <c r="A10" s="122"/>
      <c r="B10" s="412" t="s">
        <v>4</v>
      </c>
      <c r="C10" s="415" t="s">
        <v>3773</v>
      </c>
      <c r="D10" s="417" t="s">
        <v>3833</v>
      </c>
      <c r="E10" s="414" t="s">
        <v>3774</v>
      </c>
      <c r="F10" s="396" t="s">
        <v>2278</v>
      </c>
      <c r="G10" s="122"/>
    </row>
    <row r="11" spans="1:9" ht="30">
      <c r="A11" s="122"/>
      <c r="B11" s="412" t="s">
        <v>5</v>
      </c>
      <c r="C11" s="413" t="s">
        <v>3775</v>
      </c>
      <c r="D11" s="417" t="s">
        <v>3834</v>
      </c>
      <c r="E11" s="414" t="s">
        <v>3776</v>
      </c>
      <c r="F11" s="396" t="s">
        <v>2278</v>
      </c>
      <c r="G11" s="122"/>
    </row>
    <row r="12" spans="1:9" ht="30">
      <c r="A12" s="122"/>
      <c r="B12" s="412" t="s">
        <v>6</v>
      </c>
      <c r="C12" s="415" t="s">
        <v>3777</v>
      </c>
      <c r="D12" s="417" t="s">
        <v>3835</v>
      </c>
      <c r="E12" s="414" t="s">
        <v>3778</v>
      </c>
      <c r="F12" s="396" t="s">
        <v>2278</v>
      </c>
      <c r="G12" s="122"/>
    </row>
    <row r="13" spans="1:9" ht="45">
      <c r="A13" s="122"/>
      <c r="B13" s="412" t="s">
        <v>7</v>
      </c>
      <c r="C13" s="415" t="s">
        <v>3779</v>
      </c>
      <c r="D13" s="415" t="s">
        <v>3836</v>
      </c>
      <c r="E13" s="414" t="s">
        <v>3780</v>
      </c>
      <c r="F13" s="396" t="s">
        <v>2278</v>
      </c>
      <c r="G13" s="122"/>
    </row>
    <row r="14" spans="1:9" ht="75">
      <c r="A14" s="122"/>
      <c r="B14" s="412" t="s">
        <v>8</v>
      </c>
      <c r="C14" s="415" t="s">
        <v>3781</v>
      </c>
      <c r="D14" s="415" t="s">
        <v>3837</v>
      </c>
      <c r="E14" s="414" t="s">
        <v>3782</v>
      </c>
      <c r="F14" s="396" t="s">
        <v>2278</v>
      </c>
      <c r="G14" s="122"/>
    </row>
    <row r="15" spans="1:9" ht="25.5">
      <c r="A15" s="122"/>
      <c r="B15" s="412" t="s">
        <v>9</v>
      </c>
      <c r="C15" s="415" t="s">
        <v>3783</v>
      </c>
      <c r="D15" s="415" t="s">
        <v>3856</v>
      </c>
      <c r="E15" s="414" t="s">
        <v>3784</v>
      </c>
      <c r="F15" s="396" t="s">
        <v>2278</v>
      </c>
      <c r="G15" s="122"/>
    </row>
    <row r="16" spans="1:9" ht="51">
      <c r="A16" s="122"/>
      <c r="B16" s="412" t="s">
        <v>10</v>
      </c>
      <c r="C16" s="415" t="s">
        <v>3785</v>
      </c>
      <c r="D16" s="415" t="s">
        <v>3838</v>
      </c>
      <c r="E16" s="414" t="s">
        <v>3786</v>
      </c>
      <c r="F16" s="396" t="s">
        <v>2278</v>
      </c>
      <c r="G16" s="122"/>
    </row>
    <row r="17" spans="1:7" ht="30">
      <c r="A17" s="122"/>
      <c r="B17" s="412" t="s">
        <v>11</v>
      </c>
      <c r="C17" s="415" t="s">
        <v>3787</v>
      </c>
      <c r="D17" s="415" t="s">
        <v>3839</v>
      </c>
      <c r="E17" s="414" t="s">
        <v>3788</v>
      </c>
      <c r="F17" s="396" t="s">
        <v>2278</v>
      </c>
      <c r="G17" s="122"/>
    </row>
    <row r="18" spans="1:7" ht="45">
      <c r="A18" s="122"/>
      <c r="B18" s="412" t="s">
        <v>12</v>
      </c>
      <c r="C18" s="415" t="s">
        <v>3789</v>
      </c>
      <c r="D18" s="415" t="s">
        <v>3840</v>
      </c>
      <c r="E18" s="414" t="s">
        <v>3790</v>
      </c>
      <c r="F18" s="396" t="s">
        <v>2278</v>
      </c>
      <c r="G18" s="122"/>
    </row>
    <row r="19" spans="1:7" ht="45">
      <c r="A19" s="122"/>
      <c r="B19" s="412" t="s">
        <v>13</v>
      </c>
      <c r="C19" s="415" t="s">
        <v>3791</v>
      </c>
      <c r="D19" s="415" t="s">
        <v>3857</v>
      </c>
      <c r="E19" s="414" t="s">
        <v>3792</v>
      </c>
      <c r="F19" s="396" t="s">
        <v>2278</v>
      </c>
      <c r="G19" s="122"/>
    </row>
    <row r="20" spans="1:7" ht="30">
      <c r="A20" s="122"/>
      <c r="B20" s="412" t="s">
        <v>14</v>
      </c>
      <c r="C20" s="415" t="s">
        <v>3793</v>
      </c>
      <c r="D20" s="415" t="s">
        <v>3841</v>
      </c>
      <c r="E20" s="414" t="s">
        <v>3794</v>
      </c>
      <c r="F20" s="396" t="s">
        <v>2278</v>
      </c>
      <c r="G20" s="122"/>
    </row>
    <row r="21" spans="1:7" ht="45">
      <c r="A21" s="122"/>
      <c r="B21" s="412" t="s">
        <v>15</v>
      </c>
      <c r="C21" s="415" t="s">
        <v>3795</v>
      </c>
      <c r="D21" s="415" t="s">
        <v>3842</v>
      </c>
      <c r="E21" s="414" t="s">
        <v>3796</v>
      </c>
      <c r="F21" s="396" t="s">
        <v>2278</v>
      </c>
      <c r="G21" s="122"/>
    </row>
    <row r="22" spans="1:7" ht="45">
      <c r="A22" s="122"/>
      <c r="B22" s="412" t="s">
        <v>16</v>
      </c>
      <c r="C22" s="415" t="s">
        <v>3797</v>
      </c>
      <c r="D22" s="415" t="s">
        <v>3843</v>
      </c>
      <c r="E22" s="414" t="s">
        <v>3798</v>
      </c>
      <c r="F22" s="396" t="s">
        <v>2278</v>
      </c>
      <c r="G22" s="122"/>
    </row>
    <row r="23" spans="1:7" ht="45">
      <c r="A23" s="122"/>
      <c r="B23" s="412" t="s">
        <v>17</v>
      </c>
      <c r="C23" s="415" t="s">
        <v>3799</v>
      </c>
      <c r="D23" s="415" t="s">
        <v>3844</v>
      </c>
      <c r="E23" s="414" t="s">
        <v>3800</v>
      </c>
      <c r="F23" s="396" t="s">
        <v>2278</v>
      </c>
      <c r="G23" s="122"/>
    </row>
    <row r="24" spans="1:7" ht="45">
      <c r="A24" s="122"/>
      <c r="B24" s="412" t="s">
        <v>18</v>
      </c>
      <c r="C24" s="415" t="s">
        <v>3801</v>
      </c>
      <c r="D24" s="415" t="s">
        <v>3858</v>
      </c>
      <c r="E24" s="414" t="s">
        <v>3802</v>
      </c>
      <c r="F24" s="396" t="s">
        <v>2278</v>
      </c>
      <c r="G24" s="122"/>
    </row>
    <row r="25" spans="1:7" ht="45">
      <c r="A25" s="122"/>
      <c r="B25" s="412" t="s">
        <v>19</v>
      </c>
      <c r="C25" s="415" t="s">
        <v>3803</v>
      </c>
      <c r="D25" s="415" t="s">
        <v>3845</v>
      </c>
      <c r="E25" s="414" t="s">
        <v>3804</v>
      </c>
      <c r="F25" s="396" t="s">
        <v>2278</v>
      </c>
      <c r="G25" s="122"/>
    </row>
    <row r="26" spans="1:7" ht="38.25">
      <c r="A26" s="122"/>
      <c r="B26" s="412" t="s">
        <v>20</v>
      </c>
      <c r="C26" s="415" t="s">
        <v>3805</v>
      </c>
      <c r="D26" s="415" t="s">
        <v>3846</v>
      </c>
      <c r="E26" s="414" t="s">
        <v>3806</v>
      </c>
      <c r="F26" s="396" t="s">
        <v>2278</v>
      </c>
      <c r="G26" s="122"/>
    </row>
    <row r="27" spans="1:7" ht="38.25">
      <c r="A27" s="122"/>
      <c r="B27" s="412" t="s">
        <v>21</v>
      </c>
      <c r="C27" s="415" t="s">
        <v>3807</v>
      </c>
      <c r="D27" s="415" t="s">
        <v>3847</v>
      </c>
      <c r="E27" s="414" t="s">
        <v>3808</v>
      </c>
      <c r="F27" s="396" t="s">
        <v>2278</v>
      </c>
      <c r="G27" s="122"/>
    </row>
    <row r="28" spans="1:7" ht="60">
      <c r="A28" s="122"/>
      <c r="B28" s="412" t="s">
        <v>22</v>
      </c>
      <c r="C28" s="415" t="s">
        <v>3809</v>
      </c>
      <c r="D28" s="415" t="s">
        <v>3848</v>
      </c>
      <c r="E28" s="414" t="s">
        <v>3810</v>
      </c>
      <c r="F28" s="396" t="s">
        <v>2278</v>
      </c>
      <c r="G28" s="122"/>
    </row>
    <row r="29" spans="1:7" ht="38.25">
      <c r="A29" s="122"/>
      <c r="B29" s="412" t="s">
        <v>23</v>
      </c>
      <c r="C29" s="415" t="s">
        <v>3811</v>
      </c>
      <c r="D29" s="415" t="s">
        <v>3849</v>
      </c>
      <c r="E29" s="414" t="s">
        <v>3812</v>
      </c>
      <c r="F29" s="396" t="s">
        <v>2278</v>
      </c>
      <c r="G29" s="122"/>
    </row>
    <row r="30" spans="1:7" ht="45">
      <c r="A30" s="122"/>
      <c r="B30" s="412" t="s">
        <v>24</v>
      </c>
      <c r="C30" s="415" t="s">
        <v>3813</v>
      </c>
      <c r="D30" s="415" t="s">
        <v>3859</v>
      </c>
      <c r="E30" s="414" t="s">
        <v>3814</v>
      </c>
      <c r="F30" s="396" t="s">
        <v>2278</v>
      </c>
      <c r="G30" s="122"/>
    </row>
    <row r="31" spans="1:7" ht="45">
      <c r="A31" s="122"/>
      <c r="B31" s="412" t="s">
        <v>25</v>
      </c>
      <c r="C31" s="415" t="s">
        <v>3815</v>
      </c>
      <c r="D31" s="415" t="s">
        <v>3850</v>
      </c>
      <c r="E31" s="414" t="s">
        <v>3816</v>
      </c>
      <c r="F31" s="396" t="s">
        <v>2278</v>
      </c>
      <c r="G31" s="122"/>
    </row>
    <row r="32" spans="1:7" ht="30">
      <c r="A32" s="122"/>
      <c r="B32" s="412" t="s">
        <v>26</v>
      </c>
      <c r="C32" s="415" t="s">
        <v>3817</v>
      </c>
      <c r="D32" s="415" t="s">
        <v>3851</v>
      </c>
      <c r="E32" s="414" t="s">
        <v>3818</v>
      </c>
      <c r="F32" s="396" t="s">
        <v>2278</v>
      </c>
      <c r="G32" s="122"/>
    </row>
    <row r="33" spans="1:7" ht="45">
      <c r="A33" s="122"/>
      <c r="B33" s="412" t="s">
        <v>27</v>
      </c>
      <c r="C33" s="415" t="s">
        <v>3819</v>
      </c>
      <c r="D33" s="415" t="s">
        <v>3852</v>
      </c>
      <c r="E33" s="414" t="s">
        <v>3820</v>
      </c>
      <c r="F33" s="396" t="s">
        <v>2278</v>
      </c>
      <c r="G33" s="122"/>
    </row>
    <row r="34" spans="1:7" ht="30">
      <c r="A34" s="122"/>
      <c r="B34" s="412" t="s">
        <v>2240</v>
      </c>
      <c r="C34" s="415" t="s">
        <v>3821</v>
      </c>
      <c r="D34" s="415" t="s">
        <v>3853</v>
      </c>
      <c r="E34" s="414" t="s">
        <v>3822</v>
      </c>
      <c r="F34" s="396" t="s">
        <v>2278</v>
      </c>
      <c r="G34" s="122"/>
    </row>
    <row r="35" spans="1:7" ht="30">
      <c r="A35" s="122"/>
      <c r="B35" s="412" t="s">
        <v>29</v>
      </c>
      <c r="C35" s="415" t="s">
        <v>3823</v>
      </c>
      <c r="D35" s="415" t="s">
        <v>3854</v>
      </c>
      <c r="E35" s="414" t="s">
        <v>3824</v>
      </c>
      <c r="F35" s="396" t="s">
        <v>2278</v>
      </c>
      <c r="G35" s="122"/>
    </row>
    <row r="36" spans="1:7" ht="30">
      <c r="A36" s="122"/>
      <c r="B36" s="412" t="s">
        <v>30</v>
      </c>
      <c r="C36" s="415" t="s">
        <v>3825</v>
      </c>
      <c r="D36" s="415" t="s">
        <v>3855</v>
      </c>
      <c r="E36" s="414" t="s">
        <v>3826</v>
      </c>
      <c r="F36" s="396" t="s">
        <v>2278</v>
      </c>
      <c r="G36" s="122"/>
    </row>
    <row r="37" spans="1:7" ht="45">
      <c r="A37" s="122"/>
      <c r="B37" s="412" t="s">
        <v>3930</v>
      </c>
      <c r="C37" s="415" t="s">
        <v>4091</v>
      </c>
      <c r="D37" s="417" t="s">
        <v>4092</v>
      </c>
      <c r="E37" s="414"/>
      <c r="F37" s="396"/>
      <c r="G37" s="122"/>
    </row>
    <row r="40" spans="1:7">
      <c r="A40" s="145"/>
      <c r="D40"/>
      <c r="E40"/>
      <c r="F40"/>
    </row>
    <row r="41" spans="1:7">
      <c r="D41"/>
      <c r="E41"/>
      <c r="F41"/>
    </row>
    <row r="42" spans="1:7">
      <c r="A42" s="146"/>
      <c r="B42" s="146"/>
      <c r="C42" s="146"/>
      <c r="D42" s="146"/>
      <c r="E42" s="146"/>
      <c r="F42" s="146"/>
    </row>
    <row r="43" spans="1:7">
      <c r="A43" s="147"/>
      <c r="B43" s="147"/>
      <c r="C43" s="419"/>
      <c r="D43" s="159"/>
      <c r="E43" s="147"/>
      <c r="F43" s="147"/>
    </row>
    <row r="44" spans="1:7">
      <c r="A44" s="147"/>
      <c r="B44" s="147"/>
      <c r="C44" s="419"/>
      <c r="D44" s="159"/>
      <c r="E44" s="147"/>
      <c r="F44" s="147"/>
    </row>
    <row r="45" spans="1:7">
      <c r="A45" s="147"/>
      <c r="B45" s="147"/>
      <c r="C45" s="419"/>
      <c r="D45" s="159"/>
      <c r="E45" s="147"/>
      <c r="F45" s="147"/>
    </row>
    <row r="46" spans="1:7">
      <c r="A46" s="147"/>
      <c r="B46" s="147"/>
      <c r="C46" s="419"/>
      <c r="D46" s="159"/>
      <c r="E46" s="147"/>
      <c r="F46" s="147"/>
    </row>
    <row r="47" spans="1:7">
      <c r="A47" s="147"/>
      <c r="B47" s="147"/>
      <c r="C47" s="419"/>
      <c r="D47" s="159"/>
      <c r="E47" s="147"/>
      <c r="F47" s="147"/>
    </row>
    <row r="48" spans="1:7">
      <c r="A48" s="147"/>
      <c r="B48" s="147"/>
      <c r="C48" s="419"/>
      <c r="D48" s="159"/>
      <c r="E48" s="147"/>
      <c r="F48" s="147"/>
    </row>
    <row r="49" spans="1:6">
      <c r="A49" s="147"/>
      <c r="B49" s="147"/>
      <c r="C49" s="419"/>
      <c r="D49" s="159"/>
      <c r="E49" s="147"/>
      <c r="F49" s="147"/>
    </row>
    <row r="50" spans="1:6">
      <c r="A50" s="147"/>
      <c r="B50" s="147"/>
      <c r="C50" s="419"/>
      <c r="D50" s="159"/>
      <c r="E50" s="147"/>
      <c r="F50" s="147"/>
    </row>
    <row r="51" spans="1:6">
      <c r="A51" s="147"/>
      <c r="B51" s="147"/>
      <c r="C51" s="419"/>
      <c r="D51" s="159"/>
      <c r="E51" s="147"/>
      <c r="F51" s="147"/>
    </row>
    <row r="52" spans="1:6">
      <c r="A52" s="147"/>
      <c r="B52" s="147"/>
      <c r="C52" s="419"/>
      <c r="D52" s="159"/>
      <c r="E52" s="147"/>
      <c r="F52" s="147"/>
    </row>
    <row r="53" spans="1:6">
      <c r="A53" s="147"/>
      <c r="B53" s="147"/>
      <c r="C53" s="419"/>
      <c r="D53" s="159"/>
      <c r="E53" s="147"/>
      <c r="F53" s="147"/>
    </row>
    <row r="54" spans="1:6">
      <c r="A54" s="147"/>
      <c r="B54" s="147"/>
      <c r="C54" s="419"/>
      <c r="D54" s="159"/>
      <c r="E54" s="147"/>
      <c r="F54" s="147"/>
    </row>
    <row r="55" spans="1:6">
      <c r="A55" s="147"/>
      <c r="B55" s="147"/>
      <c r="C55" s="419"/>
      <c r="D55" s="159"/>
      <c r="E55" s="147"/>
      <c r="F55" s="147"/>
    </row>
    <row r="56" spans="1:6">
      <c r="A56" s="147"/>
      <c r="B56" s="147"/>
      <c r="C56" s="419"/>
      <c r="D56" s="159"/>
      <c r="E56" s="147"/>
      <c r="F56" s="147"/>
    </row>
    <row r="57" spans="1:6">
      <c r="A57" s="147"/>
      <c r="B57" s="147"/>
      <c r="C57" s="419"/>
      <c r="D57" s="159"/>
      <c r="E57" s="147"/>
      <c r="F57" s="147"/>
    </row>
    <row r="58" spans="1:6">
      <c r="A58" s="147"/>
      <c r="B58" s="147"/>
      <c r="C58" s="419"/>
      <c r="D58" s="159"/>
      <c r="E58" s="147"/>
      <c r="F58" s="147"/>
    </row>
    <row r="59" spans="1:6">
      <c r="A59" s="147"/>
      <c r="B59" s="147"/>
      <c r="C59" s="419"/>
      <c r="D59" s="159"/>
      <c r="E59" s="147"/>
      <c r="F59" s="147"/>
    </row>
    <row r="60" spans="1:6">
      <c r="A60" s="147"/>
      <c r="B60" s="147"/>
      <c r="C60" s="419"/>
      <c r="D60" s="159"/>
      <c r="E60" s="147"/>
      <c r="F60" s="147"/>
    </row>
    <row r="61" spans="1:6">
      <c r="A61" s="147"/>
      <c r="B61" s="147"/>
      <c r="C61" s="419"/>
      <c r="D61" s="159"/>
      <c r="E61" s="147"/>
      <c r="F61" s="147"/>
    </row>
    <row r="62" spans="1:6">
      <c r="A62" s="147"/>
      <c r="B62" s="147"/>
      <c r="C62" s="419"/>
      <c r="D62" s="159"/>
      <c r="E62" s="147"/>
      <c r="F62" s="147"/>
    </row>
    <row r="63" spans="1:6">
      <c r="A63" s="147"/>
      <c r="B63" s="147"/>
      <c r="C63" s="419"/>
      <c r="D63" s="159"/>
      <c r="E63" s="147"/>
      <c r="F63" s="147"/>
    </row>
    <row r="64" spans="1:6">
      <c r="A64" s="147"/>
      <c r="B64" s="147"/>
      <c r="C64" s="419"/>
      <c r="D64" s="159"/>
      <c r="E64" s="147"/>
      <c r="F64" s="147"/>
    </row>
    <row r="65" spans="1:6">
      <c r="A65" s="147"/>
      <c r="B65" s="147"/>
      <c r="C65" s="419"/>
      <c r="D65" s="159"/>
      <c r="E65" s="147"/>
      <c r="F65" s="147"/>
    </row>
    <row r="66" spans="1:6">
      <c r="A66" s="147"/>
      <c r="B66" s="147"/>
      <c r="C66" s="419"/>
      <c r="D66" s="159"/>
      <c r="E66" s="147"/>
      <c r="F66" s="147"/>
    </row>
    <row r="67" spans="1:6">
      <c r="A67" s="147"/>
      <c r="B67" s="147"/>
      <c r="C67" s="419"/>
      <c r="D67" s="159"/>
      <c r="E67" s="147"/>
      <c r="F67" s="147"/>
    </row>
    <row r="68" spans="1:6">
      <c r="A68" s="147"/>
      <c r="B68" s="147"/>
      <c r="C68" s="419"/>
      <c r="D68" s="159"/>
      <c r="E68" s="147"/>
      <c r="F68" s="147"/>
    </row>
    <row r="69" spans="1:6">
      <c r="A69" s="147"/>
      <c r="B69" s="147"/>
      <c r="C69" s="419"/>
      <c r="D69" s="159"/>
      <c r="E69" s="147"/>
      <c r="F69" s="147"/>
    </row>
    <row r="70" spans="1:6">
      <c r="A70" s="147"/>
      <c r="B70" s="147"/>
      <c r="C70" s="419"/>
      <c r="D70" s="159"/>
      <c r="E70" s="147"/>
      <c r="F70" s="147"/>
    </row>
    <row r="71" spans="1:6">
      <c r="A71" s="147"/>
      <c r="B71" s="147"/>
      <c r="C71" s="419"/>
      <c r="D71" s="159"/>
      <c r="E71" s="147"/>
      <c r="F71" s="147"/>
    </row>
    <row r="72" spans="1:6">
      <c r="A72" s="147"/>
      <c r="B72" s="147"/>
      <c r="C72" s="419"/>
      <c r="D72" s="159"/>
      <c r="E72" s="147"/>
      <c r="F72" s="147"/>
    </row>
    <row r="73" spans="1:6">
      <c r="A73" s="147"/>
      <c r="B73" s="147"/>
      <c r="C73" s="419"/>
      <c r="D73" s="159"/>
      <c r="E73" s="147"/>
      <c r="F73" s="147"/>
    </row>
    <row r="74" spans="1:6">
      <c r="E74"/>
      <c r="F74"/>
    </row>
    <row r="75" spans="1:6">
      <c r="B75" s="11"/>
      <c r="E75"/>
      <c r="F75"/>
    </row>
  </sheetData>
  <sheetProtection algorithmName="SHA-512" hashValue="VKCc7YVxqwu/17csUx8wMdlR601068UUTYdKB+kqYYcVkxI6Nw08MJrTnYyO8hp0K9XKK8lDX9i940zMq4O/ag==" saltValue="4C+5AzIf9jkhu6YwvAEGsw==" spinCount="100000" sheet="1" objects="1" scenarios="1" formatColumns="0" autoFilter="0"/>
  <mergeCells count="2">
    <mergeCell ref="B2:F2"/>
    <mergeCell ref="B3:F4"/>
  </mergeCells>
  <hyperlinks>
    <hyperlink ref="B3" r:id="rId1" tooltip="Bundesfinanzministerium  - Stand der Doppelbesteuerungsabkommen und anderer Abkommen im Steuerbereich sowie der Abkommensverhandlungen am 1. Januar 2026" display="https://www.bundesfinanzministerium.de/Content/DE/Downloads/BMF_Schreiben/Internationales_Steuerrecht/Allgemeine_Informationen/2026-01-07-stand-DBA-1-januar-2026.html" xr:uid="{C7BD9922-76DA-49ED-AFDC-B00BA10DB038}"/>
    <hyperlink ref="C6" r:id="rId2" tooltip="The calculation of my pension amount" display="https://www.sfpd.fgov.be/en/pension-amount/calculation?utm_source=chatgpt.com" xr:uid="{386F0126-56C2-4E61-93EF-F477C5F1D9C7}"/>
    <hyperlink ref="C7" r:id="rId3" tooltip="Изчисляване на прогнозна пенсия" display="https://reps.nssi.bg/PensionsCalc/?utm_source=chatgpt.com" xr:uid="{FE793F8C-8E50-46DD-8B4F-F20DCA5EB50A}"/>
    <hyperlink ref="C8" r:id="rId4" tooltip="Pension - Calculator" display="https://www.minpensionssag.dk/pe-selvbetjening/simulering/?lang=en&amp;utm_source=chatgpt.com" xr:uid="{0A1BEC85-3C5C-48E5-874A-9D68A7483BD3}"/>
    <hyperlink ref="C9" r:id="rId5" tooltip="Online-Rechner" display="https://www.deutsche-rentenversicherung.de/DRV/DE/Online-Services/Online-Rechner/online_rechner.html?utm_source=chatgpt.com" xr:uid="{A9A499DA-E3E4-4F27-BBF4-0741ED4BDFB4}"/>
    <hyperlink ref="C10" r:id="rId6" tooltip="Pension calculator" display="https://sotsiaalkindlustusamet.ee/en/pension-and-benefits/preparing-retirement/pension-calculator?utm_source=chatgpt.com" xr:uid="{71D3ABF3-961D-4CC5-94C1-5069183C7256}"/>
    <hyperlink ref="C11" r:id="rId7" tooltip="Pension calculator - Laskurit - Työeläke.fi" display="https://laskurit.tyoelake.fi/en/elakelaskuri?utm_source=chatgpt.com" xr:uid="{02975FCD-F285-4D19-959D-8CBD4E895FE7}"/>
    <hyperlink ref="C12" r:id="rId8" tooltip="Mon estimation retraite" display="https://services.info-retraite.fr/service/calcul-retraite/?utm_source=chatgpt.com" xr:uid="{39417A23-5BEC-4EDD-8E17-2E1676386A80}"/>
    <hyperlink ref="C13" r:id="rId9" tooltip="On-line Pension Calculator" display="https://sintaxi.isotita.gr/?lang=en&amp;page_id=245&amp;utm_source=chatgpt.com" xr:uid="{B469A7BC-1115-4089-98DE-0CAE072CF478}"/>
    <hyperlink ref="C14" r:id="rId10" tooltip="How to calculate your State Pension (Contributory) rate" display="https://www.gov.ie/en/department-of-social-protection/publications/how-to-calculate-your-state-pension-contributory-rate/?utm_source=chatgpt.com" xr:uid="{3CF745C4-6D77-48FA-87C8-678744EBCDC5}"/>
    <hyperlink ref="C16" r:id="rId11" tooltip="La mia pensione futura: simulazione della propria ..." display="https://www.inps.it/it/it/dettaglio-scheda.it.schede-servizio-strumento.schede-servizi.la-mia-pensione-futura-simulazione-della-propria-pensione-50033.la-mia-pensione-futura-simulazione-della-propria-pensione.html?utm_source=chatgpt.com" xr:uid="{8ECDF2DC-5388-41A9-B042-12B02D1AEDA3}"/>
    <hyperlink ref="C17" r:id="rId12" tooltip="Calculation of pension - gov.hr" display="https://gov.hr/en/calculation-of-pension/844?utm_source=chatgpt.com" xr:uid="{7BA296AF-0A9A-463D-A13D-1623B4896F34}"/>
    <hyperlink ref="C18" r:id="rId13" tooltip="Informācija par prognozējamo vecuma pensijas apmēru" display="https://www.vsaa.gov.lv/lv/pakalpojumi/informacija-par-prognozejamo-vecuma-pensijas-apmeru?utm_source=chatgpt.com" xr:uid="{153A1A54-EAE2-4D5F-8BAD-E8AA1DC101F5}"/>
    <hyperlink ref="C20" r:id="rId14" tooltip="Pranešimas apie įtraukimą į pensijų kaupimą (EN) – „Sodra“" display="https://sodra.lt/pranesimas-apie-itraukima-i-pensiju-kaupima" xr:uid="{6C0D0AEE-4296-4787-BFAB-7C805F617569}"/>
    <hyperlink ref="C21" r:id="rId15" tooltip="Requesting an estimate for an old-age pension / early ..." display="https://guichet.public.lu/en/citoyens/travail/pension/assurance-pension/estimation-pension-vieillesse.html?utm_source=chatgpt.com" xr:uid="{C54D90F6-332B-46C6-A64A-D1A811C10B3A}"/>
    <hyperlink ref="C22" r:id="rId16" tooltip="DSS Retirement Pension Calculator" display="https://www.servizz.gov.mt/en/Pages/Inclusion_-Equality-and-Social-Welfare/Social-Solidarity/Benefits-and-Services/mySocialSecurity/WEB1952/default.aspx?utm_source=chatgpt.com" xr:uid="{53A670F5-95FC-4594-A0D5-DA0435C2C26B}"/>
    <hyperlink ref="C23" r:id="rId17" tooltip="How much state pension will I receive?" display="https://www.government.nl/faq/how-much-state-pension-will-i-receive?utm_source=chatgpt.com" xr:uid="{BD9DB936-DE7F-45EB-B2A8-4D2377DC304D}"/>
    <hyperlink ref="C25" r:id="rId18" tooltip="Pensionsrechner – Pensionsantritt &amp; Pensionshöhe ..." display="https://www.pv.at/web/pension/pensionsrechner?utm_source=chatgpt.com" xr:uid="{62585BF3-F4DF-4A05-966C-C3A67970E10D}"/>
    <hyperlink ref="C26" r:id="rId19" tooltip="Kalkulator emerytalny - prognozowana emerytura" display="https://www.zus.pl/swiadczenia/emerytury/kalkulatory-emerytalne/emerytura-na-nowych-zasadach/kalkulator-emerytalny-prognozowana-emerytura?utm_source=chatgpt.com" xr:uid="{DC2D8746-B0A5-4A1B-A4C2-3B06A982E731}"/>
    <hyperlink ref="C27" r:id="rId20" tooltip="Preparar a reforma" display="https://www.seg-social.pt/ptss/pssd/vida/momento-reforma?utm_source=chatgpt.com" xr:uid="{CAA2A9C7-229D-4B8E-BC66-B83AC6FCBBB2}"/>
    <hyperlink ref="C28" r:id="rId21" tooltip="CNPP - Vârstă pensionare" display="https://www.cnpp.ro/varsta-pensionare?utm_source=chatgpt.com" xr:uid="{930C572B-A5A2-4F0C-BEA8-ABE61A25C0AD}"/>
    <hyperlink ref="C29" r:id="rId22" tooltip="Pension forecast - see how much pension you will get" display="https://www.pensionsmyndigheten.se/other-languages/english-engelska/english-engelska/pension-forecast-see-how-much-pension-you-will-get?utm_source=chatgpt.com" xr:uid="{FF656760-8DD8-4884-9644-CF4FCD8AC4CB}"/>
    <hyperlink ref="C31" r:id="rId23" tooltip="Insuree's Electronic Account" display="https://www.socpoist.sk/en/top-topics/insurees-electronic-account?utm_source=chatgpt.com" xr:uid="{B471FB22-06D0-46A6-9EF4-D71D84381F8A}"/>
    <hyperlink ref="C32" r:id="rId24" tooltip="General informative pension calculator ..." display="https://www.zpiz.si/content2020en/informative-calculation-of-retirement-date?utm_source=chatgpt.com" xr:uid="{B78BA9F4-577F-445C-99BF-9B6D5CD1104D}"/>
    <hyperlink ref="C33" r:id="rId25" tooltip="Simulador pensión de jubilación - Ciudadanos" display="https://sede.seg-social.gob.es/wps/portal/sede/sede/Ciudadanos/Pensiones/202045_2?utm_source=chatgpt.com" xr:uid="{81E11CF5-C727-4D9D-BD44-BA6B02F96C72}"/>
    <hyperlink ref="C34" r:id="rId26" tooltip="Informativní důchodová aplikace - ePortál ČSSZ" display="https://eportal.cssz.cz/web/portal/-/sluzby/informativni-duchodova-aplikace?utm_source=chatgpt.com" xr:uid="{4A7A679C-DAB2-4559-B467-3AD57F21A1CA}"/>
    <hyperlink ref="C35" r:id="rId27" tooltip="Önkiszolgáló nyugdíjkalkulátor" display="https://www.allamkincstar.gov.hu/nyugdij/sajat-jogu-ellatasok/oregsegi-nyugdij/onkiszolgalo-nyugdijkalkulator?utm_source=chatgpt.com" xr:uid="{9BF8B2A8-2A02-4A3E-AD5D-A9E7B0A3B67D}"/>
    <hyperlink ref="C36" r:id="rId28" tooltip="Temporary calculation of statutory pension" display="https://www.gov.cy/en/service/temporary-calculation-of-the-amount-of-statutory-pension/?utm_source=chatgpt.com" xr:uid="{5CDD8508-A510-418D-9317-7065F01B53E0}"/>
    <hyperlink ref="C15" r:id="rId29" tooltip="Pension calculator" display="https://island.is/en/o/social-insurance-administration/calculator?utm_source=chatgpt.com" xr:uid="{011DC260-9E38-4476-A5B7-C7DF20608055}"/>
    <hyperlink ref="C19" r:id="rId30" tooltip="Rentenberechnung | AHV - IV" display="https://www.ahv.li/leistungen/ahv/rentenberechnung?utm_source=chatgpt.com" xr:uid="{F2502C55-9D2C-4CFF-A2A9-6876E4AE43A9}"/>
    <hyperlink ref="C24" r:id="rId31" tooltip="Pensjonskalkulator – Pensjon" display="https://www.nav.no/pensjon/pensjonskalkulator?utm_source=chatgpt.com" xr:uid="{54BFB101-1BFF-46D7-BE4E-18BFA708055E}"/>
    <hyperlink ref="C30" r:id="rId32" tooltip="Online pension estimate (ESCAL) | Forms" display="https://www.ahv-iv.ch/en/Forms/Online-pension-estimate-ESCAL?utm_source=chatgpt.com" xr:uid="{7887F21C-3AD1-4C81-9506-33EDB6A6A967}"/>
    <hyperlink ref="D6" r:id="rId33" display="https://www.sfpd.fgov.be/en/pension-amount/calculation?utm_source=chatgpt.com" xr:uid="{65D4ADA3-7F64-406A-879C-61D35BE8C355}"/>
    <hyperlink ref="D7" r:id="rId34" display="https://reps.nssi.bg/PensionsCalc/?utm_source=chatgpt.com" xr:uid="{0672D206-2163-423B-828E-3F3D2F71063B}"/>
    <hyperlink ref="D9" r:id="rId35" display="https://www.deutsche-rentenversicherung.de/DRV/DE/Online-Services/Online-Rechner/online_rechner.html?utm_source=chatgpt.com" xr:uid="{6B615220-9433-48A4-AB67-3AA3BF5C7465}"/>
    <hyperlink ref="D10" r:id="rId36" display="https://sotsiaalkindlustusamet.ee/en/pension-and-benefits/preparing-retirement/pension-calculator?utm_source=chatgpt.com" xr:uid="{959B6CC5-C696-4664-8710-A42A215E3C62}"/>
    <hyperlink ref="D11" r:id="rId37" display="https://laskurit.tyoelake.fi/en/elakelaskuri?utm_source=chatgpt.com" xr:uid="{83AE7469-AF7D-4D0B-9FC5-17D598B69694}"/>
    <hyperlink ref="D12" r:id="rId38" display="https://services.info-retraite.fr/service/calcul-retraite/?utm_source=chatgpt.com" xr:uid="{CDDC8E7C-86B9-4432-B5B7-5EF1B6C59508}"/>
    <hyperlink ref="D37" r:id="rId39" xr:uid="{9B28FE6C-1ED8-4A62-B49C-8718E6107A73}"/>
  </hyperlinks>
  <pageMargins left="0.7" right="0.7" top="0.78740157499999996" bottom="0.78740157499999996" header="0.3" footer="0.3"/>
  <drawing r:id="rId4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606B0-C8B1-47E2-885D-59BA1351CDFA}">
  <sheetPr codeName="Tabelle69"/>
  <dimension ref="A1:L54"/>
  <sheetViews>
    <sheetView showGridLines="0" zoomScaleNormal="100" workbookViewId="0">
      <pane xSplit="1" ySplit="9" topLeftCell="B10" activePane="bottomRight" state="frozen"/>
      <selection activeCell="B15" sqref="B15:I21"/>
      <selection pane="topRight" activeCell="B15" sqref="B15:I21"/>
      <selection pane="bottomLeft" activeCell="B15" sqref="B15:I21"/>
      <selection pane="bottomRight" activeCell="B10" sqref="B10:G53"/>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13" customWidth="1"/>
    <col min="2" max="2" width="11.42578125" style="5" customWidth="1"/>
    <col min="3" max="3" width="16" customWidth="1"/>
    <col min="4" max="4" width="11.5703125" style="5" customWidth="1"/>
    <col min="5" max="5" width="21.85546875" style="5" customWidth="1"/>
    <col min="6" max="6" width="19.85546875" style="5" customWidth="1"/>
    <col min="7" max="7" width="17.5703125" customWidth="1"/>
    <col min="8" max="8" width="8.28515625" customWidth="1"/>
    <col min="9" max="12" width="0" hidden="1" customWidth="1"/>
    <col min="13" max="16384" width="11.42578125" hidden="1"/>
  </cols>
  <sheetData>
    <row r="1" spans="2:11" ht="21">
      <c r="B1" s="1045" t="s">
        <v>3668</v>
      </c>
      <c r="C1" s="1046"/>
      <c r="D1" s="1046"/>
      <c r="E1" s="1046"/>
      <c r="F1" s="1046"/>
      <c r="G1" s="1047"/>
    </row>
    <row r="2" spans="2:11" ht="15" customHeight="1">
      <c r="B2" s="1048" t="s">
        <v>3669</v>
      </c>
      <c r="C2" s="1049"/>
      <c r="D2" s="1049"/>
      <c r="E2" s="1049"/>
      <c r="F2" s="1049"/>
      <c r="G2" s="1050"/>
    </row>
    <row r="3" spans="2:11">
      <c r="B3" s="1051"/>
      <c r="C3" s="1052"/>
      <c r="D3" s="1052"/>
      <c r="E3" s="1052"/>
      <c r="F3" s="1052"/>
      <c r="G3" s="1053"/>
    </row>
    <row r="4" spans="2:11">
      <c r="B4" s="1051"/>
      <c r="C4" s="1052"/>
      <c r="D4" s="1052"/>
      <c r="E4" s="1052"/>
      <c r="F4" s="1052"/>
      <c r="G4" s="1053"/>
    </row>
    <row r="5" spans="2:11">
      <c r="B5" s="1054"/>
      <c r="C5" s="1055"/>
      <c r="D5" s="1055"/>
      <c r="E5" s="1055"/>
      <c r="F5" s="1055"/>
      <c r="G5" s="1056"/>
    </row>
    <row r="6" spans="2:11" ht="15" customHeight="1">
      <c r="B6" s="1057" t="s">
        <v>3670</v>
      </c>
      <c r="C6" s="1058"/>
      <c r="D6" s="1058"/>
      <c r="E6" s="1058"/>
      <c r="F6" s="1058"/>
      <c r="G6" s="1059"/>
    </row>
    <row r="7" spans="2:11">
      <c r="B7" s="1057"/>
      <c r="C7" s="1058"/>
      <c r="D7" s="1058"/>
      <c r="E7" s="1058"/>
      <c r="F7" s="1058"/>
      <c r="G7" s="1059"/>
    </row>
    <row r="8" spans="2:11" ht="46.5" customHeight="1">
      <c r="B8" s="1057"/>
      <c r="C8" s="1058"/>
      <c r="D8" s="1058"/>
      <c r="E8" s="1058"/>
      <c r="F8" s="1058"/>
      <c r="G8" s="1059"/>
      <c r="K8" s="11"/>
    </row>
    <row r="9" spans="2:11" ht="45">
      <c r="B9" s="392" t="s">
        <v>2264</v>
      </c>
      <c r="C9" s="393" t="s">
        <v>1622</v>
      </c>
      <c r="D9" s="393" t="s">
        <v>3673</v>
      </c>
      <c r="E9" s="393" t="s">
        <v>3676</v>
      </c>
      <c r="F9" s="393" t="s">
        <v>3678</v>
      </c>
      <c r="G9" s="394" t="s">
        <v>3679</v>
      </c>
    </row>
    <row r="10" spans="2:11">
      <c r="B10" s="395">
        <v>1</v>
      </c>
      <c r="C10" s="133" t="s">
        <v>0</v>
      </c>
      <c r="D10" s="396" t="s">
        <v>3674</v>
      </c>
      <c r="E10" s="397">
        <v>116.7</v>
      </c>
      <c r="F10" s="397">
        <v>107.3</v>
      </c>
      <c r="G10" s="398">
        <f>+F10/F$13-1</f>
        <v>7.2999999999999954E-2</v>
      </c>
      <c r="I10" s="13"/>
    </row>
    <row r="11" spans="2:11">
      <c r="B11" s="395">
        <v>2</v>
      </c>
      <c r="C11" s="133" t="s">
        <v>1</v>
      </c>
      <c r="D11" s="396" t="s">
        <v>3674</v>
      </c>
      <c r="E11" s="397">
        <v>60.5</v>
      </c>
      <c r="F11" s="397">
        <v>55.6</v>
      </c>
      <c r="G11" s="398">
        <f t="shared" ref="G11:G45" si="0">+F11/F$13-1</f>
        <v>-0.44399999999999995</v>
      </c>
    </row>
    <row r="12" spans="2:11">
      <c r="B12" s="395">
        <v>3</v>
      </c>
      <c r="C12" s="133" t="s">
        <v>2</v>
      </c>
      <c r="D12" s="396" t="s">
        <v>3674</v>
      </c>
      <c r="E12" s="397">
        <v>140.69999999999999</v>
      </c>
      <c r="F12" s="397">
        <v>129.30000000000001</v>
      </c>
      <c r="G12" s="398">
        <f t="shared" si="0"/>
        <v>0.29300000000000015</v>
      </c>
    </row>
    <row r="13" spans="2:11">
      <c r="B13" s="483">
        <v>4</v>
      </c>
      <c r="C13" s="484" t="s">
        <v>3</v>
      </c>
      <c r="D13" s="485" t="s">
        <v>3674</v>
      </c>
      <c r="E13" s="486">
        <v>108.8</v>
      </c>
      <c r="F13" s="488">
        <v>100</v>
      </c>
      <c r="G13" s="487">
        <f t="shared" si="0"/>
        <v>0</v>
      </c>
      <c r="I13" s="11" t="str">
        <f>+Länderwahl</f>
        <v>Tschechien</v>
      </c>
    </row>
    <row r="14" spans="2:11">
      <c r="B14" s="395">
        <v>5</v>
      </c>
      <c r="C14" s="133" t="s">
        <v>4</v>
      </c>
      <c r="D14" s="396" t="s">
        <v>3674</v>
      </c>
      <c r="E14" s="397">
        <v>100.2</v>
      </c>
      <c r="F14" s="397">
        <v>92.1</v>
      </c>
      <c r="G14" s="398">
        <f t="shared" si="0"/>
        <v>-7.900000000000007E-2</v>
      </c>
    </row>
    <row r="15" spans="2:11">
      <c r="B15" s="395">
        <v>6</v>
      </c>
      <c r="C15" s="133" t="s">
        <v>5</v>
      </c>
      <c r="D15" s="396" t="s">
        <v>3674</v>
      </c>
      <c r="E15" s="397">
        <v>122.3</v>
      </c>
      <c r="F15" s="397">
        <v>112.4</v>
      </c>
      <c r="G15" s="398">
        <f t="shared" si="0"/>
        <v>0.12400000000000011</v>
      </c>
    </row>
    <row r="16" spans="2:11">
      <c r="B16" s="395">
        <v>7</v>
      </c>
      <c r="C16" s="133" t="s">
        <v>6</v>
      </c>
      <c r="D16" s="396" t="s">
        <v>3674</v>
      </c>
      <c r="E16" s="397">
        <v>111.2</v>
      </c>
      <c r="F16" s="397">
        <v>102.2</v>
      </c>
      <c r="G16" s="398">
        <f t="shared" si="0"/>
        <v>2.200000000000002E-2</v>
      </c>
    </row>
    <row r="17" spans="2:7">
      <c r="B17" s="395">
        <v>8</v>
      </c>
      <c r="C17" s="133" t="s">
        <v>7</v>
      </c>
      <c r="D17" s="396" t="s">
        <v>3674</v>
      </c>
      <c r="E17" s="397">
        <v>86.5</v>
      </c>
      <c r="F17" s="397">
        <v>79.5</v>
      </c>
      <c r="G17" s="398">
        <f t="shared" si="0"/>
        <v>-0.20499999999999996</v>
      </c>
    </row>
    <row r="18" spans="2:7">
      <c r="B18" s="395">
        <v>9</v>
      </c>
      <c r="C18" s="296" t="s">
        <v>3928</v>
      </c>
      <c r="D18" s="570" t="s">
        <v>4017</v>
      </c>
      <c r="E18" s="397"/>
      <c r="F18" s="397">
        <v>110</v>
      </c>
      <c r="G18" s="398">
        <f t="shared" si="0"/>
        <v>0.10000000000000009</v>
      </c>
    </row>
    <row r="19" spans="2:7">
      <c r="B19" s="395">
        <v>10</v>
      </c>
      <c r="C19" s="133" t="s">
        <v>8</v>
      </c>
      <c r="D19" s="396" t="s">
        <v>3674</v>
      </c>
      <c r="E19" s="397">
        <v>136.80000000000001</v>
      </c>
      <c r="F19" s="397">
        <v>125.7</v>
      </c>
      <c r="G19" s="398">
        <f t="shared" si="0"/>
        <v>0.25700000000000012</v>
      </c>
    </row>
    <row r="20" spans="2:7">
      <c r="B20" s="395">
        <v>11</v>
      </c>
      <c r="C20" s="133" t="s">
        <v>9</v>
      </c>
      <c r="D20" s="396" t="s">
        <v>3675</v>
      </c>
      <c r="E20" s="397">
        <v>162.1</v>
      </c>
      <c r="F20" s="397">
        <v>149</v>
      </c>
      <c r="G20" s="398">
        <f t="shared" si="0"/>
        <v>0.49</v>
      </c>
    </row>
    <row r="21" spans="2:7">
      <c r="B21" s="395">
        <v>12</v>
      </c>
      <c r="C21" s="133" t="s">
        <v>10</v>
      </c>
      <c r="D21" s="396" t="s">
        <v>3674</v>
      </c>
      <c r="E21" s="397">
        <v>97</v>
      </c>
      <c r="F21" s="397">
        <v>89.2</v>
      </c>
      <c r="G21" s="398">
        <f t="shared" si="0"/>
        <v>-0.10799999999999998</v>
      </c>
    </row>
    <row r="22" spans="2:7">
      <c r="B22" s="395">
        <v>13</v>
      </c>
      <c r="C22" s="133" t="s">
        <v>11</v>
      </c>
      <c r="D22" s="396" t="s">
        <v>3674</v>
      </c>
      <c r="E22" s="397">
        <v>76.599999999999994</v>
      </c>
      <c r="F22" s="397">
        <v>70.400000000000006</v>
      </c>
      <c r="G22" s="398">
        <f t="shared" si="0"/>
        <v>-0.29599999999999993</v>
      </c>
    </row>
    <row r="23" spans="2:7">
      <c r="B23" s="395">
        <v>14</v>
      </c>
      <c r="C23" s="133" t="s">
        <v>12</v>
      </c>
      <c r="D23" s="396" t="s">
        <v>3674</v>
      </c>
      <c r="E23" s="397">
        <v>82.7</v>
      </c>
      <c r="F23" s="397">
        <v>76</v>
      </c>
      <c r="G23" s="398">
        <f t="shared" si="0"/>
        <v>-0.24</v>
      </c>
    </row>
    <row r="24" spans="2:7">
      <c r="B24" s="395">
        <v>15</v>
      </c>
      <c r="C24" s="133" t="s">
        <v>13</v>
      </c>
      <c r="D24" s="396" t="s">
        <v>3675</v>
      </c>
      <c r="E24" s="397" t="s">
        <v>3677</v>
      </c>
      <c r="F24" s="397" t="s">
        <v>3677</v>
      </c>
      <c r="G24" s="398"/>
    </row>
    <row r="25" spans="2:7">
      <c r="B25" s="395">
        <v>16</v>
      </c>
      <c r="C25" s="133" t="s">
        <v>14</v>
      </c>
      <c r="D25" s="396" t="s">
        <v>3674</v>
      </c>
      <c r="E25" s="397">
        <v>81.7</v>
      </c>
      <c r="F25" s="397">
        <v>75.099999999999994</v>
      </c>
      <c r="G25" s="398">
        <f t="shared" si="0"/>
        <v>-0.24900000000000011</v>
      </c>
    </row>
    <row r="26" spans="2:7">
      <c r="B26" s="395">
        <v>17</v>
      </c>
      <c r="C26" s="133" t="s">
        <v>15</v>
      </c>
      <c r="D26" s="396" t="s">
        <v>3674</v>
      </c>
      <c r="E26" s="397">
        <v>131.1</v>
      </c>
      <c r="F26" s="397">
        <v>120.5</v>
      </c>
      <c r="G26" s="398">
        <f t="shared" si="0"/>
        <v>0.20500000000000007</v>
      </c>
    </row>
    <row r="27" spans="2:7">
      <c r="B27" s="395">
        <v>18</v>
      </c>
      <c r="C27" s="133" t="s">
        <v>16</v>
      </c>
      <c r="D27" s="396" t="s">
        <v>3674</v>
      </c>
      <c r="E27" s="397">
        <v>90.6</v>
      </c>
      <c r="F27" s="397">
        <v>83.3</v>
      </c>
      <c r="G27" s="398">
        <f t="shared" si="0"/>
        <v>-0.16700000000000004</v>
      </c>
    </row>
    <row r="28" spans="2:7">
      <c r="B28" s="395">
        <v>19</v>
      </c>
      <c r="C28" s="133" t="s">
        <v>17</v>
      </c>
      <c r="D28" s="396" t="s">
        <v>3674</v>
      </c>
      <c r="E28" s="397">
        <v>115.1</v>
      </c>
      <c r="F28" s="397">
        <v>105.8</v>
      </c>
      <c r="G28" s="398">
        <f t="shared" si="0"/>
        <v>5.8000000000000052E-2</v>
      </c>
    </row>
    <row r="29" spans="2:7">
      <c r="B29" s="395">
        <v>20</v>
      </c>
      <c r="C29" s="133" t="s">
        <v>18</v>
      </c>
      <c r="D29" s="396" t="s">
        <v>3675</v>
      </c>
      <c r="E29" s="397">
        <v>127.2</v>
      </c>
      <c r="F29" s="397">
        <v>116.9</v>
      </c>
      <c r="G29" s="398">
        <f t="shared" si="0"/>
        <v>0.16900000000000004</v>
      </c>
    </row>
    <row r="30" spans="2:7">
      <c r="B30" s="395">
        <v>21</v>
      </c>
      <c r="C30" s="133" t="s">
        <v>19</v>
      </c>
      <c r="D30" s="396" t="s">
        <v>3674</v>
      </c>
      <c r="E30" s="397">
        <v>111.7</v>
      </c>
      <c r="F30" s="397">
        <v>102.7</v>
      </c>
      <c r="G30" s="398">
        <f t="shared" si="0"/>
        <v>2.7000000000000135E-2</v>
      </c>
    </row>
    <row r="31" spans="2:7">
      <c r="B31" s="395">
        <v>22</v>
      </c>
      <c r="C31" s="133" t="s">
        <v>20</v>
      </c>
      <c r="D31" s="396" t="s">
        <v>3674</v>
      </c>
      <c r="E31" s="397">
        <v>72.3</v>
      </c>
      <c r="F31" s="397">
        <v>66.5</v>
      </c>
      <c r="G31" s="398">
        <f t="shared" si="0"/>
        <v>-0.33499999999999996</v>
      </c>
    </row>
    <row r="32" spans="2:7">
      <c r="B32" s="395">
        <v>23</v>
      </c>
      <c r="C32" s="133" t="s">
        <v>21</v>
      </c>
      <c r="D32" s="396" t="s">
        <v>3674</v>
      </c>
      <c r="E32" s="397">
        <v>86.7</v>
      </c>
      <c r="F32" s="397">
        <v>79.7</v>
      </c>
      <c r="G32" s="398">
        <f t="shared" si="0"/>
        <v>-0.20299999999999996</v>
      </c>
    </row>
    <row r="33" spans="2:7">
      <c r="B33" s="395">
        <v>24</v>
      </c>
      <c r="C33" s="133" t="s">
        <v>22</v>
      </c>
      <c r="D33" s="396" t="s">
        <v>3674</v>
      </c>
      <c r="E33" s="397">
        <v>64.099999999999994</v>
      </c>
      <c r="F33" s="397">
        <v>58.9</v>
      </c>
      <c r="G33" s="398">
        <f t="shared" si="0"/>
        <v>-0.41100000000000003</v>
      </c>
    </row>
    <row r="34" spans="2:7">
      <c r="B34" s="395">
        <v>25</v>
      </c>
      <c r="C34" s="133" t="s">
        <v>23</v>
      </c>
      <c r="D34" s="396" t="s">
        <v>3674</v>
      </c>
      <c r="E34" s="397">
        <v>116.4</v>
      </c>
      <c r="F34" s="397">
        <v>107</v>
      </c>
      <c r="G34" s="398">
        <f t="shared" si="0"/>
        <v>7.0000000000000062E-2</v>
      </c>
    </row>
    <row r="35" spans="2:7">
      <c r="B35" s="395">
        <v>26</v>
      </c>
      <c r="C35" s="133" t="s">
        <v>24</v>
      </c>
      <c r="D35" s="396" t="s">
        <v>3675</v>
      </c>
      <c r="E35" s="397">
        <v>173</v>
      </c>
      <c r="F35" s="397">
        <v>159</v>
      </c>
      <c r="G35" s="398">
        <f t="shared" si="0"/>
        <v>0.59000000000000008</v>
      </c>
    </row>
    <row r="36" spans="2:7">
      <c r="B36" s="395">
        <v>27</v>
      </c>
      <c r="C36" s="133" t="s">
        <v>25</v>
      </c>
      <c r="D36" s="396" t="s">
        <v>3674</v>
      </c>
      <c r="E36" s="397">
        <v>84.6</v>
      </c>
      <c r="F36" s="397">
        <v>77.8</v>
      </c>
      <c r="G36" s="398">
        <f t="shared" si="0"/>
        <v>-0.22199999999999998</v>
      </c>
    </row>
    <row r="37" spans="2:7">
      <c r="B37" s="395">
        <v>28</v>
      </c>
      <c r="C37" s="133" t="s">
        <v>26</v>
      </c>
      <c r="D37" s="396" t="s">
        <v>3674</v>
      </c>
      <c r="E37" s="397">
        <v>89.5</v>
      </c>
      <c r="F37" s="397">
        <v>82.3</v>
      </c>
      <c r="G37" s="398">
        <f t="shared" si="0"/>
        <v>-0.17700000000000005</v>
      </c>
    </row>
    <row r="38" spans="2:7">
      <c r="B38" s="395">
        <v>29</v>
      </c>
      <c r="C38" s="133" t="s">
        <v>27</v>
      </c>
      <c r="D38" s="396" t="s">
        <v>3674</v>
      </c>
      <c r="E38" s="397">
        <v>91.3</v>
      </c>
      <c r="F38" s="397">
        <v>83.9</v>
      </c>
      <c r="G38" s="398">
        <f t="shared" si="0"/>
        <v>-0.16099999999999992</v>
      </c>
    </row>
    <row r="39" spans="2:7">
      <c r="B39" s="395">
        <v>30</v>
      </c>
      <c r="C39" s="133" t="s">
        <v>2240</v>
      </c>
      <c r="D39" s="396" t="s">
        <v>3674</v>
      </c>
      <c r="E39" s="397">
        <v>88.5</v>
      </c>
      <c r="F39" s="397">
        <v>81.3</v>
      </c>
      <c r="G39" s="398">
        <f t="shared" si="0"/>
        <v>-0.18700000000000006</v>
      </c>
    </row>
    <row r="40" spans="2:7">
      <c r="B40" s="395">
        <v>31</v>
      </c>
      <c r="C40" s="133" t="s">
        <v>29</v>
      </c>
      <c r="D40" s="396" t="s">
        <v>3674</v>
      </c>
      <c r="E40" s="397">
        <v>74.3</v>
      </c>
      <c r="F40" s="397">
        <v>68.3</v>
      </c>
      <c r="G40" s="398">
        <f t="shared" si="0"/>
        <v>-0.31700000000000006</v>
      </c>
    </row>
    <row r="41" spans="2:7">
      <c r="B41" s="395">
        <v>32</v>
      </c>
      <c r="C41" s="133" t="s">
        <v>30</v>
      </c>
      <c r="D41" s="396" t="s">
        <v>3674</v>
      </c>
      <c r="E41" s="397">
        <v>91.6</v>
      </c>
      <c r="F41" s="397">
        <v>84.2</v>
      </c>
      <c r="G41" s="398">
        <f t="shared" si="0"/>
        <v>-0.15799999999999992</v>
      </c>
    </row>
    <row r="42" spans="2:7">
      <c r="B42" s="395">
        <v>33</v>
      </c>
      <c r="C42" s="296" t="s">
        <v>2273</v>
      </c>
      <c r="D42" s="396"/>
      <c r="E42" s="397"/>
      <c r="F42" s="397">
        <v>130</v>
      </c>
      <c r="G42" s="398">
        <f t="shared" si="0"/>
        <v>0.30000000000000004</v>
      </c>
    </row>
    <row r="43" spans="2:7">
      <c r="B43" s="395">
        <v>34</v>
      </c>
      <c r="C43" s="296" t="s">
        <v>3930</v>
      </c>
      <c r="D43" s="396"/>
      <c r="E43" s="397"/>
      <c r="F43" s="397">
        <v>115</v>
      </c>
      <c r="G43" s="398">
        <f t="shared" si="0"/>
        <v>0.14999999999999991</v>
      </c>
    </row>
    <row r="44" spans="2:7">
      <c r="B44" s="395">
        <v>35</v>
      </c>
      <c r="C44" s="296" t="s">
        <v>3931</v>
      </c>
      <c r="D44" s="396"/>
      <c r="E44" s="397"/>
      <c r="F44" s="397">
        <v>125</v>
      </c>
      <c r="G44" s="398">
        <f t="shared" si="0"/>
        <v>0.25</v>
      </c>
    </row>
    <row r="45" spans="2:7">
      <c r="B45" s="395">
        <v>36</v>
      </c>
      <c r="C45" s="417" t="s">
        <v>2886</v>
      </c>
      <c r="D45" s="396"/>
      <c r="E45" s="397"/>
      <c r="F45" s="397">
        <v>123</v>
      </c>
      <c r="G45" s="398">
        <f t="shared" si="0"/>
        <v>0.22999999999999998</v>
      </c>
    </row>
    <row r="46" spans="2:7" ht="15" customHeight="1">
      <c r="B46" s="1060" t="s">
        <v>3671</v>
      </c>
      <c r="C46" s="1061"/>
      <c r="D46" s="1061"/>
      <c r="E46" s="1061"/>
      <c r="F46" s="1061"/>
      <c r="G46" s="1062"/>
    </row>
    <row r="47" spans="2:7">
      <c r="B47" s="1060"/>
      <c r="C47" s="1061"/>
      <c r="D47" s="1061"/>
      <c r="E47" s="1061"/>
      <c r="F47" s="1061"/>
      <c r="G47" s="1062"/>
    </row>
    <row r="48" spans="2:7">
      <c r="B48" s="1060"/>
      <c r="C48" s="1061"/>
      <c r="D48" s="1061"/>
      <c r="E48" s="1061"/>
      <c r="F48" s="1061"/>
      <c r="G48" s="1062"/>
    </row>
    <row r="49" spans="2:7">
      <c r="B49" s="1060"/>
      <c r="C49" s="1061"/>
      <c r="D49" s="1061"/>
      <c r="E49" s="1061"/>
      <c r="F49" s="1061"/>
      <c r="G49" s="1062"/>
    </row>
    <row r="50" spans="2:7" ht="15" customHeight="1">
      <c r="B50" s="1063" t="s">
        <v>3672</v>
      </c>
      <c r="C50" s="1064"/>
      <c r="D50" s="1064"/>
      <c r="E50" s="1064"/>
      <c r="F50" s="1064"/>
      <c r="G50" s="1065"/>
    </row>
    <row r="51" spans="2:7">
      <c r="B51" s="1063"/>
      <c r="C51" s="1064"/>
      <c r="D51" s="1064"/>
      <c r="E51" s="1064"/>
      <c r="F51" s="1064"/>
      <c r="G51" s="1065"/>
    </row>
    <row r="52" spans="2:7">
      <c r="B52" s="1063"/>
      <c r="C52" s="1064"/>
      <c r="D52" s="1064"/>
      <c r="E52" s="1064"/>
      <c r="F52" s="1064"/>
      <c r="G52" s="1065"/>
    </row>
    <row r="53" spans="2:7" ht="15.75" thickBot="1">
      <c r="B53" s="1066"/>
      <c r="C53" s="1067"/>
      <c r="D53" s="1067"/>
      <c r="E53" s="1067"/>
      <c r="F53" s="1067"/>
      <c r="G53" s="1068"/>
    </row>
    <row r="54" spans="2:7"/>
  </sheetData>
  <sheetProtection algorithmName="SHA-512" hashValue="UX83dd86c+jDHnfO/BrQ5fhIukBffJUGm+fBRnBq5IPCDZdG4aX+sZR7f52WHWz+Uv6idkb1cWUWcKGecfn/pA==" saltValue="HKYgL4ve6kprI8et8pCfvw==" spinCount="100000" sheet="1" objects="1" scenarios="1" pivotTables="0"/>
  <autoFilter ref="B9:G53" xr:uid="{2DD606B0-C8B1-47E2-885D-59BA1351CDFA}"/>
  <mergeCells count="5">
    <mergeCell ref="B1:G1"/>
    <mergeCell ref="B2:G5"/>
    <mergeCell ref="B6:G8"/>
    <mergeCell ref="B46:G49"/>
    <mergeCell ref="B50:G53"/>
  </mergeCells>
  <conditionalFormatting sqref="C10:G32">
    <cfRule type="expression" dxfId="21" priority="1">
      <formula>$I$13=$C10</formula>
    </cfRule>
  </conditionalFormatting>
  <hyperlinks>
    <hyperlink ref="B6" r:id="rId1" tooltip="Comparative price levels of consumer goods and services - Statistics Explained - Eurostat" display="https://ec.europa.eu/eurostat/statistics-explained/index.php?title=Comparative_price_levels_of_consumer_goods_and_services" xr:uid="{EAA53EE7-D86B-4CD7-B0CF-ADFEDCDD9FFF}"/>
    <hyperlink ref="C45" r:id="rId2" xr:uid="{39691691-D30B-4FDC-9673-E05C1CDFA6A8}"/>
  </hyperlinks>
  <pageMargins left="0.7" right="0.7" top="0.78740157499999996" bottom="0.78740157499999996" header="0.3" footer="0.3"/>
  <drawing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755B-B40A-44E9-A9B4-F00C64A8A7DD}">
  <sheetPr codeName="Tabelle70"/>
  <dimension ref="A1:P68"/>
  <sheetViews>
    <sheetView showGridLines="0" zoomScale="115" zoomScaleNormal="115" workbookViewId="0">
      <pane xSplit="2" ySplit="6" topLeftCell="E8" activePane="bottomRight" state="frozen"/>
      <selection activeCell="B15" sqref="B15:I21"/>
      <selection pane="topRight" activeCell="B15" sqref="B15:I21"/>
      <selection pane="bottomLeft" activeCell="B15" sqref="B15:I21"/>
      <selection pane="bottomRight" activeCell="G53" sqref="G53"/>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8.85546875" customWidth="1"/>
    <col min="2" max="2" width="35.140625" customWidth="1"/>
    <col min="3" max="8" width="11.42578125" style="16" customWidth="1"/>
    <col min="9" max="9" width="5" style="16" customWidth="1"/>
    <col min="10" max="10" width="13.5703125" customWidth="1"/>
    <col min="11" max="14" width="11.5703125" customWidth="1"/>
    <col min="15" max="15" width="4.85546875" customWidth="1"/>
    <col min="16" max="16384" width="11.42578125" hidden="1"/>
  </cols>
  <sheetData>
    <row r="1" spans="1:16">
      <c r="A1" s="585"/>
      <c r="B1" s="585"/>
      <c r="C1" s="586"/>
      <c r="D1" s="586"/>
      <c r="E1" s="586"/>
      <c r="F1" s="586"/>
      <c r="G1" s="586"/>
      <c r="H1" s="586"/>
      <c r="I1" s="586"/>
      <c r="J1" s="585"/>
      <c r="K1" s="585"/>
      <c r="L1" s="585"/>
      <c r="M1" s="585"/>
      <c r="N1" s="585"/>
      <c r="O1" s="585"/>
      <c r="P1">
        <v>6</v>
      </c>
    </row>
    <row r="2" spans="1:16" ht="15.75">
      <c r="A2" s="585"/>
      <c r="B2" s="587" t="s">
        <v>3863</v>
      </c>
      <c r="C2" s="557"/>
      <c r="D2" s="557"/>
      <c r="E2" s="588"/>
      <c r="F2" s="557"/>
      <c r="G2" s="557"/>
      <c r="H2" s="588"/>
      <c r="I2" s="588"/>
      <c r="J2" s="589"/>
      <c r="K2" s="585"/>
      <c r="L2" s="585"/>
      <c r="M2" s="585"/>
      <c r="N2" s="585"/>
      <c r="O2" s="585"/>
    </row>
    <row r="3" spans="1:16">
      <c r="A3" s="585"/>
      <c r="B3" s="590" t="s">
        <v>3864</v>
      </c>
      <c r="C3" s="1078" t="s">
        <v>4072</v>
      </c>
      <c r="D3" s="1079"/>
      <c r="E3" s="1079"/>
      <c r="F3" s="1079"/>
      <c r="G3" s="1079"/>
      <c r="H3" s="1080"/>
      <c r="I3" s="1074" t="s">
        <v>4081</v>
      </c>
      <c r="J3" s="1075"/>
      <c r="K3" s="1075"/>
      <c r="L3" s="1075"/>
      <c r="M3" s="1075"/>
      <c r="N3" s="1076"/>
      <c r="O3" s="585"/>
    </row>
    <row r="4" spans="1:16" ht="15.75">
      <c r="A4" s="585"/>
      <c r="B4" s="1071"/>
      <c r="C4" s="1077" t="s">
        <v>3865</v>
      </c>
      <c r="D4" s="1077"/>
      <c r="E4" s="1077"/>
      <c r="F4" s="1077" t="s">
        <v>3866</v>
      </c>
      <c r="G4" s="1077"/>
      <c r="H4" s="1077"/>
      <c r="I4" s="591"/>
      <c r="J4" s="582" t="s">
        <v>1622</v>
      </c>
      <c r="K4" s="1033" t="str">
        <f>"ab Geburt ("&amp;CHOOSE(GeschlechtsNr_Pfl,"m","w","d")&amp;")"</f>
        <v>ab Geburt (m)</v>
      </c>
      <c r="L4" s="1033"/>
      <c r="M4" s="1033" t="str">
        <f>"ab 65 ("&amp;CHOOSE(GeschlechtsNr_Pfl,"m","w","d")&amp;")"</f>
        <v>ab 65 (m)</v>
      </c>
      <c r="N4" s="1033"/>
      <c r="O4" s="585"/>
    </row>
    <row r="5" spans="1:16">
      <c r="A5" s="585"/>
      <c r="B5" s="1072"/>
      <c r="C5" s="452" t="s">
        <v>3867</v>
      </c>
      <c r="D5" s="452" t="s">
        <v>3868</v>
      </c>
      <c r="E5" s="452" t="s">
        <v>3869</v>
      </c>
      <c r="F5" s="452" t="s">
        <v>3867</v>
      </c>
      <c r="G5" s="452" t="s">
        <v>3868</v>
      </c>
      <c r="H5" s="452" t="s">
        <v>3869</v>
      </c>
      <c r="I5" s="453" t="e" vm="1">
        <f>VLOOKUP(Länderwahl,Länderkennzeichen,3,FALSE)</f>
        <v>#VALUE!</v>
      </c>
      <c r="J5" s="480" t="str">
        <f>Länderwahl</f>
        <v>Tschechien</v>
      </c>
      <c r="K5" s="481">
        <f>ROUND(VLOOKUP($J$5,LXYD_EU,CHOOSE(GeschlechtsNr_Pfl,3,4,2),FALSE),1)</f>
        <v>76.099999999999994</v>
      </c>
      <c r="L5" s="1034">
        <f>+ROUND(K5/K6-1,3)</f>
        <v>-2.5999999999999999E-2</v>
      </c>
      <c r="M5" s="482">
        <f>ROUND(VLOOKUP($J$5,LXYD_EU,CHOOSE(GeschlechtsNr_Pfl,6,7,5),FALSE),1)</f>
        <v>16</v>
      </c>
      <c r="N5" s="1034">
        <f>ROUND(M5/M6-1,3)</f>
        <v>-0.08</v>
      </c>
      <c r="O5" s="585"/>
    </row>
    <row r="6" spans="1:16">
      <c r="A6" s="585"/>
      <c r="B6" s="1073"/>
      <c r="C6" s="452">
        <v>2022</v>
      </c>
      <c r="D6" s="452">
        <f>+C6</f>
        <v>2022</v>
      </c>
      <c r="E6" s="452">
        <f>+D6</f>
        <v>2022</v>
      </c>
      <c r="F6" s="452">
        <f>+E6</f>
        <v>2022</v>
      </c>
      <c r="G6" s="452">
        <f>+F6</f>
        <v>2022</v>
      </c>
      <c r="H6" s="452">
        <f>+G6</f>
        <v>2022</v>
      </c>
      <c r="I6" s="453" t="e" vm="41">
        <f>Flagge_D</f>
        <v>#VALUE!</v>
      </c>
      <c r="J6" s="454" t="s">
        <v>3</v>
      </c>
      <c r="K6" s="455">
        <f>VLOOKUP(J6,LXYD_EU,CHOOSE(GeschlechtsNr_Pfl,3,4,2),FALSE)</f>
        <v>78.099999999999994</v>
      </c>
      <c r="L6" s="1034"/>
      <c r="M6" s="456">
        <f>ROUND(VLOOKUP($J$6,LXYD_EU,CHOOSE(GeschlechtsNr_Pfl,6,7,5),FALSE),1)</f>
        <v>17.399999999999999</v>
      </c>
      <c r="N6" s="1034"/>
      <c r="O6" s="585"/>
    </row>
    <row r="7" spans="1:16">
      <c r="A7" s="585">
        <v>1</v>
      </c>
      <c r="B7" s="616" t="s">
        <v>2269</v>
      </c>
      <c r="C7" s="743">
        <v>79.099999999999994</v>
      </c>
      <c r="D7" s="743">
        <v>77.400000000000006</v>
      </c>
      <c r="E7" s="743">
        <v>80.900000000000006</v>
      </c>
      <c r="F7" s="743">
        <v>17.7</v>
      </c>
      <c r="G7" s="743">
        <v>17.100000000000001</v>
      </c>
      <c r="H7" s="743">
        <v>18.399999999999999</v>
      </c>
      <c r="I7" s="1069" t="s">
        <v>4353</v>
      </c>
      <c r="J7" s="1070"/>
      <c r="K7" s="1070"/>
      <c r="L7" s="1070"/>
      <c r="M7" s="1070"/>
      <c r="N7" s="1070"/>
      <c r="O7" s="585"/>
    </row>
    <row r="8" spans="1:16" s="585" customFormat="1">
      <c r="A8" s="585">
        <v>2</v>
      </c>
      <c r="B8" s="616" t="s">
        <v>2489</v>
      </c>
      <c r="C8" s="744" t="s">
        <v>4060</v>
      </c>
      <c r="D8" s="744" t="s">
        <v>4060</v>
      </c>
      <c r="E8" s="744" t="s">
        <v>4060</v>
      </c>
      <c r="F8" s="744" t="s">
        <v>4060</v>
      </c>
      <c r="G8" s="744" t="s">
        <v>4060</v>
      </c>
      <c r="H8" s="744" t="s">
        <v>4060</v>
      </c>
      <c r="I8" s="713"/>
      <c r="J8" s="713"/>
      <c r="K8" s="713"/>
      <c r="L8" s="713"/>
      <c r="M8" s="713"/>
      <c r="N8" s="713"/>
    </row>
    <row r="9" spans="1:16" s="585" customFormat="1" ht="15.75">
      <c r="A9" s="585">
        <v>3</v>
      </c>
      <c r="B9" s="616" t="s">
        <v>2490</v>
      </c>
      <c r="C9" s="743" t="s">
        <v>4060</v>
      </c>
      <c r="D9" s="743" t="s">
        <v>4060</v>
      </c>
      <c r="E9" s="743" t="s">
        <v>4060</v>
      </c>
      <c r="F9" s="743" t="s">
        <v>4060</v>
      </c>
      <c r="G9" s="743" t="s">
        <v>4060</v>
      </c>
      <c r="H9" s="743" t="s">
        <v>4060</v>
      </c>
      <c r="I9" s="711"/>
      <c r="J9" s="712"/>
      <c r="K9" s="714"/>
      <c r="L9" s="714"/>
      <c r="M9" s="714"/>
      <c r="N9" s="714"/>
    </row>
    <row r="10" spans="1:16" s="585" customFormat="1">
      <c r="A10" s="585">
        <v>4</v>
      </c>
      <c r="B10" s="616" t="s">
        <v>2491</v>
      </c>
      <c r="C10" s="744" t="s">
        <v>4060</v>
      </c>
      <c r="D10" s="744" t="s">
        <v>4060</v>
      </c>
      <c r="E10" s="744" t="s">
        <v>4060</v>
      </c>
      <c r="F10" s="744" t="s">
        <v>4060</v>
      </c>
      <c r="G10" s="744" t="s">
        <v>4060</v>
      </c>
      <c r="H10" s="744" t="s">
        <v>4060</v>
      </c>
      <c r="I10" s="583"/>
      <c r="J10" s="713"/>
      <c r="K10" s="715"/>
      <c r="L10" s="716"/>
      <c r="M10" s="717"/>
      <c r="N10" s="716"/>
    </row>
    <row r="11" spans="1:16" s="585" customFormat="1">
      <c r="A11" s="585">
        <v>5</v>
      </c>
      <c r="B11" s="616" t="s">
        <v>0</v>
      </c>
      <c r="C11" s="750">
        <v>81.7</v>
      </c>
      <c r="D11" s="747">
        <v>79.599999999999994</v>
      </c>
      <c r="E11" s="747">
        <v>83.8</v>
      </c>
      <c r="F11" s="747">
        <v>20.100000000000001</v>
      </c>
      <c r="G11" s="747">
        <v>18.5</v>
      </c>
      <c r="H11" s="747">
        <v>21.5</v>
      </c>
      <c r="I11" s="583"/>
      <c r="J11" s="713"/>
      <c r="K11" s="715"/>
      <c r="L11" s="716"/>
      <c r="M11" s="717"/>
      <c r="N11" s="716"/>
    </row>
    <row r="12" spans="1:16" s="585" customFormat="1">
      <c r="A12" s="585">
        <v>6</v>
      </c>
      <c r="B12" s="616" t="s">
        <v>1</v>
      </c>
      <c r="C12" s="748">
        <v>74.099999999999994</v>
      </c>
      <c r="D12" s="748">
        <v>70.5</v>
      </c>
      <c r="E12" s="748">
        <v>77.900000000000006</v>
      </c>
      <c r="F12" s="748">
        <v>15.5</v>
      </c>
      <c r="G12" s="748">
        <v>13.3</v>
      </c>
      <c r="H12" s="748">
        <v>17.399999999999999</v>
      </c>
      <c r="I12" s="586"/>
    </row>
    <row r="13" spans="1:16" s="585" customFormat="1">
      <c r="A13" s="585">
        <v>7</v>
      </c>
      <c r="B13" s="616" t="s">
        <v>2</v>
      </c>
      <c r="C13" s="747">
        <v>81.3</v>
      </c>
      <c r="D13" s="747">
        <v>79.400000000000006</v>
      </c>
      <c r="E13" s="747">
        <v>83.2</v>
      </c>
      <c r="F13" s="747">
        <v>19.399999999999999</v>
      </c>
      <c r="G13" s="747">
        <v>18.100000000000001</v>
      </c>
      <c r="H13" s="747">
        <v>20.7</v>
      </c>
      <c r="I13" s="586"/>
    </row>
    <row r="14" spans="1:16" s="585" customFormat="1">
      <c r="A14" s="585">
        <v>8</v>
      </c>
      <c r="B14" s="616" t="s">
        <v>3</v>
      </c>
      <c r="C14" s="748">
        <v>80.5</v>
      </c>
      <c r="D14" s="748">
        <v>78.099999999999994</v>
      </c>
      <c r="E14" s="748">
        <v>82.9</v>
      </c>
      <c r="F14" s="748">
        <v>19.100000000000001</v>
      </c>
      <c r="G14" s="748">
        <v>17.399999999999999</v>
      </c>
      <c r="H14" s="748">
        <v>20.7</v>
      </c>
      <c r="I14" s="586"/>
    </row>
    <row r="15" spans="1:16" s="585" customFormat="1">
      <c r="A15" s="585">
        <v>9</v>
      </c>
      <c r="B15" s="617" t="s">
        <v>4354</v>
      </c>
      <c r="C15" s="749">
        <v>80.5</v>
      </c>
      <c r="D15" s="749">
        <v>78.099999999999994</v>
      </c>
      <c r="E15" s="749">
        <v>82.9</v>
      </c>
      <c r="F15" s="749">
        <v>19.100000000000001</v>
      </c>
      <c r="G15" s="749">
        <v>17.399999999999999</v>
      </c>
      <c r="H15" s="749">
        <v>20.7</v>
      </c>
      <c r="I15" s="586"/>
    </row>
    <row r="16" spans="1:16" s="585" customFormat="1">
      <c r="A16" s="585">
        <v>10</v>
      </c>
      <c r="B16" s="616" t="s">
        <v>4</v>
      </c>
      <c r="C16" s="748">
        <v>78.099999999999994</v>
      </c>
      <c r="D16" s="748">
        <v>73.599999999999994</v>
      </c>
      <c r="E16" s="748">
        <v>82.2</v>
      </c>
      <c r="F16" s="748">
        <v>18.2</v>
      </c>
      <c r="G16" s="748">
        <v>15.2</v>
      </c>
      <c r="H16" s="748">
        <v>20.399999999999999</v>
      </c>
      <c r="I16" s="586"/>
      <c r="J16" s="584"/>
    </row>
    <row r="17" spans="1:13" s="585" customFormat="1">
      <c r="A17" s="585">
        <v>11</v>
      </c>
      <c r="B17" s="616" t="s">
        <v>4062</v>
      </c>
      <c r="C17" s="747">
        <v>83.2</v>
      </c>
      <c r="D17" s="747">
        <v>81.3</v>
      </c>
      <c r="E17" s="747">
        <v>85</v>
      </c>
      <c r="F17" s="747">
        <v>20.9</v>
      </c>
      <c r="G17" s="747">
        <v>19.600000000000001</v>
      </c>
      <c r="H17" s="747">
        <v>22.1</v>
      </c>
      <c r="I17" s="583"/>
      <c r="J17" s="584"/>
    </row>
    <row r="18" spans="1:13" s="585" customFormat="1">
      <c r="A18" s="585">
        <v>12</v>
      </c>
      <c r="B18" s="616" t="s">
        <v>4355</v>
      </c>
      <c r="C18" s="744" t="s">
        <v>4060</v>
      </c>
      <c r="D18" s="744" t="s">
        <v>4060</v>
      </c>
      <c r="E18" s="744" t="s">
        <v>4060</v>
      </c>
      <c r="F18" s="744" t="s">
        <v>4060</v>
      </c>
      <c r="G18" s="744" t="s">
        <v>4060</v>
      </c>
      <c r="H18" s="744" t="s">
        <v>4060</v>
      </c>
      <c r="I18" s="583"/>
      <c r="J18" s="584"/>
    </row>
    <row r="19" spans="1:13" s="585" customFormat="1">
      <c r="A19" s="585">
        <v>13</v>
      </c>
      <c r="B19" s="616" t="s">
        <v>4356</v>
      </c>
      <c r="C19" s="743">
        <v>80.599999999999994</v>
      </c>
      <c r="D19" s="743">
        <v>77.8</v>
      </c>
      <c r="E19" s="743">
        <v>83.2</v>
      </c>
      <c r="F19" s="743">
        <v>19.399999999999999</v>
      </c>
      <c r="G19" s="743">
        <v>17.600000000000001</v>
      </c>
      <c r="H19" s="743">
        <v>21</v>
      </c>
      <c r="I19" s="583"/>
      <c r="J19" s="584"/>
      <c r="K19" s="713"/>
    </row>
    <row r="20" spans="1:13" s="585" customFormat="1">
      <c r="A20" s="585">
        <v>14</v>
      </c>
      <c r="B20" s="616" t="s">
        <v>4357</v>
      </c>
      <c r="C20" s="744" t="s">
        <v>4060</v>
      </c>
      <c r="D20" s="744" t="s">
        <v>4060</v>
      </c>
      <c r="E20" s="744" t="s">
        <v>4060</v>
      </c>
      <c r="F20" s="744" t="s">
        <v>4060</v>
      </c>
      <c r="G20" s="744" t="s">
        <v>4060</v>
      </c>
      <c r="H20" s="744" t="s">
        <v>4060</v>
      </c>
      <c r="I20" s="718"/>
      <c r="J20" s="584"/>
    </row>
    <row r="21" spans="1:13" s="585" customFormat="1">
      <c r="A21" s="585">
        <v>15</v>
      </c>
      <c r="B21" s="616" t="s">
        <v>4066</v>
      </c>
      <c r="C21" s="743" t="s">
        <v>4060</v>
      </c>
      <c r="D21" s="743" t="s">
        <v>4060</v>
      </c>
      <c r="E21" s="743" t="s">
        <v>4060</v>
      </c>
      <c r="F21" s="743" t="s">
        <v>4060</v>
      </c>
      <c r="G21" s="743" t="s">
        <v>4060</v>
      </c>
      <c r="H21" s="743" t="s">
        <v>4060</v>
      </c>
      <c r="I21" s="583"/>
      <c r="J21" s="584"/>
      <c r="K21" s="719"/>
      <c r="L21" s="583"/>
      <c r="M21" s="720"/>
    </row>
    <row r="22" spans="1:13" s="585" customFormat="1">
      <c r="A22" s="585">
        <v>16</v>
      </c>
      <c r="B22" s="616" t="s">
        <v>4067</v>
      </c>
      <c r="C22" s="744" t="s">
        <v>4060</v>
      </c>
      <c r="D22" s="744" t="s">
        <v>4060</v>
      </c>
      <c r="E22" s="744" t="s">
        <v>4060</v>
      </c>
      <c r="F22" s="744" t="s">
        <v>4060</v>
      </c>
      <c r="G22" s="744" t="s">
        <v>4060</v>
      </c>
      <c r="H22" s="744" t="s">
        <v>4060</v>
      </c>
      <c r="I22" s="583"/>
      <c r="J22" s="584"/>
      <c r="K22" s="719"/>
      <c r="L22" s="583"/>
      <c r="M22" s="720"/>
    </row>
    <row r="23" spans="1:13" s="585" customFormat="1">
      <c r="A23" s="585">
        <v>17</v>
      </c>
      <c r="B23" s="616" t="s">
        <v>4068</v>
      </c>
      <c r="C23" s="743" t="s">
        <v>4060</v>
      </c>
      <c r="D23" s="743" t="s">
        <v>4060</v>
      </c>
      <c r="E23" s="743" t="s">
        <v>4060</v>
      </c>
      <c r="F23" s="743" t="s">
        <v>4060</v>
      </c>
      <c r="G23" s="743" t="s">
        <v>4060</v>
      </c>
      <c r="H23" s="743" t="s">
        <v>4060</v>
      </c>
      <c r="I23" s="583"/>
      <c r="J23" s="584"/>
      <c r="M23" s="721"/>
    </row>
    <row r="24" spans="1:13" s="585" customFormat="1">
      <c r="A24" s="585">
        <v>18</v>
      </c>
      <c r="B24" s="616" t="s">
        <v>4069</v>
      </c>
      <c r="C24" s="744">
        <v>81.599999999999994</v>
      </c>
      <c r="D24" s="744">
        <v>79</v>
      </c>
      <c r="E24" s="744">
        <v>84</v>
      </c>
      <c r="F24" s="744">
        <v>20</v>
      </c>
      <c r="G24" s="744">
        <v>18.3</v>
      </c>
      <c r="H24" s="744">
        <v>21.6</v>
      </c>
      <c r="I24" s="583"/>
      <c r="J24" s="584"/>
    </row>
    <row r="25" spans="1:13" s="585" customFormat="1">
      <c r="A25" s="585">
        <v>19</v>
      </c>
      <c r="B25" s="616" t="s">
        <v>5</v>
      </c>
      <c r="C25" s="743">
        <v>81.2</v>
      </c>
      <c r="D25" s="743">
        <v>78.599999999999994</v>
      </c>
      <c r="E25" s="743">
        <v>83.8</v>
      </c>
      <c r="F25" s="743">
        <v>19.7</v>
      </c>
      <c r="G25" s="743">
        <v>17.899999999999999</v>
      </c>
      <c r="H25" s="743">
        <v>21.3</v>
      </c>
      <c r="I25" s="583"/>
      <c r="J25" s="584"/>
    </row>
    <row r="26" spans="1:13" s="585" customFormat="1">
      <c r="A26" s="585">
        <v>20</v>
      </c>
      <c r="B26" s="616" t="s">
        <v>6</v>
      </c>
      <c r="C26" s="744">
        <v>82.2</v>
      </c>
      <c r="D26" s="744">
        <v>79.3</v>
      </c>
      <c r="E26" s="744">
        <v>85.1</v>
      </c>
      <c r="F26" s="744">
        <v>21.2</v>
      </c>
      <c r="G26" s="744">
        <v>19.2</v>
      </c>
      <c r="H26" s="744">
        <v>23</v>
      </c>
      <c r="I26" s="583"/>
      <c r="J26" s="584"/>
    </row>
    <row r="27" spans="1:13" s="585" customFormat="1">
      <c r="A27" s="585">
        <v>21</v>
      </c>
      <c r="B27" s="616" t="s">
        <v>4058</v>
      </c>
      <c r="C27" s="743" t="s">
        <v>4060</v>
      </c>
      <c r="D27" s="743" t="s">
        <v>4060</v>
      </c>
      <c r="E27" s="743" t="s">
        <v>4060</v>
      </c>
      <c r="F27" s="743" t="s">
        <v>4060</v>
      </c>
      <c r="G27" s="743" t="s">
        <v>4060</v>
      </c>
      <c r="H27" s="743" t="s">
        <v>4060</v>
      </c>
      <c r="I27" s="583"/>
      <c r="J27" s="584"/>
    </row>
    <row r="28" spans="1:13" s="585" customFormat="1">
      <c r="A28" s="585">
        <v>22</v>
      </c>
      <c r="B28" s="616" t="s">
        <v>2496</v>
      </c>
      <c r="C28" s="744">
        <v>73.7</v>
      </c>
      <c r="D28" s="744">
        <v>69.400000000000006</v>
      </c>
      <c r="E28" s="744">
        <v>78.099999999999994</v>
      </c>
      <c r="F28" s="744">
        <v>15.2</v>
      </c>
      <c r="G28" s="744">
        <v>13</v>
      </c>
      <c r="H28" s="744">
        <v>17</v>
      </c>
      <c r="I28" s="583"/>
      <c r="J28" s="584"/>
    </row>
    <row r="29" spans="1:13" s="585" customFormat="1">
      <c r="A29" s="585">
        <v>23</v>
      </c>
      <c r="B29" s="616" t="s">
        <v>7</v>
      </c>
      <c r="C29" s="743">
        <v>80.8</v>
      </c>
      <c r="D29" s="743">
        <v>78.2</v>
      </c>
      <c r="E29" s="743">
        <v>83.4</v>
      </c>
      <c r="F29" s="743">
        <v>19.399999999999999</v>
      </c>
      <c r="G29" s="743">
        <v>17.8</v>
      </c>
      <c r="H29" s="743">
        <v>20.9</v>
      </c>
      <c r="I29" s="583"/>
      <c r="J29" s="584"/>
    </row>
    <row r="30" spans="1:13" s="585" customFormat="1">
      <c r="A30" s="585">
        <v>24</v>
      </c>
      <c r="B30" s="616" t="s">
        <v>3928</v>
      </c>
      <c r="C30" s="743"/>
      <c r="D30" s="743"/>
      <c r="E30" s="743"/>
      <c r="F30" s="743">
        <f>(G30+H30)/2</f>
        <v>20</v>
      </c>
      <c r="G30" s="743">
        <v>18.899999999999999</v>
      </c>
      <c r="H30" s="743">
        <v>21.1</v>
      </c>
      <c r="I30" s="583"/>
      <c r="J30" s="584"/>
    </row>
    <row r="31" spans="1:13" s="585" customFormat="1">
      <c r="A31" s="585">
        <v>25</v>
      </c>
      <c r="B31" s="616" t="s">
        <v>8</v>
      </c>
      <c r="C31" s="744">
        <v>82.4</v>
      </c>
      <c r="D31" s="744">
        <v>80.7</v>
      </c>
      <c r="E31" s="744">
        <v>84</v>
      </c>
      <c r="F31" s="744">
        <v>20.3</v>
      </c>
      <c r="G31" s="744">
        <v>19.100000000000001</v>
      </c>
      <c r="H31" s="744">
        <v>21.4</v>
      </c>
      <c r="I31" s="583"/>
      <c r="J31" s="584"/>
    </row>
    <row r="32" spans="1:13" s="585" customFormat="1">
      <c r="A32" s="585">
        <v>26</v>
      </c>
      <c r="B32" s="616" t="s">
        <v>9</v>
      </c>
      <c r="C32" s="743">
        <v>82.2</v>
      </c>
      <c r="D32" s="743">
        <v>80.900000000000006</v>
      </c>
      <c r="E32" s="743">
        <v>83.5</v>
      </c>
      <c r="F32" s="743">
        <v>20.100000000000001</v>
      </c>
      <c r="G32" s="743">
        <v>19.3</v>
      </c>
      <c r="H32" s="743">
        <v>20.9</v>
      </c>
      <c r="I32" s="583"/>
      <c r="J32" s="584"/>
    </row>
    <row r="33" spans="1:10" s="585" customFormat="1">
      <c r="A33" s="585">
        <v>27</v>
      </c>
      <c r="B33" s="616" t="s">
        <v>10</v>
      </c>
      <c r="C33" s="744">
        <v>82.8</v>
      </c>
      <c r="D33" s="744">
        <v>80.599999999999994</v>
      </c>
      <c r="E33" s="744">
        <v>84.8</v>
      </c>
      <c r="F33" s="744">
        <v>20.5</v>
      </c>
      <c r="G33" s="744">
        <v>18.899999999999999</v>
      </c>
      <c r="H33" s="744">
        <v>21.9</v>
      </c>
      <c r="I33" s="583"/>
      <c r="J33" s="584"/>
    </row>
    <row r="34" spans="1:10" s="585" customFormat="1">
      <c r="A34" s="585">
        <v>28</v>
      </c>
      <c r="B34" s="616" t="s">
        <v>4070</v>
      </c>
      <c r="C34" s="743" t="s">
        <v>4060</v>
      </c>
      <c r="D34" s="743" t="s">
        <v>4060</v>
      </c>
      <c r="E34" s="743" t="s">
        <v>4060</v>
      </c>
      <c r="F34" s="743" t="s">
        <v>4060</v>
      </c>
      <c r="G34" s="743" t="s">
        <v>4060</v>
      </c>
      <c r="H34" s="743" t="s">
        <v>4060</v>
      </c>
      <c r="I34" s="583"/>
      <c r="J34" s="584"/>
    </row>
    <row r="35" spans="1:10" s="585" customFormat="1">
      <c r="A35" s="585">
        <v>29</v>
      </c>
      <c r="B35" s="616" t="s">
        <v>11</v>
      </c>
      <c r="C35" s="744">
        <v>77.7</v>
      </c>
      <c r="D35" s="744">
        <v>74.599999999999994</v>
      </c>
      <c r="E35" s="744">
        <v>80.8</v>
      </c>
      <c r="F35" s="744">
        <v>17.100000000000001</v>
      </c>
      <c r="G35" s="744">
        <v>15.2</v>
      </c>
      <c r="H35" s="744">
        <v>18.600000000000001</v>
      </c>
      <c r="I35" s="583"/>
      <c r="J35" s="584"/>
    </row>
    <row r="36" spans="1:10" s="585" customFormat="1">
      <c r="A36" s="585">
        <v>30</v>
      </c>
      <c r="B36" s="616" t="s">
        <v>12</v>
      </c>
      <c r="C36" s="743">
        <v>74.5</v>
      </c>
      <c r="D36" s="743">
        <v>69.5</v>
      </c>
      <c r="E36" s="743">
        <v>79.400000000000006</v>
      </c>
      <c r="F36" s="743">
        <v>16.600000000000001</v>
      </c>
      <c r="G36" s="743">
        <v>13.7</v>
      </c>
      <c r="H36" s="743">
        <v>18.600000000000001</v>
      </c>
      <c r="I36" s="583"/>
      <c r="J36" s="722"/>
    </row>
    <row r="37" spans="1:10" s="585" customFormat="1">
      <c r="A37" s="585">
        <v>31</v>
      </c>
      <c r="B37" s="616" t="s">
        <v>13</v>
      </c>
      <c r="C37" s="744">
        <v>83.6</v>
      </c>
      <c r="D37" s="744">
        <v>82</v>
      </c>
      <c r="E37" s="744">
        <v>85.2</v>
      </c>
      <c r="F37" s="744">
        <v>21.3</v>
      </c>
      <c r="G37" s="744">
        <v>20.6</v>
      </c>
      <c r="H37" s="744">
        <v>21.9</v>
      </c>
      <c r="I37" s="583"/>
      <c r="J37" s="722"/>
    </row>
    <row r="38" spans="1:10" s="585" customFormat="1">
      <c r="A38" s="585">
        <v>32</v>
      </c>
      <c r="B38" s="616" t="s">
        <v>14</v>
      </c>
      <c r="C38" s="743">
        <v>75.8</v>
      </c>
      <c r="D38" s="743">
        <v>71.400000000000006</v>
      </c>
      <c r="E38" s="743">
        <v>80.099999999999994</v>
      </c>
      <c r="F38" s="743">
        <v>17</v>
      </c>
      <c r="G38" s="743">
        <v>14.1</v>
      </c>
      <c r="H38" s="743">
        <v>19</v>
      </c>
      <c r="I38" s="583"/>
      <c r="J38" s="722"/>
    </row>
    <row r="39" spans="1:10" s="585" customFormat="1">
      <c r="A39" s="585">
        <v>33</v>
      </c>
      <c r="B39" s="616" t="s">
        <v>15</v>
      </c>
      <c r="C39" s="744">
        <v>82.8</v>
      </c>
      <c r="D39" s="744">
        <v>80.599999999999994</v>
      </c>
      <c r="E39" s="744">
        <v>85</v>
      </c>
      <c r="F39" s="744">
        <v>20.8</v>
      </c>
      <c r="G39" s="744">
        <v>19.3</v>
      </c>
      <c r="H39" s="744">
        <v>22</v>
      </c>
      <c r="I39" s="583"/>
      <c r="J39" s="722"/>
    </row>
    <row r="40" spans="1:10" s="585" customFormat="1">
      <c r="A40" s="585">
        <v>34</v>
      </c>
      <c r="B40" s="616" t="s">
        <v>16</v>
      </c>
      <c r="C40" s="743">
        <v>82.1</v>
      </c>
      <c r="D40" s="743">
        <v>80.099999999999994</v>
      </c>
      <c r="E40" s="743">
        <v>84.2</v>
      </c>
      <c r="F40" s="743">
        <v>20.2</v>
      </c>
      <c r="G40" s="743">
        <v>18.8</v>
      </c>
      <c r="H40" s="743">
        <v>21.5</v>
      </c>
      <c r="I40" s="583"/>
      <c r="J40" s="584"/>
    </row>
    <row r="41" spans="1:10" s="585" customFormat="1">
      <c r="A41" s="585">
        <v>35</v>
      </c>
      <c r="B41" s="616" t="s">
        <v>2322</v>
      </c>
      <c r="C41" s="744" t="s">
        <v>4060</v>
      </c>
      <c r="D41" s="744" t="s">
        <v>4060</v>
      </c>
      <c r="E41" s="744" t="s">
        <v>4060</v>
      </c>
      <c r="F41" s="744" t="s">
        <v>4060</v>
      </c>
      <c r="G41" s="744" t="s">
        <v>4060</v>
      </c>
      <c r="H41" s="744" t="s">
        <v>4060</v>
      </c>
      <c r="I41" s="583"/>
      <c r="J41" s="584"/>
    </row>
    <row r="42" spans="1:10" s="585" customFormat="1">
      <c r="A42" s="585">
        <v>36</v>
      </c>
      <c r="B42" s="616" t="s">
        <v>2324</v>
      </c>
      <c r="C42" s="743" t="s">
        <v>4060</v>
      </c>
      <c r="D42" s="743" t="s">
        <v>4060</v>
      </c>
      <c r="E42" s="743" t="s">
        <v>4060</v>
      </c>
      <c r="F42" s="743" t="s">
        <v>4060</v>
      </c>
      <c r="G42" s="743" t="s">
        <v>4060</v>
      </c>
      <c r="H42" s="743" t="s">
        <v>4060</v>
      </c>
      <c r="I42" s="583"/>
      <c r="J42" s="584"/>
    </row>
    <row r="43" spans="1:10" s="585" customFormat="1">
      <c r="A43" s="585">
        <v>37</v>
      </c>
      <c r="B43" s="616" t="s">
        <v>17</v>
      </c>
      <c r="C43" s="744">
        <v>81.599999999999994</v>
      </c>
      <c r="D43" s="744">
        <v>80.099999999999994</v>
      </c>
      <c r="E43" s="744">
        <v>83.1</v>
      </c>
      <c r="F43" s="744">
        <v>19.7</v>
      </c>
      <c r="G43" s="744">
        <v>18.600000000000001</v>
      </c>
      <c r="H43" s="744">
        <v>20.8</v>
      </c>
      <c r="I43" s="583"/>
      <c r="J43" s="584"/>
    </row>
    <row r="44" spans="1:10" s="585" customFormat="1">
      <c r="A44" s="585">
        <v>38</v>
      </c>
      <c r="B44" s="616" t="s">
        <v>2328</v>
      </c>
      <c r="C44" s="743" t="s">
        <v>4060</v>
      </c>
      <c r="D44" s="743" t="s">
        <v>4060</v>
      </c>
      <c r="E44" s="743" t="s">
        <v>4060</v>
      </c>
      <c r="F44" s="743" t="s">
        <v>4060</v>
      </c>
      <c r="G44" s="743" t="s">
        <v>4060</v>
      </c>
      <c r="H44" s="743" t="s">
        <v>4060</v>
      </c>
      <c r="I44" s="583"/>
      <c r="J44" s="584"/>
    </row>
    <row r="45" spans="1:10" s="585" customFormat="1">
      <c r="A45" s="585">
        <v>39</v>
      </c>
      <c r="B45" s="616" t="s">
        <v>18</v>
      </c>
      <c r="C45" s="744">
        <v>82.6</v>
      </c>
      <c r="D45" s="744">
        <v>80.900000000000006</v>
      </c>
      <c r="E45" s="744">
        <v>84.3</v>
      </c>
      <c r="F45" s="744">
        <v>20.399999999999999</v>
      </c>
      <c r="G45" s="744">
        <v>19.2</v>
      </c>
      <c r="H45" s="744">
        <v>21.5</v>
      </c>
      <c r="I45" s="583"/>
      <c r="J45" s="584"/>
    </row>
    <row r="46" spans="1:10" s="585" customFormat="1">
      <c r="A46" s="585">
        <v>40</v>
      </c>
      <c r="B46" s="616" t="s">
        <v>19</v>
      </c>
      <c r="C46" s="743">
        <v>81.400000000000006</v>
      </c>
      <c r="D46" s="743">
        <v>79</v>
      </c>
      <c r="E46" s="743">
        <v>83.8</v>
      </c>
      <c r="F46" s="743">
        <v>19.7</v>
      </c>
      <c r="G46" s="743">
        <v>18</v>
      </c>
      <c r="H46" s="743">
        <v>21.2</v>
      </c>
      <c r="I46" s="583"/>
      <c r="J46" s="584"/>
    </row>
    <row r="47" spans="1:10" s="585" customFormat="1">
      <c r="A47" s="585">
        <v>41</v>
      </c>
      <c r="B47" s="616" t="s">
        <v>20</v>
      </c>
      <c r="C47" s="744">
        <v>77.099999999999994</v>
      </c>
      <c r="D47" s="744">
        <v>73.2</v>
      </c>
      <c r="E47" s="744">
        <v>81</v>
      </c>
      <c r="F47" s="744">
        <v>17.600000000000001</v>
      </c>
      <c r="G47" s="744">
        <v>15.3</v>
      </c>
      <c r="H47" s="744">
        <v>19.5</v>
      </c>
      <c r="I47" s="583"/>
      <c r="J47" s="584"/>
    </row>
    <row r="48" spans="1:10" s="585" customFormat="1">
      <c r="A48" s="585">
        <v>42</v>
      </c>
      <c r="B48" s="616" t="s">
        <v>21</v>
      </c>
      <c r="C48" s="743">
        <v>81.7</v>
      </c>
      <c r="D48" s="743">
        <v>78.8</v>
      </c>
      <c r="E48" s="743">
        <v>84.4</v>
      </c>
      <c r="F48" s="743">
        <v>20.399999999999999</v>
      </c>
      <c r="G48" s="743">
        <v>18.600000000000001</v>
      </c>
      <c r="H48" s="743">
        <v>21.9</v>
      </c>
      <c r="I48" s="583"/>
      <c r="J48" s="584"/>
    </row>
    <row r="49" spans="1:10" s="585" customFormat="1">
      <c r="A49" s="585">
        <v>43</v>
      </c>
      <c r="B49" s="616" t="s">
        <v>22</v>
      </c>
      <c r="C49" s="744">
        <v>75.099999999999994</v>
      </c>
      <c r="D49" s="744">
        <v>71.3</v>
      </c>
      <c r="E49" s="744">
        <v>79.099999999999994</v>
      </c>
      <c r="F49" s="744">
        <v>16.2</v>
      </c>
      <c r="G49" s="744">
        <v>14</v>
      </c>
      <c r="H49" s="744">
        <v>18.100000000000001</v>
      </c>
      <c r="I49" s="583"/>
      <c r="J49" s="584"/>
    </row>
    <row r="50" spans="1:10" s="585" customFormat="1">
      <c r="A50" s="585">
        <v>44</v>
      </c>
      <c r="B50" s="616" t="s">
        <v>2343</v>
      </c>
      <c r="C50" s="743"/>
      <c r="D50" s="743">
        <v>68</v>
      </c>
      <c r="E50" s="743" t="s">
        <v>4060</v>
      </c>
      <c r="F50" s="743" t="s">
        <v>4060</v>
      </c>
      <c r="G50" s="743" t="s">
        <v>4060</v>
      </c>
      <c r="H50" s="743" t="s">
        <v>4060</v>
      </c>
      <c r="I50" s="586"/>
    </row>
    <row r="51" spans="1:10" s="585" customFormat="1">
      <c r="A51" s="585">
        <v>45</v>
      </c>
      <c r="B51" s="616" t="s">
        <v>4071</v>
      </c>
      <c r="C51" s="744">
        <f>+(D51+E51)/2</f>
        <v>85.990000000000009</v>
      </c>
      <c r="D51" s="744">
        <v>84.54</v>
      </c>
      <c r="E51" s="744">
        <v>87.44</v>
      </c>
      <c r="F51" s="744" t="s">
        <v>4060</v>
      </c>
      <c r="G51" s="744" t="s">
        <v>4060</v>
      </c>
      <c r="H51" s="744" t="s">
        <v>4060</v>
      </c>
      <c r="I51" s="586"/>
    </row>
    <row r="52" spans="1:10" s="585" customFormat="1">
      <c r="A52" s="585">
        <v>46</v>
      </c>
      <c r="B52" s="616" t="s">
        <v>23</v>
      </c>
      <c r="C52" s="743">
        <v>83</v>
      </c>
      <c r="D52" s="743">
        <v>81.3</v>
      </c>
      <c r="E52" s="743">
        <v>84.7</v>
      </c>
      <c r="F52" s="743">
        <v>20.7</v>
      </c>
      <c r="G52" s="743">
        <v>19.5</v>
      </c>
      <c r="H52" s="743">
        <v>21.9</v>
      </c>
      <c r="I52" s="586"/>
    </row>
    <row r="53" spans="1:10" s="585" customFormat="1">
      <c r="A53" s="585">
        <v>47</v>
      </c>
      <c r="B53" s="616" t="s">
        <v>24</v>
      </c>
      <c r="C53" s="744">
        <v>83.5</v>
      </c>
      <c r="D53" s="744">
        <v>81.599999999999994</v>
      </c>
      <c r="E53" s="744">
        <v>85.4</v>
      </c>
      <c r="F53" s="744">
        <v>21.2</v>
      </c>
      <c r="G53" s="744">
        <v>19.8</v>
      </c>
      <c r="H53" s="744">
        <v>22.5</v>
      </c>
      <c r="I53" s="586"/>
    </row>
    <row r="54" spans="1:10" s="585" customFormat="1">
      <c r="A54" s="585">
        <v>48</v>
      </c>
      <c r="B54" s="616" t="s">
        <v>2349</v>
      </c>
      <c r="C54" s="743">
        <v>75.2</v>
      </c>
      <c r="D54" s="743">
        <v>72.7</v>
      </c>
      <c r="E54" s="743">
        <v>77.900000000000006</v>
      </c>
      <c r="F54" s="743">
        <v>15.4</v>
      </c>
      <c r="G54" s="743">
        <v>14</v>
      </c>
      <c r="H54" s="743">
        <v>16.600000000000001</v>
      </c>
      <c r="I54" s="723"/>
      <c r="J54" s="584"/>
    </row>
    <row r="55" spans="1:10" s="585" customFormat="1">
      <c r="A55" s="585">
        <v>49</v>
      </c>
      <c r="B55" s="616" t="s">
        <v>25</v>
      </c>
      <c r="C55" s="744">
        <v>77</v>
      </c>
      <c r="D55" s="744">
        <v>73.599999999999994</v>
      </c>
      <c r="E55" s="744">
        <v>80.400000000000006</v>
      </c>
      <c r="F55" s="744">
        <v>17.100000000000001</v>
      </c>
      <c r="G55" s="744">
        <v>15</v>
      </c>
      <c r="H55" s="744">
        <v>18.8</v>
      </c>
      <c r="I55" s="723"/>
      <c r="J55" s="584"/>
    </row>
    <row r="56" spans="1:10" s="585" customFormat="1">
      <c r="A56" s="585">
        <v>50</v>
      </c>
      <c r="B56" s="616" t="s">
        <v>26</v>
      </c>
      <c r="C56" s="743">
        <v>81.2</v>
      </c>
      <c r="D56" s="743">
        <v>78.400000000000006</v>
      </c>
      <c r="E56" s="743">
        <v>84</v>
      </c>
      <c r="F56" s="743">
        <v>19.600000000000001</v>
      </c>
      <c r="G56" s="743">
        <v>17.7</v>
      </c>
      <c r="H56" s="743">
        <v>21.3</v>
      </c>
      <c r="I56" s="723"/>
      <c r="J56" s="584"/>
    </row>
    <row r="57" spans="1:10" s="585" customFormat="1">
      <c r="A57" s="585">
        <v>51</v>
      </c>
      <c r="B57" s="616" t="s">
        <v>27</v>
      </c>
      <c r="C57" s="744">
        <v>83.1</v>
      </c>
      <c r="D57" s="744">
        <v>80.3</v>
      </c>
      <c r="E57" s="744">
        <v>85.7</v>
      </c>
      <c r="F57" s="744">
        <v>21.1</v>
      </c>
      <c r="G57" s="744">
        <v>19</v>
      </c>
      <c r="H57" s="744">
        <v>22.9</v>
      </c>
      <c r="I57" s="723"/>
      <c r="J57" s="584"/>
    </row>
    <row r="58" spans="1:10" s="585" customFormat="1">
      <c r="A58" s="585">
        <v>52</v>
      </c>
      <c r="B58" s="616" t="s">
        <v>2240</v>
      </c>
      <c r="C58" s="743">
        <v>79</v>
      </c>
      <c r="D58" s="743">
        <v>76.099999999999994</v>
      </c>
      <c r="E58" s="743">
        <v>81.900000000000006</v>
      </c>
      <c r="F58" s="743">
        <v>18</v>
      </c>
      <c r="G58" s="743">
        <v>16</v>
      </c>
      <c r="H58" s="743">
        <v>19.7</v>
      </c>
      <c r="I58" s="723"/>
      <c r="J58" s="584"/>
    </row>
    <row r="59" spans="1:10" s="585" customFormat="1">
      <c r="A59" s="585">
        <v>53</v>
      </c>
      <c r="B59" s="616" t="s">
        <v>2355</v>
      </c>
      <c r="C59" s="744">
        <v>76.3</v>
      </c>
      <c r="D59" s="744">
        <v>74.3</v>
      </c>
      <c r="E59" s="744">
        <v>78.400000000000006</v>
      </c>
      <c r="F59" s="744" t="s">
        <v>4060</v>
      </c>
      <c r="G59" s="744" t="s">
        <v>4060</v>
      </c>
      <c r="H59" s="744" t="s">
        <v>4060</v>
      </c>
      <c r="I59" s="723"/>
      <c r="J59" s="584"/>
    </row>
    <row r="60" spans="1:10" s="585" customFormat="1">
      <c r="A60" s="585">
        <v>54</v>
      </c>
      <c r="B60" s="616" t="s">
        <v>2357</v>
      </c>
      <c r="C60" s="743" t="s">
        <v>4060</v>
      </c>
      <c r="D60" s="743">
        <v>66.900000000000006</v>
      </c>
      <c r="E60" s="743" t="s">
        <v>4060</v>
      </c>
      <c r="F60" s="743" t="s">
        <v>4060</v>
      </c>
      <c r="G60" s="743" t="s">
        <v>4060</v>
      </c>
      <c r="H60" s="743" t="s">
        <v>4060</v>
      </c>
      <c r="I60" s="723"/>
      <c r="J60" s="584"/>
    </row>
    <row r="61" spans="1:10" s="585" customFormat="1">
      <c r="A61" s="585">
        <v>55</v>
      </c>
      <c r="B61" s="616" t="s">
        <v>29</v>
      </c>
      <c r="C61" s="744">
        <v>75.900000000000006</v>
      </c>
      <c r="D61" s="744">
        <v>72.599999999999994</v>
      </c>
      <c r="E61" s="744">
        <v>79.2</v>
      </c>
      <c r="F61" s="744">
        <v>16.3</v>
      </c>
      <c r="G61" s="744">
        <v>14.1</v>
      </c>
      <c r="H61" s="744">
        <v>18</v>
      </c>
      <c r="I61" s="586"/>
    </row>
    <row r="62" spans="1:10" s="585" customFormat="1">
      <c r="A62" s="585">
        <v>56</v>
      </c>
      <c r="B62" s="616" t="s">
        <v>4059</v>
      </c>
      <c r="C62" s="743" t="s">
        <v>4060</v>
      </c>
      <c r="D62" s="743" t="s">
        <v>4060</v>
      </c>
      <c r="E62" s="743" t="s">
        <v>4060</v>
      </c>
      <c r="F62" s="743" t="s">
        <v>4060</v>
      </c>
      <c r="G62" s="743" t="s">
        <v>4060</v>
      </c>
      <c r="H62" s="743" t="s">
        <v>4060</v>
      </c>
      <c r="I62" s="586"/>
    </row>
    <row r="63" spans="1:10" s="585" customFormat="1">
      <c r="A63" s="585">
        <v>57</v>
      </c>
      <c r="B63" s="616" t="s">
        <v>30</v>
      </c>
      <c r="C63" s="744">
        <v>82.2</v>
      </c>
      <c r="D63" s="744">
        <v>80.239999999999995</v>
      </c>
      <c r="E63" s="744">
        <v>80.05</v>
      </c>
      <c r="F63" s="744">
        <v>20</v>
      </c>
      <c r="G63" s="744">
        <v>18.899999999999999</v>
      </c>
      <c r="H63" s="744">
        <v>21.1</v>
      </c>
      <c r="I63" s="586"/>
    </row>
    <row r="64" spans="1:10" s="585" customFormat="1">
      <c r="A64" s="585">
        <v>58</v>
      </c>
      <c r="B64" s="618" t="s">
        <v>3930</v>
      </c>
      <c r="C64" s="745">
        <v>83.05</v>
      </c>
      <c r="D64" s="745">
        <v>80.94</v>
      </c>
      <c r="E64" s="745">
        <v>85.16</v>
      </c>
      <c r="F64" s="745">
        <f t="shared" ref="F64:F66" si="0">(G64+H64)/2</f>
        <v>20.350000000000001</v>
      </c>
      <c r="G64" s="745">
        <v>19.5</v>
      </c>
      <c r="H64" s="745">
        <v>21.2</v>
      </c>
      <c r="I64" s="586"/>
    </row>
    <row r="65" spans="1:9" s="585" customFormat="1">
      <c r="A65" s="585">
        <v>59</v>
      </c>
      <c r="B65" s="618" t="s">
        <v>2273</v>
      </c>
      <c r="C65" s="746">
        <v>84.34</v>
      </c>
      <c r="D65" s="746">
        <v>82.59</v>
      </c>
      <c r="E65" s="746">
        <v>86.07</v>
      </c>
      <c r="F65" s="746">
        <f t="shared" si="0"/>
        <v>21.55</v>
      </c>
      <c r="G65" s="746">
        <v>20.3</v>
      </c>
      <c r="H65" s="746">
        <v>22.8</v>
      </c>
      <c r="I65" s="586"/>
    </row>
    <row r="66" spans="1:9" s="585" customFormat="1">
      <c r="A66" s="585">
        <v>60</v>
      </c>
      <c r="B66" s="618" t="s">
        <v>3931</v>
      </c>
      <c r="C66" s="745">
        <v>82.52</v>
      </c>
      <c r="D66" s="745">
        <v>80.930000000000007</v>
      </c>
      <c r="E66" s="745">
        <v>84.1</v>
      </c>
      <c r="F66" s="745">
        <f t="shared" si="0"/>
        <v>20.3</v>
      </c>
      <c r="G66" s="745">
        <v>19.100000000000001</v>
      </c>
      <c r="H66" s="745">
        <v>21.5</v>
      </c>
      <c r="I66" s="586"/>
    </row>
    <row r="67" spans="1:9" s="585" customFormat="1">
      <c r="A67" s="585">
        <v>61</v>
      </c>
      <c r="B67" s="766" t="s">
        <v>2886</v>
      </c>
      <c r="C67" s="746">
        <f>(D67+E67)/2</f>
        <v>78.95</v>
      </c>
      <c r="D67" s="746">
        <v>76.5</v>
      </c>
      <c r="E67" s="746">
        <v>81.400000000000006</v>
      </c>
      <c r="F67" s="746">
        <f>+(G67+H67)/2</f>
        <v>19.600000000000001</v>
      </c>
      <c r="G67" s="746">
        <v>18.399999999999999</v>
      </c>
      <c r="H67" s="746">
        <v>20.8</v>
      </c>
      <c r="I67" s="586"/>
    </row>
    <row r="68" spans="1:9" hidden="1">
      <c r="E68" s="615"/>
    </row>
  </sheetData>
  <mergeCells count="10">
    <mergeCell ref="I7:N7"/>
    <mergeCell ref="B4:B6"/>
    <mergeCell ref="I3:N3"/>
    <mergeCell ref="C4:E4"/>
    <mergeCell ref="F4:H4"/>
    <mergeCell ref="L5:L6"/>
    <mergeCell ref="N5:N6"/>
    <mergeCell ref="M4:N4"/>
    <mergeCell ref="K4:L4"/>
    <mergeCell ref="C3:H3"/>
  </mergeCells>
  <conditionalFormatting sqref="B7:H66">
    <cfRule type="expression" dxfId="20" priority="4" stopIfTrue="1">
      <formula>$B7=Vergleichsland</formula>
    </cfRule>
  </conditionalFormatting>
  <conditionalFormatting sqref="B8:H8 B9:B44 C10:H10 C12:H12 C14:H14 C16:H16 C18:H18 C20:H20 C22:H22 C24:H24 C26:H26 C28:H28 C31:H31 C33:H33 C35:H35 C37:H37 C39:H39 C41:H41 C43:H43 C45:H45 C47:H47 C49:H49 C51:H51 C53:H53 C55:H55 C57:H57 C59:H59 C61:H61 C63:H63 C65:H65 I17:I40 L21:L22 I43:I44">
    <cfRule type="expression" dxfId="19" priority="50">
      <formula>$J$5=$B8</formula>
    </cfRule>
  </conditionalFormatting>
  <conditionalFormatting sqref="C67:H67">
    <cfRule type="expression" dxfId="18" priority="1" stopIfTrue="1">
      <formula>$B67=Vergleichsland</formula>
    </cfRule>
    <cfRule type="expression" dxfId="17" priority="2">
      <formula>$J$5=$B67</formula>
    </cfRule>
  </conditionalFormatting>
  <conditionalFormatting sqref="I4">
    <cfRule type="expression" dxfId="16" priority="53">
      <formula>$J$5=$B13</formula>
    </cfRule>
  </conditionalFormatting>
  <conditionalFormatting sqref="I5">
    <cfRule type="expression" dxfId="15" priority="49">
      <formula>$J$5=$B15</formula>
    </cfRule>
  </conditionalFormatting>
  <conditionalFormatting sqref="I6">
    <cfRule type="expression" dxfId="14" priority="44">
      <formula>$J$5=$B14</formula>
    </cfRule>
  </conditionalFormatting>
  <conditionalFormatting sqref="I9">
    <cfRule type="expression" dxfId="13" priority="7">
      <formula>$J$5=$B18</formula>
    </cfRule>
  </conditionalFormatting>
  <conditionalFormatting sqref="I10">
    <cfRule type="expression" dxfId="12" priority="6">
      <formula>$J$5=$B20</formula>
    </cfRule>
  </conditionalFormatting>
  <conditionalFormatting sqref="I11">
    <cfRule type="expression" dxfId="11" priority="5">
      <formula>$J$5=$B19</formula>
    </cfRule>
  </conditionalFormatting>
  <conditionalFormatting sqref="I41:I42">
    <cfRule type="expression" dxfId="10" priority="57">
      <formula>$J$5=#REF!</formula>
    </cfRule>
  </conditionalFormatting>
  <conditionalFormatting sqref="I45:I46">
    <cfRule type="expression" dxfId="9" priority="60">
      <formula>$J$5=$B41</formula>
    </cfRule>
  </conditionalFormatting>
  <conditionalFormatting sqref="I48:I49">
    <cfRule type="expression" dxfId="8" priority="68">
      <formula>$J$5=$B65</formula>
    </cfRule>
  </conditionalFormatting>
  <hyperlinks>
    <hyperlink ref="C3" r:id="rId1" xr:uid="{F29BE934-4BB4-4923-A0B6-8AE8EE031B5F}"/>
  </hyperlinks>
  <pageMargins left="0.7" right="0.7" top="0.78740157499999996" bottom="0.78740157499999996"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21F7-630D-4737-86C3-141C63F57920}">
  <dimension ref="A1:P26"/>
  <sheetViews>
    <sheetView showGridLines="0" showRowColHeaders="0" tabSelected="1" zoomScale="130" zoomScaleNormal="130" workbookViewId="0">
      <selection activeCell="B10" sqref="B10:O11"/>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6" width="11.42578125" customWidth="1"/>
    <col min="17" max="16384" width="11.42578125" hidden="1"/>
  </cols>
  <sheetData>
    <row r="1" spans="1:16">
      <c r="A1" s="141"/>
      <c r="B1" s="141"/>
      <c r="C1" s="141"/>
      <c r="D1" s="141"/>
      <c r="E1" s="141"/>
      <c r="F1" s="141"/>
      <c r="G1" s="141"/>
      <c r="H1" s="141"/>
      <c r="I1" s="141"/>
      <c r="J1" s="141"/>
      <c r="K1" s="141"/>
      <c r="L1" s="141"/>
      <c r="M1" s="141"/>
      <c r="N1" s="141"/>
      <c r="O1" s="141"/>
      <c r="P1" s="141"/>
    </row>
    <row r="2" spans="1:16">
      <c r="A2" s="141"/>
      <c r="B2" s="141"/>
      <c r="C2" s="141"/>
      <c r="D2" s="141"/>
      <c r="E2" s="141"/>
      <c r="F2" s="141"/>
      <c r="G2" s="141"/>
      <c r="H2" s="141"/>
      <c r="I2" s="141"/>
      <c r="J2" s="141"/>
      <c r="K2" s="141"/>
      <c r="L2" s="141"/>
      <c r="M2" s="141"/>
      <c r="N2" s="141"/>
      <c r="O2" s="141"/>
      <c r="P2" s="141"/>
    </row>
    <row r="3" spans="1:16">
      <c r="A3" s="141"/>
      <c r="B3" s="141"/>
      <c r="C3" s="141"/>
      <c r="D3" s="141"/>
      <c r="E3" s="141"/>
      <c r="F3" s="141"/>
      <c r="G3" s="141"/>
      <c r="H3" s="141"/>
      <c r="I3" s="141"/>
      <c r="J3" s="141"/>
      <c r="K3" s="141"/>
      <c r="L3" s="141"/>
      <c r="M3" s="141"/>
      <c r="N3" s="141"/>
      <c r="O3" s="141"/>
      <c r="P3" s="141"/>
    </row>
    <row r="4" spans="1:16">
      <c r="A4" s="141"/>
      <c r="B4" s="141"/>
      <c r="C4" s="141"/>
      <c r="D4" s="141"/>
      <c r="E4" s="141"/>
      <c r="F4" s="141"/>
      <c r="G4" s="141"/>
      <c r="H4" s="141"/>
      <c r="I4" s="141"/>
      <c r="J4" s="141"/>
      <c r="K4" s="141"/>
      <c r="L4" s="141"/>
      <c r="M4" s="141"/>
      <c r="N4" s="141"/>
      <c r="O4" s="141"/>
      <c r="P4" s="141"/>
    </row>
    <row r="5" spans="1:16">
      <c r="A5" s="141"/>
      <c r="B5" s="141"/>
      <c r="C5" s="141"/>
      <c r="D5" s="141"/>
      <c r="E5" s="141"/>
      <c r="F5" s="141"/>
      <c r="G5" s="141"/>
      <c r="H5" s="141"/>
      <c r="I5" s="141"/>
      <c r="J5" s="141"/>
      <c r="K5" s="141"/>
      <c r="L5" s="141"/>
      <c r="M5" s="141"/>
      <c r="N5" s="141"/>
      <c r="O5" s="141"/>
      <c r="P5" s="141"/>
    </row>
    <row r="6" spans="1:16">
      <c r="A6" s="141"/>
      <c r="B6" s="141"/>
      <c r="C6" s="141"/>
      <c r="D6" s="141"/>
      <c r="E6" s="141"/>
      <c r="F6" s="141"/>
      <c r="G6" s="141"/>
      <c r="H6" s="141"/>
      <c r="I6" s="141"/>
      <c r="J6" s="141"/>
      <c r="K6" s="141"/>
      <c r="L6" s="141"/>
      <c r="M6" s="141"/>
      <c r="N6" s="141"/>
      <c r="O6" s="141"/>
      <c r="P6" s="141"/>
    </row>
    <row r="7" spans="1:16">
      <c r="A7" s="141"/>
      <c r="B7" s="141"/>
      <c r="C7" s="141"/>
      <c r="D7" s="141"/>
      <c r="E7" s="141"/>
      <c r="F7" s="141"/>
      <c r="G7" s="141"/>
      <c r="H7" s="141"/>
      <c r="I7" s="141"/>
      <c r="J7" s="141"/>
      <c r="K7" s="141"/>
      <c r="L7" s="141"/>
      <c r="M7" s="141"/>
      <c r="N7" s="141"/>
      <c r="O7" s="141"/>
      <c r="P7" s="141"/>
    </row>
    <row r="8" spans="1:16" ht="52.5" customHeight="1">
      <c r="A8" s="141"/>
      <c r="B8" s="141"/>
      <c r="C8" s="801" t="s">
        <v>4679</v>
      </c>
      <c r="D8" s="801"/>
      <c r="E8" s="801"/>
      <c r="F8" s="801"/>
      <c r="G8" s="801"/>
      <c r="H8" s="801"/>
      <c r="I8" s="801"/>
      <c r="J8" s="801"/>
      <c r="K8" s="801"/>
      <c r="L8" s="801"/>
      <c r="M8" s="801"/>
      <c r="N8" s="801"/>
      <c r="O8" s="141"/>
      <c r="P8" s="141"/>
    </row>
    <row r="9" spans="1:16" ht="14.45" customHeight="1">
      <c r="A9" s="141"/>
      <c r="B9" s="141"/>
      <c r="C9" s="141"/>
      <c r="D9" s="756"/>
      <c r="E9" s="756"/>
      <c r="F9" s="756"/>
      <c r="G9" s="756"/>
      <c r="H9" s="756"/>
      <c r="I9" s="756"/>
      <c r="J9" s="756"/>
      <c r="K9" s="756"/>
      <c r="L9" s="756"/>
      <c r="M9" s="756"/>
      <c r="N9" s="756"/>
      <c r="O9" s="141"/>
      <c r="P9" s="141"/>
    </row>
    <row r="10" spans="1:16" ht="14.45" customHeight="1">
      <c r="A10" s="141"/>
      <c r="B10" s="800" t="s">
        <v>4652</v>
      </c>
      <c r="C10" s="800"/>
      <c r="D10" s="800"/>
      <c r="E10" s="800"/>
      <c r="F10" s="800"/>
      <c r="G10" s="800"/>
      <c r="H10" s="800"/>
      <c r="I10" s="800"/>
      <c r="J10" s="800"/>
      <c r="K10" s="800"/>
      <c r="L10" s="800"/>
      <c r="M10" s="800"/>
      <c r="N10" s="800"/>
      <c r="O10" s="800"/>
      <c r="P10" s="141"/>
    </row>
    <row r="11" spans="1:16" ht="409.5" customHeight="1">
      <c r="A11" s="141"/>
      <c r="B11" s="800"/>
      <c r="C11" s="800"/>
      <c r="D11" s="800"/>
      <c r="E11" s="800"/>
      <c r="F11" s="800"/>
      <c r="G11" s="800"/>
      <c r="H11" s="800"/>
      <c r="I11" s="800"/>
      <c r="J11" s="800"/>
      <c r="K11" s="800"/>
      <c r="L11" s="800"/>
      <c r="M11" s="800"/>
      <c r="N11" s="800"/>
      <c r="O11" s="800"/>
      <c r="P11" s="141"/>
    </row>
    <row r="12" spans="1:16" ht="409.5" hidden="1" customHeight="1">
      <c r="A12" s="141"/>
      <c r="B12" s="757"/>
      <c r="C12" s="757"/>
      <c r="D12" s="757"/>
      <c r="E12" s="757"/>
      <c r="F12" s="757"/>
      <c r="G12" s="757"/>
      <c r="H12" s="757"/>
      <c r="I12" s="757"/>
      <c r="J12" s="757"/>
      <c r="K12" s="757"/>
      <c r="L12" s="757"/>
      <c r="M12" s="757"/>
      <c r="N12" s="757"/>
      <c r="O12" s="141"/>
      <c r="P12" s="141"/>
    </row>
    <row r="13" spans="1:16" ht="409.5" hidden="1" customHeight="1">
      <c r="A13" s="141"/>
      <c r="B13" s="757"/>
      <c r="C13" s="757"/>
      <c r="D13" s="757"/>
      <c r="E13" s="757"/>
      <c r="F13" s="757"/>
      <c r="G13" s="757"/>
      <c r="H13" s="757"/>
      <c r="I13" s="757"/>
      <c r="J13" s="757"/>
      <c r="K13" s="757"/>
      <c r="L13" s="757"/>
      <c r="M13" s="757"/>
      <c r="N13" s="757"/>
      <c r="O13" s="141"/>
      <c r="P13" s="141"/>
    </row>
    <row r="14" spans="1:16" ht="409.5" hidden="1" customHeight="1">
      <c r="A14" s="141"/>
      <c r="B14" s="757"/>
      <c r="C14" s="757"/>
      <c r="D14" s="757"/>
      <c r="E14" s="757"/>
      <c r="F14" s="757"/>
      <c r="G14" s="757"/>
      <c r="H14" s="757"/>
      <c r="I14" s="757"/>
      <c r="J14" s="757"/>
      <c r="K14" s="757"/>
      <c r="L14" s="757"/>
      <c r="M14" s="757"/>
      <c r="N14" s="757"/>
      <c r="O14" s="141"/>
      <c r="P14" s="141"/>
    </row>
    <row r="15" spans="1:16" ht="409.5" hidden="1" customHeight="1">
      <c r="A15" s="141"/>
      <c r="B15" s="757"/>
      <c r="C15" s="757"/>
      <c r="D15" s="757"/>
      <c r="E15" s="757"/>
      <c r="F15" s="757"/>
      <c r="G15" s="757"/>
      <c r="H15" s="757"/>
      <c r="I15" s="757"/>
      <c r="J15" s="757"/>
      <c r="K15" s="757"/>
      <c r="L15" s="757"/>
      <c r="M15" s="757"/>
      <c r="N15" s="757"/>
      <c r="O15" s="141"/>
      <c r="P15" s="141"/>
    </row>
    <row r="16" spans="1:16" ht="409.5" hidden="1" customHeight="1">
      <c r="A16" s="141"/>
      <c r="B16" s="757"/>
      <c r="C16" s="757"/>
      <c r="D16" s="757"/>
      <c r="E16" s="757"/>
      <c r="F16" s="757"/>
      <c r="G16" s="757"/>
      <c r="H16" s="757"/>
      <c r="I16" s="757"/>
      <c r="J16" s="757"/>
      <c r="K16" s="757"/>
      <c r="L16" s="757"/>
      <c r="M16" s="757"/>
      <c r="N16" s="757"/>
      <c r="O16" s="141"/>
      <c r="P16" s="141"/>
    </row>
    <row r="17" spans="1:16" ht="409.5" hidden="1" customHeight="1">
      <c r="A17" s="141"/>
      <c r="B17" s="757"/>
      <c r="C17" s="757"/>
      <c r="D17" s="757"/>
      <c r="E17" s="757"/>
      <c r="F17" s="757"/>
      <c r="G17" s="757"/>
      <c r="H17" s="757"/>
      <c r="I17" s="757"/>
      <c r="J17" s="757"/>
      <c r="K17" s="757"/>
      <c r="L17" s="757"/>
      <c r="M17" s="757"/>
      <c r="N17" s="757"/>
      <c r="O17" s="141"/>
      <c r="P17" s="141"/>
    </row>
    <row r="18" spans="1:16" ht="409.5" hidden="1" customHeight="1">
      <c r="A18" s="141"/>
      <c r="B18" s="757"/>
      <c r="C18" s="757"/>
      <c r="D18" s="757"/>
      <c r="E18" s="757"/>
      <c r="F18" s="757"/>
      <c r="G18" s="757"/>
      <c r="H18" s="757"/>
      <c r="I18" s="757"/>
      <c r="J18" s="757"/>
      <c r="K18" s="757"/>
      <c r="L18" s="757"/>
      <c r="M18" s="757"/>
      <c r="N18" s="757"/>
      <c r="O18" s="141"/>
      <c r="P18" s="141"/>
    </row>
    <row r="19" spans="1:16" ht="409.5" hidden="1" customHeight="1">
      <c r="A19" s="141"/>
      <c r="B19" s="757"/>
      <c r="C19" s="757"/>
      <c r="D19" s="757"/>
      <c r="E19" s="757"/>
      <c r="F19" s="757"/>
      <c r="G19" s="757"/>
      <c r="H19" s="757"/>
      <c r="I19" s="757"/>
      <c r="J19" s="757"/>
      <c r="K19" s="757"/>
      <c r="L19" s="757"/>
      <c r="M19" s="757"/>
      <c r="N19" s="757"/>
      <c r="O19" s="141"/>
      <c r="P19" s="141"/>
    </row>
    <row r="20" spans="1:16" ht="409.5" hidden="1" customHeight="1">
      <c r="A20" s="141"/>
      <c r="B20" s="757"/>
      <c r="C20" s="757"/>
      <c r="D20" s="757"/>
      <c r="E20" s="757"/>
      <c r="F20" s="757"/>
      <c r="G20" s="757"/>
      <c r="H20" s="757"/>
      <c r="I20" s="757"/>
      <c r="J20" s="757"/>
      <c r="K20" s="757"/>
      <c r="L20" s="757"/>
      <c r="M20" s="757"/>
      <c r="N20" s="757"/>
      <c r="O20" s="141"/>
      <c r="P20" s="141"/>
    </row>
    <row r="21" spans="1:16" ht="409.5" hidden="1" customHeight="1">
      <c r="A21" s="141"/>
      <c r="B21" s="757"/>
      <c r="C21" s="757"/>
      <c r="D21" s="757"/>
      <c r="E21" s="757"/>
      <c r="F21" s="757"/>
      <c r="G21" s="757"/>
      <c r="H21" s="757"/>
      <c r="I21" s="757"/>
      <c r="J21" s="757"/>
      <c r="K21" s="757"/>
      <c r="L21" s="757"/>
      <c r="M21" s="757"/>
      <c r="N21" s="757"/>
      <c r="O21" s="141"/>
      <c r="P21" s="141"/>
    </row>
    <row r="22" spans="1:16" ht="409.5" hidden="1" customHeight="1">
      <c r="A22" s="141"/>
      <c r="B22" s="757"/>
      <c r="C22" s="757"/>
      <c r="D22" s="757"/>
      <c r="E22" s="757"/>
      <c r="F22" s="757"/>
      <c r="G22" s="757"/>
      <c r="H22" s="757"/>
      <c r="I22" s="757"/>
      <c r="J22" s="757"/>
      <c r="K22" s="757"/>
      <c r="L22" s="757"/>
      <c r="M22" s="757"/>
      <c r="N22" s="757"/>
      <c r="O22" s="141"/>
      <c r="P22" s="141"/>
    </row>
    <row r="23" spans="1:16" ht="409.5" hidden="1" customHeight="1">
      <c r="A23" s="141"/>
      <c r="B23" s="757"/>
      <c r="C23" s="757"/>
      <c r="D23" s="757"/>
      <c r="E23" s="757"/>
      <c r="F23" s="757"/>
      <c r="G23" s="757"/>
      <c r="H23" s="757"/>
      <c r="I23" s="757"/>
      <c r="J23" s="757"/>
      <c r="K23" s="757"/>
      <c r="L23" s="757"/>
      <c r="M23" s="757"/>
      <c r="N23" s="757"/>
      <c r="O23" s="141"/>
      <c r="P23" s="141"/>
    </row>
    <row r="24" spans="1:16" ht="409.5" hidden="1" customHeight="1">
      <c r="A24" s="141"/>
      <c r="B24" s="757"/>
      <c r="C24" s="757"/>
      <c r="D24" s="757"/>
      <c r="E24" s="757"/>
      <c r="F24" s="757"/>
      <c r="G24" s="757"/>
      <c r="H24" s="757"/>
      <c r="I24" s="757"/>
      <c r="J24" s="757"/>
      <c r="K24" s="757"/>
      <c r="L24" s="757"/>
      <c r="M24" s="757"/>
      <c r="N24" s="757"/>
      <c r="O24" s="141"/>
      <c r="P24" s="141"/>
    </row>
    <row r="25" spans="1:16" hidden="1">
      <c r="A25" s="141"/>
      <c r="B25" s="141"/>
      <c r="C25" s="141"/>
      <c r="D25" s="141"/>
      <c r="E25" s="141"/>
      <c r="F25" s="141"/>
      <c r="G25" s="141"/>
      <c r="H25" s="141"/>
      <c r="I25" s="141"/>
      <c r="J25" s="141"/>
      <c r="K25" s="141"/>
      <c r="L25" s="141"/>
      <c r="M25" s="141"/>
      <c r="N25" s="141"/>
      <c r="O25" s="141"/>
      <c r="P25" s="141"/>
    </row>
    <row r="26" spans="1:16" hidden="1">
      <c r="A26" s="141"/>
      <c r="B26" s="141"/>
      <c r="C26" s="141"/>
      <c r="D26" s="141"/>
      <c r="E26" s="141"/>
      <c r="F26" s="141"/>
      <c r="G26" s="141"/>
      <c r="H26" s="141"/>
      <c r="I26" s="141"/>
      <c r="J26" s="141"/>
      <c r="K26" s="141"/>
      <c r="L26" s="141"/>
      <c r="M26" s="141"/>
      <c r="N26" s="141"/>
      <c r="O26" s="141"/>
      <c r="P26" s="141"/>
    </row>
  </sheetData>
  <sheetProtection algorithmName="SHA-512" hashValue="nHRqIypXLTyaOIIEU7xZfo7+hmjZ01YPydiBchaAaQVOqTxsMBEYiOZVKtp2pLRgTSQvqvliknkA4uPhqXFhrA==" saltValue="wLjq6FLDTOsRD7ThUg14Ug==" spinCount="100000" sheet="1" objects="1" scenarios="1" selectLockedCells="1" selectUnlockedCells="1"/>
  <mergeCells count="2">
    <mergeCell ref="B10:O11"/>
    <mergeCell ref="C8:N8"/>
  </mergeCells>
  <pageMargins left="0.7" right="0.7" top="0.78740157499999996" bottom="0.78740157499999996"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DDC6-0890-4A5E-89C7-876F9B32F1D1}">
  <sheetPr codeName="Tabelle71"/>
  <dimension ref="A1:K20663"/>
  <sheetViews>
    <sheetView workbookViewId="0">
      <selection activeCell="B5" sqref="B5"/>
    </sheetView>
  </sheetViews>
  <sheetFormatPr baseColWidth="10" defaultColWidth="9.140625" defaultRowHeight="15"/>
  <cols>
    <col min="1" max="1" width="29.85546875" customWidth="1"/>
    <col min="2" max="11" width="10" customWidth="1"/>
  </cols>
  <sheetData>
    <row r="1" spans="1:11" ht="15" customHeight="1">
      <c r="A1" s="1091" t="s">
        <v>4658</v>
      </c>
      <c r="B1" s="1091"/>
      <c r="C1" s="1091"/>
      <c r="D1" s="1091"/>
      <c r="E1" s="1091"/>
      <c r="F1" s="1091"/>
      <c r="G1" s="1091"/>
      <c r="H1" s="1091"/>
      <c r="I1" s="1091"/>
      <c r="J1" s="1091"/>
      <c r="K1" s="1091"/>
    </row>
    <row r="2" spans="1:11">
      <c r="A2" s="1091"/>
      <c r="B2" s="1091"/>
      <c r="C2" s="1091"/>
      <c r="D2" s="1091"/>
      <c r="E2" s="1091"/>
      <c r="F2" s="1091"/>
      <c r="G2" s="1091"/>
      <c r="H2" s="1091"/>
      <c r="I2" s="1091"/>
      <c r="J2" s="1091"/>
      <c r="K2" s="1091"/>
    </row>
    <row r="3" spans="1:11">
      <c r="A3" s="1091"/>
      <c r="B3" s="1091"/>
      <c r="C3" s="1091"/>
      <c r="D3" s="1091"/>
      <c r="E3" s="1091"/>
      <c r="F3" s="1091"/>
      <c r="G3" s="1091"/>
      <c r="H3" s="1091"/>
      <c r="I3" s="1091"/>
      <c r="J3" s="1091"/>
      <c r="K3" s="1091"/>
    </row>
    <row r="4" spans="1:11">
      <c r="A4" s="682" t="s">
        <v>4209</v>
      </c>
      <c r="J4" s="1081"/>
      <c r="K4" s="1081"/>
    </row>
    <row r="5" spans="1:11">
      <c r="A5" s="682" t="s">
        <v>4210</v>
      </c>
      <c r="B5" s="683" t="s">
        <v>4211</v>
      </c>
      <c r="J5" s="1081"/>
      <c r="K5" s="1081"/>
    </row>
    <row r="6" spans="1:11" ht="15.75" thickBot="1">
      <c r="A6" s="682" t="s">
        <v>4212</v>
      </c>
      <c r="B6" s="682" t="s">
        <v>4213</v>
      </c>
      <c r="J6" s="1081"/>
      <c r="K6" s="1081"/>
    </row>
    <row r="7" spans="1:11" ht="15" customHeight="1">
      <c r="E7" s="1082" t="s">
        <v>4345</v>
      </c>
      <c r="F7" s="1083"/>
      <c r="G7" s="1083"/>
      <c r="H7" s="1083"/>
      <c r="I7" s="1083"/>
      <c r="J7" s="1083"/>
      <c r="K7" s="1084"/>
    </row>
    <row r="8" spans="1:11">
      <c r="A8" s="683" t="s">
        <v>4214</v>
      </c>
      <c r="C8" s="682" t="s">
        <v>4215</v>
      </c>
      <c r="E8" s="1085"/>
      <c r="F8" s="1086"/>
      <c r="G8" s="1086"/>
      <c r="H8" s="1086"/>
      <c r="I8" s="1086"/>
      <c r="J8" s="1086"/>
      <c r="K8" s="1087"/>
    </row>
    <row r="9" spans="1:11">
      <c r="A9" s="683" t="s">
        <v>4216</v>
      </c>
      <c r="C9" s="682" t="s">
        <v>2967</v>
      </c>
      <c r="E9" s="1085"/>
      <c r="F9" s="1086"/>
      <c r="G9" s="1086"/>
      <c r="H9" s="1086"/>
      <c r="I9" s="1086"/>
      <c r="J9" s="1086"/>
      <c r="K9" s="1087"/>
    </row>
    <row r="10" spans="1:11">
      <c r="A10" s="683" t="s">
        <v>3893</v>
      </c>
      <c r="C10" s="682" t="s">
        <v>4217</v>
      </c>
      <c r="E10" s="1085"/>
      <c r="F10" s="1086"/>
      <c r="G10" s="1086"/>
      <c r="H10" s="1086"/>
      <c r="I10" s="1086"/>
      <c r="J10" s="1086"/>
      <c r="K10" s="1087"/>
    </row>
    <row r="11" spans="1:11">
      <c r="A11" s="683" t="s">
        <v>4218</v>
      </c>
      <c r="C11" s="682" t="s">
        <v>4219</v>
      </c>
      <c r="E11" s="1085"/>
      <c r="F11" s="1086"/>
      <c r="G11" s="1086"/>
      <c r="H11" s="1086"/>
      <c r="I11" s="1086"/>
      <c r="J11" s="1086"/>
      <c r="K11" s="1087"/>
    </row>
    <row r="12" spans="1:11" ht="15.75" thickBot="1">
      <c r="E12" s="1088"/>
      <c r="F12" s="1089"/>
      <c r="G12" s="1089"/>
      <c r="H12" s="1089"/>
      <c r="I12" s="1089"/>
      <c r="J12" s="1089"/>
      <c r="K12" s="1090"/>
    </row>
    <row r="13" spans="1:11">
      <c r="A13" s="684" t="s">
        <v>4220</v>
      </c>
      <c r="B13" s="685" t="s">
        <v>4221</v>
      </c>
      <c r="C13" s="685" t="s">
        <v>4222</v>
      </c>
      <c r="D13" s="685" t="s">
        <v>4223</v>
      </c>
      <c r="E13" s="704" t="s">
        <v>4224</v>
      </c>
      <c r="F13" s="704" t="s">
        <v>4225</v>
      </c>
      <c r="G13" s="704" t="s">
        <v>4226</v>
      </c>
      <c r="H13" s="704" t="s">
        <v>4227</v>
      </c>
      <c r="I13" s="704" t="s">
        <v>4228</v>
      </c>
      <c r="J13" s="704" t="s">
        <v>4229</v>
      </c>
      <c r="K13" s="704" t="s">
        <v>4230</v>
      </c>
    </row>
    <row r="14" spans="1:11">
      <c r="A14" s="686" t="s">
        <v>4231</v>
      </c>
      <c r="B14" s="687" t="s">
        <v>4232</v>
      </c>
      <c r="C14" s="687" t="s">
        <v>4232</v>
      </c>
      <c r="D14" s="687" t="s">
        <v>4232</v>
      </c>
      <c r="E14" s="687" t="s">
        <v>4232</v>
      </c>
      <c r="F14" s="687" t="s">
        <v>4232</v>
      </c>
      <c r="G14" s="687" t="s">
        <v>4232</v>
      </c>
      <c r="H14" s="687" t="s">
        <v>4232</v>
      </c>
      <c r="I14" s="687" t="s">
        <v>4232</v>
      </c>
      <c r="J14" s="687" t="s">
        <v>4232</v>
      </c>
      <c r="K14" s="687" t="s">
        <v>4232</v>
      </c>
    </row>
    <row r="15" spans="1:11">
      <c r="A15" s="688" t="s">
        <v>2269</v>
      </c>
      <c r="B15" s="689">
        <v>77.900000000000006</v>
      </c>
      <c r="C15" s="689">
        <v>78.2</v>
      </c>
      <c r="D15" s="689">
        <v>77.900000000000006</v>
      </c>
      <c r="E15" s="689">
        <v>78.5</v>
      </c>
      <c r="F15" s="689">
        <v>78.5</v>
      </c>
      <c r="G15" s="689">
        <v>78.900000000000006</v>
      </c>
      <c r="H15" s="689">
        <v>79.099999999999994</v>
      </c>
      <c r="I15" s="689">
        <v>77.400000000000006</v>
      </c>
      <c r="J15" s="689">
        <v>75.5</v>
      </c>
      <c r="K15" s="689">
        <v>79.099999999999994</v>
      </c>
    </row>
    <row r="16" spans="1:11">
      <c r="A16" s="688" t="s">
        <v>2489</v>
      </c>
      <c r="B16" s="690" t="s">
        <v>4060</v>
      </c>
      <c r="C16" s="690" t="s">
        <v>4060</v>
      </c>
      <c r="D16" s="689">
        <v>75.099999999999994</v>
      </c>
      <c r="E16" s="689">
        <v>75.099999999999994</v>
      </c>
      <c r="F16" s="689">
        <v>75.8</v>
      </c>
      <c r="G16" s="689">
        <v>76.7</v>
      </c>
      <c r="H16" s="689">
        <v>76.599999999999994</v>
      </c>
      <c r="I16" s="690" t="s">
        <v>4060</v>
      </c>
      <c r="J16" s="690" t="s">
        <v>4060</v>
      </c>
      <c r="K16" s="690" t="s">
        <v>4060</v>
      </c>
    </row>
    <row r="17" spans="1:11">
      <c r="A17" s="688" t="s">
        <v>2490</v>
      </c>
      <c r="B17" s="691">
        <v>74.7</v>
      </c>
      <c r="C17" s="691">
        <v>74.8</v>
      </c>
      <c r="D17" s="691">
        <v>75.3</v>
      </c>
      <c r="E17" s="692" t="s">
        <v>4060</v>
      </c>
      <c r="F17" s="691">
        <v>75.599999999999994</v>
      </c>
      <c r="G17" s="615">
        <v>76</v>
      </c>
      <c r="H17" s="691">
        <v>76.599999999999994</v>
      </c>
      <c r="I17" s="692" t="s">
        <v>4060</v>
      </c>
      <c r="J17" s="692" t="s">
        <v>4060</v>
      </c>
      <c r="K17" s="692" t="s">
        <v>4060</v>
      </c>
    </row>
    <row r="18" spans="1:11">
      <c r="A18" s="688" t="s">
        <v>2491</v>
      </c>
      <c r="B18" s="691">
        <v>72.7</v>
      </c>
      <c r="C18" s="691">
        <v>73.3</v>
      </c>
      <c r="D18" s="615">
        <v>74</v>
      </c>
      <c r="E18" s="691">
        <v>74.2</v>
      </c>
      <c r="F18" s="691">
        <v>74.5</v>
      </c>
      <c r="G18" s="691">
        <v>74.5</v>
      </c>
      <c r="H18" s="692" t="s">
        <v>4060</v>
      </c>
      <c r="I18" s="692" t="s">
        <v>4060</v>
      </c>
      <c r="J18" s="692" t="s">
        <v>4060</v>
      </c>
      <c r="K18" s="692" t="s">
        <v>4060</v>
      </c>
    </row>
    <row r="19" spans="1:11">
      <c r="A19" s="688" t="s">
        <v>0</v>
      </c>
      <c r="B19" s="691">
        <v>80.7</v>
      </c>
      <c r="C19" s="691">
        <v>81.099999999999994</v>
      </c>
      <c r="D19" s="691">
        <v>80.900000000000006</v>
      </c>
      <c r="E19" s="691">
        <v>81.3</v>
      </c>
      <c r="F19" s="691">
        <v>81.400000000000006</v>
      </c>
      <c r="G19" s="691">
        <v>81.5</v>
      </c>
      <c r="H19" s="691">
        <v>81.8</v>
      </c>
      <c r="I19" s="691">
        <v>80.8</v>
      </c>
      <c r="J19" s="691">
        <v>81.7</v>
      </c>
      <c r="K19" s="691">
        <v>81.7</v>
      </c>
    </row>
    <row r="20" spans="1:11">
      <c r="A20" s="688" t="s">
        <v>1</v>
      </c>
      <c r="B20" s="689">
        <v>74.900000000000006</v>
      </c>
      <c r="C20" s="689">
        <v>74.400000000000006</v>
      </c>
      <c r="D20" s="689">
        <v>74.5</v>
      </c>
      <c r="E20" s="689">
        <v>74.7</v>
      </c>
      <c r="F20" s="689">
        <v>74.599999999999994</v>
      </c>
      <c r="G20" s="689">
        <v>74.7</v>
      </c>
      <c r="H20" s="689">
        <v>74.8</v>
      </c>
      <c r="I20" s="689">
        <v>73.3</v>
      </c>
      <c r="J20" s="689">
        <v>71.2</v>
      </c>
      <c r="K20" s="689">
        <v>74.099999999999994</v>
      </c>
    </row>
    <row r="21" spans="1:11">
      <c r="A21" s="688" t="s">
        <v>2</v>
      </c>
      <c r="B21" s="689">
        <v>80.400000000000006</v>
      </c>
      <c r="C21" s="689">
        <v>80.599999999999994</v>
      </c>
      <c r="D21" s="689">
        <v>80.7</v>
      </c>
      <c r="E21" s="689">
        <v>80.900000000000006</v>
      </c>
      <c r="F21" s="689">
        <v>81.099999999999994</v>
      </c>
      <c r="G21" s="693">
        <v>81</v>
      </c>
      <c r="H21" s="689">
        <v>81.400000000000006</v>
      </c>
      <c r="I21" s="689">
        <v>81.5</v>
      </c>
      <c r="J21" s="689">
        <v>81.400000000000006</v>
      </c>
      <c r="K21" s="689">
        <v>81.3</v>
      </c>
    </row>
    <row r="22" spans="1:11">
      <c r="A22" s="688" t="s">
        <v>3</v>
      </c>
      <c r="B22" s="691">
        <v>80.599999999999994</v>
      </c>
      <c r="C22" s="691">
        <v>80.900000000000006</v>
      </c>
      <c r="D22" s="691">
        <v>80.599999999999994</v>
      </c>
      <c r="E22" s="691">
        <v>80.900000000000006</v>
      </c>
      <c r="F22" s="615">
        <v>81</v>
      </c>
      <c r="G22" s="691">
        <v>80.900000000000006</v>
      </c>
      <c r="H22" s="691">
        <v>81.2</v>
      </c>
      <c r="I22" s="615">
        <v>81</v>
      </c>
      <c r="J22" s="691">
        <v>80.7</v>
      </c>
      <c r="K22" s="691">
        <v>80.5</v>
      </c>
    </row>
    <row r="23" spans="1:11">
      <c r="A23" s="688" t="s">
        <v>4061</v>
      </c>
      <c r="B23" s="689">
        <v>80.599999999999994</v>
      </c>
      <c r="C23" s="689">
        <v>80.900000000000006</v>
      </c>
      <c r="D23" s="689">
        <v>80.599999999999994</v>
      </c>
      <c r="E23" s="689">
        <v>80.900000000000006</v>
      </c>
      <c r="F23" s="693">
        <v>81</v>
      </c>
      <c r="G23" s="689">
        <v>80.900000000000006</v>
      </c>
      <c r="H23" s="689">
        <v>81.2</v>
      </c>
      <c r="I23" s="693">
        <v>81</v>
      </c>
      <c r="J23" s="689">
        <v>80.7</v>
      </c>
      <c r="K23" s="689">
        <v>80.5</v>
      </c>
    </row>
    <row r="24" spans="1:11">
      <c r="A24" s="688" t="s">
        <v>4</v>
      </c>
      <c r="B24" s="691">
        <v>77.5</v>
      </c>
      <c r="C24" s="691">
        <v>77.099999999999994</v>
      </c>
      <c r="D24" s="691">
        <v>77.7</v>
      </c>
      <c r="E24" s="691">
        <v>77.8</v>
      </c>
      <c r="F24" s="691">
        <v>78.2</v>
      </c>
      <c r="G24" s="691">
        <v>78.400000000000006</v>
      </c>
      <c r="H24" s="691">
        <v>78.8</v>
      </c>
      <c r="I24" s="691">
        <v>78.8</v>
      </c>
      <c r="J24" s="691">
        <v>77.2</v>
      </c>
      <c r="K24" s="691">
        <v>78.099999999999994</v>
      </c>
    </row>
    <row r="25" spans="1:11">
      <c r="A25" s="688" t="s">
        <v>4062</v>
      </c>
      <c r="B25" s="689">
        <v>82.5</v>
      </c>
      <c r="C25" s="689">
        <v>82.7</v>
      </c>
      <c r="D25" s="689">
        <v>82.7</v>
      </c>
      <c r="E25" s="693">
        <v>83</v>
      </c>
      <c r="F25" s="689">
        <v>83.1</v>
      </c>
      <c r="G25" s="689">
        <v>83.3</v>
      </c>
      <c r="H25" s="689">
        <v>83.5</v>
      </c>
      <c r="I25" s="689">
        <v>83.1</v>
      </c>
      <c r="J25" s="689">
        <v>83.5</v>
      </c>
      <c r="K25" s="689">
        <v>83.2</v>
      </c>
    </row>
    <row r="26" spans="1:11">
      <c r="A26" s="688" t="s">
        <v>4063</v>
      </c>
      <c r="B26" s="689">
        <v>80.599999999999994</v>
      </c>
      <c r="C26" s="689">
        <v>80.900000000000006</v>
      </c>
      <c r="D26" s="689">
        <v>80.599999999999994</v>
      </c>
      <c r="E26" s="693">
        <v>81</v>
      </c>
      <c r="F26" s="693">
        <v>81</v>
      </c>
      <c r="G26" s="693">
        <v>81</v>
      </c>
      <c r="H26" s="690" t="s">
        <v>4060</v>
      </c>
      <c r="I26" s="690" t="s">
        <v>4060</v>
      </c>
      <c r="J26" s="690" t="s">
        <v>4060</v>
      </c>
      <c r="K26" s="690" t="s">
        <v>4060</v>
      </c>
    </row>
    <row r="27" spans="1:11">
      <c r="A27" s="688" t="s">
        <v>4064</v>
      </c>
      <c r="B27" s="689">
        <v>80.5</v>
      </c>
      <c r="C27" s="689">
        <v>80.599999999999994</v>
      </c>
      <c r="D27" s="689">
        <v>80.5</v>
      </c>
      <c r="E27" s="689">
        <v>80.7</v>
      </c>
      <c r="F27" s="689">
        <v>80.7</v>
      </c>
      <c r="G27" s="689">
        <v>80.8</v>
      </c>
      <c r="H27" s="689">
        <v>81.099999999999994</v>
      </c>
      <c r="I27" s="689">
        <v>80.3</v>
      </c>
      <c r="J27" s="693">
        <v>80</v>
      </c>
      <c r="K27" s="689">
        <v>80.599999999999994</v>
      </c>
    </row>
    <row r="28" spans="1:11">
      <c r="A28" s="688" t="s">
        <v>4065</v>
      </c>
      <c r="B28" s="691">
        <v>80.5</v>
      </c>
      <c r="C28" s="691">
        <v>80.900000000000006</v>
      </c>
      <c r="D28" s="691">
        <v>80.599999999999994</v>
      </c>
      <c r="E28" s="615">
        <v>81</v>
      </c>
      <c r="F28" s="691">
        <v>80.900000000000006</v>
      </c>
      <c r="G28" s="615">
        <v>81</v>
      </c>
      <c r="H28" s="692" t="s">
        <v>4060</v>
      </c>
      <c r="I28" s="692" t="s">
        <v>4060</v>
      </c>
      <c r="J28" s="692" t="s">
        <v>4060</v>
      </c>
      <c r="K28" s="692" t="s">
        <v>4060</v>
      </c>
    </row>
    <row r="29" spans="1:11">
      <c r="A29" s="688" t="s">
        <v>4066</v>
      </c>
      <c r="B29" s="691">
        <v>80.599999999999994</v>
      </c>
      <c r="C29" s="691">
        <v>80.900000000000006</v>
      </c>
      <c r="D29" s="691">
        <v>80.599999999999994</v>
      </c>
      <c r="E29" s="615">
        <v>81</v>
      </c>
      <c r="F29" s="615">
        <v>81</v>
      </c>
      <c r="G29" s="691">
        <v>81.099999999999994</v>
      </c>
      <c r="H29" s="692" t="s">
        <v>4060</v>
      </c>
      <c r="I29" s="692" t="s">
        <v>4060</v>
      </c>
      <c r="J29" s="692" t="s">
        <v>4060</v>
      </c>
      <c r="K29" s="692" t="s">
        <v>4060</v>
      </c>
    </row>
    <row r="30" spans="1:11">
      <c r="A30" s="688" t="s">
        <v>4067</v>
      </c>
      <c r="B30" s="689">
        <v>80.599999999999994</v>
      </c>
      <c r="C30" s="689">
        <v>80.900000000000006</v>
      </c>
      <c r="D30" s="689">
        <v>80.599999999999994</v>
      </c>
      <c r="E30" s="693">
        <v>81</v>
      </c>
      <c r="F30" s="693">
        <v>81</v>
      </c>
      <c r="G30" s="693">
        <v>81</v>
      </c>
      <c r="H30" s="690" t="s">
        <v>4060</v>
      </c>
      <c r="I30" s="690" t="s">
        <v>4060</v>
      </c>
      <c r="J30" s="690" t="s">
        <v>4060</v>
      </c>
      <c r="K30" s="690" t="s">
        <v>4060</v>
      </c>
    </row>
    <row r="31" spans="1:11">
      <c r="A31" s="688" t="s">
        <v>4068</v>
      </c>
      <c r="B31" s="689">
        <v>81.599999999999994</v>
      </c>
      <c r="C31" s="690" t="s">
        <v>4060</v>
      </c>
      <c r="D31" s="690" t="s">
        <v>4060</v>
      </c>
      <c r="E31" s="690" t="s">
        <v>4060</v>
      </c>
      <c r="F31" s="690" t="s">
        <v>4060</v>
      </c>
      <c r="G31" s="690" t="s">
        <v>4060</v>
      </c>
      <c r="H31" s="690" t="s">
        <v>4060</v>
      </c>
      <c r="I31" s="690" t="s">
        <v>4060</v>
      </c>
      <c r="J31" s="690" t="s">
        <v>4060</v>
      </c>
      <c r="K31" s="690" t="s">
        <v>4060</v>
      </c>
    </row>
    <row r="32" spans="1:11">
      <c r="A32" s="688" t="s">
        <v>4069</v>
      </c>
      <c r="B32" s="692" t="s">
        <v>4060</v>
      </c>
      <c r="C32" s="691">
        <v>81.599999999999994</v>
      </c>
      <c r="D32" s="691">
        <v>81.3</v>
      </c>
      <c r="E32" s="691">
        <v>81.7</v>
      </c>
      <c r="F32" s="691">
        <v>81.7</v>
      </c>
      <c r="G32" s="691">
        <v>81.8</v>
      </c>
      <c r="H32" s="691">
        <v>82.1</v>
      </c>
      <c r="I32" s="691">
        <v>81.400000000000006</v>
      </c>
      <c r="J32" s="691">
        <v>81.400000000000006</v>
      </c>
      <c r="K32" s="691">
        <v>81.599999999999994</v>
      </c>
    </row>
    <row r="33" spans="1:11">
      <c r="A33" s="688" t="s">
        <v>5</v>
      </c>
      <c r="B33" s="689">
        <v>81.099999999999994</v>
      </c>
      <c r="C33" s="689">
        <v>81.099999999999994</v>
      </c>
      <c r="D33" s="689">
        <v>81.400000000000006</v>
      </c>
      <c r="E33" s="689">
        <v>81.3</v>
      </c>
      <c r="F33" s="689">
        <v>81.5</v>
      </c>
      <c r="G33" s="689">
        <v>81.599999999999994</v>
      </c>
      <c r="H33" s="689">
        <v>81.900000000000006</v>
      </c>
      <c r="I33" s="689">
        <v>81.8</v>
      </c>
      <c r="J33" s="689">
        <v>81.8</v>
      </c>
      <c r="K33" s="689">
        <v>81.2</v>
      </c>
    </row>
    <row r="34" spans="1:11">
      <c r="A34" s="688" t="s">
        <v>6</v>
      </c>
      <c r="B34" s="691">
        <v>82.4</v>
      </c>
      <c r="C34" s="691">
        <v>82.4</v>
      </c>
      <c r="D34" s="691">
        <v>82.1</v>
      </c>
      <c r="E34" s="691">
        <v>82.4</v>
      </c>
      <c r="F34" s="691">
        <v>82.4</v>
      </c>
      <c r="G34" s="691">
        <v>82.6</v>
      </c>
      <c r="H34" s="691">
        <v>82.7</v>
      </c>
      <c r="I34" s="691">
        <v>82.2</v>
      </c>
      <c r="J34" s="691">
        <v>82.2</v>
      </c>
      <c r="K34" s="691">
        <v>82.2</v>
      </c>
    </row>
    <row r="35" spans="1:11">
      <c r="A35" s="688" t="s">
        <v>4058</v>
      </c>
      <c r="B35" s="690" t="s">
        <v>4060</v>
      </c>
      <c r="C35" s="690" t="s">
        <v>4060</v>
      </c>
      <c r="D35" s="690" t="s">
        <v>4060</v>
      </c>
      <c r="E35" s="690" t="s">
        <v>4060</v>
      </c>
      <c r="F35" s="690" t="s">
        <v>4060</v>
      </c>
      <c r="G35" s="690" t="s">
        <v>4060</v>
      </c>
      <c r="H35" s="690" t="s">
        <v>4060</v>
      </c>
      <c r="I35" s="690" t="s">
        <v>4060</v>
      </c>
      <c r="J35" s="690" t="s">
        <v>4060</v>
      </c>
      <c r="K35" s="690" t="s">
        <v>4060</v>
      </c>
    </row>
    <row r="36" spans="1:11">
      <c r="A36" s="688" t="s">
        <v>2496</v>
      </c>
      <c r="B36" s="692" t="s">
        <v>4060</v>
      </c>
      <c r="C36" s="691">
        <v>74.099999999999994</v>
      </c>
      <c r="D36" s="615">
        <v>73</v>
      </c>
      <c r="E36" s="691">
        <v>72.7</v>
      </c>
      <c r="F36" s="691">
        <v>73.5</v>
      </c>
      <c r="G36" s="615">
        <v>74</v>
      </c>
      <c r="H36" s="691">
        <v>74.099999999999994</v>
      </c>
      <c r="I36" s="692" t="s">
        <v>4060</v>
      </c>
      <c r="J36" s="692" t="s">
        <v>4060</v>
      </c>
      <c r="K36" s="691">
        <v>73.7</v>
      </c>
    </row>
    <row r="37" spans="1:11">
      <c r="A37" s="688" t="s">
        <v>7</v>
      </c>
      <c r="B37" s="691">
        <v>81.400000000000006</v>
      </c>
      <c r="C37" s="615">
        <v>81</v>
      </c>
      <c r="D37" s="691">
        <v>80.8</v>
      </c>
      <c r="E37" s="615">
        <v>81</v>
      </c>
      <c r="F37" s="615">
        <v>81</v>
      </c>
      <c r="G37" s="691">
        <v>81.5</v>
      </c>
      <c r="H37" s="691">
        <v>81.400000000000006</v>
      </c>
      <c r="I37" s="691">
        <v>81.099999999999994</v>
      </c>
      <c r="J37" s="691">
        <v>80.099999999999994</v>
      </c>
      <c r="K37" s="691">
        <v>80.8</v>
      </c>
    </row>
    <row r="38" spans="1:11">
      <c r="A38" s="688" t="s">
        <v>8</v>
      </c>
      <c r="B38" s="693">
        <v>81</v>
      </c>
      <c r="C38" s="689">
        <v>81.3</v>
      </c>
      <c r="D38" s="689">
        <v>81.400000000000006</v>
      </c>
      <c r="E38" s="689">
        <v>81.599999999999994</v>
      </c>
      <c r="F38" s="693">
        <v>82</v>
      </c>
      <c r="G38" s="693">
        <v>82</v>
      </c>
      <c r="H38" s="689">
        <v>82.5</v>
      </c>
      <c r="I38" s="689">
        <v>82.3</v>
      </c>
      <c r="J38" s="689">
        <v>82.1</v>
      </c>
      <c r="K38" s="689">
        <v>82.4</v>
      </c>
    </row>
    <row r="39" spans="1:11">
      <c r="A39" s="688" t="s">
        <v>9</v>
      </c>
      <c r="B39" s="691">
        <v>82.1</v>
      </c>
      <c r="C39" s="691">
        <v>82.6</v>
      </c>
      <c r="D39" s="691">
        <v>82.4</v>
      </c>
      <c r="E39" s="691">
        <v>82.1</v>
      </c>
      <c r="F39" s="691">
        <v>82.4</v>
      </c>
      <c r="G39" s="691">
        <v>82.7</v>
      </c>
      <c r="H39" s="615">
        <v>83</v>
      </c>
      <c r="I39" s="691">
        <v>82.9</v>
      </c>
      <c r="J39" s="615">
        <v>83</v>
      </c>
      <c r="K39" s="691">
        <v>82.2</v>
      </c>
    </row>
    <row r="40" spans="1:11">
      <c r="A40" s="688" t="s">
        <v>10</v>
      </c>
      <c r="B40" s="689">
        <v>82.9</v>
      </c>
      <c r="C40" s="689">
        <v>82.8</v>
      </c>
      <c r="D40" s="689">
        <v>82.4</v>
      </c>
      <c r="E40" s="693">
        <v>83</v>
      </c>
      <c r="F40" s="689">
        <v>82.8</v>
      </c>
      <c r="G40" s="689">
        <v>83.1</v>
      </c>
      <c r="H40" s="689">
        <v>83.4</v>
      </c>
      <c r="I40" s="689">
        <v>82.2</v>
      </c>
      <c r="J40" s="689">
        <v>82.6</v>
      </c>
      <c r="K40" s="689">
        <v>82.8</v>
      </c>
    </row>
    <row r="41" spans="1:11">
      <c r="A41" s="688" t="s">
        <v>4070</v>
      </c>
      <c r="B41" s="690" t="s">
        <v>4060</v>
      </c>
      <c r="C41" s="690" t="s">
        <v>4060</v>
      </c>
      <c r="D41" s="690" t="s">
        <v>4060</v>
      </c>
      <c r="E41" s="689">
        <v>78.599999999999994</v>
      </c>
      <c r="F41" s="690" t="s">
        <v>4060</v>
      </c>
      <c r="G41" s="690" t="s">
        <v>4060</v>
      </c>
      <c r="H41" s="690" t="s">
        <v>4060</v>
      </c>
      <c r="I41" s="690" t="s">
        <v>4060</v>
      </c>
      <c r="J41" s="690" t="s">
        <v>4060</v>
      </c>
      <c r="K41" s="690" t="s">
        <v>4060</v>
      </c>
    </row>
    <row r="42" spans="1:11">
      <c r="A42" s="688" t="s">
        <v>11</v>
      </c>
      <c r="B42" s="691">
        <v>77.8</v>
      </c>
      <c r="C42" s="691">
        <v>77.8</v>
      </c>
      <c r="D42" s="691">
        <v>77.400000000000006</v>
      </c>
      <c r="E42" s="615">
        <v>78</v>
      </c>
      <c r="F42" s="691">
        <v>77.8</v>
      </c>
      <c r="G42" s="615">
        <v>78</v>
      </c>
      <c r="H42" s="691">
        <v>78.3</v>
      </c>
      <c r="I42" s="691">
        <v>77.599999999999994</v>
      </c>
      <c r="J42" s="691">
        <v>76.599999999999994</v>
      </c>
      <c r="K42" s="691">
        <v>77.7</v>
      </c>
    </row>
    <row r="43" spans="1:11">
      <c r="A43" s="688" t="s">
        <v>12</v>
      </c>
      <c r="B43" s="689">
        <v>74.3</v>
      </c>
      <c r="C43" s="689">
        <v>74.3</v>
      </c>
      <c r="D43" s="689">
        <v>74.7</v>
      </c>
      <c r="E43" s="689">
        <v>74.8</v>
      </c>
      <c r="F43" s="689">
        <v>74.8</v>
      </c>
      <c r="G43" s="693">
        <v>75</v>
      </c>
      <c r="H43" s="689">
        <v>75.7</v>
      </c>
      <c r="I43" s="689">
        <v>75.400000000000006</v>
      </c>
      <c r="J43" s="689">
        <v>73.2</v>
      </c>
      <c r="K43" s="689">
        <v>74.5</v>
      </c>
    </row>
    <row r="44" spans="1:11">
      <c r="A44" s="688" t="s">
        <v>13</v>
      </c>
      <c r="B44" s="689">
        <v>82.5</v>
      </c>
      <c r="C44" s="689">
        <v>82.1</v>
      </c>
      <c r="D44" s="689">
        <v>82.5</v>
      </c>
      <c r="E44" s="689">
        <v>82.1</v>
      </c>
      <c r="F44" s="689">
        <v>83.3</v>
      </c>
      <c r="G44" s="693">
        <v>83</v>
      </c>
      <c r="H44" s="693">
        <v>84</v>
      </c>
      <c r="I44" s="689">
        <v>81.7</v>
      </c>
      <c r="J44" s="689">
        <v>83.6</v>
      </c>
      <c r="K44" s="689">
        <v>83.6</v>
      </c>
    </row>
    <row r="45" spans="1:11">
      <c r="A45" s="688" t="s">
        <v>14</v>
      </c>
      <c r="B45" s="691">
        <v>74.099999999999994</v>
      </c>
      <c r="C45" s="691">
        <v>74.5</v>
      </c>
      <c r="D45" s="691">
        <v>74.400000000000006</v>
      </c>
      <c r="E45" s="691">
        <v>74.8</v>
      </c>
      <c r="F45" s="691">
        <v>75.7</v>
      </c>
      <c r="G45" s="691">
        <v>75.900000000000006</v>
      </c>
      <c r="H45" s="691">
        <v>76.400000000000006</v>
      </c>
      <c r="I45" s="691">
        <v>75.2</v>
      </c>
      <c r="J45" s="691">
        <v>74.3</v>
      </c>
      <c r="K45" s="691">
        <v>75.8</v>
      </c>
    </row>
    <row r="46" spans="1:11">
      <c r="A46" s="688" t="s">
        <v>15</v>
      </c>
      <c r="B46" s="689">
        <v>81.900000000000006</v>
      </c>
      <c r="C46" s="689">
        <v>81.8</v>
      </c>
      <c r="D46" s="693">
        <v>82</v>
      </c>
      <c r="E46" s="689">
        <v>82.3</v>
      </c>
      <c r="F46" s="689">
        <v>81.8</v>
      </c>
      <c r="G46" s="689">
        <v>82.1</v>
      </c>
      <c r="H46" s="689">
        <v>82.4</v>
      </c>
      <c r="I46" s="689">
        <v>82.1</v>
      </c>
      <c r="J46" s="689">
        <v>82.5</v>
      </c>
      <c r="K46" s="689">
        <v>82.8</v>
      </c>
    </row>
    <row r="47" spans="1:11">
      <c r="A47" s="688" t="s">
        <v>16</v>
      </c>
      <c r="B47" s="689">
        <v>81.8</v>
      </c>
      <c r="C47" s="689">
        <v>81.8</v>
      </c>
      <c r="D47" s="689">
        <v>81.7</v>
      </c>
      <c r="E47" s="689">
        <v>82.1</v>
      </c>
      <c r="F47" s="693">
        <v>82</v>
      </c>
      <c r="G47" s="689">
        <v>82.1</v>
      </c>
      <c r="H47" s="689">
        <v>82.4</v>
      </c>
      <c r="I47" s="689">
        <v>81.900000000000006</v>
      </c>
      <c r="J47" s="693">
        <v>82</v>
      </c>
      <c r="K47" s="689">
        <v>82.1</v>
      </c>
    </row>
    <row r="48" spans="1:11">
      <c r="A48" s="688" t="s">
        <v>2322</v>
      </c>
      <c r="B48" s="692" t="s">
        <v>4060</v>
      </c>
      <c r="C48" s="692" t="s">
        <v>4060</v>
      </c>
      <c r="D48" s="692" t="s">
        <v>4060</v>
      </c>
      <c r="E48" s="692" t="s">
        <v>4060</v>
      </c>
      <c r="F48" s="692" t="s">
        <v>4060</v>
      </c>
      <c r="G48" s="692" t="s">
        <v>4060</v>
      </c>
      <c r="H48" s="692" t="s">
        <v>4060</v>
      </c>
      <c r="I48" s="692" t="s">
        <v>4060</v>
      </c>
      <c r="J48" s="692" t="s">
        <v>4060</v>
      </c>
      <c r="K48" s="692" t="s">
        <v>4060</v>
      </c>
    </row>
    <row r="49" spans="1:11">
      <c r="A49" s="688" t="s">
        <v>2324</v>
      </c>
      <c r="B49" s="689">
        <v>76.5</v>
      </c>
      <c r="C49" s="689">
        <v>76.5</v>
      </c>
      <c r="D49" s="689">
        <v>76.5</v>
      </c>
      <c r="E49" s="689">
        <v>76.5</v>
      </c>
      <c r="F49" s="689">
        <v>76.599999999999994</v>
      </c>
      <c r="G49" s="689">
        <v>76.900000000000006</v>
      </c>
      <c r="H49" s="689">
        <v>76.7</v>
      </c>
      <c r="I49" s="689">
        <v>75.900000000000006</v>
      </c>
      <c r="J49" s="689">
        <v>73.8</v>
      </c>
      <c r="K49" s="690" t="s">
        <v>4060</v>
      </c>
    </row>
    <row r="50" spans="1:11">
      <c r="A50" s="688" t="s">
        <v>17</v>
      </c>
      <c r="B50" s="691">
        <v>81.400000000000006</v>
      </c>
      <c r="C50" s="691">
        <v>81.599999999999994</v>
      </c>
      <c r="D50" s="691">
        <v>81.5</v>
      </c>
      <c r="E50" s="691">
        <v>81.5</v>
      </c>
      <c r="F50" s="691">
        <v>81.7</v>
      </c>
      <c r="G50" s="691">
        <v>81.8</v>
      </c>
      <c r="H50" s="691">
        <v>82.1</v>
      </c>
      <c r="I50" s="691">
        <v>81.400000000000006</v>
      </c>
      <c r="J50" s="691">
        <v>81.3</v>
      </c>
      <c r="K50" s="691">
        <v>81.599999999999994</v>
      </c>
    </row>
    <row r="51" spans="1:11">
      <c r="A51" s="688" t="s">
        <v>2328</v>
      </c>
      <c r="B51" s="689">
        <v>75.5</v>
      </c>
      <c r="C51" s="689">
        <v>75.5</v>
      </c>
      <c r="D51" s="689">
        <v>75.5</v>
      </c>
      <c r="E51" s="689">
        <v>75.400000000000006</v>
      </c>
      <c r="F51" s="693">
        <v>76</v>
      </c>
      <c r="G51" s="689">
        <v>76.7</v>
      </c>
      <c r="H51" s="689">
        <v>76.599999999999994</v>
      </c>
      <c r="I51" s="689">
        <v>74.400000000000006</v>
      </c>
      <c r="J51" s="689">
        <v>73.2</v>
      </c>
      <c r="K51" s="690" t="s">
        <v>4060</v>
      </c>
    </row>
    <row r="52" spans="1:11">
      <c r="A52" s="688" t="s">
        <v>18</v>
      </c>
      <c r="B52" s="691">
        <v>81.8</v>
      </c>
      <c r="C52" s="691">
        <v>82.1</v>
      </c>
      <c r="D52" s="691">
        <v>82.3</v>
      </c>
      <c r="E52" s="691">
        <v>82.4</v>
      </c>
      <c r="F52" s="691">
        <v>82.6</v>
      </c>
      <c r="G52" s="691">
        <v>82.8</v>
      </c>
      <c r="H52" s="615">
        <v>83</v>
      </c>
      <c r="I52" s="691">
        <v>83.2</v>
      </c>
      <c r="J52" s="691">
        <v>83.2</v>
      </c>
      <c r="K52" s="691">
        <v>82.6</v>
      </c>
    </row>
    <row r="53" spans="1:11">
      <c r="A53" s="688" t="s">
        <v>19</v>
      </c>
      <c r="B53" s="689">
        <v>81.3</v>
      </c>
      <c r="C53" s="689">
        <v>81.400000000000006</v>
      </c>
      <c r="D53" s="689">
        <v>81.2</v>
      </c>
      <c r="E53" s="689">
        <v>81.599999999999994</v>
      </c>
      <c r="F53" s="689">
        <v>81.599999999999994</v>
      </c>
      <c r="G53" s="689">
        <v>81.7</v>
      </c>
      <c r="H53" s="689">
        <v>81.900000000000006</v>
      </c>
      <c r="I53" s="689">
        <v>81.3</v>
      </c>
      <c r="J53" s="689">
        <v>81.3</v>
      </c>
      <c r="K53" s="689">
        <v>81.400000000000006</v>
      </c>
    </row>
    <row r="54" spans="1:11">
      <c r="A54" s="688" t="s">
        <v>20</v>
      </c>
      <c r="B54" s="691">
        <v>77.099999999999994</v>
      </c>
      <c r="C54" s="691">
        <v>77.5</v>
      </c>
      <c r="D54" s="691">
        <v>77.400000000000006</v>
      </c>
      <c r="E54" s="691">
        <v>77.8</v>
      </c>
      <c r="F54" s="691">
        <v>77.7</v>
      </c>
      <c r="G54" s="691">
        <v>77.599999999999994</v>
      </c>
      <c r="H54" s="691">
        <v>77.900000000000006</v>
      </c>
      <c r="I54" s="691">
        <v>76.400000000000006</v>
      </c>
      <c r="J54" s="691">
        <v>75.400000000000006</v>
      </c>
      <c r="K54" s="691">
        <v>77.099999999999994</v>
      </c>
    </row>
    <row r="55" spans="1:11">
      <c r="A55" s="688" t="s">
        <v>21</v>
      </c>
      <c r="B55" s="689">
        <v>80.900000000000006</v>
      </c>
      <c r="C55" s="689">
        <v>81.3</v>
      </c>
      <c r="D55" s="689">
        <v>81.3</v>
      </c>
      <c r="E55" s="689">
        <v>81.400000000000006</v>
      </c>
      <c r="F55" s="689">
        <v>81.599999999999994</v>
      </c>
      <c r="G55" s="689">
        <v>81.599999999999994</v>
      </c>
      <c r="H55" s="693">
        <v>82</v>
      </c>
      <c r="I55" s="689">
        <v>81.400000000000006</v>
      </c>
      <c r="J55" s="689">
        <v>81.400000000000006</v>
      </c>
      <c r="K55" s="689">
        <v>81.7</v>
      </c>
    </row>
    <row r="56" spans="1:11">
      <c r="A56" s="688" t="s">
        <v>22</v>
      </c>
      <c r="B56" s="691">
        <v>75.099999999999994</v>
      </c>
      <c r="C56" s="691">
        <v>74.900000000000006</v>
      </c>
      <c r="D56" s="691">
        <v>74.900000000000006</v>
      </c>
      <c r="E56" s="691">
        <v>75.2</v>
      </c>
      <c r="F56" s="691">
        <v>75.2</v>
      </c>
      <c r="G56" s="691">
        <v>75.3</v>
      </c>
      <c r="H56" s="691">
        <v>75.599999999999994</v>
      </c>
      <c r="I56" s="691">
        <v>74.099999999999994</v>
      </c>
      <c r="J56" s="691">
        <v>72.8</v>
      </c>
      <c r="K56" s="691">
        <v>75.099999999999994</v>
      </c>
    </row>
    <row r="57" spans="1:11">
      <c r="A57" s="688" t="s">
        <v>2343</v>
      </c>
      <c r="B57" s="690" t="s">
        <v>4060</v>
      </c>
      <c r="C57" s="690" t="s">
        <v>4060</v>
      </c>
      <c r="D57" s="690" t="s">
        <v>4060</v>
      </c>
      <c r="E57" s="690" t="s">
        <v>4060</v>
      </c>
      <c r="F57" s="690" t="s">
        <v>4060</v>
      </c>
      <c r="G57" s="690" t="s">
        <v>4060</v>
      </c>
      <c r="H57" s="690" t="s">
        <v>4060</v>
      </c>
      <c r="I57" s="690" t="s">
        <v>4060</v>
      </c>
      <c r="J57" s="690" t="s">
        <v>4060</v>
      </c>
      <c r="K57" s="690" t="s">
        <v>4060</v>
      </c>
    </row>
    <row r="58" spans="1:11">
      <c r="A58" s="688" t="s">
        <v>4071</v>
      </c>
      <c r="B58" s="692" t="s">
        <v>4060</v>
      </c>
      <c r="C58" s="692" t="s">
        <v>4060</v>
      </c>
      <c r="D58" s="692" t="s">
        <v>4060</v>
      </c>
      <c r="E58" s="692" t="s">
        <v>4060</v>
      </c>
      <c r="F58" s="692" t="s">
        <v>4060</v>
      </c>
      <c r="G58" s="692" t="s">
        <v>4060</v>
      </c>
      <c r="H58" s="692" t="s">
        <v>4060</v>
      </c>
      <c r="I58" s="692" t="s">
        <v>4060</v>
      </c>
      <c r="J58" s="692" t="s">
        <v>4060</v>
      </c>
      <c r="K58" s="692" t="s">
        <v>4060</v>
      </c>
    </row>
    <row r="59" spans="1:11">
      <c r="A59" s="688" t="s">
        <v>23</v>
      </c>
      <c r="B59" s="615">
        <v>82</v>
      </c>
      <c r="C59" s="691">
        <v>82.2</v>
      </c>
      <c r="D59" s="691">
        <v>82.2</v>
      </c>
      <c r="E59" s="691">
        <v>82.3</v>
      </c>
      <c r="F59" s="691">
        <v>82.4</v>
      </c>
      <c r="G59" s="691">
        <v>82.5</v>
      </c>
      <c r="H59" s="691">
        <v>83.1</v>
      </c>
      <c r="I59" s="691">
        <v>82.4</v>
      </c>
      <c r="J59" s="615">
        <v>83</v>
      </c>
      <c r="K59" s="615">
        <v>83</v>
      </c>
    </row>
    <row r="60" spans="1:11">
      <c r="A60" s="688" t="s">
        <v>24</v>
      </c>
      <c r="B60" s="689">
        <v>82.9</v>
      </c>
      <c r="C60" s="689">
        <v>83.1</v>
      </c>
      <c r="D60" s="689">
        <v>82.9</v>
      </c>
      <c r="E60" s="689">
        <v>83.4</v>
      </c>
      <c r="F60" s="689">
        <v>83.4</v>
      </c>
      <c r="G60" s="689">
        <v>83.6</v>
      </c>
      <c r="H60" s="689">
        <v>83.8</v>
      </c>
      <c r="I60" s="689">
        <v>83.1</v>
      </c>
      <c r="J60" s="689">
        <v>83.6</v>
      </c>
      <c r="K60" s="689">
        <v>83.5</v>
      </c>
    </row>
    <row r="61" spans="1:11">
      <c r="A61" s="688" t="s">
        <v>2349</v>
      </c>
      <c r="B61" s="691">
        <v>75.3</v>
      </c>
      <c r="C61" s="691">
        <v>75.400000000000006</v>
      </c>
      <c r="D61" s="691">
        <v>75.3</v>
      </c>
      <c r="E61" s="691">
        <v>75.7</v>
      </c>
      <c r="F61" s="691">
        <v>75.599999999999994</v>
      </c>
      <c r="G61" s="691">
        <v>75.900000000000006</v>
      </c>
      <c r="H61" s="615">
        <v>76</v>
      </c>
      <c r="I61" s="691">
        <v>74.5</v>
      </c>
      <c r="J61" s="691">
        <v>72.8</v>
      </c>
      <c r="K61" s="691">
        <v>75.2</v>
      </c>
    </row>
    <row r="62" spans="1:11">
      <c r="A62" s="688" t="s">
        <v>25</v>
      </c>
      <c r="B62" s="691">
        <v>76.599999999999994</v>
      </c>
      <c r="C62" s="691">
        <v>76.900000000000006</v>
      </c>
      <c r="D62" s="691">
        <v>76.7</v>
      </c>
      <c r="E62" s="691">
        <v>77.3</v>
      </c>
      <c r="F62" s="691">
        <v>77.3</v>
      </c>
      <c r="G62" s="691">
        <v>77.3</v>
      </c>
      <c r="H62" s="691">
        <v>77.7</v>
      </c>
      <c r="I62" s="615">
        <v>77</v>
      </c>
      <c r="J62" s="691">
        <v>74.599999999999994</v>
      </c>
      <c r="K62" s="615">
        <v>77</v>
      </c>
    </row>
    <row r="63" spans="1:11">
      <c r="A63" s="688" t="s">
        <v>26</v>
      </c>
      <c r="B63" s="689">
        <v>80.5</v>
      </c>
      <c r="C63" s="689">
        <v>80.900000000000006</v>
      </c>
      <c r="D63" s="689">
        <v>80.599999999999994</v>
      </c>
      <c r="E63" s="693">
        <v>81</v>
      </c>
      <c r="F63" s="689">
        <v>80.900000000000006</v>
      </c>
      <c r="G63" s="689">
        <v>81.2</v>
      </c>
      <c r="H63" s="689">
        <v>81.400000000000006</v>
      </c>
      <c r="I63" s="689">
        <v>80.5</v>
      </c>
      <c r="J63" s="689">
        <v>80.599999999999994</v>
      </c>
      <c r="K63" s="689">
        <v>81.2</v>
      </c>
    </row>
    <row r="64" spans="1:11">
      <c r="A64" s="688" t="s">
        <v>27</v>
      </c>
      <c r="B64" s="689">
        <v>83.2</v>
      </c>
      <c r="C64" s="689">
        <v>82.9</v>
      </c>
      <c r="D64" s="689">
        <v>82.7</v>
      </c>
      <c r="E64" s="689">
        <v>83.1</v>
      </c>
      <c r="F64" s="693">
        <v>83</v>
      </c>
      <c r="G64" s="689">
        <v>83.1</v>
      </c>
      <c r="H64" s="689">
        <v>83.5</v>
      </c>
      <c r="I64" s="689">
        <v>82.3</v>
      </c>
      <c r="J64" s="693">
        <v>83</v>
      </c>
      <c r="K64" s="689">
        <v>83.1</v>
      </c>
    </row>
    <row r="65" spans="1:11">
      <c r="A65" s="688" t="s">
        <v>2240</v>
      </c>
      <c r="B65" s="691">
        <v>78.3</v>
      </c>
      <c r="C65" s="691">
        <v>78.8</v>
      </c>
      <c r="D65" s="691">
        <v>78.599999999999994</v>
      </c>
      <c r="E65" s="615">
        <v>79</v>
      </c>
      <c r="F65" s="615">
        <v>79</v>
      </c>
      <c r="G65" s="615">
        <v>79</v>
      </c>
      <c r="H65" s="691">
        <v>79.2</v>
      </c>
      <c r="I65" s="691">
        <v>78.3</v>
      </c>
      <c r="J65" s="691">
        <v>77.2</v>
      </c>
      <c r="K65" s="615">
        <v>79</v>
      </c>
    </row>
    <row r="66" spans="1:11">
      <c r="A66" s="688" t="s">
        <v>2355</v>
      </c>
      <c r="B66" s="689">
        <v>78.2</v>
      </c>
      <c r="C66" s="689">
        <v>78.099999999999994</v>
      </c>
      <c r="D66" s="689">
        <v>78.2</v>
      </c>
      <c r="E66" s="689">
        <v>78.099999999999994</v>
      </c>
      <c r="F66" s="689">
        <v>78.5</v>
      </c>
      <c r="G66" s="689">
        <v>78.900000000000006</v>
      </c>
      <c r="H66" s="689">
        <v>79.099999999999994</v>
      </c>
      <c r="I66" s="690" t="s">
        <v>4060</v>
      </c>
      <c r="J66" s="690" t="s">
        <v>4060</v>
      </c>
      <c r="K66" s="689">
        <v>76.3</v>
      </c>
    </row>
    <row r="67" spans="1:11">
      <c r="A67" s="688" t="s">
        <v>2357</v>
      </c>
      <c r="B67" s="692" t="s">
        <v>4060</v>
      </c>
      <c r="C67" s="691">
        <v>71.8</v>
      </c>
      <c r="D67" s="691">
        <v>72.5</v>
      </c>
      <c r="E67" s="691">
        <v>72.900000000000006</v>
      </c>
      <c r="F67" s="691">
        <v>73.3</v>
      </c>
      <c r="G67" s="691">
        <v>73.2</v>
      </c>
      <c r="H67" s="691">
        <v>73.400000000000006</v>
      </c>
      <c r="I67" s="692" t="s">
        <v>4060</v>
      </c>
      <c r="J67" s="692" t="s">
        <v>4060</v>
      </c>
      <c r="K67" s="692" t="s">
        <v>4060</v>
      </c>
    </row>
    <row r="68" spans="1:11">
      <c r="A68" s="688" t="s">
        <v>29</v>
      </c>
      <c r="B68" s="691">
        <v>75.8</v>
      </c>
      <c r="C68" s="691">
        <v>75.8</v>
      </c>
      <c r="D68" s="691">
        <v>75.599999999999994</v>
      </c>
      <c r="E68" s="691">
        <v>76.099999999999994</v>
      </c>
      <c r="F68" s="691">
        <v>75.900000000000006</v>
      </c>
      <c r="G68" s="615">
        <v>76</v>
      </c>
      <c r="H68" s="691">
        <v>76.3</v>
      </c>
      <c r="I68" s="691">
        <v>75.5</v>
      </c>
      <c r="J68" s="691">
        <v>74.099999999999994</v>
      </c>
      <c r="K68" s="691">
        <v>75.900000000000006</v>
      </c>
    </row>
    <row r="69" spans="1:11">
      <c r="A69" s="688" t="s">
        <v>4059</v>
      </c>
      <c r="B69" s="691">
        <v>81.099999999999994</v>
      </c>
      <c r="C69" s="691">
        <v>81.400000000000006</v>
      </c>
      <c r="D69" s="615">
        <v>81</v>
      </c>
      <c r="E69" s="691">
        <v>81.2</v>
      </c>
      <c r="F69" s="691">
        <v>81.3</v>
      </c>
      <c r="G69" s="691">
        <v>81.3</v>
      </c>
      <c r="H69" s="692" t="s">
        <v>4060</v>
      </c>
      <c r="I69" s="692" t="s">
        <v>4060</v>
      </c>
      <c r="J69" s="692" t="s">
        <v>4060</v>
      </c>
      <c r="K69" s="692" t="s">
        <v>4060</v>
      </c>
    </row>
    <row r="70" spans="1:11">
      <c r="A70" s="688" t="s">
        <v>30</v>
      </c>
      <c r="B70" s="691">
        <v>82.5</v>
      </c>
      <c r="C70" s="691">
        <v>82.3</v>
      </c>
      <c r="D70" s="691">
        <v>81.900000000000006</v>
      </c>
      <c r="E70" s="691">
        <v>82.8</v>
      </c>
      <c r="F70" s="691">
        <v>82.4</v>
      </c>
      <c r="G70" s="615">
        <v>83</v>
      </c>
      <c r="H70" s="691">
        <v>82.6</v>
      </c>
      <c r="I70" s="691">
        <v>82.7</v>
      </c>
      <c r="J70" s="691">
        <v>81.8</v>
      </c>
      <c r="K70" s="691">
        <v>82.2</v>
      </c>
    </row>
    <row r="72" spans="1:11">
      <c r="A72" s="683" t="s">
        <v>4233</v>
      </c>
    </row>
    <row r="73" spans="1:11">
      <c r="A73" s="683" t="s">
        <v>4060</v>
      </c>
      <c r="B73" s="682" t="s">
        <v>4234</v>
      </c>
    </row>
    <row r="75" spans="1:11">
      <c r="A75" s="682" t="s">
        <v>4209</v>
      </c>
    </row>
    <row r="76" spans="1:11">
      <c r="A76" s="682" t="s">
        <v>4210</v>
      </c>
      <c r="B76" s="683" t="s">
        <v>4211</v>
      </c>
    </row>
    <row r="77" spans="1:11">
      <c r="A77" s="682" t="s">
        <v>4212</v>
      </c>
      <c r="B77" s="682" t="s">
        <v>4213</v>
      </c>
    </row>
    <row r="79" spans="1:11">
      <c r="A79" s="683" t="s">
        <v>4214</v>
      </c>
      <c r="C79" s="682" t="s">
        <v>4215</v>
      </c>
    </row>
    <row r="80" spans="1:11">
      <c r="A80" s="683" t="s">
        <v>4216</v>
      </c>
      <c r="C80" s="682" t="s">
        <v>2967</v>
      </c>
    </row>
    <row r="81" spans="1:11">
      <c r="A81" s="683" t="s">
        <v>3893</v>
      </c>
      <c r="C81" s="682" t="s">
        <v>4217</v>
      </c>
    </row>
    <row r="82" spans="1:11">
      <c r="A82" s="683" t="s">
        <v>4218</v>
      </c>
      <c r="C82" s="682" t="s">
        <v>4235</v>
      </c>
    </row>
    <row r="84" spans="1:11">
      <c r="A84" s="684" t="s">
        <v>4220</v>
      </c>
      <c r="B84" s="685" t="s">
        <v>4221</v>
      </c>
      <c r="C84" s="685" t="s">
        <v>4222</v>
      </c>
      <c r="D84" s="685" t="s">
        <v>4223</v>
      </c>
      <c r="E84" s="685" t="s">
        <v>4224</v>
      </c>
      <c r="F84" s="685" t="s">
        <v>4225</v>
      </c>
      <c r="G84" s="685" t="s">
        <v>4226</v>
      </c>
      <c r="H84" s="685" t="s">
        <v>4227</v>
      </c>
      <c r="I84" s="685" t="s">
        <v>4228</v>
      </c>
      <c r="J84" s="685" t="s">
        <v>4229</v>
      </c>
      <c r="K84" s="685" t="s">
        <v>4230</v>
      </c>
    </row>
    <row r="85" spans="1:11">
      <c r="A85" s="686" t="s">
        <v>4231</v>
      </c>
      <c r="B85" s="687" t="s">
        <v>4232</v>
      </c>
      <c r="C85" s="687" t="s">
        <v>4232</v>
      </c>
      <c r="D85" s="687" t="s">
        <v>4232</v>
      </c>
      <c r="E85" s="687" t="s">
        <v>4232</v>
      </c>
      <c r="F85" s="687" t="s">
        <v>4232</v>
      </c>
      <c r="G85" s="687" t="s">
        <v>4232</v>
      </c>
      <c r="H85" s="687" t="s">
        <v>4232</v>
      </c>
      <c r="I85" s="687" t="s">
        <v>4232</v>
      </c>
      <c r="J85" s="687" t="s">
        <v>4232</v>
      </c>
      <c r="K85" s="687" t="s">
        <v>4232</v>
      </c>
    </row>
    <row r="86" spans="1:11">
      <c r="A86" s="688" t="s">
        <v>4064</v>
      </c>
      <c r="B86" s="691">
        <v>79.8</v>
      </c>
      <c r="C86" s="691">
        <v>79.900000000000006</v>
      </c>
      <c r="D86" s="691">
        <v>79.8</v>
      </c>
      <c r="E86" s="615">
        <v>80</v>
      </c>
      <c r="F86" s="615">
        <v>80</v>
      </c>
      <c r="G86" s="691">
        <v>80.099999999999994</v>
      </c>
      <c r="H86" s="691">
        <v>80.400000000000006</v>
      </c>
      <c r="I86" s="691">
        <v>79.5</v>
      </c>
      <c r="J86" s="691">
        <v>79.2</v>
      </c>
      <c r="K86" s="691">
        <v>79.8</v>
      </c>
    </row>
    <row r="87" spans="1:11">
      <c r="A87" s="688" t="s">
        <v>4065</v>
      </c>
      <c r="B87" s="689">
        <v>79.8</v>
      </c>
      <c r="C87" s="689">
        <v>80.2</v>
      </c>
      <c r="D87" s="689">
        <v>79.900000000000006</v>
      </c>
      <c r="E87" s="689">
        <v>80.3</v>
      </c>
      <c r="F87" s="689">
        <v>80.2</v>
      </c>
      <c r="G87" s="689">
        <v>80.3</v>
      </c>
      <c r="H87" s="690" t="s">
        <v>4060</v>
      </c>
      <c r="I87" s="690" t="s">
        <v>4060</v>
      </c>
      <c r="J87" s="690" t="s">
        <v>4060</v>
      </c>
      <c r="K87" s="690" t="s">
        <v>4060</v>
      </c>
    </row>
    <row r="88" spans="1:11">
      <c r="A88" s="688" t="s">
        <v>4063</v>
      </c>
      <c r="B88" s="691">
        <v>79.900000000000006</v>
      </c>
      <c r="C88" s="691">
        <v>80.2</v>
      </c>
      <c r="D88" s="691">
        <v>79.900000000000006</v>
      </c>
      <c r="E88" s="691">
        <v>80.3</v>
      </c>
      <c r="F88" s="691">
        <v>80.3</v>
      </c>
      <c r="G88" s="691">
        <v>80.3</v>
      </c>
      <c r="H88" s="692" t="s">
        <v>4060</v>
      </c>
      <c r="I88" s="692" t="s">
        <v>4060</v>
      </c>
      <c r="J88" s="692" t="s">
        <v>4060</v>
      </c>
      <c r="K88" s="692" t="s">
        <v>4060</v>
      </c>
    </row>
    <row r="89" spans="1:11">
      <c r="A89" s="688" t="s">
        <v>4069</v>
      </c>
      <c r="B89" s="690" t="s">
        <v>4060</v>
      </c>
      <c r="C89" s="689">
        <v>80.900000000000006</v>
      </c>
      <c r="D89" s="689">
        <v>80.599999999999994</v>
      </c>
      <c r="E89" s="693">
        <v>81</v>
      </c>
      <c r="F89" s="693">
        <v>81</v>
      </c>
      <c r="G89" s="689">
        <v>81.099999999999994</v>
      </c>
      <c r="H89" s="689">
        <v>81.400000000000006</v>
      </c>
      <c r="I89" s="689">
        <v>80.7</v>
      </c>
      <c r="J89" s="689">
        <v>80.7</v>
      </c>
      <c r="K89" s="689">
        <v>80.8</v>
      </c>
    </row>
    <row r="90" spans="1:11">
      <c r="A90" s="688" t="s">
        <v>4068</v>
      </c>
      <c r="B90" s="691">
        <v>80.8</v>
      </c>
      <c r="C90" s="692" t="s">
        <v>4060</v>
      </c>
      <c r="D90" s="692" t="s">
        <v>4060</v>
      </c>
      <c r="E90" s="692" t="s">
        <v>4060</v>
      </c>
      <c r="F90" s="692" t="s">
        <v>4060</v>
      </c>
      <c r="G90" s="692" t="s">
        <v>4060</v>
      </c>
      <c r="H90" s="692" t="s">
        <v>4060</v>
      </c>
      <c r="I90" s="692" t="s">
        <v>4060</v>
      </c>
      <c r="J90" s="692" t="s">
        <v>4060</v>
      </c>
      <c r="K90" s="692" t="s">
        <v>4060</v>
      </c>
    </row>
    <row r="91" spans="1:11">
      <c r="A91" s="688" t="s">
        <v>0</v>
      </c>
      <c r="B91" s="693">
        <v>80</v>
      </c>
      <c r="C91" s="689">
        <v>80.400000000000006</v>
      </c>
      <c r="D91" s="689">
        <v>80.2</v>
      </c>
      <c r="E91" s="689">
        <v>80.5</v>
      </c>
      <c r="F91" s="689">
        <v>80.7</v>
      </c>
      <c r="G91" s="689">
        <v>80.8</v>
      </c>
      <c r="H91" s="689">
        <v>81.099999999999994</v>
      </c>
      <c r="I91" s="689">
        <v>80.099999999999994</v>
      </c>
      <c r="J91" s="689">
        <v>80.900000000000006</v>
      </c>
      <c r="K91" s="689">
        <v>80.900000000000006</v>
      </c>
    </row>
    <row r="92" spans="1:11">
      <c r="A92" s="688" t="s">
        <v>1</v>
      </c>
      <c r="B92" s="691">
        <v>74.5</v>
      </c>
      <c r="C92" s="615">
        <v>74</v>
      </c>
      <c r="D92" s="615">
        <v>74</v>
      </c>
      <c r="E92" s="691">
        <v>74.2</v>
      </c>
      <c r="F92" s="691">
        <v>74.099999999999994</v>
      </c>
      <c r="G92" s="691">
        <v>74.2</v>
      </c>
      <c r="H92" s="691">
        <v>74.3</v>
      </c>
      <c r="I92" s="691">
        <v>72.7</v>
      </c>
      <c r="J92" s="691">
        <v>70.599999999999994</v>
      </c>
      <c r="K92" s="691">
        <v>73.5</v>
      </c>
    </row>
    <row r="93" spans="1:11">
      <c r="A93" s="688" t="s">
        <v>2240</v>
      </c>
      <c r="B93" s="689">
        <v>77.5</v>
      </c>
      <c r="C93" s="689">
        <v>77.900000000000006</v>
      </c>
      <c r="D93" s="689">
        <v>77.8</v>
      </c>
      <c r="E93" s="689">
        <v>78.2</v>
      </c>
      <c r="F93" s="689">
        <v>78.2</v>
      </c>
      <c r="G93" s="689">
        <v>78.2</v>
      </c>
      <c r="H93" s="689">
        <v>78.400000000000006</v>
      </c>
      <c r="I93" s="689">
        <v>77.5</v>
      </c>
      <c r="J93" s="689">
        <v>76.400000000000006</v>
      </c>
      <c r="K93" s="689">
        <v>78.2</v>
      </c>
    </row>
    <row r="94" spans="1:11">
      <c r="A94" s="688" t="s">
        <v>2</v>
      </c>
      <c r="B94" s="691">
        <v>79.599999999999994</v>
      </c>
      <c r="C94" s="615">
        <v>80</v>
      </c>
      <c r="D94" s="615">
        <v>80</v>
      </c>
      <c r="E94" s="691">
        <v>80.099999999999994</v>
      </c>
      <c r="F94" s="691">
        <v>80.400000000000006</v>
      </c>
      <c r="G94" s="691">
        <v>80.3</v>
      </c>
      <c r="H94" s="691">
        <v>80.7</v>
      </c>
      <c r="I94" s="691">
        <v>80.8</v>
      </c>
      <c r="J94" s="691">
        <v>80.7</v>
      </c>
      <c r="K94" s="691">
        <v>80.5</v>
      </c>
    </row>
    <row r="95" spans="1:11">
      <c r="A95" s="688" t="s">
        <v>3</v>
      </c>
      <c r="B95" s="689">
        <v>79.900000000000006</v>
      </c>
      <c r="C95" s="689">
        <v>80.2</v>
      </c>
      <c r="D95" s="689">
        <v>79.8</v>
      </c>
      <c r="E95" s="689">
        <v>80.099999999999994</v>
      </c>
      <c r="F95" s="689">
        <v>80.2</v>
      </c>
      <c r="G95" s="689">
        <v>80.099999999999994</v>
      </c>
      <c r="H95" s="689">
        <v>80.5</v>
      </c>
      <c r="I95" s="689">
        <v>80.3</v>
      </c>
      <c r="J95" s="689">
        <v>79.900000000000006</v>
      </c>
      <c r="K95" s="689">
        <v>79.8</v>
      </c>
    </row>
    <row r="96" spans="1:11">
      <c r="A96" s="688" t="s">
        <v>4061</v>
      </c>
      <c r="B96" s="691">
        <v>79.900000000000006</v>
      </c>
      <c r="C96" s="691">
        <v>80.2</v>
      </c>
      <c r="D96" s="691">
        <v>79.8</v>
      </c>
      <c r="E96" s="691">
        <v>80.099999999999994</v>
      </c>
      <c r="F96" s="691">
        <v>80.2</v>
      </c>
      <c r="G96" s="691">
        <v>80.099999999999994</v>
      </c>
      <c r="H96" s="691">
        <v>80.5</v>
      </c>
      <c r="I96" s="691">
        <v>80.3</v>
      </c>
      <c r="J96" s="691">
        <v>79.900000000000006</v>
      </c>
      <c r="K96" s="691">
        <v>79.8</v>
      </c>
    </row>
    <row r="97" spans="1:11">
      <c r="A97" s="688" t="s">
        <v>4</v>
      </c>
      <c r="B97" s="689">
        <v>76.7</v>
      </c>
      <c r="C97" s="689">
        <v>76.3</v>
      </c>
      <c r="D97" s="689">
        <v>76.900000000000006</v>
      </c>
      <c r="E97" s="693">
        <v>77</v>
      </c>
      <c r="F97" s="689">
        <v>77.400000000000006</v>
      </c>
      <c r="G97" s="689">
        <v>77.5</v>
      </c>
      <c r="H97" s="689">
        <v>77.900000000000006</v>
      </c>
      <c r="I97" s="689">
        <v>77.900000000000006</v>
      </c>
      <c r="J97" s="689">
        <v>76.3</v>
      </c>
      <c r="K97" s="689">
        <v>77.2</v>
      </c>
    </row>
    <row r="98" spans="1:11">
      <c r="A98" s="688" t="s">
        <v>8</v>
      </c>
      <c r="B98" s="691">
        <v>80.3</v>
      </c>
      <c r="C98" s="691">
        <v>80.5</v>
      </c>
      <c r="D98" s="691">
        <v>80.7</v>
      </c>
      <c r="E98" s="691">
        <v>80.8</v>
      </c>
      <c r="F98" s="691">
        <v>81.2</v>
      </c>
      <c r="G98" s="691">
        <v>81.3</v>
      </c>
      <c r="H98" s="691">
        <v>81.7</v>
      </c>
      <c r="I98" s="691">
        <v>81.599999999999994</v>
      </c>
      <c r="J98" s="691">
        <v>81.400000000000006</v>
      </c>
      <c r="K98" s="691">
        <v>81.599999999999994</v>
      </c>
    </row>
    <row r="99" spans="1:11">
      <c r="A99" s="688" t="s">
        <v>7</v>
      </c>
      <c r="B99" s="689">
        <v>80.7</v>
      </c>
      <c r="C99" s="689">
        <v>80.3</v>
      </c>
      <c r="D99" s="689">
        <v>80.099999999999994</v>
      </c>
      <c r="E99" s="689">
        <v>80.400000000000006</v>
      </c>
      <c r="F99" s="689">
        <v>80.3</v>
      </c>
      <c r="G99" s="689">
        <v>80.8</v>
      </c>
      <c r="H99" s="689">
        <v>80.7</v>
      </c>
      <c r="I99" s="689">
        <v>80.400000000000006</v>
      </c>
      <c r="J99" s="689">
        <v>79.3</v>
      </c>
      <c r="K99" s="689">
        <v>80.099999999999994</v>
      </c>
    </row>
    <row r="100" spans="1:11">
      <c r="A100" s="688" t="s">
        <v>27</v>
      </c>
      <c r="B100" s="691">
        <v>82.4</v>
      </c>
      <c r="C100" s="691">
        <v>82.1</v>
      </c>
      <c r="D100" s="691">
        <v>81.900000000000006</v>
      </c>
      <c r="E100" s="691">
        <v>82.3</v>
      </c>
      <c r="F100" s="691">
        <v>82.3</v>
      </c>
      <c r="G100" s="691">
        <v>82.4</v>
      </c>
      <c r="H100" s="691">
        <v>82.7</v>
      </c>
      <c r="I100" s="691">
        <v>81.5</v>
      </c>
      <c r="J100" s="691">
        <v>82.2</v>
      </c>
      <c r="K100" s="691">
        <v>82.3</v>
      </c>
    </row>
    <row r="101" spans="1:11">
      <c r="A101" s="688" t="s">
        <v>6</v>
      </c>
      <c r="B101" s="689">
        <v>81.7</v>
      </c>
      <c r="C101" s="689">
        <v>81.7</v>
      </c>
      <c r="D101" s="689">
        <v>81.400000000000006</v>
      </c>
      <c r="E101" s="689">
        <v>81.7</v>
      </c>
      <c r="F101" s="689">
        <v>81.8</v>
      </c>
      <c r="G101" s="689">
        <v>81.900000000000006</v>
      </c>
      <c r="H101" s="693">
        <v>82</v>
      </c>
      <c r="I101" s="689">
        <v>81.5</v>
      </c>
      <c r="J101" s="689">
        <v>81.599999999999994</v>
      </c>
      <c r="K101" s="689">
        <v>81.599999999999994</v>
      </c>
    </row>
    <row r="102" spans="1:11">
      <c r="A102" s="688" t="s">
        <v>4058</v>
      </c>
      <c r="B102" s="692" t="s">
        <v>4060</v>
      </c>
      <c r="C102" s="692" t="s">
        <v>4060</v>
      </c>
      <c r="D102" s="692" t="s">
        <v>4060</v>
      </c>
      <c r="E102" s="692" t="s">
        <v>4060</v>
      </c>
      <c r="F102" s="692" t="s">
        <v>4060</v>
      </c>
      <c r="G102" s="692" t="s">
        <v>4060</v>
      </c>
      <c r="H102" s="692" t="s">
        <v>4060</v>
      </c>
      <c r="I102" s="692" t="s">
        <v>4060</v>
      </c>
      <c r="J102" s="692" t="s">
        <v>4060</v>
      </c>
      <c r="K102" s="692" t="s">
        <v>4060</v>
      </c>
    </row>
    <row r="103" spans="1:11">
      <c r="A103" s="688" t="s">
        <v>11</v>
      </c>
      <c r="B103" s="689">
        <v>77.099999999999994</v>
      </c>
      <c r="C103" s="689">
        <v>77.2</v>
      </c>
      <c r="D103" s="689">
        <v>76.7</v>
      </c>
      <c r="E103" s="689">
        <v>77.400000000000006</v>
      </c>
      <c r="F103" s="689">
        <v>77.099999999999994</v>
      </c>
      <c r="G103" s="689">
        <v>77.3</v>
      </c>
      <c r="H103" s="689">
        <v>77.599999999999994</v>
      </c>
      <c r="I103" s="689">
        <v>76.900000000000006</v>
      </c>
      <c r="J103" s="689">
        <v>75.900000000000006</v>
      </c>
      <c r="K103" s="693">
        <v>77</v>
      </c>
    </row>
    <row r="104" spans="1:11">
      <c r="A104" s="688" t="s">
        <v>10</v>
      </c>
      <c r="B104" s="691">
        <v>82.1</v>
      </c>
      <c r="C104" s="691">
        <v>82.1</v>
      </c>
      <c r="D104" s="691">
        <v>81.7</v>
      </c>
      <c r="E104" s="691">
        <v>82.2</v>
      </c>
      <c r="F104" s="691">
        <v>82.1</v>
      </c>
      <c r="G104" s="691">
        <v>82.4</v>
      </c>
      <c r="H104" s="691">
        <v>82.6</v>
      </c>
      <c r="I104" s="691">
        <v>81.400000000000006</v>
      </c>
      <c r="J104" s="691">
        <v>81.8</v>
      </c>
      <c r="K104" s="691">
        <v>81.900000000000006</v>
      </c>
    </row>
    <row r="105" spans="1:11">
      <c r="A105" s="688" t="s">
        <v>30</v>
      </c>
      <c r="B105" s="689">
        <v>81.7</v>
      </c>
      <c r="C105" s="689">
        <v>81.5</v>
      </c>
      <c r="D105" s="689">
        <v>81.099999999999994</v>
      </c>
      <c r="E105" s="693">
        <v>82</v>
      </c>
      <c r="F105" s="689">
        <v>81.5</v>
      </c>
      <c r="G105" s="689">
        <v>82.2</v>
      </c>
      <c r="H105" s="689">
        <v>81.8</v>
      </c>
      <c r="I105" s="689">
        <v>81.900000000000006</v>
      </c>
      <c r="J105" s="693">
        <v>81</v>
      </c>
      <c r="K105" s="689">
        <v>81.400000000000006</v>
      </c>
    </row>
    <row r="106" spans="1:11">
      <c r="A106" s="688" t="s">
        <v>12</v>
      </c>
      <c r="B106" s="691">
        <v>73.7</v>
      </c>
      <c r="C106" s="691">
        <v>73.599999999999994</v>
      </c>
      <c r="D106" s="615">
        <v>74</v>
      </c>
      <c r="E106" s="615">
        <v>74</v>
      </c>
      <c r="F106" s="691">
        <v>74.099999999999994</v>
      </c>
      <c r="G106" s="691">
        <v>74.2</v>
      </c>
      <c r="H106" s="691">
        <v>74.900000000000006</v>
      </c>
      <c r="I106" s="691">
        <v>74.7</v>
      </c>
      <c r="J106" s="691">
        <v>72.400000000000006</v>
      </c>
      <c r="K106" s="691">
        <v>73.7</v>
      </c>
    </row>
    <row r="107" spans="1:11">
      <c r="A107" s="688" t="s">
        <v>14</v>
      </c>
      <c r="B107" s="689">
        <v>73.400000000000006</v>
      </c>
      <c r="C107" s="689">
        <v>73.8</v>
      </c>
      <c r="D107" s="689">
        <v>73.8</v>
      </c>
      <c r="E107" s="689">
        <v>74.099999999999994</v>
      </c>
      <c r="F107" s="689">
        <v>74.900000000000006</v>
      </c>
      <c r="G107" s="689">
        <v>75.099999999999994</v>
      </c>
      <c r="H107" s="689">
        <v>75.599999999999994</v>
      </c>
      <c r="I107" s="689">
        <v>74.400000000000006</v>
      </c>
      <c r="J107" s="689">
        <v>73.5</v>
      </c>
      <c r="K107" s="689">
        <v>75.099999999999994</v>
      </c>
    </row>
    <row r="108" spans="1:11">
      <c r="A108" s="688" t="s">
        <v>15</v>
      </c>
      <c r="B108" s="691">
        <v>81.2</v>
      </c>
      <c r="C108" s="691">
        <v>81.099999999999994</v>
      </c>
      <c r="D108" s="691">
        <v>81.2</v>
      </c>
      <c r="E108" s="691">
        <v>81.599999999999994</v>
      </c>
      <c r="F108" s="691">
        <v>81.099999999999994</v>
      </c>
      <c r="G108" s="691">
        <v>81.400000000000006</v>
      </c>
      <c r="H108" s="691">
        <v>81.8</v>
      </c>
      <c r="I108" s="691">
        <v>81.400000000000006</v>
      </c>
      <c r="J108" s="691">
        <v>81.8</v>
      </c>
      <c r="K108" s="691">
        <v>82.1</v>
      </c>
    </row>
    <row r="109" spans="1:11">
      <c r="A109" s="688" t="s">
        <v>29</v>
      </c>
      <c r="B109" s="689">
        <v>75.2</v>
      </c>
      <c r="C109" s="689">
        <v>75.2</v>
      </c>
      <c r="D109" s="689">
        <v>74.900000000000006</v>
      </c>
      <c r="E109" s="689">
        <v>75.400000000000006</v>
      </c>
      <c r="F109" s="689">
        <v>75.099999999999994</v>
      </c>
      <c r="G109" s="689">
        <v>75.3</v>
      </c>
      <c r="H109" s="689">
        <v>75.599999999999994</v>
      </c>
      <c r="I109" s="689">
        <v>74.8</v>
      </c>
      <c r="J109" s="689">
        <v>73.400000000000006</v>
      </c>
      <c r="K109" s="689">
        <v>75.2</v>
      </c>
    </row>
    <row r="110" spans="1:11">
      <c r="A110" s="688" t="s">
        <v>16</v>
      </c>
      <c r="B110" s="691">
        <v>81.400000000000006</v>
      </c>
      <c r="C110" s="691">
        <v>81.2</v>
      </c>
      <c r="D110" s="691">
        <v>81.2</v>
      </c>
      <c r="E110" s="691">
        <v>81.7</v>
      </c>
      <c r="F110" s="691">
        <v>81.599999999999994</v>
      </c>
      <c r="G110" s="691">
        <v>81.5</v>
      </c>
      <c r="H110" s="691">
        <v>81.900000000000006</v>
      </c>
      <c r="I110" s="691">
        <v>81.2</v>
      </c>
      <c r="J110" s="691">
        <v>81.3</v>
      </c>
      <c r="K110" s="691">
        <v>81.5</v>
      </c>
    </row>
    <row r="111" spans="1:11">
      <c r="A111" s="688" t="s">
        <v>17</v>
      </c>
      <c r="B111" s="689">
        <v>80.7</v>
      </c>
      <c r="C111" s="689">
        <v>80.900000000000006</v>
      </c>
      <c r="D111" s="689">
        <v>80.7</v>
      </c>
      <c r="E111" s="689">
        <v>80.8</v>
      </c>
      <c r="F111" s="693">
        <v>81</v>
      </c>
      <c r="G111" s="689">
        <v>81.099999999999994</v>
      </c>
      <c r="H111" s="689">
        <v>81.3</v>
      </c>
      <c r="I111" s="689">
        <v>80.7</v>
      </c>
      <c r="J111" s="689">
        <v>80.599999999999994</v>
      </c>
      <c r="K111" s="689">
        <v>80.900000000000006</v>
      </c>
    </row>
    <row r="112" spans="1:11">
      <c r="A112" s="688" t="s">
        <v>19</v>
      </c>
      <c r="B112" s="691">
        <v>80.5</v>
      </c>
      <c r="C112" s="691">
        <v>80.599999999999994</v>
      </c>
      <c r="D112" s="691">
        <v>80.400000000000006</v>
      </c>
      <c r="E112" s="691">
        <v>80.900000000000006</v>
      </c>
      <c r="F112" s="691">
        <v>80.900000000000006</v>
      </c>
      <c r="G112" s="691">
        <v>80.900000000000006</v>
      </c>
      <c r="H112" s="691">
        <v>81.2</v>
      </c>
      <c r="I112" s="691">
        <v>80.599999999999994</v>
      </c>
      <c r="J112" s="691">
        <v>80.5</v>
      </c>
      <c r="K112" s="691">
        <v>80.599999999999994</v>
      </c>
    </row>
    <row r="113" spans="1:11">
      <c r="A113" s="688" t="s">
        <v>20</v>
      </c>
      <c r="B113" s="689">
        <v>76.5</v>
      </c>
      <c r="C113" s="689">
        <v>76.900000000000006</v>
      </c>
      <c r="D113" s="689">
        <v>76.7</v>
      </c>
      <c r="E113" s="689">
        <v>77.099999999999994</v>
      </c>
      <c r="F113" s="693">
        <v>77</v>
      </c>
      <c r="G113" s="689">
        <v>76.900000000000006</v>
      </c>
      <c r="H113" s="689">
        <v>77.2</v>
      </c>
      <c r="I113" s="689">
        <v>75.7</v>
      </c>
      <c r="J113" s="689">
        <v>74.7</v>
      </c>
      <c r="K113" s="689">
        <v>76.400000000000006</v>
      </c>
    </row>
    <row r="114" spans="1:11">
      <c r="A114" s="688" t="s">
        <v>21</v>
      </c>
      <c r="B114" s="691">
        <v>80.099999999999994</v>
      </c>
      <c r="C114" s="691">
        <v>80.5</v>
      </c>
      <c r="D114" s="691">
        <v>80.599999999999994</v>
      </c>
      <c r="E114" s="691">
        <v>80.599999999999994</v>
      </c>
      <c r="F114" s="691">
        <v>80.900000000000006</v>
      </c>
      <c r="G114" s="691">
        <v>80.900000000000006</v>
      </c>
      <c r="H114" s="691">
        <v>81.2</v>
      </c>
      <c r="I114" s="691">
        <v>80.599999999999994</v>
      </c>
      <c r="J114" s="691">
        <v>80.599999999999994</v>
      </c>
      <c r="K114" s="691">
        <v>80.900000000000006</v>
      </c>
    </row>
    <row r="115" spans="1:11">
      <c r="A115" s="688" t="s">
        <v>22</v>
      </c>
      <c r="B115" s="689">
        <v>74.8</v>
      </c>
      <c r="C115" s="689">
        <v>74.5</v>
      </c>
      <c r="D115" s="689">
        <v>74.400000000000006</v>
      </c>
      <c r="E115" s="689">
        <v>74.7</v>
      </c>
      <c r="F115" s="689">
        <v>74.7</v>
      </c>
      <c r="G115" s="689">
        <v>74.7</v>
      </c>
      <c r="H115" s="693">
        <v>75</v>
      </c>
      <c r="I115" s="689">
        <v>73.5</v>
      </c>
      <c r="J115" s="689">
        <v>72.2</v>
      </c>
      <c r="K115" s="689">
        <v>74.5</v>
      </c>
    </row>
    <row r="116" spans="1:11">
      <c r="A116" s="688" t="s">
        <v>26</v>
      </c>
      <c r="B116" s="691">
        <v>79.7</v>
      </c>
      <c r="C116" s="615">
        <v>80</v>
      </c>
      <c r="D116" s="691">
        <v>79.7</v>
      </c>
      <c r="E116" s="691">
        <v>80.099999999999994</v>
      </c>
      <c r="F116" s="691">
        <v>80.099999999999994</v>
      </c>
      <c r="G116" s="691">
        <v>80.400000000000006</v>
      </c>
      <c r="H116" s="691">
        <v>80.5</v>
      </c>
      <c r="I116" s="691">
        <v>79.7</v>
      </c>
      <c r="J116" s="691">
        <v>79.8</v>
      </c>
      <c r="K116" s="691">
        <v>80.400000000000006</v>
      </c>
    </row>
    <row r="117" spans="1:11">
      <c r="A117" s="688" t="s">
        <v>25</v>
      </c>
      <c r="B117" s="693">
        <v>76</v>
      </c>
      <c r="C117" s="689">
        <v>76.400000000000006</v>
      </c>
      <c r="D117" s="689">
        <v>76.099999999999994</v>
      </c>
      <c r="E117" s="689">
        <v>76.7</v>
      </c>
      <c r="F117" s="689">
        <v>76.599999999999994</v>
      </c>
      <c r="G117" s="689">
        <v>76.7</v>
      </c>
      <c r="H117" s="689">
        <v>77.099999999999994</v>
      </c>
      <c r="I117" s="689">
        <v>76.400000000000006</v>
      </c>
      <c r="J117" s="693">
        <v>74</v>
      </c>
      <c r="K117" s="689">
        <v>76.400000000000006</v>
      </c>
    </row>
    <row r="118" spans="1:11">
      <c r="A118" s="688" t="s">
        <v>5</v>
      </c>
      <c r="B118" s="691">
        <v>80.3</v>
      </c>
      <c r="C118" s="691">
        <v>80.2</v>
      </c>
      <c r="D118" s="691">
        <v>80.5</v>
      </c>
      <c r="E118" s="691">
        <v>80.5</v>
      </c>
      <c r="F118" s="691">
        <v>80.7</v>
      </c>
      <c r="G118" s="691">
        <v>80.8</v>
      </c>
      <c r="H118" s="691">
        <v>81.099999999999994</v>
      </c>
      <c r="I118" s="615">
        <v>81</v>
      </c>
      <c r="J118" s="615">
        <v>81</v>
      </c>
      <c r="K118" s="691">
        <v>80.400000000000006</v>
      </c>
    </row>
    <row r="119" spans="1:11">
      <c r="A119" s="688" t="s">
        <v>23</v>
      </c>
      <c r="B119" s="689">
        <v>81.2</v>
      </c>
      <c r="C119" s="689">
        <v>81.400000000000006</v>
      </c>
      <c r="D119" s="689">
        <v>81.400000000000006</v>
      </c>
      <c r="E119" s="689">
        <v>81.5</v>
      </c>
      <c r="F119" s="689">
        <v>81.599999999999994</v>
      </c>
      <c r="G119" s="689">
        <v>81.7</v>
      </c>
      <c r="H119" s="689">
        <v>82.2</v>
      </c>
      <c r="I119" s="689">
        <v>81.599999999999994</v>
      </c>
      <c r="J119" s="689">
        <v>82.2</v>
      </c>
      <c r="K119" s="689">
        <v>82.2</v>
      </c>
    </row>
    <row r="120" spans="1:11">
      <c r="A120" s="688" t="s">
        <v>4067</v>
      </c>
      <c r="B120" s="691">
        <v>79.900000000000006</v>
      </c>
      <c r="C120" s="691">
        <v>80.2</v>
      </c>
      <c r="D120" s="691">
        <v>79.900000000000006</v>
      </c>
      <c r="E120" s="691">
        <v>80.3</v>
      </c>
      <c r="F120" s="691">
        <v>80.2</v>
      </c>
      <c r="G120" s="691">
        <v>80.3</v>
      </c>
      <c r="H120" s="692" t="s">
        <v>4060</v>
      </c>
      <c r="I120" s="692" t="s">
        <v>4060</v>
      </c>
      <c r="J120" s="692" t="s">
        <v>4060</v>
      </c>
      <c r="K120" s="692" t="s">
        <v>4060</v>
      </c>
    </row>
    <row r="121" spans="1:11">
      <c r="A121" s="688" t="s">
        <v>4066</v>
      </c>
      <c r="B121" s="689">
        <v>79.900000000000006</v>
      </c>
      <c r="C121" s="689">
        <v>80.2</v>
      </c>
      <c r="D121" s="689">
        <v>79.900000000000006</v>
      </c>
      <c r="E121" s="689">
        <v>80.3</v>
      </c>
      <c r="F121" s="689">
        <v>80.3</v>
      </c>
      <c r="G121" s="689">
        <v>80.3</v>
      </c>
      <c r="H121" s="690" t="s">
        <v>4060</v>
      </c>
      <c r="I121" s="690" t="s">
        <v>4060</v>
      </c>
      <c r="J121" s="690" t="s">
        <v>4060</v>
      </c>
      <c r="K121" s="690" t="s">
        <v>4060</v>
      </c>
    </row>
    <row r="122" spans="1:11">
      <c r="A122" s="688" t="s">
        <v>4062</v>
      </c>
      <c r="B122" s="691">
        <v>81.8</v>
      </c>
      <c r="C122" s="615">
        <v>82</v>
      </c>
      <c r="D122" s="691">
        <v>81.900000000000006</v>
      </c>
      <c r="E122" s="691">
        <v>82.3</v>
      </c>
      <c r="F122" s="691">
        <v>82.4</v>
      </c>
      <c r="G122" s="691">
        <v>82.5</v>
      </c>
      <c r="H122" s="691">
        <v>82.7</v>
      </c>
      <c r="I122" s="691">
        <v>82.3</v>
      </c>
      <c r="J122" s="691">
        <v>82.7</v>
      </c>
      <c r="K122" s="691">
        <v>82.4</v>
      </c>
    </row>
    <row r="123" spans="1:11">
      <c r="A123" s="688" t="s">
        <v>9</v>
      </c>
      <c r="B123" s="689">
        <v>81.3</v>
      </c>
      <c r="C123" s="689">
        <v>81.8</v>
      </c>
      <c r="D123" s="689">
        <v>81.5</v>
      </c>
      <c r="E123" s="689">
        <v>81.2</v>
      </c>
      <c r="F123" s="689">
        <v>81.599999999999994</v>
      </c>
      <c r="G123" s="689">
        <v>81.8</v>
      </c>
      <c r="H123" s="689">
        <v>82.1</v>
      </c>
      <c r="I123" s="689">
        <v>82.1</v>
      </c>
      <c r="J123" s="689">
        <v>82.3</v>
      </c>
      <c r="K123" s="689">
        <v>81.3</v>
      </c>
    </row>
    <row r="124" spans="1:11">
      <c r="A124" s="688" t="s">
        <v>13</v>
      </c>
      <c r="B124" s="691">
        <v>81.900000000000006</v>
      </c>
      <c r="C124" s="691">
        <v>81.3</v>
      </c>
      <c r="D124" s="615">
        <v>82</v>
      </c>
      <c r="E124" s="691">
        <v>81.3</v>
      </c>
      <c r="F124" s="691">
        <v>82.3</v>
      </c>
      <c r="G124" s="615">
        <v>82</v>
      </c>
      <c r="H124" s="615">
        <v>83</v>
      </c>
      <c r="I124" s="691">
        <v>81.2</v>
      </c>
      <c r="J124" s="691">
        <v>83.1</v>
      </c>
      <c r="K124" s="691">
        <v>82.6</v>
      </c>
    </row>
    <row r="125" spans="1:11">
      <c r="A125" s="688" t="s">
        <v>18</v>
      </c>
      <c r="B125" s="693">
        <v>81</v>
      </c>
      <c r="C125" s="689">
        <v>81.3</v>
      </c>
      <c r="D125" s="689">
        <v>81.5</v>
      </c>
      <c r="E125" s="689">
        <v>81.599999999999994</v>
      </c>
      <c r="F125" s="689">
        <v>81.8</v>
      </c>
      <c r="G125" s="693">
        <v>82</v>
      </c>
      <c r="H125" s="689">
        <v>82.1</v>
      </c>
      <c r="I125" s="689">
        <v>82.3</v>
      </c>
      <c r="J125" s="689">
        <v>82.3</v>
      </c>
      <c r="K125" s="689">
        <v>81.8</v>
      </c>
    </row>
    <row r="126" spans="1:11">
      <c r="A126" s="688" t="s">
        <v>24</v>
      </c>
      <c r="B126" s="691">
        <v>82.2</v>
      </c>
      <c r="C126" s="691">
        <v>82.4</v>
      </c>
      <c r="D126" s="691">
        <v>82.2</v>
      </c>
      <c r="E126" s="691">
        <v>82.7</v>
      </c>
      <c r="F126" s="691">
        <v>82.7</v>
      </c>
      <c r="G126" s="691">
        <v>82.9</v>
      </c>
      <c r="H126" s="691">
        <v>83.1</v>
      </c>
      <c r="I126" s="691">
        <v>82.4</v>
      </c>
      <c r="J126" s="691">
        <v>82.9</v>
      </c>
      <c r="K126" s="691">
        <v>82.8</v>
      </c>
    </row>
    <row r="127" spans="1:11">
      <c r="A127" s="688" t="s">
        <v>4059</v>
      </c>
      <c r="B127" s="689">
        <v>80.400000000000006</v>
      </c>
      <c r="C127" s="689">
        <v>80.7</v>
      </c>
      <c r="D127" s="689">
        <v>80.3</v>
      </c>
      <c r="E127" s="689">
        <v>80.599999999999994</v>
      </c>
      <c r="F127" s="689">
        <v>80.599999999999994</v>
      </c>
      <c r="G127" s="689">
        <v>80.599999999999994</v>
      </c>
      <c r="H127" s="690" t="s">
        <v>4060</v>
      </c>
      <c r="I127" s="690" t="s">
        <v>4060</v>
      </c>
      <c r="J127" s="690" t="s">
        <v>4060</v>
      </c>
      <c r="K127" s="690" t="s">
        <v>4060</v>
      </c>
    </row>
    <row r="128" spans="1:11">
      <c r="A128" s="688" t="s">
        <v>2324</v>
      </c>
      <c r="B128" s="691">
        <v>75.8</v>
      </c>
      <c r="C128" s="691">
        <v>75.900000000000006</v>
      </c>
      <c r="D128" s="691">
        <v>75.7</v>
      </c>
      <c r="E128" s="691">
        <v>75.8</v>
      </c>
      <c r="F128" s="691">
        <v>75.7</v>
      </c>
      <c r="G128" s="615">
        <v>76</v>
      </c>
      <c r="H128" s="691">
        <v>75.900000000000006</v>
      </c>
      <c r="I128" s="691">
        <v>75.2</v>
      </c>
      <c r="J128" s="691">
        <v>72.900000000000006</v>
      </c>
      <c r="K128" s="692" t="s">
        <v>4060</v>
      </c>
    </row>
    <row r="129" spans="1:11">
      <c r="A129" s="688" t="s">
        <v>2322</v>
      </c>
      <c r="B129" s="690" t="s">
        <v>4060</v>
      </c>
      <c r="C129" s="690" t="s">
        <v>4060</v>
      </c>
      <c r="D129" s="690" t="s">
        <v>4060</v>
      </c>
      <c r="E129" s="690" t="s">
        <v>4060</v>
      </c>
      <c r="F129" s="690" t="s">
        <v>4060</v>
      </c>
      <c r="G129" s="690" t="s">
        <v>4060</v>
      </c>
      <c r="H129" s="690" t="s">
        <v>4060</v>
      </c>
      <c r="I129" s="690" t="s">
        <v>4060</v>
      </c>
      <c r="J129" s="690" t="s">
        <v>4060</v>
      </c>
      <c r="K129" s="690" t="s">
        <v>4060</v>
      </c>
    </row>
    <row r="130" spans="1:11">
      <c r="A130" s="688" t="s">
        <v>2328</v>
      </c>
      <c r="B130" s="691">
        <v>75.2</v>
      </c>
      <c r="C130" s="691">
        <v>75.2</v>
      </c>
      <c r="D130" s="691">
        <v>75.099999999999994</v>
      </c>
      <c r="E130" s="691">
        <v>75.3</v>
      </c>
      <c r="F130" s="691">
        <v>75.7</v>
      </c>
      <c r="G130" s="691">
        <v>76.099999999999994</v>
      </c>
      <c r="H130" s="615">
        <v>76</v>
      </c>
      <c r="I130" s="691">
        <v>73.8</v>
      </c>
      <c r="J130" s="691">
        <v>72.599999999999994</v>
      </c>
      <c r="K130" s="692" t="s">
        <v>4060</v>
      </c>
    </row>
    <row r="131" spans="1:11">
      <c r="A131" s="688" t="s">
        <v>2496</v>
      </c>
      <c r="B131" s="690" t="s">
        <v>4060</v>
      </c>
      <c r="C131" s="689">
        <v>73.900000000000006</v>
      </c>
      <c r="D131" s="689">
        <v>72.7</v>
      </c>
      <c r="E131" s="689">
        <v>72.400000000000006</v>
      </c>
      <c r="F131" s="689">
        <v>73.2</v>
      </c>
      <c r="G131" s="689">
        <v>73.5</v>
      </c>
      <c r="H131" s="689">
        <v>73.599999999999994</v>
      </c>
      <c r="I131" s="690" t="s">
        <v>4060</v>
      </c>
      <c r="J131" s="690" t="s">
        <v>4060</v>
      </c>
      <c r="K131" s="689">
        <v>73.3</v>
      </c>
    </row>
    <row r="132" spans="1:11">
      <c r="A132" s="688" t="s">
        <v>2269</v>
      </c>
      <c r="B132" s="691">
        <v>77.599999999999994</v>
      </c>
      <c r="C132" s="691">
        <v>77.8</v>
      </c>
      <c r="D132" s="691">
        <v>77.5</v>
      </c>
      <c r="E132" s="691">
        <v>78.2</v>
      </c>
      <c r="F132" s="691">
        <v>78.099999999999994</v>
      </c>
      <c r="G132" s="691">
        <v>78.599999999999994</v>
      </c>
      <c r="H132" s="691">
        <v>78.900000000000006</v>
      </c>
      <c r="I132" s="691">
        <v>77.099999999999994</v>
      </c>
      <c r="J132" s="691">
        <v>75.2</v>
      </c>
      <c r="K132" s="691">
        <v>78.599999999999994</v>
      </c>
    </row>
    <row r="133" spans="1:11">
      <c r="A133" s="688" t="s">
        <v>2349</v>
      </c>
      <c r="B133" s="689">
        <v>74.7</v>
      </c>
      <c r="C133" s="689">
        <v>74.8</v>
      </c>
      <c r="D133" s="689">
        <v>74.7</v>
      </c>
      <c r="E133" s="689">
        <v>75.2</v>
      </c>
      <c r="F133" s="693">
        <v>75</v>
      </c>
      <c r="G133" s="689">
        <v>75.3</v>
      </c>
      <c r="H133" s="689">
        <v>75.400000000000006</v>
      </c>
      <c r="I133" s="689">
        <v>73.8</v>
      </c>
      <c r="J133" s="689">
        <v>72.2</v>
      </c>
      <c r="K133" s="689">
        <v>74.599999999999994</v>
      </c>
    </row>
    <row r="134" spans="1:11">
      <c r="A134" s="688" t="s">
        <v>2355</v>
      </c>
      <c r="B134" s="691">
        <v>78.099999999999994</v>
      </c>
      <c r="C134" s="691">
        <v>78.099999999999994</v>
      </c>
      <c r="D134" s="615">
        <v>78</v>
      </c>
      <c r="E134" s="691">
        <v>77.900000000000006</v>
      </c>
      <c r="F134" s="691">
        <v>78.2</v>
      </c>
      <c r="G134" s="691">
        <v>78.7</v>
      </c>
      <c r="H134" s="691">
        <v>78.8</v>
      </c>
      <c r="I134" s="692" t="s">
        <v>4060</v>
      </c>
      <c r="J134" s="692" t="s">
        <v>4060</v>
      </c>
      <c r="K134" s="692" t="s">
        <v>4060</v>
      </c>
    </row>
    <row r="135" spans="1:11">
      <c r="A135" s="688" t="s">
        <v>2357</v>
      </c>
      <c r="B135" s="690" t="s">
        <v>4060</v>
      </c>
      <c r="C135" s="689">
        <v>71.3</v>
      </c>
      <c r="D135" s="689">
        <v>72.099999999999994</v>
      </c>
      <c r="E135" s="689">
        <v>72.5</v>
      </c>
      <c r="F135" s="689">
        <v>72.8</v>
      </c>
      <c r="G135" s="689">
        <v>72.7</v>
      </c>
      <c r="H135" s="689">
        <v>72.900000000000006</v>
      </c>
      <c r="I135" s="690" t="s">
        <v>4060</v>
      </c>
      <c r="J135" s="690" t="s">
        <v>4060</v>
      </c>
      <c r="K135" s="690" t="s">
        <v>4060</v>
      </c>
    </row>
    <row r="136" spans="1:11">
      <c r="A136" s="688" t="s">
        <v>4070</v>
      </c>
      <c r="B136" s="692" t="s">
        <v>4060</v>
      </c>
      <c r="C136" s="692" t="s">
        <v>4060</v>
      </c>
      <c r="D136" s="692" t="s">
        <v>4060</v>
      </c>
      <c r="E136" s="691">
        <v>78.099999999999994</v>
      </c>
      <c r="F136" s="692" t="s">
        <v>4060</v>
      </c>
      <c r="G136" s="692" t="s">
        <v>4060</v>
      </c>
      <c r="H136" s="692" t="s">
        <v>4060</v>
      </c>
      <c r="I136" s="692" t="s">
        <v>4060</v>
      </c>
      <c r="J136" s="692" t="s">
        <v>4060</v>
      </c>
      <c r="K136" s="692" t="s">
        <v>4060</v>
      </c>
    </row>
    <row r="137" spans="1:11">
      <c r="A137" s="688" t="s">
        <v>2491</v>
      </c>
      <c r="B137" s="693">
        <v>72</v>
      </c>
      <c r="C137" s="689">
        <v>72.599999999999994</v>
      </c>
      <c r="D137" s="689">
        <v>73.2</v>
      </c>
      <c r="E137" s="689">
        <v>73.5</v>
      </c>
      <c r="F137" s="689">
        <v>73.7</v>
      </c>
      <c r="G137" s="689">
        <v>73.7</v>
      </c>
      <c r="H137" s="690" t="s">
        <v>4060</v>
      </c>
      <c r="I137" s="690" t="s">
        <v>4060</v>
      </c>
      <c r="J137" s="690" t="s">
        <v>4060</v>
      </c>
      <c r="K137" s="690" t="s">
        <v>4060</v>
      </c>
    </row>
    <row r="138" spans="1:11">
      <c r="A138" s="688" t="s">
        <v>2343</v>
      </c>
      <c r="B138" s="692" t="s">
        <v>4060</v>
      </c>
      <c r="C138" s="692" t="s">
        <v>4060</v>
      </c>
      <c r="D138" s="692" t="s">
        <v>4060</v>
      </c>
      <c r="E138" s="692" t="s">
        <v>4060</v>
      </c>
      <c r="F138" s="692" t="s">
        <v>4060</v>
      </c>
      <c r="G138" s="692" t="s">
        <v>4060</v>
      </c>
      <c r="H138" s="692" t="s">
        <v>4060</v>
      </c>
      <c r="I138" s="692" t="s">
        <v>4060</v>
      </c>
      <c r="J138" s="692" t="s">
        <v>4060</v>
      </c>
      <c r="K138" s="692" t="s">
        <v>4060</v>
      </c>
    </row>
    <row r="139" spans="1:11">
      <c r="A139" s="688" t="s">
        <v>4071</v>
      </c>
      <c r="B139" s="690" t="s">
        <v>4060</v>
      </c>
      <c r="C139" s="690" t="s">
        <v>4060</v>
      </c>
      <c r="D139" s="690" t="s">
        <v>4060</v>
      </c>
      <c r="E139" s="690" t="s">
        <v>4060</v>
      </c>
      <c r="F139" s="690" t="s">
        <v>4060</v>
      </c>
      <c r="G139" s="690" t="s">
        <v>4060</v>
      </c>
      <c r="H139" s="690" t="s">
        <v>4060</v>
      </c>
      <c r="I139" s="690" t="s">
        <v>4060</v>
      </c>
      <c r="J139" s="690" t="s">
        <v>4060</v>
      </c>
      <c r="K139" s="690" t="s">
        <v>4060</v>
      </c>
    </row>
    <row r="140" spans="1:11">
      <c r="A140" s="688" t="s">
        <v>2489</v>
      </c>
      <c r="B140" s="692" t="s">
        <v>4060</v>
      </c>
      <c r="C140" s="692" t="s">
        <v>4060</v>
      </c>
      <c r="D140" s="691">
        <v>74.7</v>
      </c>
      <c r="E140" s="691">
        <v>74.7</v>
      </c>
      <c r="F140" s="691">
        <v>75.5</v>
      </c>
      <c r="G140" s="691">
        <v>76.3</v>
      </c>
      <c r="H140" s="691">
        <v>76.099999999999994</v>
      </c>
      <c r="I140" s="692" t="s">
        <v>4060</v>
      </c>
      <c r="J140" s="692" t="s">
        <v>4060</v>
      </c>
      <c r="K140" s="692" t="s">
        <v>4060</v>
      </c>
    </row>
    <row r="141" spans="1:11">
      <c r="A141" s="688" t="s">
        <v>2490</v>
      </c>
      <c r="B141" s="689">
        <v>74.5</v>
      </c>
      <c r="C141" s="689">
        <v>74.5</v>
      </c>
      <c r="D141" s="689">
        <v>75.2</v>
      </c>
      <c r="E141" s="690" t="s">
        <v>4060</v>
      </c>
      <c r="F141" s="689">
        <v>75.400000000000006</v>
      </c>
      <c r="G141" s="689">
        <v>75.8</v>
      </c>
      <c r="H141" s="689">
        <v>76.5</v>
      </c>
      <c r="I141" s="690" t="s">
        <v>4060</v>
      </c>
      <c r="J141" s="690" t="s">
        <v>4060</v>
      </c>
      <c r="K141" s="690" t="s">
        <v>4060</v>
      </c>
    </row>
    <row r="143" spans="1:11">
      <c r="A143" s="683" t="s">
        <v>4233</v>
      </c>
    </row>
    <row r="144" spans="1:11">
      <c r="A144" s="683" t="s">
        <v>4060</v>
      </c>
      <c r="B144" s="682" t="s">
        <v>4234</v>
      </c>
    </row>
    <row r="146" spans="1:11">
      <c r="A146" s="682" t="s">
        <v>4209</v>
      </c>
    </row>
    <row r="147" spans="1:11">
      <c r="A147" s="682" t="s">
        <v>4210</v>
      </c>
      <c r="B147" s="683" t="s">
        <v>4211</v>
      </c>
    </row>
    <row r="148" spans="1:11">
      <c r="A148" s="682" t="s">
        <v>4212</v>
      </c>
      <c r="B148" s="682" t="s">
        <v>4213</v>
      </c>
    </row>
    <row r="150" spans="1:11">
      <c r="A150" s="683" t="s">
        <v>4214</v>
      </c>
      <c r="C150" s="682" t="s">
        <v>4215</v>
      </c>
    </row>
    <row r="151" spans="1:11">
      <c r="A151" s="683" t="s">
        <v>4216</v>
      </c>
      <c r="C151" s="682" t="s">
        <v>2967</v>
      </c>
    </row>
    <row r="152" spans="1:11">
      <c r="A152" s="683" t="s">
        <v>3893</v>
      </c>
      <c r="C152" s="682" t="s">
        <v>4217</v>
      </c>
    </row>
    <row r="153" spans="1:11">
      <c r="A153" s="683" t="s">
        <v>4218</v>
      </c>
      <c r="C153" s="682" t="s">
        <v>4236</v>
      </c>
    </row>
    <row r="155" spans="1:11">
      <c r="A155" s="684" t="s">
        <v>4220</v>
      </c>
      <c r="B155" s="685" t="s">
        <v>4221</v>
      </c>
      <c r="C155" s="685" t="s">
        <v>4222</v>
      </c>
      <c r="D155" s="685" t="s">
        <v>4223</v>
      </c>
      <c r="E155" s="685" t="s">
        <v>4224</v>
      </c>
      <c r="F155" s="685" t="s">
        <v>4225</v>
      </c>
      <c r="G155" s="685" t="s">
        <v>4226</v>
      </c>
      <c r="H155" s="685" t="s">
        <v>4227</v>
      </c>
      <c r="I155" s="685" t="s">
        <v>4228</v>
      </c>
      <c r="J155" s="685" t="s">
        <v>4229</v>
      </c>
      <c r="K155" s="685" t="s">
        <v>4230</v>
      </c>
    </row>
    <row r="156" spans="1:11">
      <c r="A156" s="686" t="s">
        <v>4231</v>
      </c>
      <c r="B156" s="687" t="s">
        <v>4232</v>
      </c>
      <c r="C156" s="687" t="s">
        <v>4232</v>
      </c>
      <c r="D156" s="687" t="s">
        <v>4232</v>
      </c>
      <c r="E156" s="687" t="s">
        <v>4232</v>
      </c>
      <c r="F156" s="687" t="s">
        <v>4232</v>
      </c>
      <c r="G156" s="687" t="s">
        <v>4232</v>
      </c>
      <c r="H156" s="687" t="s">
        <v>4232</v>
      </c>
      <c r="I156" s="687" t="s">
        <v>4232</v>
      </c>
      <c r="J156" s="687" t="s">
        <v>4232</v>
      </c>
      <c r="K156" s="687" t="s">
        <v>4232</v>
      </c>
    </row>
    <row r="157" spans="1:11">
      <c r="A157" s="688" t="s">
        <v>4064</v>
      </c>
      <c r="B157" s="689">
        <v>78.8</v>
      </c>
      <c r="C157" s="689">
        <v>78.900000000000006</v>
      </c>
      <c r="D157" s="689">
        <v>78.8</v>
      </c>
      <c r="E157" s="693">
        <v>79</v>
      </c>
      <c r="F157" s="693">
        <v>79</v>
      </c>
      <c r="G157" s="689">
        <v>79.099999999999994</v>
      </c>
      <c r="H157" s="689">
        <v>79.400000000000006</v>
      </c>
      <c r="I157" s="689">
        <v>78.599999999999994</v>
      </c>
      <c r="J157" s="689">
        <v>78.2</v>
      </c>
      <c r="K157" s="689">
        <v>78.8</v>
      </c>
    </row>
    <row r="158" spans="1:11">
      <c r="A158" s="688" t="s">
        <v>4065</v>
      </c>
      <c r="B158" s="691">
        <v>78.900000000000006</v>
      </c>
      <c r="C158" s="691">
        <v>79.2</v>
      </c>
      <c r="D158" s="691">
        <v>78.900000000000006</v>
      </c>
      <c r="E158" s="691">
        <v>79.3</v>
      </c>
      <c r="F158" s="691">
        <v>79.3</v>
      </c>
      <c r="G158" s="691">
        <v>79.3</v>
      </c>
      <c r="H158" s="692" t="s">
        <v>4060</v>
      </c>
      <c r="I158" s="692" t="s">
        <v>4060</v>
      </c>
      <c r="J158" s="692" t="s">
        <v>4060</v>
      </c>
      <c r="K158" s="692" t="s">
        <v>4060</v>
      </c>
    </row>
    <row r="159" spans="1:11">
      <c r="A159" s="688" t="s">
        <v>4063</v>
      </c>
      <c r="B159" s="689">
        <v>78.900000000000006</v>
      </c>
      <c r="C159" s="689">
        <v>79.3</v>
      </c>
      <c r="D159" s="689">
        <v>78.900000000000006</v>
      </c>
      <c r="E159" s="689">
        <v>79.3</v>
      </c>
      <c r="F159" s="689">
        <v>79.3</v>
      </c>
      <c r="G159" s="689">
        <v>79.3</v>
      </c>
      <c r="H159" s="690" t="s">
        <v>4060</v>
      </c>
      <c r="I159" s="690" t="s">
        <v>4060</v>
      </c>
      <c r="J159" s="690" t="s">
        <v>4060</v>
      </c>
      <c r="K159" s="690" t="s">
        <v>4060</v>
      </c>
    </row>
    <row r="160" spans="1:11">
      <c r="A160" s="688" t="s">
        <v>4069</v>
      </c>
      <c r="B160" s="692" t="s">
        <v>4060</v>
      </c>
      <c r="C160" s="691">
        <v>79.900000000000006</v>
      </c>
      <c r="D160" s="691">
        <v>79.599999999999994</v>
      </c>
      <c r="E160" s="615">
        <v>80</v>
      </c>
      <c r="F160" s="615">
        <v>80</v>
      </c>
      <c r="G160" s="691">
        <v>80.099999999999994</v>
      </c>
      <c r="H160" s="691">
        <v>80.400000000000006</v>
      </c>
      <c r="I160" s="691">
        <v>79.7</v>
      </c>
      <c r="J160" s="691">
        <v>79.7</v>
      </c>
      <c r="K160" s="691">
        <v>79.8</v>
      </c>
    </row>
    <row r="161" spans="1:11">
      <c r="A161" s="688" t="s">
        <v>4068</v>
      </c>
      <c r="B161" s="689">
        <v>79.900000000000006</v>
      </c>
      <c r="C161" s="690" t="s">
        <v>4060</v>
      </c>
      <c r="D161" s="690" t="s">
        <v>4060</v>
      </c>
      <c r="E161" s="690" t="s">
        <v>4060</v>
      </c>
      <c r="F161" s="690" t="s">
        <v>4060</v>
      </c>
      <c r="G161" s="690" t="s">
        <v>4060</v>
      </c>
      <c r="H161" s="690" t="s">
        <v>4060</v>
      </c>
      <c r="I161" s="690" t="s">
        <v>4060</v>
      </c>
      <c r="J161" s="690" t="s">
        <v>4060</v>
      </c>
      <c r="K161" s="690" t="s">
        <v>4060</v>
      </c>
    </row>
    <row r="162" spans="1:11">
      <c r="A162" s="688" t="s">
        <v>0</v>
      </c>
      <c r="B162" s="615">
        <v>79</v>
      </c>
      <c r="C162" s="691">
        <v>79.400000000000006</v>
      </c>
      <c r="D162" s="691">
        <v>79.2</v>
      </c>
      <c r="E162" s="691">
        <v>79.5</v>
      </c>
      <c r="F162" s="691">
        <v>79.7</v>
      </c>
      <c r="G162" s="691">
        <v>79.8</v>
      </c>
      <c r="H162" s="691">
        <v>80.2</v>
      </c>
      <c r="I162" s="691">
        <v>79.099999999999994</v>
      </c>
      <c r="J162" s="691">
        <v>79.900000000000006</v>
      </c>
      <c r="K162" s="615">
        <v>80</v>
      </c>
    </row>
    <row r="163" spans="1:11">
      <c r="A163" s="688" t="s">
        <v>1</v>
      </c>
      <c r="B163" s="689">
        <v>73.5</v>
      </c>
      <c r="C163" s="693">
        <v>73</v>
      </c>
      <c r="D163" s="689">
        <v>73.099999999999994</v>
      </c>
      <c r="E163" s="689">
        <v>73.2</v>
      </c>
      <c r="F163" s="689">
        <v>73.2</v>
      </c>
      <c r="G163" s="689">
        <v>73.2</v>
      </c>
      <c r="H163" s="689">
        <v>73.3</v>
      </c>
      <c r="I163" s="689">
        <v>71.7</v>
      </c>
      <c r="J163" s="689">
        <v>69.599999999999994</v>
      </c>
      <c r="K163" s="689">
        <v>72.5</v>
      </c>
    </row>
    <row r="164" spans="1:11">
      <c r="A164" s="688" t="s">
        <v>2240</v>
      </c>
      <c r="B164" s="691">
        <v>76.5</v>
      </c>
      <c r="C164" s="615">
        <v>77</v>
      </c>
      <c r="D164" s="691">
        <v>76.8</v>
      </c>
      <c r="E164" s="691">
        <v>77.2</v>
      </c>
      <c r="F164" s="691">
        <v>77.2</v>
      </c>
      <c r="G164" s="691">
        <v>77.2</v>
      </c>
      <c r="H164" s="691">
        <v>77.5</v>
      </c>
      <c r="I164" s="691">
        <v>76.5</v>
      </c>
      <c r="J164" s="691">
        <v>75.400000000000006</v>
      </c>
      <c r="K164" s="691">
        <v>77.2</v>
      </c>
    </row>
    <row r="165" spans="1:11">
      <c r="A165" s="688" t="s">
        <v>2</v>
      </c>
      <c r="B165" s="689">
        <v>78.7</v>
      </c>
      <c r="C165" s="693">
        <v>79</v>
      </c>
      <c r="D165" s="689">
        <v>79.099999999999994</v>
      </c>
      <c r="E165" s="689">
        <v>79.2</v>
      </c>
      <c r="F165" s="689">
        <v>79.400000000000006</v>
      </c>
      <c r="G165" s="689">
        <v>79.3</v>
      </c>
      <c r="H165" s="689">
        <v>79.7</v>
      </c>
      <c r="I165" s="689">
        <v>79.8</v>
      </c>
      <c r="J165" s="689">
        <v>79.7</v>
      </c>
      <c r="K165" s="689">
        <v>79.599999999999994</v>
      </c>
    </row>
    <row r="166" spans="1:11">
      <c r="A166" s="688" t="s">
        <v>3</v>
      </c>
      <c r="B166" s="691">
        <v>78.900000000000006</v>
      </c>
      <c r="C166" s="691">
        <v>79.2</v>
      </c>
      <c r="D166" s="691">
        <v>78.900000000000006</v>
      </c>
      <c r="E166" s="691">
        <v>79.2</v>
      </c>
      <c r="F166" s="691">
        <v>79.2</v>
      </c>
      <c r="G166" s="691">
        <v>79.2</v>
      </c>
      <c r="H166" s="691">
        <v>79.5</v>
      </c>
      <c r="I166" s="691">
        <v>79.3</v>
      </c>
      <c r="J166" s="615">
        <v>79</v>
      </c>
      <c r="K166" s="691">
        <v>78.8</v>
      </c>
    </row>
    <row r="167" spans="1:11">
      <c r="A167" s="688" t="s">
        <v>4061</v>
      </c>
      <c r="B167" s="689">
        <v>78.900000000000006</v>
      </c>
      <c r="C167" s="689">
        <v>79.2</v>
      </c>
      <c r="D167" s="689">
        <v>78.900000000000006</v>
      </c>
      <c r="E167" s="689">
        <v>79.2</v>
      </c>
      <c r="F167" s="689">
        <v>79.2</v>
      </c>
      <c r="G167" s="689">
        <v>79.2</v>
      </c>
      <c r="H167" s="689">
        <v>79.5</v>
      </c>
      <c r="I167" s="689">
        <v>79.3</v>
      </c>
      <c r="J167" s="693">
        <v>79</v>
      </c>
      <c r="K167" s="689">
        <v>78.8</v>
      </c>
    </row>
    <row r="168" spans="1:11">
      <c r="A168" s="688" t="s">
        <v>4</v>
      </c>
      <c r="B168" s="691">
        <v>75.7</v>
      </c>
      <c r="C168" s="691">
        <v>75.400000000000006</v>
      </c>
      <c r="D168" s="691">
        <v>75.900000000000006</v>
      </c>
      <c r="E168" s="615">
        <v>76</v>
      </c>
      <c r="F168" s="691">
        <v>76.400000000000006</v>
      </c>
      <c r="G168" s="691">
        <v>76.5</v>
      </c>
      <c r="H168" s="615">
        <v>77</v>
      </c>
      <c r="I168" s="691">
        <v>76.900000000000006</v>
      </c>
      <c r="J168" s="691">
        <v>75.3</v>
      </c>
      <c r="K168" s="691">
        <v>76.2</v>
      </c>
    </row>
    <row r="169" spans="1:11">
      <c r="A169" s="688" t="s">
        <v>8</v>
      </c>
      <c r="B169" s="689">
        <v>79.3</v>
      </c>
      <c r="C169" s="689">
        <v>79.5</v>
      </c>
      <c r="D169" s="689">
        <v>79.7</v>
      </c>
      <c r="E169" s="689">
        <v>79.8</v>
      </c>
      <c r="F169" s="689">
        <v>80.3</v>
      </c>
      <c r="G169" s="689">
        <v>80.3</v>
      </c>
      <c r="H169" s="689">
        <v>80.7</v>
      </c>
      <c r="I169" s="689">
        <v>80.599999999999994</v>
      </c>
      <c r="J169" s="689">
        <v>80.400000000000006</v>
      </c>
      <c r="K169" s="689">
        <v>80.599999999999994</v>
      </c>
    </row>
    <row r="170" spans="1:11">
      <c r="A170" s="688" t="s">
        <v>7</v>
      </c>
      <c r="B170" s="691">
        <v>79.7</v>
      </c>
      <c r="C170" s="691">
        <v>79.3</v>
      </c>
      <c r="D170" s="691">
        <v>79.099999999999994</v>
      </c>
      <c r="E170" s="691">
        <v>79.400000000000006</v>
      </c>
      <c r="F170" s="691">
        <v>79.3</v>
      </c>
      <c r="G170" s="691">
        <v>79.8</v>
      </c>
      <c r="H170" s="691">
        <v>79.7</v>
      </c>
      <c r="I170" s="691">
        <v>79.400000000000006</v>
      </c>
      <c r="J170" s="691">
        <v>78.400000000000006</v>
      </c>
      <c r="K170" s="691">
        <v>79.099999999999994</v>
      </c>
    </row>
    <row r="171" spans="1:11">
      <c r="A171" s="688" t="s">
        <v>27</v>
      </c>
      <c r="B171" s="689">
        <v>81.400000000000006</v>
      </c>
      <c r="C171" s="689">
        <v>81.099999999999994</v>
      </c>
      <c r="D171" s="689">
        <v>80.900000000000006</v>
      </c>
      <c r="E171" s="689">
        <v>81.3</v>
      </c>
      <c r="F171" s="689">
        <v>81.3</v>
      </c>
      <c r="G171" s="689">
        <v>81.400000000000006</v>
      </c>
      <c r="H171" s="689">
        <v>81.8</v>
      </c>
      <c r="I171" s="689">
        <v>80.5</v>
      </c>
      <c r="J171" s="689">
        <v>81.2</v>
      </c>
      <c r="K171" s="689">
        <v>81.3</v>
      </c>
    </row>
    <row r="172" spans="1:11">
      <c r="A172" s="688" t="s">
        <v>6</v>
      </c>
      <c r="B172" s="691">
        <v>80.7</v>
      </c>
      <c r="C172" s="691">
        <v>80.7</v>
      </c>
      <c r="D172" s="691">
        <v>80.400000000000006</v>
      </c>
      <c r="E172" s="691">
        <v>80.7</v>
      </c>
      <c r="F172" s="691">
        <v>80.8</v>
      </c>
      <c r="G172" s="691">
        <v>80.900000000000006</v>
      </c>
      <c r="H172" s="691">
        <v>81.099999999999994</v>
      </c>
      <c r="I172" s="691">
        <v>80.5</v>
      </c>
      <c r="J172" s="691">
        <v>80.599999999999994</v>
      </c>
      <c r="K172" s="691">
        <v>80.599999999999994</v>
      </c>
    </row>
    <row r="173" spans="1:11">
      <c r="A173" s="688" t="s">
        <v>4058</v>
      </c>
      <c r="B173" s="690" t="s">
        <v>4060</v>
      </c>
      <c r="C173" s="690" t="s">
        <v>4060</v>
      </c>
      <c r="D173" s="690" t="s">
        <v>4060</v>
      </c>
      <c r="E173" s="690" t="s">
        <v>4060</v>
      </c>
      <c r="F173" s="690" t="s">
        <v>4060</v>
      </c>
      <c r="G173" s="690" t="s">
        <v>4060</v>
      </c>
      <c r="H173" s="690" t="s">
        <v>4060</v>
      </c>
      <c r="I173" s="690" t="s">
        <v>4060</v>
      </c>
      <c r="J173" s="690" t="s">
        <v>4060</v>
      </c>
      <c r="K173" s="690" t="s">
        <v>4060</v>
      </c>
    </row>
    <row r="174" spans="1:11">
      <c r="A174" s="688" t="s">
        <v>11</v>
      </c>
      <c r="B174" s="691">
        <v>76.099999999999994</v>
      </c>
      <c r="C174" s="691">
        <v>76.2</v>
      </c>
      <c r="D174" s="691">
        <v>75.7</v>
      </c>
      <c r="E174" s="691">
        <v>76.400000000000006</v>
      </c>
      <c r="F174" s="691">
        <v>76.2</v>
      </c>
      <c r="G174" s="691">
        <v>76.400000000000006</v>
      </c>
      <c r="H174" s="691">
        <v>76.599999999999994</v>
      </c>
      <c r="I174" s="691">
        <v>75.900000000000006</v>
      </c>
      <c r="J174" s="691">
        <v>74.900000000000006</v>
      </c>
      <c r="K174" s="615">
        <v>76</v>
      </c>
    </row>
    <row r="175" spans="1:11">
      <c r="A175" s="688" t="s">
        <v>10</v>
      </c>
      <c r="B175" s="689">
        <v>81.099999999999994</v>
      </c>
      <c r="C175" s="689">
        <v>81.099999999999994</v>
      </c>
      <c r="D175" s="689">
        <v>80.7</v>
      </c>
      <c r="E175" s="689">
        <v>81.3</v>
      </c>
      <c r="F175" s="689">
        <v>81.099999999999994</v>
      </c>
      <c r="G175" s="689">
        <v>81.400000000000006</v>
      </c>
      <c r="H175" s="689">
        <v>81.599999999999994</v>
      </c>
      <c r="I175" s="689">
        <v>80.5</v>
      </c>
      <c r="J175" s="689">
        <v>80.8</v>
      </c>
      <c r="K175" s="693">
        <v>81</v>
      </c>
    </row>
    <row r="176" spans="1:11">
      <c r="A176" s="688" t="s">
        <v>30</v>
      </c>
      <c r="B176" s="691">
        <v>80.7</v>
      </c>
      <c r="C176" s="691">
        <v>80.5</v>
      </c>
      <c r="D176" s="691">
        <v>80.099999999999994</v>
      </c>
      <c r="E176" s="615">
        <v>81</v>
      </c>
      <c r="F176" s="691">
        <v>80.5</v>
      </c>
      <c r="G176" s="691">
        <v>81.2</v>
      </c>
      <c r="H176" s="691">
        <v>80.8</v>
      </c>
      <c r="I176" s="691">
        <v>80.900000000000006</v>
      </c>
      <c r="J176" s="615">
        <v>80</v>
      </c>
      <c r="K176" s="691">
        <v>80.400000000000006</v>
      </c>
    </row>
    <row r="177" spans="1:11">
      <c r="A177" s="688" t="s">
        <v>12</v>
      </c>
      <c r="B177" s="689">
        <v>72.7</v>
      </c>
      <c r="C177" s="689">
        <v>72.599999999999994</v>
      </c>
      <c r="D177" s="693">
        <v>73</v>
      </c>
      <c r="E177" s="689">
        <v>73.099999999999994</v>
      </c>
      <c r="F177" s="689">
        <v>73.2</v>
      </c>
      <c r="G177" s="689">
        <v>73.2</v>
      </c>
      <c r="H177" s="689">
        <v>73.900000000000006</v>
      </c>
      <c r="I177" s="689">
        <v>73.7</v>
      </c>
      <c r="J177" s="689">
        <v>71.400000000000006</v>
      </c>
      <c r="K177" s="689">
        <v>72.7</v>
      </c>
    </row>
    <row r="178" spans="1:11">
      <c r="A178" s="688" t="s">
        <v>14</v>
      </c>
      <c r="B178" s="691">
        <v>72.400000000000006</v>
      </c>
      <c r="C178" s="691">
        <v>72.900000000000006</v>
      </c>
      <c r="D178" s="691">
        <v>72.8</v>
      </c>
      <c r="E178" s="691">
        <v>73.2</v>
      </c>
      <c r="F178" s="691">
        <v>73.900000000000006</v>
      </c>
      <c r="G178" s="691">
        <v>74.2</v>
      </c>
      <c r="H178" s="691">
        <v>74.599999999999994</v>
      </c>
      <c r="I178" s="691">
        <v>73.400000000000006</v>
      </c>
      <c r="J178" s="691">
        <v>72.5</v>
      </c>
      <c r="K178" s="691">
        <v>74.099999999999994</v>
      </c>
    </row>
    <row r="179" spans="1:11">
      <c r="A179" s="688" t="s">
        <v>15</v>
      </c>
      <c r="B179" s="689">
        <v>80.2</v>
      </c>
      <c r="C179" s="689">
        <v>80.099999999999994</v>
      </c>
      <c r="D179" s="689">
        <v>80.3</v>
      </c>
      <c r="E179" s="689">
        <v>80.599999999999994</v>
      </c>
      <c r="F179" s="689">
        <v>80.099999999999994</v>
      </c>
      <c r="G179" s="689">
        <v>80.400000000000006</v>
      </c>
      <c r="H179" s="689">
        <v>80.8</v>
      </c>
      <c r="I179" s="689">
        <v>80.400000000000006</v>
      </c>
      <c r="J179" s="689">
        <v>80.8</v>
      </c>
      <c r="K179" s="689">
        <v>81.099999999999994</v>
      </c>
    </row>
    <row r="180" spans="1:11">
      <c r="A180" s="688" t="s">
        <v>29</v>
      </c>
      <c r="B180" s="691">
        <v>74.2</v>
      </c>
      <c r="C180" s="691">
        <v>74.2</v>
      </c>
      <c r="D180" s="691">
        <v>73.900000000000006</v>
      </c>
      <c r="E180" s="691">
        <v>74.400000000000006</v>
      </c>
      <c r="F180" s="691">
        <v>74.2</v>
      </c>
      <c r="G180" s="691">
        <v>74.3</v>
      </c>
      <c r="H180" s="691">
        <v>74.599999999999994</v>
      </c>
      <c r="I180" s="691">
        <v>73.8</v>
      </c>
      <c r="J180" s="691">
        <v>72.400000000000006</v>
      </c>
      <c r="K180" s="691">
        <v>74.2</v>
      </c>
    </row>
    <row r="181" spans="1:11">
      <c r="A181" s="688" t="s">
        <v>16</v>
      </c>
      <c r="B181" s="689">
        <v>80.400000000000006</v>
      </c>
      <c r="C181" s="689">
        <v>80.2</v>
      </c>
      <c r="D181" s="689">
        <v>80.2</v>
      </c>
      <c r="E181" s="689">
        <v>80.8</v>
      </c>
      <c r="F181" s="689">
        <v>80.599999999999994</v>
      </c>
      <c r="G181" s="689">
        <v>80.5</v>
      </c>
      <c r="H181" s="693">
        <v>81</v>
      </c>
      <c r="I181" s="689">
        <v>80.3</v>
      </c>
      <c r="J181" s="689">
        <v>80.400000000000006</v>
      </c>
      <c r="K181" s="689">
        <v>80.5</v>
      </c>
    </row>
    <row r="182" spans="1:11">
      <c r="A182" s="688" t="s">
        <v>17</v>
      </c>
      <c r="B182" s="691">
        <v>79.8</v>
      </c>
      <c r="C182" s="615">
        <v>80</v>
      </c>
      <c r="D182" s="691">
        <v>79.8</v>
      </c>
      <c r="E182" s="691">
        <v>79.8</v>
      </c>
      <c r="F182" s="615">
        <v>80</v>
      </c>
      <c r="G182" s="691">
        <v>80.099999999999994</v>
      </c>
      <c r="H182" s="691">
        <v>80.400000000000006</v>
      </c>
      <c r="I182" s="691">
        <v>79.7</v>
      </c>
      <c r="J182" s="691">
        <v>79.599999999999994</v>
      </c>
      <c r="K182" s="691">
        <v>79.900000000000006</v>
      </c>
    </row>
    <row r="183" spans="1:11">
      <c r="A183" s="688" t="s">
        <v>19</v>
      </c>
      <c r="B183" s="689">
        <v>79.599999999999994</v>
      </c>
      <c r="C183" s="689">
        <v>79.7</v>
      </c>
      <c r="D183" s="689">
        <v>79.400000000000006</v>
      </c>
      <c r="E183" s="689">
        <v>79.900000000000006</v>
      </c>
      <c r="F183" s="689">
        <v>79.900000000000006</v>
      </c>
      <c r="G183" s="689">
        <v>79.900000000000006</v>
      </c>
      <c r="H183" s="689">
        <v>80.2</v>
      </c>
      <c r="I183" s="689">
        <v>79.599999999999994</v>
      </c>
      <c r="J183" s="689">
        <v>79.5</v>
      </c>
      <c r="K183" s="689">
        <v>79.599999999999994</v>
      </c>
    </row>
    <row r="184" spans="1:11">
      <c r="A184" s="688" t="s">
        <v>20</v>
      </c>
      <c r="B184" s="691">
        <v>75.5</v>
      </c>
      <c r="C184" s="691">
        <v>75.900000000000006</v>
      </c>
      <c r="D184" s="691">
        <v>75.7</v>
      </c>
      <c r="E184" s="691">
        <v>76.099999999999994</v>
      </c>
      <c r="F184" s="615">
        <v>76</v>
      </c>
      <c r="G184" s="691">
        <v>75.900000000000006</v>
      </c>
      <c r="H184" s="691">
        <v>76.2</v>
      </c>
      <c r="I184" s="691">
        <v>74.7</v>
      </c>
      <c r="J184" s="691">
        <v>73.7</v>
      </c>
      <c r="K184" s="691">
        <v>75.400000000000006</v>
      </c>
    </row>
    <row r="185" spans="1:11">
      <c r="A185" s="688" t="s">
        <v>21</v>
      </c>
      <c r="B185" s="689">
        <v>79.2</v>
      </c>
      <c r="C185" s="689">
        <v>79.599999999999994</v>
      </c>
      <c r="D185" s="689">
        <v>79.599999999999994</v>
      </c>
      <c r="E185" s="689">
        <v>79.599999999999994</v>
      </c>
      <c r="F185" s="689">
        <v>79.900000000000006</v>
      </c>
      <c r="G185" s="689">
        <v>79.900000000000006</v>
      </c>
      <c r="H185" s="689">
        <v>80.2</v>
      </c>
      <c r="I185" s="689">
        <v>79.599999999999994</v>
      </c>
      <c r="J185" s="689">
        <v>79.599999999999994</v>
      </c>
      <c r="K185" s="689">
        <v>79.900000000000006</v>
      </c>
    </row>
    <row r="186" spans="1:11">
      <c r="A186" s="688" t="s">
        <v>22</v>
      </c>
      <c r="B186" s="691">
        <v>73.900000000000006</v>
      </c>
      <c r="C186" s="691">
        <v>73.599999999999994</v>
      </c>
      <c r="D186" s="691">
        <v>73.5</v>
      </c>
      <c r="E186" s="691">
        <v>73.7</v>
      </c>
      <c r="F186" s="691">
        <v>73.7</v>
      </c>
      <c r="G186" s="691">
        <v>73.8</v>
      </c>
      <c r="H186" s="615">
        <v>74</v>
      </c>
      <c r="I186" s="691">
        <v>72.5</v>
      </c>
      <c r="J186" s="691">
        <v>71.2</v>
      </c>
      <c r="K186" s="691">
        <v>73.599999999999994</v>
      </c>
    </row>
    <row r="187" spans="1:11">
      <c r="A187" s="688" t="s">
        <v>26</v>
      </c>
      <c r="B187" s="689">
        <v>78.7</v>
      </c>
      <c r="C187" s="689">
        <v>79.099999999999994</v>
      </c>
      <c r="D187" s="689">
        <v>78.8</v>
      </c>
      <c r="E187" s="689">
        <v>79.099999999999994</v>
      </c>
      <c r="F187" s="689">
        <v>79.099999999999994</v>
      </c>
      <c r="G187" s="689">
        <v>79.400000000000006</v>
      </c>
      <c r="H187" s="689">
        <v>79.599999999999994</v>
      </c>
      <c r="I187" s="689">
        <v>78.7</v>
      </c>
      <c r="J187" s="689">
        <v>78.8</v>
      </c>
      <c r="K187" s="689">
        <v>79.400000000000006</v>
      </c>
    </row>
    <row r="188" spans="1:11">
      <c r="A188" s="688" t="s">
        <v>25</v>
      </c>
      <c r="B188" s="691">
        <v>75.099999999999994</v>
      </c>
      <c r="C188" s="691">
        <v>75.400000000000006</v>
      </c>
      <c r="D188" s="691">
        <v>75.099999999999994</v>
      </c>
      <c r="E188" s="691">
        <v>75.7</v>
      </c>
      <c r="F188" s="691">
        <v>75.599999999999994</v>
      </c>
      <c r="G188" s="691">
        <v>75.7</v>
      </c>
      <c r="H188" s="691">
        <v>76.2</v>
      </c>
      <c r="I188" s="691">
        <v>75.400000000000006</v>
      </c>
      <c r="J188" s="615">
        <v>73</v>
      </c>
      <c r="K188" s="691">
        <v>75.400000000000006</v>
      </c>
    </row>
    <row r="189" spans="1:11">
      <c r="A189" s="688" t="s">
        <v>5</v>
      </c>
      <c r="B189" s="689">
        <v>79.3</v>
      </c>
      <c r="C189" s="689">
        <v>79.2</v>
      </c>
      <c r="D189" s="689">
        <v>79.5</v>
      </c>
      <c r="E189" s="689">
        <v>79.5</v>
      </c>
      <c r="F189" s="689">
        <v>79.7</v>
      </c>
      <c r="G189" s="689">
        <v>79.8</v>
      </c>
      <c r="H189" s="689">
        <v>80.099999999999994</v>
      </c>
      <c r="I189" s="693">
        <v>80</v>
      </c>
      <c r="J189" s="693">
        <v>80</v>
      </c>
      <c r="K189" s="689">
        <v>79.400000000000006</v>
      </c>
    </row>
    <row r="190" spans="1:11">
      <c r="A190" s="688" t="s">
        <v>23</v>
      </c>
      <c r="B190" s="691">
        <v>80.2</v>
      </c>
      <c r="C190" s="691">
        <v>80.400000000000006</v>
      </c>
      <c r="D190" s="691">
        <v>80.400000000000006</v>
      </c>
      <c r="E190" s="691">
        <v>80.599999999999994</v>
      </c>
      <c r="F190" s="691">
        <v>80.599999999999994</v>
      </c>
      <c r="G190" s="691">
        <v>80.7</v>
      </c>
      <c r="H190" s="691">
        <v>81.2</v>
      </c>
      <c r="I190" s="691">
        <v>80.599999999999994</v>
      </c>
      <c r="J190" s="691">
        <v>81.2</v>
      </c>
      <c r="K190" s="691">
        <v>81.2</v>
      </c>
    </row>
    <row r="191" spans="1:11">
      <c r="A191" s="688" t="s">
        <v>4067</v>
      </c>
      <c r="B191" s="689">
        <v>78.900000000000006</v>
      </c>
      <c r="C191" s="689">
        <v>79.2</v>
      </c>
      <c r="D191" s="689">
        <v>78.900000000000006</v>
      </c>
      <c r="E191" s="689">
        <v>79.3</v>
      </c>
      <c r="F191" s="689">
        <v>79.3</v>
      </c>
      <c r="G191" s="689">
        <v>79.3</v>
      </c>
      <c r="H191" s="690" t="s">
        <v>4060</v>
      </c>
      <c r="I191" s="690" t="s">
        <v>4060</v>
      </c>
      <c r="J191" s="690" t="s">
        <v>4060</v>
      </c>
      <c r="K191" s="690" t="s">
        <v>4060</v>
      </c>
    </row>
    <row r="192" spans="1:11">
      <c r="A192" s="688" t="s">
        <v>4066</v>
      </c>
      <c r="B192" s="691">
        <v>78.900000000000006</v>
      </c>
      <c r="C192" s="691">
        <v>79.3</v>
      </c>
      <c r="D192" s="615">
        <v>79</v>
      </c>
      <c r="E192" s="691">
        <v>79.3</v>
      </c>
      <c r="F192" s="691">
        <v>79.3</v>
      </c>
      <c r="G192" s="691">
        <v>79.400000000000006</v>
      </c>
      <c r="H192" s="692" t="s">
        <v>4060</v>
      </c>
      <c r="I192" s="692" t="s">
        <v>4060</v>
      </c>
      <c r="J192" s="692" t="s">
        <v>4060</v>
      </c>
      <c r="K192" s="692" t="s">
        <v>4060</v>
      </c>
    </row>
    <row r="193" spans="1:11">
      <c r="A193" s="688" t="s">
        <v>4062</v>
      </c>
      <c r="B193" s="689">
        <v>80.8</v>
      </c>
      <c r="C193" s="693">
        <v>81</v>
      </c>
      <c r="D193" s="689">
        <v>80.900000000000006</v>
      </c>
      <c r="E193" s="689">
        <v>81.3</v>
      </c>
      <c r="F193" s="689">
        <v>81.400000000000006</v>
      </c>
      <c r="G193" s="689">
        <v>81.5</v>
      </c>
      <c r="H193" s="689">
        <v>81.7</v>
      </c>
      <c r="I193" s="689">
        <v>81.3</v>
      </c>
      <c r="J193" s="689">
        <v>81.7</v>
      </c>
      <c r="K193" s="689">
        <v>81.400000000000006</v>
      </c>
    </row>
    <row r="194" spans="1:11">
      <c r="A194" s="688" t="s">
        <v>9</v>
      </c>
      <c r="B194" s="691">
        <v>80.3</v>
      </c>
      <c r="C194" s="691">
        <v>80.8</v>
      </c>
      <c r="D194" s="691">
        <v>80.5</v>
      </c>
      <c r="E194" s="691">
        <v>80.2</v>
      </c>
      <c r="F194" s="691">
        <v>80.599999999999994</v>
      </c>
      <c r="G194" s="691">
        <v>80.8</v>
      </c>
      <c r="H194" s="691">
        <v>81.099999999999994</v>
      </c>
      <c r="I194" s="691">
        <v>81.099999999999994</v>
      </c>
      <c r="J194" s="691">
        <v>81.3</v>
      </c>
      <c r="K194" s="691">
        <v>80.3</v>
      </c>
    </row>
    <row r="195" spans="1:11">
      <c r="A195" s="688" t="s">
        <v>13</v>
      </c>
      <c r="B195" s="689">
        <v>80.900000000000006</v>
      </c>
      <c r="C195" s="689">
        <v>80.3</v>
      </c>
      <c r="D195" s="693">
        <v>81</v>
      </c>
      <c r="E195" s="689">
        <v>80.3</v>
      </c>
      <c r="F195" s="689">
        <v>81.3</v>
      </c>
      <c r="G195" s="693">
        <v>81</v>
      </c>
      <c r="H195" s="693">
        <v>82</v>
      </c>
      <c r="I195" s="689">
        <v>80.2</v>
      </c>
      <c r="J195" s="689">
        <v>82.1</v>
      </c>
      <c r="K195" s="689">
        <v>81.599999999999994</v>
      </c>
    </row>
    <row r="196" spans="1:11">
      <c r="A196" s="688" t="s">
        <v>18</v>
      </c>
      <c r="B196" s="615">
        <v>80</v>
      </c>
      <c r="C196" s="691">
        <v>80.3</v>
      </c>
      <c r="D196" s="691">
        <v>80.5</v>
      </c>
      <c r="E196" s="691">
        <v>80.599999999999994</v>
      </c>
      <c r="F196" s="691">
        <v>80.8</v>
      </c>
      <c r="G196" s="615">
        <v>81</v>
      </c>
      <c r="H196" s="691">
        <v>81.099999999999994</v>
      </c>
      <c r="I196" s="691">
        <v>81.400000000000006</v>
      </c>
      <c r="J196" s="691">
        <v>81.3</v>
      </c>
      <c r="K196" s="691">
        <v>80.8</v>
      </c>
    </row>
    <row r="197" spans="1:11">
      <c r="A197" s="688" t="s">
        <v>24</v>
      </c>
      <c r="B197" s="689">
        <v>81.3</v>
      </c>
      <c r="C197" s="689">
        <v>81.400000000000006</v>
      </c>
      <c r="D197" s="689">
        <v>81.2</v>
      </c>
      <c r="E197" s="689">
        <v>81.8</v>
      </c>
      <c r="F197" s="689">
        <v>81.7</v>
      </c>
      <c r="G197" s="689">
        <v>81.900000000000006</v>
      </c>
      <c r="H197" s="689">
        <v>82.1</v>
      </c>
      <c r="I197" s="689">
        <v>81.400000000000006</v>
      </c>
      <c r="J197" s="689">
        <v>81.900000000000006</v>
      </c>
      <c r="K197" s="689">
        <v>81.8</v>
      </c>
    </row>
    <row r="198" spans="1:11">
      <c r="A198" s="688" t="s">
        <v>4059</v>
      </c>
      <c r="B198" s="691">
        <v>79.400000000000006</v>
      </c>
      <c r="C198" s="691">
        <v>79.7</v>
      </c>
      <c r="D198" s="691">
        <v>79.400000000000006</v>
      </c>
      <c r="E198" s="691">
        <v>79.599999999999994</v>
      </c>
      <c r="F198" s="691">
        <v>79.599999999999994</v>
      </c>
      <c r="G198" s="691">
        <v>79.599999999999994</v>
      </c>
      <c r="H198" s="692" t="s">
        <v>4060</v>
      </c>
      <c r="I198" s="692" t="s">
        <v>4060</v>
      </c>
      <c r="J198" s="692" t="s">
        <v>4060</v>
      </c>
      <c r="K198" s="692" t="s">
        <v>4060</v>
      </c>
    </row>
    <row r="199" spans="1:11">
      <c r="A199" s="688" t="s">
        <v>2324</v>
      </c>
      <c r="B199" s="689">
        <v>74.900000000000006</v>
      </c>
      <c r="C199" s="689">
        <v>74.900000000000006</v>
      </c>
      <c r="D199" s="689">
        <v>74.7</v>
      </c>
      <c r="E199" s="689">
        <v>74.8</v>
      </c>
      <c r="F199" s="689">
        <v>74.7</v>
      </c>
      <c r="G199" s="689">
        <v>75.099999999999994</v>
      </c>
      <c r="H199" s="689">
        <v>74.900000000000006</v>
      </c>
      <c r="I199" s="689">
        <v>74.2</v>
      </c>
      <c r="J199" s="689">
        <v>71.900000000000006</v>
      </c>
      <c r="K199" s="690" t="s">
        <v>4060</v>
      </c>
    </row>
    <row r="200" spans="1:11">
      <c r="A200" s="688" t="s">
        <v>2322</v>
      </c>
      <c r="B200" s="692" t="s">
        <v>4060</v>
      </c>
      <c r="C200" s="692" t="s">
        <v>4060</v>
      </c>
      <c r="D200" s="692" t="s">
        <v>4060</v>
      </c>
      <c r="E200" s="692" t="s">
        <v>4060</v>
      </c>
      <c r="F200" s="692" t="s">
        <v>4060</v>
      </c>
      <c r="G200" s="692" t="s">
        <v>4060</v>
      </c>
      <c r="H200" s="692" t="s">
        <v>4060</v>
      </c>
      <c r="I200" s="692" t="s">
        <v>4060</v>
      </c>
      <c r="J200" s="692" t="s">
        <v>4060</v>
      </c>
      <c r="K200" s="692" t="s">
        <v>4060</v>
      </c>
    </row>
    <row r="201" spans="1:11">
      <c r="A201" s="688" t="s">
        <v>2328</v>
      </c>
      <c r="B201" s="689">
        <v>74.2</v>
      </c>
      <c r="C201" s="689">
        <v>74.3</v>
      </c>
      <c r="D201" s="689">
        <v>74.099999999999994</v>
      </c>
      <c r="E201" s="689">
        <v>74.400000000000006</v>
      </c>
      <c r="F201" s="689">
        <v>74.7</v>
      </c>
      <c r="G201" s="689">
        <v>75.099999999999994</v>
      </c>
      <c r="H201" s="689">
        <v>75.099999999999994</v>
      </c>
      <c r="I201" s="689">
        <v>72.8</v>
      </c>
      <c r="J201" s="689">
        <v>71.599999999999994</v>
      </c>
      <c r="K201" s="690" t="s">
        <v>4060</v>
      </c>
    </row>
    <row r="202" spans="1:11">
      <c r="A202" s="688" t="s">
        <v>2496</v>
      </c>
      <c r="B202" s="692" t="s">
        <v>4060</v>
      </c>
      <c r="C202" s="691">
        <v>72.900000000000006</v>
      </c>
      <c r="D202" s="691">
        <v>71.7</v>
      </c>
      <c r="E202" s="691">
        <v>71.400000000000006</v>
      </c>
      <c r="F202" s="691">
        <v>72.2</v>
      </c>
      <c r="G202" s="691">
        <v>72.599999999999994</v>
      </c>
      <c r="H202" s="691">
        <v>72.7</v>
      </c>
      <c r="I202" s="692" t="s">
        <v>4060</v>
      </c>
      <c r="J202" s="692" t="s">
        <v>4060</v>
      </c>
      <c r="K202" s="691">
        <v>72.3</v>
      </c>
    </row>
    <row r="203" spans="1:11">
      <c r="A203" s="688" t="s">
        <v>2269</v>
      </c>
      <c r="B203" s="689">
        <v>76.599999999999994</v>
      </c>
      <c r="C203" s="689">
        <v>76.8</v>
      </c>
      <c r="D203" s="689">
        <v>76.5</v>
      </c>
      <c r="E203" s="689">
        <v>77.2</v>
      </c>
      <c r="F203" s="689">
        <v>77.2</v>
      </c>
      <c r="G203" s="689">
        <v>77.599999999999994</v>
      </c>
      <c r="H203" s="689">
        <v>77.900000000000006</v>
      </c>
      <c r="I203" s="689">
        <v>76.2</v>
      </c>
      <c r="J203" s="689">
        <v>74.2</v>
      </c>
      <c r="K203" s="689">
        <v>77.599999999999994</v>
      </c>
    </row>
    <row r="204" spans="1:11">
      <c r="A204" s="688" t="s">
        <v>2349</v>
      </c>
      <c r="B204" s="691">
        <v>73.8</v>
      </c>
      <c r="C204" s="691">
        <v>73.8</v>
      </c>
      <c r="D204" s="691">
        <v>73.8</v>
      </c>
      <c r="E204" s="691">
        <v>74.2</v>
      </c>
      <c r="F204" s="615">
        <v>74</v>
      </c>
      <c r="G204" s="691">
        <v>74.3</v>
      </c>
      <c r="H204" s="691">
        <v>74.400000000000006</v>
      </c>
      <c r="I204" s="691">
        <v>72.8</v>
      </c>
      <c r="J204" s="691">
        <v>71.2</v>
      </c>
      <c r="K204" s="691">
        <v>73.599999999999994</v>
      </c>
    </row>
    <row r="205" spans="1:11">
      <c r="A205" s="688" t="s">
        <v>2355</v>
      </c>
      <c r="B205" s="689">
        <v>77.2</v>
      </c>
      <c r="C205" s="689">
        <v>77.099999999999994</v>
      </c>
      <c r="D205" s="689">
        <v>77.099999999999994</v>
      </c>
      <c r="E205" s="693">
        <v>77</v>
      </c>
      <c r="F205" s="689">
        <v>77.3</v>
      </c>
      <c r="G205" s="689">
        <v>77.7</v>
      </c>
      <c r="H205" s="689">
        <v>77.900000000000006</v>
      </c>
      <c r="I205" s="690" t="s">
        <v>4060</v>
      </c>
      <c r="J205" s="690" t="s">
        <v>4060</v>
      </c>
      <c r="K205" s="690" t="s">
        <v>4060</v>
      </c>
    </row>
    <row r="206" spans="1:11">
      <c r="A206" s="688" t="s">
        <v>2357</v>
      </c>
      <c r="B206" s="692" t="s">
        <v>4060</v>
      </c>
      <c r="C206" s="691">
        <v>70.400000000000006</v>
      </c>
      <c r="D206" s="691">
        <v>71.099999999999994</v>
      </c>
      <c r="E206" s="691">
        <v>71.5</v>
      </c>
      <c r="F206" s="691">
        <v>71.8</v>
      </c>
      <c r="G206" s="691">
        <v>71.7</v>
      </c>
      <c r="H206" s="615">
        <v>72</v>
      </c>
      <c r="I206" s="692" t="s">
        <v>4060</v>
      </c>
      <c r="J206" s="692" t="s">
        <v>4060</v>
      </c>
      <c r="K206" s="692" t="s">
        <v>4060</v>
      </c>
    </row>
    <row r="207" spans="1:11">
      <c r="A207" s="688" t="s">
        <v>4070</v>
      </c>
      <c r="B207" s="690" t="s">
        <v>4060</v>
      </c>
      <c r="C207" s="690" t="s">
        <v>4060</v>
      </c>
      <c r="D207" s="690" t="s">
        <v>4060</v>
      </c>
      <c r="E207" s="689">
        <v>77.2</v>
      </c>
      <c r="F207" s="690" t="s">
        <v>4060</v>
      </c>
      <c r="G207" s="690" t="s">
        <v>4060</v>
      </c>
      <c r="H207" s="690" t="s">
        <v>4060</v>
      </c>
      <c r="I207" s="690" t="s">
        <v>4060</v>
      </c>
      <c r="J207" s="690" t="s">
        <v>4060</v>
      </c>
      <c r="K207" s="690" t="s">
        <v>4060</v>
      </c>
    </row>
    <row r="208" spans="1:11">
      <c r="A208" s="688" t="s">
        <v>2491</v>
      </c>
      <c r="B208" s="615">
        <v>71</v>
      </c>
      <c r="C208" s="691">
        <v>71.599999999999994</v>
      </c>
      <c r="D208" s="691">
        <v>72.2</v>
      </c>
      <c r="E208" s="691">
        <v>72.5</v>
      </c>
      <c r="F208" s="691">
        <v>72.7</v>
      </c>
      <c r="G208" s="691">
        <v>72.7</v>
      </c>
      <c r="H208" s="692" t="s">
        <v>4060</v>
      </c>
      <c r="I208" s="692" t="s">
        <v>4060</v>
      </c>
      <c r="J208" s="692" t="s">
        <v>4060</v>
      </c>
      <c r="K208" s="692" t="s">
        <v>4060</v>
      </c>
    </row>
    <row r="209" spans="1:11">
      <c r="A209" s="688" t="s">
        <v>2343</v>
      </c>
      <c r="B209" s="690" t="s">
        <v>4060</v>
      </c>
      <c r="C209" s="690" t="s">
        <v>4060</v>
      </c>
      <c r="D209" s="690" t="s">
        <v>4060</v>
      </c>
      <c r="E209" s="690" t="s">
        <v>4060</v>
      </c>
      <c r="F209" s="690" t="s">
        <v>4060</v>
      </c>
      <c r="G209" s="690" t="s">
        <v>4060</v>
      </c>
      <c r="H209" s="690" t="s">
        <v>4060</v>
      </c>
      <c r="I209" s="690" t="s">
        <v>4060</v>
      </c>
      <c r="J209" s="690" t="s">
        <v>4060</v>
      </c>
      <c r="K209" s="690" t="s">
        <v>4060</v>
      </c>
    </row>
    <row r="210" spans="1:11">
      <c r="A210" s="688" t="s">
        <v>4071</v>
      </c>
      <c r="B210" s="692" t="s">
        <v>4060</v>
      </c>
      <c r="C210" s="692" t="s">
        <v>4060</v>
      </c>
      <c r="D210" s="692" t="s">
        <v>4060</v>
      </c>
      <c r="E210" s="692" t="s">
        <v>4060</v>
      </c>
      <c r="F210" s="692" t="s">
        <v>4060</v>
      </c>
      <c r="G210" s="692" t="s">
        <v>4060</v>
      </c>
      <c r="H210" s="692" t="s">
        <v>4060</v>
      </c>
      <c r="I210" s="692" t="s">
        <v>4060</v>
      </c>
      <c r="J210" s="692" t="s">
        <v>4060</v>
      </c>
      <c r="K210" s="692" t="s">
        <v>4060</v>
      </c>
    </row>
    <row r="211" spans="1:11">
      <c r="A211" s="688" t="s">
        <v>2489</v>
      </c>
      <c r="B211" s="690" t="s">
        <v>4060</v>
      </c>
      <c r="C211" s="690" t="s">
        <v>4060</v>
      </c>
      <c r="D211" s="689">
        <v>73.8</v>
      </c>
      <c r="E211" s="689">
        <v>73.8</v>
      </c>
      <c r="F211" s="689">
        <v>74.5</v>
      </c>
      <c r="G211" s="689">
        <v>75.3</v>
      </c>
      <c r="H211" s="689">
        <v>75.099999999999994</v>
      </c>
      <c r="I211" s="690" t="s">
        <v>4060</v>
      </c>
      <c r="J211" s="690" t="s">
        <v>4060</v>
      </c>
      <c r="K211" s="690" t="s">
        <v>4060</v>
      </c>
    </row>
    <row r="212" spans="1:11">
      <c r="A212" s="688" t="s">
        <v>2490</v>
      </c>
      <c r="B212" s="691">
        <v>73.5</v>
      </c>
      <c r="C212" s="691">
        <v>73.599999999999994</v>
      </c>
      <c r="D212" s="691">
        <v>74.3</v>
      </c>
      <c r="E212" s="692" t="s">
        <v>4060</v>
      </c>
      <c r="F212" s="691">
        <v>74.5</v>
      </c>
      <c r="G212" s="691">
        <v>74.8</v>
      </c>
      <c r="H212" s="691">
        <v>75.5</v>
      </c>
      <c r="I212" s="692" t="s">
        <v>4060</v>
      </c>
      <c r="J212" s="692" t="s">
        <v>4060</v>
      </c>
      <c r="K212" s="692" t="s">
        <v>4060</v>
      </c>
    </row>
    <row r="214" spans="1:11">
      <c r="A214" s="683" t="s">
        <v>4233</v>
      </c>
    </row>
    <row r="215" spans="1:11">
      <c r="A215" s="683" t="s">
        <v>4060</v>
      </c>
      <c r="B215" s="682" t="s">
        <v>4234</v>
      </c>
    </row>
    <row r="217" spans="1:11">
      <c r="A217" s="682" t="s">
        <v>4209</v>
      </c>
    </row>
    <row r="218" spans="1:11">
      <c r="A218" s="682" t="s">
        <v>4210</v>
      </c>
      <c r="B218" s="683" t="s">
        <v>4211</v>
      </c>
    </row>
    <row r="219" spans="1:11">
      <c r="A219" s="682" t="s">
        <v>4212</v>
      </c>
      <c r="B219" s="682" t="s">
        <v>4213</v>
      </c>
    </row>
    <row r="221" spans="1:11">
      <c r="A221" s="683" t="s">
        <v>4214</v>
      </c>
      <c r="C221" s="682" t="s">
        <v>4215</v>
      </c>
    </row>
    <row r="222" spans="1:11">
      <c r="A222" s="683" t="s">
        <v>4216</v>
      </c>
      <c r="C222" s="682" t="s">
        <v>2967</v>
      </c>
    </row>
    <row r="223" spans="1:11">
      <c r="A223" s="683" t="s">
        <v>3893</v>
      </c>
      <c r="C223" s="682" t="s">
        <v>4217</v>
      </c>
    </row>
    <row r="224" spans="1:11">
      <c r="A224" s="683" t="s">
        <v>4218</v>
      </c>
      <c r="C224" s="682" t="s">
        <v>4237</v>
      </c>
    </row>
    <row r="226" spans="1:11">
      <c r="A226" s="684" t="s">
        <v>4220</v>
      </c>
      <c r="B226" s="685" t="s">
        <v>4221</v>
      </c>
      <c r="C226" s="685" t="s">
        <v>4222</v>
      </c>
      <c r="D226" s="685" t="s">
        <v>4223</v>
      </c>
      <c r="E226" s="685" t="s">
        <v>4224</v>
      </c>
      <c r="F226" s="685" t="s">
        <v>4225</v>
      </c>
      <c r="G226" s="685" t="s">
        <v>4226</v>
      </c>
      <c r="H226" s="685" t="s">
        <v>4227</v>
      </c>
      <c r="I226" s="685" t="s">
        <v>4228</v>
      </c>
      <c r="J226" s="685" t="s">
        <v>4229</v>
      </c>
      <c r="K226" s="685" t="s">
        <v>4230</v>
      </c>
    </row>
    <row r="227" spans="1:11">
      <c r="A227" s="686" t="s">
        <v>4231</v>
      </c>
      <c r="B227" s="687" t="s">
        <v>4232</v>
      </c>
      <c r="C227" s="687" t="s">
        <v>4232</v>
      </c>
      <c r="D227" s="687" t="s">
        <v>4232</v>
      </c>
      <c r="E227" s="687" t="s">
        <v>4232</v>
      </c>
      <c r="F227" s="687" t="s">
        <v>4232</v>
      </c>
      <c r="G227" s="687" t="s">
        <v>4232</v>
      </c>
      <c r="H227" s="687" t="s">
        <v>4232</v>
      </c>
      <c r="I227" s="687" t="s">
        <v>4232</v>
      </c>
      <c r="J227" s="687" t="s">
        <v>4232</v>
      </c>
      <c r="K227" s="687" t="s">
        <v>4232</v>
      </c>
    </row>
    <row r="228" spans="1:11">
      <c r="A228" s="688" t="s">
        <v>4064</v>
      </c>
      <c r="B228" s="691">
        <v>77.8</v>
      </c>
      <c r="C228" s="691">
        <v>77.900000000000006</v>
      </c>
      <c r="D228" s="691">
        <v>77.900000000000006</v>
      </c>
      <c r="E228" s="615">
        <v>78</v>
      </c>
      <c r="F228" s="615">
        <v>78</v>
      </c>
      <c r="G228" s="691">
        <v>78.099999999999994</v>
      </c>
      <c r="H228" s="691">
        <v>78.400000000000006</v>
      </c>
      <c r="I228" s="691">
        <v>77.599999999999994</v>
      </c>
      <c r="J228" s="691">
        <v>77.2</v>
      </c>
      <c r="K228" s="691">
        <v>77.8</v>
      </c>
    </row>
    <row r="229" spans="1:11">
      <c r="A229" s="688" t="s">
        <v>4065</v>
      </c>
      <c r="B229" s="689">
        <v>77.900000000000006</v>
      </c>
      <c r="C229" s="689">
        <v>78.2</v>
      </c>
      <c r="D229" s="689">
        <v>77.900000000000006</v>
      </c>
      <c r="E229" s="689">
        <v>78.3</v>
      </c>
      <c r="F229" s="689">
        <v>78.3</v>
      </c>
      <c r="G229" s="689">
        <v>78.3</v>
      </c>
      <c r="H229" s="690" t="s">
        <v>4060</v>
      </c>
      <c r="I229" s="690" t="s">
        <v>4060</v>
      </c>
      <c r="J229" s="690" t="s">
        <v>4060</v>
      </c>
      <c r="K229" s="690" t="s">
        <v>4060</v>
      </c>
    </row>
    <row r="230" spans="1:11">
      <c r="A230" s="688" t="s">
        <v>4063</v>
      </c>
      <c r="B230" s="691">
        <v>77.900000000000006</v>
      </c>
      <c r="C230" s="691">
        <v>78.3</v>
      </c>
      <c r="D230" s="691">
        <v>77.900000000000006</v>
      </c>
      <c r="E230" s="691">
        <v>78.3</v>
      </c>
      <c r="F230" s="691">
        <v>78.3</v>
      </c>
      <c r="G230" s="691">
        <v>78.400000000000006</v>
      </c>
      <c r="H230" s="692" t="s">
        <v>4060</v>
      </c>
      <c r="I230" s="692" t="s">
        <v>4060</v>
      </c>
      <c r="J230" s="692" t="s">
        <v>4060</v>
      </c>
      <c r="K230" s="692" t="s">
        <v>4060</v>
      </c>
    </row>
    <row r="231" spans="1:11">
      <c r="A231" s="688" t="s">
        <v>4069</v>
      </c>
      <c r="B231" s="690" t="s">
        <v>4060</v>
      </c>
      <c r="C231" s="689">
        <v>78.900000000000006</v>
      </c>
      <c r="D231" s="689">
        <v>78.599999999999994</v>
      </c>
      <c r="E231" s="693">
        <v>79</v>
      </c>
      <c r="F231" s="693">
        <v>79</v>
      </c>
      <c r="G231" s="689">
        <v>79.099999999999994</v>
      </c>
      <c r="H231" s="689">
        <v>79.400000000000006</v>
      </c>
      <c r="I231" s="689">
        <v>78.7</v>
      </c>
      <c r="J231" s="689">
        <v>78.7</v>
      </c>
      <c r="K231" s="689">
        <v>78.8</v>
      </c>
    </row>
    <row r="232" spans="1:11">
      <c r="A232" s="688" t="s">
        <v>4068</v>
      </c>
      <c r="B232" s="691">
        <v>78.900000000000006</v>
      </c>
      <c r="C232" s="692" t="s">
        <v>4060</v>
      </c>
      <c r="D232" s="692" t="s">
        <v>4060</v>
      </c>
      <c r="E232" s="692" t="s">
        <v>4060</v>
      </c>
      <c r="F232" s="692" t="s">
        <v>4060</v>
      </c>
      <c r="G232" s="692" t="s">
        <v>4060</v>
      </c>
      <c r="H232" s="692" t="s">
        <v>4060</v>
      </c>
      <c r="I232" s="692" t="s">
        <v>4060</v>
      </c>
      <c r="J232" s="692" t="s">
        <v>4060</v>
      </c>
      <c r="K232" s="692" t="s">
        <v>4060</v>
      </c>
    </row>
    <row r="233" spans="1:11">
      <c r="A233" s="688" t="s">
        <v>0</v>
      </c>
      <c r="B233" s="693">
        <v>78</v>
      </c>
      <c r="C233" s="689">
        <v>78.400000000000006</v>
      </c>
      <c r="D233" s="689">
        <v>78.2</v>
      </c>
      <c r="E233" s="689">
        <v>78.599999999999994</v>
      </c>
      <c r="F233" s="689">
        <v>78.7</v>
      </c>
      <c r="G233" s="689">
        <v>78.8</v>
      </c>
      <c r="H233" s="689">
        <v>79.2</v>
      </c>
      <c r="I233" s="689">
        <v>78.099999999999994</v>
      </c>
      <c r="J233" s="689">
        <v>78.900000000000006</v>
      </c>
      <c r="K233" s="693">
        <v>79</v>
      </c>
    </row>
    <row r="234" spans="1:11">
      <c r="A234" s="688" t="s">
        <v>1</v>
      </c>
      <c r="B234" s="691">
        <v>72.5</v>
      </c>
      <c r="C234" s="615">
        <v>72</v>
      </c>
      <c r="D234" s="691">
        <v>72.099999999999994</v>
      </c>
      <c r="E234" s="691">
        <v>72.2</v>
      </c>
      <c r="F234" s="691">
        <v>72.2</v>
      </c>
      <c r="G234" s="691">
        <v>72.2</v>
      </c>
      <c r="H234" s="691">
        <v>72.3</v>
      </c>
      <c r="I234" s="691">
        <v>70.8</v>
      </c>
      <c r="J234" s="691">
        <v>68.599999999999994</v>
      </c>
      <c r="K234" s="691">
        <v>71.5</v>
      </c>
    </row>
    <row r="235" spans="1:11">
      <c r="A235" s="688" t="s">
        <v>2240</v>
      </c>
      <c r="B235" s="689">
        <v>75.5</v>
      </c>
      <c r="C235" s="693">
        <v>76</v>
      </c>
      <c r="D235" s="689">
        <v>75.8</v>
      </c>
      <c r="E235" s="689">
        <v>76.3</v>
      </c>
      <c r="F235" s="689">
        <v>76.2</v>
      </c>
      <c r="G235" s="689">
        <v>76.2</v>
      </c>
      <c r="H235" s="689">
        <v>76.5</v>
      </c>
      <c r="I235" s="689">
        <v>75.5</v>
      </c>
      <c r="J235" s="689">
        <v>74.400000000000006</v>
      </c>
      <c r="K235" s="689">
        <v>76.2</v>
      </c>
    </row>
    <row r="236" spans="1:11">
      <c r="A236" s="688" t="s">
        <v>2</v>
      </c>
      <c r="B236" s="691">
        <v>77.7</v>
      </c>
      <c r="C236" s="615">
        <v>78</v>
      </c>
      <c r="D236" s="691">
        <v>78.099999999999994</v>
      </c>
      <c r="E236" s="691">
        <v>78.2</v>
      </c>
      <c r="F236" s="691">
        <v>78.400000000000006</v>
      </c>
      <c r="G236" s="691">
        <v>78.3</v>
      </c>
      <c r="H236" s="691">
        <v>78.7</v>
      </c>
      <c r="I236" s="691">
        <v>78.8</v>
      </c>
      <c r="J236" s="691">
        <v>78.7</v>
      </c>
      <c r="K236" s="691">
        <v>78.599999999999994</v>
      </c>
    </row>
    <row r="237" spans="1:11">
      <c r="A237" s="688" t="s">
        <v>3</v>
      </c>
      <c r="B237" s="689">
        <v>77.900000000000006</v>
      </c>
      <c r="C237" s="689">
        <v>78.2</v>
      </c>
      <c r="D237" s="689">
        <v>77.900000000000006</v>
      </c>
      <c r="E237" s="689">
        <v>78.2</v>
      </c>
      <c r="F237" s="689">
        <v>78.3</v>
      </c>
      <c r="G237" s="689">
        <v>78.2</v>
      </c>
      <c r="H237" s="689">
        <v>78.5</v>
      </c>
      <c r="I237" s="689">
        <v>78.3</v>
      </c>
      <c r="J237" s="693">
        <v>78</v>
      </c>
      <c r="K237" s="689">
        <v>77.8</v>
      </c>
    </row>
    <row r="238" spans="1:11">
      <c r="A238" s="688" t="s">
        <v>4061</v>
      </c>
      <c r="B238" s="691">
        <v>77.900000000000006</v>
      </c>
      <c r="C238" s="691">
        <v>78.2</v>
      </c>
      <c r="D238" s="691">
        <v>77.900000000000006</v>
      </c>
      <c r="E238" s="691">
        <v>78.2</v>
      </c>
      <c r="F238" s="691">
        <v>78.3</v>
      </c>
      <c r="G238" s="691">
        <v>78.2</v>
      </c>
      <c r="H238" s="691">
        <v>78.5</v>
      </c>
      <c r="I238" s="691">
        <v>78.3</v>
      </c>
      <c r="J238" s="615">
        <v>78</v>
      </c>
      <c r="K238" s="691">
        <v>77.8</v>
      </c>
    </row>
    <row r="239" spans="1:11">
      <c r="A239" s="688" t="s">
        <v>4</v>
      </c>
      <c r="B239" s="689">
        <v>74.7</v>
      </c>
      <c r="C239" s="689">
        <v>74.400000000000006</v>
      </c>
      <c r="D239" s="689">
        <v>74.900000000000006</v>
      </c>
      <c r="E239" s="693">
        <v>75</v>
      </c>
      <c r="F239" s="689">
        <v>75.400000000000006</v>
      </c>
      <c r="G239" s="689">
        <v>75.5</v>
      </c>
      <c r="H239" s="693">
        <v>76</v>
      </c>
      <c r="I239" s="689">
        <v>75.900000000000006</v>
      </c>
      <c r="J239" s="689">
        <v>74.400000000000006</v>
      </c>
      <c r="K239" s="689">
        <v>75.2</v>
      </c>
    </row>
    <row r="240" spans="1:11">
      <c r="A240" s="688" t="s">
        <v>8</v>
      </c>
      <c r="B240" s="691">
        <v>78.3</v>
      </c>
      <c r="C240" s="691">
        <v>78.599999999999994</v>
      </c>
      <c r="D240" s="691">
        <v>78.7</v>
      </c>
      <c r="E240" s="691">
        <v>78.8</v>
      </c>
      <c r="F240" s="691">
        <v>79.3</v>
      </c>
      <c r="G240" s="691">
        <v>79.3</v>
      </c>
      <c r="H240" s="691">
        <v>79.7</v>
      </c>
      <c r="I240" s="691">
        <v>79.599999999999994</v>
      </c>
      <c r="J240" s="691">
        <v>79.400000000000006</v>
      </c>
      <c r="K240" s="691">
        <v>79.599999999999994</v>
      </c>
    </row>
    <row r="241" spans="1:11">
      <c r="A241" s="688" t="s">
        <v>7</v>
      </c>
      <c r="B241" s="689">
        <v>78.7</v>
      </c>
      <c r="C241" s="689">
        <v>78.3</v>
      </c>
      <c r="D241" s="689">
        <v>78.099999999999994</v>
      </c>
      <c r="E241" s="689">
        <v>78.400000000000006</v>
      </c>
      <c r="F241" s="689">
        <v>78.3</v>
      </c>
      <c r="G241" s="689">
        <v>78.8</v>
      </c>
      <c r="H241" s="689">
        <v>78.7</v>
      </c>
      <c r="I241" s="689">
        <v>78.400000000000006</v>
      </c>
      <c r="J241" s="689">
        <v>77.400000000000006</v>
      </c>
      <c r="K241" s="689">
        <v>78.099999999999994</v>
      </c>
    </row>
    <row r="242" spans="1:11">
      <c r="A242" s="688" t="s">
        <v>27</v>
      </c>
      <c r="B242" s="691">
        <v>80.400000000000006</v>
      </c>
      <c r="C242" s="691">
        <v>80.2</v>
      </c>
      <c r="D242" s="691">
        <v>79.900000000000006</v>
      </c>
      <c r="E242" s="691">
        <v>80.3</v>
      </c>
      <c r="F242" s="691">
        <v>80.3</v>
      </c>
      <c r="G242" s="691">
        <v>80.400000000000006</v>
      </c>
      <c r="H242" s="691">
        <v>80.8</v>
      </c>
      <c r="I242" s="691">
        <v>79.5</v>
      </c>
      <c r="J242" s="691">
        <v>80.2</v>
      </c>
      <c r="K242" s="691">
        <v>80.3</v>
      </c>
    </row>
    <row r="243" spans="1:11">
      <c r="A243" s="688" t="s">
        <v>6</v>
      </c>
      <c r="B243" s="689">
        <v>79.7</v>
      </c>
      <c r="C243" s="689">
        <v>79.7</v>
      </c>
      <c r="D243" s="689">
        <v>79.5</v>
      </c>
      <c r="E243" s="689">
        <v>79.7</v>
      </c>
      <c r="F243" s="689">
        <v>79.8</v>
      </c>
      <c r="G243" s="689">
        <v>79.900000000000006</v>
      </c>
      <c r="H243" s="689">
        <v>80.099999999999994</v>
      </c>
      <c r="I243" s="689">
        <v>79.5</v>
      </c>
      <c r="J243" s="689">
        <v>79.599999999999994</v>
      </c>
      <c r="K243" s="689">
        <v>79.599999999999994</v>
      </c>
    </row>
    <row r="244" spans="1:11">
      <c r="A244" s="688" t="s">
        <v>4058</v>
      </c>
      <c r="B244" s="692" t="s">
        <v>4060</v>
      </c>
      <c r="C244" s="692" t="s">
        <v>4060</v>
      </c>
      <c r="D244" s="692" t="s">
        <v>4060</v>
      </c>
      <c r="E244" s="692" t="s">
        <v>4060</v>
      </c>
      <c r="F244" s="692" t="s">
        <v>4060</v>
      </c>
      <c r="G244" s="692" t="s">
        <v>4060</v>
      </c>
      <c r="H244" s="692" t="s">
        <v>4060</v>
      </c>
      <c r="I244" s="692" t="s">
        <v>4060</v>
      </c>
      <c r="J244" s="692" t="s">
        <v>4060</v>
      </c>
      <c r="K244" s="692" t="s">
        <v>4060</v>
      </c>
    </row>
    <row r="245" spans="1:11">
      <c r="A245" s="688" t="s">
        <v>11</v>
      </c>
      <c r="B245" s="689">
        <v>75.099999999999994</v>
      </c>
      <c r="C245" s="689">
        <v>75.2</v>
      </c>
      <c r="D245" s="689">
        <v>74.7</v>
      </c>
      <c r="E245" s="689">
        <v>75.400000000000006</v>
      </c>
      <c r="F245" s="689">
        <v>75.2</v>
      </c>
      <c r="G245" s="689">
        <v>75.400000000000006</v>
      </c>
      <c r="H245" s="689">
        <v>75.599999999999994</v>
      </c>
      <c r="I245" s="689">
        <v>74.900000000000006</v>
      </c>
      <c r="J245" s="689">
        <v>73.900000000000006</v>
      </c>
      <c r="K245" s="693">
        <v>75</v>
      </c>
    </row>
    <row r="246" spans="1:11">
      <c r="A246" s="688" t="s">
        <v>10</v>
      </c>
      <c r="B246" s="691">
        <v>80.099999999999994</v>
      </c>
      <c r="C246" s="691">
        <v>80.099999999999994</v>
      </c>
      <c r="D246" s="691">
        <v>79.7</v>
      </c>
      <c r="E246" s="691">
        <v>80.3</v>
      </c>
      <c r="F246" s="691">
        <v>80.099999999999994</v>
      </c>
      <c r="G246" s="691">
        <v>80.400000000000006</v>
      </c>
      <c r="H246" s="691">
        <v>80.599999999999994</v>
      </c>
      <c r="I246" s="691">
        <v>79.5</v>
      </c>
      <c r="J246" s="691">
        <v>79.8</v>
      </c>
      <c r="K246" s="615">
        <v>80</v>
      </c>
    </row>
    <row r="247" spans="1:11">
      <c r="A247" s="688" t="s">
        <v>30</v>
      </c>
      <c r="B247" s="689">
        <v>79.7</v>
      </c>
      <c r="C247" s="689">
        <v>79.5</v>
      </c>
      <c r="D247" s="689">
        <v>79.099999999999994</v>
      </c>
      <c r="E247" s="693">
        <v>80</v>
      </c>
      <c r="F247" s="689">
        <v>79.599999999999994</v>
      </c>
      <c r="G247" s="689">
        <v>80.2</v>
      </c>
      <c r="H247" s="689">
        <v>79.8</v>
      </c>
      <c r="I247" s="689">
        <v>79.900000000000006</v>
      </c>
      <c r="J247" s="693">
        <v>79</v>
      </c>
      <c r="K247" s="689">
        <v>79.400000000000006</v>
      </c>
    </row>
    <row r="248" spans="1:11">
      <c r="A248" s="688" t="s">
        <v>12</v>
      </c>
      <c r="B248" s="691">
        <v>71.7</v>
      </c>
      <c r="C248" s="691">
        <v>71.599999999999994</v>
      </c>
      <c r="D248" s="615">
        <v>72</v>
      </c>
      <c r="E248" s="691">
        <v>72.099999999999994</v>
      </c>
      <c r="F248" s="691">
        <v>72.2</v>
      </c>
      <c r="G248" s="691">
        <v>72.2</v>
      </c>
      <c r="H248" s="691">
        <v>72.900000000000006</v>
      </c>
      <c r="I248" s="691">
        <v>72.7</v>
      </c>
      <c r="J248" s="691">
        <v>70.400000000000006</v>
      </c>
      <c r="K248" s="691">
        <v>71.7</v>
      </c>
    </row>
    <row r="249" spans="1:11">
      <c r="A249" s="688" t="s">
        <v>14</v>
      </c>
      <c r="B249" s="689">
        <v>71.400000000000006</v>
      </c>
      <c r="C249" s="689">
        <v>71.900000000000006</v>
      </c>
      <c r="D249" s="689">
        <v>71.8</v>
      </c>
      <c r="E249" s="689">
        <v>72.2</v>
      </c>
      <c r="F249" s="689">
        <v>72.900000000000006</v>
      </c>
      <c r="G249" s="689">
        <v>73.2</v>
      </c>
      <c r="H249" s="689">
        <v>73.599999999999994</v>
      </c>
      <c r="I249" s="689">
        <v>72.400000000000006</v>
      </c>
      <c r="J249" s="689">
        <v>71.5</v>
      </c>
      <c r="K249" s="689">
        <v>73.099999999999994</v>
      </c>
    </row>
    <row r="250" spans="1:11">
      <c r="A250" s="688" t="s">
        <v>15</v>
      </c>
      <c r="B250" s="691">
        <v>79.2</v>
      </c>
      <c r="C250" s="691">
        <v>79.099999999999994</v>
      </c>
      <c r="D250" s="691">
        <v>79.3</v>
      </c>
      <c r="E250" s="691">
        <v>79.599999999999994</v>
      </c>
      <c r="F250" s="691">
        <v>79.099999999999994</v>
      </c>
      <c r="G250" s="691">
        <v>79.5</v>
      </c>
      <c r="H250" s="691">
        <v>79.900000000000006</v>
      </c>
      <c r="I250" s="691">
        <v>79.400000000000006</v>
      </c>
      <c r="J250" s="691">
        <v>79.8</v>
      </c>
      <c r="K250" s="691">
        <v>80.099999999999994</v>
      </c>
    </row>
    <row r="251" spans="1:11">
      <c r="A251" s="688" t="s">
        <v>29</v>
      </c>
      <c r="B251" s="689">
        <v>73.2</v>
      </c>
      <c r="C251" s="689">
        <v>73.2</v>
      </c>
      <c r="D251" s="693">
        <v>73</v>
      </c>
      <c r="E251" s="689">
        <v>73.400000000000006</v>
      </c>
      <c r="F251" s="689">
        <v>73.2</v>
      </c>
      <c r="G251" s="689">
        <v>73.3</v>
      </c>
      <c r="H251" s="689">
        <v>73.599999999999994</v>
      </c>
      <c r="I251" s="689">
        <v>72.8</v>
      </c>
      <c r="J251" s="689">
        <v>71.400000000000006</v>
      </c>
      <c r="K251" s="689">
        <v>73.2</v>
      </c>
    </row>
    <row r="252" spans="1:11">
      <c r="A252" s="688" t="s">
        <v>16</v>
      </c>
      <c r="B252" s="691">
        <v>79.400000000000006</v>
      </c>
      <c r="C252" s="691">
        <v>79.2</v>
      </c>
      <c r="D252" s="691">
        <v>79.3</v>
      </c>
      <c r="E252" s="691">
        <v>79.8</v>
      </c>
      <c r="F252" s="691">
        <v>79.599999999999994</v>
      </c>
      <c r="G252" s="691">
        <v>79.599999999999994</v>
      </c>
      <c r="H252" s="615">
        <v>80</v>
      </c>
      <c r="I252" s="691">
        <v>79.3</v>
      </c>
      <c r="J252" s="691">
        <v>79.400000000000006</v>
      </c>
      <c r="K252" s="691">
        <v>79.5</v>
      </c>
    </row>
    <row r="253" spans="1:11">
      <c r="A253" s="688" t="s">
        <v>17</v>
      </c>
      <c r="B253" s="689">
        <v>78.8</v>
      </c>
      <c r="C253" s="693">
        <v>79</v>
      </c>
      <c r="D253" s="689">
        <v>78.8</v>
      </c>
      <c r="E253" s="689">
        <v>78.900000000000006</v>
      </c>
      <c r="F253" s="693">
        <v>79</v>
      </c>
      <c r="G253" s="689">
        <v>79.099999999999994</v>
      </c>
      <c r="H253" s="689">
        <v>79.400000000000006</v>
      </c>
      <c r="I253" s="689">
        <v>78.7</v>
      </c>
      <c r="J253" s="689">
        <v>78.599999999999994</v>
      </c>
      <c r="K253" s="689">
        <v>78.900000000000006</v>
      </c>
    </row>
    <row r="254" spans="1:11">
      <c r="A254" s="688" t="s">
        <v>19</v>
      </c>
      <c r="B254" s="691">
        <v>78.599999999999994</v>
      </c>
      <c r="C254" s="691">
        <v>78.7</v>
      </c>
      <c r="D254" s="691">
        <v>78.5</v>
      </c>
      <c r="E254" s="691">
        <v>78.900000000000006</v>
      </c>
      <c r="F254" s="691">
        <v>78.900000000000006</v>
      </c>
      <c r="G254" s="615">
        <v>79</v>
      </c>
      <c r="H254" s="691">
        <v>79.2</v>
      </c>
      <c r="I254" s="691">
        <v>78.599999999999994</v>
      </c>
      <c r="J254" s="691">
        <v>78.5</v>
      </c>
      <c r="K254" s="691">
        <v>78.7</v>
      </c>
    </row>
    <row r="255" spans="1:11">
      <c r="A255" s="688" t="s">
        <v>20</v>
      </c>
      <c r="B255" s="689">
        <v>74.5</v>
      </c>
      <c r="C255" s="689">
        <v>74.900000000000006</v>
      </c>
      <c r="D255" s="689">
        <v>74.7</v>
      </c>
      <c r="E255" s="689">
        <v>75.099999999999994</v>
      </c>
      <c r="F255" s="693">
        <v>75</v>
      </c>
      <c r="G255" s="689">
        <v>74.900000000000006</v>
      </c>
      <c r="H255" s="689">
        <v>75.2</v>
      </c>
      <c r="I255" s="689">
        <v>73.7</v>
      </c>
      <c r="J255" s="689">
        <v>72.7</v>
      </c>
      <c r="K255" s="689">
        <v>74.400000000000006</v>
      </c>
    </row>
    <row r="256" spans="1:11">
      <c r="A256" s="688" t="s">
        <v>21</v>
      </c>
      <c r="B256" s="691">
        <v>78.2</v>
      </c>
      <c r="C256" s="691">
        <v>78.599999999999994</v>
      </c>
      <c r="D256" s="691">
        <v>78.599999999999994</v>
      </c>
      <c r="E256" s="691">
        <v>78.599999999999994</v>
      </c>
      <c r="F256" s="691">
        <v>78.900000000000006</v>
      </c>
      <c r="G256" s="691">
        <v>78.900000000000006</v>
      </c>
      <c r="H256" s="691">
        <v>79.2</v>
      </c>
      <c r="I256" s="691">
        <v>78.599999999999994</v>
      </c>
      <c r="J256" s="691">
        <v>78.599999999999994</v>
      </c>
      <c r="K256" s="691">
        <v>78.900000000000006</v>
      </c>
    </row>
    <row r="257" spans="1:11">
      <c r="A257" s="688" t="s">
        <v>22</v>
      </c>
      <c r="B257" s="689">
        <v>72.900000000000006</v>
      </c>
      <c r="C257" s="689">
        <v>72.599999999999994</v>
      </c>
      <c r="D257" s="689">
        <v>72.5</v>
      </c>
      <c r="E257" s="689">
        <v>72.8</v>
      </c>
      <c r="F257" s="689">
        <v>72.8</v>
      </c>
      <c r="G257" s="689">
        <v>72.8</v>
      </c>
      <c r="H257" s="689">
        <v>73.099999999999994</v>
      </c>
      <c r="I257" s="689">
        <v>71.5</v>
      </c>
      <c r="J257" s="689">
        <v>70.2</v>
      </c>
      <c r="K257" s="689">
        <v>72.599999999999994</v>
      </c>
    </row>
    <row r="258" spans="1:11">
      <c r="A258" s="688" t="s">
        <v>26</v>
      </c>
      <c r="B258" s="691">
        <v>77.7</v>
      </c>
      <c r="C258" s="691">
        <v>78.099999999999994</v>
      </c>
      <c r="D258" s="691">
        <v>77.8</v>
      </c>
      <c r="E258" s="691">
        <v>78.2</v>
      </c>
      <c r="F258" s="691">
        <v>78.099999999999994</v>
      </c>
      <c r="G258" s="691">
        <v>78.400000000000006</v>
      </c>
      <c r="H258" s="691">
        <v>78.599999999999994</v>
      </c>
      <c r="I258" s="691">
        <v>77.7</v>
      </c>
      <c r="J258" s="691">
        <v>77.8</v>
      </c>
      <c r="K258" s="691">
        <v>78.400000000000006</v>
      </c>
    </row>
    <row r="259" spans="1:11">
      <c r="A259" s="688" t="s">
        <v>25</v>
      </c>
      <c r="B259" s="689">
        <v>74.099999999999994</v>
      </c>
      <c r="C259" s="689">
        <v>74.400000000000006</v>
      </c>
      <c r="D259" s="689">
        <v>74.099999999999994</v>
      </c>
      <c r="E259" s="689">
        <v>74.7</v>
      </c>
      <c r="F259" s="689">
        <v>74.7</v>
      </c>
      <c r="G259" s="689">
        <v>74.7</v>
      </c>
      <c r="H259" s="689">
        <v>75.2</v>
      </c>
      <c r="I259" s="689">
        <v>74.400000000000006</v>
      </c>
      <c r="J259" s="689">
        <v>72.099999999999994</v>
      </c>
      <c r="K259" s="689">
        <v>74.400000000000006</v>
      </c>
    </row>
    <row r="260" spans="1:11">
      <c r="A260" s="688" t="s">
        <v>5</v>
      </c>
      <c r="B260" s="691">
        <v>78.3</v>
      </c>
      <c r="C260" s="691">
        <v>78.3</v>
      </c>
      <c r="D260" s="691">
        <v>78.5</v>
      </c>
      <c r="E260" s="691">
        <v>78.5</v>
      </c>
      <c r="F260" s="691">
        <v>78.7</v>
      </c>
      <c r="G260" s="691">
        <v>78.8</v>
      </c>
      <c r="H260" s="691">
        <v>79.099999999999994</v>
      </c>
      <c r="I260" s="615">
        <v>79</v>
      </c>
      <c r="J260" s="615">
        <v>79</v>
      </c>
      <c r="K260" s="691">
        <v>78.400000000000006</v>
      </c>
    </row>
    <row r="261" spans="1:11">
      <c r="A261" s="688" t="s">
        <v>23</v>
      </c>
      <c r="B261" s="689">
        <v>79.2</v>
      </c>
      <c r="C261" s="689">
        <v>79.400000000000006</v>
      </c>
      <c r="D261" s="689">
        <v>79.400000000000006</v>
      </c>
      <c r="E261" s="689">
        <v>79.599999999999994</v>
      </c>
      <c r="F261" s="689">
        <v>79.7</v>
      </c>
      <c r="G261" s="689">
        <v>79.7</v>
      </c>
      <c r="H261" s="689">
        <v>80.2</v>
      </c>
      <c r="I261" s="689">
        <v>79.599999999999994</v>
      </c>
      <c r="J261" s="689">
        <v>80.2</v>
      </c>
      <c r="K261" s="689">
        <v>80.2</v>
      </c>
    </row>
    <row r="262" spans="1:11">
      <c r="A262" s="688" t="s">
        <v>4067</v>
      </c>
      <c r="B262" s="691">
        <v>77.900000000000006</v>
      </c>
      <c r="C262" s="691">
        <v>78.3</v>
      </c>
      <c r="D262" s="691">
        <v>77.900000000000006</v>
      </c>
      <c r="E262" s="691">
        <v>78.3</v>
      </c>
      <c r="F262" s="691">
        <v>78.3</v>
      </c>
      <c r="G262" s="691">
        <v>78.400000000000006</v>
      </c>
      <c r="H262" s="692" t="s">
        <v>4060</v>
      </c>
      <c r="I262" s="692" t="s">
        <v>4060</v>
      </c>
      <c r="J262" s="692" t="s">
        <v>4060</v>
      </c>
      <c r="K262" s="692" t="s">
        <v>4060</v>
      </c>
    </row>
    <row r="263" spans="1:11">
      <c r="A263" s="688" t="s">
        <v>4066</v>
      </c>
      <c r="B263" s="689">
        <v>77.900000000000006</v>
      </c>
      <c r="C263" s="689">
        <v>78.3</v>
      </c>
      <c r="D263" s="693">
        <v>78</v>
      </c>
      <c r="E263" s="689">
        <v>78.3</v>
      </c>
      <c r="F263" s="689">
        <v>78.3</v>
      </c>
      <c r="G263" s="689">
        <v>78.400000000000006</v>
      </c>
      <c r="H263" s="690" t="s">
        <v>4060</v>
      </c>
      <c r="I263" s="690" t="s">
        <v>4060</v>
      </c>
      <c r="J263" s="690" t="s">
        <v>4060</v>
      </c>
      <c r="K263" s="690" t="s">
        <v>4060</v>
      </c>
    </row>
    <row r="264" spans="1:11">
      <c r="A264" s="688" t="s">
        <v>4062</v>
      </c>
      <c r="B264" s="691">
        <v>79.8</v>
      </c>
      <c r="C264" s="615">
        <v>80</v>
      </c>
      <c r="D264" s="615">
        <v>80</v>
      </c>
      <c r="E264" s="691">
        <v>80.3</v>
      </c>
      <c r="F264" s="691">
        <v>80.400000000000006</v>
      </c>
      <c r="G264" s="691">
        <v>80.5</v>
      </c>
      <c r="H264" s="691">
        <v>80.7</v>
      </c>
      <c r="I264" s="691">
        <v>80.400000000000006</v>
      </c>
      <c r="J264" s="691">
        <v>80.7</v>
      </c>
      <c r="K264" s="691">
        <v>80.400000000000006</v>
      </c>
    </row>
    <row r="265" spans="1:11">
      <c r="A265" s="688" t="s">
        <v>9</v>
      </c>
      <c r="B265" s="689">
        <v>79.3</v>
      </c>
      <c r="C265" s="689">
        <v>79.8</v>
      </c>
      <c r="D265" s="689">
        <v>79.599999999999994</v>
      </c>
      <c r="E265" s="689">
        <v>79.2</v>
      </c>
      <c r="F265" s="689">
        <v>79.599999999999994</v>
      </c>
      <c r="G265" s="689">
        <v>79.900000000000006</v>
      </c>
      <c r="H265" s="689">
        <v>80.099999999999994</v>
      </c>
      <c r="I265" s="689">
        <v>80.099999999999994</v>
      </c>
      <c r="J265" s="689">
        <v>80.3</v>
      </c>
      <c r="K265" s="689">
        <v>79.3</v>
      </c>
    </row>
    <row r="266" spans="1:11">
      <c r="A266" s="688" t="s">
        <v>13</v>
      </c>
      <c r="B266" s="691">
        <v>79.900000000000006</v>
      </c>
      <c r="C266" s="691">
        <v>79.3</v>
      </c>
      <c r="D266" s="615">
        <v>80</v>
      </c>
      <c r="E266" s="691">
        <v>79.3</v>
      </c>
      <c r="F266" s="691">
        <v>80.3</v>
      </c>
      <c r="G266" s="615">
        <v>80</v>
      </c>
      <c r="H266" s="615">
        <v>81</v>
      </c>
      <c r="I266" s="691">
        <v>79.2</v>
      </c>
      <c r="J266" s="691">
        <v>81.099999999999994</v>
      </c>
      <c r="K266" s="691">
        <v>80.8</v>
      </c>
    </row>
    <row r="267" spans="1:11">
      <c r="A267" s="688" t="s">
        <v>18</v>
      </c>
      <c r="B267" s="693">
        <v>79</v>
      </c>
      <c r="C267" s="689">
        <v>79.3</v>
      </c>
      <c r="D267" s="689">
        <v>79.5</v>
      </c>
      <c r="E267" s="689">
        <v>79.599999999999994</v>
      </c>
      <c r="F267" s="689">
        <v>79.8</v>
      </c>
      <c r="G267" s="693">
        <v>80</v>
      </c>
      <c r="H267" s="689">
        <v>80.2</v>
      </c>
      <c r="I267" s="689">
        <v>80.400000000000006</v>
      </c>
      <c r="J267" s="689">
        <v>80.3</v>
      </c>
      <c r="K267" s="689">
        <v>79.8</v>
      </c>
    </row>
    <row r="268" spans="1:11">
      <c r="A268" s="688" t="s">
        <v>24</v>
      </c>
      <c r="B268" s="691">
        <v>80.3</v>
      </c>
      <c r="C268" s="691">
        <v>80.400000000000006</v>
      </c>
      <c r="D268" s="691">
        <v>80.2</v>
      </c>
      <c r="E268" s="691">
        <v>80.8</v>
      </c>
      <c r="F268" s="691">
        <v>80.8</v>
      </c>
      <c r="G268" s="691">
        <v>80.900000000000006</v>
      </c>
      <c r="H268" s="691">
        <v>81.099999999999994</v>
      </c>
      <c r="I268" s="691">
        <v>80.400000000000006</v>
      </c>
      <c r="J268" s="691">
        <v>80.900000000000006</v>
      </c>
      <c r="K268" s="691">
        <v>80.900000000000006</v>
      </c>
    </row>
    <row r="269" spans="1:11">
      <c r="A269" s="688" t="s">
        <v>4059</v>
      </c>
      <c r="B269" s="689">
        <v>78.400000000000006</v>
      </c>
      <c r="C269" s="689">
        <v>78.7</v>
      </c>
      <c r="D269" s="689">
        <v>78.400000000000006</v>
      </c>
      <c r="E269" s="689">
        <v>78.599999999999994</v>
      </c>
      <c r="F269" s="689">
        <v>78.599999999999994</v>
      </c>
      <c r="G269" s="689">
        <v>78.599999999999994</v>
      </c>
      <c r="H269" s="690" t="s">
        <v>4060</v>
      </c>
      <c r="I269" s="690" t="s">
        <v>4060</v>
      </c>
      <c r="J269" s="690" t="s">
        <v>4060</v>
      </c>
      <c r="K269" s="690" t="s">
        <v>4060</v>
      </c>
    </row>
    <row r="270" spans="1:11">
      <c r="A270" s="688" t="s">
        <v>2324</v>
      </c>
      <c r="B270" s="691">
        <v>73.900000000000006</v>
      </c>
      <c r="C270" s="691">
        <v>73.900000000000006</v>
      </c>
      <c r="D270" s="691">
        <v>73.7</v>
      </c>
      <c r="E270" s="691">
        <v>73.8</v>
      </c>
      <c r="F270" s="691">
        <v>73.7</v>
      </c>
      <c r="G270" s="691">
        <v>74.099999999999994</v>
      </c>
      <c r="H270" s="615">
        <v>74</v>
      </c>
      <c r="I270" s="691">
        <v>73.2</v>
      </c>
      <c r="J270" s="691">
        <v>70.900000000000006</v>
      </c>
      <c r="K270" s="692" t="s">
        <v>4060</v>
      </c>
    </row>
    <row r="271" spans="1:11">
      <c r="A271" s="688" t="s">
        <v>2322</v>
      </c>
      <c r="B271" s="690" t="s">
        <v>4060</v>
      </c>
      <c r="C271" s="690" t="s">
        <v>4060</v>
      </c>
      <c r="D271" s="690" t="s">
        <v>4060</v>
      </c>
      <c r="E271" s="690" t="s">
        <v>4060</v>
      </c>
      <c r="F271" s="690" t="s">
        <v>4060</v>
      </c>
      <c r="G271" s="690" t="s">
        <v>4060</v>
      </c>
      <c r="H271" s="690" t="s">
        <v>4060</v>
      </c>
      <c r="I271" s="690" t="s">
        <v>4060</v>
      </c>
      <c r="J271" s="690" t="s">
        <v>4060</v>
      </c>
      <c r="K271" s="690" t="s">
        <v>4060</v>
      </c>
    </row>
    <row r="272" spans="1:11">
      <c r="A272" s="688" t="s">
        <v>2328</v>
      </c>
      <c r="B272" s="691">
        <v>73.3</v>
      </c>
      <c r="C272" s="691">
        <v>73.3</v>
      </c>
      <c r="D272" s="691">
        <v>73.099999999999994</v>
      </c>
      <c r="E272" s="691">
        <v>73.400000000000006</v>
      </c>
      <c r="F272" s="691">
        <v>73.7</v>
      </c>
      <c r="G272" s="691">
        <v>74.099999999999994</v>
      </c>
      <c r="H272" s="691">
        <v>74.099999999999994</v>
      </c>
      <c r="I272" s="691">
        <v>71.8</v>
      </c>
      <c r="J272" s="691">
        <v>70.599999999999994</v>
      </c>
      <c r="K272" s="692" t="s">
        <v>4060</v>
      </c>
    </row>
    <row r="273" spans="1:11">
      <c r="A273" s="688" t="s">
        <v>2496</v>
      </c>
      <c r="B273" s="690" t="s">
        <v>4060</v>
      </c>
      <c r="C273" s="689">
        <v>71.900000000000006</v>
      </c>
      <c r="D273" s="689">
        <v>70.8</v>
      </c>
      <c r="E273" s="689">
        <v>70.400000000000006</v>
      </c>
      <c r="F273" s="689">
        <v>71.3</v>
      </c>
      <c r="G273" s="689">
        <v>71.599999999999994</v>
      </c>
      <c r="H273" s="689">
        <v>71.7</v>
      </c>
      <c r="I273" s="690" t="s">
        <v>4060</v>
      </c>
      <c r="J273" s="690" t="s">
        <v>4060</v>
      </c>
      <c r="K273" s="689">
        <v>71.3</v>
      </c>
    </row>
    <row r="274" spans="1:11">
      <c r="A274" s="688" t="s">
        <v>2269</v>
      </c>
      <c r="B274" s="691">
        <v>75.7</v>
      </c>
      <c r="C274" s="691">
        <v>75.900000000000006</v>
      </c>
      <c r="D274" s="691">
        <v>75.5</v>
      </c>
      <c r="E274" s="691">
        <v>76.2</v>
      </c>
      <c r="F274" s="691">
        <v>76.2</v>
      </c>
      <c r="G274" s="691">
        <v>76.599999999999994</v>
      </c>
      <c r="H274" s="691">
        <v>76.900000000000006</v>
      </c>
      <c r="I274" s="691">
        <v>75.2</v>
      </c>
      <c r="J274" s="691">
        <v>73.2</v>
      </c>
      <c r="K274" s="691">
        <v>76.7</v>
      </c>
    </row>
    <row r="275" spans="1:11">
      <c r="A275" s="688" t="s">
        <v>2349</v>
      </c>
      <c r="B275" s="689">
        <v>72.8</v>
      </c>
      <c r="C275" s="689">
        <v>72.900000000000006</v>
      </c>
      <c r="D275" s="689">
        <v>72.8</v>
      </c>
      <c r="E275" s="689">
        <v>73.2</v>
      </c>
      <c r="F275" s="693">
        <v>73</v>
      </c>
      <c r="G275" s="689">
        <v>73.400000000000006</v>
      </c>
      <c r="H275" s="689">
        <v>73.400000000000006</v>
      </c>
      <c r="I275" s="689">
        <v>71.900000000000006</v>
      </c>
      <c r="J275" s="689">
        <v>70.2</v>
      </c>
      <c r="K275" s="689">
        <v>72.599999999999994</v>
      </c>
    </row>
    <row r="276" spans="1:11">
      <c r="A276" s="688" t="s">
        <v>2355</v>
      </c>
      <c r="B276" s="691">
        <v>76.3</v>
      </c>
      <c r="C276" s="691">
        <v>76.2</v>
      </c>
      <c r="D276" s="691">
        <v>76.2</v>
      </c>
      <c r="E276" s="691">
        <v>76.099999999999994</v>
      </c>
      <c r="F276" s="691">
        <v>76.3</v>
      </c>
      <c r="G276" s="691">
        <v>76.8</v>
      </c>
      <c r="H276" s="691">
        <v>76.900000000000006</v>
      </c>
      <c r="I276" s="692" t="s">
        <v>4060</v>
      </c>
      <c r="J276" s="692" t="s">
        <v>4060</v>
      </c>
      <c r="K276" s="692" t="s">
        <v>4060</v>
      </c>
    </row>
    <row r="277" spans="1:11">
      <c r="A277" s="688" t="s">
        <v>2357</v>
      </c>
      <c r="B277" s="690" t="s">
        <v>4060</v>
      </c>
      <c r="C277" s="689">
        <v>69.400000000000006</v>
      </c>
      <c r="D277" s="689">
        <v>70.099999999999994</v>
      </c>
      <c r="E277" s="689">
        <v>70.5</v>
      </c>
      <c r="F277" s="689">
        <v>70.900000000000006</v>
      </c>
      <c r="G277" s="689">
        <v>70.7</v>
      </c>
      <c r="H277" s="693">
        <v>71</v>
      </c>
      <c r="I277" s="690" t="s">
        <v>4060</v>
      </c>
      <c r="J277" s="690" t="s">
        <v>4060</v>
      </c>
      <c r="K277" s="690" t="s">
        <v>4060</v>
      </c>
    </row>
    <row r="278" spans="1:11">
      <c r="A278" s="688" t="s">
        <v>4070</v>
      </c>
      <c r="B278" s="692" t="s">
        <v>4060</v>
      </c>
      <c r="C278" s="692" t="s">
        <v>4060</v>
      </c>
      <c r="D278" s="692" t="s">
        <v>4060</v>
      </c>
      <c r="E278" s="691">
        <v>76.2</v>
      </c>
      <c r="F278" s="692" t="s">
        <v>4060</v>
      </c>
      <c r="G278" s="692" t="s">
        <v>4060</v>
      </c>
      <c r="H278" s="692" t="s">
        <v>4060</v>
      </c>
      <c r="I278" s="692" t="s">
        <v>4060</v>
      </c>
      <c r="J278" s="692" t="s">
        <v>4060</v>
      </c>
      <c r="K278" s="692" t="s">
        <v>4060</v>
      </c>
    </row>
    <row r="279" spans="1:11">
      <c r="A279" s="688" t="s">
        <v>2491</v>
      </c>
      <c r="B279" s="693">
        <v>70</v>
      </c>
      <c r="C279" s="689">
        <v>70.599999999999994</v>
      </c>
      <c r="D279" s="689">
        <v>71.2</v>
      </c>
      <c r="E279" s="689">
        <v>71.5</v>
      </c>
      <c r="F279" s="689">
        <v>71.7</v>
      </c>
      <c r="G279" s="689">
        <v>71.8</v>
      </c>
      <c r="H279" s="690" t="s">
        <v>4060</v>
      </c>
      <c r="I279" s="690" t="s">
        <v>4060</v>
      </c>
      <c r="J279" s="690" t="s">
        <v>4060</v>
      </c>
      <c r="K279" s="690" t="s">
        <v>4060</v>
      </c>
    </row>
    <row r="280" spans="1:11">
      <c r="A280" s="688" t="s">
        <v>2343</v>
      </c>
      <c r="B280" s="692" t="s">
        <v>4060</v>
      </c>
      <c r="C280" s="692" t="s">
        <v>4060</v>
      </c>
      <c r="D280" s="692" t="s">
        <v>4060</v>
      </c>
      <c r="E280" s="692" t="s">
        <v>4060</v>
      </c>
      <c r="F280" s="692" t="s">
        <v>4060</v>
      </c>
      <c r="G280" s="692" t="s">
        <v>4060</v>
      </c>
      <c r="H280" s="692" t="s">
        <v>4060</v>
      </c>
      <c r="I280" s="692" t="s">
        <v>4060</v>
      </c>
      <c r="J280" s="692" t="s">
        <v>4060</v>
      </c>
      <c r="K280" s="692" t="s">
        <v>4060</v>
      </c>
    </row>
    <row r="281" spans="1:11">
      <c r="A281" s="688" t="s">
        <v>4071</v>
      </c>
      <c r="B281" s="690" t="s">
        <v>4060</v>
      </c>
      <c r="C281" s="690" t="s">
        <v>4060</v>
      </c>
      <c r="D281" s="690" t="s">
        <v>4060</v>
      </c>
      <c r="E281" s="690" t="s">
        <v>4060</v>
      </c>
      <c r="F281" s="690" t="s">
        <v>4060</v>
      </c>
      <c r="G281" s="690" t="s">
        <v>4060</v>
      </c>
      <c r="H281" s="690" t="s">
        <v>4060</v>
      </c>
      <c r="I281" s="690" t="s">
        <v>4060</v>
      </c>
      <c r="J281" s="690" t="s">
        <v>4060</v>
      </c>
      <c r="K281" s="690" t="s">
        <v>4060</v>
      </c>
    </row>
    <row r="282" spans="1:11">
      <c r="A282" s="688" t="s">
        <v>2489</v>
      </c>
      <c r="B282" s="692" t="s">
        <v>4060</v>
      </c>
      <c r="C282" s="692" t="s">
        <v>4060</v>
      </c>
      <c r="D282" s="691">
        <v>72.8</v>
      </c>
      <c r="E282" s="691">
        <v>72.8</v>
      </c>
      <c r="F282" s="691">
        <v>73.5</v>
      </c>
      <c r="G282" s="691">
        <v>74.400000000000006</v>
      </c>
      <c r="H282" s="691">
        <v>74.099999999999994</v>
      </c>
      <c r="I282" s="692" t="s">
        <v>4060</v>
      </c>
      <c r="J282" s="692" t="s">
        <v>4060</v>
      </c>
      <c r="K282" s="692" t="s">
        <v>4060</v>
      </c>
    </row>
    <row r="283" spans="1:11">
      <c r="A283" s="688" t="s">
        <v>2490</v>
      </c>
      <c r="B283" s="689">
        <v>72.599999999999994</v>
      </c>
      <c r="C283" s="689">
        <v>72.599999999999994</v>
      </c>
      <c r="D283" s="689">
        <v>73.3</v>
      </c>
      <c r="E283" s="690" t="s">
        <v>4060</v>
      </c>
      <c r="F283" s="689">
        <v>73.5</v>
      </c>
      <c r="G283" s="689">
        <v>73.900000000000006</v>
      </c>
      <c r="H283" s="689">
        <v>74.5</v>
      </c>
      <c r="I283" s="690" t="s">
        <v>4060</v>
      </c>
      <c r="J283" s="690" t="s">
        <v>4060</v>
      </c>
      <c r="K283" s="690" t="s">
        <v>4060</v>
      </c>
    </row>
    <row r="285" spans="1:11">
      <c r="A285" s="683" t="s">
        <v>4233</v>
      </c>
    </row>
    <row r="286" spans="1:11">
      <c r="A286" s="683" t="s">
        <v>4060</v>
      </c>
      <c r="B286" s="682" t="s">
        <v>4234</v>
      </c>
    </row>
    <row r="288" spans="1:11">
      <c r="A288" s="682" t="s">
        <v>4209</v>
      </c>
    </row>
    <row r="289" spans="1:11">
      <c r="A289" s="682" t="s">
        <v>4210</v>
      </c>
      <c r="B289" s="683" t="s">
        <v>4211</v>
      </c>
    </row>
    <row r="290" spans="1:11">
      <c r="A290" s="682" t="s">
        <v>4212</v>
      </c>
      <c r="B290" s="682" t="s">
        <v>4213</v>
      </c>
    </row>
    <row r="292" spans="1:11">
      <c r="A292" s="683" t="s">
        <v>4214</v>
      </c>
      <c r="C292" s="682" t="s">
        <v>4215</v>
      </c>
    </row>
    <row r="293" spans="1:11">
      <c r="A293" s="683" t="s">
        <v>4216</v>
      </c>
      <c r="C293" s="682" t="s">
        <v>2967</v>
      </c>
    </row>
    <row r="294" spans="1:11">
      <c r="A294" s="683" t="s">
        <v>3893</v>
      </c>
      <c r="C294" s="682" t="s">
        <v>4217</v>
      </c>
    </row>
    <row r="295" spans="1:11">
      <c r="A295" s="683" t="s">
        <v>4218</v>
      </c>
      <c r="C295" s="682" t="s">
        <v>4238</v>
      </c>
    </row>
    <row r="297" spans="1:11">
      <c r="A297" s="684" t="s">
        <v>4220</v>
      </c>
      <c r="B297" s="685" t="s">
        <v>4221</v>
      </c>
      <c r="C297" s="685" t="s">
        <v>4222</v>
      </c>
      <c r="D297" s="685" t="s">
        <v>4223</v>
      </c>
      <c r="E297" s="685" t="s">
        <v>4224</v>
      </c>
      <c r="F297" s="685" t="s">
        <v>4225</v>
      </c>
      <c r="G297" s="685" t="s">
        <v>4226</v>
      </c>
      <c r="H297" s="685" t="s">
        <v>4227</v>
      </c>
      <c r="I297" s="685" t="s">
        <v>4228</v>
      </c>
      <c r="J297" s="685" t="s">
        <v>4229</v>
      </c>
      <c r="K297" s="685" t="s">
        <v>4230</v>
      </c>
    </row>
    <row r="298" spans="1:11">
      <c r="A298" s="686" t="s">
        <v>4231</v>
      </c>
      <c r="B298" s="687" t="s">
        <v>4232</v>
      </c>
      <c r="C298" s="687" t="s">
        <v>4232</v>
      </c>
      <c r="D298" s="687" t="s">
        <v>4232</v>
      </c>
      <c r="E298" s="687" t="s">
        <v>4232</v>
      </c>
      <c r="F298" s="687" t="s">
        <v>4232</v>
      </c>
      <c r="G298" s="687" t="s">
        <v>4232</v>
      </c>
      <c r="H298" s="687" t="s">
        <v>4232</v>
      </c>
      <c r="I298" s="687" t="s">
        <v>4232</v>
      </c>
      <c r="J298" s="687" t="s">
        <v>4232</v>
      </c>
      <c r="K298" s="687" t="s">
        <v>4232</v>
      </c>
    </row>
    <row r="299" spans="1:11">
      <c r="A299" s="688" t="s">
        <v>4064</v>
      </c>
      <c r="B299" s="689">
        <v>76.8</v>
      </c>
      <c r="C299" s="689">
        <v>76.900000000000006</v>
      </c>
      <c r="D299" s="689">
        <v>76.900000000000006</v>
      </c>
      <c r="E299" s="693">
        <v>77</v>
      </c>
      <c r="F299" s="693">
        <v>77</v>
      </c>
      <c r="G299" s="689">
        <v>77.099999999999994</v>
      </c>
      <c r="H299" s="689">
        <v>77.400000000000006</v>
      </c>
      <c r="I299" s="689">
        <v>76.599999999999994</v>
      </c>
      <c r="J299" s="689">
        <v>76.3</v>
      </c>
      <c r="K299" s="689">
        <v>76.900000000000006</v>
      </c>
    </row>
    <row r="300" spans="1:11">
      <c r="A300" s="688" t="s">
        <v>4065</v>
      </c>
      <c r="B300" s="691">
        <v>76.900000000000006</v>
      </c>
      <c r="C300" s="691">
        <v>77.3</v>
      </c>
      <c r="D300" s="691">
        <v>76.900000000000006</v>
      </c>
      <c r="E300" s="691">
        <v>77.3</v>
      </c>
      <c r="F300" s="691">
        <v>77.3</v>
      </c>
      <c r="G300" s="691">
        <v>77.3</v>
      </c>
      <c r="H300" s="692" t="s">
        <v>4060</v>
      </c>
      <c r="I300" s="692" t="s">
        <v>4060</v>
      </c>
      <c r="J300" s="692" t="s">
        <v>4060</v>
      </c>
      <c r="K300" s="692" t="s">
        <v>4060</v>
      </c>
    </row>
    <row r="301" spans="1:11">
      <c r="A301" s="688" t="s">
        <v>4063</v>
      </c>
      <c r="B301" s="689">
        <v>76.900000000000006</v>
      </c>
      <c r="C301" s="689">
        <v>77.3</v>
      </c>
      <c r="D301" s="693">
        <v>77</v>
      </c>
      <c r="E301" s="689">
        <v>77.3</v>
      </c>
      <c r="F301" s="689">
        <v>77.3</v>
      </c>
      <c r="G301" s="689">
        <v>77.400000000000006</v>
      </c>
      <c r="H301" s="690" t="s">
        <v>4060</v>
      </c>
      <c r="I301" s="690" t="s">
        <v>4060</v>
      </c>
      <c r="J301" s="690" t="s">
        <v>4060</v>
      </c>
      <c r="K301" s="690" t="s">
        <v>4060</v>
      </c>
    </row>
    <row r="302" spans="1:11">
      <c r="A302" s="688" t="s">
        <v>4069</v>
      </c>
      <c r="B302" s="692" t="s">
        <v>4060</v>
      </c>
      <c r="C302" s="691">
        <v>77.900000000000006</v>
      </c>
      <c r="D302" s="691">
        <v>77.7</v>
      </c>
      <c r="E302" s="615">
        <v>78</v>
      </c>
      <c r="F302" s="615">
        <v>78</v>
      </c>
      <c r="G302" s="691">
        <v>78.099999999999994</v>
      </c>
      <c r="H302" s="691">
        <v>78.400000000000006</v>
      </c>
      <c r="I302" s="691">
        <v>77.7</v>
      </c>
      <c r="J302" s="691">
        <v>77.7</v>
      </c>
      <c r="K302" s="691">
        <v>77.8</v>
      </c>
    </row>
    <row r="303" spans="1:11">
      <c r="A303" s="688" t="s">
        <v>4068</v>
      </c>
      <c r="B303" s="689">
        <v>77.900000000000006</v>
      </c>
      <c r="C303" s="690" t="s">
        <v>4060</v>
      </c>
      <c r="D303" s="690" t="s">
        <v>4060</v>
      </c>
      <c r="E303" s="690" t="s">
        <v>4060</v>
      </c>
      <c r="F303" s="690" t="s">
        <v>4060</v>
      </c>
      <c r="G303" s="690" t="s">
        <v>4060</v>
      </c>
      <c r="H303" s="690" t="s">
        <v>4060</v>
      </c>
      <c r="I303" s="690" t="s">
        <v>4060</v>
      </c>
      <c r="J303" s="690" t="s">
        <v>4060</v>
      </c>
      <c r="K303" s="690" t="s">
        <v>4060</v>
      </c>
    </row>
    <row r="304" spans="1:11">
      <c r="A304" s="688" t="s">
        <v>0</v>
      </c>
      <c r="B304" s="615">
        <v>77</v>
      </c>
      <c r="C304" s="691">
        <v>77.400000000000006</v>
      </c>
      <c r="D304" s="691">
        <v>77.2</v>
      </c>
      <c r="E304" s="691">
        <v>77.599999999999994</v>
      </c>
      <c r="F304" s="691">
        <v>77.7</v>
      </c>
      <c r="G304" s="691">
        <v>77.8</v>
      </c>
      <c r="H304" s="691">
        <v>78.2</v>
      </c>
      <c r="I304" s="691">
        <v>77.099999999999994</v>
      </c>
      <c r="J304" s="615">
        <v>78</v>
      </c>
      <c r="K304" s="615">
        <v>78</v>
      </c>
    </row>
    <row r="305" spans="1:11">
      <c r="A305" s="688" t="s">
        <v>1</v>
      </c>
      <c r="B305" s="689">
        <v>71.599999999999994</v>
      </c>
      <c r="C305" s="689">
        <v>71.099999999999994</v>
      </c>
      <c r="D305" s="689">
        <v>71.099999999999994</v>
      </c>
      <c r="E305" s="689">
        <v>71.3</v>
      </c>
      <c r="F305" s="689">
        <v>71.2</v>
      </c>
      <c r="G305" s="689">
        <v>71.3</v>
      </c>
      <c r="H305" s="689">
        <v>71.3</v>
      </c>
      <c r="I305" s="689">
        <v>69.8</v>
      </c>
      <c r="J305" s="689">
        <v>67.7</v>
      </c>
      <c r="K305" s="689">
        <v>70.599999999999994</v>
      </c>
    </row>
    <row r="306" spans="1:11">
      <c r="A306" s="688" t="s">
        <v>2240</v>
      </c>
      <c r="B306" s="691">
        <v>74.5</v>
      </c>
      <c r="C306" s="615">
        <v>75</v>
      </c>
      <c r="D306" s="691">
        <v>74.8</v>
      </c>
      <c r="E306" s="691">
        <v>75.3</v>
      </c>
      <c r="F306" s="691">
        <v>75.2</v>
      </c>
      <c r="G306" s="691">
        <v>75.2</v>
      </c>
      <c r="H306" s="691">
        <v>75.5</v>
      </c>
      <c r="I306" s="691">
        <v>74.5</v>
      </c>
      <c r="J306" s="691">
        <v>73.400000000000006</v>
      </c>
      <c r="K306" s="691">
        <v>75.2</v>
      </c>
    </row>
    <row r="307" spans="1:11">
      <c r="A307" s="688" t="s">
        <v>2</v>
      </c>
      <c r="B307" s="689">
        <v>76.7</v>
      </c>
      <c r="C307" s="693">
        <v>77</v>
      </c>
      <c r="D307" s="689">
        <v>77.099999999999994</v>
      </c>
      <c r="E307" s="689">
        <v>77.2</v>
      </c>
      <c r="F307" s="689">
        <v>77.5</v>
      </c>
      <c r="G307" s="689">
        <v>77.3</v>
      </c>
      <c r="H307" s="689">
        <v>77.7</v>
      </c>
      <c r="I307" s="689">
        <v>77.8</v>
      </c>
      <c r="J307" s="689">
        <v>77.7</v>
      </c>
      <c r="K307" s="689">
        <v>77.599999999999994</v>
      </c>
    </row>
    <row r="308" spans="1:11">
      <c r="A308" s="688" t="s">
        <v>3</v>
      </c>
      <c r="B308" s="691">
        <v>76.900000000000006</v>
      </c>
      <c r="C308" s="691">
        <v>77.2</v>
      </c>
      <c r="D308" s="691">
        <v>76.900000000000006</v>
      </c>
      <c r="E308" s="691">
        <v>77.2</v>
      </c>
      <c r="F308" s="691">
        <v>77.3</v>
      </c>
      <c r="G308" s="691">
        <v>77.2</v>
      </c>
      <c r="H308" s="691">
        <v>77.5</v>
      </c>
      <c r="I308" s="691">
        <v>77.3</v>
      </c>
      <c r="J308" s="615">
        <v>77</v>
      </c>
      <c r="K308" s="691">
        <v>76.8</v>
      </c>
    </row>
    <row r="309" spans="1:11">
      <c r="A309" s="688" t="s">
        <v>4061</v>
      </c>
      <c r="B309" s="689">
        <v>76.900000000000006</v>
      </c>
      <c r="C309" s="689">
        <v>77.2</v>
      </c>
      <c r="D309" s="689">
        <v>76.900000000000006</v>
      </c>
      <c r="E309" s="689">
        <v>77.2</v>
      </c>
      <c r="F309" s="689">
        <v>77.3</v>
      </c>
      <c r="G309" s="689">
        <v>77.2</v>
      </c>
      <c r="H309" s="689">
        <v>77.5</v>
      </c>
      <c r="I309" s="689">
        <v>77.3</v>
      </c>
      <c r="J309" s="693">
        <v>77</v>
      </c>
      <c r="K309" s="689">
        <v>76.8</v>
      </c>
    </row>
    <row r="310" spans="1:11">
      <c r="A310" s="688" t="s">
        <v>4</v>
      </c>
      <c r="B310" s="691">
        <v>73.8</v>
      </c>
      <c r="C310" s="691">
        <v>73.400000000000006</v>
      </c>
      <c r="D310" s="691">
        <v>73.900000000000006</v>
      </c>
      <c r="E310" s="615">
        <v>74</v>
      </c>
      <c r="F310" s="691">
        <v>74.400000000000006</v>
      </c>
      <c r="G310" s="691">
        <v>74.5</v>
      </c>
      <c r="H310" s="615">
        <v>75</v>
      </c>
      <c r="I310" s="691">
        <v>74.900000000000006</v>
      </c>
      <c r="J310" s="691">
        <v>73.400000000000006</v>
      </c>
      <c r="K310" s="691">
        <v>74.2</v>
      </c>
    </row>
    <row r="311" spans="1:11">
      <c r="A311" s="688" t="s">
        <v>8</v>
      </c>
      <c r="B311" s="689">
        <v>77.400000000000006</v>
      </c>
      <c r="C311" s="689">
        <v>77.599999999999994</v>
      </c>
      <c r="D311" s="689">
        <v>77.7</v>
      </c>
      <c r="E311" s="689">
        <v>77.8</v>
      </c>
      <c r="F311" s="689">
        <v>78.3</v>
      </c>
      <c r="G311" s="689">
        <v>78.3</v>
      </c>
      <c r="H311" s="689">
        <v>78.7</v>
      </c>
      <c r="I311" s="689">
        <v>78.599999999999994</v>
      </c>
      <c r="J311" s="689">
        <v>78.400000000000006</v>
      </c>
      <c r="K311" s="689">
        <v>78.599999999999994</v>
      </c>
    </row>
    <row r="312" spans="1:11">
      <c r="A312" s="688" t="s">
        <v>7</v>
      </c>
      <c r="B312" s="691">
        <v>77.7</v>
      </c>
      <c r="C312" s="691">
        <v>77.3</v>
      </c>
      <c r="D312" s="691">
        <v>77.099999999999994</v>
      </c>
      <c r="E312" s="691">
        <v>77.400000000000006</v>
      </c>
      <c r="F312" s="691">
        <v>77.3</v>
      </c>
      <c r="G312" s="691">
        <v>77.8</v>
      </c>
      <c r="H312" s="691">
        <v>77.8</v>
      </c>
      <c r="I312" s="691">
        <v>77.400000000000006</v>
      </c>
      <c r="J312" s="691">
        <v>76.400000000000006</v>
      </c>
      <c r="K312" s="691">
        <v>77.099999999999994</v>
      </c>
    </row>
    <row r="313" spans="1:11">
      <c r="A313" s="688" t="s">
        <v>27</v>
      </c>
      <c r="B313" s="689">
        <v>79.400000000000006</v>
      </c>
      <c r="C313" s="689">
        <v>79.2</v>
      </c>
      <c r="D313" s="689">
        <v>78.900000000000006</v>
      </c>
      <c r="E313" s="689">
        <v>79.3</v>
      </c>
      <c r="F313" s="689">
        <v>79.3</v>
      </c>
      <c r="G313" s="689">
        <v>79.400000000000006</v>
      </c>
      <c r="H313" s="689">
        <v>79.8</v>
      </c>
      <c r="I313" s="689">
        <v>78.5</v>
      </c>
      <c r="J313" s="689">
        <v>79.3</v>
      </c>
      <c r="K313" s="689">
        <v>79.3</v>
      </c>
    </row>
    <row r="314" spans="1:11">
      <c r="A314" s="688" t="s">
        <v>6</v>
      </c>
      <c r="B314" s="691">
        <v>78.7</v>
      </c>
      <c r="C314" s="691">
        <v>78.7</v>
      </c>
      <c r="D314" s="691">
        <v>78.5</v>
      </c>
      <c r="E314" s="691">
        <v>78.7</v>
      </c>
      <c r="F314" s="691">
        <v>78.8</v>
      </c>
      <c r="G314" s="691">
        <v>78.900000000000006</v>
      </c>
      <c r="H314" s="691">
        <v>79.099999999999994</v>
      </c>
      <c r="I314" s="691">
        <v>78.5</v>
      </c>
      <c r="J314" s="691">
        <v>78.599999999999994</v>
      </c>
      <c r="K314" s="691">
        <v>78.599999999999994</v>
      </c>
    </row>
    <row r="315" spans="1:11">
      <c r="A315" s="688" t="s">
        <v>4058</v>
      </c>
      <c r="B315" s="690" t="s">
        <v>4060</v>
      </c>
      <c r="C315" s="690" t="s">
        <v>4060</v>
      </c>
      <c r="D315" s="690" t="s">
        <v>4060</v>
      </c>
      <c r="E315" s="690" t="s">
        <v>4060</v>
      </c>
      <c r="F315" s="690" t="s">
        <v>4060</v>
      </c>
      <c r="G315" s="690" t="s">
        <v>4060</v>
      </c>
      <c r="H315" s="690" t="s">
        <v>4060</v>
      </c>
      <c r="I315" s="690" t="s">
        <v>4060</v>
      </c>
      <c r="J315" s="690" t="s">
        <v>4060</v>
      </c>
      <c r="K315" s="690" t="s">
        <v>4060</v>
      </c>
    </row>
    <row r="316" spans="1:11">
      <c r="A316" s="688" t="s">
        <v>11</v>
      </c>
      <c r="B316" s="691">
        <v>74.099999999999994</v>
      </c>
      <c r="C316" s="691">
        <v>74.2</v>
      </c>
      <c r="D316" s="691">
        <v>73.7</v>
      </c>
      <c r="E316" s="691">
        <v>74.400000000000006</v>
      </c>
      <c r="F316" s="691">
        <v>74.2</v>
      </c>
      <c r="G316" s="691">
        <v>74.400000000000006</v>
      </c>
      <c r="H316" s="691">
        <v>74.599999999999994</v>
      </c>
      <c r="I316" s="691">
        <v>73.900000000000006</v>
      </c>
      <c r="J316" s="691">
        <v>72.900000000000006</v>
      </c>
      <c r="K316" s="615">
        <v>74</v>
      </c>
    </row>
    <row r="317" spans="1:11">
      <c r="A317" s="688" t="s">
        <v>10</v>
      </c>
      <c r="B317" s="689">
        <v>79.099999999999994</v>
      </c>
      <c r="C317" s="689">
        <v>79.099999999999994</v>
      </c>
      <c r="D317" s="689">
        <v>78.7</v>
      </c>
      <c r="E317" s="689">
        <v>79.3</v>
      </c>
      <c r="F317" s="689">
        <v>79.099999999999994</v>
      </c>
      <c r="G317" s="689">
        <v>79.400000000000006</v>
      </c>
      <c r="H317" s="689">
        <v>79.599999999999994</v>
      </c>
      <c r="I317" s="689">
        <v>78.5</v>
      </c>
      <c r="J317" s="689">
        <v>78.8</v>
      </c>
      <c r="K317" s="693">
        <v>79</v>
      </c>
    </row>
    <row r="318" spans="1:11">
      <c r="A318" s="688" t="s">
        <v>30</v>
      </c>
      <c r="B318" s="691">
        <v>78.7</v>
      </c>
      <c r="C318" s="691">
        <v>78.5</v>
      </c>
      <c r="D318" s="691">
        <v>78.099999999999994</v>
      </c>
      <c r="E318" s="615">
        <v>79</v>
      </c>
      <c r="F318" s="691">
        <v>78.599999999999994</v>
      </c>
      <c r="G318" s="691">
        <v>79.2</v>
      </c>
      <c r="H318" s="691">
        <v>78.900000000000006</v>
      </c>
      <c r="I318" s="691">
        <v>78.900000000000006</v>
      </c>
      <c r="J318" s="615">
        <v>78</v>
      </c>
      <c r="K318" s="691">
        <v>78.5</v>
      </c>
    </row>
    <row r="319" spans="1:11">
      <c r="A319" s="688" t="s">
        <v>12</v>
      </c>
      <c r="B319" s="689">
        <v>70.7</v>
      </c>
      <c r="C319" s="689">
        <v>70.7</v>
      </c>
      <c r="D319" s="693">
        <v>71</v>
      </c>
      <c r="E319" s="689">
        <v>71.099999999999994</v>
      </c>
      <c r="F319" s="689">
        <v>71.2</v>
      </c>
      <c r="G319" s="689">
        <v>71.2</v>
      </c>
      <c r="H319" s="689">
        <v>71.900000000000006</v>
      </c>
      <c r="I319" s="689">
        <v>71.7</v>
      </c>
      <c r="J319" s="689">
        <v>69.400000000000006</v>
      </c>
      <c r="K319" s="689">
        <v>70.7</v>
      </c>
    </row>
    <row r="320" spans="1:11">
      <c r="A320" s="688" t="s">
        <v>14</v>
      </c>
      <c r="B320" s="691">
        <v>70.5</v>
      </c>
      <c r="C320" s="691">
        <v>70.900000000000006</v>
      </c>
      <c r="D320" s="691">
        <v>70.8</v>
      </c>
      <c r="E320" s="691">
        <v>71.2</v>
      </c>
      <c r="F320" s="691">
        <v>71.900000000000006</v>
      </c>
      <c r="G320" s="691">
        <v>72.2</v>
      </c>
      <c r="H320" s="691">
        <v>72.599999999999994</v>
      </c>
      <c r="I320" s="691">
        <v>71.400000000000006</v>
      </c>
      <c r="J320" s="691">
        <v>70.5</v>
      </c>
      <c r="K320" s="691">
        <v>72.099999999999994</v>
      </c>
    </row>
    <row r="321" spans="1:11">
      <c r="A321" s="688" t="s">
        <v>15</v>
      </c>
      <c r="B321" s="689">
        <v>78.2</v>
      </c>
      <c r="C321" s="689">
        <v>78.099999999999994</v>
      </c>
      <c r="D321" s="689">
        <v>78.3</v>
      </c>
      <c r="E321" s="689">
        <v>78.7</v>
      </c>
      <c r="F321" s="689">
        <v>78.099999999999994</v>
      </c>
      <c r="G321" s="689">
        <v>78.5</v>
      </c>
      <c r="H321" s="689">
        <v>78.900000000000006</v>
      </c>
      <c r="I321" s="689">
        <v>78.400000000000006</v>
      </c>
      <c r="J321" s="689">
        <v>78.8</v>
      </c>
      <c r="K321" s="689">
        <v>79.099999999999994</v>
      </c>
    </row>
    <row r="322" spans="1:11">
      <c r="A322" s="688" t="s">
        <v>29</v>
      </c>
      <c r="B322" s="691">
        <v>72.2</v>
      </c>
      <c r="C322" s="691">
        <v>72.2</v>
      </c>
      <c r="D322" s="615">
        <v>72</v>
      </c>
      <c r="E322" s="691">
        <v>72.400000000000006</v>
      </c>
      <c r="F322" s="691">
        <v>72.2</v>
      </c>
      <c r="G322" s="691">
        <v>72.400000000000006</v>
      </c>
      <c r="H322" s="691">
        <v>72.599999999999994</v>
      </c>
      <c r="I322" s="691">
        <v>71.900000000000006</v>
      </c>
      <c r="J322" s="691">
        <v>70.400000000000006</v>
      </c>
      <c r="K322" s="691">
        <v>72.2</v>
      </c>
    </row>
    <row r="323" spans="1:11">
      <c r="A323" s="688" t="s">
        <v>16</v>
      </c>
      <c r="B323" s="689">
        <v>78.400000000000006</v>
      </c>
      <c r="C323" s="689">
        <v>78.2</v>
      </c>
      <c r="D323" s="689">
        <v>78.3</v>
      </c>
      <c r="E323" s="689">
        <v>78.8</v>
      </c>
      <c r="F323" s="689">
        <v>78.599999999999994</v>
      </c>
      <c r="G323" s="689">
        <v>78.599999999999994</v>
      </c>
      <c r="H323" s="693">
        <v>79</v>
      </c>
      <c r="I323" s="689">
        <v>78.3</v>
      </c>
      <c r="J323" s="689">
        <v>78.400000000000006</v>
      </c>
      <c r="K323" s="689">
        <v>78.5</v>
      </c>
    </row>
    <row r="324" spans="1:11">
      <c r="A324" s="688" t="s">
        <v>17</v>
      </c>
      <c r="B324" s="691">
        <v>77.8</v>
      </c>
      <c r="C324" s="615">
        <v>78</v>
      </c>
      <c r="D324" s="691">
        <v>77.8</v>
      </c>
      <c r="E324" s="691">
        <v>77.900000000000006</v>
      </c>
      <c r="F324" s="691">
        <v>78.099999999999994</v>
      </c>
      <c r="G324" s="691">
        <v>78.099999999999994</v>
      </c>
      <c r="H324" s="691">
        <v>78.400000000000006</v>
      </c>
      <c r="I324" s="691">
        <v>77.7</v>
      </c>
      <c r="J324" s="691">
        <v>77.7</v>
      </c>
      <c r="K324" s="691">
        <v>77.900000000000006</v>
      </c>
    </row>
    <row r="325" spans="1:11">
      <c r="A325" s="688" t="s">
        <v>19</v>
      </c>
      <c r="B325" s="689">
        <v>77.599999999999994</v>
      </c>
      <c r="C325" s="689">
        <v>77.7</v>
      </c>
      <c r="D325" s="689">
        <v>77.5</v>
      </c>
      <c r="E325" s="689">
        <v>77.900000000000006</v>
      </c>
      <c r="F325" s="689">
        <v>77.900000000000006</v>
      </c>
      <c r="G325" s="693">
        <v>78</v>
      </c>
      <c r="H325" s="689">
        <v>78.2</v>
      </c>
      <c r="I325" s="689">
        <v>77.599999999999994</v>
      </c>
      <c r="J325" s="689">
        <v>77.5</v>
      </c>
      <c r="K325" s="689">
        <v>77.7</v>
      </c>
    </row>
    <row r="326" spans="1:11">
      <c r="A326" s="688" t="s">
        <v>20</v>
      </c>
      <c r="B326" s="691">
        <v>73.5</v>
      </c>
      <c r="C326" s="691">
        <v>73.900000000000006</v>
      </c>
      <c r="D326" s="691">
        <v>73.7</v>
      </c>
      <c r="E326" s="691">
        <v>74.099999999999994</v>
      </c>
      <c r="F326" s="615">
        <v>74</v>
      </c>
      <c r="G326" s="691">
        <v>73.900000000000006</v>
      </c>
      <c r="H326" s="691">
        <v>74.2</v>
      </c>
      <c r="I326" s="691">
        <v>72.7</v>
      </c>
      <c r="J326" s="691">
        <v>71.7</v>
      </c>
      <c r="K326" s="691">
        <v>73.400000000000006</v>
      </c>
    </row>
    <row r="327" spans="1:11">
      <c r="A327" s="688" t="s">
        <v>21</v>
      </c>
      <c r="B327" s="689">
        <v>77.2</v>
      </c>
      <c r="C327" s="689">
        <v>77.599999999999994</v>
      </c>
      <c r="D327" s="689">
        <v>77.599999999999994</v>
      </c>
      <c r="E327" s="689">
        <v>77.7</v>
      </c>
      <c r="F327" s="689">
        <v>77.900000000000006</v>
      </c>
      <c r="G327" s="689">
        <v>77.900000000000006</v>
      </c>
      <c r="H327" s="689">
        <v>78.2</v>
      </c>
      <c r="I327" s="689">
        <v>77.599999999999994</v>
      </c>
      <c r="J327" s="689">
        <v>77.599999999999994</v>
      </c>
      <c r="K327" s="689">
        <v>77.900000000000006</v>
      </c>
    </row>
    <row r="328" spans="1:11">
      <c r="A328" s="688" t="s">
        <v>22</v>
      </c>
      <c r="B328" s="691">
        <v>71.900000000000006</v>
      </c>
      <c r="C328" s="691">
        <v>71.599999999999994</v>
      </c>
      <c r="D328" s="691">
        <v>71.5</v>
      </c>
      <c r="E328" s="691">
        <v>71.8</v>
      </c>
      <c r="F328" s="691">
        <v>71.8</v>
      </c>
      <c r="G328" s="691">
        <v>71.8</v>
      </c>
      <c r="H328" s="691">
        <v>72.099999999999994</v>
      </c>
      <c r="I328" s="691">
        <v>70.599999999999994</v>
      </c>
      <c r="J328" s="691">
        <v>69.2</v>
      </c>
      <c r="K328" s="691">
        <v>71.599999999999994</v>
      </c>
    </row>
    <row r="329" spans="1:11">
      <c r="A329" s="688" t="s">
        <v>26</v>
      </c>
      <c r="B329" s="689">
        <v>76.7</v>
      </c>
      <c r="C329" s="689">
        <v>77.099999999999994</v>
      </c>
      <c r="D329" s="689">
        <v>76.8</v>
      </c>
      <c r="E329" s="689">
        <v>77.2</v>
      </c>
      <c r="F329" s="689">
        <v>77.099999999999994</v>
      </c>
      <c r="G329" s="689">
        <v>77.400000000000006</v>
      </c>
      <c r="H329" s="689">
        <v>77.599999999999994</v>
      </c>
      <c r="I329" s="689">
        <v>76.7</v>
      </c>
      <c r="J329" s="689">
        <v>76.8</v>
      </c>
      <c r="K329" s="689">
        <v>77.400000000000006</v>
      </c>
    </row>
    <row r="330" spans="1:11">
      <c r="A330" s="688" t="s">
        <v>25</v>
      </c>
      <c r="B330" s="691">
        <v>73.099999999999994</v>
      </c>
      <c r="C330" s="691">
        <v>73.400000000000006</v>
      </c>
      <c r="D330" s="691">
        <v>73.2</v>
      </c>
      <c r="E330" s="691">
        <v>73.7</v>
      </c>
      <c r="F330" s="691">
        <v>73.7</v>
      </c>
      <c r="G330" s="691">
        <v>73.8</v>
      </c>
      <c r="H330" s="691">
        <v>74.2</v>
      </c>
      <c r="I330" s="691">
        <v>73.400000000000006</v>
      </c>
      <c r="J330" s="691">
        <v>71.099999999999994</v>
      </c>
      <c r="K330" s="691">
        <v>73.5</v>
      </c>
    </row>
    <row r="331" spans="1:11">
      <c r="A331" s="688" t="s">
        <v>5</v>
      </c>
      <c r="B331" s="689">
        <v>77.3</v>
      </c>
      <c r="C331" s="689">
        <v>77.3</v>
      </c>
      <c r="D331" s="689">
        <v>77.5</v>
      </c>
      <c r="E331" s="689">
        <v>77.5</v>
      </c>
      <c r="F331" s="689">
        <v>77.7</v>
      </c>
      <c r="G331" s="689">
        <v>77.8</v>
      </c>
      <c r="H331" s="689">
        <v>78.099999999999994</v>
      </c>
      <c r="I331" s="693">
        <v>78</v>
      </c>
      <c r="J331" s="693">
        <v>78</v>
      </c>
      <c r="K331" s="689">
        <v>77.400000000000006</v>
      </c>
    </row>
    <row r="332" spans="1:11">
      <c r="A332" s="688" t="s">
        <v>23</v>
      </c>
      <c r="B332" s="691">
        <v>78.3</v>
      </c>
      <c r="C332" s="691">
        <v>78.400000000000006</v>
      </c>
      <c r="D332" s="691">
        <v>78.400000000000006</v>
      </c>
      <c r="E332" s="691">
        <v>78.599999999999994</v>
      </c>
      <c r="F332" s="691">
        <v>78.7</v>
      </c>
      <c r="G332" s="691">
        <v>78.7</v>
      </c>
      <c r="H332" s="691">
        <v>79.3</v>
      </c>
      <c r="I332" s="691">
        <v>78.7</v>
      </c>
      <c r="J332" s="691">
        <v>79.2</v>
      </c>
      <c r="K332" s="691">
        <v>79.2</v>
      </c>
    </row>
    <row r="333" spans="1:11">
      <c r="A333" s="688" t="s">
        <v>4067</v>
      </c>
      <c r="B333" s="689">
        <v>76.900000000000006</v>
      </c>
      <c r="C333" s="689">
        <v>77.3</v>
      </c>
      <c r="D333" s="689">
        <v>76.900000000000006</v>
      </c>
      <c r="E333" s="689">
        <v>77.3</v>
      </c>
      <c r="F333" s="689">
        <v>77.3</v>
      </c>
      <c r="G333" s="689">
        <v>77.400000000000006</v>
      </c>
      <c r="H333" s="690" t="s">
        <v>4060</v>
      </c>
      <c r="I333" s="690" t="s">
        <v>4060</v>
      </c>
      <c r="J333" s="690" t="s">
        <v>4060</v>
      </c>
      <c r="K333" s="690" t="s">
        <v>4060</v>
      </c>
    </row>
    <row r="334" spans="1:11">
      <c r="A334" s="688" t="s">
        <v>4066</v>
      </c>
      <c r="B334" s="691">
        <v>76.900000000000006</v>
      </c>
      <c r="C334" s="691">
        <v>77.3</v>
      </c>
      <c r="D334" s="615">
        <v>77</v>
      </c>
      <c r="E334" s="691">
        <v>77.3</v>
      </c>
      <c r="F334" s="691">
        <v>77.3</v>
      </c>
      <c r="G334" s="691">
        <v>77.400000000000006</v>
      </c>
      <c r="H334" s="692" t="s">
        <v>4060</v>
      </c>
      <c r="I334" s="692" t="s">
        <v>4060</v>
      </c>
      <c r="J334" s="692" t="s">
        <v>4060</v>
      </c>
      <c r="K334" s="692" t="s">
        <v>4060</v>
      </c>
    </row>
    <row r="335" spans="1:11">
      <c r="A335" s="688" t="s">
        <v>4062</v>
      </c>
      <c r="B335" s="689">
        <v>78.8</v>
      </c>
      <c r="C335" s="693">
        <v>79</v>
      </c>
      <c r="D335" s="693">
        <v>79</v>
      </c>
      <c r="E335" s="689">
        <v>79.3</v>
      </c>
      <c r="F335" s="689">
        <v>79.400000000000006</v>
      </c>
      <c r="G335" s="689">
        <v>79.5</v>
      </c>
      <c r="H335" s="689">
        <v>79.7</v>
      </c>
      <c r="I335" s="689">
        <v>79.400000000000006</v>
      </c>
      <c r="J335" s="689">
        <v>79.7</v>
      </c>
      <c r="K335" s="689">
        <v>79.400000000000006</v>
      </c>
    </row>
    <row r="336" spans="1:11">
      <c r="A336" s="688" t="s">
        <v>9</v>
      </c>
      <c r="B336" s="691">
        <v>78.3</v>
      </c>
      <c r="C336" s="691">
        <v>78.8</v>
      </c>
      <c r="D336" s="691">
        <v>78.599999999999994</v>
      </c>
      <c r="E336" s="691">
        <v>78.2</v>
      </c>
      <c r="F336" s="691">
        <v>78.7</v>
      </c>
      <c r="G336" s="691">
        <v>78.900000000000006</v>
      </c>
      <c r="H336" s="691">
        <v>79.099999999999994</v>
      </c>
      <c r="I336" s="691">
        <v>79.099999999999994</v>
      </c>
      <c r="J336" s="691">
        <v>79.3</v>
      </c>
      <c r="K336" s="691">
        <v>78.3</v>
      </c>
    </row>
    <row r="337" spans="1:11">
      <c r="A337" s="688" t="s">
        <v>13</v>
      </c>
      <c r="B337" s="689">
        <v>78.900000000000006</v>
      </c>
      <c r="C337" s="689">
        <v>78.3</v>
      </c>
      <c r="D337" s="693">
        <v>79</v>
      </c>
      <c r="E337" s="689">
        <v>78.3</v>
      </c>
      <c r="F337" s="689">
        <v>79.3</v>
      </c>
      <c r="G337" s="693">
        <v>79</v>
      </c>
      <c r="H337" s="693">
        <v>80</v>
      </c>
      <c r="I337" s="689">
        <v>78.2</v>
      </c>
      <c r="J337" s="689">
        <v>80.099999999999994</v>
      </c>
      <c r="K337" s="689">
        <v>79.8</v>
      </c>
    </row>
    <row r="338" spans="1:11">
      <c r="A338" s="688" t="s">
        <v>18</v>
      </c>
      <c r="B338" s="615">
        <v>78</v>
      </c>
      <c r="C338" s="691">
        <v>78.3</v>
      </c>
      <c r="D338" s="691">
        <v>78.5</v>
      </c>
      <c r="E338" s="691">
        <v>78.599999999999994</v>
      </c>
      <c r="F338" s="691">
        <v>78.8</v>
      </c>
      <c r="G338" s="615">
        <v>79</v>
      </c>
      <c r="H338" s="691">
        <v>79.2</v>
      </c>
      <c r="I338" s="691">
        <v>79.400000000000006</v>
      </c>
      <c r="J338" s="691">
        <v>79.3</v>
      </c>
      <c r="K338" s="691">
        <v>78.8</v>
      </c>
    </row>
    <row r="339" spans="1:11">
      <c r="A339" s="688" t="s">
        <v>24</v>
      </c>
      <c r="B339" s="689">
        <v>79.3</v>
      </c>
      <c r="C339" s="689">
        <v>79.5</v>
      </c>
      <c r="D339" s="689">
        <v>79.2</v>
      </c>
      <c r="E339" s="689">
        <v>79.8</v>
      </c>
      <c r="F339" s="689">
        <v>79.8</v>
      </c>
      <c r="G339" s="689">
        <v>79.900000000000006</v>
      </c>
      <c r="H339" s="689">
        <v>80.099999999999994</v>
      </c>
      <c r="I339" s="689">
        <v>79.400000000000006</v>
      </c>
      <c r="J339" s="693">
        <v>80</v>
      </c>
      <c r="K339" s="689">
        <v>79.900000000000006</v>
      </c>
    </row>
    <row r="340" spans="1:11">
      <c r="A340" s="688" t="s">
        <v>4059</v>
      </c>
      <c r="B340" s="691">
        <v>77.5</v>
      </c>
      <c r="C340" s="691">
        <v>77.7</v>
      </c>
      <c r="D340" s="691">
        <v>77.400000000000006</v>
      </c>
      <c r="E340" s="691">
        <v>77.599999999999994</v>
      </c>
      <c r="F340" s="691">
        <v>77.7</v>
      </c>
      <c r="G340" s="691">
        <v>77.599999999999994</v>
      </c>
      <c r="H340" s="692" t="s">
        <v>4060</v>
      </c>
      <c r="I340" s="692" t="s">
        <v>4060</v>
      </c>
      <c r="J340" s="692" t="s">
        <v>4060</v>
      </c>
      <c r="K340" s="692" t="s">
        <v>4060</v>
      </c>
    </row>
    <row r="341" spans="1:11">
      <c r="A341" s="688" t="s">
        <v>2324</v>
      </c>
      <c r="B341" s="689">
        <v>72.900000000000006</v>
      </c>
      <c r="C341" s="689">
        <v>72.900000000000006</v>
      </c>
      <c r="D341" s="689">
        <v>72.7</v>
      </c>
      <c r="E341" s="689">
        <v>72.8</v>
      </c>
      <c r="F341" s="689">
        <v>72.8</v>
      </c>
      <c r="G341" s="689">
        <v>73.099999999999994</v>
      </c>
      <c r="H341" s="693">
        <v>73</v>
      </c>
      <c r="I341" s="689">
        <v>72.2</v>
      </c>
      <c r="J341" s="689">
        <v>69.900000000000006</v>
      </c>
      <c r="K341" s="690" t="s">
        <v>4060</v>
      </c>
    </row>
    <row r="342" spans="1:11">
      <c r="A342" s="688" t="s">
        <v>2322</v>
      </c>
      <c r="B342" s="692" t="s">
        <v>4060</v>
      </c>
      <c r="C342" s="692" t="s">
        <v>4060</v>
      </c>
      <c r="D342" s="692" t="s">
        <v>4060</v>
      </c>
      <c r="E342" s="692" t="s">
        <v>4060</v>
      </c>
      <c r="F342" s="692" t="s">
        <v>4060</v>
      </c>
      <c r="G342" s="692" t="s">
        <v>4060</v>
      </c>
      <c r="H342" s="692" t="s">
        <v>4060</v>
      </c>
      <c r="I342" s="692" t="s">
        <v>4060</v>
      </c>
      <c r="J342" s="692" t="s">
        <v>4060</v>
      </c>
      <c r="K342" s="692" t="s">
        <v>4060</v>
      </c>
    </row>
    <row r="343" spans="1:11">
      <c r="A343" s="688" t="s">
        <v>2328</v>
      </c>
      <c r="B343" s="689">
        <v>72.3</v>
      </c>
      <c r="C343" s="689">
        <v>72.3</v>
      </c>
      <c r="D343" s="689">
        <v>72.2</v>
      </c>
      <c r="E343" s="689">
        <v>72.400000000000006</v>
      </c>
      <c r="F343" s="689">
        <v>72.8</v>
      </c>
      <c r="G343" s="689">
        <v>73.099999999999994</v>
      </c>
      <c r="H343" s="689">
        <v>73.099999999999994</v>
      </c>
      <c r="I343" s="689">
        <v>70.8</v>
      </c>
      <c r="J343" s="689">
        <v>69.599999999999994</v>
      </c>
      <c r="K343" s="690" t="s">
        <v>4060</v>
      </c>
    </row>
    <row r="344" spans="1:11">
      <c r="A344" s="688" t="s">
        <v>2496</v>
      </c>
      <c r="B344" s="692" t="s">
        <v>4060</v>
      </c>
      <c r="C344" s="615">
        <v>71</v>
      </c>
      <c r="D344" s="691">
        <v>69.8</v>
      </c>
      <c r="E344" s="691">
        <v>69.5</v>
      </c>
      <c r="F344" s="691">
        <v>70.3</v>
      </c>
      <c r="G344" s="691">
        <v>70.599999999999994</v>
      </c>
      <c r="H344" s="691">
        <v>70.7</v>
      </c>
      <c r="I344" s="692" t="s">
        <v>4060</v>
      </c>
      <c r="J344" s="692" t="s">
        <v>4060</v>
      </c>
      <c r="K344" s="691">
        <v>70.400000000000006</v>
      </c>
    </row>
    <row r="345" spans="1:11">
      <c r="A345" s="688" t="s">
        <v>2269</v>
      </c>
      <c r="B345" s="689">
        <v>74.7</v>
      </c>
      <c r="C345" s="689">
        <v>74.900000000000006</v>
      </c>
      <c r="D345" s="689">
        <v>74.599999999999994</v>
      </c>
      <c r="E345" s="689">
        <v>75.3</v>
      </c>
      <c r="F345" s="689">
        <v>75.2</v>
      </c>
      <c r="G345" s="689">
        <v>75.7</v>
      </c>
      <c r="H345" s="689">
        <v>75.900000000000006</v>
      </c>
      <c r="I345" s="689">
        <v>74.2</v>
      </c>
      <c r="J345" s="689">
        <v>72.2</v>
      </c>
      <c r="K345" s="689">
        <v>75.7</v>
      </c>
    </row>
    <row r="346" spans="1:11">
      <c r="A346" s="688" t="s">
        <v>2349</v>
      </c>
      <c r="B346" s="691">
        <v>71.8</v>
      </c>
      <c r="C346" s="691">
        <v>71.900000000000006</v>
      </c>
      <c r="D346" s="691">
        <v>71.8</v>
      </c>
      <c r="E346" s="691">
        <v>72.2</v>
      </c>
      <c r="F346" s="691">
        <v>72.099999999999994</v>
      </c>
      <c r="G346" s="691">
        <v>72.400000000000006</v>
      </c>
      <c r="H346" s="691">
        <v>72.400000000000006</v>
      </c>
      <c r="I346" s="691">
        <v>70.900000000000006</v>
      </c>
      <c r="J346" s="691">
        <v>69.2</v>
      </c>
      <c r="K346" s="691">
        <v>71.599999999999994</v>
      </c>
    </row>
    <row r="347" spans="1:11">
      <c r="A347" s="688" t="s">
        <v>2355</v>
      </c>
      <c r="B347" s="689">
        <v>75.3</v>
      </c>
      <c r="C347" s="689">
        <v>75.2</v>
      </c>
      <c r="D347" s="689">
        <v>75.2</v>
      </c>
      <c r="E347" s="689">
        <v>75.099999999999994</v>
      </c>
      <c r="F347" s="689">
        <v>75.400000000000006</v>
      </c>
      <c r="G347" s="689">
        <v>75.8</v>
      </c>
      <c r="H347" s="689">
        <v>75.900000000000006</v>
      </c>
      <c r="I347" s="690" t="s">
        <v>4060</v>
      </c>
      <c r="J347" s="690" t="s">
        <v>4060</v>
      </c>
      <c r="K347" s="690" t="s">
        <v>4060</v>
      </c>
    </row>
    <row r="348" spans="1:11">
      <c r="A348" s="688" t="s">
        <v>2357</v>
      </c>
      <c r="B348" s="692" t="s">
        <v>4060</v>
      </c>
      <c r="C348" s="691">
        <v>68.400000000000006</v>
      </c>
      <c r="D348" s="691">
        <v>69.2</v>
      </c>
      <c r="E348" s="691">
        <v>69.5</v>
      </c>
      <c r="F348" s="691">
        <v>69.900000000000006</v>
      </c>
      <c r="G348" s="691">
        <v>69.7</v>
      </c>
      <c r="H348" s="615">
        <v>70</v>
      </c>
      <c r="I348" s="692" t="s">
        <v>4060</v>
      </c>
      <c r="J348" s="692" t="s">
        <v>4060</v>
      </c>
      <c r="K348" s="692" t="s">
        <v>4060</v>
      </c>
    </row>
    <row r="349" spans="1:11">
      <c r="A349" s="688" t="s">
        <v>4070</v>
      </c>
      <c r="B349" s="690" t="s">
        <v>4060</v>
      </c>
      <c r="C349" s="690" t="s">
        <v>4060</v>
      </c>
      <c r="D349" s="690" t="s">
        <v>4060</v>
      </c>
      <c r="E349" s="689">
        <v>75.2</v>
      </c>
      <c r="F349" s="690" t="s">
        <v>4060</v>
      </c>
      <c r="G349" s="690" t="s">
        <v>4060</v>
      </c>
      <c r="H349" s="690" t="s">
        <v>4060</v>
      </c>
      <c r="I349" s="690" t="s">
        <v>4060</v>
      </c>
      <c r="J349" s="690" t="s">
        <v>4060</v>
      </c>
      <c r="K349" s="690" t="s">
        <v>4060</v>
      </c>
    </row>
    <row r="350" spans="1:11">
      <c r="A350" s="688" t="s">
        <v>2491</v>
      </c>
      <c r="B350" s="691">
        <v>69.099999999999994</v>
      </c>
      <c r="C350" s="691">
        <v>69.599999999999994</v>
      </c>
      <c r="D350" s="691">
        <v>70.2</v>
      </c>
      <c r="E350" s="691">
        <v>70.5</v>
      </c>
      <c r="F350" s="691">
        <v>70.8</v>
      </c>
      <c r="G350" s="691">
        <v>70.8</v>
      </c>
      <c r="H350" s="692" t="s">
        <v>4060</v>
      </c>
      <c r="I350" s="692" t="s">
        <v>4060</v>
      </c>
      <c r="J350" s="692" t="s">
        <v>4060</v>
      </c>
      <c r="K350" s="692" t="s">
        <v>4060</v>
      </c>
    </row>
    <row r="351" spans="1:11">
      <c r="A351" s="688" t="s">
        <v>2343</v>
      </c>
      <c r="B351" s="690" t="s">
        <v>4060</v>
      </c>
      <c r="C351" s="690" t="s">
        <v>4060</v>
      </c>
      <c r="D351" s="690" t="s">
        <v>4060</v>
      </c>
      <c r="E351" s="690" t="s">
        <v>4060</v>
      </c>
      <c r="F351" s="690" t="s">
        <v>4060</v>
      </c>
      <c r="G351" s="690" t="s">
        <v>4060</v>
      </c>
      <c r="H351" s="690" t="s">
        <v>4060</v>
      </c>
      <c r="I351" s="690" t="s">
        <v>4060</v>
      </c>
      <c r="J351" s="690" t="s">
        <v>4060</v>
      </c>
      <c r="K351" s="690" t="s">
        <v>4060</v>
      </c>
    </row>
    <row r="352" spans="1:11">
      <c r="A352" s="688" t="s">
        <v>4071</v>
      </c>
      <c r="B352" s="692" t="s">
        <v>4060</v>
      </c>
      <c r="C352" s="692" t="s">
        <v>4060</v>
      </c>
      <c r="D352" s="692" t="s">
        <v>4060</v>
      </c>
      <c r="E352" s="692" t="s">
        <v>4060</v>
      </c>
      <c r="F352" s="692" t="s">
        <v>4060</v>
      </c>
      <c r="G352" s="692" t="s">
        <v>4060</v>
      </c>
      <c r="H352" s="692" t="s">
        <v>4060</v>
      </c>
      <c r="I352" s="692" t="s">
        <v>4060</v>
      </c>
      <c r="J352" s="692" t="s">
        <v>4060</v>
      </c>
      <c r="K352" s="692" t="s">
        <v>4060</v>
      </c>
    </row>
    <row r="353" spans="1:11">
      <c r="A353" s="688" t="s">
        <v>2489</v>
      </c>
      <c r="B353" s="690" t="s">
        <v>4060</v>
      </c>
      <c r="C353" s="690" t="s">
        <v>4060</v>
      </c>
      <c r="D353" s="689">
        <v>71.8</v>
      </c>
      <c r="E353" s="689">
        <v>71.8</v>
      </c>
      <c r="F353" s="689">
        <v>72.5</v>
      </c>
      <c r="G353" s="689">
        <v>73.400000000000006</v>
      </c>
      <c r="H353" s="689">
        <v>73.2</v>
      </c>
      <c r="I353" s="690" t="s">
        <v>4060</v>
      </c>
      <c r="J353" s="690" t="s">
        <v>4060</v>
      </c>
      <c r="K353" s="690" t="s">
        <v>4060</v>
      </c>
    </row>
    <row r="354" spans="1:11">
      <c r="A354" s="688" t="s">
        <v>2490</v>
      </c>
      <c r="B354" s="691">
        <v>71.599999999999994</v>
      </c>
      <c r="C354" s="691">
        <v>71.7</v>
      </c>
      <c r="D354" s="691">
        <v>72.3</v>
      </c>
      <c r="E354" s="692" t="s">
        <v>4060</v>
      </c>
      <c r="F354" s="691">
        <v>72.5</v>
      </c>
      <c r="G354" s="691">
        <v>72.900000000000006</v>
      </c>
      <c r="H354" s="691">
        <v>73.599999999999994</v>
      </c>
      <c r="I354" s="692" t="s">
        <v>4060</v>
      </c>
      <c r="J354" s="692" t="s">
        <v>4060</v>
      </c>
      <c r="K354" s="692" t="s">
        <v>4060</v>
      </c>
    </row>
    <row r="356" spans="1:11">
      <c r="A356" s="683" t="s">
        <v>4233</v>
      </c>
    </row>
    <row r="357" spans="1:11">
      <c r="A357" s="683" t="s">
        <v>4060</v>
      </c>
      <c r="B357" s="682" t="s">
        <v>4234</v>
      </c>
    </row>
    <row r="359" spans="1:11">
      <c r="A359" s="682" t="s">
        <v>4209</v>
      </c>
    </row>
    <row r="360" spans="1:11">
      <c r="A360" s="682" t="s">
        <v>4210</v>
      </c>
      <c r="B360" s="683" t="s">
        <v>4211</v>
      </c>
    </row>
    <row r="361" spans="1:11">
      <c r="A361" s="682" t="s">
        <v>4212</v>
      </c>
      <c r="B361" s="682" t="s">
        <v>4213</v>
      </c>
    </row>
    <row r="363" spans="1:11">
      <c r="A363" s="683" t="s">
        <v>4214</v>
      </c>
      <c r="C363" s="682" t="s">
        <v>4215</v>
      </c>
    </row>
    <row r="364" spans="1:11">
      <c r="A364" s="683" t="s">
        <v>4216</v>
      </c>
      <c r="C364" s="682" t="s">
        <v>2967</v>
      </c>
    </row>
    <row r="365" spans="1:11">
      <c r="A365" s="683" t="s">
        <v>3893</v>
      </c>
      <c r="C365" s="682" t="s">
        <v>4217</v>
      </c>
    </row>
    <row r="366" spans="1:11">
      <c r="A366" s="683" t="s">
        <v>4218</v>
      </c>
      <c r="C366" s="682" t="s">
        <v>4239</v>
      </c>
    </row>
    <row r="368" spans="1:11">
      <c r="A368" s="684" t="s">
        <v>4220</v>
      </c>
      <c r="B368" s="685" t="s">
        <v>4221</v>
      </c>
      <c r="C368" s="685" t="s">
        <v>4222</v>
      </c>
      <c r="D368" s="685" t="s">
        <v>4223</v>
      </c>
      <c r="E368" s="685" t="s">
        <v>4224</v>
      </c>
      <c r="F368" s="685" t="s">
        <v>4225</v>
      </c>
      <c r="G368" s="685" t="s">
        <v>4226</v>
      </c>
      <c r="H368" s="685" t="s">
        <v>4227</v>
      </c>
      <c r="I368" s="685" t="s">
        <v>4228</v>
      </c>
      <c r="J368" s="685" t="s">
        <v>4229</v>
      </c>
      <c r="K368" s="685" t="s">
        <v>4230</v>
      </c>
    </row>
    <row r="369" spans="1:11">
      <c r="A369" s="686" t="s">
        <v>4231</v>
      </c>
      <c r="B369" s="687" t="s">
        <v>4232</v>
      </c>
      <c r="C369" s="687" t="s">
        <v>4232</v>
      </c>
      <c r="D369" s="687" t="s">
        <v>4232</v>
      </c>
      <c r="E369" s="687" t="s">
        <v>4232</v>
      </c>
      <c r="F369" s="687" t="s">
        <v>4232</v>
      </c>
      <c r="G369" s="687" t="s">
        <v>4232</v>
      </c>
      <c r="H369" s="687" t="s">
        <v>4232</v>
      </c>
      <c r="I369" s="687" t="s">
        <v>4232</v>
      </c>
      <c r="J369" s="687" t="s">
        <v>4232</v>
      </c>
      <c r="K369" s="687" t="s">
        <v>4232</v>
      </c>
    </row>
    <row r="370" spans="1:11">
      <c r="A370" s="688" t="s">
        <v>4064</v>
      </c>
      <c r="B370" s="691">
        <v>75.8</v>
      </c>
      <c r="C370" s="691">
        <v>75.900000000000006</v>
      </c>
      <c r="D370" s="691">
        <v>75.900000000000006</v>
      </c>
      <c r="E370" s="615">
        <v>76</v>
      </c>
      <c r="F370" s="615">
        <v>76</v>
      </c>
      <c r="G370" s="691">
        <v>76.099999999999994</v>
      </c>
      <c r="H370" s="691">
        <v>76.400000000000006</v>
      </c>
      <c r="I370" s="691">
        <v>75.599999999999994</v>
      </c>
      <c r="J370" s="691">
        <v>75.3</v>
      </c>
      <c r="K370" s="691">
        <v>75.900000000000006</v>
      </c>
    </row>
    <row r="371" spans="1:11">
      <c r="A371" s="688" t="s">
        <v>4065</v>
      </c>
      <c r="B371" s="689">
        <v>75.900000000000006</v>
      </c>
      <c r="C371" s="689">
        <v>76.3</v>
      </c>
      <c r="D371" s="689">
        <v>75.900000000000006</v>
      </c>
      <c r="E371" s="689">
        <v>76.3</v>
      </c>
      <c r="F371" s="689">
        <v>76.3</v>
      </c>
      <c r="G371" s="689">
        <v>76.400000000000006</v>
      </c>
      <c r="H371" s="690" t="s">
        <v>4060</v>
      </c>
      <c r="I371" s="690" t="s">
        <v>4060</v>
      </c>
      <c r="J371" s="690" t="s">
        <v>4060</v>
      </c>
      <c r="K371" s="690" t="s">
        <v>4060</v>
      </c>
    </row>
    <row r="372" spans="1:11">
      <c r="A372" s="688" t="s">
        <v>4063</v>
      </c>
      <c r="B372" s="691">
        <v>75.900000000000006</v>
      </c>
      <c r="C372" s="691">
        <v>76.3</v>
      </c>
      <c r="D372" s="615">
        <v>76</v>
      </c>
      <c r="E372" s="691">
        <v>76.3</v>
      </c>
      <c r="F372" s="691">
        <v>76.3</v>
      </c>
      <c r="G372" s="691">
        <v>76.400000000000006</v>
      </c>
      <c r="H372" s="692" t="s">
        <v>4060</v>
      </c>
      <c r="I372" s="692" t="s">
        <v>4060</v>
      </c>
      <c r="J372" s="692" t="s">
        <v>4060</v>
      </c>
      <c r="K372" s="692" t="s">
        <v>4060</v>
      </c>
    </row>
    <row r="373" spans="1:11">
      <c r="A373" s="688" t="s">
        <v>4069</v>
      </c>
      <c r="B373" s="690" t="s">
        <v>4060</v>
      </c>
      <c r="C373" s="689">
        <v>76.900000000000006</v>
      </c>
      <c r="D373" s="689">
        <v>76.7</v>
      </c>
      <c r="E373" s="693">
        <v>77</v>
      </c>
      <c r="F373" s="693">
        <v>77</v>
      </c>
      <c r="G373" s="689">
        <v>77.2</v>
      </c>
      <c r="H373" s="689">
        <v>77.400000000000006</v>
      </c>
      <c r="I373" s="689">
        <v>76.7</v>
      </c>
      <c r="J373" s="689">
        <v>76.7</v>
      </c>
      <c r="K373" s="689">
        <v>76.900000000000006</v>
      </c>
    </row>
    <row r="374" spans="1:11">
      <c r="A374" s="688" t="s">
        <v>4068</v>
      </c>
      <c r="B374" s="691">
        <v>76.900000000000006</v>
      </c>
      <c r="C374" s="692" t="s">
        <v>4060</v>
      </c>
      <c r="D374" s="692" t="s">
        <v>4060</v>
      </c>
      <c r="E374" s="692" t="s">
        <v>4060</v>
      </c>
      <c r="F374" s="692" t="s">
        <v>4060</v>
      </c>
      <c r="G374" s="692" t="s">
        <v>4060</v>
      </c>
      <c r="H374" s="692" t="s">
        <v>4060</v>
      </c>
      <c r="I374" s="692" t="s">
        <v>4060</v>
      </c>
      <c r="J374" s="692" t="s">
        <v>4060</v>
      </c>
      <c r="K374" s="692" t="s">
        <v>4060</v>
      </c>
    </row>
    <row r="375" spans="1:11">
      <c r="A375" s="688" t="s">
        <v>0</v>
      </c>
      <c r="B375" s="693">
        <v>76</v>
      </c>
      <c r="C375" s="689">
        <v>76.400000000000006</v>
      </c>
      <c r="D375" s="689">
        <v>76.2</v>
      </c>
      <c r="E375" s="689">
        <v>76.599999999999994</v>
      </c>
      <c r="F375" s="689">
        <v>76.7</v>
      </c>
      <c r="G375" s="689">
        <v>76.8</v>
      </c>
      <c r="H375" s="689">
        <v>77.2</v>
      </c>
      <c r="I375" s="689">
        <v>76.099999999999994</v>
      </c>
      <c r="J375" s="693">
        <v>77</v>
      </c>
      <c r="K375" s="693">
        <v>77</v>
      </c>
    </row>
    <row r="376" spans="1:11">
      <c r="A376" s="688" t="s">
        <v>1</v>
      </c>
      <c r="B376" s="691">
        <v>70.599999999999994</v>
      </c>
      <c r="C376" s="691">
        <v>70.099999999999994</v>
      </c>
      <c r="D376" s="691">
        <v>70.099999999999994</v>
      </c>
      <c r="E376" s="691">
        <v>70.3</v>
      </c>
      <c r="F376" s="691">
        <v>70.2</v>
      </c>
      <c r="G376" s="691">
        <v>70.3</v>
      </c>
      <c r="H376" s="691">
        <v>70.400000000000006</v>
      </c>
      <c r="I376" s="691">
        <v>68.8</v>
      </c>
      <c r="J376" s="691">
        <v>66.7</v>
      </c>
      <c r="K376" s="691">
        <v>69.599999999999994</v>
      </c>
    </row>
    <row r="377" spans="1:11">
      <c r="A377" s="688" t="s">
        <v>2240</v>
      </c>
      <c r="B377" s="689">
        <v>73.599999999999994</v>
      </c>
      <c r="C377" s="693">
        <v>74</v>
      </c>
      <c r="D377" s="689">
        <v>73.8</v>
      </c>
      <c r="E377" s="689">
        <v>74.3</v>
      </c>
      <c r="F377" s="689">
        <v>74.2</v>
      </c>
      <c r="G377" s="689">
        <v>74.3</v>
      </c>
      <c r="H377" s="689">
        <v>74.5</v>
      </c>
      <c r="I377" s="689">
        <v>73.5</v>
      </c>
      <c r="J377" s="689">
        <v>72.400000000000006</v>
      </c>
      <c r="K377" s="689">
        <v>74.2</v>
      </c>
    </row>
    <row r="378" spans="1:11">
      <c r="A378" s="688" t="s">
        <v>2</v>
      </c>
      <c r="B378" s="691">
        <v>75.7</v>
      </c>
      <c r="C378" s="615">
        <v>76</v>
      </c>
      <c r="D378" s="691">
        <v>76.099999999999994</v>
      </c>
      <c r="E378" s="691">
        <v>76.2</v>
      </c>
      <c r="F378" s="691">
        <v>76.5</v>
      </c>
      <c r="G378" s="691">
        <v>76.3</v>
      </c>
      <c r="H378" s="691">
        <v>76.7</v>
      </c>
      <c r="I378" s="691">
        <v>76.8</v>
      </c>
      <c r="J378" s="691">
        <v>76.7</v>
      </c>
      <c r="K378" s="691">
        <v>76.599999999999994</v>
      </c>
    </row>
    <row r="379" spans="1:11">
      <c r="A379" s="688" t="s">
        <v>3</v>
      </c>
      <c r="B379" s="689">
        <v>75.900000000000006</v>
      </c>
      <c r="C379" s="689">
        <v>76.2</v>
      </c>
      <c r="D379" s="689">
        <v>75.900000000000006</v>
      </c>
      <c r="E379" s="689">
        <v>76.2</v>
      </c>
      <c r="F379" s="689">
        <v>76.3</v>
      </c>
      <c r="G379" s="689">
        <v>76.2</v>
      </c>
      <c r="H379" s="689">
        <v>76.5</v>
      </c>
      <c r="I379" s="689">
        <v>76.3</v>
      </c>
      <c r="J379" s="693">
        <v>76</v>
      </c>
      <c r="K379" s="689">
        <v>75.8</v>
      </c>
    </row>
    <row r="380" spans="1:11">
      <c r="A380" s="688" t="s">
        <v>4061</v>
      </c>
      <c r="B380" s="691">
        <v>75.900000000000006</v>
      </c>
      <c r="C380" s="691">
        <v>76.2</v>
      </c>
      <c r="D380" s="691">
        <v>75.900000000000006</v>
      </c>
      <c r="E380" s="691">
        <v>76.2</v>
      </c>
      <c r="F380" s="691">
        <v>76.3</v>
      </c>
      <c r="G380" s="691">
        <v>76.2</v>
      </c>
      <c r="H380" s="691">
        <v>76.5</v>
      </c>
      <c r="I380" s="691">
        <v>76.3</v>
      </c>
      <c r="J380" s="615">
        <v>76</v>
      </c>
      <c r="K380" s="691">
        <v>75.8</v>
      </c>
    </row>
    <row r="381" spans="1:11">
      <c r="A381" s="688" t="s">
        <v>4</v>
      </c>
      <c r="B381" s="689">
        <v>72.8</v>
      </c>
      <c r="C381" s="689">
        <v>72.400000000000006</v>
      </c>
      <c r="D381" s="693">
        <v>73</v>
      </c>
      <c r="E381" s="693">
        <v>73</v>
      </c>
      <c r="F381" s="689">
        <v>73.5</v>
      </c>
      <c r="G381" s="689">
        <v>73.599999999999994</v>
      </c>
      <c r="H381" s="693">
        <v>74</v>
      </c>
      <c r="I381" s="689">
        <v>73.900000000000006</v>
      </c>
      <c r="J381" s="689">
        <v>72.400000000000006</v>
      </c>
      <c r="K381" s="689">
        <v>73.3</v>
      </c>
    </row>
    <row r="382" spans="1:11">
      <c r="A382" s="688" t="s">
        <v>8</v>
      </c>
      <c r="B382" s="691">
        <v>76.400000000000006</v>
      </c>
      <c r="C382" s="691">
        <v>76.599999999999994</v>
      </c>
      <c r="D382" s="691">
        <v>76.7</v>
      </c>
      <c r="E382" s="691">
        <v>76.8</v>
      </c>
      <c r="F382" s="691">
        <v>77.3</v>
      </c>
      <c r="G382" s="691">
        <v>77.3</v>
      </c>
      <c r="H382" s="691">
        <v>77.7</v>
      </c>
      <c r="I382" s="691">
        <v>77.599999999999994</v>
      </c>
      <c r="J382" s="691">
        <v>77.400000000000006</v>
      </c>
      <c r="K382" s="691">
        <v>77.599999999999994</v>
      </c>
    </row>
    <row r="383" spans="1:11">
      <c r="A383" s="688" t="s">
        <v>7</v>
      </c>
      <c r="B383" s="689">
        <v>76.7</v>
      </c>
      <c r="C383" s="689">
        <v>76.3</v>
      </c>
      <c r="D383" s="689">
        <v>76.099999999999994</v>
      </c>
      <c r="E383" s="689">
        <v>76.400000000000006</v>
      </c>
      <c r="F383" s="689">
        <v>76.400000000000006</v>
      </c>
      <c r="G383" s="689">
        <v>76.8</v>
      </c>
      <c r="H383" s="689">
        <v>76.8</v>
      </c>
      <c r="I383" s="689">
        <v>76.400000000000006</v>
      </c>
      <c r="J383" s="689">
        <v>75.400000000000006</v>
      </c>
      <c r="K383" s="689">
        <v>76.099999999999994</v>
      </c>
    </row>
    <row r="384" spans="1:11">
      <c r="A384" s="688" t="s">
        <v>27</v>
      </c>
      <c r="B384" s="691">
        <v>78.400000000000006</v>
      </c>
      <c r="C384" s="691">
        <v>78.2</v>
      </c>
      <c r="D384" s="691">
        <v>77.900000000000006</v>
      </c>
      <c r="E384" s="691">
        <v>78.3</v>
      </c>
      <c r="F384" s="691">
        <v>78.3</v>
      </c>
      <c r="G384" s="691">
        <v>78.400000000000006</v>
      </c>
      <c r="H384" s="691">
        <v>78.8</v>
      </c>
      <c r="I384" s="691">
        <v>77.5</v>
      </c>
      <c r="J384" s="691">
        <v>78.3</v>
      </c>
      <c r="K384" s="691">
        <v>78.3</v>
      </c>
    </row>
    <row r="385" spans="1:11">
      <c r="A385" s="688" t="s">
        <v>6</v>
      </c>
      <c r="B385" s="689">
        <v>77.7</v>
      </c>
      <c r="C385" s="689">
        <v>77.7</v>
      </c>
      <c r="D385" s="689">
        <v>77.5</v>
      </c>
      <c r="E385" s="689">
        <v>77.7</v>
      </c>
      <c r="F385" s="689">
        <v>77.8</v>
      </c>
      <c r="G385" s="689">
        <v>77.900000000000006</v>
      </c>
      <c r="H385" s="689">
        <v>78.099999999999994</v>
      </c>
      <c r="I385" s="689">
        <v>77.5</v>
      </c>
      <c r="J385" s="689">
        <v>77.599999999999994</v>
      </c>
      <c r="K385" s="689">
        <v>77.599999999999994</v>
      </c>
    </row>
    <row r="386" spans="1:11">
      <c r="A386" s="688" t="s">
        <v>4058</v>
      </c>
      <c r="B386" s="692" t="s">
        <v>4060</v>
      </c>
      <c r="C386" s="692" t="s">
        <v>4060</v>
      </c>
      <c r="D386" s="692" t="s">
        <v>4060</v>
      </c>
      <c r="E386" s="692" t="s">
        <v>4060</v>
      </c>
      <c r="F386" s="692" t="s">
        <v>4060</v>
      </c>
      <c r="G386" s="692" t="s">
        <v>4060</v>
      </c>
      <c r="H386" s="692" t="s">
        <v>4060</v>
      </c>
      <c r="I386" s="692" t="s">
        <v>4060</v>
      </c>
      <c r="J386" s="692" t="s">
        <v>4060</v>
      </c>
      <c r="K386" s="692" t="s">
        <v>4060</v>
      </c>
    </row>
    <row r="387" spans="1:11">
      <c r="A387" s="688" t="s">
        <v>11</v>
      </c>
      <c r="B387" s="689">
        <v>73.2</v>
      </c>
      <c r="C387" s="689">
        <v>73.2</v>
      </c>
      <c r="D387" s="689">
        <v>72.7</v>
      </c>
      <c r="E387" s="689">
        <v>73.400000000000006</v>
      </c>
      <c r="F387" s="689">
        <v>73.2</v>
      </c>
      <c r="G387" s="689">
        <v>73.400000000000006</v>
      </c>
      <c r="H387" s="689">
        <v>73.599999999999994</v>
      </c>
      <c r="I387" s="689">
        <v>72.900000000000006</v>
      </c>
      <c r="J387" s="689">
        <v>71.900000000000006</v>
      </c>
      <c r="K387" s="689">
        <v>73.099999999999994</v>
      </c>
    </row>
    <row r="388" spans="1:11">
      <c r="A388" s="688" t="s">
        <v>10</v>
      </c>
      <c r="B388" s="691">
        <v>78.099999999999994</v>
      </c>
      <c r="C388" s="691">
        <v>78.099999999999994</v>
      </c>
      <c r="D388" s="691">
        <v>77.7</v>
      </c>
      <c r="E388" s="691">
        <v>78.3</v>
      </c>
      <c r="F388" s="691">
        <v>78.099999999999994</v>
      </c>
      <c r="G388" s="691">
        <v>78.400000000000006</v>
      </c>
      <c r="H388" s="691">
        <v>78.599999999999994</v>
      </c>
      <c r="I388" s="691">
        <v>77.5</v>
      </c>
      <c r="J388" s="691">
        <v>77.8</v>
      </c>
      <c r="K388" s="615">
        <v>78</v>
      </c>
    </row>
    <row r="389" spans="1:11">
      <c r="A389" s="688" t="s">
        <v>30</v>
      </c>
      <c r="B389" s="689">
        <v>77.7</v>
      </c>
      <c r="C389" s="689">
        <v>77.5</v>
      </c>
      <c r="D389" s="689">
        <v>77.2</v>
      </c>
      <c r="E389" s="693">
        <v>78</v>
      </c>
      <c r="F389" s="689">
        <v>77.599999999999994</v>
      </c>
      <c r="G389" s="689">
        <v>78.2</v>
      </c>
      <c r="H389" s="689">
        <v>77.900000000000006</v>
      </c>
      <c r="I389" s="689">
        <v>77.900000000000006</v>
      </c>
      <c r="J389" s="693">
        <v>77</v>
      </c>
      <c r="K389" s="689">
        <v>77.5</v>
      </c>
    </row>
    <row r="390" spans="1:11">
      <c r="A390" s="688" t="s">
        <v>12</v>
      </c>
      <c r="B390" s="691">
        <v>69.8</v>
      </c>
      <c r="C390" s="691">
        <v>69.7</v>
      </c>
      <c r="D390" s="615">
        <v>70</v>
      </c>
      <c r="E390" s="691">
        <v>70.099999999999994</v>
      </c>
      <c r="F390" s="691">
        <v>70.2</v>
      </c>
      <c r="G390" s="691">
        <v>70.3</v>
      </c>
      <c r="H390" s="615">
        <v>71</v>
      </c>
      <c r="I390" s="691">
        <v>70.7</v>
      </c>
      <c r="J390" s="691">
        <v>68.400000000000006</v>
      </c>
      <c r="K390" s="691">
        <v>69.7</v>
      </c>
    </row>
    <row r="391" spans="1:11">
      <c r="A391" s="688" t="s">
        <v>14</v>
      </c>
      <c r="B391" s="689">
        <v>69.5</v>
      </c>
      <c r="C391" s="689">
        <v>69.900000000000006</v>
      </c>
      <c r="D391" s="689">
        <v>69.8</v>
      </c>
      <c r="E391" s="689">
        <v>70.2</v>
      </c>
      <c r="F391" s="689">
        <v>70.900000000000006</v>
      </c>
      <c r="G391" s="689">
        <v>71.2</v>
      </c>
      <c r="H391" s="689">
        <v>71.599999999999994</v>
      </c>
      <c r="I391" s="689">
        <v>70.400000000000006</v>
      </c>
      <c r="J391" s="689">
        <v>69.599999999999994</v>
      </c>
      <c r="K391" s="689">
        <v>71.099999999999994</v>
      </c>
    </row>
    <row r="392" spans="1:11">
      <c r="A392" s="688" t="s">
        <v>15</v>
      </c>
      <c r="B392" s="691">
        <v>77.2</v>
      </c>
      <c r="C392" s="691">
        <v>77.099999999999994</v>
      </c>
      <c r="D392" s="691">
        <v>77.3</v>
      </c>
      <c r="E392" s="691">
        <v>77.7</v>
      </c>
      <c r="F392" s="691">
        <v>77.099999999999994</v>
      </c>
      <c r="G392" s="691">
        <v>77.5</v>
      </c>
      <c r="H392" s="691">
        <v>77.900000000000006</v>
      </c>
      <c r="I392" s="691">
        <v>77.400000000000006</v>
      </c>
      <c r="J392" s="691">
        <v>77.8</v>
      </c>
      <c r="K392" s="691">
        <v>78.099999999999994</v>
      </c>
    </row>
    <row r="393" spans="1:11">
      <c r="A393" s="688" t="s">
        <v>29</v>
      </c>
      <c r="B393" s="689">
        <v>71.2</v>
      </c>
      <c r="C393" s="689">
        <v>71.2</v>
      </c>
      <c r="D393" s="693">
        <v>71</v>
      </c>
      <c r="E393" s="689">
        <v>71.400000000000006</v>
      </c>
      <c r="F393" s="689">
        <v>71.2</v>
      </c>
      <c r="G393" s="689">
        <v>71.400000000000006</v>
      </c>
      <c r="H393" s="689">
        <v>71.599999999999994</v>
      </c>
      <c r="I393" s="689">
        <v>70.900000000000006</v>
      </c>
      <c r="J393" s="689">
        <v>69.400000000000006</v>
      </c>
      <c r="K393" s="689">
        <v>71.2</v>
      </c>
    </row>
    <row r="394" spans="1:11">
      <c r="A394" s="688" t="s">
        <v>16</v>
      </c>
      <c r="B394" s="691">
        <v>77.400000000000006</v>
      </c>
      <c r="C394" s="691">
        <v>77.2</v>
      </c>
      <c r="D394" s="691">
        <v>77.3</v>
      </c>
      <c r="E394" s="691">
        <v>77.8</v>
      </c>
      <c r="F394" s="691">
        <v>77.7</v>
      </c>
      <c r="G394" s="691">
        <v>77.599999999999994</v>
      </c>
      <c r="H394" s="691">
        <v>78.099999999999994</v>
      </c>
      <c r="I394" s="691">
        <v>77.3</v>
      </c>
      <c r="J394" s="691">
        <v>77.400000000000006</v>
      </c>
      <c r="K394" s="691">
        <v>77.599999999999994</v>
      </c>
    </row>
    <row r="395" spans="1:11">
      <c r="A395" s="688" t="s">
        <v>17</v>
      </c>
      <c r="B395" s="689">
        <v>76.8</v>
      </c>
      <c r="C395" s="693">
        <v>77</v>
      </c>
      <c r="D395" s="689">
        <v>76.8</v>
      </c>
      <c r="E395" s="689">
        <v>76.900000000000006</v>
      </c>
      <c r="F395" s="689">
        <v>77.099999999999994</v>
      </c>
      <c r="G395" s="689">
        <v>77.099999999999994</v>
      </c>
      <c r="H395" s="689">
        <v>77.400000000000006</v>
      </c>
      <c r="I395" s="689">
        <v>76.7</v>
      </c>
      <c r="J395" s="689">
        <v>76.7</v>
      </c>
      <c r="K395" s="689">
        <v>76.900000000000006</v>
      </c>
    </row>
    <row r="396" spans="1:11">
      <c r="A396" s="688" t="s">
        <v>19</v>
      </c>
      <c r="B396" s="691">
        <v>76.599999999999994</v>
      </c>
      <c r="C396" s="691">
        <v>76.7</v>
      </c>
      <c r="D396" s="691">
        <v>76.5</v>
      </c>
      <c r="E396" s="691">
        <v>76.900000000000006</v>
      </c>
      <c r="F396" s="691">
        <v>76.900000000000006</v>
      </c>
      <c r="G396" s="615">
        <v>77</v>
      </c>
      <c r="H396" s="691">
        <v>77.2</v>
      </c>
      <c r="I396" s="691">
        <v>76.7</v>
      </c>
      <c r="J396" s="691">
        <v>76.599999999999994</v>
      </c>
      <c r="K396" s="691">
        <v>76.7</v>
      </c>
    </row>
    <row r="397" spans="1:11">
      <c r="A397" s="688" t="s">
        <v>20</v>
      </c>
      <c r="B397" s="689">
        <v>72.5</v>
      </c>
      <c r="C397" s="689">
        <v>72.900000000000006</v>
      </c>
      <c r="D397" s="689">
        <v>72.7</v>
      </c>
      <c r="E397" s="689">
        <v>73.099999999999994</v>
      </c>
      <c r="F397" s="693">
        <v>73</v>
      </c>
      <c r="G397" s="689">
        <v>72.900000000000006</v>
      </c>
      <c r="H397" s="689">
        <v>73.2</v>
      </c>
      <c r="I397" s="689">
        <v>71.7</v>
      </c>
      <c r="J397" s="689">
        <v>70.7</v>
      </c>
      <c r="K397" s="689">
        <v>72.400000000000006</v>
      </c>
    </row>
    <row r="398" spans="1:11">
      <c r="A398" s="688" t="s">
        <v>21</v>
      </c>
      <c r="B398" s="691">
        <v>76.2</v>
      </c>
      <c r="C398" s="691">
        <v>76.599999999999994</v>
      </c>
      <c r="D398" s="691">
        <v>76.599999999999994</v>
      </c>
      <c r="E398" s="691">
        <v>76.7</v>
      </c>
      <c r="F398" s="691">
        <v>76.900000000000006</v>
      </c>
      <c r="G398" s="691">
        <v>76.900000000000006</v>
      </c>
      <c r="H398" s="691">
        <v>77.2</v>
      </c>
      <c r="I398" s="691">
        <v>76.599999999999994</v>
      </c>
      <c r="J398" s="691">
        <v>76.599999999999994</v>
      </c>
      <c r="K398" s="691">
        <v>76.900000000000006</v>
      </c>
    </row>
    <row r="399" spans="1:11">
      <c r="A399" s="688" t="s">
        <v>22</v>
      </c>
      <c r="B399" s="689">
        <v>70.900000000000006</v>
      </c>
      <c r="C399" s="689">
        <v>70.599999999999994</v>
      </c>
      <c r="D399" s="689">
        <v>70.599999999999994</v>
      </c>
      <c r="E399" s="689">
        <v>70.8</v>
      </c>
      <c r="F399" s="689">
        <v>70.8</v>
      </c>
      <c r="G399" s="689">
        <v>70.8</v>
      </c>
      <c r="H399" s="689">
        <v>71.099999999999994</v>
      </c>
      <c r="I399" s="689">
        <v>69.599999999999994</v>
      </c>
      <c r="J399" s="689">
        <v>68.2</v>
      </c>
      <c r="K399" s="689">
        <v>70.599999999999994</v>
      </c>
    </row>
    <row r="400" spans="1:11">
      <c r="A400" s="688" t="s">
        <v>26</v>
      </c>
      <c r="B400" s="691">
        <v>75.7</v>
      </c>
      <c r="C400" s="691">
        <v>76.099999999999994</v>
      </c>
      <c r="D400" s="691">
        <v>75.8</v>
      </c>
      <c r="E400" s="691">
        <v>76.2</v>
      </c>
      <c r="F400" s="691">
        <v>76.099999999999994</v>
      </c>
      <c r="G400" s="691">
        <v>76.400000000000006</v>
      </c>
      <c r="H400" s="691">
        <v>76.599999999999994</v>
      </c>
      <c r="I400" s="691">
        <v>75.7</v>
      </c>
      <c r="J400" s="691">
        <v>75.8</v>
      </c>
      <c r="K400" s="691">
        <v>76.400000000000006</v>
      </c>
    </row>
    <row r="401" spans="1:11">
      <c r="A401" s="688" t="s">
        <v>25</v>
      </c>
      <c r="B401" s="689">
        <v>72.099999999999994</v>
      </c>
      <c r="C401" s="689">
        <v>72.400000000000006</v>
      </c>
      <c r="D401" s="689">
        <v>72.2</v>
      </c>
      <c r="E401" s="689">
        <v>72.7</v>
      </c>
      <c r="F401" s="689">
        <v>72.7</v>
      </c>
      <c r="G401" s="689">
        <v>72.8</v>
      </c>
      <c r="H401" s="689">
        <v>73.2</v>
      </c>
      <c r="I401" s="689">
        <v>72.5</v>
      </c>
      <c r="J401" s="689">
        <v>70.099999999999994</v>
      </c>
      <c r="K401" s="689">
        <v>72.5</v>
      </c>
    </row>
    <row r="402" spans="1:11">
      <c r="A402" s="688" t="s">
        <v>5</v>
      </c>
      <c r="B402" s="691">
        <v>76.3</v>
      </c>
      <c r="C402" s="691">
        <v>76.3</v>
      </c>
      <c r="D402" s="691">
        <v>76.5</v>
      </c>
      <c r="E402" s="691">
        <v>76.5</v>
      </c>
      <c r="F402" s="691">
        <v>76.7</v>
      </c>
      <c r="G402" s="691">
        <v>76.8</v>
      </c>
      <c r="H402" s="691">
        <v>77.099999999999994</v>
      </c>
      <c r="I402" s="615">
        <v>77</v>
      </c>
      <c r="J402" s="615">
        <v>77</v>
      </c>
      <c r="K402" s="691">
        <v>76.400000000000006</v>
      </c>
    </row>
    <row r="403" spans="1:11">
      <c r="A403" s="688" t="s">
        <v>23</v>
      </c>
      <c r="B403" s="689">
        <v>77.3</v>
      </c>
      <c r="C403" s="689">
        <v>77.400000000000006</v>
      </c>
      <c r="D403" s="689">
        <v>77.400000000000006</v>
      </c>
      <c r="E403" s="689">
        <v>77.599999999999994</v>
      </c>
      <c r="F403" s="689">
        <v>77.7</v>
      </c>
      <c r="G403" s="689">
        <v>77.7</v>
      </c>
      <c r="H403" s="689">
        <v>78.3</v>
      </c>
      <c r="I403" s="689">
        <v>77.7</v>
      </c>
      <c r="J403" s="689">
        <v>78.2</v>
      </c>
      <c r="K403" s="689">
        <v>78.3</v>
      </c>
    </row>
    <row r="404" spans="1:11">
      <c r="A404" s="688" t="s">
        <v>4067</v>
      </c>
      <c r="B404" s="691">
        <v>75.900000000000006</v>
      </c>
      <c r="C404" s="691">
        <v>76.3</v>
      </c>
      <c r="D404" s="615">
        <v>76</v>
      </c>
      <c r="E404" s="691">
        <v>76.3</v>
      </c>
      <c r="F404" s="691">
        <v>76.3</v>
      </c>
      <c r="G404" s="691">
        <v>76.400000000000006</v>
      </c>
      <c r="H404" s="692" t="s">
        <v>4060</v>
      </c>
      <c r="I404" s="692" t="s">
        <v>4060</v>
      </c>
      <c r="J404" s="692" t="s">
        <v>4060</v>
      </c>
      <c r="K404" s="692" t="s">
        <v>4060</v>
      </c>
    </row>
    <row r="405" spans="1:11">
      <c r="A405" s="688" t="s">
        <v>4066</v>
      </c>
      <c r="B405" s="689">
        <v>75.900000000000006</v>
      </c>
      <c r="C405" s="689">
        <v>76.3</v>
      </c>
      <c r="D405" s="693">
        <v>76</v>
      </c>
      <c r="E405" s="689">
        <v>76.3</v>
      </c>
      <c r="F405" s="689">
        <v>76.3</v>
      </c>
      <c r="G405" s="689">
        <v>76.400000000000006</v>
      </c>
      <c r="H405" s="690" t="s">
        <v>4060</v>
      </c>
      <c r="I405" s="690" t="s">
        <v>4060</v>
      </c>
      <c r="J405" s="690" t="s">
        <v>4060</v>
      </c>
      <c r="K405" s="690" t="s">
        <v>4060</v>
      </c>
    </row>
    <row r="406" spans="1:11">
      <c r="A406" s="688" t="s">
        <v>4062</v>
      </c>
      <c r="B406" s="691">
        <v>77.8</v>
      </c>
      <c r="C406" s="615">
        <v>78</v>
      </c>
      <c r="D406" s="615">
        <v>78</v>
      </c>
      <c r="E406" s="691">
        <v>78.3</v>
      </c>
      <c r="F406" s="691">
        <v>78.400000000000006</v>
      </c>
      <c r="G406" s="691">
        <v>78.599999999999994</v>
      </c>
      <c r="H406" s="691">
        <v>78.7</v>
      </c>
      <c r="I406" s="691">
        <v>78.400000000000006</v>
      </c>
      <c r="J406" s="691">
        <v>78.7</v>
      </c>
      <c r="K406" s="691">
        <v>78.5</v>
      </c>
    </row>
    <row r="407" spans="1:11">
      <c r="A407" s="688" t="s">
        <v>9</v>
      </c>
      <c r="B407" s="689">
        <v>77.3</v>
      </c>
      <c r="C407" s="689">
        <v>77.8</v>
      </c>
      <c r="D407" s="689">
        <v>77.599999999999994</v>
      </c>
      <c r="E407" s="689">
        <v>77.2</v>
      </c>
      <c r="F407" s="689">
        <v>77.7</v>
      </c>
      <c r="G407" s="689">
        <v>77.900000000000006</v>
      </c>
      <c r="H407" s="689">
        <v>78.099999999999994</v>
      </c>
      <c r="I407" s="689">
        <v>78.099999999999994</v>
      </c>
      <c r="J407" s="689">
        <v>78.400000000000006</v>
      </c>
      <c r="K407" s="689">
        <v>77.3</v>
      </c>
    </row>
    <row r="408" spans="1:11">
      <c r="A408" s="688" t="s">
        <v>13</v>
      </c>
      <c r="B408" s="691">
        <v>77.900000000000006</v>
      </c>
      <c r="C408" s="691">
        <v>77.3</v>
      </c>
      <c r="D408" s="615">
        <v>78</v>
      </c>
      <c r="E408" s="691">
        <v>77.3</v>
      </c>
      <c r="F408" s="691">
        <v>78.3</v>
      </c>
      <c r="G408" s="615">
        <v>78</v>
      </c>
      <c r="H408" s="615">
        <v>79</v>
      </c>
      <c r="I408" s="691">
        <v>77.2</v>
      </c>
      <c r="J408" s="691">
        <v>79.099999999999994</v>
      </c>
      <c r="K408" s="691">
        <v>78.8</v>
      </c>
    </row>
    <row r="409" spans="1:11">
      <c r="A409" s="688" t="s">
        <v>18</v>
      </c>
      <c r="B409" s="693">
        <v>77</v>
      </c>
      <c r="C409" s="689">
        <v>77.3</v>
      </c>
      <c r="D409" s="689">
        <v>77.5</v>
      </c>
      <c r="E409" s="689">
        <v>77.599999999999994</v>
      </c>
      <c r="F409" s="689">
        <v>77.900000000000006</v>
      </c>
      <c r="G409" s="693">
        <v>78</v>
      </c>
      <c r="H409" s="689">
        <v>78.2</v>
      </c>
      <c r="I409" s="689">
        <v>78.400000000000006</v>
      </c>
      <c r="J409" s="689">
        <v>78.3</v>
      </c>
      <c r="K409" s="689">
        <v>77.8</v>
      </c>
    </row>
    <row r="410" spans="1:11">
      <c r="A410" s="688" t="s">
        <v>24</v>
      </c>
      <c r="B410" s="691">
        <v>78.3</v>
      </c>
      <c r="C410" s="691">
        <v>78.5</v>
      </c>
      <c r="D410" s="691">
        <v>78.2</v>
      </c>
      <c r="E410" s="691">
        <v>78.8</v>
      </c>
      <c r="F410" s="691">
        <v>78.8</v>
      </c>
      <c r="G410" s="691">
        <v>78.900000000000006</v>
      </c>
      <c r="H410" s="691">
        <v>79.099999999999994</v>
      </c>
      <c r="I410" s="691">
        <v>78.400000000000006</v>
      </c>
      <c r="J410" s="615">
        <v>79</v>
      </c>
      <c r="K410" s="691">
        <v>78.900000000000006</v>
      </c>
    </row>
    <row r="411" spans="1:11">
      <c r="A411" s="688" t="s">
        <v>4059</v>
      </c>
      <c r="B411" s="689">
        <v>76.5</v>
      </c>
      <c r="C411" s="689">
        <v>76.7</v>
      </c>
      <c r="D411" s="689">
        <v>76.400000000000006</v>
      </c>
      <c r="E411" s="689">
        <v>76.599999999999994</v>
      </c>
      <c r="F411" s="689">
        <v>76.7</v>
      </c>
      <c r="G411" s="689">
        <v>76.599999999999994</v>
      </c>
      <c r="H411" s="690" t="s">
        <v>4060</v>
      </c>
      <c r="I411" s="690" t="s">
        <v>4060</v>
      </c>
      <c r="J411" s="690" t="s">
        <v>4060</v>
      </c>
      <c r="K411" s="690" t="s">
        <v>4060</v>
      </c>
    </row>
    <row r="412" spans="1:11">
      <c r="A412" s="688" t="s">
        <v>2324</v>
      </c>
      <c r="B412" s="691">
        <v>71.900000000000006</v>
      </c>
      <c r="C412" s="691">
        <v>71.900000000000006</v>
      </c>
      <c r="D412" s="691">
        <v>71.7</v>
      </c>
      <c r="E412" s="691">
        <v>71.8</v>
      </c>
      <c r="F412" s="691">
        <v>71.8</v>
      </c>
      <c r="G412" s="691">
        <v>72.099999999999994</v>
      </c>
      <c r="H412" s="615">
        <v>72</v>
      </c>
      <c r="I412" s="691">
        <v>71.2</v>
      </c>
      <c r="J412" s="691">
        <v>68.900000000000006</v>
      </c>
      <c r="K412" s="692" t="s">
        <v>4060</v>
      </c>
    </row>
    <row r="413" spans="1:11">
      <c r="A413" s="688" t="s">
        <v>2322</v>
      </c>
      <c r="B413" s="690" t="s">
        <v>4060</v>
      </c>
      <c r="C413" s="690" t="s">
        <v>4060</v>
      </c>
      <c r="D413" s="690" t="s">
        <v>4060</v>
      </c>
      <c r="E413" s="690" t="s">
        <v>4060</v>
      </c>
      <c r="F413" s="690" t="s">
        <v>4060</v>
      </c>
      <c r="G413" s="690" t="s">
        <v>4060</v>
      </c>
      <c r="H413" s="690" t="s">
        <v>4060</v>
      </c>
      <c r="I413" s="690" t="s">
        <v>4060</v>
      </c>
      <c r="J413" s="690" t="s">
        <v>4060</v>
      </c>
      <c r="K413" s="690" t="s">
        <v>4060</v>
      </c>
    </row>
    <row r="414" spans="1:11">
      <c r="A414" s="688" t="s">
        <v>2328</v>
      </c>
      <c r="B414" s="691">
        <v>71.3</v>
      </c>
      <c r="C414" s="691">
        <v>71.3</v>
      </c>
      <c r="D414" s="691">
        <v>71.2</v>
      </c>
      <c r="E414" s="691">
        <v>71.400000000000006</v>
      </c>
      <c r="F414" s="691">
        <v>71.8</v>
      </c>
      <c r="G414" s="691">
        <v>72.099999999999994</v>
      </c>
      <c r="H414" s="691">
        <v>72.099999999999994</v>
      </c>
      <c r="I414" s="691">
        <v>69.8</v>
      </c>
      <c r="J414" s="691">
        <v>68.599999999999994</v>
      </c>
      <c r="K414" s="692" t="s">
        <v>4060</v>
      </c>
    </row>
    <row r="415" spans="1:11">
      <c r="A415" s="688" t="s">
        <v>2496</v>
      </c>
      <c r="B415" s="690" t="s">
        <v>4060</v>
      </c>
      <c r="C415" s="693">
        <v>70</v>
      </c>
      <c r="D415" s="689">
        <v>68.8</v>
      </c>
      <c r="E415" s="689">
        <v>68.5</v>
      </c>
      <c r="F415" s="689">
        <v>69.3</v>
      </c>
      <c r="G415" s="689">
        <v>69.7</v>
      </c>
      <c r="H415" s="689">
        <v>69.7</v>
      </c>
      <c r="I415" s="690" t="s">
        <v>4060</v>
      </c>
      <c r="J415" s="690" t="s">
        <v>4060</v>
      </c>
      <c r="K415" s="689">
        <v>69.400000000000006</v>
      </c>
    </row>
    <row r="416" spans="1:11">
      <c r="A416" s="688" t="s">
        <v>2269</v>
      </c>
      <c r="B416" s="691">
        <v>73.7</v>
      </c>
      <c r="C416" s="691">
        <v>73.900000000000006</v>
      </c>
      <c r="D416" s="691">
        <v>73.599999999999994</v>
      </c>
      <c r="E416" s="691">
        <v>74.3</v>
      </c>
      <c r="F416" s="691">
        <v>74.2</v>
      </c>
      <c r="G416" s="691">
        <v>74.7</v>
      </c>
      <c r="H416" s="691">
        <v>74.900000000000006</v>
      </c>
      <c r="I416" s="691">
        <v>73.2</v>
      </c>
      <c r="J416" s="691">
        <v>71.2</v>
      </c>
      <c r="K416" s="691">
        <v>74.7</v>
      </c>
    </row>
    <row r="417" spans="1:11">
      <c r="A417" s="688" t="s">
        <v>2349</v>
      </c>
      <c r="B417" s="689">
        <v>70.8</v>
      </c>
      <c r="C417" s="689">
        <v>70.900000000000006</v>
      </c>
      <c r="D417" s="689">
        <v>70.8</v>
      </c>
      <c r="E417" s="689">
        <v>71.2</v>
      </c>
      <c r="F417" s="689">
        <v>71.099999999999994</v>
      </c>
      <c r="G417" s="689">
        <v>71.400000000000006</v>
      </c>
      <c r="H417" s="689">
        <v>71.400000000000006</v>
      </c>
      <c r="I417" s="689">
        <v>69.900000000000006</v>
      </c>
      <c r="J417" s="689">
        <v>68.2</v>
      </c>
      <c r="K417" s="689">
        <v>70.599999999999994</v>
      </c>
    </row>
    <row r="418" spans="1:11">
      <c r="A418" s="688" t="s">
        <v>2355</v>
      </c>
      <c r="B418" s="691">
        <v>74.3</v>
      </c>
      <c r="C418" s="691">
        <v>74.2</v>
      </c>
      <c r="D418" s="691">
        <v>74.2</v>
      </c>
      <c r="E418" s="691">
        <v>74.099999999999994</v>
      </c>
      <c r="F418" s="691">
        <v>74.400000000000006</v>
      </c>
      <c r="G418" s="691">
        <v>74.8</v>
      </c>
      <c r="H418" s="615">
        <v>75</v>
      </c>
      <c r="I418" s="692" t="s">
        <v>4060</v>
      </c>
      <c r="J418" s="692" t="s">
        <v>4060</v>
      </c>
      <c r="K418" s="692" t="s">
        <v>4060</v>
      </c>
    </row>
    <row r="419" spans="1:11">
      <c r="A419" s="688" t="s">
        <v>2357</v>
      </c>
      <c r="B419" s="690" t="s">
        <v>4060</v>
      </c>
      <c r="C419" s="689">
        <v>67.400000000000006</v>
      </c>
      <c r="D419" s="689">
        <v>68.2</v>
      </c>
      <c r="E419" s="689">
        <v>68.599999999999994</v>
      </c>
      <c r="F419" s="689">
        <v>68.900000000000006</v>
      </c>
      <c r="G419" s="689">
        <v>68.8</v>
      </c>
      <c r="H419" s="693">
        <v>69</v>
      </c>
      <c r="I419" s="690" t="s">
        <v>4060</v>
      </c>
      <c r="J419" s="690" t="s">
        <v>4060</v>
      </c>
      <c r="K419" s="690" t="s">
        <v>4060</v>
      </c>
    </row>
    <row r="420" spans="1:11">
      <c r="A420" s="688" t="s">
        <v>4070</v>
      </c>
      <c r="B420" s="692" t="s">
        <v>4060</v>
      </c>
      <c r="C420" s="692" t="s">
        <v>4060</v>
      </c>
      <c r="D420" s="692" t="s">
        <v>4060</v>
      </c>
      <c r="E420" s="691">
        <v>74.2</v>
      </c>
      <c r="F420" s="692" t="s">
        <v>4060</v>
      </c>
      <c r="G420" s="692" t="s">
        <v>4060</v>
      </c>
      <c r="H420" s="692" t="s">
        <v>4060</v>
      </c>
      <c r="I420" s="692" t="s">
        <v>4060</v>
      </c>
      <c r="J420" s="692" t="s">
        <v>4060</v>
      </c>
      <c r="K420" s="692" t="s">
        <v>4060</v>
      </c>
    </row>
    <row r="421" spans="1:11">
      <c r="A421" s="688" t="s">
        <v>2491</v>
      </c>
      <c r="B421" s="689">
        <v>68.099999999999994</v>
      </c>
      <c r="C421" s="689">
        <v>68.7</v>
      </c>
      <c r="D421" s="689">
        <v>69.3</v>
      </c>
      <c r="E421" s="689">
        <v>69.5</v>
      </c>
      <c r="F421" s="689">
        <v>69.8</v>
      </c>
      <c r="G421" s="689">
        <v>69.8</v>
      </c>
      <c r="H421" s="690" t="s">
        <v>4060</v>
      </c>
      <c r="I421" s="690" t="s">
        <v>4060</v>
      </c>
      <c r="J421" s="690" t="s">
        <v>4060</v>
      </c>
      <c r="K421" s="690" t="s">
        <v>4060</v>
      </c>
    </row>
    <row r="422" spans="1:11">
      <c r="A422" s="688" t="s">
        <v>2343</v>
      </c>
      <c r="B422" s="692" t="s">
        <v>4060</v>
      </c>
      <c r="C422" s="692" t="s">
        <v>4060</v>
      </c>
      <c r="D422" s="692" t="s">
        <v>4060</v>
      </c>
      <c r="E422" s="692" t="s">
        <v>4060</v>
      </c>
      <c r="F422" s="692" t="s">
        <v>4060</v>
      </c>
      <c r="G422" s="692" t="s">
        <v>4060</v>
      </c>
      <c r="H422" s="692" t="s">
        <v>4060</v>
      </c>
      <c r="I422" s="692" t="s">
        <v>4060</v>
      </c>
      <c r="J422" s="692" t="s">
        <v>4060</v>
      </c>
      <c r="K422" s="692" t="s">
        <v>4060</v>
      </c>
    </row>
    <row r="423" spans="1:11">
      <c r="A423" s="688" t="s">
        <v>4071</v>
      </c>
      <c r="B423" s="690" t="s">
        <v>4060</v>
      </c>
      <c r="C423" s="690" t="s">
        <v>4060</v>
      </c>
      <c r="D423" s="690" t="s">
        <v>4060</v>
      </c>
      <c r="E423" s="690" t="s">
        <v>4060</v>
      </c>
      <c r="F423" s="690" t="s">
        <v>4060</v>
      </c>
      <c r="G423" s="690" t="s">
        <v>4060</v>
      </c>
      <c r="H423" s="690" t="s">
        <v>4060</v>
      </c>
      <c r="I423" s="690" t="s">
        <v>4060</v>
      </c>
      <c r="J423" s="690" t="s">
        <v>4060</v>
      </c>
      <c r="K423" s="690" t="s">
        <v>4060</v>
      </c>
    </row>
    <row r="424" spans="1:11">
      <c r="A424" s="688" t="s">
        <v>2489</v>
      </c>
      <c r="B424" s="692" t="s">
        <v>4060</v>
      </c>
      <c r="C424" s="692" t="s">
        <v>4060</v>
      </c>
      <c r="D424" s="691">
        <v>70.8</v>
      </c>
      <c r="E424" s="691">
        <v>70.8</v>
      </c>
      <c r="F424" s="691">
        <v>71.599999999999994</v>
      </c>
      <c r="G424" s="691">
        <v>72.400000000000006</v>
      </c>
      <c r="H424" s="691">
        <v>72.2</v>
      </c>
      <c r="I424" s="692" t="s">
        <v>4060</v>
      </c>
      <c r="J424" s="692" t="s">
        <v>4060</v>
      </c>
      <c r="K424" s="692" t="s">
        <v>4060</v>
      </c>
    </row>
    <row r="425" spans="1:11">
      <c r="A425" s="688" t="s">
        <v>2490</v>
      </c>
      <c r="B425" s="689">
        <v>70.599999999999994</v>
      </c>
      <c r="C425" s="689">
        <v>70.7</v>
      </c>
      <c r="D425" s="689">
        <v>71.400000000000006</v>
      </c>
      <c r="E425" s="690" t="s">
        <v>4060</v>
      </c>
      <c r="F425" s="689">
        <v>71.599999999999994</v>
      </c>
      <c r="G425" s="689">
        <v>71.900000000000006</v>
      </c>
      <c r="H425" s="689">
        <v>72.599999999999994</v>
      </c>
      <c r="I425" s="690" t="s">
        <v>4060</v>
      </c>
      <c r="J425" s="690" t="s">
        <v>4060</v>
      </c>
      <c r="K425" s="690" t="s">
        <v>4060</v>
      </c>
    </row>
    <row r="427" spans="1:11">
      <c r="A427" s="683" t="s">
        <v>4233</v>
      </c>
    </row>
    <row r="428" spans="1:11">
      <c r="A428" s="683" t="s">
        <v>4060</v>
      </c>
      <c r="B428" s="682" t="s">
        <v>4234</v>
      </c>
    </row>
    <row r="430" spans="1:11">
      <c r="A430" s="682" t="s">
        <v>4209</v>
      </c>
    </row>
    <row r="431" spans="1:11">
      <c r="A431" s="682" t="s">
        <v>4210</v>
      </c>
      <c r="B431" s="683" t="s">
        <v>4211</v>
      </c>
    </row>
    <row r="432" spans="1:11">
      <c r="A432" s="682" t="s">
        <v>4212</v>
      </c>
      <c r="B432" s="682" t="s">
        <v>4213</v>
      </c>
    </row>
    <row r="434" spans="1:11">
      <c r="A434" s="683" t="s">
        <v>4214</v>
      </c>
      <c r="C434" s="682" t="s">
        <v>4215</v>
      </c>
    </row>
    <row r="435" spans="1:11">
      <c r="A435" s="683" t="s">
        <v>4216</v>
      </c>
      <c r="C435" s="682" t="s">
        <v>2967</v>
      </c>
    </row>
    <row r="436" spans="1:11">
      <c r="A436" s="683" t="s">
        <v>3893</v>
      </c>
      <c r="C436" s="682" t="s">
        <v>4217</v>
      </c>
    </row>
    <row r="437" spans="1:11">
      <c r="A437" s="683" t="s">
        <v>4218</v>
      </c>
      <c r="C437" s="682" t="s">
        <v>4240</v>
      </c>
    </row>
    <row r="439" spans="1:11">
      <c r="A439" s="684" t="s">
        <v>4220</v>
      </c>
      <c r="B439" s="685" t="s">
        <v>4221</v>
      </c>
      <c r="C439" s="685" t="s">
        <v>4222</v>
      </c>
      <c r="D439" s="685" t="s">
        <v>4223</v>
      </c>
      <c r="E439" s="685" t="s">
        <v>4224</v>
      </c>
      <c r="F439" s="685" t="s">
        <v>4225</v>
      </c>
      <c r="G439" s="685" t="s">
        <v>4226</v>
      </c>
      <c r="H439" s="685" t="s">
        <v>4227</v>
      </c>
      <c r="I439" s="685" t="s">
        <v>4228</v>
      </c>
      <c r="J439" s="685" t="s">
        <v>4229</v>
      </c>
      <c r="K439" s="685" t="s">
        <v>4230</v>
      </c>
    </row>
    <row r="440" spans="1:11">
      <c r="A440" s="686" t="s">
        <v>4231</v>
      </c>
      <c r="B440" s="687" t="s">
        <v>4232</v>
      </c>
      <c r="C440" s="687" t="s">
        <v>4232</v>
      </c>
      <c r="D440" s="687" t="s">
        <v>4232</v>
      </c>
      <c r="E440" s="687" t="s">
        <v>4232</v>
      </c>
      <c r="F440" s="687" t="s">
        <v>4232</v>
      </c>
      <c r="G440" s="687" t="s">
        <v>4232</v>
      </c>
      <c r="H440" s="687" t="s">
        <v>4232</v>
      </c>
      <c r="I440" s="687" t="s">
        <v>4232</v>
      </c>
      <c r="J440" s="687" t="s">
        <v>4232</v>
      </c>
      <c r="K440" s="687" t="s">
        <v>4232</v>
      </c>
    </row>
    <row r="441" spans="1:11">
      <c r="A441" s="688" t="s">
        <v>4064</v>
      </c>
      <c r="B441" s="689">
        <v>74.8</v>
      </c>
      <c r="C441" s="689">
        <v>74.900000000000006</v>
      </c>
      <c r="D441" s="689">
        <v>74.900000000000006</v>
      </c>
      <c r="E441" s="693">
        <v>75</v>
      </c>
      <c r="F441" s="689">
        <v>75.099999999999994</v>
      </c>
      <c r="G441" s="689">
        <v>75.099999999999994</v>
      </c>
      <c r="H441" s="689">
        <v>75.400000000000006</v>
      </c>
      <c r="I441" s="689">
        <v>74.599999999999994</v>
      </c>
      <c r="J441" s="689">
        <v>74.3</v>
      </c>
      <c r="K441" s="689">
        <v>74.900000000000006</v>
      </c>
    </row>
    <row r="442" spans="1:11">
      <c r="A442" s="688" t="s">
        <v>4065</v>
      </c>
      <c r="B442" s="691">
        <v>74.900000000000006</v>
      </c>
      <c r="C442" s="691">
        <v>75.3</v>
      </c>
      <c r="D442" s="691">
        <v>74.900000000000006</v>
      </c>
      <c r="E442" s="691">
        <v>75.3</v>
      </c>
      <c r="F442" s="691">
        <v>75.3</v>
      </c>
      <c r="G442" s="691">
        <v>75.400000000000006</v>
      </c>
      <c r="H442" s="692" t="s">
        <v>4060</v>
      </c>
      <c r="I442" s="692" t="s">
        <v>4060</v>
      </c>
      <c r="J442" s="692" t="s">
        <v>4060</v>
      </c>
      <c r="K442" s="692" t="s">
        <v>4060</v>
      </c>
    </row>
    <row r="443" spans="1:11">
      <c r="A443" s="688" t="s">
        <v>4063</v>
      </c>
      <c r="B443" s="689">
        <v>74.900000000000006</v>
      </c>
      <c r="C443" s="689">
        <v>75.3</v>
      </c>
      <c r="D443" s="693">
        <v>75</v>
      </c>
      <c r="E443" s="689">
        <v>75.3</v>
      </c>
      <c r="F443" s="689">
        <v>75.3</v>
      </c>
      <c r="G443" s="689">
        <v>75.400000000000006</v>
      </c>
      <c r="H443" s="690" t="s">
        <v>4060</v>
      </c>
      <c r="I443" s="690" t="s">
        <v>4060</v>
      </c>
      <c r="J443" s="690" t="s">
        <v>4060</v>
      </c>
      <c r="K443" s="690" t="s">
        <v>4060</v>
      </c>
    </row>
    <row r="444" spans="1:11">
      <c r="A444" s="688" t="s">
        <v>4069</v>
      </c>
      <c r="B444" s="692" t="s">
        <v>4060</v>
      </c>
      <c r="C444" s="691">
        <v>75.900000000000006</v>
      </c>
      <c r="D444" s="691">
        <v>75.7</v>
      </c>
      <c r="E444" s="615">
        <v>76</v>
      </c>
      <c r="F444" s="691">
        <v>76.099999999999994</v>
      </c>
      <c r="G444" s="691">
        <v>76.2</v>
      </c>
      <c r="H444" s="691">
        <v>76.400000000000006</v>
      </c>
      <c r="I444" s="691">
        <v>75.7</v>
      </c>
      <c r="J444" s="691">
        <v>75.7</v>
      </c>
      <c r="K444" s="691">
        <v>75.900000000000006</v>
      </c>
    </row>
    <row r="445" spans="1:11">
      <c r="A445" s="688" t="s">
        <v>4068</v>
      </c>
      <c r="B445" s="689">
        <v>75.900000000000006</v>
      </c>
      <c r="C445" s="690" t="s">
        <v>4060</v>
      </c>
      <c r="D445" s="690" t="s">
        <v>4060</v>
      </c>
      <c r="E445" s="690" t="s">
        <v>4060</v>
      </c>
      <c r="F445" s="690" t="s">
        <v>4060</v>
      </c>
      <c r="G445" s="690" t="s">
        <v>4060</v>
      </c>
      <c r="H445" s="690" t="s">
        <v>4060</v>
      </c>
      <c r="I445" s="690" t="s">
        <v>4060</v>
      </c>
      <c r="J445" s="690" t="s">
        <v>4060</v>
      </c>
      <c r="K445" s="690" t="s">
        <v>4060</v>
      </c>
    </row>
    <row r="446" spans="1:11">
      <c r="A446" s="688" t="s">
        <v>0</v>
      </c>
      <c r="B446" s="615">
        <v>75</v>
      </c>
      <c r="C446" s="691">
        <v>75.400000000000006</v>
      </c>
      <c r="D446" s="691">
        <v>75.2</v>
      </c>
      <c r="E446" s="691">
        <v>75.599999999999994</v>
      </c>
      <c r="F446" s="691">
        <v>75.7</v>
      </c>
      <c r="G446" s="691">
        <v>75.8</v>
      </c>
      <c r="H446" s="691">
        <v>76.2</v>
      </c>
      <c r="I446" s="691">
        <v>75.099999999999994</v>
      </c>
      <c r="J446" s="615">
        <v>76</v>
      </c>
      <c r="K446" s="615">
        <v>76</v>
      </c>
    </row>
    <row r="447" spans="1:11">
      <c r="A447" s="688" t="s">
        <v>1</v>
      </c>
      <c r="B447" s="689">
        <v>69.599999999999994</v>
      </c>
      <c r="C447" s="689">
        <v>69.099999999999994</v>
      </c>
      <c r="D447" s="689">
        <v>69.099999999999994</v>
      </c>
      <c r="E447" s="689">
        <v>69.3</v>
      </c>
      <c r="F447" s="689">
        <v>69.2</v>
      </c>
      <c r="G447" s="689">
        <v>69.3</v>
      </c>
      <c r="H447" s="689">
        <v>69.400000000000006</v>
      </c>
      <c r="I447" s="689">
        <v>67.8</v>
      </c>
      <c r="J447" s="689">
        <v>65.7</v>
      </c>
      <c r="K447" s="689">
        <v>68.599999999999994</v>
      </c>
    </row>
    <row r="448" spans="1:11">
      <c r="A448" s="688" t="s">
        <v>2240</v>
      </c>
      <c r="B448" s="691">
        <v>72.599999999999994</v>
      </c>
      <c r="C448" s="615">
        <v>73</v>
      </c>
      <c r="D448" s="691">
        <v>72.8</v>
      </c>
      <c r="E448" s="691">
        <v>73.3</v>
      </c>
      <c r="F448" s="691">
        <v>73.2</v>
      </c>
      <c r="G448" s="691">
        <v>73.3</v>
      </c>
      <c r="H448" s="691">
        <v>73.5</v>
      </c>
      <c r="I448" s="691">
        <v>72.5</v>
      </c>
      <c r="J448" s="691">
        <v>71.400000000000006</v>
      </c>
      <c r="K448" s="691">
        <v>73.2</v>
      </c>
    </row>
    <row r="449" spans="1:11">
      <c r="A449" s="688" t="s">
        <v>2</v>
      </c>
      <c r="B449" s="689">
        <v>74.7</v>
      </c>
      <c r="C449" s="693">
        <v>75</v>
      </c>
      <c r="D449" s="689">
        <v>75.099999999999994</v>
      </c>
      <c r="E449" s="689">
        <v>75.2</v>
      </c>
      <c r="F449" s="689">
        <v>75.5</v>
      </c>
      <c r="G449" s="689">
        <v>75.3</v>
      </c>
      <c r="H449" s="689">
        <v>75.7</v>
      </c>
      <c r="I449" s="689">
        <v>75.8</v>
      </c>
      <c r="J449" s="689">
        <v>75.7</v>
      </c>
      <c r="K449" s="689">
        <v>75.599999999999994</v>
      </c>
    </row>
    <row r="450" spans="1:11">
      <c r="A450" s="688" t="s">
        <v>3</v>
      </c>
      <c r="B450" s="615">
        <v>75</v>
      </c>
      <c r="C450" s="691">
        <v>75.2</v>
      </c>
      <c r="D450" s="691">
        <v>74.900000000000006</v>
      </c>
      <c r="E450" s="691">
        <v>75.2</v>
      </c>
      <c r="F450" s="691">
        <v>75.3</v>
      </c>
      <c r="G450" s="691">
        <v>75.2</v>
      </c>
      <c r="H450" s="691">
        <v>75.5</v>
      </c>
      <c r="I450" s="691">
        <v>75.3</v>
      </c>
      <c r="J450" s="615">
        <v>75</v>
      </c>
      <c r="K450" s="691">
        <v>74.8</v>
      </c>
    </row>
    <row r="451" spans="1:11">
      <c r="A451" s="688" t="s">
        <v>4061</v>
      </c>
      <c r="B451" s="693">
        <v>75</v>
      </c>
      <c r="C451" s="689">
        <v>75.2</v>
      </c>
      <c r="D451" s="689">
        <v>74.900000000000006</v>
      </c>
      <c r="E451" s="689">
        <v>75.2</v>
      </c>
      <c r="F451" s="689">
        <v>75.3</v>
      </c>
      <c r="G451" s="689">
        <v>75.2</v>
      </c>
      <c r="H451" s="689">
        <v>75.5</v>
      </c>
      <c r="I451" s="689">
        <v>75.3</v>
      </c>
      <c r="J451" s="693">
        <v>75</v>
      </c>
      <c r="K451" s="689">
        <v>74.8</v>
      </c>
    </row>
    <row r="452" spans="1:11">
      <c r="A452" s="688" t="s">
        <v>4</v>
      </c>
      <c r="B452" s="691">
        <v>71.8</v>
      </c>
      <c r="C452" s="691">
        <v>71.400000000000006</v>
      </c>
      <c r="D452" s="615">
        <v>72</v>
      </c>
      <c r="E452" s="615">
        <v>72</v>
      </c>
      <c r="F452" s="691">
        <v>72.5</v>
      </c>
      <c r="G452" s="691">
        <v>72.599999999999994</v>
      </c>
      <c r="H452" s="615">
        <v>73</v>
      </c>
      <c r="I452" s="691">
        <v>72.900000000000006</v>
      </c>
      <c r="J452" s="691">
        <v>71.400000000000006</v>
      </c>
      <c r="K452" s="691">
        <v>72.3</v>
      </c>
    </row>
    <row r="453" spans="1:11">
      <c r="A453" s="688" t="s">
        <v>8</v>
      </c>
      <c r="B453" s="689">
        <v>75.400000000000006</v>
      </c>
      <c r="C453" s="689">
        <v>75.599999999999994</v>
      </c>
      <c r="D453" s="689">
        <v>75.7</v>
      </c>
      <c r="E453" s="689">
        <v>75.8</v>
      </c>
      <c r="F453" s="689">
        <v>76.3</v>
      </c>
      <c r="G453" s="689">
        <v>76.3</v>
      </c>
      <c r="H453" s="689">
        <v>76.7</v>
      </c>
      <c r="I453" s="689">
        <v>76.599999999999994</v>
      </c>
      <c r="J453" s="689">
        <v>76.400000000000006</v>
      </c>
      <c r="K453" s="689">
        <v>76.599999999999994</v>
      </c>
    </row>
    <row r="454" spans="1:11">
      <c r="A454" s="688" t="s">
        <v>7</v>
      </c>
      <c r="B454" s="691">
        <v>75.7</v>
      </c>
      <c r="C454" s="691">
        <v>75.3</v>
      </c>
      <c r="D454" s="691">
        <v>75.099999999999994</v>
      </c>
      <c r="E454" s="691">
        <v>75.400000000000006</v>
      </c>
      <c r="F454" s="691">
        <v>75.400000000000006</v>
      </c>
      <c r="G454" s="691">
        <v>75.8</v>
      </c>
      <c r="H454" s="691">
        <v>75.8</v>
      </c>
      <c r="I454" s="691">
        <v>75.400000000000006</v>
      </c>
      <c r="J454" s="691">
        <v>74.400000000000006</v>
      </c>
      <c r="K454" s="691">
        <v>75.099999999999994</v>
      </c>
    </row>
    <row r="455" spans="1:11">
      <c r="A455" s="688" t="s">
        <v>27</v>
      </c>
      <c r="B455" s="689">
        <v>77.400000000000006</v>
      </c>
      <c r="C455" s="689">
        <v>77.2</v>
      </c>
      <c r="D455" s="689">
        <v>76.900000000000006</v>
      </c>
      <c r="E455" s="689">
        <v>77.3</v>
      </c>
      <c r="F455" s="689">
        <v>77.3</v>
      </c>
      <c r="G455" s="689">
        <v>77.400000000000006</v>
      </c>
      <c r="H455" s="689">
        <v>77.8</v>
      </c>
      <c r="I455" s="689">
        <v>76.5</v>
      </c>
      <c r="J455" s="689">
        <v>77.3</v>
      </c>
      <c r="K455" s="689">
        <v>77.3</v>
      </c>
    </row>
    <row r="456" spans="1:11">
      <c r="A456" s="688" t="s">
        <v>6</v>
      </c>
      <c r="B456" s="691">
        <v>76.7</v>
      </c>
      <c r="C456" s="691">
        <v>76.7</v>
      </c>
      <c r="D456" s="691">
        <v>76.5</v>
      </c>
      <c r="E456" s="691">
        <v>76.8</v>
      </c>
      <c r="F456" s="691">
        <v>76.8</v>
      </c>
      <c r="G456" s="615">
        <v>77</v>
      </c>
      <c r="H456" s="691">
        <v>77.099999999999994</v>
      </c>
      <c r="I456" s="691">
        <v>76.5</v>
      </c>
      <c r="J456" s="691">
        <v>76.599999999999994</v>
      </c>
      <c r="K456" s="691">
        <v>76.7</v>
      </c>
    </row>
    <row r="457" spans="1:11">
      <c r="A457" s="688" t="s">
        <v>4058</v>
      </c>
      <c r="B457" s="690" t="s">
        <v>4060</v>
      </c>
      <c r="C457" s="690" t="s">
        <v>4060</v>
      </c>
      <c r="D457" s="690" t="s">
        <v>4060</v>
      </c>
      <c r="E457" s="690" t="s">
        <v>4060</v>
      </c>
      <c r="F457" s="690" t="s">
        <v>4060</v>
      </c>
      <c r="G457" s="690" t="s">
        <v>4060</v>
      </c>
      <c r="H457" s="690" t="s">
        <v>4060</v>
      </c>
      <c r="I457" s="690" t="s">
        <v>4060</v>
      </c>
      <c r="J457" s="690" t="s">
        <v>4060</v>
      </c>
      <c r="K457" s="690" t="s">
        <v>4060</v>
      </c>
    </row>
    <row r="458" spans="1:11">
      <c r="A458" s="688" t="s">
        <v>11</v>
      </c>
      <c r="B458" s="691">
        <v>72.2</v>
      </c>
      <c r="C458" s="691">
        <v>72.2</v>
      </c>
      <c r="D458" s="691">
        <v>71.7</v>
      </c>
      <c r="E458" s="691">
        <v>72.400000000000006</v>
      </c>
      <c r="F458" s="691">
        <v>72.2</v>
      </c>
      <c r="G458" s="691">
        <v>72.400000000000006</v>
      </c>
      <c r="H458" s="691">
        <v>72.599999999999994</v>
      </c>
      <c r="I458" s="691">
        <v>71.900000000000006</v>
      </c>
      <c r="J458" s="615">
        <v>71</v>
      </c>
      <c r="K458" s="691">
        <v>72.099999999999994</v>
      </c>
    </row>
    <row r="459" spans="1:11">
      <c r="A459" s="688" t="s">
        <v>10</v>
      </c>
      <c r="B459" s="689">
        <v>77.099999999999994</v>
      </c>
      <c r="C459" s="689">
        <v>77.099999999999994</v>
      </c>
      <c r="D459" s="689">
        <v>76.7</v>
      </c>
      <c r="E459" s="689">
        <v>77.3</v>
      </c>
      <c r="F459" s="689">
        <v>77.099999999999994</v>
      </c>
      <c r="G459" s="689">
        <v>77.400000000000006</v>
      </c>
      <c r="H459" s="689">
        <v>77.599999999999994</v>
      </c>
      <c r="I459" s="689">
        <v>76.5</v>
      </c>
      <c r="J459" s="689">
        <v>76.8</v>
      </c>
      <c r="K459" s="693">
        <v>77</v>
      </c>
    </row>
    <row r="460" spans="1:11">
      <c r="A460" s="688" t="s">
        <v>30</v>
      </c>
      <c r="B460" s="691">
        <v>76.7</v>
      </c>
      <c r="C460" s="691">
        <v>76.5</v>
      </c>
      <c r="D460" s="691">
        <v>76.2</v>
      </c>
      <c r="E460" s="615">
        <v>77</v>
      </c>
      <c r="F460" s="691">
        <v>76.599999999999994</v>
      </c>
      <c r="G460" s="691">
        <v>77.2</v>
      </c>
      <c r="H460" s="691">
        <v>76.900000000000006</v>
      </c>
      <c r="I460" s="691">
        <v>76.900000000000006</v>
      </c>
      <c r="J460" s="615">
        <v>76</v>
      </c>
      <c r="K460" s="691">
        <v>76.5</v>
      </c>
    </row>
    <row r="461" spans="1:11">
      <c r="A461" s="688" t="s">
        <v>12</v>
      </c>
      <c r="B461" s="689">
        <v>68.8</v>
      </c>
      <c r="C461" s="689">
        <v>68.7</v>
      </c>
      <c r="D461" s="693">
        <v>69</v>
      </c>
      <c r="E461" s="689">
        <v>69.099999999999994</v>
      </c>
      <c r="F461" s="689">
        <v>69.2</v>
      </c>
      <c r="G461" s="689">
        <v>69.3</v>
      </c>
      <c r="H461" s="693">
        <v>70</v>
      </c>
      <c r="I461" s="689">
        <v>69.7</v>
      </c>
      <c r="J461" s="689">
        <v>67.400000000000006</v>
      </c>
      <c r="K461" s="689">
        <v>68.7</v>
      </c>
    </row>
    <row r="462" spans="1:11">
      <c r="A462" s="688" t="s">
        <v>14</v>
      </c>
      <c r="B462" s="691">
        <v>68.5</v>
      </c>
      <c r="C462" s="691">
        <v>68.900000000000006</v>
      </c>
      <c r="D462" s="691">
        <v>68.8</v>
      </c>
      <c r="E462" s="691">
        <v>69.2</v>
      </c>
      <c r="F462" s="615">
        <v>70</v>
      </c>
      <c r="G462" s="691">
        <v>70.2</v>
      </c>
      <c r="H462" s="691">
        <v>70.7</v>
      </c>
      <c r="I462" s="691">
        <v>69.400000000000006</v>
      </c>
      <c r="J462" s="691">
        <v>68.599999999999994</v>
      </c>
      <c r="K462" s="691">
        <v>70.099999999999994</v>
      </c>
    </row>
    <row r="463" spans="1:11">
      <c r="A463" s="688" t="s">
        <v>15</v>
      </c>
      <c r="B463" s="689">
        <v>76.2</v>
      </c>
      <c r="C463" s="689">
        <v>76.099999999999994</v>
      </c>
      <c r="D463" s="689">
        <v>76.3</v>
      </c>
      <c r="E463" s="689">
        <v>76.7</v>
      </c>
      <c r="F463" s="689">
        <v>76.099999999999994</v>
      </c>
      <c r="G463" s="689">
        <v>76.5</v>
      </c>
      <c r="H463" s="689">
        <v>76.900000000000006</v>
      </c>
      <c r="I463" s="689">
        <v>76.400000000000006</v>
      </c>
      <c r="J463" s="689">
        <v>76.8</v>
      </c>
      <c r="K463" s="689">
        <v>77.099999999999994</v>
      </c>
    </row>
    <row r="464" spans="1:11">
      <c r="A464" s="688" t="s">
        <v>29</v>
      </c>
      <c r="B464" s="691">
        <v>70.2</v>
      </c>
      <c r="C464" s="691">
        <v>70.2</v>
      </c>
      <c r="D464" s="615">
        <v>70</v>
      </c>
      <c r="E464" s="691">
        <v>70.400000000000006</v>
      </c>
      <c r="F464" s="691">
        <v>70.2</v>
      </c>
      <c r="G464" s="691">
        <v>70.400000000000006</v>
      </c>
      <c r="H464" s="691">
        <v>70.599999999999994</v>
      </c>
      <c r="I464" s="691">
        <v>69.900000000000006</v>
      </c>
      <c r="J464" s="691">
        <v>68.400000000000006</v>
      </c>
      <c r="K464" s="691">
        <v>70.2</v>
      </c>
    </row>
    <row r="465" spans="1:11">
      <c r="A465" s="688" t="s">
        <v>16</v>
      </c>
      <c r="B465" s="689">
        <v>76.400000000000006</v>
      </c>
      <c r="C465" s="689">
        <v>76.2</v>
      </c>
      <c r="D465" s="689">
        <v>76.3</v>
      </c>
      <c r="E465" s="689">
        <v>76.8</v>
      </c>
      <c r="F465" s="689">
        <v>76.7</v>
      </c>
      <c r="G465" s="689">
        <v>76.599999999999994</v>
      </c>
      <c r="H465" s="689">
        <v>77.099999999999994</v>
      </c>
      <c r="I465" s="689">
        <v>76.3</v>
      </c>
      <c r="J465" s="689">
        <v>76.400000000000006</v>
      </c>
      <c r="K465" s="689">
        <v>76.599999999999994</v>
      </c>
    </row>
    <row r="466" spans="1:11">
      <c r="A466" s="688" t="s">
        <v>17</v>
      </c>
      <c r="B466" s="691">
        <v>75.8</v>
      </c>
      <c r="C466" s="615">
        <v>76</v>
      </c>
      <c r="D466" s="691">
        <v>75.8</v>
      </c>
      <c r="E466" s="691">
        <v>75.900000000000006</v>
      </c>
      <c r="F466" s="691">
        <v>76.099999999999994</v>
      </c>
      <c r="G466" s="691">
        <v>76.099999999999994</v>
      </c>
      <c r="H466" s="691">
        <v>76.400000000000006</v>
      </c>
      <c r="I466" s="691">
        <v>75.7</v>
      </c>
      <c r="J466" s="691">
        <v>75.7</v>
      </c>
      <c r="K466" s="691">
        <v>75.900000000000006</v>
      </c>
    </row>
    <row r="467" spans="1:11">
      <c r="A467" s="688" t="s">
        <v>19</v>
      </c>
      <c r="B467" s="689">
        <v>75.599999999999994</v>
      </c>
      <c r="C467" s="689">
        <v>75.7</v>
      </c>
      <c r="D467" s="689">
        <v>75.5</v>
      </c>
      <c r="E467" s="689">
        <v>75.900000000000006</v>
      </c>
      <c r="F467" s="689">
        <v>75.900000000000006</v>
      </c>
      <c r="G467" s="693">
        <v>76</v>
      </c>
      <c r="H467" s="689">
        <v>76.2</v>
      </c>
      <c r="I467" s="689">
        <v>75.7</v>
      </c>
      <c r="J467" s="689">
        <v>75.599999999999994</v>
      </c>
      <c r="K467" s="689">
        <v>75.7</v>
      </c>
    </row>
    <row r="468" spans="1:11">
      <c r="A468" s="688" t="s">
        <v>20</v>
      </c>
      <c r="B468" s="691">
        <v>71.5</v>
      </c>
      <c r="C468" s="691">
        <v>71.900000000000006</v>
      </c>
      <c r="D468" s="691">
        <v>71.7</v>
      </c>
      <c r="E468" s="691">
        <v>72.099999999999994</v>
      </c>
      <c r="F468" s="615">
        <v>72</v>
      </c>
      <c r="G468" s="691">
        <v>71.900000000000006</v>
      </c>
      <c r="H468" s="691">
        <v>72.2</v>
      </c>
      <c r="I468" s="691">
        <v>70.7</v>
      </c>
      <c r="J468" s="691">
        <v>69.7</v>
      </c>
      <c r="K468" s="691">
        <v>71.400000000000006</v>
      </c>
    </row>
    <row r="469" spans="1:11">
      <c r="A469" s="688" t="s">
        <v>21</v>
      </c>
      <c r="B469" s="689">
        <v>75.2</v>
      </c>
      <c r="C469" s="689">
        <v>75.599999999999994</v>
      </c>
      <c r="D469" s="689">
        <v>75.599999999999994</v>
      </c>
      <c r="E469" s="689">
        <v>75.7</v>
      </c>
      <c r="F469" s="689">
        <v>75.900000000000006</v>
      </c>
      <c r="G469" s="689">
        <v>75.900000000000006</v>
      </c>
      <c r="H469" s="689">
        <v>76.3</v>
      </c>
      <c r="I469" s="689">
        <v>75.599999999999994</v>
      </c>
      <c r="J469" s="689">
        <v>75.7</v>
      </c>
      <c r="K469" s="693">
        <v>76</v>
      </c>
    </row>
    <row r="470" spans="1:11">
      <c r="A470" s="688" t="s">
        <v>22</v>
      </c>
      <c r="B470" s="691">
        <v>69.900000000000006</v>
      </c>
      <c r="C470" s="691">
        <v>69.599999999999994</v>
      </c>
      <c r="D470" s="691">
        <v>69.599999999999994</v>
      </c>
      <c r="E470" s="691">
        <v>69.8</v>
      </c>
      <c r="F470" s="691">
        <v>69.8</v>
      </c>
      <c r="G470" s="691">
        <v>69.8</v>
      </c>
      <c r="H470" s="691">
        <v>70.099999999999994</v>
      </c>
      <c r="I470" s="691">
        <v>68.599999999999994</v>
      </c>
      <c r="J470" s="691">
        <v>67.2</v>
      </c>
      <c r="K470" s="691">
        <v>69.599999999999994</v>
      </c>
    </row>
    <row r="471" spans="1:11">
      <c r="A471" s="688" t="s">
        <v>26</v>
      </c>
      <c r="B471" s="689">
        <v>74.7</v>
      </c>
      <c r="C471" s="689">
        <v>75.099999999999994</v>
      </c>
      <c r="D471" s="689">
        <v>74.8</v>
      </c>
      <c r="E471" s="689">
        <v>75.2</v>
      </c>
      <c r="F471" s="689">
        <v>75.099999999999994</v>
      </c>
      <c r="G471" s="689">
        <v>75.400000000000006</v>
      </c>
      <c r="H471" s="689">
        <v>75.599999999999994</v>
      </c>
      <c r="I471" s="689">
        <v>74.7</v>
      </c>
      <c r="J471" s="689">
        <v>74.8</v>
      </c>
      <c r="K471" s="689">
        <v>75.400000000000006</v>
      </c>
    </row>
    <row r="472" spans="1:11">
      <c r="A472" s="688" t="s">
        <v>25</v>
      </c>
      <c r="B472" s="691">
        <v>71.099999999999994</v>
      </c>
      <c r="C472" s="691">
        <v>71.5</v>
      </c>
      <c r="D472" s="691">
        <v>71.2</v>
      </c>
      <c r="E472" s="691">
        <v>71.7</v>
      </c>
      <c r="F472" s="691">
        <v>71.7</v>
      </c>
      <c r="G472" s="691">
        <v>71.8</v>
      </c>
      <c r="H472" s="691">
        <v>72.2</v>
      </c>
      <c r="I472" s="691">
        <v>71.5</v>
      </c>
      <c r="J472" s="691">
        <v>69.099999999999994</v>
      </c>
      <c r="K472" s="691">
        <v>71.5</v>
      </c>
    </row>
    <row r="473" spans="1:11">
      <c r="A473" s="688" t="s">
        <v>5</v>
      </c>
      <c r="B473" s="689">
        <v>75.3</v>
      </c>
      <c r="C473" s="689">
        <v>75.3</v>
      </c>
      <c r="D473" s="689">
        <v>75.5</v>
      </c>
      <c r="E473" s="689">
        <v>75.5</v>
      </c>
      <c r="F473" s="689">
        <v>75.7</v>
      </c>
      <c r="G473" s="689">
        <v>75.8</v>
      </c>
      <c r="H473" s="689">
        <v>76.099999999999994</v>
      </c>
      <c r="I473" s="693">
        <v>76</v>
      </c>
      <c r="J473" s="693">
        <v>76</v>
      </c>
      <c r="K473" s="689">
        <v>75.400000000000006</v>
      </c>
    </row>
    <row r="474" spans="1:11">
      <c r="A474" s="688" t="s">
        <v>23</v>
      </c>
      <c r="B474" s="691">
        <v>76.3</v>
      </c>
      <c r="C474" s="691">
        <v>76.400000000000006</v>
      </c>
      <c r="D474" s="691">
        <v>76.400000000000006</v>
      </c>
      <c r="E474" s="691">
        <v>76.599999999999994</v>
      </c>
      <c r="F474" s="691">
        <v>76.7</v>
      </c>
      <c r="G474" s="691">
        <v>76.8</v>
      </c>
      <c r="H474" s="691">
        <v>77.3</v>
      </c>
      <c r="I474" s="691">
        <v>76.7</v>
      </c>
      <c r="J474" s="691">
        <v>77.2</v>
      </c>
      <c r="K474" s="691">
        <v>77.3</v>
      </c>
    </row>
    <row r="475" spans="1:11">
      <c r="A475" s="688" t="s">
        <v>4067</v>
      </c>
      <c r="B475" s="689">
        <v>74.900000000000006</v>
      </c>
      <c r="C475" s="689">
        <v>75.3</v>
      </c>
      <c r="D475" s="693">
        <v>75</v>
      </c>
      <c r="E475" s="689">
        <v>75.3</v>
      </c>
      <c r="F475" s="689">
        <v>75.3</v>
      </c>
      <c r="G475" s="689">
        <v>75.400000000000006</v>
      </c>
      <c r="H475" s="690" t="s">
        <v>4060</v>
      </c>
      <c r="I475" s="690" t="s">
        <v>4060</v>
      </c>
      <c r="J475" s="690" t="s">
        <v>4060</v>
      </c>
      <c r="K475" s="690" t="s">
        <v>4060</v>
      </c>
    </row>
    <row r="476" spans="1:11">
      <c r="A476" s="688" t="s">
        <v>4066</v>
      </c>
      <c r="B476" s="691">
        <v>74.900000000000006</v>
      </c>
      <c r="C476" s="691">
        <v>75.3</v>
      </c>
      <c r="D476" s="615">
        <v>75</v>
      </c>
      <c r="E476" s="691">
        <v>75.400000000000006</v>
      </c>
      <c r="F476" s="691">
        <v>75.3</v>
      </c>
      <c r="G476" s="691">
        <v>75.400000000000006</v>
      </c>
      <c r="H476" s="692" t="s">
        <v>4060</v>
      </c>
      <c r="I476" s="692" t="s">
        <v>4060</v>
      </c>
      <c r="J476" s="692" t="s">
        <v>4060</v>
      </c>
      <c r="K476" s="692" t="s">
        <v>4060</v>
      </c>
    </row>
    <row r="477" spans="1:11">
      <c r="A477" s="688" t="s">
        <v>4062</v>
      </c>
      <c r="B477" s="689">
        <v>76.8</v>
      </c>
      <c r="C477" s="693">
        <v>77</v>
      </c>
      <c r="D477" s="693">
        <v>77</v>
      </c>
      <c r="E477" s="689">
        <v>77.3</v>
      </c>
      <c r="F477" s="689">
        <v>77.400000000000006</v>
      </c>
      <c r="G477" s="689">
        <v>77.599999999999994</v>
      </c>
      <c r="H477" s="689">
        <v>77.8</v>
      </c>
      <c r="I477" s="689">
        <v>77.400000000000006</v>
      </c>
      <c r="J477" s="689">
        <v>77.7</v>
      </c>
      <c r="K477" s="689">
        <v>77.5</v>
      </c>
    </row>
    <row r="478" spans="1:11">
      <c r="A478" s="688" t="s">
        <v>9</v>
      </c>
      <c r="B478" s="691">
        <v>76.3</v>
      </c>
      <c r="C478" s="691">
        <v>76.8</v>
      </c>
      <c r="D478" s="691">
        <v>76.599999999999994</v>
      </c>
      <c r="E478" s="691">
        <v>76.2</v>
      </c>
      <c r="F478" s="691">
        <v>76.7</v>
      </c>
      <c r="G478" s="691">
        <v>76.900000000000006</v>
      </c>
      <c r="H478" s="691">
        <v>77.099999999999994</v>
      </c>
      <c r="I478" s="691">
        <v>77.099999999999994</v>
      </c>
      <c r="J478" s="691">
        <v>77.400000000000006</v>
      </c>
      <c r="K478" s="691">
        <v>76.3</v>
      </c>
    </row>
    <row r="479" spans="1:11">
      <c r="A479" s="688" t="s">
        <v>13</v>
      </c>
      <c r="B479" s="689">
        <v>76.900000000000006</v>
      </c>
      <c r="C479" s="689">
        <v>76.3</v>
      </c>
      <c r="D479" s="693">
        <v>77</v>
      </c>
      <c r="E479" s="689">
        <v>76.3</v>
      </c>
      <c r="F479" s="689">
        <v>77.3</v>
      </c>
      <c r="G479" s="693">
        <v>77</v>
      </c>
      <c r="H479" s="693">
        <v>78</v>
      </c>
      <c r="I479" s="689">
        <v>76.2</v>
      </c>
      <c r="J479" s="689">
        <v>78.099999999999994</v>
      </c>
      <c r="K479" s="689">
        <v>77.8</v>
      </c>
    </row>
    <row r="480" spans="1:11">
      <c r="A480" s="688" t="s">
        <v>18</v>
      </c>
      <c r="B480" s="691">
        <v>76.099999999999994</v>
      </c>
      <c r="C480" s="691">
        <v>76.3</v>
      </c>
      <c r="D480" s="691">
        <v>76.5</v>
      </c>
      <c r="E480" s="691">
        <v>76.599999999999994</v>
      </c>
      <c r="F480" s="691">
        <v>76.900000000000006</v>
      </c>
      <c r="G480" s="615">
        <v>77</v>
      </c>
      <c r="H480" s="691">
        <v>77.2</v>
      </c>
      <c r="I480" s="691">
        <v>77.400000000000006</v>
      </c>
      <c r="J480" s="691">
        <v>77.3</v>
      </c>
      <c r="K480" s="691">
        <v>76.8</v>
      </c>
    </row>
    <row r="481" spans="1:11">
      <c r="A481" s="688" t="s">
        <v>24</v>
      </c>
      <c r="B481" s="689">
        <v>77.3</v>
      </c>
      <c r="C481" s="689">
        <v>77.5</v>
      </c>
      <c r="D481" s="689">
        <v>77.2</v>
      </c>
      <c r="E481" s="689">
        <v>77.8</v>
      </c>
      <c r="F481" s="689">
        <v>77.8</v>
      </c>
      <c r="G481" s="689">
        <v>77.900000000000006</v>
      </c>
      <c r="H481" s="689">
        <v>78.099999999999994</v>
      </c>
      <c r="I481" s="689">
        <v>77.400000000000006</v>
      </c>
      <c r="J481" s="693">
        <v>78</v>
      </c>
      <c r="K481" s="689">
        <v>77.900000000000006</v>
      </c>
    </row>
    <row r="482" spans="1:11">
      <c r="A482" s="688" t="s">
        <v>4059</v>
      </c>
      <c r="B482" s="691">
        <v>75.5</v>
      </c>
      <c r="C482" s="691">
        <v>75.7</v>
      </c>
      <c r="D482" s="691">
        <v>75.400000000000006</v>
      </c>
      <c r="E482" s="691">
        <v>75.599999999999994</v>
      </c>
      <c r="F482" s="691">
        <v>75.7</v>
      </c>
      <c r="G482" s="691">
        <v>75.599999999999994</v>
      </c>
      <c r="H482" s="692" t="s">
        <v>4060</v>
      </c>
      <c r="I482" s="692" t="s">
        <v>4060</v>
      </c>
      <c r="J482" s="692" t="s">
        <v>4060</v>
      </c>
      <c r="K482" s="692" t="s">
        <v>4060</v>
      </c>
    </row>
    <row r="483" spans="1:11">
      <c r="A483" s="688" t="s">
        <v>2324</v>
      </c>
      <c r="B483" s="689">
        <v>70.900000000000006</v>
      </c>
      <c r="C483" s="689">
        <v>70.900000000000006</v>
      </c>
      <c r="D483" s="689">
        <v>70.7</v>
      </c>
      <c r="E483" s="689">
        <v>70.8</v>
      </c>
      <c r="F483" s="689">
        <v>70.8</v>
      </c>
      <c r="G483" s="689">
        <v>71.099999999999994</v>
      </c>
      <c r="H483" s="693">
        <v>71</v>
      </c>
      <c r="I483" s="689">
        <v>70.2</v>
      </c>
      <c r="J483" s="689">
        <v>67.900000000000006</v>
      </c>
      <c r="K483" s="690" t="s">
        <v>4060</v>
      </c>
    </row>
    <row r="484" spans="1:11">
      <c r="A484" s="688" t="s">
        <v>2322</v>
      </c>
      <c r="B484" s="692" t="s">
        <v>4060</v>
      </c>
      <c r="C484" s="692" t="s">
        <v>4060</v>
      </c>
      <c r="D484" s="692" t="s">
        <v>4060</v>
      </c>
      <c r="E484" s="692" t="s">
        <v>4060</v>
      </c>
      <c r="F484" s="692" t="s">
        <v>4060</v>
      </c>
      <c r="G484" s="692" t="s">
        <v>4060</v>
      </c>
      <c r="H484" s="692" t="s">
        <v>4060</v>
      </c>
      <c r="I484" s="692" t="s">
        <v>4060</v>
      </c>
      <c r="J484" s="692" t="s">
        <v>4060</v>
      </c>
      <c r="K484" s="692" t="s">
        <v>4060</v>
      </c>
    </row>
    <row r="485" spans="1:11">
      <c r="A485" s="688" t="s">
        <v>2328</v>
      </c>
      <c r="B485" s="689">
        <v>70.3</v>
      </c>
      <c r="C485" s="689">
        <v>70.3</v>
      </c>
      <c r="D485" s="689">
        <v>70.2</v>
      </c>
      <c r="E485" s="689">
        <v>70.400000000000006</v>
      </c>
      <c r="F485" s="689">
        <v>70.8</v>
      </c>
      <c r="G485" s="689">
        <v>71.2</v>
      </c>
      <c r="H485" s="689">
        <v>71.099999999999994</v>
      </c>
      <c r="I485" s="689">
        <v>68.8</v>
      </c>
      <c r="J485" s="689">
        <v>67.599999999999994</v>
      </c>
      <c r="K485" s="690" t="s">
        <v>4060</v>
      </c>
    </row>
    <row r="486" spans="1:11">
      <c r="A486" s="688" t="s">
        <v>2496</v>
      </c>
      <c r="B486" s="692" t="s">
        <v>4060</v>
      </c>
      <c r="C486" s="615">
        <v>69</v>
      </c>
      <c r="D486" s="691">
        <v>67.8</v>
      </c>
      <c r="E486" s="691">
        <v>67.5</v>
      </c>
      <c r="F486" s="691">
        <v>68.3</v>
      </c>
      <c r="G486" s="691">
        <v>68.7</v>
      </c>
      <c r="H486" s="691">
        <v>68.8</v>
      </c>
      <c r="I486" s="692" t="s">
        <v>4060</v>
      </c>
      <c r="J486" s="692" t="s">
        <v>4060</v>
      </c>
      <c r="K486" s="691">
        <v>68.400000000000006</v>
      </c>
    </row>
    <row r="487" spans="1:11">
      <c r="A487" s="688" t="s">
        <v>2269</v>
      </c>
      <c r="B487" s="689">
        <v>72.7</v>
      </c>
      <c r="C487" s="689">
        <v>72.900000000000006</v>
      </c>
      <c r="D487" s="689">
        <v>72.599999999999994</v>
      </c>
      <c r="E487" s="689">
        <v>73.3</v>
      </c>
      <c r="F487" s="689">
        <v>73.2</v>
      </c>
      <c r="G487" s="689">
        <v>73.7</v>
      </c>
      <c r="H487" s="689">
        <v>73.900000000000006</v>
      </c>
      <c r="I487" s="689">
        <v>72.2</v>
      </c>
      <c r="J487" s="689">
        <v>70.2</v>
      </c>
      <c r="K487" s="689">
        <v>73.7</v>
      </c>
    </row>
    <row r="488" spans="1:11">
      <c r="A488" s="688" t="s">
        <v>2349</v>
      </c>
      <c r="B488" s="691">
        <v>69.8</v>
      </c>
      <c r="C488" s="691">
        <v>69.900000000000006</v>
      </c>
      <c r="D488" s="691">
        <v>69.8</v>
      </c>
      <c r="E488" s="691">
        <v>70.2</v>
      </c>
      <c r="F488" s="691">
        <v>70.099999999999994</v>
      </c>
      <c r="G488" s="691">
        <v>70.400000000000006</v>
      </c>
      <c r="H488" s="691">
        <v>70.400000000000006</v>
      </c>
      <c r="I488" s="691">
        <v>68.900000000000006</v>
      </c>
      <c r="J488" s="691">
        <v>67.2</v>
      </c>
      <c r="K488" s="691">
        <v>69.599999999999994</v>
      </c>
    </row>
    <row r="489" spans="1:11">
      <c r="A489" s="688" t="s">
        <v>2355</v>
      </c>
      <c r="B489" s="689">
        <v>73.400000000000006</v>
      </c>
      <c r="C489" s="689">
        <v>73.3</v>
      </c>
      <c r="D489" s="689">
        <v>73.2</v>
      </c>
      <c r="E489" s="689">
        <v>73.099999999999994</v>
      </c>
      <c r="F489" s="689">
        <v>73.400000000000006</v>
      </c>
      <c r="G489" s="689">
        <v>73.8</v>
      </c>
      <c r="H489" s="693">
        <v>74</v>
      </c>
      <c r="I489" s="690" t="s">
        <v>4060</v>
      </c>
      <c r="J489" s="690" t="s">
        <v>4060</v>
      </c>
      <c r="K489" s="690" t="s">
        <v>4060</v>
      </c>
    </row>
    <row r="490" spans="1:11">
      <c r="A490" s="688" t="s">
        <v>2357</v>
      </c>
      <c r="B490" s="692" t="s">
        <v>4060</v>
      </c>
      <c r="C490" s="691">
        <v>66.5</v>
      </c>
      <c r="D490" s="691">
        <v>67.2</v>
      </c>
      <c r="E490" s="691">
        <v>67.599999999999994</v>
      </c>
      <c r="F490" s="691">
        <v>67.900000000000006</v>
      </c>
      <c r="G490" s="691">
        <v>67.8</v>
      </c>
      <c r="H490" s="615">
        <v>68</v>
      </c>
      <c r="I490" s="692" t="s">
        <v>4060</v>
      </c>
      <c r="J490" s="692" t="s">
        <v>4060</v>
      </c>
      <c r="K490" s="692" t="s">
        <v>4060</v>
      </c>
    </row>
    <row r="491" spans="1:11">
      <c r="A491" s="688" t="s">
        <v>4070</v>
      </c>
      <c r="B491" s="690" t="s">
        <v>4060</v>
      </c>
      <c r="C491" s="690" t="s">
        <v>4060</v>
      </c>
      <c r="D491" s="690" t="s">
        <v>4060</v>
      </c>
      <c r="E491" s="689">
        <v>73.2</v>
      </c>
      <c r="F491" s="690" t="s">
        <v>4060</v>
      </c>
      <c r="G491" s="690" t="s">
        <v>4060</v>
      </c>
      <c r="H491" s="690" t="s">
        <v>4060</v>
      </c>
      <c r="I491" s="690" t="s">
        <v>4060</v>
      </c>
      <c r="J491" s="690" t="s">
        <v>4060</v>
      </c>
      <c r="K491" s="690" t="s">
        <v>4060</v>
      </c>
    </row>
    <row r="492" spans="1:11">
      <c r="A492" s="688" t="s">
        <v>2491</v>
      </c>
      <c r="B492" s="691">
        <v>67.099999999999994</v>
      </c>
      <c r="C492" s="691">
        <v>67.7</v>
      </c>
      <c r="D492" s="691">
        <v>68.3</v>
      </c>
      <c r="E492" s="691">
        <v>68.599999999999994</v>
      </c>
      <c r="F492" s="691">
        <v>68.8</v>
      </c>
      <c r="G492" s="691">
        <v>68.8</v>
      </c>
      <c r="H492" s="692" t="s">
        <v>4060</v>
      </c>
      <c r="I492" s="692" t="s">
        <v>4060</v>
      </c>
      <c r="J492" s="692" t="s">
        <v>4060</v>
      </c>
      <c r="K492" s="692" t="s">
        <v>4060</v>
      </c>
    </row>
    <row r="493" spans="1:11">
      <c r="A493" s="688" t="s">
        <v>2343</v>
      </c>
      <c r="B493" s="690" t="s">
        <v>4060</v>
      </c>
      <c r="C493" s="690" t="s">
        <v>4060</v>
      </c>
      <c r="D493" s="690" t="s">
        <v>4060</v>
      </c>
      <c r="E493" s="690" t="s">
        <v>4060</v>
      </c>
      <c r="F493" s="690" t="s">
        <v>4060</v>
      </c>
      <c r="G493" s="690" t="s">
        <v>4060</v>
      </c>
      <c r="H493" s="690" t="s">
        <v>4060</v>
      </c>
      <c r="I493" s="690" t="s">
        <v>4060</v>
      </c>
      <c r="J493" s="690" t="s">
        <v>4060</v>
      </c>
      <c r="K493" s="690" t="s">
        <v>4060</v>
      </c>
    </row>
    <row r="494" spans="1:11">
      <c r="A494" s="688" t="s">
        <v>4071</v>
      </c>
      <c r="B494" s="692" t="s">
        <v>4060</v>
      </c>
      <c r="C494" s="692" t="s">
        <v>4060</v>
      </c>
      <c r="D494" s="692" t="s">
        <v>4060</v>
      </c>
      <c r="E494" s="692" t="s">
        <v>4060</v>
      </c>
      <c r="F494" s="692" t="s">
        <v>4060</v>
      </c>
      <c r="G494" s="692" t="s">
        <v>4060</v>
      </c>
      <c r="H494" s="692" t="s">
        <v>4060</v>
      </c>
      <c r="I494" s="692" t="s">
        <v>4060</v>
      </c>
      <c r="J494" s="692" t="s">
        <v>4060</v>
      </c>
      <c r="K494" s="692" t="s">
        <v>4060</v>
      </c>
    </row>
    <row r="495" spans="1:11">
      <c r="A495" s="688" t="s">
        <v>2489</v>
      </c>
      <c r="B495" s="690" t="s">
        <v>4060</v>
      </c>
      <c r="C495" s="690" t="s">
        <v>4060</v>
      </c>
      <c r="D495" s="689">
        <v>69.900000000000006</v>
      </c>
      <c r="E495" s="689">
        <v>69.8</v>
      </c>
      <c r="F495" s="689">
        <v>70.599999999999994</v>
      </c>
      <c r="G495" s="689">
        <v>71.400000000000006</v>
      </c>
      <c r="H495" s="689">
        <v>71.2</v>
      </c>
      <c r="I495" s="690" t="s">
        <v>4060</v>
      </c>
      <c r="J495" s="690" t="s">
        <v>4060</v>
      </c>
      <c r="K495" s="690" t="s">
        <v>4060</v>
      </c>
    </row>
    <row r="496" spans="1:11">
      <c r="A496" s="688" t="s">
        <v>2490</v>
      </c>
      <c r="B496" s="691">
        <v>69.599999999999994</v>
      </c>
      <c r="C496" s="691">
        <v>69.7</v>
      </c>
      <c r="D496" s="691">
        <v>70.400000000000006</v>
      </c>
      <c r="E496" s="692" t="s">
        <v>4060</v>
      </c>
      <c r="F496" s="691">
        <v>70.599999999999994</v>
      </c>
      <c r="G496" s="691">
        <v>70.900000000000006</v>
      </c>
      <c r="H496" s="691">
        <v>71.599999999999994</v>
      </c>
      <c r="I496" s="692" t="s">
        <v>4060</v>
      </c>
      <c r="J496" s="692" t="s">
        <v>4060</v>
      </c>
      <c r="K496" s="692" t="s">
        <v>4060</v>
      </c>
    </row>
    <row r="498" spans="1:11">
      <c r="A498" s="683" t="s">
        <v>4233</v>
      </c>
    </row>
    <row r="499" spans="1:11">
      <c r="A499" s="683" t="s">
        <v>4060</v>
      </c>
      <c r="B499" s="682" t="s">
        <v>4234</v>
      </c>
    </row>
    <row r="501" spans="1:11">
      <c r="A501" s="682" t="s">
        <v>4209</v>
      </c>
    </row>
    <row r="502" spans="1:11">
      <c r="A502" s="682" t="s">
        <v>4210</v>
      </c>
      <c r="B502" s="683" t="s">
        <v>4211</v>
      </c>
    </row>
    <row r="503" spans="1:11">
      <c r="A503" s="682" t="s">
        <v>4212</v>
      </c>
      <c r="B503" s="682" t="s">
        <v>4213</v>
      </c>
    </row>
    <row r="505" spans="1:11">
      <c r="A505" s="683" t="s">
        <v>4214</v>
      </c>
      <c r="C505" s="682" t="s">
        <v>4215</v>
      </c>
    </row>
    <row r="506" spans="1:11">
      <c r="A506" s="683" t="s">
        <v>4216</v>
      </c>
      <c r="C506" s="682" t="s">
        <v>2967</v>
      </c>
    </row>
    <row r="507" spans="1:11">
      <c r="A507" s="683" t="s">
        <v>3893</v>
      </c>
      <c r="C507" s="682" t="s">
        <v>4217</v>
      </c>
    </row>
    <row r="508" spans="1:11">
      <c r="A508" s="683" t="s">
        <v>4218</v>
      </c>
      <c r="C508" s="682" t="s">
        <v>4241</v>
      </c>
    </row>
    <row r="510" spans="1:11">
      <c r="A510" s="684" t="s">
        <v>4220</v>
      </c>
      <c r="B510" s="685" t="s">
        <v>4221</v>
      </c>
      <c r="C510" s="685" t="s">
        <v>4222</v>
      </c>
      <c r="D510" s="685" t="s">
        <v>4223</v>
      </c>
      <c r="E510" s="685" t="s">
        <v>4224</v>
      </c>
      <c r="F510" s="685" t="s">
        <v>4225</v>
      </c>
      <c r="G510" s="685" t="s">
        <v>4226</v>
      </c>
      <c r="H510" s="685" t="s">
        <v>4227</v>
      </c>
      <c r="I510" s="685" t="s">
        <v>4228</v>
      </c>
      <c r="J510" s="685" t="s">
        <v>4229</v>
      </c>
      <c r="K510" s="685" t="s">
        <v>4230</v>
      </c>
    </row>
    <row r="511" spans="1:11">
      <c r="A511" s="686" t="s">
        <v>4231</v>
      </c>
      <c r="B511" s="687" t="s">
        <v>4232</v>
      </c>
      <c r="C511" s="687" t="s">
        <v>4232</v>
      </c>
      <c r="D511" s="687" t="s">
        <v>4232</v>
      </c>
      <c r="E511" s="687" t="s">
        <v>4232</v>
      </c>
      <c r="F511" s="687" t="s">
        <v>4232</v>
      </c>
      <c r="G511" s="687" t="s">
        <v>4232</v>
      </c>
      <c r="H511" s="687" t="s">
        <v>4232</v>
      </c>
      <c r="I511" s="687" t="s">
        <v>4232</v>
      </c>
      <c r="J511" s="687" t="s">
        <v>4232</v>
      </c>
      <c r="K511" s="687" t="s">
        <v>4232</v>
      </c>
    </row>
    <row r="512" spans="1:11">
      <c r="A512" s="688" t="s">
        <v>4064</v>
      </c>
      <c r="B512" s="691">
        <v>73.8</v>
      </c>
      <c r="C512" s="691">
        <v>73.900000000000006</v>
      </c>
      <c r="D512" s="691">
        <v>73.900000000000006</v>
      </c>
      <c r="E512" s="691">
        <v>74.099999999999994</v>
      </c>
      <c r="F512" s="691">
        <v>74.099999999999994</v>
      </c>
      <c r="G512" s="691">
        <v>74.099999999999994</v>
      </c>
      <c r="H512" s="691">
        <v>74.400000000000006</v>
      </c>
      <c r="I512" s="691">
        <v>73.599999999999994</v>
      </c>
      <c r="J512" s="691">
        <v>73.3</v>
      </c>
      <c r="K512" s="691">
        <v>73.900000000000006</v>
      </c>
    </row>
    <row r="513" spans="1:11">
      <c r="A513" s="688" t="s">
        <v>4065</v>
      </c>
      <c r="B513" s="689">
        <v>73.900000000000006</v>
      </c>
      <c r="C513" s="689">
        <v>74.3</v>
      </c>
      <c r="D513" s="689">
        <v>73.900000000000006</v>
      </c>
      <c r="E513" s="689">
        <v>74.3</v>
      </c>
      <c r="F513" s="689">
        <v>74.3</v>
      </c>
      <c r="G513" s="689">
        <v>74.400000000000006</v>
      </c>
      <c r="H513" s="690" t="s">
        <v>4060</v>
      </c>
      <c r="I513" s="690" t="s">
        <v>4060</v>
      </c>
      <c r="J513" s="690" t="s">
        <v>4060</v>
      </c>
      <c r="K513" s="690" t="s">
        <v>4060</v>
      </c>
    </row>
    <row r="514" spans="1:11">
      <c r="A514" s="688" t="s">
        <v>4063</v>
      </c>
      <c r="B514" s="691">
        <v>73.900000000000006</v>
      </c>
      <c r="C514" s="691">
        <v>74.3</v>
      </c>
      <c r="D514" s="615">
        <v>74</v>
      </c>
      <c r="E514" s="691">
        <v>74.3</v>
      </c>
      <c r="F514" s="691">
        <v>74.3</v>
      </c>
      <c r="G514" s="691">
        <v>74.400000000000006</v>
      </c>
      <c r="H514" s="692" t="s">
        <v>4060</v>
      </c>
      <c r="I514" s="692" t="s">
        <v>4060</v>
      </c>
      <c r="J514" s="692" t="s">
        <v>4060</v>
      </c>
      <c r="K514" s="692" t="s">
        <v>4060</v>
      </c>
    </row>
    <row r="515" spans="1:11">
      <c r="A515" s="688" t="s">
        <v>4069</v>
      </c>
      <c r="B515" s="690" t="s">
        <v>4060</v>
      </c>
      <c r="C515" s="689">
        <v>74.900000000000006</v>
      </c>
      <c r="D515" s="689">
        <v>74.7</v>
      </c>
      <c r="E515" s="693">
        <v>75</v>
      </c>
      <c r="F515" s="689">
        <v>75.099999999999994</v>
      </c>
      <c r="G515" s="689">
        <v>75.2</v>
      </c>
      <c r="H515" s="689">
        <v>75.400000000000006</v>
      </c>
      <c r="I515" s="689">
        <v>74.8</v>
      </c>
      <c r="J515" s="689">
        <v>74.7</v>
      </c>
      <c r="K515" s="689">
        <v>74.900000000000006</v>
      </c>
    </row>
    <row r="516" spans="1:11">
      <c r="A516" s="688" t="s">
        <v>4068</v>
      </c>
      <c r="B516" s="691">
        <v>74.900000000000006</v>
      </c>
      <c r="C516" s="692" t="s">
        <v>4060</v>
      </c>
      <c r="D516" s="692" t="s">
        <v>4060</v>
      </c>
      <c r="E516" s="692" t="s">
        <v>4060</v>
      </c>
      <c r="F516" s="692" t="s">
        <v>4060</v>
      </c>
      <c r="G516" s="692" t="s">
        <v>4060</v>
      </c>
      <c r="H516" s="692" t="s">
        <v>4060</v>
      </c>
      <c r="I516" s="692" t="s">
        <v>4060</v>
      </c>
      <c r="J516" s="692" t="s">
        <v>4060</v>
      </c>
      <c r="K516" s="692" t="s">
        <v>4060</v>
      </c>
    </row>
    <row r="517" spans="1:11">
      <c r="A517" s="688" t="s">
        <v>0</v>
      </c>
      <c r="B517" s="689">
        <v>74.099999999999994</v>
      </c>
      <c r="C517" s="689">
        <v>74.400000000000006</v>
      </c>
      <c r="D517" s="689">
        <v>74.2</v>
      </c>
      <c r="E517" s="689">
        <v>74.599999999999994</v>
      </c>
      <c r="F517" s="689">
        <v>74.7</v>
      </c>
      <c r="G517" s="689">
        <v>74.900000000000006</v>
      </c>
      <c r="H517" s="689">
        <v>75.2</v>
      </c>
      <c r="I517" s="689">
        <v>74.099999999999994</v>
      </c>
      <c r="J517" s="693">
        <v>75</v>
      </c>
      <c r="K517" s="693">
        <v>75</v>
      </c>
    </row>
    <row r="518" spans="1:11">
      <c r="A518" s="688" t="s">
        <v>1</v>
      </c>
      <c r="B518" s="691">
        <v>68.599999999999994</v>
      </c>
      <c r="C518" s="691">
        <v>68.099999999999994</v>
      </c>
      <c r="D518" s="691">
        <v>68.099999999999994</v>
      </c>
      <c r="E518" s="691">
        <v>68.3</v>
      </c>
      <c r="F518" s="691">
        <v>68.2</v>
      </c>
      <c r="G518" s="691">
        <v>68.3</v>
      </c>
      <c r="H518" s="691">
        <v>68.400000000000006</v>
      </c>
      <c r="I518" s="691">
        <v>66.8</v>
      </c>
      <c r="J518" s="691">
        <v>64.7</v>
      </c>
      <c r="K518" s="691">
        <v>67.599999999999994</v>
      </c>
    </row>
    <row r="519" spans="1:11">
      <c r="A519" s="688" t="s">
        <v>2240</v>
      </c>
      <c r="B519" s="689">
        <v>71.599999999999994</v>
      </c>
      <c r="C519" s="693">
        <v>72</v>
      </c>
      <c r="D519" s="689">
        <v>71.8</v>
      </c>
      <c r="E519" s="689">
        <v>72.3</v>
      </c>
      <c r="F519" s="689">
        <v>72.2</v>
      </c>
      <c r="G519" s="689">
        <v>72.3</v>
      </c>
      <c r="H519" s="689">
        <v>72.5</v>
      </c>
      <c r="I519" s="689">
        <v>71.5</v>
      </c>
      <c r="J519" s="689">
        <v>70.5</v>
      </c>
      <c r="K519" s="689">
        <v>72.2</v>
      </c>
    </row>
    <row r="520" spans="1:11">
      <c r="A520" s="688" t="s">
        <v>2</v>
      </c>
      <c r="B520" s="691">
        <v>73.7</v>
      </c>
      <c r="C520" s="615">
        <v>74</v>
      </c>
      <c r="D520" s="691">
        <v>74.099999999999994</v>
      </c>
      <c r="E520" s="691">
        <v>74.2</v>
      </c>
      <c r="F520" s="691">
        <v>74.5</v>
      </c>
      <c r="G520" s="691">
        <v>74.3</v>
      </c>
      <c r="H520" s="691">
        <v>74.7</v>
      </c>
      <c r="I520" s="691">
        <v>74.8</v>
      </c>
      <c r="J520" s="691">
        <v>74.7</v>
      </c>
      <c r="K520" s="691">
        <v>74.599999999999994</v>
      </c>
    </row>
    <row r="521" spans="1:11">
      <c r="A521" s="688" t="s">
        <v>3</v>
      </c>
      <c r="B521" s="693">
        <v>74</v>
      </c>
      <c r="C521" s="689">
        <v>74.3</v>
      </c>
      <c r="D521" s="689">
        <v>73.900000000000006</v>
      </c>
      <c r="E521" s="689">
        <v>74.2</v>
      </c>
      <c r="F521" s="689">
        <v>74.3</v>
      </c>
      <c r="G521" s="689">
        <v>74.2</v>
      </c>
      <c r="H521" s="689">
        <v>74.5</v>
      </c>
      <c r="I521" s="689">
        <v>74.3</v>
      </c>
      <c r="J521" s="693">
        <v>74</v>
      </c>
      <c r="K521" s="689">
        <v>73.8</v>
      </c>
    </row>
    <row r="522" spans="1:11">
      <c r="A522" s="688" t="s">
        <v>4061</v>
      </c>
      <c r="B522" s="615">
        <v>74</v>
      </c>
      <c r="C522" s="691">
        <v>74.3</v>
      </c>
      <c r="D522" s="691">
        <v>73.900000000000006</v>
      </c>
      <c r="E522" s="691">
        <v>74.2</v>
      </c>
      <c r="F522" s="691">
        <v>74.3</v>
      </c>
      <c r="G522" s="691">
        <v>74.2</v>
      </c>
      <c r="H522" s="691">
        <v>74.5</v>
      </c>
      <c r="I522" s="691">
        <v>74.3</v>
      </c>
      <c r="J522" s="615">
        <v>74</v>
      </c>
      <c r="K522" s="691">
        <v>73.8</v>
      </c>
    </row>
    <row r="523" spans="1:11">
      <c r="A523" s="688" t="s">
        <v>4</v>
      </c>
      <c r="B523" s="689">
        <v>70.8</v>
      </c>
      <c r="C523" s="689">
        <v>70.400000000000006</v>
      </c>
      <c r="D523" s="693">
        <v>71</v>
      </c>
      <c r="E523" s="693">
        <v>71</v>
      </c>
      <c r="F523" s="689">
        <v>71.5</v>
      </c>
      <c r="G523" s="689">
        <v>71.599999999999994</v>
      </c>
      <c r="H523" s="693">
        <v>72</v>
      </c>
      <c r="I523" s="689">
        <v>71.900000000000006</v>
      </c>
      <c r="J523" s="689">
        <v>70.400000000000006</v>
      </c>
      <c r="K523" s="689">
        <v>71.3</v>
      </c>
    </row>
    <row r="524" spans="1:11">
      <c r="A524" s="688" t="s">
        <v>8</v>
      </c>
      <c r="B524" s="691">
        <v>74.400000000000006</v>
      </c>
      <c r="C524" s="691">
        <v>74.599999999999994</v>
      </c>
      <c r="D524" s="691">
        <v>74.7</v>
      </c>
      <c r="E524" s="691">
        <v>74.8</v>
      </c>
      <c r="F524" s="691">
        <v>75.3</v>
      </c>
      <c r="G524" s="691">
        <v>75.3</v>
      </c>
      <c r="H524" s="691">
        <v>75.7</v>
      </c>
      <c r="I524" s="691">
        <v>75.599999999999994</v>
      </c>
      <c r="J524" s="691">
        <v>75.400000000000006</v>
      </c>
      <c r="K524" s="691">
        <v>75.599999999999994</v>
      </c>
    </row>
    <row r="525" spans="1:11">
      <c r="A525" s="688" t="s">
        <v>7</v>
      </c>
      <c r="B525" s="689">
        <v>74.7</v>
      </c>
      <c r="C525" s="689">
        <v>74.3</v>
      </c>
      <c r="D525" s="689">
        <v>74.099999999999994</v>
      </c>
      <c r="E525" s="689">
        <v>74.400000000000006</v>
      </c>
      <c r="F525" s="689">
        <v>74.400000000000006</v>
      </c>
      <c r="G525" s="689">
        <v>74.8</v>
      </c>
      <c r="H525" s="689">
        <v>74.8</v>
      </c>
      <c r="I525" s="689">
        <v>74.400000000000006</v>
      </c>
      <c r="J525" s="689">
        <v>73.400000000000006</v>
      </c>
      <c r="K525" s="689">
        <v>74.099999999999994</v>
      </c>
    </row>
    <row r="526" spans="1:11">
      <c r="A526" s="688" t="s">
        <v>27</v>
      </c>
      <c r="B526" s="691">
        <v>76.400000000000006</v>
      </c>
      <c r="C526" s="691">
        <v>76.2</v>
      </c>
      <c r="D526" s="691">
        <v>75.900000000000006</v>
      </c>
      <c r="E526" s="691">
        <v>76.3</v>
      </c>
      <c r="F526" s="691">
        <v>76.3</v>
      </c>
      <c r="G526" s="691">
        <v>76.400000000000006</v>
      </c>
      <c r="H526" s="691">
        <v>76.8</v>
      </c>
      <c r="I526" s="691">
        <v>75.5</v>
      </c>
      <c r="J526" s="691">
        <v>76.3</v>
      </c>
      <c r="K526" s="691">
        <v>76.3</v>
      </c>
    </row>
    <row r="527" spans="1:11">
      <c r="A527" s="688" t="s">
        <v>6</v>
      </c>
      <c r="B527" s="689">
        <v>75.8</v>
      </c>
      <c r="C527" s="689">
        <v>75.8</v>
      </c>
      <c r="D527" s="689">
        <v>75.5</v>
      </c>
      <c r="E527" s="689">
        <v>75.8</v>
      </c>
      <c r="F527" s="689">
        <v>75.8</v>
      </c>
      <c r="G527" s="693">
        <v>76</v>
      </c>
      <c r="H527" s="689">
        <v>76.099999999999994</v>
      </c>
      <c r="I527" s="689">
        <v>75.5</v>
      </c>
      <c r="J527" s="689">
        <v>75.599999999999994</v>
      </c>
      <c r="K527" s="689">
        <v>75.7</v>
      </c>
    </row>
    <row r="528" spans="1:11">
      <c r="A528" s="688" t="s">
        <v>4058</v>
      </c>
      <c r="B528" s="692" t="s">
        <v>4060</v>
      </c>
      <c r="C528" s="692" t="s">
        <v>4060</v>
      </c>
      <c r="D528" s="692" t="s">
        <v>4060</v>
      </c>
      <c r="E528" s="692" t="s">
        <v>4060</v>
      </c>
      <c r="F528" s="692" t="s">
        <v>4060</v>
      </c>
      <c r="G528" s="692" t="s">
        <v>4060</v>
      </c>
      <c r="H528" s="692" t="s">
        <v>4060</v>
      </c>
      <c r="I528" s="692" t="s">
        <v>4060</v>
      </c>
      <c r="J528" s="692" t="s">
        <v>4060</v>
      </c>
      <c r="K528" s="692" t="s">
        <v>4060</v>
      </c>
    </row>
    <row r="529" spans="1:11">
      <c r="A529" s="688" t="s">
        <v>11</v>
      </c>
      <c r="B529" s="689">
        <v>71.2</v>
      </c>
      <c r="C529" s="689">
        <v>71.2</v>
      </c>
      <c r="D529" s="689">
        <v>70.8</v>
      </c>
      <c r="E529" s="689">
        <v>71.400000000000006</v>
      </c>
      <c r="F529" s="689">
        <v>71.2</v>
      </c>
      <c r="G529" s="689">
        <v>71.400000000000006</v>
      </c>
      <c r="H529" s="689">
        <v>71.599999999999994</v>
      </c>
      <c r="I529" s="693">
        <v>71</v>
      </c>
      <c r="J529" s="693">
        <v>70</v>
      </c>
      <c r="K529" s="689">
        <v>71.099999999999994</v>
      </c>
    </row>
    <row r="530" spans="1:11">
      <c r="A530" s="688" t="s">
        <v>10</v>
      </c>
      <c r="B530" s="691">
        <v>76.099999999999994</v>
      </c>
      <c r="C530" s="691">
        <v>76.099999999999994</v>
      </c>
      <c r="D530" s="691">
        <v>75.7</v>
      </c>
      <c r="E530" s="691">
        <v>76.3</v>
      </c>
      <c r="F530" s="691">
        <v>76.099999999999994</v>
      </c>
      <c r="G530" s="691">
        <v>76.400000000000006</v>
      </c>
      <c r="H530" s="691">
        <v>76.599999999999994</v>
      </c>
      <c r="I530" s="691">
        <v>75.5</v>
      </c>
      <c r="J530" s="691">
        <v>75.900000000000006</v>
      </c>
      <c r="K530" s="615">
        <v>76</v>
      </c>
    </row>
    <row r="531" spans="1:11">
      <c r="A531" s="688" t="s">
        <v>30</v>
      </c>
      <c r="B531" s="689">
        <v>75.7</v>
      </c>
      <c r="C531" s="689">
        <v>75.5</v>
      </c>
      <c r="D531" s="689">
        <v>75.2</v>
      </c>
      <c r="E531" s="693">
        <v>76</v>
      </c>
      <c r="F531" s="689">
        <v>75.599999999999994</v>
      </c>
      <c r="G531" s="689">
        <v>76.2</v>
      </c>
      <c r="H531" s="689">
        <v>75.900000000000006</v>
      </c>
      <c r="I531" s="689">
        <v>75.900000000000006</v>
      </c>
      <c r="J531" s="689">
        <v>75.099999999999994</v>
      </c>
      <c r="K531" s="689">
        <v>75.5</v>
      </c>
    </row>
    <row r="532" spans="1:11">
      <c r="A532" s="688" t="s">
        <v>12</v>
      </c>
      <c r="B532" s="691">
        <v>67.8</v>
      </c>
      <c r="C532" s="691">
        <v>67.7</v>
      </c>
      <c r="D532" s="691">
        <v>68.099999999999994</v>
      </c>
      <c r="E532" s="691">
        <v>68.099999999999994</v>
      </c>
      <c r="F532" s="691">
        <v>68.2</v>
      </c>
      <c r="G532" s="691">
        <v>68.3</v>
      </c>
      <c r="H532" s="615">
        <v>69</v>
      </c>
      <c r="I532" s="691">
        <v>68.8</v>
      </c>
      <c r="J532" s="691">
        <v>66.400000000000006</v>
      </c>
      <c r="K532" s="691">
        <v>67.7</v>
      </c>
    </row>
    <row r="533" spans="1:11">
      <c r="A533" s="688" t="s">
        <v>14</v>
      </c>
      <c r="B533" s="689">
        <v>67.5</v>
      </c>
      <c r="C533" s="689">
        <v>67.900000000000006</v>
      </c>
      <c r="D533" s="689">
        <v>67.8</v>
      </c>
      <c r="E533" s="689">
        <v>68.2</v>
      </c>
      <c r="F533" s="693">
        <v>69</v>
      </c>
      <c r="G533" s="689">
        <v>69.2</v>
      </c>
      <c r="H533" s="689">
        <v>69.7</v>
      </c>
      <c r="I533" s="689">
        <v>68.400000000000006</v>
      </c>
      <c r="J533" s="689">
        <v>67.599999999999994</v>
      </c>
      <c r="K533" s="689">
        <v>69.099999999999994</v>
      </c>
    </row>
    <row r="534" spans="1:11">
      <c r="A534" s="688" t="s">
        <v>15</v>
      </c>
      <c r="B534" s="691">
        <v>75.2</v>
      </c>
      <c r="C534" s="691">
        <v>75.2</v>
      </c>
      <c r="D534" s="691">
        <v>75.3</v>
      </c>
      <c r="E534" s="691">
        <v>75.7</v>
      </c>
      <c r="F534" s="691">
        <v>75.099999999999994</v>
      </c>
      <c r="G534" s="691">
        <v>75.5</v>
      </c>
      <c r="H534" s="691">
        <v>75.900000000000006</v>
      </c>
      <c r="I534" s="691">
        <v>75.400000000000006</v>
      </c>
      <c r="J534" s="691">
        <v>75.8</v>
      </c>
      <c r="K534" s="691">
        <v>76.099999999999994</v>
      </c>
    </row>
    <row r="535" spans="1:11">
      <c r="A535" s="688" t="s">
        <v>29</v>
      </c>
      <c r="B535" s="689">
        <v>69.2</v>
      </c>
      <c r="C535" s="689">
        <v>69.2</v>
      </c>
      <c r="D535" s="693">
        <v>69</v>
      </c>
      <c r="E535" s="689">
        <v>69.400000000000006</v>
      </c>
      <c r="F535" s="689">
        <v>69.2</v>
      </c>
      <c r="G535" s="689">
        <v>69.400000000000006</v>
      </c>
      <c r="H535" s="689">
        <v>69.599999999999994</v>
      </c>
      <c r="I535" s="689">
        <v>68.900000000000006</v>
      </c>
      <c r="J535" s="689">
        <v>67.400000000000006</v>
      </c>
      <c r="K535" s="689">
        <v>69.3</v>
      </c>
    </row>
    <row r="536" spans="1:11">
      <c r="A536" s="688" t="s">
        <v>16</v>
      </c>
      <c r="B536" s="691">
        <v>75.400000000000006</v>
      </c>
      <c r="C536" s="691">
        <v>75.2</v>
      </c>
      <c r="D536" s="691">
        <v>75.3</v>
      </c>
      <c r="E536" s="691">
        <v>75.8</v>
      </c>
      <c r="F536" s="691">
        <v>75.7</v>
      </c>
      <c r="G536" s="691">
        <v>75.599999999999994</v>
      </c>
      <c r="H536" s="691">
        <v>76.099999999999994</v>
      </c>
      <c r="I536" s="691">
        <v>75.3</v>
      </c>
      <c r="J536" s="691">
        <v>75.400000000000006</v>
      </c>
      <c r="K536" s="691">
        <v>75.599999999999994</v>
      </c>
    </row>
    <row r="537" spans="1:11">
      <c r="A537" s="688" t="s">
        <v>17</v>
      </c>
      <c r="B537" s="689">
        <v>74.8</v>
      </c>
      <c r="C537" s="693">
        <v>75</v>
      </c>
      <c r="D537" s="689">
        <v>74.8</v>
      </c>
      <c r="E537" s="689">
        <v>74.900000000000006</v>
      </c>
      <c r="F537" s="689">
        <v>75.099999999999994</v>
      </c>
      <c r="G537" s="689">
        <v>75.099999999999994</v>
      </c>
      <c r="H537" s="689">
        <v>75.400000000000006</v>
      </c>
      <c r="I537" s="689">
        <v>74.7</v>
      </c>
      <c r="J537" s="689">
        <v>74.7</v>
      </c>
      <c r="K537" s="689">
        <v>74.900000000000006</v>
      </c>
    </row>
    <row r="538" spans="1:11">
      <c r="A538" s="688" t="s">
        <v>19</v>
      </c>
      <c r="B538" s="691">
        <v>74.599999999999994</v>
      </c>
      <c r="C538" s="691">
        <v>74.7</v>
      </c>
      <c r="D538" s="691">
        <v>74.5</v>
      </c>
      <c r="E538" s="691">
        <v>74.900000000000006</v>
      </c>
      <c r="F538" s="615">
        <v>75</v>
      </c>
      <c r="G538" s="615">
        <v>75</v>
      </c>
      <c r="H538" s="691">
        <v>75.2</v>
      </c>
      <c r="I538" s="691">
        <v>74.7</v>
      </c>
      <c r="J538" s="691">
        <v>74.599999999999994</v>
      </c>
      <c r="K538" s="691">
        <v>74.7</v>
      </c>
    </row>
    <row r="539" spans="1:11">
      <c r="A539" s="688" t="s">
        <v>20</v>
      </c>
      <c r="B539" s="689">
        <v>70.5</v>
      </c>
      <c r="C539" s="689">
        <v>70.900000000000006</v>
      </c>
      <c r="D539" s="689">
        <v>70.7</v>
      </c>
      <c r="E539" s="689">
        <v>71.099999999999994</v>
      </c>
      <c r="F539" s="689">
        <v>71.099999999999994</v>
      </c>
      <c r="G539" s="689">
        <v>70.900000000000006</v>
      </c>
      <c r="H539" s="689">
        <v>71.2</v>
      </c>
      <c r="I539" s="689">
        <v>69.7</v>
      </c>
      <c r="J539" s="689">
        <v>68.7</v>
      </c>
      <c r="K539" s="689">
        <v>70.400000000000006</v>
      </c>
    </row>
    <row r="540" spans="1:11">
      <c r="A540" s="688" t="s">
        <v>21</v>
      </c>
      <c r="B540" s="691">
        <v>74.2</v>
      </c>
      <c r="C540" s="691">
        <v>74.599999999999994</v>
      </c>
      <c r="D540" s="691">
        <v>74.599999999999994</v>
      </c>
      <c r="E540" s="691">
        <v>74.7</v>
      </c>
      <c r="F540" s="691">
        <v>74.900000000000006</v>
      </c>
      <c r="G540" s="691">
        <v>74.900000000000006</v>
      </c>
      <c r="H540" s="691">
        <v>75.3</v>
      </c>
      <c r="I540" s="691">
        <v>74.599999999999994</v>
      </c>
      <c r="J540" s="691">
        <v>74.7</v>
      </c>
      <c r="K540" s="615">
        <v>75</v>
      </c>
    </row>
    <row r="541" spans="1:11">
      <c r="A541" s="688" t="s">
        <v>22</v>
      </c>
      <c r="B541" s="693">
        <v>69</v>
      </c>
      <c r="C541" s="689">
        <v>68.599999999999994</v>
      </c>
      <c r="D541" s="689">
        <v>68.599999999999994</v>
      </c>
      <c r="E541" s="689">
        <v>68.8</v>
      </c>
      <c r="F541" s="689">
        <v>68.8</v>
      </c>
      <c r="G541" s="689">
        <v>68.900000000000006</v>
      </c>
      <c r="H541" s="689">
        <v>69.099999999999994</v>
      </c>
      <c r="I541" s="689">
        <v>67.599999999999994</v>
      </c>
      <c r="J541" s="689">
        <v>66.3</v>
      </c>
      <c r="K541" s="689">
        <v>68.599999999999994</v>
      </c>
    </row>
    <row r="542" spans="1:11">
      <c r="A542" s="688" t="s">
        <v>26</v>
      </c>
      <c r="B542" s="691">
        <v>73.7</v>
      </c>
      <c r="C542" s="691">
        <v>74.099999999999994</v>
      </c>
      <c r="D542" s="691">
        <v>73.8</v>
      </c>
      <c r="E542" s="691">
        <v>74.2</v>
      </c>
      <c r="F542" s="691">
        <v>74.099999999999994</v>
      </c>
      <c r="G542" s="691">
        <v>74.400000000000006</v>
      </c>
      <c r="H542" s="691">
        <v>74.599999999999994</v>
      </c>
      <c r="I542" s="691">
        <v>73.8</v>
      </c>
      <c r="J542" s="691">
        <v>73.8</v>
      </c>
      <c r="K542" s="691">
        <v>74.400000000000006</v>
      </c>
    </row>
    <row r="543" spans="1:11">
      <c r="A543" s="688" t="s">
        <v>25</v>
      </c>
      <c r="B543" s="689">
        <v>70.099999999999994</v>
      </c>
      <c r="C543" s="689">
        <v>70.5</v>
      </c>
      <c r="D543" s="689">
        <v>70.2</v>
      </c>
      <c r="E543" s="689">
        <v>70.7</v>
      </c>
      <c r="F543" s="689">
        <v>70.7</v>
      </c>
      <c r="G543" s="689">
        <v>70.8</v>
      </c>
      <c r="H543" s="689">
        <v>71.2</v>
      </c>
      <c r="I543" s="689">
        <v>70.5</v>
      </c>
      <c r="J543" s="689">
        <v>68.099999999999994</v>
      </c>
      <c r="K543" s="689">
        <v>70.5</v>
      </c>
    </row>
    <row r="544" spans="1:11">
      <c r="A544" s="688" t="s">
        <v>5</v>
      </c>
      <c r="B544" s="691">
        <v>74.3</v>
      </c>
      <c r="C544" s="691">
        <v>74.3</v>
      </c>
      <c r="D544" s="691">
        <v>74.5</v>
      </c>
      <c r="E544" s="691">
        <v>74.5</v>
      </c>
      <c r="F544" s="691">
        <v>74.7</v>
      </c>
      <c r="G544" s="691">
        <v>74.8</v>
      </c>
      <c r="H544" s="691">
        <v>75.099999999999994</v>
      </c>
      <c r="I544" s="615">
        <v>75</v>
      </c>
      <c r="J544" s="615">
        <v>75</v>
      </c>
      <c r="K544" s="691">
        <v>74.400000000000006</v>
      </c>
    </row>
    <row r="545" spans="1:11">
      <c r="A545" s="688" t="s">
        <v>23</v>
      </c>
      <c r="B545" s="689">
        <v>75.3</v>
      </c>
      <c r="C545" s="689">
        <v>75.5</v>
      </c>
      <c r="D545" s="689">
        <v>75.400000000000006</v>
      </c>
      <c r="E545" s="689">
        <v>75.599999999999994</v>
      </c>
      <c r="F545" s="689">
        <v>75.7</v>
      </c>
      <c r="G545" s="689">
        <v>75.8</v>
      </c>
      <c r="H545" s="689">
        <v>76.3</v>
      </c>
      <c r="I545" s="689">
        <v>75.7</v>
      </c>
      <c r="J545" s="689">
        <v>76.2</v>
      </c>
      <c r="K545" s="689">
        <v>76.3</v>
      </c>
    </row>
    <row r="546" spans="1:11">
      <c r="A546" s="688" t="s">
        <v>4067</v>
      </c>
      <c r="B546" s="691">
        <v>73.900000000000006</v>
      </c>
      <c r="C546" s="691">
        <v>74.3</v>
      </c>
      <c r="D546" s="615">
        <v>74</v>
      </c>
      <c r="E546" s="691">
        <v>74.3</v>
      </c>
      <c r="F546" s="691">
        <v>74.3</v>
      </c>
      <c r="G546" s="691">
        <v>74.400000000000006</v>
      </c>
      <c r="H546" s="692" t="s">
        <v>4060</v>
      </c>
      <c r="I546" s="692" t="s">
        <v>4060</v>
      </c>
      <c r="J546" s="692" t="s">
        <v>4060</v>
      </c>
      <c r="K546" s="692" t="s">
        <v>4060</v>
      </c>
    </row>
    <row r="547" spans="1:11">
      <c r="A547" s="688" t="s">
        <v>4066</v>
      </c>
      <c r="B547" s="693">
        <v>74</v>
      </c>
      <c r="C547" s="689">
        <v>74.3</v>
      </c>
      <c r="D547" s="693">
        <v>74</v>
      </c>
      <c r="E547" s="689">
        <v>74.400000000000006</v>
      </c>
      <c r="F547" s="689">
        <v>74.3</v>
      </c>
      <c r="G547" s="689">
        <v>74.400000000000006</v>
      </c>
      <c r="H547" s="690" t="s">
        <v>4060</v>
      </c>
      <c r="I547" s="690" t="s">
        <v>4060</v>
      </c>
      <c r="J547" s="690" t="s">
        <v>4060</v>
      </c>
      <c r="K547" s="690" t="s">
        <v>4060</v>
      </c>
    </row>
    <row r="548" spans="1:11">
      <c r="A548" s="688" t="s">
        <v>4062</v>
      </c>
      <c r="B548" s="691">
        <v>75.8</v>
      </c>
      <c r="C548" s="615">
        <v>76</v>
      </c>
      <c r="D548" s="615">
        <v>76</v>
      </c>
      <c r="E548" s="691">
        <v>76.3</v>
      </c>
      <c r="F548" s="691">
        <v>76.400000000000006</v>
      </c>
      <c r="G548" s="691">
        <v>76.599999999999994</v>
      </c>
      <c r="H548" s="691">
        <v>76.8</v>
      </c>
      <c r="I548" s="691">
        <v>76.400000000000006</v>
      </c>
      <c r="J548" s="691">
        <v>76.7</v>
      </c>
      <c r="K548" s="691">
        <v>76.5</v>
      </c>
    </row>
    <row r="549" spans="1:11">
      <c r="A549" s="688" t="s">
        <v>9</v>
      </c>
      <c r="B549" s="689">
        <v>75.400000000000006</v>
      </c>
      <c r="C549" s="689">
        <v>75.8</v>
      </c>
      <c r="D549" s="689">
        <v>75.599999999999994</v>
      </c>
      <c r="E549" s="689">
        <v>75.2</v>
      </c>
      <c r="F549" s="689">
        <v>75.7</v>
      </c>
      <c r="G549" s="689">
        <v>75.900000000000006</v>
      </c>
      <c r="H549" s="689">
        <v>76.099999999999994</v>
      </c>
      <c r="I549" s="689">
        <v>76.099999999999994</v>
      </c>
      <c r="J549" s="689">
        <v>76.400000000000006</v>
      </c>
      <c r="K549" s="689">
        <v>75.400000000000006</v>
      </c>
    </row>
    <row r="550" spans="1:11">
      <c r="A550" s="688" t="s">
        <v>13</v>
      </c>
      <c r="B550" s="691">
        <v>75.900000000000006</v>
      </c>
      <c r="C550" s="691">
        <v>75.3</v>
      </c>
      <c r="D550" s="615">
        <v>76</v>
      </c>
      <c r="E550" s="691">
        <v>75.3</v>
      </c>
      <c r="F550" s="691">
        <v>76.3</v>
      </c>
      <c r="G550" s="615">
        <v>76</v>
      </c>
      <c r="H550" s="615">
        <v>77</v>
      </c>
      <c r="I550" s="691">
        <v>75.2</v>
      </c>
      <c r="J550" s="691">
        <v>77.099999999999994</v>
      </c>
      <c r="K550" s="691">
        <v>76.8</v>
      </c>
    </row>
    <row r="551" spans="1:11">
      <c r="A551" s="688" t="s">
        <v>18</v>
      </c>
      <c r="B551" s="689">
        <v>75.099999999999994</v>
      </c>
      <c r="C551" s="689">
        <v>75.3</v>
      </c>
      <c r="D551" s="689">
        <v>75.5</v>
      </c>
      <c r="E551" s="689">
        <v>75.599999999999994</v>
      </c>
      <c r="F551" s="689">
        <v>75.900000000000006</v>
      </c>
      <c r="G551" s="693">
        <v>76</v>
      </c>
      <c r="H551" s="689">
        <v>76.2</v>
      </c>
      <c r="I551" s="689">
        <v>76.400000000000006</v>
      </c>
      <c r="J551" s="689">
        <v>76.3</v>
      </c>
      <c r="K551" s="689">
        <v>75.8</v>
      </c>
    </row>
    <row r="552" spans="1:11">
      <c r="A552" s="688" t="s">
        <v>24</v>
      </c>
      <c r="B552" s="691">
        <v>76.3</v>
      </c>
      <c r="C552" s="691">
        <v>76.5</v>
      </c>
      <c r="D552" s="691">
        <v>76.2</v>
      </c>
      <c r="E552" s="691">
        <v>76.8</v>
      </c>
      <c r="F552" s="691">
        <v>76.8</v>
      </c>
      <c r="G552" s="691">
        <v>76.900000000000006</v>
      </c>
      <c r="H552" s="691">
        <v>77.099999999999994</v>
      </c>
      <c r="I552" s="691">
        <v>76.400000000000006</v>
      </c>
      <c r="J552" s="615">
        <v>77</v>
      </c>
      <c r="K552" s="691">
        <v>76.900000000000006</v>
      </c>
    </row>
    <row r="553" spans="1:11">
      <c r="A553" s="688" t="s">
        <v>4059</v>
      </c>
      <c r="B553" s="689">
        <v>74.5</v>
      </c>
      <c r="C553" s="689">
        <v>74.7</v>
      </c>
      <c r="D553" s="689">
        <v>74.400000000000006</v>
      </c>
      <c r="E553" s="689">
        <v>74.599999999999994</v>
      </c>
      <c r="F553" s="689">
        <v>74.7</v>
      </c>
      <c r="G553" s="689">
        <v>74.599999999999994</v>
      </c>
      <c r="H553" s="690" t="s">
        <v>4060</v>
      </c>
      <c r="I553" s="690" t="s">
        <v>4060</v>
      </c>
      <c r="J553" s="690" t="s">
        <v>4060</v>
      </c>
      <c r="K553" s="690" t="s">
        <v>4060</v>
      </c>
    </row>
    <row r="554" spans="1:11">
      <c r="A554" s="688" t="s">
        <v>2324</v>
      </c>
      <c r="B554" s="691">
        <v>69.900000000000006</v>
      </c>
      <c r="C554" s="691">
        <v>69.900000000000006</v>
      </c>
      <c r="D554" s="691">
        <v>69.7</v>
      </c>
      <c r="E554" s="691">
        <v>69.8</v>
      </c>
      <c r="F554" s="691">
        <v>69.8</v>
      </c>
      <c r="G554" s="691">
        <v>70.099999999999994</v>
      </c>
      <c r="H554" s="615">
        <v>70</v>
      </c>
      <c r="I554" s="691">
        <v>69.2</v>
      </c>
      <c r="J554" s="691">
        <v>66.900000000000006</v>
      </c>
      <c r="K554" s="692" t="s">
        <v>4060</v>
      </c>
    </row>
    <row r="555" spans="1:11">
      <c r="A555" s="688" t="s">
        <v>2322</v>
      </c>
      <c r="B555" s="690" t="s">
        <v>4060</v>
      </c>
      <c r="C555" s="690" t="s">
        <v>4060</v>
      </c>
      <c r="D555" s="690" t="s">
        <v>4060</v>
      </c>
      <c r="E555" s="690" t="s">
        <v>4060</v>
      </c>
      <c r="F555" s="690" t="s">
        <v>4060</v>
      </c>
      <c r="G555" s="690" t="s">
        <v>4060</v>
      </c>
      <c r="H555" s="690" t="s">
        <v>4060</v>
      </c>
      <c r="I555" s="690" t="s">
        <v>4060</v>
      </c>
      <c r="J555" s="690" t="s">
        <v>4060</v>
      </c>
      <c r="K555" s="690" t="s">
        <v>4060</v>
      </c>
    </row>
    <row r="556" spans="1:11">
      <c r="A556" s="688" t="s">
        <v>2328</v>
      </c>
      <c r="B556" s="691">
        <v>69.3</v>
      </c>
      <c r="C556" s="691">
        <v>69.3</v>
      </c>
      <c r="D556" s="691">
        <v>69.2</v>
      </c>
      <c r="E556" s="691">
        <v>69.400000000000006</v>
      </c>
      <c r="F556" s="691">
        <v>69.8</v>
      </c>
      <c r="G556" s="691">
        <v>70.2</v>
      </c>
      <c r="H556" s="691">
        <v>70.099999999999994</v>
      </c>
      <c r="I556" s="691">
        <v>67.900000000000006</v>
      </c>
      <c r="J556" s="691">
        <v>66.599999999999994</v>
      </c>
      <c r="K556" s="692" t="s">
        <v>4060</v>
      </c>
    </row>
    <row r="557" spans="1:11">
      <c r="A557" s="688" t="s">
        <v>2496</v>
      </c>
      <c r="B557" s="690" t="s">
        <v>4060</v>
      </c>
      <c r="C557" s="693">
        <v>68</v>
      </c>
      <c r="D557" s="689">
        <v>66.900000000000006</v>
      </c>
      <c r="E557" s="689">
        <v>66.5</v>
      </c>
      <c r="F557" s="689">
        <v>67.3</v>
      </c>
      <c r="G557" s="689">
        <v>67.7</v>
      </c>
      <c r="H557" s="689">
        <v>67.8</v>
      </c>
      <c r="I557" s="690" t="s">
        <v>4060</v>
      </c>
      <c r="J557" s="690" t="s">
        <v>4060</v>
      </c>
      <c r="K557" s="689">
        <v>67.400000000000006</v>
      </c>
    </row>
    <row r="558" spans="1:11">
      <c r="A558" s="688" t="s">
        <v>2269</v>
      </c>
      <c r="B558" s="691">
        <v>71.7</v>
      </c>
      <c r="C558" s="615">
        <v>72</v>
      </c>
      <c r="D558" s="691">
        <v>71.599999999999994</v>
      </c>
      <c r="E558" s="691">
        <v>72.3</v>
      </c>
      <c r="F558" s="691">
        <v>72.3</v>
      </c>
      <c r="G558" s="691">
        <v>72.7</v>
      </c>
      <c r="H558" s="615">
        <v>73</v>
      </c>
      <c r="I558" s="691">
        <v>71.2</v>
      </c>
      <c r="J558" s="691">
        <v>69.3</v>
      </c>
      <c r="K558" s="691">
        <v>72.7</v>
      </c>
    </row>
    <row r="559" spans="1:11">
      <c r="A559" s="688" t="s">
        <v>2349</v>
      </c>
      <c r="B559" s="689">
        <v>68.8</v>
      </c>
      <c r="C559" s="689">
        <v>68.900000000000006</v>
      </c>
      <c r="D559" s="689">
        <v>68.8</v>
      </c>
      <c r="E559" s="689">
        <v>69.2</v>
      </c>
      <c r="F559" s="689">
        <v>69.099999999999994</v>
      </c>
      <c r="G559" s="689">
        <v>69.400000000000006</v>
      </c>
      <c r="H559" s="689">
        <v>69.400000000000006</v>
      </c>
      <c r="I559" s="689">
        <v>67.900000000000006</v>
      </c>
      <c r="J559" s="689">
        <v>66.2</v>
      </c>
      <c r="K559" s="689">
        <v>68.599999999999994</v>
      </c>
    </row>
    <row r="560" spans="1:11">
      <c r="A560" s="688" t="s">
        <v>2355</v>
      </c>
      <c r="B560" s="691">
        <v>72.400000000000006</v>
      </c>
      <c r="C560" s="691">
        <v>72.3</v>
      </c>
      <c r="D560" s="691">
        <v>72.2</v>
      </c>
      <c r="E560" s="691">
        <v>72.099999999999994</v>
      </c>
      <c r="F560" s="691">
        <v>72.400000000000006</v>
      </c>
      <c r="G560" s="691">
        <v>72.8</v>
      </c>
      <c r="H560" s="615">
        <v>73</v>
      </c>
      <c r="I560" s="692" t="s">
        <v>4060</v>
      </c>
      <c r="J560" s="692" t="s">
        <v>4060</v>
      </c>
      <c r="K560" s="692" t="s">
        <v>4060</v>
      </c>
    </row>
    <row r="561" spans="1:11">
      <c r="A561" s="688" t="s">
        <v>2357</v>
      </c>
      <c r="B561" s="690" t="s">
        <v>4060</v>
      </c>
      <c r="C561" s="689">
        <v>65.5</v>
      </c>
      <c r="D561" s="689">
        <v>66.2</v>
      </c>
      <c r="E561" s="689">
        <v>66.599999999999994</v>
      </c>
      <c r="F561" s="689">
        <v>66.900000000000006</v>
      </c>
      <c r="G561" s="689">
        <v>66.8</v>
      </c>
      <c r="H561" s="693">
        <v>67</v>
      </c>
      <c r="I561" s="690" t="s">
        <v>4060</v>
      </c>
      <c r="J561" s="690" t="s">
        <v>4060</v>
      </c>
      <c r="K561" s="690" t="s">
        <v>4060</v>
      </c>
    </row>
    <row r="562" spans="1:11">
      <c r="A562" s="688" t="s">
        <v>4070</v>
      </c>
      <c r="B562" s="692" t="s">
        <v>4060</v>
      </c>
      <c r="C562" s="692" t="s">
        <v>4060</v>
      </c>
      <c r="D562" s="692" t="s">
        <v>4060</v>
      </c>
      <c r="E562" s="691">
        <v>72.2</v>
      </c>
      <c r="F562" s="692" t="s">
        <v>4060</v>
      </c>
      <c r="G562" s="692" t="s">
        <v>4060</v>
      </c>
      <c r="H562" s="692" t="s">
        <v>4060</v>
      </c>
      <c r="I562" s="692" t="s">
        <v>4060</v>
      </c>
      <c r="J562" s="692" t="s">
        <v>4060</v>
      </c>
      <c r="K562" s="692" t="s">
        <v>4060</v>
      </c>
    </row>
    <row r="563" spans="1:11">
      <c r="A563" s="688" t="s">
        <v>2491</v>
      </c>
      <c r="B563" s="689">
        <v>66.099999999999994</v>
      </c>
      <c r="C563" s="689">
        <v>66.7</v>
      </c>
      <c r="D563" s="689">
        <v>67.3</v>
      </c>
      <c r="E563" s="689">
        <v>67.599999999999994</v>
      </c>
      <c r="F563" s="689">
        <v>67.8</v>
      </c>
      <c r="G563" s="689">
        <v>67.8</v>
      </c>
      <c r="H563" s="690" t="s">
        <v>4060</v>
      </c>
      <c r="I563" s="690" t="s">
        <v>4060</v>
      </c>
      <c r="J563" s="690" t="s">
        <v>4060</v>
      </c>
      <c r="K563" s="690" t="s">
        <v>4060</v>
      </c>
    </row>
    <row r="564" spans="1:11">
      <c r="A564" s="688" t="s">
        <v>2343</v>
      </c>
      <c r="B564" s="692" t="s">
        <v>4060</v>
      </c>
      <c r="C564" s="692" t="s">
        <v>4060</v>
      </c>
      <c r="D564" s="692" t="s">
        <v>4060</v>
      </c>
      <c r="E564" s="692" t="s">
        <v>4060</v>
      </c>
      <c r="F564" s="692" t="s">
        <v>4060</v>
      </c>
      <c r="G564" s="692" t="s">
        <v>4060</v>
      </c>
      <c r="H564" s="692" t="s">
        <v>4060</v>
      </c>
      <c r="I564" s="692" t="s">
        <v>4060</v>
      </c>
      <c r="J564" s="692" t="s">
        <v>4060</v>
      </c>
      <c r="K564" s="692" t="s">
        <v>4060</v>
      </c>
    </row>
    <row r="565" spans="1:11">
      <c r="A565" s="688" t="s">
        <v>4071</v>
      </c>
      <c r="B565" s="690" t="s">
        <v>4060</v>
      </c>
      <c r="C565" s="690" t="s">
        <v>4060</v>
      </c>
      <c r="D565" s="690" t="s">
        <v>4060</v>
      </c>
      <c r="E565" s="690" t="s">
        <v>4060</v>
      </c>
      <c r="F565" s="690" t="s">
        <v>4060</v>
      </c>
      <c r="G565" s="690" t="s">
        <v>4060</v>
      </c>
      <c r="H565" s="690" t="s">
        <v>4060</v>
      </c>
      <c r="I565" s="690" t="s">
        <v>4060</v>
      </c>
      <c r="J565" s="690" t="s">
        <v>4060</v>
      </c>
      <c r="K565" s="690" t="s">
        <v>4060</v>
      </c>
    </row>
    <row r="566" spans="1:11">
      <c r="A566" s="688" t="s">
        <v>2489</v>
      </c>
      <c r="B566" s="692" t="s">
        <v>4060</v>
      </c>
      <c r="C566" s="692" t="s">
        <v>4060</v>
      </c>
      <c r="D566" s="691">
        <v>68.900000000000006</v>
      </c>
      <c r="E566" s="691">
        <v>68.900000000000006</v>
      </c>
      <c r="F566" s="691">
        <v>69.599999999999994</v>
      </c>
      <c r="G566" s="691">
        <v>70.400000000000006</v>
      </c>
      <c r="H566" s="691">
        <v>70.2</v>
      </c>
      <c r="I566" s="692" t="s">
        <v>4060</v>
      </c>
      <c r="J566" s="692" t="s">
        <v>4060</v>
      </c>
      <c r="K566" s="692" t="s">
        <v>4060</v>
      </c>
    </row>
    <row r="567" spans="1:11">
      <c r="A567" s="688" t="s">
        <v>2490</v>
      </c>
      <c r="B567" s="689">
        <v>68.7</v>
      </c>
      <c r="C567" s="689">
        <v>68.8</v>
      </c>
      <c r="D567" s="689">
        <v>69.400000000000006</v>
      </c>
      <c r="E567" s="690" t="s">
        <v>4060</v>
      </c>
      <c r="F567" s="689">
        <v>69.599999999999994</v>
      </c>
      <c r="G567" s="689">
        <v>69.900000000000006</v>
      </c>
      <c r="H567" s="689">
        <v>70.599999999999994</v>
      </c>
      <c r="I567" s="690" t="s">
        <v>4060</v>
      </c>
      <c r="J567" s="690" t="s">
        <v>4060</v>
      </c>
      <c r="K567" s="690" t="s">
        <v>4060</v>
      </c>
    </row>
    <row r="569" spans="1:11">
      <c r="A569" s="683" t="s">
        <v>4233</v>
      </c>
    </row>
    <row r="570" spans="1:11">
      <c r="A570" s="683" t="s">
        <v>4060</v>
      </c>
      <c r="B570" s="682" t="s">
        <v>4234</v>
      </c>
    </row>
    <row r="572" spans="1:11">
      <c r="A572" s="682" t="s">
        <v>4209</v>
      </c>
    </row>
    <row r="573" spans="1:11">
      <c r="A573" s="682" t="s">
        <v>4210</v>
      </c>
      <c r="B573" s="683" t="s">
        <v>4211</v>
      </c>
    </row>
    <row r="574" spans="1:11">
      <c r="A574" s="682" t="s">
        <v>4212</v>
      </c>
      <c r="B574" s="682" t="s">
        <v>4213</v>
      </c>
    </row>
    <row r="576" spans="1:11">
      <c r="A576" s="683" t="s">
        <v>4214</v>
      </c>
      <c r="C576" s="682" t="s">
        <v>4215</v>
      </c>
    </row>
    <row r="577" spans="1:11">
      <c r="A577" s="683" t="s">
        <v>4216</v>
      </c>
      <c r="C577" s="682" t="s">
        <v>2967</v>
      </c>
    </row>
    <row r="578" spans="1:11">
      <c r="A578" s="683" t="s">
        <v>3893</v>
      </c>
      <c r="C578" s="682" t="s">
        <v>4217</v>
      </c>
    </row>
    <row r="579" spans="1:11">
      <c r="A579" s="683" t="s">
        <v>4218</v>
      </c>
      <c r="C579" s="682" t="s">
        <v>4242</v>
      </c>
    </row>
    <row r="581" spans="1:11">
      <c r="A581" s="684" t="s">
        <v>4220</v>
      </c>
      <c r="B581" s="685" t="s">
        <v>4221</v>
      </c>
      <c r="C581" s="685" t="s">
        <v>4222</v>
      </c>
      <c r="D581" s="685" t="s">
        <v>4223</v>
      </c>
      <c r="E581" s="685" t="s">
        <v>4224</v>
      </c>
      <c r="F581" s="685" t="s">
        <v>4225</v>
      </c>
      <c r="G581" s="685" t="s">
        <v>4226</v>
      </c>
      <c r="H581" s="685" t="s">
        <v>4227</v>
      </c>
      <c r="I581" s="685" t="s">
        <v>4228</v>
      </c>
      <c r="J581" s="685" t="s">
        <v>4229</v>
      </c>
      <c r="K581" s="685" t="s">
        <v>4230</v>
      </c>
    </row>
    <row r="582" spans="1:11">
      <c r="A582" s="686" t="s">
        <v>4231</v>
      </c>
      <c r="B582" s="687" t="s">
        <v>4232</v>
      </c>
      <c r="C582" s="687" t="s">
        <v>4232</v>
      </c>
      <c r="D582" s="687" t="s">
        <v>4232</v>
      </c>
      <c r="E582" s="687" t="s">
        <v>4232</v>
      </c>
      <c r="F582" s="687" t="s">
        <v>4232</v>
      </c>
      <c r="G582" s="687" t="s">
        <v>4232</v>
      </c>
      <c r="H582" s="687" t="s">
        <v>4232</v>
      </c>
      <c r="I582" s="687" t="s">
        <v>4232</v>
      </c>
      <c r="J582" s="687" t="s">
        <v>4232</v>
      </c>
      <c r="K582" s="687" t="s">
        <v>4232</v>
      </c>
    </row>
    <row r="583" spans="1:11">
      <c r="A583" s="688" t="s">
        <v>4064</v>
      </c>
      <c r="B583" s="689">
        <v>72.8</v>
      </c>
      <c r="C583" s="689">
        <v>72.900000000000006</v>
      </c>
      <c r="D583" s="689">
        <v>72.900000000000006</v>
      </c>
      <c r="E583" s="689">
        <v>73.099999999999994</v>
      </c>
      <c r="F583" s="689">
        <v>73.099999999999994</v>
      </c>
      <c r="G583" s="689">
        <v>73.2</v>
      </c>
      <c r="H583" s="689">
        <v>73.400000000000006</v>
      </c>
      <c r="I583" s="689">
        <v>72.599999999999994</v>
      </c>
      <c r="J583" s="689">
        <v>72.3</v>
      </c>
      <c r="K583" s="689">
        <v>72.900000000000006</v>
      </c>
    </row>
    <row r="584" spans="1:11">
      <c r="A584" s="688" t="s">
        <v>4065</v>
      </c>
      <c r="B584" s="691">
        <v>72.900000000000006</v>
      </c>
      <c r="C584" s="691">
        <v>73.3</v>
      </c>
      <c r="D584" s="615">
        <v>73</v>
      </c>
      <c r="E584" s="691">
        <v>73.3</v>
      </c>
      <c r="F584" s="691">
        <v>73.3</v>
      </c>
      <c r="G584" s="691">
        <v>73.400000000000006</v>
      </c>
      <c r="H584" s="692" t="s">
        <v>4060</v>
      </c>
      <c r="I584" s="692" t="s">
        <v>4060</v>
      </c>
      <c r="J584" s="692" t="s">
        <v>4060</v>
      </c>
      <c r="K584" s="692" t="s">
        <v>4060</v>
      </c>
    </row>
    <row r="585" spans="1:11">
      <c r="A585" s="688" t="s">
        <v>4063</v>
      </c>
      <c r="B585" s="689">
        <v>72.900000000000006</v>
      </c>
      <c r="C585" s="689">
        <v>73.3</v>
      </c>
      <c r="D585" s="693">
        <v>73</v>
      </c>
      <c r="E585" s="689">
        <v>73.400000000000006</v>
      </c>
      <c r="F585" s="689">
        <v>73.3</v>
      </c>
      <c r="G585" s="689">
        <v>73.400000000000006</v>
      </c>
      <c r="H585" s="690" t="s">
        <v>4060</v>
      </c>
      <c r="I585" s="690" t="s">
        <v>4060</v>
      </c>
      <c r="J585" s="690" t="s">
        <v>4060</v>
      </c>
      <c r="K585" s="690" t="s">
        <v>4060</v>
      </c>
    </row>
    <row r="586" spans="1:11">
      <c r="A586" s="688" t="s">
        <v>4069</v>
      </c>
      <c r="B586" s="692" t="s">
        <v>4060</v>
      </c>
      <c r="C586" s="615">
        <v>74</v>
      </c>
      <c r="D586" s="691">
        <v>73.7</v>
      </c>
      <c r="E586" s="615">
        <v>74</v>
      </c>
      <c r="F586" s="691">
        <v>74.099999999999994</v>
      </c>
      <c r="G586" s="691">
        <v>74.2</v>
      </c>
      <c r="H586" s="691">
        <v>74.400000000000006</v>
      </c>
      <c r="I586" s="691">
        <v>73.8</v>
      </c>
      <c r="J586" s="691">
        <v>73.7</v>
      </c>
      <c r="K586" s="691">
        <v>73.900000000000006</v>
      </c>
    </row>
    <row r="587" spans="1:11">
      <c r="A587" s="688" t="s">
        <v>4068</v>
      </c>
      <c r="B587" s="689">
        <v>73.900000000000006</v>
      </c>
      <c r="C587" s="690" t="s">
        <v>4060</v>
      </c>
      <c r="D587" s="690" t="s">
        <v>4060</v>
      </c>
      <c r="E587" s="690" t="s">
        <v>4060</v>
      </c>
      <c r="F587" s="690" t="s">
        <v>4060</v>
      </c>
      <c r="G587" s="690" t="s">
        <v>4060</v>
      </c>
      <c r="H587" s="690" t="s">
        <v>4060</v>
      </c>
      <c r="I587" s="690" t="s">
        <v>4060</v>
      </c>
      <c r="J587" s="690" t="s">
        <v>4060</v>
      </c>
      <c r="K587" s="690" t="s">
        <v>4060</v>
      </c>
    </row>
    <row r="588" spans="1:11">
      <c r="A588" s="688" t="s">
        <v>0</v>
      </c>
      <c r="B588" s="691">
        <v>73.099999999999994</v>
      </c>
      <c r="C588" s="691">
        <v>73.400000000000006</v>
      </c>
      <c r="D588" s="691">
        <v>73.2</v>
      </c>
      <c r="E588" s="691">
        <v>73.599999999999994</v>
      </c>
      <c r="F588" s="691">
        <v>73.7</v>
      </c>
      <c r="G588" s="691">
        <v>73.900000000000006</v>
      </c>
      <c r="H588" s="691">
        <v>74.2</v>
      </c>
      <c r="I588" s="691">
        <v>73.099999999999994</v>
      </c>
      <c r="J588" s="615">
        <v>74</v>
      </c>
      <c r="K588" s="615">
        <v>74</v>
      </c>
    </row>
    <row r="589" spans="1:11">
      <c r="A589" s="688" t="s">
        <v>1</v>
      </c>
      <c r="B589" s="689">
        <v>67.599999999999994</v>
      </c>
      <c r="C589" s="689">
        <v>67.099999999999994</v>
      </c>
      <c r="D589" s="689">
        <v>67.2</v>
      </c>
      <c r="E589" s="689">
        <v>67.3</v>
      </c>
      <c r="F589" s="689">
        <v>67.3</v>
      </c>
      <c r="G589" s="689">
        <v>67.3</v>
      </c>
      <c r="H589" s="689">
        <v>67.400000000000006</v>
      </c>
      <c r="I589" s="689">
        <v>65.8</v>
      </c>
      <c r="J589" s="689">
        <v>63.7</v>
      </c>
      <c r="K589" s="689">
        <v>66.599999999999994</v>
      </c>
    </row>
    <row r="590" spans="1:11">
      <c r="A590" s="688" t="s">
        <v>2240</v>
      </c>
      <c r="B590" s="691">
        <v>70.599999999999994</v>
      </c>
      <c r="C590" s="615">
        <v>71</v>
      </c>
      <c r="D590" s="691">
        <v>70.8</v>
      </c>
      <c r="E590" s="691">
        <v>71.3</v>
      </c>
      <c r="F590" s="691">
        <v>71.2</v>
      </c>
      <c r="G590" s="691">
        <v>71.3</v>
      </c>
      <c r="H590" s="691">
        <v>71.5</v>
      </c>
      <c r="I590" s="691">
        <v>70.5</v>
      </c>
      <c r="J590" s="691">
        <v>69.5</v>
      </c>
      <c r="K590" s="691">
        <v>71.2</v>
      </c>
    </row>
    <row r="591" spans="1:11">
      <c r="A591" s="688" t="s">
        <v>2</v>
      </c>
      <c r="B591" s="689">
        <v>72.7</v>
      </c>
      <c r="C591" s="693">
        <v>73</v>
      </c>
      <c r="D591" s="689">
        <v>73.099999999999994</v>
      </c>
      <c r="E591" s="689">
        <v>73.2</v>
      </c>
      <c r="F591" s="689">
        <v>73.5</v>
      </c>
      <c r="G591" s="689">
        <v>73.3</v>
      </c>
      <c r="H591" s="689">
        <v>73.7</v>
      </c>
      <c r="I591" s="689">
        <v>73.8</v>
      </c>
      <c r="J591" s="689">
        <v>73.7</v>
      </c>
      <c r="K591" s="689">
        <v>73.599999999999994</v>
      </c>
    </row>
    <row r="592" spans="1:11">
      <c r="A592" s="688" t="s">
        <v>3</v>
      </c>
      <c r="B592" s="615">
        <v>73</v>
      </c>
      <c r="C592" s="691">
        <v>73.3</v>
      </c>
      <c r="D592" s="691">
        <v>72.900000000000006</v>
      </c>
      <c r="E592" s="691">
        <v>73.2</v>
      </c>
      <c r="F592" s="691">
        <v>73.3</v>
      </c>
      <c r="G592" s="691">
        <v>73.2</v>
      </c>
      <c r="H592" s="691">
        <v>73.5</v>
      </c>
      <c r="I592" s="691">
        <v>73.3</v>
      </c>
      <c r="J592" s="615">
        <v>73</v>
      </c>
      <c r="K592" s="691">
        <v>72.8</v>
      </c>
    </row>
    <row r="593" spans="1:11">
      <c r="A593" s="688" t="s">
        <v>4061</v>
      </c>
      <c r="B593" s="693">
        <v>73</v>
      </c>
      <c r="C593" s="689">
        <v>73.3</v>
      </c>
      <c r="D593" s="689">
        <v>72.900000000000006</v>
      </c>
      <c r="E593" s="689">
        <v>73.2</v>
      </c>
      <c r="F593" s="689">
        <v>73.3</v>
      </c>
      <c r="G593" s="689">
        <v>73.2</v>
      </c>
      <c r="H593" s="689">
        <v>73.5</v>
      </c>
      <c r="I593" s="689">
        <v>73.3</v>
      </c>
      <c r="J593" s="693">
        <v>73</v>
      </c>
      <c r="K593" s="689">
        <v>72.8</v>
      </c>
    </row>
    <row r="594" spans="1:11">
      <c r="A594" s="688" t="s">
        <v>4</v>
      </c>
      <c r="B594" s="691">
        <v>69.8</v>
      </c>
      <c r="C594" s="691">
        <v>69.5</v>
      </c>
      <c r="D594" s="615">
        <v>70</v>
      </c>
      <c r="E594" s="615">
        <v>70</v>
      </c>
      <c r="F594" s="691">
        <v>70.5</v>
      </c>
      <c r="G594" s="691">
        <v>70.599999999999994</v>
      </c>
      <c r="H594" s="615">
        <v>71</v>
      </c>
      <c r="I594" s="691">
        <v>70.900000000000006</v>
      </c>
      <c r="J594" s="691">
        <v>69.400000000000006</v>
      </c>
      <c r="K594" s="691">
        <v>70.3</v>
      </c>
    </row>
    <row r="595" spans="1:11">
      <c r="A595" s="688" t="s">
        <v>8</v>
      </c>
      <c r="B595" s="689">
        <v>73.400000000000006</v>
      </c>
      <c r="C595" s="689">
        <v>73.599999999999994</v>
      </c>
      <c r="D595" s="689">
        <v>73.7</v>
      </c>
      <c r="E595" s="689">
        <v>73.8</v>
      </c>
      <c r="F595" s="689">
        <v>74.3</v>
      </c>
      <c r="G595" s="689">
        <v>74.3</v>
      </c>
      <c r="H595" s="689">
        <v>74.8</v>
      </c>
      <c r="I595" s="689">
        <v>74.599999999999994</v>
      </c>
      <c r="J595" s="689">
        <v>74.400000000000006</v>
      </c>
      <c r="K595" s="689">
        <v>74.7</v>
      </c>
    </row>
    <row r="596" spans="1:11">
      <c r="A596" s="688" t="s">
        <v>7</v>
      </c>
      <c r="B596" s="691">
        <v>73.7</v>
      </c>
      <c r="C596" s="691">
        <v>73.400000000000006</v>
      </c>
      <c r="D596" s="691">
        <v>73.099999999999994</v>
      </c>
      <c r="E596" s="691">
        <v>73.5</v>
      </c>
      <c r="F596" s="691">
        <v>73.400000000000006</v>
      </c>
      <c r="G596" s="691">
        <v>73.8</v>
      </c>
      <c r="H596" s="691">
        <v>73.8</v>
      </c>
      <c r="I596" s="691">
        <v>73.400000000000006</v>
      </c>
      <c r="J596" s="691">
        <v>72.400000000000006</v>
      </c>
      <c r="K596" s="691">
        <v>73.099999999999994</v>
      </c>
    </row>
    <row r="597" spans="1:11">
      <c r="A597" s="688" t="s">
        <v>27</v>
      </c>
      <c r="B597" s="689">
        <v>75.5</v>
      </c>
      <c r="C597" s="689">
        <v>75.2</v>
      </c>
      <c r="D597" s="689">
        <v>74.900000000000006</v>
      </c>
      <c r="E597" s="689">
        <v>75.3</v>
      </c>
      <c r="F597" s="689">
        <v>75.3</v>
      </c>
      <c r="G597" s="689">
        <v>75.400000000000006</v>
      </c>
      <c r="H597" s="689">
        <v>75.8</v>
      </c>
      <c r="I597" s="689">
        <v>74.5</v>
      </c>
      <c r="J597" s="689">
        <v>75.3</v>
      </c>
      <c r="K597" s="689">
        <v>75.3</v>
      </c>
    </row>
    <row r="598" spans="1:11">
      <c r="A598" s="688" t="s">
        <v>6</v>
      </c>
      <c r="B598" s="691">
        <v>74.8</v>
      </c>
      <c r="C598" s="691">
        <v>74.8</v>
      </c>
      <c r="D598" s="691">
        <v>74.5</v>
      </c>
      <c r="E598" s="691">
        <v>74.8</v>
      </c>
      <c r="F598" s="691">
        <v>74.8</v>
      </c>
      <c r="G598" s="615">
        <v>75</v>
      </c>
      <c r="H598" s="691">
        <v>75.099999999999994</v>
      </c>
      <c r="I598" s="691">
        <v>74.5</v>
      </c>
      <c r="J598" s="691">
        <v>74.599999999999994</v>
      </c>
      <c r="K598" s="691">
        <v>74.7</v>
      </c>
    </row>
    <row r="599" spans="1:11">
      <c r="A599" s="688" t="s">
        <v>4058</v>
      </c>
      <c r="B599" s="690" t="s">
        <v>4060</v>
      </c>
      <c r="C599" s="690" t="s">
        <v>4060</v>
      </c>
      <c r="D599" s="690" t="s">
        <v>4060</v>
      </c>
      <c r="E599" s="690" t="s">
        <v>4060</v>
      </c>
      <c r="F599" s="690" t="s">
        <v>4060</v>
      </c>
      <c r="G599" s="690" t="s">
        <v>4060</v>
      </c>
      <c r="H599" s="690" t="s">
        <v>4060</v>
      </c>
      <c r="I599" s="690" t="s">
        <v>4060</v>
      </c>
      <c r="J599" s="690" t="s">
        <v>4060</v>
      </c>
      <c r="K599" s="690" t="s">
        <v>4060</v>
      </c>
    </row>
    <row r="600" spans="1:11">
      <c r="A600" s="688" t="s">
        <v>11</v>
      </c>
      <c r="B600" s="691">
        <v>70.2</v>
      </c>
      <c r="C600" s="691">
        <v>70.2</v>
      </c>
      <c r="D600" s="691">
        <v>69.8</v>
      </c>
      <c r="E600" s="691">
        <v>70.400000000000006</v>
      </c>
      <c r="F600" s="691">
        <v>70.2</v>
      </c>
      <c r="G600" s="691">
        <v>70.400000000000006</v>
      </c>
      <c r="H600" s="691">
        <v>70.7</v>
      </c>
      <c r="I600" s="615">
        <v>70</v>
      </c>
      <c r="J600" s="615">
        <v>69</v>
      </c>
      <c r="K600" s="691">
        <v>70.099999999999994</v>
      </c>
    </row>
    <row r="601" spans="1:11">
      <c r="A601" s="688" t="s">
        <v>10</v>
      </c>
      <c r="B601" s="689">
        <v>75.2</v>
      </c>
      <c r="C601" s="689">
        <v>75.099999999999994</v>
      </c>
      <c r="D601" s="689">
        <v>74.7</v>
      </c>
      <c r="E601" s="689">
        <v>75.3</v>
      </c>
      <c r="F601" s="689">
        <v>75.099999999999994</v>
      </c>
      <c r="G601" s="689">
        <v>75.400000000000006</v>
      </c>
      <c r="H601" s="689">
        <v>75.599999999999994</v>
      </c>
      <c r="I601" s="689">
        <v>74.5</v>
      </c>
      <c r="J601" s="689">
        <v>74.900000000000006</v>
      </c>
      <c r="K601" s="693">
        <v>75</v>
      </c>
    </row>
    <row r="602" spans="1:11">
      <c r="A602" s="688" t="s">
        <v>30</v>
      </c>
      <c r="B602" s="691">
        <v>74.7</v>
      </c>
      <c r="C602" s="691">
        <v>74.5</v>
      </c>
      <c r="D602" s="691">
        <v>74.2</v>
      </c>
      <c r="E602" s="691">
        <v>75.099999999999994</v>
      </c>
      <c r="F602" s="691">
        <v>74.599999999999994</v>
      </c>
      <c r="G602" s="691">
        <v>75.2</v>
      </c>
      <c r="H602" s="691">
        <v>74.900000000000006</v>
      </c>
      <c r="I602" s="691">
        <v>74.900000000000006</v>
      </c>
      <c r="J602" s="691">
        <v>74.099999999999994</v>
      </c>
      <c r="K602" s="691">
        <v>74.5</v>
      </c>
    </row>
    <row r="603" spans="1:11">
      <c r="A603" s="688" t="s">
        <v>12</v>
      </c>
      <c r="B603" s="689">
        <v>66.8</v>
      </c>
      <c r="C603" s="689">
        <v>66.7</v>
      </c>
      <c r="D603" s="689">
        <v>67.099999999999994</v>
      </c>
      <c r="E603" s="689">
        <v>67.099999999999994</v>
      </c>
      <c r="F603" s="689">
        <v>67.2</v>
      </c>
      <c r="G603" s="689">
        <v>67.3</v>
      </c>
      <c r="H603" s="693">
        <v>68</v>
      </c>
      <c r="I603" s="689">
        <v>67.8</v>
      </c>
      <c r="J603" s="689">
        <v>65.400000000000006</v>
      </c>
      <c r="K603" s="689">
        <v>66.8</v>
      </c>
    </row>
    <row r="604" spans="1:11">
      <c r="A604" s="688" t="s">
        <v>14</v>
      </c>
      <c r="B604" s="691">
        <v>66.5</v>
      </c>
      <c r="C604" s="615">
        <v>67</v>
      </c>
      <c r="D604" s="691">
        <v>66.900000000000006</v>
      </c>
      <c r="E604" s="691">
        <v>67.2</v>
      </c>
      <c r="F604" s="615">
        <v>68</v>
      </c>
      <c r="G604" s="691">
        <v>68.2</v>
      </c>
      <c r="H604" s="691">
        <v>68.7</v>
      </c>
      <c r="I604" s="691">
        <v>67.400000000000006</v>
      </c>
      <c r="J604" s="691">
        <v>66.599999999999994</v>
      </c>
      <c r="K604" s="691">
        <v>68.099999999999994</v>
      </c>
    </row>
    <row r="605" spans="1:11">
      <c r="A605" s="688" t="s">
        <v>15</v>
      </c>
      <c r="B605" s="689">
        <v>74.2</v>
      </c>
      <c r="C605" s="689">
        <v>74.2</v>
      </c>
      <c r="D605" s="689">
        <v>74.3</v>
      </c>
      <c r="E605" s="689">
        <v>74.7</v>
      </c>
      <c r="F605" s="689">
        <v>74.099999999999994</v>
      </c>
      <c r="G605" s="689">
        <v>74.5</v>
      </c>
      <c r="H605" s="689">
        <v>74.900000000000006</v>
      </c>
      <c r="I605" s="689">
        <v>74.400000000000006</v>
      </c>
      <c r="J605" s="689">
        <v>74.8</v>
      </c>
      <c r="K605" s="689">
        <v>75.2</v>
      </c>
    </row>
    <row r="606" spans="1:11">
      <c r="A606" s="688" t="s">
        <v>29</v>
      </c>
      <c r="B606" s="691">
        <v>68.2</v>
      </c>
      <c r="C606" s="691">
        <v>68.2</v>
      </c>
      <c r="D606" s="615">
        <v>68</v>
      </c>
      <c r="E606" s="691">
        <v>68.400000000000006</v>
      </c>
      <c r="F606" s="691">
        <v>68.2</v>
      </c>
      <c r="G606" s="691">
        <v>68.400000000000006</v>
      </c>
      <c r="H606" s="691">
        <v>68.599999999999994</v>
      </c>
      <c r="I606" s="691">
        <v>67.900000000000006</v>
      </c>
      <c r="J606" s="691">
        <v>66.400000000000006</v>
      </c>
      <c r="K606" s="691">
        <v>68.3</v>
      </c>
    </row>
    <row r="607" spans="1:11">
      <c r="A607" s="688" t="s">
        <v>16</v>
      </c>
      <c r="B607" s="689">
        <v>74.400000000000006</v>
      </c>
      <c r="C607" s="689">
        <v>74.2</v>
      </c>
      <c r="D607" s="689">
        <v>74.3</v>
      </c>
      <c r="E607" s="689">
        <v>74.8</v>
      </c>
      <c r="F607" s="689">
        <v>74.7</v>
      </c>
      <c r="G607" s="689">
        <v>74.599999999999994</v>
      </c>
      <c r="H607" s="689">
        <v>75.099999999999994</v>
      </c>
      <c r="I607" s="689">
        <v>74.3</v>
      </c>
      <c r="J607" s="689">
        <v>74.400000000000006</v>
      </c>
      <c r="K607" s="689">
        <v>74.599999999999994</v>
      </c>
    </row>
    <row r="608" spans="1:11">
      <c r="A608" s="688" t="s">
        <v>17</v>
      </c>
      <c r="B608" s="691">
        <v>73.8</v>
      </c>
      <c r="C608" s="615">
        <v>74</v>
      </c>
      <c r="D608" s="691">
        <v>73.8</v>
      </c>
      <c r="E608" s="691">
        <v>73.900000000000006</v>
      </c>
      <c r="F608" s="691">
        <v>74.099999999999994</v>
      </c>
      <c r="G608" s="691">
        <v>74.099999999999994</v>
      </c>
      <c r="H608" s="691">
        <v>74.400000000000006</v>
      </c>
      <c r="I608" s="691">
        <v>73.7</v>
      </c>
      <c r="J608" s="691">
        <v>73.7</v>
      </c>
      <c r="K608" s="691">
        <v>73.900000000000006</v>
      </c>
    </row>
    <row r="609" spans="1:11">
      <c r="A609" s="688" t="s">
        <v>19</v>
      </c>
      <c r="B609" s="689">
        <v>73.599999999999994</v>
      </c>
      <c r="C609" s="689">
        <v>73.7</v>
      </c>
      <c r="D609" s="689">
        <v>73.5</v>
      </c>
      <c r="E609" s="689">
        <v>73.900000000000006</v>
      </c>
      <c r="F609" s="693">
        <v>74</v>
      </c>
      <c r="G609" s="693">
        <v>74</v>
      </c>
      <c r="H609" s="689">
        <v>74.2</v>
      </c>
      <c r="I609" s="689">
        <v>73.7</v>
      </c>
      <c r="J609" s="689">
        <v>73.599999999999994</v>
      </c>
      <c r="K609" s="689">
        <v>73.7</v>
      </c>
    </row>
    <row r="610" spans="1:11">
      <c r="A610" s="688" t="s">
        <v>20</v>
      </c>
      <c r="B610" s="691">
        <v>69.5</v>
      </c>
      <c r="C610" s="691">
        <v>69.900000000000006</v>
      </c>
      <c r="D610" s="691">
        <v>69.7</v>
      </c>
      <c r="E610" s="691">
        <v>70.099999999999994</v>
      </c>
      <c r="F610" s="691">
        <v>70.099999999999994</v>
      </c>
      <c r="G610" s="691">
        <v>69.900000000000006</v>
      </c>
      <c r="H610" s="691">
        <v>70.2</v>
      </c>
      <c r="I610" s="691">
        <v>68.7</v>
      </c>
      <c r="J610" s="691">
        <v>67.7</v>
      </c>
      <c r="K610" s="691">
        <v>69.5</v>
      </c>
    </row>
    <row r="611" spans="1:11">
      <c r="A611" s="688" t="s">
        <v>21</v>
      </c>
      <c r="B611" s="689">
        <v>73.2</v>
      </c>
      <c r="C611" s="689">
        <v>73.599999999999994</v>
      </c>
      <c r="D611" s="689">
        <v>73.599999999999994</v>
      </c>
      <c r="E611" s="689">
        <v>73.7</v>
      </c>
      <c r="F611" s="689">
        <v>73.900000000000006</v>
      </c>
      <c r="G611" s="689">
        <v>73.900000000000006</v>
      </c>
      <c r="H611" s="689">
        <v>74.3</v>
      </c>
      <c r="I611" s="689">
        <v>73.599999999999994</v>
      </c>
      <c r="J611" s="689">
        <v>73.7</v>
      </c>
      <c r="K611" s="693">
        <v>74</v>
      </c>
    </row>
    <row r="612" spans="1:11">
      <c r="A612" s="688" t="s">
        <v>22</v>
      </c>
      <c r="B612" s="615">
        <v>68</v>
      </c>
      <c r="C612" s="691">
        <v>67.7</v>
      </c>
      <c r="D612" s="691">
        <v>67.599999999999994</v>
      </c>
      <c r="E612" s="691">
        <v>67.8</v>
      </c>
      <c r="F612" s="691">
        <v>67.8</v>
      </c>
      <c r="G612" s="691">
        <v>67.900000000000006</v>
      </c>
      <c r="H612" s="691">
        <v>68.099999999999994</v>
      </c>
      <c r="I612" s="691">
        <v>66.599999999999994</v>
      </c>
      <c r="J612" s="691">
        <v>65.3</v>
      </c>
      <c r="K612" s="691">
        <v>67.599999999999994</v>
      </c>
    </row>
    <row r="613" spans="1:11">
      <c r="A613" s="688" t="s">
        <v>26</v>
      </c>
      <c r="B613" s="689">
        <v>72.7</v>
      </c>
      <c r="C613" s="689">
        <v>73.099999999999994</v>
      </c>
      <c r="D613" s="689">
        <v>72.8</v>
      </c>
      <c r="E613" s="689">
        <v>73.2</v>
      </c>
      <c r="F613" s="689">
        <v>73.099999999999994</v>
      </c>
      <c r="G613" s="689">
        <v>73.400000000000006</v>
      </c>
      <c r="H613" s="689">
        <v>73.599999999999994</v>
      </c>
      <c r="I613" s="689">
        <v>72.8</v>
      </c>
      <c r="J613" s="689">
        <v>72.8</v>
      </c>
      <c r="K613" s="689">
        <v>73.400000000000006</v>
      </c>
    </row>
    <row r="614" spans="1:11">
      <c r="A614" s="688" t="s">
        <v>25</v>
      </c>
      <c r="B614" s="691">
        <v>69.099999999999994</v>
      </c>
      <c r="C614" s="691">
        <v>69.5</v>
      </c>
      <c r="D614" s="691">
        <v>69.2</v>
      </c>
      <c r="E614" s="691">
        <v>69.8</v>
      </c>
      <c r="F614" s="691">
        <v>69.7</v>
      </c>
      <c r="G614" s="691">
        <v>69.8</v>
      </c>
      <c r="H614" s="691">
        <v>70.2</v>
      </c>
      <c r="I614" s="691">
        <v>69.5</v>
      </c>
      <c r="J614" s="691">
        <v>67.099999999999994</v>
      </c>
      <c r="K614" s="691">
        <v>69.5</v>
      </c>
    </row>
    <row r="615" spans="1:11">
      <c r="A615" s="688" t="s">
        <v>5</v>
      </c>
      <c r="B615" s="689">
        <v>73.3</v>
      </c>
      <c r="C615" s="689">
        <v>73.3</v>
      </c>
      <c r="D615" s="689">
        <v>73.599999999999994</v>
      </c>
      <c r="E615" s="689">
        <v>73.5</v>
      </c>
      <c r="F615" s="689">
        <v>73.7</v>
      </c>
      <c r="G615" s="689">
        <v>73.8</v>
      </c>
      <c r="H615" s="689">
        <v>74.099999999999994</v>
      </c>
      <c r="I615" s="693">
        <v>74</v>
      </c>
      <c r="J615" s="693">
        <v>74</v>
      </c>
      <c r="K615" s="689">
        <v>73.400000000000006</v>
      </c>
    </row>
    <row r="616" spans="1:11">
      <c r="A616" s="688" t="s">
        <v>23</v>
      </c>
      <c r="B616" s="691">
        <v>74.3</v>
      </c>
      <c r="C616" s="691">
        <v>74.5</v>
      </c>
      <c r="D616" s="691">
        <v>74.400000000000006</v>
      </c>
      <c r="E616" s="691">
        <v>74.599999999999994</v>
      </c>
      <c r="F616" s="691">
        <v>74.7</v>
      </c>
      <c r="G616" s="691">
        <v>74.8</v>
      </c>
      <c r="H616" s="691">
        <v>75.3</v>
      </c>
      <c r="I616" s="691">
        <v>74.7</v>
      </c>
      <c r="J616" s="691">
        <v>75.2</v>
      </c>
      <c r="K616" s="691">
        <v>75.3</v>
      </c>
    </row>
    <row r="617" spans="1:11">
      <c r="A617" s="688" t="s">
        <v>4067</v>
      </c>
      <c r="B617" s="689">
        <v>72.900000000000006</v>
      </c>
      <c r="C617" s="689">
        <v>73.3</v>
      </c>
      <c r="D617" s="693">
        <v>73</v>
      </c>
      <c r="E617" s="689">
        <v>73.3</v>
      </c>
      <c r="F617" s="689">
        <v>73.3</v>
      </c>
      <c r="G617" s="689">
        <v>73.400000000000006</v>
      </c>
      <c r="H617" s="690" t="s">
        <v>4060</v>
      </c>
      <c r="I617" s="690" t="s">
        <v>4060</v>
      </c>
      <c r="J617" s="690" t="s">
        <v>4060</v>
      </c>
      <c r="K617" s="690" t="s">
        <v>4060</v>
      </c>
    </row>
    <row r="618" spans="1:11">
      <c r="A618" s="688" t="s">
        <v>4066</v>
      </c>
      <c r="B618" s="615">
        <v>73</v>
      </c>
      <c r="C618" s="691">
        <v>73.3</v>
      </c>
      <c r="D618" s="615">
        <v>73</v>
      </c>
      <c r="E618" s="691">
        <v>73.400000000000006</v>
      </c>
      <c r="F618" s="691">
        <v>73.3</v>
      </c>
      <c r="G618" s="691">
        <v>73.400000000000006</v>
      </c>
      <c r="H618" s="692" t="s">
        <v>4060</v>
      </c>
      <c r="I618" s="692" t="s">
        <v>4060</v>
      </c>
      <c r="J618" s="692" t="s">
        <v>4060</v>
      </c>
      <c r="K618" s="692" t="s">
        <v>4060</v>
      </c>
    </row>
    <row r="619" spans="1:11">
      <c r="A619" s="688" t="s">
        <v>4062</v>
      </c>
      <c r="B619" s="689">
        <v>74.8</v>
      </c>
      <c r="C619" s="689">
        <v>75.099999999999994</v>
      </c>
      <c r="D619" s="693">
        <v>75</v>
      </c>
      <c r="E619" s="689">
        <v>75.3</v>
      </c>
      <c r="F619" s="689">
        <v>75.400000000000006</v>
      </c>
      <c r="G619" s="689">
        <v>75.599999999999994</v>
      </c>
      <c r="H619" s="689">
        <v>75.8</v>
      </c>
      <c r="I619" s="689">
        <v>75.400000000000006</v>
      </c>
      <c r="J619" s="689">
        <v>75.7</v>
      </c>
      <c r="K619" s="689">
        <v>75.5</v>
      </c>
    </row>
    <row r="620" spans="1:11">
      <c r="A620" s="688" t="s">
        <v>9</v>
      </c>
      <c r="B620" s="691">
        <v>74.400000000000006</v>
      </c>
      <c r="C620" s="691">
        <v>74.8</v>
      </c>
      <c r="D620" s="691">
        <v>74.599999999999994</v>
      </c>
      <c r="E620" s="691">
        <v>74.2</v>
      </c>
      <c r="F620" s="691">
        <v>74.7</v>
      </c>
      <c r="G620" s="691">
        <v>74.900000000000006</v>
      </c>
      <c r="H620" s="691">
        <v>75.099999999999994</v>
      </c>
      <c r="I620" s="691">
        <v>75.2</v>
      </c>
      <c r="J620" s="691">
        <v>75.400000000000006</v>
      </c>
      <c r="K620" s="691">
        <v>74.400000000000006</v>
      </c>
    </row>
    <row r="621" spans="1:11">
      <c r="A621" s="688" t="s">
        <v>13</v>
      </c>
      <c r="B621" s="689">
        <v>74.900000000000006</v>
      </c>
      <c r="C621" s="689">
        <v>74.3</v>
      </c>
      <c r="D621" s="693">
        <v>75</v>
      </c>
      <c r="E621" s="689">
        <v>74.3</v>
      </c>
      <c r="F621" s="689">
        <v>75.3</v>
      </c>
      <c r="G621" s="693">
        <v>75</v>
      </c>
      <c r="H621" s="693">
        <v>76</v>
      </c>
      <c r="I621" s="689">
        <v>74.400000000000006</v>
      </c>
      <c r="J621" s="689">
        <v>76.099999999999994</v>
      </c>
      <c r="K621" s="689">
        <v>75.8</v>
      </c>
    </row>
    <row r="622" spans="1:11">
      <c r="A622" s="688" t="s">
        <v>18</v>
      </c>
      <c r="B622" s="691">
        <v>74.099999999999994</v>
      </c>
      <c r="C622" s="691">
        <v>74.3</v>
      </c>
      <c r="D622" s="691">
        <v>74.5</v>
      </c>
      <c r="E622" s="691">
        <v>74.599999999999994</v>
      </c>
      <c r="F622" s="691">
        <v>74.900000000000006</v>
      </c>
      <c r="G622" s="615">
        <v>75</v>
      </c>
      <c r="H622" s="691">
        <v>75.2</v>
      </c>
      <c r="I622" s="691">
        <v>75.400000000000006</v>
      </c>
      <c r="J622" s="691">
        <v>75.3</v>
      </c>
      <c r="K622" s="691">
        <v>74.8</v>
      </c>
    </row>
    <row r="623" spans="1:11">
      <c r="A623" s="688" t="s">
        <v>24</v>
      </c>
      <c r="B623" s="689">
        <v>75.3</v>
      </c>
      <c r="C623" s="689">
        <v>75.5</v>
      </c>
      <c r="D623" s="689">
        <v>75.3</v>
      </c>
      <c r="E623" s="689">
        <v>75.8</v>
      </c>
      <c r="F623" s="689">
        <v>75.8</v>
      </c>
      <c r="G623" s="689">
        <v>75.900000000000006</v>
      </c>
      <c r="H623" s="689">
        <v>76.099999999999994</v>
      </c>
      <c r="I623" s="689">
        <v>75.400000000000006</v>
      </c>
      <c r="J623" s="693">
        <v>76</v>
      </c>
      <c r="K623" s="689">
        <v>75.900000000000006</v>
      </c>
    </row>
    <row r="624" spans="1:11">
      <c r="A624" s="688" t="s">
        <v>4059</v>
      </c>
      <c r="B624" s="691">
        <v>73.5</v>
      </c>
      <c r="C624" s="691">
        <v>73.7</v>
      </c>
      <c r="D624" s="691">
        <v>73.400000000000006</v>
      </c>
      <c r="E624" s="691">
        <v>73.599999999999994</v>
      </c>
      <c r="F624" s="691">
        <v>73.7</v>
      </c>
      <c r="G624" s="691">
        <v>73.599999999999994</v>
      </c>
      <c r="H624" s="692" t="s">
        <v>4060</v>
      </c>
      <c r="I624" s="692" t="s">
        <v>4060</v>
      </c>
      <c r="J624" s="692" t="s">
        <v>4060</v>
      </c>
      <c r="K624" s="692" t="s">
        <v>4060</v>
      </c>
    </row>
    <row r="625" spans="1:11">
      <c r="A625" s="688" t="s">
        <v>2324</v>
      </c>
      <c r="B625" s="689">
        <v>68.900000000000006</v>
      </c>
      <c r="C625" s="689">
        <v>68.900000000000006</v>
      </c>
      <c r="D625" s="689">
        <v>68.7</v>
      </c>
      <c r="E625" s="689">
        <v>68.8</v>
      </c>
      <c r="F625" s="689">
        <v>68.8</v>
      </c>
      <c r="G625" s="689">
        <v>69.099999999999994</v>
      </c>
      <c r="H625" s="693">
        <v>69</v>
      </c>
      <c r="I625" s="689">
        <v>68.2</v>
      </c>
      <c r="J625" s="689">
        <v>65.900000000000006</v>
      </c>
      <c r="K625" s="690" t="s">
        <v>4060</v>
      </c>
    </row>
    <row r="626" spans="1:11">
      <c r="A626" s="688" t="s">
        <v>2322</v>
      </c>
      <c r="B626" s="692" t="s">
        <v>4060</v>
      </c>
      <c r="C626" s="692" t="s">
        <v>4060</v>
      </c>
      <c r="D626" s="692" t="s">
        <v>4060</v>
      </c>
      <c r="E626" s="692" t="s">
        <v>4060</v>
      </c>
      <c r="F626" s="692" t="s">
        <v>4060</v>
      </c>
      <c r="G626" s="692" t="s">
        <v>4060</v>
      </c>
      <c r="H626" s="692" t="s">
        <v>4060</v>
      </c>
      <c r="I626" s="692" t="s">
        <v>4060</v>
      </c>
      <c r="J626" s="692" t="s">
        <v>4060</v>
      </c>
      <c r="K626" s="692" t="s">
        <v>4060</v>
      </c>
    </row>
    <row r="627" spans="1:11">
      <c r="A627" s="688" t="s">
        <v>2328</v>
      </c>
      <c r="B627" s="689">
        <v>68.3</v>
      </c>
      <c r="C627" s="689">
        <v>68.3</v>
      </c>
      <c r="D627" s="689">
        <v>68.2</v>
      </c>
      <c r="E627" s="689">
        <v>68.400000000000006</v>
      </c>
      <c r="F627" s="689">
        <v>68.8</v>
      </c>
      <c r="G627" s="689">
        <v>69.2</v>
      </c>
      <c r="H627" s="689">
        <v>69.099999999999994</v>
      </c>
      <c r="I627" s="689">
        <v>66.900000000000006</v>
      </c>
      <c r="J627" s="689">
        <v>65.7</v>
      </c>
      <c r="K627" s="690" t="s">
        <v>4060</v>
      </c>
    </row>
    <row r="628" spans="1:11">
      <c r="A628" s="688" t="s">
        <v>2496</v>
      </c>
      <c r="B628" s="692" t="s">
        <v>4060</v>
      </c>
      <c r="C628" s="615">
        <v>67</v>
      </c>
      <c r="D628" s="691">
        <v>65.900000000000006</v>
      </c>
      <c r="E628" s="691">
        <v>65.5</v>
      </c>
      <c r="F628" s="691">
        <v>66.400000000000006</v>
      </c>
      <c r="G628" s="691">
        <v>66.7</v>
      </c>
      <c r="H628" s="691">
        <v>66.8</v>
      </c>
      <c r="I628" s="692" t="s">
        <v>4060</v>
      </c>
      <c r="J628" s="692" t="s">
        <v>4060</v>
      </c>
      <c r="K628" s="691">
        <v>66.400000000000006</v>
      </c>
    </row>
    <row r="629" spans="1:11">
      <c r="A629" s="688" t="s">
        <v>2269</v>
      </c>
      <c r="B629" s="689">
        <v>70.8</v>
      </c>
      <c r="C629" s="693">
        <v>71</v>
      </c>
      <c r="D629" s="689">
        <v>70.599999999999994</v>
      </c>
      <c r="E629" s="689">
        <v>71.3</v>
      </c>
      <c r="F629" s="689">
        <v>71.3</v>
      </c>
      <c r="G629" s="689">
        <v>71.7</v>
      </c>
      <c r="H629" s="693">
        <v>72</v>
      </c>
      <c r="I629" s="689">
        <v>70.2</v>
      </c>
      <c r="J629" s="689">
        <v>68.3</v>
      </c>
      <c r="K629" s="689">
        <v>71.7</v>
      </c>
    </row>
    <row r="630" spans="1:11">
      <c r="A630" s="688" t="s">
        <v>2349</v>
      </c>
      <c r="B630" s="691">
        <v>67.8</v>
      </c>
      <c r="C630" s="691">
        <v>67.900000000000006</v>
      </c>
      <c r="D630" s="691">
        <v>67.8</v>
      </c>
      <c r="E630" s="691">
        <v>68.2</v>
      </c>
      <c r="F630" s="691">
        <v>68.099999999999994</v>
      </c>
      <c r="G630" s="691">
        <v>68.400000000000006</v>
      </c>
      <c r="H630" s="691">
        <v>68.5</v>
      </c>
      <c r="I630" s="691">
        <v>66.900000000000006</v>
      </c>
      <c r="J630" s="691">
        <v>65.2</v>
      </c>
      <c r="K630" s="691">
        <v>67.599999999999994</v>
      </c>
    </row>
    <row r="631" spans="1:11">
      <c r="A631" s="688" t="s">
        <v>2355</v>
      </c>
      <c r="B631" s="689">
        <v>71.400000000000006</v>
      </c>
      <c r="C631" s="689">
        <v>71.3</v>
      </c>
      <c r="D631" s="689">
        <v>71.3</v>
      </c>
      <c r="E631" s="689">
        <v>71.2</v>
      </c>
      <c r="F631" s="689">
        <v>71.400000000000006</v>
      </c>
      <c r="G631" s="689">
        <v>71.900000000000006</v>
      </c>
      <c r="H631" s="693">
        <v>72</v>
      </c>
      <c r="I631" s="690" t="s">
        <v>4060</v>
      </c>
      <c r="J631" s="690" t="s">
        <v>4060</v>
      </c>
      <c r="K631" s="690" t="s">
        <v>4060</v>
      </c>
    </row>
    <row r="632" spans="1:11">
      <c r="A632" s="688" t="s">
        <v>2357</v>
      </c>
      <c r="B632" s="692" t="s">
        <v>4060</v>
      </c>
      <c r="C632" s="691">
        <v>64.5</v>
      </c>
      <c r="D632" s="691">
        <v>65.2</v>
      </c>
      <c r="E632" s="691">
        <v>65.599999999999994</v>
      </c>
      <c r="F632" s="691">
        <v>65.900000000000006</v>
      </c>
      <c r="G632" s="691">
        <v>65.8</v>
      </c>
      <c r="H632" s="691">
        <v>66.099999999999994</v>
      </c>
      <c r="I632" s="692" t="s">
        <v>4060</v>
      </c>
      <c r="J632" s="692" t="s">
        <v>4060</v>
      </c>
      <c r="K632" s="692" t="s">
        <v>4060</v>
      </c>
    </row>
    <row r="633" spans="1:11">
      <c r="A633" s="688" t="s">
        <v>4070</v>
      </c>
      <c r="B633" s="690" t="s">
        <v>4060</v>
      </c>
      <c r="C633" s="690" t="s">
        <v>4060</v>
      </c>
      <c r="D633" s="690" t="s">
        <v>4060</v>
      </c>
      <c r="E633" s="689">
        <v>71.2</v>
      </c>
      <c r="F633" s="690" t="s">
        <v>4060</v>
      </c>
      <c r="G633" s="690" t="s">
        <v>4060</v>
      </c>
      <c r="H633" s="690" t="s">
        <v>4060</v>
      </c>
      <c r="I633" s="690" t="s">
        <v>4060</v>
      </c>
      <c r="J633" s="690" t="s">
        <v>4060</v>
      </c>
      <c r="K633" s="690" t="s">
        <v>4060</v>
      </c>
    </row>
    <row r="634" spans="1:11">
      <c r="A634" s="688" t="s">
        <v>2491</v>
      </c>
      <c r="B634" s="691">
        <v>65.099999999999994</v>
      </c>
      <c r="C634" s="691">
        <v>65.7</v>
      </c>
      <c r="D634" s="691">
        <v>66.3</v>
      </c>
      <c r="E634" s="691">
        <v>66.599999999999994</v>
      </c>
      <c r="F634" s="691">
        <v>66.8</v>
      </c>
      <c r="G634" s="691">
        <v>66.8</v>
      </c>
      <c r="H634" s="692" t="s">
        <v>4060</v>
      </c>
      <c r="I634" s="692" t="s">
        <v>4060</v>
      </c>
      <c r="J634" s="692" t="s">
        <v>4060</v>
      </c>
      <c r="K634" s="692" t="s">
        <v>4060</v>
      </c>
    </row>
    <row r="635" spans="1:11">
      <c r="A635" s="688" t="s">
        <v>2343</v>
      </c>
      <c r="B635" s="690" t="s">
        <v>4060</v>
      </c>
      <c r="C635" s="690" t="s">
        <v>4060</v>
      </c>
      <c r="D635" s="690" t="s">
        <v>4060</v>
      </c>
      <c r="E635" s="690" t="s">
        <v>4060</v>
      </c>
      <c r="F635" s="690" t="s">
        <v>4060</v>
      </c>
      <c r="G635" s="690" t="s">
        <v>4060</v>
      </c>
      <c r="H635" s="690" t="s">
        <v>4060</v>
      </c>
      <c r="I635" s="690" t="s">
        <v>4060</v>
      </c>
      <c r="J635" s="690" t="s">
        <v>4060</v>
      </c>
      <c r="K635" s="690" t="s">
        <v>4060</v>
      </c>
    </row>
    <row r="636" spans="1:11">
      <c r="A636" s="688" t="s">
        <v>4071</v>
      </c>
      <c r="B636" s="692" t="s">
        <v>4060</v>
      </c>
      <c r="C636" s="692" t="s">
        <v>4060</v>
      </c>
      <c r="D636" s="692" t="s">
        <v>4060</v>
      </c>
      <c r="E636" s="692" t="s">
        <v>4060</v>
      </c>
      <c r="F636" s="692" t="s">
        <v>4060</v>
      </c>
      <c r="G636" s="692" t="s">
        <v>4060</v>
      </c>
      <c r="H636" s="692" t="s">
        <v>4060</v>
      </c>
      <c r="I636" s="692" t="s">
        <v>4060</v>
      </c>
      <c r="J636" s="692" t="s">
        <v>4060</v>
      </c>
      <c r="K636" s="692" t="s">
        <v>4060</v>
      </c>
    </row>
    <row r="637" spans="1:11">
      <c r="A637" s="688" t="s">
        <v>2489</v>
      </c>
      <c r="B637" s="690" t="s">
        <v>4060</v>
      </c>
      <c r="C637" s="690" t="s">
        <v>4060</v>
      </c>
      <c r="D637" s="689">
        <v>67.900000000000006</v>
      </c>
      <c r="E637" s="689">
        <v>67.900000000000006</v>
      </c>
      <c r="F637" s="689">
        <v>68.599999999999994</v>
      </c>
      <c r="G637" s="689">
        <v>69.400000000000006</v>
      </c>
      <c r="H637" s="689">
        <v>69.2</v>
      </c>
      <c r="I637" s="690" t="s">
        <v>4060</v>
      </c>
      <c r="J637" s="690" t="s">
        <v>4060</v>
      </c>
      <c r="K637" s="690" t="s">
        <v>4060</v>
      </c>
    </row>
    <row r="638" spans="1:11">
      <c r="A638" s="688" t="s">
        <v>2490</v>
      </c>
      <c r="B638" s="691">
        <v>67.7</v>
      </c>
      <c r="C638" s="691">
        <v>67.8</v>
      </c>
      <c r="D638" s="691">
        <v>68.400000000000006</v>
      </c>
      <c r="E638" s="692" t="s">
        <v>4060</v>
      </c>
      <c r="F638" s="691">
        <v>68.599999999999994</v>
      </c>
      <c r="G638" s="615">
        <v>69</v>
      </c>
      <c r="H638" s="691">
        <v>69.599999999999994</v>
      </c>
      <c r="I638" s="692" t="s">
        <v>4060</v>
      </c>
      <c r="J638" s="692" t="s">
        <v>4060</v>
      </c>
      <c r="K638" s="692" t="s">
        <v>4060</v>
      </c>
    </row>
    <row r="640" spans="1:11">
      <c r="A640" s="683" t="s">
        <v>4233</v>
      </c>
    </row>
    <row r="641" spans="1:11">
      <c r="A641" s="683" t="s">
        <v>4060</v>
      </c>
      <c r="B641" s="682" t="s">
        <v>4234</v>
      </c>
    </row>
    <row r="643" spans="1:11">
      <c r="A643" s="682" t="s">
        <v>4209</v>
      </c>
    </row>
    <row r="644" spans="1:11">
      <c r="A644" s="682" t="s">
        <v>4210</v>
      </c>
      <c r="B644" s="683" t="s">
        <v>4211</v>
      </c>
    </row>
    <row r="645" spans="1:11">
      <c r="A645" s="682" t="s">
        <v>4212</v>
      </c>
      <c r="B645" s="682" t="s">
        <v>4213</v>
      </c>
    </row>
    <row r="647" spans="1:11">
      <c r="A647" s="683" t="s">
        <v>4214</v>
      </c>
      <c r="C647" s="682" t="s">
        <v>4215</v>
      </c>
    </row>
    <row r="648" spans="1:11">
      <c r="A648" s="683" t="s">
        <v>4216</v>
      </c>
      <c r="C648" s="682" t="s">
        <v>2967</v>
      </c>
    </row>
    <row r="649" spans="1:11">
      <c r="A649" s="683" t="s">
        <v>3893</v>
      </c>
      <c r="C649" s="682" t="s">
        <v>4217</v>
      </c>
    </row>
    <row r="650" spans="1:11">
      <c r="A650" s="683" t="s">
        <v>4218</v>
      </c>
      <c r="C650" s="682" t="s">
        <v>4243</v>
      </c>
    </row>
    <row r="652" spans="1:11">
      <c r="A652" s="684" t="s">
        <v>4220</v>
      </c>
      <c r="B652" s="685" t="s">
        <v>4221</v>
      </c>
      <c r="C652" s="685" t="s">
        <v>4222</v>
      </c>
      <c r="D652" s="685" t="s">
        <v>4223</v>
      </c>
      <c r="E652" s="685" t="s">
        <v>4224</v>
      </c>
      <c r="F652" s="685" t="s">
        <v>4225</v>
      </c>
      <c r="G652" s="685" t="s">
        <v>4226</v>
      </c>
      <c r="H652" s="685" t="s">
        <v>4227</v>
      </c>
      <c r="I652" s="685" t="s">
        <v>4228</v>
      </c>
      <c r="J652" s="685" t="s">
        <v>4229</v>
      </c>
      <c r="K652" s="685" t="s">
        <v>4230</v>
      </c>
    </row>
    <row r="653" spans="1:11">
      <c r="A653" s="686" t="s">
        <v>4231</v>
      </c>
      <c r="B653" s="687" t="s">
        <v>4232</v>
      </c>
      <c r="C653" s="687" t="s">
        <v>4232</v>
      </c>
      <c r="D653" s="687" t="s">
        <v>4232</v>
      </c>
      <c r="E653" s="687" t="s">
        <v>4232</v>
      </c>
      <c r="F653" s="687" t="s">
        <v>4232</v>
      </c>
      <c r="G653" s="687" t="s">
        <v>4232</v>
      </c>
      <c r="H653" s="687" t="s">
        <v>4232</v>
      </c>
      <c r="I653" s="687" t="s">
        <v>4232</v>
      </c>
      <c r="J653" s="687" t="s">
        <v>4232</v>
      </c>
      <c r="K653" s="687" t="s">
        <v>4232</v>
      </c>
    </row>
    <row r="654" spans="1:11">
      <c r="A654" s="688" t="s">
        <v>4064</v>
      </c>
      <c r="B654" s="691">
        <v>71.900000000000006</v>
      </c>
      <c r="C654" s="691">
        <v>71.900000000000006</v>
      </c>
      <c r="D654" s="691">
        <v>71.900000000000006</v>
      </c>
      <c r="E654" s="691">
        <v>72.099999999999994</v>
      </c>
      <c r="F654" s="691">
        <v>72.099999999999994</v>
      </c>
      <c r="G654" s="691">
        <v>72.2</v>
      </c>
      <c r="H654" s="691">
        <v>72.400000000000006</v>
      </c>
      <c r="I654" s="691">
        <v>71.599999999999994</v>
      </c>
      <c r="J654" s="691">
        <v>71.3</v>
      </c>
      <c r="K654" s="691">
        <v>71.900000000000006</v>
      </c>
    </row>
    <row r="655" spans="1:11">
      <c r="A655" s="688" t="s">
        <v>4065</v>
      </c>
      <c r="B655" s="689">
        <v>71.900000000000006</v>
      </c>
      <c r="C655" s="689">
        <v>72.3</v>
      </c>
      <c r="D655" s="693">
        <v>72</v>
      </c>
      <c r="E655" s="689">
        <v>72.3</v>
      </c>
      <c r="F655" s="689">
        <v>72.3</v>
      </c>
      <c r="G655" s="689">
        <v>72.400000000000006</v>
      </c>
      <c r="H655" s="690" t="s">
        <v>4060</v>
      </c>
      <c r="I655" s="690" t="s">
        <v>4060</v>
      </c>
      <c r="J655" s="690" t="s">
        <v>4060</v>
      </c>
      <c r="K655" s="690" t="s">
        <v>4060</v>
      </c>
    </row>
    <row r="656" spans="1:11">
      <c r="A656" s="688" t="s">
        <v>4063</v>
      </c>
      <c r="B656" s="615">
        <v>72</v>
      </c>
      <c r="C656" s="691">
        <v>72.3</v>
      </c>
      <c r="D656" s="615">
        <v>72</v>
      </c>
      <c r="E656" s="691">
        <v>72.400000000000006</v>
      </c>
      <c r="F656" s="691">
        <v>72.3</v>
      </c>
      <c r="G656" s="691">
        <v>72.400000000000006</v>
      </c>
      <c r="H656" s="692" t="s">
        <v>4060</v>
      </c>
      <c r="I656" s="692" t="s">
        <v>4060</v>
      </c>
      <c r="J656" s="692" t="s">
        <v>4060</v>
      </c>
      <c r="K656" s="692" t="s">
        <v>4060</v>
      </c>
    </row>
    <row r="657" spans="1:11">
      <c r="A657" s="688" t="s">
        <v>4069</v>
      </c>
      <c r="B657" s="690" t="s">
        <v>4060</v>
      </c>
      <c r="C657" s="693">
        <v>73</v>
      </c>
      <c r="D657" s="689">
        <v>72.7</v>
      </c>
      <c r="E657" s="693">
        <v>73</v>
      </c>
      <c r="F657" s="689">
        <v>73.099999999999994</v>
      </c>
      <c r="G657" s="689">
        <v>73.2</v>
      </c>
      <c r="H657" s="689">
        <v>73.400000000000006</v>
      </c>
      <c r="I657" s="689">
        <v>72.8</v>
      </c>
      <c r="J657" s="689">
        <v>72.7</v>
      </c>
      <c r="K657" s="689">
        <v>72.900000000000006</v>
      </c>
    </row>
    <row r="658" spans="1:11">
      <c r="A658" s="688" t="s">
        <v>4068</v>
      </c>
      <c r="B658" s="691">
        <v>72.900000000000006</v>
      </c>
      <c r="C658" s="692" t="s">
        <v>4060</v>
      </c>
      <c r="D658" s="692" t="s">
        <v>4060</v>
      </c>
      <c r="E658" s="692" t="s">
        <v>4060</v>
      </c>
      <c r="F658" s="692" t="s">
        <v>4060</v>
      </c>
      <c r="G658" s="692" t="s">
        <v>4060</v>
      </c>
      <c r="H658" s="692" t="s">
        <v>4060</v>
      </c>
      <c r="I658" s="692" t="s">
        <v>4060</v>
      </c>
      <c r="J658" s="692" t="s">
        <v>4060</v>
      </c>
      <c r="K658" s="692" t="s">
        <v>4060</v>
      </c>
    </row>
    <row r="659" spans="1:11">
      <c r="A659" s="688" t="s">
        <v>0</v>
      </c>
      <c r="B659" s="689">
        <v>72.099999999999994</v>
      </c>
      <c r="C659" s="689">
        <v>72.400000000000006</v>
      </c>
      <c r="D659" s="689">
        <v>72.2</v>
      </c>
      <c r="E659" s="689">
        <v>72.599999999999994</v>
      </c>
      <c r="F659" s="689">
        <v>72.7</v>
      </c>
      <c r="G659" s="689">
        <v>72.900000000000006</v>
      </c>
      <c r="H659" s="689">
        <v>73.2</v>
      </c>
      <c r="I659" s="689">
        <v>72.099999999999994</v>
      </c>
      <c r="J659" s="693">
        <v>73</v>
      </c>
      <c r="K659" s="693">
        <v>73</v>
      </c>
    </row>
    <row r="660" spans="1:11">
      <c r="A660" s="688" t="s">
        <v>1</v>
      </c>
      <c r="B660" s="691">
        <v>66.599999999999994</v>
      </c>
      <c r="C660" s="691">
        <v>66.099999999999994</v>
      </c>
      <c r="D660" s="691">
        <v>66.2</v>
      </c>
      <c r="E660" s="691">
        <v>66.3</v>
      </c>
      <c r="F660" s="691">
        <v>66.3</v>
      </c>
      <c r="G660" s="691">
        <v>66.3</v>
      </c>
      <c r="H660" s="691">
        <v>66.400000000000006</v>
      </c>
      <c r="I660" s="691">
        <v>64.8</v>
      </c>
      <c r="J660" s="691">
        <v>62.7</v>
      </c>
      <c r="K660" s="691">
        <v>65.599999999999994</v>
      </c>
    </row>
    <row r="661" spans="1:11">
      <c r="A661" s="688" t="s">
        <v>2240</v>
      </c>
      <c r="B661" s="689">
        <v>69.599999999999994</v>
      </c>
      <c r="C661" s="693">
        <v>70</v>
      </c>
      <c r="D661" s="689">
        <v>69.8</v>
      </c>
      <c r="E661" s="689">
        <v>70.3</v>
      </c>
      <c r="F661" s="689">
        <v>70.2</v>
      </c>
      <c r="G661" s="689">
        <v>70.3</v>
      </c>
      <c r="H661" s="689">
        <v>70.5</v>
      </c>
      <c r="I661" s="689">
        <v>69.5</v>
      </c>
      <c r="J661" s="689">
        <v>68.5</v>
      </c>
      <c r="K661" s="689">
        <v>70.2</v>
      </c>
    </row>
    <row r="662" spans="1:11">
      <c r="A662" s="688" t="s">
        <v>2</v>
      </c>
      <c r="B662" s="691">
        <v>71.7</v>
      </c>
      <c r="C662" s="615">
        <v>72</v>
      </c>
      <c r="D662" s="691">
        <v>72.099999999999994</v>
      </c>
      <c r="E662" s="691">
        <v>72.2</v>
      </c>
      <c r="F662" s="691">
        <v>72.5</v>
      </c>
      <c r="G662" s="691">
        <v>72.3</v>
      </c>
      <c r="H662" s="691">
        <v>72.7</v>
      </c>
      <c r="I662" s="691">
        <v>72.900000000000006</v>
      </c>
      <c r="J662" s="691">
        <v>72.7</v>
      </c>
      <c r="K662" s="691">
        <v>72.599999999999994</v>
      </c>
    </row>
    <row r="663" spans="1:11">
      <c r="A663" s="688" t="s">
        <v>3</v>
      </c>
      <c r="B663" s="693">
        <v>72</v>
      </c>
      <c r="C663" s="689">
        <v>72.3</v>
      </c>
      <c r="D663" s="689">
        <v>71.900000000000006</v>
      </c>
      <c r="E663" s="689">
        <v>72.2</v>
      </c>
      <c r="F663" s="689">
        <v>72.3</v>
      </c>
      <c r="G663" s="689">
        <v>72.2</v>
      </c>
      <c r="H663" s="689">
        <v>72.5</v>
      </c>
      <c r="I663" s="689">
        <v>72.3</v>
      </c>
      <c r="J663" s="693">
        <v>72</v>
      </c>
      <c r="K663" s="689">
        <v>71.8</v>
      </c>
    </row>
    <row r="664" spans="1:11">
      <c r="A664" s="688" t="s">
        <v>4061</v>
      </c>
      <c r="B664" s="615">
        <v>72</v>
      </c>
      <c r="C664" s="691">
        <v>72.3</v>
      </c>
      <c r="D664" s="691">
        <v>71.900000000000006</v>
      </c>
      <c r="E664" s="691">
        <v>72.2</v>
      </c>
      <c r="F664" s="691">
        <v>72.3</v>
      </c>
      <c r="G664" s="691">
        <v>72.2</v>
      </c>
      <c r="H664" s="691">
        <v>72.5</v>
      </c>
      <c r="I664" s="691">
        <v>72.3</v>
      </c>
      <c r="J664" s="615">
        <v>72</v>
      </c>
      <c r="K664" s="691">
        <v>71.8</v>
      </c>
    </row>
    <row r="665" spans="1:11">
      <c r="A665" s="688" t="s">
        <v>4</v>
      </c>
      <c r="B665" s="689">
        <v>68.8</v>
      </c>
      <c r="C665" s="689">
        <v>68.5</v>
      </c>
      <c r="D665" s="693">
        <v>69</v>
      </c>
      <c r="E665" s="693">
        <v>69</v>
      </c>
      <c r="F665" s="689">
        <v>69.5</v>
      </c>
      <c r="G665" s="689">
        <v>69.599999999999994</v>
      </c>
      <c r="H665" s="693">
        <v>70</v>
      </c>
      <c r="I665" s="689">
        <v>69.900000000000006</v>
      </c>
      <c r="J665" s="689">
        <v>68.400000000000006</v>
      </c>
      <c r="K665" s="689">
        <v>69.3</v>
      </c>
    </row>
    <row r="666" spans="1:11">
      <c r="A666" s="688" t="s">
        <v>8</v>
      </c>
      <c r="B666" s="691">
        <v>72.400000000000006</v>
      </c>
      <c r="C666" s="691">
        <v>72.599999999999994</v>
      </c>
      <c r="D666" s="691">
        <v>72.7</v>
      </c>
      <c r="E666" s="691">
        <v>72.900000000000006</v>
      </c>
      <c r="F666" s="691">
        <v>73.3</v>
      </c>
      <c r="G666" s="691">
        <v>73.3</v>
      </c>
      <c r="H666" s="691">
        <v>73.8</v>
      </c>
      <c r="I666" s="691">
        <v>73.599999999999994</v>
      </c>
      <c r="J666" s="691">
        <v>73.400000000000006</v>
      </c>
      <c r="K666" s="691">
        <v>73.7</v>
      </c>
    </row>
    <row r="667" spans="1:11">
      <c r="A667" s="688" t="s">
        <v>7</v>
      </c>
      <c r="B667" s="689">
        <v>72.7</v>
      </c>
      <c r="C667" s="689">
        <v>72.400000000000006</v>
      </c>
      <c r="D667" s="689">
        <v>72.099999999999994</v>
      </c>
      <c r="E667" s="689">
        <v>72.5</v>
      </c>
      <c r="F667" s="689">
        <v>72.400000000000006</v>
      </c>
      <c r="G667" s="689">
        <v>72.8</v>
      </c>
      <c r="H667" s="689">
        <v>72.8</v>
      </c>
      <c r="I667" s="689">
        <v>72.400000000000006</v>
      </c>
      <c r="J667" s="689">
        <v>71.400000000000006</v>
      </c>
      <c r="K667" s="689">
        <v>72.099999999999994</v>
      </c>
    </row>
    <row r="668" spans="1:11">
      <c r="A668" s="688" t="s">
        <v>27</v>
      </c>
      <c r="B668" s="691">
        <v>74.5</v>
      </c>
      <c r="C668" s="691">
        <v>74.2</v>
      </c>
      <c r="D668" s="691">
        <v>73.900000000000006</v>
      </c>
      <c r="E668" s="691">
        <v>74.3</v>
      </c>
      <c r="F668" s="691">
        <v>74.3</v>
      </c>
      <c r="G668" s="691">
        <v>74.400000000000006</v>
      </c>
      <c r="H668" s="691">
        <v>74.8</v>
      </c>
      <c r="I668" s="691">
        <v>73.5</v>
      </c>
      <c r="J668" s="691">
        <v>74.3</v>
      </c>
      <c r="K668" s="691">
        <v>74.3</v>
      </c>
    </row>
    <row r="669" spans="1:11">
      <c r="A669" s="688" t="s">
        <v>6</v>
      </c>
      <c r="B669" s="689">
        <v>73.8</v>
      </c>
      <c r="C669" s="689">
        <v>73.8</v>
      </c>
      <c r="D669" s="689">
        <v>73.5</v>
      </c>
      <c r="E669" s="689">
        <v>73.8</v>
      </c>
      <c r="F669" s="689">
        <v>73.900000000000006</v>
      </c>
      <c r="G669" s="693">
        <v>74</v>
      </c>
      <c r="H669" s="689">
        <v>74.099999999999994</v>
      </c>
      <c r="I669" s="689">
        <v>73.5</v>
      </c>
      <c r="J669" s="689">
        <v>73.599999999999994</v>
      </c>
      <c r="K669" s="689">
        <v>73.7</v>
      </c>
    </row>
    <row r="670" spans="1:11">
      <c r="A670" s="688" t="s">
        <v>4058</v>
      </c>
      <c r="B670" s="692" t="s">
        <v>4060</v>
      </c>
      <c r="C670" s="692" t="s">
        <v>4060</v>
      </c>
      <c r="D670" s="692" t="s">
        <v>4060</v>
      </c>
      <c r="E670" s="692" t="s">
        <v>4060</v>
      </c>
      <c r="F670" s="692" t="s">
        <v>4060</v>
      </c>
      <c r="G670" s="692" t="s">
        <v>4060</v>
      </c>
      <c r="H670" s="692" t="s">
        <v>4060</v>
      </c>
      <c r="I670" s="692" t="s">
        <v>4060</v>
      </c>
      <c r="J670" s="692" t="s">
        <v>4060</v>
      </c>
      <c r="K670" s="692" t="s">
        <v>4060</v>
      </c>
    </row>
    <row r="671" spans="1:11">
      <c r="A671" s="688" t="s">
        <v>11</v>
      </c>
      <c r="B671" s="689">
        <v>69.2</v>
      </c>
      <c r="C671" s="689">
        <v>69.2</v>
      </c>
      <c r="D671" s="689">
        <v>68.8</v>
      </c>
      <c r="E671" s="689">
        <v>69.400000000000006</v>
      </c>
      <c r="F671" s="689">
        <v>69.2</v>
      </c>
      <c r="G671" s="689">
        <v>69.400000000000006</v>
      </c>
      <c r="H671" s="689">
        <v>69.7</v>
      </c>
      <c r="I671" s="693">
        <v>69</v>
      </c>
      <c r="J671" s="693">
        <v>68</v>
      </c>
      <c r="K671" s="689">
        <v>69.099999999999994</v>
      </c>
    </row>
    <row r="672" spans="1:11">
      <c r="A672" s="688" t="s">
        <v>10</v>
      </c>
      <c r="B672" s="691">
        <v>74.2</v>
      </c>
      <c r="C672" s="691">
        <v>74.099999999999994</v>
      </c>
      <c r="D672" s="691">
        <v>73.7</v>
      </c>
      <c r="E672" s="691">
        <v>74.3</v>
      </c>
      <c r="F672" s="691">
        <v>74.099999999999994</v>
      </c>
      <c r="G672" s="691">
        <v>74.400000000000006</v>
      </c>
      <c r="H672" s="691">
        <v>74.7</v>
      </c>
      <c r="I672" s="691">
        <v>73.5</v>
      </c>
      <c r="J672" s="691">
        <v>73.900000000000006</v>
      </c>
      <c r="K672" s="615">
        <v>74</v>
      </c>
    </row>
    <row r="673" spans="1:11">
      <c r="A673" s="688" t="s">
        <v>30</v>
      </c>
      <c r="B673" s="689">
        <v>73.7</v>
      </c>
      <c r="C673" s="689">
        <v>73.5</v>
      </c>
      <c r="D673" s="689">
        <v>73.2</v>
      </c>
      <c r="E673" s="689">
        <v>74.099999999999994</v>
      </c>
      <c r="F673" s="689">
        <v>73.599999999999994</v>
      </c>
      <c r="G673" s="689">
        <v>74.2</v>
      </c>
      <c r="H673" s="689">
        <v>73.900000000000006</v>
      </c>
      <c r="I673" s="689">
        <v>73.900000000000006</v>
      </c>
      <c r="J673" s="689">
        <v>73.099999999999994</v>
      </c>
      <c r="K673" s="689">
        <v>73.5</v>
      </c>
    </row>
    <row r="674" spans="1:11">
      <c r="A674" s="688" t="s">
        <v>12</v>
      </c>
      <c r="B674" s="691">
        <v>65.8</v>
      </c>
      <c r="C674" s="691">
        <v>65.7</v>
      </c>
      <c r="D674" s="691">
        <v>66.099999999999994</v>
      </c>
      <c r="E674" s="691">
        <v>66.2</v>
      </c>
      <c r="F674" s="691">
        <v>66.2</v>
      </c>
      <c r="G674" s="691">
        <v>66.3</v>
      </c>
      <c r="H674" s="615">
        <v>67</v>
      </c>
      <c r="I674" s="691">
        <v>66.8</v>
      </c>
      <c r="J674" s="691">
        <v>64.400000000000006</v>
      </c>
      <c r="K674" s="691">
        <v>65.8</v>
      </c>
    </row>
    <row r="675" spans="1:11">
      <c r="A675" s="688" t="s">
        <v>14</v>
      </c>
      <c r="B675" s="689">
        <v>65.5</v>
      </c>
      <c r="C675" s="693">
        <v>66</v>
      </c>
      <c r="D675" s="689">
        <v>65.900000000000006</v>
      </c>
      <c r="E675" s="689">
        <v>66.2</v>
      </c>
      <c r="F675" s="693">
        <v>67</v>
      </c>
      <c r="G675" s="689">
        <v>67.2</v>
      </c>
      <c r="H675" s="689">
        <v>67.7</v>
      </c>
      <c r="I675" s="689">
        <v>66.400000000000006</v>
      </c>
      <c r="J675" s="689">
        <v>65.599999999999994</v>
      </c>
      <c r="K675" s="689">
        <v>67.099999999999994</v>
      </c>
    </row>
    <row r="676" spans="1:11">
      <c r="A676" s="688" t="s">
        <v>15</v>
      </c>
      <c r="B676" s="691">
        <v>73.3</v>
      </c>
      <c r="C676" s="691">
        <v>73.2</v>
      </c>
      <c r="D676" s="691">
        <v>73.3</v>
      </c>
      <c r="E676" s="691">
        <v>73.7</v>
      </c>
      <c r="F676" s="691">
        <v>73.099999999999994</v>
      </c>
      <c r="G676" s="691">
        <v>73.5</v>
      </c>
      <c r="H676" s="691">
        <v>73.900000000000006</v>
      </c>
      <c r="I676" s="691">
        <v>73.5</v>
      </c>
      <c r="J676" s="691">
        <v>73.8</v>
      </c>
      <c r="K676" s="691">
        <v>74.2</v>
      </c>
    </row>
    <row r="677" spans="1:11">
      <c r="A677" s="688" t="s">
        <v>29</v>
      </c>
      <c r="B677" s="689">
        <v>67.2</v>
      </c>
      <c r="C677" s="689">
        <v>67.2</v>
      </c>
      <c r="D677" s="693">
        <v>67</v>
      </c>
      <c r="E677" s="689">
        <v>67.400000000000006</v>
      </c>
      <c r="F677" s="689">
        <v>67.2</v>
      </c>
      <c r="G677" s="689">
        <v>67.400000000000006</v>
      </c>
      <c r="H677" s="689">
        <v>67.7</v>
      </c>
      <c r="I677" s="689">
        <v>66.900000000000006</v>
      </c>
      <c r="J677" s="689">
        <v>65.400000000000006</v>
      </c>
      <c r="K677" s="689">
        <v>67.3</v>
      </c>
    </row>
    <row r="678" spans="1:11">
      <c r="A678" s="688" t="s">
        <v>16</v>
      </c>
      <c r="B678" s="691">
        <v>73.400000000000006</v>
      </c>
      <c r="C678" s="691">
        <v>73.2</v>
      </c>
      <c r="D678" s="691">
        <v>73.3</v>
      </c>
      <c r="E678" s="691">
        <v>73.8</v>
      </c>
      <c r="F678" s="691">
        <v>73.7</v>
      </c>
      <c r="G678" s="691">
        <v>73.599999999999994</v>
      </c>
      <c r="H678" s="691">
        <v>74.099999999999994</v>
      </c>
      <c r="I678" s="691">
        <v>73.3</v>
      </c>
      <c r="J678" s="691">
        <v>73.400000000000006</v>
      </c>
      <c r="K678" s="691">
        <v>73.599999999999994</v>
      </c>
    </row>
    <row r="679" spans="1:11">
      <c r="A679" s="688" t="s">
        <v>17</v>
      </c>
      <c r="B679" s="689">
        <v>72.8</v>
      </c>
      <c r="C679" s="693">
        <v>73</v>
      </c>
      <c r="D679" s="689">
        <v>72.8</v>
      </c>
      <c r="E679" s="689">
        <v>72.900000000000006</v>
      </c>
      <c r="F679" s="689">
        <v>73.099999999999994</v>
      </c>
      <c r="G679" s="689">
        <v>73.099999999999994</v>
      </c>
      <c r="H679" s="689">
        <v>73.400000000000006</v>
      </c>
      <c r="I679" s="689">
        <v>72.8</v>
      </c>
      <c r="J679" s="689">
        <v>72.7</v>
      </c>
      <c r="K679" s="693">
        <v>73</v>
      </c>
    </row>
    <row r="680" spans="1:11">
      <c r="A680" s="688" t="s">
        <v>19</v>
      </c>
      <c r="B680" s="691">
        <v>72.599999999999994</v>
      </c>
      <c r="C680" s="691">
        <v>72.7</v>
      </c>
      <c r="D680" s="691">
        <v>72.5</v>
      </c>
      <c r="E680" s="691">
        <v>72.900000000000006</v>
      </c>
      <c r="F680" s="615">
        <v>73</v>
      </c>
      <c r="G680" s="615">
        <v>73</v>
      </c>
      <c r="H680" s="691">
        <v>73.2</v>
      </c>
      <c r="I680" s="691">
        <v>72.7</v>
      </c>
      <c r="J680" s="691">
        <v>72.599999999999994</v>
      </c>
      <c r="K680" s="691">
        <v>72.7</v>
      </c>
    </row>
    <row r="681" spans="1:11">
      <c r="A681" s="688" t="s">
        <v>20</v>
      </c>
      <c r="B681" s="689">
        <v>68.599999999999994</v>
      </c>
      <c r="C681" s="689">
        <v>68.900000000000006</v>
      </c>
      <c r="D681" s="689">
        <v>68.7</v>
      </c>
      <c r="E681" s="689">
        <v>69.2</v>
      </c>
      <c r="F681" s="689">
        <v>69.099999999999994</v>
      </c>
      <c r="G681" s="689">
        <v>68.900000000000006</v>
      </c>
      <c r="H681" s="689">
        <v>69.2</v>
      </c>
      <c r="I681" s="689">
        <v>67.7</v>
      </c>
      <c r="J681" s="689">
        <v>66.7</v>
      </c>
      <c r="K681" s="689">
        <v>68.5</v>
      </c>
    </row>
    <row r="682" spans="1:11">
      <c r="A682" s="688" t="s">
        <v>21</v>
      </c>
      <c r="B682" s="691">
        <v>72.2</v>
      </c>
      <c r="C682" s="691">
        <v>72.599999999999994</v>
      </c>
      <c r="D682" s="691">
        <v>72.599999999999994</v>
      </c>
      <c r="E682" s="691">
        <v>72.7</v>
      </c>
      <c r="F682" s="691">
        <v>72.900000000000006</v>
      </c>
      <c r="G682" s="691">
        <v>72.900000000000006</v>
      </c>
      <c r="H682" s="691">
        <v>73.3</v>
      </c>
      <c r="I682" s="691">
        <v>72.599999999999994</v>
      </c>
      <c r="J682" s="691">
        <v>72.7</v>
      </c>
      <c r="K682" s="615">
        <v>73</v>
      </c>
    </row>
    <row r="683" spans="1:11">
      <c r="A683" s="688" t="s">
        <v>22</v>
      </c>
      <c r="B683" s="693">
        <v>67</v>
      </c>
      <c r="C683" s="689">
        <v>66.7</v>
      </c>
      <c r="D683" s="689">
        <v>66.599999999999994</v>
      </c>
      <c r="E683" s="689">
        <v>66.8</v>
      </c>
      <c r="F683" s="689">
        <v>66.8</v>
      </c>
      <c r="G683" s="689">
        <v>66.900000000000006</v>
      </c>
      <c r="H683" s="689">
        <v>67.099999999999994</v>
      </c>
      <c r="I683" s="689">
        <v>65.599999999999994</v>
      </c>
      <c r="J683" s="689">
        <v>64.3</v>
      </c>
      <c r="K683" s="689">
        <v>66.7</v>
      </c>
    </row>
    <row r="684" spans="1:11">
      <c r="A684" s="688" t="s">
        <v>26</v>
      </c>
      <c r="B684" s="691">
        <v>71.8</v>
      </c>
      <c r="C684" s="691">
        <v>72.099999999999994</v>
      </c>
      <c r="D684" s="691">
        <v>71.8</v>
      </c>
      <c r="E684" s="691">
        <v>72.2</v>
      </c>
      <c r="F684" s="691">
        <v>72.099999999999994</v>
      </c>
      <c r="G684" s="691">
        <v>72.400000000000006</v>
      </c>
      <c r="H684" s="691">
        <v>72.599999999999994</v>
      </c>
      <c r="I684" s="691">
        <v>71.8</v>
      </c>
      <c r="J684" s="691">
        <v>71.8</v>
      </c>
      <c r="K684" s="691">
        <v>72.400000000000006</v>
      </c>
    </row>
    <row r="685" spans="1:11">
      <c r="A685" s="688" t="s">
        <v>25</v>
      </c>
      <c r="B685" s="689">
        <v>68.2</v>
      </c>
      <c r="C685" s="689">
        <v>68.5</v>
      </c>
      <c r="D685" s="689">
        <v>68.2</v>
      </c>
      <c r="E685" s="689">
        <v>68.8</v>
      </c>
      <c r="F685" s="689">
        <v>68.7</v>
      </c>
      <c r="G685" s="689">
        <v>68.8</v>
      </c>
      <c r="H685" s="689">
        <v>69.2</v>
      </c>
      <c r="I685" s="689">
        <v>68.5</v>
      </c>
      <c r="J685" s="689">
        <v>66.099999999999994</v>
      </c>
      <c r="K685" s="689">
        <v>68.5</v>
      </c>
    </row>
    <row r="686" spans="1:11">
      <c r="A686" s="688" t="s">
        <v>5</v>
      </c>
      <c r="B686" s="691">
        <v>72.3</v>
      </c>
      <c r="C686" s="691">
        <v>72.3</v>
      </c>
      <c r="D686" s="691">
        <v>72.599999999999994</v>
      </c>
      <c r="E686" s="691">
        <v>72.5</v>
      </c>
      <c r="F686" s="691">
        <v>72.7</v>
      </c>
      <c r="G686" s="691">
        <v>72.900000000000006</v>
      </c>
      <c r="H686" s="691">
        <v>73.099999999999994</v>
      </c>
      <c r="I686" s="615">
        <v>73</v>
      </c>
      <c r="J686" s="615">
        <v>73</v>
      </c>
      <c r="K686" s="691">
        <v>72.400000000000006</v>
      </c>
    </row>
    <row r="687" spans="1:11">
      <c r="A687" s="688" t="s">
        <v>23</v>
      </c>
      <c r="B687" s="689">
        <v>73.3</v>
      </c>
      <c r="C687" s="689">
        <v>73.5</v>
      </c>
      <c r="D687" s="689">
        <v>73.400000000000006</v>
      </c>
      <c r="E687" s="689">
        <v>73.599999999999994</v>
      </c>
      <c r="F687" s="689">
        <v>73.7</v>
      </c>
      <c r="G687" s="689">
        <v>73.8</v>
      </c>
      <c r="H687" s="689">
        <v>74.3</v>
      </c>
      <c r="I687" s="689">
        <v>73.7</v>
      </c>
      <c r="J687" s="689">
        <v>74.2</v>
      </c>
      <c r="K687" s="689">
        <v>74.3</v>
      </c>
    </row>
    <row r="688" spans="1:11">
      <c r="A688" s="688" t="s">
        <v>4067</v>
      </c>
      <c r="B688" s="691">
        <v>71.900000000000006</v>
      </c>
      <c r="C688" s="691">
        <v>72.3</v>
      </c>
      <c r="D688" s="615">
        <v>72</v>
      </c>
      <c r="E688" s="691">
        <v>72.3</v>
      </c>
      <c r="F688" s="691">
        <v>72.3</v>
      </c>
      <c r="G688" s="691">
        <v>72.400000000000006</v>
      </c>
      <c r="H688" s="692" t="s">
        <v>4060</v>
      </c>
      <c r="I688" s="692" t="s">
        <v>4060</v>
      </c>
      <c r="J688" s="692" t="s">
        <v>4060</v>
      </c>
      <c r="K688" s="692" t="s">
        <v>4060</v>
      </c>
    </row>
    <row r="689" spans="1:11">
      <c r="A689" s="688" t="s">
        <v>4066</v>
      </c>
      <c r="B689" s="693">
        <v>72</v>
      </c>
      <c r="C689" s="689">
        <v>72.3</v>
      </c>
      <c r="D689" s="693">
        <v>72</v>
      </c>
      <c r="E689" s="689">
        <v>72.400000000000006</v>
      </c>
      <c r="F689" s="689">
        <v>72.400000000000006</v>
      </c>
      <c r="G689" s="689">
        <v>72.400000000000006</v>
      </c>
      <c r="H689" s="690" t="s">
        <v>4060</v>
      </c>
      <c r="I689" s="690" t="s">
        <v>4060</v>
      </c>
      <c r="J689" s="690" t="s">
        <v>4060</v>
      </c>
      <c r="K689" s="690" t="s">
        <v>4060</v>
      </c>
    </row>
    <row r="690" spans="1:11">
      <c r="A690" s="688" t="s">
        <v>4062</v>
      </c>
      <c r="B690" s="691">
        <v>73.8</v>
      </c>
      <c r="C690" s="691">
        <v>74.099999999999994</v>
      </c>
      <c r="D690" s="615">
        <v>74</v>
      </c>
      <c r="E690" s="691">
        <v>74.3</v>
      </c>
      <c r="F690" s="691">
        <v>74.400000000000006</v>
      </c>
      <c r="G690" s="691">
        <v>74.599999999999994</v>
      </c>
      <c r="H690" s="691">
        <v>74.8</v>
      </c>
      <c r="I690" s="691">
        <v>74.400000000000006</v>
      </c>
      <c r="J690" s="691">
        <v>74.7</v>
      </c>
      <c r="K690" s="691">
        <v>74.5</v>
      </c>
    </row>
    <row r="691" spans="1:11">
      <c r="A691" s="688" t="s">
        <v>9</v>
      </c>
      <c r="B691" s="689">
        <v>73.400000000000006</v>
      </c>
      <c r="C691" s="689">
        <v>73.900000000000006</v>
      </c>
      <c r="D691" s="689">
        <v>73.599999999999994</v>
      </c>
      <c r="E691" s="689">
        <v>73.3</v>
      </c>
      <c r="F691" s="689">
        <v>73.7</v>
      </c>
      <c r="G691" s="689">
        <v>73.900000000000006</v>
      </c>
      <c r="H691" s="689">
        <v>74.099999999999994</v>
      </c>
      <c r="I691" s="689">
        <v>74.2</v>
      </c>
      <c r="J691" s="689">
        <v>74.400000000000006</v>
      </c>
      <c r="K691" s="689">
        <v>73.400000000000006</v>
      </c>
    </row>
    <row r="692" spans="1:11">
      <c r="A692" s="688" t="s">
        <v>13</v>
      </c>
      <c r="B692" s="691">
        <v>73.900000000000006</v>
      </c>
      <c r="C692" s="691">
        <v>73.3</v>
      </c>
      <c r="D692" s="615">
        <v>74</v>
      </c>
      <c r="E692" s="691">
        <v>73.3</v>
      </c>
      <c r="F692" s="691">
        <v>74.3</v>
      </c>
      <c r="G692" s="615">
        <v>74</v>
      </c>
      <c r="H692" s="615">
        <v>75</v>
      </c>
      <c r="I692" s="691">
        <v>73.400000000000006</v>
      </c>
      <c r="J692" s="691">
        <v>75.099999999999994</v>
      </c>
      <c r="K692" s="691">
        <v>74.8</v>
      </c>
    </row>
    <row r="693" spans="1:11">
      <c r="A693" s="688" t="s">
        <v>18</v>
      </c>
      <c r="B693" s="689">
        <v>73.099999999999994</v>
      </c>
      <c r="C693" s="689">
        <v>73.400000000000006</v>
      </c>
      <c r="D693" s="689">
        <v>73.5</v>
      </c>
      <c r="E693" s="689">
        <v>73.599999999999994</v>
      </c>
      <c r="F693" s="689">
        <v>73.900000000000006</v>
      </c>
      <c r="G693" s="693">
        <v>74</v>
      </c>
      <c r="H693" s="689">
        <v>74.2</v>
      </c>
      <c r="I693" s="689">
        <v>74.400000000000006</v>
      </c>
      <c r="J693" s="689">
        <v>74.400000000000006</v>
      </c>
      <c r="K693" s="689">
        <v>73.8</v>
      </c>
    </row>
    <row r="694" spans="1:11">
      <c r="A694" s="688" t="s">
        <v>24</v>
      </c>
      <c r="B694" s="691">
        <v>74.3</v>
      </c>
      <c r="C694" s="691">
        <v>74.5</v>
      </c>
      <c r="D694" s="691">
        <v>74.3</v>
      </c>
      <c r="E694" s="691">
        <v>74.8</v>
      </c>
      <c r="F694" s="691">
        <v>74.8</v>
      </c>
      <c r="G694" s="691">
        <v>74.900000000000006</v>
      </c>
      <c r="H694" s="691">
        <v>75.099999999999994</v>
      </c>
      <c r="I694" s="691">
        <v>74.400000000000006</v>
      </c>
      <c r="J694" s="615">
        <v>75</v>
      </c>
      <c r="K694" s="691">
        <v>74.900000000000006</v>
      </c>
    </row>
    <row r="695" spans="1:11">
      <c r="A695" s="688" t="s">
        <v>4059</v>
      </c>
      <c r="B695" s="689">
        <v>72.5</v>
      </c>
      <c r="C695" s="689">
        <v>72.8</v>
      </c>
      <c r="D695" s="689">
        <v>72.400000000000006</v>
      </c>
      <c r="E695" s="689">
        <v>72.599999999999994</v>
      </c>
      <c r="F695" s="689">
        <v>72.7</v>
      </c>
      <c r="G695" s="689">
        <v>72.7</v>
      </c>
      <c r="H695" s="690" t="s">
        <v>4060</v>
      </c>
      <c r="I695" s="690" t="s">
        <v>4060</v>
      </c>
      <c r="J695" s="690" t="s">
        <v>4060</v>
      </c>
      <c r="K695" s="690" t="s">
        <v>4060</v>
      </c>
    </row>
    <row r="696" spans="1:11">
      <c r="A696" s="688" t="s">
        <v>2324</v>
      </c>
      <c r="B696" s="691">
        <v>67.900000000000006</v>
      </c>
      <c r="C696" s="691">
        <v>67.900000000000006</v>
      </c>
      <c r="D696" s="691">
        <v>67.7</v>
      </c>
      <c r="E696" s="691">
        <v>67.8</v>
      </c>
      <c r="F696" s="691">
        <v>67.8</v>
      </c>
      <c r="G696" s="691">
        <v>68.099999999999994</v>
      </c>
      <c r="H696" s="615">
        <v>68</v>
      </c>
      <c r="I696" s="691">
        <v>67.2</v>
      </c>
      <c r="J696" s="691">
        <v>64.900000000000006</v>
      </c>
      <c r="K696" s="692" t="s">
        <v>4060</v>
      </c>
    </row>
    <row r="697" spans="1:11">
      <c r="A697" s="688" t="s">
        <v>2322</v>
      </c>
      <c r="B697" s="690" t="s">
        <v>4060</v>
      </c>
      <c r="C697" s="690" t="s">
        <v>4060</v>
      </c>
      <c r="D697" s="690" t="s">
        <v>4060</v>
      </c>
      <c r="E697" s="690" t="s">
        <v>4060</v>
      </c>
      <c r="F697" s="690" t="s">
        <v>4060</v>
      </c>
      <c r="G697" s="690" t="s">
        <v>4060</v>
      </c>
      <c r="H697" s="690" t="s">
        <v>4060</v>
      </c>
      <c r="I697" s="690" t="s">
        <v>4060</v>
      </c>
      <c r="J697" s="690" t="s">
        <v>4060</v>
      </c>
      <c r="K697" s="690" t="s">
        <v>4060</v>
      </c>
    </row>
    <row r="698" spans="1:11">
      <c r="A698" s="688" t="s">
        <v>2328</v>
      </c>
      <c r="B698" s="691">
        <v>67.3</v>
      </c>
      <c r="C698" s="691">
        <v>67.400000000000006</v>
      </c>
      <c r="D698" s="691">
        <v>67.2</v>
      </c>
      <c r="E698" s="691">
        <v>67.5</v>
      </c>
      <c r="F698" s="691">
        <v>67.8</v>
      </c>
      <c r="G698" s="691">
        <v>68.2</v>
      </c>
      <c r="H698" s="691">
        <v>68.2</v>
      </c>
      <c r="I698" s="691">
        <v>65.900000000000006</v>
      </c>
      <c r="J698" s="691">
        <v>64.7</v>
      </c>
      <c r="K698" s="692" t="s">
        <v>4060</v>
      </c>
    </row>
    <row r="699" spans="1:11">
      <c r="A699" s="688" t="s">
        <v>2496</v>
      </c>
      <c r="B699" s="690" t="s">
        <v>4060</v>
      </c>
      <c r="C699" s="689">
        <v>66.099999999999994</v>
      </c>
      <c r="D699" s="689">
        <v>64.900000000000006</v>
      </c>
      <c r="E699" s="689">
        <v>64.599999999999994</v>
      </c>
      <c r="F699" s="689">
        <v>65.400000000000006</v>
      </c>
      <c r="G699" s="689">
        <v>65.7</v>
      </c>
      <c r="H699" s="689">
        <v>65.8</v>
      </c>
      <c r="I699" s="690" t="s">
        <v>4060</v>
      </c>
      <c r="J699" s="690" t="s">
        <v>4060</v>
      </c>
      <c r="K699" s="689">
        <v>65.400000000000006</v>
      </c>
    </row>
    <row r="700" spans="1:11">
      <c r="A700" s="688" t="s">
        <v>2269</v>
      </c>
      <c r="B700" s="691">
        <v>69.8</v>
      </c>
      <c r="C700" s="615">
        <v>70</v>
      </c>
      <c r="D700" s="691">
        <v>69.7</v>
      </c>
      <c r="E700" s="691">
        <v>70.3</v>
      </c>
      <c r="F700" s="691">
        <v>70.3</v>
      </c>
      <c r="G700" s="691">
        <v>70.7</v>
      </c>
      <c r="H700" s="615">
        <v>71</v>
      </c>
      <c r="I700" s="691">
        <v>69.2</v>
      </c>
      <c r="J700" s="691">
        <v>67.3</v>
      </c>
      <c r="K700" s="691">
        <v>70.7</v>
      </c>
    </row>
    <row r="701" spans="1:11">
      <c r="A701" s="688" t="s">
        <v>2349</v>
      </c>
      <c r="B701" s="689">
        <v>66.8</v>
      </c>
      <c r="C701" s="689">
        <v>66.900000000000006</v>
      </c>
      <c r="D701" s="689">
        <v>66.8</v>
      </c>
      <c r="E701" s="689">
        <v>67.2</v>
      </c>
      <c r="F701" s="689">
        <v>67.099999999999994</v>
      </c>
      <c r="G701" s="689">
        <v>67.400000000000006</v>
      </c>
      <c r="H701" s="689">
        <v>67.5</v>
      </c>
      <c r="I701" s="689">
        <v>65.900000000000006</v>
      </c>
      <c r="J701" s="689">
        <v>64.2</v>
      </c>
      <c r="K701" s="689">
        <v>66.7</v>
      </c>
    </row>
    <row r="702" spans="1:11">
      <c r="A702" s="688" t="s">
        <v>2355</v>
      </c>
      <c r="B702" s="691">
        <v>70.400000000000006</v>
      </c>
      <c r="C702" s="691">
        <v>70.3</v>
      </c>
      <c r="D702" s="691">
        <v>70.3</v>
      </c>
      <c r="E702" s="691">
        <v>70.2</v>
      </c>
      <c r="F702" s="691">
        <v>70.5</v>
      </c>
      <c r="G702" s="691">
        <v>70.900000000000006</v>
      </c>
      <c r="H702" s="615">
        <v>71</v>
      </c>
      <c r="I702" s="692" t="s">
        <v>4060</v>
      </c>
      <c r="J702" s="692" t="s">
        <v>4060</v>
      </c>
      <c r="K702" s="692" t="s">
        <v>4060</v>
      </c>
    </row>
    <row r="703" spans="1:11">
      <c r="A703" s="688" t="s">
        <v>2357</v>
      </c>
      <c r="B703" s="690" t="s">
        <v>4060</v>
      </c>
      <c r="C703" s="689">
        <v>63.5</v>
      </c>
      <c r="D703" s="689">
        <v>64.2</v>
      </c>
      <c r="E703" s="689">
        <v>64.599999999999994</v>
      </c>
      <c r="F703" s="689">
        <v>64.900000000000006</v>
      </c>
      <c r="G703" s="689">
        <v>64.8</v>
      </c>
      <c r="H703" s="689">
        <v>65.099999999999994</v>
      </c>
      <c r="I703" s="690" t="s">
        <v>4060</v>
      </c>
      <c r="J703" s="690" t="s">
        <v>4060</v>
      </c>
      <c r="K703" s="690" t="s">
        <v>4060</v>
      </c>
    </row>
    <row r="704" spans="1:11">
      <c r="A704" s="688" t="s">
        <v>4070</v>
      </c>
      <c r="B704" s="692" t="s">
        <v>4060</v>
      </c>
      <c r="C704" s="692" t="s">
        <v>4060</v>
      </c>
      <c r="D704" s="692" t="s">
        <v>4060</v>
      </c>
      <c r="E704" s="691">
        <v>70.2</v>
      </c>
      <c r="F704" s="692" t="s">
        <v>4060</v>
      </c>
      <c r="G704" s="692" t="s">
        <v>4060</v>
      </c>
      <c r="H704" s="692" t="s">
        <v>4060</v>
      </c>
      <c r="I704" s="692" t="s">
        <v>4060</v>
      </c>
      <c r="J704" s="692" t="s">
        <v>4060</v>
      </c>
      <c r="K704" s="692" t="s">
        <v>4060</v>
      </c>
    </row>
    <row r="705" spans="1:11">
      <c r="A705" s="688" t="s">
        <v>2491</v>
      </c>
      <c r="B705" s="689">
        <v>64.099999999999994</v>
      </c>
      <c r="C705" s="689">
        <v>64.7</v>
      </c>
      <c r="D705" s="689">
        <v>65.3</v>
      </c>
      <c r="E705" s="689">
        <v>65.599999999999994</v>
      </c>
      <c r="F705" s="689">
        <v>65.8</v>
      </c>
      <c r="G705" s="689">
        <v>65.8</v>
      </c>
      <c r="H705" s="690" t="s">
        <v>4060</v>
      </c>
      <c r="I705" s="690" t="s">
        <v>4060</v>
      </c>
      <c r="J705" s="690" t="s">
        <v>4060</v>
      </c>
      <c r="K705" s="690" t="s">
        <v>4060</v>
      </c>
    </row>
    <row r="706" spans="1:11">
      <c r="A706" s="688" t="s">
        <v>2343</v>
      </c>
      <c r="B706" s="692" t="s">
        <v>4060</v>
      </c>
      <c r="C706" s="692" t="s">
        <v>4060</v>
      </c>
      <c r="D706" s="692" t="s">
        <v>4060</v>
      </c>
      <c r="E706" s="692" t="s">
        <v>4060</v>
      </c>
      <c r="F706" s="692" t="s">
        <v>4060</v>
      </c>
      <c r="G706" s="692" t="s">
        <v>4060</v>
      </c>
      <c r="H706" s="692" t="s">
        <v>4060</v>
      </c>
      <c r="I706" s="692" t="s">
        <v>4060</v>
      </c>
      <c r="J706" s="692" t="s">
        <v>4060</v>
      </c>
      <c r="K706" s="692" t="s">
        <v>4060</v>
      </c>
    </row>
    <row r="707" spans="1:11">
      <c r="A707" s="688" t="s">
        <v>4071</v>
      </c>
      <c r="B707" s="690" t="s">
        <v>4060</v>
      </c>
      <c r="C707" s="690" t="s">
        <v>4060</v>
      </c>
      <c r="D707" s="690" t="s">
        <v>4060</v>
      </c>
      <c r="E707" s="690" t="s">
        <v>4060</v>
      </c>
      <c r="F707" s="690" t="s">
        <v>4060</v>
      </c>
      <c r="G707" s="690" t="s">
        <v>4060</v>
      </c>
      <c r="H707" s="690" t="s">
        <v>4060</v>
      </c>
      <c r="I707" s="690" t="s">
        <v>4060</v>
      </c>
      <c r="J707" s="690" t="s">
        <v>4060</v>
      </c>
      <c r="K707" s="690" t="s">
        <v>4060</v>
      </c>
    </row>
    <row r="708" spans="1:11">
      <c r="A708" s="688" t="s">
        <v>2489</v>
      </c>
      <c r="B708" s="692" t="s">
        <v>4060</v>
      </c>
      <c r="C708" s="692" t="s">
        <v>4060</v>
      </c>
      <c r="D708" s="691">
        <v>66.900000000000006</v>
      </c>
      <c r="E708" s="691">
        <v>66.900000000000006</v>
      </c>
      <c r="F708" s="691">
        <v>67.599999999999994</v>
      </c>
      <c r="G708" s="691">
        <v>68.400000000000006</v>
      </c>
      <c r="H708" s="691">
        <v>68.2</v>
      </c>
      <c r="I708" s="692" t="s">
        <v>4060</v>
      </c>
      <c r="J708" s="692" t="s">
        <v>4060</v>
      </c>
      <c r="K708" s="692" t="s">
        <v>4060</v>
      </c>
    </row>
    <row r="709" spans="1:11">
      <c r="A709" s="688" t="s">
        <v>2490</v>
      </c>
      <c r="B709" s="689">
        <v>66.7</v>
      </c>
      <c r="C709" s="689">
        <v>66.8</v>
      </c>
      <c r="D709" s="689">
        <v>67.400000000000006</v>
      </c>
      <c r="E709" s="690" t="s">
        <v>4060</v>
      </c>
      <c r="F709" s="689">
        <v>67.599999999999994</v>
      </c>
      <c r="G709" s="693">
        <v>68</v>
      </c>
      <c r="H709" s="689">
        <v>68.7</v>
      </c>
      <c r="I709" s="690" t="s">
        <v>4060</v>
      </c>
      <c r="J709" s="690" t="s">
        <v>4060</v>
      </c>
      <c r="K709" s="690" t="s">
        <v>4060</v>
      </c>
    </row>
    <row r="711" spans="1:11">
      <c r="A711" s="683" t="s">
        <v>4233</v>
      </c>
    </row>
    <row r="712" spans="1:11">
      <c r="A712" s="683" t="s">
        <v>4060</v>
      </c>
      <c r="B712" s="682" t="s">
        <v>4234</v>
      </c>
    </row>
    <row r="714" spans="1:11">
      <c r="A714" s="682" t="s">
        <v>4209</v>
      </c>
    </row>
    <row r="715" spans="1:11">
      <c r="A715" s="682" t="s">
        <v>4210</v>
      </c>
      <c r="B715" s="683" t="s">
        <v>4211</v>
      </c>
    </row>
    <row r="716" spans="1:11">
      <c r="A716" s="682" t="s">
        <v>4212</v>
      </c>
      <c r="B716" s="682" t="s">
        <v>4213</v>
      </c>
    </row>
    <row r="718" spans="1:11">
      <c r="A718" s="683" t="s">
        <v>4214</v>
      </c>
      <c r="C718" s="682" t="s">
        <v>4215</v>
      </c>
    </row>
    <row r="719" spans="1:11">
      <c r="A719" s="683" t="s">
        <v>4216</v>
      </c>
      <c r="C719" s="682" t="s">
        <v>2967</v>
      </c>
    </row>
    <row r="720" spans="1:11">
      <c r="A720" s="683" t="s">
        <v>3893</v>
      </c>
      <c r="C720" s="682" t="s">
        <v>4217</v>
      </c>
    </row>
    <row r="721" spans="1:11">
      <c r="A721" s="683" t="s">
        <v>4218</v>
      </c>
      <c r="C721" s="682" t="s">
        <v>4244</v>
      </c>
    </row>
    <row r="723" spans="1:11">
      <c r="A723" s="684" t="s">
        <v>4220</v>
      </c>
      <c r="B723" s="685" t="s">
        <v>4221</v>
      </c>
      <c r="C723" s="685" t="s">
        <v>4222</v>
      </c>
      <c r="D723" s="685" t="s">
        <v>4223</v>
      </c>
      <c r="E723" s="685" t="s">
        <v>4224</v>
      </c>
      <c r="F723" s="685" t="s">
        <v>4225</v>
      </c>
      <c r="G723" s="685" t="s">
        <v>4226</v>
      </c>
      <c r="H723" s="685" t="s">
        <v>4227</v>
      </c>
      <c r="I723" s="685" t="s">
        <v>4228</v>
      </c>
      <c r="J723" s="685" t="s">
        <v>4229</v>
      </c>
      <c r="K723" s="685" t="s">
        <v>4230</v>
      </c>
    </row>
    <row r="724" spans="1:11">
      <c r="A724" s="686" t="s">
        <v>4231</v>
      </c>
      <c r="B724" s="687" t="s">
        <v>4232</v>
      </c>
      <c r="C724" s="687" t="s">
        <v>4232</v>
      </c>
      <c r="D724" s="687" t="s">
        <v>4232</v>
      </c>
      <c r="E724" s="687" t="s">
        <v>4232</v>
      </c>
      <c r="F724" s="687" t="s">
        <v>4232</v>
      </c>
      <c r="G724" s="687" t="s">
        <v>4232</v>
      </c>
      <c r="H724" s="687" t="s">
        <v>4232</v>
      </c>
      <c r="I724" s="687" t="s">
        <v>4232</v>
      </c>
      <c r="J724" s="687" t="s">
        <v>4232</v>
      </c>
      <c r="K724" s="687" t="s">
        <v>4232</v>
      </c>
    </row>
    <row r="725" spans="1:11">
      <c r="A725" s="688" t="s">
        <v>4064</v>
      </c>
      <c r="B725" s="689">
        <v>70.900000000000006</v>
      </c>
      <c r="C725" s="693">
        <v>71</v>
      </c>
      <c r="D725" s="689">
        <v>70.900000000000006</v>
      </c>
      <c r="E725" s="689">
        <v>71.099999999999994</v>
      </c>
      <c r="F725" s="689">
        <v>71.099999999999994</v>
      </c>
      <c r="G725" s="689">
        <v>71.2</v>
      </c>
      <c r="H725" s="689">
        <v>71.400000000000006</v>
      </c>
      <c r="I725" s="689">
        <v>70.599999999999994</v>
      </c>
      <c r="J725" s="689">
        <v>70.3</v>
      </c>
      <c r="K725" s="689">
        <v>70.900000000000006</v>
      </c>
    </row>
    <row r="726" spans="1:11">
      <c r="A726" s="688" t="s">
        <v>4065</v>
      </c>
      <c r="B726" s="691">
        <v>70.900000000000006</v>
      </c>
      <c r="C726" s="691">
        <v>71.3</v>
      </c>
      <c r="D726" s="615">
        <v>71</v>
      </c>
      <c r="E726" s="691">
        <v>71.3</v>
      </c>
      <c r="F726" s="691">
        <v>71.3</v>
      </c>
      <c r="G726" s="691">
        <v>71.400000000000006</v>
      </c>
      <c r="H726" s="692" t="s">
        <v>4060</v>
      </c>
      <c r="I726" s="692" t="s">
        <v>4060</v>
      </c>
      <c r="J726" s="692" t="s">
        <v>4060</v>
      </c>
      <c r="K726" s="692" t="s">
        <v>4060</v>
      </c>
    </row>
    <row r="727" spans="1:11">
      <c r="A727" s="688" t="s">
        <v>4063</v>
      </c>
      <c r="B727" s="693">
        <v>71</v>
      </c>
      <c r="C727" s="689">
        <v>71.3</v>
      </c>
      <c r="D727" s="693">
        <v>71</v>
      </c>
      <c r="E727" s="689">
        <v>71.400000000000006</v>
      </c>
      <c r="F727" s="689">
        <v>71.3</v>
      </c>
      <c r="G727" s="689">
        <v>71.400000000000006</v>
      </c>
      <c r="H727" s="690" t="s">
        <v>4060</v>
      </c>
      <c r="I727" s="690" t="s">
        <v>4060</v>
      </c>
      <c r="J727" s="690" t="s">
        <v>4060</v>
      </c>
      <c r="K727" s="690" t="s">
        <v>4060</v>
      </c>
    </row>
    <row r="728" spans="1:11">
      <c r="A728" s="688" t="s">
        <v>4069</v>
      </c>
      <c r="B728" s="692" t="s">
        <v>4060</v>
      </c>
      <c r="C728" s="615">
        <v>72</v>
      </c>
      <c r="D728" s="691">
        <v>71.7</v>
      </c>
      <c r="E728" s="615">
        <v>72</v>
      </c>
      <c r="F728" s="691">
        <v>72.099999999999994</v>
      </c>
      <c r="G728" s="691">
        <v>72.2</v>
      </c>
      <c r="H728" s="691">
        <v>72.5</v>
      </c>
      <c r="I728" s="691">
        <v>71.8</v>
      </c>
      <c r="J728" s="691">
        <v>71.7</v>
      </c>
      <c r="K728" s="691">
        <v>71.900000000000006</v>
      </c>
    </row>
    <row r="729" spans="1:11">
      <c r="A729" s="688" t="s">
        <v>4068</v>
      </c>
      <c r="B729" s="689">
        <v>71.900000000000006</v>
      </c>
      <c r="C729" s="690" t="s">
        <v>4060</v>
      </c>
      <c r="D729" s="690" t="s">
        <v>4060</v>
      </c>
      <c r="E729" s="690" t="s">
        <v>4060</v>
      </c>
      <c r="F729" s="690" t="s">
        <v>4060</v>
      </c>
      <c r="G729" s="690" t="s">
        <v>4060</v>
      </c>
      <c r="H729" s="690" t="s">
        <v>4060</v>
      </c>
      <c r="I729" s="690" t="s">
        <v>4060</v>
      </c>
      <c r="J729" s="690" t="s">
        <v>4060</v>
      </c>
      <c r="K729" s="690" t="s">
        <v>4060</v>
      </c>
    </row>
    <row r="730" spans="1:11">
      <c r="A730" s="688" t="s">
        <v>0</v>
      </c>
      <c r="B730" s="691">
        <v>71.099999999999994</v>
      </c>
      <c r="C730" s="691">
        <v>71.400000000000006</v>
      </c>
      <c r="D730" s="691">
        <v>71.2</v>
      </c>
      <c r="E730" s="691">
        <v>71.599999999999994</v>
      </c>
      <c r="F730" s="691">
        <v>71.7</v>
      </c>
      <c r="G730" s="691">
        <v>71.900000000000006</v>
      </c>
      <c r="H730" s="691">
        <v>72.2</v>
      </c>
      <c r="I730" s="691">
        <v>71.099999999999994</v>
      </c>
      <c r="J730" s="615">
        <v>72</v>
      </c>
      <c r="K730" s="615">
        <v>72</v>
      </c>
    </row>
    <row r="731" spans="1:11">
      <c r="A731" s="688" t="s">
        <v>1</v>
      </c>
      <c r="B731" s="689">
        <v>65.7</v>
      </c>
      <c r="C731" s="689">
        <v>65.099999999999994</v>
      </c>
      <c r="D731" s="689">
        <v>65.2</v>
      </c>
      <c r="E731" s="689">
        <v>65.3</v>
      </c>
      <c r="F731" s="689">
        <v>65.3</v>
      </c>
      <c r="G731" s="689">
        <v>65.3</v>
      </c>
      <c r="H731" s="689">
        <v>65.400000000000006</v>
      </c>
      <c r="I731" s="689">
        <v>63.8</v>
      </c>
      <c r="J731" s="689">
        <v>61.7</v>
      </c>
      <c r="K731" s="689">
        <v>64.599999999999994</v>
      </c>
    </row>
    <row r="732" spans="1:11">
      <c r="A732" s="688" t="s">
        <v>2240</v>
      </c>
      <c r="B732" s="691">
        <v>68.599999999999994</v>
      </c>
      <c r="C732" s="615">
        <v>69</v>
      </c>
      <c r="D732" s="691">
        <v>68.8</v>
      </c>
      <c r="E732" s="691">
        <v>69.3</v>
      </c>
      <c r="F732" s="691">
        <v>69.3</v>
      </c>
      <c r="G732" s="691">
        <v>69.3</v>
      </c>
      <c r="H732" s="691">
        <v>69.5</v>
      </c>
      <c r="I732" s="691">
        <v>68.5</v>
      </c>
      <c r="J732" s="691">
        <v>67.5</v>
      </c>
      <c r="K732" s="691">
        <v>69.3</v>
      </c>
    </row>
    <row r="733" spans="1:11">
      <c r="A733" s="688" t="s">
        <v>2</v>
      </c>
      <c r="B733" s="689">
        <v>70.7</v>
      </c>
      <c r="C733" s="693">
        <v>71</v>
      </c>
      <c r="D733" s="689">
        <v>71.099999999999994</v>
      </c>
      <c r="E733" s="689">
        <v>71.2</v>
      </c>
      <c r="F733" s="689">
        <v>71.5</v>
      </c>
      <c r="G733" s="689">
        <v>71.3</v>
      </c>
      <c r="H733" s="689">
        <v>71.7</v>
      </c>
      <c r="I733" s="689">
        <v>71.900000000000006</v>
      </c>
      <c r="J733" s="689">
        <v>71.8</v>
      </c>
      <c r="K733" s="689">
        <v>71.599999999999994</v>
      </c>
    </row>
    <row r="734" spans="1:11">
      <c r="A734" s="688" t="s">
        <v>3</v>
      </c>
      <c r="B734" s="615">
        <v>71</v>
      </c>
      <c r="C734" s="691">
        <v>71.3</v>
      </c>
      <c r="D734" s="691">
        <v>70.900000000000006</v>
      </c>
      <c r="E734" s="691">
        <v>71.2</v>
      </c>
      <c r="F734" s="691">
        <v>71.3</v>
      </c>
      <c r="G734" s="691">
        <v>71.2</v>
      </c>
      <c r="H734" s="691">
        <v>71.5</v>
      </c>
      <c r="I734" s="691">
        <v>71.3</v>
      </c>
      <c r="J734" s="615">
        <v>71</v>
      </c>
      <c r="K734" s="691">
        <v>70.8</v>
      </c>
    </row>
    <row r="735" spans="1:11">
      <c r="A735" s="688" t="s">
        <v>4061</v>
      </c>
      <c r="B735" s="693">
        <v>71</v>
      </c>
      <c r="C735" s="689">
        <v>71.3</v>
      </c>
      <c r="D735" s="689">
        <v>70.900000000000006</v>
      </c>
      <c r="E735" s="689">
        <v>71.2</v>
      </c>
      <c r="F735" s="689">
        <v>71.3</v>
      </c>
      <c r="G735" s="689">
        <v>71.2</v>
      </c>
      <c r="H735" s="689">
        <v>71.5</v>
      </c>
      <c r="I735" s="689">
        <v>71.3</v>
      </c>
      <c r="J735" s="693">
        <v>71</v>
      </c>
      <c r="K735" s="689">
        <v>70.8</v>
      </c>
    </row>
    <row r="736" spans="1:11">
      <c r="A736" s="688" t="s">
        <v>4</v>
      </c>
      <c r="B736" s="691">
        <v>67.8</v>
      </c>
      <c r="C736" s="691">
        <v>67.5</v>
      </c>
      <c r="D736" s="615">
        <v>68</v>
      </c>
      <c r="E736" s="615">
        <v>68</v>
      </c>
      <c r="F736" s="691">
        <v>68.5</v>
      </c>
      <c r="G736" s="691">
        <v>68.599999999999994</v>
      </c>
      <c r="H736" s="615">
        <v>69</v>
      </c>
      <c r="I736" s="691">
        <v>68.900000000000006</v>
      </c>
      <c r="J736" s="691">
        <v>67.400000000000006</v>
      </c>
      <c r="K736" s="691">
        <v>68.3</v>
      </c>
    </row>
    <row r="737" spans="1:11">
      <c r="A737" s="688" t="s">
        <v>8</v>
      </c>
      <c r="B737" s="689">
        <v>71.400000000000006</v>
      </c>
      <c r="C737" s="689">
        <v>71.599999999999994</v>
      </c>
      <c r="D737" s="689">
        <v>71.7</v>
      </c>
      <c r="E737" s="689">
        <v>71.900000000000006</v>
      </c>
      <c r="F737" s="689">
        <v>72.3</v>
      </c>
      <c r="G737" s="689">
        <v>72.3</v>
      </c>
      <c r="H737" s="689">
        <v>72.8</v>
      </c>
      <c r="I737" s="689">
        <v>72.599999999999994</v>
      </c>
      <c r="J737" s="689">
        <v>72.400000000000006</v>
      </c>
      <c r="K737" s="689">
        <v>72.7</v>
      </c>
    </row>
    <row r="738" spans="1:11">
      <c r="A738" s="688" t="s">
        <v>7</v>
      </c>
      <c r="B738" s="691">
        <v>71.7</v>
      </c>
      <c r="C738" s="691">
        <v>71.400000000000006</v>
      </c>
      <c r="D738" s="691">
        <v>71.099999999999994</v>
      </c>
      <c r="E738" s="691">
        <v>71.5</v>
      </c>
      <c r="F738" s="691">
        <v>71.400000000000006</v>
      </c>
      <c r="G738" s="691">
        <v>71.900000000000006</v>
      </c>
      <c r="H738" s="691">
        <v>71.8</v>
      </c>
      <c r="I738" s="691">
        <v>71.5</v>
      </c>
      <c r="J738" s="691">
        <v>70.400000000000006</v>
      </c>
      <c r="K738" s="691">
        <v>71.099999999999994</v>
      </c>
    </row>
    <row r="739" spans="1:11">
      <c r="A739" s="688" t="s">
        <v>27</v>
      </c>
      <c r="B739" s="689">
        <v>73.5</v>
      </c>
      <c r="C739" s="689">
        <v>73.2</v>
      </c>
      <c r="D739" s="689">
        <v>72.900000000000006</v>
      </c>
      <c r="E739" s="689">
        <v>73.400000000000006</v>
      </c>
      <c r="F739" s="689">
        <v>73.3</v>
      </c>
      <c r="G739" s="689">
        <v>73.400000000000006</v>
      </c>
      <c r="H739" s="689">
        <v>73.8</v>
      </c>
      <c r="I739" s="689">
        <v>72.5</v>
      </c>
      <c r="J739" s="689">
        <v>73.3</v>
      </c>
      <c r="K739" s="689">
        <v>73.3</v>
      </c>
    </row>
    <row r="740" spans="1:11">
      <c r="A740" s="688" t="s">
        <v>6</v>
      </c>
      <c r="B740" s="691">
        <v>72.8</v>
      </c>
      <c r="C740" s="691">
        <v>72.8</v>
      </c>
      <c r="D740" s="691">
        <v>72.5</v>
      </c>
      <c r="E740" s="691">
        <v>72.8</v>
      </c>
      <c r="F740" s="691">
        <v>72.900000000000006</v>
      </c>
      <c r="G740" s="615">
        <v>73</v>
      </c>
      <c r="H740" s="691">
        <v>73.099999999999994</v>
      </c>
      <c r="I740" s="691">
        <v>72.5</v>
      </c>
      <c r="J740" s="691">
        <v>72.599999999999994</v>
      </c>
      <c r="K740" s="691">
        <v>72.7</v>
      </c>
    </row>
    <row r="741" spans="1:11">
      <c r="A741" s="688" t="s">
        <v>4058</v>
      </c>
      <c r="B741" s="690" t="s">
        <v>4060</v>
      </c>
      <c r="C741" s="690" t="s">
        <v>4060</v>
      </c>
      <c r="D741" s="690" t="s">
        <v>4060</v>
      </c>
      <c r="E741" s="690" t="s">
        <v>4060</v>
      </c>
      <c r="F741" s="690" t="s">
        <v>4060</v>
      </c>
      <c r="G741" s="690" t="s">
        <v>4060</v>
      </c>
      <c r="H741" s="690" t="s">
        <v>4060</v>
      </c>
      <c r="I741" s="690" t="s">
        <v>4060</v>
      </c>
      <c r="J741" s="690" t="s">
        <v>4060</v>
      </c>
      <c r="K741" s="690" t="s">
        <v>4060</v>
      </c>
    </row>
    <row r="742" spans="1:11">
      <c r="A742" s="688" t="s">
        <v>11</v>
      </c>
      <c r="B742" s="691">
        <v>68.2</v>
      </c>
      <c r="C742" s="691">
        <v>68.2</v>
      </c>
      <c r="D742" s="691">
        <v>67.8</v>
      </c>
      <c r="E742" s="691">
        <v>68.400000000000006</v>
      </c>
      <c r="F742" s="691">
        <v>68.2</v>
      </c>
      <c r="G742" s="691">
        <v>68.400000000000006</v>
      </c>
      <c r="H742" s="691">
        <v>68.7</v>
      </c>
      <c r="I742" s="615">
        <v>68</v>
      </c>
      <c r="J742" s="615">
        <v>67</v>
      </c>
      <c r="K742" s="691">
        <v>68.099999999999994</v>
      </c>
    </row>
    <row r="743" spans="1:11">
      <c r="A743" s="688" t="s">
        <v>10</v>
      </c>
      <c r="B743" s="689">
        <v>73.2</v>
      </c>
      <c r="C743" s="689">
        <v>73.099999999999994</v>
      </c>
      <c r="D743" s="689">
        <v>72.7</v>
      </c>
      <c r="E743" s="689">
        <v>73.3</v>
      </c>
      <c r="F743" s="689">
        <v>73.099999999999994</v>
      </c>
      <c r="G743" s="689">
        <v>73.400000000000006</v>
      </c>
      <c r="H743" s="689">
        <v>73.7</v>
      </c>
      <c r="I743" s="689">
        <v>72.5</v>
      </c>
      <c r="J743" s="689">
        <v>72.900000000000006</v>
      </c>
      <c r="K743" s="693">
        <v>73</v>
      </c>
    </row>
    <row r="744" spans="1:11">
      <c r="A744" s="688" t="s">
        <v>30</v>
      </c>
      <c r="B744" s="691">
        <v>72.7</v>
      </c>
      <c r="C744" s="691">
        <v>72.5</v>
      </c>
      <c r="D744" s="691">
        <v>72.2</v>
      </c>
      <c r="E744" s="691">
        <v>73.099999999999994</v>
      </c>
      <c r="F744" s="691">
        <v>72.599999999999994</v>
      </c>
      <c r="G744" s="691">
        <v>73.2</v>
      </c>
      <c r="H744" s="691">
        <v>72.900000000000006</v>
      </c>
      <c r="I744" s="691">
        <v>72.900000000000006</v>
      </c>
      <c r="J744" s="691">
        <v>72.099999999999994</v>
      </c>
      <c r="K744" s="691">
        <v>72.5</v>
      </c>
    </row>
    <row r="745" spans="1:11">
      <c r="A745" s="688" t="s">
        <v>12</v>
      </c>
      <c r="B745" s="689">
        <v>64.8</v>
      </c>
      <c r="C745" s="689">
        <v>64.7</v>
      </c>
      <c r="D745" s="689">
        <v>65.099999999999994</v>
      </c>
      <c r="E745" s="689">
        <v>65.2</v>
      </c>
      <c r="F745" s="689">
        <v>65.2</v>
      </c>
      <c r="G745" s="689">
        <v>65.3</v>
      </c>
      <c r="H745" s="693">
        <v>66</v>
      </c>
      <c r="I745" s="689">
        <v>65.8</v>
      </c>
      <c r="J745" s="689">
        <v>63.4</v>
      </c>
      <c r="K745" s="689">
        <v>64.8</v>
      </c>
    </row>
    <row r="746" spans="1:11">
      <c r="A746" s="688" t="s">
        <v>14</v>
      </c>
      <c r="B746" s="691">
        <v>64.5</v>
      </c>
      <c r="C746" s="615">
        <v>65</v>
      </c>
      <c r="D746" s="691">
        <v>64.900000000000006</v>
      </c>
      <c r="E746" s="691">
        <v>65.2</v>
      </c>
      <c r="F746" s="615">
        <v>66</v>
      </c>
      <c r="G746" s="691">
        <v>66.2</v>
      </c>
      <c r="H746" s="691">
        <v>66.7</v>
      </c>
      <c r="I746" s="691">
        <v>65.5</v>
      </c>
      <c r="J746" s="691">
        <v>64.599999999999994</v>
      </c>
      <c r="K746" s="691">
        <v>66.099999999999994</v>
      </c>
    </row>
    <row r="747" spans="1:11">
      <c r="A747" s="688" t="s">
        <v>15</v>
      </c>
      <c r="B747" s="689">
        <v>72.3</v>
      </c>
      <c r="C747" s="689">
        <v>72.2</v>
      </c>
      <c r="D747" s="689">
        <v>72.3</v>
      </c>
      <c r="E747" s="689">
        <v>72.7</v>
      </c>
      <c r="F747" s="689">
        <v>72.2</v>
      </c>
      <c r="G747" s="689">
        <v>72.5</v>
      </c>
      <c r="H747" s="689">
        <v>72.900000000000006</v>
      </c>
      <c r="I747" s="689">
        <v>72.5</v>
      </c>
      <c r="J747" s="689">
        <v>72.8</v>
      </c>
      <c r="K747" s="689">
        <v>73.2</v>
      </c>
    </row>
    <row r="748" spans="1:11">
      <c r="A748" s="688" t="s">
        <v>29</v>
      </c>
      <c r="B748" s="691">
        <v>66.2</v>
      </c>
      <c r="C748" s="691">
        <v>66.3</v>
      </c>
      <c r="D748" s="615">
        <v>66</v>
      </c>
      <c r="E748" s="691">
        <v>66.5</v>
      </c>
      <c r="F748" s="691">
        <v>66.2</v>
      </c>
      <c r="G748" s="691">
        <v>66.400000000000006</v>
      </c>
      <c r="H748" s="691">
        <v>66.7</v>
      </c>
      <c r="I748" s="691">
        <v>65.900000000000006</v>
      </c>
      <c r="J748" s="691">
        <v>64.400000000000006</v>
      </c>
      <c r="K748" s="691">
        <v>66.3</v>
      </c>
    </row>
    <row r="749" spans="1:11">
      <c r="A749" s="688" t="s">
        <v>16</v>
      </c>
      <c r="B749" s="689">
        <v>72.400000000000006</v>
      </c>
      <c r="C749" s="689">
        <v>72.2</v>
      </c>
      <c r="D749" s="689">
        <v>72.3</v>
      </c>
      <c r="E749" s="689">
        <v>72.8</v>
      </c>
      <c r="F749" s="689">
        <v>72.7</v>
      </c>
      <c r="G749" s="689">
        <v>72.599999999999994</v>
      </c>
      <c r="H749" s="689">
        <v>73.099999999999994</v>
      </c>
      <c r="I749" s="689">
        <v>72.3</v>
      </c>
      <c r="J749" s="689">
        <v>72.400000000000006</v>
      </c>
      <c r="K749" s="689">
        <v>72.599999999999994</v>
      </c>
    </row>
    <row r="750" spans="1:11">
      <c r="A750" s="688" t="s">
        <v>17</v>
      </c>
      <c r="B750" s="691">
        <v>71.8</v>
      </c>
      <c r="C750" s="615">
        <v>72</v>
      </c>
      <c r="D750" s="691">
        <v>71.8</v>
      </c>
      <c r="E750" s="691">
        <v>71.900000000000006</v>
      </c>
      <c r="F750" s="691">
        <v>72.099999999999994</v>
      </c>
      <c r="G750" s="691">
        <v>72.099999999999994</v>
      </c>
      <c r="H750" s="691">
        <v>72.400000000000006</v>
      </c>
      <c r="I750" s="691">
        <v>71.8</v>
      </c>
      <c r="J750" s="691">
        <v>71.7</v>
      </c>
      <c r="K750" s="615">
        <v>72</v>
      </c>
    </row>
    <row r="751" spans="1:11">
      <c r="A751" s="688" t="s">
        <v>19</v>
      </c>
      <c r="B751" s="689">
        <v>71.599999999999994</v>
      </c>
      <c r="C751" s="689">
        <v>71.7</v>
      </c>
      <c r="D751" s="689">
        <v>71.5</v>
      </c>
      <c r="E751" s="689">
        <v>71.900000000000006</v>
      </c>
      <c r="F751" s="693">
        <v>72</v>
      </c>
      <c r="G751" s="693">
        <v>72</v>
      </c>
      <c r="H751" s="689">
        <v>72.3</v>
      </c>
      <c r="I751" s="689">
        <v>71.7</v>
      </c>
      <c r="J751" s="689">
        <v>71.599999999999994</v>
      </c>
      <c r="K751" s="689">
        <v>71.7</v>
      </c>
    </row>
    <row r="752" spans="1:11">
      <c r="A752" s="688" t="s">
        <v>20</v>
      </c>
      <c r="B752" s="691">
        <v>67.599999999999994</v>
      </c>
      <c r="C752" s="615">
        <v>68</v>
      </c>
      <c r="D752" s="691">
        <v>67.8</v>
      </c>
      <c r="E752" s="691">
        <v>68.2</v>
      </c>
      <c r="F752" s="691">
        <v>68.099999999999994</v>
      </c>
      <c r="G752" s="691">
        <v>67.900000000000006</v>
      </c>
      <c r="H752" s="691">
        <v>68.2</v>
      </c>
      <c r="I752" s="691">
        <v>66.7</v>
      </c>
      <c r="J752" s="691">
        <v>65.8</v>
      </c>
      <c r="K752" s="691">
        <v>67.5</v>
      </c>
    </row>
    <row r="753" spans="1:11">
      <c r="A753" s="688" t="s">
        <v>21</v>
      </c>
      <c r="B753" s="689">
        <v>71.2</v>
      </c>
      <c r="C753" s="689">
        <v>71.599999999999994</v>
      </c>
      <c r="D753" s="689">
        <v>71.7</v>
      </c>
      <c r="E753" s="689">
        <v>71.7</v>
      </c>
      <c r="F753" s="689">
        <v>71.900000000000006</v>
      </c>
      <c r="G753" s="693">
        <v>72</v>
      </c>
      <c r="H753" s="689">
        <v>72.3</v>
      </c>
      <c r="I753" s="689">
        <v>71.599999999999994</v>
      </c>
      <c r="J753" s="689">
        <v>71.7</v>
      </c>
      <c r="K753" s="693">
        <v>72</v>
      </c>
    </row>
    <row r="754" spans="1:11">
      <c r="A754" s="688" t="s">
        <v>22</v>
      </c>
      <c r="B754" s="615">
        <v>66</v>
      </c>
      <c r="C754" s="691">
        <v>65.7</v>
      </c>
      <c r="D754" s="691">
        <v>65.599999999999994</v>
      </c>
      <c r="E754" s="691">
        <v>65.900000000000006</v>
      </c>
      <c r="F754" s="691">
        <v>65.8</v>
      </c>
      <c r="G754" s="691">
        <v>65.900000000000006</v>
      </c>
      <c r="H754" s="691">
        <v>66.099999999999994</v>
      </c>
      <c r="I754" s="691">
        <v>64.599999999999994</v>
      </c>
      <c r="J754" s="691">
        <v>63.3</v>
      </c>
      <c r="K754" s="691">
        <v>65.7</v>
      </c>
    </row>
    <row r="755" spans="1:11">
      <c r="A755" s="688" t="s">
        <v>26</v>
      </c>
      <c r="B755" s="689">
        <v>70.8</v>
      </c>
      <c r="C755" s="689">
        <v>71.099999999999994</v>
      </c>
      <c r="D755" s="689">
        <v>70.8</v>
      </c>
      <c r="E755" s="689">
        <v>71.2</v>
      </c>
      <c r="F755" s="689">
        <v>71.2</v>
      </c>
      <c r="G755" s="689">
        <v>71.400000000000006</v>
      </c>
      <c r="H755" s="689">
        <v>71.599999999999994</v>
      </c>
      <c r="I755" s="689">
        <v>70.8</v>
      </c>
      <c r="J755" s="689">
        <v>70.8</v>
      </c>
      <c r="K755" s="689">
        <v>71.400000000000006</v>
      </c>
    </row>
    <row r="756" spans="1:11">
      <c r="A756" s="688" t="s">
        <v>25</v>
      </c>
      <c r="B756" s="691">
        <v>67.2</v>
      </c>
      <c r="C756" s="691">
        <v>67.5</v>
      </c>
      <c r="D756" s="691">
        <v>67.2</v>
      </c>
      <c r="E756" s="691">
        <v>67.8</v>
      </c>
      <c r="F756" s="691">
        <v>67.7</v>
      </c>
      <c r="G756" s="691">
        <v>67.8</v>
      </c>
      <c r="H756" s="691">
        <v>68.3</v>
      </c>
      <c r="I756" s="691">
        <v>67.5</v>
      </c>
      <c r="J756" s="691">
        <v>65.099999999999994</v>
      </c>
      <c r="K756" s="691">
        <v>67.5</v>
      </c>
    </row>
    <row r="757" spans="1:11">
      <c r="A757" s="688" t="s">
        <v>5</v>
      </c>
      <c r="B757" s="689">
        <v>71.3</v>
      </c>
      <c r="C757" s="689">
        <v>71.3</v>
      </c>
      <c r="D757" s="689">
        <v>71.599999999999994</v>
      </c>
      <c r="E757" s="689">
        <v>71.5</v>
      </c>
      <c r="F757" s="689">
        <v>71.7</v>
      </c>
      <c r="G757" s="689">
        <v>71.900000000000006</v>
      </c>
      <c r="H757" s="689">
        <v>72.099999999999994</v>
      </c>
      <c r="I757" s="693">
        <v>72</v>
      </c>
      <c r="J757" s="693">
        <v>72</v>
      </c>
      <c r="K757" s="689">
        <v>71.400000000000006</v>
      </c>
    </row>
    <row r="758" spans="1:11">
      <c r="A758" s="688" t="s">
        <v>23</v>
      </c>
      <c r="B758" s="691">
        <v>72.3</v>
      </c>
      <c r="C758" s="691">
        <v>72.5</v>
      </c>
      <c r="D758" s="691">
        <v>72.5</v>
      </c>
      <c r="E758" s="691">
        <v>72.599999999999994</v>
      </c>
      <c r="F758" s="691">
        <v>72.7</v>
      </c>
      <c r="G758" s="691">
        <v>72.8</v>
      </c>
      <c r="H758" s="691">
        <v>73.3</v>
      </c>
      <c r="I758" s="691">
        <v>72.7</v>
      </c>
      <c r="J758" s="691">
        <v>73.2</v>
      </c>
      <c r="K758" s="691">
        <v>73.3</v>
      </c>
    </row>
    <row r="759" spans="1:11">
      <c r="A759" s="688" t="s">
        <v>4067</v>
      </c>
      <c r="B759" s="689">
        <v>70.900000000000006</v>
      </c>
      <c r="C759" s="689">
        <v>71.3</v>
      </c>
      <c r="D759" s="693">
        <v>71</v>
      </c>
      <c r="E759" s="689">
        <v>71.400000000000006</v>
      </c>
      <c r="F759" s="689">
        <v>71.3</v>
      </c>
      <c r="G759" s="689">
        <v>71.400000000000006</v>
      </c>
      <c r="H759" s="690" t="s">
        <v>4060</v>
      </c>
      <c r="I759" s="690" t="s">
        <v>4060</v>
      </c>
      <c r="J759" s="690" t="s">
        <v>4060</v>
      </c>
      <c r="K759" s="690" t="s">
        <v>4060</v>
      </c>
    </row>
    <row r="760" spans="1:11">
      <c r="A760" s="688" t="s">
        <v>4066</v>
      </c>
      <c r="B760" s="615">
        <v>71</v>
      </c>
      <c r="C760" s="691">
        <v>71.3</v>
      </c>
      <c r="D760" s="615">
        <v>71</v>
      </c>
      <c r="E760" s="691">
        <v>71.400000000000006</v>
      </c>
      <c r="F760" s="691">
        <v>71.400000000000006</v>
      </c>
      <c r="G760" s="691">
        <v>71.400000000000006</v>
      </c>
      <c r="H760" s="692" t="s">
        <v>4060</v>
      </c>
      <c r="I760" s="692" t="s">
        <v>4060</v>
      </c>
      <c r="J760" s="692" t="s">
        <v>4060</v>
      </c>
      <c r="K760" s="692" t="s">
        <v>4060</v>
      </c>
    </row>
    <row r="761" spans="1:11">
      <c r="A761" s="688" t="s">
        <v>4062</v>
      </c>
      <c r="B761" s="689">
        <v>72.8</v>
      </c>
      <c r="C761" s="689">
        <v>73.099999999999994</v>
      </c>
      <c r="D761" s="693">
        <v>73</v>
      </c>
      <c r="E761" s="689">
        <v>73.3</v>
      </c>
      <c r="F761" s="689">
        <v>73.400000000000006</v>
      </c>
      <c r="G761" s="689">
        <v>73.599999999999994</v>
      </c>
      <c r="H761" s="689">
        <v>73.8</v>
      </c>
      <c r="I761" s="689">
        <v>73.400000000000006</v>
      </c>
      <c r="J761" s="689">
        <v>73.7</v>
      </c>
      <c r="K761" s="689">
        <v>73.5</v>
      </c>
    </row>
    <row r="762" spans="1:11">
      <c r="A762" s="688" t="s">
        <v>9</v>
      </c>
      <c r="B762" s="691">
        <v>72.400000000000006</v>
      </c>
      <c r="C762" s="691">
        <v>72.900000000000006</v>
      </c>
      <c r="D762" s="691">
        <v>72.599999999999994</v>
      </c>
      <c r="E762" s="691">
        <v>72.3</v>
      </c>
      <c r="F762" s="691">
        <v>72.7</v>
      </c>
      <c r="G762" s="691">
        <v>72.900000000000006</v>
      </c>
      <c r="H762" s="691">
        <v>73.099999999999994</v>
      </c>
      <c r="I762" s="691">
        <v>73.2</v>
      </c>
      <c r="J762" s="691">
        <v>73.400000000000006</v>
      </c>
      <c r="K762" s="691">
        <v>72.400000000000006</v>
      </c>
    </row>
    <row r="763" spans="1:11">
      <c r="A763" s="688" t="s">
        <v>13</v>
      </c>
      <c r="B763" s="689">
        <v>72.900000000000006</v>
      </c>
      <c r="C763" s="689">
        <v>72.3</v>
      </c>
      <c r="D763" s="693">
        <v>73</v>
      </c>
      <c r="E763" s="689">
        <v>72.3</v>
      </c>
      <c r="F763" s="689">
        <v>73.3</v>
      </c>
      <c r="G763" s="693">
        <v>73</v>
      </c>
      <c r="H763" s="693">
        <v>74</v>
      </c>
      <c r="I763" s="689">
        <v>72.400000000000006</v>
      </c>
      <c r="J763" s="689">
        <v>74.099999999999994</v>
      </c>
      <c r="K763" s="689">
        <v>73.8</v>
      </c>
    </row>
    <row r="764" spans="1:11">
      <c r="A764" s="688" t="s">
        <v>18</v>
      </c>
      <c r="B764" s="691">
        <v>72.099999999999994</v>
      </c>
      <c r="C764" s="691">
        <v>72.400000000000006</v>
      </c>
      <c r="D764" s="691">
        <v>72.5</v>
      </c>
      <c r="E764" s="691">
        <v>72.599999999999994</v>
      </c>
      <c r="F764" s="691">
        <v>72.900000000000006</v>
      </c>
      <c r="G764" s="615">
        <v>73</v>
      </c>
      <c r="H764" s="691">
        <v>73.2</v>
      </c>
      <c r="I764" s="691">
        <v>73.400000000000006</v>
      </c>
      <c r="J764" s="691">
        <v>73.400000000000006</v>
      </c>
      <c r="K764" s="691">
        <v>72.8</v>
      </c>
    </row>
    <row r="765" spans="1:11">
      <c r="A765" s="688" t="s">
        <v>24</v>
      </c>
      <c r="B765" s="689">
        <v>73.3</v>
      </c>
      <c r="C765" s="689">
        <v>73.5</v>
      </c>
      <c r="D765" s="689">
        <v>73.3</v>
      </c>
      <c r="E765" s="689">
        <v>73.8</v>
      </c>
      <c r="F765" s="689">
        <v>73.8</v>
      </c>
      <c r="G765" s="689">
        <v>73.900000000000006</v>
      </c>
      <c r="H765" s="689">
        <v>74.099999999999994</v>
      </c>
      <c r="I765" s="689">
        <v>73.400000000000006</v>
      </c>
      <c r="J765" s="693">
        <v>74</v>
      </c>
      <c r="K765" s="689">
        <v>73.900000000000006</v>
      </c>
    </row>
    <row r="766" spans="1:11">
      <c r="A766" s="688" t="s">
        <v>4059</v>
      </c>
      <c r="B766" s="691">
        <v>71.5</v>
      </c>
      <c r="C766" s="691">
        <v>71.8</v>
      </c>
      <c r="D766" s="691">
        <v>71.400000000000006</v>
      </c>
      <c r="E766" s="691">
        <v>71.599999999999994</v>
      </c>
      <c r="F766" s="691">
        <v>71.7</v>
      </c>
      <c r="G766" s="691">
        <v>71.7</v>
      </c>
      <c r="H766" s="692" t="s">
        <v>4060</v>
      </c>
      <c r="I766" s="692" t="s">
        <v>4060</v>
      </c>
      <c r="J766" s="692" t="s">
        <v>4060</v>
      </c>
      <c r="K766" s="692" t="s">
        <v>4060</v>
      </c>
    </row>
    <row r="767" spans="1:11">
      <c r="A767" s="688" t="s">
        <v>2324</v>
      </c>
      <c r="B767" s="689">
        <v>66.900000000000006</v>
      </c>
      <c r="C767" s="689">
        <v>66.900000000000006</v>
      </c>
      <c r="D767" s="689">
        <v>66.7</v>
      </c>
      <c r="E767" s="689">
        <v>66.8</v>
      </c>
      <c r="F767" s="689">
        <v>66.8</v>
      </c>
      <c r="G767" s="689">
        <v>67.099999999999994</v>
      </c>
      <c r="H767" s="693">
        <v>67</v>
      </c>
      <c r="I767" s="689">
        <v>66.2</v>
      </c>
      <c r="J767" s="689">
        <v>63.9</v>
      </c>
      <c r="K767" s="690" t="s">
        <v>4060</v>
      </c>
    </row>
    <row r="768" spans="1:11">
      <c r="A768" s="688" t="s">
        <v>2322</v>
      </c>
      <c r="B768" s="692" t="s">
        <v>4060</v>
      </c>
      <c r="C768" s="692" t="s">
        <v>4060</v>
      </c>
      <c r="D768" s="692" t="s">
        <v>4060</v>
      </c>
      <c r="E768" s="692" t="s">
        <v>4060</v>
      </c>
      <c r="F768" s="692" t="s">
        <v>4060</v>
      </c>
      <c r="G768" s="692" t="s">
        <v>4060</v>
      </c>
      <c r="H768" s="692" t="s">
        <v>4060</v>
      </c>
      <c r="I768" s="692" t="s">
        <v>4060</v>
      </c>
      <c r="J768" s="692" t="s">
        <v>4060</v>
      </c>
      <c r="K768" s="692" t="s">
        <v>4060</v>
      </c>
    </row>
    <row r="769" spans="1:11">
      <c r="A769" s="688" t="s">
        <v>2328</v>
      </c>
      <c r="B769" s="689">
        <v>66.400000000000006</v>
      </c>
      <c r="C769" s="689">
        <v>66.400000000000006</v>
      </c>
      <c r="D769" s="689">
        <v>66.3</v>
      </c>
      <c r="E769" s="689">
        <v>66.5</v>
      </c>
      <c r="F769" s="689">
        <v>66.8</v>
      </c>
      <c r="G769" s="689">
        <v>67.2</v>
      </c>
      <c r="H769" s="689">
        <v>67.2</v>
      </c>
      <c r="I769" s="689">
        <v>64.900000000000006</v>
      </c>
      <c r="J769" s="689">
        <v>63.7</v>
      </c>
      <c r="K769" s="690" t="s">
        <v>4060</v>
      </c>
    </row>
    <row r="770" spans="1:11">
      <c r="A770" s="688" t="s">
        <v>2496</v>
      </c>
      <c r="B770" s="692" t="s">
        <v>4060</v>
      </c>
      <c r="C770" s="691">
        <v>65.099999999999994</v>
      </c>
      <c r="D770" s="691">
        <v>63.9</v>
      </c>
      <c r="E770" s="691">
        <v>63.6</v>
      </c>
      <c r="F770" s="691">
        <v>64.400000000000006</v>
      </c>
      <c r="G770" s="691">
        <v>64.7</v>
      </c>
      <c r="H770" s="691">
        <v>64.8</v>
      </c>
      <c r="I770" s="692" t="s">
        <v>4060</v>
      </c>
      <c r="J770" s="692" t="s">
        <v>4060</v>
      </c>
      <c r="K770" s="691">
        <v>64.400000000000006</v>
      </c>
    </row>
    <row r="771" spans="1:11">
      <c r="A771" s="688" t="s">
        <v>2269</v>
      </c>
      <c r="B771" s="689">
        <v>68.8</v>
      </c>
      <c r="C771" s="693">
        <v>69</v>
      </c>
      <c r="D771" s="689">
        <v>68.7</v>
      </c>
      <c r="E771" s="689">
        <v>69.400000000000006</v>
      </c>
      <c r="F771" s="689">
        <v>69.3</v>
      </c>
      <c r="G771" s="689">
        <v>69.7</v>
      </c>
      <c r="H771" s="693">
        <v>70</v>
      </c>
      <c r="I771" s="689">
        <v>68.2</v>
      </c>
      <c r="J771" s="689">
        <v>66.3</v>
      </c>
      <c r="K771" s="689">
        <v>69.7</v>
      </c>
    </row>
    <row r="772" spans="1:11">
      <c r="A772" s="688" t="s">
        <v>2349</v>
      </c>
      <c r="B772" s="691">
        <v>65.8</v>
      </c>
      <c r="C772" s="691">
        <v>65.900000000000006</v>
      </c>
      <c r="D772" s="691">
        <v>65.8</v>
      </c>
      <c r="E772" s="691">
        <v>66.2</v>
      </c>
      <c r="F772" s="691">
        <v>66.099999999999994</v>
      </c>
      <c r="G772" s="691">
        <v>66.400000000000006</v>
      </c>
      <c r="H772" s="691">
        <v>66.5</v>
      </c>
      <c r="I772" s="691">
        <v>64.900000000000006</v>
      </c>
      <c r="J772" s="691">
        <v>63.2</v>
      </c>
      <c r="K772" s="691">
        <v>65.7</v>
      </c>
    </row>
    <row r="773" spans="1:11">
      <c r="A773" s="688" t="s">
        <v>2355</v>
      </c>
      <c r="B773" s="689">
        <v>69.400000000000006</v>
      </c>
      <c r="C773" s="689">
        <v>69.3</v>
      </c>
      <c r="D773" s="689">
        <v>69.3</v>
      </c>
      <c r="E773" s="689">
        <v>69.2</v>
      </c>
      <c r="F773" s="689">
        <v>69.5</v>
      </c>
      <c r="G773" s="689">
        <v>69.900000000000006</v>
      </c>
      <c r="H773" s="693">
        <v>70</v>
      </c>
      <c r="I773" s="690" t="s">
        <v>4060</v>
      </c>
      <c r="J773" s="690" t="s">
        <v>4060</v>
      </c>
      <c r="K773" s="690" t="s">
        <v>4060</v>
      </c>
    </row>
    <row r="774" spans="1:11">
      <c r="A774" s="688" t="s">
        <v>2357</v>
      </c>
      <c r="B774" s="692" t="s">
        <v>4060</v>
      </c>
      <c r="C774" s="691">
        <v>62.5</v>
      </c>
      <c r="D774" s="691">
        <v>63.2</v>
      </c>
      <c r="E774" s="691">
        <v>63.6</v>
      </c>
      <c r="F774" s="691">
        <v>63.9</v>
      </c>
      <c r="G774" s="691">
        <v>63.8</v>
      </c>
      <c r="H774" s="691">
        <v>64.099999999999994</v>
      </c>
      <c r="I774" s="692" t="s">
        <v>4060</v>
      </c>
      <c r="J774" s="692" t="s">
        <v>4060</v>
      </c>
      <c r="K774" s="692" t="s">
        <v>4060</v>
      </c>
    </row>
    <row r="775" spans="1:11">
      <c r="A775" s="688" t="s">
        <v>4070</v>
      </c>
      <c r="B775" s="690" t="s">
        <v>4060</v>
      </c>
      <c r="C775" s="690" t="s">
        <v>4060</v>
      </c>
      <c r="D775" s="690" t="s">
        <v>4060</v>
      </c>
      <c r="E775" s="689">
        <v>69.2</v>
      </c>
      <c r="F775" s="690" t="s">
        <v>4060</v>
      </c>
      <c r="G775" s="690" t="s">
        <v>4060</v>
      </c>
      <c r="H775" s="690" t="s">
        <v>4060</v>
      </c>
      <c r="I775" s="690" t="s">
        <v>4060</v>
      </c>
      <c r="J775" s="690" t="s">
        <v>4060</v>
      </c>
      <c r="K775" s="690" t="s">
        <v>4060</v>
      </c>
    </row>
    <row r="776" spans="1:11">
      <c r="A776" s="688" t="s">
        <v>2491</v>
      </c>
      <c r="B776" s="691">
        <v>63.1</v>
      </c>
      <c r="C776" s="691">
        <v>63.7</v>
      </c>
      <c r="D776" s="691">
        <v>64.3</v>
      </c>
      <c r="E776" s="691">
        <v>64.599999999999994</v>
      </c>
      <c r="F776" s="691">
        <v>64.8</v>
      </c>
      <c r="G776" s="691">
        <v>64.8</v>
      </c>
      <c r="H776" s="692" t="s">
        <v>4060</v>
      </c>
      <c r="I776" s="692" t="s">
        <v>4060</v>
      </c>
      <c r="J776" s="692" t="s">
        <v>4060</v>
      </c>
      <c r="K776" s="692" t="s">
        <v>4060</v>
      </c>
    </row>
    <row r="777" spans="1:11">
      <c r="A777" s="688" t="s">
        <v>2343</v>
      </c>
      <c r="B777" s="690" t="s">
        <v>4060</v>
      </c>
      <c r="C777" s="690" t="s">
        <v>4060</v>
      </c>
      <c r="D777" s="690" t="s">
        <v>4060</v>
      </c>
      <c r="E777" s="690" t="s">
        <v>4060</v>
      </c>
      <c r="F777" s="690" t="s">
        <v>4060</v>
      </c>
      <c r="G777" s="690" t="s">
        <v>4060</v>
      </c>
      <c r="H777" s="690" t="s">
        <v>4060</v>
      </c>
      <c r="I777" s="690" t="s">
        <v>4060</v>
      </c>
      <c r="J777" s="690" t="s">
        <v>4060</v>
      </c>
      <c r="K777" s="690" t="s">
        <v>4060</v>
      </c>
    </row>
    <row r="778" spans="1:11">
      <c r="A778" s="688" t="s">
        <v>4071</v>
      </c>
      <c r="B778" s="692" t="s">
        <v>4060</v>
      </c>
      <c r="C778" s="692" t="s">
        <v>4060</v>
      </c>
      <c r="D778" s="692" t="s">
        <v>4060</v>
      </c>
      <c r="E778" s="692" t="s">
        <v>4060</v>
      </c>
      <c r="F778" s="692" t="s">
        <v>4060</v>
      </c>
      <c r="G778" s="692" t="s">
        <v>4060</v>
      </c>
      <c r="H778" s="692" t="s">
        <v>4060</v>
      </c>
      <c r="I778" s="692" t="s">
        <v>4060</v>
      </c>
      <c r="J778" s="692" t="s">
        <v>4060</v>
      </c>
      <c r="K778" s="692" t="s">
        <v>4060</v>
      </c>
    </row>
    <row r="779" spans="1:11">
      <c r="A779" s="688" t="s">
        <v>2489</v>
      </c>
      <c r="B779" s="690" t="s">
        <v>4060</v>
      </c>
      <c r="C779" s="690" t="s">
        <v>4060</v>
      </c>
      <c r="D779" s="689">
        <v>65.900000000000006</v>
      </c>
      <c r="E779" s="689">
        <v>65.900000000000006</v>
      </c>
      <c r="F779" s="689">
        <v>66.599999999999994</v>
      </c>
      <c r="G779" s="689">
        <v>67.400000000000006</v>
      </c>
      <c r="H779" s="689">
        <v>67.2</v>
      </c>
      <c r="I779" s="690" t="s">
        <v>4060</v>
      </c>
      <c r="J779" s="690" t="s">
        <v>4060</v>
      </c>
      <c r="K779" s="690" t="s">
        <v>4060</v>
      </c>
    </row>
    <row r="780" spans="1:11">
      <c r="A780" s="688" t="s">
        <v>2490</v>
      </c>
      <c r="B780" s="691">
        <v>65.7</v>
      </c>
      <c r="C780" s="691">
        <v>65.8</v>
      </c>
      <c r="D780" s="691">
        <v>66.400000000000006</v>
      </c>
      <c r="E780" s="692" t="s">
        <v>4060</v>
      </c>
      <c r="F780" s="691">
        <v>66.7</v>
      </c>
      <c r="G780" s="615">
        <v>67</v>
      </c>
      <c r="H780" s="691">
        <v>67.7</v>
      </c>
      <c r="I780" s="692" t="s">
        <v>4060</v>
      </c>
      <c r="J780" s="692" t="s">
        <v>4060</v>
      </c>
      <c r="K780" s="692" t="s">
        <v>4060</v>
      </c>
    </row>
    <row r="782" spans="1:11">
      <c r="A782" s="683" t="s">
        <v>4233</v>
      </c>
    </row>
    <row r="783" spans="1:11">
      <c r="A783" s="683" t="s">
        <v>4060</v>
      </c>
      <c r="B783" s="682" t="s">
        <v>4234</v>
      </c>
    </row>
    <row r="785" spans="1:11">
      <c r="A785" s="682" t="s">
        <v>4209</v>
      </c>
    </row>
    <row r="786" spans="1:11">
      <c r="A786" s="682" t="s">
        <v>4210</v>
      </c>
      <c r="B786" s="683" t="s">
        <v>4211</v>
      </c>
    </row>
    <row r="787" spans="1:11">
      <c r="A787" s="682" t="s">
        <v>4212</v>
      </c>
      <c r="B787" s="682" t="s">
        <v>4213</v>
      </c>
    </row>
    <row r="789" spans="1:11">
      <c r="A789" s="683" t="s">
        <v>4214</v>
      </c>
      <c r="C789" s="682" t="s">
        <v>4215</v>
      </c>
    </row>
    <row r="790" spans="1:11">
      <c r="A790" s="683" t="s">
        <v>4216</v>
      </c>
      <c r="C790" s="682" t="s">
        <v>2967</v>
      </c>
    </row>
    <row r="791" spans="1:11">
      <c r="A791" s="683" t="s">
        <v>3893</v>
      </c>
      <c r="C791" s="682" t="s">
        <v>4217</v>
      </c>
    </row>
    <row r="792" spans="1:11">
      <c r="A792" s="683" t="s">
        <v>4218</v>
      </c>
      <c r="C792" s="682" t="s">
        <v>4245</v>
      </c>
    </row>
    <row r="794" spans="1:11">
      <c r="A794" s="684" t="s">
        <v>4220</v>
      </c>
      <c r="B794" s="685" t="s">
        <v>4221</v>
      </c>
      <c r="C794" s="685" t="s">
        <v>4222</v>
      </c>
      <c r="D794" s="685" t="s">
        <v>4223</v>
      </c>
      <c r="E794" s="685" t="s">
        <v>4224</v>
      </c>
      <c r="F794" s="685" t="s">
        <v>4225</v>
      </c>
      <c r="G794" s="685" t="s">
        <v>4226</v>
      </c>
      <c r="H794" s="685" t="s">
        <v>4227</v>
      </c>
      <c r="I794" s="685" t="s">
        <v>4228</v>
      </c>
      <c r="J794" s="685" t="s">
        <v>4229</v>
      </c>
      <c r="K794" s="685" t="s">
        <v>4230</v>
      </c>
    </row>
    <row r="795" spans="1:11">
      <c r="A795" s="686" t="s">
        <v>4231</v>
      </c>
      <c r="B795" s="687" t="s">
        <v>4232</v>
      </c>
      <c r="C795" s="687" t="s">
        <v>4232</v>
      </c>
      <c r="D795" s="687" t="s">
        <v>4232</v>
      </c>
      <c r="E795" s="687" t="s">
        <v>4232</v>
      </c>
      <c r="F795" s="687" t="s">
        <v>4232</v>
      </c>
      <c r="G795" s="687" t="s">
        <v>4232</v>
      </c>
      <c r="H795" s="687" t="s">
        <v>4232</v>
      </c>
      <c r="I795" s="687" t="s">
        <v>4232</v>
      </c>
      <c r="J795" s="687" t="s">
        <v>4232</v>
      </c>
      <c r="K795" s="687" t="s">
        <v>4232</v>
      </c>
    </row>
    <row r="796" spans="1:11">
      <c r="A796" s="688" t="s">
        <v>4064</v>
      </c>
      <c r="B796" s="691">
        <v>69.900000000000006</v>
      </c>
      <c r="C796" s="615">
        <v>70</v>
      </c>
      <c r="D796" s="691">
        <v>69.900000000000006</v>
      </c>
      <c r="E796" s="691">
        <v>70.099999999999994</v>
      </c>
      <c r="F796" s="691">
        <v>70.099999999999994</v>
      </c>
      <c r="G796" s="691">
        <v>70.2</v>
      </c>
      <c r="H796" s="691">
        <v>70.400000000000006</v>
      </c>
      <c r="I796" s="691">
        <v>69.599999999999994</v>
      </c>
      <c r="J796" s="691">
        <v>69.3</v>
      </c>
      <c r="K796" s="691">
        <v>69.900000000000006</v>
      </c>
    </row>
    <row r="797" spans="1:11">
      <c r="A797" s="688" t="s">
        <v>4065</v>
      </c>
      <c r="B797" s="689">
        <v>69.900000000000006</v>
      </c>
      <c r="C797" s="689">
        <v>70.3</v>
      </c>
      <c r="D797" s="693">
        <v>70</v>
      </c>
      <c r="E797" s="689">
        <v>70.3</v>
      </c>
      <c r="F797" s="689">
        <v>70.3</v>
      </c>
      <c r="G797" s="689">
        <v>70.400000000000006</v>
      </c>
      <c r="H797" s="690" t="s">
        <v>4060</v>
      </c>
      <c r="I797" s="690" t="s">
        <v>4060</v>
      </c>
      <c r="J797" s="690" t="s">
        <v>4060</v>
      </c>
      <c r="K797" s="690" t="s">
        <v>4060</v>
      </c>
    </row>
    <row r="798" spans="1:11">
      <c r="A798" s="688" t="s">
        <v>4063</v>
      </c>
      <c r="B798" s="615">
        <v>70</v>
      </c>
      <c r="C798" s="691">
        <v>70.3</v>
      </c>
      <c r="D798" s="615">
        <v>70</v>
      </c>
      <c r="E798" s="691">
        <v>70.400000000000006</v>
      </c>
      <c r="F798" s="691">
        <v>70.3</v>
      </c>
      <c r="G798" s="691">
        <v>70.400000000000006</v>
      </c>
      <c r="H798" s="692" t="s">
        <v>4060</v>
      </c>
      <c r="I798" s="692" t="s">
        <v>4060</v>
      </c>
      <c r="J798" s="692" t="s">
        <v>4060</v>
      </c>
      <c r="K798" s="692" t="s">
        <v>4060</v>
      </c>
    </row>
    <row r="799" spans="1:11">
      <c r="A799" s="688" t="s">
        <v>4069</v>
      </c>
      <c r="B799" s="690" t="s">
        <v>4060</v>
      </c>
      <c r="C799" s="693">
        <v>71</v>
      </c>
      <c r="D799" s="689">
        <v>70.7</v>
      </c>
      <c r="E799" s="689">
        <v>71.099999999999994</v>
      </c>
      <c r="F799" s="689">
        <v>71.099999999999994</v>
      </c>
      <c r="G799" s="689">
        <v>71.2</v>
      </c>
      <c r="H799" s="689">
        <v>71.5</v>
      </c>
      <c r="I799" s="689">
        <v>70.8</v>
      </c>
      <c r="J799" s="689">
        <v>70.8</v>
      </c>
      <c r="K799" s="689">
        <v>70.900000000000006</v>
      </c>
    </row>
    <row r="800" spans="1:11">
      <c r="A800" s="688" t="s">
        <v>4068</v>
      </c>
      <c r="B800" s="691">
        <v>70.900000000000006</v>
      </c>
      <c r="C800" s="692" t="s">
        <v>4060</v>
      </c>
      <c r="D800" s="692" t="s">
        <v>4060</v>
      </c>
      <c r="E800" s="692" t="s">
        <v>4060</v>
      </c>
      <c r="F800" s="692" t="s">
        <v>4060</v>
      </c>
      <c r="G800" s="692" t="s">
        <v>4060</v>
      </c>
      <c r="H800" s="692" t="s">
        <v>4060</v>
      </c>
      <c r="I800" s="692" t="s">
        <v>4060</v>
      </c>
      <c r="J800" s="692" t="s">
        <v>4060</v>
      </c>
      <c r="K800" s="692" t="s">
        <v>4060</v>
      </c>
    </row>
    <row r="801" spans="1:11">
      <c r="A801" s="688" t="s">
        <v>0</v>
      </c>
      <c r="B801" s="689">
        <v>70.099999999999994</v>
      </c>
      <c r="C801" s="689">
        <v>70.400000000000006</v>
      </c>
      <c r="D801" s="689">
        <v>70.3</v>
      </c>
      <c r="E801" s="689">
        <v>70.599999999999994</v>
      </c>
      <c r="F801" s="689">
        <v>70.8</v>
      </c>
      <c r="G801" s="689">
        <v>70.900000000000006</v>
      </c>
      <c r="H801" s="689">
        <v>71.2</v>
      </c>
      <c r="I801" s="689">
        <v>70.099999999999994</v>
      </c>
      <c r="J801" s="693">
        <v>71</v>
      </c>
      <c r="K801" s="693">
        <v>71</v>
      </c>
    </row>
    <row r="802" spans="1:11">
      <c r="A802" s="688" t="s">
        <v>1</v>
      </c>
      <c r="B802" s="691">
        <v>64.7</v>
      </c>
      <c r="C802" s="691">
        <v>64.099999999999994</v>
      </c>
      <c r="D802" s="691">
        <v>64.2</v>
      </c>
      <c r="E802" s="691">
        <v>64.3</v>
      </c>
      <c r="F802" s="691">
        <v>64.3</v>
      </c>
      <c r="G802" s="691">
        <v>64.400000000000006</v>
      </c>
      <c r="H802" s="691">
        <v>64.400000000000006</v>
      </c>
      <c r="I802" s="691">
        <v>62.8</v>
      </c>
      <c r="J802" s="691">
        <v>60.7</v>
      </c>
      <c r="K802" s="691">
        <v>63.6</v>
      </c>
    </row>
    <row r="803" spans="1:11">
      <c r="A803" s="688" t="s">
        <v>2240</v>
      </c>
      <c r="B803" s="689">
        <v>67.599999999999994</v>
      </c>
      <c r="C803" s="693">
        <v>68</v>
      </c>
      <c r="D803" s="689">
        <v>67.900000000000006</v>
      </c>
      <c r="E803" s="689">
        <v>68.3</v>
      </c>
      <c r="F803" s="689">
        <v>68.3</v>
      </c>
      <c r="G803" s="689">
        <v>68.3</v>
      </c>
      <c r="H803" s="689">
        <v>68.5</v>
      </c>
      <c r="I803" s="689">
        <v>67.5</v>
      </c>
      <c r="J803" s="689">
        <v>66.5</v>
      </c>
      <c r="K803" s="689">
        <v>68.3</v>
      </c>
    </row>
    <row r="804" spans="1:11">
      <c r="A804" s="688" t="s">
        <v>2</v>
      </c>
      <c r="B804" s="691">
        <v>69.7</v>
      </c>
      <c r="C804" s="615">
        <v>70</v>
      </c>
      <c r="D804" s="691">
        <v>70.099999999999994</v>
      </c>
      <c r="E804" s="691">
        <v>70.2</v>
      </c>
      <c r="F804" s="691">
        <v>70.5</v>
      </c>
      <c r="G804" s="691">
        <v>70.3</v>
      </c>
      <c r="H804" s="691">
        <v>70.7</v>
      </c>
      <c r="I804" s="691">
        <v>70.900000000000006</v>
      </c>
      <c r="J804" s="691">
        <v>70.8</v>
      </c>
      <c r="K804" s="691">
        <v>70.599999999999994</v>
      </c>
    </row>
    <row r="805" spans="1:11">
      <c r="A805" s="688" t="s">
        <v>3</v>
      </c>
      <c r="B805" s="693">
        <v>70</v>
      </c>
      <c r="C805" s="689">
        <v>70.3</v>
      </c>
      <c r="D805" s="689">
        <v>69.900000000000006</v>
      </c>
      <c r="E805" s="689">
        <v>70.2</v>
      </c>
      <c r="F805" s="689">
        <v>70.3</v>
      </c>
      <c r="G805" s="689">
        <v>70.2</v>
      </c>
      <c r="H805" s="689">
        <v>70.5</v>
      </c>
      <c r="I805" s="689">
        <v>70.3</v>
      </c>
      <c r="J805" s="693">
        <v>70</v>
      </c>
      <c r="K805" s="689">
        <v>69.8</v>
      </c>
    </row>
    <row r="806" spans="1:11">
      <c r="A806" s="688" t="s">
        <v>4061</v>
      </c>
      <c r="B806" s="615">
        <v>70</v>
      </c>
      <c r="C806" s="691">
        <v>70.3</v>
      </c>
      <c r="D806" s="691">
        <v>69.900000000000006</v>
      </c>
      <c r="E806" s="691">
        <v>70.2</v>
      </c>
      <c r="F806" s="691">
        <v>70.3</v>
      </c>
      <c r="G806" s="691">
        <v>70.2</v>
      </c>
      <c r="H806" s="691">
        <v>70.5</v>
      </c>
      <c r="I806" s="691">
        <v>70.3</v>
      </c>
      <c r="J806" s="615">
        <v>70</v>
      </c>
      <c r="K806" s="691">
        <v>69.8</v>
      </c>
    </row>
    <row r="807" spans="1:11">
      <c r="A807" s="688" t="s">
        <v>4</v>
      </c>
      <c r="B807" s="689">
        <v>66.8</v>
      </c>
      <c r="C807" s="689">
        <v>66.5</v>
      </c>
      <c r="D807" s="693">
        <v>67</v>
      </c>
      <c r="E807" s="693">
        <v>67</v>
      </c>
      <c r="F807" s="689">
        <v>67.5</v>
      </c>
      <c r="G807" s="689">
        <v>67.599999999999994</v>
      </c>
      <c r="H807" s="689">
        <v>68.099999999999994</v>
      </c>
      <c r="I807" s="693">
        <v>68</v>
      </c>
      <c r="J807" s="689">
        <v>66.400000000000006</v>
      </c>
      <c r="K807" s="689">
        <v>67.3</v>
      </c>
    </row>
    <row r="808" spans="1:11">
      <c r="A808" s="688" t="s">
        <v>8</v>
      </c>
      <c r="B808" s="691">
        <v>70.400000000000006</v>
      </c>
      <c r="C808" s="691">
        <v>70.599999999999994</v>
      </c>
      <c r="D808" s="691">
        <v>70.7</v>
      </c>
      <c r="E808" s="691">
        <v>70.900000000000006</v>
      </c>
      <c r="F808" s="691">
        <v>71.3</v>
      </c>
      <c r="G808" s="691">
        <v>71.3</v>
      </c>
      <c r="H808" s="691">
        <v>71.8</v>
      </c>
      <c r="I808" s="691">
        <v>71.599999999999994</v>
      </c>
      <c r="J808" s="691">
        <v>71.400000000000006</v>
      </c>
      <c r="K808" s="691">
        <v>71.7</v>
      </c>
    </row>
    <row r="809" spans="1:11">
      <c r="A809" s="688" t="s">
        <v>7</v>
      </c>
      <c r="B809" s="689">
        <v>70.7</v>
      </c>
      <c r="C809" s="689">
        <v>70.400000000000006</v>
      </c>
      <c r="D809" s="689">
        <v>70.099999999999994</v>
      </c>
      <c r="E809" s="689">
        <v>70.5</v>
      </c>
      <c r="F809" s="689">
        <v>70.400000000000006</v>
      </c>
      <c r="G809" s="689">
        <v>70.900000000000006</v>
      </c>
      <c r="H809" s="689">
        <v>70.8</v>
      </c>
      <c r="I809" s="689">
        <v>70.5</v>
      </c>
      <c r="J809" s="689">
        <v>69.400000000000006</v>
      </c>
      <c r="K809" s="689">
        <v>70.099999999999994</v>
      </c>
    </row>
    <row r="810" spans="1:11">
      <c r="A810" s="688" t="s">
        <v>27</v>
      </c>
      <c r="B810" s="691">
        <v>72.5</v>
      </c>
      <c r="C810" s="691">
        <v>72.2</v>
      </c>
      <c r="D810" s="691">
        <v>71.900000000000006</v>
      </c>
      <c r="E810" s="691">
        <v>72.400000000000006</v>
      </c>
      <c r="F810" s="691">
        <v>72.3</v>
      </c>
      <c r="G810" s="691">
        <v>72.400000000000006</v>
      </c>
      <c r="H810" s="691">
        <v>72.8</v>
      </c>
      <c r="I810" s="691">
        <v>71.5</v>
      </c>
      <c r="J810" s="691">
        <v>72.3</v>
      </c>
      <c r="K810" s="691">
        <v>72.400000000000006</v>
      </c>
    </row>
    <row r="811" spans="1:11">
      <c r="A811" s="688" t="s">
        <v>6</v>
      </c>
      <c r="B811" s="689">
        <v>71.8</v>
      </c>
      <c r="C811" s="689">
        <v>71.8</v>
      </c>
      <c r="D811" s="689">
        <v>71.5</v>
      </c>
      <c r="E811" s="689">
        <v>71.8</v>
      </c>
      <c r="F811" s="689">
        <v>71.900000000000006</v>
      </c>
      <c r="G811" s="693">
        <v>72</v>
      </c>
      <c r="H811" s="689">
        <v>72.099999999999994</v>
      </c>
      <c r="I811" s="689">
        <v>71.5</v>
      </c>
      <c r="J811" s="689">
        <v>71.599999999999994</v>
      </c>
      <c r="K811" s="689">
        <v>71.7</v>
      </c>
    </row>
    <row r="812" spans="1:11">
      <c r="A812" s="688" t="s">
        <v>4058</v>
      </c>
      <c r="B812" s="692" t="s">
        <v>4060</v>
      </c>
      <c r="C812" s="692" t="s">
        <v>4060</v>
      </c>
      <c r="D812" s="692" t="s">
        <v>4060</v>
      </c>
      <c r="E812" s="692" t="s">
        <v>4060</v>
      </c>
      <c r="F812" s="692" t="s">
        <v>4060</v>
      </c>
      <c r="G812" s="692" t="s">
        <v>4060</v>
      </c>
      <c r="H812" s="692" t="s">
        <v>4060</v>
      </c>
      <c r="I812" s="692" t="s">
        <v>4060</v>
      </c>
      <c r="J812" s="692" t="s">
        <v>4060</v>
      </c>
      <c r="K812" s="692" t="s">
        <v>4060</v>
      </c>
    </row>
    <row r="813" spans="1:11">
      <c r="A813" s="688" t="s">
        <v>11</v>
      </c>
      <c r="B813" s="689">
        <v>67.2</v>
      </c>
      <c r="C813" s="689">
        <v>67.2</v>
      </c>
      <c r="D813" s="689">
        <v>66.8</v>
      </c>
      <c r="E813" s="689">
        <v>67.400000000000006</v>
      </c>
      <c r="F813" s="689">
        <v>67.3</v>
      </c>
      <c r="G813" s="689">
        <v>67.400000000000006</v>
      </c>
      <c r="H813" s="689">
        <v>67.7</v>
      </c>
      <c r="I813" s="693">
        <v>67</v>
      </c>
      <c r="J813" s="693">
        <v>66</v>
      </c>
      <c r="K813" s="689">
        <v>67.099999999999994</v>
      </c>
    </row>
    <row r="814" spans="1:11">
      <c r="A814" s="688" t="s">
        <v>10</v>
      </c>
      <c r="B814" s="691">
        <v>72.2</v>
      </c>
      <c r="C814" s="691">
        <v>72.099999999999994</v>
      </c>
      <c r="D814" s="691">
        <v>71.7</v>
      </c>
      <c r="E814" s="691">
        <v>72.3</v>
      </c>
      <c r="F814" s="691">
        <v>72.099999999999994</v>
      </c>
      <c r="G814" s="691">
        <v>72.400000000000006</v>
      </c>
      <c r="H814" s="691">
        <v>72.7</v>
      </c>
      <c r="I814" s="691">
        <v>71.5</v>
      </c>
      <c r="J814" s="691">
        <v>71.900000000000006</v>
      </c>
      <c r="K814" s="615">
        <v>72</v>
      </c>
    </row>
    <row r="815" spans="1:11">
      <c r="A815" s="688" t="s">
        <v>30</v>
      </c>
      <c r="B815" s="689">
        <v>71.7</v>
      </c>
      <c r="C815" s="689">
        <v>71.5</v>
      </c>
      <c r="D815" s="689">
        <v>71.2</v>
      </c>
      <c r="E815" s="689">
        <v>72.099999999999994</v>
      </c>
      <c r="F815" s="689">
        <v>71.7</v>
      </c>
      <c r="G815" s="689">
        <v>72.2</v>
      </c>
      <c r="H815" s="689">
        <v>71.900000000000006</v>
      </c>
      <c r="I815" s="689">
        <v>71.900000000000006</v>
      </c>
      <c r="J815" s="689">
        <v>71.099999999999994</v>
      </c>
      <c r="K815" s="689">
        <v>71.5</v>
      </c>
    </row>
    <row r="816" spans="1:11">
      <c r="A816" s="688" t="s">
        <v>12</v>
      </c>
      <c r="B816" s="691">
        <v>63.8</v>
      </c>
      <c r="C816" s="691">
        <v>63.7</v>
      </c>
      <c r="D816" s="691">
        <v>64.099999999999994</v>
      </c>
      <c r="E816" s="691">
        <v>64.2</v>
      </c>
      <c r="F816" s="691">
        <v>64.2</v>
      </c>
      <c r="G816" s="691">
        <v>64.3</v>
      </c>
      <c r="H816" s="615">
        <v>65</v>
      </c>
      <c r="I816" s="691">
        <v>64.8</v>
      </c>
      <c r="J816" s="691">
        <v>62.4</v>
      </c>
      <c r="K816" s="691">
        <v>63.8</v>
      </c>
    </row>
    <row r="817" spans="1:11">
      <c r="A817" s="688" t="s">
        <v>14</v>
      </c>
      <c r="B817" s="689">
        <v>63.5</v>
      </c>
      <c r="C817" s="693">
        <v>64</v>
      </c>
      <c r="D817" s="689">
        <v>63.9</v>
      </c>
      <c r="E817" s="689">
        <v>64.2</v>
      </c>
      <c r="F817" s="693">
        <v>65</v>
      </c>
      <c r="G817" s="689">
        <v>65.2</v>
      </c>
      <c r="H817" s="689">
        <v>65.7</v>
      </c>
      <c r="I817" s="689">
        <v>64.5</v>
      </c>
      <c r="J817" s="689">
        <v>63.6</v>
      </c>
      <c r="K817" s="689">
        <v>65.099999999999994</v>
      </c>
    </row>
    <row r="818" spans="1:11">
      <c r="A818" s="688" t="s">
        <v>15</v>
      </c>
      <c r="B818" s="691">
        <v>71.3</v>
      </c>
      <c r="C818" s="691">
        <v>71.2</v>
      </c>
      <c r="D818" s="691">
        <v>71.3</v>
      </c>
      <c r="E818" s="691">
        <v>71.7</v>
      </c>
      <c r="F818" s="691">
        <v>71.2</v>
      </c>
      <c r="G818" s="691">
        <v>71.5</v>
      </c>
      <c r="H818" s="691">
        <v>71.900000000000006</v>
      </c>
      <c r="I818" s="691">
        <v>71.5</v>
      </c>
      <c r="J818" s="691">
        <v>71.8</v>
      </c>
      <c r="K818" s="691">
        <v>72.2</v>
      </c>
    </row>
    <row r="819" spans="1:11">
      <c r="A819" s="688" t="s">
        <v>29</v>
      </c>
      <c r="B819" s="689">
        <v>65.3</v>
      </c>
      <c r="C819" s="689">
        <v>65.3</v>
      </c>
      <c r="D819" s="693">
        <v>65</v>
      </c>
      <c r="E819" s="689">
        <v>65.5</v>
      </c>
      <c r="F819" s="689">
        <v>65.2</v>
      </c>
      <c r="G819" s="689">
        <v>65.400000000000006</v>
      </c>
      <c r="H819" s="689">
        <v>65.7</v>
      </c>
      <c r="I819" s="689">
        <v>64.900000000000006</v>
      </c>
      <c r="J819" s="689">
        <v>63.4</v>
      </c>
      <c r="K819" s="689">
        <v>65.3</v>
      </c>
    </row>
    <row r="820" spans="1:11">
      <c r="A820" s="688" t="s">
        <v>16</v>
      </c>
      <c r="B820" s="691">
        <v>71.400000000000006</v>
      </c>
      <c r="C820" s="691">
        <v>71.2</v>
      </c>
      <c r="D820" s="691">
        <v>71.3</v>
      </c>
      <c r="E820" s="691">
        <v>71.8</v>
      </c>
      <c r="F820" s="691">
        <v>71.7</v>
      </c>
      <c r="G820" s="691">
        <v>71.599999999999994</v>
      </c>
      <c r="H820" s="691">
        <v>72.099999999999994</v>
      </c>
      <c r="I820" s="691">
        <v>71.3</v>
      </c>
      <c r="J820" s="691">
        <v>71.400000000000006</v>
      </c>
      <c r="K820" s="691">
        <v>71.599999999999994</v>
      </c>
    </row>
    <row r="821" spans="1:11">
      <c r="A821" s="688" t="s">
        <v>17</v>
      </c>
      <c r="B821" s="689">
        <v>70.8</v>
      </c>
      <c r="C821" s="693">
        <v>71</v>
      </c>
      <c r="D821" s="689">
        <v>70.8</v>
      </c>
      <c r="E821" s="689">
        <v>70.900000000000006</v>
      </c>
      <c r="F821" s="689">
        <v>71.099999999999994</v>
      </c>
      <c r="G821" s="689">
        <v>71.099999999999994</v>
      </c>
      <c r="H821" s="689">
        <v>71.400000000000006</v>
      </c>
      <c r="I821" s="689">
        <v>70.8</v>
      </c>
      <c r="J821" s="689">
        <v>70.7</v>
      </c>
      <c r="K821" s="693">
        <v>71</v>
      </c>
    </row>
    <row r="822" spans="1:11">
      <c r="A822" s="688" t="s">
        <v>19</v>
      </c>
      <c r="B822" s="691">
        <v>70.599999999999994</v>
      </c>
      <c r="C822" s="691">
        <v>70.7</v>
      </c>
      <c r="D822" s="691">
        <v>70.5</v>
      </c>
      <c r="E822" s="615">
        <v>71</v>
      </c>
      <c r="F822" s="615">
        <v>71</v>
      </c>
      <c r="G822" s="615">
        <v>71</v>
      </c>
      <c r="H822" s="691">
        <v>71.3</v>
      </c>
      <c r="I822" s="691">
        <v>70.7</v>
      </c>
      <c r="J822" s="691">
        <v>70.599999999999994</v>
      </c>
      <c r="K822" s="691">
        <v>70.7</v>
      </c>
    </row>
    <row r="823" spans="1:11">
      <c r="A823" s="688" t="s">
        <v>20</v>
      </c>
      <c r="B823" s="689">
        <v>66.599999999999994</v>
      </c>
      <c r="C823" s="693">
        <v>67</v>
      </c>
      <c r="D823" s="689">
        <v>66.8</v>
      </c>
      <c r="E823" s="689">
        <v>67.2</v>
      </c>
      <c r="F823" s="689">
        <v>67.099999999999994</v>
      </c>
      <c r="G823" s="689">
        <v>66.900000000000006</v>
      </c>
      <c r="H823" s="689">
        <v>67.3</v>
      </c>
      <c r="I823" s="689">
        <v>65.7</v>
      </c>
      <c r="J823" s="689">
        <v>64.8</v>
      </c>
      <c r="K823" s="689">
        <v>66.5</v>
      </c>
    </row>
    <row r="824" spans="1:11">
      <c r="A824" s="688" t="s">
        <v>21</v>
      </c>
      <c r="B824" s="691">
        <v>70.2</v>
      </c>
      <c r="C824" s="691">
        <v>70.599999999999994</v>
      </c>
      <c r="D824" s="691">
        <v>70.7</v>
      </c>
      <c r="E824" s="691">
        <v>70.7</v>
      </c>
      <c r="F824" s="691">
        <v>70.900000000000006</v>
      </c>
      <c r="G824" s="615">
        <v>71</v>
      </c>
      <c r="H824" s="691">
        <v>71.3</v>
      </c>
      <c r="I824" s="691">
        <v>70.599999999999994</v>
      </c>
      <c r="J824" s="691">
        <v>70.7</v>
      </c>
      <c r="K824" s="615">
        <v>71</v>
      </c>
    </row>
    <row r="825" spans="1:11">
      <c r="A825" s="688" t="s">
        <v>22</v>
      </c>
      <c r="B825" s="693">
        <v>65</v>
      </c>
      <c r="C825" s="689">
        <v>64.7</v>
      </c>
      <c r="D825" s="689">
        <v>64.599999999999994</v>
      </c>
      <c r="E825" s="689">
        <v>64.900000000000006</v>
      </c>
      <c r="F825" s="689">
        <v>64.900000000000006</v>
      </c>
      <c r="G825" s="689">
        <v>64.900000000000006</v>
      </c>
      <c r="H825" s="689">
        <v>65.099999999999994</v>
      </c>
      <c r="I825" s="689">
        <v>63.6</v>
      </c>
      <c r="J825" s="689">
        <v>62.3</v>
      </c>
      <c r="K825" s="689">
        <v>64.7</v>
      </c>
    </row>
    <row r="826" spans="1:11">
      <c r="A826" s="688" t="s">
        <v>26</v>
      </c>
      <c r="B826" s="691">
        <v>69.8</v>
      </c>
      <c r="C826" s="691">
        <v>70.099999999999994</v>
      </c>
      <c r="D826" s="691">
        <v>69.8</v>
      </c>
      <c r="E826" s="691">
        <v>70.2</v>
      </c>
      <c r="F826" s="691">
        <v>70.2</v>
      </c>
      <c r="G826" s="691">
        <v>70.400000000000006</v>
      </c>
      <c r="H826" s="691">
        <v>70.599999999999994</v>
      </c>
      <c r="I826" s="691">
        <v>69.8</v>
      </c>
      <c r="J826" s="691">
        <v>69.8</v>
      </c>
      <c r="K826" s="691">
        <v>70.400000000000006</v>
      </c>
    </row>
    <row r="827" spans="1:11">
      <c r="A827" s="688" t="s">
        <v>25</v>
      </c>
      <c r="B827" s="689">
        <v>66.2</v>
      </c>
      <c r="C827" s="689">
        <v>66.5</v>
      </c>
      <c r="D827" s="689">
        <v>66.2</v>
      </c>
      <c r="E827" s="689">
        <v>66.8</v>
      </c>
      <c r="F827" s="689">
        <v>66.7</v>
      </c>
      <c r="G827" s="689">
        <v>66.8</v>
      </c>
      <c r="H827" s="689">
        <v>67.3</v>
      </c>
      <c r="I827" s="689">
        <v>66.5</v>
      </c>
      <c r="J827" s="689">
        <v>64.099999999999994</v>
      </c>
      <c r="K827" s="689">
        <v>66.5</v>
      </c>
    </row>
    <row r="828" spans="1:11">
      <c r="A828" s="688" t="s">
        <v>5</v>
      </c>
      <c r="B828" s="691">
        <v>70.3</v>
      </c>
      <c r="C828" s="691">
        <v>70.3</v>
      </c>
      <c r="D828" s="691">
        <v>70.599999999999994</v>
      </c>
      <c r="E828" s="691">
        <v>70.5</v>
      </c>
      <c r="F828" s="691">
        <v>70.7</v>
      </c>
      <c r="G828" s="691">
        <v>70.900000000000006</v>
      </c>
      <c r="H828" s="691">
        <v>71.099999999999994</v>
      </c>
      <c r="I828" s="615">
        <v>71</v>
      </c>
      <c r="J828" s="615">
        <v>71</v>
      </c>
      <c r="K828" s="691">
        <v>70.400000000000006</v>
      </c>
    </row>
    <row r="829" spans="1:11">
      <c r="A829" s="688" t="s">
        <v>23</v>
      </c>
      <c r="B829" s="689">
        <v>71.3</v>
      </c>
      <c r="C829" s="689">
        <v>71.5</v>
      </c>
      <c r="D829" s="689">
        <v>71.5</v>
      </c>
      <c r="E829" s="689">
        <v>71.599999999999994</v>
      </c>
      <c r="F829" s="689">
        <v>71.7</v>
      </c>
      <c r="G829" s="689">
        <v>71.8</v>
      </c>
      <c r="H829" s="689">
        <v>72.3</v>
      </c>
      <c r="I829" s="689">
        <v>71.7</v>
      </c>
      <c r="J829" s="689">
        <v>72.2</v>
      </c>
      <c r="K829" s="689">
        <v>72.3</v>
      </c>
    </row>
    <row r="830" spans="1:11">
      <c r="A830" s="688" t="s">
        <v>4067</v>
      </c>
      <c r="B830" s="615">
        <v>70</v>
      </c>
      <c r="C830" s="691">
        <v>70.3</v>
      </c>
      <c r="D830" s="615">
        <v>70</v>
      </c>
      <c r="E830" s="691">
        <v>70.400000000000006</v>
      </c>
      <c r="F830" s="691">
        <v>70.3</v>
      </c>
      <c r="G830" s="691">
        <v>70.400000000000006</v>
      </c>
      <c r="H830" s="692" t="s">
        <v>4060</v>
      </c>
      <c r="I830" s="692" t="s">
        <v>4060</v>
      </c>
      <c r="J830" s="692" t="s">
        <v>4060</v>
      </c>
      <c r="K830" s="692" t="s">
        <v>4060</v>
      </c>
    </row>
    <row r="831" spans="1:11">
      <c r="A831" s="688" t="s">
        <v>4066</v>
      </c>
      <c r="B831" s="693">
        <v>70</v>
      </c>
      <c r="C831" s="689">
        <v>70.3</v>
      </c>
      <c r="D831" s="693">
        <v>70</v>
      </c>
      <c r="E831" s="689">
        <v>70.400000000000006</v>
      </c>
      <c r="F831" s="689">
        <v>70.400000000000006</v>
      </c>
      <c r="G831" s="689">
        <v>70.400000000000006</v>
      </c>
      <c r="H831" s="690" t="s">
        <v>4060</v>
      </c>
      <c r="I831" s="690" t="s">
        <v>4060</v>
      </c>
      <c r="J831" s="690" t="s">
        <v>4060</v>
      </c>
      <c r="K831" s="690" t="s">
        <v>4060</v>
      </c>
    </row>
    <row r="832" spans="1:11">
      <c r="A832" s="688" t="s">
        <v>4062</v>
      </c>
      <c r="B832" s="691">
        <v>71.8</v>
      </c>
      <c r="C832" s="691">
        <v>72.099999999999994</v>
      </c>
      <c r="D832" s="615">
        <v>72</v>
      </c>
      <c r="E832" s="691">
        <v>72.3</v>
      </c>
      <c r="F832" s="691">
        <v>72.400000000000006</v>
      </c>
      <c r="G832" s="691">
        <v>72.599999999999994</v>
      </c>
      <c r="H832" s="691">
        <v>72.8</v>
      </c>
      <c r="I832" s="691">
        <v>72.400000000000006</v>
      </c>
      <c r="J832" s="691">
        <v>72.8</v>
      </c>
      <c r="K832" s="691">
        <v>72.5</v>
      </c>
    </row>
    <row r="833" spans="1:11">
      <c r="A833" s="688" t="s">
        <v>9</v>
      </c>
      <c r="B833" s="689">
        <v>71.400000000000006</v>
      </c>
      <c r="C833" s="689">
        <v>71.900000000000006</v>
      </c>
      <c r="D833" s="689">
        <v>71.599999999999994</v>
      </c>
      <c r="E833" s="689">
        <v>71.3</v>
      </c>
      <c r="F833" s="689">
        <v>71.7</v>
      </c>
      <c r="G833" s="689">
        <v>71.900000000000006</v>
      </c>
      <c r="H833" s="689">
        <v>72.099999999999994</v>
      </c>
      <c r="I833" s="689">
        <v>72.2</v>
      </c>
      <c r="J833" s="689">
        <v>72.400000000000006</v>
      </c>
      <c r="K833" s="689">
        <v>71.400000000000006</v>
      </c>
    </row>
    <row r="834" spans="1:11">
      <c r="A834" s="688" t="s">
        <v>13</v>
      </c>
      <c r="B834" s="691">
        <v>71.900000000000006</v>
      </c>
      <c r="C834" s="691">
        <v>71.3</v>
      </c>
      <c r="D834" s="615">
        <v>72</v>
      </c>
      <c r="E834" s="691">
        <v>71.3</v>
      </c>
      <c r="F834" s="691">
        <v>72.3</v>
      </c>
      <c r="G834" s="615">
        <v>72</v>
      </c>
      <c r="H834" s="615">
        <v>73</v>
      </c>
      <c r="I834" s="691">
        <v>71.599999999999994</v>
      </c>
      <c r="J834" s="691">
        <v>73.099999999999994</v>
      </c>
      <c r="K834" s="691">
        <v>72.8</v>
      </c>
    </row>
    <row r="835" spans="1:11">
      <c r="A835" s="688" t="s">
        <v>18</v>
      </c>
      <c r="B835" s="689">
        <v>71.099999999999994</v>
      </c>
      <c r="C835" s="689">
        <v>71.400000000000006</v>
      </c>
      <c r="D835" s="689">
        <v>71.5</v>
      </c>
      <c r="E835" s="689">
        <v>71.599999999999994</v>
      </c>
      <c r="F835" s="689">
        <v>71.900000000000006</v>
      </c>
      <c r="G835" s="693">
        <v>72</v>
      </c>
      <c r="H835" s="689">
        <v>72.2</v>
      </c>
      <c r="I835" s="689">
        <v>72.400000000000006</v>
      </c>
      <c r="J835" s="689">
        <v>72.400000000000006</v>
      </c>
      <c r="K835" s="689">
        <v>71.8</v>
      </c>
    </row>
    <row r="836" spans="1:11">
      <c r="A836" s="688" t="s">
        <v>24</v>
      </c>
      <c r="B836" s="691">
        <v>72.3</v>
      </c>
      <c r="C836" s="691">
        <v>72.5</v>
      </c>
      <c r="D836" s="691">
        <v>72.3</v>
      </c>
      <c r="E836" s="691">
        <v>72.8</v>
      </c>
      <c r="F836" s="691">
        <v>72.8</v>
      </c>
      <c r="G836" s="615">
        <v>73</v>
      </c>
      <c r="H836" s="691">
        <v>73.099999999999994</v>
      </c>
      <c r="I836" s="691">
        <v>72.400000000000006</v>
      </c>
      <c r="J836" s="615">
        <v>73</v>
      </c>
      <c r="K836" s="691">
        <v>72.900000000000006</v>
      </c>
    </row>
    <row r="837" spans="1:11">
      <c r="A837" s="688" t="s">
        <v>4059</v>
      </c>
      <c r="B837" s="689">
        <v>70.5</v>
      </c>
      <c r="C837" s="689">
        <v>70.8</v>
      </c>
      <c r="D837" s="689">
        <v>70.400000000000006</v>
      </c>
      <c r="E837" s="689">
        <v>70.599999999999994</v>
      </c>
      <c r="F837" s="689">
        <v>70.7</v>
      </c>
      <c r="G837" s="689">
        <v>70.7</v>
      </c>
      <c r="H837" s="690" t="s">
        <v>4060</v>
      </c>
      <c r="I837" s="690" t="s">
        <v>4060</v>
      </c>
      <c r="J837" s="690" t="s">
        <v>4060</v>
      </c>
      <c r="K837" s="690" t="s">
        <v>4060</v>
      </c>
    </row>
    <row r="838" spans="1:11">
      <c r="A838" s="688" t="s">
        <v>2324</v>
      </c>
      <c r="B838" s="691">
        <v>65.900000000000006</v>
      </c>
      <c r="C838" s="615">
        <v>66</v>
      </c>
      <c r="D838" s="691">
        <v>65.8</v>
      </c>
      <c r="E838" s="691">
        <v>65.8</v>
      </c>
      <c r="F838" s="691">
        <v>65.8</v>
      </c>
      <c r="G838" s="691">
        <v>66.099999999999994</v>
      </c>
      <c r="H838" s="615">
        <v>66</v>
      </c>
      <c r="I838" s="691">
        <v>65.2</v>
      </c>
      <c r="J838" s="691">
        <v>62.9</v>
      </c>
      <c r="K838" s="692" t="s">
        <v>4060</v>
      </c>
    </row>
    <row r="839" spans="1:11">
      <c r="A839" s="688" t="s">
        <v>2322</v>
      </c>
      <c r="B839" s="690" t="s">
        <v>4060</v>
      </c>
      <c r="C839" s="690" t="s">
        <v>4060</v>
      </c>
      <c r="D839" s="690" t="s">
        <v>4060</v>
      </c>
      <c r="E839" s="690" t="s">
        <v>4060</v>
      </c>
      <c r="F839" s="690" t="s">
        <v>4060</v>
      </c>
      <c r="G839" s="690" t="s">
        <v>4060</v>
      </c>
      <c r="H839" s="690" t="s">
        <v>4060</v>
      </c>
      <c r="I839" s="690" t="s">
        <v>4060</v>
      </c>
      <c r="J839" s="690" t="s">
        <v>4060</v>
      </c>
      <c r="K839" s="690" t="s">
        <v>4060</v>
      </c>
    </row>
    <row r="840" spans="1:11">
      <c r="A840" s="688" t="s">
        <v>2328</v>
      </c>
      <c r="B840" s="691">
        <v>65.400000000000006</v>
      </c>
      <c r="C840" s="691">
        <v>65.400000000000006</v>
      </c>
      <c r="D840" s="691">
        <v>65.3</v>
      </c>
      <c r="E840" s="691">
        <v>65.5</v>
      </c>
      <c r="F840" s="691">
        <v>65.8</v>
      </c>
      <c r="G840" s="691">
        <v>66.2</v>
      </c>
      <c r="H840" s="691">
        <v>66.2</v>
      </c>
      <c r="I840" s="691">
        <v>63.9</v>
      </c>
      <c r="J840" s="691">
        <v>62.7</v>
      </c>
      <c r="K840" s="692" t="s">
        <v>4060</v>
      </c>
    </row>
    <row r="841" spans="1:11">
      <c r="A841" s="688" t="s">
        <v>2496</v>
      </c>
      <c r="B841" s="690" t="s">
        <v>4060</v>
      </c>
      <c r="C841" s="689">
        <v>64.099999999999994</v>
      </c>
      <c r="D841" s="689">
        <v>62.9</v>
      </c>
      <c r="E841" s="689">
        <v>62.6</v>
      </c>
      <c r="F841" s="689">
        <v>63.4</v>
      </c>
      <c r="G841" s="689">
        <v>63.7</v>
      </c>
      <c r="H841" s="689">
        <v>63.8</v>
      </c>
      <c r="I841" s="690" t="s">
        <v>4060</v>
      </c>
      <c r="J841" s="690" t="s">
        <v>4060</v>
      </c>
      <c r="K841" s="689">
        <v>63.4</v>
      </c>
    </row>
    <row r="842" spans="1:11">
      <c r="A842" s="688" t="s">
        <v>2269</v>
      </c>
      <c r="B842" s="691">
        <v>67.8</v>
      </c>
      <c r="C842" s="615">
        <v>68</v>
      </c>
      <c r="D842" s="691">
        <v>67.7</v>
      </c>
      <c r="E842" s="691">
        <v>68.400000000000006</v>
      </c>
      <c r="F842" s="691">
        <v>68.3</v>
      </c>
      <c r="G842" s="691">
        <v>68.7</v>
      </c>
      <c r="H842" s="615">
        <v>69</v>
      </c>
      <c r="I842" s="691">
        <v>67.2</v>
      </c>
      <c r="J842" s="691">
        <v>65.3</v>
      </c>
      <c r="K842" s="691">
        <v>68.7</v>
      </c>
    </row>
    <row r="843" spans="1:11">
      <c r="A843" s="688" t="s">
        <v>2349</v>
      </c>
      <c r="B843" s="689">
        <v>64.8</v>
      </c>
      <c r="C843" s="689">
        <v>64.900000000000006</v>
      </c>
      <c r="D843" s="689">
        <v>64.8</v>
      </c>
      <c r="E843" s="689">
        <v>65.3</v>
      </c>
      <c r="F843" s="689">
        <v>65.099999999999994</v>
      </c>
      <c r="G843" s="689">
        <v>65.400000000000006</v>
      </c>
      <c r="H843" s="689">
        <v>65.5</v>
      </c>
      <c r="I843" s="689">
        <v>63.9</v>
      </c>
      <c r="J843" s="689">
        <v>62.2</v>
      </c>
      <c r="K843" s="689">
        <v>64.7</v>
      </c>
    </row>
    <row r="844" spans="1:11">
      <c r="A844" s="688" t="s">
        <v>2355</v>
      </c>
      <c r="B844" s="691">
        <v>68.400000000000006</v>
      </c>
      <c r="C844" s="691">
        <v>68.3</v>
      </c>
      <c r="D844" s="691">
        <v>68.3</v>
      </c>
      <c r="E844" s="691">
        <v>68.2</v>
      </c>
      <c r="F844" s="691">
        <v>68.5</v>
      </c>
      <c r="G844" s="691">
        <v>68.900000000000006</v>
      </c>
      <c r="H844" s="615">
        <v>69</v>
      </c>
      <c r="I844" s="692" t="s">
        <v>4060</v>
      </c>
      <c r="J844" s="692" t="s">
        <v>4060</v>
      </c>
      <c r="K844" s="692" t="s">
        <v>4060</v>
      </c>
    </row>
    <row r="845" spans="1:11">
      <c r="A845" s="688" t="s">
        <v>2357</v>
      </c>
      <c r="B845" s="690" t="s">
        <v>4060</v>
      </c>
      <c r="C845" s="689">
        <v>61.5</v>
      </c>
      <c r="D845" s="689">
        <v>62.2</v>
      </c>
      <c r="E845" s="689">
        <v>62.6</v>
      </c>
      <c r="F845" s="693">
        <v>63</v>
      </c>
      <c r="G845" s="689">
        <v>62.8</v>
      </c>
      <c r="H845" s="689">
        <v>63.1</v>
      </c>
      <c r="I845" s="690" t="s">
        <v>4060</v>
      </c>
      <c r="J845" s="690" t="s">
        <v>4060</v>
      </c>
      <c r="K845" s="690" t="s">
        <v>4060</v>
      </c>
    </row>
    <row r="846" spans="1:11">
      <c r="A846" s="688" t="s">
        <v>4070</v>
      </c>
      <c r="B846" s="692" t="s">
        <v>4060</v>
      </c>
      <c r="C846" s="692" t="s">
        <v>4060</v>
      </c>
      <c r="D846" s="692" t="s">
        <v>4060</v>
      </c>
      <c r="E846" s="691">
        <v>68.2</v>
      </c>
      <c r="F846" s="692" t="s">
        <v>4060</v>
      </c>
      <c r="G846" s="692" t="s">
        <v>4060</v>
      </c>
      <c r="H846" s="692" t="s">
        <v>4060</v>
      </c>
      <c r="I846" s="692" t="s">
        <v>4060</v>
      </c>
      <c r="J846" s="692" t="s">
        <v>4060</v>
      </c>
      <c r="K846" s="692" t="s">
        <v>4060</v>
      </c>
    </row>
    <row r="847" spans="1:11">
      <c r="A847" s="688" t="s">
        <v>2491</v>
      </c>
      <c r="B847" s="689">
        <v>62.1</v>
      </c>
      <c r="C847" s="689">
        <v>62.7</v>
      </c>
      <c r="D847" s="689">
        <v>63.3</v>
      </c>
      <c r="E847" s="689">
        <v>63.6</v>
      </c>
      <c r="F847" s="689">
        <v>63.8</v>
      </c>
      <c r="G847" s="689">
        <v>63.8</v>
      </c>
      <c r="H847" s="690" t="s">
        <v>4060</v>
      </c>
      <c r="I847" s="690" t="s">
        <v>4060</v>
      </c>
      <c r="J847" s="690" t="s">
        <v>4060</v>
      </c>
      <c r="K847" s="690" t="s">
        <v>4060</v>
      </c>
    </row>
    <row r="848" spans="1:11">
      <c r="A848" s="688" t="s">
        <v>2343</v>
      </c>
      <c r="B848" s="692" t="s">
        <v>4060</v>
      </c>
      <c r="C848" s="692" t="s">
        <v>4060</v>
      </c>
      <c r="D848" s="692" t="s">
        <v>4060</v>
      </c>
      <c r="E848" s="692" t="s">
        <v>4060</v>
      </c>
      <c r="F848" s="692" t="s">
        <v>4060</v>
      </c>
      <c r="G848" s="692" t="s">
        <v>4060</v>
      </c>
      <c r="H848" s="692" t="s">
        <v>4060</v>
      </c>
      <c r="I848" s="692" t="s">
        <v>4060</v>
      </c>
      <c r="J848" s="692" t="s">
        <v>4060</v>
      </c>
      <c r="K848" s="692" t="s">
        <v>4060</v>
      </c>
    </row>
    <row r="849" spans="1:11">
      <c r="A849" s="688" t="s">
        <v>4071</v>
      </c>
      <c r="B849" s="690" t="s">
        <v>4060</v>
      </c>
      <c r="C849" s="690" t="s">
        <v>4060</v>
      </c>
      <c r="D849" s="690" t="s">
        <v>4060</v>
      </c>
      <c r="E849" s="690" t="s">
        <v>4060</v>
      </c>
      <c r="F849" s="690" t="s">
        <v>4060</v>
      </c>
      <c r="G849" s="690" t="s">
        <v>4060</v>
      </c>
      <c r="H849" s="690" t="s">
        <v>4060</v>
      </c>
      <c r="I849" s="690" t="s">
        <v>4060</v>
      </c>
      <c r="J849" s="690" t="s">
        <v>4060</v>
      </c>
      <c r="K849" s="690" t="s">
        <v>4060</v>
      </c>
    </row>
    <row r="850" spans="1:11">
      <c r="A850" s="688" t="s">
        <v>2489</v>
      </c>
      <c r="B850" s="692" t="s">
        <v>4060</v>
      </c>
      <c r="C850" s="692" t="s">
        <v>4060</v>
      </c>
      <c r="D850" s="691">
        <v>64.900000000000006</v>
      </c>
      <c r="E850" s="691">
        <v>64.900000000000006</v>
      </c>
      <c r="F850" s="691">
        <v>65.599999999999994</v>
      </c>
      <c r="G850" s="691">
        <v>66.400000000000006</v>
      </c>
      <c r="H850" s="691">
        <v>66.2</v>
      </c>
      <c r="I850" s="692" t="s">
        <v>4060</v>
      </c>
      <c r="J850" s="692" t="s">
        <v>4060</v>
      </c>
      <c r="K850" s="692" t="s">
        <v>4060</v>
      </c>
    </row>
    <row r="851" spans="1:11">
      <c r="A851" s="688" t="s">
        <v>2490</v>
      </c>
      <c r="B851" s="689">
        <v>64.7</v>
      </c>
      <c r="C851" s="689">
        <v>64.8</v>
      </c>
      <c r="D851" s="689">
        <v>65.5</v>
      </c>
      <c r="E851" s="690" t="s">
        <v>4060</v>
      </c>
      <c r="F851" s="689">
        <v>65.7</v>
      </c>
      <c r="G851" s="693">
        <v>66</v>
      </c>
      <c r="H851" s="689">
        <v>66.7</v>
      </c>
      <c r="I851" s="690" t="s">
        <v>4060</v>
      </c>
      <c r="J851" s="690" t="s">
        <v>4060</v>
      </c>
      <c r="K851" s="690" t="s">
        <v>4060</v>
      </c>
    </row>
    <row r="853" spans="1:11">
      <c r="A853" s="683" t="s">
        <v>4233</v>
      </c>
    </row>
    <row r="854" spans="1:11">
      <c r="A854" s="683" t="s">
        <v>4060</v>
      </c>
      <c r="B854" s="682" t="s">
        <v>4234</v>
      </c>
    </row>
    <row r="856" spans="1:11">
      <c r="A856" s="682" t="s">
        <v>4209</v>
      </c>
    </row>
    <row r="857" spans="1:11">
      <c r="A857" s="682" t="s">
        <v>4210</v>
      </c>
      <c r="B857" s="683" t="s">
        <v>4211</v>
      </c>
    </row>
    <row r="858" spans="1:11">
      <c r="A858" s="682" t="s">
        <v>4212</v>
      </c>
      <c r="B858" s="682" t="s">
        <v>4213</v>
      </c>
    </row>
    <row r="860" spans="1:11">
      <c r="A860" s="683" t="s">
        <v>4214</v>
      </c>
      <c r="C860" s="682" t="s">
        <v>4215</v>
      </c>
    </row>
    <row r="861" spans="1:11">
      <c r="A861" s="683" t="s">
        <v>4216</v>
      </c>
      <c r="C861" s="682" t="s">
        <v>2967</v>
      </c>
    </row>
    <row r="862" spans="1:11">
      <c r="A862" s="683" t="s">
        <v>3893</v>
      </c>
      <c r="C862" s="682" t="s">
        <v>4217</v>
      </c>
    </row>
    <row r="863" spans="1:11">
      <c r="A863" s="683" t="s">
        <v>4218</v>
      </c>
      <c r="C863" s="682" t="s">
        <v>4246</v>
      </c>
    </row>
    <row r="865" spans="1:11">
      <c r="A865" s="684" t="s">
        <v>4220</v>
      </c>
      <c r="B865" s="685" t="s">
        <v>4221</v>
      </c>
      <c r="C865" s="685" t="s">
        <v>4222</v>
      </c>
      <c r="D865" s="685" t="s">
        <v>4223</v>
      </c>
      <c r="E865" s="685" t="s">
        <v>4224</v>
      </c>
      <c r="F865" s="685" t="s">
        <v>4225</v>
      </c>
      <c r="G865" s="685" t="s">
        <v>4226</v>
      </c>
      <c r="H865" s="685" t="s">
        <v>4227</v>
      </c>
      <c r="I865" s="685" t="s">
        <v>4228</v>
      </c>
      <c r="J865" s="685" t="s">
        <v>4229</v>
      </c>
      <c r="K865" s="685" t="s">
        <v>4230</v>
      </c>
    </row>
    <row r="866" spans="1:11">
      <c r="A866" s="686" t="s">
        <v>4231</v>
      </c>
      <c r="B866" s="687" t="s">
        <v>4232</v>
      </c>
      <c r="C866" s="687" t="s">
        <v>4232</v>
      </c>
      <c r="D866" s="687" t="s">
        <v>4232</v>
      </c>
      <c r="E866" s="687" t="s">
        <v>4232</v>
      </c>
      <c r="F866" s="687" t="s">
        <v>4232</v>
      </c>
      <c r="G866" s="687" t="s">
        <v>4232</v>
      </c>
      <c r="H866" s="687" t="s">
        <v>4232</v>
      </c>
      <c r="I866" s="687" t="s">
        <v>4232</v>
      </c>
      <c r="J866" s="687" t="s">
        <v>4232</v>
      </c>
      <c r="K866" s="687" t="s">
        <v>4232</v>
      </c>
    </row>
    <row r="867" spans="1:11">
      <c r="A867" s="688" t="s">
        <v>4064</v>
      </c>
      <c r="B867" s="689">
        <v>68.900000000000006</v>
      </c>
      <c r="C867" s="693">
        <v>69</v>
      </c>
      <c r="D867" s="689">
        <v>68.900000000000006</v>
      </c>
      <c r="E867" s="689">
        <v>69.099999999999994</v>
      </c>
      <c r="F867" s="689">
        <v>69.099999999999994</v>
      </c>
      <c r="G867" s="689">
        <v>69.2</v>
      </c>
      <c r="H867" s="689">
        <v>69.5</v>
      </c>
      <c r="I867" s="689">
        <v>68.599999999999994</v>
      </c>
      <c r="J867" s="689">
        <v>68.3</v>
      </c>
      <c r="K867" s="689">
        <v>68.900000000000006</v>
      </c>
    </row>
    <row r="868" spans="1:11">
      <c r="A868" s="688" t="s">
        <v>4065</v>
      </c>
      <c r="B868" s="691">
        <v>68.900000000000006</v>
      </c>
      <c r="C868" s="691">
        <v>69.3</v>
      </c>
      <c r="D868" s="615">
        <v>69</v>
      </c>
      <c r="E868" s="691">
        <v>69.400000000000006</v>
      </c>
      <c r="F868" s="691">
        <v>69.3</v>
      </c>
      <c r="G868" s="691">
        <v>69.400000000000006</v>
      </c>
      <c r="H868" s="692" t="s">
        <v>4060</v>
      </c>
      <c r="I868" s="692" t="s">
        <v>4060</v>
      </c>
      <c r="J868" s="692" t="s">
        <v>4060</v>
      </c>
      <c r="K868" s="692" t="s">
        <v>4060</v>
      </c>
    </row>
    <row r="869" spans="1:11">
      <c r="A869" s="688" t="s">
        <v>4063</v>
      </c>
      <c r="B869" s="693">
        <v>69</v>
      </c>
      <c r="C869" s="689">
        <v>69.3</v>
      </c>
      <c r="D869" s="693">
        <v>69</v>
      </c>
      <c r="E869" s="689">
        <v>69.400000000000006</v>
      </c>
      <c r="F869" s="689">
        <v>69.400000000000006</v>
      </c>
      <c r="G869" s="689">
        <v>69.400000000000006</v>
      </c>
      <c r="H869" s="690" t="s">
        <v>4060</v>
      </c>
      <c r="I869" s="690" t="s">
        <v>4060</v>
      </c>
      <c r="J869" s="690" t="s">
        <v>4060</v>
      </c>
      <c r="K869" s="690" t="s">
        <v>4060</v>
      </c>
    </row>
    <row r="870" spans="1:11">
      <c r="A870" s="688" t="s">
        <v>4069</v>
      </c>
      <c r="B870" s="692" t="s">
        <v>4060</v>
      </c>
      <c r="C870" s="615">
        <v>70</v>
      </c>
      <c r="D870" s="691">
        <v>69.7</v>
      </c>
      <c r="E870" s="691">
        <v>70.099999999999994</v>
      </c>
      <c r="F870" s="691">
        <v>70.099999999999994</v>
      </c>
      <c r="G870" s="691">
        <v>70.2</v>
      </c>
      <c r="H870" s="691">
        <v>70.5</v>
      </c>
      <c r="I870" s="691">
        <v>69.8</v>
      </c>
      <c r="J870" s="691">
        <v>69.8</v>
      </c>
      <c r="K870" s="691">
        <v>69.900000000000006</v>
      </c>
    </row>
    <row r="871" spans="1:11">
      <c r="A871" s="688" t="s">
        <v>4068</v>
      </c>
      <c r="B871" s="689">
        <v>69.900000000000006</v>
      </c>
      <c r="C871" s="690" t="s">
        <v>4060</v>
      </c>
      <c r="D871" s="690" t="s">
        <v>4060</v>
      </c>
      <c r="E871" s="690" t="s">
        <v>4060</v>
      </c>
      <c r="F871" s="690" t="s">
        <v>4060</v>
      </c>
      <c r="G871" s="690" t="s">
        <v>4060</v>
      </c>
      <c r="H871" s="690" t="s">
        <v>4060</v>
      </c>
      <c r="I871" s="690" t="s">
        <v>4060</v>
      </c>
      <c r="J871" s="690" t="s">
        <v>4060</v>
      </c>
      <c r="K871" s="690" t="s">
        <v>4060</v>
      </c>
    </row>
    <row r="872" spans="1:11">
      <c r="A872" s="688" t="s">
        <v>0</v>
      </c>
      <c r="B872" s="691">
        <v>69.099999999999994</v>
      </c>
      <c r="C872" s="691">
        <v>69.400000000000006</v>
      </c>
      <c r="D872" s="691">
        <v>69.3</v>
      </c>
      <c r="E872" s="691">
        <v>69.599999999999994</v>
      </c>
      <c r="F872" s="691">
        <v>69.8</v>
      </c>
      <c r="G872" s="691">
        <v>69.900000000000006</v>
      </c>
      <c r="H872" s="691">
        <v>70.2</v>
      </c>
      <c r="I872" s="691">
        <v>69.099999999999994</v>
      </c>
      <c r="J872" s="615">
        <v>70</v>
      </c>
      <c r="K872" s="615">
        <v>70</v>
      </c>
    </row>
    <row r="873" spans="1:11">
      <c r="A873" s="688" t="s">
        <v>1</v>
      </c>
      <c r="B873" s="689">
        <v>63.7</v>
      </c>
      <c r="C873" s="689">
        <v>63.1</v>
      </c>
      <c r="D873" s="689">
        <v>63.2</v>
      </c>
      <c r="E873" s="689">
        <v>63.4</v>
      </c>
      <c r="F873" s="689">
        <v>63.3</v>
      </c>
      <c r="G873" s="689">
        <v>63.4</v>
      </c>
      <c r="H873" s="689">
        <v>63.4</v>
      </c>
      <c r="I873" s="689">
        <v>61.8</v>
      </c>
      <c r="J873" s="689">
        <v>59.7</v>
      </c>
      <c r="K873" s="689">
        <v>62.6</v>
      </c>
    </row>
    <row r="874" spans="1:11">
      <c r="A874" s="688" t="s">
        <v>2240</v>
      </c>
      <c r="B874" s="691">
        <v>66.599999999999994</v>
      </c>
      <c r="C874" s="615">
        <v>67</v>
      </c>
      <c r="D874" s="691">
        <v>66.900000000000006</v>
      </c>
      <c r="E874" s="691">
        <v>67.3</v>
      </c>
      <c r="F874" s="691">
        <v>67.3</v>
      </c>
      <c r="G874" s="691">
        <v>67.3</v>
      </c>
      <c r="H874" s="691">
        <v>67.5</v>
      </c>
      <c r="I874" s="691">
        <v>66.5</v>
      </c>
      <c r="J874" s="691">
        <v>65.5</v>
      </c>
      <c r="K874" s="691">
        <v>67.3</v>
      </c>
    </row>
    <row r="875" spans="1:11">
      <c r="A875" s="688" t="s">
        <v>2</v>
      </c>
      <c r="B875" s="689">
        <v>68.7</v>
      </c>
      <c r="C875" s="693">
        <v>69</v>
      </c>
      <c r="D875" s="689">
        <v>69.099999999999994</v>
      </c>
      <c r="E875" s="689">
        <v>69.2</v>
      </c>
      <c r="F875" s="689">
        <v>69.5</v>
      </c>
      <c r="G875" s="689">
        <v>69.3</v>
      </c>
      <c r="H875" s="689">
        <v>69.7</v>
      </c>
      <c r="I875" s="689">
        <v>69.900000000000006</v>
      </c>
      <c r="J875" s="689">
        <v>69.8</v>
      </c>
      <c r="K875" s="689">
        <v>69.599999999999994</v>
      </c>
    </row>
    <row r="876" spans="1:11">
      <c r="A876" s="688" t="s">
        <v>3</v>
      </c>
      <c r="B876" s="615">
        <v>69</v>
      </c>
      <c r="C876" s="691">
        <v>69.3</v>
      </c>
      <c r="D876" s="691">
        <v>68.900000000000006</v>
      </c>
      <c r="E876" s="691">
        <v>69.2</v>
      </c>
      <c r="F876" s="691">
        <v>69.3</v>
      </c>
      <c r="G876" s="691">
        <v>69.2</v>
      </c>
      <c r="H876" s="691">
        <v>69.599999999999994</v>
      </c>
      <c r="I876" s="691">
        <v>69.3</v>
      </c>
      <c r="J876" s="615">
        <v>69</v>
      </c>
      <c r="K876" s="691">
        <v>68.8</v>
      </c>
    </row>
    <row r="877" spans="1:11">
      <c r="A877" s="688" t="s">
        <v>4061</v>
      </c>
      <c r="B877" s="693">
        <v>69</v>
      </c>
      <c r="C877" s="689">
        <v>69.3</v>
      </c>
      <c r="D877" s="689">
        <v>68.900000000000006</v>
      </c>
      <c r="E877" s="689">
        <v>69.2</v>
      </c>
      <c r="F877" s="689">
        <v>69.3</v>
      </c>
      <c r="G877" s="689">
        <v>69.2</v>
      </c>
      <c r="H877" s="689">
        <v>69.599999999999994</v>
      </c>
      <c r="I877" s="689">
        <v>69.3</v>
      </c>
      <c r="J877" s="693">
        <v>69</v>
      </c>
      <c r="K877" s="689">
        <v>68.8</v>
      </c>
    </row>
    <row r="878" spans="1:11">
      <c r="A878" s="688" t="s">
        <v>4</v>
      </c>
      <c r="B878" s="691">
        <v>65.8</v>
      </c>
      <c r="C878" s="691">
        <v>65.5</v>
      </c>
      <c r="D878" s="615">
        <v>66</v>
      </c>
      <c r="E878" s="691">
        <v>66.099999999999994</v>
      </c>
      <c r="F878" s="691">
        <v>66.5</v>
      </c>
      <c r="G878" s="691">
        <v>66.599999999999994</v>
      </c>
      <c r="H878" s="691">
        <v>67.099999999999994</v>
      </c>
      <c r="I878" s="615">
        <v>67</v>
      </c>
      <c r="J878" s="691">
        <v>65.400000000000006</v>
      </c>
      <c r="K878" s="691">
        <v>66.3</v>
      </c>
    </row>
    <row r="879" spans="1:11">
      <c r="A879" s="688" t="s">
        <v>8</v>
      </c>
      <c r="B879" s="689">
        <v>69.400000000000006</v>
      </c>
      <c r="C879" s="689">
        <v>69.599999999999994</v>
      </c>
      <c r="D879" s="689">
        <v>69.7</v>
      </c>
      <c r="E879" s="689">
        <v>69.900000000000006</v>
      </c>
      <c r="F879" s="689">
        <v>70.3</v>
      </c>
      <c r="G879" s="689">
        <v>70.3</v>
      </c>
      <c r="H879" s="689">
        <v>70.8</v>
      </c>
      <c r="I879" s="689">
        <v>70.599999999999994</v>
      </c>
      <c r="J879" s="689">
        <v>70.400000000000006</v>
      </c>
      <c r="K879" s="689">
        <v>70.7</v>
      </c>
    </row>
    <row r="880" spans="1:11">
      <c r="A880" s="688" t="s">
        <v>7</v>
      </c>
      <c r="B880" s="691">
        <v>69.7</v>
      </c>
      <c r="C880" s="691">
        <v>69.400000000000006</v>
      </c>
      <c r="D880" s="691">
        <v>69.2</v>
      </c>
      <c r="E880" s="691">
        <v>69.5</v>
      </c>
      <c r="F880" s="691">
        <v>69.400000000000006</v>
      </c>
      <c r="G880" s="691">
        <v>69.900000000000006</v>
      </c>
      <c r="H880" s="691">
        <v>69.8</v>
      </c>
      <c r="I880" s="691">
        <v>69.5</v>
      </c>
      <c r="J880" s="691">
        <v>68.400000000000006</v>
      </c>
      <c r="K880" s="691">
        <v>69.099999999999994</v>
      </c>
    </row>
    <row r="881" spans="1:11">
      <c r="A881" s="688" t="s">
        <v>27</v>
      </c>
      <c r="B881" s="689">
        <v>71.5</v>
      </c>
      <c r="C881" s="689">
        <v>71.2</v>
      </c>
      <c r="D881" s="693">
        <v>71</v>
      </c>
      <c r="E881" s="689">
        <v>71.400000000000006</v>
      </c>
      <c r="F881" s="689">
        <v>71.3</v>
      </c>
      <c r="G881" s="689">
        <v>71.400000000000006</v>
      </c>
      <c r="H881" s="689">
        <v>71.8</v>
      </c>
      <c r="I881" s="689">
        <v>70.5</v>
      </c>
      <c r="J881" s="689">
        <v>71.3</v>
      </c>
      <c r="K881" s="689">
        <v>71.400000000000006</v>
      </c>
    </row>
    <row r="882" spans="1:11">
      <c r="A882" s="688" t="s">
        <v>6</v>
      </c>
      <c r="B882" s="691">
        <v>70.8</v>
      </c>
      <c r="C882" s="691">
        <v>70.8</v>
      </c>
      <c r="D882" s="691">
        <v>70.5</v>
      </c>
      <c r="E882" s="691">
        <v>70.8</v>
      </c>
      <c r="F882" s="691">
        <v>70.900000000000006</v>
      </c>
      <c r="G882" s="615">
        <v>71</v>
      </c>
      <c r="H882" s="691">
        <v>71.099999999999994</v>
      </c>
      <c r="I882" s="691">
        <v>70.5</v>
      </c>
      <c r="J882" s="691">
        <v>70.599999999999994</v>
      </c>
      <c r="K882" s="691">
        <v>70.7</v>
      </c>
    </row>
    <row r="883" spans="1:11">
      <c r="A883" s="688" t="s">
        <v>4058</v>
      </c>
      <c r="B883" s="690" t="s">
        <v>4060</v>
      </c>
      <c r="C883" s="690" t="s">
        <v>4060</v>
      </c>
      <c r="D883" s="690" t="s">
        <v>4060</v>
      </c>
      <c r="E883" s="690" t="s">
        <v>4060</v>
      </c>
      <c r="F883" s="690" t="s">
        <v>4060</v>
      </c>
      <c r="G883" s="690" t="s">
        <v>4060</v>
      </c>
      <c r="H883" s="690" t="s">
        <v>4060</v>
      </c>
      <c r="I883" s="690" t="s">
        <v>4060</v>
      </c>
      <c r="J883" s="690" t="s">
        <v>4060</v>
      </c>
      <c r="K883" s="690" t="s">
        <v>4060</v>
      </c>
    </row>
    <row r="884" spans="1:11">
      <c r="A884" s="688" t="s">
        <v>11</v>
      </c>
      <c r="B884" s="691">
        <v>66.2</v>
      </c>
      <c r="C884" s="691">
        <v>66.2</v>
      </c>
      <c r="D884" s="691">
        <v>65.8</v>
      </c>
      <c r="E884" s="691">
        <v>66.5</v>
      </c>
      <c r="F884" s="691">
        <v>66.3</v>
      </c>
      <c r="G884" s="691">
        <v>66.400000000000006</v>
      </c>
      <c r="H884" s="691">
        <v>66.7</v>
      </c>
      <c r="I884" s="615">
        <v>66</v>
      </c>
      <c r="J884" s="615">
        <v>65</v>
      </c>
      <c r="K884" s="691">
        <v>66.099999999999994</v>
      </c>
    </row>
    <row r="885" spans="1:11">
      <c r="A885" s="688" t="s">
        <v>10</v>
      </c>
      <c r="B885" s="689">
        <v>71.2</v>
      </c>
      <c r="C885" s="689">
        <v>71.099999999999994</v>
      </c>
      <c r="D885" s="689">
        <v>70.7</v>
      </c>
      <c r="E885" s="689">
        <v>71.3</v>
      </c>
      <c r="F885" s="689">
        <v>71.099999999999994</v>
      </c>
      <c r="G885" s="689">
        <v>71.5</v>
      </c>
      <c r="H885" s="689">
        <v>71.7</v>
      </c>
      <c r="I885" s="689">
        <v>70.5</v>
      </c>
      <c r="J885" s="689">
        <v>70.900000000000006</v>
      </c>
      <c r="K885" s="693">
        <v>71</v>
      </c>
    </row>
    <row r="886" spans="1:11">
      <c r="A886" s="688" t="s">
        <v>30</v>
      </c>
      <c r="B886" s="691">
        <v>70.7</v>
      </c>
      <c r="C886" s="691">
        <v>70.5</v>
      </c>
      <c r="D886" s="691">
        <v>70.2</v>
      </c>
      <c r="E886" s="691">
        <v>71.099999999999994</v>
      </c>
      <c r="F886" s="691">
        <v>70.7</v>
      </c>
      <c r="G886" s="691">
        <v>71.3</v>
      </c>
      <c r="H886" s="691">
        <v>70.900000000000006</v>
      </c>
      <c r="I886" s="691">
        <v>70.900000000000006</v>
      </c>
      <c r="J886" s="691">
        <v>70.099999999999994</v>
      </c>
      <c r="K886" s="691">
        <v>70.5</v>
      </c>
    </row>
    <row r="887" spans="1:11">
      <c r="A887" s="688" t="s">
        <v>12</v>
      </c>
      <c r="B887" s="689">
        <v>62.8</v>
      </c>
      <c r="C887" s="689">
        <v>62.8</v>
      </c>
      <c r="D887" s="689">
        <v>63.1</v>
      </c>
      <c r="E887" s="689">
        <v>63.2</v>
      </c>
      <c r="F887" s="689">
        <v>63.2</v>
      </c>
      <c r="G887" s="689">
        <v>63.3</v>
      </c>
      <c r="H887" s="693">
        <v>64</v>
      </c>
      <c r="I887" s="689">
        <v>63.8</v>
      </c>
      <c r="J887" s="689">
        <v>61.4</v>
      </c>
      <c r="K887" s="689">
        <v>62.8</v>
      </c>
    </row>
    <row r="888" spans="1:11">
      <c r="A888" s="688" t="s">
        <v>14</v>
      </c>
      <c r="B888" s="691">
        <v>62.5</v>
      </c>
      <c r="C888" s="615">
        <v>63</v>
      </c>
      <c r="D888" s="691">
        <v>62.9</v>
      </c>
      <c r="E888" s="691">
        <v>63.2</v>
      </c>
      <c r="F888" s="615">
        <v>64</v>
      </c>
      <c r="G888" s="691">
        <v>64.2</v>
      </c>
      <c r="H888" s="691">
        <v>64.7</v>
      </c>
      <c r="I888" s="691">
        <v>63.5</v>
      </c>
      <c r="J888" s="691">
        <v>62.6</v>
      </c>
      <c r="K888" s="691">
        <v>64.099999999999994</v>
      </c>
    </row>
    <row r="889" spans="1:11">
      <c r="A889" s="688" t="s">
        <v>15</v>
      </c>
      <c r="B889" s="689">
        <v>70.3</v>
      </c>
      <c r="C889" s="689">
        <v>70.2</v>
      </c>
      <c r="D889" s="689">
        <v>70.3</v>
      </c>
      <c r="E889" s="689">
        <v>70.7</v>
      </c>
      <c r="F889" s="689">
        <v>70.2</v>
      </c>
      <c r="G889" s="689">
        <v>70.5</v>
      </c>
      <c r="H889" s="689">
        <v>70.900000000000006</v>
      </c>
      <c r="I889" s="689">
        <v>70.5</v>
      </c>
      <c r="J889" s="689">
        <v>70.8</v>
      </c>
      <c r="K889" s="689">
        <v>71.2</v>
      </c>
    </row>
    <row r="890" spans="1:11">
      <c r="A890" s="688" t="s">
        <v>29</v>
      </c>
      <c r="B890" s="691">
        <v>64.3</v>
      </c>
      <c r="C890" s="691">
        <v>64.3</v>
      </c>
      <c r="D890" s="615">
        <v>64</v>
      </c>
      <c r="E890" s="691">
        <v>64.5</v>
      </c>
      <c r="F890" s="691">
        <v>64.3</v>
      </c>
      <c r="G890" s="691">
        <v>64.400000000000006</v>
      </c>
      <c r="H890" s="691">
        <v>64.7</v>
      </c>
      <c r="I890" s="691">
        <v>63.9</v>
      </c>
      <c r="J890" s="691">
        <v>62.5</v>
      </c>
      <c r="K890" s="691">
        <v>64.3</v>
      </c>
    </row>
    <row r="891" spans="1:11">
      <c r="A891" s="688" t="s">
        <v>16</v>
      </c>
      <c r="B891" s="689">
        <v>70.400000000000006</v>
      </c>
      <c r="C891" s="689">
        <v>70.3</v>
      </c>
      <c r="D891" s="689">
        <v>70.3</v>
      </c>
      <c r="E891" s="689">
        <v>70.8</v>
      </c>
      <c r="F891" s="689">
        <v>70.7</v>
      </c>
      <c r="G891" s="689">
        <v>70.599999999999994</v>
      </c>
      <c r="H891" s="689">
        <v>71.099999999999994</v>
      </c>
      <c r="I891" s="689">
        <v>70.3</v>
      </c>
      <c r="J891" s="689">
        <v>70.400000000000006</v>
      </c>
      <c r="K891" s="689">
        <v>70.599999999999994</v>
      </c>
    </row>
    <row r="892" spans="1:11">
      <c r="A892" s="688" t="s">
        <v>17</v>
      </c>
      <c r="B892" s="691">
        <v>69.8</v>
      </c>
      <c r="C892" s="615">
        <v>70</v>
      </c>
      <c r="D892" s="691">
        <v>69.8</v>
      </c>
      <c r="E892" s="691">
        <v>69.900000000000006</v>
      </c>
      <c r="F892" s="691">
        <v>70.099999999999994</v>
      </c>
      <c r="G892" s="691">
        <v>70.099999999999994</v>
      </c>
      <c r="H892" s="691">
        <v>70.400000000000006</v>
      </c>
      <c r="I892" s="691">
        <v>69.8</v>
      </c>
      <c r="J892" s="691">
        <v>69.7</v>
      </c>
      <c r="K892" s="615">
        <v>70</v>
      </c>
    </row>
    <row r="893" spans="1:11">
      <c r="A893" s="688" t="s">
        <v>19</v>
      </c>
      <c r="B893" s="689">
        <v>69.599999999999994</v>
      </c>
      <c r="C893" s="689">
        <v>69.7</v>
      </c>
      <c r="D893" s="689">
        <v>69.5</v>
      </c>
      <c r="E893" s="693">
        <v>70</v>
      </c>
      <c r="F893" s="693">
        <v>70</v>
      </c>
      <c r="G893" s="693">
        <v>70</v>
      </c>
      <c r="H893" s="689">
        <v>70.3</v>
      </c>
      <c r="I893" s="689">
        <v>69.7</v>
      </c>
      <c r="J893" s="689">
        <v>69.599999999999994</v>
      </c>
      <c r="K893" s="689">
        <v>69.7</v>
      </c>
    </row>
    <row r="894" spans="1:11">
      <c r="A894" s="688" t="s">
        <v>20</v>
      </c>
      <c r="B894" s="691">
        <v>65.599999999999994</v>
      </c>
      <c r="C894" s="615">
        <v>66</v>
      </c>
      <c r="D894" s="691">
        <v>65.8</v>
      </c>
      <c r="E894" s="691">
        <v>66.2</v>
      </c>
      <c r="F894" s="691">
        <v>66.099999999999994</v>
      </c>
      <c r="G894" s="615">
        <v>66</v>
      </c>
      <c r="H894" s="691">
        <v>66.3</v>
      </c>
      <c r="I894" s="691">
        <v>64.8</v>
      </c>
      <c r="J894" s="691">
        <v>63.8</v>
      </c>
      <c r="K894" s="691">
        <v>65.5</v>
      </c>
    </row>
    <row r="895" spans="1:11">
      <c r="A895" s="688" t="s">
        <v>21</v>
      </c>
      <c r="B895" s="689">
        <v>69.2</v>
      </c>
      <c r="C895" s="689">
        <v>69.599999999999994</v>
      </c>
      <c r="D895" s="689">
        <v>69.7</v>
      </c>
      <c r="E895" s="689">
        <v>69.7</v>
      </c>
      <c r="F895" s="693">
        <v>70</v>
      </c>
      <c r="G895" s="693">
        <v>70</v>
      </c>
      <c r="H895" s="689">
        <v>70.3</v>
      </c>
      <c r="I895" s="689">
        <v>69.599999999999994</v>
      </c>
      <c r="J895" s="689">
        <v>69.7</v>
      </c>
      <c r="K895" s="693">
        <v>70</v>
      </c>
    </row>
    <row r="896" spans="1:11">
      <c r="A896" s="688" t="s">
        <v>22</v>
      </c>
      <c r="B896" s="615">
        <v>64</v>
      </c>
      <c r="C896" s="691">
        <v>63.7</v>
      </c>
      <c r="D896" s="691">
        <v>63.6</v>
      </c>
      <c r="E896" s="691">
        <v>63.9</v>
      </c>
      <c r="F896" s="691">
        <v>63.9</v>
      </c>
      <c r="G896" s="691">
        <v>63.9</v>
      </c>
      <c r="H896" s="691">
        <v>64.2</v>
      </c>
      <c r="I896" s="691">
        <v>62.6</v>
      </c>
      <c r="J896" s="691">
        <v>61.3</v>
      </c>
      <c r="K896" s="691">
        <v>63.7</v>
      </c>
    </row>
    <row r="897" spans="1:11">
      <c r="A897" s="688" t="s">
        <v>26</v>
      </c>
      <c r="B897" s="689">
        <v>68.8</v>
      </c>
      <c r="C897" s="689">
        <v>69.099999999999994</v>
      </c>
      <c r="D897" s="689">
        <v>68.8</v>
      </c>
      <c r="E897" s="689">
        <v>69.2</v>
      </c>
      <c r="F897" s="689">
        <v>69.2</v>
      </c>
      <c r="G897" s="689">
        <v>69.400000000000006</v>
      </c>
      <c r="H897" s="689">
        <v>69.599999999999994</v>
      </c>
      <c r="I897" s="689">
        <v>68.8</v>
      </c>
      <c r="J897" s="689">
        <v>68.8</v>
      </c>
      <c r="K897" s="689">
        <v>69.400000000000006</v>
      </c>
    </row>
    <row r="898" spans="1:11">
      <c r="A898" s="688" t="s">
        <v>25</v>
      </c>
      <c r="B898" s="691">
        <v>65.2</v>
      </c>
      <c r="C898" s="691">
        <v>65.5</v>
      </c>
      <c r="D898" s="691">
        <v>65.2</v>
      </c>
      <c r="E898" s="691">
        <v>65.8</v>
      </c>
      <c r="F898" s="691">
        <v>65.7</v>
      </c>
      <c r="G898" s="691">
        <v>65.8</v>
      </c>
      <c r="H898" s="691">
        <v>66.3</v>
      </c>
      <c r="I898" s="691">
        <v>65.5</v>
      </c>
      <c r="J898" s="691">
        <v>63.1</v>
      </c>
      <c r="K898" s="691">
        <v>65.5</v>
      </c>
    </row>
    <row r="899" spans="1:11">
      <c r="A899" s="688" t="s">
        <v>5</v>
      </c>
      <c r="B899" s="689">
        <v>69.3</v>
      </c>
      <c r="C899" s="689">
        <v>69.3</v>
      </c>
      <c r="D899" s="689">
        <v>69.599999999999994</v>
      </c>
      <c r="E899" s="689">
        <v>69.5</v>
      </c>
      <c r="F899" s="689">
        <v>69.7</v>
      </c>
      <c r="G899" s="689">
        <v>69.900000000000006</v>
      </c>
      <c r="H899" s="689">
        <v>70.099999999999994</v>
      </c>
      <c r="I899" s="693">
        <v>70</v>
      </c>
      <c r="J899" s="693">
        <v>70</v>
      </c>
      <c r="K899" s="689">
        <v>69.400000000000006</v>
      </c>
    </row>
    <row r="900" spans="1:11">
      <c r="A900" s="688" t="s">
        <v>23</v>
      </c>
      <c r="B900" s="691">
        <v>70.3</v>
      </c>
      <c r="C900" s="691">
        <v>70.5</v>
      </c>
      <c r="D900" s="691">
        <v>70.5</v>
      </c>
      <c r="E900" s="691">
        <v>70.599999999999994</v>
      </c>
      <c r="F900" s="691">
        <v>70.7</v>
      </c>
      <c r="G900" s="691">
        <v>70.8</v>
      </c>
      <c r="H900" s="691">
        <v>71.3</v>
      </c>
      <c r="I900" s="691">
        <v>70.7</v>
      </c>
      <c r="J900" s="691">
        <v>71.2</v>
      </c>
      <c r="K900" s="691">
        <v>71.3</v>
      </c>
    </row>
    <row r="901" spans="1:11">
      <c r="A901" s="688" t="s">
        <v>4067</v>
      </c>
      <c r="B901" s="693">
        <v>69</v>
      </c>
      <c r="C901" s="689">
        <v>69.3</v>
      </c>
      <c r="D901" s="693">
        <v>69</v>
      </c>
      <c r="E901" s="689">
        <v>69.400000000000006</v>
      </c>
      <c r="F901" s="689">
        <v>69.3</v>
      </c>
      <c r="G901" s="689">
        <v>69.400000000000006</v>
      </c>
      <c r="H901" s="690" t="s">
        <v>4060</v>
      </c>
      <c r="I901" s="690" t="s">
        <v>4060</v>
      </c>
      <c r="J901" s="690" t="s">
        <v>4060</v>
      </c>
      <c r="K901" s="690" t="s">
        <v>4060</v>
      </c>
    </row>
    <row r="902" spans="1:11">
      <c r="A902" s="688" t="s">
        <v>4066</v>
      </c>
      <c r="B902" s="615">
        <v>69</v>
      </c>
      <c r="C902" s="691">
        <v>69.3</v>
      </c>
      <c r="D902" s="615">
        <v>69</v>
      </c>
      <c r="E902" s="691">
        <v>69.400000000000006</v>
      </c>
      <c r="F902" s="691">
        <v>69.400000000000006</v>
      </c>
      <c r="G902" s="691">
        <v>69.400000000000006</v>
      </c>
      <c r="H902" s="692" t="s">
        <v>4060</v>
      </c>
      <c r="I902" s="692" t="s">
        <v>4060</v>
      </c>
      <c r="J902" s="692" t="s">
        <v>4060</v>
      </c>
      <c r="K902" s="692" t="s">
        <v>4060</v>
      </c>
    </row>
    <row r="903" spans="1:11">
      <c r="A903" s="688" t="s">
        <v>4062</v>
      </c>
      <c r="B903" s="689">
        <v>70.900000000000006</v>
      </c>
      <c r="C903" s="689">
        <v>71.099999999999994</v>
      </c>
      <c r="D903" s="693">
        <v>71</v>
      </c>
      <c r="E903" s="689">
        <v>71.3</v>
      </c>
      <c r="F903" s="689">
        <v>71.5</v>
      </c>
      <c r="G903" s="689">
        <v>71.599999999999994</v>
      </c>
      <c r="H903" s="689">
        <v>71.8</v>
      </c>
      <c r="I903" s="689">
        <v>71.400000000000006</v>
      </c>
      <c r="J903" s="689">
        <v>71.8</v>
      </c>
      <c r="K903" s="689">
        <v>71.5</v>
      </c>
    </row>
    <row r="904" spans="1:11">
      <c r="A904" s="688" t="s">
        <v>9</v>
      </c>
      <c r="B904" s="691">
        <v>70.400000000000006</v>
      </c>
      <c r="C904" s="691">
        <v>70.900000000000006</v>
      </c>
      <c r="D904" s="691">
        <v>70.599999999999994</v>
      </c>
      <c r="E904" s="691">
        <v>70.3</v>
      </c>
      <c r="F904" s="691">
        <v>70.7</v>
      </c>
      <c r="G904" s="691">
        <v>70.900000000000006</v>
      </c>
      <c r="H904" s="691">
        <v>71.099999999999994</v>
      </c>
      <c r="I904" s="691">
        <v>71.2</v>
      </c>
      <c r="J904" s="691">
        <v>71.400000000000006</v>
      </c>
      <c r="K904" s="691">
        <v>70.400000000000006</v>
      </c>
    </row>
    <row r="905" spans="1:11">
      <c r="A905" s="688" t="s">
        <v>13</v>
      </c>
      <c r="B905" s="689">
        <v>70.900000000000006</v>
      </c>
      <c r="C905" s="689">
        <v>70.3</v>
      </c>
      <c r="D905" s="693">
        <v>71</v>
      </c>
      <c r="E905" s="689">
        <v>70.3</v>
      </c>
      <c r="F905" s="689">
        <v>71.3</v>
      </c>
      <c r="G905" s="693">
        <v>71</v>
      </c>
      <c r="H905" s="693">
        <v>72</v>
      </c>
      <c r="I905" s="689">
        <v>70.7</v>
      </c>
      <c r="J905" s="689">
        <v>72.099999999999994</v>
      </c>
      <c r="K905" s="689">
        <v>71.8</v>
      </c>
    </row>
    <row r="906" spans="1:11">
      <c r="A906" s="688" t="s">
        <v>18</v>
      </c>
      <c r="B906" s="691">
        <v>70.099999999999994</v>
      </c>
      <c r="C906" s="691">
        <v>70.400000000000006</v>
      </c>
      <c r="D906" s="691">
        <v>70.5</v>
      </c>
      <c r="E906" s="691">
        <v>70.599999999999994</v>
      </c>
      <c r="F906" s="691">
        <v>70.900000000000006</v>
      </c>
      <c r="G906" s="615">
        <v>71</v>
      </c>
      <c r="H906" s="691">
        <v>71.2</v>
      </c>
      <c r="I906" s="691">
        <v>71.400000000000006</v>
      </c>
      <c r="J906" s="691">
        <v>71.400000000000006</v>
      </c>
      <c r="K906" s="691">
        <v>70.8</v>
      </c>
    </row>
    <row r="907" spans="1:11">
      <c r="A907" s="688" t="s">
        <v>24</v>
      </c>
      <c r="B907" s="689">
        <v>71.3</v>
      </c>
      <c r="C907" s="689">
        <v>71.5</v>
      </c>
      <c r="D907" s="689">
        <v>71.3</v>
      </c>
      <c r="E907" s="689">
        <v>71.8</v>
      </c>
      <c r="F907" s="689">
        <v>71.8</v>
      </c>
      <c r="G907" s="693">
        <v>72</v>
      </c>
      <c r="H907" s="689">
        <v>72.099999999999994</v>
      </c>
      <c r="I907" s="689">
        <v>71.400000000000006</v>
      </c>
      <c r="J907" s="693">
        <v>72</v>
      </c>
      <c r="K907" s="689">
        <v>71.900000000000006</v>
      </c>
    </row>
    <row r="908" spans="1:11">
      <c r="A908" s="688" t="s">
        <v>4059</v>
      </c>
      <c r="B908" s="691">
        <v>69.5</v>
      </c>
      <c r="C908" s="691">
        <v>69.8</v>
      </c>
      <c r="D908" s="691">
        <v>69.400000000000006</v>
      </c>
      <c r="E908" s="691">
        <v>69.599999999999994</v>
      </c>
      <c r="F908" s="691">
        <v>69.7</v>
      </c>
      <c r="G908" s="691">
        <v>69.7</v>
      </c>
      <c r="H908" s="692" t="s">
        <v>4060</v>
      </c>
      <c r="I908" s="692" t="s">
        <v>4060</v>
      </c>
      <c r="J908" s="692" t="s">
        <v>4060</v>
      </c>
      <c r="K908" s="692" t="s">
        <v>4060</v>
      </c>
    </row>
    <row r="909" spans="1:11">
      <c r="A909" s="688" t="s">
        <v>2324</v>
      </c>
      <c r="B909" s="689">
        <v>64.900000000000006</v>
      </c>
      <c r="C909" s="693">
        <v>65</v>
      </c>
      <c r="D909" s="689">
        <v>64.8</v>
      </c>
      <c r="E909" s="689">
        <v>64.900000000000006</v>
      </c>
      <c r="F909" s="689">
        <v>64.8</v>
      </c>
      <c r="G909" s="689">
        <v>65.2</v>
      </c>
      <c r="H909" s="693">
        <v>65</v>
      </c>
      <c r="I909" s="689">
        <v>64.2</v>
      </c>
      <c r="J909" s="693">
        <v>62</v>
      </c>
      <c r="K909" s="690" t="s">
        <v>4060</v>
      </c>
    </row>
    <row r="910" spans="1:11">
      <c r="A910" s="688" t="s">
        <v>2322</v>
      </c>
      <c r="B910" s="692" t="s">
        <v>4060</v>
      </c>
      <c r="C910" s="692" t="s">
        <v>4060</v>
      </c>
      <c r="D910" s="692" t="s">
        <v>4060</v>
      </c>
      <c r="E910" s="692" t="s">
        <v>4060</v>
      </c>
      <c r="F910" s="692" t="s">
        <v>4060</v>
      </c>
      <c r="G910" s="692" t="s">
        <v>4060</v>
      </c>
      <c r="H910" s="692" t="s">
        <v>4060</v>
      </c>
      <c r="I910" s="692" t="s">
        <v>4060</v>
      </c>
      <c r="J910" s="692" t="s">
        <v>4060</v>
      </c>
      <c r="K910" s="692" t="s">
        <v>4060</v>
      </c>
    </row>
    <row r="911" spans="1:11">
      <c r="A911" s="688" t="s">
        <v>2328</v>
      </c>
      <c r="B911" s="689">
        <v>64.400000000000006</v>
      </c>
      <c r="C911" s="689">
        <v>64.400000000000006</v>
      </c>
      <c r="D911" s="689">
        <v>64.3</v>
      </c>
      <c r="E911" s="689">
        <v>64.5</v>
      </c>
      <c r="F911" s="689">
        <v>64.8</v>
      </c>
      <c r="G911" s="689">
        <v>65.2</v>
      </c>
      <c r="H911" s="689">
        <v>65.2</v>
      </c>
      <c r="I911" s="689">
        <v>62.9</v>
      </c>
      <c r="J911" s="689">
        <v>61.7</v>
      </c>
      <c r="K911" s="690" t="s">
        <v>4060</v>
      </c>
    </row>
    <row r="912" spans="1:11">
      <c r="A912" s="688" t="s">
        <v>2496</v>
      </c>
      <c r="B912" s="692" t="s">
        <v>4060</v>
      </c>
      <c r="C912" s="691">
        <v>63.1</v>
      </c>
      <c r="D912" s="691">
        <v>61.9</v>
      </c>
      <c r="E912" s="691">
        <v>61.6</v>
      </c>
      <c r="F912" s="691">
        <v>62.4</v>
      </c>
      <c r="G912" s="691">
        <v>62.7</v>
      </c>
      <c r="H912" s="691">
        <v>62.8</v>
      </c>
      <c r="I912" s="692" t="s">
        <v>4060</v>
      </c>
      <c r="J912" s="692" t="s">
        <v>4060</v>
      </c>
      <c r="K912" s="691">
        <v>62.4</v>
      </c>
    </row>
    <row r="913" spans="1:11">
      <c r="A913" s="688" t="s">
        <v>2269</v>
      </c>
      <c r="B913" s="689">
        <v>66.8</v>
      </c>
      <c r="C913" s="689">
        <v>67.099999999999994</v>
      </c>
      <c r="D913" s="689">
        <v>66.7</v>
      </c>
      <c r="E913" s="689">
        <v>67.400000000000006</v>
      </c>
      <c r="F913" s="689">
        <v>67.3</v>
      </c>
      <c r="G913" s="689">
        <v>67.8</v>
      </c>
      <c r="H913" s="693">
        <v>68</v>
      </c>
      <c r="I913" s="689">
        <v>66.2</v>
      </c>
      <c r="J913" s="689">
        <v>64.3</v>
      </c>
      <c r="K913" s="689">
        <v>67.8</v>
      </c>
    </row>
    <row r="914" spans="1:11">
      <c r="A914" s="688" t="s">
        <v>2349</v>
      </c>
      <c r="B914" s="691">
        <v>63.9</v>
      </c>
      <c r="C914" s="691">
        <v>63.9</v>
      </c>
      <c r="D914" s="691">
        <v>63.9</v>
      </c>
      <c r="E914" s="691">
        <v>64.3</v>
      </c>
      <c r="F914" s="691">
        <v>64.099999999999994</v>
      </c>
      <c r="G914" s="691">
        <v>64.400000000000006</v>
      </c>
      <c r="H914" s="691">
        <v>64.5</v>
      </c>
      <c r="I914" s="691">
        <v>62.9</v>
      </c>
      <c r="J914" s="691">
        <v>61.3</v>
      </c>
      <c r="K914" s="691">
        <v>63.7</v>
      </c>
    </row>
    <row r="915" spans="1:11">
      <c r="A915" s="688" t="s">
        <v>2355</v>
      </c>
      <c r="B915" s="689">
        <v>67.5</v>
      </c>
      <c r="C915" s="689">
        <v>67.400000000000006</v>
      </c>
      <c r="D915" s="689">
        <v>67.3</v>
      </c>
      <c r="E915" s="689">
        <v>67.2</v>
      </c>
      <c r="F915" s="689">
        <v>67.5</v>
      </c>
      <c r="G915" s="689">
        <v>67.900000000000006</v>
      </c>
      <c r="H915" s="689">
        <v>68.099999999999994</v>
      </c>
      <c r="I915" s="690" t="s">
        <v>4060</v>
      </c>
      <c r="J915" s="690" t="s">
        <v>4060</v>
      </c>
      <c r="K915" s="690" t="s">
        <v>4060</v>
      </c>
    </row>
    <row r="916" spans="1:11">
      <c r="A916" s="688" t="s">
        <v>2357</v>
      </c>
      <c r="B916" s="692" t="s">
        <v>4060</v>
      </c>
      <c r="C916" s="691">
        <v>60.5</v>
      </c>
      <c r="D916" s="691">
        <v>61.3</v>
      </c>
      <c r="E916" s="691">
        <v>61.6</v>
      </c>
      <c r="F916" s="615">
        <v>62</v>
      </c>
      <c r="G916" s="691">
        <v>61.8</v>
      </c>
      <c r="H916" s="691">
        <v>62.1</v>
      </c>
      <c r="I916" s="692" t="s">
        <v>4060</v>
      </c>
      <c r="J916" s="692" t="s">
        <v>4060</v>
      </c>
      <c r="K916" s="692" t="s">
        <v>4060</v>
      </c>
    </row>
    <row r="917" spans="1:11">
      <c r="A917" s="688" t="s">
        <v>4070</v>
      </c>
      <c r="B917" s="690" t="s">
        <v>4060</v>
      </c>
      <c r="C917" s="690" t="s">
        <v>4060</v>
      </c>
      <c r="D917" s="690" t="s">
        <v>4060</v>
      </c>
      <c r="E917" s="689">
        <v>67.2</v>
      </c>
      <c r="F917" s="690" t="s">
        <v>4060</v>
      </c>
      <c r="G917" s="690" t="s">
        <v>4060</v>
      </c>
      <c r="H917" s="690" t="s">
        <v>4060</v>
      </c>
      <c r="I917" s="690" t="s">
        <v>4060</v>
      </c>
      <c r="J917" s="690" t="s">
        <v>4060</v>
      </c>
      <c r="K917" s="690" t="s">
        <v>4060</v>
      </c>
    </row>
    <row r="918" spans="1:11">
      <c r="A918" s="688" t="s">
        <v>2491</v>
      </c>
      <c r="B918" s="691">
        <v>61.2</v>
      </c>
      <c r="C918" s="691">
        <v>61.7</v>
      </c>
      <c r="D918" s="691">
        <v>62.3</v>
      </c>
      <c r="E918" s="691">
        <v>62.6</v>
      </c>
      <c r="F918" s="691">
        <v>62.8</v>
      </c>
      <c r="G918" s="691">
        <v>62.8</v>
      </c>
      <c r="H918" s="692" t="s">
        <v>4060</v>
      </c>
      <c r="I918" s="692" t="s">
        <v>4060</v>
      </c>
      <c r="J918" s="692" t="s">
        <v>4060</v>
      </c>
      <c r="K918" s="692" t="s">
        <v>4060</v>
      </c>
    </row>
    <row r="919" spans="1:11">
      <c r="A919" s="688" t="s">
        <v>2343</v>
      </c>
      <c r="B919" s="690" t="s">
        <v>4060</v>
      </c>
      <c r="C919" s="690" t="s">
        <v>4060</v>
      </c>
      <c r="D919" s="690" t="s">
        <v>4060</v>
      </c>
      <c r="E919" s="690" t="s">
        <v>4060</v>
      </c>
      <c r="F919" s="690" t="s">
        <v>4060</v>
      </c>
      <c r="G919" s="690" t="s">
        <v>4060</v>
      </c>
      <c r="H919" s="690" t="s">
        <v>4060</v>
      </c>
      <c r="I919" s="690" t="s">
        <v>4060</v>
      </c>
      <c r="J919" s="690" t="s">
        <v>4060</v>
      </c>
      <c r="K919" s="690" t="s">
        <v>4060</v>
      </c>
    </row>
    <row r="920" spans="1:11">
      <c r="A920" s="688" t="s">
        <v>4071</v>
      </c>
      <c r="B920" s="692" t="s">
        <v>4060</v>
      </c>
      <c r="C920" s="692" t="s">
        <v>4060</v>
      </c>
      <c r="D920" s="692" t="s">
        <v>4060</v>
      </c>
      <c r="E920" s="692" t="s">
        <v>4060</v>
      </c>
      <c r="F920" s="692" t="s">
        <v>4060</v>
      </c>
      <c r="G920" s="692" t="s">
        <v>4060</v>
      </c>
      <c r="H920" s="692" t="s">
        <v>4060</v>
      </c>
      <c r="I920" s="692" t="s">
        <v>4060</v>
      </c>
      <c r="J920" s="692" t="s">
        <v>4060</v>
      </c>
      <c r="K920" s="692" t="s">
        <v>4060</v>
      </c>
    </row>
    <row r="921" spans="1:11">
      <c r="A921" s="688" t="s">
        <v>2489</v>
      </c>
      <c r="B921" s="690" t="s">
        <v>4060</v>
      </c>
      <c r="C921" s="690" t="s">
        <v>4060</v>
      </c>
      <c r="D921" s="689">
        <v>63.9</v>
      </c>
      <c r="E921" s="689">
        <v>63.9</v>
      </c>
      <c r="F921" s="689">
        <v>64.599999999999994</v>
      </c>
      <c r="G921" s="689">
        <v>65.400000000000006</v>
      </c>
      <c r="H921" s="689">
        <v>65.3</v>
      </c>
      <c r="I921" s="690" t="s">
        <v>4060</v>
      </c>
      <c r="J921" s="690" t="s">
        <v>4060</v>
      </c>
      <c r="K921" s="690" t="s">
        <v>4060</v>
      </c>
    </row>
    <row r="922" spans="1:11">
      <c r="A922" s="688" t="s">
        <v>2490</v>
      </c>
      <c r="B922" s="691">
        <v>63.8</v>
      </c>
      <c r="C922" s="691">
        <v>63.9</v>
      </c>
      <c r="D922" s="691">
        <v>64.5</v>
      </c>
      <c r="E922" s="692" t="s">
        <v>4060</v>
      </c>
      <c r="F922" s="691">
        <v>64.7</v>
      </c>
      <c r="G922" s="615">
        <v>65</v>
      </c>
      <c r="H922" s="691">
        <v>65.7</v>
      </c>
      <c r="I922" s="692" t="s">
        <v>4060</v>
      </c>
      <c r="J922" s="692" t="s">
        <v>4060</v>
      </c>
      <c r="K922" s="692" t="s">
        <v>4060</v>
      </c>
    </row>
    <row r="924" spans="1:11">
      <c r="A924" s="683" t="s">
        <v>4233</v>
      </c>
    </row>
    <row r="925" spans="1:11">
      <c r="A925" s="683" t="s">
        <v>4060</v>
      </c>
      <c r="B925" s="682" t="s">
        <v>4234</v>
      </c>
    </row>
    <row r="927" spans="1:11">
      <c r="A927" s="682" t="s">
        <v>4209</v>
      </c>
    </row>
    <row r="928" spans="1:11">
      <c r="A928" s="682" t="s">
        <v>4210</v>
      </c>
      <c r="B928" s="683" t="s">
        <v>4211</v>
      </c>
    </row>
    <row r="929" spans="1:11">
      <c r="A929" s="682" t="s">
        <v>4212</v>
      </c>
      <c r="B929" s="682" t="s">
        <v>4213</v>
      </c>
    </row>
    <row r="931" spans="1:11">
      <c r="A931" s="683" t="s">
        <v>4214</v>
      </c>
      <c r="C931" s="682" t="s">
        <v>4215</v>
      </c>
    </row>
    <row r="932" spans="1:11">
      <c r="A932" s="683" t="s">
        <v>4216</v>
      </c>
      <c r="C932" s="682" t="s">
        <v>2967</v>
      </c>
    </row>
    <row r="933" spans="1:11">
      <c r="A933" s="683" t="s">
        <v>3893</v>
      </c>
      <c r="C933" s="682" t="s">
        <v>4217</v>
      </c>
    </row>
    <row r="934" spans="1:11">
      <c r="A934" s="683" t="s">
        <v>4218</v>
      </c>
      <c r="C934" s="682" t="s">
        <v>4247</v>
      </c>
    </row>
    <row r="936" spans="1:11">
      <c r="A936" s="684" t="s">
        <v>4220</v>
      </c>
      <c r="B936" s="685" t="s">
        <v>4221</v>
      </c>
      <c r="C936" s="685" t="s">
        <v>4222</v>
      </c>
      <c r="D936" s="685" t="s">
        <v>4223</v>
      </c>
      <c r="E936" s="685" t="s">
        <v>4224</v>
      </c>
      <c r="F936" s="685" t="s">
        <v>4225</v>
      </c>
      <c r="G936" s="685" t="s">
        <v>4226</v>
      </c>
      <c r="H936" s="685" t="s">
        <v>4227</v>
      </c>
      <c r="I936" s="685" t="s">
        <v>4228</v>
      </c>
      <c r="J936" s="685" t="s">
        <v>4229</v>
      </c>
      <c r="K936" s="685" t="s">
        <v>4230</v>
      </c>
    </row>
    <row r="937" spans="1:11">
      <c r="A937" s="686" t="s">
        <v>4231</v>
      </c>
      <c r="B937" s="687" t="s">
        <v>4232</v>
      </c>
      <c r="C937" s="687" t="s">
        <v>4232</v>
      </c>
      <c r="D937" s="687" t="s">
        <v>4232</v>
      </c>
      <c r="E937" s="687" t="s">
        <v>4232</v>
      </c>
      <c r="F937" s="687" t="s">
        <v>4232</v>
      </c>
      <c r="G937" s="687" t="s">
        <v>4232</v>
      </c>
      <c r="H937" s="687" t="s">
        <v>4232</v>
      </c>
      <c r="I937" s="687" t="s">
        <v>4232</v>
      </c>
      <c r="J937" s="687" t="s">
        <v>4232</v>
      </c>
      <c r="K937" s="687" t="s">
        <v>4232</v>
      </c>
    </row>
    <row r="938" spans="1:11">
      <c r="A938" s="688" t="s">
        <v>4064</v>
      </c>
      <c r="B938" s="691">
        <v>67.900000000000006</v>
      </c>
      <c r="C938" s="615">
        <v>68</v>
      </c>
      <c r="D938" s="691">
        <v>67.900000000000006</v>
      </c>
      <c r="E938" s="691">
        <v>68.099999999999994</v>
      </c>
      <c r="F938" s="691">
        <v>68.099999999999994</v>
      </c>
      <c r="G938" s="691">
        <v>68.2</v>
      </c>
      <c r="H938" s="691">
        <v>68.5</v>
      </c>
      <c r="I938" s="691">
        <v>67.599999999999994</v>
      </c>
      <c r="J938" s="691">
        <v>67.3</v>
      </c>
      <c r="K938" s="691">
        <v>67.900000000000006</v>
      </c>
    </row>
    <row r="939" spans="1:11">
      <c r="A939" s="688" t="s">
        <v>4065</v>
      </c>
      <c r="B939" s="693">
        <v>68</v>
      </c>
      <c r="C939" s="689">
        <v>68.3</v>
      </c>
      <c r="D939" s="693">
        <v>68</v>
      </c>
      <c r="E939" s="689">
        <v>68.400000000000006</v>
      </c>
      <c r="F939" s="689">
        <v>68.3</v>
      </c>
      <c r="G939" s="689">
        <v>68.400000000000006</v>
      </c>
      <c r="H939" s="690" t="s">
        <v>4060</v>
      </c>
      <c r="I939" s="690" t="s">
        <v>4060</v>
      </c>
      <c r="J939" s="690" t="s">
        <v>4060</v>
      </c>
      <c r="K939" s="690" t="s">
        <v>4060</v>
      </c>
    </row>
    <row r="940" spans="1:11">
      <c r="A940" s="688" t="s">
        <v>4063</v>
      </c>
      <c r="B940" s="615">
        <v>68</v>
      </c>
      <c r="C940" s="691">
        <v>68.3</v>
      </c>
      <c r="D940" s="615">
        <v>68</v>
      </c>
      <c r="E940" s="691">
        <v>68.400000000000006</v>
      </c>
      <c r="F940" s="691">
        <v>68.400000000000006</v>
      </c>
      <c r="G940" s="691">
        <v>68.400000000000006</v>
      </c>
      <c r="H940" s="692" t="s">
        <v>4060</v>
      </c>
      <c r="I940" s="692" t="s">
        <v>4060</v>
      </c>
      <c r="J940" s="692" t="s">
        <v>4060</v>
      </c>
      <c r="K940" s="692" t="s">
        <v>4060</v>
      </c>
    </row>
    <row r="941" spans="1:11">
      <c r="A941" s="688" t="s">
        <v>4069</v>
      </c>
      <c r="B941" s="690" t="s">
        <v>4060</v>
      </c>
      <c r="C941" s="693">
        <v>69</v>
      </c>
      <c r="D941" s="689">
        <v>68.7</v>
      </c>
      <c r="E941" s="689">
        <v>69.099999999999994</v>
      </c>
      <c r="F941" s="689">
        <v>69.099999999999994</v>
      </c>
      <c r="G941" s="689">
        <v>69.2</v>
      </c>
      <c r="H941" s="689">
        <v>69.5</v>
      </c>
      <c r="I941" s="689">
        <v>68.8</v>
      </c>
      <c r="J941" s="689">
        <v>68.8</v>
      </c>
      <c r="K941" s="689">
        <v>68.900000000000006</v>
      </c>
    </row>
    <row r="942" spans="1:11">
      <c r="A942" s="688" t="s">
        <v>4068</v>
      </c>
      <c r="B942" s="691">
        <v>68.900000000000006</v>
      </c>
      <c r="C942" s="692" t="s">
        <v>4060</v>
      </c>
      <c r="D942" s="692" t="s">
        <v>4060</v>
      </c>
      <c r="E942" s="692" t="s">
        <v>4060</v>
      </c>
      <c r="F942" s="692" t="s">
        <v>4060</v>
      </c>
      <c r="G942" s="692" t="s">
        <v>4060</v>
      </c>
      <c r="H942" s="692" t="s">
        <v>4060</v>
      </c>
      <c r="I942" s="692" t="s">
        <v>4060</v>
      </c>
      <c r="J942" s="692" t="s">
        <v>4060</v>
      </c>
      <c r="K942" s="692" t="s">
        <v>4060</v>
      </c>
    </row>
    <row r="943" spans="1:11">
      <c r="A943" s="688" t="s">
        <v>0</v>
      </c>
      <c r="B943" s="689">
        <v>68.099999999999994</v>
      </c>
      <c r="C943" s="689">
        <v>68.5</v>
      </c>
      <c r="D943" s="689">
        <v>68.3</v>
      </c>
      <c r="E943" s="689">
        <v>68.599999999999994</v>
      </c>
      <c r="F943" s="689">
        <v>68.8</v>
      </c>
      <c r="G943" s="689">
        <v>68.900000000000006</v>
      </c>
      <c r="H943" s="689">
        <v>69.2</v>
      </c>
      <c r="I943" s="689">
        <v>68.099999999999994</v>
      </c>
      <c r="J943" s="693">
        <v>69</v>
      </c>
      <c r="K943" s="693">
        <v>69</v>
      </c>
    </row>
    <row r="944" spans="1:11">
      <c r="A944" s="688" t="s">
        <v>1</v>
      </c>
      <c r="B944" s="691">
        <v>62.7</v>
      </c>
      <c r="C944" s="691">
        <v>62.2</v>
      </c>
      <c r="D944" s="691">
        <v>62.2</v>
      </c>
      <c r="E944" s="691">
        <v>62.4</v>
      </c>
      <c r="F944" s="691">
        <v>62.3</v>
      </c>
      <c r="G944" s="691">
        <v>62.4</v>
      </c>
      <c r="H944" s="691">
        <v>62.4</v>
      </c>
      <c r="I944" s="691">
        <v>60.8</v>
      </c>
      <c r="J944" s="691">
        <v>58.8</v>
      </c>
      <c r="K944" s="691">
        <v>61.6</v>
      </c>
    </row>
    <row r="945" spans="1:11">
      <c r="A945" s="688" t="s">
        <v>2240</v>
      </c>
      <c r="B945" s="689">
        <v>65.599999999999994</v>
      </c>
      <c r="C945" s="693">
        <v>66</v>
      </c>
      <c r="D945" s="689">
        <v>65.900000000000006</v>
      </c>
      <c r="E945" s="689">
        <v>66.3</v>
      </c>
      <c r="F945" s="689">
        <v>66.3</v>
      </c>
      <c r="G945" s="689">
        <v>66.3</v>
      </c>
      <c r="H945" s="689">
        <v>66.5</v>
      </c>
      <c r="I945" s="689">
        <v>65.5</v>
      </c>
      <c r="J945" s="689">
        <v>64.5</v>
      </c>
      <c r="K945" s="689">
        <v>66.3</v>
      </c>
    </row>
    <row r="946" spans="1:11">
      <c r="A946" s="688" t="s">
        <v>2</v>
      </c>
      <c r="B946" s="691">
        <v>67.7</v>
      </c>
      <c r="C946" s="615">
        <v>68</v>
      </c>
      <c r="D946" s="691">
        <v>68.099999999999994</v>
      </c>
      <c r="E946" s="691">
        <v>68.2</v>
      </c>
      <c r="F946" s="691">
        <v>68.5</v>
      </c>
      <c r="G946" s="691">
        <v>68.3</v>
      </c>
      <c r="H946" s="691">
        <v>68.7</v>
      </c>
      <c r="I946" s="691">
        <v>68.900000000000006</v>
      </c>
      <c r="J946" s="691">
        <v>68.8</v>
      </c>
      <c r="K946" s="691">
        <v>68.599999999999994</v>
      </c>
    </row>
    <row r="947" spans="1:11">
      <c r="A947" s="688" t="s">
        <v>3</v>
      </c>
      <c r="B947" s="693">
        <v>68</v>
      </c>
      <c r="C947" s="689">
        <v>68.3</v>
      </c>
      <c r="D947" s="689">
        <v>67.900000000000006</v>
      </c>
      <c r="E947" s="689">
        <v>68.2</v>
      </c>
      <c r="F947" s="689">
        <v>68.3</v>
      </c>
      <c r="G947" s="689">
        <v>68.2</v>
      </c>
      <c r="H947" s="689">
        <v>68.599999999999994</v>
      </c>
      <c r="I947" s="689">
        <v>68.3</v>
      </c>
      <c r="J947" s="693">
        <v>68</v>
      </c>
      <c r="K947" s="689">
        <v>67.900000000000006</v>
      </c>
    </row>
    <row r="948" spans="1:11">
      <c r="A948" s="688" t="s">
        <v>4061</v>
      </c>
      <c r="B948" s="615">
        <v>68</v>
      </c>
      <c r="C948" s="691">
        <v>68.3</v>
      </c>
      <c r="D948" s="691">
        <v>67.900000000000006</v>
      </c>
      <c r="E948" s="691">
        <v>68.2</v>
      </c>
      <c r="F948" s="691">
        <v>68.3</v>
      </c>
      <c r="G948" s="691">
        <v>68.2</v>
      </c>
      <c r="H948" s="691">
        <v>68.599999999999994</v>
      </c>
      <c r="I948" s="691">
        <v>68.3</v>
      </c>
      <c r="J948" s="615">
        <v>68</v>
      </c>
      <c r="K948" s="691">
        <v>67.900000000000006</v>
      </c>
    </row>
    <row r="949" spans="1:11">
      <c r="A949" s="688" t="s">
        <v>4</v>
      </c>
      <c r="B949" s="689">
        <v>64.900000000000006</v>
      </c>
      <c r="C949" s="689">
        <v>64.5</v>
      </c>
      <c r="D949" s="693">
        <v>65</v>
      </c>
      <c r="E949" s="689">
        <v>65.099999999999994</v>
      </c>
      <c r="F949" s="689">
        <v>65.5</v>
      </c>
      <c r="G949" s="689">
        <v>65.599999999999994</v>
      </c>
      <c r="H949" s="689">
        <v>66.099999999999994</v>
      </c>
      <c r="I949" s="693">
        <v>66</v>
      </c>
      <c r="J949" s="689">
        <v>64.400000000000006</v>
      </c>
      <c r="K949" s="689">
        <v>65.3</v>
      </c>
    </row>
    <row r="950" spans="1:11">
      <c r="A950" s="688" t="s">
        <v>8</v>
      </c>
      <c r="B950" s="691">
        <v>68.400000000000006</v>
      </c>
      <c r="C950" s="691">
        <v>68.599999999999994</v>
      </c>
      <c r="D950" s="691">
        <v>68.7</v>
      </c>
      <c r="E950" s="691">
        <v>68.900000000000006</v>
      </c>
      <c r="F950" s="691">
        <v>69.3</v>
      </c>
      <c r="G950" s="691">
        <v>69.3</v>
      </c>
      <c r="H950" s="691">
        <v>69.8</v>
      </c>
      <c r="I950" s="691">
        <v>69.599999999999994</v>
      </c>
      <c r="J950" s="691">
        <v>69.400000000000006</v>
      </c>
      <c r="K950" s="691">
        <v>69.7</v>
      </c>
    </row>
    <row r="951" spans="1:11">
      <c r="A951" s="688" t="s">
        <v>7</v>
      </c>
      <c r="B951" s="689">
        <v>68.7</v>
      </c>
      <c r="C951" s="689">
        <v>68.400000000000006</v>
      </c>
      <c r="D951" s="689">
        <v>68.2</v>
      </c>
      <c r="E951" s="689">
        <v>68.5</v>
      </c>
      <c r="F951" s="689">
        <v>68.400000000000006</v>
      </c>
      <c r="G951" s="689">
        <v>68.900000000000006</v>
      </c>
      <c r="H951" s="689">
        <v>68.8</v>
      </c>
      <c r="I951" s="689">
        <v>68.5</v>
      </c>
      <c r="J951" s="689">
        <v>67.400000000000006</v>
      </c>
      <c r="K951" s="689">
        <v>68.099999999999994</v>
      </c>
    </row>
    <row r="952" spans="1:11">
      <c r="A952" s="688" t="s">
        <v>27</v>
      </c>
      <c r="B952" s="691">
        <v>70.5</v>
      </c>
      <c r="C952" s="691">
        <v>70.2</v>
      </c>
      <c r="D952" s="615">
        <v>70</v>
      </c>
      <c r="E952" s="691">
        <v>70.400000000000006</v>
      </c>
      <c r="F952" s="691">
        <v>70.3</v>
      </c>
      <c r="G952" s="691">
        <v>70.400000000000006</v>
      </c>
      <c r="H952" s="691">
        <v>70.8</v>
      </c>
      <c r="I952" s="691">
        <v>69.5</v>
      </c>
      <c r="J952" s="691">
        <v>70.3</v>
      </c>
      <c r="K952" s="691">
        <v>70.400000000000006</v>
      </c>
    </row>
    <row r="953" spans="1:11">
      <c r="A953" s="688" t="s">
        <v>6</v>
      </c>
      <c r="B953" s="689">
        <v>69.8</v>
      </c>
      <c r="C953" s="689">
        <v>69.8</v>
      </c>
      <c r="D953" s="689">
        <v>69.5</v>
      </c>
      <c r="E953" s="689">
        <v>69.8</v>
      </c>
      <c r="F953" s="689">
        <v>69.900000000000006</v>
      </c>
      <c r="G953" s="693">
        <v>70</v>
      </c>
      <c r="H953" s="689">
        <v>70.099999999999994</v>
      </c>
      <c r="I953" s="689">
        <v>69.599999999999994</v>
      </c>
      <c r="J953" s="689">
        <v>69.599999999999994</v>
      </c>
      <c r="K953" s="689">
        <v>69.7</v>
      </c>
    </row>
    <row r="954" spans="1:11">
      <c r="A954" s="688" t="s">
        <v>4058</v>
      </c>
      <c r="B954" s="692" t="s">
        <v>4060</v>
      </c>
      <c r="C954" s="692" t="s">
        <v>4060</v>
      </c>
      <c r="D954" s="692" t="s">
        <v>4060</v>
      </c>
      <c r="E954" s="692" t="s">
        <v>4060</v>
      </c>
      <c r="F954" s="692" t="s">
        <v>4060</v>
      </c>
      <c r="G954" s="692" t="s">
        <v>4060</v>
      </c>
      <c r="H954" s="692" t="s">
        <v>4060</v>
      </c>
      <c r="I954" s="692" t="s">
        <v>4060</v>
      </c>
      <c r="J954" s="692" t="s">
        <v>4060</v>
      </c>
      <c r="K954" s="692" t="s">
        <v>4060</v>
      </c>
    </row>
    <row r="955" spans="1:11">
      <c r="A955" s="688" t="s">
        <v>11</v>
      </c>
      <c r="B955" s="689">
        <v>65.2</v>
      </c>
      <c r="C955" s="689">
        <v>65.2</v>
      </c>
      <c r="D955" s="689">
        <v>64.8</v>
      </c>
      <c r="E955" s="689">
        <v>65.5</v>
      </c>
      <c r="F955" s="689">
        <v>65.3</v>
      </c>
      <c r="G955" s="689">
        <v>65.400000000000006</v>
      </c>
      <c r="H955" s="689">
        <v>65.7</v>
      </c>
      <c r="I955" s="693">
        <v>65</v>
      </c>
      <c r="J955" s="693">
        <v>64</v>
      </c>
      <c r="K955" s="689">
        <v>65.099999999999994</v>
      </c>
    </row>
    <row r="956" spans="1:11">
      <c r="A956" s="688" t="s">
        <v>10</v>
      </c>
      <c r="B956" s="691">
        <v>70.2</v>
      </c>
      <c r="C956" s="691">
        <v>70.099999999999994</v>
      </c>
      <c r="D956" s="691">
        <v>69.7</v>
      </c>
      <c r="E956" s="691">
        <v>70.3</v>
      </c>
      <c r="F956" s="691">
        <v>70.099999999999994</v>
      </c>
      <c r="G956" s="691">
        <v>70.5</v>
      </c>
      <c r="H956" s="691">
        <v>70.7</v>
      </c>
      <c r="I956" s="691">
        <v>69.5</v>
      </c>
      <c r="J956" s="691">
        <v>69.900000000000006</v>
      </c>
      <c r="K956" s="615">
        <v>70</v>
      </c>
    </row>
    <row r="957" spans="1:11">
      <c r="A957" s="688" t="s">
        <v>30</v>
      </c>
      <c r="B957" s="689">
        <v>69.7</v>
      </c>
      <c r="C957" s="689">
        <v>69.5</v>
      </c>
      <c r="D957" s="689">
        <v>69.2</v>
      </c>
      <c r="E957" s="689">
        <v>70.099999999999994</v>
      </c>
      <c r="F957" s="689">
        <v>69.7</v>
      </c>
      <c r="G957" s="689">
        <v>70.3</v>
      </c>
      <c r="H957" s="689">
        <v>69.900000000000006</v>
      </c>
      <c r="I957" s="689">
        <v>69.900000000000006</v>
      </c>
      <c r="J957" s="689">
        <v>69.099999999999994</v>
      </c>
      <c r="K957" s="689">
        <v>69.5</v>
      </c>
    </row>
    <row r="958" spans="1:11">
      <c r="A958" s="688" t="s">
        <v>12</v>
      </c>
      <c r="B958" s="691">
        <v>61.9</v>
      </c>
      <c r="C958" s="691">
        <v>61.8</v>
      </c>
      <c r="D958" s="691">
        <v>62.1</v>
      </c>
      <c r="E958" s="691">
        <v>62.2</v>
      </c>
      <c r="F958" s="691">
        <v>62.3</v>
      </c>
      <c r="G958" s="691">
        <v>62.3</v>
      </c>
      <c r="H958" s="615">
        <v>63</v>
      </c>
      <c r="I958" s="691">
        <v>62.8</v>
      </c>
      <c r="J958" s="691">
        <v>60.4</v>
      </c>
      <c r="K958" s="691">
        <v>61.8</v>
      </c>
    </row>
    <row r="959" spans="1:11">
      <c r="A959" s="688" t="s">
        <v>14</v>
      </c>
      <c r="B959" s="689">
        <v>61.5</v>
      </c>
      <c r="C959" s="693">
        <v>62</v>
      </c>
      <c r="D959" s="689">
        <v>61.9</v>
      </c>
      <c r="E959" s="689">
        <v>62.3</v>
      </c>
      <c r="F959" s="693">
        <v>63</v>
      </c>
      <c r="G959" s="689">
        <v>63.2</v>
      </c>
      <c r="H959" s="689">
        <v>63.7</v>
      </c>
      <c r="I959" s="689">
        <v>62.5</v>
      </c>
      <c r="J959" s="689">
        <v>61.6</v>
      </c>
      <c r="K959" s="689">
        <v>63.1</v>
      </c>
    </row>
    <row r="960" spans="1:11">
      <c r="A960" s="688" t="s">
        <v>15</v>
      </c>
      <c r="B960" s="691">
        <v>69.3</v>
      </c>
      <c r="C960" s="691">
        <v>69.2</v>
      </c>
      <c r="D960" s="691">
        <v>69.3</v>
      </c>
      <c r="E960" s="691">
        <v>69.7</v>
      </c>
      <c r="F960" s="691">
        <v>69.2</v>
      </c>
      <c r="G960" s="691">
        <v>69.5</v>
      </c>
      <c r="H960" s="691">
        <v>69.900000000000006</v>
      </c>
      <c r="I960" s="691">
        <v>69.5</v>
      </c>
      <c r="J960" s="691">
        <v>69.8</v>
      </c>
      <c r="K960" s="691">
        <v>70.2</v>
      </c>
    </row>
    <row r="961" spans="1:11">
      <c r="A961" s="688" t="s">
        <v>29</v>
      </c>
      <c r="B961" s="689">
        <v>63.3</v>
      </c>
      <c r="C961" s="689">
        <v>63.3</v>
      </c>
      <c r="D961" s="693">
        <v>63</v>
      </c>
      <c r="E961" s="689">
        <v>63.5</v>
      </c>
      <c r="F961" s="689">
        <v>63.3</v>
      </c>
      <c r="G961" s="689">
        <v>63.4</v>
      </c>
      <c r="H961" s="689">
        <v>63.7</v>
      </c>
      <c r="I961" s="689">
        <v>62.9</v>
      </c>
      <c r="J961" s="689">
        <v>61.5</v>
      </c>
      <c r="K961" s="689">
        <v>63.3</v>
      </c>
    </row>
    <row r="962" spans="1:11">
      <c r="A962" s="688" t="s">
        <v>16</v>
      </c>
      <c r="B962" s="691">
        <v>69.400000000000006</v>
      </c>
      <c r="C962" s="691">
        <v>69.3</v>
      </c>
      <c r="D962" s="691">
        <v>69.3</v>
      </c>
      <c r="E962" s="691">
        <v>69.8</v>
      </c>
      <c r="F962" s="691">
        <v>69.7</v>
      </c>
      <c r="G962" s="691">
        <v>69.599999999999994</v>
      </c>
      <c r="H962" s="691">
        <v>70.099999999999994</v>
      </c>
      <c r="I962" s="691">
        <v>69.3</v>
      </c>
      <c r="J962" s="691">
        <v>69.400000000000006</v>
      </c>
      <c r="K962" s="691">
        <v>69.599999999999994</v>
      </c>
    </row>
    <row r="963" spans="1:11">
      <c r="A963" s="688" t="s">
        <v>17</v>
      </c>
      <c r="B963" s="689">
        <v>68.8</v>
      </c>
      <c r="C963" s="693">
        <v>69</v>
      </c>
      <c r="D963" s="689">
        <v>68.8</v>
      </c>
      <c r="E963" s="689">
        <v>68.900000000000006</v>
      </c>
      <c r="F963" s="689">
        <v>69.099999999999994</v>
      </c>
      <c r="G963" s="689">
        <v>69.099999999999994</v>
      </c>
      <c r="H963" s="689">
        <v>69.400000000000006</v>
      </c>
      <c r="I963" s="689">
        <v>68.8</v>
      </c>
      <c r="J963" s="689">
        <v>68.7</v>
      </c>
      <c r="K963" s="693">
        <v>69</v>
      </c>
    </row>
    <row r="964" spans="1:11">
      <c r="A964" s="688" t="s">
        <v>19</v>
      </c>
      <c r="B964" s="691">
        <v>68.7</v>
      </c>
      <c r="C964" s="691">
        <v>68.7</v>
      </c>
      <c r="D964" s="691">
        <v>68.5</v>
      </c>
      <c r="E964" s="615">
        <v>69</v>
      </c>
      <c r="F964" s="615">
        <v>69</v>
      </c>
      <c r="G964" s="615">
        <v>69</v>
      </c>
      <c r="H964" s="691">
        <v>69.3</v>
      </c>
      <c r="I964" s="691">
        <v>68.7</v>
      </c>
      <c r="J964" s="691">
        <v>68.599999999999994</v>
      </c>
      <c r="K964" s="691">
        <v>68.7</v>
      </c>
    </row>
    <row r="965" spans="1:11">
      <c r="A965" s="688" t="s">
        <v>20</v>
      </c>
      <c r="B965" s="689">
        <v>64.599999999999994</v>
      </c>
      <c r="C965" s="693">
        <v>65</v>
      </c>
      <c r="D965" s="689">
        <v>64.8</v>
      </c>
      <c r="E965" s="689">
        <v>65.2</v>
      </c>
      <c r="F965" s="689">
        <v>65.099999999999994</v>
      </c>
      <c r="G965" s="693">
        <v>65</v>
      </c>
      <c r="H965" s="689">
        <v>65.3</v>
      </c>
      <c r="I965" s="689">
        <v>63.8</v>
      </c>
      <c r="J965" s="689">
        <v>62.8</v>
      </c>
      <c r="K965" s="689">
        <v>64.5</v>
      </c>
    </row>
    <row r="966" spans="1:11">
      <c r="A966" s="688" t="s">
        <v>21</v>
      </c>
      <c r="B966" s="691">
        <v>68.2</v>
      </c>
      <c r="C966" s="691">
        <v>68.599999999999994</v>
      </c>
      <c r="D966" s="691">
        <v>68.7</v>
      </c>
      <c r="E966" s="691">
        <v>68.7</v>
      </c>
      <c r="F966" s="615">
        <v>69</v>
      </c>
      <c r="G966" s="615">
        <v>69</v>
      </c>
      <c r="H966" s="691">
        <v>69.3</v>
      </c>
      <c r="I966" s="691">
        <v>68.599999999999994</v>
      </c>
      <c r="J966" s="691">
        <v>68.7</v>
      </c>
      <c r="K966" s="615">
        <v>69</v>
      </c>
    </row>
    <row r="967" spans="1:11">
      <c r="A967" s="688" t="s">
        <v>22</v>
      </c>
      <c r="B967" s="693">
        <v>63</v>
      </c>
      <c r="C967" s="689">
        <v>62.7</v>
      </c>
      <c r="D967" s="689">
        <v>62.7</v>
      </c>
      <c r="E967" s="689">
        <v>62.9</v>
      </c>
      <c r="F967" s="689">
        <v>62.9</v>
      </c>
      <c r="G967" s="689">
        <v>62.9</v>
      </c>
      <c r="H967" s="689">
        <v>63.2</v>
      </c>
      <c r="I967" s="689">
        <v>61.7</v>
      </c>
      <c r="J967" s="689">
        <v>60.3</v>
      </c>
      <c r="K967" s="689">
        <v>62.7</v>
      </c>
    </row>
    <row r="968" spans="1:11">
      <c r="A968" s="688" t="s">
        <v>26</v>
      </c>
      <c r="B968" s="691">
        <v>67.8</v>
      </c>
      <c r="C968" s="691">
        <v>68.099999999999994</v>
      </c>
      <c r="D968" s="691">
        <v>67.8</v>
      </c>
      <c r="E968" s="691">
        <v>68.2</v>
      </c>
      <c r="F968" s="691">
        <v>68.2</v>
      </c>
      <c r="G968" s="691">
        <v>68.400000000000006</v>
      </c>
      <c r="H968" s="691">
        <v>68.599999999999994</v>
      </c>
      <c r="I968" s="691">
        <v>67.8</v>
      </c>
      <c r="J968" s="691">
        <v>67.8</v>
      </c>
      <c r="K968" s="691">
        <v>68.400000000000006</v>
      </c>
    </row>
    <row r="969" spans="1:11">
      <c r="A969" s="688" t="s">
        <v>25</v>
      </c>
      <c r="B969" s="689">
        <v>64.2</v>
      </c>
      <c r="C969" s="689">
        <v>64.5</v>
      </c>
      <c r="D969" s="689">
        <v>64.2</v>
      </c>
      <c r="E969" s="689">
        <v>64.8</v>
      </c>
      <c r="F969" s="689">
        <v>64.7</v>
      </c>
      <c r="G969" s="689">
        <v>64.8</v>
      </c>
      <c r="H969" s="689">
        <v>65.3</v>
      </c>
      <c r="I969" s="689">
        <v>64.5</v>
      </c>
      <c r="J969" s="689">
        <v>62.1</v>
      </c>
      <c r="K969" s="689">
        <v>64.5</v>
      </c>
    </row>
    <row r="970" spans="1:11">
      <c r="A970" s="688" t="s">
        <v>5</v>
      </c>
      <c r="B970" s="691">
        <v>68.3</v>
      </c>
      <c r="C970" s="691">
        <v>68.3</v>
      </c>
      <c r="D970" s="691">
        <v>68.599999999999994</v>
      </c>
      <c r="E970" s="691">
        <v>68.5</v>
      </c>
      <c r="F970" s="691">
        <v>68.7</v>
      </c>
      <c r="G970" s="691">
        <v>68.900000000000006</v>
      </c>
      <c r="H970" s="691">
        <v>69.099999999999994</v>
      </c>
      <c r="I970" s="615">
        <v>69</v>
      </c>
      <c r="J970" s="615">
        <v>69</v>
      </c>
      <c r="K970" s="691">
        <v>68.400000000000006</v>
      </c>
    </row>
    <row r="971" spans="1:11">
      <c r="A971" s="688" t="s">
        <v>23</v>
      </c>
      <c r="B971" s="689">
        <v>69.3</v>
      </c>
      <c r="C971" s="689">
        <v>69.5</v>
      </c>
      <c r="D971" s="689">
        <v>69.5</v>
      </c>
      <c r="E971" s="689">
        <v>69.599999999999994</v>
      </c>
      <c r="F971" s="689">
        <v>69.7</v>
      </c>
      <c r="G971" s="689">
        <v>69.8</v>
      </c>
      <c r="H971" s="689">
        <v>70.3</v>
      </c>
      <c r="I971" s="689">
        <v>69.7</v>
      </c>
      <c r="J971" s="689">
        <v>70.3</v>
      </c>
      <c r="K971" s="689">
        <v>70.3</v>
      </c>
    </row>
    <row r="972" spans="1:11">
      <c r="A972" s="688" t="s">
        <v>4067</v>
      </c>
      <c r="B972" s="615">
        <v>68</v>
      </c>
      <c r="C972" s="691">
        <v>68.3</v>
      </c>
      <c r="D972" s="615">
        <v>68</v>
      </c>
      <c r="E972" s="691">
        <v>68.400000000000006</v>
      </c>
      <c r="F972" s="691">
        <v>68.3</v>
      </c>
      <c r="G972" s="691">
        <v>68.400000000000006</v>
      </c>
      <c r="H972" s="692" t="s">
        <v>4060</v>
      </c>
      <c r="I972" s="692" t="s">
        <v>4060</v>
      </c>
      <c r="J972" s="692" t="s">
        <v>4060</v>
      </c>
      <c r="K972" s="692" t="s">
        <v>4060</v>
      </c>
    </row>
    <row r="973" spans="1:11">
      <c r="A973" s="688" t="s">
        <v>4066</v>
      </c>
      <c r="B973" s="693">
        <v>68</v>
      </c>
      <c r="C973" s="689">
        <v>68.3</v>
      </c>
      <c r="D973" s="693">
        <v>68</v>
      </c>
      <c r="E973" s="689">
        <v>68.400000000000006</v>
      </c>
      <c r="F973" s="689">
        <v>68.400000000000006</v>
      </c>
      <c r="G973" s="689">
        <v>68.400000000000006</v>
      </c>
      <c r="H973" s="690" t="s">
        <v>4060</v>
      </c>
      <c r="I973" s="690" t="s">
        <v>4060</v>
      </c>
      <c r="J973" s="690" t="s">
        <v>4060</v>
      </c>
      <c r="K973" s="690" t="s">
        <v>4060</v>
      </c>
    </row>
    <row r="974" spans="1:11">
      <c r="A974" s="688" t="s">
        <v>4062</v>
      </c>
      <c r="B974" s="691">
        <v>69.900000000000006</v>
      </c>
      <c r="C974" s="691">
        <v>70.099999999999994</v>
      </c>
      <c r="D974" s="615">
        <v>70</v>
      </c>
      <c r="E974" s="691">
        <v>70.400000000000006</v>
      </c>
      <c r="F974" s="691">
        <v>70.5</v>
      </c>
      <c r="G974" s="691">
        <v>70.599999999999994</v>
      </c>
      <c r="H974" s="691">
        <v>70.8</v>
      </c>
      <c r="I974" s="691">
        <v>70.400000000000006</v>
      </c>
      <c r="J974" s="691">
        <v>70.8</v>
      </c>
      <c r="K974" s="691">
        <v>70.5</v>
      </c>
    </row>
    <row r="975" spans="1:11">
      <c r="A975" s="688" t="s">
        <v>9</v>
      </c>
      <c r="B975" s="689">
        <v>69.400000000000006</v>
      </c>
      <c r="C975" s="689">
        <v>69.900000000000006</v>
      </c>
      <c r="D975" s="689">
        <v>69.7</v>
      </c>
      <c r="E975" s="689">
        <v>69.3</v>
      </c>
      <c r="F975" s="689">
        <v>69.8</v>
      </c>
      <c r="G975" s="689">
        <v>69.900000000000006</v>
      </c>
      <c r="H975" s="689">
        <v>70.099999999999994</v>
      </c>
      <c r="I975" s="689">
        <v>70.2</v>
      </c>
      <c r="J975" s="689">
        <v>70.400000000000006</v>
      </c>
      <c r="K975" s="689">
        <v>69.400000000000006</v>
      </c>
    </row>
    <row r="976" spans="1:11">
      <c r="A976" s="688" t="s">
        <v>13</v>
      </c>
      <c r="B976" s="691">
        <v>69.900000000000006</v>
      </c>
      <c r="C976" s="691">
        <v>69.3</v>
      </c>
      <c r="D976" s="615">
        <v>70</v>
      </c>
      <c r="E976" s="691">
        <v>69.3</v>
      </c>
      <c r="F976" s="691">
        <v>70.3</v>
      </c>
      <c r="G976" s="615">
        <v>70</v>
      </c>
      <c r="H976" s="615">
        <v>71</v>
      </c>
      <c r="I976" s="691">
        <v>69.7</v>
      </c>
      <c r="J976" s="691">
        <v>71.099999999999994</v>
      </c>
      <c r="K976" s="615">
        <v>71</v>
      </c>
    </row>
    <row r="977" spans="1:11">
      <c r="A977" s="688" t="s">
        <v>18</v>
      </c>
      <c r="B977" s="689">
        <v>69.099999999999994</v>
      </c>
      <c r="C977" s="689">
        <v>69.400000000000006</v>
      </c>
      <c r="D977" s="689">
        <v>69.5</v>
      </c>
      <c r="E977" s="689">
        <v>69.7</v>
      </c>
      <c r="F977" s="689">
        <v>69.900000000000006</v>
      </c>
      <c r="G977" s="693">
        <v>70</v>
      </c>
      <c r="H977" s="689">
        <v>70.2</v>
      </c>
      <c r="I977" s="689">
        <v>70.400000000000006</v>
      </c>
      <c r="J977" s="689">
        <v>70.400000000000006</v>
      </c>
      <c r="K977" s="689">
        <v>69.900000000000006</v>
      </c>
    </row>
    <row r="978" spans="1:11">
      <c r="A978" s="688" t="s">
        <v>24</v>
      </c>
      <c r="B978" s="691">
        <v>70.3</v>
      </c>
      <c r="C978" s="691">
        <v>70.5</v>
      </c>
      <c r="D978" s="691">
        <v>70.3</v>
      </c>
      <c r="E978" s="691">
        <v>70.8</v>
      </c>
      <c r="F978" s="691">
        <v>70.8</v>
      </c>
      <c r="G978" s="615">
        <v>71</v>
      </c>
      <c r="H978" s="691">
        <v>71.2</v>
      </c>
      <c r="I978" s="691">
        <v>70.400000000000006</v>
      </c>
      <c r="J978" s="615">
        <v>71</v>
      </c>
      <c r="K978" s="691">
        <v>70.900000000000006</v>
      </c>
    </row>
    <row r="979" spans="1:11">
      <c r="A979" s="688" t="s">
        <v>4059</v>
      </c>
      <c r="B979" s="689">
        <v>68.5</v>
      </c>
      <c r="C979" s="689">
        <v>68.8</v>
      </c>
      <c r="D979" s="689">
        <v>68.400000000000006</v>
      </c>
      <c r="E979" s="689">
        <v>68.599999999999994</v>
      </c>
      <c r="F979" s="689">
        <v>68.7</v>
      </c>
      <c r="G979" s="689">
        <v>68.7</v>
      </c>
      <c r="H979" s="690" t="s">
        <v>4060</v>
      </c>
      <c r="I979" s="690" t="s">
        <v>4060</v>
      </c>
      <c r="J979" s="690" t="s">
        <v>4060</v>
      </c>
      <c r="K979" s="690" t="s">
        <v>4060</v>
      </c>
    </row>
    <row r="980" spans="1:11">
      <c r="A980" s="688" t="s">
        <v>2324</v>
      </c>
      <c r="B980" s="691">
        <v>63.9</v>
      </c>
      <c r="C980" s="615">
        <v>64</v>
      </c>
      <c r="D980" s="691">
        <v>63.8</v>
      </c>
      <c r="E980" s="691">
        <v>63.9</v>
      </c>
      <c r="F980" s="691">
        <v>63.8</v>
      </c>
      <c r="G980" s="691">
        <v>64.2</v>
      </c>
      <c r="H980" s="615">
        <v>64</v>
      </c>
      <c r="I980" s="691">
        <v>63.2</v>
      </c>
      <c r="J980" s="615">
        <v>61</v>
      </c>
      <c r="K980" s="692" t="s">
        <v>4060</v>
      </c>
    </row>
    <row r="981" spans="1:11">
      <c r="A981" s="688" t="s">
        <v>2322</v>
      </c>
      <c r="B981" s="690" t="s">
        <v>4060</v>
      </c>
      <c r="C981" s="690" t="s">
        <v>4060</v>
      </c>
      <c r="D981" s="690" t="s">
        <v>4060</v>
      </c>
      <c r="E981" s="690" t="s">
        <v>4060</v>
      </c>
      <c r="F981" s="690" t="s">
        <v>4060</v>
      </c>
      <c r="G981" s="690" t="s">
        <v>4060</v>
      </c>
      <c r="H981" s="690" t="s">
        <v>4060</v>
      </c>
      <c r="I981" s="690" t="s">
        <v>4060</v>
      </c>
      <c r="J981" s="690" t="s">
        <v>4060</v>
      </c>
      <c r="K981" s="690" t="s">
        <v>4060</v>
      </c>
    </row>
    <row r="982" spans="1:11">
      <c r="A982" s="688" t="s">
        <v>2328</v>
      </c>
      <c r="B982" s="691">
        <v>63.4</v>
      </c>
      <c r="C982" s="691">
        <v>63.4</v>
      </c>
      <c r="D982" s="691">
        <v>63.3</v>
      </c>
      <c r="E982" s="691">
        <v>63.5</v>
      </c>
      <c r="F982" s="691">
        <v>63.8</v>
      </c>
      <c r="G982" s="691">
        <v>64.2</v>
      </c>
      <c r="H982" s="691">
        <v>64.2</v>
      </c>
      <c r="I982" s="691">
        <v>61.9</v>
      </c>
      <c r="J982" s="691">
        <v>60.7</v>
      </c>
      <c r="K982" s="692" t="s">
        <v>4060</v>
      </c>
    </row>
    <row r="983" spans="1:11">
      <c r="A983" s="688" t="s">
        <v>2496</v>
      </c>
      <c r="B983" s="690" t="s">
        <v>4060</v>
      </c>
      <c r="C983" s="689">
        <v>62.1</v>
      </c>
      <c r="D983" s="693">
        <v>61</v>
      </c>
      <c r="E983" s="689">
        <v>60.6</v>
      </c>
      <c r="F983" s="689">
        <v>61.4</v>
      </c>
      <c r="G983" s="689">
        <v>61.8</v>
      </c>
      <c r="H983" s="689">
        <v>61.8</v>
      </c>
      <c r="I983" s="690" t="s">
        <v>4060</v>
      </c>
      <c r="J983" s="690" t="s">
        <v>4060</v>
      </c>
      <c r="K983" s="689">
        <v>61.4</v>
      </c>
    </row>
    <row r="984" spans="1:11">
      <c r="A984" s="688" t="s">
        <v>2269</v>
      </c>
      <c r="B984" s="691">
        <v>65.8</v>
      </c>
      <c r="C984" s="691">
        <v>66.099999999999994</v>
      </c>
      <c r="D984" s="691">
        <v>65.7</v>
      </c>
      <c r="E984" s="691">
        <v>66.400000000000006</v>
      </c>
      <c r="F984" s="691">
        <v>66.3</v>
      </c>
      <c r="G984" s="691">
        <v>66.8</v>
      </c>
      <c r="H984" s="615">
        <v>67</v>
      </c>
      <c r="I984" s="691">
        <v>65.3</v>
      </c>
      <c r="J984" s="691">
        <v>63.3</v>
      </c>
      <c r="K984" s="691">
        <v>66.8</v>
      </c>
    </row>
    <row r="985" spans="1:11">
      <c r="A985" s="688" t="s">
        <v>2349</v>
      </c>
      <c r="B985" s="689">
        <v>62.9</v>
      </c>
      <c r="C985" s="689">
        <v>62.9</v>
      </c>
      <c r="D985" s="689">
        <v>62.9</v>
      </c>
      <c r="E985" s="689">
        <v>63.3</v>
      </c>
      <c r="F985" s="689">
        <v>63.1</v>
      </c>
      <c r="G985" s="689">
        <v>63.5</v>
      </c>
      <c r="H985" s="689">
        <v>63.5</v>
      </c>
      <c r="I985" s="689">
        <v>61.9</v>
      </c>
      <c r="J985" s="689">
        <v>60.3</v>
      </c>
      <c r="K985" s="689">
        <v>62.7</v>
      </c>
    </row>
    <row r="986" spans="1:11">
      <c r="A986" s="688" t="s">
        <v>2355</v>
      </c>
      <c r="B986" s="691">
        <v>66.5</v>
      </c>
      <c r="C986" s="691">
        <v>66.400000000000006</v>
      </c>
      <c r="D986" s="691">
        <v>66.3</v>
      </c>
      <c r="E986" s="691">
        <v>66.2</v>
      </c>
      <c r="F986" s="691">
        <v>66.5</v>
      </c>
      <c r="G986" s="691">
        <v>66.900000000000006</v>
      </c>
      <c r="H986" s="691">
        <v>67.099999999999994</v>
      </c>
      <c r="I986" s="692" t="s">
        <v>4060</v>
      </c>
      <c r="J986" s="692" t="s">
        <v>4060</v>
      </c>
      <c r="K986" s="692" t="s">
        <v>4060</v>
      </c>
    </row>
    <row r="987" spans="1:11">
      <c r="A987" s="688" t="s">
        <v>2357</v>
      </c>
      <c r="B987" s="690" t="s">
        <v>4060</v>
      </c>
      <c r="C987" s="689">
        <v>59.5</v>
      </c>
      <c r="D987" s="689">
        <v>60.3</v>
      </c>
      <c r="E987" s="689">
        <v>60.6</v>
      </c>
      <c r="F987" s="693">
        <v>61</v>
      </c>
      <c r="G987" s="689">
        <v>60.8</v>
      </c>
      <c r="H987" s="689">
        <v>61.1</v>
      </c>
      <c r="I987" s="690" t="s">
        <v>4060</v>
      </c>
      <c r="J987" s="690" t="s">
        <v>4060</v>
      </c>
      <c r="K987" s="690" t="s">
        <v>4060</v>
      </c>
    </row>
    <row r="988" spans="1:11">
      <c r="A988" s="688" t="s">
        <v>4070</v>
      </c>
      <c r="B988" s="692" t="s">
        <v>4060</v>
      </c>
      <c r="C988" s="692" t="s">
        <v>4060</v>
      </c>
      <c r="D988" s="692" t="s">
        <v>4060</v>
      </c>
      <c r="E988" s="691">
        <v>66.3</v>
      </c>
      <c r="F988" s="692" t="s">
        <v>4060</v>
      </c>
      <c r="G988" s="692" t="s">
        <v>4060</v>
      </c>
      <c r="H988" s="692" t="s">
        <v>4060</v>
      </c>
      <c r="I988" s="692" t="s">
        <v>4060</v>
      </c>
      <c r="J988" s="692" t="s">
        <v>4060</v>
      </c>
      <c r="K988" s="692" t="s">
        <v>4060</v>
      </c>
    </row>
    <row r="989" spans="1:11">
      <c r="A989" s="688" t="s">
        <v>2491</v>
      </c>
      <c r="B989" s="689">
        <v>60.2</v>
      </c>
      <c r="C989" s="689">
        <v>60.7</v>
      </c>
      <c r="D989" s="689">
        <v>61.3</v>
      </c>
      <c r="E989" s="689">
        <v>61.6</v>
      </c>
      <c r="F989" s="689">
        <v>61.8</v>
      </c>
      <c r="G989" s="689">
        <v>61.8</v>
      </c>
      <c r="H989" s="690" t="s">
        <v>4060</v>
      </c>
      <c r="I989" s="690" t="s">
        <v>4060</v>
      </c>
      <c r="J989" s="690" t="s">
        <v>4060</v>
      </c>
      <c r="K989" s="690" t="s">
        <v>4060</v>
      </c>
    </row>
    <row r="990" spans="1:11">
      <c r="A990" s="688" t="s">
        <v>2343</v>
      </c>
      <c r="B990" s="692" t="s">
        <v>4060</v>
      </c>
      <c r="C990" s="692" t="s">
        <v>4060</v>
      </c>
      <c r="D990" s="692" t="s">
        <v>4060</v>
      </c>
      <c r="E990" s="692" t="s">
        <v>4060</v>
      </c>
      <c r="F990" s="692" t="s">
        <v>4060</v>
      </c>
      <c r="G990" s="692" t="s">
        <v>4060</v>
      </c>
      <c r="H990" s="692" t="s">
        <v>4060</v>
      </c>
      <c r="I990" s="692" t="s">
        <v>4060</v>
      </c>
      <c r="J990" s="692" t="s">
        <v>4060</v>
      </c>
      <c r="K990" s="692" t="s">
        <v>4060</v>
      </c>
    </row>
    <row r="991" spans="1:11">
      <c r="A991" s="688" t="s">
        <v>4071</v>
      </c>
      <c r="B991" s="690" t="s">
        <v>4060</v>
      </c>
      <c r="C991" s="690" t="s">
        <v>4060</v>
      </c>
      <c r="D991" s="690" t="s">
        <v>4060</v>
      </c>
      <c r="E991" s="690" t="s">
        <v>4060</v>
      </c>
      <c r="F991" s="690" t="s">
        <v>4060</v>
      </c>
      <c r="G991" s="690" t="s">
        <v>4060</v>
      </c>
      <c r="H991" s="690" t="s">
        <v>4060</v>
      </c>
      <c r="I991" s="690" t="s">
        <v>4060</v>
      </c>
      <c r="J991" s="690" t="s">
        <v>4060</v>
      </c>
      <c r="K991" s="690" t="s">
        <v>4060</v>
      </c>
    </row>
    <row r="992" spans="1:11">
      <c r="A992" s="688" t="s">
        <v>2489</v>
      </c>
      <c r="B992" s="692" t="s">
        <v>4060</v>
      </c>
      <c r="C992" s="692" t="s">
        <v>4060</v>
      </c>
      <c r="D992" s="691">
        <v>62.9</v>
      </c>
      <c r="E992" s="691">
        <v>62.9</v>
      </c>
      <c r="F992" s="691">
        <v>63.6</v>
      </c>
      <c r="G992" s="691">
        <v>64.400000000000006</v>
      </c>
      <c r="H992" s="691">
        <v>64.3</v>
      </c>
      <c r="I992" s="692" t="s">
        <v>4060</v>
      </c>
      <c r="J992" s="692" t="s">
        <v>4060</v>
      </c>
      <c r="K992" s="692" t="s">
        <v>4060</v>
      </c>
    </row>
    <row r="993" spans="1:11">
      <c r="A993" s="688" t="s">
        <v>2490</v>
      </c>
      <c r="B993" s="689">
        <v>62.8</v>
      </c>
      <c r="C993" s="689">
        <v>62.9</v>
      </c>
      <c r="D993" s="689">
        <v>63.5</v>
      </c>
      <c r="E993" s="690" t="s">
        <v>4060</v>
      </c>
      <c r="F993" s="689">
        <v>63.7</v>
      </c>
      <c r="G993" s="689">
        <v>64.099999999999994</v>
      </c>
      <c r="H993" s="689">
        <v>64.8</v>
      </c>
      <c r="I993" s="690" t="s">
        <v>4060</v>
      </c>
      <c r="J993" s="690" t="s">
        <v>4060</v>
      </c>
      <c r="K993" s="690" t="s">
        <v>4060</v>
      </c>
    </row>
    <row r="995" spans="1:11">
      <c r="A995" s="683" t="s">
        <v>4233</v>
      </c>
    </row>
    <row r="996" spans="1:11">
      <c r="A996" s="683" t="s">
        <v>4060</v>
      </c>
      <c r="B996" s="682" t="s">
        <v>4234</v>
      </c>
    </row>
    <row r="998" spans="1:11">
      <c r="A998" s="682" t="s">
        <v>4248</v>
      </c>
    </row>
    <row r="999" spans="1:11">
      <c r="A999" s="682" t="s">
        <v>4210</v>
      </c>
      <c r="B999" s="683" t="s">
        <v>4211</v>
      </c>
    </row>
    <row r="1000" spans="1:11">
      <c r="A1000" s="682" t="s">
        <v>4212</v>
      </c>
      <c r="B1000" s="682" t="s">
        <v>4213</v>
      </c>
    </row>
    <row r="1002" spans="1:11">
      <c r="A1002" s="683" t="s">
        <v>4214</v>
      </c>
      <c r="C1002" s="682" t="s">
        <v>4215</v>
      </c>
    </row>
    <row r="1003" spans="1:11">
      <c r="A1003" s="683" t="s">
        <v>4216</v>
      </c>
      <c r="C1003" s="682" t="s">
        <v>2967</v>
      </c>
    </row>
    <row r="1004" spans="1:11">
      <c r="A1004" s="683" t="s">
        <v>3893</v>
      </c>
      <c r="C1004" s="682" t="s">
        <v>4217</v>
      </c>
    </row>
    <row r="1005" spans="1:11">
      <c r="A1005" s="683" t="s">
        <v>4218</v>
      </c>
      <c r="C1005" s="682" t="s">
        <v>4249</v>
      </c>
    </row>
    <row r="1007" spans="1:11">
      <c r="A1007" s="684" t="s">
        <v>4220</v>
      </c>
      <c r="B1007" s="685" t="s">
        <v>4221</v>
      </c>
      <c r="C1007" s="685" t="s">
        <v>4222</v>
      </c>
      <c r="D1007" s="685" t="s">
        <v>4223</v>
      </c>
      <c r="E1007" s="685" t="s">
        <v>4224</v>
      </c>
      <c r="F1007" s="685" t="s">
        <v>4225</v>
      </c>
      <c r="G1007" s="685" t="s">
        <v>4226</v>
      </c>
      <c r="H1007" s="685" t="s">
        <v>4227</v>
      </c>
      <c r="I1007" s="685" t="s">
        <v>4228</v>
      </c>
      <c r="J1007" s="685" t="s">
        <v>4229</v>
      </c>
      <c r="K1007" s="685" t="s">
        <v>4230</v>
      </c>
    </row>
    <row r="1008" spans="1:11">
      <c r="A1008" s="686" t="s">
        <v>4231</v>
      </c>
      <c r="B1008" s="687" t="s">
        <v>4232</v>
      </c>
      <c r="C1008" s="687" t="s">
        <v>4232</v>
      </c>
      <c r="D1008" s="687" t="s">
        <v>4232</v>
      </c>
      <c r="E1008" s="687" t="s">
        <v>4232</v>
      </c>
      <c r="F1008" s="687" t="s">
        <v>4232</v>
      </c>
      <c r="G1008" s="687" t="s">
        <v>4232</v>
      </c>
      <c r="H1008" s="687" t="s">
        <v>4232</v>
      </c>
      <c r="I1008" s="687" t="s">
        <v>4232</v>
      </c>
      <c r="J1008" s="687" t="s">
        <v>4232</v>
      </c>
      <c r="K1008" s="687" t="s">
        <v>4232</v>
      </c>
    </row>
    <row r="1009" spans="1:11">
      <c r="A1009" s="688" t="s">
        <v>4064</v>
      </c>
      <c r="B1009" s="689">
        <v>66.900000000000006</v>
      </c>
      <c r="C1009" s="693">
        <v>67</v>
      </c>
      <c r="D1009" s="689">
        <v>66.900000000000006</v>
      </c>
      <c r="E1009" s="689">
        <v>67.099999999999994</v>
      </c>
      <c r="F1009" s="689">
        <v>67.099999999999994</v>
      </c>
      <c r="G1009" s="689">
        <v>67.2</v>
      </c>
      <c r="H1009" s="689">
        <v>67.5</v>
      </c>
      <c r="I1009" s="689">
        <v>66.599999999999994</v>
      </c>
      <c r="J1009" s="689">
        <v>66.3</v>
      </c>
      <c r="K1009" s="689">
        <v>66.900000000000006</v>
      </c>
    </row>
    <row r="1010" spans="1:11">
      <c r="A1010" s="688" t="s">
        <v>4065</v>
      </c>
      <c r="B1010" s="615">
        <v>67</v>
      </c>
      <c r="C1010" s="691">
        <v>67.3</v>
      </c>
      <c r="D1010" s="615">
        <v>67</v>
      </c>
      <c r="E1010" s="691">
        <v>67.400000000000006</v>
      </c>
      <c r="F1010" s="691">
        <v>67.3</v>
      </c>
      <c r="G1010" s="691">
        <v>67.400000000000006</v>
      </c>
      <c r="H1010" s="692" t="s">
        <v>4060</v>
      </c>
      <c r="I1010" s="692" t="s">
        <v>4060</v>
      </c>
      <c r="J1010" s="692" t="s">
        <v>4060</v>
      </c>
      <c r="K1010" s="692" t="s">
        <v>4060</v>
      </c>
    </row>
    <row r="1011" spans="1:11">
      <c r="A1011" s="688" t="s">
        <v>4063</v>
      </c>
      <c r="B1011" s="693">
        <v>67</v>
      </c>
      <c r="C1011" s="689">
        <v>67.3</v>
      </c>
      <c r="D1011" s="693">
        <v>67</v>
      </c>
      <c r="E1011" s="689">
        <v>67.400000000000006</v>
      </c>
      <c r="F1011" s="689">
        <v>67.400000000000006</v>
      </c>
      <c r="G1011" s="689">
        <v>67.400000000000006</v>
      </c>
      <c r="H1011" s="690" t="s">
        <v>4060</v>
      </c>
      <c r="I1011" s="690" t="s">
        <v>4060</v>
      </c>
      <c r="J1011" s="690" t="s">
        <v>4060</v>
      </c>
      <c r="K1011" s="690" t="s">
        <v>4060</v>
      </c>
    </row>
    <row r="1012" spans="1:11">
      <c r="A1012" s="688" t="s">
        <v>4069</v>
      </c>
      <c r="B1012" s="692" t="s">
        <v>4060</v>
      </c>
      <c r="C1012" s="615">
        <v>68</v>
      </c>
      <c r="D1012" s="691">
        <v>67.7</v>
      </c>
      <c r="E1012" s="691">
        <v>68.099999999999994</v>
      </c>
      <c r="F1012" s="691">
        <v>68.099999999999994</v>
      </c>
      <c r="G1012" s="691">
        <v>68.2</v>
      </c>
      <c r="H1012" s="691">
        <v>68.5</v>
      </c>
      <c r="I1012" s="691">
        <v>67.8</v>
      </c>
      <c r="J1012" s="691">
        <v>67.8</v>
      </c>
      <c r="K1012" s="691">
        <v>67.900000000000006</v>
      </c>
    </row>
    <row r="1013" spans="1:11">
      <c r="A1013" s="688" t="s">
        <v>4068</v>
      </c>
      <c r="B1013" s="693">
        <v>68</v>
      </c>
      <c r="C1013" s="690" t="s">
        <v>4060</v>
      </c>
      <c r="D1013" s="690" t="s">
        <v>4060</v>
      </c>
      <c r="E1013" s="690" t="s">
        <v>4060</v>
      </c>
      <c r="F1013" s="690" t="s">
        <v>4060</v>
      </c>
      <c r="G1013" s="690" t="s">
        <v>4060</v>
      </c>
      <c r="H1013" s="690" t="s">
        <v>4060</v>
      </c>
      <c r="I1013" s="690" t="s">
        <v>4060</v>
      </c>
      <c r="J1013" s="690" t="s">
        <v>4060</v>
      </c>
      <c r="K1013" s="690" t="s">
        <v>4060</v>
      </c>
    </row>
    <row r="1014" spans="1:11">
      <c r="A1014" s="688" t="s">
        <v>0</v>
      </c>
      <c r="B1014" s="691">
        <v>67.099999999999994</v>
      </c>
      <c r="C1014" s="691">
        <v>67.5</v>
      </c>
      <c r="D1014" s="691">
        <v>67.3</v>
      </c>
      <c r="E1014" s="691">
        <v>67.599999999999994</v>
      </c>
      <c r="F1014" s="691">
        <v>67.8</v>
      </c>
      <c r="G1014" s="691">
        <v>67.900000000000006</v>
      </c>
      <c r="H1014" s="691">
        <v>68.2</v>
      </c>
      <c r="I1014" s="691">
        <v>67.099999999999994</v>
      </c>
      <c r="J1014" s="615">
        <v>68</v>
      </c>
      <c r="K1014" s="691">
        <v>68.099999999999994</v>
      </c>
    </row>
    <row r="1015" spans="1:11">
      <c r="A1015" s="688" t="s">
        <v>1</v>
      </c>
      <c r="B1015" s="689">
        <v>61.7</v>
      </c>
      <c r="C1015" s="689">
        <v>61.2</v>
      </c>
      <c r="D1015" s="689">
        <v>61.2</v>
      </c>
      <c r="E1015" s="689">
        <v>61.4</v>
      </c>
      <c r="F1015" s="689">
        <v>61.3</v>
      </c>
      <c r="G1015" s="689">
        <v>61.4</v>
      </c>
      <c r="H1015" s="689">
        <v>61.5</v>
      </c>
      <c r="I1015" s="689">
        <v>59.9</v>
      </c>
      <c r="J1015" s="689">
        <v>57.8</v>
      </c>
      <c r="K1015" s="689">
        <v>60.7</v>
      </c>
    </row>
    <row r="1016" spans="1:11">
      <c r="A1016" s="688" t="s">
        <v>2240</v>
      </c>
      <c r="B1016" s="691">
        <v>64.599999999999994</v>
      </c>
      <c r="C1016" s="615">
        <v>65</v>
      </c>
      <c r="D1016" s="691">
        <v>64.900000000000006</v>
      </c>
      <c r="E1016" s="691">
        <v>65.3</v>
      </c>
      <c r="F1016" s="691">
        <v>65.3</v>
      </c>
      <c r="G1016" s="691">
        <v>65.3</v>
      </c>
      <c r="H1016" s="691">
        <v>65.599999999999994</v>
      </c>
      <c r="I1016" s="691">
        <v>64.599999999999994</v>
      </c>
      <c r="J1016" s="691">
        <v>63.5</v>
      </c>
      <c r="K1016" s="691">
        <v>65.3</v>
      </c>
    </row>
    <row r="1017" spans="1:11">
      <c r="A1017" s="688" t="s">
        <v>2</v>
      </c>
      <c r="B1017" s="689">
        <v>66.7</v>
      </c>
      <c r="C1017" s="693">
        <v>67</v>
      </c>
      <c r="D1017" s="689">
        <v>67.099999999999994</v>
      </c>
      <c r="E1017" s="689">
        <v>67.2</v>
      </c>
      <c r="F1017" s="689">
        <v>67.5</v>
      </c>
      <c r="G1017" s="689">
        <v>67.400000000000006</v>
      </c>
      <c r="H1017" s="689">
        <v>67.7</v>
      </c>
      <c r="I1017" s="689">
        <v>67.900000000000006</v>
      </c>
      <c r="J1017" s="689">
        <v>67.8</v>
      </c>
      <c r="K1017" s="689">
        <v>67.599999999999994</v>
      </c>
    </row>
    <row r="1018" spans="1:11">
      <c r="A1018" s="688" t="s">
        <v>3</v>
      </c>
      <c r="B1018" s="615">
        <v>67</v>
      </c>
      <c r="C1018" s="691">
        <v>67.3</v>
      </c>
      <c r="D1018" s="691">
        <v>66.900000000000006</v>
      </c>
      <c r="E1018" s="691">
        <v>67.2</v>
      </c>
      <c r="F1018" s="691">
        <v>67.3</v>
      </c>
      <c r="G1018" s="691">
        <v>67.2</v>
      </c>
      <c r="H1018" s="691">
        <v>67.599999999999994</v>
      </c>
      <c r="I1018" s="691">
        <v>67.3</v>
      </c>
      <c r="J1018" s="615">
        <v>67</v>
      </c>
      <c r="K1018" s="691">
        <v>66.900000000000006</v>
      </c>
    </row>
    <row r="1019" spans="1:11">
      <c r="A1019" s="688" t="s">
        <v>4061</v>
      </c>
      <c r="B1019" s="693">
        <v>67</v>
      </c>
      <c r="C1019" s="689">
        <v>67.3</v>
      </c>
      <c r="D1019" s="689">
        <v>66.900000000000006</v>
      </c>
      <c r="E1019" s="689">
        <v>67.2</v>
      </c>
      <c r="F1019" s="689">
        <v>67.3</v>
      </c>
      <c r="G1019" s="689">
        <v>67.2</v>
      </c>
      <c r="H1019" s="689">
        <v>67.599999999999994</v>
      </c>
      <c r="I1019" s="689">
        <v>67.3</v>
      </c>
      <c r="J1019" s="693">
        <v>67</v>
      </c>
      <c r="K1019" s="689">
        <v>66.900000000000006</v>
      </c>
    </row>
    <row r="1020" spans="1:11">
      <c r="A1020" s="688" t="s">
        <v>4</v>
      </c>
      <c r="B1020" s="691">
        <v>63.9</v>
      </c>
      <c r="C1020" s="691">
        <v>63.5</v>
      </c>
      <c r="D1020" s="615">
        <v>64</v>
      </c>
      <c r="E1020" s="691">
        <v>64.099999999999994</v>
      </c>
      <c r="F1020" s="691">
        <v>64.5</v>
      </c>
      <c r="G1020" s="691">
        <v>64.599999999999994</v>
      </c>
      <c r="H1020" s="691">
        <v>65.099999999999994</v>
      </c>
      <c r="I1020" s="615">
        <v>65</v>
      </c>
      <c r="J1020" s="691">
        <v>63.4</v>
      </c>
      <c r="K1020" s="691">
        <v>64.3</v>
      </c>
    </row>
    <row r="1021" spans="1:11">
      <c r="A1021" s="688" t="s">
        <v>8</v>
      </c>
      <c r="B1021" s="689">
        <v>67.400000000000006</v>
      </c>
      <c r="C1021" s="689">
        <v>67.599999999999994</v>
      </c>
      <c r="D1021" s="689">
        <v>67.7</v>
      </c>
      <c r="E1021" s="689">
        <v>67.900000000000006</v>
      </c>
      <c r="F1021" s="689">
        <v>68.3</v>
      </c>
      <c r="G1021" s="689">
        <v>68.3</v>
      </c>
      <c r="H1021" s="689">
        <v>68.8</v>
      </c>
      <c r="I1021" s="689">
        <v>68.599999999999994</v>
      </c>
      <c r="J1021" s="689">
        <v>68.400000000000006</v>
      </c>
      <c r="K1021" s="689">
        <v>68.7</v>
      </c>
    </row>
    <row r="1022" spans="1:11">
      <c r="A1022" s="688" t="s">
        <v>7</v>
      </c>
      <c r="B1022" s="691">
        <v>67.8</v>
      </c>
      <c r="C1022" s="691">
        <v>67.400000000000006</v>
      </c>
      <c r="D1022" s="691">
        <v>67.2</v>
      </c>
      <c r="E1022" s="691">
        <v>67.5</v>
      </c>
      <c r="F1022" s="691">
        <v>67.400000000000006</v>
      </c>
      <c r="G1022" s="691">
        <v>67.900000000000006</v>
      </c>
      <c r="H1022" s="691">
        <v>67.8</v>
      </c>
      <c r="I1022" s="691">
        <v>67.5</v>
      </c>
      <c r="J1022" s="691">
        <v>66.400000000000006</v>
      </c>
      <c r="K1022" s="691">
        <v>67.099999999999994</v>
      </c>
    </row>
    <row r="1023" spans="1:11">
      <c r="A1023" s="688" t="s">
        <v>27</v>
      </c>
      <c r="B1023" s="689">
        <v>69.5</v>
      </c>
      <c r="C1023" s="689">
        <v>69.2</v>
      </c>
      <c r="D1023" s="693">
        <v>69</v>
      </c>
      <c r="E1023" s="689">
        <v>69.400000000000006</v>
      </c>
      <c r="F1023" s="689">
        <v>69.3</v>
      </c>
      <c r="G1023" s="689">
        <v>69.400000000000006</v>
      </c>
      <c r="H1023" s="689">
        <v>69.8</v>
      </c>
      <c r="I1023" s="689">
        <v>68.5</v>
      </c>
      <c r="J1023" s="689">
        <v>69.3</v>
      </c>
      <c r="K1023" s="689">
        <v>69.400000000000006</v>
      </c>
    </row>
    <row r="1024" spans="1:11">
      <c r="A1024" s="688" t="s">
        <v>6</v>
      </c>
      <c r="B1024" s="691">
        <v>68.8</v>
      </c>
      <c r="C1024" s="691">
        <v>68.8</v>
      </c>
      <c r="D1024" s="691">
        <v>68.5</v>
      </c>
      <c r="E1024" s="691">
        <v>68.8</v>
      </c>
      <c r="F1024" s="691">
        <v>68.900000000000006</v>
      </c>
      <c r="G1024" s="615">
        <v>69</v>
      </c>
      <c r="H1024" s="691">
        <v>69.099999999999994</v>
      </c>
      <c r="I1024" s="691">
        <v>68.599999999999994</v>
      </c>
      <c r="J1024" s="691">
        <v>68.7</v>
      </c>
      <c r="K1024" s="691">
        <v>68.7</v>
      </c>
    </row>
    <row r="1025" spans="1:11">
      <c r="A1025" s="688" t="s">
        <v>4058</v>
      </c>
      <c r="B1025" s="690" t="s">
        <v>4060</v>
      </c>
      <c r="C1025" s="690" t="s">
        <v>4060</v>
      </c>
      <c r="D1025" s="690" t="s">
        <v>4060</v>
      </c>
      <c r="E1025" s="690" t="s">
        <v>4060</v>
      </c>
      <c r="F1025" s="690" t="s">
        <v>4060</v>
      </c>
      <c r="G1025" s="690" t="s">
        <v>4060</v>
      </c>
      <c r="H1025" s="690" t="s">
        <v>4060</v>
      </c>
      <c r="I1025" s="690" t="s">
        <v>4060</v>
      </c>
      <c r="J1025" s="690" t="s">
        <v>4060</v>
      </c>
      <c r="K1025" s="690" t="s">
        <v>4060</v>
      </c>
    </row>
    <row r="1026" spans="1:11">
      <c r="A1026" s="688" t="s">
        <v>11</v>
      </c>
      <c r="B1026" s="691">
        <v>64.2</v>
      </c>
      <c r="C1026" s="691">
        <v>64.3</v>
      </c>
      <c r="D1026" s="691">
        <v>63.8</v>
      </c>
      <c r="E1026" s="691">
        <v>64.5</v>
      </c>
      <c r="F1026" s="691">
        <v>64.3</v>
      </c>
      <c r="G1026" s="691">
        <v>64.5</v>
      </c>
      <c r="H1026" s="691">
        <v>64.7</v>
      </c>
      <c r="I1026" s="615">
        <v>64</v>
      </c>
      <c r="J1026" s="615">
        <v>63</v>
      </c>
      <c r="K1026" s="691">
        <v>64.099999999999994</v>
      </c>
    </row>
    <row r="1027" spans="1:11">
      <c r="A1027" s="688" t="s">
        <v>10</v>
      </c>
      <c r="B1027" s="689">
        <v>69.2</v>
      </c>
      <c r="C1027" s="689">
        <v>69.099999999999994</v>
      </c>
      <c r="D1027" s="689">
        <v>68.7</v>
      </c>
      <c r="E1027" s="689">
        <v>69.3</v>
      </c>
      <c r="F1027" s="689">
        <v>69.099999999999994</v>
      </c>
      <c r="G1027" s="689">
        <v>69.5</v>
      </c>
      <c r="H1027" s="689">
        <v>69.7</v>
      </c>
      <c r="I1027" s="689">
        <v>68.5</v>
      </c>
      <c r="J1027" s="689">
        <v>68.900000000000006</v>
      </c>
      <c r="K1027" s="693">
        <v>69</v>
      </c>
    </row>
    <row r="1028" spans="1:11">
      <c r="A1028" s="688" t="s">
        <v>30</v>
      </c>
      <c r="B1028" s="691">
        <v>68.8</v>
      </c>
      <c r="C1028" s="691">
        <v>68.5</v>
      </c>
      <c r="D1028" s="691">
        <v>68.2</v>
      </c>
      <c r="E1028" s="691">
        <v>69.099999999999994</v>
      </c>
      <c r="F1028" s="691">
        <v>68.7</v>
      </c>
      <c r="G1028" s="691">
        <v>69.3</v>
      </c>
      <c r="H1028" s="615">
        <v>69</v>
      </c>
      <c r="I1028" s="691">
        <v>68.900000000000006</v>
      </c>
      <c r="J1028" s="691">
        <v>68.099999999999994</v>
      </c>
      <c r="K1028" s="691">
        <v>68.5</v>
      </c>
    </row>
    <row r="1029" spans="1:11">
      <c r="A1029" s="688" t="s">
        <v>12</v>
      </c>
      <c r="B1029" s="689">
        <v>60.9</v>
      </c>
      <c r="C1029" s="689">
        <v>60.8</v>
      </c>
      <c r="D1029" s="689">
        <v>61.1</v>
      </c>
      <c r="E1029" s="689">
        <v>61.2</v>
      </c>
      <c r="F1029" s="689">
        <v>61.3</v>
      </c>
      <c r="G1029" s="689">
        <v>61.3</v>
      </c>
      <c r="H1029" s="693">
        <v>62</v>
      </c>
      <c r="I1029" s="689">
        <v>61.8</v>
      </c>
      <c r="J1029" s="689">
        <v>59.5</v>
      </c>
      <c r="K1029" s="689">
        <v>60.8</v>
      </c>
    </row>
    <row r="1030" spans="1:11">
      <c r="A1030" s="688" t="s">
        <v>14</v>
      </c>
      <c r="B1030" s="691">
        <v>60.6</v>
      </c>
      <c r="C1030" s="615">
        <v>61</v>
      </c>
      <c r="D1030" s="691">
        <v>60.9</v>
      </c>
      <c r="E1030" s="691">
        <v>61.3</v>
      </c>
      <c r="F1030" s="615">
        <v>62</v>
      </c>
      <c r="G1030" s="691">
        <v>62.3</v>
      </c>
      <c r="H1030" s="691">
        <v>62.7</v>
      </c>
      <c r="I1030" s="691">
        <v>61.5</v>
      </c>
      <c r="J1030" s="691">
        <v>60.6</v>
      </c>
      <c r="K1030" s="691">
        <v>62.2</v>
      </c>
    </row>
    <row r="1031" spans="1:11">
      <c r="A1031" s="688" t="s">
        <v>15</v>
      </c>
      <c r="B1031" s="689">
        <v>68.3</v>
      </c>
      <c r="C1031" s="689">
        <v>68.2</v>
      </c>
      <c r="D1031" s="689">
        <v>68.3</v>
      </c>
      <c r="E1031" s="689">
        <v>68.7</v>
      </c>
      <c r="F1031" s="689">
        <v>68.2</v>
      </c>
      <c r="G1031" s="689">
        <v>68.5</v>
      </c>
      <c r="H1031" s="689">
        <v>68.900000000000006</v>
      </c>
      <c r="I1031" s="689">
        <v>68.5</v>
      </c>
      <c r="J1031" s="689">
        <v>68.8</v>
      </c>
      <c r="K1031" s="689">
        <v>69.2</v>
      </c>
    </row>
    <row r="1032" spans="1:11">
      <c r="A1032" s="688" t="s">
        <v>29</v>
      </c>
      <c r="B1032" s="691">
        <v>62.3</v>
      </c>
      <c r="C1032" s="691">
        <v>62.3</v>
      </c>
      <c r="D1032" s="691">
        <v>62.1</v>
      </c>
      <c r="E1032" s="691">
        <v>62.5</v>
      </c>
      <c r="F1032" s="691">
        <v>62.3</v>
      </c>
      <c r="G1032" s="691">
        <v>62.4</v>
      </c>
      <c r="H1032" s="691">
        <v>62.7</v>
      </c>
      <c r="I1032" s="691">
        <v>61.9</v>
      </c>
      <c r="J1032" s="691">
        <v>60.5</v>
      </c>
      <c r="K1032" s="691">
        <v>62.3</v>
      </c>
    </row>
    <row r="1033" spans="1:11">
      <c r="A1033" s="688" t="s">
        <v>16</v>
      </c>
      <c r="B1033" s="689">
        <v>68.400000000000006</v>
      </c>
      <c r="C1033" s="689">
        <v>68.3</v>
      </c>
      <c r="D1033" s="689">
        <v>68.3</v>
      </c>
      <c r="E1033" s="689">
        <v>68.8</v>
      </c>
      <c r="F1033" s="689">
        <v>68.7</v>
      </c>
      <c r="G1033" s="689">
        <v>68.599999999999994</v>
      </c>
      <c r="H1033" s="689">
        <v>69.2</v>
      </c>
      <c r="I1033" s="689">
        <v>68.3</v>
      </c>
      <c r="J1033" s="689">
        <v>68.400000000000006</v>
      </c>
      <c r="K1033" s="689">
        <v>68.599999999999994</v>
      </c>
    </row>
    <row r="1034" spans="1:11">
      <c r="A1034" s="688" t="s">
        <v>17</v>
      </c>
      <c r="B1034" s="691">
        <v>67.8</v>
      </c>
      <c r="C1034" s="615">
        <v>68</v>
      </c>
      <c r="D1034" s="691">
        <v>67.8</v>
      </c>
      <c r="E1034" s="691">
        <v>67.900000000000006</v>
      </c>
      <c r="F1034" s="691">
        <v>68.099999999999994</v>
      </c>
      <c r="G1034" s="691">
        <v>68.099999999999994</v>
      </c>
      <c r="H1034" s="691">
        <v>68.400000000000006</v>
      </c>
      <c r="I1034" s="691">
        <v>67.8</v>
      </c>
      <c r="J1034" s="691">
        <v>67.7</v>
      </c>
      <c r="K1034" s="615">
        <v>68</v>
      </c>
    </row>
    <row r="1035" spans="1:11">
      <c r="A1035" s="688" t="s">
        <v>19</v>
      </c>
      <c r="B1035" s="689">
        <v>67.7</v>
      </c>
      <c r="C1035" s="689">
        <v>67.8</v>
      </c>
      <c r="D1035" s="689">
        <v>67.5</v>
      </c>
      <c r="E1035" s="693">
        <v>68</v>
      </c>
      <c r="F1035" s="693">
        <v>68</v>
      </c>
      <c r="G1035" s="693">
        <v>68</v>
      </c>
      <c r="H1035" s="689">
        <v>68.3</v>
      </c>
      <c r="I1035" s="689">
        <v>67.7</v>
      </c>
      <c r="J1035" s="689">
        <v>67.599999999999994</v>
      </c>
      <c r="K1035" s="689">
        <v>67.7</v>
      </c>
    </row>
    <row r="1036" spans="1:11">
      <c r="A1036" s="688" t="s">
        <v>20</v>
      </c>
      <c r="B1036" s="691">
        <v>63.6</v>
      </c>
      <c r="C1036" s="615">
        <v>64</v>
      </c>
      <c r="D1036" s="691">
        <v>63.8</v>
      </c>
      <c r="E1036" s="691">
        <v>64.2</v>
      </c>
      <c r="F1036" s="691">
        <v>64.099999999999994</v>
      </c>
      <c r="G1036" s="615">
        <v>64</v>
      </c>
      <c r="H1036" s="691">
        <v>64.3</v>
      </c>
      <c r="I1036" s="691">
        <v>62.8</v>
      </c>
      <c r="J1036" s="691">
        <v>61.8</v>
      </c>
      <c r="K1036" s="691">
        <v>63.5</v>
      </c>
    </row>
    <row r="1037" spans="1:11">
      <c r="A1037" s="688" t="s">
        <v>21</v>
      </c>
      <c r="B1037" s="689">
        <v>67.3</v>
      </c>
      <c r="C1037" s="689">
        <v>67.599999999999994</v>
      </c>
      <c r="D1037" s="689">
        <v>67.7</v>
      </c>
      <c r="E1037" s="689">
        <v>67.7</v>
      </c>
      <c r="F1037" s="693">
        <v>68</v>
      </c>
      <c r="G1037" s="693">
        <v>68</v>
      </c>
      <c r="H1037" s="689">
        <v>68.3</v>
      </c>
      <c r="I1037" s="689">
        <v>67.7</v>
      </c>
      <c r="J1037" s="689">
        <v>67.7</v>
      </c>
      <c r="K1037" s="693">
        <v>68</v>
      </c>
    </row>
    <row r="1038" spans="1:11">
      <c r="A1038" s="688" t="s">
        <v>22</v>
      </c>
      <c r="B1038" s="615">
        <v>62</v>
      </c>
      <c r="C1038" s="691">
        <v>61.7</v>
      </c>
      <c r="D1038" s="691">
        <v>61.7</v>
      </c>
      <c r="E1038" s="691">
        <v>61.9</v>
      </c>
      <c r="F1038" s="691">
        <v>61.9</v>
      </c>
      <c r="G1038" s="691">
        <v>61.9</v>
      </c>
      <c r="H1038" s="691">
        <v>62.2</v>
      </c>
      <c r="I1038" s="691">
        <v>60.7</v>
      </c>
      <c r="J1038" s="691">
        <v>59.3</v>
      </c>
      <c r="K1038" s="691">
        <v>61.7</v>
      </c>
    </row>
    <row r="1039" spans="1:11">
      <c r="A1039" s="688" t="s">
        <v>26</v>
      </c>
      <c r="B1039" s="689">
        <v>66.8</v>
      </c>
      <c r="C1039" s="689">
        <v>67.099999999999994</v>
      </c>
      <c r="D1039" s="689">
        <v>66.8</v>
      </c>
      <c r="E1039" s="689">
        <v>67.2</v>
      </c>
      <c r="F1039" s="689">
        <v>67.2</v>
      </c>
      <c r="G1039" s="689">
        <v>67.400000000000006</v>
      </c>
      <c r="H1039" s="689">
        <v>67.599999999999994</v>
      </c>
      <c r="I1039" s="689">
        <v>66.8</v>
      </c>
      <c r="J1039" s="689">
        <v>66.8</v>
      </c>
      <c r="K1039" s="689">
        <v>67.5</v>
      </c>
    </row>
    <row r="1040" spans="1:11">
      <c r="A1040" s="688" t="s">
        <v>25</v>
      </c>
      <c r="B1040" s="691">
        <v>63.2</v>
      </c>
      <c r="C1040" s="691">
        <v>63.5</v>
      </c>
      <c r="D1040" s="691">
        <v>63.2</v>
      </c>
      <c r="E1040" s="691">
        <v>63.8</v>
      </c>
      <c r="F1040" s="691">
        <v>63.7</v>
      </c>
      <c r="G1040" s="691">
        <v>63.9</v>
      </c>
      <c r="H1040" s="691">
        <v>64.3</v>
      </c>
      <c r="I1040" s="691">
        <v>63.5</v>
      </c>
      <c r="J1040" s="691">
        <v>61.1</v>
      </c>
      <c r="K1040" s="691">
        <v>63.6</v>
      </c>
    </row>
    <row r="1041" spans="1:11">
      <c r="A1041" s="688" t="s">
        <v>5</v>
      </c>
      <c r="B1041" s="689">
        <v>67.3</v>
      </c>
      <c r="C1041" s="689">
        <v>67.3</v>
      </c>
      <c r="D1041" s="689">
        <v>67.599999999999994</v>
      </c>
      <c r="E1041" s="689">
        <v>67.5</v>
      </c>
      <c r="F1041" s="689">
        <v>67.8</v>
      </c>
      <c r="G1041" s="689">
        <v>67.900000000000006</v>
      </c>
      <c r="H1041" s="689">
        <v>68.099999999999994</v>
      </c>
      <c r="I1041" s="689">
        <v>68.099999999999994</v>
      </c>
      <c r="J1041" s="693">
        <v>68</v>
      </c>
      <c r="K1041" s="689">
        <v>67.5</v>
      </c>
    </row>
    <row r="1042" spans="1:11">
      <c r="A1042" s="688" t="s">
        <v>23</v>
      </c>
      <c r="B1042" s="691">
        <v>68.3</v>
      </c>
      <c r="C1042" s="691">
        <v>68.5</v>
      </c>
      <c r="D1042" s="691">
        <v>68.5</v>
      </c>
      <c r="E1042" s="691">
        <v>68.599999999999994</v>
      </c>
      <c r="F1042" s="691">
        <v>68.7</v>
      </c>
      <c r="G1042" s="691">
        <v>68.8</v>
      </c>
      <c r="H1042" s="691">
        <v>69.3</v>
      </c>
      <c r="I1042" s="691">
        <v>68.7</v>
      </c>
      <c r="J1042" s="691">
        <v>69.3</v>
      </c>
      <c r="K1042" s="691">
        <v>69.3</v>
      </c>
    </row>
    <row r="1043" spans="1:11">
      <c r="A1043" s="688" t="s">
        <v>4067</v>
      </c>
      <c r="B1043" s="693">
        <v>67</v>
      </c>
      <c r="C1043" s="689">
        <v>67.3</v>
      </c>
      <c r="D1043" s="693">
        <v>67</v>
      </c>
      <c r="E1043" s="689">
        <v>67.400000000000006</v>
      </c>
      <c r="F1043" s="689">
        <v>67.400000000000006</v>
      </c>
      <c r="G1043" s="689">
        <v>67.400000000000006</v>
      </c>
      <c r="H1043" s="690" t="s">
        <v>4060</v>
      </c>
      <c r="I1043" s="690" t="s">
        <v>4060</v>
      </c>
      <c r="J1043" s="690" t="s">
        <v>4060</v>
      </c>
      <c r="K1043" s="690" t="s">
        <v>4060</v>
      </c>
    </row>
    <row r="1044" spans="1:11">
      <c r="A1044" s="688" t="s">
        <v>4066</v>
      </c>
      <c r="B1044" s="615">
        <v>67</v>
      </c>
      <c r="C1044" s="691">
        <v>67.400000000000006</v>
      </c>
      <c r="D1044" s="615">
        <v>67</v>
      </c>
      <c r="E1044" s="691">
        <v>67.400000000000006</v>
      </c>
      <c r="F1044" s="691">
        <v>67.400000000000006</v>
      </c>
      <c r="G1044" s="691">
        <v>67.400000000000006</v>
      </c>
      <c r="H1044" s="692" t="s">
        <v>4060</v>
      </c>
      <c r="I1044" s="692" t="s">
        <v>4060</v>
      </c>
      <c r="J1044" s="692" t="s">
        <v>4060</v>
      </c>
      <c r="K1044" s="692" t="s">
        <v>4060</v>
      </c>
    </row>
    <row r="1045" spans="1:11">
      <c r="A1045" s="688" t="s">
        <v>4062</v>
      </c>
      <c r="B1045" s="689">
        <v>68.900000000000006</v>
      </c>
      <c r="C1045" s="689">
        <v>69.099999999999994</v>
      </c>
      <c r="D1045" s="693">
        <v>69</v>
      </c>
      <c r="E1045" s="689">
        <v>69.400000000000006</v>
      </c>
      <c r="F1045" s="689">
        <v>69.5</v>
      </c>
      <c r="G1045" s="689">
        <v>69.599999999999994</v>
      </c>
      <c r="H1045" s="689">
        <v>69.8</v>
      </c>
      <c r="I1045" s="689">
        <v>69.400000000000006</v>
      </c>
      <c r="J1045" s="689">
        <v>69.8</v>
      </c>
      <c r="K1045" s="689">
        <v>69.5</v>
      </c>
    </row>
    <row r="1046" spans="1:11">
      <c r="A1046" s="688" t="s">
        <v>9</v>
      </c>
      <c r="B1046" s="691">
        <v>68.400000000000006</v>
      </c>
      <c r="C1046" s="691">
        <v>68.900000000000006</v>
      </c>
      <c r="D1046" s="691">
        <v>68.7</v>
      </c>
      <c r="E1046" s="691">
        <v>68.3</v>
      </c>
      <c r="F1046" s="691">
        <v>68.8</v>
      </c>
      <c r="G1046" s="691">
        <v>68.900000000000006</v>
      </c>
      <c r="H1046" s="691">
        <v>69.099999999999994</v>
      </c>
      <c r="I1046" s="691">
        <v>69.2</v>
      </c>
      <c r="J1046" s="691">
        <v>69.400000000000006</v>
      </c>
      <c r="K1046" s="691">
        <v>68.400000000000006</v>
      </c>
    </row>
    <row r="1047" spans="1:11">
      <c r="A1047" s="688" t="s">
        <v>13</v>
      </c>
      <c r="B1047" s="689">
        <v>68.900000000000006</v>
      </c>
      <c r="C1047" s="689">
        <v>68.3</v>
      </c>
      <c r="D1047" s="693">
        <v>69</v>
      </c>
      <c r="E1047" s="689">
        <v>68.3</v>
      </c>
      <c r="F1047" s="689">
        <v>69.3</v>
      </c>
      <c r="G1047" s="689">
        <v>69.099999999999994</v>
      </c>
      <c r="H1047" s="693">
        <v>70</v>
      </c>
      <c r="I1047" s="689">
        <v>68.7</v>
      </c>
      <c r="J1047" s="689">
        <v>70.099999999999994</v>
      </c>
      <c r="K1047" s="693">
        <v>70</v>
      </c>
    </row>
    <row r="1048" spans="1:11">
      <c r="A1048" s="688" t="s">
        <v>18</v>
      </c>
      <c r="B1048" s="691">
        <v>68.099999999999994</v>
      </c>
      <c r="C1048" s="691">
        <v>68.400000000000006</v>
      </c>
      <c r="D1048" s="691">
        <v>68.599999999999994</v>
      </c>
      <c r="E1048" s="691">
        <v>68.7</v>
      </c>
      <c r="F1048" s="691">
        <v>68.900000000000006</v>
      </c>
      <c r="G1048" s="615">
        <v>69</v>
      </c>
      <c r="H1048" s="691">
        <v>69.2</v>
      </c>
      <c r="I1048" s="691">
        <v>69.400000000000006</v>
      </c>
      <c r="J1048" s="691">
        <v>69.400000000000006</v>
      </c>
      <c r="K1048" s="691">
        <v>68.900000000000006</v>
      </c>
    </row>
    <row r="1049" spans="1:11">
      <c r="A1049" s="688" t="s">
        <v>24</v>
      </c>
      <c r="B1049" s="689">
        <v>69.3</v>
      </c>
      <c r="C1049" s="689">
        <v>69.5</v>
      </c>
      <c r="D1049" s="689">
        <v>69.3</v>
      </c>
      <c r="E1049" s="689">
        <v>69.8</v>
      </c>
      <c r="F1049" s="689">
        <v>69.8</v>
      </c>
      <c r="G1049" s="693">
        <v>70</v>
      </c>
      <c r="H1049" s="689">
        <v>70.2</v>
      </c>
      <c r="I1049" s="689">
        <v>69.5</v>
      </c>
      <c r="J1049" s="693">
        <v>70</v>
      </c>
      <c r="K1049" s="689">
        <v>69.900000000000006</v>
      </c>
    </row>
    <row r="1050" spans="1:11">
      <c r="A1050" s="688" t="s">
        <v>4059</v>
      </c>
      <c r="B1050" s="691">
        <v>67.5</v>
      </c>
      <c r="C1050" s="691">
        <v>67.8</v>
      </c>
      <c r="D1050" s="691">
        <v>67.400000000000006</v>
      </c>
      <c r="E1050" s="691">
        <v>67.599999999999994</v>
      </c>
      <c r="F1050" s="691">
        <v>67.7</v>
      </c>
      <c r="G1050" s="691">
        <v>67.7</v>
      </c>
      <c r="H1050" s="692" t="s">
        <v>4060</v>
      </c>
      <c r="I1050" s="692" t="s">
        <v>4060</v>
      </c>
      <c r="J1050" s="692" t="s">
        <v>4060</v>
      </c>
      <c r="K1050" s="692" t="s">
        <v>4060</v>
      </c>
    </row>
    <row r="1051" spans="1:11">
      <c r="A1051" s="688" t="s">
        <v>2324</v>
      </c>
      <c r="B1051" s="689">
        <v>62.9</v>
      </c>
      <c r="C1051" s="693">
        <v>63</v>
      </c>
      <c r="D1051" s="689">
        <v>62.8</v>
      </c>
      <c r="E1051" s="689">
        <v>62.9</v>
      </c>
      <c r="F1051" s="689">
        <v>62.9</v>
      </c>
      <c r="G1051" s="689">
        <v>63.2</v>
      </c>
      <c r="H1051" s="689">
        <v>63.1</v>
      </c>
      <c r="I1051" s="689">
        <v>62.3</v>
      </c>
      <c r="J1051" s="693">
        <v>60</v>
      </c>
      <c r="K1051" s="690" t="s">
        <v>4060</v>
      </c>
    </row>
    <row r="1052" spans="1:11">
      <c r="A1052" s="688" t="s">
        <v>2322</v>
      </c>
      <c r="B1052" s="692" t="s">
        <v>4060</v>
      </c>
      <c r="C1052" s="692" t="s">
        <v>4060</v>
      </c>
      <c r="D1052" s="692" t="s">
        <v>4060</v>
      </c>
      <c r="E1052" s="692" t="s">
        <v>4060</v>
      </c>
      <c r="F1052" s="692" t="s">
        <v>4060</v>
      </c>
      <c r="G1052" s="692" t="s">
        <v>4060</v>
      </c>
      <c r="H1052" s="692" t="s">
        <v>4060</v>
      </c>
      <c r="I1052" s="692" t="s">
        <v>4060</v>
      </c>
      <c r="J1052" s="692" t="s">
        <v>4060</v>
      </c>
      <c r="K1052" s="692" t="s">
        <v>4060</v>
      </c>
    </row>
    <row r="1053" spans="1:11">
      <c r="A1053" s="688" t="s">
        <v>2328</v>
      </c>
      <c r="B1053" s="689">
        <v>62.4</v>
      </c>
      <c r="C1053" s="689">
        <v>62.4</v>
      </c>
      <c r="D1053" s="689">
        <v>62.3</v>
      </c>
      <c r="E1053" s="689">
        <v>62.5</v>
      </c>
      <c r="F1053" s="689">
        <v>62.8</v>
      </c>
      <c r="G1053" s="689">
        <v>63.2</v>
      </c>
      <c r="H1053" s="689">
        <v>63.2</v>
      </c>
      <c r="I1053" s="689">
        <v>60.9</v>
      </c>
      <c r="J1053" s="689">
        <v>59.7</v>
      </c>
      <c r="K1053" s="690" t="s">
        <v>4060</v>
      </c>
    </row>
    <row r="1054" spans="1:11">
      <c r="A1054" s="688" t="s">
        <v>2496</v>
      </c>
      <c r="B1054" s="692" t="s">
        <v>4060</v>
      </c>
      <c r="C1054" s="691">
        <v>61.1</v>
      </c>
      <c r="D1054" s="615">
        <v>60</v>
      </c>
      <c r="E1054" s="691">
        <v>59.6</v>
      </c>
      <c r="F1054" s="691">
        <v>60.4</v>
      </c>
      <c r="G1054" s="691">
        <v>60.8</v>
      </c>
      <c r="H1054" s="691">
        <v>60.8</v>
      </c>
      <c r="I1054" s="692" t="s">
        <v>4060</v>
      </c>
      <c r="J1054" s="692" t="s">
        <v>4060</v>
      </c>
      <c r="K1054" s="691">
        <v>60.5</v>
      </c>
    </row>
    <row r="1055" spans="1:11">
      <c r="A1055" s="688" t="s">
        <v>2269</v>
      </c>
      <c r="B1055" s="689">
        <v>64.900000000000006</v>
      </c>
      <c r="C1055" s="689">
        <v>65.099999999999994</v>
      </c>
      <c r="D1055" s="689">
        <v>64.7</v>
      </c>
      <c r="E1055" s="689">
        <v>65.400000000000006</v>
      </c>
      <c r="F1055" s="689">
        <v>65.400000000000006</v>
      </c>
      <c r="G1055" s="689">
        <v>65.8</v>
      </c>
      <c r="H1055" s="693">
        <v>66</v>
      </c>
      <c r="I1055" s="689">
        <v>64.3</v>
      </c>
      <c r="J1055" s="689">
        <v>62.3</v>
      </c>
      <c r="K1055" s="689">
        <v>65.8</v>
      </c>
    </row>
    <row r="1056" spans="1:11">
      <c r="A1056" s="688" t="s">
        <v>2349</v>
      </c>
      <c r="B1056" s="691">
        <v>61.9</v>
      </c>
      <c r="C1056" s="615">
        <v>62</v>
      </c>
      <c r="D1056" s="691">
        <v>61.9</v>
      </c>
      <c r="E1056" s="691">
        <v>62.3</v>
      </c>
      <c r="F1056" s="691">
        <v>62.1</v>
      </c>
      <c r="G1056" s="691">
        <v>62.5</v>
      </c>
      <c r="H1056" s="691">
        <v>62.5</v>
      </c>
      <c r="I1056" s="691">
        <v>60.9</v>
      </c>
      <c r="J1056" s="691">
        <v>59.3</v>
      </c>
      <c r="K1056" s="691">
        <v>61.7</v>
      </c>
    </row>
    <row r="1057" spans="1:11">
      <c r="A1057" s="688" t="s">
        <v>2355</v>
      </c>
      <c r="B1057" s="689">
        <v>65.5</v>
      </c>
      <c r="C1057" s="689">
        <v>65.400000000000006</v>
      </c>
      <c r="D1057" s="689">
        <v>65.400000000000006</v>
      </c>
      <c r="E1057" s="689">
        <v>65.2</v>
      </c>
      <c r="F1057" s="689">
        <v>65.5</v>
      </c>
      <c r="G1057" s="689">
        <v>65.900000000000006</v>
      </c>
      <c r="H1057" s="689">
        <v>66.099999999999994</v>
      </c>
      <c r="I1057" s="690" t="s">
        <v>4060</v>
      </c>
      <c r="J1057" s="690" t="s">
        <v>4060</v>
      </c>
      <c r="K1057" s="690" t="s">
        <v>4060</v>
      </c>
    </row>
    <row r="1058" spans="1:11">
      <c r="A1058" s="688" t="s">
        <v>2357</v>
      </c>
      <c r="B1058" s="692" t="s">
        <v>4060</v>
      </c>
      <c r="C1058" s="691">
        <v>58.6</v>
      </c>
      <c r="D1058" s="691">
        <v>59.3</v>
      </c>
      <c r="E1058" s="691">
        <v>59.7</v>
      </c>
      <c r="F1058" s="615">
        <v>60</v>
      </c>
      <c r="G1058" s="691">
        <v>59.9</v>
      </c>
      <c r="H1058" s="691">
        <v>60.1</v>
      </c>
      <c r="I1058" s="692" t="s">
        <v>4060</v>
      </c>
      <c r="J1058" s="692" t="s">
        <v>4060</v>
      </c>
      <c r="K1058" s="692" t="s">
        <v>4060</v>
      </c>
    </row>
    <row r="1059" spans="1:11">
      <c r="A1059" s="688" t="s">
        <v>4070</v>
      </c>
      <c r="B1059" s="690" t="s">
        <v>4060</v>
      </c>
      <c r="C1059" s="690" t="s">
        <v>4060</v>
      </c>
      <c r="D1059" s="690" t="s">
        <v>4060</v>
      </c>
      <c r="E1059" s="689">
        <v>65.3</v>
      </c>
      <c r="F1059" s="690" t="s">
        <v>4060</v>
      </c>
      <c r="G1059" s="690" t="s">
        <v>4060</v>
      </c>
      <c r="H1059" s="690" t="s">
        <v>4060</v>
      </c>
      <c r="I1059" s="690" t="s">
        <v>4060</v>
      </c>
      <c r="J1059" s="690" t="s">
        <v>4060</v>
      </c>
      <c r="K1059" s="690" t="s">
        <v>4060</v>
      </c>
    </row>
    <row r="1060" spans="1:11">
      <c r="A1060" s="688" t="s">
        <v>2491</v>
      </c>
      <c r="B1060" s="691">
        <v>59.2</v>
      </c>
      <c r="C1060" s="691">
        <v>59.8</v>
      </c>
      <c r="D1060" s="691">
        <v>60.3</v>
      </c>
      <c r="E1060" s="691">
        <v>60.6</v>
      </c>
      <c r="F1060" s="691">
        <v>60.8</v>
      </c>
      <c r="G1060" s="691">
        <v>60.8</v>
      </c>
      <c r="H1060" s="692" t="s">
        <v>4060</v>
      </c>
      <c r="I1060" s="692" t="s">
        <v>4060</v>
      </c>
      <c r="J1060" s="692" t="s">
        <v>4060</v>
      </c>
      <c r="K1060" s="692" t="s">
        <v>4060</v>
      </c>
    </row>
    <row r="1061" spans="1:11">
      <c r="A1061" s="688" t="s">
        <v>2343</v>
      </c>
      <c r="B1061" s="690" t="s">
        <v>4060</v>
      </c>
      <c r="C1061" s="690" t="s">
        <v>4060</v>
      </c>
      <c r="D1061" s="690" t="s">
        <v>4060</v>
      </c>
      <c r="E1061" s="690" t="s">
        <v>4060</v>
      </c>
      <c r="F1061" s="690" t="s">
        <v>4060</v>
      </c>
      <c r="G1061" s="690" t="s">
        <v>4060</v>
      </c>
      <c r="H1061" s="690" t="s">
        <v>4060</v>
      </c>
      <c r="I1061" s="690" t="s">
        <v>4060</v>
      </c>
      <c r="J1061" s="690" t="s">
        <v>4060</v>
      </c>
      <c r="K1061" s="690" t="s">
        <v>4060</v>
      </c>
    </row>
    <row r="1062" spans="1:11">
      <c r="A1062" s="688" t="s">
        <v>4071</v>
      </c>
      <c r="B1062" s="692" t="s">
        <v>4060</v>
      </c>
      <c r="C1062" s="692" t="s">
        <v>4060</v>
      </c>
      <c r="D1062" s="692" t="s">
        <v>4060</v>
      </c>
      <c r="E1062" s="692" t="s">
        <v>4060</v>
      </c>
      <c r="F1062" s="692" t="s">
        <v>4060</v>
      </c>
      <c r="G1062" s="692" t="s">
        <v>4060</v>
      </c>
      <c r="H1062" s="692" t="s">
        <v>4060</v>
      </c>
      <c r="I1062" s="692" t="s">
        <v>4060</v>
      </c>
      <c r="J1062" s="692" t="s">
        <v>4060</v>
      </c>
      <c r="K1062" s="692" t="s">
        <v>4060</v>
      </c>
    </row>
    <row r="1063" spans="1:11">
      <c r="A1063" s="688" t="s">
        <v>2489</v>
      </c>
      <c r="B1063" s="690" t="s">
        <v>4060</v>
      </c>
      <c r="C1063" s="690" t="s">
        <v>4060</v>
      </c>
      <c r="D1063" s="693">
        <v>62</v>
      </c>
      <c r="E1063" s="689">
        <v>61.9</v>
      </c>
      <c r="F1063" s="689">
        <v>62.6</v>
      </c>
      <c r="G1063" s="689">
        <v>63.5</v>
      </c>
      <c r="H1063" s="689">
        <v>63.3</v>
      </c>
      <c r="I1063" s="690" t="s">
        <v>4060</v>
      </c>
      <c r="J1063" s="690" t="s">
        <v>4060</v>
      </c>
      <c r="K1063" s="690" t="s">
        <v>4060</v>
      </c>
    </row>
    <row r="1064" spans="1:11">
      <c r="A1064" s="688" t="s">
        <v>2490</v>
      </c>
      <c r="B1064" s="691">
        <v>61.8</v>
      </c>
      <c r="C1064" s="691">
        <v>61.9</v>
      </c>
      <c r="D1064" s="691">
        <v>62.5</v>
      </c>
      <c r="E1064" s="692" t="s">
        <v>4060</v>
      </c>
      <c r="F1064" s="691">
        <v>62.7</v>
      </c>
      <c r="G1064" s="691">
        <v>63.1</v>
      </c>
      <c r="H1064" s="691">
        <v>63.8</v>
      </c>
      <c r="I1064" s="692" t="s">
        <v>4060</v>
      </c>
      <c r="J1064" s="692" t="s">
        <v>4060</v>
      </c>
      <c r="K1064" s="692" t="s">
        <v>4060</v>
      </c>
    </row>
    <row r="1066" spans="1:11">
      <c r="A1066" s="683" t="s">
        <v>4233</v>
      </c>
    </row>
    <row r="1067" spans="1:11">
      <c r="A1067" s="683" t="s">
        <v>4060</v>
      </c>
      <c r="B1067" s="682" t="s">
        <v>4234</v>
      </c>
    </row>
    <row r="1069" spans="1:11">
      <c r="A1069" s="682" t="s">
        <v>4248</v>
      </c>
    </row>
    <row r="1070" spans="1:11">
      <c r="A1070" s="682" t="s">
        <v>4210</v>
      </c>
      <c r="B1070" s="683" t="s">
        <v>4211</v>
      </c>
    </row>
    <row r="1071" spans="1:11">
      <c r="A1071" s="682" t="s">
        <v>4212</v>
      </c>
      <c r="B1071" s="682" t="s">
        <v>4213</v>
      </c>
    </row>
    <row r="1073" spans="1:11">
      <c r="A1073" s="683" t="s">
        <v>4214</v>
      </c>
      <c r="C1073" s="682" t="s">
        <v>4215</v>
      </c>
    </row>
    <row r="1074" spans="1:11">
      <c r="A1074" s="683" t="s">
        <v>4216</v>
      </c>
      <c r="C1074" s="682" t="s">
        <v>2967</v>
      </c>
    </row>
    <row r="1075" spans="1:11">
      <c r="A1075" s="683" t="s">
        <v>3893</v>
      </c>
      <c r="C1075" s="682" t="s">
        <v>4217</v>
      </c>
    </row>
    <row r="1076" spans="1:11">
      <c r="A1076" s="683" t="s">
        <v>4218</v>
      </c>
      <c r="C1076" s="682" t="s">
        <v>4250</v>
      </c>
    </row>
    <row r="1078" spans="1:11">
      <c r="A1078" s="684" t="s">
        <v>4220</v>
      </c>
      <c r="B1078" s="685" t="s">
        <v>4221</v>
      </c>
      <c r="C1078" s="685" t="s">
        <v>4222</v>
      </c>
      <c r="D1078" s="685" t="s">
        <v>4223</v>
      </c>
      <c r="E1078" s="685" t="s">
        <v>4224</v>
      </c>
      <c r="F1078" s="685" t="s">
        <v>4225</v>
      </c>
      <c r="G1078" s="685" t="s">
        <v>4226</v>
      </c>
      <c r="H1078" s="685" t="s">
        <v>4227</v>
      </c>
      <c r="I1078" s="685" t="s">
        <v>4228</v>
      </c>
      <c r="J1078" s="685" t="s">
        <v>4229</v>
      </c>
      <c r="K1078" s="685" t="s">
        <v>4230</v>
      </c>
    </row>
    <row r="1079" spans="1:11">
      <c r="A1079" s="686" t="s">
        <v>4231</v>
      </c>
      <c r="B1079" s="687" t="s">
        <v>4232</v>
      </c>
      <c r="C1079" s="687" t="s">
        <v>4232</v>
      </c>
      <c r="D1079" s="687" t="s">
        <v>4232</v>
      </c>
      <c r="E1079" s="687" t="s">
        <v>4232</v>
      </c>
      <c r="F1079" s="687" t="s">
        <v>4232</v>
      </c>
      <c r="G1079" s="687" t="s">
        <v>4232</v>
      </c>
      <c r="H1079" s="687" t="s">
        <v>4232</v>
      </c>
      <c r="I1079" s="687" t="s">
        <v>4232</v>
      </c>
      <c r="J1079" s="687" t="s">
        <v>4232</v>
      </c>
      <c r="K1079" s="687" t="s">
        <v>4232</v>
      </c>
    </row>
    <row r="1080" spans="1:11">
      <c r="A1080" s="688" t="s">
        <v>4064</v>
      </c>
      <c r="B1080" s="691">
        <v>65.900000000000006</v>
      </c>
      <c r="C1080" s="615">
        <v>66</v>
      </c>
      <c r="D1080" s="691">
        <v>65.900000000000006</v>
      </c>
      <c r="E1080" s="691">
        <v>66.099999999999994</v>
      </c>
      <c r="F1080" s="691">
        <v>66.099999999999994</v>
      </c>
      <c r="G1080" s="691">
        <v>66.2</v>
      </c>
      <c r="H1080" s="691">
        <v>66.5</v>
      </c>
      <c r="I1080" s="691">
        <v>65.599999999999994</v>
      </c>
      <c r="J1080" s="691">
        <v>65.3</v>
      </c>
      <c r="K1080" s="691">
        <v>65.900000000000006</v>
      </c>
    </row>
    <row r="1081" spans="1:11">
      <c r="A1081" s="688" t="s">
        <v>4065</v>
      </c>
      <c r="B1081" s="693">
        <v>66</v>
      </c>
      <c r="C1081" s="689">
        <v>66.3</v>
      </c>
      <c r="D1081" s="693">
        <v>66</v>
      </c>
      <c r="E1081" s="689">
        <v>66.400000000000006</v>
      </c>
      <c r="F1081" s="689">
        <v>66.3</v>
      </c>
      <c r="G1081" s="689">
        <v>66.400000000000006</v>
      </c>
      <c r="H1081" s="690" t="s">
        <v>4060</v>
      </c>
      <c r="I1081" s="690" t="s">
        <v>4060</v>
      </c>
      <c r="J1081" s="690" t="s">
        <v>4060</v>
      </c>
      <c r="K1081" s="690" t="s">
        <v>4060</v>
      </c>
    </row>
    <row r="1082" spans="1:11">
      <c r="A1082" s="688" t="s">
        <v>4063</v>
      </c>
      <c r="B1082" s="615">
        <v>66</v>
      </c>
      <c r="C1082" s="691">
        <v>66.400000000000006</v>
      </c>
      <c r="D1082" s="615">
        <v>66</v>
      </c>
      <c r="E1082" s="691">
        <v>66.400000000000006</v>
      </c>
      <c r="F1082" s="691">
        <v>66.400000000000006</v>
      </c>
      <c r="G1082" s="691">
        <v>66.400000000000006</v>
      </c>
      <c r="H1082" s="692" t="s">
        <v>4060</v>
      </c>
      <c r="I1082" s="692" t="s">
        <v>4060</v>
      </c>
      <c r="J1082" s="692" t="s">
        <v>4060</v>
      </c>
      <c r="K1082" s="692" t="s">
        <v>4060</v>
      </c>
    </row>
    <row r="1083" spans="1:11">
      <c r="A1083" s="688" t="s">
        <v>4069</v>
      </c>
      <c r="B1083" s="690" t="s">
        <v>4060</v>
      </c>
      <c r="C1083" s="693">
        <v>67</v>
      </c>
      <c r="D1083" s="689">
        <v>66.7</v>
      </c>
      <c r="E1083" s="689">
        <v>67.099999999999994</v>
      </c>
      <c r="F1083" s="689">
        <v>67.099999999999994</v>
      </c>
      <c r="G1083" s="689">
        <v>67.2</v>
      </c>
      <c r="H1083" s="689">
        <v>67.5</v>
      </c>
      <c r="I1083" s="689">
        <v>66.8</v>
      </c>
      <c r="J1083" s="689">
        <v>66.8</v>
      </c>
      <c r="K1083" s="689">
        <v>66.900000000000006</v>
      </c>
    </row>
    <row r="1084" spans="1:11">
      <c r="A1084" s="688" t="s">
        <v>4068</v>
      </c>
      <c r="B1084" s="615">
        <v>67</v>
      </c>
      <c r="C1084" s="692" t="s">
        <v>4060</v>
      </c>
      <c r="D1084" s="692" t="s">
        <v>4060</v>
      </c>
      <c r="E1084" s="692" t="s">
        <v>4060</v>
      </c>
      <c r="F1084" s="692" t="s">
        <v>4060</v>
      </c>
      <c r="G1084" s="692" t="s">
        <v>4060</v>
      </c>
      <c r="H1084" s="692" t="s">
        <v>4060</v>
      </c>
      <c r="I1084" s="692" t="s">
        <v>4060</v>
      </c>
      <c r="J1084" s="692" t="s">
        <v>4060</v>
      </c>
      <c r="K1084" s="692" t="s">
        <v>4060</v>
      </c>
    </row>
    <row r="1085" spans="1:11">
      <c r="A1085" s="688" t="s">
        <v>0</v>
      </c>
      <c r="B1085" s="689">
        <v>66.099999999999994</v>
      </c>
      <c r="C1085" s="689">
        <v>66.5</v>
      </c>
      <c r="D1085" s="689">
        <v>66.3</v>
      </c>
      <c r="E1085" s="689">
        <v>66.599999999999994</v>
      </c>
      <c r="F1085" s="689">
        <v>66.8</v>
      </c>
      <c r="G1085" s="689">
        <v>66.900000000000006</v>
      </c>
      <c r="H1085" s="689">
        <v>67.2</v>
      </c>
      <c r="I1085" s="689">
        <v>66.2</v>
      </c>
      <c r="J1085" s="693">
        <v>67</v>
      </c>
      <c r="K1085" s="689">
        <v>67.099999999999994</v>
      </c>
    </row>
    <row r="1086" spans="1:11">
      <c r="A1086" s="688" t="s">
        <v>1</v>
      </c>
      <c r="B1086" s="691">
        <v>60.7</v>
      </c>
      <c r="C1086" s="691">
        <v>60.2</v>
      </c>
      <c r="D1086" s="691">
        <v>60.2</v>
      </c>
      <c r="E1086" s="691">
        <v>60.4</v>
      </c>
      <c r="F1086" s="691">
        <v>60.3</v>
      </c>
      <c r="G1086" s="691">
        <v>60.4</v>
      </c>
      <c r="H1086" s="691">
        <v>60.5</v>
      </c>
      <c r="I1086" s="691">
        <v>58.9</v>
      </c>
      <c r="J1086" s="691">
        <v>56.8</v>
      </c>
      <c r="K1086" s="691">
        <v>59.7</v>
      </c>
    </row>
    <row r="1087" spans="1:11">
      <c r="A1087" s="688" t="s">
        <v>2240</v>
      </c>
      <c r="B1087" s="689">
        <v>63.6</v>
      </c>
      <c r="C1087" s="689">
        <v>64.099999999999994</v>
      </c>
      <c r="D1087" s="689">
        <v>63.9</v>
      </c>
      <c r="E1087" s="689">
        <v>64.3</v>
      </c>
      <c r="F1087" s="689">
        <v>64.3</v>
      </c>
      <c r="G1087" s="689">
        <v>64.3</v>
      </c>
      <c r="H1087" s="689">
        <v>64.599999999999994</v>
      </c>
      <c r="I1087" s="689">
        <v>63.6</v>
      </c>
      <c r="J1087" s="689">
        <v>62.5</v>
      </c>
      <c r="K1087" s="689">
        <v>64.3</v>
      </c>
    </row>
    <row r="1088" spans="1:11">
      <c r="A1088" s="688" t="s">
        <v>2</v>
      </c>
      <c r="B1088" s="691">
        <v>65.7</v>
      </c>
      <c r="C1088" s="615">
        <v>66</v>
      </c>
      <c r="D1088" s="691">
        <v>66.099999999999994</v>
      </c>
      <c r="E1088" s="691">
        <v>66.2</v>
      </c>
      <c r="F1088" s="691">
        <v>66.5</v>
      </c>
      <c r="G1088" s="691">
        <v>66.400000000000006</v>
      </c>
      <c r="H1088" s="691">
        <v>66.8</v>
      </c>
      <c r="I1088" s="691">
        <v>66.900000000000006</v>
      </c>
      <c r="J1088" s="691">
        <v>66.8</v>
      </c>
      <c r="K1088" s="691">
        <v>66.599999999999994</v>
      </c>
    </row>
    <row r="1089" spans="1:11">
      <c r="A1089" s="688" t="s">
        <v>3</v>
      </c>
      <c r="B1089" s="693">
        <v>66</v>
      </c>
      <c r="C1089" s="689">
        <v>66.3</v>
      </c>
      <c r="D1089" s="693">
        <v>66</v>
      </c>
      <c r="E1089" s="689">
        <v>66.3</v>
      </c>
      <c r="F1089" s="689">
        <v>66.3</v>
      </c>
      <c r="G1089" s="689">
        <v>66.3</v>
      </c>
      <c r="H1089" s="689">
        <v>66.599999999999994</v>
      </c>
      <c r="I1089" s="689">
        <v>66.400000000000006</v>
      </c>
      <c r="J1089" s="693">
        <v>66</v>
      </c>
      <c r="K1089" s="689">
        <v>65.900000000000006</v>
      </c>
    </row>
    <row r="1090" spans="1:11">
      <c r="A1090" s="688" t="s">
        <v>4061</v>
      </c>
      <c r="B1090" s="615">
        <v>66</v>
      </c>
      <c r="C1090" s="691">
        <v>66.3</v>
      </c>
      <c r="D1090" s="615">
        <v>66</v>
      </c>
      <c r="E1090" s="691">
        <v>66.3</v>
      </c>
      <c r="F1090" s="691">
        <v>66.3</v>
      </c>
      <c r="G1090" s="691">
        <v>66.3</v>
      </c>
      <c r="H1090" s="691">
        <v>66.599999999999994</v>
      </c>
      <c r="I1090" s="691">
        <v>66.400000000000006</v>
      </c>
      <c r="J1090" s="615">
        <v>66</v>
      </c>
      <c r="K1090" s="691">
        <v>65.900000000000006</v>
      </c>
    </row>
    <row r="1091" spans="1:11">
      <c r="A1091" s="688" t="s">
        <v>4</v>
      </c>
      <c r="B1091" s="689">
        <v>62.9</v>
      </c>
      <c r="C1091" s="689">
        <v>62.5</v>
      </c>
      <c r="D1091" s="693">
        <v>63</v>
      </c>
      <c r="E1091" s="689">
        <v>63.1</v>
      </c>
      <c r="F1091" s="689">
        <v>63.5</v>
      </c>
      <c r="G1091" s="689">
        <v>63.6</v>
      </c>
      <c r="H1091" s="689">
        <v>64.099999999999994</v>
      </c>
      <c r="I1091" s="693">
        <v>64</v>
      </c>
      <c r="J1091" s="689">
        <v>62.4</v>
      </c>
      <c r="K1091" s="689">
        <v>63.3</v>
      </c>
    </row>
    <row r="1092" spans="1:11">
      <c r="A1092" s="688" t="s">
        <v>8</v>
      </c>
      <c r="B1092" s="691">
        <v>66.400000000000006</v>
      </c>
      <c r="C1092" s="691">
        <v>66.599999999999994</v>
      </c>
      <c r="D1092" s="691">
        <v>66.7</v>
      </c>
      <c r="E1092" s="691">
        <v>66.900000000000006</v>
      </c>
      <c r="F1092" s="691">
        <v>67.3</v>
      </c>
      <c r="G1092" s="691">
        <v>67.400000000000006</v>
      </c>
      <c r="H1092" s="691">
        <v>67.8</v>
      </c>
      <c r="I1092" s="691">
        <v>67.599999999999994</v>
      </c>
      <c r="J1092" s="691">
        <v>67.400000000000006</v>
      </c>
      <c r="K1092" s="691">
        <v>67.7</v>
      </c>
    </row>
    <row r="1093" spans="1:11">
      <c r="A1093" s="688" t="s">
        <v>7</v>
      </c>
      <c r="B1093" s="689">
        <v>66.8</v>
      </c>
      <c r="C1093" s="689">
        <v>66.400000000000006</v>
      </c>
      <c r="D1093" s="689">
        <v>66.2</v>
      </c>
      <c r="E1093" s="689">
        <v>66.5</v>
      </c>
      <c r="F1093" s="689">
        <v>66.400000000000006</v>
      </c>
      <c r="G1093" s="689">
        <v>66.900000000000006</v>
      </c>
      <c r="H1093" s="689">
        <v>66.8</v>
      </c>
      <c r="I1093" s="689">
        <v>66.5</v>
      </c>
      <c r="J1093" s="689">
        <v>65.5</v>
      </c>
      <c r="K1093" s="689">
        <v>66.2</v>
      </c>
    </row>
    <row r="1094" spans="1:11">
      <c r="A1094" s="688" t="s">
        <v>27</v>
      </c>
      <c r="B1094" s="691">
        <v>68.5</v>
      </c>
      <c r="C1094" s="691">
        <v>68.2</v>
      </c>
      <c r="D1094" s="615">
        <v>68</v>
      </c>
      <c r="E1094" s="691">
        <v>68.400000000000006</v>
      </c>
      <c r="F1094" s="691">
        <v>68.400000000000006</v>
      </c>
      <c r="G1094" s="691">
        <v>68.5</v>
      </c>
      <c r="H1094" s="691">
        <v>68.8</v>
      </c>
      <c r="I1094" s="691">
        <v>67.5</v>
      </c>
      <c r="J1094" s="691">
        <v>68.3</v>
      </c>
      <c r="K1094" s="691">
        <v>68.400000000000006</v>
      </c>
    </row>
    <row r="1095" spans="1:11">
      <c r="A1095" s="688" t="s">
        <v>6</v>
      </c>
      <c r="B1095" s="689">
        <v>67.8</v>
      </c>
      <c r="C1095" s="689">
        <v>67.8</v>
      </c>
      <c r="D1095" s="689">
        <v>67.5</v>
      </c>
      <c r="E1095" s="689">
        <v>67.8</v>
      </c>
      <c r="F1095" s="689">
        <v>67.900000000000006</v>
      </c>
      <c r="G1095" s="693">
        <v>68</v>
      </c>
      <c r="H1095" s="689">
        <v>68.2</v>
      </c>
      <c r="I1095" s="689">
        <v>67.599999999999994</v>
      </c>
      <c r="J1095" s="689">
        <v>67.7</v>
      </c>
      <c r="K1095" s="689">
        <v>67.7</v>
      </c>
    </row>
    <row r="1096" spans="1:11">
      <c r="A1096" s="688" t="s">
        <v>4058</v>
      </c>
      <c r="B1096" s="692" t="s">
        <v>4060</v>
      </c>
      <c r="C1096" s="692" t="s">
        <v>4060</v>
      </c>
      <c r="D1096" s="692" t="s">
        <v>4060</v>
      </c>
      <c r="E1096" s="692" t="s">
        <v>4060</v>
      </c>
      <c r="F1096" s="692" t="s">
        <v>4060</v>
      </c>
      <c r="G1096" s="692" t="s">
        <v>4060</v>
      </c>
      <c r="H1096" s="692" t="s">
        <v>4060</v>
      </c>
      <c r="I1096" s="692" t="s">
        <v>4060</v>
      </c>
      <c r="J1096" s="692" t="s">
        <v>4060</v>
      </c>
      <c r="K1096" s="692" t="s">
        <v>4060</v>
      </c>
    </row>
    <row r="1097" spans="1:11">
      <c r="A1097" s="688" t="s">
        <v>11</v>
      </c>
      <c r="B1097" s="689">
        <v>63.2</v>
      </c>
      <c r="C1097" s="689">
        <v>63.3</v>
      </c>
      <c r="D1097" s="689">
        <v>62.8</v>
      </c>
      <c r="E1097" s="689">
        <v>63.5</v>
      </c>
      <c r="F1097" s="689">
        <v>63.3</v>
      </c>
      <c r="G1097" s="689">
        <v>63.5</v>
      </c>
      <c r="H1097" s="689">
        <v>63.7</v>
      </c>
      <c r="I1097" s="693">
        <v>63</v>
      </c>
      <c r="J1097" s="693">
        <v>62</v>
      </c>
      <c r="K1097" s="689">
        <v>63.1</v>
      </c>
    </row>
    <row r="1098" spans="1:11">
      <c r="A1098" s="688" t="s">
        <v>10</v>
      </c>
      <c r="B1098" s="691">
        <v>68.2</v>
      </c>
      <c r="C1098" s="691">
        <v>68.2</v>
      </c>
      <c r="D1098" s="691">
        <v>67.8</v>
      </c>
      <c r="E1098" s="691">
        <v>68.3</v>
      </c>
      <c r="F1098" s="691">
        <v>68.2</v>
      </c>
      <c r="G1098" s="691">
        <v>68.5</v>
      </c>
      <c r="H1098" s="691">
        <v>68.7</v>
      </c>
      <c r="I1098" s="691">
        <v>67.5</v>
      </c>
      <c r="J1098" s="691">
        <v>67.900000000000006</v>
      </c>
      <c r="K1098" s="615">
        <v>68</v>
      </c>
    </row>
    <row r="1099" spans="1:11">
      <c r="A1099" s="688" t="s">
        <v>30</v>
      </c>
      <c r="B1099" s="689">
        <v>67.8</v>
      </c>
      <c r="C1099" s="689">
        <v>67.5</v>
      </c>
      <c r="D1099" s="689">
        <v>67.2</v>
      </c>
      <c r="E1099" s="689">
        <v>68.099999999999994</v>
      </c>
      <c r="F1099" s="689">
        <v>67.7</v>
      </c>
      <c r="G1099" s="689">
        <v>68.3</v>
      </c>
      <c r="H1099" s="693">
        <v>68</v>
      </c>
      <c r="I1099" s="693">
        <v>68</v>
      </c>
      <c r="J1099" s="689">
        <v>67.099999999999994</v>
      </c>
      <c r="K1099" s="689">
        <v>67.5</v>
      </c>
    </row>
    <row r="1100" spans="1:11">
      <c r="A1100" s="688" t="s">
        <v>12</v>
      </c>
      <c r="B1100" s="691">
        <v>59.9</v>
      </c>
      <c r="C1100" s="691">
        <v>59.8</v>
      </c>
      <c r="D1100" s="691">
        <v>60.1</v>
      </c>
      <c r="E1100" s="691">
        <v>60.2</v>
      </c>
      <c r="F1100" s="691">
        <v>60.3</v>
      </c>
      <c r="G1100" s="691">
        <v>60.4</v>
      </c>
      <c r="H1100" s="615">
        <v>61</v>
      </c>
      <c r="I1100" s="691">
        <v>60.8</v>
      </c>
      <c r="J1100" s="691">
        <v>58.5</v>
      </c>
      <c r="K1100" s="691">
        <v>59.8</v>
      </c>
    </row>
    <row r="1101" spans="1:11">
      <c r="A1101" s="688" t="s">
        <v>14</v>
      </c>
      <c r="B1101" s="689">
        <v>59.6</v>
      </c>
      <c r="C1101" s="689">
        <v>60.1</v>
      </c>
      <c r="D1101" s="693">
        <v>60</v>
      </c>
      <c r="E1101" s="689">
        <v>60.3</v>
      </c>
      <c r="F1101" s="689">
        <v>61.1</v>
      </c>
      <c r="G1101" s="689">
        <v>61.3</v>
      </c>
      <c r="H1101" s="689">
        <v>61.7</v>
      </c>
      <c r="I1101" s="689">
        <v>60.5</v>
      </c>
      <c r="J1101" s="689">
        <v>59.6</v>
      </c>
      <c r="K1101" s="689">
        <v>61.2</v>
      </c>
    </row>
    <row r="1102" spans="1:11">
      <c r="A1102" s="688" t="s">
        <v>15</v>
      </c>
      <c r="B1102" s="691">
        <v>67.3</v>
      </c>
      <c r="C1102" s="691">
        <v>67.2</v>
      </c>
      <c r="D1102" s="691">
        <v>67.3</v>
      </c>
      <c r="E1102" s="691">
        <v>67.7</v>
      </c>
      <c r="F1102" s="691">
        <v>67.2</v>
      </c>
      <c r="G1102" s="691">
        <v>67.5</v>
      </c>
      <c r="H1102" s="691">
        <v>67.900000000000006</v>
      </c>
      <c r="I1102" s="691">
        <v>67.5</v>
      </c>
      <c r="J1102" s="691">
        <v>67.8</v>
      </c>
      <c r="K1102" s="691">
        <v>68.2</v>
      </c>
    </row>
    <row r="1103" spans="1:11">
      <c r="A1103" s="688" t="s">
        <v>29</v>
      </c>
      <c r="B1103" s="689">
        <v>61.3</v>
      </c>
      <c r="C1103" s="689">
        <v>61.3</v>
      </c>
      <c r="D1103" s="689">
        <v>61.1</v>
      </c>
      <c r="E1103" s="689">
        <v>61.5</v>
      </c>
      <c r="F1103" s="689">
        <v>61.3</v>
      </c>
      <c r="G1103" s="689">
        <v>61.4</v>
      </c>
      <c r="H1103" s="689">
        <v>61.7</v>
      </c>
      <c r="I1103" s="689">
        <v>60.9</v>
      </c>
      <c r="J1103" s="689">
        <v>59.5</v>
      </c>
      <c r="K1103" s="689">
        <v>61.3</v>
      </c>
    </row>
    <row r="1104" spans="1:11">
      <c r="A1104" s="688" t="s">
        <v>16</v>
      </c>
      <c r="B1104" s="691">
        <v>67.400000000000006</v>
      </c>
      <c r="C1104" s="691">
        <v>67.3</v>
      </c>
      <c r="D1104" s="691">
        <v>67.400000000000006</v>
      </c>
      <c r="E1104" s="691">
        <v>67.8</v>
      </c>
      <c r="F1104" s="691">
        <v>67.7</v>
      </c>
      <c r="G1104" s="691">
        <v>67.599999999999994</v>
      </c>
      <c r="H1104" s="691">
        <v>68.2</v>
      </c>
      <c r="I1104" s="691">
        <v>67.3</v>
      </c>
      <c r="J1104" s="691">
        <v>67.400000000000006</v>
      </c>
      <c r="K1104" s="691">
        <v>67.599999999999994</v>
      </c>
    </row>
    <row r="1105" spans="1:11">
      <c r="A1105" s="688" t="s">
        <v>17</v>
      </c>
      <c r="B1105" s="689">
        <v>66.8</v>
      </c>
      <c r="C1105" s="693">
        <v>67</v>
      </c>
      <c r="D1105" s="689">
        <v>66.8</v>
      </c>
      <c r="E1105" s="689">
        <v>66.900000000000006</v>
      </c>
      <c r="F1105" s="689">
        <v>67.099999999999994</v>
      </c>
      <c r="G1105" s="689">
        <v>67.2</v>
      </c>
      <c r="H1105" s="689">
        <v>67.400000000000006</v>
      </c>
      <c r="I1105" s="689">
        <v>66.8</v>
      </c>
      <c r="J1105" s="689">
        <v>66.7</v>
      </c>
      <c r="K1105" s="693">
        <v>67</v>
      </c>
    </row>
    <row r="1106" spans="1:11">
      <c r="A1106" s="688" t="s">
        <v>19</v>
      </c>
      <c r="B1106" s="691">
        <v>66.7</v>
      </c>
      <c r="C1106" s="691">
        <v>66.8</v>
      </c>
      <c r="D1106" s="691">
        <v>66.5</v>
      </c>
      <c r="E1106" s="615">
        <v>67</v>
      </c>
      <c r="F1106" s="615">
        <v>67</v>
      </c>
      <c r="G1106" s="615">
        <v>67</v>
      </c>
      <c r="H1106" s="691">
        <v>67.3</v>
      </c>
      <c r="I1106" s="691">
        <v>66.7</v>
      </c>
      <c r="J1106" s="691">
        <v>66.599999999999994</v>
      </c>
      <c r="K1106" s="691">
        <v>66.7</v>
      </c>
    </row>
    <row r="1107" spans="1:11">
      <c r="A1107" s="688" t="s">
        <v>20</v>
      </c>
      <c r="B1107" s="689">
        <v>62.6</v>
      </c>
      <c r="C1107" s="693">
        <v>63</v>
      </c>
      <c r="D1107" s="689">
        <v>62.8</v>
      </c>
      <c r="E1107" s="689">
        <v>63.2</v>
      </c>
      <c r="F1107" s="689">
        <v>63.1</v>
      </c>
      <c r="G1107" s="693">
        <v>63</v>
      </c>
      <c r="H1107" s="689">
        <v>63.3</v>
      </c>
      <c r="I1107" s="689">
        <v>61.8</v>
      </c>
      <c r="J1107" s="689">
        <v>60.8</v>
      </c>
      <c r="K1107" s="689">
        <v>62.5</v>
      </c>
    </row>
    <row r="1108" spans="1:11">
      <c r="A1108" s="688" t="s">
        <v>21</v>
      </c>
      <c r="B1108" s="691">
        <v>66.3</v>
      </c>
      <c r="C1108" s="691">
        <v>66.599999999999994</v>
      </c>
      <c r="D1108" s="691">
        <v>66.7</v>
      </c>
      <c r="E1108" s="691">
        <v>66.7</v>
      </c>
      <c r="F1108" s="615">
        <v>67</v>
      </c>
      <c r="G1108" s="615">
        <v>67</v>
      </c>
      <c r="H1108" s="691">
        <v>67.3</v>
      </c>
      <c r="I1108" s="691">
        <v>66.7</v>
      </c>
      <c r="J1108" s="691">
        <v>66.7</v>
      </c>
      <c r="K1108" s="615">
        <v>67</v>
      </c>
    </row>
    <row r="1109" spans="1:11">
      <c r="A1109" s="688" t="s">
        <v>22</v>
      </c>
      <c r="B1109" s="689">
        <v>61.1</v>
      </c>
      <c r="C1109" s="689">
        <v>60.8</v>
      </c>
      <c r="D1109" s="689">
        <v>60.7</v>
      </c>
      <c r="E1109" s="689">
        <v>60.9</v>
      </c>
      <c r="F1109" s="689">
        <v>60.9</v>
      </c>
      <c r="G1109" s="693">
        <v>61</v>
      </c>
      <c r="H1109" s="689">
        <v>61.2</v>
      </c>
      <c r="I1109" s="689">
        <v>59.7</v>
      </c>
      <c r="J1109" s="689">
        <v>58.3</v>
      </c>
      <c r="K1109" s="689">
        <v>60.7</v>
      </c>
    </row>
    <row r="1110" spans="1:11">
      <c r="A1110" s="688" t="s">
        <v>26</v>
      </c>
      <c r="B1110" s="691">
        <v>65.8</v>
      </c>
      <c r="C1110" s="691">
        <v>66.099999999999994</v>
      </c>
      <c r="D1110" s="691">
        <v>65.8</v>
      </c>
      <c r="E1110" s="691">
        <v>66.2</v>
      </c>
      <c r="F1110" s="691">
        <v>66.2</v>
      </c>
      <c r="G1110" s="691">
        <v>66.5</v>
      </c>
      <c r="H1110" s="691">
        <v>66.599999999999994</v>
      </c>
      <c r="I1110" s="691">
        <v>65.8</v>
      </c>
      <c r="J1110" s="691">
        <v>65.8</v>
      </c>
      <c r="K1110" s="691">
        <v>66.5</v>
      </c>
    </row>
    <row r="1111" spans="1:11">
      <c r="A1111" s="688" t="s">
        <v>25</v>
      </c>
      <c r="B1111" s="689">
        <v>62.2</v>
      </c>
      <c r="C1111" s="689">
        <v>62.5</v>
      </c>
      <c r="D1111" s="689">
        <v>62.3</v>
      </c>
      <c r="E1111" s="689">
        <v>62.8</v>
      </c>
      <c r="F1111" s="689">
        <v>62.8</v>
      </c>
      <c r="G1111" s="689">
        <v>62.9</v>
      </c>
      <c r="H1111" s="689">
        <v>63.3</v>
      </c>
      <c r="I1111" s="689">
        <v>62.5</v>
      </c>
      <c r="J1111" s="689">
        <v>60.1</v>
      </c>
      <c r="K1111" s="689">
        <v>62.6</v>
      </c>
    </row>
    <row r="1112" spans="1:11">
      <c r="A1112" s="688" t="s">
        <v>5</v>
      </c>
      <c r="B1112" s="691">
        <v>66.400000000000006</v>
      </c>
      <c r="C1112" s="691">
        <v>66.3</v>
      </c>
      <c r="D1112" s="691">
        <v>66.599999999999994</v>
      </c>
      <c r="E1112" s="691">
        <v>66.599999999999994</v>
      </c>
      <c r="F1112" s="691">
        <v>66.8</v>
      </c>
      <c r="G1112" s="691">
        <v>66.900000000000006</v>
      </c>
      <c r="H1112" s="691">
        <v>67.099999999999994</v>
      </c>
      <c r="I1112" s="691">
        <v>67.099999999999994</v>
      </c>
      <c r="J1112" s="691">
        <v>67.099999999999994</v>
      </c>
      <c r="K1112" s="691">
        <v>66.5</v>
      </c>
    </row>
    <row r="1113" spans="1:11">
      <c r="A1113" s="688" t="s">
        <v>23</v>
      </c>
      <c r="B1113" s="689">
        <v>67.3</v>
      </c>
      <c r="C1113" s="689">
        <v>67.5</v>
      </c>
      <c r="D1113" s="689">
        <v>67.5</v>
      </c>
      <c r="E1113" s="689">
        <v>67.599999999999994</v>
      </c>
      <c r="F1113" s="689">
        <v>67.7</v>
      </c>
      <c r="G1113" s="689">
        <v>67.8</v>
      </c>
      <c r="H1113" s="689">
        <v>68.3</v>
      </c>
      <c r="I1113" s="689">
        <v>67.7</v>
      </c>
      <c r="J1113" s="689">
        <v>68.3</v>
      </c>
      <c r="K1113" s="689">
        <v>68.3</v>
      </c>
    </row>
    <row r="1114" spans="1:11">
      <c r="A1114" s="688" t="s">
        <v>4067</v>
      </c>
      <c r="B1114" s="615">
        <v>66</v>
      </c>
      <c r="C1114" s="691">
        <v>66.3</v>
      </c>
      <c r="D1114" s="615">
        <v>66</v>
      </c>
      <c r="E1114" s="691">
        <v>66.400000000000006</v>
      </c>
      <c r="F1114" s="691">
        <v>66.400000000000006</v>
      </c>
      <c r="G1114" s="691">
        <v>66.400000000000006</v>
      </c>
      <c r="H1114" s="692" t="s">
        <v>4060</v>
      </c>
      <c r="I1114" s="692" t="s">
        <v>4060</v>
      </c>
      <c r="J1114" s="692" t="s">
        <v>4060</v>
      </c>
      <c r="K1114" s="692" t="s">
        <v>4060</v>
      </c>
    </row>
    <row r="1115" spans="1:11">
      <c r="A1115" s="688" t="s">
        <v>4066</v>
      </c>
      <c r="B1115" s="693">
        <v>66</v>
      </c>
      <c r="C1115" s="689">
        <v>66.400000000000006</v>
      </c>
      <c r="D1115" s="693">
        <v>66</v>
      </c>
      <c r="E1115" s="689">
        <v>66.400000000000006</v>
      </c>
      <c r="F1115" s="689">
        <v>66.400000000000006</v>
      </c>
      <c r="G1115" s="689">
        <v>66.5</v>
      </c>
      <c r="H1115" s="690" t="s">
        <v>4060</v>
      </c>
      <c r="I1115" s="690" t="s">
        <v>4060</v>
      </c>
      <c r="J1115" s="690" t="s">
        <v>4060</v>
      </c>
      <c r="K1115" s="690" t="s">
        <v>4060</v>
      </c>
    </row>
    <row r="1116" spans="1:11">
      <c r="A1116" s="688" t="s">
        <v>4062</v>
      </c>
      <c r="B1116" s="691">
        <v>67.900000000000006</v>
      </c>
      <c r="C1116" s="691">
        <v>68.099999999999994</v>
      </c>
      <c r="D1116" s="615">
        <v>68</v>
      </c>
      <c r="E1116" s="691">
        <v>68.400000000000006</v>
      </c>
      <c r="F1116" s="691">
        <v>68.5</v>
      </c>
      <c r="G1116" s="691">
        <v>68.599999999999994</v>
      </c>
      <c r="H1116" s="691">
        <v>68.8</v>
      </c>
      <c r="I1116" s="691">
        <v>68.400000000000006</v>
      </c>
      <c r="J1116" s="691">
        <v>68.8</v>
      </c>
      <c r="K1116" s="691">
        <v>68.5</v>
      </c>
    </row>
    <row r="1117" spans="1:11">
      <c r="A1117" s="688" t="s">
        <v>9</v>
      </c>
      <c r="B1117" s="689">
        <v>67.400000000000006</v>
      </c>
      <c r="C1117" s="689">
        <v>67.900000000000006</v>
      </c>
      <c r="D1117" s="689">
        <v>67.7</v>
      </c>
      <c r="E1117" s="689">
        <v>67.3</v>
      </c>
      <c r="F1117" s="689">
        <v>67.8</v>
      </c>
      <c r="G1117" s="689">
        <v>67.900000000000006</v>
      </c>
      <c r="H1117" s="689">
        <v>68.099999999999994</v>
      </c>
      <c r="I1117" s="689">
        <v>68.2</v>
      </c>
      <c r="J1117" s="689">
        <v>68.400000000000006</v>
      </c>
      <c r="K1117" s="689">
        <v>67.400000000000006</v>
      </c>
    </row>
    <row r="1118" spans="1:11">
      <c r="A1118" s="688" t="s">
        <v>13</v>
      </c>
      <c r="B1118" s="691">
        <v>67.900000000000006</v>
      </c>
      <c r="C1118" s="691">
        <v>67.3</v>
      </c>
      <c r="D1118" s="615">
        <v>68</v>
      </c>
      <c r="E1118" s="691">
        <v>67.3</v>
      </c>
      <c r="F1118" s="691">
        <v>68.5</v>
      </c>
      <c r="G1118" s="691">
        <v>68.099999999999994</v>
      </c>
      <c r="H1118" s="615">
        <v>69</v>
      </c>
      <c r="I1118" s="691">
        <v>67.7</v>
      </c>
      <c r="J1118" s="691">
        <v>69.099999999999994</v>
      </c>
      <c r="K1118" s="691">
        <v>69.2</v>
      </c>
    </row>
    <row r="1119" spans="1:11">
      <c r="A1119" s="688" t="s">
        <v>18</v>
      </c>
      <c r="B1119" s="689">
        <v>67.099999999999994</v>
      </c>
      <c r="C1119" s="689">
        <v>67.400000000000006</v>
      </c>
      <c r="D1119" s="689">
        <v>67.599999999999994</v>
      </c>
      <c r="E1119" s="689">
        <v>67.7</v>
      </c>
      <c r="F1119" s="689">
        <v>67.900000000000006</v>
      </c>
      <c r="G1119" s="693">
        <v>68</v>
      </c>
      <c r="H1119" s="689">
        <v>68.2</v>
      </c>
      <c r="I1119" s="689">
        <v>68.400000000000006</v>
      </c>
      <c r="J1119" s="689">
        <v>68.400000000000006</v>
      </c>
      <c r="K1119" s="689">
        <v>67.900000000000006</v>
      </c>
    </row>
    <row r="1120" spans="1:11">
      <c r="A1120" s="688" t="s">
        <v>24</v>
      </c>
      <c r="B1120" s="691">
        <v>68.3</v>
      </c>
      <c r="C1120" s="691">
        <v>68.5</v>
      </c>
      <c r="D1120" s="691">
        <v>68.3</v>
      </c>
      <c r="E1120" s="691">
        <v>68.8</v>
      </c>
      <c r="F1120" s="691">
        <v>68.8</v>
      </c>
      <c r="G1120" s="615">
        <v>69</v>
      </c>
      <c r="H1120" s="691">
        <v>69.2</v>
      </c>
      <c r="I1120" s="691">
        <v>68.5</v>
      </c>
      <c r="J1120" s="615">
        <v>69</v>
      </c>
      <c r="K1120" s="691">
        <v>68.900000000000006</v>
      </c>
    </row>
    <row r="1121" spans="1:11">
      <c r="A1121" s="688" t="s">
        <v>4059</v>
      </c>
      <c r="B1121" s="689">
        <v>66.5</v>
      </c>
      <c r="C1121" s="689">
        <v>66.8</v>
      </c>
      <c r="D1121" s="689">
        <v>66.5</v>
      </c>
      <c r="E1121" s="689">
        <v>66.7</v>
      </c>
      <c r="F1121" s="689">
        <v>66.7</v>
      </c>
      <c r="G1121" s="689">
        <v>66.7</v>
      </c>
      <c r="H1121" s="690" t="s">
        <v>4060</v>
      </c>
      <c r="I1121" s="690" t="s">
        <v>4060</v>
      </c>
      <c r="J1121" s="690" t="s">
        <v>4060</v>
      </c>
      <c r="K1121" s="690" t="s">
        <v>4060</v>
      </c>
    </row>
    <row r="1122" spans="1:11">
      <c r="A1122" s="688" t="s">
        <v>2324</v>
      </c>
      <c r="B1122" s="615">
        <v>62</v>
      </c>
      <c r="C1122" s="615">
        <v>62</v>
      </c>
      <c r="D1122" s="691">
        <v>61.8</v>
      </c>
      <c r="E1122" s="691">
        <v>61.9</v>
      </c>
      <c r="F1122" s="691">
        <v>61.9</v>
      </c>
      <c r="G1122" s="691">
        <v>62.2</v>
      </c>
      <c r="H1122" s="691">
        <v>62.1</v>
      </c>
      <c r="I1122" s="691">
        <v>61.3</v>
      </c>
      <c r="J1122" s="615">
        <v>59</v>
      </c>
      <c r="K1122" s="692" t="s">
        <v>4060</v>
      </c>
    </row>
    <row r="1123" spans="1:11">
      <c r="A1123" s="688" t="s">
        <v>2322</v>
      </c>
      <c r="B1123" s="690" t="s">
        <v>4060</v>
      </c>
      <c r="C1123" s="690" t="s">
        <v>4060</v>
      </c>
      <c r="D1123" s="690" t="s">
        <v>4060</v>
      </c>
      <c r="E1123" s="690" t="s">
        <v>4060</v>
      </c>
      <c r="F1123" s="690" t="s">
        <v>4060</v>
      </c>
      <c r="G1123" s="690" t="s">
        <v>4060</v>
      </c>
      <c r="H1123" s="690" t="s">
        <v>4060</v>
      </c>
      <c r="I1123" s="690" t="s">
        <v>4060</v>
      </c>
      <c r="J1123" s="690" t="s">
        <v>4060</v>
      </c>
      <c r="K1123" s="690" t="s">
        <v>4060</v>
      </c>
    </row>
    <row r="1124" spans="1:11">
      <c r="A1124" s="688" t="s">
        <v>2328</v>
      </c>
      <c r="B1124" s="691">
        <v>61.4</v>
      </c>
      <c r="C1124" s="691">
        <v>61.4</v>
      </c>
      <c r="D1124" s="691">
        <v>61.3</v>
      </c>
      <c r="E1124" s="691">
        <v>61.5</v>
      </c>
      <c r="F1124" s="691">
        <v>61.9</v>
      </c>
      <c r="G1124" s="691">
        <v>62.2</v>
      </c>
      <c r="H1124" s="691">
        <v>62.2</v>
      </c>
      <c r="I1124" s="691">
        <v>59.9</v>
      </c>
      <c r="J1124" s="691">
        <v>58.7</v>
      </c>
      <c r="K1124" s="692" t="s">
        <v>4060</v>
      </c>
    </row>
    <row r="1125" spans="1:11">
      <c r="A1125" s="688" t="s">
        <v>2496</v>
      </c>
      <c r="B1125" s="690" t="s">
        <v>4060</v>
      </c>
      <c r="C1125" s="689">
        <v>60.2</v>
      </c>
      <c r="D1125" s="693">
        <v>59</v>
      </c>
      <c r="E1125" s="689">
        <v>58.6</v>
      </c>
      <c r="F1125" s="689">
        <v>59.5</v>
      </c>
      <c r="G1125" s="689">
        <v>59.8</v>
      </c>
      <c r="H1125" s="689">
        <v>59.9</v>
      </c>
      <c r="I1125" s="690" t="s">
        <v>4060</v>
      </c>
      <c r="J1125" s="690" t="s">
        <v>4060</v>
      </c>
      <c r="K1125" s="689">
        <v>59.5</v>
      </c>
    </row>
    <row r="1126" spans="1:11">
      <c r="A1126" s="688" t="s">
        <v>2269</v>
      </c>
      <c r="B1126" s="691">
        <v>63.9</v>
      </c>
      <c r="C1126" s="691">
        <v>64.099999999999994</v>
      </c>
      <c r="D1126" s="691">
        <v>63.8</v>
      </c>
      <c r="E1126" s="691">
        <v>64.400000000000006</v>
      </c>
      <c r="F1126" s="691">
        <v>64.400000000000006</v>
      </c>
      <c r="G1126" s="691">
        <v>64.8</v>
      </c>
      <c r="H1126" s="691">
        <v>65.099999999999994</v>
      </c>
      <c r="I1126" s="691">
        <v>63.3</v>
      </c>
      <c r="J1126" s="691">
        <v>61.4</v>
      </c>
      <c r="K1126" s="691">
        <v>64.8</v>
      </c>
    </row>
    <row r="1127" spans="1:11">
      <c r="A1127" s="688" t="s">
        <v>2349</v>
      </c>
      <c r="B1127" s="689">
        <v>60.9</v>
      </c>
      <c r="C1127" s="693">
        <v>61</v>
      </c>
      <c r="D1127" s="689">
        <v>60.9</v>
      </c>
      <c r="E1127" s="689">
        <v>61.3</v>
      </c>
      <c r="F1127" s="689">
        <v>61.2</v>
      </c>
      <c r="G1127" s="689">
        <v>61.5</v>
      </c>
      <c r="H1127" s="689">
        <v>61.5</v>
      </c>
      <c r="I1127" s="693">
        <v>60</v>
      </c>
      <c r="J1127" s="689">
        <v>58.3</v>
      </c>
      <c r="K1127" s="689">
        <v>60.7</v>
      </c>
    </row>
    <row r="1128" spans="1:11">
      <c r="A1128" s="688" t="s">
        <v>2355</v>
      </c>
      <c r="B1128" s="691">
        <v>64.5</v>
      </c>
      <c r="C1128" s="691">
        <v>64.400000000000006</v>
      </c>
      <c r="D1128" s="691">
        <v>64.400000000000006</v>
      </c>
      <c r="E1128" s="691">
        <v>64.3</v>
      </c>
      <c r="F1128" s="691">
        <v>64.5</v>
      </c>
      <c r="G1128" s="615">
        <v>65</v>
      </c>
      <c r="H1128" s="691">
        <v>65.099999999999994</v>
      </c>
      <c r="I1128" s="692" t="s">
        <v>4060</v>
      </c>
      <c r="J1128" s="692" t="s">
        <v>4060</v>
      </c>
      <c r="K1128" s="692" t="s">
        <v>4060</v>
      </c>
    </row>
    <row r="1129" spans="1:11">
      <c r="A1129" s="688" t="s">
        <v>2357</v>
      </c>
      <c r="B1129" s="690" t="s">
        <v>4060</v>
      </c>
      <c r="C1129" s="689">
        <v>57.6</v>
      </c>
      <c r="D1129" s="689">
        <v>58.3</v>
      </c>
      <c r="E1129" s="689">
        <v>58.7</v>
      </c>
      <c r="F1129" s="693">
        <v>59</v>
      </c>
      <c r="G1129" s="689">
        <v>58.9</v>
      </c>
      <c r="H1129" s="689">
        <v>59.1</v>
      </c>
      <c r="I1129" s="690" t="s">
        <v>4060</v>
      </c>
      <c r="J1129" s="690" t="s">
        <v>4060</v>
      </c>
      <c r="K1129" s="690" t="s">
        <v>4060</v>
      </c>
    </row>
    <row r="1130" spans="1:11">
      <c r="A1130" s="688" t="s">
        <v>4070</v>
      </c>
      <c r="B1130" s="692" t="s">
        <v>4060</v>
      </c>
      <c r="C1130" s="692" t="s">
        <v>4060</v>
      </c>
      <c r="D1130" s="692" t="s">
        <v>4060</v>
      </c>
      <c r="E1130" s="691">
        <v>64.3</v>
      </c>
      <c r="F1130" s="692" t="s">
        <v>4060</v>
      </c>
      <c r="G1130" s="692" t="s">
        <v>4060</v>
      </c>
      <c r="H1130" s="692" t="s">
        <v>4060</v>
      </c>
      <c r="I1130" s="692" t="s">
        <v>4060</v>
      </c>
      <c r="J1130" s="692" t="s">
        <v>4060</v>
      </c>
      <c r="K1130" s="692" t="s">
        <v>4060</v>
      </c>
    </row>
    <row r="1131" spans="1:11">
      <c r="A1131" s="688" t="s">
        <v>2491</v>
      </c>
      <c r="B1131" s="689">
        <v>58.2</v>
      </c>
      <c r="C1131" s="689">
        <v>58.8</v>
      </c>
      <c r="D1131" s="689">
        <v>59.3</v>
      </c>
      <c r="E1131" s="689">
        <v>59.6</v>
      </c>
      <c r="F1131" s="689">
        <v>59.9</v>
      </c>
      <c r="G1131" s="689">
        <v>59.9</v>
      </c>
      <c r="H1131" s="690" t="s">
        <v>4060</v>
      </c>
      <c r="I1131" s="690" t="s">
        <v>4060</v>
      </c>
      <c r="J1131" s="690" t="s">
        <v>4060</v>
      </c>
      <c r="K1131" s="690" t="s">
        <v>4060</v>
      </c>
    </row>
    <row r="1132" spans="1:11">
      <c r="A1132" s="688" t="s">
        <v>2343</v>
      </c>
      <c r="B1132" s="692" t="s">
        <v>4060</v>
      </c>
      <c r="C1132" s="692" t="s">
        <v>4060</v>
      </c>
      <c r="D1132" s="692" t="s">
        <v>4060</v>
      </c>
      <c r="E1132" s="692" t="s">
        <v>4060</v>
      </c>
      <c r="F1132" s="692" t="s">
        <v>4060</v>
      </c>
      <c r="G1132" s="692" t="s">
        <v>4060</v>
      </c>
      <c r="H1132" s="692" t="s">
        <v>4060</v>
      </c>
      <c r="I1132" s="692" t="s">
        <v>4060</v>
      </c>
      <c r="J1132" s="692" t="s">
        <v>4060</v>
      </c>
      <c r="K1132" s="692" t="s">
        <v>4060</v>
      </c>
    </row>
    <row r="1133" spans="1:11">
      <c r="A1133" s="688" t="s">
        <v>4071</v>
      </c>
      <c r="B1133" s="690" t="s">
        <v>4060</v>
      </c>
      <c r="C1133" s="690" t="s">
        <v>4060</v>
      </c>
      <c r="D1133" s="690" t="s">
        <v>4060</v>
      </c>
      <c r="E1133" s="690" t="s">
        <v>4060</v>
      </c>
      <c r="F1133" s="690" t="s">
        <v>4060</v>
      </c>
      <c r="G1133" s="690" t="s">
        <v>4060</v>
      </c>
      <c r="H1133" s="690" t="s">
        <v>4060</v>
      </c>
      <c r="I1133" s="690" t="s">
        <v>4060</v>
      </c>
      <c r="J1133" s="690" t="s">
        <v>4060</v>
      </c>
      <c r="K1133" s="690" t="s">
        <v>4060</v>
      </c>
    </row>
    <row r="1134" spans="1:11">
      <c r="A1134" s="688" t="s">
        <v>2489</v>
      </c>
      <c r="B1134" s="692" t="s">
        <v>4060</v>
      </c>
      <c r="C1134" s="692" t="s">
        <v>4060</v>
      </c>
      <c r="D1134" s="615">
        <v>61</v>
      </c>
      <c r="E1134" s="615">
        <v>61</v>
      </c>
      <c r="F1134" s="691">
        <v>61.7</v>
      </c>
      <c r="G1134" s="691">
        <v>62.5</v>
      </c>
      <c r="H1134" s="691">
        <v>62.3</v>
      </c>
      <c r="I1134" s="692" t="s">
        <v>4060</v>
      </c>
      <c r="J1134" s="692" t="s">
        <v>4060</v>
      </c>
      <c r="K1134" s="692" t="s">
        <v>4060</v>
      </c>
    </row>
    <row r="1135" spans="1:11">
      <c r="A1135" s="688" t="s">
        <v>2490</v>
      </c>
      <c r="B1135" s="689">
        <v>60.8</v>
      </c>
      <c r="C1135" s="689">
        <v>60.9</v>
      </c>
      <c r="D1135" s="689">
        <v>61.5</v>
      </c>
      <c r="E1135" s="690" t="s">
        <v>4060</v>
      </c>
      <c r="F1135" s="689">
        <v>61.8</v>
      </c>
      <c r="G1135" s="689">
        <v>62.1</v>
      </c>
      <c r="H1135" s="689">
        <v>62.8</v>
      </c>
      <c r="I1135" s="690" t="s">
        <v>4060</v>
      </c>
      <c r="J1135" s="690" t="s">
        <v>4060</v>
      </c>
      <c r="K1135" s="690" t="s">
        <v>4060</v>
      </c>
    </row>
    <row r="1137" spans="1:11">
      <c r="A1137" s="683" t="s">
        <v>4233</v>
      </c>
    </row>
    <row r="1138" spans="1:11">
      <c r="A1138" s="683" t="s">
        <v>4060</v>
      </c>
      <c r="B1138" s="682" t="s">
        <v>4234</v>
      </c>
    </row>
    <row r="1140" spans="1:11">
      <c r="A1140" s="682" t="s">
        <v>4248</v>
      </c>
    </row>
    <row r="1141" spans="1:11">
      <c r="A1141" s="682" t="s">
        <v>4210</v>
      </c>
      <c r="B1141" s="683" t="s">
        <v>4211</v>
      </c>
    </row>
    <row r="1142" spans="1:11">
      <c r="A1142" s="682" t="s">
        <v>4212</v>
      </c>
      <c r="B1142" s="682" t="s">
        <v>4213</v>
      </c>
    </row>
    <row r="1144" spans="1:11">
      <c r="A1144" s="683" t="s">
        <v>4214</v>
      </c>
      <c r="C1144" s="682" t="s">
        <v>4215</v>
      </c>
    </row>
    <row r="1145" spans="1:11">
      <c r="A1145" s="683" t="s">
        <v>4216</v>
      </c>
      <c r="C1145" s="682" t="s">
        <v>2967</v>
      </c>
    </row>
    <row r="1146" spans="1:11">
      <c r="A1146" s="683" t="s">
        <v>3893</v>
      </c>
      <c r="C1146" s="682" t="s">
        <v>4217</v>
      </c>
    </row>
    <row r="1147" spans="1:11">
      <c r="A1147" s="683" t="s">
        <v>4218</v>
      </c>
      <c r="C1147" s="682" t="s">
        <v>4251</v>
      </c>
    </row>
    <row r="1149" spans="1:11">
      <c r="A1149" s="684" t="s">
        <v>4220</v>
      </c>
      <c r="B1149" s="685" t="s">
        <v>4221</v>
      </c>
      <c r="C1149" s="685" t="s">
        <v>4222</v>
      </c>
      <c r="D1149" s="685" t="s">
        <v>4223</v>
      </c>
      <c r="E1149" s="685" t="s">
        <v>4224</v>
      </c>
      <c r="F1149" s="685" t="s">
        <v>4225</v>
      </c>
      <c r="G1149" s="685" t="s">
        <v>4226</v>
      </c>
      <c r="H1149" s="685" t="s">
        <v>4227</v>
      </c>
      <c r="I1149" s="685" t="s">
        <v>4228</v>
      </c>
      <c r="J1149" s="685" t="s">
        <v>4229</v>
      </c>
      <c r="K1149" s="685" t="s">
        <v>4230</v>
      </c>
    </row>
    <row r="1150" spans="1:11">
      <c r="A1150" s="686" t="s">
        <v>4231</v>
      </c>
      <c r="B1150" s="687" t="s">
        <v>4232</v>
      </c>
      <c r="C1150" s="687" t="s">
        <v>4232</v>
      </c>
      <c r="D1150" s="687" t="s">
        <v>4232</v>
      </c>
      <c r="E1150" s="687" t="s">
        <v>4232</v>
      </c>
      <c r="F1150" s="687" t="s">
        <v>4232</v>
      </c>
      <c r="G1150" s="687" t="s">
        <v>4232</v>
      </c>
      <c r="H1150" s="687" t="s">
        <v>4232</v>
      </c>
      <c r="I1150" s="687" t="s">
        <v>4232</v>
      </c>
      <c r="J1150" s="687" t="s">
        <v>4232</v>
      </c>
      <c r="K1150" s="687" t="s">
        <v>4232</v>
      </c>
    </row>
    <row r="1151" spans="1:11">
      <c r="A1151" s="688" t="s">
        <v>4064</v>
      </c>
      <c r="B1151" s="689">
        <v>64.900000000000006</v>
      </c>
      <c r="C1151" s="693">
        <v>65</v>
      </c>
      <c r="D1151" s="693">
        <v>65</v>
      </c>
      <c r="E1151" s="689">
        <v>65.099999999999994</v>
      </c>
      <c r="F1151" s="689">
        <v>65.099999999999994</v>
      </c>
      <c r="G1151" s="689">
        <v>65.2</v>
      </c>
      <c r="H1151" s="689">
        <v>65.5</v>
      </c>
      <c r="I1151" s="689">
        <v>64.599999999999994</v>
      </c>
      <c r="J1151" s="689">
        <v>64.3</v>
      </c>
      <c r="K1151" s="689">
        <v>64.900000000000006</v>
      </c>
    </row>
    <row r="1152" spans="1:11">
      <c r="A1152" s="688" t="s">
        <v>4065</v>
      </c>
      <c r="B1152" s="615">
        <v>65</v>
      </c>
      <c r="C1152" s="691">
        <v>65.3</v>
      </c>
      <c r="D1152" s="615">
        <v>65</v>
      </c>
      <c r="E1152" s="691">
        <v>65.400000000000006</v>
      </c>
      <c r="F1152" s="691">
        <v>65.400000000000006</v>
      </c>
      <c r="G1152" s="691">
        <v>65.400000000000006</v>
      </c>
      <c r="H1152" s="692" t="s">
        <v>4060</v>
      </c>
      <c r="I1152" s="692" t="s">
        <v>4060</v>
      </c>
      <c r="J1152" s="692" t="s">
        <v>4060</v>
      </c>
      <c r="K1152" s="692" t="s">
        <v>4060</v>
      </c>
    </row>
    <row r="1153" spans="1:11">
      <c r="A1153" s="688" t="s">
        <v>4063</v>
      </c>
      <c r="B1153" s="693">
        <v>65</v>
      </c>
      <c r="C1153" s="689">
        <v>65.400000000000006</v>
      </c>
      <c r="D1153" s="693">
        <v>65</v>
      </c>
      <c r="E1153" s="689">
        <v>65.400000000000006</v>
      </c>
      <c r="F1153" s="689">
        <v>65.400000000000006</v>
      </c>
      <c r="G1153" s="689">
        <v>65.5</v>
      </c>
      <c r="H1153" s="690" t="s">
        <v>4060</v>
      </c>
      <c r="I1153" s="690" t="s">
        <v>4060</v>
      </c>
      <c r="J1153" s="690" t="s">
        <v>4060</v>
      </c>
      <c r="K1153" s="690" t="s">
        <v>4060</v>
      </c>
    </row>
    <row r="1154" spans="1:11">
      <c r="A1154" s="688" t="s">
        <v>4069</v>
      </c>
      <c r="B1154" s="692" t="s">
        <v>4060</v>
      </c>
      <c r="C1154" s="615">
        <v>66</v>
      </c>
      <c r="D1154" s="691">
        <v>65.7</v>
      </c>
      <c r="E1154" s="691">
        <v>66.099999999999994</v>
      </c>
      <c r="F1154" s="691">
        <v>66.099999999999994</v>
      </c>
      <c r="G1154" s="691">
        <v>66.2</v>
      </c>
      <c r="H1154" s="691">
        <v>66.5</v>
      </c>
      <c r="I1154" s="691">
        <v>65.8</v>
      </c>
      <c r="J1154" s="691">
        <v>65.8</v>
      </c>
      <c r="K1154" s="691">
        <v>65.900000000000006</v>
      </c>
    </row>
    <row r="1155" spans="1:11">
      <c r="A1155" s="688" t="s">
        <v>4068</v>
      </c>
      <c r="B1155" s="693">
        <v>66</v>
      </c>
      <c r="C1155" s="690" t="s">
        <v>4060</v>
      </c>
      <c r="D1155" s="690" t="s">
        <v>4060</v>
      </c>
      <c r="E1155" s="690" t="s">
        <v>4060</v>
      </c>
      <c r="F1155" s="690" t="s">
        <v>4060</v>
      </c>
      <c r="G1155" s="690" t="s">
        <v>4060</v>
      </c>
      <c r="H1155" s="690" t="s">
        <v>4060</v>
      </c>
      <c r="I1155" s="690" t="s">
        <v>4060</v>
      </c>
      <c r="J1155" s="690" t="s">
        <v>4060</v>
      </c>
      <c r="K1155" s="690" t="s">
        <v>4060</v>
      </c>
    </row>
    <row r="1156" spans="1:11">
      <c r="A1156" s="688" t="s">
        <v>0</v>
      </c>
      <c r="B1156" s="691">
        <v>65.099999999999994</v>
      </c>
      <c r="C1156" s="691">
        <v>65.5</v>
      </c>
      <c r="D1156" s="691">
        <v>65.3</v>
      </c>
      <c r="E1156" s="691">
        <v>65.599999999999994</v>
      </c>
      <c r="F1156" s="691">
        <v>65.8</v>
      </c>
      <c r="G1156" s="691">
        <v>65.900000000000006</v>
      </c>
      <c r="H1156" s="691">
        <v>66.3</v>
      </c>
      <c r="I1156" s="691">
        <v>65.2</v>
      </c>
      <c r="J1156" s="615">
        <v>66</v>
      </c>
      <c r="K1156" s="691">
        <v>66.099999999999994</v>
      </c>
    </row>
    <row r="1157" spans="1:11">
      <c r="A1157" s="688" t="s">
        <v>1</v>
      </c>
      <c r="B1157" s="689">
        <v>59.7</v>
      </c>
      <c r="C1157" s="689">
        <v>59.2</v>
      </c>
      <c r="D1157" s="689">
        <v>59.3</v>
      </c>
      <c r="E1157" s="689">
        <v>59.4</v>
      </c>
      <c r="F1157" s="689">
        <v>59.4</v>
      </c>
      <c r="G1157" s="689">
        <v>59.4</v>
      </c>
      <c r="H1157" s="689">
        <v>59.5</v>
      </c>
      <c r="I1157" s="689">
        <v>57.9</v>
      </c>
      <c r="J1157" s="689">
        <v>55.8</v>
      </c>
      <c r="K1157" s="689">
        <v>58.7</v>
      </c>
    </row>
    <row r="1158" spans="1:11">
      <c r="A1158" s="688" t="s">
        <v>2240</v>
      </c>
      <c r="B1158" s="691">
        <v>62.6</v>
      </c>
      <c r="C1158" s="691">
        <v>63.1</v>
      </c>
      <c r="D1158" s="691">
        <v>62.9</v>
      </c>
      <c r="E1158" s="691">
        <v>63.3</v>
      </c>
      <c r="F1158" s="691">
        <v>63.3</v>
      </c>
      <c r="G1158" s="691">
        <v>63.3</v>
      </c>
      <c r="H1158" s="691">
        <v>63.6</v>
      </c>
      <c r="I1158" s="691">
        <v>62.6</v>
      </c>
      <c r="J1158" s="691">
        <v>61.5</v>
      </c>
      <c r="K1158" s="691">
        <v>63.3</v>
      </c>
    </row>
    <row r="1159" spans="1:11">
      <c r="A1159" s="688" t="s">
        <v>2</v>
      </c>
      <c r="B1159" s="689">
        <v>64.8</v>
      </c>
      <c r="C1159" s="693">
        <v>65</v>
      </c>
      <c r="D1159" s="689">
        <v>65.099999999999994</v>
      </c>
      <c r="E1159" s="689">
        <v>65.2</v>
      </c>
      <c r="F1159" s="689">
        <v>65.5</v>
      </c>
      <c r="G1159" s="689">
        <v>65.400000000000006</v>
      </c>
      <c r="H1159" s="689">
        <v>65.8</v>
      </c>
      <c r="I1159" s="689">
        <v>65.900000000000006</v>
      </c>
      <c r="J1159" s="689">
        <v>65.8</v>
      </c>
      <c r="K1159" s="689">
        <v>65.599999999999994</v>
      </c>
    </row>
    <row r="1160" spans="1:11">
      <c r="A1160" s="688" t="s">
        <v>3</v>
      </c>
      <c r="B1160" s="615">
        <v>65</v>
      </c>
      <c r="C1160" s="691">
        <v>65.3</v>
      </c>
      <c r="D1160" s="615">
        <v>65</v>
      </c>
      <c r="E1160" s="691">
        <v>65.3</v>
      </c>
      <c r="F1160" s="691">
        <v>65.3</v>
      </c>
      <c r="G1160" s="691">
        <v>65.3</v>
      </c>
      <c r="H1160" s="691">
        <v>65.599999999999994</v>
      </c>
      <c r="I1160" s="691">
        <v>65.400000000000006</v>
      </c>
      <c r="J1160" s="615">
        <v>65</v>
      </c>
      <c r="K1160" s="691">
        <v>64.900000000000006</v>
      </c>
    </row>
    <row r="1161" spans="1:11">
      <c r="A1161" s="688" t="s">
        <v>4061</v>
      </c>
      <c r="B1161" s="693">
        <v>65</v>
      </c>
      <c r="C1161" s="689">
        <v>65.3</v>
      </c>
      <c r="D1161" s="693">
        <v>65</v>
      </c>
      <c r="E1161" s="689">
        <v>65.3</v>
      </c>
      <c r="F1161" s="689">
        <v>65.3</v>
      </c>
      <c r="G1161" s="689">
        <v>65.3</v>
      </c>
      <c r="H1161" s="689">
        <v>65.599999999999994</v>
      </c>
      <c r="I1161" s="689">
        <v>65.400000000000006</v>
      </c>
      <c r="J1161" s="693">
        <v>65</v>
      </c>
      <c r="K1161" s="689">
        <v>64.900000000000006</v>
      </c>
    </row>
    <row r="1162" spans="1:11">
      <c r="A1162" s="688" t="s">
        <v>4</v>
      </c>
      <c r="B1162" s="691">
        <v>61.9</v>
      </c>
      <c r="C1162" s="691">
        <v>61.5</v>
      </c>
      <c r="D1162" s="691">
        <v>62.1</v>
      </c>
      <c r="E1162" s="691">
        <v>62.1</v>
      </c>
      <c r="F1162" s="691">
        <v>62.6</v>
      </c>
      <c r="G1162" s="691">
        <v>62.7</v>
      </c>
      <c r="H1162" s="691">
        <v>63.1</v>
      </c>
      <c r="I1162" s="615">
        <v>63</v>
      </c>
      <c r="J1162" s="691">
        <v>61.5</v>
      </c>
      <c r="K1162" s="691">
        <v>62.4</v>
      </c>
    </row>
    <row r="1163" spans="1:11">
      <c r="A1163" s="688" t="s">
        <v>8</v>
      </c>
      <c r="B1163" s="689">
        <v>65.400000000000006</v>
      </c>
      <c r="C1163" s="689">
        <v>65.599999999999994</v>
      </c>
      <c r="D1163" s="689">
        <v>65.8</v>
      </c>
      <c r="E1163" s="689">
        <v>65.900000000000006</v>
      </c>
      <c r="F1163" s="689">
        <v>66.3</v>
      </c>
      <c r="G1163" s="689">
        <v>66.400000000000006</v>
      </c>
      <c r="H1163" s="689">
        <v>66.8</v>
      </c>
      <c r="I1163" s="689">
        <v>66.599999999999994</v>
      </c>
      <c r="J1163" s="689">
        <v>66.400000000000006</v>
      </c>
      <c r="K1163" s="689">
        <v>66.7</v>
      </c>
    </row>
    <row r="1164" spans="1:11">
      <c r="A1164" s="688" t="s">
        <v>7</v>
      </c>
      <c r="B1164" s="691">
        <v>65.8</v>
      </c>
      <c r="C1164" s="691">
        <v>65.400000000000006</v>
      </c>
      <c r="D1164" s="691">
        <v>65.2</v>
      </c>
      <c r="E1164" s="691">
        <v>65.5</v>
      </c>
      <c r="F1164" s="691">
        <v>65.400000000000006</v>
      </c>
      <c r="G1164" s="691">
        <v>65.900000000000006</v>
      </c>
      <c r="H1164" s="691">
        <v>65.8</v>
      </c>
      <c r="I1164" s="691">
        <v>65.5</v>
      </c>
      <c r="J1164" s="691">
        <v>64.5</v>
      </c>
      <c r="K1164" s="691">
        <v>65.2</v>
      </c>
    </row>
    <row r="1165" spans="1:11">
      <c r="A1165" s="688" t="s">
        <v>27</v>
      </c>
      <c r="B1165" s="689">
        <v>67.5</v>
      </c>
      <c r="C1165" s="689">
        <v>67.2</v>
      </c>
      <c r="D1165" s="693">
        <v>67</v>
      </c>
      <c r="E1165" s="689">
        <v>67.400000000000006</v>
      </c>
      <c r="F1165" s="689">
        <v>67.400000000000006</v>
      </c>
      <c r="G1165" s="689">
        <v>67.5</v>
      </c>
      <c r="H1165" s="689">
        <v>67.8</v>
      </c>
      <c r="I1165" s="689">
        <v>66.599999999999994</v>
      </c>
      <c r="J1165" s="689">
        <v>67.3</v>
      </c>
      <c r="K1165" s="689">
        <v>67.400000000000006</v>
      </c>
    </row>
    <row r="1166" spans="1:11">
      <c r="A1166" s="688" t="s">
        <v>6</v>
      </c>
      <c r="B1166" s="691">
        <v>66.8</v>
      </c>
      <c r="C1166" s="691">
        <v>66.8</v>
      </c>
      <c r="D1166" s="691">
        <v>66.599999999999994</v>
      </c>
      <c r="E1166" s="691">
        <v>66.8</v>
      </c>
      <c r="F1166" s="691">
        <v>66.900000000000006</v>
      </c>
      <c r="G1166" s="615">
        <v>67</v>
      </c>
      <c r="H1166" s="691">
        <v>67.2</v>
      </c>
      <c r="I1166" s="691">
        <v>66.599999999999994</v>
      </c>
      <c r="J1166" s="691">
        <v>66.7</v>
      </c>
      <c r="K1166" s="691">
        <v>66.7</v>
      </c>
    </row>
    <row r="1167" spans="1:11">
      <c r="A1167" s="688" t="s">
        <v>4058</v>
      </c>
      <c r="B1167" s="690" t="s">
        <v>4060</v>
      </c>
      <c r="C1167" s="690" t="s">
        <v>4060</v>
      </c>
      <c r="D1167" s="690" t="s">
        <v>4060</v>
      </c>
      <c r="E1167" s="690" t="s">
        <v>4060</v>
      </c>
      <c r="F1167" s="690" t="s">
        <v>4060</v>
      </c>
      <c r="G1167" s="690" t="s">
        <v>4060</v>
      </c>
      <c r="H1167" s="690" t="s">
        <v>4060</v>
      </c>
      <c r="I1167" s="690" t="s">
        <v>4060</v>
      </c>
      <c r="J1167" s="690" t="s">
        <v>4060</v>
      </c>
      <c r="K1167" s="690" t="s">
        <v>4060</v>
      </c>
    </row>
    <row r="1168" spans="1:11">
      <c r="A1168" s="688" t="s">
        <v>11</v>
      </c>
      <c r="B1168" s="691">
        <v>62.2</v>
      </c>
      <c r="C1168" s="691">
        <v>62.3</v>
      </c>
      <c r="D1168" s="691">
        <v>61.8</v>
      </c>
      <c r="E1168" s="691">
        <v>62.5</v>
      </c>
      <c r="F1168" s="691">
        <v>62.3</v>
      </c>
      <c r="G1168" s="691">
        <v>62.5</v>
      </c>
      <c r="H1168" s="691">
        <v>62.7</v>
      </c>
      <c r="I1168" s="615">
        <v>62</v>
      </c>
      <c r="J1168" s="615">
        <v>61</v>
      </c>
      <c r="K1168" s="691">
        <v>62.1</v>
      </c>
    </row>
    <row r="1169" spans="1:11">
      <c r="A1169" s="688" t="s">
        <v>10</v>
      </c>
      <c r="B1169" s="689">
        <v>67.2</v>
      </c>
      <c r="C1169" s="689">
        <v>67.2</v>
      </c>
      <c r="D1169" s="689">
        <v>66.8</v>
      </c>
      <c r="E1169" s="689">
        <v>67.400000000000006</v>
      </c>
      <c r="F1169" s="689">
        <v>67.2</v>
      </c>
      <c r="G1169" s="689">
        <v>67.5</v>
      </c>
      <c r="H1169" s="689">
        <v>67.7</v>
      </c>
      <c r="I1169" s="689">
        <v>66.5</v>
      </c>
      <c r="J1169" s="689">
        <v>66.900000000000006</v>
      </c>
      <c r="K1169" s="693">
        <v>67</v>
      </c>
    </row>
    <row r="1170" spans="1:11">
      <c r="A1170" s="688" t="s">
        <v>30</v>
      </c>
      <c r="B1170" s="691">
        <v>66.8</v>
      </c>
      <c r="C1170" s="691">
        <v>66.599999999999994</v>
      </c>
      <c r="D1170" s="691">
        <v>66.2</v>
      </c>
      <c r="E1170" s="691">
        <v>67.099999999999994</v>
      </c>
      <c r="F1170" s="691">
        <v>66.7</v>
      </c>
      <c r="G1170" s="691">
        <v>67.3</v>
      </c>
      <c r="H1170" s="615">
        <v>67</v>
      </c>
      <c r="I1170" s="615">
        <v>67</v>
      </c>
      <c r="J1170" s="691">
        <v>66.099999999999994</v>
      </c>
      <c r="K1170" s="691">
        <v>66.5</v>
      </c>
    </row>
    <row r="1171" spans="1:11">
      <c r="A1171" s="688" t="s">
        <v>12</v>
      </c>
      <c r="B1171" s="689">
        <v>58.9</v>
      </c>
      <c r="C1171" s="689">
        <v>58.8</v>
      </c>
      <c r="D1171" s="689">
        <v>59.2</v>
      </c>
      <c r="E1171" s="689">
        <v>59.2</v>
      </c>
      <c r="F1171" s="689">
        <v>59.3</v>
      </c>
      <c r="G1171" s="689">
        <v>59.4</v>
      </c>
      <c r="H1171" s="689">
        <v>60.1</v>
      </c>
      <c r="I1171" s="689">
        <v>59.8</v>
      </c>
      <c r="J1171" s="689">
        <v>57.5</v>
      </c>
      <c r="K1171" s="689">
        <v>58.8</v>
      </c>
    </row>
    <row r="1172" spans="1:11">
      <c r="A1172" s="688" t="s">
        <v>14</v>
      </c>
      <c r="B1172" s="691">
        <v>58.6</v>
      </c>
      <c r="C1172" s="691">
        <v>59.1</v>
      </c>
      <c r="D1172" s="615">
        <v>59</v>
      </c>
      <c r="E1172" s="691">
        <v>59.3</v>
      </c>
      <c r="F1172" s="691">
        <v>60.1</v>
      </c>
      <c r="G1172" s="691">
        <v>60.3</v>
      </c>
      <c r="H1172" s="691">
        <v>60.8</v>
      </c>
      <c r="I1172" s="691">
        <v>59.5</v>
      </c>
      <c r="J1172" s="691">
        <v>58.7</v>
      </c>
      <c r="K1172" s="691">
        <v>60.2</v>
      </c>
    </row>
    <row r="1173" spans="1:11">
      <c r="A1173" s="688" t="s">
        <v>15</v>
      </c>
      <c r="B1173" s="689">
        <v>66.3</v>
      </c>
      <c r="C1173" s="689">
        <v>66.2</v>
      </c>
      <c r="D1173" s="689">
        <v>66.3</v>
      </c>
      <c r="E1173" s="689">
        <v>66.7</v>
      </c>
      <c r="F1173" s="689">
        <v>66.2</v>
      </c>
      <c r="G1173" s="689">
        <v>66.5</v>
      </c>
      <c r="H1173" s="689">
        <v>66.900000000000006</v>
      </c>
      <c r="I1173" s="689">
        <v>66.5</v>
      </c>
      <c r="J1173" s="689">
        <v>66.900000000000006</v>
      </c>
      <c r="K1173" s="689">
        <v>67.2</v>
      </c>
    </row>
    <row r="1174" spans="1:11">
      <c r="A1174" s="688" t="s">
        <v>29</v>
      </c>
      <c r="B1174" s="691">
        <v>60.3</v>
      </c>
      <c r="C1174" s="691">
        <v>60.3</v>
      </c>
      <c r="D1174" s="691">
        <v>60.1</v>
      </c>
      <c r="E1174" s="691">
        <v>60.5</v>
      </c>
      <c r="F1174" s="691">
        <v>60.3</v>
      </c>
      <c r="G1174" s="691">
        <v>60.4</v>
      </c>
      <c r="H1174" s="691">
        <v>60.7</v>
      </c>
      <c r="I1174" s="691">
        <v>59.9</v>
      </c>
      <c r="J1174" s="691">
        <v>58.5</v>
      </c>
      <c r="K1174" s="691">
        <v>60.3</v>
      </c>
    </row>
    <row r="1175" spans="1:11">
      <c r="A1175" s="688" t="s">
        <v>16</v>
      </c>
      <c r="B1175" s="689">
        <v>66.5</v>
      </c>
      <c r="C1175" s="689">
        <v>66.3</v>
      </c>
      <c r="D1175" s="689">
        <v>66.400000000000006</v>
      </c>
      <c r="E1175" s="689">
        <v>66.8</v>
      </c>
      <c r="F1175" s="689">
        <v>66.7</v>
      </c>
      <c r="G1175" s="689">
        <v>66.599999999999994</v>
      </c>
      <c r="H1175" s="689">
        <v>67.2</v>
      </c>
      <c r="I1175" s="689">
        <v>66.400000000000006</v>
      </c>
      <c r="J1175" s="689">
        <v>66.5</v>
      </c>
      <c r="K1175" s="689">
        <v>66.599999999999994</v>
      </c>
    </row>
    <row r="1176" spans="1:11">
      <c r="A1176" s="688" t="s">
        <v>17</v>
      </c>
      <c r="B1176" s="691">
        <v>65.8</v>
      </c>
      <c r="C1176" s="691">
        <v>66.099999999999994</v>
      </c>
      <c r="D1176" s="691">
        <v>65.8</v>
      </c>
      <c r="E1176" s="691">
        <v>65.900000000000006</v>
      </c>
      <c r="F1176" s="691">
        <v>66.099999999999994</v>
      </c>
      <c r="G1176" s="691">
        <v>66.2</v>
      </c>
      <c r="H1176" s="691">
        <v>66.400000000000006</v>
      </c>
      <c r="I1176" s="691">
        <v>65.8</v>
      </c>
      <c r="J1176" s="691">
        <v>65.7</v>
      </c>
      <c r="K1176" s="615">
        <v>66</v>
      </c>
    </row>
    <row r="1177" spans="1:11">
      <c r="A1177" s="688" t="s">
        <v>19</v>
      </c>
      <c r="B1177" s="689">
        <v>65.7</v>
      </c>
      <c r="C1177" s="689">
        <v>65.8</v>
      </c>
      <c r="D1177" s="689">
        <v>65.5</v>
      </c>
      <c r="E1177" s="693">
        <v>66</v>
      </c>
      <c r="F1177" s="693">
        <v>66</v>
      </c>
      <c r="G1177" s="693">
        <v>66</v>
      </c>
      <c r="H1177" s="689">
        <v>66.3</v>
      </c>
      <c r="I1177" s="689">
        <v>65.7</v>
      </c>
      <c r="J1177" s="689">
        <v>65.599999999999994</v>
      </c>
      <c r="K1177" s="689">
        <v>65.7</v>
      </c>
    </row>
    <row r="1178" spans="1:11">
      <c r="A1178" s="688" t="s">
        <v>20</v>
      </c>
      <c r="B1178" s="691">
        <v>61.6</v>
      </c>
      <c r="C1178" s="615">
        <v>62</v>
      </c>
      <c r="D1178" s="691">
        <v>61.8</v>
      </c>
      <c r="E1178" s="691">
        <v>62.2</v>
      </c>
      <c r="F1178" s="691">
        <v>62.1</v>
      </c>
      <c r="G1178" s="615">
        <v>62</v>
      </c>
      <c r="H1178" s="691">
        <v>62.3</v>
      </c>
      <c r="I1178" s="691">
        <v>60.8</v>
      </c>
      <c r="J1178" s="691">
        <v>59.8</v>
      </c>
      <c r="K1178" s="691">
        <v>61.5</v>
      </c>
    </row>
    <row r="1179" spans="1:11">
      <c r="A1179" s="688" t="s">
        <v>21</v>
      </c>
      <c r="B1179" s="689">
        <v>65.3</v>
      </c>
      <c r="C1179" s="689">
        <v>65.7</v>
      </c>
      <c r="D1179" s="689">
        <v>65.7</v>
      </c>
      <c r="E1179" s="689">
        <v>65.7</v>
      </c>
      <c r="F1179" s="693">
        <v>66</v>
      </c>
      <c r="G1179" s="693">
        <v>66</v>
      </c>
      <c r="H1179" s="689">
        <v>66.3</v>
      </c>
      <c r="I1179" s="689">
        <v>65.7</v>
      </c>
      <c r="J1179" s="689">
        <v>65.7</v>
      </c>
      <c r="K1179" s="693">
        <v>66</v>
      </c>
    </row>
    <row r="1180" spans="1:11">
      <c r="A1180" s="688" t="s">
        <v>22</v>
      </c>
      <c r="B1180" s="691">
        <v>60.1</v>
      </c>
      <c r="C1180" s="691">
        <v>59.8</v>
      </c>
      <c r="D1180" s="691">
        <v>59.7</v>
      </c>
      <c r="E1180" s="615">
        <v>60</v>
      </c>
      <c r="F1180" s="691">
        <v>59.9</v>
      </c>
      <c r="G1180" s="615">
        <v>60</v>
      </c>
      <c r="H1180" s="691">
        <v>60.2</v>
      </c>
      <c r="I1180" s="691">
        <v>58.7</v>
      </c>
      <c r="J1180" s="691">
        <v>57.4</v>
      </c>
      <c r="K1180" s="691">
        <v>59.7</v>
      </c>
    </row>
    <row r="1181" spans="1:11">
      <c r="A1181" s="688" t="s">
        <v>26</v>
      </c>
      <c r="B1181" s="689">
        <v>64.8</v>
      </c>
      <c r="C1181" s="689">
        <v>65.099999999999994</v>
      </c>
      <c r="D1181" s="689">
        <v>64.900000000000006</v>
      </c>
      <c r="E1181" s="689">
        <v>65.2</v>
      </c>
      <c r="F1181" s="689">
        <v>65.2</v>
      </c>
      <c r="G1181" s="689">
        <v>65.5</v>
      </c>
      <c r="H1181" s="689">
        <v>65.7</v>
      </c>
      <c r="I1181" s="689">
        <v>64.8</v>
      </c>
      <c r="J1181" s="689">
        <v>64.900000000000006</v>
      </c>
      <c r="K1181" s="689">
        <v>65.5</v>
      </c>
    </row>
    <row r="1182" spans="1:11">
      <c r="A1182" s="688" t="s">
        <v>25</v>
      </c>
      <c r="B1182" s="691">
        <v>61.2</v>
      </c>
      <c r="C1182" s="691">
        <v>61.5</v>
      </c>
      <c r="D1182" s="691">
        <v>61.3</v>
      </c>
      <c r="E1182" s="691">
        <v>61.8</v>
      </c>
      <c r="F1182" s="691">
        <v>61.8</v>
      </c>
      <c r="G1182" s="691">
        <v>61.9</v>
      </c>
      <c r="H1182" s="691">
        <v>62.3</v>
      </c>
      <c r="I1182" s="691">
        <v>61.6</v>
      </c>
      <c r="J1182" s="691">
        <v>59.2</v>
      </c>
      <c r="K1182" s="691">
        <v>61.6</v>
      </c>
    </row>
    <row r="1183" spans="1:11">
      <c r="A1183" s="688" t="s">
        <v>5</v>
      </c>
      <c r="B1183" s="689">
        <v>65.400000000000006</v>
      </c>
      <c r="C1183" s="689">
        <v>65.3</v>
      </c>
      <c r="D1183" s="689">
        <v>65.599999999999994</v>
      </c>
      <c r="E1183" s="689">
        <v>65.599999999999994</v>
      </c>
      <c r="F1183" s="689">
        <v>65.8</v>
      </c>
      <c r="G1183" s="689">
        <v>65.900000000000006</v>
      </c>
      <c r="H1183" s="689">
        <v>66.2</v>
      </c>
      <c r="I1183" s="689">
        <v>66.099999999999994</v>
      </c>
      <c r="J1183" s="689">
        <v>66.099999999999994</v>
      </c>
      <c r="K1183" s="689">
        <v>65.5</v>
      </c>
    </row>
    <row r="1184" spans="1:11">
      <c r="A1184" s="688" t="s">
        <v>23</v>
      </c>
      <c r="B1184" s="691">
        <v>66.3</v>
      </c>
      <c r="C1184" s="691">
        <v>66.5</v>
      </c>
      <c r="D1184" s="691">
        <v>66.5</v>
      </c>
      <c r="E1184" s="691">
        <v>66.7</v>
      </c>
      <c r="F1184" s="691">
        <v>66.7</v>
      </c>
      <c r="G1184" s="691">
        <v>66.8</v>
      </c>
      <c r="H1184" s="691">
        <v>67.3</v>
      </c>
      <c r="I1184" s="691">
        <v>66.7</v>
      </c>
      <c r="J1184" s="691">
        <v>67.3</v>
      </c>
      <c r="K1184" s="691">
        <v>67.3</v>
      </c>
    </row>
    <row r="1185" spans="1:11">
      <c r="A1185" s="688" t="s">
        <v>4067</v>
      </c>
      <c r="B1185" s="693">
        <v>65</v>
      </c>
      <c r="C1185" s="689">
        <v>65.3</v>
      </c>
      <c r="D1185" s="693">
        <v>65</v>
      </c>
      <c r="E1185" s="689">
        <v>65.400000000000006</v>
      </c>
      <c r="F1185" s="689">
        <v>65.400000000000006</v>
      </c>
      <c r="G1185" s="689">
        <v>65.400000000000006</v>
      </c>
      <c r="H1185" s="690" t="s">
        <v>4060</v>
      </c>
      <c r="I1185" s="690" t="s">
        <v>4060</v>
      </c>
      <c r="J1185" s="690" t="s">
        <v>4060</v>
      </c>
      <c r="K1185" s="690" t="s">
        <v>4060</v>
      </c>
    </row>
    <row r="1186" spans="1:11">
      <c r="A1186" s="688" t="s">
        <v>4066</v>
      </c>
      <c r="B1186" s="615">
        <v>65</v>
      </c>
      <c r="C1186" s="691">
        <v>65.400000000000006</v>
      </c>
      <c r="D1186" s="691">
        <v>65.099999999999994</v>
      </c>
      <c r="E1186" s="691">
        <v>65.400000000000006</v>
      </c>
      <c r="F1186" s="691">
        <v>65.400000000000006</v>
      </c>
      <c r="G1186" s="691">
        <v>65.5</v>
      </c>
      <c r="H1186" s="692" t="s">
        <v>4060</v>
      </c>
      <c r="I1186" s="692" t="s">
        <v>4060</v>
      </c>
      <c r="J1186" s="692" t="s">
        <v>4060</v>
      </c>
      <c r="K1186" s="692" t="s">
        <v>4060</v>
      </c>
    </row>
    <row r="1187" spans="1:11">
      <c r="A1187" s="688" t="s">
        <v>4062</v>
      </c>
      <c r="B1187" s="689">
        <v>66.900000000000006</v>
      </c>
      <c r="C1187" s="689">
        <v>67.099999999999994</v>
      </c>
      <c r="D1187" s="693">
        <v>67</v>
      </c>
      <c r="E1187" s="689">
        <v>67.400000000000006</v>
      </c>
      <c r="F1187" s="689">
        <v>67.5</v>
      </c>
      <c r="G1187" s="689">
        <v>67.599999999999994</v>
      </c>
      <c r="H1187" s="689">
        <v>67.8</v>
      </c>
      <c r="I1187" s="689">
        <v>67.400000000000006</v>
      </c>
      <c r="J1187" s="689">
        <v>67.8</v>
      </c>
      <c r="K1187" s="689">
        <v>67.5</v>
      </c>
    </row>
    <row r="1188" spans="1:11">
      <c r="A1188" s="688" t="s">
        <v>9</v>
      </c>
      <c r="B1188" s="691">
        <v>66.400000000000006</v>
      </c>
      <c r="C1188" s="691">
        <v>66.900000000000006</v>
      </c>
      <c r="D1188" s="691">
        <v>66.7</v>
      </c>
      <c r="E1188" s="691">
        <v>66.3</v>
      </c>
      <c r="F1188" s="691">
        <v>66.8</v>
      </c>
      <c r="G1188" s="691">
        <v>66.900000000000006</v>
      </c>
      <c r="H1188" s="691">
        <v>67.099999999999994</v>
      </c>
      <c r="I1188" s="691">
        <v>67.2</v>
      </c>
      <c r="J1188" s="691">
        <v>67.400000000000006</v>
      </c>
      <c r="K1188" s="691">
        <v>66.400000000000006</v>
      </c>
    </row>
    <row r="1189" spans="1:11">
      <c r="A1189" s="688" t="s">
        <v>13</v>
      </c>
      <c r="B1189" s="689">
        <v>66.900000000000006</v>
      </c>
      <c r="C1189" s="689">
        <v>66.3</v>
      </c>
      <c r="D1189" s="689">
        <v>67.2</v>
      </c>
      <c r="E1189" s="689">
        <v>66.3</v>
      </c>
      <c r="F1189" s="689">
        <v>67.5</v>
      </c>
      <c r="G1189" s="689">
        <v>67.099999999999994</v>
      </c>
      <c r="H1189" s="693">
        <v>68</v>
      </c>
      <c r="I1189" s="689">
        <v>66.7</v>
      </c>
      <c r="J1189" s="689">
        <v>68.099999999999994</v>
      </c>
      <c r="K1189" s="689">
        <v>68.2</v>
      </c>
    </row>
    <row r="1190" spans="1:11">
      <c r="A1190" s="688" t="s">
        <v>18</v>
      </c>
      <c r="B1190" s="691">
        <v>66.099999999999994</v>
      </c>
      <c r="C1190" s="691">
        <v>66.400000000000006</v>
      </c>
      <c r="D1190" s="691">
        <v>66.599999999999994</v>
      </c>
      <c r="E1190" s="691">
        <v>66.7</v>
      </c>
      <c r="F1190" s="691">
        <v>66.900000000000006</v>
      </c>
      <c r="G1190" s="615">
        <v>67</v>
      </c>
      <c r="H1190" s="691">
        <v>67.2</v>
      </c>
      <c r="I1190" s="691">
        <v>67.400000000000006</v>
      </c>
      <c r="J1190" s="691">
        <v>67.400000000000006</v>
      </c>
      <c r="K1190" s="691">
        <v>66.900000000000006</v>
      </c>
    </row>
    <row r="1191" spans="1:11">
      <c r="A1191" s="688" t="s">
        <v>24</v>
      </c>
      <c r="B1191" s="689">
        <v>67.400000000000006</v>
      </c>
      <c r="C1191" s="689">
        <v>67.5</v>
      </c>
      <c r="D1191" s="689">
        <v>67.3</v>
      </c>
      <c r="E1191" s="689">
        <v>67.8</v>
      </c>
      <c r="F1191" s="689">
        <v>67.8</v>
      </c>
      <c r="G1191" s="693">
        <v>68</v>
      </c>
      <c r="H1191" s="689">
        <v>68.2</v>
      </c>
      <c r="I1191" s="689">
        <v>67.5</v>
      </c>
      <c r="J1191" s="693">
        <v>68</v>
      </c>
      <c r="K1191" s="689">
        <v>67.900000000000006</v>
      </c>
    </row>
    <row r="1192" spans="1:11">
      <c r="A1192" s="688" t="s">
        <v>4059</v>
      </c>
      <c r="B1192" s="691">
        <v>65.5</v>
      </c>
      <c r="C1192" s="691">
        <v>65.8</v>
      </c>
      <c r="D1192" s="691">
        <v>65.5</v>
      </c>
      <c r="E1192" s="691">
        <v>65.7</v>
      </c>
      <c r="F1192" s="691">
        <v>65.7</v>
      </c>
      <c r="G1192" s="691">
        <v>65.7</v>
      </c>
      <c r="H1192" s="692" t="s">
        <v>4060</v>
      </c>
      <c r="I1192" s="692" t="s">
        <v>4060</v>
      </c>
      <c r="J1192" s="692" t="s">
        <v>4060</v>
      </c>
      <c r="K1192" s="692" t="s">
        <v>4060</v>
      </c>
    </row>
    <row r="1193" spans="1:11">
      <c r="A1193" s="688" t="s">
        <v>2324</v>
      </c>
      <c r="B1193" s="693">
        <v>61</v>
      </c>
      <c r="C1193" s="693">
        <v>61</v>
      </c>
      <c r="D1193" s="689">
        <v>60.8</v>
      </c>
      <c r="E1193" s="689">
        <v>60.9</v>
      </c>
      <c r="F1193" s="689">
        <v>60.9</v>
      </c>
      <c r="G1193" s="689">
        <v>61.2</v>
      </c>
      <c r="H1193" s="689">
        <v>61.1</v>
      </c>
      <c r="I1193" s="689">
        <v>60.3</v>
      </c>
      <c r="J1193" s="693">
        <v>58</v>
      </c>
      <c r="K1193" s="690" t="s">
        <v>4060</v>
      </c>
    </row>
    <row r="1194" spans="1:11">
      <c r="A1194" s="688" t="s">
        <v>2322</v>
      </c>
      <c r="B1194" s="692" t="s">
        <v>4060</v>
      </c>
      <c r="C1194" s="692" t="s">
        <v>4060</v>
      </c>
      <c r="D1194" s="692" t="s">
        <v>4060</v>
      </c>
      <c r="E1194" s="692" t="s">
        <v>4060</v>
      </c>
      <c r="F1194" s="692" t="s">
        <v>4060</v>
      </c>
      <c r="G1194" s="692" t="s">
        <v>4060</v>
      </c>
      <c r="H1194" s="692" t="s">
        <v>4060</v>
      </c>
      <c r="I1194" s="692" t="s">
        <v>4060</v>
      </c>
      <c r="J1194" s="692" t="s">
        <v>4060</v>
      </c>
      <c r="K1194" s="692" t="s">
        <v>4060</v>
      </c>
    </row>
    <row r="1195" spans="1:11">
      <c r="A1195" s="688" t="s">
        <v>2328</v>
      </c>
      <c r="B1195" s="689">
        <v>60.4</v>
      </c>
      <c r="C1195" s="689">
        <v>60.4</v>
      </c>
      <c r="D1195" s="689">
        <v>60.3</v>
      </c>
      <c r="E1195" s="689">
        <v>60.5</v>
      </c>
      <c r="F1195" s="689">
        <v>60.9</v>
      </c>
      <c r="G1195" s="689">
        <v>61.3</v>
      </c>
      <c r="H1195" s="689">
        <v>61.2</v>
      </c>
      <c r="I1195" s="693">
        <v>59</v>
      </c>
      <c r="J1195" s="689">
        <v>57.7</v>
      </c>
      <c r="K1195" s="690" t="s">
        <v>4060</v>
      </c>
    </row>
    <row r="1196" spans="1:11">
      <c r="A1196" s="688" t="s">
        <v>2496</v>
      </c>
      <c r="B1196" s="692" t="s">
        <v>4060</v>
      </c>
      <c r="C1196" s="691">
        <v>59.2</v>
      </c>
      <c r="D1196" s="615">
        <v>58</v>
      </c>
      <c r="E1196" s="691">
        <v>57.6</v>
      </c>
      <c r="F1196" s="691">
        <v>58.5</v>
      </c>
      <c r="G1196" s="691">
        <v>58.8</v>
      </c>
      <c r="H1196" s="691">
        <v>58.9</v>
      </c>
      <c r="I1196" s="692" t="s">
        <v>4060</v>
      </c>
      <c r="J1196" s="692" t="s">
        <v>4060</v>
      </c>
      <c r="K1196" s="691">
        <v>58.5</v>
      </c>
    </row>
    <row r="1197" spans="1:11">
      <c r="A1197" s="688" t="s">
        <v>2269</v>
      </c>
      <c r="B1197" s="689">
        <v>62.9</v>
      </c>
      <c r="C1197" s="689">
        <v>63.1</v>
      </c>
      <c r="D1197" s="689">
        <v>62.8</v>
      </c>
      <c r="E1197" s="689">
        <v>63.5</v>
      </c>
      <c r="F1197" s="689">
        <v>63.4</v>
      </c>
      <c r="G1197" s="689">
        <v>63.8</v>
      </c>
      <c r="H1197" s="689">
        <v>64.099999999999994</v>
      </c>
      <c r="I1197" s="689">
        <v>62.3</v>
      </c>
      <c r="J1197" s="689">
        <v>60.4</v>
      </c>
      <c r="K1197" s="689">
        <v>63.8</v>
      </c>
    </row>
    <row r="1198" spans="1:11">
      <c r="A1198" s="688" t="s">
        <v>2349</v>
      </c>
      <c r="B1198" s="691">
        <v>59.9</v>
      </c>
      <c r="C1198" s="615">
        <v>60</v>
      </c>
      <c r="D1198" s="691">
        <v>59.9</v>
      </c>
      <c r="E1198" s="691">
        <v>60.3</v>
      </c>
      <c r="F1198" s="691">
        <v>60.2</v>
      </c>
      <c r="G1198" s="691">
        <v>60.5</v>
      </c>
      <c r="H1198" s="691">
        <v>60.5</v>
      </c>
      <c r="I1198" s="615">
        <v>59</v>
      </c>
      <c r="J1198" s="691">
        <v>57.3</v>
      </c>
      <c r="K1198" s="691">
        <v>59.7</v>
      </c>
    </row>
    <row r="1199" spans="1:11">
      <c r="A1199" s="688" t="s">
        <v>2355</v>
      </c>
      <c r="B1199" s="689">
        <v>63.5</v>
      </c>
      <c r="C1199" s="689">
        <v>63.4</v>
      </c>
      <c r="D1199" s="689">
        <v>63.4</v>
      </c>
      <c r="E1199" s="689">
        <v>63.3</v>
      </c>
      <c r="F1199" s="689">
        <v>63.6</v>
      </c>
      <c r="G1199" s="693">
        <v>64</v>
      </c>
      <c r="H1199" s="689">
        <v>64.099999999999994</v>
      </c>
      <c r="I1199" s="690" t="s">
        <v>4060</v>
      </c>
      <c r="J1199" s="690" t="s">
        <v>4060</v>
      </c>
      <c r="K1199" s="690" t="s">
        <v>4060</v>
      </c>
    </row>
    <row r="1200" spans="1:11">
      <c r="A1200" s="688" t="s">
        <v>2357</v>
      </c>
      <c r="B1200" s="692" t="s">
        <v>4060</v>
      </c>
      <c r="C1200" s="691">
        <v>56.6</v>
      </c>
      <c r="D1200" s="691">
        <v>57.3</v>
      </c>
      <c r="E1200" s="691">
        <v>57.7</v>
      </c>
      <c r="F1200" s="615">
        <v>58</v>
      </c>
      <c r="G1200" s="691">
        <v>57.9</v>
      </c>
      <c r="H1200" s="691">
        <v>58.1</v>
      </c>
      <c r="I1200" s="692" t="s">
        <v>4060</v>
      </c>
      <c r="J1200" s="692" t="s">
        <v>4060</v>
      </c>
      <c r="K1200" s="692" t="s">
        <v>4060</v>
      </c>
    </row>
    <row r="1201" spans="1:11">
      <c r="A1201" s="688" t="s">
        <v>4070</v>
      </c>
      <c r="B1201" s="690" t="s">
        <v>4060</v>
      </c>
      <c r="C1201" s="690" t="s">
        <v>4060</v>
      </c>
      <c r="D1201" s="690" t="s">
        <v>4060</v>
      </c>
      <c r="E1201" s="689">
        <v>63.3</v>
      </c>
      <c r="F1201" s="690" t="s">
        <v>4060</v>
      </c>
      <c r="G1201" s="690" t="s">
        <v>4060</v>
      </c>
      <c r="H1201" s="690" t="s">
        <v>4060</v>
      </c>
      <c r="I1201" s="690" t="s">
        <v>4060</v>
      </c>
      <c r="J1201" s="690" t="s">
        <v>4060</v>
      </c>
      <c r="K1201" s="690" t="s">
        <v>4060</v>
      </c>
    </row>
    <row r="1202" spans="1:11">
      <c r="A1202" s="688" t="s">
        <v>2491</v>
      </c>
      <c r="B1202" s="691">
        <v>57.2</v>
      </c>
      <c r="C1202" s="691">
        <v>57.8</v>
      </c>
      <c r="D1202" s="691">
        <v>58.4</v>
      </c>
      <c r="E1202" s="691">
        <v>58.6</v>
      </c>
      <c r="F1202" s="691">
        <v>58.9</v>
      </c>
      <c r="G1202" s="691">
        <v>58.9</v>
      </c>
      <c r="H1202" s="692" t="s">
        <v>4060</v>
      </c>
      <c r="I1202" s="692" t="s">
        <v>4060</v>
      </c>
      <c r="J1202" s="692" t="s">
        <v>4060</v>
      </c>
      <c r="K1202" s="692" t="s">
        <v>4060</v>
      </c>
    </row>
    <row r="1203" spans="1:11">
      <c r="A1203" s="688" t="s">
        <v>2343</v>
      </c>
      <c r="B1203" s="690" t="s">
        <v>4060</v>
      </c>
      <c r="C1203" s="690" t="s">
        <v>4060</v>
      </c>
      <c r="D1203" s="690" t="s">
        <v>4060</v>
      </c>
      <c r="E1203" s="690" t="s">
        <v>4060</v>
      </c>
      <c r="F1203" s="690" t="s">
        <v>4060</v>
      </c>
      <c r="G1203" s="690" t="s">
        <v>4060</v>
      </c>
      <c r="H1203" s="690" t="s">
        <v>4060</v>
      </c>
      <c r="I1203" s="690" t="s">
        <v>4060</v>
      </c>
      <c r="J1203" s="690" t="s">
        <v>4060</v>
      </c>
      <c r="K1203" s="690" t="s">
        <v>4060</v>
      </c>
    </row>
    <row r="1204" spans="1:11">
      <c r="A1204" s="688" t="s">
        <v>4071</v>
      </c>
      <c r="B1204" s="692" t="s">
        <v>4060</v>
      </c>
      <c r="C1204" s="692" t="s">
        <v>4060</v>
      </c>
      <c r="D1204" s="692" t="s">
        <v>4060</v>
      </c>
      <c r="E1204" s="692" t="s">
        <v>4060</v>
      </c>
      <c r="F1204" s="692" t="s">
        <v>4060</v>
      </c>
      <c r="G1204" s="692" t="s">
        <v>4060</v>
      </c>
      <c r="H1204" s="692" t="s">
        <v>4060</v>
      </c>
      <c r="I1204" s="692" t="s">
        <v>4060</v>
      </c>
      <c r="J1204" s="692" t="s">
        <v>4060</v>
      </c>
      <c r="K1204" s="692" t="s">
        <v>4060</v>
      </c>
    </row>
    <row r="1205" spans="1:11">
      <c r="A1205" s="688" t="s">
        <v>2489</v>
      </c>
      <c r="B1205" s="690" t="s">
        <v>4060</v>
      </c>
      <c r="C1205" s="690" t="s">
        <v>4060</v>
      </c>
      <c r="D1205" s="693">
        <v>60</v>
      </c>
      <c r="E1205" s="693">
        <v>60</v>
      </c>
      <c r="F1205" s="689">
        <v>60.7</v>
      </c>
      <c r="G1205" s="689">
        <v>61.5</v>
      </c>
      <c r="H1205" s="689">
        <v>61.3</v>
      </c>
      <c r="I1205" s="690" t="s">
        <v>4060</v>
      </c>
      <c r="J1205" s="690" t="s">
        <v>4060</v>
      </c>
      <c r="K1205" s="690" t="s">
        <v>4060</v>
      </c>
    </row>
    <row r="1206" spans="1:11">
      <c r="A1206" s="688" t="s">
        <v>2490</v>
      </c>
      <c r="B1206" s="691">
        <v>59.8</v>
      </c>
      <c r="C1206" s="691">
        <v>59.9</v>
      </c>
      <c r="D1206" s="691">
        <v>60.6</v>
      </c>
      <c r="E1206" s="692" t="s">
        <v>4060</v>
      </c>
      <c r="F1206" s="691">
        <v>60.8</v>
      </c>
      <c r="G1206" s="691">
        <v>61.1</v>
      </c>
      <c r="H1206" s="691">
        <v>61.8</v>
      </c>
      <c r="I1206" s="692" t="s">
        <v>4060</v>
      </c>
      <c r="J1206" s="692" t="s">
        <v>4060</v>
      </c>
      <c r="K1206" s="692" t="s">
        <v>4060</v>
      </c>
    </row>
    <row r="1208" spans="1:11">
      <c r="A1208" s="683" t="s">
        <v>4233</v>
      </c>
    </row>
    <row r="1209" spans="1:11">
      <c r="A1209" s="683" t="s">
        <v>4060</v>
      </c>
      <c r="B1209" s="682" t="s">
        <v>4234</v>
      </c>
    </row>
    <row r="1211" spans="1:11">
      <c r="A1211" s="682" t="s">
        <v>4248</v>
      </c>
    </row>
    <row r="1212" spans="1:11">
      <c r="A1212" s="682" t="s">
        <v>4210</v>
      </c>
      <c r="B1212" s="683" t="s">
        <v>4211</v>
      </c>
    </row>
    <row r="1213" spans="1:11">
      <c r="A1213" s="682" t="s">
        <v>4212</v>
      </c>
      <c r="B1213" s="682" t="s">
        <v>4213</v>
      </c>
    </row>
    <row r="1215" spans="1:11">
      <c r="A1215" s="683" t="s">
        <v>4214</v>
      </c>
      <c r="C1215" s="682" t="s">
        <v>4215</v>
      </c>
    </row>
    <row r="1216" spans="1:11">
      <c r="A1216" s="683" t="s">
        <v>4216</v>
      </c>
      <c r="C1216" s="682" t="s">
        <v>2967</v>
      </c>
    </row>
    <row r="1217" spans="1:11">
      <c r="A1217" s="683" t="s">
        <v>3893</v>
      </c>
      <c r="C1217" s="682" t="s">
        <v>4217</v>
      </c>
    </row>
    <row r="1218" spans="1:11">
      <c r="A1218" s="683" t="s">
        <v>4218</v>
      </c>
      <c r="C1218" s="682" t="s">
        <v>4252</v>
      </c>
    </row>
    <row r="1220" spans="1:11">
      <c r="A1220" s="684" t="s">
        <v>4220</v>
      </c>
      <c r="B1220" s="685" t="s">
        <v>4221</v>
      </c>
      <c r="C1220" s="685" t="s">
        <v>4222</v>
      </c>
      <c r="D1220" s="685" t="s">
        <v>4223</v>
      </c>
      <c r="E1220" s="685" t="s">
        <v>4224</v>
      </c>
      <c r="F1220" s="685" t="s">
        <v>4225</v>
      </c>
      <c r="G1220" s="685" t="s">
        <v>4226</v>
      </c>
      <c r="H1220" s="685" t="s">
        <v>4227</v>
      </c>
      <c r="I1220" s="685" t="s">
        <v>4228</v>
      </c>
      <c r="J1220" s="685" t="s">
        <v>4229</v>
      </c>
      <c r="K1220" s="685" t="s">
        <v>4230</v>
      </c>
    </row>
    <row r="1221" spans="1:11">
      <c r="A1221" s="686" t="s">
        <v>4231</v>
      </c>
      <c r="B1221" s="687" t="s">
        <v>4232</v>
      </c>
      <c r="C1221" s="687" t="s">
        <v>4232</v>
      </c>
      <c r="D1221" s="687" t="s">
        <v>4232</v>
      </c>
      <c r="E1221" s="687" t="s">
        <v>4232</v>
      </c>
      <c r="F1221" s="687" t="s">
        <v>4232</v>
      </c>
      <c r="G1221" s="687" t="s">
        <v>4232</v>
      </c>
      <c r="H1221" s="687" t="s">
        <v>4232</v>
      </c>
      <c r="I1221" s="687" t="s">
        <v>4232</v>
      </c>
      <c r="J1221" s="687" t="s">
        <v>4232</v>
      </c>
      <c r="K1221" s="687" t="s">
        <v>4232</v>
      </c>
    </row>
    <row r="1222" spans="1:11">
      <c r="A1222" s="688" t="s">
        <v>4064</v>
      </c>
      <c r="B1222" s="691">
        <v>63.9</v>
      </c>
      <c r="C1222" s="615">
        <v>64</v>
      </c>
      <c r="D1222" s="615">
        <v>64</v>
      </c>
      <c r="E1222" s="691">
        <v>64.099999999999994</v>
      </c>
      <c r="F1222" s="691">
        <v>64.099999999999994</v>
      </c>
      <c r="G1222" s="691">
        <v>64.2</v>
      </c>
      <c r="H1222" s="691">
        <v>64.5</v>
      </c>
      <c r="I1222" s="691">
        <v>63.7</v>
      </c>
      <c r="J1222" s="691">
        <v>63.3</v>
      </c>
      <c r="K1222" s="615">
        <v>64</v>
      </c>
    </row>
    <row r="1223" spans="1:11">
      <c r="A1223" s="688" t="s">
        <v>4065</v>
      </c>
      <c r="B1223" s="693">
        <v>64</v>
      </c>
      <c r="C1223" s="689">
        <v>64.400000000000006</v>
      </c>
      <c r="D1223" s="693">
        <v>64</v>
      </c>
      <c r="E1223" s="689">
        <v>64.400000000000006</v>
      </c>
      <c r="F1223" s="689">
        <v>64.400000000000006</v>
      </c>
      <c r="G1223" s="689">
        <v>64.400000000000006</v>
      </c>
      <c r="H1223" s="690" t="s">
        <v>4060</v>
      </c>
      <c r="I1223" s="690" t="s">
        <v>4060</v>
      </c>
      <c r="J1223" s="690" t="s">
        <v>4060</v>
      </c>
      <c r="K1223" s="690" t="s">
        <v>4060</v>
      </c>
    </row>
    <row r="1224" spans="1:11">
      <c r="A1224" s="688" t="s">
        <v>4063</v>
      </c>
      <c r="B1224" s="615">
        <v>64</v>
      </c>
      <c r="C1224" s="691">
        <v>64.400000000000006</v>
      </c>
      <c r="D1224" s="691">
        <v>64.099999999999994</v>
      </c>
      <c r="E1224" s="691">
        <v>64.400000000000006</v>
      </c>
      <c r="F1224" s="691">
        <v>64.400000000000006</v>
      </c>
      <c r="G1224" s="691">
        <v>64.5</v>
      </c>
      <c r="H1224" s="692" t="s">
        <v>4060</v>
      </c>
      <c r="I1224" s="692" t="s">
        <v>4060</v>
      </c>
      <c r="J1224" s="692" t="s">
        <v>4060</v>
      </c>
      <c r="K1224" s="692" t="s">
        <v>4060</v>
      </c>
    </row>
    <row r="1225" spans="1:11">
      <c r="A1225" s="688" t="s">
        <v>4069</v>
      </c>
      <c r="B1225" s="690" t="s">
        <v>4060</v>
      </c>
      <c r="C1225" s="693">
        <v>65</v>
      </c>
      <c r="D1225" s="689">
        <v>64.7</v>
      </c>
      <c r="E1225" s="689">
        <v>65.099999999999994</v>
      </c>
      <c r="F1225" s="689">
        <v>65.099999999999994</v>
      </c>
      <c r="G1225" s="689">
        <v>65.2</v>
      </c>
      <c r="H1225" s="689">
        <v>65.5</v>
      </c>
      <c r="I1225" s="689">
        <v>64.8</v>
      </c>
      <c r="J1225" s="689">
        <v>64.8</v>
      </c>
      <c r="K1225" s="689">
        <v>64.900000000000006</v>
      </c>
    </row>
    <row r="1226" spans="1:11">
      <c r="A1226" s="688" t="s">
        <v>4068</v>
      </c>
      <c r="B1226" s="615">
        <v>65</v>
      </c>
      <c r="C1226" s="692" t="s">
        <v>4060</v>
      </c>
      <c r="D1226" s="692" t="s">
        <v>4060</v>
      </c>
      <c r="E1226" s="692" t="s">
        <v>4060</v>
      </c>
      <c r="F1226" s="692" t="s">
        <v>4060</v>
      </c>
      <c r="G1226" s="692" t="s">
        <v>4060</v>
      </c>
      <c r="H1226" s="692" t="s">
        <v>4060</v>
      </c>
      <c r="I1226" s="692" t="s">
        <v>4060</v>
      </c>
      <c r="J1226" s="692" t="s">
        <v>4060</v>
      </c>
      <c r="K1226" s="692" t="s">
        <v>4060</v>
      </c>
    </row>
    <row r="1227" spans="1:11">
      <c r="A1227" s="688" t="s">
        <v>0</v>
      </c>
      <c r="B1227" s="689">
        <v>64.099999999999994</v>
      </c>
      <c r="C1227" s="689">
        <v>64.5</v>
      </c>
      <c r="D1227" s="689">
        <v>64.3</v>
      </c>
      <c r="E1227" s="689">
        <v>64.7</v>
      </c>
      <c r="F1227" s="689">
        <v>64.8</v>
      </c>
      <c r="G1227" s="689">
        <v>64.900000000000006</v>
      </c>
      <c r="H1227" s="689">
        <v>65.3</v>
      </c>
      <c r="I1227" s="689">
        <v>64.2</v>
      </c>
      <c r="J1227" s="693">
        <v>65</v>
      </c>
      <c r="K1227" s="689">
        <v>65.099999999999994</v>
      </c>
    </row>
    <row r="1228" spans="1:11">
      <c r="A1228" s="688" t="s">
        <v>1</v>
      </c>
      <c r="B1228" s="691">
        <v>58.8</v>
      </c>
      <c r="C1228" s="691">
        <v>58.2</v>
      </c>
      <c r="D1228" s="691">
        <v>58.3</v>
      </c>
      <c r="E1228" s="691">
        <v>58.4</v>
      </c>
      <c r="F1228" s="691">
        <v>58.4</v>
      </c>
      <c r="G1228" s="691">
        <v>58.5</v>
      </c>
      <c r="H1228" s="691">
        <v>58.5</v>
      </c>
      <c r="I1228" s="691">
        <v>56.9</v>
      </c>
      <c r="J1228" s="691">
        <v>54.8</v>
      </c>
      <c r="K1228" s="691">
        <v>57.7</v>
      </c>
    </row>
    <row r="1229" spans="1:11">
      <c r="A1229" s="688" t="s">
        <v>2240</v>
      </c>
      <c r="B1229" s="689">
        <v>61.6</v>
      </c>
      <c r="C1229" s="689">
        <v>62.1</v>
      </c>
      <c r="D1229" s="689">
        <v>61.9</v>
      </c>
      <c r="E1229" s="689">
        <v>62.4</v>
      </c>
      <c r="F1229" s="689">
        <v>62.3</v>
      </c>
      <c r="G1229" s="689">
        <v>62.3</v>
      </c>
      <c r="H1229" s="689">
        <v>62.6</v>
      </c>
      <c r="I1229" s="689">
        <v>61.6</v>
      </c>
      <c r="J1229" s="689">
        <v>60.5</v>
      </c>
      <c r="K1229" s="689">
        <v>62.3</v>
      </c>
    </row>
    <row r="1230" spans="1:11">
      <c r="A1230" s="688" t="s">
        <v>2</v>
      </c>
      <c r="B1230" s="691">
        <v>63.8</v>
      </c>
      <c r="C1230" s="691">
        <v>64.099999999999994</v>
      </c>
      <c r="D1230" s="691">
        <v>64.099999999999994</v>
      </c>
      <c r="E1230" s="691">
        <v>64.3</v>
      </c>
      <c r="F1230" s="691">
        <v>64.5</v>
      </c>
      <c r="G1230" s="691">
        <v>64.400000000000006</v>
      </c>
      <c r="H1230" s="691">
        <v>64.8</v>
      </c>
      <c r="I1230" s="691">
        <v>64.900000000000006</v>
      </c>
      <c r="J1230" s="691">
        <v>64.8</v>
      </c>
      <c r="K1230" s="691">
        <v>64.599999999999994</v>
      </c>
    </row>
    <row r="1231" spans="1:11">
      <c r="A1231" s="688" t="s">
        <v>3</v>
      </c>
      <c r="B1231" s="693">
        <v>64</v>
      </c>
      <c r="C1231" s="689">
        <v>64.3</v>
      </c>
      <c r="D1231" s="693">
        <v>64</v>
      </c>
      <c r="E1231" s="689">
        <v>64.3</v>
      </c>
      <c r="F1231" s="689">
        <v>64.3</v>
      </c>
      <c r="G1231" s="689">
        <v>64.3</v>
      </c>
      <c r="H1231" s="689">
        <v>64.599999999999994</v>
      </c>
      <c r="I1231" s="689">
        <v>64.400000000000006</v>
      </c>
      <c r="J1231" s="689">
        <v>64.099999999999994</v>
      </c>
      <c r="K1231" s="689">
        <v>63.9</v>
      </c>
    </row>
    <row r="1232" spans="1:11">
      <c r="A1232" s="688" t="s">
        <v>4061</v>
      </c>
      <c r="B1232" s="615">
        <v>64</v>
      </c>
      <c r="C1232" s="691">
        <v>64.3</v>
      </c>
      <c r="D1232" s="615">
        <v>64</v>
      </c>
      <c r="E1232" s="691">
        <v>64.3</v>
      </c>
      <c r="F1232" s="691">
        <v>64.3</v>
      </c>
      <c r="G1232" s="691">
        <v>64.3</v>
      </c>
      <c r="H1232" s="691">
        <v>64.599999999999994</v>
      </c>
      <c r="I1232" s="691">
        <v>64.400000000000006</v>
      </c>
      <c r="J1232" s="691">
        <v>64.099999999999994</v>
      </c>
      <c r="K1232" s="691">
        <v>63.9</v>
      </c>
    </row>
    <row r="1233" spans="1:11">
      <c r="A1233" s="688" t="s">
        <v>4</v>
      </c>
      <c r="B1233" s="689">
        <v>60.9</v>
      </c>
      <c r="C1233" s="689">
        <v>60.6</v>
      </c>
      <c r="D1233" s="689">
        <v>61.1</v>
      </c>
      <c r="E1233" s="689">
        <v>61.1</v>
      </c>
      <c r="F1233" s="689">
        <v>61.6</v>
      </c>
      <c r="G1233" s="689">
        <v>61.7</v>
      </c>
      <c r="H1233" s="689">
        <v>62.1</v>
      </c>
      <c r="I1233" s="693">
        <v>62</v>
      </c>
      <c r="J1233" s="689">
        <v>60.5</v>
      </c>
      <c r="K1233" s="689">
        <v>61.4</v>
      </c>
    </row>
    <row r="1234" spans="1:11">
      <c r="A1234" s="688" t="s">
        <v>8</v>
      </c>
      <c r="B1234" s="691">
        <v>64.5</v>
      </c>
      <c r="C1234" s="691">
        <v>64.7</v>
      </c>
      <c r="D1234" s="691">
        <v>64.8</v>
      </c>
      <c r="E1234" s="691">
        <v>64.900000000000006</v>
      </c>
      <c r="F1234" s="691">
        <v>65.400000000000006</v>
      </c>
      <c r="G1234" s="691">
        <v>65.400000000000006</v>
      </c>
      <c r="H1234" s="691">
        <v>65.8</v>
      </c>
      <c r="I1234" s="691">
        <v>65.599999999999994</v>
      </c>
      <c r="J1234" s="691">
        <v>65.5</v>
      </c>
      <c r="K1234" s="691">
        <v>65.7</v>
      </c>
    </row>
    <row r="1235" spans="1:11">
      <c r="A1235" s="688" t="s">
        <v>7</v>
      </c>
      <c r="B1235" s="689">
        <v>64.8</v>
      </c>
      <c r="C1235" s="689">
        <v>64.400000000000006</v>
      </c>
      <c r="D1235" s="689">
        <v>64.2</v>
      </c>
      <c r="E1235" s="689">
        <v>64.5</v>
      </c>
      <c r="F1235" s="689">
        <v>64.5</v>
      </c>
      <c r="G1235" s="689">
        <v>64.900000000000006</v>
      </c>
      <c r="H1235" s="689">
        <v>64.8</v>
      </c>
      <c r="I1235" s="689">
        <v>64.5</v>
      </c>
      <c r="J1235" s="689">
        <v>63.5</v>
      </c>
      <c r="K1235" s="689">
        <v>64.2</v>
      </c>
    </row>
    <row r="1236" spans="1:11">
      <c r="A1236" s="688" t="s">
        <v>27</v>
      </c>
      <c r="B1236" s="691">
        <v>66.5</v>
      </c>
      <c r="C1236" s="691">
        <v>66.3</v>
      </c>
      <c r="D1236" s="615">
        <v>66</v>
      </c>
      <c r="E1236" s="691">
        <v>66.400000000000006</v>
      </c>
      <c r="F1236" s="691">
        <v>66.400000000000006</v>
      </c>
      <c r="G1236" s="691">
        <v>66.5</v>
      </c>
      <c r="H1236" s="691">
        <v>66.900000000000006</v>
      </c>
      <c r="I1236" s="691">
        <v>65.599999999999994</v>
      </c>
      <c r="J1236" s="691">
        <v>66.3</v>
      </c>
      <c r="K1236" s="691">
        <v>66.400000000000006</v>
      </c>
    </row>
    <row r="1237" spans="1:11">
      <c r="A1237" s="688" t="s">
        <v>6</v>
      </c>
      <c r="B1237" s="689">
        <v>65.8</v>
      </c>
      <c r="C1237" s="689">
        <v>65.8</v>
      </c>
      <c r="D1237" s="689">
        <v>65.599999999999994</v>
      </c>
      <c r="E1237" s="689">
        <v>65.8</v>
      </c>
      <c r="F1237" s="689">
        <v>65.900000000000006</v>
      </c>
      <c r="G1237" s="693">
        <v>66</v>
      </c>
      <c r="H1237" s="689">
        <v>66.2</v>
      </c>
      <c r="I1237" s="689">
        <v>65.599999999999994</v>
      </c>
      <c r="J1237" s="689">
        <v>65.7</v>
      </c>
      <c r="K1237" s="689">
        <v>65.7</v>
      </c>
    </row>
    <row r="1238" spans="1:11">
      <c r="A1238" s="688" t="s">
        <v>4058</v>
      </c>
      <c r="B1238" s="692" t="s">
        <v>4060</v>
      </c>
      <c r="C1238" s="692" t="s">
        <v>4060</v>
      </c>
      <c r="D1238" s="692" t="s">
        <v>4060</v>
      </c>
      <c r="E1238" s="692" t="s">
        <v>4060</v>
      </c>
      <c r="F1238" s="692" t="s">
        <v>4060</v>
      </c>
      <c r="G1238" s="692" t="s">
        <v>4060</v>
      </c>
      <c r="H1238" s="692" t="s">
        <v>4060</v>
      </c>
      <c r="I1238" s="692" t="s">
        <v>4060</v>
      </c>
      <c r="J1238" s="692" t="s">
        <v>4060</v>
      </c>
      <c r="K1238" s="692" t="s">
        <v>4060</v>
      </c>
    </row>
    <row r="1239" spans="1:11">
      <c r="A1239" s="688" t="s">
        <v>11</v>
      </c>
      <c r="B1239" s="689">
        <v>61.3</v>
      </c>
      <c r="C1239" s="689">
        <v>61.3</v>
      </c>
      <c r="D1239" s="689">
        <v>60.9</v>
      </c>
      <c r="E1239" s="689">
        <v>61.5</v>
      </c>
      <c r="F1239" s="689">
        <v>61.3</v>
      </c>
      <c r="G1239" s="689">
        <v>61.5</v>
      </c>
      <c r="H1239" s="689">
        <v>61.7</v>
      </c>
      <c r="I1239" s="693">
        <v>61</v>
      </c>
      <c r="J1239" s="693">
        <v>60</v>
      </c>
      <c r="K1239" s="689">
        <v>61.2</v>
      </c>
    </row>
    <row r="1240" spans="1:11">
      <c r="A1240" s="688" t="s">
        <v>10</v>
      </c>
      <c r="B1240" s="691">
        <v>66.2</v>
      </c>
      <c r="C1240" s="691">
        <v>66.2</v>
      </c>
      <c r="D1240" s="691">
        <v>65.8</v>
      </c>
      <c r="E1240" s="691">
        <v>66.400000000000006</v>
      </c>
      <c r="F1240" s="691">
        <v>66.2</v>
      </c>
      <c r="G1240" s="691">
        <v>66.5</v>
      </c>
      <c r="H1240" s="691">
        <v>66.7</v>
      </c>
      <c r="I1240" s="691">
        <v>65.5</v>
      </c>
      <c r="J1240" s="691">
        <v>65.900000000000006</v>
      </c>
      <c r="K1240" s="691">
        <v>66.099999999999994</v>
      </c>
    </row>
    <row r="1241" spans="1:11">
      <c r="A1241" s="688" t="s">
        <v>30</v>
      </c>
      <c r="B1241" s="689">
        <v>65.8</v>
      </c>
      <c r="C1241" s="689">
        <v>65.599999999999994</v>
      </c>
      <c r="D1241" s="689">
        <v>65.2</v>
      </c>
      <c r="E1241" s="689">
        <v>66.099999999999994</v>
      </c>
      <c r="F1241" s="689">
        <v>65.7</v>
      </c>
      <c r="G1241" s="689">
        <v>66.3</v>
      </c>
      <c r="H1241" s="693">
        <v>66</v>
      </c>
      <c r="I1241" s="693">
        <v>66</v>
      </c>
      <c r="J1241" s="689">
        <v>65.099999999999994</v>
      </c>
      <c r="K1241" s="689">
        <v>65.5</v>
      </c>
    </row>
    <row r="1242" spans="1:11">
      <c r="A1242" s="688" t="s">
        <v>12</v>
      </c>
      <c r="B1242" s="691">
        <v>57.9</v>
      </c>
      <c r="C1242" s="691">
        <v>57.9</v>
      </c>
      <c r="D1242" s="691">
        <v>58.2</v>
      </c>
      <c r="E1242" s="691">
        <v>58.2</v>
      </c>
      <c r="F1242" s="691">
        <v>58.3</v>
      </c>
      <c r="G1242" s="691">
        <v>58.4</v>
      </c>
      <c r="H1242" s="691">
        <v>59.1</v>
      </c>
      <c r="I1242" s="691">
        <v>58.8</v>
      </c>
      <c r="J1242" s="691">
        <v>56.5</v>
      </c>
      <c r="K1242" s="691">
        <v>57.9</v>
      </c>
    </row>
    <row r="1243" spans="1:11">
      <c r="A1243" s="688" t="s">
        <v>14</v>
      </c>
      <c r="B1243" s="689">
        <v>57.6</v>
      </c>
      <c r="C1243" s="689">
        <v>58.1</v>
      </c>
      <c r="D1243" s="693">
        <v>58</v>
      </c>
      <c r="E1243" s="689">
        <v>58.3</v>
      </c>
      <c r="F1243" s="689">
        <v>59.1</v>
      </c>
      <c r="G1243" s="689">
        <v>59.3</v>
      </c>
      <c r="H1243" s="689">
        <v>59.8</v>
      </c>
      <c r="I1243" s="689">
        <v>58.5</v>
      </c>
      <c r="J1243" s="689">
        <v>57.7</v>
      </c>
      <c r="K1243" s="689">
        <v>59.2</v>
      </c>
    </row>
    <row r="1244" spans="1:11">
      <c r="A1244" s="688" t="s">
        <v>15</v>
      </c>
      <c r="B1244" s="691">
        <v>65.3</v>
      </c>
      <c r="C1244" s="691">
        <v>65.3</v>
      </c>
      <c r="D1244" s="691">
        <v>65.400000000000006</v>
      </c>
      <c r="E1244" s="691">
        <v>65.7</v>
      </c>
      <c r="F1244" s="691">
        <v>65.2</v>
      </c>
      <c r="G1244" s="691">
        <v>65.5</v>
      </c>
      <c r="H1244" s="691">
        <v>65.900000000000006</v>
      </c>
      <c r="I1244" s="691">
        <v>65.5</v>
      </c>
      <c r="J1244" s="691">
        <v>65.900000000000006</v>
      </c>
      <c r="K1244" s="691">
        <v>66.2</v>
      </c>
    </row>
    <row r="1245" spans="1:11">
      <c r="A1245" s="688" t="s">
        <v>29</v>
      </c>
      <c r="B1245" s="689">
        <v>59.3</v>
      </c>
      <c r="C1245" s="689">
        <v>59.3</v>
      </c>
      <c r="D1245" s="689">
        <v>59.1</v>
      </c>
      <c r="E1245" s="689">
        <v>59.5</v>
      </c>
      <c r="F1245" s="689">
        <v>59.3</v>
      </c>
      <c r="G1245" s="689">
        <v>59.4</v>
      </c>
      <c r="H1245" s="689">
        <v>59.7</v>
      </c>
      <c r="I1245" s="689">
        <v>58.9</v>
      </c>
      <c r="J1245" s="689">
        <v>57.5</v>
      </c>
      <c r="K1245" s="689">
        <v>59.3</v>
      </c>
    </row>
    <row r="1246" spans="1:11">
      <c r="A1246" s="688" t="s">
        <v>16</v>
      </c>
      <c r="B1246" s="691">
        <v>65.5</v>
      </c>
      <c r="C1246" s="691">
        <v>65.3</v>
      </c>
      <c r="D1246" s="691">
        <v>65.400000000000006</v>
      </c>
      <c r="E1246" s="691">
        <v>65.8</v>
      </c>
      <c r="F1246" s="691">
        <v>65.7</v>
      </c>
      <c r="G1246" s="691">
        <v>65.599999999999994</v>
      </c>
      <c r="H1246" s="691">
        <v>66.2</v>
      </c>
      <c r="I1246" s="691">
        <v>65.400000000000006</v>
      </c>
      <c r="J1246" s="691">
        <v>65.5</v>
      </c>
      <c r="K1246" s="691">
        <v>65.599999999999994</v>
      </c>
    </row>
    <row r="1247" spans="1:11">
      <c r="A1247" s="688" t="s">
        <v>17</v>
      </c>
      <c r="B1247" s="689">
        <v>64.900000000000006</v>
      </c>
      <c r="C1247" s="689">
        <v>65.099999999999994</v>
      </c>
      <c r="D1247" s="689">
        <v>64.900000000000006</v>
      </c>
      <c r="E1247" s="689">
        <v>64.900000000000006</v>
      </c>
      <c r="F1247" s="689">
        <v>65.099999999999994</v>
      </c>
      <c r="G1247" s="689">
        <v>65.2</v>
      </c>
      <c r="H1247" s="689">
        <v>65.5</v>
      </c>
      <c r="I1247" s="689">
        <v>64.8</v>
      </c>
      <c r="J1247" s="689">
        <v>64.7</v>
      </c>
      <c r="K1247" s="693">
        <v>65</v>
      </c>
    </row>
    <row r="1248" spans="1:11">
      <c r="A1248" s="688" t="s">
        <v>19</v>
      </c>
      <c r="B1248" s="691">
        <v>64.7</v>
      </c>
      <c r="C1248" s="691">
        <v>64.8</v>
      </c>
      <c r="D1248" s="691">
        <v>64.599999999999994</v>
      </c>
      <c r="E1248" s="615">
        <v>65</v>
      </c>
      <c r="F1248" s="615">
        <v>65</v>
      </c>
      <c r="G1248" s="615">
        <v>65</v>
      </c>
      <c r="H1248" s="691">
        <v>65.3</v>
      </c>
      <c r="I1248" s="691">
        <v>64.7</v>
      </c>
      <c r="J1248" s="691">
        <v>64.599999999999994</v>
      </c>
      <c r="K1248" s="691">
        <v>64.8</v>
      </c>
    </row>
    <row r="1249" spans="1:11">
      <c r="A1249" s="688" t="s">
        <v>20</v>
      </c>
      <c r="B1249" s="689">
        <v>60.6</v>
      </c>
      <c r="C1249" s="693">
        <v>61</v>
      </c>
      <c r="D1249" s="689">
        <v>60.8</v>
      </c>
      <c r="E1249" s="689">
        <v>61.2</v>
      </c>
      <c r="F1249" s="689">
        <v>61.1</v>
      </c>
      <c r="G1249" s="693">
        <v>61</v>
      </c>
      <c r="H1249" s="689">
        <v>61.3</v>
      </c>
      <c r="I1249" s="689">
        <v>59.8</v>
      </c>
      <c r="J1249" s="689">
        <v>58.8</v>
      </c>
      <c r="K1249" s="689">
        <v>60.5</v>
      </c>
    </row>
    <row r="1250" spans="1:11">
      <c r="A1250" s="688" t="s">
        <v>21</v>
      </c>
      <c r="B1250" s="691">
        <v>64.3</v>
      </c>
      <c r="C1250" s="691">
        <v>64.7</v>
      </c>
      <c r="D1250" s="691">
        <v>64.7</v>
      </c>
      <c r="E1250" s="691">
        <v>64.7</v>
      </c>
      <c r="F1250" s="615">
        <v>65</v>
      </c>
      <c r="G1250" s="615">
        <v>65</v>
      </c>
      <c r="H1250" s="691">
        <v>65.3</v>
      </c>
      <c r="I1250" s="691">
        <v>64.7</v>
      </c>
      <c r="J1250" s="691">
        <v>64.7</v>
      </c>
      <c r="K1250" s="615">
        <v>65</v>
      </c>
    </row>
    <row r="1251" spans="1:11">
      <c r="A1251" s="688" t="s">
        <v>22</v>
      </c>
      <c r="B1251" s="689">
        <v>59.1</v>
      </c>
      <c r="C1251" s="689">
        <v>58.8</v>
      </c>
      <c r="D1251" s="689">
        <v>58.7</v>
      </c>
      <c r="E1251" s="693">
        <v>59</v>
      </c>
      <c r="F1251" s="693">
        <v>59</v>
      </c>
      <c r="G1251" s="693">
        <v>59</v>
      </c>
      <c r="H1251" s="689">
        <v>59.2</v>
      </c>
      <c r="I1251" s="689">
        <v>57.7</v>
      </c>
      <c r="J1251" s="689">
        <v>56.4</v>
      </c>
      <c r="K1251" s="689">
        <v>58.7</v>
      </c>
    </row>
    <row r="1252" spans="1:11">
      <c r="A1252" s="688" t="s">
        <v>26</v>
      </c>
      <c r="B1252" s="691">
        <v>63.8</v>
      </c>
      <c r="C1252" s="691">
        <v>64.099999999999994</v>
      </c>
      <c r="D1252" s="691">
        <v>63.9</v>
      </c>
      <c r="E1252" s="691">
        <v>64.2</v>
      </c>
      <c r="F1252" s="691">
        <v>64.2</v>
      </c>
      <c r="G1252" s="691">
        <v>64.5</v>
      </c>
      <c r="H1252" s="691">
        <v>64.7</v>
      </c>
      <c r="I1252" s="691">
        <v>63.8</v>
      </c>
      <c r="J1252" s="691">
        <v>63.9</v>
      </c>
      <c r="K1252" s="691">
        <v>64.5</v>
      </c>
    </row>
    <row r="1253" spans="1:11">
      <c r="A1253" s="688" t="s">
        <v>25</v>
      </c>
      <c r="B1253" s="689">
        <v>60.2</v>
      </c>
      <c r="C1253" s="689">
        <v>60.6</v>
      </c>
      <c r="D1253" s="689">
        <v>60.3</v>
      </c>
      <c r="E1253" s="689">
        <v>60.9</v>
      </c>
      <c r="F1253" s="689">
        <v>60.8</v>
      </c>
      <c r="G1253" s="689">
        <v>60.9</v>
      </c>
      <c r="H1253" s="689">
        <v>61.3</v>
      </c>
      <c r="I1253" s="689">
        <v>60.6</v>
      </c>
      <c r="J1253" s="689">
        <v>58.2</v>
      </c>
      <c r="K1253" s="689">
        <v>60.6</v>
      </c>
    </row>
    <row r="1254" spans="1:11">
      <c r="A1254" s="688" t="s">
        <v>5</v>
      </c>
      <c r="B1254" s="691">
        <v>64.400000000000006</v>
      </c>
      <c r="C1254" s="691">
        <v>64.400000000000006</v>
      </c>
      <c r="D1254" s="691">
        <v>64.599999999999994</v>
      </c>
      <c r="E1254" s="691">
        <v>64.599999999999994</v>
      </c>
      <c r="F1254" s="691">
        <v>64.8</v>
      </c>
      <c r="G1254" s="691">
        <v>64.900000000000006</v>
      </c>
      <c r="H1254" s="691">
        <v>65.2</v>
      </c>
      <c r="I1254" s="691">
        <v>65.099999999999994</v>
      </c>
      <c r="J1254" s="691">
        <v>65.099999999999994</v>
      </c>
      <c r="K1254" s="691">
        <v>64.5</v>
      </c>
    </row>
    <row r="1255" spans="1:11">
      <c r="A1255" s="688" t="s">
        <v>23</v>
      </c>
      <c r="B1255" s="689">
        <v>65.3</v>
      </c>
      <c r="C1255" s="689">
        <v>65.5</v>
      </c>
      <c r="D1255" s="689">
        <v>65.5</v>
      </c>
      <c r="E1255" s="689">
        <v>65.7</v>
      </c>
      <c r="F1255" s="689">
        <v>65.7</v>
      </c>
      <c r="G1255" s="689">
        <v>65.8</v>
      </c>
      <c r="H1255" s="689">
        <v>66.3</v>
      </c>
      <c r="I1255" s="689">
        <v>65.7</v>
      </c>
      <c r="J1255" s="689">
        <v>66.3</v>
      </c>
      <c r="K1255" s="689">
        <v>66.3</v>
      </c>
    </row>
    <row r="1256" spans="1:11">
      <c r="A1256" s="688" t="s">
        <v>4067</v>
      </c>
      <c r="B1256" s="615">
        <v>64</v>
      </c>
      <c r="C1256" s="691">
        <v>64.400000000000006</v>
      </c>
      <c r="D1256" s="615">
        <v>64</v>
      </c>
      <c r="E1256" s="691">
        <v>64.400000000000006</v>
      </c>
      <c r="F1256" s="691">
        <v>64.400000000000006</v>
      </c>
      <c r="G1256" s="691">
        <v>64.5</v>
      </c>
      <c r="H1256" s="692" t="s">
        <v>4060</v>
      </c>
      <c r="I1256" s="692" t="s">
        <v>4060</v>
      </c>
      <c r="J1256" s="692" t="s">
        <v>4060</v>
      </c>
      <c r="K1256" s="692" t="s">
        <v>4060</v>
      </c>
    </row>
    <row r="1257" spans="1:11">
      <c r="A1257" s="688" t="s">
        <v>4066</v>
      </c>
      <c r="B1257" s="693">
        <v>64</v>
      </c>
      <c r="C1257" s="689">
        <v>64.400000000000006</v>
      </c>
      <c r="D1257" s="689">
        <v>64.099999999999994</v>
      </c>
      <c r="E1257" s="689">
        <v>64.400000000000006</v>
      </c>
      <c r="F1257" s="689">
        <v>64.400000000000006</v>
      </c>
      <c r="G1257" s="689">
        <v>64.5</v>
      </c>
      <c r="H1257" s="690" t="s">
        <v>4060</v>
      </c>
      <c r="I1257" s="690" t="s">
        <v>4060</v>
      </c>
      <c r="J1257" s="690" t="s">
        <v>4060</v>
      </c>
      <c r="K1257" s="690" t="s">
        <v>4060</v>
      </c>
    </row>
    <row r="1258" spans="1:11">
      <c r="A1258" s="688" t="s">
        <v>4062</v>
      </c>
      <c r="B1258" s="691">
        <v>65.900000000000006</v>
      </c>
      <c r="C1258" s="691">
        <v>66.099999999999994</v>
      </c>
      <c r="D1258" s="615">
        <v>66</v>
      </c>
      <c r="E1258" s="691">
        <v>66.400000000000006</v>
      </c>
      <c r="F1258" s="691">
        <v>66.5</v>
      </c>
      <c r="G1258" s="691">
        <v>66.599999999999994</v>
      </c>
      <c r="H1258" s="691">
        <v>66.8</v>
      </c>
      <c r="I1258" s="691">
        <v>66.5</v>
      </c>
      <c r="J1258" s="691">
        <v>66.8</v>
      </c>
      <c r="K1258" s="691">
        <v>66.5</v>
      </c>
    </row>
    <row r="1259" spans="1:11">
      <c r="A1259" s="688" t="s">
        <v>9</v>
      </c>
      <c r="B1259" s="689">
        <v>65.400000000000006</v>
      </c>
      <c r="C1259" s="689">
        <v>65.900000000000006</v>
      </c>
      <c r="D1259" s="689">
        <v>65.7</v>
      </c>
      <c r="E1259" s="689">
        <v>65.3</v>
      </c>
      <c r="F1259" s="689">
        <v>65.8</v>
      </c>
      <c r="G1259" s="689">
        <v>65.900000000000006</v>
      </c>
      <c r="H1259" s="689">
        <v>66.099999999999994</v>
      </c>
      <c r="I1259" s="689">
        <v>66.2</v>
      </c>
      <c r="J1259" s="689">
        <v>66.400000000000006</v>
      </c>
      <c r="K1259" s="689">
        <v>65.400000000000006</v>
      </c>
    </row>
    <row r="1260" spans="1:11">
      <c r="A1260" s="688" t="s">
        <v>13</v>
      </c>
      <c r="B1260" s="691">
        <v>65.900000000000006</v>
      </c>
      <c r="C1260" s="691">
        <v>65.3</v>
      </c>
      <c r="D1260" s="691">
        <v>66.2</v>
      </c>
      <c r="E1260" s="691">
        <v>65.3</v>
      </c>
      <c r="F1260" s="691">
        <v>66.5</v>
      </c>
      <c r="G1260" s="691">
        <v>66.099999999999994</v>
      </c>
      <c r="H1260" s="615">
        <v>67</v>
      </c>
      <c r="I1260" s="691">
        <v>65.7</v>
      </c>
      <c r="J1260" s="691">
        <v>67.099999999999994</v>
      </c>
      <c r="K1260" s="691">
        <v>67.2</v>
      </c>
    </row>
    <row r="1261" spans="1:11">
      <c r="A1261" s="688" t="s">
        <v>18</v>
      </c>
      <c r="B1261" s="689">
        <v>65.099999999999994</v>
      </c>
      <c r="C1261" s="689">
        <v>65.400000000000006</v>
      </c>
      <c r="D1261" s="689">
        <v>65.599999999999994</v>
      </c>
      <c r="E1261" s="689">
        <v>65.7</v>
      </c>
      <c r="F1261" s="689">
        <v>65.900000000000006</v>
      </c>
      <c r="G1261" s="693">
        <v>66</v>
      </c>
      <c r="H1261" s="689">
        <v>66.2</v>
      </c>
      <c r="I1261" s="689">
        <v>66.5</v>
      </c>
      <c r="J1261" s="689">
        <v>66.400000000000006</v>
      </c>
      <c r="K1261" s="689">
        <v>65.900000000000006</v>
      </c>
    </row>
    <row r="1262" spans="1:11">
      <c r="A1262" s="688" t="s">
        <v>24</v>
      </c>
      <c r="B1262" s="691">
        <v>66.400000000000006</v>
      </c>
      <c r="C1262" s="691">
        <v>66.5</v>
      </c>
      <c r="D1262" s="691">
        <v>66.3</v>
      </c>
      <c r="E1262" s="691">
        <v>66.8</v>
      </c>
      <c r="F1262" s="691">
        <v>66.8</v>
      </c>
      <c r="G1262" s="615">
        <v>67</v>
      </c>
      <c r="H1262" s="691">
        <v>67.2</v>
      </c>
      <c r="I1262" s="691">
        <v>66.5</v>
      </c>
      <c r="J1262" s="615">
        <v>67</v>
      </c>
      <c r="K1262" s="691">
        <v>66.900000000000006</v>
      </c>
    </row>
    <row r="1263" spans="1:11">
      <c r="A1263" s="688" t="s">
        <v>4059</v>
      </c>
      <c r="B1263" s="689">
        <v>64.5</v>
      </c>
      <c r="C1263" s="689">
        <v>64.8</v>
      </c>
      <c r="D1263" s="689">
        <v>64.5</v>
      </c>
      <c r="E1263" s="689">
        <v>64.7</v>
      </c>
      <c r="F1263" s="689">
        <v>64.7</v>
      </c>
      <c r="G1263" s="689">
        <v>64.7</v>
      </c>
      <c r="H1263" s="690" t="s">
        <v>4060</v>
      </c>
      <c r="I1263" s="690" t="s">
        <v>4060</v>
      </c>
      <c r="J1263" s="690" t="s">
        <v>4060</v>
      </c>
      <c r="K1263" s="690" t="s">
        <v>4060</v>
      </c>
    </row>
    <row r="1264" spans="1:11">
      <c r="A1264" s="688" t="s">
        <v>2324</v>
      </c>
      <c r="B1264" s="615">
        <v>60</v>
      </c>
      <c r="C1264" s="691">
        <v>60.1</v>
      </c>
      <c r="D1264" s="691">
        <v>59.8</v>
      </c>
      <c r="E1264" s="691">
        <v>59.9</v>
      </c>
      <c r="F1264" s="691">
        <v>59.9</v>
      </c>
      <c r="G1264" s="691">
        <v>60.2</v>
      </c>
      <c r="H1264" s="691">
        <v>60.1</v>
      </c>
      <c r="I1264" s="691">
        <v>59.3</v>
      </c>
      <c r="J1264" s="615">
        <v>57</v>
      </c>
      <c r="K1264" s="692" t="s">
        <v>4060</v>
      </c>
    </row>
    <row r="1265" spans="1:11">
      <c r="A1265" s="688" t="s">
        <v>2322</v>
      </c>
      <c r="B1265" s="690" t="s">
        <v>4060</v>
      </c>
      <c r="C1265" s="690" t="s">
        <v>4060</v>
      </c>
      <c r="D1265" s="690" t="s">
        <v>4060</v>
      </c>
      <c r="E1265" s="690" t="s">
        <v>4060</v>
      </c>
      <c r="F1265" s="690" t="s">
        <v>4060</v>
      </c>
      <c r="G1265" s="690" t="s">
        <v>4060</v>
      </c>
      <c r="H1265" s="690" t="s">
        <v>4060</v>
      </c>
      <c r="I1265" s="690" t="s">
        <v>4060</v>
      </c>
      <c r="J1265" s="690" t="s">
        <v>4060</v>
      </c>
      <c r="K1265" s="690" t="s">
        <v>4060</v>
      </c>
    </row>
    <row r="1266" spans="1:11">
      <c r="A1266" s="688" t="s">
        <v>2328</v>
      </c>
      <c r="B1266" s="691">
        <v>59.4</v>
      </c>
      <c r="C1266" s="691">
        <v>59.4</v>
      </c>
      <c r="D1266" s="691">
        <v>59.4</v>
      </c>
      <c r="E1266" s="691">
        <v>59.6</v>
      </c>
      <c r="F1266" s="691">
        <v>59.9</v>
      </c>
      <c r="G1266" s="691">
        <v>60.3</v>
      </c>
      <c r="H1266" s="691">
        <v>60.2</v>
      </c>
      <c r="I1266" s="615">
        <v>58</v>
      </c>
      <c r="J1266" s="691">
        <v>56.7</v>
      </c>
      <c r="K1266" s="692" t="s">
        <v>4060</v>
      </c>
    </row>
    <row r="1267" spans="1:11">
      <c r="A1267" s="688" t="s">
        <v>2496</v>
      </c>
      <c r="B1267" s="690" t="s">
        <v>4060</v>
      </c>
      <c r="C1267" s="689">
        <v>58.2</v>
      </c>
      <c r="D1267" s="689">
        <v>57.1</v>
      </c>
      <c r="E1267" s="689">
        <v>56.7</v>
      </c>
      <c r="F1267" s="689">
        <v>57.5</v>
      </c>
      <c r="G1267" s="689">
        <v>57.8</v>
      </c>
      <c r="H1267" s="689">
        <v>57.9</v>
      </c>
      <c r="I1267" s="690" t="s">
        <v>4060</v>
      </c>
      <c r="J1267" s="690" t="s">
        <v>4060</v>
      </c>
      <c r="K1267" s="689">
        <v>57.5</v>
      </c>
    </row>
    <row r="1268" spans="1:11">
      <c r="A1268" s="688" t="s">
        <v>2269</v>
      </c>
      <c r="B1268" s="691">
        <v>61.9</v>
      </c>
      <c r="C1268" s="691">
        <v>62.2</v>
      </c>
      <c r="D1268" s="691">
        <v>61.8</v>
      </c>
      <c r="E1268" s="691">
        <v>62.5</v>
      </c>
      <c r="F1268" s="691">
        <v>62.4</v>
      </c>
      <c r="G1268" s="691">
        <v>62.9</v>
      </c>
      <c r="H1268" s="691">
        <v>63.1</v>
      </c>
      <c r="I1268" s="691">
        <v>61.3</v>
      </c>
      <c r="J1268" s="691">
        <v>59.4</v>
      </c>
      <c r="K1268" s="691">
        <v>62.8</v>
      </c>
    </row>
    <row r="1269" spans="1:11">
      <c r="A1269" s="688" t="s">
        <v>2349</v>
      </c>
      <c r="B1269" s="689">
        <v>58.9</v>
      </c>
      <c r="C1269" s="693">
        <v>59</v>
      </c>
      <c r="D1269" s="689">
        <v>58.9</v>
      </c>
      <c r="E1269" s="689">
        <v>59.3</v>
      </c>
      <c r="F1269" s="689">
        <v>59.2</v>
      </c>
      <c r="G1269" s="689">
        <v>59.5</v>
      </c>
      <c r="H1269" s="689">
        <v>59.5</v>
      </c>
      <c r="I1269" s="693">
        <v>58</v>
      </c>
      <c r="J1269" s="689">
        <v>56.3</v>
      </c>
      <c r="K1269" s="689">
        <v>58.7</v>
      </c>
    </row>
    <row r="1270" spans="1:11">
      <c r="A1270" s="688" t="s">
        <v>2355</v>
      </c>
      <c r="B1270" s="691">
        <v>62.6</v>
      </c>
      <c r="C1270" s="691">
        <v>62.5</v>
      </c>
      <c r="D1270" s="691">
        <v>62.4</v>
      </c>
      <c r="E1270" s="691">
        <v>62.3</v>
      </c>
      <c r="F1270" s="691">
        <v>62.6</v>
      </c>
      <c r="G1270" s="615">
        <v>63</v>
      </c>
      <c r="H1270" s="691">
        <v>63.1</v>
      </c>
      <c r="I1270" s="692" t="s">
        <v>4060</v>
      </c>
      <c r="J1270" s="692" t="s">
        <v>4060</v>
      </c>
      <c r="K1270" s="692" t="s">
        <v>4060</v>
      </c>
    </row>
    <row r="1271" spans="1:11">
      <c r="A1271" s="688" t="s">
        <v>2357</v>
      </c>
      <c r="B1271" s="690" t="s">
        <v>4060</v>
      </c>
      <c r="C1271" s="689">
        <v>55.6</v>
      </c>
      <c r="D1271" s="689">
        <v>56.3</v>
      </c>
      <c r="E1271" s="689">
        <v>56.7</v>
      </c>
      <c r="F1271" s="689">
        <v>57.1</v>
      </c>
      <c r="G1271" s="689">
        <v>56.9</v>
      </c>
      <c r="H1271" s="689">
        <v>57.2</v>
      </c>
      <c r="I1271" s="690" t="s">
        <v>4060</v>
      </c>
      <c r="J1271" s="690" t="s">
        <v>4060</v>
      </c>
      <c r="K1271" s="690" t="s">
        <v>4060</v>
      </c>
    </row>
    <row r="1272" spans="1:11">
      <c r="A1272" s="688" t="s">
        <v>4070</v>
      </c>
      <c r="B1272" s="692" t="s">
        <v>4060</v>
      </c>
      <c r="C1272" s="692" t="s">
        <v>4060</v>
      </c>
      <c r="D1272" s="692" t="s">
        <v>4060</v>
      </c>
      <c r="E1272" s="691">
        <v>62.3</v>
      </c>
      <c r="F1272" s="692" t="s">
        <v>4060</v>
      </c>
      <c r="G1272" s="692" t="s">
        <v>4060</v>
      </c>
      <c r="H1272" s="692" t="s">
        <v>4060</v>
      </c>
      <c r="I1272" s="692" t="s">
        <v>4060</v>
      </c>
      <c r="J1272" s="692" t="s">
        <v>4060</v>
      </c>
      <c r="K1272" s="692" t="s">
        <v>4060</v>
      </c>
    </row>
    <row r="1273" spans="1:11">
      <c r="A1273" s="688" t="s">
        <v>2491</v>
      </c>
      <c r="B1273" s="689">
        <v>56.2</v>
      </c>
      <c r="C1273" s="689">
        <v>56.8</v>
      </c>
      <c r="D1273" s="689">
        <v>57.4</v>
      </c>
      <c r="E1273" s="689">
        <v>57.7</v>
      </c>
      <c r="F1273" s="689">
        <v>57.9</v>
      </c>
      <c r="G1273" s="689">
        <v>57.9</v>
      </c>
      <c r="H1273" s="690" t="s">
        <v>4060</v>
      </c>
      <c r="I1273" s="690" t="s">
        <v>4060</v>
      </c>
      <c r="J1273" s="690" t="s">
        <v>4060</v>
      </c>
      <c r="K1273" s="690" t="s">
        <v>4060</v>
      </c>
    </row>
    <row r="1274" spans="1:11">
      <c r="A1274" s="688" t="s">
        <v>2343</v>
      </c>
      <c r="B1274" s="692" t="s">
        <v>4060</v>
      </c>
      <c r="C1274" s="692" t="s">
        <v>4060</v>
      </c>
      <c r="D1274" s="692" t="s">
        <v>4060</v>
      </c>
      <c r="E1274" s="692" t="s">
        <v>4060</v>
      </c>
      <c r="F1274" s="692" t="s">
        <v>4060</v>
      </c>
      <c r="G1274" s="692" t="s">
        <v>4060</v>
      </c>
      <c r="H1274" s="692" t="s">
        <v>4060</v>
      </c>
      <c r="I1274" s="692" t="s">
        <v>4060</v>
      </c>
      <c r="J1274" s="692" t="s">
        <v>4060</v>
      </c>
      <c r="K1274" s="692" t="s">
        <v>4060</v>
      </c>
    </row>
    <row r="1275" spans="1:11">
      <c r="A1275" s="688" t="s">
        <v>4071</v>
      </c>
      <c r="B1275" s="690" t="s">
        <v>4060</v>
      </c>
      <c r="C1275" s="690" t="s">
        <v>4060</v>
      </c>
      <c r="D1275" s="690" t="s">
        <v>4060</v>
      </c>
      <c r="E1275" s="690" t="s">
        <v>4060</v>
      </c>
      <c r="F1275" s="690" t="s">
        <v>4060</v>
      </c>
      <c r="G1275" s="690" t="s">
        <v>4060</v>
      </c>
      <c r="H1275" s="690" t="s">
        <v>4060</v>
      </c>
      <c r="I1275" s="690" t="s">
        <v>4060</v>
      </c>
      <c r="J1275" s="690" t="s">
        <v>4060</v>
      </c>
      <c r="K1275" s="690" t="s">
        <v>4060</v>
      </c>
    </row>
    <row r="1276" spans="1:11">
      <c r="A1276" s="688" t="s">
        <v>2489</v>
      </c>
      <c r="B1276" s="692" t="s">
        <v>4060</v>
      </c>
      <c r="C1276" s="692" t="s">
        <v>4060</v>
      </c>
      <c r="D1276" s="615">
        <v>59</v>
      </c>
      <c r="E1276" s="615">
        <v>59</v>
      </c>
      <c r="F1276" s="691">
        <v>59.7</v>
      </c>
      <c r="G1276" s="691">
        <v>60.5</v>
      </c>
      <c r="H1276" s="691">
        <v>60.3</v>
      </c>
      <c r="I1276" s="692" t="s">
        <v>4060</v>
      </c>
      <c r="J1276" s="692" t="s">
        <v>4060</v>
      </c>
      <c r="K1276" s="692" t="s">
        <v>4060</v>
      </c>
    </row>
    <row r="1277" spans="1:11">
      <c r="A1277" s="688" t="s">
        <v>2490</v>
      </c>
      <c r="B1277" s="689">
        <v>58.9</v>
      </c>
      <c r="C1277" s="693">
        <v>59</v>
      </c>
      <c r="D1277" s="689">
        <v>59.6</v>
      </c>
      <c r="E1277" s="690" t="s">
        <v>4060</v>
      </c>
      <c r="F1277" s="689">
        <v>59.8</v>
      </c>
      <c r="G1277" s="689">
        <v>60.2</v>
      </c>
      <c r="H1277" s="689">
        <v>60.9</v>
      </c>
      <c r="I1277" s="690" t="s">
        <v>4060</v>
      </c>
      <c r="J1277" s="690" t="s">
        <v>4060</v>
      </c>
      <c r="K1277" s="690" t="s">
        <v>4060</v>
      </c>
    </row>
    <row r="1279" spans="1:11">
      <c r="A1279" s="683" t="s">
        <v>4233</v>
      </c>
    </row>
    <row r="1280" spans="1:11">
      <c r="A1280" s="683" t="s">
        <v>4060</v>
      </c>
      <c r="B1280" s="682" t="s">
        <v>4234</v>
      </c>
    </row>
    <row r="1282" spans="1:11">
      <c r="A1282" s="682" t="s">
        <v>4248</v>
      </c>
    </row>
    <row r="1283" spans="1:11">
      <c r="A1283" s="682" t="s">
        <v>4210</v>
      </c>
      <c r="B1283" s="683" t="s">
        <v>4211</v>
      </c>
    </row>
    <row r="1284" spans="1:11">
      <c r="A1284" s="682" t="s">
        <v>4212</v>
      </c>
      <c r="B1284" s="682" t="s">
        <v>4213</v>
      </c>
    </row>
    <row r="1286" spans="1:11">
      <c r="A1286" s="683" t="s">
        <v>4214</v>
      </c>
      <c r="C1286" s="682" t="s">
        <v>4215</v>
      </c>
    </row>
    <row r="1287" spans="1:11">
      <c r="A1287" s="683" t="s">
        <v>4216</v>
      </c>
      <c r="C1287" s="682" t="s">
        <v>2967</v>
      </c>
    </row>
    <row r="1288" spans="1:11">
      <c r="A1288" s="683" t="s">
        <v>3893</v>
      </c>
      <c r="C1288" s="682" t="s">
        <v>4217</v>
      </c>
    </row>
    <row r="1289" spans="1:11">
      <c r="A1289" s="683" t="s">
        <v>4218</v>
      </c>
      <c r="C1289" s="682" t="s">
        <v>4253</v>
      </c>
    </row>
    <row r="1291" spans="1:11">
      <c r="A1291" s="684" t="s">
        <v>4220</v>
      </c>
      <c r="B1291" s="685" t="s">
        <v>4221</v>
      </c>
      <c r="C1291" s="685" t="s">
        <v>4222</v>
      </c>
      <c r="D1291" s="685" t="s">
        <v>4223</v>
      </c>
      <c r="E1291" s="685" t="s">
        <v>4224</v>
      </c>
      <c r="F1291" s="685" t="s">
        <v>4225</v>
      </c>
      <c r="G1291" s="685" t="s">
        <v>4226</v>
      </c>
      <c r="H1291" s="685" t="s">
        <v>4227</v>
      </c>
      <c r="I1291" s="685" t="s">
        <v>4228</v>
      </c>
      <c r="J1291" s="685" t="s">
        <v>4229</v>
      </c>
      <c r="K1291" s="685" t="s">
        <v>4230</v>
      </c>
    </row>
    <row r="1292" spans="1:11">
      <c r="A1292" s="686" t="s">
        <v>4231</v>
      </c>
      <c r="B1292" s="687" t="s">
        <v>4232</v>
      </c>
      <c r="C1292" s="687" t="s">
        <v>4232</v>
      </c>
      <c r="D1292" s="687" t="s">
        <v>4232</v>
      </c>
      <c r="E1292" s="687" t="s">
        <v>4232</v>
      </c>
      <c r="F1292" s="687" t="s">
        <v>4232</v>
      </c>
      <c r="G1292" s="687" t="s">
        <v>4232</v>
      </c>
      <c r="H1292" s="687" t="s">
        <v>4232</v>
      </c>
      <c r="I1292" s="687" t="s">
        <v>4232</v>
      </c>
      <c r="J1292" s="687" t="s">
        <v>4232</v>
      </c>
      <c r="K1292" s="687" t="s">
        <v>4232</v>
      </c>
    </row>
    <row r="1293" spans="1:11">
      <c r="A1293" s="688" t="s">
        <v>4064</v>
      </c>
      <c r="B1293" s="689">
        <v>62.9</v>
      </c>
      <c r="C1293" s="693">
        <v>63</v>
      </c>
      <c r="D1293" s="693">
        <v>63</v>
      </c>
      <c r="E1293" s="689">
        <v>63.1</v>
      </c>
      <c r="F1293" s="689">
        <v>63.2</v>
      </c>
      <c r="G1293" s="689">
        <v>63.2</v>
      </c>
      <c r="H1293" s="689">
        <v>63.5</v>
      </c>
      <c r="I1293" s="689">
        <v>62.7</v>
      </c>
      <c r="J1293" s="689">
        <v>62.4</v>
      </c>
      <c r="K1293" s="693">
        <v>63</v>
      </c>
    </row>
    <row r="1294" spans="1:11">
      <c r="A1294" s="688" t="s">
        <v>4065</v>
      </c>
      <c r="B1294" s="615">
        <v>63</v>
      </c>
      <c r="C1294" s="691">
        <v>63.4</v>
      </c>
      <c r="D1294" s="615">
        <v>63</v>
      </c>
      <c r="E1294" s="691">
        <v>63.4</v>
      </c>
      <c r="F1294" s="691">
        <v>63.4</v>
      </c>
      <c r="G1294" s="691">
        <v>63.5</v>
      </c>
      <c r="H1294" s="692" t="s">
        <v>4060</v>
      </c>
      <c r="I1294" s="692" t="s">
        <v>4060</v>
      </c>
      <c r="J1294" s="692" t="s">
        <v>4060</v>
      </c>
      <c r="K1294" s="692" t="s">
        <v>4060</v>
      </c>
    </row>
    <row r="1295" spans="1:11">
      <c r="A1295" s="688" t="s">
        <v>4063</v>
      </c>
      <c r="B1295" s="693">
        <v>63</v>
      </c>
      <c r="C1295" s="689">
        <v>63.4</v>
      </c>
      <c r="D1295" s="689">
        <v>63.1</v>
      </c>
      <c r="E1295" s="689">
        <v>63.4</v>
      </c>
      <c r="F1295" s="689">
        <v>63.4</v>
      </c>
      <c r="G1295" s="689">
        <v>63.5</v>
      </c>
      <c r="H1295" s="690" t="s">
        <v>4060</v>
      </c>
      <c r="I1295" s="690" t="s">
        <v>4060</v>
      </c>
      <c r="J1295" s="690" t="s">
        <v>4060</v>
      </c>
      <c r="K1295" s="690" t="s">
        <v>4060</v>
      </c>
    </row>
    <row r="1296" spans="1:11">
      <c r="A1296" s="688" t="s">
        <v>4069</v>
      </c>
      <c r="B1296" s="692" t="s">
        <v>4060</v>
      </c>
      <c r="C1296" s="615">
        <v>64</v>
      </c>
      <c r="D1296" s="691">
        <v>63.8</v>
      </c>
      <c r="E1296" s="691">
        <v>64.099999999999994</v>
      </c>
      <c r="F1296" s="691">
        <v>64.099999999999994</v>
      </c>
      <c r="G1296" s="691">
        <v>64.3</v>
      </c>
      <c r="H1296" s="691">
        <v>64.5</v>
      </c>
      <c r="I1296" s="691">
        <v>63.8</v>
      </c>
      <c r="J1296" s="691">
        <v>63.8</v>
      </c>
      <c r="K1296" s="615">
        <v>64</v>
      </c>
    </row>
    <row r="1297" spans="1:11">
      <c r="A1297" s="688" t="s">
        <v>4068</v>
      </c>
      <c r="B1297" s="693">
        <v>64</v>
      </c>
      <c r="C1297" s="690" t="s">
        <v>4060</v>
      </c>
      <c r="D1297" s="690" t="s">
        <v>4060</v>
      </c>
      <c r="E1297" s="690" t="s">
        <v>4060</v>
      </c>
      <c r="F1297" s="690" t="s">
        <v>4060</v>
      </c>
      <c r="G1297" s="690" t="s">
        <v>4060</v>
      </c>
      <c r="H1297" s="690" t="s">
        <v>4060</v>
      </c>
      <c r="I1297" s="690" t="s">
        <v>4060</v>
      </c>
      <c r="J1297" s="690" t="s">
        <v>4060</v>
      </c>
      <c r="K1297" s="690" t="s">
        <v>4060</v>
      </c>
    </row>
    <row r="1298" spans="1:11">
      <c r="A1298" s="688" t="s">
        <v>0</v>
      </c>
      <c r="B1298" s="691">
        <v>63.1</v>
      </c>
      <c r="C1298" s="691">
        <v>63.5</v>
      </c>
      <c r="D1298" s="691">
        <v>63.3</v>
      </c>
      <c r="E1298" s="691">
        <v>63.7</v>
      </c>
      <c r="F1298" s="691">
        <v>63.8</v>
      </c>
      <c r="G1298" s="691">
        <v>63.9</v>
      </c>
      <c r="H1298" s="691">
        <v>64.3</v>
      </c>
      <c r="I1298" s="691">
        <v>63.2</v>
      </c>
      <c r="J1298" s="691">
        <v>64.099999999999994</v>
      </c>
      <c r="K1298" s="691">
        <v>64.099999999999994</v>
      </c>
    </row>
    <row r="1299" spans="1:11">
      <c r="A1299" s="688" t="s">
        <v>1</v>
      </c>
      <c r="B1299" s="689">
        <v>57.8</v>
      </c>
      <c r="C1299" s="689">
        <v>57.3</v>
      </c>
      <c r="D1299" s="689">
        <v>57.3</v>
      </c>
      <c r="E1299" s="689">
        <v>57.5</v>
      </c>
      <c r="F1299" s="689">
        <v>57.4</v>
      </c>
      <c r="G1299" s="689">
        <v>57.5</v>
      </c>
      <c r="H1299" s="689">
        <v>57.5</v>
      </c>
      <c r="I1299" s="689">
        <v>55.9</v>
      </c>
      <c r="J1299" s="689">
        <v>53.9</v>
      </c>
      <c r="K1299" s="689">
        <v>56.7</v>
      </c>
    </row>
    <row r="1300" spans="1:11">
      <c r="A1300" s="688" t="s">
        <v>2240</v>
      </c>
      <c r="B1300" s="691">
        <v>60.7</v>
      </c>
      <c r="C1300" s="691">
        <v>61.1</v>
      </c>
      <c r="D1300" s="691">
        <v>60.9</v>
      </c>
      <c r="E1300" s="691">
        <v>61.4</v>
      </c>
      <c r="F1300" s="691">
        <v>61.3</v>
      </c>
      <c r="G1300" s="691">
        <v>61.4</v>
      </c>
      <c r="H1300" s="691">
        <v>61.6</v>
      </c>
      <c r="I1300" s="691">
        <v>60.6</v>
      </c>
      <c r="J1300" s="691">
        <v>59.5</v>
      </c>
      <c r="K1300" s="691">
        <v>61.3</v>
      </c>
    </row>
    <row r="1301" spans="1:11">
      <c r="A1301" s="688" t="s">
        <v>2</v>
      </c>
      <c r="B1301" s="689">
        <v>62.8</v>
      </c>
      <c r="C1301" s="689">
        <v>63.1</v>
      </c>
      <c r="D1301" s="689">
        <v>63.2</v>
      </c>
      <c r="E1301" s="689">
        <v>63.3</v>
      </c>
      <c r="F1301" s="689">
        <v>63.5</v>
      </c>
      <c r="G1301" s="689">
        <v>63.4</v>
      </c>
      <c r="H1301" s="689">
        <v>63.8</v>
      </c>
      <c r="I1301" s="689">
        <v>63.9</v>
      </c>
      <c r="J1301" s="689">
        <v>63.8</v>
      </c>
      <c r="K1301" s="689">
        <v>63.6</v>
      </c>
    </row>
    <row r="1302" spans="1:11">
      <c r="A1302" s="688" t="s">
        <v>3</v>
      </c>
      <c r="B1302" s="615">
        <v>63</v>
      </c>
      <c r="C1302" s="691">
        <v>63.3</v>
      </c>
      <c r="D1302" s="615">
        <v>63</v>
      </c>
      <c r="E1302" s="691">
        <v>63.3</v>
      </c>
      <c r="F1302" s="691">
        <v>63.4</v>
      </c>
      <c r="G1302" s="691">
        <v>63.3</v>
      </c>
      <c r="H1302" s="691">
        <v>63.6</v>
      </c>
      <c r="I1302" s="691">
        <v>63.4</v>
      </c>
      <c r="J1302" s="691">
        <v>63.1</v>
      </c>
      <c r="K1302" s="691">
        <v>62.9</v>
      </c>
    </row>
    <row r="1303" spans="1:11">
      <c r="A1303" s="688" t="s">
        <v>4061</v>
      </c>
      <c r="B1303" s="693">
        <v>63</v>
      </c>
      <c r="C1303" s="689">
        <v>63.3</v>
      </c>
      <c r="D1303" s="693">
        <v>63</v>
      </c>
      <c r="E1303" s="689">
        <v>63.3</v>
      </c>
      <c r="F1303" s="689">
        <v>63.4</v>
      </c>
      <c r="G1303" s="689">
        <v>63.3</v>
      </c>
      <c r="H1303" s="689">
        <v>63.6</v>
      </c>
      <c r="I1303" s="689">
        <v>63.4</v>
      </c>
      <c r="J1303" s="689">
        <v>63.1</v>
      </c>
      <c r="K1303" s="689">
        <v>62.9</v>
      </c>
    </row>
    <row r="1304" spans="1:11">
      <c r="A1304" s="688" t="s">
        <v>4</v>
      </c>
      <c r="B1304" s="691">
        <v>59.9</v>
      </c>
      <c r="C1304" s="691">
        <v>59.6</v>
      </c>
      <c r="D1304" s="691">
        <v>60.1</v>
      </c>
      <c r="E1304" s="691">
        <v>60.2</v>
      </c>
      <c r="F1304" s="691">
        <v>60.6</v>
      </c>
      <c r="G1304" s="691">
        <v>60.7</v>
      </c>
      <c r="H1304" s="691">
        <v>61.1</v>
      </c>
      <c r="I1304" s="615">
        <v>61</v>
      </c>
      <c r="J1304" s="691">
        <v>59.5</v>
      </c>
      <c r="K1304" s="691">
        <v>60.4</v>
      </c>
    </row>
    <row r="1305" spans="1:11">
      <c r="A1305" s="688" t="s">
        <v>8</v>
      </c>
      <c r="B1305" s="689">
        <v>63.5</v>
      </c>
      <c r="C1305" s="689">
        <v>63.7</v>
      </c>
      <c r="D1305" s="689">
        <v>63.8</v>
      </c>
      <c r="E1305" s="689">
        <v>63.9</v>
      </c>
      <c r="F1305" s="689">
        <v>64.400000000000006</v>
      </c>
      <c r="G1305" s="689">
        <v>64.400000000000006</v>
      </c>
      <c r="H1305" s="689">
        <v>64.8</v>
      </c>
      <c r="I1305" s="689">
        <v>64.7</v>
      </c>
      <c r="J1305" s="689">
        <v>64.5</v>
      </c>
      <c r="K1305" s="689">
        <v>64.7</v>
      </c>
    </row>
    <row r="1306" spans="1:11">
      <c r="A1306" s="688" t="s">
        <v>7</v>
      </c>
      <c r="B1306" s="691">
        <v>63.8</v>
      </c>
      <c r="C1306" s="691">
        <v>63.4</v>
      </c>
      <c r="D1306" s="691">
        <v>63.2</v>
      </c>
      <c r="E1306" s="691">
        <v>63.5</v>
      </c>
      <c r="F1306" s="691">
        <v>63.5</v>
      </c>
      <c r="G1306" s="691">
        <v>63.9</v>
      </c>
      <c r="H1306" s="691">
        <v>63.9</v>
      </c>
      <c r="I1306" s="691">
        <v>63.5</v>
      </c>
      <c r="J1306" s="691">
        <v>62.5</v>
      </c>
      <c r="K1306" s="691">
        <v>63.2</v>
      </c>
    </row>
    <row r="1307" spans="1:11">
      <c r="A1307" s="688" t="s">
        <v>27</v>
      </c>
      <c r="B1307" s="689">
        <v>65.5</v>
      </c>
      <c r="C1307" s="689">
        <v>65.3</v>
      </c>
      <c r="D1307" s="693">
        <v>65</v>
      </c>
      <c r="E1307" s="689">
        <v>65.400000000000006</v>
      </c>
      <c r="F1307" s="689">
        <v>65.400000000000006</v>
      </c>
      <c r="G1307" s="689">
        <v>65.5</v>
      </c>
      <c r="H1307" s="689">
        <v>65.900000000000006</v>
      </c>
      <c r="I1307" s="689">
        <v>64.599999999999994</v>
      </c>
      <c r="J1307" s="689">
        <v>65.3</v>
      </c>
      <c r="K1307" s="689">
        <v>65.400000000000006</v>
      </c>
    </row>
    <row r="1308" spans="1:11">
      <c r="A1308" s="688" t="s">
        <v>6</v>
      </c>
      <c r="B1308" s="691">
        <v>64.8</v>
      </c>
      <c r="C1308" s="691">
        <v>64.8</v>
      </c>
      <c r="D1308" s="691">
        <v>64.599999999999994</v>
      </c>
      <c r="E1308" s="691">
        <v>64.8</v>
      </c>
      <c r="F1308" s="691">
        <v>64.900000000000006</v>
      </c>
      <c r="G1308" s="615">
        <v>65</v>
      </c>
      <c r="H1308" s="691">
        <v>65.2</v>
      </c>
      <c r="I1308" s="691">
        <v>64.599999999999994</v>
      </c>
      <c r="J1308" s="691">
        <v>64.7</v>
      </c>
      <c r="K1308" s="691">
        <v>64.7</v>
      </c>
    </row>
    <row r="1309" spans="1:11">
      <c r="A1309" s="688" t="s">
        <v>4058</v>
      </c>
      <c r="B1309" s="690" t="s">
        <v>4060</v>
      </c>
      <c r="C1309" s="690" t="s">
        <v>4060</v>
      </c>
      <c r="D1309" s="690" t="s">
        <v>4060</v>
      </c>
      <c r="E1309" s="690" t="s">
        <v>4060</v>
      </c>
      <c r="F1309" s="690" t="s">
        <v>4060</v>
      </c>
      <c r="G1309" s="690" t="s">
        <v>4060</v>
      </c>
      <c r="H1309" s="690" t="s">
        <v>4060</v>
      </c>
      <c r="I1309" s="690" t="s">
        <v>4060</v>
      </c>
      <c r="J1309" s="690" t="s">
        <v>4060</v>
      </c>
      <c r="K1309" s="690" t="s">
        <v>4060</v>
      </c>
    </row>
    <row r="1310" spans="1:11">
      <c r="A1310" s="688" t="s">
        <v>11</v>
      </c>
      <c r="B1310" s="691">
        <v>60.3</v>
      </c>
      <c r="C1310" s="691">
        <v>60.3</v>
      </c>
      <c r="D1310" s="691">
        <v>59.9</v>
      </c>
      <c r="E1310" s="691">
        <v>60.5</v>
      </c>
      <c r="F1310" s="691">
        <v>60.3</v>
      </c>
      <c r="G1310" s="691">
        <v>60.5</v>
      </c>
      <c r="H1310" s="691">
        <v>60.7</v>
      </c>
      <c r="I1310" s="691">
        <v>60.1</v>
      </c>
      <c r="J1310" s="615">
        <v>59</v>
      </c>
      <c r="K1310" s="691">
        <v>60.2</v>
      </c>
    </row>
    <row r="1311" spans="1:11">
      <c r="A1311" s="688" t="s">
        <v>10</v>
      </c>
      <c r="B1311" s="689">
        <v>65.2</v>
      </c>
      <c r="C1311" s="689">
        <v>65.2</v>
      </c>
      <c r="D1311" s="689">
        <v>64.8</v>
      </c>
      <c r="E1311" s="689">
        <v>65.400000000000006</v>
      </c>
      <c r="F1311" s="689">
        <v>65.2</v>
      </c>
      <c r="G1311" s="689">
        <v>65.5</v>
      </c>
      <c r="H1311" s="689">
        <v>65.7</v>
      </c>
      <c r="I1311" s="689">
        <v>64.5</v>
      </c>
      <c r="J1311" s="689">
        <v>64.900000000000006</v>
      </c>
      <c r="K1311" s="689">
        <v>65.099999999999994</v>
      </c>
    </row>
    <row r="1312" spans="1:11">
      <c r="A1312" s="688" t="s">
        <v>30</v>
      </c>
      <c r="B1312" s="691">
        <v>64.8</v>
      </c>
      <c r="C1312" s="691">
        <v>64.599999999999994</v>
      </c>
      <c r="D1312" s="691">
        <v>64.2</v>
      </c>
      <c r="E1312" s="691">
        <v>65.099999999999994</v>
      </c>
      <c r="F1312" s="691">
        <v>64.7</v>
      </c>
      <c r="G1312" s="691">
        <v>65.3</v>
      </c>
      <c r="H1312" s="615">
        <v>65</v>
      </c>
      <c r="I1312" s="615">
        <v>65</v>
      </c>
      <c r="J1312" s="691">
        <v>64.099999999999994</v>
      </c>
      <c r="K1312" s="691">
        <v>64.599999999999994</v>
      </c>
    </row>
    <row r="1313" spans="1:11">
      <c r="A1313" s="688" t="s">
        <v>12</v>
      </c>
      <c r="B1313" s="689">
        <v>56.9</v>
      </c>
      <c r="C1313" s="689">
        <v>56.9</v>
      </c>
      <c r="D1313" s="689">
        <v>57.2</v>
      </c>
      <c r="E1313" s="689">
        <v>57.3</v>
      </c>
      <c r="F1313" s="689">
        <v>57.3</v>
      </c>
      <c r="G1313" s="689">
        <v>57.4</v>
      </c>
      <c r="H1313" s="689">
        <v>58.1</v>
      </c>
      <c r="I1313" s="689">
        <v>57.9</v>
      </c>
      <c r="J1313" s="689">
        <v>55.5</v>
      </c>
      <c r="K1313" s="689">
        <v>56.9</v>
      </c>
    </row>
    <row r="1314" spans="1:11">
      <c r="A1314" s="688" t="s">
        <v>14</v>
      </c>
      <c r="B1314" s="691">
        <v>56.7</v>
      </c>
      <c r="C1314" s="691">
        <v>57.1</v>
      </c>
      <c r="D1314" s="615">
        <v>57</v>
      </c>
      <c r="E1314" s="691">
        <v>57.3</v>
      </c>
      <c r="F1314" s="691">
        <v>58.1</v>
      </c>
      <c r="G1314" s="691">
        <v>58.3</v>
      </c>
      <c r="H1314" s="691">
        <v>58.8</v>
      </c>
      <c r="I1314" s="691">
        <v>57.6</v>
      </c>
      <c r="J1314" s="691">
        <v>56.7</v>
      </c>
      <c r="K1314" s="691">
        <v>58.2</v>
      </c>
    </row>
    <row r="1315" spans="1:11">
      <c r="A1315" s="688" t="s">
        <v>15</v>
      </c>
      <c r="B1315" s="689">
        <v>64.3</v>
      </c>
      <c r="C1315" s="689">
        <v>64.3</v>
      </c>
      <c r="D1315" s="689">
        <v>64.400000000000006</v>
      </c>
      <c r="E1315" s="689">
        <v>64.7</v>
      </c>
      <c r="F1315" s="689">
        <v>64.2</v>
      </c>
      <c r="G1315" s="689">
        <v>64.5</v>
      </c>
      <c r="H1315" s="689">
        <v>64.900000000000006</v>
      </c>
      <c r="I1315" s="689">
        <v>64.5</v>
      </c>
      <c r="J1315" s="689">
        <v>64.900000000000006</v>
      </c>
      <c r="K1315" s="689">
        <v>65.2</v>
      </c>
    </row>
    <row r="1316" spans="1:11">
      <c r="A1316" s="688" t="s">
        <v>29</v>
      </c>
      <c r="B1316" s="691">
        <v>58.3</v>
      </c>
      <c r="C1316" s="691">
        <v>58.3</v>
      </c>
      <c r="D1316" s="691">
        <v>58.1</v>
      </c>
      <c r="E1316" s="691">
        <v>58.5</v>
      </c>
      <c r="F1316" s="691">
        <v>58.3</v>
      </c>
      <c r="G1316" s="691">
        <v>58.4</v>
      </c>
      <c r="H1316" s="691">
        <v>58.7</v>
      </c>
      <c r="I1316" s="615">
        <v>58</v>
      </c>
      <c r="J1316" s="691">
        <v>56.5</v>
      </c>
      <c r="K1316" s="691">
        <v>58.4</v>
      </c>
    </row>
    <row r="1317" spans="1:11">
      <c r="A1317" s="688" t="s">
        <v>16</v>
      </c>
      <c r="B1317" s="689">
        <v>64.5</v>
      </c>
      <c r="C1317" s="689">
        <v>64.3</v>
      </c>
      <c r="D1317" s="689">
        <v>64.400000000000006</v>
      </c>
      <c r="E1317" s="689">
        <v>64.8</v>
      </c>
      <c r="F1317" s="689">
        <v>64.7</v>
      </c>
      <c r="G1317" s="689">
        <v>64.599999999999994</v>
      </c>
      <c r="H1317" s="689">
        <v>65.2</v>
      </c>
      <c r="I1317" s="689">
        <v>64.400000000000006</v>
      </c>
      <c r="J1317" s="689">
        <v>64.5</v>
      </c>
      <c r="K1317" s="689">
        <v>64.599999999999994</v>
      </c>
    </row>
    <row r="1318" spans="1:11">
      <c r="A1318" s="688" t="s">
        <v>17</v>
      </c>
      <c r="B1318" s="691">
        <v>63.9</v>
      </c>
      <c r="C1318" s="691">
        <v>64.099999999999994</v>
      </c>
      <c r="D1318" s="691">
        <v>63.9</v>
      </c>
      <c r="E1318" s="615">
        <v>64</v>
      </c>
      <c r="F1318" s="691">
        <v>64.2</v>
      </c>
      <c r="G1318" s="691">
        <v>64.2</v>
      </c>
      <c r="H1318" s="691">
        <v>64.5</v>
      </c>
      <c r="I1318" s="691">
        <v>63.8</v>
      </c>
      <c r="J1318" s="691">
        <v>63.7</v>
      </c>
      <c r="K1318" s="615">
        <v>64</v>
      </c>
    </row>
    <row r="1319" spans="1:11">
      <c r="A1319" s="688" t="s">
        <v>19</v>
      </c>
      <c r="B1319" s="689">
        <v>63.7</v>
      </c>
      <c r="C1319" s="689">
        <v>63.8</v>
      </c>
      <c r="D1319" s="689">
        <v>63.6</v>
      </c>
      <c r="E1319" s="693">
        <v>64</v>
      </c>
      <c r="F1319" s="693">
        <v>64</v>
      </c>
      <c r="G1319" s="689">
        <v>64.099999999999994</v>
      </c>
      <c r="H1319" s="689">
        <v>64.3</v>
      </c>
      <c r="I1319" s="689">
        <v>63.8</v>
      </c>
      <c r="J1319" s="689">
        <v>63.6</v>
      </c>
      <c r="K1319" s="689">
        <v>63.8</v>
      </c>
    </row>
    <row r="1320" spans="1:11">
      <c r="A1320" s="688" t="s">
        <v>20</v>
      </c>
      <c r="B1320" s="691">
        <v>59.7</v>
      </c>
      <c r="C1320" s="615">
        <v>60</v>
      </c>
      <c r="D1320" s="691">
        <v>59.9</v>
      </c>
      <c r="E1320" s="691">
        <v>60.2</v>
      </c>
      <c r="F1320" s="691">
        <v>60.1</v>
      </c>
      <c r="G1320" s="615">
        <v>60</v>
      </c>
      <c r="H1320" s="691">
        <v>60.3</v>
      </c>
      <c r="I1320" s="691">
        <v>58.8</v>
      </c>
      <c r="J1320" s="691">
        <v>57.8</v>
      </c>
      <c r="K1320" s="691">
        <v>59.6</v>
      </c>
    </row>
    <row r="1321" spans="1:11">
      <c r="A1321" s="688" t="s">
        <v>21</v>
      </c>
      <c r="B1321" s="689">
        <v>63.3</v>
      </c>
      <c r="C1321" s="689">
        <v>63.7</v>
      </c>
      <c r="D1321" s="689">
        <v>63.7</v>
      </c>
      <c r="E1321" s="689">
        <v>63.8</v>
      </c>
      <c r="F1321" s="693">
        <v>64</v>
      </c>
      <c r="G1321" s="693">
        <v>64</v>
      </c>
      <c r="H1321" s="689">
        <v>64.3</v>
      </c>
      <c r="I1321" s="689">
        <v>63.7</v>
      </c>
      <c r="J1321" s="689">
        <v>63.7</v>
      </c>
      <c r="K1321" s="693">
        <v>64</v>
      </c>
    </row>
    <row r="1322" spans="1:11">
      <c r="A1322" s="688" t="s">
        <v>22</v>
      </c>
      <c r="B1322" s="691">
        <v>58.1</v>
      </c>
      <c r="C1322" s="691">
        <v>57.8</v>
      </c>
      <c r="D1322" s="691">
        <v>57.8</v>
      </c>
      <c r="E1322" s="615">
        <v>58</v>
      </c>
      <c r="F1322" s="615">
        <v>58</v>
      </c>
      <c r="G1322" s="615">
        <v>58</v>
      </c>
      <c r="H1322" s="691">
        <v>58.3</v>
      </c>
      <c r="I1322" s="691">
        <v>56.7</v>
      </c>
      <c r="J1322" s="691">
        <v>55.4</v>
      </c>
      <c r="K1322" s="691">
        <v>57.8</v>
      </c>
    </row>
    <row r="1323" spans="1:11">
      <c r="A1323" s="688" t="s">
        <v>26</v>
      </c>
      <c r="B1323" s="689">
        <v>62.8</v>
      </c>
      <c r="C1323" s="689">
        <v>63.2</v>
      </c>
      <c r="D1323" s="689">
        <v>62.9</v>
      </c>
      <c r="E1323" s="689">
        <v>63.3</v>
      </c>
      <c r="F1323" s="689">
        <v>63.2</v>
      </c>
      <c r="G1323" s="689">
        <v>63.5</v>
      </c>
      <c r="H1323" s="689">
        <v>63.7</v>
      </c>
      <c r="I1323" s="689">
        <v>62.8</v>
      </c>
      <c r="J1323" s="689">
        <v>62.9</v>
      </c>
      <c r="K1323" s="689">
        <v>63.5</v>
      </c>
    </row>
    <row r="1324" spans="1:11">
      <c r="A1324" s="688" t="s">
        <v>25</v>
      </c>
      <c r="B1324" s="691">
        <v>59.3</v>
      </c>
      <c r="C1324" s="691">
        <v>59.6</v>
      </c>
      <c r="D1324" s="691">
        <v>59.3</v>
      </c>
      <c r="E1324" s="691">
        <v>59.9</v>
      </c>
      <c r="F1324" s="691">
        <v>59.8</v>
      </c>
      <c r="G1324" s="691">
        <v>59.9</v>
      </c>
      <c r="H1324" s="691">
        <v>60.4</v>
      </c>
      <c r="I1324" s="691">
        <v>59.6</v>
      </c>
      <c r="J1324" s="691">
        <v>57.2</v>
      </c>
      <c r="K1324" s="691">
        <v>59.6</v>
      </c>
    </row>
    <row r="1325" spans="1:11">
      <c r="A1325" s="688" t="s">
        <v>5</v>
      </c>
      <c r="B1325" s="689">
        <v>63.4</v>
      </c>
      <c r="C1325" s="689">
        <v>63.4</v>
      </c>
      <c r="D1325" s="689">
        <v>63.6</v>
      </c>
      <c r="E1325" s="689">
        <v>63.6</v>
      </c>
      <c r="F1325" s="689">
        <v>63.8</v>
      </c>
      <c r="G1325" s="689">
        <v>63.9</v>
      </c>
      <c r="H1325" s="689">
        <v>64.2</v>
      </c>
      <c r="I1325" s="689">
        <v>64.099999999999994</v>
      </c>
      <c r="J1325" s="689">
        <v>64.099999999999994</v>
      </c>
      <c r="K1325" s="689">
        <v>63.5</v>
      </c>
    </row>
    <row r="1326" spans="1:11">
      <c r="A1326" s="688" t="s">
        <v>23</v>
      </c>
      <c r="B1326" s="691">
        <v>64.3</v>
      </c>
      <c r="C1326" s="691">
        <v>64.5</v>
      </c>
      <c r="D1326" s="691">
        <v>64.5</v>
      </c>
      <c r="E1326" s="691">
        <v>64.7</v>
      </c>
      <c r="F1326" s="691">
        <v>64.7</v>
      </c>
      <c r="G1326" s="691">
        <v>64.8</v>
      </c>
      <c r="H1326" s="691">
        <v>65.3</v>
      </c>
      <c r="I1326" s="691">
        <v>64.8</v>
      </c>
      <c r="J1326" s="691">
        <v>65.3</v>
      </c>
      <c r="K1326" s="691">
        <v>65.3</v>
      </c>
    </row>
    <row r="1327" spans="1:11">
      <c r="A1327" s="688" t="s">
        <v>4067</v>
      </c>
      <c r="B1327" s="693">
        <v>63</v>
      </c>
      <c r="C1327" s="689">
        <v>63.4</v>
      </c>
      <c r="D1327" s="689">
        <v>63.1</v>
      </c>
      <c r="E1327" s="689">
        <v>63.4</v>
      </c>
      <c r="F1327" s="689">
        <v>63.4</v>
      </c>
      <c r="G1327" s="689">
        <v>63.5</v>
      </c>
      <c r="H1327" s="690" t="s">
        <v>4060</v>
      </c>
      <c r="I1327" s="690" t="s">
        <v>4060</v>
      </c>
      <c r="J1327" s="690" t="s">
        <v>4060</v>
      </c>
      <c r="K1327" s="690" t="s">
        <v>4060</v>
      </c>
    </row>
    <row r="1328" spans="1:11">
      <c r="A1328" s="688" t="s">
        <v>4066</v>
      </c>
      <c r="B1328" s="615">
        <v>63</v>
      </c>
      <c r="C1328" s="691">
        <v>63.4</v>
      </c>
      <c r="D1328" s="691">
        <v>63.1</v>
      </c>
      <c r="E1328" s="691">
        <v>63.5</v>
      </c>
      <c r="F1328" s="691">
        <v>63.4</v>
      </c>
      <c r="G1328" s="691">
        <v>63.5</v>
      </c>
      <c r="H1328" s="692" t="s">
        <v>4060</v>
      </c>
      <c r="I1328" s="692" t="s">
        <v>4060</v>
      </c>
      <c r="J1328" s="692" t="s">
        <v>4060</v>
      </c>
      <c r="K1328" s="692" t="s">
        <v>4060</v>
      </c>
    </row>
    <row r="1329" spans="1:11">
      <c r="A1329" s="688" t="s">
        <v>4062</v>
      </c>
      <c r="B1329" s="689">
        <v>64.900000000000006</v>
      </c>
      <c r="C1329" s="689">
        <v>65.099999999999994</v>
      </c>
      <c r="D1329" s="689">
        <v>65.099999999999994</v>
      </c>
      <c r="E1329" s="689">
        <v>65.400000000000006</v>
      </c>
      <c r="F1329" s="689">
        <v>65.5</v>
      </c>
      <c r="G1329" s="689">
        <v>65.599999999999994</v>
      </c>
      <c r="H1329" s="689">
        <v>65.8</v>
      </c>
      <c r="I1329" s="689">
        <v>65.5</v>
      </c>
      <c r="J1329" s="689">
        <v>65.8</v>
      </c>
      <c r="K1329" s="689">
        <v>65.5</v>
      </c>
    </row>
    <row r="1330" spans="1:11">
      <c r="A1330" s="688" t="s">
        <v>9</v>
      </c>
      <c r="B1330" s="691">
        <v>64.400000000000006</v>
      </c>
      <c r="C1330" s="691">
        <v>64.900000000000006</v>
      </c>
      <c r="D1330" s="691">
        <v>64.7</v>
      </c>
      <c r="E1330" s="691">
        <v>64.3</v>
      </c>
      <c r="F1330" s="691">
        <v>64.8</v>
      </c>
      <c r="G1330" s="691">
        <v>64.900000000000006</v>
      </c>
      <c r="H1330" s="691">
        <v>65.099999999999994</v>
      </c>
      <c r="I1330" s="691">
        <v>65.2</v>
      </c>
      <c r="J1330" s="691">
        <v>65.400000000000006</v>
      </c>
      <c r="K1330" s="691">
        <v>64.400000000000006</v>
      </c>
    </row>
    <row r="1331" spans="1:11">
      <c r="A1331" s="688" t="s">
        <v>13</v>
      </c>
      <c r="B1331" s="689">
        <v>64.900000000000006</v>
      </c>
      <c r="C1331" s="689">
        <v>64.3</v>
      </c>
      <c r="D1331" s="689">
        <v>65.2</v>
      </c>
      <c r="E1331" s="689">
        <v>64.599999999999994</v>
      </c>
      <c r="F1331" s="689">
        <v>65.5</v>
      </c>
      <c r="G1331" s="689">
        <v>65.099999999999994</v>
      </c>
      <c r="H1331" s="693">
        <v>66</v>
      </c>
      <c r="I1331" s="689">
        <v>64.7</v>
      </c>
      <c r="J1331" s="689">
        <v>66.099999999999994</v>
      </c>
      <c r="K1331" s="689">
        <v>66.2</v>
      </c>
    </row>
    <row r="1332" spans="1:11">
      <c r="A1332" s="688" t="s">
        <v>18</v>
      </c>
      <c r="B1332" s="691">
        <v>64.099999999999994</v>
      </c>
      <c r="C1332" s="691">
        <v>64.400000000000006</v>
      </c>
      <c r="D1332" s="691">
        <v>64.599999999999994</v>
      </c>
      <c r="E1332" s="691">
        <v>64.7</v>
      </c>
      <c r="F1332" s="691">
        <v>64.900000000000006</v>
      </c>
      <c r="G1332" s="691">
        <v>65.099999999999994</v>
      </c>
      <c r="H1332" s="691">
        <v>65.3</v>
      </c>
      <c r="I1332" s="691">
        <v>65.5</v>
      </c>
      <c r="J1332" s="691">
        <v>65.5</v>
      </c>
      <c r="K1332" s="691">
        <v>64.900000000000006</v>
      </c>
    </row>
    <row r="1333" spans="1:11">
      <c r="A1333" s="688" t="s">
        <v>24</v>
      </c>
      <c r="B1333" s="689">
        <v>65.400000000000006</v>
      </c>
      <c r="C1333" s="689">
        <v>65.5</v>
      </c>
      <c r="D1333" s="689">
        <v>65.3</v>
      </c>
      <c r="E1333" s="689">
        <v>65.900000000000006</v>
      </c>
      <c r="F1333" s="689">
        <v>65.8</v>
      </c>
      <c r="G1333" s="693">
        <v>66</v>
      </c>
      <c r="H1333" s="689">
        <v>66.2</v>
      </c>
      <c r="I1333" s="689">
        <v>65.5</v>
      </c>
      <c r="J1333" s="689">
        <v>66.099999999999994</v>
      </c>
      <c r="K1333" s="693">
        <v>66</v>
      </c>
    </row>
    <row r="1334" spans="1:11">
      <c r="A1334" s="688" t="s">
        <v>4059</v>
      </c>
      <c r="B1334" s="691">
        <v>63.6</v>
      </c>
      <c r="C1334" s="691">
        <v>63.8</v>
      </c>
      <c r="D1334" s="691">
        <v>63.5</v>
      </c>
      <c r="E1334" s="691">
        <v>63.7</v>
      </c>
      <c r="F1334" s="691">
        <v>63.8</v>
      </c>
      <c r="G1334" s="691">
        <v>63.7</v>
      </c>
      <c r="H1334" s="692" t="s">
        <v>4060</v>
      </c>
      <c r="I1334" s="692" t="s">
        <v>4060</v>
      </c>
      <c r="J1334" s="692" t="s">
        <v>4060</v>
      </c>
      <c r="K1334" s="692" t="s">
        <v>4060</v>
      </c>
    </row>
    <row r="1335" spans="1:11">
      <c r="A1335" s="688" t="s">
        <v>2324</v>
      </c>
      <c r="B1335" s="693">
        <v>59</v>
      </c>
      <c r="C1335" s="689">
        <v>59.1</v>
      </c>
      <c r="D1335" s="689">
        <v>58.9</v>
      </c>
      <c r="E1335" s="689">
        <v>58.9</v>
      </c>
      <c r="F1335" s="689">
        <v>58.9</v>
      </c>
      <c r="G1335" s="689">
        <v>59.2</v>
      </c>
      <c r="H1335" s="689">
        <v>59.1</v>
      </c>
      <c r="I1335" s="689">
        <v>58.3</v>
      </c>
      <c r="J1335" s="693">
        <v>56</v>
      </c>
      <c r="K1335" s="690" t="s">
        <v>4060</v>
      </c>
    </row>
    <row r="1336" spans="1:11">
      <c r="A1336" s="688" t="s">
        <v>2322</v>
      </c>
      <c r="B1336" s="692" t="s">
        <v>4060</v>
      </c>
      <c r="C1336" s="692" t="s">
        <v>4060</v>
      </c>
      <c r="D1336" s="692" t="s">
        <v>4060</v>
      </c>
      <c r="E1336" s="692" t="s">
        <v>4060</v>
      </c>
      <c r="F1336" s="692" t="s">
        <v>4060</v>
      </c>
      <c r="G1336" s="692" t="s">
        <v>4060</v>
      </c>
      <c r="H1336" s="692" t="s">
        <v>4060</v>
      </c>
      <c r="I1336" s="692" t="s">
        <v>4060</v>
      </c>
      <c r="J1336" s="692" t="s">
        <v>4060</v>
      </c>
      <c r="K1336" s="692" t="s">
        <v>4060</v>
      </c>
    </row>
    <row r="1337" spans="1:11">
      <c r="A1337" s="688" t="s">
        <v>2328</v>
      </c>
      <c r="B1337" s="689">
        <v>58.4</v>
      </c>
      <c r="C1337" s="689">
        <v>58.4</v>
      </c>
      <c r="D1337" s="689">
        <v>58.4</v>
      </c>
      <c r="E1337" s="689">
        <v>58.6</v>
      </c>
      <c r="F1337" s="689">
        <v>58.9</v>
      </c>
      <c r="G1337" s="689">
        <v>59.3</v>
      </c>
      <c r="H1337" s="689">
        <v>59.2</v>
      </c>
      <c r="I1337" s="693">
        <v>57</v>
      </c>
      <c r="J1337" s="689">
        <v>55.7</v>
      </c>
      <c r="K1337" s="690" t="s">
        <v>4060</v>
      </c>
    </row>
    <row r="1338" spans="1:11">
      <c r="A1338" s="688" t="s">
        <v>2496</v>
      </c>
      <c r="B1338" s="692" t="s">
        <v>4060</v>
      </c>
      <c r="C1338" s="691">
        <v>57.2</v>
      </c>
      <c r="D1338" s="691">
        <v>56.1</v>
      </c>
      <c r="E1338" s="691">
        <v>55.7</v>
      </c>
      <c r="F1338" s="691">
        <v>56.5</v>
      </c>
      <c r="G1338" s="691">
        <v>56.9</v>
      </c>
      <c r="H1338" s="615">
        <v>57</v>
      </c>
      <c r="I1338" s="692" t="s">
        <v>4060</v>
      </c>
      <c r="J1338" s="692" t="s">
        <v>4060</v>
      </c>
      <c r="K1338" s="691">
        <v>56.5</v>
      </c>
    </row>
    <row r="1339" spans="1:11">
      <c r="A1339" s="688" t="s">
        <v>2269</v>
      </c>
      <c r="B1339" s="693">
        <v>61</v>
      </c>
      <c r="C1339" s="689">
        <v>61.2</v>
      </c>
      <c r="D1339" s="689">
        <v>60.9</v>
      </c>
      <c r="E1339" s="689">
        <v>61.5</v>
      </c>
      <c r="F1339" s="689">
        <v>61.4</v>
      </c>
      <c r="G1339" s="689">
        <v>61.9</v>
      </c>
      <c r="H1339" s="689">
        <v>62.1</v>
      </c>
      <c r="I1339" s="689">
        <v>60.3</v>
      </c>
      <c r="J1339" s="689">
        <v>58.4</v>
      </c>
      <c r="K1339" s="689">
        <v>61.8</v>
      </c>
    </row>
    <row r="1340" spans="1:11">
      <c r="A1340" s="688" t="s">
        <v>2349</v>
      </c>
      <c r="B1340" s="691">
        <v>57.9</v>
      </c>
      <c r="C1340" s="615">
        <v>58</v>
      </c>
      <c r="D1340" s="691">
        <v>57.9</v>
      </c>
      <c r="E1340" s="691">
        <v>58.3</v>
      </c>
      <c r="F1340" s="691">
        <v>58.2</v>
      </c>
      <c r="G1340" s="691">
        <v>58.5</v>
      </c>
      <c r="H1340" s="691">
        <v>58.6</v>
      </c>
      <c r="I1340" s="615">
        <v>57</v>
      </c>
      <c r="J1340" s="691">
        <v>55.3</v>
      </c>
      <c r="K1340" s="691">
        <v>57.7</v>
      </c>
    </row>
    <row r="1341" spans="1:11">
      <c r="A1341" s="688" t="s">
        <v>2355</v>
      </c>
      <c r="B1341" s="689">
        <v>61.6</v>
      </c>
      <c r="C1341" s="689">
        <v>61.5</v>
      </c>
      <c r="D1341" s="689">
        <v>61.5</v>
      </c>
      <c r="E1341" s="689">
        <v>61.3</v>
      </c>
      <c r="F1341" s="689">
        <v>61.6</v>
      </c>
      <c r="G1341" s="693">
        <v>62</v>
      </c>
      <c r="H1341" s="689">
        <v>62.2</v>
      </c>
      <c r="I1341" s="690" t="s">
        <v>4060</v>
      </c>
      <c r="J1341" s="690" t="s">
        <v>4060</v>
      </c>
      <c r="K1341" s="690" t="s">
        <v>4060</v>
      </c>
    </row>
    <row r="1342" spans="1:11">
      <c r="A1342" s="688" t="s">
        <v>2357</v>
      </c>
      <c r="B1342" s="692" t="s">
        <v>4060</v>
      </c>
      <c r="C1342" s="691">
        <v>54.7</v>
      </c>
      <c r="D1342" s="691">
        <v>55.4</v>
      </c>
      <c r="E1342" s="691">
        <v>55.8</v>
      </c>
      <c r="F1342" s="691">
        <v>56.1</v>
      </c>
      <c r="G1342" s="691">
        <v>55.9</v>
      </c>
      <c r="H1342" s="691">
        <v>56.2</v>
      </c>
      <c r="I1342" s="692" t="s">
        <v>4060</v>
      </c>
      <c r="J1342" s="692" t="s">
        <v>4060</v>
      </c>
      <c r="K1342" s="692" t="s">
        <v>4060</v>
      </c>
    </row>
    <row r="1343" spans="1:11">
      <c r="A1343" s="688" t="s">
        <v>4070</v>
      </c>
      <c r="B1343" s="690" t="s">
        <v>4060</v>
      </c>
      <c r="C1343" s="690" t="s">
        <v>4060</v>
      </c>
      <c r="D1343" s="690" t="s">
        <v>4060</v>
      </c>
      <c r="E1343" s="689">
        <v>61.3</v>
      </c>
      <c r="F1343" s="690" t="s">
        <v>4060</v>
      </c>
      <c r="G1343" s="690" t="s">
        <v>4060</v>
      </c>
      <c r="H1343" s="690" t="s">
        <v>4060</v>
      </c>
      <c r="I1343" s="690" t="s">
        <v>4060</v>
      </c>
      <c r="J1343" s="690" t="s">
        <v>4060</v>
      </c>
      <c r="K1343" s="690" t="s">
        <v>4060</v>
      </c>
    </row>
    <row r="1344" spans="1:11">
      <c r="A1344" s="688" t="s">
        <v>2491</v>
      </c>
      <c r="B1344" s="691">
        <v>55.2</v>
      </c>
      <c r="C1344" s="691">
        <v>55.8</v>
      </c>
      <c r="D1344" s="691">
        <v>56.4</v>
      </c>
      <c r="E1344" s="691">
        <v>56.7</v>
      </c>
      <c r="F1344" s="691">
        <v>56.9</v>
      </c>
      <c r="G1344" s="691">
        <v>56.9</v>
      </c>
      <c r="H1344" s="692" t="s">
        <v>4060</v>
      </c>
      <c r="I1344" s="692" t="s">
        <v>4060</v>
      </c>
      <c r="J1344" s="692" t="s">
        <v>4060</v>
      </c>
      <c r="K1344" s="692" t="s">
        <v>4060</v>
      </c>
    </row>
    <row r="1345" spans="1:11">
      <c r="A1345" s="688" t="s">
        <v>2343</v>
      </c>
      <c r="B1345" s="690" t="s">
        <v>4060</v>
      </c>
      <c r="C1345" s="690" t="s">
        <v>4060</v>
      </c>
      <c r="D1345" s="690" t="s">
        <v>4060</v>
      </c>
      <c r="E1345" s="690" t="s">
        <v>4060</v>
      </c>
      <c r="F1345" s="690" t="s">
        <v>4060</v>
      </c>
      <c r="G1345" s="690" t="s">
        <v>4060</v>
      </c>
      <c r="H1345" s="690" t="s">
        <v>4060</v>
      </c>
      <c r="I1345" s="690" t="s">
        <v>4060</v>
      </c>
      <c r="J1345" s="690" t="s">
        <v>4060</v>
      </c>
      <c r="K1345" s="690" t="s">
        <v>4060</v>
      </c>
    </row>
    <row r="1346" spans="1:11">
      <c r="A1346" s="688" t="s">
        <v>4071</v>
      </c>
      <c r="B1346" s="692" t="s">
        <v>4060</v>
      </c>
      <c r="C1346" s="692" t="s">
        <v>4060</v>
      </c>
      <c r="D1346" s="692" t="s">
        <v>4060</v>
      </c>
      <c r="E1346" s="692" t="s">
        <v>4060</v>
      </c>
      <c r="F1346" s="692" t="s">
        <v>4060</v>
      </c>
      <c r="G1346" s="692" t="s">
        <v>4060</v>
      </c>
      <c r="H1346" s="692" t="s">
        <v>4060</v>
      </c>
      <c r="I1346" s="692" t="s">
        <v>4060</v>
      </c>
      <c r="J1346" s="692" t="s">
        <v>4060</v>
      </c>
      <c r="K1346" s="692" t="s">
        <v>4060</v>
      </c>
    </row>
    <row r="1347" spans="1:11">
      <c r="A1347" s="688" t="s">
        <v>2489</v>
      </c>
      <c r="B1347" s="690" t="s">
        <v>4060</v>
      </c>
      <c r="C1347" s="690" t="s">
        <v>4060</v>
      </c>
      <c r="D1347" s="693">
        <v>58</v>
      </c>
      <c r="E1347" s="693">
        <v>58</v>
      </c>
      <c r="F1347" s="689">
        <v>58.7</v>
      </c>
      <c r="G1347" s="689">
        <v>59.5</v>
      </c>
      <c r="H1347" s="689">
        <v>59.3</v>
      </c>
      <c r="I1347" s="690" t="s">
        <v>4060</v>
      </c>
      <c r="J1347" s="690" t="s">
        <v>4060</v>
      </c>
      <c r="K1347" s="690" t="s">
        <v>4060</v>
      </c>
    </row>
    <row r="1348" spans="1:11">
      <c r="A1348" s="688" t="s">
        <v>2490</v>
      </c>
      <c r="B1348" s="691">
        <v>57.9</v>
      </c>
      <c r="C1348" s="615">
        <v>58</v>
      </c>
      <c r="D1348" s="691">
        <v>58.6</v>
      </c>
      <c r="E1348" s="692" t="s">
        <v>4060</v>
      </c>
      <c r="F1348" s="691">
        <v>58.8</v>
      </c>
      <c r="G1348" s="691">
        <v>59.2</v>
      </c>
      <c r="H1348" s="691">
        <v>59.9</v>
      </c>
      <c r="I1348" s="692" t="s">
        <v>4060</v>
      </c>
      <c r="J1348" s="692" t="s">
        <v>4060</v>
      </c>
      <c r="K1348" s="692" t="s">
        <v>4060</v>
      </c>
    </row>
    <row r="1350" spans="1:11">
      <c r="A1350" s="683" t="s">
        <v>4233</v>
      </c>
    </row>
    <row r="1351" spans="1:11">
      <c r="A1351" s="683" t="s">
        <v>4060</v>
      </c>
      <c r="B1351" s="682" t="s">
        <v>4234</v>
      </c>
    </row>
    <row r="1353" spans="1:11">
      <c r="A1353" s="682" t="s">
        <v>4248</v>
      </c>
    </row>
    <row r="1354" spans="1:11">
      <c r="A1354" s="682" t="s">
        <v>4210</v>
      </c>
      <c r="B1354" s="683" t="s">
        <v>4211</v>
      </c>
    </row>
    <row r="1355" spans="1:11">
      <c r="A1355" s="682" t="s">
        <v>4212</v>
      </c>
      <c r="B1355" s="682" t="s">
        <v>4213</v>
      </c>
    </row>
    <row r="1357" spans="1:11">
      <c r="A1357" s="683" t="s">
        <v>4214</v>
      </c>
      <c r="C1357" s="682" t="s">
        <v>4215</v>
      </c>
    </row>
    <row r="1358" spans="1:11">
      <c r="A1358" s="683" t="s">
        <v>4216</v>
      </c>
      <c r="C1358" s="682" t="s">
        <v>2967</v>
      </c>
    </row>
    <row r="1359" spans="1:11">
      <c r="A1359" s="683" t="s">
        <v>3893</v>
      </c>
      <c r="C1359" s="682" t="s">
        <v>4217</v>
      </c>
    </row>
    <row r="1360" spans="1:11">
      <c r="A1360" s="683" t="s">
        <v>4218</v>
      </c>
      <c r="C1360" s="682" t="s">
        <v>4254</v>
      </c>
    </row>
    <row r="1362" spans="1:11">
      <c r="A1362" s="684" t="s">
        <v>4220</v>
      </c>
      <c r="B1362" s="685" t="s">
        <v>4221</v>
      </c>
      <c r="C1362" s="685" t="s">
        <v>4222</v>
      </c>
      <c r="D1362" s="685" t="s">
        <v>4223</v>
      </c>
      <c r="E1362" s="685" t="s">
        <v>4224</v>
      </c>
      <c r="F1362" s="685" t="s">
        <v>4225</v>
      </c>
      <c r="G1362" s="685" t="s">
        <v>4226</v>
      </c>
      <c r="H1362" s="685" t="s">
        <v>4227</v>
      </c>
      <c r="I1362" s="685" t="s">
        <v>4228</v>
      </c>
      <c r="J1362" s="685" t="s">
        <v>4229</v>
      </c>
      <c r="K1362" s="685" t="s">
        <v>4230</v>
      </c>
    </row>
    <row r="1363" spans="1:11">
      <c r="A1363" s="686" t="s">
        <v>4231</v>
      </c>
      <c r="B1363" s="687" t="s">
        <v>4232</v>
      </c>
      <c r="C1363" s="687" t="s">
        <v>4232</v>
      </c>
      <c r="D1363" s="687" t="s">
        <v>4232</v>
      </c>
      <c r="E1363" s="687" t="s">
        <v>4232</v>
      </c>
      <c r="F1363" s="687" t="s">
        <v>4232</v>
      </c>
      <c r="G1363" s="687" t="s">
        <v>4232</v>
      </c>
      <c r="H1363" s="687" t="s">
        <v>4232</v>
      </c>
      <c r="I1363" s="687" t="s">
        <v>4232</v>
      </c>
      <c r="J1363" s="687" t="s">
        <v>4232</v>
      </c>
      <c r="K1363" s="687" t="s">
        <v>4232</v>
      </c>
    </row>
    <row r="1364" spans="1:11">
      <c r="A1364" s="688" t="s">
        <v>4064</v>
      </c>
      <c r="B1364" s="615">
        <v>62</v>
      </c>
      <c r="C1364" s="615">
        <v>62</v>
      </c>
      <c r="D1364" s="615">
        <v>62</v>
      </c>
      <c r="E1364" s="691">
        <v>62.2</v>
      </c>
      <c r="F1364" s="691">
        <v>62.2</v>
      </c>
      <c r="G1364" s="691">
        <v>62.3</v>
      </c>
      <c r="H1364" s="691">
        <v>62.5</v>
      </c>
      <c r="I1364" s="691">
        <v>61.7</v>
      </c>
      <c r="J1364" s="691">
        <v>61.4</v>
      </c>
      <c r="K1364" s="615">
        <v>62</v>
      </c>
    </row>
    <row r="1365" spans="1:11">
      <c r="A1365" s="688" t="s">
        <v>4065</v>
      </c>
      <c r="B1365" s="693">
        <v>62</v>
      </c>
      <c r="C1365" s="689">
        <v>62.4</v>
      </c>
      <c r="D1365" s="689">
        <v>62.1</v>
      </c>
      <c r="E1365" s="689">
        <v>62.4</v>
      </c>
      <c r="F1365" s="689">
        <v>62.4</v>
      </c>
      <c r="G1365" s="689">
        <v>62.5</v>
      </c>
      <c r="H1365" s="690" t="s">
        <v>4060</v>
      </c>
      <c r="I1365" s="690" t="s">
        <v>4060</v>
      </c>
      <c r="J1365" s="690" t="s">
        <v>4060</v>
      </c>
      <c r="K1365" s="690" t="s">
        <v>4060</v>
      </c>
    </row>
    <row r="1366" spans="1:11">
      <c r="A1366" s="688" t="s">
        <v>4063</v>
      </c>
      <c r="B1366" s="691">
        <v>62.1</v>
      </c>
      <c r="C1366" s="691">
        <v>62.4</v>
      </c>
      <c r="D1366" s="691">
        <v>62.1</v>
      </c>
      <c r="E1366" s="691">
        <v>62.5</v>
      </c>
      <c r="F1366" s="691">
        <v>62.4</v>
      </c>
      <c r="G1366" s="691">
        <v>62.5</v>
      </c>
      <c r="H1366" s="692" t="s">
        <v>4060</v>
      </c>
      <c r="I1366" s="692" t="s">
        <v>4060</v>
      </c>
      <c r="J1366" s="692" t="s">
        <v>4060</v>
      </c>
      <c r="K1366" s="692" t="s">
        <v>4060</v>
      </c>
    </row>
    <row r="1367" spans="1:11">
      <c r="A1367" s="688" t="s">
        <v>4069</v>
      </c>
      <c r="B1367" s="690" t="s">
        <v>4060</v>
      </c>
      <c r="C1367" s="689">
        <v>63.1</v>
      </c>
      <c r="D1367" s="689">
        <v>62.8</v>
      </c>
      <c r="E1367" s="689">
        <v>63.1</v>
      </c>
      <c r="F1367" s="689">
        <v>63.2</v>
      </c>
      <c r="G1367" s="689">
        <v>63.3</v>
      </c>
      <c r="H1367" s="689">
        <v>63.5</v>
      </c>
      <c r="I1367" s="689">
        <v>62.8</v>
      </c>
      <c r="J1367" s="689">
        <v>62.8</v>
      </c>
      <c r="K1367" s="693">
        <v>63</v>
      </c>
    </row>
    <row r="1368" spans="1:11">
      <c r="A1368" s="688" t="s">
        <v>4068</v>
      </c>
      <c r="B1368" s="615">
        <v>63</v>
      </c>
      <c r="C1368" s="692" t="s">
        <v>4060</v>
      </c>
      <c r="D1368" s="692" t="s">
        <v>4060</v>
      </c>
      <c r="E1368" s="692" t="s">
        <v>4060</v>
      </c>
      <c r="F1368" s="692" t="s">
        <v>4060</v>
      </c>
      <c r="G1368" s="692" t="s">
        <v>4060</v>
      </c>
      <c r="H1368" s="692" t="s">
        <v>4060</v>
      </c>
      <c r="I1368" s="692" t="s">
        <v>4060</v>
      </c>
      <c r="J1368" s="692" t="s">
        <v>4060</v>
      </c>
      <c r="K1368" s="692" t="s">
        <v>4060</v>
      </c>
    </row>
    <row r="1369" spans="1:11">
      <c r="A1369" s="688" t="s">
        <v>0</v>
      </c>
      <c r="B1369" s="689">
        <v>62.2</v>
      </c>
      <c r="C1369" s="689">
        <v>62.5</v>
      </c>
      <c r="D1369" s="689">
        <v>62.3</v>
      </c>
      <c r="E1369" s="689">
        <v>62.7</v>
      </c>
      <c r="F1369" s="689">
        <v>62.8</v>
      </c>
      <c r="G1369" s="689">
        <v>62.9</v>
      </c>
      <c r="H1369" s="689">
        <v>63.3</v>
      </c>
      <c r="I1369" s="689">
        <v>62.2</v>
      </c>
      <c r="J1369" s="689">
        <v>63.1</v>
      </c>
      <c r="K1369" s="689">
        <v>63.1</v>
      </c>
    </row>
    <row r="1370" spans="1:11">
      <c r="A1370" s="688" t="s">
        <v>1</v>
      </c>
      <c r="B1370" s="691">
        <v>56.8</v>
      </c>
      <c r="C1370" s="691">
        <v>56.3</v>
      </c>
      <c r="D1370" s="691">
        <v>56.3</v>
      </c>
      <c r="E1370" s="691">
        <v>56.5</v>
      </c>
      <c r="F1370" s="691">
        <v>56.4</v>
      </c>
      <c r="G1370" s="691">
        <v>56.5</v>
      </c>
      <c r="H1370" s="691">
        <v>56.6</v>
      </c>
      <c r="I1370" s="615">
        <v>55</v>
      </c>
      <c r="J1370" s="691">
        <v>52.9</v>
      </c>
      <c r="K1370" s="691">
        <v>55.8</v>
      </c>
    </row>
    <row r="1371" spans="1:11">
      <c r="A1371" s="688" t="s">
        <v>2240</v>
      </c>
      <c r="B1371" s="689">
        <v>59.7</v>
      </c>
      <c r="C1371" s="689">
        <v>60.1</v>
      </c>
      <c r="D1371" s="689">
        <v>59.9</v>
      </c>
      <c r="E1371" s="689">
        <v>60.4</v>
      </c>
      <c r="F1371" s="689">
        <v>60.3</v>
      </c>
      <c r="G1371" s="689">
        <v>60.4</v>
      </c>
      <c r="H1371" s="689">
        <v>60.6</v>
      </c>
      <c r="I1371" s="689">
        <v>59.6</v>
      </c>
      <c r="J1371" s="689">
        <v>58.6</v>
      </c>
      <c r="K1371" s="689">
        <v>60.4</v>
      </c>
    </row>
    <row r="1372" spans="1:11">
      <c r="A1372" s="688" t="s">
        <v>2</v>
      </c>
      <c r="B1372" s="691">
        <v>61.8</v>
      </c>
      <c r="C1372" s="691">
        <v>62.1</v>
      </c>
      <c r="D1372" s="691">
        <v>62.2</v>
      </c>
      <c r="E1372" s="691">
        <v>62.3</v>
      </c>
      <c r="F1372" s="691">
        <v>62.5</v>
      </c>
      <c r="G1372" s="691">
        <v>62.4</v>
      </c>
      <c r="H1372" s="691">
        <v>62.8</v>
      </c>
      <c r="I1372" s="691">
        <v>62.9</v>
      </c>
      <c r="J1372" s="691">
        <v>62.8</v>
      </c>
      <c r="K1372" s="691">
        <v>62.7</v>
      </c>
    </row>
    <row r="1373" spans="1:11">
      <c r="A1373" s="688" t="s">
        <v>3</v>
      </c>
      <c r="B1373" s="689">
        <v>62.1</v>
      </c>
      <c r="C1373" s="689">
        <v>62.3</v>
      </c>
      <c r="D1373" s="693">
        <v>62</v>
      </c>
      <c r="E1373" s="689">
        <v>62.3</v>
      </c>
      <c r="F1373" s="689">
        <v>62.4</v>
      </c>
      <c r="G1373" s="689">
        <v>62.3</v>
      </c>
      <c r="H1373" s="689">
        <v>62.6</v>
      </c>
      <c r="I1373" s="689">
        <v>62.4</v>
      </c>
      <c r="J1373" s="689">
        <v>62.1</v>
      </c>
      <c r="K1373" s="689">
        <v>61.9</v>
      </c>
    </row>
    <row r="1374" spans="1:11">
      <c r="A1374" s="688" t="s">
        <v>4061</v>
      </c>
      <c r="B1374" s="691">
        <v>62.1</v>
      </c>
      <c r="C1374" s="691">
        <v>62.3</v>
      </c>
      <c r="D1374" s="615">
        <v>62</v>
      </c>
      <c r="E1374" s="691">
        <v>62.3</v>
      </c>
      <c r="F1374" s="691">
        <v>62.4</v>
      </c>
      <c r="G1374" s="691">
        <v>62.3</v>
      </c>
      <c r="H1374" s="691">
        <v>62.6</v>
      </c>
      <c r="I1374" s="691">
        <v>62.4</v>
      </c>
      <c r="J1374" s="691">
        <v>62.1</v>
      </c>
      <c r="K1374" s="691">
        <v>61.9</v>
      </c>
    </row>
    <row r="1375" spans="1:11">
      <c r="A1375" s="688" t="s">
        <v>4</v>
      </c>
      <c r="B1375" s="693">
        <v>59</v>
      </c>
      <c r="C1375" s="689">
        <v>58.6</v>
      </c>
      <c r="D1375" s="689">
        <v>59.2</v>
      </c>
      <c r="E1375" s="689">
        <v>59.2</v>
      </c>
      <c r="F1375" s="689">
        <v>59.6</v>
      </c>
      <c r="G1375" s="689">
        <v>59.7</v>
      </c>
      <c r="H1375" s="689">
        <v>60.1</v>
      </c>
      <c r="I1375" s="689">
        <v>60.1</v>
      </c>
      <c r="J1375" s="689">
        <v>58.5</v>
      </c>
      <c r="K1375" s="689">
        <v>59.4</v>
      </c>
    </row>
    <row r="1376" spans="1:11">
      <c r="A1376" s="688" t="s">
        <v>8</v>
      </c>
      <c r="B1376" s="691">
        <v>62.5</v>
      </c>
      <c r="C1376" s="691">
        <v>62.7</v>
      </c>
      <c r="D1376" s="691">
        <v>62.8</v>
      </c>
      <c r="E1376" s="615">
        <v>63</v>
      </c>
      <c r="F1376" s="691">
        <v>63.4</v>
      </c>
      <c r="G1376" s="691">
        <v>63.4</v>
      </c>
      <c r="H1376" s="691">
        <v>63.8</v>
      </c>
      <c r="I1376" s="691">
        <v>63.7</v>
      </c>
      <c r="J1376" s="691">
        <v>63.5</v>
      </c>
      <c r="K1376" s="691">
        <v>63.7</v>
      </c>
    </row>
    <row r="1377" spans="1:11">
      <c r="A1377" s="688" t="s">
        <v>7</v>
      </c>
      <c r="B1377" s="689">
        <v>62.8</v>
      </c>
      <c r="C1377" s="689">
        <v>62.5</v>
      </c>
      <c r="D1377" s="689">
        <v>62.2</v>
      </c>
      <c r="E1377" s="689">
        <v>62.6</v>
      </c>
      <c r="F1377" s="689">
        <v>62.5</v>
      </c>
      <c r="G1377" s="689">
        <v>62.9</v>
      </c>
      <c r="H1377" s="689">
        <v>62.9</v>
      </c>
      <c r="I1377" s="689">
        <v>62.5</v>
      </c>
      <c r="J1377" s="689">
        <v>61.5</v>
      </c>
      <c r="K1377" s="689">
        <v>62.2</v>
      </c>
    </row>
    <row r="1378" spans="1:11">
      <c r="A1378" s="688" t="s">
        <v>27</v>
      </c>
      <c r="B1378" s="691">
        <v>64.5</v>
      </c>
      <c r="C1378" s="691">
        <v>64.3</v>
      </c>
      <c r="D1378" s="615">
        <v>64</v>
      </c>
      <c r="E1378" s="691">
        <v>64.400000000000006</v>
      </c>
      <c r="F1378" s="691">
        <v>64.400000000000006</v>
      </c>
      <c r="G1378" s="691">
        <v>64.5</v>
      </c>
      <c r="H1378" s="691">
        <v>64.900000000000006</v>
      </c>
      <c r="I1378" s="691">
        <v>63.6</v>
      </c>
      <c r="J1378" s="691">
        <v>64.400000000000006</v>
      </c>
      <c r="K1378" s="691">
        <v>64.400000000000006</v>
      </c>
    </row>
    <row r="1379" spans="1:11">
      <c r="A1379" s="688" t="s">
        <v>6</v>
      </c>
      <c r="B1379" s="689">
        <v>63.9</v>
      </c>
      <c r="C1379" s="689">
        <v>63.9</v>
      </c>
      <c r="D1379" s="689">
        <v>63.6</v>
      </c>
      <c r="E1379" s="689">
        <v>63.9</v>
      </c>
      <c r="F1379" s="689">
        <v>63.9</v>
      </c>
      <c r="G1379" s="689">
        <v>64.099999999999994</v>
      </c>
      <c r="H1379" s="689">
        <v>64.2</v>
      </c>
      <c r="I1379" s="689">
        <v>63.6</v>
      </c>
      <c r="J1379" s="689">
        <v>63.7</v>
      </c>
      <c r="K1379" s="689">
        <v>63.8</v>
      </c>
    </row>
    <row r="1380" spans="1:11">
      <c r="A1380" s="688" t="s">
        <v>4058</v>
      </c>
      <c r="B1380" s="692" t="s">
        <v>4060</v>
      </c>
      <c r="C1380" s="692" t="s">
        <v>4060</v>
      </c>
      <c r="D1380" s="692" t="s">
        <v>4060</v>
      </c>
      <c r="E1380" s="692" t="s">
        <v>4060</v>
      </c>
      <c r="F1380" s="692" t="s">
        <v>4060</v>
      </c>
      <c r="G1380" s="692" t="s">
        <v>4060</v>
      </c>
      <c r="H1380" s="692" t="s">
        <v>4060</v>
      </c>
      <c r="I1380" s="692" t="s">
        <v>4060</v>
      </c>
      <c r="J1380" s="692" t="s">
        <v>4060</v>
      </c>
      <c r="K1380" s="692" t="s">
        <v>4060</v>
      </c>
    </row>
    <row r="1381" spans="1:11">
      <c r="A1381" s="688" t="s">
        <v>11</v>
      </c>
      <c r="B1381" s="689">
        <v>59.3</v>
      </c>
      <c r="C1381" s="689">
        <v>59.3</v>
      </c>
      <c r="D1381" s="689">
        <v>58.9</v>
      </c>
      <c r="E1381" s="689">
        <v>59.5</v>
      </c>
      <c r="F1381" s="689">
        <v>59.3</v>
      </c>
      <c r="G1381" s="689">
        <v>59.5</v>
      </c>
      <c r="H1381" s="689">
        <v>59.8</v>
      </c>
      <c r="I1381" s="689">
        <v>59.1</v>
      </c>
      <c r="J1381" s="689">
        <v>58.1</v>
      </c>
      <c r="K1381" s="689">
        <v>59.2</v>
      </c>
    </row>
    <row r="1382" spans="1:11">
      <c r="A1382" s="688" t="s">
        <v>10</v>
      </c>
      <c r="B1382" s="691">
        <v>64.2</v>
      </c>
      <c r="C1382" s="691">
        <v>64.2</v>
      </c>
      <c r="D1382" s="691">
        <v>63.8</v>
      </c>
      <c r="E1382" s="691">
        <v>64.400000000000006</v>
      </c>
      <c r="F1382" s="691">
        <v>64.2</v>
      </c>
      <c r="G1382" s="691">
        <v>64.5</v>
      </c>
      <c r="H1382" s="691">
        <v>64.7</v>
      </c>
      <c r="I1382" s="691">
        <v>63.6</v>
      </c>
      <c r="J1382" s="691">
        <v>63.9</v>
      </c>
      <c r="K1382" s="691">
        <v>64.099999999999994</v>
      </c>
    </row>
    <row r="1383" spans="1:11">
      <c r="A1383" s="688" t="s">
        <v>30</v>
      </c>
      <c r="B1383" s="689">
        <v>63.8</v>
      </c>
      <c r="C1383" s="689">
        <v>63.6</v>
      </c>
      <c r="D1383" s="689">
        <v>63.2</v>
      </c>
      <c r="E1383" s="689">
        <v>64.2</v>
      </c>
      <c r="F1383" s="689">
        <v>63.7</v>
      </c>
      <c r="G1383" s="689">
        <v>64.3</v>
      </c>
      <c r="H1383" s="693">
        <v>64</v>
      </c>
      <c r="I1383" s="693">
        <v>64</v>
      </c>
      <c r="J1383" s="689">
        <v>63.1</v>
      </c>
      <c r="K1383" s="689">
        <v>63.6</v>
      </c>
    </row>
    <row r="1384" spans="1:11">
      <c r="A1384" s="688" t="s">
        <v>12</v>
      </c>
      <c r="B1384" s="615">
        <v>56</v>
      </c>
      <c r="C1384" s="691">
        <v>55.9</v>
      </c>
      <c r="D1384" s="691">
        <v>56.2</v>
      </c>
      <c r="E1384" s="691">
        <v>56.3</v>
      </c>
      <c r="F1384" s="691">
        <v>56.4</v>
      </c>
      <c r="G1384" s="691">
        <v>56.5</v>
      </c>
      <c r="H1384" s="691">
        <v>57.1</v>
      </c>
      <c r="I1384" s="691">
        <v>56.9</v>
      </c>
      <c r="J1384" s="691">
        <v>54.5</v>
      </c>
      <c r="K1384" s="691">
        <v>55.9</v>
      </c>
    </row>
    <row r="1385" spans="1:11">
      <c r="A1385" s="688" t="s">
        <v>14</v>
      </c>
      <c r="B1385" s="689">
        <v>55.7</v>
      </c>
      <c r="C1385" s="689">
        <v>56.2</v>
      </c>
      <c r="D1385" s="689">
        <v>56.1</v>
      </c>
      <c r="E1385" s="689">
        <v>56.4</v>
      </c>
      <c r="F1385" s="689">
        <v>57.1</v>
      </c>
      <c r="G1385" s="689">
        <v>57.4</v>
      </c>
      <c r="H1385" s="689">
        <v>57.8</v>
      </c>
      <c r="I1385" s="689">
        <v>56.6</v>
      </c>
      <c r="J1385" s="689">
        <v>55.7</v>
      </c>
      <c r="K1385" s="689">
        <v>57.2</v>
      </c>
    </row>
    <row r="1386" spans="1:11">
      <c r="A1386" s="688" t="s">
        <v>15</v>
      </c>
      <c r="B1386" s="691">
        <v>63.3</v>
      </c>
      <c r="C1386" s="691">
        <v>63.3</v>
      </c>
      <c r="D1386" s="691">
        <v>63.4</v>
      </c>
      <c r="E1386" s="691">
        <v>63.7</v>
      </c>
      <c r="F1386" s="691">
        <v>63.2</v>
      </c>
      <c r="G1386" s="691">
        <v>63.5</v>
      </c>
      <c r="H1386" s="691">
        <v>63.9</v>
      </c>
      <c r="I1386" s="691">
        <v>63.6</v>
      </c>
      <c r="J1386" s="691">
        <v>63.9</v>
      </c>
      <c r="K1386" s="691">
        <v>64.3</v>
      </c>
    </row>
    <row r="1387" spans="1:11">
      <c r="A1387" s="688" t="s">
        <v>29</v>
      </c>
      <c r="B1387" s="689">
        <v>57.3</v>
      </c>
      <c r="C1387" s="689">
        <v>57.3</v>
      </c>
      <c r="D1387" s="689">
        <v>57.1</v>
      </c>
      <c r="E1387" s="689">
        <v>57.6</v>
      </c>
      <c r="F1387" s="689">
        <v>57.3</v>
      </c>
      <c r="G1387" s="689">
        <v>57.5</v>
      </c>
      <c r="H1387" s="689">
        <v>57.8</v>
      </c>
      <c r="I1387" s="693">
        <v>57</v>
      </c>
      <c r="J1387" s="689">
        <v>55.5</v>
      </c>
      <c r="K1387" s="689">
        <v>57.4</v>
      </c>
    </row>
    <row r="1388" spans="1:11">
      <c r="A1388" s="688" t="s">
        <v>16</v>
      </c>
      <c r="B1388" s="691">
        <v>63.5</v>
      </c>
      <c r="C1388" s="691">
        <v>63.3</v>
      </c>
      <c r="D1388" s="691">
        <v>63.4</v>
      </c>
      <c r="E1388" s="691">
        <v>63.9</v>
      </c>
      <c r="F1388" s="691">
        <v>63.7</v>
      </c>
      <c r="G1388" s="691">
        <v>63.6</v>
      </c>
      <c r="H1388" s="691">
        <v>64.2</v>
      </c>
      <c r="I1388" s="691">
        <v>63.4</v>
      </c>
      <c r="J1388" s="691">
        <v>63.5</v>
      </c>
      <c r="K1388" s="691">
        <v>63.6</v>
      </c>
    </row>
    <row r="1389" spans="1:11">
      <c r="A1389" s="688" t="s">
        <v>17</v>
      </c>
      <c r="B1389" s="689">
        <v>62.9</v>
      </c>
      <c r="C1389" s="689">
        <v>63.1</v>
      </c>
      <c r="D1389" s="689">
        <v>62.9</v>
      </c>
      <c r="E1389" s="693">
        <v>63</v>
      </c>
      <c r="F1389" s="689">
        <v>63.2</v>
      </c>
      <c r="G1389" s="689">
        <v>63.2</v>
      </c>
      <c r="H1389" s="689">
        <v>63.5</v>
      </c>
      <c r="I1389" s="689">
        <v>62.8</v>
      </c>
      <c r="J1389" s="689">
        <v>62.8</v>
      </c>
      <c r="K1389" s="693">
        <v>63</v>
      </c>
    </row>
    <row r="1390" spans="1:11">
      <c r="A1390" s="688" t="s">
        <v>19</v>
      </c>
      <c r="B1390" s="691">
        <v>62.7</v>
      </c>
      <c r="C1390" s="691">
        <v>62.8</v>
      </c>
      <c r="D1390" s="691">
        <v>62.6</v>
      </c>
      <c r="E1390" s="615">
        <v>63</v>
      </c>
      <c r="F1390" s="691">
        <v>63.1</v>
      </c>
      <c r="G1390" s="691">
        <v>63.1</v>
      </c>
      <c r="H1390" s="691">
        <v>63.4</v>
      </c>
      <c r="I1390" s="691">
        <v>62.8</v>
      </c>
      <c r="J1390" s="691">
        <v>62.7</v>
      </c>
      <c r="K1390" s="691">
        <v>62.8</v>
      </c>
    </row>
    <row r="1391" spans="1:11">
      <c r="A1391" s="688" t="s">
        <v>20</v>
      </c>
      <c r="B1391" s="689">
        <v>58.7</v>
      </c>
      <c r="C1391" s="689">
        <v>59.1</v>
      </c>
      <c r="D1391" s="689">
        <v>58.9</v>
      </c>
      <c r="E1391" s="689">
        <v>59.3</v>
      </c>
      <c r="F1391" s="689">
        <v>59.2</v>
      </c>
      <c r="G1391" s="689">
        <v>59.1</v>
      </c>
      <c r="H1391" s="689">
        <v>59.4</v>
      </c>
      <c r="I1391" s="689">
        <v>57.8</v>
      </c>
      <c r="J1391" s="689">
        <v>56.9</v>
      </c>
      <c r="K1391" s="689">
        <v>58.6</v>
      </c>
    </row>
    <row r="1392" spans="1:11">
      <c r="A1392" s="688" t="s">
        <v>21</v>
      </c>
      <c r="B1392" s="691">
        <v>62.3</v>
      </c>
      <c r="C1392" s="691">
        <v>62.7</v>
      </c>
      <c r="D1392" s="691">
        <v>62.7</v>
      </c>
      <c r="E1392" s="691">
        <v>62.8</v>
      </c>
      <c r="F1392" s="615">
        <v>63</v>
      </c>
      <c r="G1392" s="615">
        <v>63</v>
      </c>
      <c r="H1392" s="691">
        <v>63.4</v>
      </c>
      <c r="I1392" s="691">
        <v>62.7</v>
      </c>
      <c r="J1392" s="691">
        <v>62.8</v>
      </c>
      <c r="K1392" s="691">
        <v>63.1</v>
      </c>
    </row>
    <row r="1393" spans="1:11">
      <c r="A1393" s="688" t="s">
        <v>22</v>
      </c>
      <c r="B1393" s="689">
        <v>57.2</v>
      </c>
      <c r="C1393" s="689">
        <v>56.8</v>
      </c>
      <c r="D1393" s="689">
        <v>56.8</v>
      </c>
      <c r="E1393" s="693">
        <v>57</v>
      </c>
      <c r="F1393" s="693">
        <v>57</v>
      </c>
      <c r="G1393" s="693">
        <v>57</v>
      </c>
      <c r="H1393" s="689">
        <v>57.3</v>
      </c>
      <c r="I1393" s="689">
        <v>55.8</v>
      </c>
      <c r="J1393" s="689">
        <v>54.4</v>
      </c>
      <c r="K1393" s="689">
        <v>56.8</v>
      </c>
    </row>
    <row r="1394" spans="1:11">
      <c r="A1394" s="688" t="s">
        <v>26</v>
      </c>
      <c r="B1394" s="691">
        <v>61.8</v>
      </c>
      <c r="C1394" s="691">
        <v>62.2</v>
      </c>
      <c r="D1394" s="691">
        <v>61.9</v>
      </c>
      <c r="E1394" s="691">
        <v>62.3</v>
      </c>
      <c r="F1394" s="691">
        <v>62.2</v>
      </c>
      <c r="G1394" s="691">
        <v>62.5</v>
      </c>
      <c r="H1394" s="691">
        <v>62.7</v>
      </c>
      <c r="I1394" s="691">
        <v>61.8</v>
      </c>
      <c r="J1394" s="691">
        <v>61.9</v>
      </c>
      <c r="K1394" s="691">
        <v>62.5</v>
      </c>
    </row>
    <row r="1395" spans="1:11">
      <c r="A1395" s="688" t="s">
        <v>25</v>
      </c>
      <c r="B1395" s="689">
        <v>58.3</v>
      </c>
      <c r="C1395" s="689">
        <v>58.6</v>
      </c>
      <c r="D1395" s="689">
        <v>58.3</v>
      </c>
      <c r="E1395" s="689">
        <v>58.9</v>
      </c>
      <c r="F1395" s="689">
        <v>58.8</v>
      </c>
      <c r="G1395" s="689">
        <v>58.9</v>
      </c>
      <c r="H1395" s="689">
        <v>59.4</v>
      </c>
      <c r="I1395" s="689">
        <v>58.6</v>
      </c>
      <c r="J1395" s="689">
        <v>56.2</v>
      </c>
      <c r="K1395" s="689">
        <v>58.6</v>
      </c>
    </row>
    <row r="1396" spans="1:11">
      <c r="A1396" s="688" t="s">
        <v>5</v>
      </c>
      <c r="B1396" s="691">
        <v>62.4</v>
      </c>
      <c r="C1396" s="691">
        <v>62.4</v>
      </c>
      <c r="D1396" s="691">
        <v>62.7</v>
      </c>
      <c r="E1396" s="691">
        <v>62.6</v>
      </c>
      <c r="F1396" s="691">
        <v>62.8</v>
      </c>
      <c r="G1396" s="615">
        <v>63</v>
      </c>
      <c r="H1396" s="691">
        <v>63.2</v>
      </c>
      <c r="I1396" s="691">
        <v>63.2</v>
      </c>
      <c r="J1396" s="691">
        <v>63.1</v>
      </c>
      <c r="K1396" s="691">
        <v>62.5</v>
      </c>
    </row>
    <row r="1397" spans="1:11">
      <c r="A1397" s="688" t="s">
        <v>23</v>
      </c>
      <c r="B1397" s="689">
        <v>63.4</v>
      </c>
      <c r="C1397" s="689">
        <v>63.5</v>
      </c>
      <c r="D1397" s="689">
        <v>63.5</v>
      </c>
      <c r="E1397" s="689">
        <v>63.7</v>
      </c>
      <c r="F1397" s="689">
        <v>63.8</v>
      </c>
      <c r="G1397" s="689">
        <v>63.9</v>
      </c>
      <c r="H1397" s="689">
        <v>64.400000000000006</v>
      </c>
      <c r="I1397" s="689">
        <v>63.8</v>
      </c>
      <c r="J1397" s="689">
        <v>64.3</v>
      </c>
      <c r="K1397" s="689">
        <v>64.400000000000006</v>
      </c>
    </row>
    <row r="1398" spans="1:11">
      <c r="A1398" s="688" t="s">
        <v>4067</v>
      </c>
      <c r="B1398" s="615">
        <v>62</v>
      </c>
      <c r="C1398" s="691">
        <v>62.4</v>
      </c>
      <c r="D1398" s="691">
        <v>62.1</v>
      </c>
      <c r="E1398" s="691">
        <v>62.4</v>
      </c>
      <c r="F1398" s="691">
        <v>62.4</v>
      </c>
      <c r="G1398" s="691">
        <v>62.5</v>
      </c>
      <c r="H1398" s="692" t="s">
        <v>4060</v>
      </c>
      <c r="I1398" s="692" t="s">
        <v>4060</v>
      </c>
      <c r="J1398" s="692" t="s">
        <v>4060</v>
      </c>
      <c r="K1398" s="692" t="s">
        <v>4060</v>
      </c>
    </row>
    <row r="1399" spans="1:11">
      <c r="A1399" s="688" t="s">
        <v>4066</v>
      </c>
      <c r="B1399" s="689">
        <v>62.1</v>
      </c>
      <c r="C1399" s="689">
        <v>62.4</v>
      </c>
      <c r="D1399" s="689">
        <v>62.1</v>
      </c>
      <c r="E1399" s="689">
        <v>62.5</v>
      </c>
      <c r="F1399" s="689">
        <v>62.4</v>
      </c>
      <c r="G1399" s="689">
        <v>62.5</v>
      </c>
      <c r="H1399" s="690" t="s">
        <v>4060</v>
      </c>
      <c r="I1399" s="690" t="s">
        <v>4060</v>
      </c>
      <c r="J1399" s="690" t="s">
        <v>4060</v>
      </c>
      <c r="K1399" s="690" t="s">
        <v>4060</v>
      </c>
    </row>
    <row r="1400" spans="1:11">
      <c r="A1400" s="688" t="s">
        <v>4062</v>
      </c>
      <c r="B1400" s="691">
        <v>63.9</v>
      </c>
      <c r="C1400" s="691">
        <v>64.099999999999994</v>
      </c>
      <c r="D1400" s="691">
        <v>64.099999999999994</v>
      </c>
      <c r="E1400" s="691">
        <v>64.400000000000006</v>
      </c>
      <c r="F1400" s="691">
        <v>64.5</v>
      </c>
      <c r="G1400" s="691">
        <v>64.7</v>
      </c>
      <c r="H1400" s="691">
        <v>64.8</v>
      </c>
      <c r="I1400" s="691">
        <v>64.5</v>
      </c>
      <c r="J1400" s="691">
        <v>64.8</v>
      </c>
      <c r="K1400" s="691">
        <v>64.599999999999994</v>
      </c>
    </row>
    <row r="1401" spans="1:11">
      <c r="A1401" s="688" t="s">
        <v>9</v>
      </c>
      <c r="B1401" s="689">
        <v>63.4</v>
      </c>
      <c r="C1401" s="693">
        <v>64</v>
      </c>
      <c r="D1401" s="689">
        <v>63.8</v>
      </c>
      <c r="E1401" s="689">
        <v>63.4</v>
      </c>
      <c r="F1401" s="689">
        <v>63.8</v>
      </c>
      <c r="G1401" s="693">
        <v>64</v>
      </c>
      <c r="H1401" s="689">
        <v>64.099999999999994</v>
      </c>
      <c r="I1401" s="689">
        <v>64.2</v>
      </c>
      <c r="J1401" s="689">
        <v>64.5</v>
      </c>
      <c r="K1401" s="689">
        <v>63.4</v>
      </c>
    </row>
    <row r="1402" spans="1:11">
      <c r="A1402" s="688" t="s">
        <v>13</v>
      </c>
      <c r="B1402" s="691">
        <v>63.9</v>
      </c>
      <c r="C1402" s="691">
        <v>63.3</v>
      </c>
      <c r="D1402" s="691">
        <v>64.2</v>
      </c>
      <c r="E1402" s="691">
        <v>63.6</v>
      </c>
      <c r="F1402" s="691">
        <v>64.5</v>
      </c>
      <c r="G1402" s="691">
        <v>64.099999999999994</v>
      </c>
      <c r="H1402" s="615">
        <v>65</v>
      </c>
      <c r="I1402" s="691">
        <v>63.9</v>
      </c>
      <c r="J1402" s="691">
        <v>65.099999999999994</v>
      </c>
      <c r="K1402" s="691">
        <v>65.2</v>
      </c>
    </row>
    <row r="1403" spans="1:11">
      <c r="A1403" s="688" t="s">
        <v>18</v>
      </c>
      <c r="B1403" s="689">
        <v>63.1</v>
      </c>
      <c r="C1403" s="689">
        <v>63.4</v>
      </c>
      <c r="D1403" s="689">
        <v>63.6</v>
      </c>
      <c r="E1403" s="689">
        <v>63.7</v>
      </c>
      <c r="F1403" s="693">
        <v>64</v>
      </c>
      <c r="G1403" s="689">
        <v>64.099999999999994</v>
      </c>
      <c r="H1403" s="689">
        <v>64.3</v>
      </c>
      <c r="I1403" s="689">
        <v>64.5</v>
      </c>
      <c r="J1403" s="689">
        <v>64.5</v>
      </c>
      <c r="K1403" s="689">
        <v>63.9</v>
      </c>
    </row>
    <row r="1404" spans="1:11">
      <c r="A1404" s="688" t="s">
        <v>24</v>
      </c>
      <c r="B1404" s="691">
        <v>64.400000000000006</v>
      </c>
      <c r="C1404" s="691">
        <v>64.599999999999994</v>
      </c>
      <c r="D1404" s="691">
        <v>64.3</v>
      </c>
      <c r="E1404" s="691">
        <v>64.900000000000006</v>
      </c>
      <c r="F1404" s="691">
        <v>64.900000000000006</v>
      </c>
      <c r="G1404" s="615">
        <v>65</v>
      </c>
      <c r="H1404" s="691">
        <v>65.2</v>
      </c>
      <c r="I1404" s="691">
        <v>64.5</v>
      </c>
      <c r="J1404" s="691">
        <v>65.099999999999994</v>
      </c>
      <c r="K1404" s="615">
        <v>65</v>
      </c>
    </row>
    <row r="1405" spans="1:11">
      <c r="A1405" s="688" t="s">
        <v>4059</v>
      </c>
      <c r="B1405" s="689">
        <v>62.6</v>
      </c>
      <c r="C1405" s="689">
        <v>62.8</v>
      </c>
      <c r="D1405" s="689">
        <v>62.5</v>
      </c>
      <c r="E1405" s="689">
        <v>62.7</v>
      </c>
      <c r="F1405" s="689">
        <v>62.8</v>
      </c>
      <c r="G1405" s="689">
        <v>62.7</v>
      </c>
      <c r="H1405" s="690" t="s">
        <v>4060</v>
      </c>
      <c r="I1405" s="690" t="s">
        <v>4060</v>
      </c>
      <c r="J1405" s="690" t="s">
        <v>4060</v>
      </c>
      <c r="K1405" s="690" t="s">
        <v>4060</v>
      </c>
    </row>
    <row r="1406" spans="1:11">
      <c r="A1406" s="688" t="s">
        <v>2324</v>
      </c>
      <c r="B1406" s="691">
        <v>58.1</v>
      </c>
      <c r="C1406" s="691">
        <v>58.1</v>
      </c>
      <c r="D1406" s="691">
        <v>57.9</v>
      </c>
      <c r="E1406" s="615">
        <v>58</v>
      </c>
      <c r="F1406" s="691">
        <v>57.9</v>
      </c>
      <c r="G1406" s="691">
        <v>58.2</v>
      </c>
      <c r="H1406" s="691">
        <v>58.1</v>
      </c>
      <c r="I1406" s="691">
        <v>57.3</v>
      </c>
      <c r="J1406" s="615">
        <v>55</v>
      </c>
      <c r="K1406" s="692" t="s">
        <v>4060</v>
      </c>
    </row>
    <row r="1407" spans="1:11">
      <c r="A1407" s="688" t="s">
        <v>2322</v>
      </c>
      <c r="B1407" s="690" t="s">
        <v>4060</v>
      </c>
      <c r="C1407" s="690" t="s">
        <v>4060</v>
      </c>
      <c r="D1407" s="690" t="s">
        <v>4060</v>
      </c>
      <c r="E1407" s="690" t="s">
        <v>4060</v>
      </c>
      <c r="F1407" s="690" t="s">
        <v>4060</v>
      </c>
      <c r="G1407" s="690" t="s">
        <v>4060</v>
      </c>
      <c r="H1407" s="690" t="s">
        <v>4060</v>
      </c>
      <c r="I1407" s="690" t="s">
        <v>4060</v>
      </c>
      <c r="J1407" s="690" t="s">
        <v>4060</v>
      </c>
      <c r="K1407" s="690" t="s">
        <v>4060</v>
      </c>
    </row>
    <row r="1408" spans="1:11">
      <c r="A1408" s="688" t="s">
        <v>2328</v>
      </c>
      <c r="B1408" s="691">
        <v>57.5</v>
      </c>
      <c r="C1408" s="691">
        <v>57.5</v>
      </c>
      <c r="D1408" s="691">
        <v>57.4</v>
      </c>
      <c r="E1408" s="691">
        <v>57.6</v>
      </c>
      <c r="F1408" s="691">
        <v>57.9</v>
      </c>
      <c r="G1408" s="691">
        <v>58.3</v>
      </c>
      <c r="H1408" s="691">
        <v>58.3</v>
      </c>
      <c r="I1408" s="615">
        <v>56</v>
      </c>
      <c r="J1408" s="691">
        <v>54.8</v>
      </c>
      <c r="K1408" s="692" t="s">
        <v>4060</v>
      </c>
    </row>
    <row r="1409" spans="1:11">
      <c r="A1409" s="688" t="s">
        <v>2496</v>
      </c>
      <c r="B1409" s="690" t="s">
        <v>4060</v>
      </c>
      <c r="C1409" s="689">
        <v>56.3</v>
      </c>
      <c r="D1409" s="689">
        <v>55.1</v>
      </c>
      <c r="E1409" s="689">
        <v>54.8</v>
      </c>
      <c r="F1409" s="689">
        <v>55.6</v>
      </c>
      <c r="G1409" s="689">
        <v>55.9</v>
      </c>
      <c r="H1409" s="693">
        <v>56</v>
      </c>
      <c r="I1409" s="690" t="s">
        <v>4060</v>
      </c>
      <c r="J1409" s="690" t="s">
        <v>4060</v>
      </c>
      <c r="K1409" s="689">
        <v>55.6</v>
      </c>
    </row>
    <row r="1410" spans="1:11">
      <c r="A1410" s="688" t="s">
        <v>2269</v>
      </c>
      <c r="B1410" s="615">
        <v>60</v>
      </c>
      <c r="C1410" s="691">
        <v>60.2</v>
      </c>
      <c r="D1410" s="691">
        <v>59.9</v>
      </c>
      <c r="E1410" s="691">
        <v>60.5</v>
      </c>
      <c r="F1410" s="691">
        <v>60.5</v>
      </c>
      <c r="G1410" s="691">
        <v>60.9</v>
      </c>
      <c r="H1410" s="691">
        <v>61.2</v>
      </c>
      <c r="I1410" s="691">
        <v>59.3</v>
      </c>
      <c r="J1410" s="691">
        <v>57.4</v>
      </c>
      <c r="K1410" s="691">
        <v>60.9</v>
      </c>
    </row>
    <row r="1411" spans="1:11">
      <c r="A1411" s="688" t="s">
        <v>2349</v>
      </c>
      <c r="B1411" s="693">
        <v>57</v>
      </c>
      <c r="C1411" s="693">
        <v>57</v>
      </c>
      <c r="D1411" s="689">
        <v>56.9</v>
      </c>
      <c r="E1411" s="689">
        <v>57.3</v>
      </c>
      <c r="F1411" s="689">
        <v>57.2</v>
      </c>
      <c r="G1411" s="689">
        <v>57.5</v>
      </c>
      <c r="H1411" s="689">
        <v>57.6</v>
      </c>
      <c r="I1411" s="693">
        <v>56</v>
      </c>
      <c r="J1411" s="689">
        <v>54.3</v>
      </c>
      <c r="K1411" s="689">
        <v>56.8</v>
      </c>
    </row>
    <row r="1412" spans="1:11">
      <c r="A1412" s="688" t="s">
        <v>2355</v>
      </c>
      <c r="B1412" s="691">
        <v>60.6</v>
      </c>
      <c r="C1412" s="691">
        <v>60.5</v>
      </c>
      <c r="D1412" s="691">
        <v>60.5</v>
      </c>
      <c r="E1412" s="691">
        <v>60.4</v>
      </c>
      <c r="F1412" s="691">
        <v>60.6</v>
      </c>
      <c r="G1412" s="691">
        <v>61.1</v>
      </c>
      <c r="H1412" s="691">
        <v>61.2</v>
      </c>
      <c r="I1412" s="692" t="s">
        <v>4060</v>
      </c>
      <c r="J1412" s="692" t="s">
        <v>4060</v>
      </c>
      <c r="K1412" s="692" t="s">
        <v>4060</v>
      </c>
    </row>
    <row r="1413" spans="1:11">
      <c r="A1413" s="688" t="s">
        <v>2357</v>
      </c>
      <c r="B1413" s="690" t="s">
        <v>4060</v>
      </c>
      <c r="C1413" s="689">
        <v>53.7</v>
      </c>
      <c r="D1413" s="689">
        <v>54.4</v>
      </c>
      <c r="E1413" s="689">
        <v>54.8</v>
      </c>
      <c r="F1413" s="689">
        <v>55.1</v>
      </c>
      <c r="G1413" s="693">
        <v>55</v>
      </c>
      <c r="H1413" s="689">
        <v>55.2</v>
      </c>
      <c r="I1413" s="690" t="s">
        <v>4060</v>
      </c>
      <c r="J1413" s="690" t="s">
        <v>4060</v>
      </c>
      <c r="K1413" s="690" t="s">
        <v>4060</v>
      </c>
    </row>
    <row r="1414" spans="1:11">
      <c r="A1414" s="688" t="s">
        <v>4070</v>
      </c>
      <c r="B1414" s="692" t="s">
        <v>4060</v>
      </c>
      <c r="C1414" s="692" t="s">
        <v>4060</v>
      </c>
      <c r="D1414" s="692" t="s">
        <v>4060</v>
      </c>
      <c r="E1414" s="691">
        <v>60.3</v>
      </c>
      <c r="F1414" s="692" t="s">
        <v>4060</v>
      </c>
      <c r="G1414" s="692" t="s">
        <v>4060</v>
      </c>
      <c r="H1414" s="692" t="s">
        <v>4060</v>
      </c>
      <c r="I1414" s="692" t="s">
        <v>4060</v>
      </c>
      <c r="J1414" s="692" t="s">
        <v>4060</v>
      </c>
      <c r="K1414" s="692" t="s">
        <v>4060</v>
      </c>
    </row>
    <row r="1415" spans="1:11">
      <c r="A1415" s="688" t="s">
        <v>2491</v>
      </c>
      <c r="B1415" s="689">
        <v>54.3</v>
      </c>
      <c r="C1415" s="689">
        <v>54.9</v>
      </c>
      <c r="D1415" s="689">
        <v>55.4</v>
      </c>
      <c r="E1415" s="689">
        <v>55.7</v>
      </c>
      <c r="F1415" s="689">
        <v>55.9</v>
      </c>
      <c r="G1415" s="689">
        <v>55.9</v>
      </c>
      <c r="H1415" s="690" t="s">
        <v>4060</v>
      </c>
      <c r="I1415" s="690" t="s">
        <v>4060</v>
      </c>
      <c r="J1415" s="690" t="s">
        <v>4060</v>
      </c>
      <c r="K1415" s="690" t="s">
        <v>4060</v>
      </c>
    </row>
    <row r="1416" spans="1:11">
      <c r="A1416" s="688" t="s">
        <v>2343</v>
      </c>
      <c r="B1416" s="692" t="s">
        <v>4060</v>
      </c>
      <c r="C1416" s="692" t="s">
        <v>4060</v>
      </c>
      <c r="D1416" s="692" t="s">
        <v>4060</v>
      </c>
      <c r="E1416" s="692" t="s">
        <v>4060</v>
      </c>
      <c r="F1416" s="692" t="s">
        <v>4060</v>
      </c>
      <c r="G1416" s="692" t="s">
        <v>4060</v>
      </c>
      <c r="H1416" s="692" t="s">
        <v>4060</v>
      </c>
      <c r="I1416" s="692" t="s">
        <v>4060</v>
      </c>
      <c r="J1416" s="692" t="s">
        <v>4060</v>
      </c>
      <c r="K1416" s="692" t="s">
        <v>4060</v>
      </c>
    </row>
    <row r="1417" spans="1:11">
      <c r="A1417" s="688" t="s">
        <v>4071</v>
      </c>
      <c r="B1417" s="690" t="s">
        <v>4060</v>
      </c>
      <c r="C1417" s="690" t="s">
        <v>4060</v>
      </c>
      <c r="D1417" s="690" t="s">
        <v>4060</v>
      </c>
      <c r="E1417" s="690" t="s">
        <v>4060</v>
      </c>
      <c r="F1417" s="690" t="s">
        <v>4060</v>
      </c>
      <c r="G1417" s="690" t="s">
        <v>4060</v>
      </c>
      <c r="H1417" s="690" t="s">
        <v>4060</v>
      </c>
      <c r="I1417" s="690" t="s">
        <v>4060</v>
      </c>
      <c r="J1417" s="690" t="s">
        <v>4060</v>
      </c>
      <c r="K1417" s="690" t="s">
        <v>4060</v>
      </c>
    </row>
    <row r="1418" spans="1:11">
      <c r="A1418" s="688" t="s">
        <v>2489</v>
      </c>
      <c r="B1418" s="692" t="s">
        <v>4060</v>
      </c>
      <c r="C1418" s="692" t="s">
        <v>4060</v>
      </c>
      <c r="D1418" s="615">
        <v>57</v>
      </c>
      <c r="E1418" s="691">
        <v>57.1</v>
      </c>
      <c r="F1418" s="691">
        <v>57.7</v>
      </c>
      <c r="G1418" s="691">
        <v>58.5</v>
      </c>
      <c r="H1418" s="691">
        <v>58.4</v>
      </c>
      <c r="I1418" s="692" t="s">
        <v>4060</v>
      </c>
      <c r="J1418" s="692" t="s">
        <v>4060</v>
      </c>
      <c r="K1418" s="692" t="s">
        <v>4060</v>
      </c>
    </row>
    <row r="1419" spans="1:11">
      <c r="A1419" s="688" t="s">
        <v>2490</v>
      </c>
      <c r="B1419" s="689">
        <v>56.9</v>
      </c>
      <c r="C1419" s="693">
        <v>57</v>
      </c>
      <c r="D1419" s="689">
        <v>57.6</v>
      </c>
      <c r="E1419" s="690" t="s">
        <v>4060</v>
      </c>
      <c r="F1419" s="689">
        <v>57.9</v>
      </c>
      <c r="G1419" s="689">
        <v>58.2</v>
      </c>
      <c r="H1419" s="689">
        <v>58.9</v>
      </c>
      <c r="I1419" s="690" t="s">
        <v>4060</v>
      </c>
      <c r="J1419" s="690" t="s">
        <v>4060</v>
      </c>
      <c r="K1419" s="690" t="s">
        <v>4060</v>
      </c>
    </row>
    <row r="1421" spans="1:11">
      <c r="A1421" s="683" t="s">
        <v>4233</v>
      </c>
    </row>
    <row r="1422" spans="1:11">
      <c r="A1422" s="683" t="s">
        <v>4060</v>
      </c>
      <c r="B1422" s="682" t="s">
        <v>4234</v>
      </c>
    </row>
    <row r="1424" spans="1:11">
      <c r="A1424" s="682" t="s">
        <v>4248</v>
      </c>
    </row>
    <row r="1425" spans="1:11">
      <c r="A1425" s="682" t="s">
        <v>4210</v>
      </c>
      <c r="B1425" s="683" t="s">
        <v>4211</v>
      </c>
    </row>
    <row r="1426" spans="1:11">
      <c r="A1426" s="682" t="s">
        <v>4212</v>
      </c>
      <c r="B1426" s="682" t="s">
        <v>4213</v>
      </c>
    </row>
    <row r="1428" spans="1:11">
      <c r="A1428" s="683" t="s">
        <v>4214</v>
      </c>
      <c r="C1428" s="682" t="s">
        <v>4215</v>
      </c>
    </row>
    <row r="1429" spans="1:11">
      <c r="A1429" s="683" t="s">
        <v>4216</v>
      </c>
      <c r="C1429" s="682" t="s">
        <v>2967</v>
      </c>
    </row>
    <row r="1430" spans="1:11">
      <c r="A1430" s="683" t="s">
        <v>3893</v>
      </c>
      <c r="C1430" s="682" t="s">
        <v>4217</v>
      </c>
    </row>
    <row r="1431" spans="1:11">
      <c r="A1431" s="683" t="s">
        <v>4218</v>
      </c>
      <c r="C1431" s="682" t="s">
        <v>4255</v>
      </c>
    </row>
    <row r="1433" spans="1:11">
      <c r="A1433" s="684" t="s">
        <v>4220</v>
      </c>
      <c r="B1433" s="685" t="s">
        <v>4221</v>
      </c>
      <c r="C1433" s="685" t="s">
        <v>4222</v>
      </c>
      <c r="D1433" s="685" t="s">
        <v>4223</v>
      </c>
      <c r="E1433" s="685" t="s">
        <v>4224</v>
      </c>
      <c r="F1433" s="685" t="s">
        <v>4225</v>
      </c>
      <c r="G1433" s="685" t="s">
        <v>4226</v>
      </c>
      <c r="H1433" s="685" t="s">
        <v>4227</v>
      </c>
      <c r="I1433" s="685" t="s">
        <v>4228</v>
      </c>
      <c r="J1433" s="685" t="s">
        <v>4229</v>
      </c>
      <c r="K1433" s="685" t="s">
        <v>4230</v>
      </c>
    </row>
    <row r="1434" spans="1:11">
      <c r="A1434" s="686" t="s">
        <v>4231</v>
      </c>
      <c r="B1434" s="687" t="s">
        <v>4232</v>
      </c>
      <c r="C1434" s="687" t="s">
        <v>4232</v>
      </c>
      <c r="D1434" s="687" t="s">
        <v>4232</v>
      </c>
      <c r="E1434" s="687" t="s">
        <v>4232</v>
      </c>
      <c r="F1434" s="687" t="s">
        <v>4232</v>
      </c>
      <c r="G1434" s="687" t="s">
        <v>4232</v>
      </c>
      <c r="H1434" s="687" t="s">
        <v>4232</v>
      </c>
      <c r="I1434" s="687" t="s">
        <v>4232</v>
      </c>
      <c r="J1434" s="687" t="s">
        <v>4232</v>
      </c>
      <c r="K1434" s="687" t="s">
        <v>4232</v>
      </c>
    </row>
    <row r="1435" spans="1:11">
      <c r="A1435" s="688" t="s">
        <v>4064</v>
      </c>
      <c r="B1435" s="693">
        <v>61</v>
      </c>
      <c r="C1435" s="689">
        <v>61.1</v>
      </c>
      <c r="D1435" s="693">
        <v>61</v>
      </c>
      <c r="E1435" s="689">
        <v>61.2</v>
      </c>
      <c r="F1435" s="689">
        <v>61.2</v>
      </c>
      <c r="G1435" s="689">
        <v>61.3</v>
      </c>
      <c r="H1435" s="689">
        <v>61.6</v>
      </c>
      <c r="I1435" s="689">
        <v>60.7</v>
      </c>
      <c r="J1435" s="689">
        <v>60.4</v>
      </c>
      <c r="K1435" s="693">
        <v>61</v>
      </c>
    </row>
    <row r="1436" spans="1:11">
      <c r="A1436" s="688" t="s">
        <v>4065</v>
      </c>
      <c r="B1436" s="691">
        <v>61.1</v>
      </c>
      <c r="C1436" s="691">
        <v>61.4</v>
      </c>
      <c r="D1436" s="691">
        <v>61.1</v>
      </c>
      <c r="E1436" s="691">
        <v>61.5</v>
      </c>
      <c r="F1436" s="691">
        <v>61.4</v>
      </c>
      <c r="G1436" s="691">
        <v>61.5</v>
      </c>
      <c r="H1436" s="692" t="s">
        <v>4060</v>
      </c>
      <c r="I1436" s="692" t="s">
        <v>4060</v>
      </c>
      <c r="J1436" s="692" t="s">
        <v>4060</v>
      </c>
      <c r="K1436" s="692" t="s">
        <v>4060</v>
      </c>
    </row>
    <row r="1437" spans="1:11">
      <c r="A1437" s="688" t="s">
        <v>4063</v>
      </c>
      <c r="B1437" s="689">
        <v>61.1</v>
      </c>
      <c r="C1437" s="689">
        <v>61.4</v>
      </c>
      <c r="D1437" s="689">
        <v>61.1</v>
      </c>
      <c r="E1437" s="689">
        <v>61.5</v>
      </c>
      <c r="F1437" s="689">
        <v>61.5</v>
      </c>
      <c r="G1437" s="689">
        <v>61.5</v>
      </c>
      <c r="H1437" s="690" t="s">
        <v>4060</v>
      </c>
      <c r="I1437" s="690" t="s">
        <v>4060</v>
      </c>
      <c r="J1437" s="690" t="s">
        <v>4060</v>
      </c>
      <c r="K1437" s="690" t="s">
        <v>4060</v>
      </c>
    </row>
    <row r="1438" spans="1:11">
      <c r="A1438" s="688" t="s">
        <v>4069</v>
      </c>
      <c r="B1438" s="692" t="s">
        <v>4060</v>
      </c>
      <c r="C1438" s="691">
        <v>62.1</v>
      </c>
      <c r="D1438" s="691">
        <v>61.8</v>
      </c>
      <c r="E1438" s="691">
        <v>62.2</v>
      </c>
      <c r="F1438" s="691">
        <v>62.2</v>
      </c>
      <c r="G1438" s="691">
        <v>62.3</v>
      </c>
      <c r="H1438" s="691">
        <v>62.6</v>
      </c>
      <c r="I1438" s="691">
        <v>61.9</v>
      </c>
      <c r="J1438" s="691">
        <v>61.8</v>
      </c>
      <c r="K1438" s="615">
        <v>62</v>
      </c>
    </row>
    <row r="1439" spans="1:11">
      <c r="A1439" s="688" t="s">
        <v>4068</v>
      </c>
      <c r="B1439" s="693">
        <v>62</v>
      </c>
      <c r="C1439" s="690" t="s">
        <v>4060</v>
      </c>
      <c r="D1439" s="690" t="s">
        <v>4060</v>
      </c>
      <c r="E1439" s="690" t="s">
        <v>4060</v>
      </c>
      <c r="F1439" s="690" t="s">
        <v>4060</v>
      </c>
      <c r="G1439" s="690" t="s">
        <v>4060</v>
      </c>
      <c r="H1439" s="690" t="s">
        <v>4060</v>
      </c>
      <c r="I1439" s="690" t="s">
        <v>4060</v>
      </c>
      <c r="J1439" s="690" t="s">
        <v>4060</v>
      </c>
      <c r="K1439" s="690" t="s">
        <v>4060</v>
      </c>
    </row>
    <row r="1440" spans="1:11">
      <c r="A1440" s="688" t="s">
        <v>0</v>
      </c>
      <c r="B1440" s="691">
        <v>61.2</v>
      </c>
      <c r="C1440" s="691">
        <v>61.6</v>
      </c>
      <c r="D1440" s="691">
        <v>61.4</v>
      </c>
      <c r="E1440" s="691">
        <v>61.7</v>
      </c>
      <c r="F1440" s="691">
        <v>61.9</v>
      </c>
      <c r="G1440" s="615">
        <v>62</v>
      </c>
      <c r="H1440" s="691">
        <v>62.3</v>
      </c>
      <c r="I1440" s="691">
        <v>61.2</v>
      </c>
      <c r="J1440" s="691">
        <v>62.1</v>
      </c>
      <c r="K1440" s="691">
        <v>62.1</v>
      </c>
    </row>
    <row r="1441" spans="1:11">
      <c r="A1441" s="688" t="s">
        <v>1</v>
      </c>
      <c r="B1441" s="689">
        <v>55.8</v>
      </c>
      <c r="C1441" s="689">
        <v>55.3</v>
      </c>
      <c r="D1441" s="689">
        <v>55.4</v>
      </c>
      <c r="E1441" s="689">
        <v>55.5</v>
      </c>
      <c r="F1441" s="689">
        <v>55.5</v>
      </c>
      <c r="G1441" s="689">
        <v>55.6</v>
      </c>
      <c r="H1441" s="689">
        <v>55.6</v>
      </c>
      <c r="I1441" s="693">
        <v>54</v>
      </c>
      <c r="J1441" s="689">
        <v>51.9</v>
      </c>
      <c r="K1441" s="689">
        <v>54.8</v>
      </c>
    </row>
    <row r="1442" spans="1:11">
      <c r="A1442" s="688" t="s">
        <v>2240</v>
      </c>
      <c r="B1442" s="691">
        <v>58.7</v>
      </c>
      <c r="C1442" s="691">
        <v>59.2</v>
      </c>
      <c r="D1442" s="615">
        <v>59</v>
      </c>
      <c r="E1442" s="691">
        <v>59.4</v>
      </c>
      <c r="F1442" s="691">
        <v>59.4</v>
      </c>
      <c r="G1442" s="691">
        <v>59.4</v>
      </c>
      <c r="H1442" s="691">
        <v>59.7</v>
      </c>
      <c r="I1442" s="691">
        <v>58.6</v>
      </c>
      <c r="J1442" s="691">
        <v>57.6</v>
      </c>
      <c r="K1442" s="691">
        <v>59.4</v>
      </c>
    </row>
    <row r="1443" spans="1:11">
      <c r="A1443" s="688" t="s">
        <v>2</v>
      </c>
      <c r="B1443" s="689">
        <v>60.8</v>
      </c>
      <c r="C1443" s="689">
        <v>61.1</v>
      </c>
      <c r="D1443" s="689">
        <v>61.2</v>
      </c>
      <c r="E1443" s="689">
        <v>61.3</v>
      </c>
      <c r="F1443" s="689">
        <v>61.6</v>
      </c>
      <c r="G1443" s="689">
        <v>61.4</v>
      </c>
      <c r="H1443" s="689">
        <v>61.8</v>
      </c>
      <c r="I1443" s="689">
        <v>61.9</v>
      </c>
      <c r="J1443" s="689">
        <v>61.8</v>
      </c>
      <c r="K1443" s="689">
        <v>61.7</v>
      </c>
    </row>
    <row r="1444" spans="1:11">
      <c r="A1444" s="688" t="s">
        <v>3</v>
      </c>
      <c r="B1444" s="691">
        <v>61.1</v>
      </c>
      <c r="C1444" s="691">
        <v>61.4</v>
      </c>
      <c r="D1444" s="615">
        <v>61</v>
      </c>
      <c r="E1444" s="691">
        <v>61.3</v>
      </c>
      <c r="F1444" s="691">
        <v>61.4</v>
      </c>
      <c r="G1444" s="691">
        <v>61.3</v>
      </c>
      <c r="H1444" s="691">
        <v>61.6</v>
      </c>
      <c r="I1444" s="691">
        <v>61.4</v>
      </c>
      <c r="J1444" s="691">
        <v>61.1</v>
      </c>
      <c r="K1444" s="691">
        <v>60.9</v>
      </c>
    </row>
    <row r="1445" spans="1:11">
      <c r="A1445" s="688" t="s">
        <v>4061</v>
      </c>
      <c r="B1445" s="689">
        <v>61.1</v>
      </c>
      <c r="C1445" s="689">
        <v>61.4</v>
      </c>
      <c r="D1445" s="693">
        <v>61</v>
      </c>
      <c r="E1445" s="689">
        <v>61.3</v>
      </c>
      <c r="F1445" s="689">
        <v>61.4</v>
      </c>
      <c r="G1445" s="689">
        <v>61.3</v>
      </c>
      <c r="H1445" s="689">
        <v>61.6</v>
      </c>
      <c r="I1445" s="689">
        <v>61.4</v>
      </c>
      <c r="J1445" s="689">
        <v>61.1</v>
      </c>
      <c r="K1445" s="689">
        <v>60.9</v>
      </c>
    </row>
    <row r="1446" spans="1:11">
      <c r="A1446" s="688" t="s">
        <v>4</v>
      </c>
      <c r="B1446" s="615">
        <v>58</v>
      </c>
      <c r="C1446" s="691">
        <v>57.7</v>
      </c>
      <c r="D1446" s="691">
        <v>58.2</v>
      </c>
      <c r="E1446" s="691">
        <v>58.2</v>
      </c>
      <c r="F1446" s="691">
        <v>58.6</v>
      </c>
      <c r="G1446" s="691">
        <v>58.8</v>
      </c>
      <c r="H1446" s="691">
        <v>59.2</v>
      </c>
      <c r="I1446" s="691">
        <v>59.1</v>
      </c>
      <c r="J1446" s="691">
        <v>57.6</v>
      </c>
      <c r="K1446" s="691">
        <v>58.5</v>
      </c>
    </row>
    <row r="1447" spans="1:11">
      <c r="A1447" s="688" t="s">
        <v>8</v>
      </c>
      <c r="B1447" s="689">
        <v>61.5</v>
      </c>
      <c r="C1447" s="689">
        <v>61.7</v>
      </c>
      <c r="D1447" s="689">
        <v>61.8</v>
      </c>
      <c r="E1447" s="693">
        <v>62</v>
      </c>
      <c r="F1447" s="689">
        <v>62.4</v>
      </c>
      <c r="G1447" s="689">
        <v>62.4</v>
      </c>
      <c r="H1447" s="689">
        <v>62.8</v>
      </c>
      <c r="I1447" s="689">
        <v>62.7</v>
      </c>
      <c r="J1447" s="689">
        <v>62.5</v>
      </c>
      <c r="K1447" s="689">
        <v>62.8</v>
      </c>
    </row>
    <row r="1448" spans="1:11">
      <c r="A1448" s="688" t="s">
        <v>7</v>
      </c>
      <c r="B1448" s="691">
        <v>61.8</v>
      </c>
      <c r="C1448" s="691">
        <v>61.5</v>
      </c>
      <c r="D1448" s="691">
        <v>61.3</v>
      </c>
      <c r="E1448" s="691">
        <v>61.6</v>
      </c>
      <c r="F1448" s="691">
        <v>61.5</v>
      </c>
      <c r="G1448" s="615">
        <v>62</v>
      </c>
      <c r="H1448" s="691">
        <v>61.9</v>
      </c>
      <c r="I1448" s="691">
        <v>61.5</v>
      </c>
      <c r="J1448" s="691">
        <v>60.5</v>
      </c>
      <c r="K1448" s="691">
        <v>61.2</v>
      </c>
    </row>
    <row r="1449" spans="1:11">
      <c r="A1449" s="688" t="s">
        <v>27</v>
      </c>
      <c r="B1449" s="689">
        <v>63.5</v>
      </c>
      <c r="C1449" s="689">
        <v>63.3</v>
      </c>
      <c r="D1449" s="693">
        <v>63</v>
      </c>
      <c r="E1449" s="689">
        <v>63.4</v>
      </c>
      <c r="F1449" s="689">
        <v>63.4</v>
      </c>
      <c r="G1449" s="689">
        <v>63.5</v>
      </c>
      <c r="H1449" s="689">
        <v>63.9</v>
      </c>
      <c r="I1449" s="689">
        <v>62.6</v>
      </c>
      <c r="J1449" s="689">
        <v>63.4</v>
      </c>
      <c r="K1449" s="689">
        <v>63.4</v>
      </c>
    </row>
    <row r="1450" spans="1:11">
      <c r="A1450" s="688" t="s">
        <v>6</v>
      </c>
      <c r="B1450" s="691">
        <v>62.9</v>
      </c>
      <c r="C1450" s="691">
        <v>62.9</v>
      </c>
      <c r="D1450" s="691">
        <v>62.6</v>
      </c>
      <c r="E1450" s="691">
        <v>62.9</v>
      </c>
      <c r="F1450" s="615">
        <v>63</v>
      </c>
      <c r="G1450" s="691">
        <v>63.1</v>
      </c>
      <c r="H1450" s="691">
        <v>63.2</v>
      </c>
      <c r="I1450" s="691">
        <v>62.6</v>
      </c>
      <c r="J1450" s="691">
        <v>62.7</v>
      </c>
      <c r="K1450" s="691">
        <v>62.8</v>
      </c>
    </row>
    <row r="1451" spans="1:11">
      <c r="A1451" s="688" t="s">
        <v>4058</v>
      </c>
      <c r="B1451" s="690" t="s">
        <v>4060</v>
      </c>
      <c r="C1451" s="690" t="s">
        <v>4060</v>
      </c>
      <c r="D1451" s="690" t="s">
        <v>4060</v>
      </c>
      <c r="E1451" s="690" t="s">
        <v>4060</v>
      </c>
      <c r="F1451" s="690" t="s">
        <v>4060</v>
      </c>
      <c r="G1451" s="690" t="s">
        <v>4060</v>
      </c>
      <c r="H1451" s="690" t="s">
        <v>4060</v>
      </c>
      <c r="I1451" s="690" t="s">
        <v>4060</v>
      </c>
      <c r="J1451" s="690" t="s">
        <v>4060</v>
      </c>
      <c r="K1451" s="690" t="s">
        <v>4060</v>
      </c>
    </row>
    <row r="1452" spans="1:11">
      <c r="A1452" s="688" t="s">
        <v>11</v>
      </c>
      <c r="B1452" s="691">
        <v>58.3</v>
      </c>
      <c r="C1452" s="691">
        <v>58.4</v>
      </c>
      <c r="D1452" s="691">
        <v>57.9</v>
      </c>
      <c r="E1452" s="691">
        <v>58.6</v>
      </c>
      <c r="F1452" s="691">
        <v>58.4</v>
      </c>
      <c r="G1452" s="691">
        <v>58.6</v>
      </c>
      <c r="H1452" s="691">
        <v>58.8</v>
      </c>
      <c r="I1452" s="691">
        <v>58.1</v>
      </c>
      <c r="J1452" s="691">
        <v>57.1</v>
      </c>
      <c r="K1452" s="691">
        <v>58.2</v>
      </c>
    </row>
    <row r="1453" spans="1:11">
      <c r="A1453" s="688" t="s">
        <v>10</v>
      </c>
      <c r="B1453" s="689">
        <v>63.3</v>
      </c>
      <c r="C1453" s="689">
        <v>63.2</v>
      </c>
      <c r="D1453" s="689">
        <v>62.8</v>
      </c>
      <c r="E1453" s="689">
        <v>63.4</v>
      </c>
      <c r="F1453" s="689">
        <v>63.2</v>
      </c>
      <c r="G1453" s="689">
        <v>63.5</v>
      </c>
      <c r="H1453" s="689">
        <v>63.7</v>
      </c>
      <c r="I1453" s="689">
        <v>62.6</v>
      </c>
      <c r="J1453" s="693">
        <v>63</v>
      </c>
      <c r="K1453" s="689">
        <v>63.1</v>
      </c>
    </row>
    <row r="1454" spans="1:11">
      <c r="A1454" s="688" t="s">
        <v>30</v>
      </c>
      <c r="B1454" s="691">
        <v>62.8</v>
      </c>
      <c r="C1454" s="691">
        <v>62.6</v>
      </c>
      <c r="D1454" s="691">
        <v>62.3</v>
      </c>
      <c r="E1454" s="691">
        <v>63.2</v>
      </c>
      <c r="F1454" s="691">
        <v>62.7</v>
      </c>
      <c r="G1454" s="691">
        <v>63.3</v>
      </c>
      <c r="H1454" s="615">
        <v>63</v>
      </c>
      <c r="I1454" s="615">
        <v>63</v>
      </c>
      <c r="J1454" s="691">
        <v>62.1</v>
      </c>
      <c r="K1454" s="691">
        <v>62.6</v>
      </c>
    </row>
    <row r="1455" spans="1:11">
      <c r="A1455" s="688" t="s">
        <v>12</v>
      </c>
      <c r="B1455" s="693">
        <v>55</v>
      </c>
      <c r="C1455" s="693">
        <v>55</v>
      </c>
      <c r="D1455" s="689">
        <v>55.3</v>
      </c>
      <c r="E1455" s="689">
        <v>55.4</v>
      </c>
      <c r="F1455" s="689">
        <v>55.4</v>
      </c>
      <c r="G1455" s="689">
        <v>55.5</v>
      </c>
      <c r="H1455" s="689">
        <v>56.2</v>
      </c>
      <c r="I1455" s="689">
        <v>55.9</v>
      </c>
      <c r="J1455" s="689">
        <v>53.6</v>
      </c>
      <c r="K1455" s="689">
        <v>54.9</v>
      </c>
    </row>
    <row r="1456" spans="1:11">
      <c r="A1456" s="688" t="s">
        <v>14</v>
      </c>
      <c r="B1456" s="691">
        <v>54.8</v>
      </c>
      <c r="C1456" s="691">
        <v>55.2</v>
      </c>
      <c r="D1456" s="691">
        <v>55.1</v>
      </c>
      <c r="E1456" s="691">
        <v>55.4</v>
      </c>
      <c r="F1456" s="691">
        <v>56.2</v>
      </c>
      <c r="G1456" s="691">
        <v>56.4</v>
      </c>
      <c r="H1456" s="691">
        <v>56.9</v>
      </c>
      <c r="I1456" s="691">
        <v>55.6</v>
      </c>
      <c r="J1456" s="691">
        <v>54.7</v>
      </c>
      <c r="K1456" s="691">
        <v>56.3</v>
      </c>
    </row>
    <row r="1457" spans="1:11">
      <c r="A1457" s="688" t="s">
        <v>15</v>
      </c>
      <c r="B1457" s="689">
        <v>62.4</v>
      </c>
      <c r="C1457" s="689">
        <v>62.3</v>
      </c>
      <c r="D1457" s="689">
        <v>62.4</v>
      </c>
      <c r="E1457" s="689">
        <v>62.8</v>
      </c>
      <c r="F1457" s="689">
        <v>62.3</v>
      </c>
      <c r="G1457" s="689">
        <v>62.5</v>
      </c>
      <c r="H1457" s="689">
        <v>62.9</v>
      </c>
      <c r="I1457" s="689">
        <v>62.6</v>
      </c>
      <c r="J1457" s="689">
        <v>62.9</v>
      </c>
      <c r="K1457" s="689">
        <v>63.3</v>
      </c>
    </row>
    <row r="1458" spans="1:11">
      <c r="A1458" s="688" t="s">
        <v>29</v>
      </c>
      <c r="B1458" s="691">
        <v>56.4</v>
      </c>
      <c r="C1458" s="691">
        <v>56.4</v>
      </c>
      <c r="D1458" s="691">
        <v>56.1</v>
      </c>
      <c r="E1458" s="691">
        <v>56.6</v>
      </c>
      <c r="F1458" s="691">
        <v>56.4</v>
      </c>
      <c r="G1458" s="691">
        <v>56.5</v>
      </c>
      <c r="H1458" s="691">
        <v>56.8</v>
      </c>
      <c r="I1458" s="615">
        <v>56</v>
      </c>
      <c r="J1458" s="691">
        <v>54.6</v>
      </c>
      <c r="K1458" s="691">
        <v>56.4</v>
      </c>
    </row>
    <row r="1459" spans="1:11">
      <c r="A1459" s="688" t="s">
        <v>16</v>
      </c>
      <c r="B1459" s="689">
        <v>62.5</v>
      </c>
      <c r="C1459" s="689">
        <v>62.4</v>
      </c>
      <c r="D1459" s="689">
        <v>62.4</v>
      </c>
      <c r="E1459" s="689">
        <v>62.9</v>
      </c>
      <c r="F1459" s="689">
        <v>62.7</v>
      </c>
      <c r="G1459" s="689">
        <v>62.6</v>
      </c>
      <c r="H1459" s="689">
        <v>63.2</v>
      </c>
      <c r="I1459" s="689">
        <v>62.4</v>
      </c>
      <c r="J1459" s="689">
        <v>62.5</v>
      </c>
      <c r="K1459" s="689">
        <v>62.6</v>
      </c>
    </row>
    <row r="1460" spans="1:11">
      <c r="A1460" s="688" t="s">
        <v>17</v>
      </c>
      <c r="B1460" s="691">
        <v>61.9</v>
      </c>
      <c r="C1460" s="691">
        <v>62.1</v>
      </c>
      <c r="D1460" s="691">
        <v>61.9</v>
      </c>
      <c r="E1460" s="615">
        <v>62</v>
      </c>
      <c r="F1460" s="691">
        <v>62.2</v>
      </c>
      <c r="G1460" s="691">
        <v>62.2</v>
      </c>
      <c r="H1460" s="691">
        <v>62.5</v>
      </c>
      <c r="I1460" s="691">
        <v>61.8</v>
      </c>
      <c r="J1460" s="691">
        <v>61.8</v>
      </c>
      <c r="K1460" s="691">
        <v>62.1</v>
      </c>
    </row>
    <row r="1461" spans="1:11">
      <c r="A1461" s="688" t="s">
        <v>19</v>
      </c>
      <c r="B1461" s="689">
        <v>61.8</v>
      </c>
      <c r="C1461" s="689">
        <v>61.9</v>
      </c>
      <c r="D1461" s="689">
        <v>61.6</v>
      </c>
      <c r="E1461" s="689">
        <v>62.1</v>
      </c>
      <c r="F1461" s="689">
        <v>62.1</v>
      </c>
      <c r="G1461" s="689">
        <v>62.1</v>
      </c>
      <c r="H1461" s="689">
        <v>62.4</v>
      </c>
      <c r="I1461" s="689">
        <v>61.8</v>
      </c>
      <c r="J1461" s="689">
        <v>61.7</v>
      </c>
      <c r="K1461" s="689">
        <v>61.8</v>
      </c>
    </row>
    <row r="1462" spans="1:11">
      <c r="A1462" s="688" t="s">
        <v>20</v>
      </c>
      <c r="B1462" s="691">
        <v>57.7</v>
      </c>
      <c r="C1462" s="691">
        <v>58.1</v>
      </c>
      <c r="D1462" s="691">
        <v>57.9</v>
      </c>
      <c r="E1462" s="691">
        <v>58.3</v>
      </c>
      <c r="F1462" s="691">
        <v>58.2</v>
      </c>
      <c r="G1462" s="691">
        <v>58.1</v>
      </c>
      <c r="H1462" s="691">
        <v>58.4</v>
      </c>
      <c r="I1462" s="691">
        <v>56.9</v>
      </c>
      <c r="J1462" s="691">
        <v>55.9</v>
      </c>
      <c r="K1462" s="691">
        <v>57.6</v>
      </c>
    </row>
    <row r="1463" spans="1:11">
      <c r="A1463" s="688" t="s">
        <v>21</v>
      </c>
      <c r="B1463" s="689">
        <v>61.3</v>
      </c>
      <c r="C1463" s="689">
        <v>61.7</v>
      </c>
      <c r="D1463" s="689">
        <v>61.7</v>
      </c>
      <c r="E1463" s="689">
        <v>61.8</v>
      </c>
      <c r="F1463" s="693">
        <v>62</v>
      </c>
      <c r="G1463" s="689">
        <v>62.1</v>
      </c>
      <c r="H1463" s="689">
        <v>62.4</v>
      </c>
      <c r="I1463" s="689">
        <v>61.7</v>
      </c>
      <c r="J1463" s="689">
        <v>61.8</v>
      </c>
      <c r="K1463" s="689">
        <v>62.1</v>
      </c>
    </row>
    <row r="1464" spans="1:11">
      <c r="A1464" s="688" t="s">
        <v>22</v>
      </c>
      <c r="B1464" s="691">
        <v>56.2</v>
      </c>
      <c r="C1464" s="691">
        <v>55.9</v>
      </c>
      <c r="D1464" s="691">
        <v>55.8</v>
      </c>
      <c r="E1464" s="615">
        <v>56</v>
      </c>
      <c r="F1464" s="691">
        <v>56.1</v>
      </c>
      <c r="G1464" s="691">
        <v>56.1</v>
      </c>
      <c r="H1464" s="691">
        <v>56.3</v>
      </c>
      <c r="I1464" s="691">
        <v>54.8</v>
      </c>
      <c r="J1464" s="691">
        <v>53.5</v>
      </c>
      <c r="K1464" s="691">
        <v>55.8</v>
      </c>
    </row>
    <row r="1465" spans="1:11">
      <c r="A1465" s="688" t="s">
        <v>26</v>
      </c>
      <c r="B1465" s="689">
        <v>60.9</v>
      </c>
      <c r="C1465" s="689">
        <v>61.2</v>
      </c>
      <c r="D1465" s="689">
        <v>60.9</v>
      </c>
      <c r="E1465" s="689">
        <v>61.3</v>
      </c>
      <c r="F1465" s="689">
        <v>61.3</v>
      </c>
      <c r="G1465" s="689">
        <v>61.6</v>
      </c>
      <c r="H1465" s="689">
        <v>61.7</v>
      </c>
      <c r="I1465" s="689">
        <v>60.8</v>
      </c>
      <c r="J1465" s="689">
        <v>60.9</v>
      </c>
      <c r="K1465" s="689">
        <v>61.5</v>
      </c>
    </row>
    <row r="1466" spans="1:11">
      <c r="A1466" s="688" t="s">
        <v>25</v>
      </c>
      <c r="B1466" s="691">
        <v>57.3</v>
      </c>
      <c r="C1466" s="691">
        <v>57.6</v>
      </c>
      <c r="D1466" s="691">
        <v>57.4</v>
      </c>
      <c r="E1466" s="691">
        <v>57.9</v>
      </c>
      <c r="F1466" s="691">
        <v>57.9</v>
      </c>
      <c r="G1466" s="615">
        <v>58</v>
      </c>
      <c r="H1466" s="691">
        <v>58.4</v>
      </c>
      <c r="I1466" s="691">
        <v>57.7</v>
      </c>
      <c r="J1466" s="691">
        <v>55.2</v>
      </c>
      <c r="K1466" s="691">
        <v>57.6</v>
      </c>
    </row>
    <row r="1467" spans="1:11">
      <c r="A1467" s="688" t="s">
        <v>5</v>
      </c>
      <c r="B1467" s="689">
        <v>61.4</v>
      </c>
      <c r="C1467" s="689">
        <v>61.4</v>
      </c>
      <c r="D1467" s="689">
        <v>61.7</v>
      </c>
      <c r="E1467" s="689">
        <v>61.6</v>
      </c>
      <c r="F1467" s="689">
        <v>61.9</v>
      </c>
      <c r="G1467" s="693">
        <v>62</v>
      </c>
      <c r="H1467" s="689">
        <v>62.3</v>
      </c>
      <c r="I1467" s="689">
        <v>62.2</v>
      </c>
      <c r="J1467" s="689">
        <v>62.2</v>
      </c>
      <c r="K1467" s="689">
        <v>61.6</v>
      </c>
    </row>
    <row r="1468" spans="1:11">
      <c r="A1468" s="688" t="s">
        <v>23</v>
      </c>
      <c r="B1468" s="691">
        <v>62.4</v>
      </c>
      <c r="C1468" s="691">
        <v>62.6</v>
      </c>
      <c r="D1468" s="691">
        <v>62.6</v>
      </c>
      <c r="E1468" s="691">
        <v>62.7</v>
      </c>
      <c r="F1468" s="691">
        <v>62.8</v>
      </c>
      <c r="G1468" s="691">
        <v>62.9</v>
      </c>
      <c r="H1468" s="691">
        <v>63.4</v>
      </c>
      <c r="I1468" s="691">
        <v>62.8</v>
      </c>
      <c r="J1468" s="691">
        <v>63.3</v>
      </c>
      <c r="K1468" s="691">
        <v>63.4</v>
      </c>
    </row>
    <row r="1469" spans="1:11">
      <c r="A1469" s="688" t="s">
        <v>4067</v>
      </c>
      <c r="B1469" s="689">
        <v>61.1</v>
      </c>
      <c r="C1469" s="689">
        <v>61.4</v>
      </c>
      <c r="D1469" s="689">
        <v>61.1</v>
      </c>
      <c r="E1469" s="689">
        <v>61.5</v>
      </c>
      <c r="F1469" s="689">
        <v>61.4</v>
      </c>
      <c r="G1469" s="689">
        <v>61.5</v>
      </c>
      <c r="H1469" s="690" t="s">
        <v>4060</v>
      </c>
      <c r="I1469" s="690" t="s">
        <v>4060</v>
      </c>
      <c r="J1469" s="690" t="s">
        <v>4060</v>
      </c>
      <c r="K1469" s="690" t="s">
        <v>4060</v>
      </c>
    </row>
    <row r="1470" spans="1:11">
      <c r="A1470" s="688" t="s">
        <v>4066</v>
      </c>
      <c r="B1470" s="691">
        <v>61.1</v>
      </c>
      <c r="C1470" s="691">
        <v>61.4</v>
      </c>
      <c r="D1470" s="691">
        <v>61.1</v>
      </c>
      <c r="E1470" s="691">
        <v>61.5</v>
      </c>
      <c r="F1470" s="691">
        <v>61.5</v>
      </c>
      <c r="G1470" s="691">
        <v>61.5</v>
      </c>
      <c r="H1470" s="692" t="s">
        <v>4060</v>
      </c>
      <c r="I1470" s="692" t="s">
        <v>4060</v>
      </c>
      <c r="J1470" s="692" t="s">
        <v>4060</v>
      </c>
      <c r="K1470" s="692" t="s">
        <v>4060</v>
      </c>
    </row>
    <row r="1471" spans="1:11">
      <c r="A1471" s="688" t="s">
        <v>4062</v>
      </c>
      <c r="B1471" s="693">
        <v>63</v>
      </c>
      <c r="C1471" s="689">
        <v>63.2</v>
      </c>
      <c r="D1471" s="689">
        <v>63.1</v>
      </c>
      <c r="E1471" s="689">
        <v>63.4</v>
      </c>
      <c r="F1471" s="689">
        <v>63.5</v>
      </c>
      <c r="G1471" s="689">
        <v>63.7</v>
      </c>
      <c r="H1471" s="689">
        <v>63.9</v>
      </c>
      <c r="I1471" s="689">
        <v>63.5</v>
      </c>
      <c r="J1471" s="689">
        <v>63.9</v>
      </c>
      <c r="K1471" s="689">
        <v>63.6</v>
      </c>
    </row>
    <row r="1472" spans="1:11">
      <c r="A1472" s="688" t="s">
        <v>9</v>
      </c>
      <c r="B1472" s="691">
        <v>62.4</v>
      </c>
      <c r="C1472" s="615">
        <v>63</v>
      </c>
      <c r="D1472" s="691">
        <v>62.8</v>
      </c>
      <c r="E1472" s="691">
        <v>62.4</v>
      </c>
      <c r="F1472" s="691">
        <v>62.8</v>
      </c>
      <c r="G1472" s="615">
        <v>63</v>
      </c>
      <c r="H1472" s="691">
        <v>63.2</v>
      </c>
      <c r="I1472" s="691">
        <v>63.3</v>
      </c>
      <c r="J1472" s="691">
        <v>63.5</v>
      </c>
      <c r="K1472" s="691">
        <v>62.4</v>
      </c>
    </row>
    <row r="1473" spans="1:11">
      <c r="A1473" s="688" t="s">
        <v>13</v>
      </c>
      <c r="B1473" s="689">
        <v>63.1</v>
      </c>
      <c r="C1473" s="689">
        <v>62.3</v>
      </c>
      <c r="D1473" s="689">
        <v>63.2</v>
      </c>
      <c r="E1473" s="689">
        <v>62.6</v>
      </c>
      <c r="F1473" s="689">
        <v>63.5</v>
      </c>
      <c r="G1473" s="689">
        <v>63.1</v>
      </c>
      <c r="H1473" s="693">
        <v>64</v>
      </c>
      <c r="I1473" s="693">
        <v>63</v>
      </c>
      <c r="J1473" s="689">
        <v>64.099999999999994</v>
      </c>
      <c r="K1473" s="689">
        <v>64.2</v>
      </c>
    </row>
    <row r="1474" spans="1:11">
      <c r="A1474" s="688" t="s">
        <v>18</v>
      </c>
      <c r="B1474" s="691">
        <v>62.2</v>
      </c>
      <c r="C1474" s="691">
        <v>62.4</v>
      </c>
      <c r="D1474" s="691">
        <v>62.6</v>
      </c>
      <c r="E1474" s="691">
        <v>62.8</v>
      </c>
      <c r="F1474" s="615">
        <v>63</v>
      </c>
      <c r="G1474" s="691">
        <v>63.1</v>
      </c>
      <c r="H1474" s="691">
        <v>63.3</v>
      </c>
      <c r="I1474" s="691">
        <v>63.5</v>
      </c>
      <c r="J1474" s="691">
        <v>63.5</v>
      </c>
      <c r="K1474" s="691">
        <v>62.9</v>
      </c>
    </row>
    <row r="1475" spans="1:11">
      <c r="A1475" s="688" t="s">
        <v>24</v>
      </c>
      <c r="B1475" s="689">
        <v>63.4</v>
      </c>
      <c r="C1475" s="689">
        <v>63.6</v>
      </c>
      <c r="D1475" s="689">
        <v>63.4</v>
      </c>
      <c r="E1475" s="689">
        <v>63.9</v>
      </c>
      <c r="F1475" s="689">
        <v>63.9</v>
      </c>
      <c r="G1475" s="689">
        <v>64.099999999999994</v>
      </c>
      <c r="H1475" s="689">
        <v>64.2</v>
      </c>
      <c r="I1475" s="689">
        <v>63.5</v>
      </c>
      <c r="J1475" s="689">
        <v>64.099999999999994</v>
      </c>
      <c r="K1475" s="693">
        <v>64</v>
      </c>
    </row>
    <row r="1476" spans="1:11">
      <c r="A1476" s="688" t="s">
        <v>4059</v>
      </c>
      <c r="B1476" s="691">
        <v>61.6</v>
      </c>
      <c r="C1476" s="691">
        <v>61.9</v>
      </c>
      <c r="D1476" s="691">
        <v>61.5</v>
      </c>
      <c r="E1476" s="691">
        <v>61.7</v>
      </c>
      <c r="F1476" s="691">
        <v>61.8</v>
      </c>
      <c r="G1476" s="691">
        <v>61.8</v>
      </c>
      <c r="H1476" s="692" t="s">
        <v>4060</v>
      </c>
      <c r="I1476" s="692" t="s">
        <v>4060</v>
      </c>
      <c r="J1476" s="692" t="s">
        <v>4060</v>
      </c>
      <c r="K1476" s="692" t="s">
        <v>4060</v>
      </c>
    </row>
    <row r="1477" spans="1:11">
      <c r="A1477" s="688" t="s">
        <v>2324</v>
      </c>
      <c r="B1477" s="689">
        <v>57.1</v>
      </c>
      <c r="C1477" s="689">
        <v>57.1</v>
      </c>
      <c r="D1477" s="689">
        <v>56.9</v>
      </c>
      <c r="E1477" s="693">
        <v>57</v>
      </c>
      <c r="F1477" s="693">
        <v>57</v>
      </c>
      <c r="G1477" s="689">
        <v>57.3</v>
      </c>
      <c r="H1477" s="689">
        <v>57.2</v>
      </c>
      <c r="I1477" s="689">
        <v>56.4</v>
      </c>
      <c r="J1477" s="689">
        <v>54.1</v>
      </c>
      <c r="K1477" s="690" t="s">
        <v>4060</v>
      </c>
    </row>
    <row r="1478" spans="1:11">
      <c r="A1478" s="688" t="s">
        <v>2322</v>
      </c>
      <c r="B1478" s="692" t="s">
        <v>4060</v>
      </c>
      <c r="C1478" s="692" t="s">
        <v>4060</v>
      </c>
      <c r="D1478" s="692" t="s">
        <v>4060</v>
      </c>
      <c r="E1478" s="692" t="s">
        <v>4060</v>
      </c>
      <c r="F1478" s="692" t="s">
        <v>4060</v>
      </c>
      <c r="G1478" s="692" t="s">
        <v>4060</v>
      </c>
      <c r="H1478" s="692" t="s">
        <v>4060</v>
      </c>
      <c r="I1478" s="692" t="s">
        <v>4060</v>
      </c>
      <c r="J1478" s="692" t="s">
        <v>4060</v>
      </c>
      <c r="K1478" s="692" t="s">
        <v>4060</v>
      </c>
    </row>
    <row r="1479" spans="1:11">
      <c r="A1479" s="688" t="s">
        <v>2328</v>
      </c>
      <c r="B1479" s="689">
        <v>56.5</v>
      </c>
      <c r="C1479" s="689">
        <v>56.5</v>
      </c>
      <c r="D1479" s="689">
        <v>56.4</v>
      </c>
      <c r="E1479" s="689">
        <v>56.6</v>
      </c>
      <c r="F1479" s="689">
        <v>56.9</v>
      </c>
      <c r="G1479" s="689">
        <v>57.3</v>
      </c>
      <c r="H1479" s="689">
        <v>57.3</v>
      </c>
      <c r="I1479" s="693">
        <v>55</v>
      </c>
      <c r="J1479" s="689">
        <v>53.8</v>
      </c>
      <c r="K1479" s="690" t="s">
        <v>4060</v>
      </c>
    </row>
    <row r="1480" spans="1:11">
      <c r="A1480" s="688" t="s">
        <v>2496</v>
      </c>
      <c r="B1480" s="692" t="s">
        <v>4060</v>
      </c>
      <c r="C1480" s="691">
        <v>55.3</v>
      </c>
      <c r="D1480" s="691">
        <v>54.2</v>
      </c>
      <c r="E1480" s="691">
        <v>53.8</v>
      </c>
      <c r="F1480" s="691">
        <v>54.6</v>
      </c>
      <c r="G1480" s="691">
        <v>54.9</v>
      </c>
      <c r="H1480" s="615">
        <v>55</v>
      </c>
      <c r="I1480" s="692" t="s">
        <v>4060</v>
      </c>
      <c r="J1480" s="692" t="s">
        <v>4060</v>
      </c>
      <c r="K1480" s="691">
        <v>54.6</v>
      </c>
    </row>
    <row r="1481" spans="1:11">
      <c r="A1481" s="688" t="s">
        <v>2269</v>
      </c>
      <c r="B1481" s="689">
        <v>59.1</v>
      </c>
      <c r="C1481" s="689">
        <v>59.2</v>
      </c>
      <c r="D1481" s="689">
        <v>58.9</v>
      </c>
      <c r="E1481" s="689">
        <v>59.6</v>
      </c>
      <c r="F1481" s="689">
        <v>59.5</v>
      </c>
      <c r="G1481" s="689">
        <v>59.9</v>
      </c>
      <c r="H1481" s="689">
        <v>60.2</v>
      </c>
      <c r="I1481" s="689">
        <v>58.3</v>
      </c>
      <c r="J1481" s="689">
        <v>56.4</v>
      </c>
      <c r="K1481" s="689">
        <v>59.9</v>
      </c>
    </row>
    <row r="1482" spans="1:11">
      <c r="A1482" s="688" t="s">
        <v>2349</v>
      </c>
      <c r="B1482" s="615">
        <v>56</v>
      </c>
      <c r="C1482" s="691">
        <v>56.1</v>
      </c>
      <c r="D1482" s="615">
        <v>56</v>
      </c>
      <c r="E1482" s="691">
        <v>56.4</v>
      </c>
      <c r="F1482" s="691">
        <v>56.2</v>
      </c>
      <c r="G1482" s="691">
        <v>56.6</v>
      </c>
      <c r="H1482" s="691">
        <v>56.6</v>
      </c>
      <c r="I1482" s="615">
        <v>55</v>
      </c>
      <c r="J1482" s="691">
        <v>53.4</v>
      </c>
      <c r="K1482" s="691">
        <v>55.8</v>
      </c>
    </row>
    <row r="1483" spans="1:11">
      <c r="A1483" s="688" t="s">
        <v>2355</v>
      </c>
      <c r="B1483" s="689">
        <v>59.7</v>
      </c>
      <c r="C1483" s="689">
        <v>59.6</v>
      </c>
      <c r="D1483" s="689">
        <v>59.5</v>
      </c>
      <c r="E1483" s="689">
        <v>59.4</v>
      </c>
      <c r="F1483" s="689">
        <v>59.7</v>
      </c>
      <c r="G1483" s="689">
        <v>60.1</v>
      </c>
      <c r="H1483" s="689">
        <v>60.2</v>
      </c>
      <c r="I1483" s="690" t="s">
        <v>4060</v>
      </c>
      <c r="J1483" s="690" t="s">
        <v>4060</v>
      </c>
      <c r="K1483" s="690" t="s">
        <v>4060</v>
      </c>
    </row>
    <row r="1484" spans="1:11">
      <c r="A1484" s="688" t="s">
        <v>2357</v>
      </c>
      <c r="B1484" s="692" t="s">
        <v>4060</v>
      </c>
      <c r="C1484" s="691">
        <v>52.7</v>
      </c>
      <c r="D1484" s="691">
        <v>53.5</v>
      </c>
      <c r="E1484" s="691">
        <v>53.8</v>
      </c>
      <c r="F1484" s="691">
        <v>54.1</v>
      </c>
      <c r="G1484" s="615">
        <v>54</v>
      </c>
      <c r="H1484" s="691">
        <v>54.3</v>
      </c>
      <c r="I1484" s="692" t="s">
        <v>4060</v>
      </c>
      <c r="J1484" s="692" t="s">
        <v>4060</v>
      </c>
      <c r="K1484" s="692" t="s">
        <v>4060</v>
      </c>
    </row>
    <row r="1485" spans="1:11">
      <c r="A1485" s="688" t="s">
        <v>4070</v>
      </c>
      <c r="B1485" s="690" t="s">
        <v>4060</v>
      </c>
      <c r="C1485" s="690" t="s">
        <v>4060</v>
      </c>
      <c r="D1485" s="690" t="s">
        <v>4060</v>
      </c>
      <c r="E1485" s="689">
        <v>59.3</v>
      </c>
      <c r="F1485" s="690" t="s">
        <v>4060</v>
      </c>
      <c r="G1485" s="690" t="s">
        <v>4060</v>
      </c>
      <c r="H1485" s="690" t="s">
        <v>4060</v>
      </c>
      <c r="I1485" s="690" t="s">
        <v>4060</v>
      </c>
      <c r="J1485" s="690" t="s">
        <v>4060</v>
      </c>
      <c r="K1485" s="690" t="s">
        <v>4060</v>
      </c>
    </row>
    <row r="1486" spans="1:11">
      <c r="A1486" s="688" t="s">
        <v>2491</v>
      </c>
      <c r="B1486" s="691">
        <v>53.3</v>
      </c>
      <c r="C1486" s="691">
        <v>53.9</v>
      </c>
      <c r="D1486" s="691">
        <v>54.4</v>
      </c>
      <c r="E1486" s="691">
        <v>54.7</v>
      </c>
      <c r="F1486" s="615">
        <v>55</v>
      </c>
      <c r="G1486" s="615">
        <v>55</v>
      </c>
      <c r="H1486" s="692" t="s">
        <v>4060</v>
      </c>
      <c r="I1486" s="692" t="s">
        <v>4060</v>
      </c>
      <c r="J1486" s="692" t="s">
        <v>4060</v>
      </c>
      <c r="K1486" s="692" t="s">
        <v>4060</v>
      </c>
    </row>
    <row r="1487" spans="1:11">
      <c r="A1487" s="688" t="s">
        <v>2343</v>
      </c>
      <c r="B1487" s="690" t="s">
        <v>4060</v>
      </c>
      <c r="C1487" s="690" t="s">
        <v>4060</v>
      </c>
      <c r="D1487" s="690" t="s">
        <v>4060</v>
      </c>
      <c r="E1487" s="690" t="s">
        <v>4060</v>
      </c>
      <c r="F1487" s="690" t="s">
        <v>4060</v>
      </c>
      <c r="G1487" s="690" t="s">
        <v>4060</v>
      </c>
      <c r="H1487" s="690" t="s">
        <v>4060</v>
      </c>
      <c r="I1487" s="690" t="s">
        <v>4060</v>
      </c>
      <c r="J1487" s="690" t="s">
        <v>4060</v>
      </c>
      <c r="K1487" s="690" t="s">
        <v>4060</v>
      </c>
    </row>
    <row r="1488" spans="1:11">
      <c r="A1488" s="688" t="s">
        <v>4071</v>
      </c>
      <c r="B1488" s="692" t="s">
        <v>4060</v>
      </c>
      <c r="C1488" s="692" t="s">
        <v>4060</v>
      </c>
      <c r="D1488" s="692" t="s">
        <v>4060</v>
      </c>
      <c r="E1488" s="692" t="s">
        <v>4060</v>
      </c>
      <c r="F1488" s="692" t="s">
        <v>4060</v>
      </c>
      <c r="G1488" s="692" t="s">
        <v>4060</v>
      </c>
      <c r="H1488" s="692" t="s">
        <v>4060</v>
      </c>
      <c r="I1488" s="692" t="s">
        <v>4060</v>
      </c>
      <c r="J1488" s="692" t="s">
        <v>4060</v>
      </c>
      <c r="K1488" s="692" t="s">
        <v>4060</v>
      </c>
    </row>
    <row r="1489" spans="1:11">
      <c r="A1489" s="688" t="s">
        <v>2489</v>
      </c>
      <c r="B1489" s="690" t="s">
        <v>4060</v>
      </c>
      <c r="C1489" s="690" t="s">
        <v>4060</v>
      </c>
      <c r="D1489" s="689">
        <v>56.1</v>
      </c>
      <c r="E1489" s="689">
        <v>56.2</v>
      </c>
      <c r="F1489" s="689">
        <v>56.8</v>
      </c>
      <c r="G1489" s="689">
        <v>57.6</v>
      </c>
      <c r="H1489" s="689">
        <v>57.4</v>
      </c>
      <c r="I1489" s="690" t="s">
        <v>4060</v>
      </c>
      <c r="J1489" s="690" t="s">
        <v>4060</v>
      </c>
      <c r="K1489" s="690" t="s">
        <v>4060</v>
      </c>
    </row>
    <row r="1490" spans="1:11">
      <c r="A1490" s="688" t="s">
        <v>2490</v>
      </c>
      <c r="B1490" s="615">
        <v>56</v>
      </c>
      <c r="C1490" s="691">
        <v>56.1</v>
      </c>
      <c r="D1490" s="691">
        <v>56.7</v>
      </c>
      <c r="E1490" s="692" t="s">
        <v>4060</v>
      </c>
      <c r="F1490" s="691">
        <v>56.9</v>
      </c>
      <c r="G1490" s="691">
        <v>57.3</v>
      </c>
      <c r="H1490" s="615">
        <v>58</v>
      </c>
      <c r="I1490" s="692" t="s">
        <v>4060</v>
      </c>
      <c r="J1490" s="692" t="s">
        <v>4060</v>
      </c>
      <c r="K1490" s="692" t="s">
        <v>4060</v>
      </c>
    </row>
    <row r="1492" spans="1:11">
      <c r="A1492" s="683" t="s">
        <v>4233</v>
      </c>
    </row>
    <row r="1493" spans="1:11">
      <c r="A1493" s="683" t="s">
        <v>4060</v>
      </c>
      <c r="B1493" s="682" t="s">
        <v>4234</v>
      </c>
    </row>
    <row r="1495" spans="1:11">
      <c r="A1495" s="682" t="s">
        <v>4248</v>
      </c>
    </row>
    <row r="1496" spans="1:11">
      <c r="A1496" s="682" t="s">
        <v>4210</v>
      </c>
      <c r="B1496" s="683" t="s">
        <v>4211</v>
      </c>
    </row>
    <row r="1497" spans="1:11">
      <c r="A1497" s="682" t="s">
        <v>4212</v>
      </c>
      <c r="B1497" s="682" t="s">
        <v>4213</v>
      </c>
    </row>
    <row r="1499" spans="1:11">
      <c r="A1499" s="683" t="s">
        <v>4214</v>
      </c>
      <c r="C1499" s="682" t="s">
        <v>4215</v>
      </c>
    </row>
    <row r="1500" spans="1:11">
      <c r="A1500" s="683" t="s">
        <v>4216</v>
      </c>
      <c r="C1500" s="682" t="s">
        <v>2967</v>
      </c>
    </row>
    <row r="1501" spans="1:11">
      <c r="A1501" s="683" t="s">
        <v>3893</v>
      </c>
      <c r="C1501" s="682" t="s">
        <v>4217</v>
      </c>
    </row>
    <row r="1502" spans="1:11">
      <c r="A1502" s="683" t="s">
        <v>4218</v>
      </c>
      <c r="C1502" s="682" t="s">
        <v>4256</v>
      </c>
    </row>
    <row r="1504" spans="1:11">
      <c r="A1504" s="684" t="s">
        <v>4220</v>
      </c>
      <c r="B1504" s="685" t="s">
        <v>4221</v>
      </c>
      <c r="C1504" s="685" t="s">
        <v>4222</v>
      </c>
      <c r="D1504" s="685" t="s">
        <v>4223</v>
      </c>
      <c r="E1504" s="685" t="s">
        <v>4224</v>
      </c>
      <c r="F1504" s="685" t="s">
        <v>4225</v>
      </c>
      <c r="G1504" s="685" t="s">
        <v>4226</v>
      </c>
      <c r="H1504" s="685" t="s">
        <v>4227</v>
      </c>
      <c r="I1504" s="685" t="s">
        <v>4228</v>
      </c>
      <c r="J1504" s="685" t="s">
        <v>4229</v>
      </c>
      <c r="K1504" s="685" t="s">
        <v>4230</v>
      </c>
    </row>
    <row r="1505" spans="1:11">
      <c r="A1505" s="686" t="s">
        <v>4231</v>
      </c>
      <c r="B1505" s="687" t="s">
        <v>4232</v>
      </c>
      <c r="C1505" s="687" t="s">
        <v>4232</v>
      </c>
      <c r="D1505" s="687" t="s">
        <v>4232</v>
      </c>
      <c r="E1505" s="687" t="s">
        <v>4232</v>
      </c>
      <c r="F1505" s="687" t="s">
        <v>4232</v>
      </c>
      <c r="G1505" s="687" t="s">
        <v>4232</v>
      </c>
      <c r="H1505" s="687" t="s">
        <v>4232</v>
      </c>
      <c r="I1505" s="687" t="s">
        <v>4232</v>
      </c>
      <c r="J1505" s="687" t="s">
        <v>4232</v>
      </c>
      <c r="K1505" s="687" t="s">
        <v>4232</v>
      </c>
    </row>
    <row r="1506" spans="1:11">
      <c r="A1506" s="688" t="s">
        <v>4064</v>
      </c>
      <c r="B1506" s="615">
        <v>60</v>
      </c>
      <c r="C1506" s="691">
        <v>60.1</v>
      </c>
      <c r="D1506" s="615">
        <v>60</v>
      </c>
      <c r="E1506" s="691">
        <v>60.2</v>
      </c>
      <c r="F1506" s="691">
        <v>60.2</v>
      </c>
      <c r="G1506" s="691">
        <v>60.3</v>
      </c>
      <c r="H1506" s="691">
        <v>60.6</v>
      </c>
      <c r="I1506" s="691">
        <v>59.7</v>
      </c>
      <c r="J1506" s="691">
        <v>59.4</v>
      </c>
      <c r="K1506" s="615">
        <v>60</v>
      </c>
    </row>
    <row r="1507" spans="1:11">
      <c r="A1507" s="688" t="s">
        <v>4065</v>
      </c>
      <c r="B1507" s="689">
        <v>60.1</v>
      </c>
      <c r="C1507" s="689">
        <v>60.4</v>
      </c>
      <c r="D1507" s="689">
        <v>60.1</v>
      </c>
      <c r="E1507" s="689">
        <v>60.5</v>
      </c>
      <c r="F1507" s="689">
        <v>60.4</v>
      </c>
      <c r="G1507" s="689">
        <v>60.5</v>
      </c>
      <c r="H1507" s="690" t="s">
        <v>4060</v>
      </c>
      <c r="I1507" s="690" t="s">
        <v>4060</v>
      </c>
      <c r="J1507" s="690" t="s">
        <v>4060</v>
      </c>
      <c r="K1507" s="690" t="s">
        <v>4060</v>
      </c>
    </row>
    <row r="1508" spans="1:11">
      <c r="A1508" s="688" t="s">
        <v>4063</v>
      </c>
      <c r="B1508" s="691">
        <v>60.1</v>
      </c>
      <c r="C1508" s="691">
        <v>60.5</v>
      </c>
      <c r="D1508" s="691">
        <v>60.1</v>
      </c>
      <c r="E1508" s="691">
        <v>60.5</v>
      </c>
      <c r="F1508" s="691">
        <v>60.5</v>
      </c>
      <c r="G1508" s="691">
        <v>60.5</v>
      </c>
      <c r="H1508" s="692" t="s">
        <v>4060</v>
      </c>
      <c r="I1508" s="692" t="s">
        <v>4060</v>
      </c>
      <c r="J1508" s="692" t="s">
        <v>4060</v>
      </c>
      <c r="K1508" s="692" t="s">
        <v>4060</v>
      </c>
    </row>
    <row r="1509" spans="1:11">
      <c r="A1509" s="688" t="s">
        <v>4069</v>
      </c>
      <c r="B1509" s="690" t="s">
        <v>4060</v>
      </c>
      <c r="C1509" s="689">
        <v>61.1</v>
      </c>
      <c r="D1509" s="689">
        <v>60.8</v>
      </c>
      <c r="E1509" s="689">
        <v>61.2</v>
      </c>
      <c r="F1509" s="689">
        <v>61.2</v>
      </c>
      <c r="G1509" s="689">
        <v>61.3</v>
      </c>
      <c r="H1509" s="689">
        <v>61.6</v>
      </c>
      <c r="I1509" s="689">
        <v>60.9</v>
      </c>
      <c r="J1509" s="689">
        <v>60.9</v>
      </c>
      <c r="K1509" s="693">
        <v>61</v>
      </c>
    </row>
    <row r="1510" spans="1:11">
      <c r="A1510" s="688" t="s">
        <v>4068</v>
      </c>
      <c r="B1510" s="691">
        <v>61.1</v>
      </c>
      <c r="C1510" s="692" t="s">
        <v>4060</v>
      </c>
      <c r="D1510" s="692" t="s">
        <v>4060</v>
      </c>
      <c r="E1510" s="692" t="s">
        <v>4060</v>
      </c>
      <c r="F1510" s="692" t="s">
        <v>4060</v>
      </c>
      <c r="G1510" s="692" t="s">
        <v>4060</v>
      </c>
      <c r="H1510" s="692" t="s">
        <v>4060</v>
      </c>
      <c r="I1510" s="692" t="s">
        <v>4060</v>
      </c>
      <c r="J1510" s="692" t="s">
        <v>4060</v>
      </c>
      <c r="K1510" s="692" t="s">
        <v>4060</v>
      </c>
    </row>
    <row r="1511" spans="1:11">
      <c r="A1511" s="688" t="s">
        <v>0</v>
      </c>
      <c r="B1511" s="689">
        <v>60.2</v>
      </c>
      <c r="C1511" s="689">
        <v>60.6</v>
      </c>
      <c r="D1511" s="689">
        <v>60.4</v>
      </c>
      <c r="E1511" s="689">
        <v>60.7</v>
      </c>
      <c r="F1511" s="689">
        <v>60.9</v>
      </c>
      <c r="G1511" s="693">
        <v>61</v>
      </c>
      <c r="H1511" s="689">
        <v>61.3</v>
      </c>
      <c r="I1511" s="689">
        <v>60.2</v>
      </c>
      <c r="J1511" s="689">
        <v>61.1</v>
      </c>
      <c r="K1511" s="689">
        <v>61.1</v>
      </c>
    </row>
    <row r="1512" spans="1:11">
      <c r="A1512" s="688" t="s">
        <v>1</v>
      </c>
      <c r="B1512" s="691">
        <v>54.9</v>
      </c>
      <c r="C1512" s="691">
        <v>54.4</v>
      </c>
      <c r="D1512" s="691">
        <v>54.4</v>
      </c>
      <c r="E1512" s="691">
        <v>54.6</v>
      </c>
      <c r="F1512" s="691">
        <v>54.5</v>
      </c>
      <c r="G1512" s="691">
        <v>54.6</v>
      </c>
      <c r="H1512" s="691">
        <v>54.7</v>
      </c>
      <c r="I1512" s="615">
        <v>53</v>
      </c>
      <c r="J1512" s="615">
        <v>51</v>
      </c>
      <c r="K1512" s="691">
        <v>53.8</v>
      </c>
    </row>
    <row r="1513" spans="1:11">
      <c r="A1513" s="688" t="s">
        <v>2240</v>
      </c>
      <c r="B1513" s="689">
        <v>57.7</v>
      </c>
      <c r="C1513" s="689">
        <v>58.2</v>
      </c>
      <c r="D1513" s="693">
        <v>58</v>
      </c>
      <c r="E1513" s="689">
        <v>58.4</v>
      </c>
      <c r="F1513" s="689">
        <v>58.4</v>
      </c>
      <c r="G1513" s="689">
        <v>58.4</v>
      </c>
      <c r="H1513" s="689">
        <v>58.7</v>
      </c>
      <c r="I1513" s="689">
        <v>57.7</v>
      </c>
      <c r="J1513" s="689">
        <v>56.6</v>
      </c>
      <c r="K1513" s="689">
        <v>58.4</v>
      </c>
    </row>
    <row r="1514" spans="1:11">
      <c r="A1514" s="688" t="s">
        <v>2</v>
      </c>
      <c r="B1514" s="691">
        <v>59.8</v>
      </c>
      <c r="C1514" s="691">
        <v>60.1</v>
      </c>
      <c r="D1514" s="691">
        <v>60.2</v>
      </c>
      <c r="E1514" s="691">
        <v>60.3</v>
      </c>
      <c r="F1514" s="691">
        <v>60.6</v>
      </c>
      <c r="G1514" s="691">
        <v>60.4</v>
      </c>
      <c r="H1514" s="691">
        <v>60.8</v>
      </c>
      <c r="I1514" s="615">
        <v>61</v>
      </c>
      <c r="J1514" s="691">
        <v>60.8</v>
      </c>
      <c r="K1514" s="691">
        <v>60.7</v>
      </c>
    </row>
    <row r="1515" spans="1:11">
      <c r="A1515" s="688" t="s">
        <v>3</v>
      </c>
      <c r="B1515" s="689">
        <v>60.1</v>
      </c>
      <c r="C1515" s="689">
        <v>60.4</v>
      </c>
      <c r="D1515" s="693">
        <v>60</v>
      </c>
      <c r="E1515" s="689">
        <v>60.3</v>
      </c>
      <c r="F1515" s="689">
        <v>60.4</v>
      </c>
      <c r="G1515" s="689">
        <v>60.3</v>
      </c>
      <c r="H1515" s="689">
        <v>60.7</v>
      </c>
      <c r="I1515" s="689">
        <v>60.4</v>
      </c>
      <c r="J1515" s="689">
        <v>60.1</v>
      </c>
      <c r="K1515" s="693">
        <v>60</v>
      </c>
    </row>
    <row r="1516" spans="1:11">
      <c r="A1516" s="688" t="s">
        <v>4061</v>
      </c>
      <c r="B1516" s="691">
        <v>60.1</v>
      </c>
      <c r="C1516" s="691">
        <v>60.4</v>
      </c>
      <c r="D1516" s="615">
        <v>60</v>
      </c>
      <c r="E1516" s="691">
        <v>60.3</v>
      </c>
      <c r="F1516" s="691">
        <v>60.4</v>
      </c>
      <c r="G1516" s="691">
        <v>60.3</v>
      </c>
      <c r="H1516" s="691">
        <v>60.7</v>
      </c>
      <c r="I1516" s="691">
        <v>60.4</v>
      </c>
      <c r="J1516" s="691">
        <v>60.1</v>
      </c>
      <c r="K1516" s="615">
        <v>60</v>
      </c>
    </row>
    <row r="1517" spans="1:11">
      <c r="A1517" s="688" t="s">
        <v>4</v>
      </c>
      <c r="B1517" s="693">
        <v>57</v>
      </c>
      <c r="C1517" s="689">
        <v>56.7</v>
      </c>
      <c r="D1517" s="689">
        <v>57.2</v>
      </c>
      <c r="E1517" s="689">
        <v>57.3</v>
      </c>
      <c r="F1517" s="689">
        <v>57.7</v>
      </c>
      <c r="G1517" s="689">
        <v>57.8</v>
      </c>
      <c r="H1517" s="689">
        <v>58.2</v>
      </c>
      <c r="I1517" s="689">
        <v>58.1</v>
      </c>
      <c r="J1517" s="689">
        <v>56.6</v>
      </c>
      <c r="K1517" s="689">
        <v>57.5</v>
      </c>
    </row>
    <row r="1518" spans="1:11">
      <c r="A1518" s="688" t="s">
        <v>8</v>
      </c>
      <c r="B1518" s="691">
        <v>60.5</v>
      </c>
      <c r="C1518" s="691">
        <v>60.7</v>
      </c>
      <c r="D1518" s="691">
        <v>60.8</v>
      </c>
      <c r="E1518" s="615">
        <v>61</v>
      </c>
      <c r="F1518" s="691">
        <v>61.4</v>
      </c>
      <c r="G1518" s="691">
        <v>61.4</v>
      </c>
      <c r="H1518" s="691">
        <v>61.9</v>
      </c>
      <c r="I1518" s="691">
        <v>61.7</v>
      </c>
      <c r="J1518" s="691">
        <v>61.5</v>
      </c>
      <c r="K1518" s="691">
        <v>61.8</v>
      </c>
    </row>
    <row r="1519" spans="1:11">
      <c r="A1519" s="688" t="s">
        <v>7</v>
      </c>
      <c r="B1519" s="689">
        <v>60.9</v>
      </c>
      <c r="C1519" s="689">
        <v>60.5</v>
      </c>
      <c r="D1519" s="689">
        <v>60.3</v>
      </c>
      <c r="E1519" s="689">
        <v>60.6</v>
      </c>
      <c r="F1519" s="689">
        <v>60.5</v>
      </c>
      <c r="G1519" s="693">
        <v>61</v>
      </c>
      <c r="H1519" s="689">
        <v>60.9</v>
      </c>
      <c r="I1519" s="689">
        <v>60.6</v>
      </c>
      <c r="J1519" s="689">
        <v>59.5</v>
      </c>
      <c r="K1519" s="689">
        <v>60.2</v>
      </c>
    </row>
    <row r="1520" spans="1:11">
      <c r="A1520" s="688" t="s">
        <v>27</v>
      </c>
      <c r="B1520" s="691">
        <v>62.6</v>
      </c>
      <c r="C1520" s="691">
        <v>62.3</v>
      </c>
      <c r="D1520" s="615">
        <v>62</v>
      </c>
      <c r="E1520" s="691">
        <v>62.4</v>
      </c>
      <c r="F1520" s="691">
        <v>62.4</v>
      </c>
      <c r="G1520" s="691">
        <v>62.5</v>
      </c>
      <c r="H1520" s="691">
        <v>62.9</v>
      </c>
      <c r="I1520" s="691">
        <v>61.6</v>
      </c>
      <c r="J1520" s="691">
        <v>62.4</v>
      </c>
      <c r="K1520" s="691">
        <v>62.5</v>
      </c>
    </row>
    <row r="1521" spans="1:11">
      <c r="A1521" s="688" t="s">
        <v>6</v>
      </c>
      <c r="B1521" s="689">
        <v>61.9</v>
      </c>
      <c r="C1521" s="689">
        <v>61.9</v>
      </c>
      <c r="D1521" s="689">
        <v>61.7</v>
      </c>
      <c r="E1521" s="689">
        <v>61.9</v>
      </c>
      <c r="F1521" s="693">
        <v>62</v>
      </c>
      <c r="G1521" s="689">
        <v>62.1</v>
      </c>
      <c r="H1521" s="689">
        <v>62.3</v>
      </c>
      <c r="I1521" s="689">
        <v>61.7</v>
      </c>
      <c r="J1521" s="689">
        <v>61.8</v>
      </c>
      <c r="K1521" s="689">
        <v>61.8</v>
      </c>
    </row>
    <row r="1522" spans="1:11">
      <c r="A1522" s="688" t="s">
        <v>4058</v>
      </c>
      <c r="B1522" s="692" t="s">
        <v>4060</v>
      </c>
      <c r="C1522" s="692" t="s">
        <v>4060</v>
      </c>
      <c r="D1522" s="692" t="s">
        <v>4060</v>
      </c>
      <c r="E1522" s="692" t="s">
        <v>4060</v>
      </c>
      <c r="F1522" s="692" t="s">
        <v>4060</v>
      </c>
      <c r="G1522" s="692" t="s">
        <v>4060</v>
      </c>
      <c r="H1522" s="692" t="s">
        <v>4060</v>
      </c>
      <c r="I1522" s="692" t="s">
        <v>4060</v>
      </c>
      <c r="J1522" s="692" t="s">
        <v>4060</v>
      </c>
      <c r="K1522" s="692" t="s">
        <v>4060</v>
      </c>
    </row>
    <row r="1523" spans="1:11">
      <c r="A1523" s="688" t="s">
        <v>11</v>
      </c>
      <c r="B1523" s="689">
        <v>57.4</v>
      </c>
      <c r="C1523" s="689">
        <v>57.4</v>
      </c>
      <c r="D1523" s="689">
        <v>56.9</v>
      </c>
      <c r="E1523" s="689">
        <v>57.6</v>
      </c>
      <c r="F1523" s="689">
        <v>57.4</v>
      </c>
      <c r="G1523" s="689">
        <v>57.6</v>
      </c>
      <c r="H1523" s="689">
        <v>57.8</v>
      </c>
      <c r="I1523" s="689">
        <v>57.1</v>
      </c>
      <c r="J1523" s="689">
        <v>56.1</v>
      </c>
      <c r="K1523" s="689">
        <v>57.2</v>
      </c>
    </row>
    <row r="1524" spans="1:11">
      <c r="A1524" s="688" t="s">
        <v>10</v>
      </c>
      <c r="B1524" s="691">
        <v>62.3</v>
      </c>
      <c r="C1524" s="691">
        <v>62.2</v>
      </c>
      <c r="D1524" s="691">
        <v>61.8</v>
      </c>
      <c r="E1524" s="691">
        <v>62.4</v>
      </c>
      <c r="F1524" s="691">
        <v>62.2</v>
      </c>
      <c r="G1524" s="691">
        <v>62.6</v>
      </c>
      <c r="H1524" s="691">
        <v>62.8</v>
      </c>
      <c r="I1524" s="691">
        <v>61.6</v>
      </c>
      <c r="J1524" s="615">
        <v>62</v>
      </c>
      <c r="K1524" s="691">
        <v>62.1</v>
      </c>
    </row>
    <row r="1525" spans="1:11">
      <c r="A1525" s="688" t="s">
        <v>30</v>
      </c>
      <c r="B1525" s="689">
        <v>61.9</v>
      </c>
      <c r="C1525" s="689">
        <v>61.6</v>
      </c>
      <c r="D1525" s="689">
        <v>61.3</v>
      </c>
      <c r="E1525" s="689">
        <v>62.2</v>
      </c>
      <c r="F1525" s="689">
        <v>61.7</v>
      </c>
      <c r="G1525" s="689">
        <v>62.4</v>
      </c>
      <c r="H1525" s="689">
        <v>62.1</v>
      </c>
      <c r="I1525" s="693">
        <v>62</v>
      </c>
      <c r="J1525" s="689">
        <v>61.2</v>
      </c>
      <c r="K1525" s="689">
        <v>61.6</v>
      </c>
    </row>
    <row r="1526" spans="1:11">
      <c r="A1526" s="688" t="s">
        <v>12</v>
      </c>
      <c r="B1526" s="615">
        <v>54</v>
      </c>
      <c r="C1526" s="615">
        <v>54</v>
      </c>
      <c r="D1526" s="691">
        <v>54.3</v>
      </c>
      <c r="E1526" s="691">
        <v>54.4</v>
      </c>
      <c r="F1526" s="691">
        <v>54.5</v>
      </c>
      <c r="G1526" s="691">
        <v>54.6</v>
      </c>
      <c r="H1526" s="691">
        <v>55.2</v>
      </c>
      <c r="I1526" s="615">
        <v>55</v>
      </c>
      <c r="J1526" s="691">
        <v>52.6</v>
      </c>
      <c r="K1526" s="615">
        <v>54</v>
      </c>
    </row>
    <row r="1527" spans="1:11">
      <c r="A1527" s="688" t="s">
        <v>14</v>
      </c>
      <c r="B1527" s="689">
        <v>53.8</v>
      </c>
      <c r="C1527" s="689">
        <v>54.3</v>
      </c>
      <c r="D1527" s="689">
        <v>54.2</v>
      </c>
      <c r="E1527" s="689">
        <v>54.4</v>
      </c>
      <c r="F1527" s="689">
        <v>55.2</v>
      </c>
      <c r="G1527" s="689">
        <v>55.5</v>
      </c>
      <c r="H1527" s="689">
        <v>55.9</v>
      </c>
      <c r="I1527" s="689">
        <v>54.7</v>
      </c>
      <c r="J1527" s="689">
        <v>53.8</v>
      </c>
      <c r="K1527" s="689">
        <v>55.3</v>
      </c>
    </row>
    <row r="1528" spans="1:11">
      <c r="A1528" s="688" t="s">
        <v>15</v>
      </c>
      <c r="B1528" s="691">
        <v>61.4</v>
      </c>
      <c r="C1528" s="691">
        <v>61.3</v>
      </c>
      <c r="D1528" s="691">
        <v>61.4</v>
      </c>
      <c r="E1528" s="691">
        <v>61.8</v>
      </c>
      <c r="F1528" s="691">
        <v>61.3</v>
      </c>
      <c r="G1528" s="691">
        <v>61.6</v>
      </c>
      <c r="H1528" s="615">
        <v>62</v>
      </c>
      <c r="I1528" s="691">
        <v>61.6</v>
      </c>
      <c r="J1528" s="691">
        <v>61.9</v>
      </c>
      <c r="K1528" s="691">
        <v>62.3</v>
      </c>
    </row>
    <row r="1529" spans="1:11">
      <c r="A1529" s="688" t="s">
        <v>29</v>
      </c>
      <c r="B1529" s="689">
        <v>55.4</v>
      </c>
      <c r="C1529" s="689">
        <v>55.4</v>
      </c>
      <c r="D1529" s="689">
        <v>55.2</v>
      </c>
      <c r="E1529" s="689">
        <v>55.6</v>
      </c>
      <c r="F1529" s="689">
        <v>55.4</v>
      </c>
      <c r="G1529" s="689">
        <v>55.5</v>
      </c>
      <c r="H1529" s="689">
        <v>55.8</v>
      </c>
      <c r="I1529" s="693">
        <v>55</v>
      </c>
      <c r="J1529" s="689">
        <v>53.6</v>
      </c>
      <c r="K1529" s="689">
        <v>55.4</v>
      </c>
    </row>
    <row r="1530" spans="1:11">
      <c r="A1530" s="688" t="s">
        <v>16</v>
      </c>
      <c r="B1530" s="691">
        <v>61.5</v>
      </c>
      <c r="C1530" s="691">
        <v>61.4</v>
      </c>
      <c r="D1530" s="691">
        <v>61.4</v>
      </c>
      <c r="E1530" s="691">
        <v>61.9</v>
      </c>
      <c r="F1530" s="691">
        <v>61.8</v>
      </c>
      <c r="G1530" s="691">
        <v>61.7</v>
      </c>
      <c r="H1530" s="691">
        <v>62.2</v>
      </c>
      <c r="I1530" s="691">
        <v>61.4</v>
      </c>
      <c r="J1530" s="691">
        <v>61.6</v>
      </c>
      <c r="K1530" s="691">
        <v>61.7</v>
      </c>
    </row>
    <row r="1531" spans="1:11">
      <c r="A1531" s="688" t="s">
        <v>17</v>
      </c>
      <c r="B1531" s="689">
        <v>60.9</v>
      </c>
      <c r="C1531" s="689">
        <v>61.1</v>
      </c>
      <c r="D1531" s="689">
        <v>60.9</v>
      </c>
      <c r="E1531" s="693">
        <v>61</v>
      </c>
      <c r="F1531" s="689">
        <v>61.2</v>
      </c>
      <c r="G1531" s="689">
        <v>61.2</v>
      </c>
      <c r="H1531" s="689">
        <v>61.5</v>
      </c>
      <c r="I1531" s="689">
        <v>60.9</v>
      </c>
      <c r="J1531" s="689">
        <v>60.8</v>
      </c>
      <c r="K1531" s="689">
        <v>61.1</v>
      </c>
    </row>
    <row r="1532" spans="1:11">
      <c r="A1532" s="688" t="s">
        <v>19</v>
      </c>
      <c r="B1532" s="691">
        <v>60.8</v>
      </c>
      <c r="C1532" s="691">
        <v>60.9</v>
      </c>
      <c r="D1532" s="691">
        <v>60.6</v>
      </c>
      <c r="E1532" s="691">
        <v>61.1</v>
      </c>
      <c r="F1532" s="691">
        <v>61.1</v>
      </c>
      <c r="G1532" s="691">
        <v>61.1</v>
      </c>
      <c r="H1532" s="691">
        <v>61.4</v>
      </c>
      <c r="I1532" s="691">
        <v>60.8</v>
      </c>
      <c r="J1532" s="691">
        <v>60.7</v>
      </c>
      <c r="K1532" s="691">
        <v>60.9</v>
      </c>
    </row>
    <row r="1533" spans="1:11">
      <c r="A1533" s="688" t="s">
        <v>20</v>
      </c>
      <c r="B1533" s="689">
        <v>56.8</v>
      </c>
      <c r="C1533" s="689">
        <v>57.2</v>
      </c>
      <c r="D1533" s="693">
        <v>57</v>
      </c>
      <c r="E1533" s="689">
        <v>57.3</v>
      </c>
      <c r="F1533" s="689">
        <v>57.2</v>
      </c>
      <c r="G1533" s="689">
        <v>57.1</v>
      </c>
      <c r="H1533" s="689">
        <v>57.4</v>
      </c>
      <c r="I1533" s="689">
        <v>55.9</v>
      </c>
      <c r="J1533" s="689">
        <v>54.9</v>
      </c>
      <c r="K1533" s="689">
        <v>56.7</v>
      </c>
    </row>
    <row r="1534" spans="1:11">
      <c r="A1534" s="688" t="s">
        <v>21</v>
      </c>
      <c r="B1534" s="691">
        <v>60.4</v>
      </c>
      <c r="C1534" s="691">
        <v>60.7</v>
      </c>
      <c r="D1534" s="691">
        <v>60.8</v>
      </c>
      <c r="E1534" s="691">
        <v>60.8</v>
      </c>
      <c r="F1534" s="691">
        <v>61.1</v>
      </c>
      <c r="G1534" s="691">
        <v>61.1</v>
      </c>
      <c r="H1534" s="691">
        <v>61.4</v>
      </c>
      <c r="I1534" s="691">
        <v>60.8</v>
      </c>
      <c r="J1534" s="691">
        <v>60.8</v>
      </c>
      <c r="K1534" s="691">
        <v>61.1</v>
      </c>
    </row>
    <row r="1535" spans="1:11">
      <c r="A1535" s="688" t="s">
        <v>22</v>
      </c>
      <c r="B1535" s="689">
        <v>55.2</v>
      </c>
      <c r="C1535" s="689">
        <v>54.9</v>
      </c>
      <c r="D1535" s="689">
        <v>54.9</v>
      </c>
      <c r="E1535" s="689">
        <v>55.1</v>
      </c>
      <c r="F1535" s="689">
        <v>55.1</v>
      </c>
      <c r="G1535" s="689">
        <v>55.1</v>
      </c>
      <c r="H1535" s="689">
        <v>55.3</v>
      </c>
      <c r="I1535" s="689">
        <v>53.8</v>
      </c>
      <c r="J1535" s="689">
        <v>52.5</v>
      </c>
      <c r="K1535" s="689">
        <v>54.8</v>
      </c>
    </row>
    <row r="1536" spans="1:11">
      <c r="A1536" s="688" t="s">
        <v>26</v>
      </c>
      <c r="B1536" s="691">
        <v>59.9</v>
      </c>
      <c r="C1536" s="691">
        <v>60.2</v>
      </c>
      <c r="D1536" s="615">
        <v>60</v>
      </c>
      <c r="E1536" s="691">
        <v>60.4</v>
      </c>
      <c r="F1536" s="691">
        <v>60.3</v>
      </c>
      <c r="G1536" s="691">
        <v>60.6</v>
      </c>
      <c r="H1536" s="691">
        <v>60.7</v>
      </c>
      <c r="I1536" s="691">
        <v>59.8</v>
      </c>
      <c r="J1536" s="615">
        <v>60</v>
      </c>
      <c r="K1536" s="691">
        <v>60.5</v>
      </c>
    </row>
    <row r="1537" spans="1:11">
      <c r="A1537" s="688" t="s">
        <v>25</v>
      </c>
      <c r="B1537" s="689">
        <v>56.3</v>
      </c>
      <c r="C1537" s="689">
        <v>56.7</v>
      </c>
      <c r="D1537" s="689">
        <v>56.4</v>
      </c>
      <c r="E1537" s="689">
        <v>56.9</v>
      </c>
      <c r="F1537" s="689">
        <v>56.9</v>
      </c>
      <c r="G1537" s="693">
        <v>57</v>
      </c>
      <c r="H1537" s="689">
        <v>57.4</v>
      </c>
      <c r="I1537" s="689">
        <v>56.7</v>
      </c>
      <c r="J1537" s="689">
        <v>54.3</v>
      </c>
      <c r="K1537" s="689">
        <v>56.7</v>
      </c>
    </row>
    <row r="1538" spans="1:11">
      <c r="A1538" s="688" t="s">
        <v>5</v>
      </c>
      <c r="B1538" s="691">
        <v>60.5</v>
      </c>
      <c r="C1538" s="691">
        <v>60.5</v>
      </c>
      <c r="D1538" s="691">
        <v>60.7</v>
      </c>
      <c r="E1538" s="691">
        <v>60.7</v>
      </c>
      <c r="F1538" s="691">
        <v>60.9</v>
      </c>
      <c r="G1538" s="615">
        <v>61</v>
      </c>
      <c r="H1538" s="691">
        <v>61.3</v>
      </c>
      <c r="I1538" s="691">
        <v>61.2</v>
      </c>
      <c r="J1538" s="691">
        <v>61.2</v>
      </c>
      <c r="K1538" s="691">
        <v>60.6</v>
      </c>
    </row>
    <row r="1539" spans="1:11">
      <c r="A1539" s="688" t="s">
        <v>23</v>
      </c>
      <c r="B1539" s="689">
        <v>61.4</v>
      </c>
      <c r="C1539" s="689">
        <v>61.6</v>
      </c>
      <c r="D1539" s="689">
        <v>61.6</v>
      </c>
      <c r="E1539" s="689">
        <v>61.7</v>
      </c>
      <c r="F1539" s="689">
        <v>61.8</v>
      </c>
      <c r="G1539" s="689">
        <v>61.9</v>
      </c>
      <c r="H1539" s="689">
        <v>62.4</v>
      </c>
      <c r="I1539" s="689">
        <v>61.8</v>
      </c>
      <c r="J1539" s="689">
        <v>62.4</v>
      </c>
      <c r="K1539" s="689">
        <v>62.4</v>
      </c>
    </row>
    <row r="1540" spans="1:11">
      <c r="A1540" s="688" t="s">
        <v>4067</v>
      </c>
      <c r="B1540" s="691">
        <v>60.1</v>
      </c>
      <c r="C1540" s="691">
        <v>60.4</v>
      </c>
      <c r="D1540" s="691">
        <v>60.1</v>
      </c>
      <c r="E1540" s="691">
        <v>60.5</v>
      </c>
      <c r="F1540" s="691">
        <v>60.5</v>
      </c>
      <c r="G1540" s="691">
        <v>60.5</v>
      </c>
      <c r="H1540" s="692" t="s">
        <v>4060</v>
      </c>
      <c r="I1540" s="692" t="s">
        <v>4060</v>
      </c>
      <c r="J1540" s="692" t="s">
        <v>4060</v>
      </c>
      <c r="K1540" s="692" t="s">
        <v>4060</v>
      </c>
    </row>
    <row r="1541" spans="1:11">
      <c r="A1541" s="688" t="s">
        <v>4066</v>
      </c>
      <c r="B1541" s="689">
        <v>60.1</v>
      </c>
      <c r="C1541" s="689">
        <v>60.5</v>
      </c>
      <c r="D1541" s="689">
        <v>60.2</v>
      </c>
      <c r="E1541" s="689">
        <v>60.5</v>
      </c>
      <c r="F1541" s="689">
        <v>60.5</v>
      </c>
      <c r="G1541" s="689">
        <v>60.6</v>
      </c>
      <c r="H1541" s="690" t="s">
        <v>4060</v>
      </c>
      <c r="I1541" s="690" t="s">
        <v>4060</v>
      </c>
      <c r="J1541" s="690" t="s">
        <v>4060</v>
      </c>
      <c r="K1541" s="690" t="s">
        <v>4060</v>
      </c>
    </row>
    <row r="1542" spans="1:11">
      <c r="A1542" s="688" t="s">
        <v>4062</v>
      </c>
      <c r="B1542" s="615">
        <v>62</v>
      </c>
      <c r="C1542" s="691">
        <v>62.2</v>
      </c>
      <c r="D1542" s="691">
        <v>62.1</v>
      </c>
      <c r="E1542" s="691">
        <v>62.5</v>
      </c>
      <c r="F1542" s="691">
        <v>62.6</v>
      </c>
      <c r="G1542" s="691">
        <v>62.7</v>
      </c>
      <c r="H1542" s="691">
        <v>62.9</v>
      </c>
      <c r="I1542" s="691">
        <v>62.5</v>
      </c>
      <c r="J1542" s="691">
        <v>62.9</v>
      </c>
      <c r="K1542" s="691">
        <v>62.6</v>
      </c>
    </row>
    <row r="1543" spans="1:11">
      <c r="A1543" s="688" t="s">
        <v>9</v>
      </c>
      <c r="B1543" s="689">
        <v>61.4</v>
      </c>
      <c r="C1543" s="693">
        <v>62</v>
      </c>
      <c r="D1543" s="689">
        <v>61.8</v>
      </c>
      <c r="E1543" s="689">
        <v>61.4</v>
      </c>
      <c r="F1543" s="689">
        <v>61.9</v>
      </c>
      <c r="G1543" s="693">
        <v>62</v>
      </c>
      <c r="H1543" s="689">
        <v>62.2</v>
      </c>
      <c r="I1543" s="689">
        <v>62.3</v>
      </c>
      <c r="J1543" s="689">
        <v>62.5</v>
      </c>
      <c r="K1543" s="689">
        <v>61.5</v>
      </c>
    </row>
    <row r="1544" spans="1:11">
      <c r="A1544" s="688" t="s">
        <v>13</v>
      </c>
      <c r="B1544" s="691">
        <v>62.1</v>
      </c>
      <c r="C1544" s="691">
        <v>61.3</v>
      </c>
      <c r="D1544" s="691">
        <v>62.2</v>
      </c>
      <c r="E1544" s="691">
        <v>61.6</v>
      </c>
      <c r="F1544" s="691">
        <v>62.6</v>
      </c>
      <c r="G1544" s="691">
        <v>62.1</v>
      </c>
      <c r="H1544" s="615">
        <v>63</v>
      </c>
      <c r="I1544" s="615">
        <v>62</v>
      </c>
      <c r="J1544" s="691">
        <v>63.1</v>
      </c>
      <c r="K1544" s="691">
        <v>63.2</v>
      </c>
    </row>
    <row r="1545" spans="1:11">
      <c r="A1545" s="688" t="s">
        <v>18</v>
      </c>
      <c r="B1545" s="689">
        <v>61.2</v>
      </c>
      <c r="C1545" s="689">
        <v>61.5</v>
      </c>
      <c r="D1545" s="689">
        <v>61.6</v>
      </c>
      <c r="E1545" s="689">
        <v>61.8</v>
      </c>
      <c r="F1545" s="693">
        <v>62</v>
      </c>
      <c r="G1545" s="689">
        <v>62.1</v>
      </c>
      <c r="H1545" s="689">
        <v>62.3</v>
      </c>
      <c r="I1545" s="689">
        <v>62.5</v>
      </c>
      <c r="J1545" s="689">
        <v>62.5</v>
      </c>
      <c r="K1545" s="693">
        <v>62</v>
      </c>
    </row>
    <row r="1546" spans="1:11">
      <c r="A1546" s="688" t="s">
        <v>24</v>
      </c>
      <c r="B1546" s="691">
        <v>62.4</v>
      </c>
      <c r="C1546" s="691">
        <v>62.6</v>
      </c>
      <c r="D1546" s="691">
        <v>62.4</v>
      </c>
      <c r="E1546" s="691">
        <v>62.9</v>
      </c>
      <c r="F1546" s="691">
        <v>62.9</v>
      </c>
      <c r="G1546" s="691">
        <v>63.1</v>
      </c>
      <c r="H1546" s="691">
        <v>63.2</v>
      </c>
      <c r="I1546" s="691">
        <v>62.6</v>
      </c>
      <c r="J1546" s="691">
        <v>63.1</v>
      </c>
      <c r="K1546" s="615">
        <v>63</v>
      </c>
    </row>
    <row r="1547" spans="1:11">
      <c r="A1547" s="688" t="s">
        <v>4059</v>
      </c>
      <c r="B1547" s="689">
        <v>60.6</v>
      </c>
      <c r="C1547" s="689">
        <v>60.9</v>
      </c>
      <c r="D1547" s="689">
        <v>60.6</v>
      </c>
      <c r="E1547" s="689">
        <v>60.8</v>
      </c>
      <c r="F1547" s="689">
        <v>60.8</v>
      </c>
      <c r="G1547" s="689">
        <v>60.8</v>
      </c>
      <c r="H1547" s="690" t="s">
        <v>4060</v>
      </c>
      <c r="I1547" s="690" t="s">
        <v>4060</v>
      </c>
      <c r="J1547" s="690" t="s">
        <v>4060</v>
      </c>
      <c r="K1547" s="690" t="s">
        <v>4060</v>
      </c>
    </row>
    <row r="1548" spans="1:11">
      <c r="A1548" s="688" t="s">
        <v>2324</v>
      </c>
      <c r="B1548" s="691">
        <v>56.1</v>
      </c>
      <c r="C1548" s="691">
        <v>56.1</v>
      </c>
      <c r="D1548" s="691">
        <v>55.9</v>
      </c>
      <c r="E1548" s="615">
        <v>56</v>
      </c>
      <c r="F1548" s="615">
        <v>56</v>
      </c>
      <c r="G1548" s="691">
        <v>56.3</v>
      </c>
      <c r="H1548" s="691">
        <v>56.2</v>
      </c>
      <c r="I1548" s="691">
        <v>55.4</v>
      </c>
      <c r="J1548" s="691">
        <v>53.1</v>
      </c>
      <c r="K1548" s="692" t="s">
        <v>4060</v>
      </c>
    </row>
    <row r="1549" spans="1:11">
      <c r="A1549" s="688" t="s">
        <v>2322</v>
      </c>
      <c r="B1549" s="690" t="s">
        <v>4060</v>
      </c>
      <c r="C1549" s="690" t="s">
        <v>4060</v>
      </c>
      <c r="D1549" s="690" t="s">
        <v>4060</v>
      </c>
      <c r="E1549" s="690" t="s">
        <v>4060</v>
      </c>
      <c r="F1549" s="690" t="s">
        <v>4060</v>
      </c>
      <c r="G1549" s="690" t="s">
        <v>4060</v>
      </c>
      <c r="H1549" s="690" t="s">
        <v>4060</v>
      </c>
      <c r="I1549" s="690" t="s">
        <v>4060</v>
      </c>
      <c r="J1549" s="690" t="s">
        <v>4060</v>
      </c>
      <c r="K1549" s="690" t="s">
        <v>4060</v>
      </c>
    </row>
    <row r="1550" spans="1:11">
      <c r="A1550" s="688" t="s">
        <v>2328</v>
      </c>
      <c r="B1550" s="691">
        <v>55.5</v>
      </c>
      <c r="C1550" s="691">
        <v>55.5</v>
      </c>
      <c r="D1550" s="691">
        <v>55.4</v>
      </c>
      <c r="E1550" s="691">
        <v>55.6</v>
      </c>
      <c r="F1550" s="615">
        <v>56</v>
      </c>
      <c r="G1550" s="691">
        <v>56.3</v>
      </c>
      <c r="H1550" s="691">
        <v>56.3</v>
      </c>
      <c r="I1550" s="615">
        <v>54</v>
      </c>
      <c r="J1550" s="691">
        <v>52.8</v>
      </c>
      <c r="K1550" s="692" t="s">
        <v>4060</v>
      </c>
    </row>
    <row r="1551" spans="1:11">
      <c r="A1551" s="688" t="s">
        <v>2496</v>
      </c>
      <c r="B1551" s="690" t="s">
        <v>4060</v>
      </c>
      <c r="C1551" s="689">
        <v>54.4</v>
      </c>
      <c r="D1551" s="689">
        <v>53.2</v>
      </c>
      <c r="E1551" s="689">
        <v>52.9</v>
      </c>
      <c r="F1551" s="689">
        <v>53.6</v>
      </c>
      <c r="G1551" s="693">
        <v>54</v>
      </c>
      <c r="H1551" s="689">
        <v>54.1</v>
      </c>
      <c r="I1551" s="690" t="s">
        <v>4060</v>
      </c>
      <c r="J1551" s="690" t="s">
        <v>4060</v>
      </c>
      <c r="K1551" s="689">
        <v>53.6</v>
      </c>
    </row>
    <row r="1552" spans="1:11">
      <c r="A1552" s="688" t="s">
        <v>2269</v>
      </c>
      <c r="B1552" s="691">
        <v>58.1</v>
      </c>
      <c r="C1552" s="691">
        <v>58.3</v>
      </c>
      <c r="D1552" s="691">
        <v>57.9</v>
      </c>
      <c r="E1552" s="691">
        <v>58.6</v>
      </c>
      <c r="F1552" s="691">
        <v>58.5</v>
      </c>
      <c r="G1552" s="615">
        <v>59</v>
      </c>
      <c r="H1552" s="691">
        <v>59.2</v>
      </c>
      <c r="I1552" s="691">
        <v>57.4</v>
      </c>
      <c r="J1552" s="691">
        <v>55.5</v>
      </c>
      <c r="K1552" s="691">
        <v>58.9</v>
      </c>
    </row>
    <row r="1553" spans="1:11">
      <c r="A1553" s="688" t="s">
        <v>2349</v>
      </c>
      <c r="B1553" s="693">
        <v>55</v>
      </c>
      <c r="C1553" s="689">
        <v>55.1</v>
      </c>
      <c r="D1553" s="693">
        <v>55</v>
      </c>
      <c r="E1553" s="689">
        <v>55.4</v>
      </c>
      <c r="F1553" s="689">
        <v>55.3</v>
      </c>
      <c r="G1553" s="689">
        <v>55.6</v>
      </c>
      <c r="H1553" s="689">
        <v>55.6</v>
      </c>
      <c r="I1553" s="689">
        <v>54.1</v>
      </c>
      <c r="J1553" s="689">
        <v>52.4</v>
      </c>
      <c r="K1553" s="689">
        <v>54.8</v>
      </c>
    </row>
    <row r="1554" spans="1:11">
      <c r="A1554" s="688" t="s">
        <v>2355</v>
      </c>
      <c r="B1554" s="691">
        <v>58.7</v>
      </c>
      <c r="C1554" s="691">
        <v>58.6</v>
      </c>
      <c r="D1554" s="691">
        <v>58.5</v>
      </c>
      <c r="E1554" s="691">
        <v>58.4</v>
      </c>
      <c r="F1554" s="691">
        <v>58.7</v>
      </c>
      <c r="G1554" s="691">
        <v>59.1</v>
      </c>
      <c r="H1554" s="691">
        <v>59.2</v>
      </c>
      <c r="I1554" s="692" t="s">
        <v>4060</v>
      </c>
      <c r="J1554" s="692" t="s">
        <v>4060</v>
      </c>
      <c r="K1554" s="692" t="s">
        <v>4060</v>
      </c>
    </row>
    <row r="1555" spans="1:11">
      <c r="A1555" s="688" t="s">
        <v>2357</v>
      </c>
      <c r="B1555" s="690" t="s">
        <v>4060</v>
      </c>
      <c r="C1555" s="689">
        <v>51.8</v>
      </c>
      <c r="D1555" s="689">
        <v>52.5</v>
      </c>
      <c r="E1555" s="689">
        <v>52.9</v>
      </c>
      <c r="F1555" s="689">
        <v>53.2</v>
      </c>
      <c r="G1555" s="693">
        <v>53</v>
      </c>
      <c r="H1555" s="689">
        <v>53.3</v>
      </c>
      <c r="I1555" s="690" t="s">
        <v>4060</v>
      </c>
      <c r="J1555" s="690" t="s">
        <v>4060</v>
      </c>
      <c r="K1555" s="690" t="s">
        <v>4060</v>
      </c>
    </row>
    <row r="1556" spans="1:11">
      <c r="A1556" s="688" t="s">
        <v>4070</v>
      </c>
      <c r="B1556" s="692" t="s">
        <v>4060</v>
      </c>
      <c r="C1556" s="692" t="s">
        <v>4060</v>
      </c>
      <c r="D1556" s="692" t="s">
        <v>4060</v>
      </c>
      <c r="E1556" s="691">
        <v>58.3</v>
      </c>
      <c r="F1556" s="692" t="s">
        <v>4060</v>
      </c>
      <c r="G1556" s="692" t="s">
        <v>4060</v>
      </c>
      <c r="H1556" s="692" t="s">
        <v>4060</v>
      </c>
      <c r="I1556" s="692" t="s">
        <v>4060</v>
      </c>
      <c r="J1556" s="692" t="s">
        <v>4060</v>
      </c>
      <c r="K1556" s="692" t="s">
        <v>4060</v>
      </c>
    </row>
    <row r="1557" spans="1:11">
      <c r="A1557" s="688" t="s">
        <v>2491</v>
      </c>
      <c r="B1557" s="689">
        <v>52.3</v>
      </c>
      <c r="C1557" s="689">
        <v>52.9</v>
      </c>
      <c r="D1557" s="689">
        <v>53.5</v>
      </c>
      <c r="E1557" s="689">
        <v>53.8</v>
      </c>
      <c r="F1557" s="693">
        <v>54</v>
      </c>
      <c r="G1557" s="693">
        <v>54</v>
      </c>
      <c r="H1557" s="690" t="s">
        <v>4060</v>
      </c>
      <c r="I1557" s="690" t="s">
        <v>4060</v>
      </c>
      <c r="J1557" s="690" t="s">
        <v>4060</v>
      </c>
      <c r="K1557" s="690" t="s">
        <v>4060</v>
      </c>
    </row>
    <row r="1558" spans="1:11">
      <c r="A1558" s="688" t="s">
        <v>2343</v>
      </c>
      <c r="B1558" s="692" t="s">
        <v>4060</v>
      </c>
      <c r="C1558" s="692" t="s">
        <v>4060</v>
      </c>
      <c r="D1558" s="692" t="s">
        <v>4060</v>
      </c>
      <c r="E1558" s="692" t="s">
        <v>4060</v>
      </c>
      <c r="F1558" s="692" t="s">
        <v>4060</v>
      </c>
      <c r="G1558" s="692" t="s">
        <v>4060</v>
      </c>
      <c r="H1558" s="692" t="s">
        <v>4060</v>
      </c>
      <c r="I1558" s="692" t="s">
        <v>4060</v>
      </c>
      <c r="J1558" s="692" t="s">
        <v>4060</v>
      </c>
      <c r="K1558" s="692" t="s">
        <v>4060</v>
      </c>
    </row>
    <row r="1559" spans="1:11">
      <c r="A1559" s="688" t="s">
        <v>4071</v>
      </c>
      <c r="B1559" s="690" t="s">
        <v>4060</v>
      </c>
      <c r="C1559" s="690" t="s">
        <v>4060</v>
      </c>
      <c r="D1559" s="690" t="s">
        <v>4060</v>
      </c>
      <c r="E1559" s="690" t="s">
        <v>4060</v>
      </c>
      <c r="F1559" s="690" t="s">
        <v>4060</v>
      </c>
      <c r="G1559" s="690" t="s">
        <v>4060</v>
      </c>
      <c r="H1559" s="690" t="s">
        <v>4060</v>
      </c>
      <c r="I1559" s="690" t="s">
        <v>4060</v>
      </c>
      <c r="J1559" s="690" t="s">
        <v>4060</v>
      </c>
      <c r="K1559" s="690" t="s">
        <v>4060</v>
      </c>
    </row>
    <row r="1560" spans="1:11">
      <c r="A1560" s="688" t="s">
        <v>2489</v>
      </c>
      <c r="B1560" s="692" t="s">
        <v>4060</v>
      </c>
      <c r="C1560" s="692" t="s">
        <v>4060</v>
      </c>
      <c r="D1560" s="691">
        <v>55.1</v>
      </c>
      <c r="E1560" s="691">
        <v>55.2</v>
      </c>
      <c r="F1560" s="691">
        <v>55.8</v>
      </c>
      <c r="G1560" s="691">
        <v>56.6</v>
      </c>
      <c r="H1560" s="691">
        <v>56.4</v>
      </c>
      <c r="I1560" s="692" t="s">
        <v>4060</v>
      </c>
      <c r="J1560" s="692" t="s">
        <v>4060</v>
      </c>
      <c r="K1560" s="692" t="s">
        <v>4060</v>
      </c>
    </row>
    <row r="1561" spans="1:11">
      <c r="A1561" s="688" t="s">
        <v>2490</v>
      </c>
      <c r="B1561" s="693">
        <v>55</v>
      </c>
      <c r="C1561" s="689">
        <v>55.1</v>
      </c>
      <c r="D1561" s="689">
        <v>55.7</v>
      </c>
      <c r="E1561" s="690" t="s">
        <v>4060</v>
      </c>
      <c r="F1561" s="689">
        <v>55.9</v>
      </c>
      <c r="G1561" s="689">
        <v>56.3</v>
      </c>
      <c r="H1561" s="693">
        <v>57</v>
      </c>
      <c r="I1561" s="690" t="s">
        <v>4060</v>
      </c>
      <c r="J1561" s="690" t="s">
        <v>4060</v>
      </c>
      <c r="K1561" s="690" t="s">
        <v>4060</v>
      </c>
    </row>
    <row r="1563" spans="1:11">
      <c r="A1563" s="683" t="s">
        <v>4233</v>
      </c>
    </row>
    <row r="1564" spans="1:11">
      <c r="A1564" s="683" t="s">
        <v>4060</v>
      </c>
      <c r="B1564" s="682" t="s">
        <v>4234</v>
      </c>
    </row>
    <row r="1566" spans="1:11">
      <c r="A1566" s="682" t="s">
        <v>4248</v>
      </c>
    </row>
    <row r="1567" spans="1:11">
      <c r="A1567" s="682" t="s">
        <v>4210</v>
      </c>
      <c r="B1567" s="683" t="s">
        <v>4211</v>
      </c>
    </row>
    <row r="1568" spans="1:11">
      <c r="A1568" s="682" t="s">
        <v>4212</v>
      </c>
      <c r="B1568" s="682" t="s">
        <v>4213</v>
      </c>
    </row>
    <row r="1570" spans="1:11">
      <c r="A1570" s="683" t="s">
        <v>4214</v>
      </c>
      <c r="C1570" s="682" t="s">
        <v>4215</v>
      </c>
    </row>
    <row r="1571" spans="1:11">
      <c r="A1571" s="683" t="s">
        <v>4216</v>
      </c>
      <c r="C1571" s="682" t="s">
        <v>2967</v>
      </c>
    </row>
    <row r="1572" spans="1:11">
      <c r="A1572" s="683" t="s">
        <v>3893</v>
      </c>
      <c r="C1572" s="682" t="s">
        <v>4217</v>
      </c>
    </row>
    <row r="1573" spans="1:11">
      <c r="A1573" s="683" t="s">
        <v>4218</v>
      </c>
      <c r="C1573" s="682" t="s">
        <v>4257</v>
      </c>
    </row>
    <row r="1575" spans="1:11">
      <c r="A1575" s="684" t="s">
        <v>4220</v>
      </c>
      <c r="B1575" s="685" t="s">
        <v>4221</v>
      </c>
      <c r="C1575" s="685" t="s">
        <v>4222</v>
      </c>
      <c r="D1575" s="685" t="s">
        <v>4223</v>
      </c>
      <c r="E1575" s="685" t="s">
        <v>4224</v>
      </c>
      <c r="F1575" s="685" t="s">
        <v>4225</v>
      </c>
      <c r="G1575" s="685" t="s">
        <v>4226</v>
      </c>
      <c r="H1575" s="685" t="s">
        <v>4227</v>
      </c>
      <c r="I1575" s="685" t="s">
        <v>4228</v>
      </c>
      <c r="J1575" s="685" t="s">
        <v>4229</v>
      </c>
      <c r="K1575" s="685" t="s">
        <v>4230</v>
      </c>
    </row>
    <row r="1576" spans="1:11">
      <c r="A1576" s="686" t="s">
        <v>4231</v>
      </c>
      <c r="B1576" s="687" t="s">
        <v>4232</v>
      </c>
      <c r="C1576" s="687" t="s">
        <v>4232</v>
      </c>
      <c r="D1576" s="687" t="s">
        <v>4232</v>
      </c>
      <c r="E1576" s="687" t="s">
        <v>4232</v>
      </c>
      <c r="F1576" s="687" t="s">
        <v>4232</v>
      </c>
      <c r="G1576" s="687" t="s">
        <v>4232</v>
      </c>
      <c r="H1576" s="687" t="s">
        <v>4232</v>
      </c>
      <c r="I1576" s="687" t="s">
        <v>4232</v>
      </c>
      <c r="J1576" s="687" t="s">
        <v>4232</v>
      </c>
      <c r="K1576" s="687" t="s">
        <v>4232</v>
      </c>
    </row>
    <row r="1577" spans="1:11">
      <c r="A1577" s="688" t="s">
        <v>4064</v>
      </c>
      <c r="B1577" s="693">
        <v>59</v>
      </c>
      <c r="C1577" s="689">
        <v>59.1</v>
      </c>
      <c r="D1577" s="689">
        <v>59.1</v>
      </c>
      <c r="E1577" s="689">
        <v>59.2</v>
      </c>
      <c r="F1577" s="689">
        <v>59.2</v>
      </c>
      <c r="G1577" s="689">
        <v>59.3</v>
      </c>
      <c r="H1577" s="689">
        <v>59.6</v>
      </c>
      <c r="I1577" s="689">
        <v>58.8</v>
      </c>
      <c r="J1577" s="689">
        <v>58.4</v>
      </c>
      <c r="K1577" s="689">
        <v>59.1</v>
      </c>
    </row>
    <row r="1578" spans="1:11">
      <c r="A1578" s="688" t="s">
        <v>4065</v>
      </c>
      <c r="B1578" s="691">
        <v>59.1</v>
      </c>
      <c r="C1578" s="691">
        <v>59.5</v>
      </c>
      <c r="D1578" s="691">
        <v>59.1</v>
      </c>
      <c r="E1578" s="691">
        <v>59.5</v>
      </c>
      <c r="F1578" s="691">
        <v>59.5</v>
      </c>
      <c r="G1578" s="691">
        <v>59.5</v>
      </c>
      <c r="H1578" s="692" t="s">
        <v>4060</v>
      </c>
      <c r="I1578" s="692" t="s">
        <v>4060</v>
      </c>
      <c r="J1578" s="692" t="s">
        <v>4060</v>
      </c>
      <c r="K1578" s="692" t="s">
        <v>4060</v>
      </c>
    </row>
    <row r="1579" spans="1:11">
      <c r="A1579" s="688" t="s">
        <v>4063</v>
      </c>
      <c r="B1579" s="689">
        <v>59.1</v>
      </c>
      <c r="C1579" s="689">
        <v>59.5</v>
      </c>
      <c r="D1579" s="689">
        <v>59.2</v>
      </c>
      <c r="E1579" s="689">
        <v>59.5</v>
      </c>
      <c r="F1579" s="689">
        <v>59.5</v>
      </c>
      <c r="G1579" s="689">
        <v>59.6</v>
      </c>
      <c r="H1579" s="690" t="s">
        <v>4060</v>
      </c>
      <c r="I1579" s="690" t="s">
        <v>4060</v>
      </c>
      <c r="J1579" s="690" t="s">
        <v>4060</v>
      </c>
      <c r="K1579" s="690" t="s">
        <v>4060</v>
      </c>
    </row>
    <row r="1580" spans="1:11">
      <c r="A1580" s="688" t="s">
        <v>4069</v>
      </c>
      <c r="B1580" s="692" t="s">
        <v>4060</v>
      </c>
      <c r="C1580" s="691">
        <v>60.1</v>
      </c>
      <c r="D1580" s="691">
        <v>59.8</v>
      </c>
      <c r="E1580" s="691">
        <v>60.2</v>
      </c>
      <c r="F1580" s="691">
        <v>60.2</v>
      </c>
      <c r="G1580" s="691">
        <v>60.3</v>
      </c>
      <c r="H1580" s="691">
        <v>60.6</v>
      </c>
      <c r="I1580" s="691">
        <v>59.9</v>
      </c>
      <c r="J1580" s="691">
        <v>59.9</v>
      </c>
      <c r="K1580" s="615">
        <v>60</v>
      </c>
    </row>
    <row r="1581" spans="1:11">
      <c r="A1581" s="688" t="s">
        <v>4068</v>
      </c>
      <c r="B1581" s="689">
        <v>60.1</v>
      </c>
      <c r="C1581" s="690" t="s">
        <v>4060</v>
      </c>
      <c r="D1581" s="690" t="s">
        <v>4060</v>
      </c>
      <c r="E1581" s="690" t="s">
        <v>4060</v>
      </c>
      <c r="F1581" s="690" t="s">
        <v>4060</v>
      </c>
      <c r="G1581" s="690" t="s">
        <v>4060</v>
      </c>
      <c r="H1581" s="690" t="s">
        <v>4060</v>
      </c>
      <c r="I1581" s="690" t="s">
        <v>4060</v>
      </c>
      <c r="J1581" s="690" t="s">
        <v>4060</v>
      </c>
      <c r="K1581" s="690" t="s">
        <v>4060</v>
      </c>
    </row>
    <row r="1582" spans="1:11">
      <c r="A1582" s="688" t="s">
        <v>0</v>
      </c>
      <c r="B1582" s="691">
        <v>59.2</v>
      </c>
      <c r="C1582" s="691">
        <v>59.6</v>
      </c>
      <c r="D1582" s="691">
        <v>59.4</v>
      </c>
      <c r="E1582" s="691">
        <v>59.8</v>
      </c>
      <c r="F1582" s="691">
        <v>59.9</v>
      </c>
      <c r="G1582" s="615">
        <v>60</v>
      </c>
      <c r="H1582" s="691">
        <v>60.4</v>
      </c>
      <c r="I1582" s="691">
        <v>59.3</v>
      </c>
      <c r="J1582" s="691">
        <v>60.1</v>
      </c>
      <c r="K1582" s="691">
        <v>60.2</v>
      </c>
    </row>
    <row r="1583" spans="1:11">
      <c r="A1583" s="688" t="s">
        <v>1</v>
      </c>
      <c r="B1583" s="689">
        <v>53.9</v>
      </c>
      <c r="C1583" s="689">
        <v>53.4</v>
      </c>
      <c r="D1583" s="689">
        <v>53.4</v>
      </c>
      <c r="E1583" s="689">
        <v>53.6</v>
      </c>
      <c r="F1583" s="689">
        <v>53.5</v>
      </c>
      <c r="G1583" s="689">
        <v>53.6</v>
      </c>
      <c r="H1583" s="689">
        <v>53.7</v>
      </c>
      <c r="I1583" s="689">
        <v>52.1</v>
      </c>
      <c r="J1583" s="693">
        <v>50</v>
      </c>
      <c r="K1583" s="689">
        <v>52.9</v>
      </c>
    </row>
    <row r="1584" spans="1:11">
      <c r="A1584" s="688" t="s">
        <v>2240</v>
      </c>
      <c r="B1584" s="691">
        <v>56.8</v>
      </c>
      <c r="C1584" s="691">
        <v>57.2</v>
      </c>
      <c r="D1584" s="615">
        <v>57</v>
      </c>
      <c r="E1584" s="691">
        <v>57.5</v>
      </c>
      <c r="F1584" s="691">
        <v>57.4</v>
      </c>
      <c r="G1584" s="691">
        <v>57.5</v>
      </c>
      <c r="H1584" s="691">
        <v>57.7</v>
      </c>
      <c r="I1584" s="691">
        <v>56.7</v>
      </c>
      <c r="J1584" s="691">
        <v>55.6</v>
      </c>
      <c r="K1584" s="691">
        <v>57.4</v>
      </c>
    </row>
    <row r="1585" spans="1:11">
      <c r="A1585" s="688" t="s">
        <v>2</v>
      </c>
      <c r="B1585" s="689">
        <v>58.8</v>
      </c>
      <c r="C1585" s="689">
        <v>59.1</v>
      </c>
      <c r="D1585" s="689">
        <v>59.2</v>
      </c>
      <c r="E1585" s="689">
        <v>59.3</v>
      </c>
      <c r="F1585" s="689">
        <v>59.6</v>
      </c>
      <c r="G1585" s="689">
        <v>59.5</v>
      </c>
      <c r="H1585" s="689">
        <v>59.9</v>
      </c>
      <c r="I1585" s="693">
        <v>60</v>
      </c>
      <c r="J1585" s="689">
        <v>59.9</v>
      </c>
      <c r="K1585" s="689">
        <v>59.7</v>
      </c>
    </row>
    <row r="1586" spans="1:11">
      <c r="A1586" s="688" t="s">
        <v>3</v>
      </c>
      <c r="B1586" s="691">
        <v>59.1</v>
      </c>
      <c r="C1586" s="691">
        <v>59.4</v>
      </c>
      <c r="D1586" s="691">
        <v>59.1</v>
      </c>
      <c r="E1586" s="691">
        <v>59.4</v>
      </c>
      <c r="F1586" s="691">
        <v>59.4</v>
      </c>
      <c r="G1586" s="691">
        <v>59.4</v>
      </c>
      <c r="H1586" s="691">
        <v>59.7</v>
      </c>
      <c r="I1586" s="691">
        <v>59.5</v>
      </c>
      <c r="J1586" s="691">
        <v>59.1</v>
      </c>
      <c r="K1586" s="615">
        <v>59</v>
      </c>
    </row>
    <row r="1587" spans="1:11">
      <c r="A1587" s="688" t="s">
        <v>4061</v>
      </c>
      <c r="B1587" s="689">
        <v>59.1</v>
      </c>
      <c r="C1587" s="689">
        <v>59.4</v>
      </c>
      <c r="D1587" s="689">
        <v>59.1</v>
      </c>
      <c r="E1587" s="689">
        <v>59.4</v>
      </c>
      <c r="F1587" s="689">
        <v>59.4</v>
      </c>
      <c r="G1587" s="689">
        <v>59.4</v>
      </c>
      <c r="H1587" s="689">
        <v>59.7</v>
      </c>
      <c r="I1587" s="689">
        <v>59.5</v>
      </c>
      <c r="J1587" s="689">
        <v>59.1</v>
      </c>
      <c r="K1587" s="693">
        <v>59</v>
      </c>
    </row>
    <row r="1588" spans="1:11">
      <c r="A1588" s="688" t="s">
        <v>4</v>
      </c>
      <c r="B1588" s="691">
        <v>56.1</v>
      </c>
      <c r="C1588" s="691">
        <v>55.8</v>
      </c>
      <c r="D1588" s="691">
        <v>56.3</v>
      </c>
      <c r="E1588" s="691">
        <v>56.3</v>
      </c>
      <c r="F1588" s="691">
        <v>56.7</v>
      </c>
      <c r="G1588" s="691">
        <v>56.8</v>
      </c>
      <c r="H1588" s="691">
        <v>57.2</v>
      </c>
      <c r="I1588" s="691">
        <v>57.1</v>
      </c>
      <c r="J1588" s="691">
        <v>55.6</v>
      </c>
      <c r="K1588" s="691">
        <v>56.6</v>
      </c>
    </row>
    <row r="1589" spans="1:11">
      <c r="A1589" s="688" t="s">
        <v>8</v>
      </c>
      <c r="B1589" s="689">
        <v>59.6</v>
      </c>
      <c r="C1589" s="689">
        <v>59.8</v>
      </c>
      <c r="D1589" s="689">
        <v>59.9</v>
      </c>
      <c r="E1589" s="693">
        <v>60</v>
      </c>
      <c r="F1589" s="689">
        <v>60.4</v>
      </c>
      <c r="G1589" s="689">
        <v>60.4</v>
      </c>
      <c r="H1589" s="689">
        <v>60.9</v>
      </c>
      <c r="I1589" s="689">
        <v>60.7</v>
      </c>
      <c r="J1589" s="689">
        <v>60.5</v>
      </c>
      <c r="K1589" s="689">
        <v>60.8</v>
      </c>
    </row>
    <row r="1590" spans="1:11">
      <c r="A1590" s="688" t="s">
        <v>7</v>
      </c>
      <c r="B1590" s="691">
        <v>59.9</v>
      </c>
      <c r="C1590" s="691">
        <v>59.5</v>
      </c>
      <c r="D1590" s="691">
        <v>59.3</v>
      </c>
      <c r="E1590" s="691">
        <v>59.6</v>
      </c>
      <c r="F1590" s="691">
        <v>59.6</v>
      </c>
      <c r="G1590" s="615">
        <v>60</v>
      </c>
      <c r="H1590" s="691">
        <v>59.9</v>
      </c>
      <c r="I1590" s="691">
        <v>59.6</v>
      </c>
      <c r="J1590" s="691">
        <v>58.6</v>
      </c>
      <c r="K1590" s="691">
        <v>59.3</v>
      </c>
    </row>
    <row r="1591" spans="1:11">
      <c r="A1591" s="688" t="s">
        <v>27</v>
      </c>
      <c r="B1591" s="689">
        <v>61.6</v>
      </c>
      <c r="C1591" s="689">
        <v>61.3</v>
      </c>
      <c r="D1591" s="689">
        <v>61.1</v>
      </c>
      <c r="E1591" s="689">
        <v>61.5</v>
      </c>
      <c r="F1591" s="689">
        <v>61.4</v>
      </c>
      <c r="G1591" s="689">
        <v>61.5</v>
      </c>
      <c r="H1591" s="689">
        <v>61.9</v>
      </c>
      <c r="I1591" s="689">
        <v>60.6</v>
      </c>
      <c r="J1591" s="689">
        <v>61.4</v>
      </c>
      <c r="K1591" s="689">
        <v>61.5</v>
      </c>
    </row>
    <row r="1592" spans="1:11">
      <c r="A1592" s="688" t="s">
        <v>6</v>
      </c>
      <c r="B1592" s="691">
        <v>60.9</v>
      </c>
      <c r="C1592" s="691">
        <v>60.9</v>
      </c>
      <c r="D1592" s="691">
        <v>60.7</v>
      </c>
      <c r="E1592" s="691">
        <v>60.9</v>
      </c>
      <c r="F1592" s="615">
        <v>61</v>
      </c>
      <c r="G1592" s="691">
        <v>61.1</v>
      </c>
      <c r="H1592" s="691">
        <v>61.3</v>
      </c>
      <c r="I1592" s="691">
        <v>60.7</v>
      </c>
      <c r="J1592" s="691">
        <v>60.8</v>
      </c>
      <c r="K1592" s="691">
        <v>60.8</v>
      </c>
    </row>
    <row r="1593" spans="1:11">
      <c r="A1593" s="688" t="s">
        <v>4058</v>
      </c>
      <c r="B1593" s="690" t="s">
        <v>4060</v>
      </c>
      <c r="C1593" s="690" t="s">
        <v>4060</v>
      </c>
      <c r="D1593" s="690" t="s">
        <v>4060</v>
      </c>
      <c r="E1593" s="690" t="s">
        <v>4060</v>
      </c>
      <c r="F1593" s="690" t="s">
        <v>4060</v>
      </c>
      <c r="G1593" s="690" t="s">
        <v>4060</v>
      </c>
      <c r="H1593" s="690" t="s">
        <v>4060</v>
      </c>
      <c r="I1593" s="690" t="s">
        <v>4060</v>
      </c>
      <c r="J1593" s="690" t="s">
        <v>4060</v>
      </c>
      <c r="K1593" s="690" t="s">
        <v>4060</v>
      </c>
    </row>
    <row r="1594" spans="1:11">
      <c r="A1594" s="688" t="s">
        <v>11</v>
      </c>
      <c r="B1594" s="691">
        <v>56.4</v>
      </c>
      <c r="C1594" s="691">
        <v>56.4</v>
      </c>
      <c r="D1594" s="615">
        <v>56</v>
      </c>
      <c r="E1594" s="691">
        <v>56.6</v>
      </c>
      <c r="F1594" s="691">
        <v>56.4</v>
      </c>
      <c r="G1594" s="691">
        <v>56.6</v>
      </c>
      <c r="H1594" s="691">
        <v>56.9</v>
      </c>
      <c r="I1594" s="691">
        <v>56.2</v>
      </c>
      <c r="J1594" s="691">
        <v>55.1</v>
      </c>
      <c r="K1594" s="691">
        <v>56.3</v>
      </c>
    </row>
    <row r="1595" spans="1:11">
      <c r="A1595" s="688" t="s">
        <v>10</v>
      </c>
      <c r="B1595" s="689">
        <v>61.3</v>
      </c>
      <c r="C1595" s="689">
        <v>61.3</v>
      </c>
      <c r="D1595" s="689">
        <v>60.9</v>
      </c>
      <c r="E1595" s="689">
        <v>61.4</v>
      </c>
      <c r="F1595" s="689">
        <v>61.3</v>
      </c>
      <c r="G1595" s="689">
        <v>61.6</v>
      </c>
      <c r="H1595" s="689">
        <v>61.8</v>
      </c>
      <c r="I1595" s="689">
        <v>60.6</v>
      </c>
      <c r="J1595" s="693">
        <v>61</v>
      </c>
      <c r="K1595" s="689">
        <v>61.1</v>
      </c>
    </row>
    <row r="1596" spans="1:11">
      <c r="A1596" s="688" t="s">
        <v>30</v>
      </c>
      <c r="B1596" s="691">
        <v>60.9</v>
      </c>
      <c r="C1596" s="691">
        <v>60.7</v>
      </c>
      <c r="D1596" s="691">
        <v>60.3</v>
      </c>
      <c r="E1596" s="691">
        <v>61.2</v>
      </c>
      <c r="F1596" s="691">
        <v>60.8</v>
      </c>
      <c r="G1596" s="691">
        <v>61.4</v>
      </c>
      <c r="H1596" s="691">
        <v>61.1</v>
      </c>
      <c r="I1596" s="691">
        <v>61.1</v>
      </c>
      <c r="J1596" s="691">
        <v>60.2</v>
      </c>
      <c r="K1596" s="691">
        <v>60.7</v>
      </c>
    </row>
    <row r="1597" spans="1:11">
      <c r="A1597" s="688" t="s">
        <v>12</v>
      </c>
      <c r="B1597" s="689">
        <v>53.1</v>
      </c>
      <c r="C1597" s="689">
        <v>53.1</v>
      </c>
      <c r="D1597" s="689">
        <v>53.3</v>
      </c>
      <c r="E1597" s="689">
        <v>53.4</v>
      </c>
      <c r="F1597" s="689">
        <v>53.5</v>
      </c>
      <c r="G1597" s="689">
        <v>53.6</v>
      </c>
      <c r="H1597" s="689">
        <v>54.3</v>
      </c>
      <c r="I1597" s="693">
        <v>54</v>
      </c>
      <c r="J1597" s="689">
        <v>51.6</v>
      </c>
      <c r="K1597" s="693">
        <v>53</v>
      </c>
    </row>
    <row r="1598" spans="1:11">
      <c r="A1598" s="688" t="s">
        <v>14</v>
      </c>
      <c r="B1598" s="691">
        <v>52.9</v>
      </c>
      <c r="C1598" s="691">
        <v>53.3</v>
      </c>
      <c r="D1598" s="691">
        <v>53.2</v>
      </c>
      <c r="E1598" s="691">
        <v>53.5</v>
      </c>
      <c r="F1598" s="691">
        <v>54.2</v>
      </c>
      <c r="G1598" s="691">
        <v>54.5</v>
      </c>
      <c r="H1598" s="615">
        <v>55</v>
      </c>
      <c r="I1598" s="691">
        <v>53.7</v>
      </c>
      <c r="J1598" s="691">
        <v>52.8</v>
      </c>
      <c r="K1598" s="691">
        <v>54.3</v>
      </c>
    </row>
    <row r="1599" spans="1:11">
      <c r="A1599" s="688" t="s">
        <v>15</v>
      </c>
      <c r="B1599" s="689">
        <v>60.4</v>
      </c>
      <c r="C1599" s="689">
        <v>60.3</v>
      </c>
      <c r="D1599" s="689">
        <v>60.5</v>
      </c>
      <c r="E1599" s="689">
        <v>60.8</v>
      </c>
      <c r="F1599" s="689">
        <v>60.3</v>
      </c>
      <c r="G1599" s="689">
        <v>60.6</v>
      </c>
      <c r="H1599" s="693">
        <v>61</v>
      </c>
      <c r="I1599" s="689">
        <v>60.6</v>
      </c>
      <c r="J1599" s="693">
        <v>61</v>
      </c>
      <c r="K1599" s="689">
        <v>61.3</v>
      </c>
    </row>
    <row r="1600" spans="1:11">
      <c r="A1600" s="688" t="s">
        <v>29</v>
      </c>
      <c r="B1600" s="691">
        <v>54.4</v>
      </c>
      <c r="C1600" s="691">
        <v>54.4</v>
      </c>
      <c r="D1600" s="691">
        <v>54.2</v>
      </c>
      <c r="E1600" s="691">
        <v>54.6</v>
      </c>
      <c r="F1600" s="691">
        <v>54.4</v>
      </c>
      <c r="G1600" s="691">
        <v>54.5</v>
      </c>
      <c r="H1600" s="691">
        <v>54.8</v>
      </c>
      <c r="I1600" s="615">
        <v>54</v>
      </c>
      <c r="J1600" s="691">
        <v>52.6</v>
      </c>
      <c r="K1600" s="691">
        <v>54.4</v>
      </c>
    </row>
    <row r="1601" spans="1:11">
      <c r="A1601" s="688" t="s">
        <v>16</v>
      </c>
      <c r="B1601" s="689">
        <v>60.5</v>
      </c>
      <c r="C1601" s="689">
        <v>60.4</v>
      </c>
      <c r="D1601" s="689">
        <v>60.4</v>
      </c>
      <c r="E1601" s="689">
        <v>60.9</v>
      </c>
      <c r="F1601" s="689">
        <v>60.8</v>
      </c>
      <c r="G1601" s="689">
        <v>60.7</v>
      </c>
      <c r="H1601" s="689">
        <v>61.2</v>
      </c>
      <c r="I1601" s="689">
        <v>60.4</v>
      </c>
      <c r="J1601" s="689">
        <v>60.6</v>
      </c>
      <c r="K1601" s="689">
        <v>60.7</v>
      </c>
    </row>
    <row r="1602" spans="1:11">
      <c r="A1602" s="688" t="s">
        <v>17</v>
      </c>
      <c r="B1602" s="691">
        <v>59.9</v>
      </c>
      <c r="C1602" s="691">
        <v>60.1</v>
      </c>
      <c r="D1602" s="691">
        <v>59.9</v>
      </c>
      <c r="E1602" s="615">
        <v>60</v>
      </c>
      <c r="F1602" s="691">
        <v>60.2</v>
      </c>
      <c r="G1602" s="691">
        <v>60.2</v>
      </c>
      <c r="H1602" s="691">
        <v>60.5</v>
      </c>
      <c r="I1602" s="691">
        <v>59.9</v>
      </c>
      <c r="J1602" s="691">
        <v>59.8</v>
      </c>
      <c r="K1602" s="691">
        <v>60.1</v>
      </c>
    </row>
    <row r="1603" spans="1:11">
      <c r="A1603" s="688" t="s">
        <v>19</v>
      </c>
      <c r="B1603" s="689">
        <v>59.8</v>
      </c>
      <c r="C1603" s="689">
        <v>59.9</v>
      </c>
      <c r="D1603" s="689">
        <v>59.7</v>
      </c>
      <c r="E1603" s="689">
        <v>60.1</v>
      </c>
      <c r="F1603" s="689">
        <v>60.1</v>
      </c>
      <c r="G1603" s="689">
        <v>60.2</v>
      </c>
      <c r="H1603" s="689">
        <v>60.4</v>
      </c>
      <c r="I1603" s="689">
        <v>59.8</v>
      </c>
      <c r="J1603" s="689">
        <v>59.7</v>
      </c>
      <c r="K1603" s="689">
        <v>59.9</v>
      </c>
    </row>
    <row r="1604" spans="1:11">
      <c r="A1604" s="688" t="s">
        <v>20</v>
      </c>
      <c r="B1604" s="691">
        <v>55.8</v>
      </c>
      <c r="C1604" s="691">
        <v>56.2</v>
      </c>
      <c r="D1604" s="615">
        <v>56</v>
      </c>
      <c r="E1604" s="691">
        <v>56.4</v>
      </c>
      <c r="F1604" s="691">
        <v>56.3</v>
      </c>
      <c r="G1604" s="691">
        <v>56.2</v>
      </c>
      <c r="H1604" s="691">
        <v>56.4</v>
      </c>
      <c r="I1604" s="691">
        <v>54.9</v>
      </c>
      <c r="J1604" s="615">
        <v>54</v>
      </c>
      <c r="K1604" s="691">
        <v>55.7</v>
      </c>
    </row>
    <row r="1605" spans="1:11">
      <c r="A1605" s="688" t="s">
        <v>21</v>
      </c>
      <c r="B1605" s="689">
        <v>59.4</v>
      </c>
      <c r="C1605" s="689">
        <v>59.8</v>
      </c>
      <c r="D1605" s="689">
        <v>59.8</v>
      </c>
      <c r="E1605" s="689">
        <v>59.8</v>
      </c>
      <c r="F1605" s="689">
        <v>60.1</v>
      </c>
      <c r="G1605" s="689">
        <v>60.1</v>
      </c>
      <c r="H1605" s="689">
        <v>60.4</v>
      </c>
      <c r="I1605" s="689">
        <v>59.8</v>
      </c>
      <c r="J1605" s="689">
        <v>59.8</v>
      </c>
      <c r="K1605" s="689">
        <v>60.1</v>
      </c>
    </row>
    <row r="1606" spans="1:11">
      <c r="A1606" s="688" t="s">
        <v>22</v>
      </c>
      <c r="B1606" s="691">
        <v>54.3</v>
      </c>
      <c r="C1606" s="691">
        <v>53.9</v>
      </c>
      <c r="D1606" s="691">
        <v>53.9</v>
      </c>
      <c r="E1606" s="691">
        <v>54.1</v>
      </c>
      <c r="F1606" s="691">
        <v>54.1</v>
      </c>
      <c r="G1606" s="691">
        <v>54.1</v>
      </c>
      <c r="H1606" s="691">
        <v>54.4</v>
      </c>
      <c r="I1606" s="691">
        <v>52.8</v>
      </c>
      <c r="J1606" s="691">
        <v>51.5</v>
      </c>
      <c r="K1606" s="691">
        <v>53.9</v>
      </c>
    </row>
    <row r="1607" spans="1:11">
      <c r="A1607" s="688" t="s">
        <v>26</v>
      </c>
      <c r="B1607" s="689">
        <v>58.9</v>
      </c>
      <c r="C1607" s="689">
        <v>59.2</v>
      </c>
      <c r="D1607" s="693">
        <v>59</v>
      </c>
      <c r="E1607" s="689">
        <v>59.4</v>
      </c>
      <c r="F1607" s="689">
        <v>59.3</v>
      </c>
      <c r="G1607" s="689">
        <v>59.6</v>
      </c>
      <c r="H1607" s="689">
        <v>59.7</v>
      </c>
      <c r="I1607" s="689">
        <v>58.9</v>
      </c>
      <c r="J1607" s="693">
        <v>59</v>
      </c>
      <c r="K1607" s="689">
        <v>59.5</v>
      </c>
    </row>
    <row r="1608" spans="1:11">
      <c r="A1608" s="688" t="s">
        <v>25</v>
      </c>
      <c r="B1608" s="691">
        <v>55.4</v>
      </c>
      <c r="C1608" s="691">
        <v>55.7</v>
      </c>
      <c r="D1608" s="691">
        <v>55.4</v>
      </c>
      <c r="E1608" s="615">
        <v>56</v>
      </c>
      <c r="F1608" s="691">
        <v>55.9</v>
      </c>
      <c r="G1608" s="615">
        <v>56</v>
      </c>
      <c r="H1608" s="691">
        <v>56.5</v>
      </c>
      <c r="I1608" s="691">
        <v>55.7</v>
      </c>
      <c r="J1608" s="691">
        <v>53.3</v>
      </c>
      <c r="K1608" s="691">
        <v>55.7</v>
      </c>
    </row>
    <row r="1609" spans="1:11">
      <c r="A1609" s="688" t="s">
        <v>5</v>
      </c>
      <c r="B1609" s="689">
        <v>59.5</v>
      </c>
      <c r="C1609" s="689">
        <v>59.5</v>
      </c>
      <c r="D1609" s="689">
        <v>59.7</v>
      </c>
      <c r="E1609" s="689">
        <v>59.7</v>
      </c>
      <c r="F1609" s="689">
        <v>59.9</v>
      </c>
      <c r="G1609" s="689">
        <v>60.1</v>
      </c>
      <c r="H1609" s="689">
        <v>60.3</v>
      </c>
      <c r="I1609" s="689">
        <v>60.3</v>
      </c>
      <c r="J1609" s="689">
        <v>60.2</v>
      </c>
      <c r="K1609" s="689">
        <v>59.6</v>
      </c>
    </row>
    <row r="1610" spans="1:11">
      <c r="A1610" s="688" t="s">
        <v>23</v>
      </c>
      <c r="B1610" s="691">
        <v>60.4</v>
      </c>
      <c r="C1610" s="691">
        <v>60.6</v>
      </c>
      <c r="D1610" s="691">
        <v>60.6</v>
      </c>
      <c r="E1610" s="691">
        <v>60.8</v>
      </c>
      <c r="F1610" s="691">
        <v>60.8</v>
      </c>
      <c r="G1610" s="691">
        <v>60.9</v>
      </c>
      <c r="H1610" s="691">
        <v>61.4</v>
      </c>
      <c r="I1610" s="691">
        <v>60.8</v>
      </c>
      <c r="J1610" s="691">
        <v>61.4</v>
      </c>
      <c r="K1610" s="691">
        <v>61.4</v>
      </c>
    </row>
    <row r="1611" spans="1:11">
      <c r="A1611" s="688" t="s">
        <v>4067</v>
      </c>
      <c r="B1611" s="689">
        <v>59.1</v>
      </c>
      <c r="C1611" s="689">
        <v>59.5</v>
      </c>
      <c r="D1611" s="689">
        <v>59.1</v>
      </c>
      <c r="E1611" s="689">
        <v>59.5</v>
      </c>
      <c r="F1611" s="689">
        <v>59.5</v>
      </c>
      <c r="G1611" s="689">
        <v>59.6</v>
      </c>
      <c r="H1611" s="690" t="s">
        <v>4060</v>
      </c>
      <c r="I1611" s="690" t="s">
        <v>4060</v>
      </c>
      <c r="J1611" s="690" t="s">
        <v>4060</v>
      </c>
      <c r="K1611" s="690" t="s">
        <v>4060</v>
      </c>
    </row>
    <row r="1612" spans="1:11">
      <c r="A1612" s="688" t="s">
        <v>4066</v>
      </c>
      <c r="B1612" s="691">
        <v>59.1</v>
      </c>
      <c r="C1612" s="691">
        <v>59.5</v>
      </c>
      <c r="D1612" s="691">
        <v>59.2</v>
      </c>
      <c r="E1612" s="691">
        <v>59.5</v>
      </c>
      <c r="F1612" s="691">
        <v>59.5</v>
      </c>
      <c r="G1612" s="691">
        <v>59.6</v>
      </c>
      <c r="H1612" s="692" t="s">
        <v>4060</v>
      </c>
      <c r="I1612" s="692" t="s">
        <v>4060</v>
      </c>
      <c r="J1612" s="692" t="s">
        <v>4060</v>
      </c>
      <c r="K1612" s="692" t="s">
        <v>4060</v>
      </c>
    </row>
    <row r="1613" spans="1:11">
      <c r="A1613" s="688" t="s">
        <v>4062</v>
      </c>
      <c r="B1613" s="693">
        <v>61</v>
      </c>
      <c r="C1613" s="689">
        <v>61.2</v>
      </c>
      <c r="D1613" s="689">
        <v>61.1</v>
      </c>
      <c r="E1613" s="689">
        <v>61.5</v>
      </c>
      <c r="F1613" s="689">
        <v>61.6</v>
      </c>
      <c r="G1613" s="689">
        <v>61.7</v>
      </c>
      <c r="H1613" s="689">
        <v>61.9</v>
      </c>
      <c r="I1613" s="689">
        <v>61.6</v>
      </c>
      <c r="J1613" s="689">
        <v>61.9</v>
      </c>
      <c r="K1613" s="689">
        <v>61.6</v>
      </c>
    </row>
    <row r="1614" spans="1:11">
      <c r="A1614" s="688" t="s">
        <v>9</v>
      </c>
      <c r="B1614" s="691">
        <v>60.5</v>
      </c>
      <c r="C1614" s="615">
        <v>61</v>
      </c>
      <c r="D1614" s="691">
        <v>60.8</v>
      </c>
      <c r="E1614" s="691">
        <v>60.4</v>
      </c>
      <c r="F1614" s="691">
        <v>60.9</v>
      </c>
      <c r="G1614" s="615">
        <v>61</v>
      </c>
      <c r="H1614" s="691">
        <v>61.2</v>
      </c>
      <c r="I1614" s="691">
        <v>61.3</v>
      </c>
      <c r="J1614" s="691">
        <v>61.5</v>
      </c>
      <c r="K1614" s="691">
        <v>60.5</v>
      </c>
    </row>
    <row r="1615" spans="1:11">
      <c r="A1615" s="688" t="s">
        <v>13</v>
      </c>
      <c r="B1615" s="689">
        <v>61.1</v>
      </c>
      <c r="C1615" s="689">
        <v>60.5</v>
      </c>
      <c r="D1615" s="689">
        <v>61.3</v>
      </c>
      <c r="E1615" s="689">
        <v>60.6</v>
      </c>
      <c r="F1615" s="689">
        <v>61.6</v>
      </c>
      <c r="G1615" s="689">
        <v>61.1</v>
      </c>
      <c r="H1615" s="693">
        <v>62</v>
      </c>
      <c r="I1615" s="689">
        <v>61.2</v>
      </c>
      <c r="J1615" s="689">
        <v>62.1</v>
      </c>
      <c r="K1615" s="689">
        <v>62.2</v>
      </c>
    </row>
    <row r="1616" spans="1:11">
      <c r="A1616" s="688" t="s">
        <v>18</v>
      </c>
      <c r="B1616" s="691">
        <v>60.2</v>
      </c>
      <c r="C1616" s="691">
        <v>60.5</v>
      </c>
      <c r="D1616" s="691">
        <v>60.7</v>
      </c>
      <c r="E1616" s="691">
        <v>60.8</v>
      </c>
      <c r="F1616" s="615">
        <v>61</v>
      </c>
      <c r="G1616" s="691">
        <v>61.1</v>
      </c>
      <c r="H1616" s="691">
        <v>61.4</v>
      </c>
      <c r="I1616" s="691">
        <v>61.6</v>
      </c>
      <c r="J1616" s="691">
        <v>61.5</v>
      </c>
      <c r="K1616" s="615">
        <v>61</v>
      </c>
    </row>
    <row r="1617" spans="1:11">
      <c r="A1617" s="688" t="s">
        <v>24</v>
      </c>
      <c r="B1617" s="689">
        <v>61.5</v>
      </c>
      <c r="C1617" s="689">
        <v>61.6</v>
      </c>
      <c r="D1617" s="689">
        <v>61.4</v>
      </c>
      <c r="E1617" s="689">
        <v>61.9</v>
      </c>
      <c r="F1617" s="689">
        <v>61.9</v>
      </c>
      <c r="G1617" s="689">
        <v>62.1</v>
      </c>
      <c r="H1617" s="689">
        <v>62.3</v>
      </c>
      <c r="I1617" s="689">
        <v>61.6</v>
      </c>
      <c r="J1617" s="689">
        <v>62.1</v>
      </c>
      <c r="K1617" s="693">
        <v>62</v>
      </c>
    </row>
    <row r="1618" spans="1:11">
      <c r="A1618" s="688" t="s">
        <v>4059</v>
      </c>
      <c r="B1618" s="691">
        <v>59.6</v>
      </c>
      <c r="C1618" s="691">
        <v>59.9</v>
      </c>
      <c r="D1618" s="691">
        <v>59.6</v>
      </c>
      <c r="E1618" s="691">
        <v>59.8</v>
      </c>
      <c r="F1618" s="691">
        <v>59.8</v>
      </c>
      <c r="G1618" s="691">
        <v>59.8</v>
      </c>
      <c r="H1618" s="692" t="s">
        <v>4060</v>
      </c>
      <c r="I1618" s="692" t="s">
        <v>4060</v>
      </c>
      <c r="J1618" s="692" t="s">
        <v>4060</v>
      </c>
      <c r="K1618" s="692" t="s">
        <v>4060</v>
      </c>
    </row>
    <row r="1619" spans="1:11">
      <c r="A1619" s="688" t="s">
        <v>2324</v>
      </c>
      <c r="B1619" s="689">
        <v>55.1</v>
      </c>
      <c r="C1619" s="689">
        <v>55.1</v>
      </c>
      <c r="D1619" s="689">
        <v>54.9</v>
      </c>
      <c r="E1619" s="693">
        <v>55</v>
      </c>
      <c r="F1619" s="693">
        <v>55</v>
      </c>
      <c r="G1619" s="689">
        <v>55.3</v>
      </c>
      <c r="H1619" s="689">
        <v>55.2</v>
      </c>
      <c r="I1619" s="689">
        <v>54.4</v>
      </c>
      <c r="J1619" s="689">
        <v>52.1</v>
      </c>
      <c r="K1619" s="690" t="s">
        <v>4060</v>
      </c>
    </row>
    <row r="1620" spans="1:11">
      <c r="A1620" s="688" t="s">
        <v>2322</v>
      </c>
      <c r="B1620" s="692" t="s">
        <v>4060</v>
      </c>
      <c r="C1620" s="692" t="s">
        <v>4060</v>
      </c>
      <c r="D1620" s="692" t="s">
        <v>4060</v>
      </c>
      <c r="E1620" s="692" t="s">
        <v>4060</v>
      </c>
      <c r="F1620" s="692" t="s">
        <v>4060</v>
      </c>
      <c r="G1620" s="692" t="s">
        <v>4060</v>
      </c>
      <c r="H1620" s="692" t="s">
        <v>4060</v>
      </c>
      <c r="I1620" s="692" t="s">
        <v>4060</v>
      </c>
      <c r="J1620" s="692" t="s">
        <v>4060</v>
      </c>
      <c r="K1620" s="692" t="s">
        <v>4060</v>
      </c>
    </row>
    <row r="1621" spans="1:11">
      <c r="A1621" s="688" t="s">
        <v>2328</v>
      </c>
      <c r="B1621" s="689">
        <v>54.5</v>
      </c>
      <c r="C1621" s="689">
        <v>54.5</v>
      </c>
      <c r="D1621" s="689">
        <v>54.5</v>
      </c>
      <c r="E1621" s="689">
        <v>54.6</v>
      </c>
      <c r="F1621" s="693">
        <v>55</v>
      </c>
      <c r="G1621" s="689">
        <v>55.4</v>
      </c>
      <c r="H1621" s="689">
        <v>55.3</v>
      </c>
      <c r="I1621" s="689">
        <v>53.1</v>
      </c>
      <c r="J1621" s="689">
        <v>51.8</v>
      </c>
      <c r="K1621" s="690" t="s">
        <v>4060</v>
      </c>
    </row>
    <row r="1622" spans="1:11">
      <c r="A1622" s="688" t="s">
        <v>2496</v>
      </c>
      <c r="B1622" s="692" t="s">
        <v>4060</v>
      </c>
      <c r="C1622" s="691">
        <v>53.4</v>
      </c>
      <c r="D1622" s="691">
        <v>52.3</v>
      </c>
      <c r="E1622" s="691">
        <v>51.9</v>
      </c>
      <c r="F1622" s="691">
        <v>52.7</v>
      </c>
      <c r="G1622" s="615">
        <v>53</v>
      </c>
      <c r="H1622" s="691">
        <v>53.1</v>
      </c>
      <c r="I1622" s="692" t="s">
        <v>4060</v>
      </c>
      <c r="J1622" s="692" t="s">
        <v>4060</v>
      </c>
      <c r="K1622" s="691">
        <v>52.7</v>
      </c>
    </row>
    <row r="1623" spans="1:11">
      <c r="A1623" s="688" t="s">
        <v>2269</v>
      </c>
      <c r="B1623" s="689">
        <v>57.1</v>
      </c>
      <c r="C1623" s="689">
        <v>57.3</v>
      </c>
      <c r="D1623" s="689">
        <v>56.9</v>
      </c>
      <c r="E1623" s="689">
        <v>57.6</v>
      </c>
      <c r="F1623" s="689">
        <v>57.5</v>
      </c>
      <c r="G1623" s="693">
        <v>58</v>
      </c>
      <c r="H1623" s="689">
        <v>58.2</v>
      </c>
      <c r="I1623" s="689">
        <v>56.4</v>
      </c>
      <c r="J1623" s="689">
        <v>54.5</v>
      </c>
      <c r="K1623" s="689">
        <v>57.9</v>
      </c>
    </row>
    <row r="1624" spans="1:11">
      <c r="A1624" s="688" t="s">
        <v>2349</v>
      </c>
      <c r="B1624" s="615">
        <v>54</v>
      </c>
      <c r="C1624" s="691">
        <v>54.1</v>
      </c>
      <c r="D1624" s="615">
        <v>54</v>
      </c>
      <c r="E1624" s="691">
        <v>54.4</v>
      </c>
      <c r="F1624" s="691">
        <v>54.3</v>
      </c>
      <c r="G1624" s="691">
        <v>54.6</v>
      </c>
      <c r="H1624" s="691">
        <v>54.6</v>
      </c>
      <c r="I1624" s="691">
        <v>53.1</v>
      </c>
      <c r="J1624" s="691">
        <v>51.4</v>
      </c>
      <c r="K1624" s="691">
        <v>53.8</v>
      </c>
    </row>
    <row r="1625" spans="1:11">
      <c r="A1625" s="688" t="s">
        <v>2355</v>
      </c>
      <c r="B1625" s="689">
        <v>57.7</v>
      </c>
      <c r="C1625" s="689">
        <v>57.6</v>
      </c>
      <c r="D1625" s="689">
        <v>57.6</v>
      </c>
      <c r="E1625" s="689">
        <v>57.5</v>
      </c>
      <c r="F1625" s="689">
        <v>57.7</v>
      </c>
      <c r="G1625" s="689">
        <v>58.1</v>
      </c>
      <c r="H1625" s="689">
        <v>58.3</v>
      </c>
      <c r="I1625" s="690" t="s">
        <v>4060</v>
      </c>
      <c r="J1625" s="690" t="s">
        <v>4060</v>
      </c>
      <c r="K1625" s="690" t="s">
        <v>4060</v>
      </c>
    </row>
    <row r="1626" spans="1:11">
      <c r="A1626" s="688" t="s">
        <v>2357</v>
      </c>
      <c r="B1626" s="692" t="s">
        <v>4060</v>
      </c>
      <c r="C1626" s="691">
        <v>50.8</v>
      </c>
      <c r="D1626" s="691">
        <v>51.5</v>
      </c>
      <c r="E1626" s="691">
        <v>51.9</v>
      </c>
      <c r="F1626" s="691">
        <v>52.2</v>
      </c>
      <c r="G1626" s="691">
        <v>52.1</v>
      </c>
      <c r="H1626" s="691">
        <v>52.3</v>
      </c>
      <c r="I1626" s="692" t="s">
        <v>4060</v>
      </c>
      <c r="J1626" s="692" t="s">
        <v>4060</v>
      </c>
      <c r="K1626" s="692" t="s">
        <v>4060</v>
      </c>
    </row>
    <row r="1627" spans="1:11">
      <c r="A1627" s="688" t="s">
        <v>4070</v>
      </c>
      <c r="B1627" s="690" t="s">
        <v>4060</v>
      </c>
      <c r="C1627" s="690" t="s">
        <v>4060</v>
      </c>
      <c r="D1627" s="690" t="s">
        <v>4060</v>
      </c>
      <c r="E1627" s="689">
        <v>57.3</v>
      </c>
      <c r="F1627" s="690" t="s">
        <v>4060</v>
      </c>
      <c r="G1627" s="690" t="s">
        <v>4060</v>
      </c>
      <c r="H1627" s="690" t="s">
        <v>4060</v>
      </c>
      <c r="I1627" s="690" t="s">
        <v>4060</v>
      </c>
      <c r="J1627" s="690" t="s">
        <v>4060</v>
      </c>
      <c r="K1627" s="690" t="s">
        <v>4060</v>
      </c>
    </row>
    <row r="1628" spans="1:11">
      <c r="A1628" s="688" t="s">
        <v>2491</v>
      </c>
      <c r="B1628" s="691">
        <v>51.4</v>
      </c>
      <c r="C1628" s="615">
        <v>52</v>
      </c>
      <c r="D1628" s="691">
        <v>52.5</v>
      </c>
      <c r="E1628" s="691">
        <v>52.8</v>
      </c>
      <c r="F1628" s="615">
        <v>53</v>
      </c>
      <c r="G1628" s="615">
        <v>53</v>
      </c>
      <c r="H1628" s="692" t="s">
        <v>4060</v>
      </c>
      <c r="I1628" s="692" t="s">
        <v>4060</v>
      </c>
      <c r="J1628" s="692" t="s">
        <v>4060</v>
      </c>
      <c r="K1628" s="692" t="s">
        <v>4060</v>
      </c>
    </row>
    <row r="1629" spans="1:11">
      <c r="A1629" s="688" t="s">
        <v>2343</v>
      </c>
      <c r="B1629" s="690" t="s">
        <v>4060</v>
      </c>
      <c r="C1629" s="690" t="s">
        <v>4060</v>
      </c>
      <c r="D1629" s="690" t="s">
        <v>4060</v>
      </c>
      <c r="E1629" s="690" t="s">
        <v>4060</v>
      </c>
      <c r="F1629" s="690" t="s">
        <v>4060</v>
      </c>
      <c r="G1629" s="690" t="s">
        <v>4060</v>
      </c>
      <c r="H1629" s="690" t="s">
        <v>4060</v>
      </c>
      <c r="I1629" s="690" t="s">
        <v>4060</v>
      </c>
      <c r="J1629" s="690" t="s">
        <v>4060</v>
      </c>
      <c r="K1629" s="690" t="s">
        <v>4060</v>
      </c>
    </row>
    <row r="1630" spans="1:11">
      <c r="A1630" s="688" t="s">
        <v>4071</v>
      </c>
      <c r="B1630" s="692" t="s">
        <v>4060</v>
      </c>
      <c r="C1630" s="692" t="s">
        <v>4060</v>
      </c>
      <c r="D1630" s="692" t="s">
        <v>4060</v>
      </c>
      <c r="E1630" s="692" t="s">
        <v>4060</v>
      </c>
      <c r="F1630" s="692" t="s">
        <v>4060</v>
      </c>
      <c r="G1630" s="692" t="s">
        <v>4060</v>
      </c>
      <c r="H1630" s="692" t="s">
        <v>4060</v>
      </c>
      <c r="I1630" s="692" t="s">
        <v>4060</v>
      </c>
      <c r="J1630" s="692" t="s">
        <v>4060</v>
      </c>
      <c r="K1630" s="692" t="s">
        <v>4060</v>
      </c>
    </row>
    <row r="1631" spans="1:11">
      <c r="A1631" s="688" t="s">
        <v>2489</v>
      </c>
      <c r="B1631" s="690" t="s">
        <v>4060</v>
      </c>
      <c r="C1631" s="690" t="s">
        <v>4060</v>
      </c>
      <c r="D1631" s="689">
        <v>54.2</v>
      </c>
      <c r="E1631" s="689">
        <v>54.2</v>
      </c>
      <c r="F1631" s="689">
        <v>54.8</v>
      </c>
      <c r="G1631" s="689">
        <v>55.6</v>
      </c>
      <c r="H1631" s="689">
        <v>55.4</v>
      </c>
      <c r="I1631" s="690" t="s">
        <v>4060</v>
      </c>
      <c r="J1631" s="690" t="s">
        <v>4060</v>
      </c>
      <c r="K1631" s="690" t="s">
        <v>4060</v>
      </c>
    </row>
    <row r="1632" spans="1:11">
      <c r="A1632" s="688" t="s">
        <v>2490</v>
      </c>
      <c r="B1632" s="615">
        <v>54</v>
      </c>
      <c r="C1632" s="691">
        <v>54.1</v>
      </c>
      <c r="D1632" s="691">
        <v>54.7</v>
      </c>
      <c r="E1632" s="692" t="s">
        <v>4060</v>
      </c>
      <c r="F1632" s="615">
        <v>55</v>
      </c>
      <c r="G1632" s="691">
        <v>55.3</v>
      </c>
      <c r="H1632" s="615">
        <v>56</v>
      </c>
      <c r="I1632" s="692" t="s">
        <v>4060</v>
      </c>
      <c r="J1632" s="692" t="s">
        <v>4060</v>
      </c>
      <c r="K1632" s="692" t="s">
        <v>4060</v>
      </c>
    </row>
    <row r="1634" spans="1:11">
      <c r="A1634" s="683" t="s">
        <v>4233</v>
      </c>
    </row>
    <row r="1635" spans="1:11">
      <c r="A1635" s="683" t="s">
        <v>4060</v>
      </c>
      <c r="B1635" s="682" t="s">
        <v>4234</v>
      </c>
    </row>
    <row r="1637" spans="1:11">
      <c r="A1637" s="682" t="s">
        <v>4248</v>
      </c>
    </row>
    <row r="1638" spans="1:11">
      <c r="A1638" s="682" t="s">
        <v>4210</v>
      </c>
      <c r="B1638" s="683" t="s">
        <v>4211</v>
      </c>
    </row>
    <row r="1639" spans="1:11">
      <c r="A1639" s="682" t="s">
        <v>4212</v>
      </c>
      <c r="B1639" s="682" t="s">
        <v>4213</v>
      </c>
    </row>
    <row r="1641" spans="1:11">
      <c r="A1641" s="683" t="s">
        <v>4214</v>
      </c>
      <c r="C1641" s="682" t="s">
        <v>4215</v>
      </c>
    </row>
    <row r="1642" spans="1:11">
      <c r="A1642" s="683" t="s">
        <v>4216</v>
      </c>
      <c r="C1642" s="682" t="s">
        <v>2967</v>
      </c>
    </row>
    <row r="1643" spans="1:11">
      <c r="A1643" s="683" t="s">
        <v>3893</v>
      </c>
      <c r="C1643" s="682" t="s">
        <v>4217</v>
      </c>
    </row>
    <row r="1644" spans="1:11">
      <c r="A1644" s="683" t="s">
        <v>4218</v>
      </c>
      <c r="C1644" s="682" t="s">
        <v>4258</v>
      </c>
    </row>
    <row r="1646" spans="1:11">
      <c r="A1646" s="684" t="s">
        <v>4220</v>
      </c>
      <c r="B1646" s="685" t="s">
        <v>4221</v>
      </c>
      <c r="C1646" s="685" t="s">
        <v>4222</v>
      </c>
      <c r="D1646" s="685" t="s">
        <v>4223</v>
      </c>
      <c r="E1646" s="685" t="s">
        <v>4224</v>
      </c>
      <c r="F1646" s="685" t="s">
        <v>4225</v>
      </c>
      <c r="G1646" s="685" t="s">
        <v>4226</v>
      </c>
      <c r="H1646" s="685" t="s">
        <v>4227</v>
      </c>
      <c r="I1646" s="685" t="s">
        <v>4228</v>
      </c>
      <c r="J1646" s="685" t="s">
        <v>4229</v>
      </c>
      <c r="K1646" s="685" t="s">
        <v>4230</v>
      </c>
    </row>
    <row r="1647" spans="1:11">
      <c r="A1647" s="686" t="s">
        <v>4231</v>
      </c>
      <c r="B1647" s="687" t="s">
        <v>4232</v>
      </c>
      <c r="C1647" s="687" t="s">
        <v>4232</v>
      </c>
      <c r="D1647" s="687" t="s">
        <v>4232</v>
      </c>
      <c r="E1647" s="687" t="s">
        <v>4232</v>
      </c>
      <c r="F1647" s="687" t="s">
        <v>4232</v>
      </c>
      <c r="G1647" s="687" t="s">
        <v>4232</v>
      </c>
      <c r="H1647" s="687" t="s">
        <v>4232</v>
      </c>
      <c r="I1647" s="687" t="s">
        <v>4232</v>
      </c>
      <c r="J1647" s="687" t="s">
        <v>4232</v>
      </c>
      <c r="K1647" s="687" t="s">
        <v>4232</v>
      </c>
    </row>
    <row r="1648" spans="1:11">
      <c r="A1648" s="688" t="s">
        <v>4064</v>
      </c>
      <c r="B1648" s="691">
        <v>58.1</v>
      </c>
      <c r="C1648" s="691">
        <v>58.1</v>
      </c>
      <c r="D1648" s="691">
        <v>58.1</v>
      </c>
      <c r="E1648" s="691">
        <v>58.2</v>
      </c>
      <c r="F1648" s="691">
        <v>58.3</v>
      </c>
      <c r="G1648" s="691">
        <v>58.3</v>
      </c>
      <c r="H1648" s="691">
        <v>58.6</v>
      </c>
      <c r="I1648" s="691">
        <v>57.8</v>
      </c>
      <c r="J1648" s="691">
        <v>57.5</v>
      </c>
      <c r="K1648" s="691">
        <v>58.1</v>
      </c>
    </row>
    <row r="1649" spans="1:11">
      <c r="A1649" s="688" t="s">
        <v>4065</v>
      </c>
      <c r="B1649" s="689">
        <v>58.1</v>
      </c>
      <c r="C1649" s="689">
        <v>58.5</v>
      </c>
      <c r="D1649" s="689">
        <v>58.2</v>
      </c>
      <c r="E1649" s="689">
        <v>58.5</v>
      </c>
      <c r="F1649" s="689">
        <v>58.5</v>
      </c>
      <c r="G1649" s="689">
        <v>58.6</v>
      </c>
      <c r="H1649" s="690" t="s">
        <v>4060</v>
      </c>
      <c r="I1649" s="690" t="s">
        <v>4060</v>
      </c>
      <c r="J1649" s="690" t="s">
        <v>4060</v>
      </c>
      <c r="K1649" s="690" t="s">
        <v>4060</v>
      </c>
    </row>
    <row r="1650" spans="1:11">
      <c r="A1650" s="688" t="s">
        <v>4063</v>
      </c>
      <c r="B1650" s="691">
        <v>58.1</v>
      </c>
      <c r="C1650" s="691">
        <v>58.5</v>
      </c>
      <c r="D1650" s="691">
        <v>58.2</v>
      </c>
      <c r="E1650" s="691">
        <v>58.5</v>
      </c>
      <c r="F1650" s="691">
        <v>58.5</v>
      </c>
      <c r="G1650" s="691">
        <v>58.6</v>
      </c>
      <c r="H1650" s="692" t="s">
        <v>4060</v>
      </c>
      <c r="I1650" s="692" t="s">
        <v>4060</v>
      </c>
      <c r="J1650" s="692" t="s">
        <v>4060</v>
      </c>
      <c r="K1650" s="692" t="s">
        <v>4060</v>
      </c>
    </row>
    <row r="1651" spans="1:11">
      <c r="A1651" s="688" t="s">
        <v>4069</v>
      </c>
      <c r="B1651" s="690" t="s">
        <v>4060</v>
      </c>
      <c r="C1651" s="689">
        <v>59.1</v>
      </c>
      <c r="D1651" s="689">
        <v>58.9</v>
      </c>
      <c r="E1651" s="689">
        <v>59.2</v>
      </c>
      <c r="F1651" s="689">
        <v>59.2</v>
      </c>
      <c r="G1651" s="689">
        <v>59.3</v>
      </c>
      <c r="H1651" s="689">
        <v>59.6</v>
      </c>
      <c r="I1651" s="689">
        <v>58.9</v>
      </c>
      <c r="J1651" s="689">
        <v>58.9</v>
      </c>
      <c r="K1651" s="689">
        <v>59.1</v>
      </c>
    </row>
    <row r="1652" spans="1:11">
      <c r="A1652" s="688" t="s">
        <v>4068</v>
      </c>
      <c r="B1652" s="691">
        <v>59.1</v>
      </c>
      <c r="C1652" s="692" t="s">
        <v>4060</v>
      </c>
      <c r="D1652" s="692" t="s">
        <v>4060</v>
      </c>
      <c r="E1652" s="692" t="s">
        <v>4060</v>
      </c>
      <c r="F1652" s="692" t="s">
        <v>4060</v>
      </c>
      <c r="G1652" s="692" t="s">
        <v>4060</v>
      </c>
      <c r="H1652" s="692" t="s">
        <v>4060</v>
      </c>
      <c r="I1652" s="692" t="s">
        <v>4060</v>
      </c>
      <c r="J1652" s="692" t="s">
        <v>4060</v>
      </c>
      <c r="K1652" s="692" t="s">
        <v>4060</v>
      </c>
    </row>
    <row r="1653" spans="1:11">
      <c r="A1653" s="688" t="s">
        <v>0</v>
      </c>
      <c r="B1653" s="689">
        <v>58.3</v>
      </c>
      <c r="C1653" s="689">
        <v>58.6</v>
      </c>
      <c r="D1653" s="689">
        <v>58.4</v>
      </c>
      <c r="E1653" s="689">
        <v>58.8</v>
      </c>
      <c r="F1653" s="689">
        <v>58.9</v>
      </c>
      <c r="G1653" s="693">
        <v>59</v>
      </c>
      <c r="H1653" s="689">
        <v>59.4</v>
      </c>
      <c r="I1653" s="689">
        <v>58.3</v>
      </c>
      <c r="J1653" s="689">
        <v>59.2</v>
      </c>
      <c r="K1653" s="689">
        <v>59.2</v>
      </c>
    </row>
    <row r="1654" spans="1:11">
      <c r="A1654" s="688" t="s">
        <v>1</v>
      </c>
      <c r="B1654" s="615">
        <v>53</v>
      </c>
      <c r="C1654" s="691">
        <v>52.4</v>
      </c>
      <c r="D1654" s="691">
        <v>52.5</v>
      </c>
      <c r="E1654" s="691">
        <v>52.6</v>
      </c>
      <c r="F1654" s="691">
        <v>52.6</v>
      </c>
      <c r="G1654" s="691">
        <v>52.6</v>
      </c>
      <c r="H1654" s="691">
        <v>52.7</v>
      </c>
      <c r="I1654" s="691">
        <v>51.1</v>
      </c>
      <c r="J1654" s="615">
        <v>49</v>
      </c>
      <c r="K1654" s="691">
        <v>51.9</v>
      </c>
    </row>
    <row r="1655" spans="1:11">
      <c r="A1655" s="688" t="s">
        <v>2240</v>
      </c>
      <c r="B1655" s="689">
        <v>55.8</v>
      </c>
      <c r="C1655" s="689">
        <v>56.2</v>
      </c>
      <c r="D1655" s="689">
        <v>56.1</v>
      </c>
      <c r="E1655" s="689">
        <v>56.5</v>
      </c>
      <c r="F1655" s="689">
        <v>56.4</v>
      </c>
      <c r="G1655" s="689">
        <v>56.5</v>
      </c>
      <c r="H1655" s="689">
        <v>56.7</v>
      </c>
      <c r="I1655" s="689">
        <v>55.7</v>
      </c>
      <c r="J1655" s="689">
        <v>54.6</v>
      </c>
      <c r="K1655" s="689">
        <v>56.5</v>
      </c>
    </row>
    <row r="1656" spans="1:11">
      <c r="A1656" s="688" t="s">
        <v>2</v>
      </c>
      <c r="B1656" s="691">
        <v>57.9</v>
      </c>
      <c r="C1656" s="691">
        <v>58.1</v>
      </c>
      <c r="D1656" s="691">
        <v>58.2</v>
      </c>
      <c r="E1656" s="691">
        <v>58.3</v>
      </c>
      <c r="F1656" s="691">
        <v>58.6</v>
      </c>
      <c r="G1656" s="691">
        <v>58.5</v>
      </c>
      <c r="H1656" s="691">
        <v>58.9</v>
      </c>
      <c r="I1656" s="615">
        <v>59</v>
      </c>
      <c r="J1656" s="691">
        <v>58.9</v>
      </c>
      <c r="K1656" s="691">
        <v>58.7</v>
      </c>
    </row>
    <row r="1657" spans="1:11">
      <c r="A1657" s="688" t="s">
        <v>3</v>
      </c>
      <c r="B1657" s="689">
        <v>58.1</v>
      </c>
      <c r="C1657" s="689">
        <v>58.4</v>
      </c>
      <c r="D1657" s="689">
        <v>58.1</v>
      </c>
      <c r="E1657" s="689">
        <v>58.4</v>
      </c>
      <c r="F1657" s="689">
        <v>58.4</v>
      </c>
      <c r="G1657" s="689">
        <v>58.4</v>
      </c>
      <c r="H1657" s="689">
        <v>58.7</v>
      </c>
      <c r="I1657" s="689">
        <v>58.5</v>
      </c>
      <c r="J1657" s="689">
        <v>58.2</v>
      </c>
      <c r="K1657" s="693">
        <v>58</v>
      </c>
    </row>
    <row r="1658" spans="1:11">
      <c r="A1658" s="688" t="s">
        <v>4061</v>
      </c>
      <c r="B1658" s="691">
        <v>58.1</v>
      </c>
      <c r="C1658" s="691">
        <v>58.4</v>
      </c>
      <c r="D1658" s="691">
        <v>58.1</v>
      </c>
      <c r="E1658" s="691">
        <v>58.4</v>
      </c>
      <c r="F1658" s="691">
        <v>58.4</v>
      </c>
      <c r="G1658" s="691">
        <v>58.4</v>
      </c>
      <c r="H1658" s="691">
        <v>58.7</v>
      </c>
      <c r="I1658" s="691">
        <v>58.5</v>
      </c>
      <c r="J1658" s="691">
        <v>58.2</v>
      </c>
      <c r="K1658" s="615">
        <v>58</v>
      </c>
    </row>
    <row r="1659" spans="1:11">
      <c r="A1659" s="688" t="s">
        <v>4</v>
      </c>
      <c r="B1659" s="689">
        <v>55.1</v>
      </c>
      <c r="C1659" s="689">
        <v>54.8</v>
      </c>
      <c r="D1659" s="689">
        <v>55.3</v>
      </c>
      <c r="E1659" s="689">
        <v>55.4</v>
      </c>
      <c r="F1659" s="689">
        <v>55.7</v>
      </c>
      <c r="G1659" s="689">
        <v>55.8</v>
      </c>
      <c r="H1659" s="689">
        <v>56.3</v>
      </c>
      <c r="I1659" s="689">
        <v>56.1</v>
      </c>
      <c r="J1659" s="689">
        <v>54.7</v>
      </c>
      <c r="K1659" s="689">
        <v>55.6</v>
      </c>
    </row>
    <row r="1660" spans="1:11">
      <c r="A1660" s="688" t="s">
        <v>8</v>
      </c>
      <c r="B1660" s="691">
        <v>58.6</v>
      </c>
      <c r="C1660" s="691">
        <v>58.8</v>
      </c>
      <c r="D1660" s="691">
        <v>58.9</v>
      </c>
      <c r="E1660" s="615">
        <v>59</v>
      </c>
      <c r="F1660" s="691">
        <v>59.4</v>
      </c>
      <c r="G1660" s="691">
        <v>59.5</v>
      </c>
      <c r="H1660" s="691">
        <v>59.9</v>
      </c>
      <c r="I1660" s="691">
        <v>59.7</v>
      </c>
      <c r="J1660" s="691">
        <v>59.5</v>
      </c>
      <c r="K1660" s="691">
        <v>59.8</v>
      </c>
    </row>
    <row r="1661" spans="1:11">
      <c r="A1661" s="688" t="s">
        <v>7</v>
      </c>
      <c r="B1661" s="689">
        <v>58.9</v>
      </c>
      <c r="C1661" s="689">
        <v>58.6</v>
      </c>
      <c r="D1661" s="689">
        <v>58.3</v>
      </c>
      <c r="E1661" s="689">
        <v>58.7</v>
      </c>
      <c r="F1661" s="689">
        <v>58.6</v>
      </c>
      <c r="G1661" s="693">
        <v>59</v>
      </c>
      <c r="H1661" s="693">
        <v>59</v>
      </c>
      <c r="I1661" s="689">
        <v>58.6</v>
      </c>
      <c r="J1661" s="689">
        <v>57.6</v>
      </c>
      <c r="K1661" s="689">
        <v>58.3</v>
      </c>
    </row>
    <row r="1662" spans="1:11">
      <c r="A1662" s="688" t="s">
        <v>27</v>
      </c>
      <c r="B1662" s="691">
        <v>60.6</v>
      </c>
      <c r="C1662" s="691">
        <v>60.3</v>
      </c>
      <c r="D1662" s="691">
        <v>60.1</v>
      </c>
      <c r="E1662" s="691">
        <v>60.5</v>
      </c>
      <c r="F1662" s="691">
        <v>60.5</v>
      </c>
      <c r="G1662" s="691">
        <v>60.6</v>
      </c>
      <c r="H1662" s="691">
        <v>60.9</v>
      </c>
      <c r="I1662" s="691">
        <v>59.6</v>
      </c>
      <c r="J1662" s="691">
        <v>60.4</v>
      </c>
      <c r="K1662" s="691">
        <v>60.5</v>
      </c>
    </row>
    <row r="1663" spans="1:11">
      <c r="A1663" s="688" t="s">
        <v>6</v>
      </c>
      <c r="B1663" s="693">
        <v>60</v>
      </c>
      <c r="C1663" s="693">
        <v>60</v>
      </c>
      <c r="D1663" s="689">
        <v>59.7</v>
      </c>
      <c r="E1663" s="693">
        <v>60</v>
      </c>
      <c r="F1663" s="693">
        <v>60</v>
      </c>
      <c r="G1663" s="689">
        <v>60.2</v>
      </c>
      <c r="H1663" s="689">
        <v>60.3</v>
      </c>
      <c r="I1663" s="689">
        <v>59.7</v>
      </c>
      <c r="J1663" s="689">
        <v>59.8</v>
      </c>
      <c r="K1663" s="689">
        <v>59.9</v>
      </c>
    </row>
    <row r="1664" spans="1:11">
      <c r="A1664" s="688" t="s">
        <v>4058</v>
      </c>
      <c r="B1664" s="692" t="s">
        <v>4060</v>
      </c>
      <c r="C1664" s="692" t="s">
        <v>4060</v>
      </c>
      <c r="D1664" s="692" t="s">
        <v>4060</v>
      </c>
      <c r="E1664" s="692" t="s">
        <v>4060</v>
      </c>
      <c r="F1664" s="692" t="s">
        <v>4060</v>
      </c>
      <c r="G1664" s="692" t="s">
        <v>4060</v>
      </c>
      <c r="H1664" s="692" t="s">
        <v>4060</v>
      </c>
      <c r="I1664" s="692" t="s">
        <v>4060</v>
      </c>
      <c r="J1664" s="692" t="s">
        <v>4060</v>
      </c>
      <c r="K1664" s="692" t="s">
        <v>4060</v>
      </c>
    </row>
    <row r="1665" spans="1:11">
      <c r="A1665" s="688" t="s">
        <v>11</v>
      </c>
      <c r="B1665" s="689">
        <v>55.4</v>
      </c>
      <c r="C1665" s="689">
        <v>55.4</v>
      </c>
      <c r="D1665" s="693">
        <v>55</v>
      </c>
      <c r="E1665" s="689">
        <v>55.6</v>
      </c>
      <c r="F1665" s="689">
        <v>55.5</v>
      </c>
      <c r="G1665" s="689">
        <v>55.6</v>
      </c>
      <c r="H1665" s="689">
        <v>55.9</v>
      </c>
      <c r="I1665" s="689">
        <v>55.2</v>
      </c>
      <c r="J1665" s="689">
        <v>54.1</v>
      </c>
      <c r="K1665" s="689">
        <v>55.3</v>
      </c>
    </row>
    <row r="1666" spans="1:11">
      <c r="A1666" s="688" t="s">
        <v>10</v>
      </c>
      <c r="B1666" s="691">
        <v>60.3</v>
      </c>
      <c r="C1666" s="691">
        <v>60.3</v>
      </c>
      <c r="D1666" s="691">
        <v>59.9</v>
      </c>
      <c r="E1666" s="691">
        <v>60.5</v>
      </c>
      <c r="F1666" s="691">
        <v>60.3</v>
      </c>
      <c r="G1666" s="691">
        <v>60.6</v>
      </c>
      <c r="H1666" s="691">
        <v>60.8</v>
      </c>
      <c r="I1666" s="691">
        <v>59.6</v>
      </c>
      <c r="J1666" s="615">
        <v>60</v>
      </c>
      <c r="K1666" s="691">
        <v>60.2</v>
      </c>
    </row>
    <row r="1667" spans="1:11">
      <c r="A1667" s="688" t="s">
        <v>30</v>
      </c>
      <c r="B1667" s="689">
        <v>59.9</v>
      </c>
      <c r="C1667" s="689">
        <v>59.7</v>
      </c>
      <c r="D1667" s="689">
        <v>59.4</v>
      </c>
      <c r="E1667" s="689">
        <v>60.2</v>
      </c>
      <c r="F1667" s="689">
        <v>59.8</v>
      </c>
      <c r="G1667" s="689">
        <v>60.4</v>
      </c>
      <c r="H1667" s="689">
        <v>60.1</v>
      </c>
      <c r="I1667" s="689">
        <v>60.1</v>
      </c>
      <c r="J1667" s="689">
        <v>59.2</v>
      </c>
      <c r="K1667" s="689">
        <v>59.7</v>
      </c>
    </row>
    <row r="1668" spans="1:11">
      <c r="A1668" s="688" t="s">
        <v>12</v>
      </c>
      <c r="B1668" s="691">
        <v>52.1</v>
      </c>
      <c r="C1668" s="691">
        <v>52.1</v>
      </c>
      <c r="D1668" s="691">
        <v>52.4</v>
      </c>
      <c r="E1668" s="691">
        <v>52.5</v>
      </c>
      <c r="F1668" s="691">
        <v>52.6</v>
      </c>
      <c r="G1668" s="691">
        <v>52.6</v>
      </c>
      <c r="H1668" s="691">
        <v>53.3</v>
      </c>
      <c r="I1668" s="615">
        <v>53</v>
      </c>
      <c r="J1668" s="691">
        <v>50.7</v>
      </c>
      <c r="K1668" s="615">
        <v>52</v>
      </c>
    </row>
    <row r="1669" spans="1:11">
      <c r="A1669" s="688" t="s">
        <v>14</v>
      </c>
      <c r="B1669" s="689">
        <v>51.9</v>
      </c>
      <c r="C1669" s="689">
        <v>52.4</v>
      </c>
      <c r="D1669" s="689">
        <v>52.2</v>
      </c>
      <c r="E1669" s="689">
        <v>52.5</v>
      </c>
      <c r="F1669" s="689">
        <v>53.3</v>
      </c>
      <c r="G1669" s="689">
        <v>53.5</v>
      </c>
      <c r="H1669" s="693">
        <v>54</v>
      </c>
      <c r="I1669" s="689">
        <v>52.7</v>
      </c>
      <c r="J1669" s="689">
        <v>51.8</v>
      </c>
      <c r="K1669" s="689">
        <v>53.4</v>
      </c>
    </row>
    <row r="1670" spans="1:11">
      <c r="A1670" s="688" t="s">
        <v>15</v>
      </c>
      <c r="B1670" s="691">
        <v>59.4</v>
      </c>
      <c r="C1670" s="691">
        <v>59.3</v>
      </c>
      <c r="D1670" s="691">
        <v>59.5</v>
      </c>
      <c r="E1670" s="691">
        <v>59.8</v>
      </c>
      <c r="F1670" s="691">
        <v>59.3</v>
      </c>
      <c r="G1670" s="691">
        <v>59.6</v>
      </c>
      <c r="H1670" s="615">
        <v>60</v>
      </c>
      <c r="I1670" s="691">
        <v>59.6</v>
      </c>
      <c r="J1670" s="615">
        <v>60</v>
      </c>
      <c r="K1670" s="691">
        <v>60.3</v>
      </c>
    </row>
    <row r="1671" spans="1:11">
      <c r="A1671" s="688" t="s">
        <v>29</v>
      </c>
      <c r="B1671" s="689">
        <v>53.4</v>
      </c>
      <c r="C1671" s="689">
        <v>53.4</v>
      </c>
      <c r="D1671" s="689">
        <v>53.2</v>
      </c>
      <c r="E1671" s="689">
        <v>53.7</v>
      </c>
      <c r="F1671" s="689">
        <v>53.4</v>
      </c>
      <c r="G1671" s="689">
        <v>53.6</v>
      </c>
      <c r="H1671" s="689">
        <v>53.8</v>
      </c>
      <c r="I1671" s="689">
        <v>53.1</v>
      </c>
      <c r="J1671" s="689">
        <v>51.6</v>
      </c>
      <c r="K1671" s="689">
        <v>53.5</v>
      </c>
    </row>
    <row r="1672" spans="1:11">
      <c r="A1672" s="688" t="s">
        <v>16</v>
      </c>
      <c r="B1672" s="691">
        <v>59.6</v>
      </c>
      <c r="C1672" s="691">
        <v>59.4</v>
      </c>
      <c r="D1672" s="691">
        <v>59.5</v>
      </c>
      <c r="E1672" s="691">
        <v>59.9</v>
      </c>
      <c r="F1672" s="691">
        <v>59.8</v>
      </c>
      <c r="G1672" s="691">
        <v>59.7</v>
      </c>
      <c r="H1672" s="691">
        <v>60.2</v>
      </c>
      <c r="I1672" s="691">
        <v>59.5</v>
      </c>
      <c r="J1672" s="691">
        <v>59.6</v>
      </c>
      <c r="K1672" s="691">
        <v>59.8</v>
      </c>
    </row>
    <row r="1673" spans="1:11">
      <c r="A1673" s="688" t="s">
        <v>17</v>
      </c>
      <c r="B1673" s="693">
        <v>59</v>
      </c>
      <c r="C1673" s="689">
        <v>59.2</v>
      </c>
      <c r="D1673" s="689">
        <v>58.9</v>
      </c>
      <c r="E1673" s="693">
        <v>59</v>
      </c>
      <c r="F1673" s="689">
        <v>59.2</v>
      </c>
      <c r="G1673" s="689">
        <v>59.3</v>
      </c>
      <c r="H1673" s="689">
        <v>59.6</v>
      </c>
      <c r="I1673" s="689">
        <v>58.9</v>
      </c>
      <c r="J1673" s="689">
        <v>58.8</v>
      </c>
      <c r="K1673" s="689">
        <v>59.1</v>
      </c>
    </row>
    <row r="1674" spans="1:11">
      <c r="A1674" s="688" t="s">
        <v>19</v>
      </c>
      <c r="B1674" s="691">
        <v>58.8</v>
      </c>
      <c r="C1674" s="691">
        <v>58.9</v>
      </c>
      <c r="D1674" s="691">
        <v>58.7</v>
      </c>
      <c r="E1674" s="691">
        <v>59.1</v>
      </c>
      <c r="F1674" s="691">
        <v>59.1</v>
      </c>
      <c r="G1674" s="691">
        <v>59.2</v>
      </c>
      <c r="H1674" s="691">
        <v>59.4</v>
      </c>
      <c r="I1674" s="691">
        <v>58.9</v>
      </c>
      <c r="J1674" s="691">
        <v>58.8</v>
      </c>
      <c r="K1674" s="691">
        <v>58.9</v>
      </c>
    </row>
    <row r="1675" spans="1:11">
      <c r="A1675" s="688" t="s">
        <v>20</v>
      </c>
      <c r="B1675" s="689">
        <v>54.8</v>
      </c>
      <c r="C1675" s="689">
        <v>55.2</v>
      </c>
      <c r="D1675" s="693">
        <v>55</v>
      </c>
      <c r="E1675" s="689">
        <v>55.4</v>
      </c>
      <c r="F1675" s="689">
        <v>55.3</v>
      </c>
      <c r="G1675" s="689">
        <v>55.2</v>
      </c>
      <c r="H1675" s="689">
        <v>55.5</v>
      </c>
      <c r="I1675" s="693">
        <v>54</v>
      </c>
      <c r="J1675" s="693">
        <v>53</v>
      </c>
      <c r="K1675" s="689">
        <v>54.7</v>
      </c>
    </row>
    <row r="1676" spans="1:11">
      <c r="A1676" s="688" t="s">
        <v>21</v>
      </c>
      <c r="B1676" s="691">
        <v>58.4</v>
      </c>
      <c r="C1676" s="691">
        <v>58.8</v>
      </c>
      <c r="D1676" s="691">
        <v>58.8</v>
      </c>
      <c r="E1676" s="691">
        <v>58.9</v>
      </c>
      <c r="F1676" s="691">
        <v>59.1</v>
      </c>
      <c r="G1676" s="691">
        <v>59.1</v>
      </c>
      <c r="H1676" s="691">
        <v>59.4</v>
      </c>
      <c r="I1676" s="691">
        <v>58.8</v>
      </c>
      <c r="J1676" s="691">
        <v>58.8</v>
      </c>
      <c r="K1676" s="691">
        <v>59.2</v>
      </c>
    </row>
    <row r="1677" spans="1:11">
      <c r="A1677" s="688" t="s">
        <v>22</v>
      </c>
      <c r="B1677" s="689">
        <v>53.3</v>
      </c>
      <c r="C1677" s="693">
        <v>53</v>
      </c>
      <c r="D1677" s="689">
        <v>52.9</v>
      </c>
      <c r="E1677" s="689">
        <v>53.1</v>
      </c>
      <c r="F1677" s="689">
        <v>53.1</v>
      </c>
      <c r="G1677" s="689">
        <v>53.1</v>
      </c>
      <c r="H1677" s="689">
        <v>53.4</v>
      </c>
      <c r="I1677" s="689">
        <v>51.9</v>
      </c>
      <c r="J1677" s="689">
        <v>50.6</v>
      </c>
      <c r="K1677" s="689">
        <v>52.9</v>
      </c>
    </row>
    <row r="1678" spans="1:11">
      <c r="A1678" s="688" t="s">
        <v>26</v>
      </c>
      <c r="B1678" s="615">
        <v>58</v>
      </c>
      <c r="C1678" s="691">
        <v>58.3</v>
      </c>
      <c r="D1678" s="615">
        <v>58</v>
      </c>
      <c r="E1678" s="691">
        <v>58.4</v>
      </c>
      <c r="F1678" s="691">
        <v>58.3</v>
      </c>
      <c r="G1678" s="691">
        <v>58.6</v>
      </c>
      <c r="H1678" s="691">
        <v>58.8</v>
      </c>
      <c r="I1678" s="691">
        <v>57.9</v>
      </c>
      <c r="J1678" s="615">
        <v>58</v>
      </c>
      <c r="K1678" s="691">
        <v>58.6</v>
      </c>
    </row>
    <row r="1679" spans="1:11">
      <c r="A1679" s="688" t="s">
        <v>25</v>
      </c>
      <c r="B1679" s="689">
        <v>54.4</v>
      </c>
      <c r="C1679" s="689">
        <v>54.7</v>
      </c>
      <c r="D1679" s="689">
        <v>54.5</v>
      </c>
      <c r="E1679" s="693">
        <v>55</v>
      </c>
      <c r="F1679" s="693">
        <v>55</v>
      </c>
      <c r="G1679" s="689">
        <v>55.1</v>
      </c>
      <c r="H1679" s="689">
        <v>55.5</v>
      </c>
      <c r="I1679" s="689">
        <v>54.7</v>
      </c>
      <c r="J1679" s="689">
        <v>52.3</v>
      </c>
      <c r="K1679" s="689">
        <v>54.7</v>
      </c>
    </row>
    <row r="1680" spans="1:11">
      <c r="A1680" s="688" t="s">
        <v>5</v>
      </c>
      <c r="B1680" s="691">
        <v>58.5</v>
      </c>
      <c r="C1680" s="691">
        <v>58.5</v>
      </c>
      <c r="D1680" s="691">
        <v>58.8</v>
      </c>
      <c r="E1680" s="691">
        <v>58.7</v>
      </c>
      <c r="F1680" s="615">
        <v>59</v>
      </c>
      <c r="G1680" s="691">
        <v>59.1</v>
      </c>
      <c r="H1680" s="691">
        <v>59.4</v>
      </c>
      <c r="I1680" s="691">
        <v>59.3</v>
      </c>
      <c r="J1680" s="691">
        <v>59.3</v>
      </c>
      <c r="K1680" s="691">
        <v>58.7</v>
      </c>
    </row>
    <row r="1681" spans="1:11">
      <c r="A1681" s="688" t="s">
        <v>23</v>
      </c>
      <c r="B1681" s="689">
        <v>59.5</v>
      </c>
      <c r="C1681" s="689">
        <v>59.6</v>
      </c>
      <c r="D1681" s="689">
        <v>59.6</v>
      </c>
      <c r="E1681" s="689">
        <v>59.8</v>
      </c>
      <c r="F1681" s="689">
        <v>59.9</v>
      </c>
      <c r="G1681" s="693">
        <v>60</v>
      </c>
      <c r="H1681" s="689">
        <v>60.5</v>
      </c>
      <c r="I1681" s="689">
        <v>59.9</v>
      </c>
      <c r="J1681" s="689">
        <v>60.4</v>
      </c>
      <c r="K1681" s="689">
        <v>60.5</v>
      </c>
    </row>
    <row r="1682" spans="1:11">
      <c r="A1682" s="688" t="s">
        <v>4067</v>
      </c>
      <c r="B1682" s="691">
        <v>58.1</v>
      </c>
      <c r="C1682" s="691">
        <v>58.5</v>
      </c>
      <c r="D1682" s="691">
        <v>58.2</v>
      </c>
      <c r="E1682" s="691">
        <v>58.5</v>
      </c>
      <c r="F1682" s="691">
        <v>58.5</v>
      </c>
      <c r="G1682" s="691">
        <v>58.6</v>
      </c>
      <c r="H1682" s="692" t="s">
        <v>4060</v>
      </c>
      <c r="I1682" s="692" t="s">
        <v>4060</v>
      </c>
      <c r="J1682" s="692" t="s">
        <v>4060</v>
      </c>
      <c r="K1682" s="692" t="s">
        <v>4060</v>
      </c>
    </row>
    <row r="1683" spans="1:11">
      <c r="A1683" s="688" t="s">
        <v>4066</v>
      </c>
      <c r="B1683" s="689">
        <v>58.2</v>
      </c>
      <c r="C1683" s="689">
        <v>58.5</v>
      </c>
      <c r="D1683" s="689">
        <v>58.2</v>
      </c>
      <c r="E1683" s="689">
        <v>58.6</v>
      </c>
      <c r="F1683" s="689">
        <v>58.5</v>
      </c>
      <c r="G1683" s="689">
        <v>58.6</v>
      </c>
      <c r="H1683" s="690" t="s">
        <v>4060</v>
      </c>
      <c r="I1683" s="690" t="s">
        <v>4060</v>
      </c>
      <c r="J1683" s="690" t="s">
        <v>4060</v>
      </c>
      <c r="K1683" s="690" t="s">
        <v>4060</v>
      </c>
    </row>
    <row r="1684" spans="1:11">
      <c r="A1684" s="688" t="s">
        <v>4062</v>
      </c>
      <c r="B1684" s="615">
        <v>60</v>
      </c>
      <c r="C1684" s="691">
        <v>60.2</v>
      </c>
      <c r="D1684" s="691">
        <v>60.2</v>
      </c>
      <c r="E1684" s="691">
        <v>60.5</v>
      </c>
      <c r="F1684" s="691">
        <v>60.6</v>
      </c>
      <c r="G1684" s="691">
        <v>60.8</v>
      </c>
      <c r="H1684" s="691">
        <v>60.9</v>
      </c>
      <c r="I1684" s="691">
        <v>60.6</v>
      </c>
      <c r="J1684" s="691">
        <v>60.9</v>
      </c>
      <c r="K1684" s="691">
        <v>60.6</v>
      </c>
    </row>
    <row r="1685" spans="1:11">
      <c r="A1685" s="688" t="s">
        <v>9</v>
      </c>
      <c r="B1685" s="689">
        <v>59.5</v>
      </c>
      <c r="C1685" s="689">
        <v>60.1</v>
      </c>
      <c r="D1685" s="689">
        <v>59.8</v>
      </c>
      <c r="E1685" s="689">
        <v>59.4</v>
      </c>
      <c r="F1685" s="689">
        <v>59.9</v>
      </c>
      <c r="G1685" s="693">
        <v>60</v>
      </c>
      <c r="H1685" s="689">
        <v>60.2</v>
      </c>
      <c r="I1685" s="689">
        <v>60.3</v>
      </c>
      <c r="J1685" s="689">
        <v>60.5</v>
      </c>
      <c r="K1685" s="689">
        <v>59.5</v>
      </c>
    </row>
    <row r="1686" spans="1:11">
      <c r="A1686" s="688" t="s">
        <v>13</v>
      </c>
      <c r="B1686" s="691">
        <v>60.1</v>
      </c>
      <c r="C1686" s="691">
        <v>59.5</v>
      </c>
      <c r="D1686" s="691">
        <v>60.3</v>
      </c>
      <c r="E1686" s="691">
        <v>59.8</v>
      </c>
      <c r="F1686" s="691">
        <v>60.6</v>
      </c>
      <c r="G1686" s="691">
        <v>60.1</v>
      </c>
      <c r="H1686" s="615">
        <v>61</v>
      </c>
      <c r="I1686" s="691">
        <v>60.2</v>
      </c>
      <c r="J1686" s="691">
        <v>61.3</v>
      </c>
      <c r="K1686" s="691">
        <v>61.5</v>
      </c>
    </row>
    <row r="1687" spans="1:11">
      <c r="A1687" s="688" t="s">
        <v>18</v>
      </c>
      <c r="B1687" s="689">
        <v>59.2</v>
      </c>
      <c r="C1687" s="689">
        <v>59.5</v>
      </c>
      <c r="D1687" s="689">
        <v>59.7</v>
      </c>
      <c r="E1687" s="689">
        <v>59.8</v>
      </c>
      <c r="F1687" s="689">
        <v>60.1</v>
      </c>
      <c r="G1687" s="689">
        <v>60.2</v>
      </c>
      <c r="H1687" s="689">
        <v>60.4</v>
      </c>
      <c r="I1687" s="689">
        <v>60.6</v>
      </c>
      <c r="J1687" s="689">
        <v>60.5</v>
      </c>
      <c r="K1687" s="693">
        <v>60</v>
      </c>
    </row>
    <row r="1688" spans="1:11">
      <c r="A1688" s="688" t="s">
        <v>24</v>
      </c>
      <c r="B1688" s="691">
        <v>60.5</v>
      </c>
      <c r="C1688" s="691">
        <v>60.6</v>
      </c>
      <c r="D1688" s="691">
        <v>60.4</v>
      </c>
      <c r="E1688" s="691">
        <v>60.9</v>
      </c>
      <c r="F1688" s="691">
        <v>60.9</v>
      </c>
      <c r="G1688" s="691">
        <v>61.1</v>
      </c>
      <c r="H1688" s="691">
        <v>61.3</v>
      </c>
      <c r="I1688" s="691">
        <v>60.6</v>
      </c>
      <c r="J1688" s="691">
        <v>61.1</v>
      </c>
      <c r="K1688" s="691">
        <v>61.1</v>
      </c>
    </row>
    <row r="1689" spans="1:11">
      <c r="A1689" s="688" t="s">
        <v>4059</v>
      </c>
      <c r="B1689" s="689">
        <v>58.7</v>
      </c>
      <c r="C1689" s="689">
        <v>58.9</v>
      </c>
      <c r="D1689" s="689">
        <v>58.6</v>
      </c>
      <c r="E1689" s="689">
        <v>58.8</v>
      </c>
      <c r="F1689" s="689">
        <v>58.9</v>
      </c>
      <c r="G1689" s="689">
        <v>58.8</v>
      </c>
      <c r="H1689" s="690" t="s">
        <v>4060</v>
      </c>
      <c r="I1689" s="690" t="s">
        <v>4060</v>
      </c>
      <c r="J1689" s="690" t="s">
        <v>4060</v>
      </c>
      <c r="K1689" s="690" t="s">
        <v>4060</v>
      </c>
    </row>
    <row r="1690" spans="1:11">
      <c r="A1690" s="688" t="s">
        <v>2324</v>
      </c>
      <c r="B1690" s="691">
        <v>54.1</v>
      </c>
      <c r="C1690" s="691">
        <v>54.2</v>
      </c>
      <c r="D1690" s="615">
        <v>54</v>
      </c>
      <c r="E1690" s="615">
        <v>54</v>
      </c>
      <c r="F1690" s="615">
        <v>54</v>
      </c>
      <c r="G1690" s="691">
        <v>54.3</v>
      </c>
      <c r="H1690" s="691">
        <v>54.2</v>
      </c>
      <c r="I1690" s="691">
        <v>53.4</v>
      </c>
      <c r="J1690" s="691">
        <v>51.1</v>
      </c>
      <c r="K1690" s="692" t="s">
        <v>4060</v>
      </c>
    </row>
    <row r="1691" spans="1:11">
      <c r="A1691" s="688" t="s">
        <v>2322</v>
      </c>
      <c r="B1691" s="690" t="s">
        <v>4060</v>
      </c>
      <c r="C1691" s="690" t="s">
        <v>4060</v>
      </c>
      <c r="D1691" s="690" t="s">
        <v>4060</v>
      </c>
      <c r="E1691" s="690" t="s">
        <v>4060</v>
      </c>
      <c r="F1691" s="690" t="s">
        <v>4060</v>
      </c>
      <c r="G1691" s="690" t="s">
        <v>4060</v>
      </c>
      <c r="H1691" s="690" t="s">
        <v>4060</v>
      </c>
      <c r="I1691" s="690" t="s">
        <v>4060</v>
      </c>
      <c r="J1691" s="690" t="s">
        <v>4060</v>
      </c>
      <c r="K1691" s="690" t="s">
        <v>4060</v>
      </c>
    </row>
    <row r="1692" spans="1:11">
      <c r="A1692" s="688" t="s">
        <v>2328</v>
      </c>
      <c r="B1692" s="691">
        <v>53.5</v>
      </c>
      <c r="C1692" s="691">
        <v>53.5</v>
      </c>
      <c r="D1692" s="691">
        <v>53.5</v>
      </c>
      <c r="E1692" s="691">
        <v>53.7</v>
      </c>
      <c r="F1692" s="615">
        <v>54</v>
      </c>
      <c r="G1692" s="691">
        <v>54.4</v>
      </c>
      <c r="H1692" s="691">
        <v>54.3</v>
      </c>
      <c r="I1692" s="691">
        <v>52.1</v>
      </c>
      <c r="J1692" s="691">
        <v>50.9</v>
      </c>
      <c r="K1692" s="692" t="s">
        <v>4060</v>
      </c>
    </row>
    <row r="1693" spans="1:11">
      <c r="A1693" s="688" t="s">
        <v>2496</v>
      </c>
      <c r="B1693" s="690" t="s">
        <v>4060</v>
      </c>
      <c r="C1693" s="689">
        <v>52.4</v>
      </c>
      <c r="D1693" s="689">
        <v>51.3</v>
      </c>
      <c r="E1693" s="689">
        <v>50.9</v>
      </c>
      <c r="F1693" s="689">
        <v>51.7</v>
      </c>
      <c r="G1693" s="689">
        <v>52.1</v>
      </c>
      <c r="H1693" s="689">
        <v>52.1</v>
      </c>
      <c r="I1693" s="690" t="s">
        <v>4060</v>
      </c>
      <c r="J1693" s="690" t="s">
        <v>4060</v>
      </c>
      <c r="K1693" s="689">
        <v>51.7</v>
      </c>
    </row>
    <row r="1694" spans="1:11">
      <c r="A1694" s="688" t="s">
        <v>2269</v>
      </c>
      <c r="B1694" s="691">
        <v>56.2</v>
      </c>
      <c r="C1694" s="691">
        <v>56.3</v>
      </c>
      <c r="D1694" s="615">
        <v>56</v>
      </c>
      <c r="E1694" s="691">
        <v>56.6</v>
      </c>
      <c r="F1694" s="691">
        <v>56.6</v>
      </c>
      <c r="G1694" s="615">
        <v>57</v>
      </c>
      <c r="H1694" s="691">
        <v>57.2</v>
      </c>
      <c r="I1694" s="691">
        <v>55.4</v>
      </c>
      <c r="J1694" s="691">
        <v>53.5</v>
      </c>
      <c r="K1694" s="691">
        <v>56.9</v>
      </c>
    </row>
    <row r="1695" spans="1:11">
      <c r="A1695" s="688" t="s">
        <v>2349</v>
      </c>
      <c r="B1695" s="693">
        <v>53</v>
      </c>
      <c r="C1695" s="689">
        <v>53.1</v>
      </c>
      <c r="D1695" s="693">
        <v>53</v>
      </c>
      <c r="E1695" s="689">
        <v>53.4</v>
      </c>
      <c r="F1695" s="689">
        <v>53.3</v>
      </c>
      <c r="G1695" s="689">
        <v>53.6</v>
      </c>
      <c r="H1695" s="689">
        <v>53.7</v>
      </c>
      <c r="I1695" s="689">
        <v>52.1</v>
      </c>
      <c r="J1695" s="689">
        <v>50.5</v>
      </c>
      <c r="K1695" s="689">
        <v>52.8</v>
      </c>
    </row>
    <row r="1696" spans="1:11">
      <c r="A1696" s="688" t="s">
        <v>2355</v>
      </c>
      <c r="B1696" s="691">
        <v>56.8</v>
      </c>
      <c r="C1696" s="691">
        <v>56.6</v>
      </c>
      <c r="D1696" s="691">
        <v>56.6</v>
      </c>
      <c r="E1696" s="691">
        <v>56.5</v>
      </c>
      <c r="F1696" s="691">
        <v>56.8</v>
      </c>
      <c r="G1696" s="691">
        <v>57.2</v>
      </c>
      <c r="H1696" s="691">
        <v>57.3</v>
      </c>
      <c r="I1696" s="692" t="s">
        <v>4060</v>
      </c>
      <c r="J1696" s="692" t="s">
        <v>4060</v>
      </c>
      <c r="K1696" s="692" t="s">
        <v>4060</v>
      </c>
    </row>
    <row r="1697" spans="1:11">
      <c r="A1697" s="688" t="s">
        <v>2357</v>
      </c>
      <c r="B1697" s="690" t="s">
        <v>4060</v>
      </c>
      <c r="C1697" s="689">
        <v>49.9</v>
      </c>
      <c r="D1697" s="689">
        <v>50.6</v>
      </c>
      <c r="E1697" s="689">
        <v>50.9</v>
      </c>
      <c r="F1697" s="689">
        <v>51.3</v>
      </c>
      <c r="G1697" s="689">
        <v>51.1</v>
      </c>
      <c r="H1697" s="689">
        <v>51.4</v>
      </c>
      <c r="I1697" s="690" t="s">
        <v>4060</v>
      </c>
      <c r="J1697" s="690" t="s">
        <v>4060</v>
      </c>
      <c r="K1697" s="690" t="s">
        <v>4060</v>
      </c>
    </row>
    <row r="1698" spans="1:11">
      <c r="A1698" s="688" t="s">
        <v>4070</v>
      </c>
      <c r="B1698" s="692" t="s">
        <v>4060</v>
      </c>
      <c r="C1698" s="692" t="s">
        <v>4060</v>
      </c>
      <c r="D1698" s="692" t="s">
        <v>4060</v>
      </c>
      <c r="E1698" s="691">
        <v>56.4</v>
      </c>
      <c r="F1698" s="692" t="s">
        <v>4060</v>
      </c>
      <c r="G1698" s="692" t="s">
        <v>4060</v>
      </c>
      <c r="H1698" s="692" t="s">
        <v>4060</v>
      </c>
      <c r="I1698" s="692" t="s">
        <v>4060</v>
      </c>
      <c r="J1698" s="692" t="s">
        <v>4060</v>
      </c>
      <c r="K1698" s="692" t="s">
        <v>4060</v>
      </c>
    </row>
    <row r="1699" spans="1:11">
      <c r="A1699" s="688" t="s">
        <v>2491</v>
      </c>
      <c r="B1699" s="689">
        <v>50.4</v>
      </c>
      <c r="C1699" s="693">
        <v>51</v>
      </c>
      <c r="D1699" s="689">
        <v>51.5</v>
      </c>
      <c r="E1699" s="689">
        <v>51.8</v>
      </c>
      <c r="F1699" s="693">
        <v>52</v>
      </c>
      <c r="G1699" s="693">
        <v>52</v>
      </c>
      <c r="H1699" s="690" t="s">
        <v>4060</v>
      </c>
      <c r="I1699" s="690" t="s">
        <v>4060</v>
      </c>
      <c r="J1699" s="690" t="s">
        <v>4060</v>
      </c>
      <c r="K1699" s="690" t="s">
        <v>4060</v>
      </c>
    </row>
    <row r="1700" spans="1:11">
      <c r="A1700" s="688" t="s">
        <v>2343</v>
      </c>
      <c r="B1700" s="692" t="s">
        <v>4060</v>
      </c>
      <c r="C1700" s="692" t="s">
        <v>4060</v>
      </c>
      <c r="D1700" s="692" t="s">
        <v>4060</v>
      </c>
      <c r="E1700" s="692" t="s">
        <v>4060</v>
      </c>
      <c r="F1700" s="692" t="s">
        <v>4060</v>
      </c>
      <c r="G1700" s="692" t="s">
        <v>4060</v>
      </c>
      <c r="H1700" s="692" t="s">
        <v>4060</v>
      </c>
      <c r="I1700" s="692" t="s">
        <v>4060</v>
      </c>
      <c r="J1700" s="692" t="s">
        <v>4060</v>
      </c>
      <c r="K1700" s="692" t="s">
        <v>4060</v>
      </c>
    </row>
    <row r="1701" spans="1:11">
      <c r="A1701" s="688" t="s">
        <v>4071</v>
      </c>
      <c r="B1701" s="690" t="s">
        <v>4060</v>
      </c>
      <c r="C1701" s="690" t="s">
        <v>4060</v>
      </c>
      <c r="D1701" s="690" t="s">
        <v>4060</v>
      </c>
      <c r="E1701" s="690" t="s">
        <v>4060</v>
      </c>
      <c r="F1701" s="690" t="s">
        <v>4060</v>
      </c>
      <c r="G1701" s="690" t="s">
        <v>4060</v>
      </c>
      <c r="H1701" s="690" t="s">
        <v>4060</v>
      </c>
      <c r="I1701" s="690" t="s">
        <v>4060</v>
      </c>
      <c r="J1701" s="690" t="s">
        <v>4060</v>
      </c>
      <c r="K1701" s="690" t="s">
        <v>4060</v>
      </c>
    </row>
    <row r="1702" spans="1:11">
      <c r="A1702" s="688" t="s">
        <v>2489</v>
      </c>
      <c r="B1702" s="692" t="s">
        <v>4060</v>
      </c>
      <c r="C1702" s="692" t="s">
        <v>4060</v>
      </c>
      <c r="D1702" s="691">
        <v>53.2</v>
      </c>
      <c r="E1702" s="691">
        <v>53.3</v>
      </c>
      <c r="F1702" s="691">
        <v>53.9</v>
      </c>
      <c r="G1702" s="691">
        <v>54.7</v>
      </c>
      <c r="H1702" s="691">
        <v>54.5</v>
      </c>
      <c r="I1702" s="692" t="s">
        <v>4060</v>
      </c>
      <c r="J1702" s="692" t="s">
        <v>4060</v>
      </c>
      <c r="K1702" s="692" t="s">
        <v>4060</v>
      </c>
    </row>
    <row r="1703" spans="1:11">
      <c r="A1703" s="688" t="s">
        <v>2490</v>
      </c>
      <c r="B1703" s="689">
        <v>53.1</v>
      </c>
      <c r="C1703" s="689">
        <v>53.2</v>
      </c>
      <c r="D1703" s="689">
        <v>53.8</v>
      </c>
      <c r="E1703" s="690" t="s">
        <v>4060</v>
      </c>
      <c r="F1703" s="693">
        <v>54</v>
      </c>
      <c r="G1703" s="689">
        <v>54.3</v>
      </c>
      <c r="H1703" s="689">
        <v>55.1</v>
      </c>
      <c r="I1703" s="690" t="s">
        <v>4060</v>
      </c>
      <c r="J1703" s="690" t="s">
        <v>4060</v>
      </c>
      <c r="K1703" s="690" t="s">
        <v>4060</v>
      </c>
    </row>
    <row r="1705" spans="1:11">
      <c r="A1705" s="683" t="s">
        <v>4233</v>
      </c>
    </row>
    <row r="1706" spans="1:11">
      <c r="A1706" s="683" t="s">
        <v>4060</v>
      </c>
      <c r="B1706" s="682" t="s">
        <v>4234</v>
      </c>
    </row>
    <row r="1708" spans="1:11">
      <c r="A1708" s="682" t="s">
        <v>4248</v>
      </c>
    </row>
    <row r="1709" spans="1:11">
      <c r="A1709" s="682" t="s">
        <v>4210</v>
      </c>
      <c r="B1709" s="683" t="s">
        <v>4211</v>
      </c>
    </row>
    <row r="1710" spans="1:11">
      <c r="A1710" s="682" t="s">
        <v>4212</v>
      </c>
      <c r="B1710" s="682" t="s">
        <v>4213</v>
      </c>
    </row>
    <row r="1712" spans="1:11">
      <c r="A1712" s="683" t="s">
        <v>4214</v>
      </c>
      <c r="C1712" s="682" t="s">
        <v>4215</v>
      </c>
    </row>
    <row r="1713" spans="1:11">
      <c r="A1713" s="683" t="s">
        <v>4216</v>
      </c>
      <c r="C1713" s="682" t="s">
        <v>2967</v>
      </c>
    </row>
    <row r="1714" spans="1:11">
      <c r="A1714" s="683" t="s">
        <v>3893</v>
      </c>
      <c r="C1714" s="682" t="s">
        <v>4217</v>
      </c>
    </row>
    <row r="1715" spans="1:11">
      <c r="A1715" s="683" t="s">
        <v>4218</v>
      </c>
      <c r="C1715" s="682" t="s">
        <v>4259</v>
      </c>
    </row>
    <row r="1717" spans="1:11">
      <c r="A1717" s="684" t="s">
        <v>4220</v>
      </c>
      <c r="B1717" s="685" t="s">
        <v>4221</v>
      </c>
      <c r="C1717" s="685" t="s">
        <v>4222</v>
      </c>
      <c r="D1717" s="685" t="s">
        <v>4223</v>
      </c>
      <c r="E1717" s="685" t="s">
        <v>4224</v>
      </c>
      <c r="F1717" s="685" t="s">
        <v>4225</v>
      </c>
      <c r="G1717" s="685" t="s">
        <v>4226</v>
      </c>
      <c r="H1717" s="685" t="s">
        <v>4227</v>
      </c>
      <c r="I1717" s="685" t="s">
        <v>4228</v>
      </c>
      <c r="J1717" s="685" t="s">
        <v>4229</v>
      </c>
      <c r="K1717" s="685" t="s">
        <v>4230</v>
      </c>
    </row>
    <row r="1718" spans="1:11">
      <c r="A1718" s="686" t="s">
        <v>4231</v>
      </c>
      <c r="B1718" s="687" t="s">
        <v>4232</v>
      </c>
      <c r="C1718" s="687" t="s">
        <v>4232</v>
      </c>
      <c r="D1718" s="687" t="s">
        <v>4232</v>
      </c>
      <c r="E1718" s="687" t="s">
        <v>4232</v>
      </c>
      <c r="F1718" s="687" t="s">
        <v>4232</v>
      </c>
      <c r="G1718" s="687" t="s">
        <v>4232</v>
      </c>
      <c r="H1718" s="687" t="s">
        <v>4232</v>
      </c>
      <c r="I1718" s="687" t="s">
        <v>4232</v>
      </c>
      <c r="J1718" s="687" t="s">
        <v>4232</v>
      </c>
      <c r="K1718" s="687" t="s">
        <v>4232</v>
      </c>
    </row>
    <row r="1719" spans="1:11">
      <c r="A1719" s="688" t="s">
        <v>4064</v>
      </c>
      <c r="B1719" s="689">
        <v>57.1</v>
      </c>
      <c r="C1719" s="689">
        <v>57.2</v>
      </c>
      <c r="D1719" s="689">
        <v>57.1</v>
      </c>
      <c r="E1719" s="689">
        <v>57.3</v>
      </c>
      <c r="F1719" s="689">
        <v>57.3</v>
      </c>
      <c r="G1719" s="689">
        <v>57.4</v>
      </c>
      <c r="H1719" s="689">
        <v>57.6</v>
      </c>
      <c r="I1719" s="689">
        <v>56.8</v>
      </c>
      <c r="J1719" s="689">
        <v>56.5</v>
      </c>
      <c r="K1719" s="689">
        <v>57.1</v>
      </c>
    </row>
    <row r="1720" spans="1:11">
      <c r="A1720" s="688" t="s">
        <v>4065</v>
      </c>
      <c r="B1720" s="691">
        <v>57.1</v>
      </c>
      <c r="C1720" s="691">
        <v>57.5</v>
      </c>
      <c r="D1720" s="691">
        <v>57.2</v>
      </c>
      <c r="E1720" s="691">
        <v>57.5</v>
      </c>
      <c r="F1720" s="691">
        <v>57.5</v>
      </c>
      <c r="G1720" s="691">
        <v>57.6</v>
      </c>
      <c r="H1720" s="692" t="s">
        <v>4060</v>
      </c>
      <c r="I1720" s="692" t="s">
        <v>4060</v>
      </c>
      <c r="J1720" s="692" t="s">
        <v>4060</v>
      </c>
      <c r="K1720" s="692" t="s">
        <v>4060</v>
      </c>
    </row>
    <row r="1721" spans="1:11">
      <c r="A1721" s="688" t="s">
        <v>4063</v>
      </c>
      <c r="B1721" s="689">
        <v>57.2</v>
      </c>
      <c r="C1721" s="689">
        <v>57.5</v>
      </c>
      <c r="D1721" s="689">
        <v>57.2</v>
      </c>
      <c r="E1721" s="689">
        <v>57.6</v>
      </c>
      <c r="F1721" s="689">
        <v>57.5</v>
      </c>
      <c r="G1721" s="689">
        <v>57.6</v>
      </c>
      <c r="H1721" s="690" t="s">
        <v>4060</v>
      </c>
      <c r="I1721" s="690" t="s">
        <v>4060</v>
      </c>
      <c r="J1721" s="690" t="s">
        <v>4060</v>
      </c>
      <c r="K1721" s="690" t="s">
        <v>4060</v>
      </c>
    </row>
    <row r="1722" spans="1:11">
      <c r="A1722" s="688" t="s">
        <v>4069</v>
      </c>
      <c r="B1722" s="692" t="s">
        <v>4060</v>
      </c>
      <c r="C1722" s="691">
        <v>58.2</v>
      </c>
      <c r="D1722" s="691">
        <v>57.9</v>
      </c>
      <c r="E1722" s="691">
        <v>58.2</v>
      </c>
      <c r="F1722" s="691">
        <v>58.3</v>
      </c>
      <c r="G1722" s="691">
        <v>58.4</v>
      </c>
      <c r="H1722" s="691">
        <v>58.6</v>
      </c>
      <c r="I1722" s="691">
        <v>57.9</v>
      </c>
      <c r="J1722" s="691">
        <v>57.9</v>
      </c>
      <c r="K1722" s="691">
        <v>58.1</v>
      </c>
    </row>
    <row r="1723" spans="1:11">
      <c r="A1723" s="688" t="s">
        <v>4068</v>
      </c>
      <c r="B1723" s="689">
        <v>58.1</v>
      </c>
      <c r="C1723" s="690" t="s">
        <v>4060</v>
      </c>
      <c r="D1723" s="690" t="s">
        <v>4060</v>
      </c>
      <c r="E1723" s="690" t="s">
        <v>4060</v>
      </c>
      <c r="F1723" s="690" t="s">
        <v>4060</v>
      </c>
      <c r="G1723" s="690" t="s">
        <v>4060</v>
      </c>
      <c r="H1723" s="690" t="s">
        <v>4060</v>
      </c>
      <c r="I1723" s="690" t="s">
        <v>4060</v>
      </c>
      <c r="J1723" s="690" t="s">
        <v>4060</v>
      </c>
      <c r="K1723" s="690" t="s">
        <v>4060</v>
      </c>
    </row>
    <row r="1724" spans="1:11">
      <c r="A1724" s="688" t="s">
        <v>0</v>
      </c>
      <c r="B1724" s="691">
        <v>57.3</v>
      </c>
      <c r="C1724" s="691">
        <v>57.7</v>
      </c>
      <c r="D1724" s="691">
        <v>57.4</v>
      </c>
      <c r="E1724" s="691">
        <v>57.8</v>
      </c>
      <c r="F1724" s="615">
        <v>58</v>
      </c>
      <c r="G1724" s="691">
        <v>58.1</v>
      </c>
      <c r="H1724" s="691">
        <v>58.4</v>
      </c>
      <c r="I1724" s="691">
        <v>57.3</v>
      </c>
      <c r="J1724" s="691">
        <v>58.2</v>
      </c>
      <c r="K1724" s="691">
        <v>58.2</v>
      </c>
    </row>
    <row r="1725" spans="1:11">
      <c r="A1725" s="688" t="s">
        <v>1</v>
      </c>
      <c r="B1725" s="693">
        <v>52</v>
      </c>
      <c r="C1725" s="689">
        <v>51.5</v>
      </c>
      <c r="D1725" s="689">
        <v>51.5</v>
      </c>
      <c r="E1725" s="689">
        <v>51.7</v>
      </c>
      <c r="F1725" s="689">
        <v>51.6</v>
      </c>
      <c r="G1725" s="689">
        <v>51.7</v>
      </c>
      <c r="H1725" s="689">
        <v>51.8</v>
      </c>
      <c r="I1725" s="689">
        <v>50.2</v>
      </c>
      <c r="J1725" s="689">
        <v>48.1</v>
      </c>
      <c r="K1725" s="689">
        <v>50.9</v>
      </c>
    </row>
    <row r="1726" spans="1:11">
      <c r="A1726" s="688" t="s">
        <v>2240</v>
      </c>
      <c r="B1726" s="691">
        <v>54.8</v>
      </c>
      <c r="C1726" s="691">
        <v>55.3</v>
      </c>
      <c r="D1726" s="691">
        <v>55.1</v>
      </c>
      <c r="E1726" s="691">
        <v>55.5</v>
      </c>
      <c r="F1726" s="691">
        <v>55.5</v>
      </c>
      <c r="G1726" s="691">
        <v>55.5</v>
      </c>
      <c r="H1726" s="691">
        <v>55.8</v>
      </c>
      <c r="I1726" s="691">
        <v>54.7</v>
      </c>
      <c r="J1726" s="691">
        <v>53.7</v>
      </c>
      <c r="K1726" s="691">
        <v>55.5</v>
      </c>
    </row>
    <row r="1727" spans="1:11">
      <c r="A1727" s="688" t="s">
        <v>2</v>
      </c>
      <c r="B1727" s="689">
        <v>56.9</v>
      </c>
      <c r="C1727" s="689">
        <v>57.2</v>
      </c>
      <c r="D1727" s="689">
        <v>57.2</v>
      </c>
      <c r="E1727" s="689">
        <v>57.4</v>
      </c>
      <c r="F1727" s="689">
        <v>57.6</v>
      </c>
      <c r="G1727" s="689">
        <v>57.5</v>
      </c>
      <c r="H1727" s="689">
        <v>57.9</v>
      </c>
      <c r="I1727" s="693">
        <v>58</v>
      </c>
      <c r="J1727" s="689">
        <v>57.9</v>
      </c>
      <c r="K1727" s="689">
        <v>57.7</v>
      </c>
    </row>
    <row r="1728" spans="1:11">
      <c r="A1728" s="688" t="s">
        <v>3</v>
      </c>
      <c r="B1728" s="691">
        <v>57.2</v>
      </c>
      <c r="C1728" s="691">
        <v>57.4</v>
      </c>
      <c r="D1728" s="691">
        <v>57.1</v>
      </c>
      <c r="E1728" s="691">
        <v>57.4</v>
      </c>
      <c r="F1728" s="691">
        <v>57.5</v>
      </c>
      <c r="G1728" s="691">
        <v>57.4</v>
      </c>
      <c r="H1728" s="691">
        <v>57.7</v>
      </c>
      <c r="I1728" s="691">
        <v>57.5</v>
      </c>
      <c r="J1728" s="691">
        <v>57.2</v>
      </c>
      <c r="K1728" s="615">
        <v>57</v>
      </c>
    </row>
    <row r="1729" spans="1:11">
      <c r="A1729" s="688" t="s">
        <v>4061</v>
      </c>
      <c r="B1729" s="689">
        <v>57.2</v>
      </c>
      <c r="C1729" s="689">
        <v>57.4</v>
      </c>
      <c r="D1729" s="689">
        <v>57.1</v>
      </c>
      <c r="E1729" s="689">
        <v>57.4</v>
      </c>
      <c r="F1729" s="689">
        <v>57.5</v>
      </c>
      <c r="G1729" s="689">
        <v>57.4</v>
      </c>
      <c r="H1729" s="689">
        <v>57.7</v>
      </c>
      <c r="I1729" s="689">
        <v>57.5</v>
      </c>
      <c r="J1729" s="689">
        <v>57.2</v>
      </c>
      <c r="K1729" s="693">
        <v>57</v>
      </c>
    </row>
    <row r="1730" spans="1:11">
      <c r="A1730" s="688" t="s">
        <v>4</v>
      </c>
      <c r="B1730" s="691">
        <v>54.1</v>
      </c>
      <c r="C1730" s="691">
        <v>53.9</v>
      </c>
      <c r="D1730" s="691">
        <v>54.3</v>
      </c>
      <c r="E1730" s="691">
        <v>54.4</v>
      </c>
      <c r="F1730" s="691">
        <v>54.8</v>
      </c>
      <c r="G1730" s="691">
        <v>54.8</v>
      </c>
      <c r="H1730" s="691">
        <v>55.3</v>
      </c>
      <c r="I1730" s="691">
        <v>55.2</v>
      </c>
      <c r="J1730" s="691">
        <v>53.7</v>
      </c>
      <c r="K1730" s="691">
        <v>54.6</v>
      </c>
    </row>
    <row r="1731" spans="1:11">
      <c r="A1731" s="688" t="s">
        <v>8</v>
      </c>
      <c r="B1731" s="689">
        <v>57.6</v>
      </c>
      <c r="C1731" s="689">
        <v>57.8</v>
      </c>
      <c r="D1731" s="689">
        <v>57.9</v>
      </c>
      <c r="E1731" s="689">
        <v>58.1</v>
      </c>
      <c r="F1731" s="689">
        <v>58.5</v>
      </c>
      <c r="G1731" s="689">
        <v>58.5</v>
      </c>
      <c r="H1731" s="689">
        <v>58.9</v>
      </c>
      <c r="I1731" s="689">
        <v>58.8</v>
      </c>
      <c r="J1731" s="689">
        <v>58.6</v>
      </c>
      <c r="K1731" s="689">
        <v>58.8</v>
      </c>
    </row>
    <row r="1732" spans="1:11">
      <c r="A1732" s="688" t="s">
        <v>7</v>
      </c>
      <c r="B1732" s="691">
        <v>57.9</v>
      </c>
      <c r="C1732" s="691">
        <v>57.6</v>
      </c>
      <c r="D1732" s="691">
        <v>57.4</v>
      </c>
      <c r="E1732" s="691">
        <v>57.7</v>
      </c>
      <c r="F1732" s="691">
        <v>57.6</v>
      </c>
      <c r="G1732" s="691">
        <v>58.1</v>
      </c>
      <c r="H1732" s="615">
        <v>58</v>
      </c>
      <c r="I1732" s="691">
        <v>57.6</v>
      </c>
      <c r="J1732" s="691">
        <v>56.6</v>
      </c>
      <c r="K1732" s="691">
        <v>57.3</v>
      </c>
    </row>
    <row r="1733" spans="1:11">
      <c r="A1733" s="688" t="s">
        <v>27</v>
      </c>
      <c r="B1733" s="689">
        <v>59.6</v>
      </c>
      <c r="C1733" s="689">
        <v>59.4</v>
      </c>
      <c r="D1733" s="689">
        <v>59.1</v>
      </c>
      <c r="E1733" s="689">
        <v>59.5</v>
      </c>
      <c r="F1733" s="689">
        <v>59.5</v>
      </c>
      <c r="G1733" s="689">
        <v>59.6</v>
      </c>
      <c r="H1733" s="689">
        <v>59.9</v>
      </c>
      <c r="I1733" s="689">
        <v>58.7</v>
      </c>
      <c r="J1733" s="689">
        <v>59.4</v>
      </c>
      <c r="K1733" s="689">
        <v>59.5</v>
      </c>
    </row>
    <row r="1734" spans="1:11">
      <c r="A1734" s="688" t="s">
        <v>6</v>
      </c>
      <c r="B1734" s="615">
        <v>59</v>
      </c>
      <c r="C1734" s="615">
        <v>59</v>
      </c>
      <c r="D1734" s="691">
        <v>58.7</v>
      </c>
      <c r="E1734" s="615">
        <v>59</v>
      </c>
      <c r="F1734" s="691">
        <v>59.1</v>
      </c>
      <c r="G1734" s="691">
        <v>59.2</v>
      </c>
      <c r="H1734" s="691">
        <v>59.3</v>
      </c>
      <c r="I1734" s="691">
        <v>58.7</v>
      </c>
      <c r="J1734" s="691">
        <v>58.8</v>
      </c>
      <c r="K1734" s="691">
        <v>58.9</v>
      </c>
    </row>
    <row r="1735" spans="1:11">
      <c r="A1735" s="688" t="s">
        <v>4058</v>
      </c>
      <c r="B1735" s="690" t="s">
        <v>4060</v>
      </c>
      <c r="C1735" s="690" t="s">
        <v>4060</v>
      </c>
      <c r="D1735" s="690" t="s">
        <v>4060</v>
      </c>
      <c r="E1735" s="690" t="s">
        <v>4060</v>
      </c>
      <c r="F1735" s="690" t="s">
        <v>4060</v>
      </c>
      <c r="G1735" s="690" t="s">
        <v>4060</v>
      </c>
      <c r="H1735" s="690" t="s">
        <v>4060</v>
      </c>
      <c r="I1735" s="690" t="s">
        <v>4060</v>
      </c>
      <c r="J1735" s="690" t="s">
        <v>4060</v>
      </c>
      <c r="K1735" s="690" t="s">
        <v>4060</v>
      </c>
    </row>
    <row r="1736" spans="1:11">
      <c r="A1736" s="688" t="s">
        <v>11</v>
      </c>
      <c r="B1736" s="691">
        <v>54.4</v>
      </c>
      <c r="C1736" s="691">
        <v>54.4</v>
      </c>
      <c r="D1736" s="615">
        <v>54</v>
      </c>
      <c r="E1736" s="691">
        <v>54.7</v>
      </c>
      <c r="F1736" s="691">
        <v>54.5</v>
      </c>
      <c r="G1736" s="691">
        <v>54.7</v>
      </c>
      <c r="H1736" s="691">
        <v>54.9</v>
      </c>
      <c r="I1736" s="691">
        <v>54.2</v>
      </c>
      <c r="J1736" s="691">
        <v>53.2</v>
      </c>
      <c r="K1736" s="691">
        <v>54.3</v>
      </c>
    </row>
    <row r="1737" spans="1:11">
      <c r="A1737" s="688" t="s">
        <v>10</v>
      </c>
      <c r="B1737" s="689">
        <v>59.3</v>
      </c>
      <c r="C1737" s="689">
        <v>59.3</v>
      </c>
      <c r="D1737" s="689">
        <v>58.9</v>
      </c>
      <c r="E1737" s="689">
        <v>59.5</v>
      </c>
      <c r="F1737" s="689">
        <v>59.3</v>
      </c>
      <c r="G1737" s="689">
        <v>59.6</v>
      </c>
      <c r="H1737" s="689">
        <v>59.8</v>
      </c>
      <c r="I1737" s="689">
        <v>58.6</v>
      </c>
      <c r="J1737" s="693">
        <v>59</v>
      </c>
      <c r="K1737" s="689">
        <v>59.2</v>
      </c>
    </row>
    <row r="1738" spans="1:11">
      <c r="A1738" s="688" t="s">
        <v>30</v>
      </c>
      <c r="B1738" s="691">
        <v>58.9</v>
      </c>
      <c r="C1738" s="691">
        <v>58.7</v>
      </c>
      <c r="D1738" s="691">
        <v>58.4</v>
      </c>
      <c r="E1738" s="691">
        <v>59.2</v>
      </c>
      <c r="F1738" s="691">
        <v>58.8</v>
      </c>
      <c r="G1738" s="691">
        <v>59.4</v>
      </c>
      <c r="H1738" s="691">
        <v>59.1</v>
      </c>
      <c r="I1738" s="691">
        <v>59.1</v>
      </c>
      <c r="J1738" s="691">
        <v>58.2</v>
      </c>
      <c r="K1738" s="691">
        <v>58.7</v>
      </c>
    </row>
    <row r="1739" spans="1:11">
      <c r="A1739" s="688" t="s">
        <v>12</v>
      </c>
      <c r="B1739" s="689">
        <v>51.1</v>
      </c>
      <c r="C1739" s="689">
        <v>51.2</v>
      </c>
      <c r="D1739" s="689">
        <v>51.4</v>
      </c>
      <c r="E1739" s="689">
        <v>51.5</v>
      </c>
      <c r="F1739" s="689">
        <v>51.6</v>
      </c>
      <c r="G1739" s="689">
        <v>51.7</v>
      </c>
      <c r="H1739" s="689">
        <v>52.4</v>
      </c>
      <c r="I1739" s="689">
        <v>52.1</v>
      </c>
      <c r="J1739" s="689">
        <v>49.7</v>
      </c>
      <c r="K1739" s="693">
        <v>51</v>
      </c>
    </row>
    <row r="1740" spans="1:11">
      <c r="A1740" s="688" t="s">
        <v>14</v>
      </c>
      <c r="B1740" s="615">
        <v>51</v>
      </c>
      <c r="C1740" s="691">
        <v>51.4</v>
      </c>
      <c r="D1740" s="691">
        <v>51.3</v>
      </c>
      <c r="E1740" s="691">
        <v>51.5</v>
      </c>
      <c r="F1740" s="691">
        <v>52.3</v>
      </c>
      <c r="G1740" s="691">
        <v>52.6</v>
      </c>
      <c r="H1740" s="615">
        <v>53</v>
      </c>
      <c r="I1740" s="691">
        <v>51.8</v>
      </c>
      <c r="J1740" s="691">
        <v>50.9</v>
      </c>
      <c r="K1740" s="691">
        <v>52.4</v>
      </c>
    </row>
    <row r="1741" spans="1:11">
      <c r="A1741" s="688" t="s">
        <v>15</v>
      </c>
      <c r="B1741" s="689">
        <v>58.5</v>
      </c>
      <c r="C1741" s="689">
        <v>58.4</v>
      </c>
      <c r="D1741" s="689">
        <v>58.5</v>
      </c>
      <c r="E1741" s="689">
        <v>58.8</v>
      </c>
      <c r="F1741" s="689">
        <v>58.3</v>
      </c>
      <c r="G1741" s="689">
        <v>58.6</v>
      </c>
      <c r="H1741" s="693">
        <v>59</v>
      </c>
      <c r="I1741" s="689">
        <v>58.7</v>
      </c>
      <c r="J1741" s="693">
        <v>59</v>
      </c>
      <c r="K1741" s="689">
        <v>59.4</v>
      </c>
    </row>
    <row r="1742" spans="1:11">
      <c r="A1742" s="688" t="s">
        <v>29</v>
      </c>
      <c r="B1742" s="691">
        <v>52.4</v>
      </c>
      <c r="C1742" s="691">
        <v>52.5</v>
      </c>
      <c r="D1742" s="691">
        <v>52.2</v>
      </c>
      <c r="E1742" s="691">
        <v>52.7</v>
      </c>
      <c r="F1742" s="691">
        <v>52.5</v>
      </c>
      <c r="G1742" s="691">
        <v>52.6</v>
      </c>
      <c r="H1742" s="691">
        <v>52.9</v>
      </c>
      <c r="I1742" s="691">
        <v>52.1</v>
      </c>
      <c r="J1742" s="691">
        <v>50.7</v>
      </c>
      <c r="K1742" s="691">
        <v>52.5</v>
      </c>
    </row>
    <row r="1743" spans="1:11">
      <c r="A1743" s="688" t="s">
        <v>16</v>
      </c>
      <c r="B1743" s="689">
        <v>58.6</v>
      </c>
      <c r="C1743" s="689">
        <v>58.4</v>
      </c>
      <c r="D1743" s="689">
        <v>58.5</v>
      </c>
      <c r="E1743" s="689">
        <v>58.9</v>
      </c>
      <c r="F1743" s="689">
        <v>58.8</v>
      </c>
      <c r="G1743" s="689">
        <v>58.7</v>
      </c>
      <c r="H1743" s="689">
        <v>59.2</v>
      </c>
      <c r="I1743" s="689">
        <v>58.5</v>
      </c>
      <c r="J1743" s="689">
        <v>58.6</v>
      </c>
      <c r="K1743" s="689">
        <v>58.8</v>
      </c>
    </row>
    <row r="1744" spans="1:11">
      <c r="A1744" s="688" t="s">
        <v>17</v>
      </c>
      <c r="B1744" s="615">
        <v>58</v>
      </c>
      <c r="C1744" s="691">
        <v>58.2</v>
      </c>
      <c r="D1744" s="615">
        <v>58</v>
      </c>
      <c r="E1744" s="691">
        <v>58.1</v>
      </c>
      <c r="F1744" s="691">
        <v>58.3</v>
      </c>
      <c r="G1744" s="691">
        <v>58.3</v>
      </c>
      <c r="H1744" s="691">
        <v>58.6</v>
      </c>
      <c r="I1744" s="691">
        <v>57.9</v>
      </c>
      <c r="J1744" s="691">
        <v>57.8</v>
      </c>
      <c r="K1744" s="691">
        <v>58.1</v>
      </c>
    </row>
    <row r="1745" spans="1:11">
      <c r="A1745" s="688" t="s">
        <v>19</v>
      </c>
      <c r="B1745" s="689">
        <v>57.8</v>
      </c>
      <c r="C1745" s="689">
        <v>57.9</v>
      </c>
      <c r="D1745" s="689">
        <v>57.7</v>
      </c>
      <c r="E1745" s="689">
        <v>58.2</v>
      </c>
      <c r="F1745" s="689">
        <v>58.2</v>
      </c>
      <c r="G1745" s="689">
        <v>58.2</v>
      </c>
      <c r="H1745" s="689">
        <v>58.5</v>
      </c>
      <c r="I1745" s="689">
        <v>57.9</v>
      </c>
      <c r="J1745" s="689">
        <v>57.8</v>
      </c>
      <c r="K1745" s="689">
        <v>57.9</v>
      </c>
    </row>
    <row r="1746" spans="1:11">
      <c r="A1746" s="688" t="s">
        <v>20</v>
      </c>
      <c r="B1746" s="691">
        <v>53.9</v>
      </c>
      <c r="C1746" s="691">
        <v>54.3</v>
      </c>
      <c r="D1746" s="615">
        <v>54</v>
      </c>
      <c r="E1746" s="691">
        <v>54.4</v>
      </c>
      <c r="F1746" s="691">
        <v>54.3</v>
      </c>
      <c r="G1746" s="691">
        <v>54.2</v>
      </c>
      <c r="H1746" s="691">
        <v>54.5</v>
      </c>
      <c r="I1746" s="615">
        <v>53</v>
      </c>
      <c r="J1746" s="615">
        <v>52</v>
      </c>
      <c r="K1746" s="691">
        <v>53.8</v>
      </c>
    </row>
    <row r="1747" spans="1:11">
      <c r="A1747" s="688" t="s">
        <v>21</v>
      </c>
      <c r="B1747" s="689">
        <v>57.4</v>
      </c>
      <c r="C1747" s="689">
        <v>57.8</v>
      </c>
      <c r="D1747" s="689">
        <v>57.8</v>
      </c>
      <c r="E1747" s="689">
        <v>57.9</v>
      </c>
      <c r="F1747" s="689">
        <v>58.1</v>
      </c>
      <c r="G1747" s="689">
        <v>58.1</v>
      </c>
      <c r="H1747" s="689">
        <v>58.5</v>
      </c>
      <c r="I1747" s="689">
        <v>57.8</v>
      </c>
      <c r="J1747" s="689">
        <v>57.9</v>
      </c>
      <c r="K1747" s="689">
        <v>58.2</v>
      </c>
    </row>
    <row r="1748" spans="1:11">
      <c r="A1748" s="688" t="s">
        <v>22</v>
      </c>
      <c r="B1748" s="691">
        <v>52.3</v>
      </c>
      <c r="C1748" s="615">
        <v>52</v>
      </c>
      <c r="D1748" s="691">
        <v>51.9</v>
      </c>
      <c r="E1748" s="691">
        <v>52.2</v>
      </c>
      <c r="F1748" s="691">
        <v>52.2</v>
      </c>
      <c r="G1748" s="691">
        <v>52.2</v>
      </c>
      <c r="H1748" s="691">
        <v>52.4</v>
      </c>
      <c r="I1748" s="691">
        <v>50.9</v>
      </c>
      <c r="J1748" s="691">
        <v>49.6</v>
      </c>
      <c r="K1748" s="691">
        <v>51.9</v>
      </c>
    </row>
    <row r="1749" spans="1:11">
      <c r="A1749" s="688" t="s">
        <v>26</v>
      </c>
      <c r="B1749" s="693">
        <v>57</v>
      </c>
      <c r="C1749" s="689">
        <v>57.3</v>
      </c>
      <c r="D1749" s="693">
        <v>57</v>
      </c>
      <c r="E1749" s="689">
        <v>57.5</v>
      </c>
      <c r="F1749" s="689">
        <v>57.4</v>
      </c>
      <c r="G1749" s="689">
        <v>57.6</v>
      </c>
      <c r="H1749" s="689">
        <v>57.8</v>
      </c>
      <c r="I1749" s="689">
        <v>56.9</v>
      </c>
      <c r="J1749" s="693">
        <v>57</v>
      </c>
      <c r="K1749" s="689">
        <v>57.6</v>
      </c>
    </row>
    <row r="1750" spans="1:11">
      <c r="A1750" s="688" t="s">
        <v>25</v>
      </c>
      <c r="B1750" s="691">
        <v>53.4</v>
      </c>
      <c r="C1750" s="691">
        <v>53.7</v>
      </c>
      <c r="D1750" s="691">
        <v>53.5</v>
      </c>
      <c r="E1750" s="615">
        <v>54</v>
      </c>
      <c r="F1750" s="615">
        <v>54</v>
      </c>
      <c r="G1750" s="691">
        <v>54.1</v>
      </c>
      <c r="H1750" s="691">
        <v>54.5</v>
      </c>
      <c r="I1750" s="691">
        <v>53.8</v>
      </c>
      <c r="J1750" s="691">
        <v>51.3</v>
      </c>
      <c r="K1750" s="691">
        <v>53.8</v>
      </c>
    </row>
    <row r="1751" spans="1:11">
      <c r="A1751" s="688" t="s">
        <v>5</v>
      </c>
      <c r="B1751" s="689">
        <v>57.6</v>
      </c>
      <c r="C1751" s="689">
        <v>57.5</v>
      </c>
      <c r="D1751" s="689">
        <v>57.8</v>
      </c>
      <c r="E1751" s="689">
        <v>57.8</v>
      </c>
      <c r="F1751" s="693">
        <v>58</v>
      </c>
      <c r="G1751" s="689">
        <v>58.1</v>
      </c>
      <c r="H1751" s="689">
        <v>58.4</v>
      </c>
      <c r="I1751" s="689">
        <v>58.3</v>
      </c>
      <c r="J1751" s="689">
        <v>58.3</v>
      </c>
      <c r="K1751" s="689">
        <v>57.7</v>
      </c>
    </row>
    <row r="1752" spans="1:11">
      <c r="A1752" s="688" t="s">
        <v>23</v>
      </c>
      <c r="B1752" s="691">
        <v>58.5</v>
      </c>
      <c r="C1752" s="691">
        <v>58.7</v>
      </c>
      <c r="D1752" s="691">
        <v>58.7</v>
      </c>
      <c r="E1752" s="691">
        <v>58.8</v>
      </c>
      <c r="F1752" s="691">
        <v>58.9</v>
      </c>
      <c r="G1752" s="615">
        <v>59</v>
      </c>
      <c r="H1752" s="691">
        <v>59.5</v>
      </c>
      <c r="I1752" s="691">
        <v>58.9</v>
      </c>
      <c r="J1752" s="691">
        <v>59.4</v>
      </c>
      <c r="K1752" s="691">
        <v>59.5</v>
      </c>
    </row>
    <row r="1753" spans="1:11">
      <c r="A1753" s="688" t="s">
        <v>4067</v>
      </c>
      <c r="B1753" s="689">
        <v>57.2</v>
      </c>
      <c r="C1753" s="689">
        <v>57.5</v>
      </c>
      <c r="D1753" s="689">
        <v>57.2</v>
      </c>
      <c r="E1753" s="689">
        <v>57.6</v>
      </c>
      <c r="F1753" s="689">
        <v>57.5</v>
      </c>
      <c r="G1753" s="689">
        <v>57.6</v>
      </c>
      <c r="H1753" s="690" t="s">
        <v>4060</v>
      </c>
      <c r="I1753" s="690" t="s">
        <v>4060</v>
      </c>
      <c r="J1753" s="690" t="s">
        <v>4060</v>
      </c>
      <c r="K1753" s="690" t="s">
        <v>4060</v>
      </c>
    </row>
    <row r="1754" spans="1:11">
      <c r="A1754" s="688" t="s">
        <v>4066</v>
      </c>
      <c r="B1754" s="691">
        <v>57.2</v>
      </c>
      <c r="C1754" s="691">
        <v>57.5</v>
      </c>
      <c r="D1754" s="691">
        <v>57.2</v>
      </c>
      <c r="E1754" s="691">
        <v>57.6</v>
      </c>
      <c r="F1754" s="691">
        <v>57.6</v>
      </c>
      <c r="G1754" s="691">
        <v>57.6</v>
      </c>
      <c r="H1754" s="692" t="s">
        <v>4060</v>
      </c>
      <c r="I1754" s="692" t="s">
        <v>4060</v>
      </c>
      <c r="J1754" s="692" t="s">
        <v>4060</v>
      </c>
      <c r="K1754" s="692" t="s">
        <v>4060</v>
      </c>
    </row>
    <row r="1755" spans="1:11">
      <c r="A1755" s="688" t="s">
        <v>4062</v>
      </c>
      <c r="B1755" s="693">
        <v>59</v>
      </c>
      <c r="C1755" s="689">
        <v>59.2</v>
      </c>
      <c r="D1755" s="689">
        <v>59.2</v>
      </c>
      <c r="E1755" s="689">
        <v>59.5</v>
      </c>
      <c r="F1755" s="689">
        <v>59.6</v>
      </c>
      <c r="G1755" s="689">
        <v>59.8</v>
      </c>
      <c r="H1755" s="693">
        <v>60</v>
      </c>
      <c r="I1755" s="689">
        <v>59.6</v>
      </c>
      <c r="J1755" s="689">
        <v>59.9</v>
      </c>
      <c r="K1755" s="689">
        <v>59.7</v>
      </c>
    </row>
    <row r="1756" spans="1:11">
      <c r="A1756" s="688" t="s">
        <v>9</v>
      </c>
      <c r="B1756" s="691">
        <v>58.6</v>
      </c>
      <c r="C1756" s="691">
        <v>59.1</v>
      </c>
      <c r="D1756" s="691">
        <v>58.8</v>
      </c>
      <c r="E1756" s="691">
        <v>58.5</v>
      </c>
      <c r="F1756" s="691">
        <v>58.9</v>
      </c>
      <c r="G1756" s="615">
        <v>59</v>
      </c>
      <c r="H1756" s="691">
        <v>59.2</v>
      </c>
      <c r="I1756" s="691">
        <v>59.4</v>
      </c>
      <c r="J1756" s="691">
        <v>59.6</v>
      </c>
      <c r="K1756" s="691">
        <v>58.5</v>
      </c>
    </row>
    <row r="1757" spans="1:11">
      <c r="A1757" s="688" t="s">
        <v>13</v>
      </c>
      <c r="B1757" s="689">
        <v>59.1</v>
      </c>
      <c r="C1757" s="689">
        <v>58.5</v>
      </c>
      <c r="D1757" s="689">
        <v>59.3</v>
      </c>
      <c r="E1757" s="689">
        <v>58.8</v>
      </c>
      <c r="F1757" s="689">
        <v>59.6</v>
      </c>
      <c r="G1757" s="689">
        <v>59.1</v>
      </c>
      <c r="H1757" s="693">
        <v>60</v>
      </c>
      <c r="I1757" s="689">
        <v>59.2</v>
      </c>
      <c r="J1757" s="689">
        <v>60.3</v>
      </c>
      <c r="K1757" s="689">
        <v>60.6</v>
      </c>
    </row>
    <row r="1758" spans="1:11">
      <c r="A1758" s="688" t="s">
        <v>18</v>
      </c>
      <c r="B1758" s="691">
        <v>58.3</v>
      </c>
      <c r="C1758" s="691">
        <v>58.5</v>
      </c>
      <c r="D1758" s="691">
        <v>58.7</v>
      </c>
      <c r="E1758" s="691">
        <v>58.8</v>
      </c>
      <c r="F1758" s="691">
        <v>59.1</v>
      </c>
      <c r="G1758" s="691">
        <v>59.2</v>
      </c>
      <c r="H1758" s="691">
        <v>59.4</v>
      </c>
      <c r="I1758" s="691">
        <v>59.6</v>
      </c>
      <c r="J1758" s="691">
        <v>59.6</v>
      </c>
      <c r="K1758" s="615">
        <v>59</v>
      </c>
    </row>
    <row r="1759" spans="1:11">
      <c r="A1759" s="688" t="s">
        <v>24</v>
      </c>
      <c r="B1759" s="689">
        <v>59.5</v>
      </c>
      <c r="C1759" s="689">
        <v>59.6</v>
      </c>
      <c r="D1759" s="689">
        <v>59.5</v>
      </c>
      <c r="E1759" s="689">
        <v>59.9</v>
      </c>
      <c r="F1759" s="693">
        <v>60</v>
      </c>
      <c r="G1759" s="689">
        <v>60.1</v>
      </c>
      <c r="H1759" s="689">
        <v>60.3</v>
      </c>
      <c r="I1759" s="689">
        <v>59.6</v>
      </c>
      <c r="J1759" s="689">
        <v>60.2</v>
      </c>
      <c r="K1759" s="689">
        <v>60.1</v>
      </c>
    </row>
    <row r="1760" spans="1:11">
      <c r="A1760" s="688" t="s">
        <v>4059</v>
      </c>
      <c r="B1760" s="691">
        <v>57.7</v>
      </c>
      <c r="C1760" s="615">
        <v>58</v>
      </c>
      <c r="D1760" s="691">
        <v>57.6</v>
      </c>
      <c r="E1760" s="691">
        <v>57.8</v>
      </c>
      <c r="F1760" s="691">
        <v>57.9</v>
      </c>
      <c r="G1760" s="691">
        <v>57.9</v>
      </c>
      <c r="H1760" s="692" t="s">
        <v>4060</v>
      </c>
      <c r="I1760" s="692" t="s">
        <v>4060</v>
      </c>
      <c r="J1760" s="692" t="s">
        <v>4060</v>
      </c>
      <c r="K1760" s="692" t="s">
        <v>4060</v>
      </c>
    </row>
    <row r="1761" spans="1:11">
      <c r="A1761" s="688" t="s">
        <v>2324</v>
      </c>
      <c r="B1761" s="689">
        <v>53.2</v>
      </c>
      <c r="C1761" s="689">
        <v>53.2</v>
      </c>
      <c r="D1761" s="693">
        <v>53</v>
      </c>
      <c r="E1761" s="693">
        <v>53</v>
      </c>
      <c r="F1761" s="693">
        <v>53</v>
      </c>
      <c r="G1761" s="689">
        <v>53.4</v>
      </c>
      <c r="H1761" s="689">
        <v>53.2</v>
      </c>
      <c r="I1761" s="689">
        <v>52.5</v>
      </c>
      <c r="J1761" s="689">
        <v>50.2</v>
      </c>
      <c r="K1761" s="690" t="s">
        <v>4060</v>
      </c>
    </row>
    <row r="1762" spans="1:11">
      <c r="A1762" s="688" t="s">
        <v>2322</v>
      </c>
      <c r="B1762" s="692" t="s">
        <v>4060</v>
      </c>
      <c r="C1762" s="692" t="s">
        <v>4060</v>
      </c>
      <c r="D1762" s="692" t="s">
        <v>4060</v>
      </c>
      <c r="E1762" s="692" t="s">
        <v>4060</v>
      </c>
      <c r="F1762" s="692" t="s">
        <v>4060</v>
      </c>
      <c r="G1762" s="692" t="s">
        <v>4060</v>
      </c>
      <c r="H1762" s="692" t="s">
        <v>4060</v>
      </c>
      <c r="I1762" s="692" t="s">
        <v>4060</v>
      </c>
      <c r="J1762" s="692" t="s">
        <v>4060</v>
      </c>
      <c r="K1762" s="692" t="s">
        <v>4060</v>
      </c>
    </row>
    <row r="1763" spans="1:11">
      <c r="A1763" s="688" t="s">
        <v>2328</v>
      </c>
      <c r="B1763" s="689">
        <v>52.6</v>
      </c>
      <c r="C1763" s="689">
        <v>52.6</v>
      </c>
      <c r="D1763" s="689">
        <v>52.5</v>
      </c>
      <c r="E1763" s="689">
        <v>52.7</v>
      </c>
      <c r="F1763" s="693">
        <v>53</v>
      </c>
      <c r="G1763" s="689">
        <v>53.4</v>
      </c>
      <c r="H1763" s="689">
        <v>53.4</v>
      </c>
      <c r="I1763" s="689">
        <v>51.1</v>
      </c>
      <c r="J1763" s="689">
        <v>49.9</v>
      </c>
      <c r="K1763" s="690" t="s">
        <v>4060</v>
      </c>
    </row>
    <row r="1764" spans="1:11">
      <c r="A1764" s="688" t="s">
        <v>2496</v>
      </c>
      <c r="B1764" s="692" t="s">
        <v>4060</v>
      </c>
      <c r="C1764" s="691">
        <v>51.5</v>
      </c>
      <c r="D1764" s="691">
        <v>50.3</v>
      </c>
      <c r="E1764" s="615">
        <v>50</v>
      </c>
      <c r="F1764" s="691">
        <v>50.8</v>
      </c>
      <c r="G1764" s="691">
        <v>51.1</v>
      </c>
      <c r="H1764" s="691">
        <v>51.2</v>
      </c>
      <c r="I1764" s="692" t="s">
        <v>4060</v>
      </c>
      <c r="J1764" s="692" t="s">
        <v>4060</v>
      </c>
      <c r="K1764" s="691">
        <v>50.8</v>
      </c>
    </row>
    <row r="1765" spans="1:11">
      <c r="A1765" s="688" t="s">
        <v>2269</v>
      </c>
      <c r="B1765" s="689">
        <v>55.2</v>
      </c>
      <c r="C1765" s="689">
        <v>55.4</v>
      </c>
      <c r="D1765" s="693">
        <v>55</v>
      </c>
      <c r="E1765" s="689">
        <v>55.6</v>
      </c>
      <c r="F1765" s="689">
        <v>55.6</v>
      </c>
      <c r="G1765" s="693">
        <v>56</v>
      </c>
      <c r="H1765" s="689">
        <v>56.3</v>
      </c>
      <c r="I1765" s="689">
        <v>54.4</v>
      </c>
      <c r="J1765" s="689">
        <v>52.5</v>
      </c>
      <c r="K1765" s="689">
        <v>55.9</v>
      </c>
    </row>
    <row r="1766" spans="1:11">
      <c r="A1766" s="688" t="s">
        <v>2349</v>
      </c>
      <c r="B1766" s="691">
        <v>52.1</v>
      </c>
      <c r="C1766" s="691">
        <v>52.2</v>
      </c>
      <c r="D1766" s="615">
        <v>52</v>
      </c>
      <c r="E1766" s="691">
        <v>52.5</v>
      </c>
      <c r="F1766" s="691">
        <v>52.3</v>
      </c>
      <c r="G1766" s="691">
        <v>52.7</v>
      </c>
      <c r="H1766" s="691">
        <v>52.7</v>
      </c>
      <c r="I1766" s="691">
        <v>51.1</v>
      </c>
      <c r="J1766" s="691">
        <v>49.5</v>
      </c>
      <c r="K1766" s="691">
        <v>51.9</v>
      </c>
    </row>
    <row r="1767" spans="1:11">
      <c r="A1767" s="688" t="s">
        <v>2355</v>
      </c>
      <c r="B1767" s="689">
        <v>55.8</v>
      </c>
      <c r="C1767" s="689">
        <v>55.7</v>
      </c>
      <c r="D1767" s="689">
        <v>55.6</v>
      </c>
      <c r="E1767" s="689">
        <v>55.5</v>
      </c>
      <c r="F1767" s="689">
        <v>55.8</v>
      </c>
      <c r="G1767" s="689">
        <v>56.2</v>
      </c>
      <c r="H1767" s="689">
        <v>56.3</v>
      </c>
      <c r="I1767" s="690" t="s">
        <v>4060</v>
      </c>
      <c r="J1767" s="690" t="s">
        <v>4060</v>
      </c>
      <c r="K1767" s="690" t="s">
        <v>4060</v>
      </c>
    </row>
    <row r="1768" spans="1:11">
      <c r="A1768" s="688" t="s">
        <v>2357</v>
      </c>
      <c r="B1768" s="692" t="s">
        <v>4060</v>
      </c>
      <c r="C1768" s="691">
        <v>48.9</v>
      </c>
      <c r="D1768" s="691">
        <v>49.6</v>
      </c>
      <c r="E1768" s="615">
        <v>50</v>
      </c>
      <c r="F1768" s="691">
        <v>50.3</v>
      </c>
      <c r="G1768" s="691">
        <v>50.1</v>
      </c>
      <c r="H1768" s="691">
        <v>50.4</v>
      </c>
      <c r="I1768" s="692" t="s">
        <v>4060</v>
      </c>
      <c r="J1768" s="692" t="s">
        <v>4060</v>
      </c>
      <c r="K1768" s="692" t="s">
        <v>4060</v>
      </c>
    </row>
    <row r="1769" spans="1:11">
      <c r="A1769" s="688" t="s">
        <v>4070</v>
      </c>
      <c r="B1769" s="690" t="s">
        <v>4060</v>
      </c>
      <c r="C1769" s="690" t="s">
        <v>4060</v>
      </c>
      <c r="D1769" s="690" t="s">
        <v>4060</v>
      </c>
      <c r="E1769" s="689">
        <v>55.4</v>
      </c>
      <c r="F1769" s="690" t="s">
        <v>4060</v>
      </c>
      <c r="G1769" s="690" t="s">
        <v>4060</v>
      </c>
      <c r="H1769" s="690" t="s">
        <v>4060</v>
      </c>
      <c r="I1769" s="690" t="s">
        <v>4060</v>
      </c>
      <c r="J1769" s="690" t="s">
        <v>4060</v>
      </c>
      <c r="K1769" s="690" t="s">
        <v>4060</v>
      </c>
    </row>
    <row r="1770" spans="1:11">
      <c r="A1770" s="688" t="s">
        <v>2491</v>
      </c>
      <c r="B1770" s="691">
        <v>49.5</v>
      </c>
      <c r="C1770" s="691">
        <v>50.1</v>
      </c>
      <c r="D1770" s="691">
        <v>50.6</v>
      </c>
      <c r="E1770" s="691">
        <v>50.9</v>
      </c>
      <c r="F1770" s="691">
        <v>51.1</v>
      </c>
      <c r="G1770" s="615">
        <v>51</v>
      </c>
      <c r="H1770" s="692" t="s">
        <v>4060</v>
      </c>
      <c r="I1770" s="692" t="s">
        <v>4060</v>
      </c>
      <c r="J1770" s="692" t="s">
        <v>4060</v>
      </c>
      <c r="K1770" s="692" t="s">
        <v>4060</v>
      </c>
    </row>
    <row r="1771" spans="1:11">
      <c r="A1771" s="688" t="s">
        <v>2343</v>
      </c>
      <c r="B1771" s="690" t="s">
        <v>4060</v>
      </c>
      <c r="C1771" s="690" t="s">
        <v>4060</v>
      </c>
      <c r="D1771" s="690" t="s">
        <v>4060</v>
      </c>
      <c r="E1771" s="690" t="s">
        <v>4060</v>
      </c>
      <c r="F1771" s="690" t="s">
        <v>4060</v>
      </c>
      <c r="G1771" s="690" t="s">
        <v>4060</v>
      </c>
      <c r="H1771" s="690" t="s">
        <v>4060</v>
      </c>
      <c r="I1771" s="690" t="s">
        <v>4060</v>
      </c>
      <c r="J1771" s="690" t="s">
        <v>4060</v>
      </c>
      <c r="K1771" s="690" t="s">
        <v>4060</v>
      </c>
    </row>
    <row r="1772" spans="1:11">
      <c r="A1772" s="688" t="s">
        <v>4071</v>
      </c>
      <c r="B1772" s="692" t="s">
        <v>4060</v>
      </c>
      <c r="C1772" s="692" t="s">
        <v>4060</v>
      </c>
      <c r="D1772" s="692" t="s">
        <v>4060</v>
      </c>
      <c r="E1772" s="692" t="s">
        <v>4060</v>
      </c>
      <c r="F1772" s="692" t="s">
        <v>4060</v>
      </c>
      <c r="G1772" s="692" t="s">
        <v>4060</v>
      </c>
      <c r="H1772" s="692" t="s">
        <v>4060</v>
      </c>
      <c r="I1772" s="692" t="s">
        <v>4060</v>
      </c>
      <c r="J1772" s="692" t="s">
        <v>4060</v>
      </c>
      <c r="K1772" s="692" t="s">
        <v>4060</v>
      </c>
    </row>
    <row r="1773" spans="1:11">
      <c r="A1773" s="688" t="s">
        <v>2489</v>
      </c>
      <c r="B1773" s="690" t="s">
        <v>4060</v>
      </c>
      <c r="C1773" s="690" t="s">
        <v>4060</v>
      </c>
      <c r="D1773" s="689">
        <v>52.2</v>
      </c>
      <c r="E1773" s="689">
        <v>52.3</v>
      </c>
      <c r="F1773" s="689">
        <v>52.9</v>
      </c>
      <c r="G1773" s="689">
        <v>53.7</v>
      </c>
      <c r="H1773" s="689">
        <v>53.5</v>
      </c>
      <c r="I1773" s="690" t="s">
        <v>4060</v>
      </c>
      <c r="J1773" s="690" t="s">
        <v>4060</v>
      </c>
      <c r="K1773" s="690" t="s">
        <v>4060</v>
      </c>
    </row>
    <row r="1774" spans="1:11">
      <c r="A1774" s="688" t="s">
        <v>2490</v>
      </c>
      <c r="B1774" s="691">
        <v>52.1</v>
      </c>
      <c r="C1774" s="691">
        <v>52.2</v>
      </c>
      <c r="D1774" s="691">
        <v>52.8</v>
      </c>
      <c r="E1774" s="692" t="s">
        <v>4060</v>
      </c>
      <c r="F1774" s="615">
        <v>53</v>
      </c>
      <c r="G1774" s="691">
        <v>53.4</v>
      </c>
      <c r="H1774" s="691">
        <v>54.1</v>
      </c>
      <c r="I1774" s="692" t="s">
        <v>4060</v>
      </c>
      <c r="J1774" s="692" t="s">
        <v>4060</v>
      </c>
      <c r="K1774" s="692" t="s">
        <v>4060</v>
      </c>
    </row>
    <row r="1776" spans="1:11">
      <c r="A1776" s="683" t="s">
        <v>4233</v>
      </c>
    </row>
    <row r="1777" spans="1:11">
      <c r="A1777" s="683" t="s">
        <v>4060</v>
      </c>
      <c r="B1777" s="682" t="s">
        <v>4234</v>
      </c>
    </row>
    <row r="1779" spans="1:11">
      <c r="A1779" s="682" t="s">
        <v>4248</v>
      </c>
    </row>
    <row r="1780" spans="1:11">
      <c r="A1780" s="682" t="s">
        <v>4210</v>
      </c>
      <c r="B1780" s="683" t="s">
        <v>4211</v>
      </c>
    </row>
    <row r="1781" spans="1:11">
      <c r="A1781" s="682" t="s">
        <v>4212</v>
      </c>
      <c r="B1781" s="682" t="s">
        <v>4213</v>
      </c>
    </row>
    <row r="1783" spans="1:11">
      <c r="A1783" s="683" t="s">
        <v>4214</v>
      </c>
      <c r="C1783" s="682" t="s">
        <v>4215</v>
      </c>
    </row>
    <row r="1784" spans="1:11">
      <c r="A1784" s="683" t="s">
        <v>4216</v>
      </c>
      <c r="C1784" s="682" t="s">
        <v>2967</v>
      </c>
    </row>
    <row r="1785" spans="1:11">
      <c r="A1785" s="683" t="s">
        <v>3893</v>
      </c>
      <c r="C1785" s="682" t="s">
        <v>4217</v>
      </c>
    </row>
    <row r="1786" spans="1:11">
      <c r="A1786" s="683" t="s">
        <v>4218</v>
      </c>
      <c r="C1786" s="682" t="s">
        <v>4260</v>
      </c>
    </row>
    <row r="1788" spans="1:11">
      <c r="A1788" s="684" t="s">
        <v>4220</v>
      </c>
      <c r="B1788" s="685" t="s">
        <v>4221</v>
      </c>
      <c r="C1788" s="685" t="s">
        <v>4222</v>
      </c>
      <c r="D1788" s="685" t="s">
        <v>4223</v>
      </c>
      <c r="E1788" s="685" t="s">
        <v>4224</v>
      </c>
      <c r="F1788" s="685" t="s">
        <v>4225</v>
      </c>
      <c r="G1788" s="685" t="s">
        <v>4226</v>
      </c>
      <c r="H1788" s="685" t="s">
        <v>4227</v>
      </c>
      <c r="I1788" s="685" t="s">
        <v>4228</v>
      </c>
      <c r="J1788" s="685" t="s">
        <v>4229</v>
      </c>
      <c r="K1788" s="685" t="s">
        <v>4230</v>
      </c>
    </row>
    <row r="1789" spans="1:11">
      <c r="A1789" s="686" t="s">
        <v>4231</v>
      </c>
      <c r="B1789" s="687" t="s">
        <v>4232</v>
      </c>
      <c r="C1789" s="687" t="s">
        <v>4232</v>
      </c>
      <c r="D1789" s="687" t="s">
        <v>4232</v>
      </c>
      <c r="E1789" s="687" t="s">
        <v>4232</v>
      </c>
      <c r="F1789" s="687" t="s">
        <v>4232</v>
      </c>
      <c r="G1789" s="687" t="s">
        <v>4232</v>
      </c>
      <c r="H1789" s="687" t="s">
        <v>4232</v>
      </c>
      <c r="I1789" s="687" t="s">
        <v>4232</v>
      </c>
      <c r="J1789" s="687" t="s">
        <v>4232</v>
      </c>
      <c r="K1789" s="687" t="s">
        <v>4232</v>
      </c>
    </row>
    <row r="1790" spans="1:11">
      <c r="A1790" s="688" t="s">
        <v>4064</v>
      </c>
      <c r="B1790" s="691">
        <v>56.1</v>
      </c>
      <c r="C1790" s="691">
        <v>56.2</v>
      </c>
      <c r="D1790" s="691">
        <v>56.1</v>
      </c>
      <c r="E1790" s="691">
        <v>56.3</v>
      </c>
      <c r="F1790" s="691">
        <v>56.3</v>
      </c>
      <c r="G1790" s="691">
        <v>56.4</v>
      </c>
      <c r="H1790" s="691">
        <v>56.7</v>
      </c>
      <c r="I1790" s="691">
        <v>55.8</v>
      </c>
      <c r="J1790" s="691">
        <v>55.5</v>
      </c>
      <c r="K1790" s="691">
        <v>56.1</v>
      </c>
    </row>
    <row r="1791" spans="1:11">
      <c r="A1791" s="688" t="s">
        <v>4065</v>
      </c>
      <c r="B1791" s="689">
        <v>56.2</v>
      </c>
      <c r="C1791" s="689">
        <v>56.5</v>
      </c>
      <c r="D1791" s="689">
        <v>56.2</v>
      </c>
      <c r="E1791" s="689">
        <v>56.6</v>
      </c>
      <c r="F1791" s="689">
        <v>56.5</v>
      </c>
      <c r="G1791" s="689">
        <v>56.6</v>
      </c>
      <c r="H1791" s="690" t="s">
        <v>4060</v>
      </c>
      <c r="I1791" s="690" t="s">
        <v>4060</v>
      </c>
      <c r="J1791" s="690" t="s">
        <v>4060</v>
      </c>
      <c r="K1791" s="690" t="s">
        <v>4060</v>
      </c>
    </row>
    <row r="1792" spans="1:11">
      <c r="A1792" s="688" t="s">
        <v>4063</v>
      </c>
      <c r="B1792" s="691">
        <v>56.2</v>
      </c>
      <c r="C1792" s="691">
        <v>56.6</v>
      </c>
      <c r="D1792" s="691">
        <v>56.2</v>
      </c>
      <c r="E1792" s="691">
        <v>56.6</v>
      </c>
      <c r="F1792" s="691">
        <v>56.6</v>
      </c>
      <c r="G1792" s="691">
        <v>56.6</v>
      </c>
      <c r="H1792" s="692" t="s">
        <v>4060</v>
      </c>
      <c r="I1792" s="692" t="s">
        <v>4060</v>
      </c>
      <c r="J1792" s="692" t="s">
        <v>4060</v>
      </c>
      <c r="K1792" s="692" t="s">
        <v>4060</v>
      </c>
    </row>
    <row r="1793" spans="1:11">
      <c r="A1793" s="688" t="s">
        <v>4069</v>
      </c>
      <c r="B1793" s="690" t="s">
        <v>4060</v>
      </c>
      <c r="C1793" s="689">
        <v>57.2</v>
      </c>
      <c r="D1793" s="689">
        <v>56.9</v>
      </c>
      <c r="E1793" s="689">
        <v>57.3</v>
      </c>
      <c r="F1793" s="689">
        <v>57.3</v>
      </c>
      <c r="G1793" s="689">
        <v>57.4</v>
      </c>
      <c r="H1793" s="689">
        <v>57.7</v>
      </c>
      <c r="I1793" s="693">
        <v>57</v>
      </c>
      <c r="J1793" s="689">
        <v>56.9</v>
      </c>
      <c r="K1793" s="689">
        <v>57.1</v>
      </c>
    </row>
    <row r="1794" spans="1:11">
      <c r="A1794" s="688" t="s">
        <v>4068</v>
      </c>
      <c r="B1794" s="691">
        <v>57.2</v>
      </c>
      <c r="C1794" s="692" t="s">
        <v>4060</v>
      </c>
      <c r="D1794" s="692" t="s">
        <v>4060</v>
      </c>
      <c r="E1794" s="692" t="s">
        <v>4060</v>
      </c>
      <c r="F1794" s="692" t="s">
        <v>4060</v>
      </c>
      <c r="G1794" s="692" t="s">
        <v>4060</v>
      </c>
      <c r="H1794" s="692" t="s">
        <v>4060</v>
      </c>
      <c r="I1794" s="692" t="s">
        <v>4060</v>
      </c>
      <c r="J1794" s="692" t="s">
        <v>4060</v>
      </c>
      <c r="K1794" s="692" t="s">
        <v>4060</v>
      </c>
    </row>
    <row r="1795" spans="1:11">
      <c r="A1795" s="688" t="s">
        <v>0</v>
      </c>
      <c r="B1795" s="689">
        <v>56.3</v>
      </c>
      <c r="C1795" s="689">
        <v>56.7</v>
      </c>
      <c r="D1795" s="689">
        <v>56.5</v>
      </c>
      <c r="E1795" s="689">
        <v>56.8</v>
      </c>
      <c r="F1795" s="693">
        <v>57</v>
      </c>
      <c r="G1795" s="689">
        <v>57.1</v>
      </c>
      <c r="H1795" s="689">
        <v>57.4</v>
      </c>
      <c r="I1795" s="689">
        <v>56.3</v>
      </c>
      <c r="J1795" s="689">
        <v>57.2</v>
      </c>
      <c r="K1795" s="689">
        <v>57.2</v>
      </c>
    </row>
    <row r="1796" spans="1:11">
      <c r="A1796" s="688" t="s">
        <v>1</v>
      </c>
      <c r="B1796" s="615">
        <v>51</v>
      </c>
      <c r="C1796" s="691">
        <v>50.5</v>
      </c>
      <c r="D1796" s="691">
        <v>50.6</v>
      </c>
      <c r="E1796" s="691">
        <v>50.7</v>
      </c>
      <c r="F1796" s="691">
        <v>50.6</v>
      </c>
      <c r="G1796" s="691">
        <v>50.7</v>
      </c>
      <c r="H1796" s="691">
        <v>50.8</v>
      </c>
      <c r="I1796" s="691">
        <v>49.2</v>
      </c>
      <c r="J1796" s="691">
        <v>47.2</v>
      </c>
      <c r="K1796" s="615">
        <v>50</v>
      </c>
    </row>
    <row r="1797" spans="1:11">
      <c r="A1797" s="688" t="s">
        <v>2240</v>
      </c>
      <c r="B1797" s="689">
        <v>53.9</v>
      </c>
      <c r="C1797" s="689">
        <v>54.3</v>
      </c>
      <c r="D1797" s="689">
        <v>54.1</v>
      </c>
      <c r="E1797" s="689">
        <v>54.6</v>
      </c>
      <c r="F1797" s="689">
        <v>54.5</v>
      </c>
      <c r="G1797" s="689">
        <v>54.5</v>
      </c>
      <c r="H1797" s="689">
        <v>54.8</v>
      </c>
      <c r="I1797" s="689">
        <v>53.8</v>
      </c>
      <c r="J1797" s="689">
        <v>52.7</v>
      </c>
      <c r="K1797" s="689">
        <v>54.5</v>
      </c>
    </row>
    <row r="1798" spans="1:11">
      <c r="A1798" s="688" t="s">
        <v>2</v>
      </c>
      <c r="B1798" s="691">
        <v>55.9</v>
      </c>
      <c r="C1798" s="691">
        <v>56.2</v>
      </c>
      <c r="D1798" s="691">
        <v>56.3</v>
      </c>
      <c r="E1798" s="691">
        <v>56.4</v>
      </c>
      <c r="F1798" s="691">
        <v>56.7</v>
      </c>
      <c r="G1798" s="691">
        <v>56.5</v>
      </c>
      <c r="H1798" s="691">
        <v>56.9</v>
      </c>
      <c r="I1798" s="615">
        <v>57</v>
      </c>
      <c r="J1798" s="691">
        <v>56.9</v>
      </c>
      <c r="K1798" s="691">
        <v>56.8</v>
      </c>
    </row>
    <row r="1799" spans="1:11">
      <c r="A1799" s="688" t="s">
        <v>3</v>
      </c>
      <c r="B1799" s="689">
        <v>56.2</v>
      </c>
      <c r="C1799" s="689">
        <v>56.5</v>
      </c>
      <c r="D1799" s="689">
        <v>56.1</v>
      </c>
      <c r="E1799" s="689">
        <v>56.4</v>
      </c>
      <c r="F1799" s="689">
        <v>56.5</v>
      </c>
      <c r="G1799" s="689">
        <v>56.4</v>
      </c>
      <c r="H1799" s="689">
        <v>56.7</v>
      </c>
      <c r="I1799" s="689">
        <v>56.5</v>
      </c>
      <c r="J1799" s="689">
        <v>56.2</v>
      </c>
      <c r="K1799" s="693">
        <v>56</v>
      </c>
    </row>
    <row r="1800" spans="1:11">
      <c r="A1800" s="688" t="s">
        <v>4061</v>
      </c>
      <c r="B1800" s="691">
        <v>56.2</v>
      </c>
      <c r="C1800" s="691">
        <v>56.5</v>
      </c>
      <c r="D1800" s="691">
        <v>56.1</v>
      </c>
      <c r="E1800" s="691">
        <v>56.4</v>
      </c>
      <c r="F1800" s="691">
        <v>56.5</v>
      </c>
      <c r="G1800" s="691">
        <v>56.4</v>
      </c>
      <c r="H1800" s="691">
        <v>56.7</v>
      </c>
      <c r="I1800" s="691">
        <v>56.5</v>
      </c>
      <c r="J1800" s="691">
        <v>56.2</v>
      </c>
      <c r="K1800" s="615">
        <v>56</v>
      </c>
    </row>
    <row r="1801" spans="1:11">
      <c r="A1801" s="688" t="s">
        <v>4</v>
      </c>
      <c r="B1801" s="689">
        <v>53.2</v>
      </c>
      <c r="C1801" s="689">
        <v>52.9</v>
      </c>
      <c r="D1801" s="689">
        <v>53.3</v>
      </c>
      <c r="E1801" s="689">
        <v>53.5</v>
      </c>
      <c r="F1801" s="689">
        <v>53.8</v>
      </c>
      <c r="G1801" s="689">
        <v>53.9</v>
      </c>
      <c r="H1801" s="689">
        <v>54.3</v>
      </c>
      <c r="I1801" s="689">
        <v>54.2</v>
      </c>
      <c r="J1801" s="689">
        <v>52.7</v>
      </c>
      <c r="K1801" s="689">
        <v>53.7</v>
      </c>
    </row>
    <row r="1802" spans="1:11">
      <c r="A1802" s="688" t="s">
        <v>8</v>
      </c>
      <c r="B1802" s="691">
        <v>56.6</v>
      </c>
      <c r="C1802" s="691">
        <v>56.9</v>
      </c>
      <c r="D1802" s="691">
        <v>56.9</v>
      </c>
      <c r="E1802" s="691">
        <v>57.1</v>
      </c>
      <c r="F1802" s="691">
        <v>57.5</v>
      </c>
      <c r="G1802" s="691">
        <v>57.5</v>
      </c>
      <c r="H1802" s="691">
        <v>57.9</v>
      </c>
      <c r="I1802" s="691">
        <v>57.8</v>
      </c>
      <c r="J1802" s="691">
        <v>57.6</v>
      </c>
      <c r="K1802" s="691">
        <v>57.8</v>
      </c>
    </row>
    <row r="1803" spans="1:11">
      <c r="A1803" s="688" t="s">
        <v>7</v>
      </c>
      <c r="B1803" s="693">
        <v>57</v>
      </c>
      <c r="C1803" s="689">
        <v>56.6</v>
      </c>
      <c r="D1803" s="689">
        <v>56.4</v>
      </c>
      <c r="E1803" s="689">
        <v>56.7</v>
      </c>
      <c r="F1803" s="689">
        <v>56.6</v>
      </c>
      <c r="G1803" s="689">
        <v>57.1</v>
      </c>
      <c r="H1803" s="693">
        <v>57</v>
      </c>
      <c r="I1803" s="689">
        <v>56.7</v>
      </c>
      <c r="J1803" s="689">
        <v>55.6</v>
      </c>
      <c r="K1803" s="689">
        <v>56.3</v>
      </c>
    </row>
    <row r="1804" spans="1:11">
      <c r="A1804" s="688" t="s">
        <v>27</v>
      </c>
      <c r="B1804" s="691">
        <v>58.6</v>
      </c>
      <c r="C1804" s="691">
        <v>58.4</v>
      </c>
      <c r="D1804" s="691">
        <v>58.1</v>
      </c>
      <c r="E1804" s="691">
        <v>58.5</v>
      </c>
      <c r="F1804" s="691">
        <v>58.5</v>
      </c>
      <c r="G1804" s="691">
        <v>58.6</v>
      </c>
      <c r="H1804" s="615">
        <v>59</v>
      </c>
      <c r="I1804" s="691">
        <v>57.7</v>
      </c>
      <c r="J1804" s="691">
        <v>58.5</v>
      </c>
      <c r="K1804" s="691">
        <v>58.5</v>
      </c>
    </row>
    <row r="1805" spans="1:11">
      <c r="A1805" s="688" t="s">
        <v>6</v>
      </c>
      <c r="B1805" s="693">
        <v>58</v>
      </c>
      <c r="C1805" s="693">
        <v>58</v>
      </c>
      <c r="D1805" s="689">
        <v>57.8</v>
      </c>
      <c r="E1805" s="693">
        <v>58</v>
      </c>
      <c r="F1805" s="689">
        <v>58.1</v>
      </c>
      <c r="G1805" s="689">
        <v>58.2</v>
      </c>
      <c r="H1805" s="689">
        <v>58.3</v>
      </c>
      <c r="I1805" s="689">
        <v>57.8</v>
      </c>
      <c r="J1805" s="689">
        <v>57.9</v>
      </c>
      <c r="K1805" s="689">
        <v>57.9</v>
      </c>
    </row>
    <row r="1806" spans="1:11">
      <c r="A1806" s="688" t="s">
        <v>4058</v>
      </c>
      <c r="B1806" s="692" t="s">
        <v>4060</v>
      </c>
      <c r="C1806" s="692" t="s">
        <v>4060</v>
      </c>
      <c r="D1806" s="692" t="s">
        <v>4060</v>
      </c>
      <c r="E1806" s="692" t="s">
        <v>4060</v>
      </c>
      <c r="F1806" s="692" t="s">
        <v>4060</v>
      </c>
      <c r="G1806" s="692" t="s">
        <v>4060</v>
      </c>
      <c r="H1806" s="692" t="s">
        <v>4060</v>
      </c>
      <c r="I1806" s="692" t="s">
        <v>4060</v>
      </c>
      <c r="J1806" s="692" t="s">
        <v>4060</v>
      </c>
      <c r="K1806" s="692" t="s">
        <v>4060</v>
      </c>
    </row>
    <row r="1807" spans="1:11">
      <c r="A1807" s="688" t="s">
        <v>11</v>
      </c>
      <c r="B1807" s="689">
        <v>53.5</v>
      </c>
      <c r="C1807" s="689">
        <v>53.5</v>
      </c>
      <c r="D1807" s="693">
        <v>53</v>
      </c>
      <c r="E1807" s="689">
        <v>53.7</v>
      </c>
      <c r="F1807" s="689">
        <v>53.5</v>
      </c>
      <c r="G1807" s="689">
        <v>53.7</v>
      </c>
      <c r="H1807" s="689">
        <v>53.9</v>
      </c>
      <c r="I1807" s="689">
        <v>53.2</v>
      </c>
      <c r="J1807" s="689">
        <v>52.2</v>
      </c>
      <c r="K1807" s="689">
        <v>53.3</v>
      </c>
    </row>
    <row r="1808" spans="1:11">
      <c r="A1808" s="688" t="s">
        <v>10</v>
      </c>
      <c r="B1808" s="691">
        <v>58.4</v>
      </c>
      <c r="C1808" s="691">
        <v>58.3</v>
      </c>
      <c r="D1808" s="691">
        <v>57.9</v>
      </c>
      <c r="E1808" s="691">
        <v>58.5</v>
      </c>
      <c r="F1808" s="691">
        <v>58.3</v>
      </c>
      <c r="G1808" s="691">
        <v>58.6</v>
      </c>
      <c r="H1808" s="691">
        <v>58.8</v>
      </c>
      <c r="I1808" s="691">
        <v>57.7</v>
      </c>
      <c r="J1808" s="615">
        <v>58</v>
      </c>
      <c r="K1808" s="691">
        <v>58.2</v>
      </c>
    </row>
    <row r="1809" spans="1:11">
      <c r="A1809" s="688" t="s">
        <v>30</v>
      </c>
      <c r="B1809" s="689">
        <v>57.9</v>
      </c>
      <c r="C1809" s="689">
        <v>57.7</v>
      </c>
      <c r="D1809" s="689">
        <v>57.4</v>
      </c>
      <c r="E1809" s="689">
        <v>58.2</v>
      </c>
      <c r="F1809" s="689">
        <v>57.8</v>
      </c>
      <c r="G1809" s="689">
        <v>58.4</v>
      </c>
      <c r="H1809" s="689">
        <v>58.1</v>
      </c>
      <c r="I1809" s="689">
        <v>58.1</v>
      </c>
      <c r="J1809" s="689">
        <v>57.3</v>
      </c>
      <c r="K1809" s="689">
        <v>57.7</v>
      </c>
    </row>
    <row r="1810" spans="1:11">
      <c r="A1810" s="688" t="s">
        <v>12</v>
      </c>
      <c r="B1810" s="691">
        <v>50.1</v>
      </c>
      <c r="C1810" s="691">
        <v>50.2</v>
      </c>
      <c r="D1810" s="691">
        <v>50.5</v>
      </c>
      <c r="E1810" s="691">
        <v>50.6</v>
      </c>
      <c r="F1810" s="691">
        <v>50.7</v>
      </c>
      <c r="G1810" s="691">
        <v>50.7</v>
      </c>
      <c r="H1810" s="691">
        <v>51.4</v>
      </c>
      <c r="I1810" s="691">
        <v>51.1</v>
      </c>
      <c r="J1810" s="691">
        <v>48.8</v>
      </c>
      <c r="K1810" s="691">
        <v>50.1</v>
      </c>
    </row>
    <row r="1811" spans="1:11">
      <c r="A1811" s="688" t="s">
        <v>14</v>
      </c>
      <c r="B1811" s="693">
        <v>50</v>
      </c>
      <c r="C1811" s="689">
        <v>50.5</v>
      </c>
      <c r="D1811" s="689">
        <v>50.3</v>
      </c>
      <c r="E1811" s="689">
        <v>50.6</v>
      </c>
      <c r="F1811" s="689">
        <v>51.3</v>
      </c>
      <c r="G1811" s="689">
        <v>51.6</v>
      </c>
      <c r="H1811" s="689">
        <v>52.1</v>
      </c>
      <c r="I1811" s="689">
        <v>50.8</v>
      </c>
      <c r="J1811" s="689">
        <v>49.9</v>
      </c>
      <c r="K1811" s="689">
        <v>51.4</v>
      </c>
    </row>
    <row r="1812" spans="1:11">
      <c r="A1812" s="688" t="s">
        <v>15</v>
      </c>
      <c r="B1812" s="691">
        <v>57.5</v>
      </c>
      <c r="C1812" s="691">
        <v>57.4</v>
      </c>
      <c r="D1812" s="691">
        <v>57.5</v>
      </c>
      <c r="E1812" s="691">
        <v>57.8</v>
      </c>
      <c r="F1812" s="691">
        <v>57.4</v>
      </c>
      <c r="G1812" s="691">
        <v>57.6</v>
      </c>
      <c r="H1812" s="615">
        <v>58</v>
      </c>
      <c r="I1812" s="691">
        <v>57.7</v>
      </c>
      <c r="J1812" s="615">
        <v>58</v>
      </c>
      <c r="K1812" s="691">
        <v>58.4</v>
      </c>
    </row>
    <row r="1813" spans="1:11">
      <c r="A1813" s="688" t="s">
        <v>29</v>
      </c>
      <c r="B1813" s="689">
        <v>51.5</v>
      </c>
      <c r="C1813" s="689">
        <v>51.5</v>
      </c>
      <c r="D1813" s="689">
        <v>51.3</v>
      </c>
      <c r="E1813" s="689">
        <v>51.7</v>
      </c>
      <c r="F1813" s="689">
        <v>51.5</v>
      </c>
      <c r="G1813" s="689">
        <v>51.6</v>
      </c>
      <c r="H1813" s="689">
        <v>51.9</v>
      </c>
      <c r="I1813" s="689">
        <v>51.1</v>
      </c>
      <c r="J1813" s="689">
        <v>49.7</v>
      </c>
      <c r="K1813" s="689">
        <v>51.5</v>
      </c>
    </row>
    <row r="1814" spans="1:11">
      <c r="A1814" s="688" t="s">
        <v>16</v>
      </c>
      <c r="B1814" s="691">
        <v>57.6</v>
      </c>
      <c r="C1814" s="691">
        <v>57.4</v>
      </c>
      <c r="D1814" s="691">
        <v>57.5</v>
      </c>
      <c r="E1814" s="691">
        <v>57.9</v>
      </c>
      <c r="F1814" s="691">
        <v>57.9</v>
      </c>
      <c r="G1814" s="691">
        <v>57.7</v>
      </c>
      <c r="H1814" s="691">
        <v>58.2</v>
      </c>
      <c r="I1814" s="691">
        <v>57.5</v>
      </c>
      <c r="J1814" s="691">
        <v>57.6</v>
      </c>
      <c r="K1814" s="691">
        <v>57.8</v>
      </c>
    </row>
    <row r="1815" spans="1:11">
      <c r="A1815" s="688" t="s">
        <v>17</v>
      </c>
      <c r="B1815" s="693">
        <v>57</v>
      </c>
      <c r="C1815" s="689">
        <v>57.2</v>
      </c>
      <c r="D1815" s="693">
        <v>57</v>
      </c>
      <c r="E1815" s="689">
        <v>57.1</v>
      </c>
      <c r="F1815" s="689">
        <v>57.3</v>
      </c>
      <c r="G1815" s="689">
        <v>57.3</v>
      </c>
      <c r="H1815" s="689">
        <v>57.6</v>
      </c>
      <c r="I1815" s="689">
        <v>56.9</v>
      </c>
      <c r="J1815" s="689">
        <v>56.9</v>
      </c>
      <c r="K1815" s="689">
        <v>57.2</v>
      </c>
    </row>
    <row r="1816" spans="1:11">
      <c r="A1816" s="688" t="s">
        <v>19</v>
      </c>
      <c r="B1816" s="691">
        <v>56.9</v>
      </c>
      <c r="C1816" s="615">
        <v>57</v>
      </c>
      <c r="D1816" s="691">
        <v>56.7</v>
      </c>
      <c r="E1816" s="691">
        <v>57.2</v>
      </c>
      <c r="F1816" s="691">
        <v>57.2</v>
      </c>
      <c r="G1816" s="691">
        <v>57.2</v>
      </c>
      <c r="H1816" s="691">
        <v>57.5</v>
      </c>
      <c r="I1816" s="691">
        <v>56.9</v>
      </c>
      <c r="J1816" s="691">
        <v>56.8</v>
      </c>
      <c r="K1816" s="691">
        <v>56.9</v>
      </c>
    </row>
    <row r="1817" spans="1:11">
      <c r="A1817" s="688" t="s">
        <v>20</v>
      </c>
      <c r="B1817" s="689">
        <v>52.9</v>
      </c>
      <c r="C1817" s="689">
        <v>53.3</v>
      </c>
      <c r="D1817" s="689">
        <v>53.1</v>
      </c>
      <c r="E1817" s="689">
        <v>53.5</v>
      </c>
      <c r="F1817" s="689">
        <v>53.4</v>
      </c>
      <c r="G1817" s="689">
        <v>53.3</v>
      </c>
      <c r="H1817" s="689">
        <v>53.5</v>
      </c>
      <c r="I1817" s="693">
        <v>52</v>
      </c>
      <c r="J1817" s="689">
        <v>51.1</v>
      </c>
      <c r="K1817" s="689">
        <v>52.8</v>
      </c>
    </row>
    <row r="1818" spans="1:11">
      <c r="A1818" s="688" t="s">
        <v>21</v>
      </c>
      <c r="B1818" s="691">
        <v>56.4</v>
      </c>
      <c r="C1818" s="691">
        <v>56.8</v>
      </c>
      <c r="D1818" s="691">
        <v>56.8</v>
      </c>
      <c r="E1818" s="691">
        <v>56.9</v>
      </c>
      <c r="F1818" s="691">
        <v>57.1</v>
      </c>
      <c r="G1818" s="691">
        <v>57.1</v>
      </c>
      <c r="H1818" s="691">
        <v>57.5</v>
      </c>
      <c r="I1818" s="691">
        <v>56.8</v>
      </c>
      <c r="J1818" s="691">
        <v>56.9</v>
      </c>
      <c r="K1818" s="691">
        <v>57.2</v>
      </c>
    </row>
    <row r="1819" spans="1:11">
      <c r="A1819" s="688" t="s">
        <v>22</v>
      </c>
      <c r="B1819" s="689">
        <v>51.4</v>
      </c>
      <c r="C1819" s="693">
        <v>51</v>
      </c>
      <c r="D1819" s="693">
        <v>51</v>
      </c>
      <c r="E1819" s="689">
        <v>51.2</v>
      </c>
      <c r="F1819" s="689">
        <v>51.2</v>
      </c>
      <c r="G1819" s="689">
        <v>51.2</v>
      </c>
      <c r="H1819" s="689">
        <v>51.5</v>
      </c>
      <c r="I1819" s="689">
        <v>49.9</v>
      </c>
      <c r="J1819" s="689">
        <v>48.6</v>
      </c>
      <c r="K1819" s="693">
        <v>51</v>
      </c>
    </row>
    <row r="1820" spans="1:11">
      <c r="A1820" s="688" t="s">
        <v>26</v>
      </c>
      <c r="B1820" s="615">
        <v>56</v>
      </c>
      <c r="C1820" s="691">
        <v>56.3</v>
      </c>
      <c r="D1820" s="691">
        <v>56.1</v>
      </c>
      <c r="E1820" s="691">
        <v>56.5</v>
      </c>
      <c r="F1820" s="691">
        <v>56.4</v>
      </c>
      <c r="G1820" s="691">
        <v>56.6</v>
      </c>
      <c r="H1820" s="691">
        <v>56.8</v>
      </c>
      <c r="I1820" s="691">
        <v>55.9</v>
      </c>
      <c r="J1820" s="615">
        <v>56</v>
      </c>
      <c r="K1820" s="691">
        <v>56.6</v>
      </c>
    </row>
    <row r="1821" spans="1:11">
      <c r="A1821" s="688" t="s">
        <v>25</v>
      </c>
      <c r="B1821" s="689">
        <v>52.5</v>
      </c>
      <c r="C1821" s="689">
        <v>52.8</v>
      </c>
      <c r="D1821" s="689">
        <v>52.5</v>
      </c>
      <c r="E1821" s="689">
        <v>53.1</v>
      </c>
      <c r="F1821" s="693">
        <v>53</v>
      </c>
      <c r="G1821" s="689">
        <v>53.1</v>
      </c>
      <c r="H1821" s="689">
        <v>53.5</v>
      </c>
      <c r="I1821" s="689">
        <v>52.8</v>
      </c>
      <c r="J1821" s="689">
        <v>50.4</v>
      </c>
      <c r="K1821" s="689">
        <v>52.8</v>
      </c>
    </row>
    <row r="1822" spans="1:11">
      <c r="A1822" s="688" t="s">
        <v>5</v>
      </c>
      <c r="B1822" s="691">
        <v>56.6</v>
      </c>
      <c r="C1822" s="691">
        <v>56.6</v>
      </c>
      <c r="D1822" s="691">
        <v>56.8</v>
      </c>
      <c r="E1822" s="691">
        <v>56.8</v>
      </c>
      <c r="F1822" s="615">
        <v>57</v>
      </c>
      <c r="G1822" s="691">
        <v>57.1</v>
      </c>
      <c r="H1822" s="691">
        <v>57.5</v>
      </c>
      <c r="I1822" s="691">
        <v>57.4</v>
      </c>
      <c r="J1822" s="691">
        <v>57.3</v>
      </c>
      <c r="K1822" s="691">
        <v>56.7</v>
      </c>
    </row>
    <row r="1823" spans="1:11">
      <c r="A1823" s="688" t="s">
        <v>23</v>
      </c>
      <c r="B1823" s="689">
        <v>57.5</v>
      </c>
      <c r="C1823" s="689">
        <v>57.7</v>
      </c>
      <c r="D1823" s="689">
        <v>57.7</v>
      </c>
      <c r="E1823" s="689">
        <v>57.8</v>
      </c>
      <c r="F1823" s="689">
        <v>57.9</v>
      </c>
      <c r="G1823" s="693">
        <v>58</v>
      </c>
      <c r="H1823" s="689">
        <v>58.5</v>
      </c>
      <c r="I1823" s="689">
        <v>57.9</v>
      </c>
      <c r="J1823" s="689">
        <v>58.5</v>
      </c>
      <c r="K1823" s="689">
        <v>58.5</v>
      </c>
    </row>
    <row r="1824" spans="1:11">
      <c r="A1824" s="688" t="s">
        <v>4067</v>
      </c>
      <c r="B1824" s="691">
        <v>56.2</v>
      </c>
      <c r="C1824" s="691">
        <v>56.5</v>
      </c>
      <c r="D1824" s="691">
        <v>56.2</v>
      </c>
      <c r="E1824" s="691">
        <v>56.6</v>
      </c>
      <c r="F1824" s="691">
        <v>56.5</v>
      </c>
      <c r="G1824" s="691">
        <v>56.6</v>
      </c>
      <c r="H1824" s="692" t="s">
        <v>4060</v>
      </c>
      <c r="I1824" s="692" t="s">
        <v>4060</v>
      </c>
      <c r="J1824" s="692" t="s">
        <v>4060</v>
      </c>
      <c r="K1824" s="692" t="s">
        <v>4060</v>
      </c>
    </row>
    <row r="1825" spans="1:11">
      <c r="A1825" s="688" t="s">
        <v>4066</v>
      </c>
      <c r="B1825" s="689">
        <v>56.2</v>
      </c>
      <c r="C1825" s="689">
        <v>56.6</v>
      </c>
      <c r="D1825" s="689">
        <v>56.2</v>
      </c>
      <c r="E1825" s="689">
        <v>56.6</v>
      </c>
      <c r="F1825" s="689">
        <v>56.6</v>
      </c>
      <c r="G1825" s="689">
        <v>56.6</v>
      </c>
      <c r="H1825" s="690" t="s">
        <v>4060</v>
      </c>
      <c r="I1825" s="690" t="s">
        <v>4060</v>
      </c>
      <c r="J1825" s="690" t="s">
        <v>4060</v>
      </c>
      <c r="K1825" s="690" t="s">
        <v>4060</v>
      </c>
    </row>
    <row r="1826" spans="1:11">
      <c r="A1826" s="688" t="s">
        <v>4062</v>
      </c>
      <c r="B1826" s="691">
        <v>58.1</v>
      </c>
      <c r="C1826" s="691">
        <v>58.3</v>
      </c>
      <c r="D1826" s="691">
        <v>58.2</v>
      </c>
      <c r="E1826" s="691">
        <v>58.5</v>
      </c>
      <c r="F1826" s="691">
        <v>58.6</v>
      </c>
      <c r="G1826" s="691">
        <v>58.8</v>
      </c>
      <c r="H1826" s="615">
        <v>59</v>
      </c>
      <c r="I1826" s="691">
        <v>58.6</v>
      </c>
      <c r="J1826" s="615">
        <v>59</v>
      </c>
      <c r="K1826" s="691">
        <v>58.7</v>
      </c>
    </row>
    <row r="1827" spans="1:11">
      <c r="A1827" s="688" t="s">
        <v>9</v>
      </c>
      <c r="B1827" s="689">
        <v>57.6</v>
      </c>
      <c r="C1827" s="689">
        <v>58.1</v>
      </c>
      <c r="D1827" s="689">
        <v>57.9</v>
      </c>
      <c r="E1827" s="689">
        <v>57.5</v>
      </c>
      <c r="F1827" s="689">
        <v>57.9</v>
      </c>
      <c r="G1827" s="689">
        <v>58.1</v>
      </c>
      <c r="H1827" s="689">
        <v>58.2</v>
      </c>
      <c r="I1827" s="689">
        <v>58.4</v>
      </c>
      <c r="J1827" s="689">
        <v>58.6</v>
      </c>
      <c r="K1827" s="689">
        <v>57.5</v>
      </c>
    </row>
    <row r="1828" spans="1:11">
      <c r="A1828" s="688" t="s">
        <v>13</v>
      </c>
      <c r="B1828" s="691">
        <v>58.1</v>
      </c>
      <c r="C1828" s="691">
        <v>57.5</v>
      </c>
      <c r="D1828" s="691">
        <v>58.3</v>
      </c>
      <c r="E1828" s="691">
        <v>57.8</v>
      </c>
      <c r="F1828" s="691">
        <v>58.6</v>
      </c>
      <c r="G1828" s="691">
        <v>58.4</v>
      </c>
      <c r="H1828" s="691">
        <v>59.1</v>
      </c>
      <c r="I1828" s="691">
        <v>58.3</v>
      </c>
      <c r="J1828" s="691">
        <v>59.3</v>
      </c>
      <c r="K1828" s="691">
        <v>59.6</v>
      </c>
    </row>
    <row r="1829" spans="1:11">
      <c r="A1829" s="688" t="s">
        <v>18</v>
      </c>
      <c r="B1829" s="689">
        <v>57.3</v>
      </c>
      <c r="C1829" s="689">
        <v>57.6</v>
      </c>
      <c r="D1829" s="689">
        <v>57.7</v>
      </c>
      <c r="E1829" s="689">
        <v>57.9</v>
      </c>
      <c r="F1829" s="689">
        <v>58.1</v>
      </c>
      <c r="G1829" s="689">
        <v>58.2</v>
      </c>
      <c r="H1829" s="689">
        <v>58.4</v>
      </c>
      <c r="I1829" s="689">
        <v>58.6</v>
      </c>
      <c r="J1829" s="689">
        <v>58.6</v>
      </c>
      <c r="K1829" s="693">
        <v>58</v>
      </c>
    </row>
    <row r="1830" spans="1:11">
      <c r="A1830" s="688" t="s">
        <v>24</v>
      </c>
      <c r="B1830" s="691">
        <v>58.5</v>
      </c>
      <c r="C1830" s="691">
        <v>58.7</v>
      </c>
      <c r="D1830" s="691">
        <v>58.5</v>
      </c>
      <c r="E1830" s="615">
        <v>59</v>
      </c>
      <c r="F1830" s="615">
        <v>59</v>
      </c>
      <c r="G1830" s="691">
        <v>59.2</v>
      </c>
      <c r="H1830" s="691">
        <v>59.3</v>
      </c>
      <c r="I1830" s="691">
        <v>58.6</v>
      </c>
      <c r="J1830" s="691">
        <v>59.2</v>
      </c>
      <c r="K1830" s="691">
        <v>59.1</v>
      </c>
    </row>
    <row r="1831" spans="1:11">
      <c r="A1831" s="688" t="s">
        <v>4059</v>
      </c>
      <c r="B1831" s="689">
        <v>56.7</v>
      </c>
      <c r="C1831" s="693">
        <v>57</v>
      </c>
      <c r="D1831" s="689">
        <v>56.6</v>
      </c>
      <c r="E1831" s="689">
        <v>56.8</v>
      </c>
      <c r="F1831" s="689">
        <v>56.9</v>
      </c>
      <c r="G1831" s="689">
        <v>56.9</v>
      </c>
      <c r="H1831" s="690" t="s">
        <v>4060</v>
      </c>
      <c r="I1831" s="690" t="s">
        <v>4060</v>
      </c>
      <c r="J1831" s="690" t="s">
        <v>4060</v>
      </c>
      <c r="K1831" s="690" t="s">
        <v>4060</v>
      </c>
    </row>
    <row r="1832" spans="1:11">
      <c r="A1832" s="688" t="s">
        <v>2324</v>
      </c>
      <c r="B1832" s="691">
        <v>52.2</v>
      </c>
      <c r="C1832" s="691">
        <v>52.2</v>
      </c>
      <c r="D1832" s="615">
        <v>52</v>
      </c>
      <c r="E1832" s="691">
        <v>52.1</v>
      </c>
      <c r="F1832" s="691">
        <v>52.1</v>
      </c>
      <c r="G1832" s="691">
        <v>52.4</v>
      </c>
      <c r="H1832" s="691">
        <v>52.3</v>
      </c>
      <c r="I1832" s="691">
        <v>51.5</v>
      </c>
      <c r="J1832" s="691">
        <v>49.2</v>
      </c>
      <c r="K1832" s="692" t="s">
        <v>4060</v>
      </c>
    </row>
    <row r="1833" spans="1:11">
      <c r="A1833" s="688" t="s">
        <v>2322</v>
      </c>
      <c r="B1833" s="690" t="s">
        <v>4060</v>
      </c>
      <c r="C1833" s="690" t="s">
        <v>4060</v>
      </c>
      <c r="D1833" s="690" t="s">
        <v>4060</v>
      </c>
      <c r="E1833" s="690" t="s">
        <v>4060</v>
      </c>
      <c r="F1833" s="690" t="s">
        <v>4060</v>
      </c>
      <c r="G1833" s="690" t="s">
        <v>4060</v>
      </c>
      <c r="H1833" s="690" t="s">
        <v>4060</v>
      </c>
      <c r="I1833" s="690" t="s">
        <v>4060</v>
      </c>
      <c r="J1833" s="690" t="s">
        <v>4060</v>
      </c>
      <c r="K1833" s="690" t="s">
        <v>4060</v>
      </c>
    </row>
    <row r="1834" spans="1:11">
      <c r="A1834" s="688" t="s">
        <v>2328</v>
      </c>
      <c r="B1834" s="691">
        <v>51.6</v>
      </c>
      <c r="C1834" s="691">
        <v>51.6</v>
      </c>
      <c r="D1834" s="691">
        <v>51.5</v>
      </c>
      <c r="E1834" s="691">
        <v>51.7</v>
      </c>
      <c r="F1834" s="615">
        <v>52</v>
      </c>
      <c r="G1834" s="691">
        <v>52.4</v>
      </c>
      <c r="H1834" s="691">
        <v>52.4</v>
      </c>
      <c r="I1834" s="691">
        <v>50.1</v>
      </c>
      <c r="J1834" s="691">
        <v>48.9</v>
      </c>
      <c r="K1834" s="692" t="s">
        <v>4060</v>
      </c>
    </row>
    <row r="1835" spans="1:11">
      <c r="A1835" s="688" t="s">
        <v>2496</v>
      </c>
      <c r="B1835" s="690" t="s">
        <v>4060</v>
      </c>
      <c r="C1835" s="689">
        <v>50.5</v>
      </c>
      <c r="D1835" s="689">
        <v>49.4</v>
      </c>
      <c r="E1835" s="693">
        <v>49</v>
      </c>
      <c r="F1835" s="689">
        <v>49.8</v>
      </c>
      <c r="G1835" s="689">
        <v>50.2</v>
      </c>
      <c r="H1835" s="689">
        <v>50.2</v>
      </c>
      <c r="I1835" s="690" t="s">
        <v>4060</v>
      </c>
      <c r="J1835" s="690" t="s">
        <v>4060</v>
      </c>
      <c r="K1835" s="689">
        <v>49.8</v>
      </c>
    </row>
    <row r="1836" spans="1:11">
      <c r="A1836" s="688" t="s">
        <v>2269</v>
      </c>
      <c r="B1836" s="691">
        <v>54.2</v>
      </c>
      <c r="C1836" s="691">
        <v>54.4</v>
      </c>
      <c r="D1836" s="615">
        <v>54</v>
      </c>
      <c r="E1836" s="691">
        <v>54.7</v>
      </c>
      <c r="F1836" s="691">
        <v>54.6</v>
      </c>
      <c r="G1836" s="615">
        <v>55</v>
      </c>
      <c r="H1836" s="691">
        <v>55.3</v>
      </c>
      <c r="I1836" s="691">
        <v>53.4</v>
      </c>
      <c r="J1836" s="691">
        <v>51.6</v>
      </c>
      <c r="K1836" s="615">
        <v>55</v>
      </c>
    </row>
    <row r="1837" spans="1:11">
      <c r="A1837" s="688" t="s">
        <v>2349</v>
      </c>
      <c r="B1837" s="689">
        <v>51.1</v>
      </c>
      <c r="C1837" s="689">
        <v>51.2</v>
      </c>
      <c r="D1837" s="689">
        <v>51.1</v>
      </c>
      <c r="E1837" s="689">
        <v>51.5</v>
      </c>
      <c r="F1837" s="689">
        <v>51.3</v>
      </c>
      <c r="G1837" s="689">
        <v>51.7</v>
      </c>
      <c r="H1837" s="689">
        <v>51.7</v>
      </c>
      <c r="I1837" s="689">
        <v>50.2</v>
      </c>
      <c r="J1837" s="689">
        <v>48.5</v>
      </c>
      <c r="K1837" s="689">
        <v>50.9</v>
      </c>
    </row>
    <row r="1838" spans="1:11">
      <c r="A1838" s="688" t="s">
        <v>2355</v>
      </c>
      <c r="B1838" s="691">
        <v>54.8</v>
      </c>
      <c r="C1838" s="691">
        <v>54.7</v>
      </c>
      <c r="D1838" s="691">
        <v>54.7</v>
      </c>
      <c r="E1838" s="691">
        <v>54.6</v>
      </c>
      <c r="F1838" s="691">
        <v>54.8</v>
      </c>
      <c r="G1838" s="691">
        <v>55.2</v>
      </c>
      <c r="H1838" s="691">
        <v>55.4</v>
      </c>
      <c r="I1838" s="692" t="s">
        <v>4060</v>
      </c>
      <c r="J1838" s="692" t="s">
        <v>4060</v>
      </c>
      <c r="K1838" s="692" t="s">
        <v>4060</v>
      </c>
    </row>
    <row r="1839" spans="1:11">
      <c r="A1839" s="688" t="s">
        <v>2357</v>
      </c>
      <c r="B1839" s="690" t="s">
        <v>4060</v>
      </c>
      <c r="C1839" s="693">
        <v>48</v>
      </c>
      <c r="D1839" s="689">
        <v>48.7</v>
      </c>
      <c r="E1839" s="693">
        <v>49</v>
      </c>
      <c r="F1839" s="689">
        <v>49.3</v>
      </c>
      <c r="G1839" s="689">
        <v>49.2</v>
      </c>
      <c r="H1839" s="689">
        <v>49.4</v>
      </c>
      <c r="I1839" s="690" t="s">
        <v>4060</v>
      </c>
      <c r="J1839" s="690" t="s">
        <v>4060</v>
      </c>
      <c r="K1839" s="690" t="s">
        <v>4060</v>
      </c>
    </row>
    <row r="1840" spans="1:11">
      <c r="A1840" s="688" t="s">
        <v>4070</v>
      </c>
      <c r="B1840" s="692" t="s">
        <v>4060</v>
      </c>
      <c r="C1840" s="692" t="s">
        <v>4060</v>
      </c>
      <c r="D1840" s="692" t="s">
        <v>4060</v>
      </c>
      <c r="E1840" s="691">
        <v>54.4</v>
      </c>
      <c r="F1840" s="692" t="s">
        <v>4060</v>
      </c>
      <c r="G1840" s="692" t="s">
        <v>4060</v>
      </c>
      <c r="H1840" s="692" t="s">
        <v>4060</v>
      </c>
      <c r="I1840" s="692" t="s">
        <v>4060</v>
      </c>
      <c r="J1840" s="692" t="s">
        <v>4060</v>
      </c>
      <c r="K1840" s="692" t="s">
        <v>4060</v>
      </c>
    </row>
    <row r="1841" spans="1:11">
      <c r="A1841" s="688" t="s">
        <v>2491</v>
      </c>
      <c r="B1841" s="689">
        <v>48.5</v>
      </c>
      <c r="C1841" s="689">
        <v>49.1</v>
      </c>
      <c r="D1841" s="689">
        <v>49.6</v>
      </c>
      <c r="E1841" s="689">
        <v>49.9</v>
      </c>
      <c r="F1841" s="689">
        <v>50.1</v>
      </c>
      <c r="G1841" s="689">
        <v>50.1</v>
      </c>
      <c r="H1841" s="690" t="s">
        <v>4060</v>
      </c>
      <c r="I1841" s="690" t="s">
        <v>4060</v>
      </c>
      <c r="J1841" s="690" t="s">
        <v>4060</v>
      </c>
      <c r="K1841" s="690" t="s">
        <v>4060</v>
      </c>
    </row>
    <row r="1842" spans="1:11">
      <c r="A1842" s="688" t="s">
        <v>2343</v>
      </c>
      <c r="B1842" s="692" t="s">
        <v>4060</v>
      </c>
      <c r="C1842" s="692" t="s">
        <v>4060</v>
      </c>
      <c r="D1842" s="692" t="s">
        <v>4060</v>
      </c>
      <c r="E1842" s="692" t="s">
        <v>4060</v>
      </c>
      <c r="F1842" s="692" t="s">
        <v>4060</v>
      </c>
      <c r="G1842" s="692" t="s">
        <v>4060</v>
      </c>
      <c r="H1842" s="692" t="s">
        <v>4060</v>
      </c>
      <c r="I1842" s="692" t="s">
        <v>4060</v>
      </c>
      <c r="J1842" s="692" t="s">
        <v>4060</v>
      </c>
      <c r="K1842" s="692" t="s">
        <v>4060</v>
      </c>
    </row>
    <row r="1843" spans="1:11">
      <c r="A1843" s="688" t="s">
        <v>4071</v>
      </c>
      <c r="B1843" s="690" t="s">
        <v>4060</v>
      </c>
      <c r="C1843" s="690" t="s">
        <v>4060</v>
      </c>
      <c r="D1843" s="690" t="s">
        <v>4060</v>
      </c>
      <c r="E1843" s="690" t="s">
        <v>4060</v>
      </c>
      <c r="F1843" s="690" t="s">
        <v>4060</v>
      </c>
      <c r="G1843" s="690" t="s">
        <v>4060</v>
      </c>
      <c r="H1843" s="690" t="s">
        <v>4060</v>
      </c>
      <c r="I1843" s="690" t="s">
        <v>4060</v>
      </c>
      <c r="J1843" s="690" t="s">
        <v>4060</v>
      </c>
      <c r="K1843" s="690" t="s">
        <v>4060</v>
      </c>
    </row>
    <row r="1844" spans="1:11">
      <c r="A1844" s="688" t="s">
        <v>2489</v>
      </c>
      <c r="B1844" s="692" t="s">
        <v>4060</v>
      </c>
      <c r="C1844" s="692" t="s">
        <v>4060</v>
      </c>
      <c r="D1844" s="691">
        <v>51.3</v>
      </c>
      <c r="E1844" s="691">
        <v>51.3</v>
      </c>
      <c r="F1844" s="691">
        <v>51.9</v>
      </c>
      <c r="G1844" s="691">
        <v>52.7</v>
      </c>
      <c r="H1844" s="691">
        <v>52.5</v>
      </c>
      <c r="I1844" s="692" t="s">
        <v>4060</v>
      </c>
      <c r="J1844" s="692" t="s">
        <v>4060</v>
      </c>
      <c r="K1844" s="692" t="s">
        <v>4060</v>
      </c>
    </row>
    <row r="1845" spans="1:11">
      <c r="A1845" s="688" t="s">
        <v>2490</v>
      </c>
      <c r="B1845" s="689">
        <v>51.1</v>
      </c>
      <c r="C1845" s="689">
        <v>51.2</v>
      </c>
      <c r="D1845" s="689">
        <v>51.8</v>
      </c>
      <c r="E1845" s="690" t="s">
        <v>4060</v>
      </c>
      <c r="F1845" s="693">
        <v>52</v>
      </c>
      <c r="G1845" s="689">
        <v>52.4</v>
      </c>
      <c r="H1845" s="689">
        <v>53.1</v>
      </c>
      <c r="I1845" s="690" t="s">
        <v>4060</v>
      </c>
      <c r="J1845" s="690" t="s">
        <v>4060</v>
      </c>
      <c r="K1845" s="690" t="s">
        <v>4060</v>
      </c>
    </row>
    <row r="1847" spans="1:11">
      <c r="A1847" s="683" t="s">
        <v>4233</v>
      </c>
    </row>
    <row r="1848" spans="1:11">
      <c r="A1848" s="683" t="s">
        <v>4060</v>
      </c>
      <c r="B1848" s="682" t="s">
        <v>4234</v>
      </c>
    </row>
    <row r="1850" spans="1:11">
      <c r="A1850" s="682" t="s">
        <v>4248</v>
      </c>
    </row>
    <row r="1851" spans="1:11">
      <c r="A1851" s="682" t="s">
        <v>4210</v>
      </c>
      <c r="B1851" s="683" t="s">
        <v>4211</v>
      </c>
    </row>
    <row r="1852" spans="1:11">
      <c r="A1852" s="682" t="s">
        <v>4212</v>
      </c>
      <c r="B1852" s="682" t="s">
        <v>4213</v>
      </c>
    </row>
    <row r="1854" spans="1:11">
      <c r="A1854" s="683" t="s">
        <v>4214</v>
      </c>
      <c r="C1854" s="682" t="s">
        <v>4215</v>
      </c>
    </row>
    <row r="1855" spans="1:11">
      <c r="A1855" s="683" t="s">
        <v>4216</v>
      </c>
      <c r="C1855" s="682" t="s">
        <v>2967</v>
      </c>
    </row>
    <row r="1856" spans="1:11">
      <c r="A1856" s="683" t="s">
        <v>3893</v>
      </c>
      <c r="C1856" s="682" t="s">
        <v>4217</v>
      </c>
    </row>
    <row r="1857" spans="1:11">
      <c r="A1857" s="683" t="s">
        <v>4218</v>
      </c>
      <c r="C1857" s="682" t="s">
        <v>4261</v>
      </c>
    </row>
    <row r="1859" spans="1:11">
      <c r="A1859" s="684" t="s">
        <v>4220</v>
      </c>
      <c r="B1859" s="685" t="s">
        <v>4221</v>
      </c>
      <c r="C1859" s="685" t="s">
        <v>4222</v>
      </c>
      <c r="D1859" s="685" t="s">
        <v>4223</v>
      </c>
      <c r="E1859" s="685" t="s">
        <v>4224</v>
      </c>
      <c r="F1859" s="685" t="s">
        <v>4225</v>
      </c>
      <c r="G1859" s="685" t="s">
        <v>4226</v>
      </c>
      <c r="H1859" s="685" t="s">
        <v>4227</v>
      </c>
      <c r="I1859" s="685" t="s">
        <v>4228</v>
      </c>
      <c r="J1859" s="685" t="s">
        <v>4229</v>
      </c>
      <c r="K1859" s="685" t="s">
        <v>4230</v>
      </c>
    </row>
    <row r="1860" spans="1:11">
      <c r="A1860" s="686" t="s">
        <v>4231</v>
      </c>
      <c r="B1860" s="687" t="s">
        <v>4232</v>
      </c>
      <c r="C1860" s="687" t="s">
        <v>4232</v>
      </c>
      <c r="D1860" s="687" t="s">
        <v>4232</v>
      </c>
      <c r="E1860" s="687" t="s">
        <v>4232</v>
      </c>
      <c r="F1860" s="687" t="s">
        <v>4232</v>
      </c>
      <c r="G1860" s="687" t="s">
        <v>4232</v>
      </c>
      <c r="H1860" s="687" t="s">
        <v>4232</v>
      </c>
      <c r="I1860" s="687" t="s">
        <v>4232</v>
      </c>
      <c r="J1860" s="687" t="s">
        <v>4232</v>
      </c>
      <c r="K1860" s="687" t="s">
        <v>4232</v>
      </c>
    </row>
    <row r="1861" spans="1:11">
      <c r="A1861" s="688" t="s">
        <v>4064</v>
      </c>
      <c r="B1861" s="689">
        <v>55.1</v>
      </c>
      <c r="C1861" s="689">
        <v>55.2</v>
      </c>
      <c r="D1861" s="689">
        <v>55.2</v>
      </c>
      <c r="E1861" s="689">
        <v>55.3</v>
      </c>
      <c r="F1861" s="689">
        <v>55.3</v>
      </c>
      <c r="G1861" s="689">
        <v>55.4</v>
      </c>
      <c r="H1861" s="689">
        <v>55.7</v>
      </c>
      <c r="I1861" s="689">
        <v>54.8</v>
      </c>
      <c r="J1861" s="689">
        <v>54.5</v>
      </c>
      <c r="K1861" s="689">
        <v>55.1</v>
      </c>
    </row>
    <row r="1862" spans="1:11">
      <c r="A1862" s="688" t="s">
        <v>4065</v>
      </c>
      <c r="B1862" s="691">
        <v>55.2</v>
      </c>
      <c r="C1862" s="691">
        <v>55.5</v>
      </c>
      <c r="D1862" s="691">
        <v>55.2</v>
      </c>
      <c r="E1862" s="691">
        <v>55.6</v>
      </c>
      <c r="F1862" s="691">
        <v>55.6</v>
      </c>
      <c r="G1862" s="691">
        <v>55.6</v>
      </c>
      <c r="H1862" s="692" t="s">
        <v>4060</v>
      </c>
      <c r="I1862" s="692" t="s">
        <v>4060</v>
      </c>
      <c r="J1862" s="692" t="s">
        <v>4060</v>
      </c>
      <c r="K1862" s="692" t="s">
        <v>4060</v>
      </c>
    </row>
    <row r="1863" spans="1:11">
      <c r="A1863" s="688" t="s">
        <v>4063</v>
      </c>
      <c r="B1863" s="689">
        <v>55.2</v>
      </c>
      <c r="C1863" s="689">
        <v>55.6</v>
      </c>
      <c r="D1863" s="689">
        <v>55.3</v>
      </c>
      <c r="E1863" s="689">
        <v>55.6</v>
      </c>
      <c r="F1863" s="689">
        <v>55.6</v>
      </c>
      <c r="G1863" s="689">
        <v>55.7</v>
      </c>
      <c r="H1863" s="690" t="s">
        <v>4060</v>
      </c>
      <c r="I1863" s="690" t="s">
        <v>4060</v>
      </c>
      <c r="J1863" s="690" t="s">
        <v>4060</v>
      </c>
      <c r="K1863" s="690" t="s">
        <v>4060</v>
      </c>
    </row>
    <row r="1864" spans="1:11">
      <c r="A1864" s="688" t="s">
        <v>4069</v>
      </c>
      <c r="B1864" s="692" t="s">
        <v>4060</v>
      </c>
      <c r="C1864" s="691">
        <v>56.2</v>
      </c>
      <c r="D1864" s="691">
        <v>55.9</v>
      </c>
      <c r="E1864" s="691">
        <v>56.3</v>
      </c>
      <c r="F1864" s="691">
        <v>56.3</v>
      </c>
      <c r="G1864" s="691">
        <v>56.4</v>
      </c>
      <c r="H1864" s="691">
        <v>56.7</v>
      </c>
      <c r="I1864" s="615">
        <v>56</v>
      </c>
      <c r="J1864" s="615">
        <v>56</v>
      </c>
      <c r="K1864" s="691">
        <v>56.1</v>
      </c>
    </row>
    <row r="1865" spans="1:11">
      <c r="A1865" s="688" t="s">
        <v>4068</v>
      </c>
      <c r="B1865" s="689">
        <v>56.2</v>
      </c>
      <c r="C1865" s="690" t="s">
        <v>4060</v>
      </c>
      <c r="D1865" s="690" t="s">
        <v>4060</v>
      </c>
      <c r="E1865" s="690" t="s">
        <v>4060</v>
      </c>
      <c r="F1865" s="690" t="s">
        <v>4060</v>
      </c>
      <c r="G1865" s="690" t="s">
        <v>4060</v>
      </c>
      <c r="H1865" s="690" t="s">
        <v>4060</v>
      </c>
      <c r="I1865" s="690" t="s">
        <v>4060</v>
      </c>
      <c r="J1865" s="690" t="s">
        <v>4060</v>
      </c>
      <c r="K1865" s="690" t="s">
        <v>4060</v>
      </c>
    </row>
    <row r="1866" spans="1:11">
      <c r="A1866" s="688" t="s">
        <v>0</v>
      </c>
      <c r="B1866" s="691">
        <v>55.3</v>
      </c>
      <c r="C1866" s="691">
        <v>55.7</v>
      </c>
      <c r="D1866" s="691">
        <v>55.5</v>
      </c>
      <c r="E1866" s="691">
        <v>55.9</v>
      </c>
      <c r="F1866" s="615">
        <v>56</v>
      </c>
      <c r="G1866" s="691">
        <v>56.1</v>
      </c>
      <c r="H1866" s="691">
        <v>56.4</v>
      </c>
      <c r="I1866" s="691">
        <v>55.3</v>
      </c>
      <c r="J1866" s="691">
        <v>56.2</v>
      </c>
      <c r="K1866" s="691">
        <v>56.2</v>
      </c>
    </row>
    <row r="1867" spans="1:11">
      <c r="A1867" s="688" t="s">
        <v>1</v>
      </c>
      <c r="B1867" s="689">
        <v>50.1</v>
      </c>
      <c r="C1867" s="689">
        <v>49.5</v>
      </c>
      <c r="D1867" s="689">
        <v>49.6</v>
      </c>
      <c r="E1867" s="689">
        <v>49.7</v>
      </c>
      <c r="F1867" s="689">
        <v>49.7</v>
      </c>
      <c r="G1867" s="689">
        <v>49.8</v>
      </c>
      <c r="H1867" s="689">
        <v>49.9</v>
      </c>
      <c r="I1867" s="689">
        <v>48.2</v>
      </c>
      <c r="J1867" s="689">
        <v>46.2</v>
      </c>
      <c r="K1867" s="693">
        <v>49</v>
      </c>
    </row>
    <row r="1868" spans="1:11">
      <c r="A1868" s="688" t="s">
        <v>2240</v>
      </c>
      <c r="B1868" s="691">
        <v>52.9</v>
      </c>
      <c r="C1868" s="691">
        <v>53.3</v>
      </c>
      <c r="D1868" s="691">
        <v>53.1</v>
      </c>
      <c r="E1868" s="691">
        <v>53.6</v>
      </c>
      <c r="F1868" s="691">
        <v>53.5</v>
      </c>
      <c r="G1868" s="691">
        <v>53.6</v>
      </c>
      <c r="H1868" s="691">
        <v>53.8</v>
      </c>
      <c r="I1868" s="691">
        <v>52.8</v>
      </c>
      <c r="J1868" s="691">
        <v>51.7</v>
      </c>
      <c r="K1868" s="691">
        <v>53.6</v>
      </c>
    </row>
    <row r="1869" spans="1:11">
      <c r="A1869" s="688" t="s">
        <v>2</v>
      </c>
      <c r="B1869" s="689">
        <v>54.9</v>
      </c>
      <c r="C1869" s="689">
        <v>55.2</v>
      </c>
      <c r="D1869" s="689">
        <v>55.3</v>
      </c>
      <c r="E1869" s="689">
        <v>55.4</v>
      </c>
      <c r="F1869" s="689">
        <v>55.7</v>
      </c>
      <c r="G1869" s="689">
        <v>55.5</v>
      </c>
      <c r="H1869" s="689">
        <v>55.9</v>
      </c>
      <c r="I1869" s="689">
        <v>56.1</v>
      </c>
      <c r="J1869" s="689">
        <v>55.9</v>
      </c>
      <c r="K1869" s="689">
        <v>55.8</v>
      </c>
    </row>
    <row r="1870" spans="1:11">
      <c r="A1870" s="688" t="s">
        <v>3</v>
      </c>
      <c r="B1870" s="691">
        <v>55.2</v>
      </c>
      <c r="C1870" s="691">
        <v>55.5</v>
      </c>
      <c r="D1870" s="691">
        <v>55.1</v>
      </c>
      <c r="E1870" s="691">
        <v>55.4</v>
      </c>
      <c r="F1870" s="691">
        <v>55.5</v>
      </c>
      <c r="G1870" s="691">
        <v>55.4</v>
      </c>
      <c r="H1870" s="691">
        <v>55.7</v>
      </c>
      <c r="I1870" s="691">
        <v>55.5</v>
      </c>
      <c r="J1870" s="691">
        <v>55.2</v>
      </c>
      <c r="K1870" s="691">
        <v>55.1</v>
      </c>
    </row>
    <row r="1871" spans="1:11">
      <c r="A1871" s="688" t="s">
        <v>4061</v>
      </c>
      <c r="B1871" s="689">
        <v>55.2</v>
      </c>
      <c r="C1871" s="689">
        <v>55.5</v>
      </c>
      <c r="D1871" s="689">
        <v>55.1</v>
      </c>
      <c r="E1871" s="689">
        <v>55.4</v>
      </c>
      <c r="F1871" s="689">
        <v>55.5</v>
      </c>
      <c r="G1871" s="689">
        <v>55.4</v>
      </c>
      <c r="H1871" s="689">
        <v>55.7</v>
      </c>
      <c r="I1871" s="689">
        <v>55.5</v>
      </c>
      <c r="J1871" s="689">
        <v>55.2</v>
      </c>
      <c r="K1871" s="689">
        <v>55.1</v>
      </c>
    </row>
    <row r="1872" spans="1:11">
      <c r="A1872" s="688" t="s">
        <v>4</v>
      </c>
      <c r="B1872" s="691">
        <v>52.2</v>
      </c>
      <c r="C1872" s="691">
        <v>51.9</v>
      </c>
      <c r="D1872" s="691">
        <v>52.4</v>
      </c>
      <c r="E1872" s="691">
        <v>52.5</v>
      </c>
      <c r="F1872" s="691">
        <v>52.8</v>
      </c>
      <c r="G1872" s="691">
        <v>52.9</v>
      </c>
      <c r="H1872" s="691">
        <v>53.4</v>
      </c>
      <c r="I1872" s="691">
        <v>53.2</v>
      </c>
      <c r="J1872" s="691">
        <v>51.7</v>
      </c>
      <c r="K1872" s="691">
        <v>52.7</v>
      </c>
    </row>
    <row r="1873" spans="1:11">
      <c r="A1873" s="688" t="s">
        <v>8</v>
      </c>
      <c r="B1873" s="689">
        <v>55.7</v>
      </c>
      <c r="C1873" s="689">
        <v>55.9</v>
      </c>
      <c r="D1873" s="693">
        <v>56</v>
      </c>
      <c r="E1873" s="689">
        <v>56.1</v>
      </c>
      <c r="F1873" s="689">
        <v>56.5</v>
      </c>
      <c r="G1873" s="689">
        <v>56.5</v>
      </c>
      <c r="H1873" s="689">
        <v>56.9</v>
      </c>
      <c r="I1873" s="689">
        <v>56.8</v>
      </c>
      <c r="J1873" s="689">
        <v>56.6</v>
      </c>
      <c r="K1873" s="689">
        <v>56.9</v>
      </c>
    </row>
    <row r="1874" spans="1:11">
      <c r="A1874" s="688" t="s">
        <v>7</v>
      </c>
      <c r="B1874" s="615">
        <v>56</v>
      </c>
      <c r="C1874" s="691">
        <v>55.6</v>
      </c>
      <c r="D1874" s="691">
        <v>55.4</v>
      </c>
      <c r="E1874" s="691">
        <v>55.7</v>
      </c>
      <c r="F1874" s="691">
        <v>55.7</v>
      </c>
      <c r="G1874" s="691">
        <v>56.1</v>
      </c>
      <c r="H1874" s="615">
        <v>56</v>
      </c>
      <c r="I1874" s="691">
        <v>55.7</v>
      </c>
      <c r="J1874" s="691">
        <v>54.7</v>
      </c>
      <c r="K1874" s="691">
        <v>55.4</v>
      </c>
    </row>
    <row r="1875" spans="1:11">
      <c r="A1875" s="688" t="s">
        <v>27</v>
      </c>
      <c r="B1875" s="689">
        <v>57.6</v>
      </c>
      <c r="C1875" s="689">
        <v>57.4</v>
      </c>
      <c r="D1875" s="689">
        <v>57.1</v>
      </c>
      <c r="E1875" s="689">
        <v>57.5</v>
      </c>
      <c r="F1875" s="689">
        <v>57.5</v>
      </c>
      <c r="G1875" s="689">
        <v>57.6</v>
      </c>
      <c r="H1875" s="693">
        <v>58</v>
      </c>
      <c r="I1875" s="689">
        <v>56.7</v>
      </c>
      <c r="J1875" s="689">
        <v>57.5</v>
      </c>
      <c r="K1875" s="689">
        <v>57.5</v>
      </c>
    </row>
    <row r="1876" spans="1:11">
      <c r="A1876" s="688" t="s">
        <v>6</v>
      </c>
      <c r="B1876" s="615">
        <v>57</v>
      </c>
      <c r="C1876" s="615">
        <v>57</v>
      </c>
      <c r="D1876" s="691">
        <v>56.8</v>
      </c>
      <c r="E1876" s="615">
        <v>57</v>
      </c>
      <c r="F1876" s="691">
        <v>57.1</v>
      </c>
      <c r="G1876" s="691">
        <v>57.2</v>
      </c>
      <c r="H1876" s="691">
        <v>57.4</v>
      </c>
      <c r="I1876" s="691">
        <v>56.8</v>
      </c>
      <c r="J1876" s="691">
        <v>56.9</v>
      </c>
      <c r="K1876" s="615">
        <v>57</v>
      </c>
    </row>
    <row r="1877" spans="1:11">
      <c r="A1877" s="688" t="s">
        <v>4058</v>
      </c>
      <c r="B1877" s="690" t="s">
        <v>4060</v>
      </c>
      <c r="C1877" s="690" t="s">
        <v>4060</v>
      </c>
      <c r="D1877" s="690" t="s">
        <v>4060</v>
      </c>
      <c r="E1877" s="690" t="s">
        <v>4060</v>
      </c>
      <c r="F1877" s="690" t="s">
        <v>4060</v>
      </c>
      <c r="G1877" s="690" t="s">
        <v>4060</v>
      </c>
      <c r="H1877" s="690" t="s">
        <v>4060</v>
      </c>
      <c r="I1877" s="690" t="s">
        <v>4060</v>
      </c>
      <c r="J1877" s="690" t="s">
        <v>4060</v>
      </c>
      <c r="K1877" s="690" t="s">
        <v>4060</v>
      </c>
    </row>
    <row r="1878" spans="1:11">
      <c r="A1878" s="688" t="s">
        <v>11</v>
      </c>
      <c r="B1878" s="691">
        <v>52.5</v>
      </c>
      <c r="C1878" s="691">
        <v>52.5</v>
      </c>
      <c r="D1878" s="691">
        <v>52.1</v>
      </c>
      <c r="E1878" s="691">
        <v>52.7</v>
      </c>
      <c r="F1878" s="691">
        <v>52.5</v>
      </c>
      <c r="G1878" s="691">
        <v>52.7</v>
      </c>
      <c r="H1878" s="615">
        <v>53</v>
      </c>
      <c r="I1878" s="691">
        <v>52.3</v>
      </c>
      <c r="J1878" s="691">
        <v>51.2</v>
      </c>
      <c r="K1878" s="691">
        <v>52.4</v>
      </c>
    </row>
    <row r="1879" spans="1:11">
      <c r="A1879" s="688" t="s">
        <v>10</v>
      </c>
      <c r="B1879" s="689">
        <v>57.4</v>
      </c>
      <c r="C1879" s="689">
        <v>57.3</v>
      </c>
      <c r="D1879" s="689">
        <v>56.9</v>
      </c>
      <c r="E1879" s="689">
        <v>57.5</v>
      </c>
      <c r="F1879" s="689">
        <v>57.3</v>
      </c>
      <c r="G1879" s="689">
        <v>57.6</v>
      </c>
      <c r="H1879" s="689">
        <v>57.8</v>
      </c>
      <c r="I1879" s="689">
        <v>56.7</v>
      </c>
      <c r="J1879" s="689">
        <v>57.1</v>
      </c>
      <c r="K1879" s="689">
        <v>57.2</v>
      </c>
    </row>
    <row r="1880" spans="1:11">
      <c r="A1880" s="688" t="s">
        <v>30</v>
      </c>
      <c r="B1880" s="615">
        <v>57</v>
      </c>
      <c r="C1880" s="691">
        <v>56.7</v>
      </c>
      <c r="D1880" s="691">
        <v>56.4</v>
      </c>
      <c r="E1880" s="691">
        <v>57.3</v>
      </c>
      <c r="F1880" s="691">
        <v>56.8</v>
      </c>
      <c r="G1880" s="691">
        <v>57.5</v>
      </c>
      <c r="H1880" s="691">
        <v>57.2</v>
      </c>
      <c r="I1880" s="691">
        <v>57.1</v>
      </c>
      <c r="J1880" s="691">
        <v>56.3</v>
      </c>
      <c r="K1880" s="691">
        <v>56.7</v>
      </c>
    </row>
    <row r="1881" spans="1:11">
      <c r="A1881" s="688" t="s">
        <v>12</v>
      </c>
      <c r="B1881" s="689">
        <v>49.2</v>
      </c>
      <c r="C1881" s="689">
        <v>49.3</v>
      </c>
      <c r="D1881" s="689">
        <v>49.5</v>
      </c>
      <c r="E1881" s="689">
        <v>49.6</v>
      </c>
      <c r="F1881" s="689">
        <v>49.7</v>
      </c>
      <c r="G1881" s="689">
        <v>49.8</v>
      </c>
      <c r="H1881" s="689">
        <v>50.5</v>
      </c>
      <c r="I1881" s="689">
        <v>50.2</v>
      </c>
      <c r="J1881" s="689">
        <v>47.8</v>
      </c>
      <c r="K1881" s="689">
        <v>49.2</v>
      </c>
    </row>
    <row r="1882" spans="1:11">
      <c r="A1882" s="688" t="s">
        <v>14</v>
      </c>
      <c r="B1882" s="691">
        <v>49.1</v>
      </c>
      <c r="C1882" s="691">
        <v>49.6</v>
      </c>
      <c r="D1882" s="691">
        <v>49.4</v>
      </c>
      <c r="E1882" s="691">
        <v>49.6</v>
      </c>
      <c r="F1882" s="691">
        <v>50.4</v>
      </c>
      <c r="G1882" s="691">
        <v>50.7</v>
      </c>
      <c r="H1882" s="691">
        <v>51.1</v>
      </c>
      <c r="I1882" s="691">
        <v>49.8</v>
      </c>
      <c r="J1882" s="615">
        <v>49</v>
      </c>
      <c r="K1882" s="691">
        <v>50.5</v>
      </c>
    </row>
    <row r="1883" spans="1:11">
      <c r="A1883" s="688" t="s">
        <v>15</v>
      </c>
      <c r="B1883" s="689">
        <v>56.5</v>
      </c>
      <c r="C1883" s="689">
        <v>56.4</v>
      </c>
      <c r="D1883" s="689">
        <v>56.5</v>
      </c>
      <c r="E1883" s="689">
        <v>56.8</v>
      </c>
      <c r="F1883" s="689">
        <v>56.4</v>
      </c>
      <c r="G1883" s="689">
        <v>56.6</v>
      </c>
      <c r="H1883" s="689">
        <v>57.1</v>
      </c>
      <c r="I1883" s="689">
        <v>56.7</v>
      </c>
      <c r="J1883" s="693">
        <v>57</v>
      </c>
      <c r="K1883" s="689">
        <v>57.4</v>
      </c>
    </row>
    <row r="1884" spans="1:11">
      <c r="A1884" s="688" t="s">
        <v>29</v>
      </c>
      <c r="B1884" s="691">
        <v>50.5</v>
      </c>
      <c r="C1884" s="691">
        <v>50.5</v>
      </c>
      <c r="D1884" s="691">
        <v>50.3</v>
      </c>
      <c r="E1884" s="691">
        <v>50.7</v>
      </c>
      <c r="F1884" s="691">
        <v>50.5</v>
      </c>
      <c r="G1884" s="691">
        <v>50.6</v>
      </c>
      <c r="H1884" s="691">
        <v>50.9</v>
      </c>
      <c r="I1884" s="691">
        <v>50.1</v>
      </c>
      <c r="J1884" s="691">
        <v>48.7</v>
      </c>
      <c r="K1884" s="691">
        <v>50.5</v>
      </c>
    </row>
    <row r="1885" spans="1:11">
      <c r="A1885" s="688" t="s">
        <v>16</v>
      </c>
      <c r="B1885" s="689">
        <v>56.6</v>
      </c>
      <c r="C1885" s="689">
        <v>56.5</v>
      </c>
      <c r="D1885" s="689">
        <v>56.5</v>
      </c>
      <c r="E1885" s="693">
        <v>57</v>
      </c>
      <c r="F1885" s="689">
        <v>56.9</v>
      </c>
      <c r="G1885" s="689">
        <v>56.8</v>
      </c>
      <c r="H1885" s="689">
        <v>57.3</v>
      </c>
      <c r="I1885" s="689">
        <v>56.5</v>
      </c>
      <c r="J1885" s="689">
        <v>56.6</v>
      </c>
      <c r="K1885" s="689">
        <v>56.8</v>
      </c>
    </row>
    <row r="1886" spans="1:11">
      <c r="A1886" s="688" t="s">
        <v>17</v>
      </c>
      <c r="B1886" s="615">
        <v>56</v>
      </c>
      <c r="C1886" s="691">
        <v>56.2</v>
      </c>
      <c r="D1886" s="615">
        <v>56</v>
      </c>
      <c r="E1886" s="691">
        <v>56.1</v>
      </c>
      <c r="F1886" s="691">
        <v>56.3</v>
      </c>
      <c r="G1886" s="691">
        <v>56.3</v>
      </c>
      <c r="H1886" s="691">
        <v>56.6</v>
      </c>
      <c r="I1886" s="691">
        <v>55.9</v>
      </c>
      <c r="J1886" s="691">
        <v>55.9</v>
      </c>
      <c r="K1886" s="691">
        <v>56.2</v>
      </c>
    </row>
    <row r="1887" spans="1:11">
      <c r="A1887" s="688" t="s">
        <v>19</v>
      </c>
      <c r="B1887" s="689">
        <v>55.9</v>
      </c>
      <c r="C1887" s="693">
        <v>56</v>
      </c>
      <c r="D1887" s="689">
        <v>55.8</v>
      </c>
      <c r="E1887" s="689">
        <v>56.2</v>
      </c>
      <c r="F1887" s="689">
        <v>56.2</v>
      </c>
      <c r="G1887" s="689">
        <v>56.2</v>
      </c>
      <c r="H1887" s="689">
        <v>56.5</v>
      </c>
      <c r="I1887" s="689">
        <v>55.9</v>
      </c>
      <c r="J1887" s="689">
        <v>55.8</v>
      </c>
      <c r="K1887" s="693">
        <v>56</v>
      </c>
    </row>
    <row r="1888" spans="1:11">
      <c r="A1888" s="688" t="s">
        <v>20</v>
      </c>
      <c r="B1888" s="691">
        <v>51.9</v>
      </c>
      <c r="C1888" s="691">
        <v>52.3</v>
      </c>
      <c r="D1888" s="691">
        <v>52.1</v>
      </c>
      <c r="E1888" s="691">
        <v>52.5</v>
      </c>
      <c r="F1888" s="691">
        <v>52.4</v>
      </c>
      <c r="G1888" s="691">
        <v>52.3</v>
      </c>
      <c r="H1888" s="691">
        <v>52.6</v>
      </c>
      <c r="I1888" s="691">
        <v>51.1</v>
      </c>
      <c r="J1888" s="691">
        <v>50.1</v>
      </c>
      <c r="K1888" s="691">
        <v>51.8</v>
      </c>
    </row>
    <row r="1889" spans="1:11">
      <c r="A1889" s="688" t="s">
        <v>21</v>
      </c>
      <c r="B1889" s="689">
        <v>55.5</v>
      </c>
      <c r="C1889" s="689">
        <v>55.8</v>
      </c>
      <c r="D1889" s="689">
        <v>55.9</v>
      </c>
      <c r="E1889" s="689">
        <v>55.9</v>
      </c>
      <c r="F1889" s="689">
        <v>56.2</v>
      </c>
      <c r="G1889" s="689">
        <v>56.2</v>
      </c>
      <c r="H1889" s="689">
        <v>56.5</v>
      </c>
      <c r="I1889" s="689">
        <v>55.9</v>
      </c>
      <c r="J1889" s="689">
        <v>55.9</v>
      </c>
      <c r="K1889" s="689">
        <v>56.2</v>
      </c>
    </row>
    <row r="1890" spans="1:11">
      <c r="A1890" s="688" t="s">
        <v>22</v>
      </c>
      <c r="B1890" s="691">
        <v>50.4</v>
      </c>
      <c r="C1890" s="691">
        <v>50.1</v>
      </c>
      <c r="D1890" s="615">
        <v>50</v>
      </c>
      <c r="E1890" s="691">
        <v>50.2</v>
      </c>
      <c r="F1890" s="691">
        <v>50.2</v>
      </c>
      <c r="G1890" s="691">
        <v>50.2</v>
      </c>
      <c r="H1890" s="691">
        <v>50.5</v>
      </c>
      <c r="I1890" s="615">
        <v>49</v>
      </c>
      <c r="J1890" s="691">
        <v>47.6</v>
      </c>
      <c r="K1890" s="615">
        <v>50</v>
      </c>
    </row>
    <row r="1891" spans="1:11">
      <c r="A1891" s="688" t="s">
        <v>26</v>
      </c>
      <c r="B1891" s="693">
        <v>55</v>
      </c>
      <c r="C1891" s="689">
        <v>55.3</v>
      </c>
      <c r="D1891" s="689">
        <v>55.1</v>
      </c>
      <c r="E1891" s="689">
        <v>55.5</v>
      </c>
      <c r="F1891" s="689">
        <v>55.4</v>
      </c>
      <c r="G1891" s="689">
        <v>55.7</v>
      </c>
      <c r="H1891" s="689">
        <v>55.8</v>
      </c>
      <c r="I1891" s="689">
        <v>54.9</v>
      </c>
      <c r="J1891" s="693">
        <v>55</v>
      </c>
      <c r="K1891" s="689">
        <v>55.6</v>
      </c>
    </row>
    <row r="1892" spans="1:11">
      <c r="A1892" s="688" t="s">
        <v>25</v>
      </c>
      <c r="B1892" s="691">
        <v>51.5</v>
      </c>
      <c r="C1892" s="691">
        <v>51.8</v>
      </c>
      <c r="D1892" s="691">
        <v>51.5</v>
      </c>
      <c r="E1892" s="691">
        <v>52.1</v>
      </c>
      <c r="F1892" s="615">
        <v>52</v>
      </c>
      <c r="G1892" s="691">
        <v>52.1</v>
      </c>
      <c r="H1892" s="691">
        <v>52.6</v>
      </c>
      <c r="I1892" s="691">
        <v>51.8</v>
      </c>
      <c r="J1892" s="691">
        <v>49.4</v>
      </c>
      <c r="K1892" s="691">
        <v>51.8</v>
      </c>
    </row>
    <row r="1893" spans="1:11">
      <c r="A1893" s="688" t="s">
        <v>5</v>
      </c>
      <c r="B1893" s="689">
        <v>55.6</v>
      </c>
      <c r="C1893" s="689">
        <v>55.6</v>
      </c>
      <c r="D1893" s="689">
        <v>55.9</v>
      </c>
      <c r="E1893" s="689">
        <v>55.8</v>
      </c>
      <c r="F1893" s="689">
        <v>56.1</v>
      </c>
      <c r="G1893" s="689">
        <v>56.2</v>
      </c>
      <c r="H1893" s="689">
        <v>56.5</v>
      </c>
      <c r="I1893" s="689">
        <v>56.4</v>
      </c>
      <c r="J1893" s="689">
        <v>56.4</v>
      </c>
      <c r="K1893" s="689">
        <v>55.8</v>
      </c>
    </row>
    <row r="1894" spans="1:11">
      <c r="A1894" s="688" t="s">
        <v>23</v>
      </c>
      <c r="B1894" s="691">
        <v>56.5</v>
      </c>
      <c r="C1894" s="691">
        <v>56.7</v>
      </c>
      <c r="D1894" s="691">
        <v>56.7</v>
      </c>
      <c r="E1894" s="691">
        <v>56.9</v>
      </c>
      <c r="F1894" s="615">
        <v>57</v>
      </c>
      <c r="G1894" s="691">
        <v>57.1</v>
      </c>
      <c r="H1894" s="691">
        <v>57.6</v>
      </c>
      <c r="I1894" s="615">
        <v>57</v>
      </c>
      <c r="J1894" s="691">
        <v>57.5</v>
      </c>
      <c r="K1894" s="691">
        <v>57.5</v>
      </c>
    </row>
    <row r="1895" spans="1:11">
      <c r="A1895" s="688" t="s">
        <v>4067</v>
      </c>
      <c r="B1895" s="689">
        <v>55.2</v>
      </c>
      <c r="C1895" s="689">
        <v>55.6</v>
      </c>
      <c r="D1895" s="689">
        <v>55.2</v>
      </c>
      <c r="E1895" s="689">
        <v>55.6</v>
      </c>
      <c r="F1895" s="689">
        <v>55.6</v>
      </c>
      <c r="G1895" s="689">
        <v>55.6</v>
      </c>
      <c r="H1895" s="690" t="s">
        <v>4060</v>
      </c>
      <c r="I1895" s="690" t="s">
        <v>4060</v>
      </c>
      <c r="J1895" s="690" t="s">
        <v>4060</v>
      </c>
      <c r="K1895" s="690" t="s">
        <v>4060</v>
      </c>
    </row>
    <row r="1896" spans="1:11">
      <c r="A1896" s="688" t="s">
        <v>4066</v>
      </c>
      <c r="B1896" s="691">
        <v>55.2</v>
      </c>
      <c r="C1896" s="691">
        <v>55.6</v>
      </c>
      <c r="D1896" s="691">
        <v>55.3</v>
      </c>
      <c r="E1896" s="691">
        <v>55.6</v>
      </c>
      <c r="F1896" s="691">
        <v>55.6</v>
      </c>
      <c r="G1896" s="691">
        <v>55.7</v>
      </c>
      <c r="H1896" s="692" t="s">
        <v>4060</v>
      </c>
      <c r="I1896" s="692" t="s">
        <v>4060</v>
      </c>
      <c r="J1896" s="692" t="s">
        <v>4060</v>
      </c>
      <c r="K1896" s="692" t="s">
        <v>4060</v>
      </c>
    </row>
    <row r="1897" spans="1:11">
      <c r="A1897" s="688" t="s">
        <v>4062</v>
      </c>
      <c r="B1897" s="689">
        <v>57.1</v>
      </c>
      <c r="C1897" s="689">
        <v>57.3</v>
      </c>
      <c r="D1897" s="689">
        <v>57.2</v>
      </c>
      <c r="E1897" s="689">
        <v>57.6</v>
      </c>
      <c r="F1897" s="689">
        <v>57.7</v>
      </c>
      <c r="G1897" s="689">
        <v>57.8</v>
      </c>
      <c r="H1897" s="693">
        <v>58</v>
      </c>
      <c r="I1897" s="689">
        <v>57.6</v>
      </c>
      <c r="J1897" s="693">
        <v>58</v>
      </c>
      <c r="K1897" s="689">
        <v>57.7</v>
      </c>
    </row>
    <row r="1898" spans="1:11">
      <c r="A1898" s="688" t="s">
        <v>9</v>
      </c>
      <c r="B1898" s="691">
        <v>56.6</v>
      </c>
      <c r="C1898" s="691">
        <v>57.1</v>
      </c>
      <c r="D1898" s="691">
        <v>56.9</v>
      </c>
      <c r="E1898" s="691">
        <v>56.5</v>
      </c>
      <c r="F1898" s="615">
        <v>57</v>
      </c>
      <c r="G1898" s="691">
        <v>57.1</v>
      </c>
      <c r="H1898" s="691">
        <v>57.3</v>
      </c>
      <c r="I1898" s="691">
        <v>57.4</v>
      </c>
      <c r="J1898" s="691">
        <v>57.6</v>
      </c>
      <c r="K1898" s="691">
        <v>56.5</v>
      </c>
    </row>
    <row r="1899" spans="1:11">
      <c r="A1899" s="688" t="s">
        <v>13</v>
      </c>
      <c r="B1899" s="689">
        <v>57.1</v>
      </c>
      <c r="C1899" s="689">
        <v>56.5</v>
      </c>
      <c r="D1899" s="689">
        <v>57.3</v>
      </c>
      <c r="E1899" s="689">
        <v>56.8</v>
      </c>
      <c r="F1899" s="689">
        <v>57.8</v>
      </c>
      <c r="G1899" s="689">
        <v>57.4</v>
      </c>
      <c r="H1899" s="689">
        <v>58.1</v>
      </c>
      <c r="I1899" s="689">
        <v>57.3</v>
      </c>
      <c r="J1899" s="689">
        <v>58.4</v>
      </c>
      <c r="K1899" s="689">
        <v>58.6</v>
      </c>
    </row>
    <row r="1900" spans="1:11">
      <c r="A1900" s="688" t="s">
        <v>18</v>
      </c>
      <c r="B1900" s="691">
        <v>56.3</v>
      </c>
      <c r="C1900" s="691">
        <v>56.6</v>
      </c>
      <c r="D1900" s="691">
        <v>56.8</v>
      </c>
      <c r="E1900" s="691">
        <v>56.9</v>
      </c>
      <c r="F1900" s="691">
        <v>57.1</v>
      </c>
      <c r="G1900" s="691">
        <v>57.2</v>
      </c>
      <c r="H1900" s="691">
        <v>57.5</v>
      </c>
      <c r="I1900" s="691">
        <v>57.7</v>
      </c>
      <c r="J1900" s="691">
        <v>57.6</v>
      </c>
      <c r="K1900" s="691">
        <v>57.1</v>
      </c>
    </row>
    <row r="1901" spans="1:11">
      <c r="A1901" s="688" t="s">
        <v>24</v>
      </c>
      <c r="B1901" s="689">
        <v>57.5</v>
      </c>
      <c r="C1901" s="689">
        <v>57.7</v>
      </c>
      <c r="D1901" s="689">
        <v>57.5</v>
      </c>
      <c r="E1901" s="693">
        <v>58</v>
      </c>
      <c r="F1901" s="693">
        <v>58</v>
      </c>
      <c r="G1901" s="689">
        <v>58.2</v>
      </c>
      <c r="H1901" s="689">
        <v>58.3</v>
      </c>
      <c r="I1901" s="689">
        <v>57.7</v>
      </c>
      <c r="J1901" s="689">
        <v>58.2</v>
      </c>
      <c r="K1901" s="689">
        <v>58.1</v>
      </c>
    </row>
    <row r="1902" spans="1:11">
      <c r="A1902" s="688" t="s">
        <v>4059</v>
      </c>
      <c r="B1902" s="691">
        <v>55.7</v>
      </c>
      <c r="C1902" s="615">
        <v>56</v>
      </c>
      <c r="D1902" s="691">
        <v>55.7</v>
      </c>
      <c r="E1902" s="691">
        <v>55.9</v>
      </c>
      <c r="F1902" s="691">
        <v>55.9</v>
      </c>
      <c r="G1902" s="691">
        <v>55.9</v>
      </c>
      <c r="H1902" s="692" t="s">
        <v>4060</v>
      </c>
      <c r="I1902" s="692" t="s">
        <v>4060</v>
      </c>
      <c r="J1902" s="692" t="s">
        <v>4060</v>
      </c>
      <c r="K1902" s="692" t="s">
        <v>4060</v>
      </c>
    </row>
    <row r="1903" spans="1:11">
      <c r="A1903" s="688" t="s">
        <v>2324</v>
      </c>
      <c r="B1903" s="689">
        <v>51.3</v>
      </c>
      <c r="C1903" s="689">
        <v>51.3</v>
      </c>
      <c r="D1903" s="689">
        <v>51.1</v>
      </c>
      <c r="E1903" s="689">
        <v>51.1</v>
      </c>
      <c r="F1903" s="689">
        <v>51.1</v>
      </c>
      <c r="G1903" s="689">
        <v>51.4</v>
      </c>
      <c r="H1903" s="689">
        <v>51.3</v>
      </c>
      <c r="I1903" s="689">
        <v>50.5</v>
      </c>
      <c r="J1903" s="689">
        <v>48.2</v>
      </c>
      <c r="K1903" s="690" t="s">
        <v>4060</v>
      </c>
    </row>
    <row r="1904" spans="1:11">
      <c r="A1904" s="688" t="s">
        <v>2322</v>
      </c>
      <c r="B1904" s="692" t="s">
        <v>4060</v>
      </c>
      <c r="C1904" s="692" t="s">
        <v>4060</v>
      </c>
      <c r="D1904" s="692" t="s">
        <v>4060</v>
      </c>
      <c r="E1904" s="692" t="s">
        <v>4060</v>
      </c>
      <c r="F1904" s="692" t="s">
        <v>4060</v>
      </c>
      <c r="G1904" s="692" t="s">
        <v>4060</v>
      </c>
      <c r="H1904" s="692" t="s">
        <v>4060</v>
      </c>
      <c r="I1904" s="692" t="s">
        <v>4060</v>
      </c>
      <c r="J1904" s="692" t="s">
        <v>4060</v>
      </c>
      <c r="K1904" s="692" t="s">
        <v>4060</v>
      </c>
    </row>
    <row r="1905" spans="1:11">
      <c r="A1905" s="688" t="s">
        <v>2328</v>
      </c>
      <c r="B1905" s="689">
        <v>50.6</v>
      </c>
      <c r="C1905" s="689">
        <v>50.6</v>
      </c>
      <c r="D1905" s="689">
        <v>50.5</v>
      </c>
      <c r="E1905" s="689">
        <v>50.7</v>
      </c>
      <c r="F1905" s="689">
        <v>51.1</v>
      </c>
      <c r="G1905" s="689">
        <v>51.4</v>
      </c>
      <c r="H1905" s="689">
        <v>51.4</v>
      </c>
      <c r="I1905" s="689">
        <v>49.1</v>
      </c>
      <c r="J1905" s="689">
        <v>47.9</v>
      </c>
      <c r="K1905" s="690" t="s">
        <v>4060</v>
      </c>
    </row>
    <row r="1906" spans="1:11">
      <c r="A1906" s="688" t="s">
        <v>2496</v>
      </c>
      <c r="B1906" s="692" t="s">
        <v>4060</v>
      </c>
      <c r="C1906" s="691">
        <v>49.5</v>
      </c>
      <c r="D1906" s="691">
        <v>48.4</v>
      </c>
      <c r="E1906" s="691">
        <v>48.1</v>
      </c>
      <c r="F1906" s="691">
        <v>48.9</v>
      </c>
      <c r="G1906" s="691">
        <v>49.2</v>
      </c>
      <c r="H1906" s="691">
        <v>49.3</v>
      </c>
      <c r="I1906" s="692" t="s">
        <v>4060</v>
      </c>
      <c r="J1906" s="692" t="s">
        <v>4060</v>
      </c>
      <c r="K1906" s="691">
        <v>48.8</v>
      </c>
    </row>
    <row r="1907" spans="1:11">
      <c r="A1907" s="688" t="s">
        <v>2269</v>
      </c>
      <c r="B1907" s="689">
        <v>53.3</v>
      </c>
      <c r="C1907" s="689">
        <v>53.4</v>
      </c>
      <c r="D1907" s="689">
        <v>53.1</v>
      </c>
      <c r="E1907" s="689">
        <v>53.7</v>
      </c>
      <c r="F1907" s="689">
        <v>53.6</v>
      </c>
      <c r="G1907" s="689">
        <v>54.1</v>
      </c>
      <c r="H1907" s="689">
        <v>54.3</v>
      </c>
      <c r="I1907" s="689">
        <v>52.4</v>
      </c>
      <c r="J1907" s="689">
        <v>50.6</v>
      </c>
      <c r="K1907" s="693">
        <v>54</v>
      </c>
    </row>
    <row r="1908" spans="1:11">
      <c r="A1908" s="688" t="s">
        <v>2349</v>
      </c>
      <c r="B1908" s="691">
        <v>50.1</v>
      </c>
      <c r="C1908" s="691">
        <v>50.2</v>
      </c>
      <c r="D1908" s="691">
        <v>50.1</v>
      </c>
      <c r="E1908" s="691">
        <v>50.5</v>
      </c>
      <c r="F1908" s="691">
        <v>50.4</v>
      </c>
      <c r="G1908" s="691">
        <v>50.7</v>
      </c>
      <c r="H1908" s="691">
        <v>50.7</v>
      </c>
      <c r="I1908" s="691">
        <v>49.2</v>
      </c>
      <c r="J1908" s="691">
        <v>47.5</v>
      </c>
      <c r="K1908" s="691">
        <v>49.9</v>
      </c>
    </row>
    <row r="1909" spans="1:11">
      <c r="A1909" s="688" t="s">
        <v>2355</v>
      </c>
      <c r="B1909" s="689">
        <v>53.8</v>
      </c>
      <c r="C1909" s="689">
        <v>53.7</v>
      </c>
      <c r="D1909" s="689">
        <v>53.7</v>
      </c>
      <c r="E1909" s="689">
        <v>53.6</v>
      </c>
      <c r="F1909" s="689">
        <v>53.9</v>
      </c>
      <c r="G1909" s="689">
        <v>54.2</v>
      </c>
      <c r="H1909" s="689">
        <v>54.4</v>
      </c>
      <c r="I1909" s="690" t="s">
        <v>4060</v>
      </c>
      <c r="J1909" s="690" t="s">
        <v>4060</v>
      </c>
      <c r="K1909" s="690" t="s">
        <v>4060</v>
      </c>
    </row>
    <row r="1910" spans="1:11">
      <c r="A1910" s="688" t="s">
        <v>2357</v>
      </c>
      <c r="B1910" s="692" t="s">
        <v>4060</v>
      </c>
      <c r="C1910" s="691">
        <v>47.1</v>
      </c>
      <c r="D1910" s="691">
        <v>47.7</v>
      </c>
      <c r="E1910" s="691">
        <v>48.1</v>
      </c>
      <c r="F1910" s="691">
        <v>48.4</v>
      </c>
      <c r="G1910" s="691">
        <v>48.2</v>
      </c>
      <c r="H1910" s="691">
        <v>48.5</v>
      </c>
      <c r="I1910" s="692" t="s">
        <v>4060</v>
      </c>
      <c r="J1910" s="692" t="s">
        <v>4060</v>
      </c>
      <c r="K1910" s="692" t="s">
        <v>4060</v>
      </c>
    </row>
    <row r="1911" spans="1:11">
      <c r="A1911" s="688" t="s">
        <v>4070</v>
      </c>
      <c r="B1911" s="690" t="s">
        <v>4060</v>
      </c>
      <c r="C1911" s="690" t="s">
        <v>4060</v>
      </c>
      <c r="D1911" s="690" t="s">
        <v>4060</v>
      </c>
      <c r="E1911" s="689">
        <v>53.4</v>
      </c>
      <c r="F1911" s="690" t="s">
        <v>4060</v>
      </c>
      <c r="G1911" s="690" t="s">
        <v>4060</v>
      </c>
      <c r="H1911" s="690" t="s">
        <v>4060</v>
      </c>
      <c r="I1911" s="690" t="s">
        <v>4060</v>
      </c>
      <c r="J1911" s="690" t="s">
        <v>4060</v>
      </c>
      <c r="K1911" s="690" t="s">
        <v>4060</v>
      </c>
    </row>
    <row r="1912" spans="1:11">
      <c r="A1912" s="688" t="s">
        <v>2491</v>
      </c>
      <c r="B1912" s="691">
        <v>47.6</v>
      </c>
      <c r="C1912" s="691">
        <v>48.2</v>
      </c>
      <c r="D1912" s="691">
        <v>48.7</v>
      </c>
      <c r="E1912" s="615">
        <v>49</v>
      </c>
      <c r="F1912" s="691">
        <v>49.1</v>
      </c>
      <c r="G1912" s="691">
        <v>49.1</v>
      </c>
      <c r="H1912" s="692" t="s">
        <v>4060</v>
      </c>
      <c r="I1912" s="692" t="s">
        <v>4060</v>
      </c>
      <c r="J1912" s="692" t="s">
        <v>4060</v>
      </c>
      <c r="K1912" s="692" t="s">
        <v>4060</v>
      </c>
    </row>
    <row r="1913" spans="1:11">
      <c r="A1913" s="688" t="s">
        <v>2343</v>
      </c>
      <c r="B1913" s="690" t="s">
        <v>4060</v>
      </c>
      <c r="C1913" s="690" t="s">
        <v>4060</v>
      </c>
      <c r="D1913" s="690" t="s">
        <v>4060</v>
      </c>
      <c r="E1913" s="690" t="s">
        <v>4060</v>
      </c>
      <c r="F1913" s="690" t="s">
        <v>4060</v>
      </c>
      <c r="G1913" s="690" t="s">
        <v>4060</v>
      </c>
      <c r="H1913" s="690" t="s">
        <v>4060</v>
      </c>
      <c r="I1913" s="690" t="s">
        <v>4060</v>
      </c>
      <c r="J1913" s="690" t="s">
        <v>4060</v>
      </c>
      <c r="K1913" s="690" t="s">
        <v>4060</v>
      </c>
    </row>
    <row r="1914" spans="1:11">
      <c r="A1914" s="688" t="s">
        <v>4071</v>
      </c>
      <c r="B1914" s="692" t="s">
        <v>4060</v>
      </c>
      <c r="C1914" s="692" t="s">
        <v>4060</v>
      </c>
      <c r="D1914" s="692" t="s">
        <v>4060</v>
      </c>
      <c r="E1914" s="692" t="s">
        <v>4060</v>
      </c>
      <c r="F1914" s="692" t="s">
        <v>4060</v>
      </c>
      <c r="G1914" s="692" t="s">
        <v>4060</v>
      </c>
      <c r="H1914" s="692" t="s">
        <v>4060</v>
      </c>
      <c r="I1914" s="692" t="s">
        <v>4060</v>
      </c>
      <c r="J1914" s="692" t="s">
        <v>4060</v>
      </c>
      <c r="K1914" s="692" t="s">
        <v>4060</v>
      </c>
    </row>
    <row r="1915" spans="1:11">
      <c r="A1915" s="688" t="s">
        <v>2489</v>
      </c>
      <c r="B1915" s="690" t="s">
        <v>4060</v>
      </c>
      <c r="C1915" s="690" t="s">
        <v>4060</v>
      </c>
      <c r="D1915" s="689">
        <v>50.3</v>
      </c>
      <c r="E1915" s="689">
        <v>50.4</v>
      </c>
      <c r="F1915" s="693">
        <v>51</v>
      </c>
      <c r="G1915" s="689">
        <v>51.7</v>
      </c>
      <c r="H1915" s="689">
        <v>51.6</v>
      </c>
      <c r="I1915" s="690" t="s">
        <v>4060</v>
      </c>
      <c r="J1915" s="690" t="s">
        <v>4060</v>
      </c>
      <c r="K1915" s="690" t="s">
        <v>4060</v>
      </c>
    </row>
    <row r="1916" spans="1:11">
      <c r="A1916" s="688" t="s">
        <v>2490</v>
      </c>
      <c r="B1916" s="691">
        <v>50.2</v>
      </c>
      <c r="C1916" s="691">
        <v>50.3</v>
      </c>
      <c r="D1916" s="691">
        <v>50.9</v>
      </c>
      <c r="E1916" s="692" t="s">
        <v>4060</v>
      </c>
      <c r="F1916" s="691">
        <v>51.1</v>
      </c>
      <c r="G1916" s="691">
        <v>51.4</v>
      </c>
      <c r="H1916" s="691">
        <v>52.2</v>
      </c>
      <c r="I1916" s="692" t="s">
        <v>4060</v>
      </c>
      <c r="J1916" s="692" t="s">
        <v>4060</v>
      </c>
      <c r="K1916" s="692" t="s">
        <v>4060</v>
      </c>
    </row>
    <row r="1918" spans="1:11">
      <c r="A1918" s="683" t="s">
        <v>4233</v>
      </c>
    </row>
    <row r="1919" spans="1:11">
      <c r="A1919" s="683" t="s">
        <v>4060</v>
      </c>
      <c r="B1919" s="682" t="s">
        <v>4234</v>
      </c>
    </row>
    <row r="1921" spans="1:11">
      <c r="A1921" s="682" t="s">
        <v>4248</v>
      </c>
    </row>
    <row r="1922" spans="1:11">
      <c r="A1922" s="682" t="s">
        <v>4210</v>
      </c>
      <c r="B1922" s="683" t="s">
        <v>4211</v>
      </c>
    </row>
    <row r="1923" spans="1:11">
      <c r="A1923" s="682" t="s">
        <v>4212</v>
      </c>
      <c r="B1923" s="682" t="s">
        <v>4213</v>
      </c>
    </row>
    <row r="1925" spans="1:11">
      <c r="A1925" s="683" t="s">
        <v>4214</v>
      </c>
      <c r="C1925" s="682" t="s">
        <v>4215</v>
      </c>
    </row>
    <row r="1926" spans="1:11">
      <c r="A1926" s="683" t="s">
        <v>4216</v>
      </c>
      <c r="C1926" s="682" t="s">
        <v>2967</v>
      </c>
    </row>
    <row r="1927" spans="1:11">
      <c r="A1927" s="683" t="s">
        <v>3893</v>
      </c>
      <c r="C1927" s="682" t="s">
        <v>4217</v>
      </c>
    </row>
    <row r="1928" spans="1:11">
      <c r="A1928" s="683" t="s">
        <v>4218</v>
      </c>
      <c r="C1928" s="682" t="s">
        <v>4262</v>
      </c>
    </row>
    <row r="1930" spans="1:11">
      <c r="A1930" s="684" t="s">
        <v>4220</v>
      </c>
      <c r="B1930" s="685" t="s">
        <v>4221</v>
      </c>
      <c r="C1930" s="685" t="s">
        <v>4222</v>
      </c>
      <c r="D1930" s="685" t="s">
        <v>4223</v>
      </c>
      <c r="E1930" s="685" t="s">
        <v>4224</v>
      </c>
      <c r="F1930" s="685" t="s">
        <v>4225</v>
      </c>
      <c r="G1930" s="685" t="s">
        <v>4226</v>
      </c>
      <c r="H1930" s="685" t="s">
        <v>4227</v>
      </c>
      <c r="I1930" s="685" t="s">
        <v>4228</v>
      </c>
      <c r="J1930" s="685" t="s">
        <v>4229</v>
      </c>
      <c r="K1930" s="685" t="s">
        <v>4230</v>
      </c>
    </row>
    <row r="1931" spans="1:11">
      <c r="A1931" s="686" t="s">
        <v>4231</v>
      </c>
      <c r="B1931" s="687" t="s">
        <v>4232</v>
      </c>
      <c r="C1931" s="687" t="s">
        <v>4232</v>
      </c>
      <c r="D1931" s="687" t="s">
        <v>4232</v>
      </c>
      <c r="E1931" s="687" t="s">
        <v>4232</v>
      </c>
      <c r="F1931" s="687" t="s">
        <v>4232</v>
      </c>
      <c r="G1931" s="687" t="s">
        <v>4232</v>
      </c>
      <c r="H1931" s="687" t="s">
        <v>4232</v>
      </c>
      <c r="I1931" s="687" t="s">
        <v>4232</v>
      </c>
      <c r="J1931" s="687" t="s">
        <v>4232</v>
      </c>
      <c r="K1931" s="687" t="s">
        <v>4232</v>
      </c>
    </row>
    <row r="1932" spans="1:11">
      <c r="A1932" s="688" t="s">
        <v>4064</v>
      </c>
      <c r="B1932" s="691">
        <v>54.2</v>
      </c>
      <c r="C1932" s="691">
        <v>54.2</v>
      </c>
      <c r="D1932" s="691">
        <v>54.2</v>
      </c>
      <c r="E1932" s="691">
        <v>54.3</v>
      </c>
      <c r="F1932" s="691">
        <v>54.3</v>
      </c>
      <c r="G1932" s="691">
        <v>54.4</v>
      </c>
      <c r="H1932" s="691">
        <v>54.7</v>
      </c>
      <c r="I1932" s="691">
        <v>53.9</v>
      </c>
      <c r="J1932" s="691">
        <v>53.6</v>
      </c>
      <c r="K1932" s="691">
        <v>54.2</v>
      </c>
    </row>
    <row r="1933" spans="1:11">
      <c r="A1933" s="688" t="s">
        <v>4065</v>
      </c>
      <c r="B1933" s="689">
        <v>54.2</v>
      </c>
      <c r="C1933" s="689">
        <v>54.6</v>
      </c>
      <c r="D1933" s="689">
        <v>54.3</v>
      </c>
      <c r="E1933" s="689">
        <v>54.6</v>
      </c>
      <c r="F1933" s="689">
        <v>54.6</v>
      </c>
      <c r="G1933" s="689">
        <v>54.7</v>
      </c>
      <c r="H1933" s="690" t="s">
        <v>4060</v>
      </c>
      <c r="I1933" s="690" t="s">
        <v>4060</v>
      </c>
      <c r="J1933" s="690" t="s">
        <v>4060</v>
      </c>
      <c r="K1933" s="690" t="s">
        <v>4060</v>
      </c>
    </row>
    <row r="1934" spans="1:11">
      <c r="A1934" s="688" t="s">
        <v>4063</v>
      </c>
      <c r="B1934" s="691">
        <v>54.2</v>
      </c>
      <c r="C1934" s="691">
        <v>54.6</v>
      </c>
      <c r="D1934" s="691">
        <v>54.3</v>
      </c>
      <c r="E1934" s="691">
        <v>54.6</v>
      </c>
      <c r="F1934" s="691">
        <v>54.6</v>
      </c>
      <c r="G1934" s="691">
        <v>54.7</v>
      </c>
      <c r="H1934" s="692" t="s">
        <v>4060</v>
      </c>
      <c r="I1934" s="692" t="s">
        <v>4060</v>
      </c>
      <c r="J1934" s="692" t="s">
        <v>4060</v>
      </c>
      <c r="K1934" s="692" t="s">
        <v>4060</v>
      </c>
    </row>
    <row r="1935" spans="1:11">
      <c r="A1935" s="688" t="s">
        <v>4069</v>
      </c>
      <c r="B1935" s="690" t="s">
        <v>4060</v>
      </c>
      <c r="C1935" s="689">
        <v>55.2</v>
      </c>
      <c r="D1935" s="689">
        <v>54.9</v>
      </c>
      <c r="E1935" s="689">
        <v>55.3</v>
      </c>
      <c r="F1935" s="689">
        <v>55.3</v>
      </c>
      <c r="G1935" s="689">
        <v>55.4</v>
      </c>
      <c r="H1935" s="689">
        <v>55.7</v>
      </c>
      <c r="I1935" s="693">
        <v>55</v>
      </c>
      <c r="J1935" s="693">
        <v>55</v>
      </c>
      <c r="K1935" s="689">
        <v>55.1</v>
      </c>
    </row>
    <row r="1936" spans="1:11">
      <c r="A1936" s="688" t="s">
        <v>4068</v>
      </c>
      <c r="B1936" s="691">
        <v>55.2</v>
      </c>
      <c r="C1936" s="692" t="s">
        <v>4060</v>
      </c>
      <c r="D1936" s="692" t="s">
        <v>4060</v>
      </c>
      <c r="E1936" s="692" t="s">
        <v>4060</v>
      </c>
      <c r="F1936" s="692" t="s">
        <v>4060</v>
      </c>
      <c r="G1936" s="692" t="s">
        <v>4060</v>
      </c>
      <c r="H1936" s="692" t="s">
        <v>4060</v>
      </c>
      <c r="I1936" s="692" t="s">
        <v>4060</v>
      </c>
      <c r="J1936" s="692" t="s">
        <v>4060</v>
      </c>
      <c r="K1936" s="692" t="s">
        <v>4060</v>
      </c>
    </row>
    <row r="1937" spans="1:11">
      <c r="A1937" s="688" t="s">
        <v>0</v>
      </c>
      <c r="B1937" s="689">
        <v>54.4</v>
      </c>
      <c r="C1937" s="689">
        <v>54.7</v>
      </c>
      <c r="D1937" s="689">
        <v>54.5</v>
      </c>
      <c r="E1937" s="689">
        <v>54.9</v>
      </c>
      <c r="F1937" s="693">
        <v>55</v>
      </c>
      <c r="G1937" s="689">
        <v>55.1</v>
      </c>
      <c r="H1937" s="689">
        <v>55.5</v>
      </c>
      <c r="I1937" s="689">
        <v>54.4</v>
      </c>
      <c r="J1937" s="689">
        <v>55.2</v>
      </c>
      <c r="K1937" s="689">
        <v>55.3</v>
      </c>
    </row>
    <row r="1938" spans="1:11">
      <c r="A1938" s="688" t="s">
        <v>1</v>
      </c>
      <c r="B1938" s="691">
        <v>49.1</v>
      </c>
      <c r="C1938" s="691">
        <v>48.6</v>
      </c>
      <c r="D1938" s="691">
        <v>48.6</v>
      </c>
      <c r="E1938" s="691">
        <v>48.8</v>
      </c>
      <c r="F1938" s="691">
        <v>48.7</v>
      </c>
      <c r="G1938" s="691">
        <v>48.8</v>
      </c>
      <c r="H1938" s="691">
        <v>48.9</v>
      </c>
      <c r="I1938" s="691">
        <v>47.2</v>
      </c>
      <c r="J1938" s="691">
        <v>45.2</v>
      </c>
      <c r="K1938" s="615">
        <v>48</v>
      </c>
    </row>
    <row r="1939" spans="1:11">
      <c r="A1939" s="688" t="s">
        <v>2240</v>
      </c>
      <c r="B1939" s="689">
        <v>51.9</v>
      </c>
      <c r="C1939" s="689">
        <v>52.3</v>
      </c>
      <c r="D1939" s="689">
        <v>52.2</v>
      </c>
      <c r="E1939" s="689">
        <v>52.6</v>
      </c>
      <c r="F1939" s="689">
        <v>52.6</v>
      </c>
      <c r="G1939" s="689">
        <v>52.6</v>
      </c>
      <c r="H1939" s="689">
        <v>52.8</v>
      </c>
      <c r="I1939" s="689">
        <v>51.8</v>
      </c>
      <c r="J1939" s="689">
        <v>50.7</v>
      </c>
      <c r="K1939" s="689">
        <v>52.6</v>
      </c>
    </row>
    <row r="1940" spans="1:11">
      <c r="A1940" s="688" t="s">
        <v>2</v>
      </c>
      <c r="B1940" s="691">
        <v>53.9</v>
      </c>
      <c r="C1940" s="691">
        <v>54.2</v>
      </c>
      <c r="D1940" s="691">
        <v>54.3</v>
      </c>
      <c r="E1940" s="691">
        <v>54.4</v>
      </c>
      <c r="F1940" s="691">
        <v>54.7</v>
      </c>
      <c r="G1940" s="691">
        <v>54.5</v>
      </c>
      <c r="H1940" s="691">
        <v>54.9</v>
      </c>
      <c r="I1940" s="691">
        <v>55.1</v>
      </c>
      <c r="J1940" s="615">
        <v>55</v>
      </c>
      <c r="K1940" s="691">
        <v>54.8</v>
      </c>
    </row>
    <row r="1941" spans="1:11">
      <c r="A1941" s="688" t="s">
        <v>3</v>
      </c>
      <c r="B1941" s="689">
        <v>54.2</v>
      </c>
      <c r="C1941" s="689">
        <v>54.5</v>
      </c>
      <c r="D1941" s="689">
        <v>54.2</v>
      </c>
      <c r="E1941" s="689">
        <v>54.5</v>
      </c>
      <c r="F1941" s="689">
        <v>54.5</v>
      </c>
      <c r="G1941" s="689">
        <v>54.5</v>
      </c>
      <c r="H1941" s="689">
        <v>54.8</v>
      </c>
      <c r="I1941" s="689">
        <v>54.5</v>
      </c>
      <c r="J1941" s="689">
        <v>54.2</v>
      </c>
      <c r="K1941" s="689">
        <v>54.1</v>
      </c>
    </row>
    <row r="1942" spans="1:11">
      <c r="A1942" s="688" t="s">
        <v>4061</v>
      </c>
      <c r="B1942" s="691">
        <v>54.2</v>
      </c>
      <c r="C1942" s="691">
        <v>54.5</v>
      </c>
      <c r="D1942" s="691">
        <v>54.2</v>
      </c>
      <c r="E1942" s="691">
        <v>54.5</v>
      </c>
      <c r="F1942" s="691">
        <v>54.5</v>
      </c>
      <c r="G1942" s="691">
        <v>54.5</v>
      </c>
      <c r="H1942" s="691">
        <v>54.8</v>
      </c>
      <c r="I1942" s="691">
        <v>54.5</v>
      </c>
      <c r="J1942" s="691">
        <v>54.2</v>
      </c>
      <c r="K1942" s="691">
        <v>54.1</v>
      </c>
    </row>
    <row r="1943" spans="1:11">
      <c r="A1943" s="688" t="s">
        <v>4</v>
      </c>
      <c r="B1943" s="689">
        <v>51.2</v>
      </c>
      <c r="C1943" s="693">
        <v>51</v>
      </c>
      <c r="D1943" s="689">
        <v>51.4</v>
      </c>
      <c r="E1943" s="689">
        <v>51.5</v>
      </c>
      <c r="F1943" s="689">
        <v>51.9</v>
      </c>
      <c r="G1943" s="689">
        <v>51.9</v>
      </c>
      <c r="H1943" s="689">
        <v>52.4</v>
      </c>
      <c r="I1943" s="689">
        <v>52.3</v>
      </c>
      <c r="J1943" s="689">
        <v>50.8</v>
      </c>
      <c r="K1943" s="689">
        <v>51.7</v>
      </c>
    </row>
    <row r="1944" spans="1:11">
      <c r="A1944" s="688" t="s">
        <v>8</v>
      </c>
      <c r="B1944" s="691">
        <v>54.7</v>
      </c>
      <c r="C1944" s="691">
        <v>54.9</v>
      </c>
      <c r="D1944" s="615">
        <v>55</v>
      </c>
      <c r="E1944" s="691">
        <v>55.1</v>
      </c>
      <c r="F1944" s="691">
        <v>55.5</v>
      </c>
      <c r="G1944" s="691">
        <v>55.6</v>
      </c>
      <c r="H1944" s="615">
        <v>56</v>
      </c>
      <c r="I1944" s="691">
        <v>55.8</v>
      </c>
      <c r="J1944" s="691">
        <v>55.6</v>
      </c>
      <c r="K1944" s="691">
        <v>55.9</v>
      </c>
    </row>
    <row r="1945" spans="1:11">
      <c r="A1945" s="688" t="s">
        <v>7</v>
      </c>
      <c r="B1945" s="693">
        <v>55</v>
      </c>
      <c r="C1945" s="689">
        <v>54.7</v>
      </c>
      <c r="D1945" s="689">
        <v>54.4</v>
      </c>
      <c r="E1945" s="689">
        <v>54.8</v>
      </c>
      <c r="F1945" s="689">
        <v>54.7</v>
      </c>
      <c r="G1945" s="689">
        <v>55.1</v>
      </c>
      <c r="H1945" s="689">
        <v>55.1</v>
      </c>
      <c r="I1945" s="689">
        <v>54.7</v>
      </c>
      <c r="J1945" s="689">
        <v>53.7</v>
      </c>
      <c r="K1945" s="689">
        <v>54.4</v>
      </c>
    </row>
    <row r="1946" spans="1:11">
      <c r="A1946" s="688" t="s">
        <v>27</v>
      </c>
      <c r="B1946" s="691">
        <v>56.7</v>
      </c>
      <c r="C1946" s="691">
        <v>56.4</v>
      </c>
      <c r="D1946" s="691">
        <v>56.1</v>
      </c>
      <c r="E1946" s="691">
        <v>56.5</v>
      </c>
      <c r="F1946" s="691">
        <v>56.5</v>
      </c>
      <c r="G1946" s="691">
        <v>56.6</v>
      </c>
      <c r="H1946" s="615">
        <v>57</v>
      </c>
      <c r="I1946" s="691">
        <v>55.7</v>
      </c>
      <c r="J1946" s="691">
        <v>56.5</v>
      </c>
      <c r="K1946" s="691">
        <v>56.6</v>
      </c>
    </row>
    <row r="1947" spans="1:11">
      <c r="A1947" s="688" t="s">
        <v>6</v>
      </c>
      <c r="B1947" s="689">
        <v>56.1</v>
      </c>
      <c r="C1947" s="689">
        <v>56.1</v>
      </c>
      <c r="D1947" s="689">
        <v>55.8</v>
      </c>
      <c r="E1947" s="689">
        <v>56.1</v>
      </c>
      <c r="F1947" s="689">
        <v>56.1</v>
      </c>
      <c r="G1947" s="689">
        <v>56.3</v>
      </c>
      <c r="H1947" s="689">
        <v>56.4</v>
      </c>
      <c r="I1947" s="689">
        <v>55.8</v>
      </c>
      <c r="J1947" s="689">
        <v>55.9</v>
      </c>
      <c r="K1947" s="693">
        <v>56</v>
      </c>
    </row>
    <row r="1948" spans="1:11">
      <c r="A1948" s="688" t="s">
        <v>4058</v>
      </c>
      <c r="B1948" s="692" t="s">
        <v>4060</v>
      </c>
      <c r="C1948" s="692" t="s">
        <v>4060</v>
      </c>
      <c r="D1948" s="692" t="s">
        <v>4060</v>
      </c>
      <c r="E1948" s="692" t="s">
        <v>4060</v>
      </c>
      <c r="F1948" s="692" t="s">
        <v>4060</v>
      </c>
      <c r="G1948" s="692" t="s">
        <v>4060</v>
      </c>
      <c r="H1948" s="692" t="s">
        <v>4060</v>
      </c>
      <c r="I1948" s="692" t="s">
        <v>4060</v>
      </c>
      <c r="J1948" s="692" t="s">
        <v>4060</v>
      </c>
      <c r="K1948" s="692" t="s">
        <v>4060</v>
      </c>
    </row>
    <row r="1949" spans="1:11">
      <c r="A1949" s="688" t="s">
        <v>11</v>
      </c>
      <c r="B1949" s="689">
        <v>51.5</v>
      </c>
      <c r="C1949" s="689">
        <v>51.5</v>
      </c>
      <c r="D1949" s="689">
        <v>51.1</v>
      </c>
      <c r="E1949" s="689">
        <v>51.7</v>
      </c>
      <c r="F1949" s="689">
        <v>51.5</v>
      </c>
      <c r="G1949" s="689">
        <v>51.7</v>
      </c>
      <c r="H1949" s="693">
        <v>52</v>
      </c>
      <c r="I1949" s="689">
        <v>51.3</v>
      </c>
      <c r="J1949" s="689">
        <v>50.2</v>
      </c>
      <c r="K1949" s="689">
        <v>51.4</v>
      </c>
    </row>
    <row r="1950" spans="1:11">
      <c r="A1950" s="688" t="s">
        <v>10</v>
      </c>
      <c r="B1950" s="691">
        <v>56.4</v>
      </c>
      <c r="C1950" s="691">
        <v>56.3</v>
      </c>
      <c r="D1950" s="615">
        <v>56</v>
      </c>
      <c r="E1950" s="691">
        <v>56.5</v>
      </c>
      <c r="F1950" s="691">
        <v>56.3</v>
      </c>
      <c r="G1950" s="691">
        <v>56.7</v>
      </c>
      <c r="H1950" s="691">
        <v>56.9</v>
      </c>
      <c r="I1950" s="691">
        <v>55.7</v>
      </c>
      <c r="J1950" s="691">
        <v>56.1</v>
      </c>
      <c r="K1950" s="691">
        <v>56.2</v>
      </c>
    </row>
    <row r="1951" spans="1:11">
      <c r="A1951" s="688" t="s">
        <v>30</v>
      </c>
      <c r="B1951" s="693">
        <v>56</v>
      </c>
      <c r="C1951" s="689">
        <v>55.7</v>
      </c>
      <c r="D1951" s="689">
        <v>55.4</v>
      </c>
      <c r="E1951" s="689">
        <v>56.3</v>
      </c>
      <c r="F1951" s="689">
        <v>55.9</v>
      </c>
      <c r="G1951" s="689">
        <v>56.5</v>
      </c>
      <c r="H1951" s="689">
        <v>56.2</v>
      </c>
      <c r="I1951" s="689">
        <v>56.2</v>
      </c>
      <c r="J1951" s="689">
        <v>55.3</v>
      </c>
      <c r="K1951" s="689">
        <v>55.8</v>
      </c>
    </row>
    <row r="1952" spans="1:11">
      <c r="A1952" s="688" t="s">
        <v>12</v>
      </c>
      <c r="B1952" s="691">
        <v>48.2</v>
      </c>
      <c r="C1952" s="691">
        <v>48.3</v>
      </c>
      <c r="D1952" s="691">
        <v>48.6</v>
      </c>
      <c r="E1952" s="691">
        <v>48.7</v>
      </c>
      <c r="F1952" s="691">
        <v>48.7</v>
      </c>
      <c r="G1952" s="691">
        <v>48.8</v>
      </c>
      <c r="H1952" s="691">
        <v>49.5</v>
      </c>
      <c r="I1952" s="691">
        <v>49.2</v>
      </c>
      <c r="J1952" s="691">
        <v>46.9</v>
      </c>
      <c r="K1952" s="691">
        <v>48.2</v>
      </c>
    </row>
    <row r="1953" spans="1:11">
      <c r="A1953" s="688" t="s">
        <v>14</v>
      </c>
      <c r="B1953" s="689">
        <v>48.2</v>
      </c>
      <c r="C1953" s="689">
        <v>48.6</v>
      </c>
      <c r="D1953" s="689">
        <v>48.4</v>
      </c>
      <c r="E1953" s="689">
        <v>48.7</v>
      </c>
      <c r="F1953" s="689">
        <v>49.4</v>
      </c>
      <c r="G1953" s="689">
        <v>49.7</v>
      </c>
      <c r="H1953" s="689">
        <v>50.2</v>
      </c>
      <c r="I1953" s="689">
        <v>48.9</v>
      </c>
      <c r="J1953" s="693">
        <v>48</v>
      </c>
      <c r="K1953" s="689">
        <v>49.5</v>
      </c>
    </row>
    <row r="1954" spans="1:11">
      <c r="A1954" s="688" t="s">
        <v>15</v>
      </c>
      <c r="B1954" s="691">
        <v>55.5</v>
      </c>
      <c r="C1954" s="691">
        <v>55.4</v>
      </c>
      <c r="D1954" s="691">
        <v>55.5</v>
      </c>
      <c r="E1954" s="691">
        <v>55.9</v>
      </c>
      <c r="F1954" s="691">
        <v>55.4</v>
      </c>
      <c r="G1954" s="691">
        <v>55.7</v>
      </c>
      <c r="H1954" s="691">
        <v>56.1</v>
      </c>
      <c r="I1954" s="691">
        <v>55.7</v>
      </c>
      <c r="J1954" s="615">
        <v>56</v>
      </c>
      <c r="K1954" s="691">
        <v>56.5</v>
      </c>
    </row>
    <row r="1955" spans="1:11">
      <c r="A1955" s="688" t="s">
        <v>29</v>
      </c>
      <c r="B1955" s="689">
        <v>49.5</v>
      </c>
      <c r="C1955" s="689">
        <v>49.5</v>
      </c>
      <c r="D1955" s="689">
        <v>49.3</v>
      </c>
      <c r="E1955" s="689">
        <v>49.7</v>
      </c>
      <c r="F1955" s="689">
        <v>49.5</v>
      </c>
      <c r="G1955" s="689">
        <v>49.7</v>
      </c>
      <c r="H1955" s="689">
        <v>49.9</v>
      </c>
      <c r="I1955" s="689">
        <v>49.2</v>
      </c>
      <c r="J1955" s="689">
        <v>47.8</v>
      </c>
      <c r="K1955" s="689">
        <v>49.6</v>
      </c>
    </row>
    <row r="1956" spans="1:11">
      <c r="A1956" s="688" t="s">
        <v>16</v>
      </c>
      <c r="B1956" s="691">
        <v>55.7</v>
      </c>
      <c r="C1956" s="691">
        <v>55.5</v>
      </c>
      <c r="D1956" s="691">
        <v>55.6</v>
      </c>
      <c r="E1956" s="615">
        <v>56</v>
      </c>
      <c r="F1956" s="691">
        <v>55.9</v>
      </c>
      <c r="G1956" s="691">
        <v>55.8</v>
      </c>
      <c r="H1956" s="691">
        <v>56.3</v>
      </c>
      <c r="I1956" s="691">
        <v>55.6</v>
      </c>
      <c r="J1956" s="691">
        <v>55.6</v>
      </c>
      <c r="K1956" s="691">
        <v>55.8</v>
      </c>
    </row>
    <row r="1957" spans="1:11">
      <c r="A1957" s="688" t="s">
        <v>17</v>
      </c>
      <c r="B1957" s="693">
        <v>55</v>
      </c>
      <c r="C1957" s="689">
        <v>55.2</v>
      </c>
      <c r="D1957" s="693">
        <v>55</v>
      </c>
      <c r="E1957" s="689">
        <v>55.1</v>
      </c>
      <c r="F1957" s="689">
        <v>55.3</v>
      </c>
      <c r="G1957" s="689">
        <v>55.3</v>
      </c>
      <c r="H1957" s="689">
        <v>55.6</v>
      </c>
      <c r="I1957" s="693">
        <v>55</v>
      </c>
      <c r="J1957" s="689">
        <v>54.9</v>
      </c>
      <c r="K1957" s="689">
        <v>55.2</v>
      </c>
    </row>
    <row r="1958" spans="1:11">
      <c r="A1958" s="688" t="s">
        <v>19</v>
      </c>
      <c r="B1958" s="691">
        <v>54.9</v>
      </c>
      <c r="C1958" s="615">
        <v>55</v>
      </c>
      <c r="D1958" s="691">
        <v>54.8</v>
      </c>
      <c r="E1958" s="691">
        <v>55.2</v>
      </c>
      <c r="F1958" s="691">
        <v>55.2</v>
      </c>
      <c r="G1958" s="691">
        <v>55.3</v>
      </c>
      <c r="H1958" s="691">
        <v>55.5</v>
      </c>
      <c r="I1958" s="691">
        <v>54.9</v>
      </c>
      <c r="J1958" s="691">
        <v>54.9</v>
      </c>
      <c r="K1958" s="615">
        <v>55</v>
      </c>
    </row>
    <row r="1959" spans="1:11">
      <c r="A1959" s="688" t="s">
        <v>20</v>
      </c>
      <c r="B1959" s="693">
        <v>51</v>
      </c>
      <c r="C1959" s="689">
        <v>51.4</v>
      </c>
      <c r="D1959" s="689">
        <v>51.1</v>
      </c>
      <c r="E1959" s="689">
        <v>51.5</v>
      </c>
      <c r="F1959" s="689">
        <v>51.4</v>
      </c>
      <c r="G1959" s="689">
        <v>51.3</v>
      </c>
      <c r="H1959" s="689">
        <v>51.6</v>
      </c>
      <c r="I1959" s="689">
        <v>50.1</v>
      </c>
      <c r="J1959" s="689">
        <v>49.1</v>
      </c>
      <c r="K1959" s="689">
        <v>50.9</v>
      </c>
    </row>
    <row r="1960" spans="1:11">
      <c r="A1960" s="688" t="s">
        <v>21</v>
      </c>
      <c r="B1960" s="691">
        <v>54.5</v>
      </c>
      <c r="C1960" s="691">
        <v>54.9</v>
      </c>
      <c r="D1960" s="691">
        <v>54.9</v>
      </c>
      <c r="E1960" s="691">
        <v>54.9</v>
      </c>
      <c r="F1960" s="691">
        <v>55.2</v>
      </c>
      <c r="G1960" s="691">
        <v>55.2</v>
      </c>
      <c r="H1960" s="691">
        <v>55.5</v>
      </c>
      <c r="I1960" s="691">
        <v>54.9</v>
      </c>
      <c r="J1960" s="691">
        <v>54.9</v>
      </c>
      <c r="K1960" s="691">
        <v>55.3</v>
      </c>
    </row>
    <row r="1961" spans="1:11">
      <c r="A1961" s="688" t="s">
        <v>22</v>
      </c>
      <c r="B1961" s="689">
        <v>49.4</v>
      </c>
      <c r="C1961" s="689">
        <v>49.1</v>
      </c>
      <c r="D1961" s="689">
        <v>49.1</v>
      </c>
      <c r="E1961" s="689">
        <v>49.3</v>
      </c>
      <c r="F1961" s="689">
        <v>49.3</v>
      </c>
      <c r="G1961" s="689">
        <v>49.3</v>
      </c>
      <c r="H1961" s="689">
        <v>49.5</v>
      </c>
      <c r="I1961" s="693">
        <v>48</v>
      </c>
      <c r="J1961" s="689">
        <v>46.7</v>
      </c>
      <c r="K1961" s="693">
        <v>49</v>
      </c>
    </row>
    <row r="1962" spans="1:11">
      <c r="A1962" s="688" t="s">
        <v>26</v>
      </c>
      <c r="B1962" s="691">
        <v>54.1</v>
      </c>
      <c r="C1962" s="691">
        <v>54.4</v>
      </c>
      <c r="D1962" s="691">
        <v>54.1</v>
      </c>
      <c r="E1962" s="691">
        <v>54.5</v>
      </c>
      <c r="F1962" s="691">
        <v>54.4</v>
      </c>
      <c r="G1962" s="691">
        <v>54.7</v>
      </c>
      <c r="H1962" s="691">
        <v>54.9</v>
      </c>
      <c r="I1962" s="615">
        <v>54</v>
      </c>
      <c r="J1962" s="615">
        <v>54</v>
      </c>
      <c r="K1962" s="691">
        <v>54.7</v>
      </c>
    </row>
    <row r="1963" spans="1:11">
      <c r="A1963" s="688" t="s">
        <v>25</v>
      </c>
      <c r="B1963" s="689">
        <v>50.5</v>
      </c>
      <c r="C1963" s="689">
        <v>50.8</v>
      </c>
      <c r="D1963" s="689">
        <v>50.6</v>
      </c>
      <c r="E1963" s="689">
        <v>51.1</v>
      </c>
      <c r="F1963" s="689">
        <v>51.1</v>
      </c>
      <c r="G1963" s="689">
        <v>51.2</v>
      </c>
      <c r="H1963" s="689">
        <v>51.6</v>
      </c>
      <c r="I1963" s="689">
        <v>50.8</v>
      </c>
      <c r="J1963" s="689">
        <v>48.4</v>
      </c>
      <c r="K1963" s="689">
        <v>50.8</v>
      </c>
    </row>
    <row r="1964" spans="1:11">
      <c r="A1964" s="688" t="s">
        <v>5</v>
      </c>
      <c r="B1964" s="691">
        <v>54.7</v>
      </c>
      <c r="C1964" s="691">
        <v>54.6</v>
      </c>
      <c r="D1964" s="691">
        <v>54.9</v>
      </c>
      <c r="E1964" s="691">
        <v>54.9</v>
      </c>
      <c r="F1964" s="691">
        <v>55.1</v>
      </c>
      <c r="G1964" s="691">
        <v>55.2</v>
      </c>
      <c r="H1964" s="691">
        <v>55.5</v>
      </c>
      <c r="I1964" s="691">
        <v>55.4</v>
      </c>
      <c r="J1964" s="691">
        <v>55.4</v>
      </c>
      <c r="K1964" s="691">
        <v>54.8</v>
      </c>
    </row>
    <row r="1965" spans="1:11">
      <c r="A1965" s="688" t="s">
        <v>23</v>
      </c>
      <c r="B1965" s="689">
        <v>55.6</v>
      </c>
      <c r="C1965" s="689">
        <v>55.8</v>
      </c>
      <c r="D1965" s="689">
        <v>55.8</v>
      </c>
      <c r="E1965" s="689">
        <v>55.9</v>
      </c>
      <c r="F1965" s="693">
        <v>56</v>
      </c>
      <c r="G1965" s="689">
        <v>56.1</v>
      </c>
      <c r="H1965" s="689">
        <v>56.6</v>
      </c>
      <c r="I1965" s="693">
        <v>56</v>
      </c>
      <c r="J1965" s="689">
        <v>56.5</v>
      </c>
      <c r="K1965" s="689">
        <v>56.6</v>
      </c>
    </row>
    <row r="1966" spans="1:11">
      <c r="A1966" s="688" t="s">
        <v>4067</v>
      </c>
      <c r="B1966" s="691">
        <v>54.2</v>
      </c>
      <c r="C1966" s="691">
        <v>54.6</v>
      </c>
      <c r="D1966" s="691">
        <v>54.3</v>
      </c>
      <c r="E1966" s="691">
        <v>54.6</v>
      </c>
      <c r="F1966" s="691">
        <v>54.6</v>
      </c>
      <c r="G1966" s="691">
        <v>54.7</v>
      </c>
      <c r="H1966" s="692" t="s">
        <v>4060</v>
      </c>
      <c r="I1966" s="692" t="s">
        <v>4060</v>
      </c>
      <c r="J1966" s="692" t="s">
        <v>4060</v>
      </c>
      <c r="K1966" s="692" t="s">
        <v>4060</v>
      </c>
    </row>
    <row r="1967" spans="1:11">
      <c r="A1967" s="688" t="s">
        <v>4066</v>
      </c>
      <c r="B1967" s="689">
        <v>54.3</v>
      </c>
      <c r="C1967" s="689">
        <v>54.6</v>
      </c>
      <c r="D1967" s="689">
        <v>54.3</v>
      </c>
      <c r="E1967" s="689">
        <v>54.7</v>
      </c>
      <c r="F1967" s="689">
        <v>54.6</v>
      </c>
      <c r="G1967" s="689">
        <v>54.7</v>
      </c>
      <c r="H1967" s="690" t="s">
        <v>4060</v>
      </c>
      <c r="I1967" s="690" t="s">
        <v>4060</v>
      </c>
      <c r="J1967" s="690" t="s">
        <v>4060</v>
      </c>
      <c r="K1967" s="690" t="s">
        <v>4060</v>
      </c>
    </row>
    <row r="1968" spans="1:11">
      <c r="A1968" s="688" t="s">
        <v>4062</v>
      </c>
      <c r="B1968" s="691">
        <v>56.1</v>
      </c>
      <c r="C1968" s="691">
        <v>56.3</v>
      </c>
      <c r="D1968" s="691">
        <v>56.2</v>
      </c>
      <c r="E1968" s="691">
        <v>56.6</v>
      </c>
      <c r="F1968" s="691">
        <v>56.7</v>
      </c>
      <c r="G1968" s="691">
        <v>56.8</v>
      </c>
      <c r="H1968" s="615">
        <v>57</v>
      </c>
      <c r="I1968" s="691">
        <v>56.7</v>
      </c>
      <c r="J1968" s="615">
        <v>57</v>
      </c>
      <c r="K1968" s="691">
        <v>56.7</v>
      </c>
    </row>
    <row r="1969" spans="1:11">
      <c r="A1969" s="688" t="s">
        <v>9</v>
      </c>
      <c r="B1969" s="689">
        <v>55.6</v>
      </c>
      <c r="C1969" s="689">
        <v>56.1</v>
      </c>
      <c r="D1969" s="689">
        <v>55.9</v>
      </c>
      <c r="E1969" s="689">
        <v>55.5</v>
      </c>
      <c r="F1969" s="693">
        <v>56</v>
      </c>
      <c r="G1969" s="689">
        <v>56.2</v>
      </c>
      <c r="H1969" s="689">
        <v>56.3</v>
      </c>
      <c r="I1969" s="689">
        <v>56.4</v>
      </c>
      <c r="J1969" s="689">
        <v>56.7</v>
      </c>
      <c r="K1969" s="689">
        <v>55.5</v>
      </c>
    </row>
    <row r="1970" spans="1:11">
      <c r="A1970" s="688" t="s">
        <v>13</v>
      </c>
      <c r="B1970" s="691">
        <v>56.1</v>
      </c>
      <c r="C1970" s="691">
        <v>55.5</v>
      </c>
      <c r="D1970" s="691">
        <v>56.3</v>
      </c>
      <c r="E1970" s="691">
        <v>55.8</v>
      </c>
      <c r="F1970" s="691">
        <v>56.8</v>
      </c>
      <c r="G1970" s="691">
        <v>56.4</v>
      </c>
      <c r="H1970" s="691">
        <v>57.1</v>
      </c>
      <c r="I1970" s="691">
        <v>56.3</v>
      </c>
      <c r="J1970" s="691">
        <v>57.4</v>
      </c>
      <c r="K1970" s="691">
        <v>57.6</v>
      </c>
    </row>
    <row r="1971" spans="1:11">
      <c r="A1971" s="688" t="s">
        <v>18</v>
      </c>
      <c r="B1971" s="689">
        <v>55.3</v>
      </c>
      <c r="C1971" s="689">
        <v>55.6</v>
      </c>
      <c r="D1971" s="689">
        <v>55.8</v>
      </c>
      <c r="E1971" s="689">
        <v>55.9</v>
      </c>
      <c r="F1971" s="689">
        <v>56.1</v>
      </c>
      <c r="G1971" s="689">
        <v>56.3</v>
      </c>
      <c r="H1971" s="689">
        <v>56.5</v>
      </c>
      <c r="I1971" s="689">
        <v>56.7</v>
      </c>
      <c r="J1971" s="689">
        <v>56.6</v>
      </c>
      <c r="K1971" s="689">
        <v>56.1</v>
      </c>
    </row>
    <row r="1972" spans="1:11">
      <c r="A1972" s="688" t="s">
        <v>24</v>
      </c>
      <c r="B1972" s="691">
        <v>56.6</v>
      </c>
      <c r="C1972" s="691">
        <v>56.7</v>
      </c>
      <c r="D1972" s="691">
        <v>56.5</v>
      </c>
      <c r="E1972" s="615">
        <v>57</v>
      </c>
      <c r="F1972" s="615">
        <v>57</v>
      </c>
      <c r="G1972" s="691">
        <v>57.2</v>
      </c>
      <c r="H1972" s="691">
        <v>57.4</v>
      </c>
      <c r="I1972" s="691">
        <v>56.7</v>
      </c>
      <c r="J1972" s="691">
        <v>57.2</v>
      </c>
      <c r="K1972" s="691">
        <v>57.1</v>
      </c>
    </row>
    <row r="1973" spans="1:11">
      <c r="A1973" s="688" t="s">
        <v>4059</v>
      </c>
      <c r="B1973" s="689">
        <v>54.7</v>
      </c>
      <c r="C1973" s="693">
        <v>55</v>
      </c>
      <c r="D1973" s="689">
        <v>54.7</v>
      </c>
      <c r="E1973" s="689">
        <v>54.9</v>
      </c>
      <c r="F1973" s="689">
        <v>54.9</v>
      </c>
      <c r="G1973" s="689">
        <v>54.9</v>
      </c>
      <c r="H1973" s="690" t="s">
        <v>4060</v>
      </c>
      <c r="I1973" s="690" t="s">
        <v>4060</v>
      </c>
      <c r="J1973" s="690" t="s">
        <v>4060</v>
      </c>
      <c r="K1973" s="690" t="s">
        <v>4060</v>
      </c>
    </row>
    <row r="1974" spans="1:11">
      <c r="A1974" s="688" t="s">
        <v>2324</v>
      </c>
      <c r="B1974" s="691">
        <v>50.3</v>
      </c>
      <c r="C1974" s="691">
        <v>50.3</v>
      </c>
      <c r="D1974" s="691">
        <v>50.1</v>
      </c>
      <c r="E1974" s="691">
        <v>50.1</v>
      </c>
      <c r="F1974" s="691">
        <v>50.2</v>
      </c>
      <c r="G1974" s="691">
        <v>50.4</v>
      </c>
      <c r="H1974" s="691">
        <v>50.3</v>
      </c>
      <c r="I1974" s="691">
        <v>49.5</v>
      </c>
      <c r="J1974" s="691">
        <v>47.2</v>
      </c>
      <c r="K1974" s="692" t="s">
        <v>4060</v>
      </c>
    </row>
    <row r="1975" spans="1:11">
      <c r="A1975" s="688" t="s">
        <v>2322</v>
      </c>
      <c r="B1975" s="690" t="s">
        <v>4060</v>
      </c>
      <c r="C1975" s="690" t="s">
        <v>4060</v>
      </c>
      <c r="D1975" s="690" t="s">
        <v>4060</v>
      </c>
      <c r="E1975" s="690" t="s">
        <v>4060</v>
      </c>
      <c r="F1975" s="690" t="s">
        <v>4060</v>
      </c>
      <c r="G1975" s="690" t="s">
        <v>4060</v>
      </c>
      <c r="H1975" s="690" t="s">
        <v>4060</v>
      </c>
      <c r="I1975" s="690" t="s">
        <v>4060</v>
      </c>
      <c r="J1975" s="690" t="s">
        <v>4060</v>
      </c>
      <c r="K1975" s="690" t="s">
        <v>4060</v>
      </c>
    </row>
    <row r="1976" spans="1:11">
      <c r="A1976" s="688" t="s">
        <v>2328</v>
      </c>
      <c r="B1976" s="691">
        <v>49.7</v>
      </c>
      <c r="C1976" s="691">
        <v>49.6</v>
      </c>
      <c r="D1976" s="691">
        <v>49.6</v>
      </c>
      <c r="E1976" s="691">
        <v>49.8</v>
      </c>
      <c r="F1976" s="691">
        <v>50.1</v>
      </c>
      <c r="G1976" s="691">
        <v>50.5</v>
      </c>
      <c r="H1976" s="691">
        <v>50.4</v>
      </c>
      <c r="I1976" s="691">
        <v>48.2</v>
      </c>
      <c r="J1976" s="615">
        <v>47</v>
      </c>
      <c r="K1976" s="692" t="s">
        <v>4060</v>
      </c>
    </row>
    <row r="1977" spans="1:11">
      <c r="A1977" s="688" t="s">
        <v>2496</v>
      </c>
      <c r="B1977" s="690" t="s">
        <v>4060</v>
      </c>
      <c r="C1977" s="689">
        <v>48.6</v>
      </c>
      <c r="D1977" s="689">
        <v>47.5</v>
      </c>
      <c r="E1977" s="689">
        <v>47.1</v>
      </c>
      <c r="F1977" s="689">
        <v>47.9</v>
      </c>
      <c r="G1977" s="689">
        <v>48.3</v>
      </c>
      <c r="H1977" s="689">
        <v>48.3</v>
      </c>
      <c r="I1977" s="690" t="s">
        <v>4060</v>
      </c>
      <c r="J1977" s="690" t="s">
        <v>4060</v>
      </c>
      <c r="K1977" s="689">
        <v>47.9</v>
      </c>
    </row>
    <row r="1978" spans="1:11">
      <c r="A1978" s="688" t="s">
        <v>2269</v>
      </c>
      <c r="B1978" s="691">
        <v>52.3</v>
      </c>
      <c r="C1978" s="691">
        <v>52.4</v>
      </c>
      <c r="D1978" s="691">
        <v>52.1</v>
      </c>
      <c r="E1978" s="691">
        <v>52.7</v>
      </c>
      <c r="F1978" s="691">
        <v>52.6</v>
      </c>
      <c r="G1978" s="691">
        <v>53.1</v>
      </c>
      <c r="H1978" s="691">
        <v>53.3</v>
      </c>
      <c r="I1978" s="691">
        <v>51.5</v>
      </c>
      <c r="J1978" s="691">
        <v>49.6</v>
      </c>
      <c r="K1978" s="615">
        <v>53</v>
      </c>
    </row>
    <row r="1979" spans="1:11">
      <c r="A1979" s="688" t="s">
        <v>2349</v>
      </c>
      <c r="B1979" s="689">
        <v>49.1</v>
      </c>
      <c r="C1979" s="689">
        <v>49.2</v>
      </c>
      <c r="D1979" s="689">
        <v>49.1</v>
      </c>
      <c r="E1979" s="689">
        <v>49.5</v>
      </c>
      <c r="F1979" s="689">
        <v>49.4</v>
      </c>
      <c r="G1979" s="689">
        <v>49.7</v>
      </c>
      <c r="H1979" s="689">
        <v>49.8</v>
      </c>
      <c r="I1979" s="689">
        <v>48.2</v>
      </c>
      <c r="J1979" s="689">
        <v>46.6</v>
      </c>
      <c r="K1979" s="693">
        <v>49</v>
      </c>
    </row>
    <row r="1980" spans="1:11">
      <c r="A1980" s="688" t="s">
        <v>2355</v>
      </c>
      <c r="B1980" s="691">
        <v>52.9</v>
      </c>
      <c r="C1980" s="691">
        <v>52.8</v>
      </c>
      <c r="D1980" s="691">
        <v>52.7</v>
      </c>
      <c r="E1980" s="691">
        <v>52.6</v>
      </c>
      <c r="F1980" s="691">
        <v>52.9</v>
      </c>
      <c r="G1980" s="691">
        <v>53.3</v>
      </c>
      <c r="H1980" s="691">
        <v>53.4</v>
      </c>
      <c r="I1980" s="692" t="s">
        <v>4060</v>
      </c>
      <c r="J1980" s="692" t="s">
        <v>4060</v>
      </c>
      <c r="K1980" s="692" t="s">
        <v>4060</v>
      </c>
    </row>
    <row r="1981" spans="1:11">
      <c r="A1981" s="688" t="s">
        <v>2357</v>
      </c>
      <c r="B1981" s="690" t="s">
        <v>4060</v>
      </c>
      <c r="C1981" s="689">
        <v>46.1</v>
      </c>
      <c r="D1981" s="689">
        <v>46.8</v>
      </c>
      <c r="E1981" s="689">
        <v>47.1</v>
      </c>
      <c r="F1981" s="689">
        <v>47.5</v>
      </c>
      <c r="G1981" s="689">
        <v>47.3</v>
      </c>
      <c r="H1981" s="689">
        <v>47.5</v>
      </c>
      <c r="I1981" s="690" t="s">
        <v>4060</v>
      </c>
      <c r="J1981" s="690" t="s">
        <v>4060</v>
      </c>
      <c r="K1981" s="690" t="s">
        <v>4060</v>
      </c>
    </row>
    <row r="1982" spans="1:11">
      <c r="A1982" s="688" t="s">
        <v>4070</v>
      </c>
      <c r="B1982" s="692" t="s">
        <v>4060</v>
      </c>
      <c r="C1982" s="692" t="s">
        <v>4060</v>
      </c>
      <c r="D1982" s="692" t="s">
        <v>4060</v>
      </c>
      <c r="E1982" s="691">
        <v>52.4</v>
      </c>
      <c r="F1982" s="692" t="s">
        <v>4060</v>
      </c>
      <c r="G1982" s="692" t="s">
        <v>4060</v>
      </c>
      <c r="H1982" s="692" t="s">
        <v>4060</v>
      </c>
      <c r="I1982" s="692" t="s">
        <v>4060</v>
      </c>
      <c r="J1982" s="692" t="s">
        <v>4060</v>
      </c>
      <c r="K1982" s="692" t="s">
        <v>4060</v>
      </c>
    </row>
    <row r="1983" spans="1:11">
      <c r="A1983" s="688" t="s">
        <v>2491</v>
      </c>
      <c r="B1983" s="689">
        <v>46.7</v>
      </c>
      <c r="C1983" s="689">
        <v>47.2</v>
      </c>
      <c r="D1983" s="689">
        <v>47.7</v>
      </c>
      <c r="E1983" s="693">
        <v>48</v>
      </c>
      <c r="F1983" s="689">
        <v>48.2</v>
      </c>
      <c r="G1983" s="689">
        <v>48.1</v>
      </c>
      <c r="H1983" s="690" t="s">
        <v>4060</v>
      </c>
      <c r="I1983" s="690" t="s">
        <v>4060</v>
      </c>
      <c r="J1983" s="690" t="s">
        <v>4060</v>
      </c>
      <c r="K1983" s="690" t="s">
        <v>4060</v>
      </c>
    </row>
    <row r="1984" spans="1:11">
      <c r="A1984" s="688" t="s">
        <v>2343</v>
      </c>
      <c r="B1984" s="692" t="s">
        <v>4060</v>
      </c>
      <c r="C1984" s="692" t="s">
        <v>4060</v>
      </c>
      <c r="D1984" s="692" t="s">
        <v>4060</v>
      </c>
      <c r="E1984" s="692" t="s">
        <v>4060</v>
      </c>
      <c r="F1984" s="692" t="s">
        <v>4060</v>
      </c>
      <c r="G1984" s="692" t="s">
        <v>4060</v>
      </c>
      <c r="H1984" s="692" t="s">
        <v>4060</v>
      </c>
      <c r="I1984" s="692" t="s">
        <v>4060</v>
      </c>
      <c r="J1984" s="692" t="s">
        <v>4060</v>
      </c>
      <c r="K1984" s="692" t="s">
        <v>4060</v>
      </c>
    </row>
    <row r="1985" spans="1:11">
      <c r="A1985" s="688" t="s">
        <v>4071</v>
      </c>
      <c r="B1985" s="690" t="s">
        <v>4060</v>
      </c>
      <c r="C1985" s="690" t="s">
        <v>4060</v>
      </c>
      <c r="D1985" s="690" t="s">
        <v>4060</v>
      </c>
      <c r="E1985" s="690" t="s">
        <v>4060</v>
      </c>
      <c r="F1985" s="690" t="s">
        <v>4060</v>
      </c>
      <c r="G1985" s="690" t="s">
        <v>4060</v>
      </c>
      <c r="H1985" s="690" t="s">
        <v>4060</v>
      </c>
      <c r="I1985" s="690" t="s">
        <v>4060</v>
      </c>
      <c r="J1985" s="690" t="s">
        <v>4060</v>
      </c>
      <c r="K1985" s="690" t="s">
        <v>4060</v>
      </c>
    </row>
    <row r="1986" spans="1:11">
      <c r="A1986" s="688" t="s">
        <v>2489</v>
      </c>
      <c r="B1986" s="692" t="s">
        <v>4060</v>
      </c>
      <c r="C1986" s="692" t="s">
        <v>4060</v>
      </c>
      <c r="D1986" s="691">
        <v>49.3</v>
      </c>
      <c r="E1986" s="691">
        <v>49.4</v>
      </c>
      <c r="F1986" s="615">
        <v>50</v>
      </c>
      <c r="G1986" s="691">
        <v>50.8</v>
      </c>
      <c r="H1986" s="691">
        <v>50.6</v>
      </c>
      <c r="I1986" s="692" t="s">
        <v>4060</v>
      </c>
      <c r="J1986" s="692" t="s">
        <v>4060</v>
      </c>
      <c r="K1986" s="692" t="s">
        <v>4060</v>
      </c>
    </row>
    <row r="1987" spans="1:11">
      <c r="A1987" s="688" t="s">
        <v>2490</v>
      </c>
      <c r="B1987" s="689">
        <v>49.2</v>
      </c>
      <c r="C1987" s="689">
        <v>49.3</v>
      </c>
      <c r="D1987" s="689">
        <v>49.9</v>
      </c>
      <c r="E1987" s="690" t="s">
        <v>4060</v>
      </c>
      <c r="F1987" s="689">
        <v>50.1</v>
      </c>
      <c r="G1987" s="689">
        <v>50.5</v>
      </c>
      <c r="H1987" s="689">
        <v>51.2</v>
      </c>
      <c r="I1987" s="690" t="s">
        <v>4060</v>
      </c>
      <c r="J1987" s="690" t="s">
        <v>4060</v>
      </c>
      <c r="K1987" s="690" t="s">
        <v>4060</v>
      </c>
    </row>
    <row r="1989" spans="1:11">
      <c r="A1989" s="683" t="s">
        <v>4233</v>
      </c>
    </row>
    <row r="1990" spans="1:11">
      <c r="A1990" s="683" t="s">
        <v>4060</v>
      </c>
      <c r="B1990" s="682" t="s">
        <v>4234</v>
      </c>
    </row>
    <row r="1992" spans="1:11">
      <c r="A1992" s="682" t="s">
        <v>4248</v>
      </c>
    </row>
    <row r="1993" spans="1:11">
      <c r="A1993" s="682" t="s">
        <v>4210</v>
      </c>
      <c r="B1993" s="683" t="s">
        <v>4211</v>
      </c>
    </row>
    <row r="1994" spans="1:11">
      <c r="A1994" s="682" t="s">
        <v>4212</v>
      </c>
      <c r="B1994" s="682" t="s">
        <v>4213</v>
      </c>
    </row>
    <row r="1996" spans="1:11">
      <c r="A1996" s="683" t="s">
        <v>4214</v>
      </c>
      <c r="C1996" s="682" t="s">
        <v>4215</v>
      </c>
    </row>
    <row r="1997" spans="1:11">
      <c r="A1997" s="683" t="s">
        <v>4216</v>
      </c>
      <c r="C1997" s="682" t="s">
        <v>2967</v>
      </c>
    </row>
    <row r="1998" spans="1:11">
      <c r="A1998" s="683" t="s">
        <v>3893</v>
      </c>
      <c r="C1998" s="682" t="s">
        <v>4217</v>
      </c>
    </row>
    <row r="1999" spans="1:11">
      <c r="A1999" s="683" t="s">
        <v>4218</v>
      </c>
      <c r="C1999" s="682" t="s">
        <v>4263</v>
      </c>
    </row>
    <row r="2001" spans="1:11">
      <c r="A2001" s="684" t="s">
        <v>4220</v>
      </c>
      <c r="B2001" s="685" t="s">
        <v>4221</v>
      </c>
      <c r="C2001" s="685" t="s">
        <v>4222</v>
      </c>
      <c r="D2001" s="685" t="s">
        <v>4223</v>
      </c>
      <c r="E2001" s="685" t="s">
        <v>4224</v>
      </c>
      <c r="F2001" s="685" t="s">
        <v>4225</v>
      </c>
      <c r="G2001" s="685" t="s">
        <v>4226</v>
      </c>
      <c r="H2001" s="685" t="s">
        <v>4227</v>
      </c>
      <c r="I2001" s="685" t="s">
        <v>4228</v>
      </c>
      <c r="J2001" s="685" t="s">
        <v>4229</v>
      </c>
      <c r="K2001" s="685" t="s">
        <v>4230</v>
      </c>
    </row>
    <row r="2002" spans="1:11">
      <c r="A2002" s="686" t="s">
        <v>4231</v>
      </c>
      <c r="B2002" s="687" t="s">
        <v>4232</v>
      </c>
      <c r="C2002" s="687" t="s">
        <v>4232</v>
      </c>
      <c r="D2002" s="687" t="s">
        <v>4232</v>
      </c>
      <c r="E2002" s="687" t="s">
        <v>4232</v>
      </c>
      <c r="F2002" s="687" t="s">
        <v>4232</v>
      </c>
      <c r="G2002" s="687" t="s">
        <v>4232</v>
      </c>
      <c r="H2002" s="687" t="s">
        <v>4232</v>
      </c>
      <c r="I2002" s="687" t="s">
        <v>4232</v>
      </c>
      <c r="J2002" s="687" t="s">
        <v>4232</v>
      </c>
      <c r="K2002" s="687" t="s">
        <v>4232</v>
      </c>
    </row>
    <row r="2003" spans="1:11">
      <c r="A2003" s="688" t="s">
        <v>4064</v>
      </c>
      <c r="B2003" s="689">
        <v>53.2</v>
      </c>
      <c r="C2003" s="689">
        <v>53.3</v>
      </c>
      <c r="D2003" s="689">
        <v>53.2</v>
      </c>
      <c r="E2003" s="689">
        <v>53.4</v>
      </c>
      <c r="F2003" s="689">
        <v>53.4</v>
      </c>
      <c r="G2003" s="689">
        <v>53.5</v>
      </c>
      <c r="H2003" s="689">
        <v>53.7</v>
      </c>
      <c r="I2003" s="689">
        <v>52.9</v>
      </c>
      <c r="J2003" s="689">
        <v>52.6</v>
      </c>
      <c r="K2003" s="689">
        <v>53.2</v>
      </c>
    </row>
    <row r="2004" spans="1:11">
      <c r="A2004" s="688" t="s">
        <v>4065</v>
      </c>
      <c r="B2004" s="691">
        <v>53.2</v>
      </c>
      <c r="C2004" s="691">
        <v>53.6</v>
      </c>
      <c r="D2004" s="691">
        <v>53.3</v>
      </c>
      <c r="E2004" s="691">
        <v>53.6</v>
      </c>
      <c r="F2004" s="691">
        <v>53.6</v>
      </c>
      <c r="G2004" s="691">
        <v>53.7</v>
      </c>
      <c r="H2004" s="692" t="s">
        <v>4060</v>
      </c>
      <c r="I2004" s="692" t="s">
        <v>4060</v>
      </c>
      <c r="J2004" s="692" t="s">
        <v>4060</v>
      </c>
      <c r="K2004" s="692" t="s">
        <v>4060</v>
      </c>
    </row>
    <row r="2005" spans="1:11">
      <c r="A2005" s="688" t="s">
        <v>4063</v>
      </c>
      <c r="B2005" s="689">
        <v>53.3</v>
      </c>
      <c r="C2005" s="689">
        <v>53.6</v>
      </c>
      <c r="D2005" s="689">
        <v>53.3</v>
      </c>
      <c r="E2005" s="689">
        <v>53.7</v>
      </c>
      <c r="F2005" s="689">
        <v>53.6</v>
      </c>
      <c r="G2005" s="689">
        <v>53.7</v>
      </c>
      <c r="H2005" s="690" t="s">
        <v>4060</v>
      </c>
      <c r="I2005" s="690" t="s">
        <v>4060</v>
      </c>
      <c r="J2005" s="690" t="s">
        <v>4060</v>
      </c>
      <c r="K2005" s="690" t="s">
        <v>4060</v>
      </c>
    </row>
    <row r="2006" spans="1:11">
      <c r="A2006" s="688" t="s">
        <v>4069</v>
      </c>
      <c r="B2006" s="692" t="s">
        <v>4060</v>
      </c>
      <c r="C2006" s="691">
        <v>54.2</v>
      </c>
      <c r="D2006" s="615">
        <v>54</v>
      </c>
      <c r="E2006" s="691">
        <v>54.3</v>
      </c>
      <c r="F2006" s="691">
        <v>54.3</v>
      </c>
      <c r="G2006" s="691">
        <v>54.5</v>
      </c>
      <c r="H2006" s="691">
        <v>54.7</v>
      </c>
      <c r="I2006" s="615">
        <v>54</v>
      </c>
      <c r="J2006" s="615">
        <v>54</v>
      </c>
      <c r="K2006" s="691">
        <v>54.2</v>
      </c>
    </row>
    <row r="2007" spans="1:11">
      <c r="A2007" s="688" t="s">
        <v>4068</v>
      </c>
      <c r="B2007" s="689">
        <v>54.2</v>
      </c>
      <c r="C2007" s="690" t="s">
        <v>4060</v>
      </c>
      <c r="D2007" s="690" t="s">
        <v>4060</v>
      </c>
      <c r="E2007" s="690" t="s">
        <v>4060</v>
      </c>
      <c r="F2007" s="690" t="s">
        <v>4060</v>
      </c>
      <c r="G2007" s="690" t="s">
        <v>4060</v>
      </c>
      <c r="H2007" s="690" t="s">
        <v>4060</v>
      </c>
      <c r="I2007" s="690" t="s">
        <v>4060</v>
      </c>
      <c r="J2007" s="690" t="s">
        <v>4060</v>
      </c>
      <c r="K2007" s="690" t="s">
        <v>4060</v>
      </c>
    </row>
    <row r="2008" spans="1:11">
      <c r="A2008" s="688" t="s">
        <v>0</v>
      </c>
      <c r="B2008" s="691">
        <v>53.4</v>
      </c>
      <c r="C2008" s="691">
        <v>53.8</v>
      </c>
      <c r="D2008" s="691">
        <v>53.5</v>
      </c>
      <c r="E2008" s="691">
        <v>53.9</v>
      </c>
      <c r="F2008" s="615">
        <v>54</v>
      </c>
      <c r="G2008" s="691">
        <v>54.1</v>
      </c>
      <c r="H2008" s="691">
        <v>54.5</v>
      </c>
      <c r="I2008" s="691">
        <v>53.4</v>
      </c>
      <c r="J2008" s="691">
        <v>54.3</v>
      </c>
      <c r="K2008" s="691">
        <v>54.3</v>
      </c>
    </row>
    <row r="2009" spans="1:11">
      <c r="A2009" s="688" t="s">
        <v>1</v>
      </c>
      <c r="B2009" s="689">
        <v>48.1</v>
      </c>
      <c r="C2009" s="689">
        <v>47.6</v>
      </c>
      <c r="D2009" s="689">
        <v>47.7</v>
      </c>
      <c r="E2009" s="689">
        <v>47.8</v>
      </c>
      <c r="F2009" s="689">
        <v>47.7</v>
      </c>
      <c r="G2009" s="689">
        <v>47.8</v>
      </c>
      <c r="H2009" s="689">
        <v>47.9</v>
      </c>
      <c r="I2009" s="689">
        <v>46.3</v>
      </c>
      <c r="J2009" s="689">
        <v>44.3</v>
      </c>
      <c r="K2009" s="689">
        <v>47.1</v>
      </c>
    </row>
    <row r="2010" spans="1:11">
      <c r="A2010" s="688" t="s">
        <v>2240</v>
      </c>
      <c r="B2010" s="691">
        <v>50.9</v>
      </c>
      <c r="C2010" s="691">
        <v>51.4</v>
      </c>
      <c r="D2010" s="691">
        <v>51.2</v>
      </c>
      <c r="E2010" s="691">
        <v>51.6</v>
      </c>
      <c r="F2010" s="691">
        <v>51.6</v>
      </c>
      <c r="G2010" s="691">
        <v>51.6</v>
      </c>
      <c r="H2010" s="691">
        <v>51.9</v>
      </c>
      <c r="I2010" s="691">
        <v>50.8</v>
      </c>
      <c r="J2010" s="691">
        <v>49.8</v>
      </c>
      <c r="K2010" s="691">
        <v>51.6</v>
      </c>
    </row>
    <row r="2011" spans="1:11">
      <c r="A2011" s="688" t="s">
        <v>2</v>
      </c>
      <c r="B2011" s="689">
        <v>52.9</v>
      </c>
      <c r="C2011" s="689">
        <v>53.2</v>
      </c>
      <c r="D2011" s="689">
        <v>53.3</v>
      </c>
      <c r="E2011" s="689">
        <v>53.5</v>
      </c>
      <c r="F2011" s="689">
        <v>53.7</v>
      </c>
      <c r="G2011" s="689">
        <v>53.5</v>
      </c>
      <c r="H2011" s="693">
        <v>54</v>
      </c>
      <c r="I2011" s="689">
        <v>54.1</v>
      </c>
      <c r="J2011" s="693">
        <v>54</v>
      </c>
      <c r="K2011" s="689">
        <v>53.8</v>
      </c>
    </row>
    <row r="2012" spans="1:11">
      <c r="A2012" s="688" t="s">
        <v>3</v>
      </c>
      <c r="B2012" s="691">
        <v>53.2</v>
      </c>
      <c r="C2012" s="691">
        <v>53.5</v>
      </c>
      <c r="D2012" s="691">
        <v>53.2</v>
      </c>
      <c r="E2012" s="691">
        <v>53.5</v>
      </c>
      <c r="F2012" s="691">
        <v>53.5</v>
      </c>
      <c r="G2012" s="691">
        <v>53.5</v>
      </c>
      <c r="H2012" s="691">
        <v>53.8</v>
      </c>
      <c r="I2012" s="691">
        <v>53.6</v>
      </c>
      <c r="J2012" s="691">
        <v>53.2</v>
      </c>
      <c r="K2012" s="691">
        <v>53.1</v>
      </c>
    </row>
    <row r="2013" spans="1:11">
      <c r="A2013" s="688" t="s">
        <v>4061</v>
      </c>
      <c r="B2013" s="689">
        <v>53.2</v>
      </c>
      <c r="C2013" s="689">
        <v>53.5</v>
      </c>
      <c r="D2013" s="689">
        <v>53.2</v>
      </c>
      <c r="E2013" s="689">
        <v>53.5</v>
      </c>
      <c r="F2013" s="689">
        <v>53.5</v>
      </c>
      <c r="G2013" s="689">
        <v>53.5</v>
      </c>
      <c r="H2013" s="689">
        <v>53.8</v>
      </c>
      <c r="I2013" s="689">
        <v>53.6</v>
      </c>
      <c r="J2013" s="689">
        <v>53.2</v>
      </c>
      <c r="K2013" s="689">
        <v>53.1</v>
      </c>
    </row>
    <row r="2014" spans="1:11">
      <c r="A2014" s="688" t="s">
        <v>4</v>
      </c>
      <c r="B2014" s="691">
        <v>50.3</v>
      </c>
      <c r="C2014" s="615">
        <v>50</v>
      </c>
      <c r="D2014" s="691">
        <v>50.4</v>
      </c>
      <c r="E2014" s="691">
        <v>50.6</v>
      </c>
      <c r="F2014" s="691">
        <v>50.9</v>
      </c>
      <c r="G2014" s="615">
        <v>51</v>
      </c>
      <c r="H2014" s="691">
        <v>51.4</v>
      </c>
      <c r="I2014" s="691">
        <v>51.3</v>
      </c>
      <c r="J2014" s="691">
        <v>49.8</v>
      </c>
      <c r="K2014" s="691">
        <v>50.7</v>
      </c>
    </row>
    <row r="2015" spans="1:11">
      <c r="A2015" s="688" t="s">
        <v>8</v>
      </c>
      <c r="B2015" s="689">
        <v>53.7</v>
      </c>
      <c r="C2015" s="689">
        <v>53.9</v>
      </c>
      <c r="D2015" s="693">
        <v>54</v>
      </c>
      <c r="E2015" s="689">
        <v>54.1</v>
      </c>
      <c r="F2015" s="689">
        <v>54.6</v>
      </c>
      <c r="G2015" s="689">
        <v>54.6</v>
      </c>
      <c r="H2015" s="693">
        <v>55</v>
      </c>
      <c r="I2015" s="689">
        <v>54.8</v>
      </c>
      <c r="J2015" s="689">
        <v>54.6</v>
      </c>
      <c r="K2015" s="689">
        <v>54.9</v>
      </c>
    </row>
    <row r="2016" spans="1:11">
      <c r="A2016" s="688" t="s">
        <v>7</v>
      </c>
      <c r="B2016" s="691">
        <v>54.1</v>
      </c>
      <c r="C2016" s="691">
        <v>53.7</v>
      </c>
      <c r="D2016" s="691">
        <v>53.5</v>
      </c>
      <c r="E2016" s="691">
        <v>53.8</v>
      </c>
      <c r="F2016" s="691">
        <v>53.7</v>
      </c>
      <c r="G2016" s="691">
        <v>54.1</v>
      </c>
      <c r="H2016" s="691">
        <v>54.1</v>
      </c>
      <c r="I2016" s="691">
        <v>53.7</v>
      </c>
      <c r="J2016" s="691">
        <v>52.7</v>
      </c>
      <c r="K2016" s="691">
        <v>53.4</v>
      </c>
    </row>
    <row r="2017" spans="1:11">
      <c r="A2017" s="688" t="s">
        <v>27</v>
      </c>
      <c r="B2017" s="689">
        <v>55.7</v>
      </c>
      <c r="C2017" s="689">
        <v>55.4</v>
      </c>
      <c r="D2017" s="689">
        <v>55.1</v>
      </c>
      <c r="E2017" s="689">
        <v>55.6</v>
      </c>
      <c r="F2017" s="689">
        <v>55.5</v>
      </c>
      <c r="G2017" s="689">
        <v>55.6</v>
      </c>
      <c r="H2017" s="693">
        <v>56</v>
      </c>
      <c r="I2017" s="689">
        <v>54.7</v>
      </c>
      <c r="J2017" s="689">
        <v>55.5</v>
      </c>
      <c r="K2017" s="689">
        <v>55.6</v>
      </c>
    </row>
    <row r="2018" spans="1:11">
      <c r="A2018" s="688" t="s">
        <v>6</v>
      </c>
      <c r="B2018" s="691">
        <v>55.1</v>
      </c>
      <c r="C2018" s="691">
        <v>55.1</v>
      </c>
      <c r="D2018" s="691">
        <v>54.8</v>
      </c>
      <c r="E2018" s="691">
        <v>55.1</v>
      </c>
      <c r="F2018" s="691">
        <v>55.2</v>
      </c>
      <c r="G2018" s="691">
        <v>55.3</v>
      </c>
      <c r="H2018" s="691">
        <v>55.4</v>
      </c>
      <c r="I2018" s="691">
        <v>54.8</v>
      </c>
      <c r="J2018" s="691">
        <v>54.9</v>
      </c>
      <c r="K2018" s="615">
        <v>55</v>
      </c>
    </row>
    <row r="2019" spans="1:11">
      <c r="A2019" s="688" t="s">
        <v>4058</v>
      </c>
      <c r="B2019" s="690" t="s">
        <v>4060</v>
      </c>
      <c r="C2019" s="690" t="s">
        <v>4060</v>
      </c>
      <c r="D2019" s="690" t="s">
        <v>4060</v>
      </c>
      <c r="E2019" s="690" t="s">
        <v>4060</v>
      </c>
      <c r="F2019" s="690" t="s">
        <v>4060</v>
      </c>
      <c r="G2019" s="690" t="s">
        <v>4060</v>
      </c>
      <c r="H2019" s="690" t="s">
        <v>4060</v>
      </c>
      <c r="I2019" s="690" t="s">
        <v>4060</v>
      </c>
      <c r="J2019" s="690" t="s">
        <v>4060</v>
      </c>
      <c r="K2019" s="690" t="s">
        <v>4060</v>
      </c>
    </row>
    <row r="2020" spans="1:11">
      <c r="A2020" s="688" t="s">
        <v>11</v>
      </c>
      <c r="B2020" s="691">
        <v>50.5</v>
      </c>
      <c r="C2020" s="691">
        <v>50.5</v>
      </c>
      <c r="D2020" s="691">
        <v>50.1</v>
      </c>
      <c r="E2020" s="691">
        <v>50.8</v>
      </c>
      <c r="F2020" s="691">
        <v>50.6</v>
      </c>
      <c r="G2020" s="691">
        <v>50.8</v>
      </c>
      <c r="H2020" s="615">
        <v>51</v>
      </c>
      <c r="I2020" s="691">
        <v>50.3</v>
      </c>
      <c r="J2020" s="691">
        <v>49.3</v>
      </c>
      <c r="K2020" s="691">
        <v>50.4</v>
      </c>
    </row>
    <row r="2021" spans="1:11">
      <c r="A2021" s="688" t="s">
        <v>10</v>
      </c>
      <c r="B2021" s="689">
        <v>55.4</v>
      </c>
      <c r="C2021" s="689">
        <v>55.4</v>
      </c>
      <c r="D2021" s="693">
        <v>55</v>
      </c>
      <c r="E2021" s="689">
        <v>55.6</v>
      </c>
      <c r="F2021" s="689">
        <v>55.4</v>
      </c>
      <c r="G2021" s="689">
        <v>55.7</v>
      </c>
      <c r="H2021" s="689">
        <v>55.9</v>
      </c>
      <c r="I2021" s="689">
        <v>54.7</v>
      </c>
      <c r="J2021" s="689">
        <v>55.1</v>
      </c>
      <c r="K2021" s="689">
        <v>55.2</v>
      </c>
    </row>
    <row r="2022" spans="1:11">
      <c r="A2022" s="688" t="s">
        <v>30</v>
      </c>
      <c r="B2022" s="615">
        <v>55</v>
      </c>
      <c r="C2022" s="691">
        <v>54.8</v>
      </c>
      <c r="D2022" s="691">
        <v>54.5</v>
      </c>
      <c r="E2022" s="691">
        <v>55.3</v>
      </c>
      <c r="F2022" s="691">
        <v>54.9</v>
      </c>
      <c r="G2022" s="691">
        <v>55.5</v>
      </c>
      <c r="H2022" s="691">
        <v>55.2</v>
      </c>
      <c r="I2022" s="691">
        <v>55.2</v>
      </c>
      <c r="J2022" s="691">
        <v>54.3</v>
      </c>
      <c r="K2022" s="691">
        <v>54.8</v>
      </c>
    </row>
    <row r="2023" spans="1:11">
      <c r="A2023" s="688" t="s">
        <v>12</v>
      </c>
      <c r="B2023" s="689">
        <v>47.3</v>
      </c>
      <c r="C2023" s="689">
        <v>47.4</v>
      </c>
      <c r="D2023" s="689">
        <v>47.6</v>
      </c>
      <c r="E2023" s="689">
        <v>47.7</v>
      </c>
      <c r="F2023" s="689">
        <v>47.8</v>
      </c>
      <c r="G2023" s="689">
        <v>47.9</v>
      </c>
      <c r="H2023" s="689">
        <v>48.5</v>
      </c>
      <c r="I2023" s="689">
        <v>48.2</v>
      </c>
      <c r="J2023" s="689">
        <v>45.9</v>
      </c>
      <c r="K2023" s="689">
        <v>47.3</v>
      </c>
    </row>
    <row r="2024" spans="1:11">
      <c r="A2024" s="688" t="s">
        <v>14</v>
      </c>
      <c r="B2024" s="691">
        <v>47.2</v>
      </c>
      <c r="C2024" s="691">
        <v>47.7</v>
      </c>
      <c r="D2024" s="691">
        <v>47.5</v>
      </c>
      <c r="E2024" s="691">
        <v>47.8</v>
      </c>
      <c r="F2024" s="691">
        <v>48.5</v>
      </c>
      <c r="G2024" s="691">
        <v>48.7</v>
      </c>
      <c r="H2024" s="691">
        <v>49.2</v>
      </c>
      <c r="I2024" s="691">
        <v>47.9</v>
      </c>
      <c r="J2024" s="691">
        <v>47.1</v>
      </c>
      <c r="K2024" s="691">
        <v>48.5</v>
      </c>
    </row>
    <row r="2025" spans="1:11">
      <c r="A2025" s="688" t="s">
        <v>15</v>
      </c>
      <c r="B2025" s="689">
        <v>54.5</v>
      </c>
      <c r="C2025" s="689">
        <v>54.4</v>
      </c>
      <c r="D2025" s="689">
        <v>54.5</v>
      </c>
      <c r="E2025" s="689">
        <v>54.9</v>
      </c>
      <c r="F2025" s="689">
        <v>54.4</v>
      </c>
      <c r="G2025" s="689">
        <v>54.7</v>
      </c>
      <c r="H2025" s="689">
        <v>55.1</v>
      </c>
      <c r="I2025" s="689">
        <v>54.7</v>
      </c>
      <c r="J2025" s="693">
        <v>55</v>
      </c>
      <c r="K2025" s="689">
        <v>55.5</v>
      </c>
    </row>
    <row r="2026" spans="1:11">
      <c r="A2026" s="688" t="s">
        <v>29</v>
      </c>
      <c r="B2026" s="691">
        <v>48.5</v>
      </c>
      <c r="C2026" s="691">
        <v>48.5</v>
      </c>
      <c r="D2026" s="691">
        <v>48.3</v>
      </c>
      <c r="E2026" s="691">
        <v>48.8</v>
      </c>
      <c r="F2026" s="691">
        <v>48.5</v>
      </c>
      <c r="G2026" s="691">
        <v>48.7</v>
      </c>
      <c r="H2026" s="615">
        <v>49</v>
      </c>
      <c r="I2026" s="691">
        <v>48.2</v>
      </c>
      <c r="J2026" s="691">
        <v>46.8</v>
      </c>
      <c r="K2026" s="691">
        <v>48.6</v>
      </c>
    </row>
    <row r="2027" spans="1:11">
      <c r="A2027" s="688" t="s">
        <v>16</v>
      </c>
      <c r="B2027" s="689">
        <v>54.7</v>
      </c>
      <c r="C2027" s="689">
        <v>54.5</v>
      </c>
      <c r="D2027" s="689">
        <v>54.6</v>
      </c>
      <c r="E2027" s="693">
        <v>55</v>
      </c>
      <c r="F2027" s="689">
        <v>54.9</v>
      </c>
      <c r="G2027" s="689">
        <v>54.8</v>
      </c>
      <c r="H2027" s="689">
        <v>55.3</v>
      </c>
      <c r="I2027" s="689">
        <v>54.6</v>
      </c>
      <c r="J2027" s="689">
        <v>54.6</v>
      </c>
      <c r="K2027" s="689">
        <v>54.9</v>
      </c>
    </row>
    <row r="2028" spans="1:11">
      <c r="A2028" s="688" t="s">
        <v>17</v>
      </c>
      <c r="B2028" s="615">
        <v>54</v>
      </c>
      <c r="C2028" s="691">
        <v>54.2</v>
      </c>
      <c r="D2028" s="615">
        <v>54</v>
      </c>
      <c r="E2028" s="691">
        <v>54.1</v>
      </c>
      <c r="F2028" s="691">
        <v>54.3</v>
      </c>
      <c r="G2028" s="691">
        <v>54.4</v>
      </c>
      <c r="H2028" s="691">
        <v>54.6</v>
      </c>
      <c r="I2028" s="615">
        <v>54</v>
      </c>
      <c r="J2028" s="691">
        <v>53.9</v>
      </c>
      <c r="K2028" s="691">
        <v>54.2</v>
      </c>
    </row>
    <row r="2029" spans="1:11">
      <c r="A2029" s="688" t="s">
        <v>19</v>
      </c>
      <c r="B2029" s="689">
        <v>53.9</v>
      </c>
      <c r="C2029" s="693">
        <v>54</v>
      </c>
      <c r="D2029" s="689">
        <v>53.8</v>
      </c>
      <c r="E2029" s="689">
        <v>54.2</v>
      </c>
      <c r="F2029" s="689">
        <v>54.2</v>
      </c>
      <c r="G2029" s="689">
        <v>54.3</v>
      </c>
      <c r="H2029" s="689">
        <v>54.6</v>
      </c>
      <c r="I2029" s="689">
        <v>53.9</v>
      </c>
      <c r="J2029" s="689">
        <v>53.9</v>
      </c>
      <c r="K2029" s="693">
        <v>54</v>
      </c>
    </row>
    <row r="2030" spans="1:11">
      <c r="A2030" s="688" t="s">
        <v>20</v>
      </c>
      <c r="B2030" s="615">
        <v>50</v>
      </c>
      <c r="C2030" s="691">
        <v>50.4</v>
      </c>
      <c r="D2030" s="691">
        <v>50.2</v>
      </c>
      <c r="E2030" s="691">
        <v>50.6</v>
      </c>
      <c r="F2030" s="691">
        <v>50.5</v>
      </c>
      <c r="G2030" s="691">
        <v>50.4</v>
      </c>
      <c r="H2030" s="691">
        <v>50.6</v>
      </c>
      <c r="I2030" s="691">
        <v>49.2</v>
      </c>
      <c r="J2030" s="691">
        <v>48.2</v>
      </c>
      <c r="K2030" s="691">
        <v>49.9</v>
      </c>
    </row>
    <row r="2031" spans="1:11">
      <c r="A2031" s="688" t="s">
        <v>21</v>
      </c>
      <c r="B2031" s="689">
        <v>53.5</v>
      </c>
      <c r="C2031" s="689">
        <v>53.9</v>
      </c>
      <c r="D2031" s="689">
        <v>53.9</v>
      </c>
      <c r="E2031" s="689">
        <v>53.9</v>
      </c>
      <c r="F2031" s="689">
        <v>54.2</v>
      </c>
      <c r="G2031" s="689">
        <v>54.2</v>
      </c>
      <c r="H2031" s="689">
        <v>54.5</v>
      </c>
      <c r="I2031" s="689">
        <v>53.9</v>
      </c>
      <c r="J2031" s="689">
        <v>53.9</v>
      </c>
      <c r="K2031" s="689">
        <v>54.3</v>
      </c>
    </row>
    <row r="2032" spans="1:11">
      <c r="A2032" s="688" t="s">
        <v>22</v>
      </c>
      <c r="B2032" s="691">
        <v>48.5</v>
      </c>
      <c r="C2032" s="691">
        <v>48.2</v>
      </c>
      <c r="D2032" s="691">
        <v>48.1</v>
      </c>
      <c r="E2032" s="691">
        <v>48.3</v>
      </c>
      <c r="F2032" s="691">
        <v>48.3</v>
      </c>
      <c r="G2032" s="691">
        <v>48.3</v>
      </c>
      <c r="H2032" s="691">
        <v>48.6</v>
      </c>
      <c r="I2032" s="615">
        <v>47</v>
      </c>
      <c r="J2032" s="691">
        <v>45.7</v>
      </c>
      <c r="K2032" s="691">
        <v>48.1</v>
      </c>
    </row>
    <row r="2033" spans="1:11">
      <c r="A2033" s="688" t="s">
        <v>26</v>
      </c>
      <c r="B2033" s="689">
        <v>53.1</v>
      </c>
      <c r="C2033" s="689">
        <v>53.4</v>
      </c>
      <c r="D2033" s="689">
        <v>53.1</v>
      </c>
      <c r="E2033" s="689">
        <v>53.6</v>
      </c>
      <c r="F2033" s="689">
        <v>53.5</v>
      </c>
      <c r="G2033" s="689">
        <v>53.7</v>
      </c>
      <c r="H2033" s="689">
        <v>53.9</v>
      </c>
      <c r="I2033" s="693">
        <v>53</v>
      </c>
      <c r="J2033" s="689">
        <v>53.1</v>
      </c>
      <c r="K2033" s="689">
        <v>53.7</v>
      </c>
    </row>
    <row r="2034" spans="1:11">
      <c r="A2034" s="688" t="s">
        <v>25</v>
      </c>
      <c r="B2034" s="691">
        <v>49.5</v>
      </c>
      <c r="C2034" s="691">
        <v>49.8</v>
      </c>
      <c r="D2034" s="691">
        <v>49.6</v>
      </c>
      <c r="E2034" s="691">
        <v>50.1</v>
      </c>
      <c r="F2034" s="691">
        <v>50.1</v>
      </c>
      <c r="G2034" s="691">
        <v>50.2</v>
      </c>
      <c r="H2034" s="691">
        <v>50.6</v>
      </c>
      <c r="I2034" s="691">
        <v>49.9</v>
      </c>
      <c r="J2034" s="691">
        <v>47.5</v>
      </c>
      <c r="K2034" s="691">
        <v>49.9</v>
      </c>
    </row>
    <row r="2035" spans="1:11">
      <c r="A2035" s="688" t="s">
        <v>5</v>
      </c>
      <c r="B2035" s="689">
        <v>53.7</v>
      </c>
      <c r="C2035" s="689">
        <v>53.7</v>
      </c>
      <c r="D2035" s="689">
        <v>53.9</v>
      </c>
      <c r="E2035" s="689">
        <v>53.9</v>
      </c>
      <c r="F2035" s="689">
        <v>54.1</v>
      </c>
      <c r="G2035" s="689">
        <v>54.2</v>
      </c>
      <c r="H2035" s="689">
        <v>54.6</v>
      </c>
      <c r="I2035" s="689">
        <v>54.5</v>
      </c>
      <c r="J2035" s="689">
        <v>54.4</v>
      </c>
      <c r="K2035" s="689">
        <v>53.8</v>
      </c>
    </row>
    <row r="2036" spans="1:11">
      <c r="A2036" s="688" t="s">
        <v>23</v>
      </c>
      <c r="B2036" s="691">
        <v>54.6</v>
      </c>
      <c r="C2036" s="691">
        <v>54.8</v>
      </c>
      <c r="D2036" s="691">
        <v>54.8</v>
      </c>
      <c r="E2036" s="691">
        <v>54.9</v>
      </c>
      <c r="F2036" s="615">
        <v>55</v>
      </c>
      <c r="G2036" s="691">
        <v>55.1</v>
      </c>
      <c r="H2036" s="691">
        <v>55.6</v>
      </c>
      <c r="I2036" s="615">
        <v>55</v>
      </c>
      <c r="J2036" s="691">
        <v>55.5</v>
      </c>
      <c r="K2036" s="691">
        <v>55.6</v>
      </c>
    </row>
    <row r="2037" spans="1:11">
      <c r="A2037" s="688" t="s">
        <v>4067</v>
      </c>
      <c r="B2037" s="689">
        <v>53.3</v>
      </c>
      <c r="C2037" s="689">
        <v>53.6</v>
      </c>
      <c r="D2037" s="689">
        <v>53.3</v>
      </c>
      <c r="E2037" s="689">
        <v>53.6</v>
      </c>
      <c r="F2037" s="689">
        <v>53.6</v>
      </c>
      <c r="G2037" s="689">
        <v>53.7</v>
      </c>
      <c r="H2037" s="690" t="s">
        <v>4060</v>
      </c>
      <c r="I2037" s="690" t="s">
        <v>4060</v>
      </c>
      <c r="J2037" s="690" t="s">
        <v>4060</v>
      </c>
      <c r="K2037" s="690" t="s">
        <v>4060</v>
      </c>
    </row>
    <row r="2038" spans="1:11">
      <c r="A2038" s="688" t="s">
        <v>4066</v>
      </c>
      <c r="B2038" s="691">
        <v>53.3</v>
      </c>
      <c r="C2038" s="691">
        <v>53.6</v>
      </c>
      <c r="D2038" s="691">
        <v>53.3</v>
      </c>
      <c r="E2038" s="691">
        <v>53.7</v>
      </c>
      <c r="F2038" s="691">
        <v>53.6</v>
      </c>
      <c r="G2038" s="691">
        <v>53.7</v>
      </c>
      <c r="H2038" s="692" t="s">
        <v>4060</v>
      </c>
      <c r="I2038" s="692" t="s">
        <v>4060</v>
      </c>
      <c r="J2038" s="692" t="s">
        <v>4060</v>
      </c>
      <c r="K2038" s="692" t="s">
        <v>4060</v>
      </c>
    </row>
    <row r="2039" spans="1:11">
      <c r="A2039" s="688" t="s">
        <v>4062</v>
      </c>
      <c r="B2039" s="689">
        <v>55.1</v>
      </c>
      <c r="C2039" s="689">
        <v>55.3</v>
      </c>
      <c r="D2039" s="689">
        <v>55.3</v>
      </c>
      <c r="E2039" s="689">
        <v>55.6</v>
      </c>
      <c r="F2039" s="689">
        <v>55.7</v>
      </c>
      <c r="G2039" s="689">
        <v>55.9</v>
      </c>
      <c r="H2039" s="693">
        <v>56</v>
      </c>
      <c r="I2039" s="689">
        <v>55.7</v>
      </c>
      <c r="J2039" s="693">
        <v>56</v>
      </c>
      <c r="K2039" s="689">
        <v>55.7</v>
      </c>
    </row>
    <row r="2040" spans="1:11">
      <c r="A2040" s="688" t="s">
        <v>9</v>
      </c>
      <c r="B2040" s="691">
        <v>54.6</v>
      </c>
      <c r="C2040" s="691">
        <v>55.1</v>
      </c>
      <c r="D2040" s="615">
        <v>55</v>
      </c>
      <c r="E2040" s="691">
        <v>54.6</v>
      </c>
      <c r="F2040" s="615">
        <v>55</v>
      </c>
      <c r="G2040" s="691">
        <v>55.2</v>
      </c>
      <c r="H2040" s="691">
        <v>55.3</v>
      </c>
      <c r="I2040" s="691">
        <v>55.4</v>
      </c>
      <c r="J2040" s="691">
        <v>55.7</v>
      </c>
      <c r="K2040" s="691">
        <v>54.6</v>
      </c>
    </row>
    <row r="2041" spans="1:11">
      <c r="A2041" s="688" t="s">
        <v>13</v>
      </c>
      <c r="B2041" s="689">
        <v>55.1</v>
      </c>
      <c r="C2041" s="689">
        <v>54.5</v>
      </c>
      <c r="D2041" s="689">
        <v>55.3</v>
      </c>
      <c r="E2041" s="689">
        <v>54.8</v>
      </c>
      <c r="F2041" s="689">
        <v>55.8</v>
      </c>
      <c r="G2041" s="689">
        <v>55.4</v>
      </c>
      <c r="H2041" s="689">
        <v>56.3</v>
      </c>
      <c r="I2041" s="689">
        <v>55.3</v>
      </c>
      <c r="J2041" s="689">
        <v>56.4</v>
      </c>
      <c r="K2041" s="689">
        <v>56.6</v>
      </c>
    </row>
    <row r="2042" spans="1:11">
      <c r="A2042" s="688" t="s">
        <v>18</v>
      </c>
      <c r="B2042" s="691">
        <v>54.4</v>
      </c>
      <c r="C2042" s="691">
        <v>54.6</v>
      </c>
      <c r="D2042" s="691">
        <v>54.8</v>
      </c>
      <c r="E2042" s="691">
        <v>54.9</v>
      </c>
      <c r="F2042" s="691">
        <v>55.2</v>
      </c>
      <c r="G2042" s="691">
        <v>55.3</v>
      </c>
      <c r="H2042" s="691">
        <v>55.5</v>
      </c>
      <c r="I2042" s="691">
        <v>55.7</v>
      </c>
      <c r="J2042" s="691">
        <v>55.7</v>
      </c>
      <c r="K2042" s="691">
        <v>55.1</v>
      </c>
    </row>
    <row r="2043" spans="1:11">
      <c r="A2043" s="688" t="s">
        <v>24</v>
      </c>
      <c r="B2043" s="689">
        <v>55.6</v>
      </c>
      <c r="C2043" s="689">
        <v>55.7</v>
      </c>
      <c r="D2043" s="689">
        <v>55.5</v>
      </c>
      <c r="E2043" s="693">
        <v>56</v>
      </c>
      <c r="F2043" s="693">
        <v>56</v>
      </c>
      <c r="G2043" s="689">
        <v>56.2</v>
      </c>
      <c r="H2043" s="689">
        <v>56.4</v>
      </c>
      <c r="I2043" s="689">
        <v>55.7</v>
      </c>
      <c r="J2043" s="689">
        <v>56.2</v>
      </c>
      <c r="K2043" s="689">
        <v>56.1</v>
      </c>
    </row>
    <row r="2044" spans="1:11">
      <c r="A2044" s="688" t="s">
        <v>4059</v>
      </c>
      <c r="B2044" s="691">
        <v>53.8</v>
      </c>
      <c r="C2044" s="615">
        <v>54</v>
      </c>
      <c r="D2044" s="691">
        <v>53.7</v>
      </c>
      <c r="E2044" s="691">
        <v>53.9</v>
      </c>
      <c r="F2044" s="615">
        <v>54</v>
      </c>
      <c r="G2044" s="615">
        <v>54</v>
      </c>
      <c r="H2044" s="692" t="s">
        <v>4060</v>
      </c>
      <c r="I2044" s="692" t="s">
        <v>4060</v>
      </c>
      <c r="J2044" s="692" t="s">
        <v>4060</v>
      </c>
      <c r="K2044" s="692" t="s">
        <v>4060</v>
      </c>
    </row>
    <row r="2045" spans="1:11">
      <c r="A2045" s="688" t="s">
        <v>2324</v>
      </c>
      <c r="B2045" s="689">
        <v>49.3</v>
      </c>
      <c r="C2045" s="689">
        <v>49.3</v>
      </c>
      <c r="D2045" s="689">
        <v>49.1</v>
      </c>
      <c r="E2045" s="689">
        <v>49.2</v>
      </c>
      <c r="F2045" s="689">
        <v>49.2</v>
      </c>
      <c r="G2045" s="689">
        <v>49.4</v>
      </c>
      <c r="H2045" s="689">
        <v>49.4</v>
      </c>
      <c r="I2045" s="689">
        <v>48.5</v>
      </c>
      <c r="J2045" s="689">
        <v>46.3</v>
      </c>
      <c r="K2045" s="690" t="s">
        <v>4060</v>
      </c>
    </row>
    <row r="2046" spans="1:11">
      <c r="A2046" s="688" t="s">
        <v>2322</v>
      </c>
      <c r="B2046" s="692" t="s">
        <v>4060</v>
      </c>
      <c r="C2046" s="692" t="s">
        <v>4060</v>
      </c>
      <c r="D2046" s="692" t="s">
        <v>4060</v>
      </c>
      <c r="E2046" s="692" t="s">
        <v>4060</v>
      </c>
      <c r="F2046" s="692" t="s">
        <v>4060</v>
      </c>
      <c r="G2046" s="692" t="s">
        <v>4060</v>
      </c>
      <c r="H2046" s="692" t="s">
        <v>4060</v>
      </c>
      <c r="I2046" s="692" t="s">
        <v>4060</v>
      </c>
      <c r="J2046" s="692" t="s">
        <v>4060</v>
      </c>
      <c r="K2046" s="692" t="s">
        <v>4060</v>
      </c>
    </row>
    <row r="2047" spans="1:11">
      <c r="A2047" s="688" t="s">
        <v>2328</v>
      </c>
      <c r="B2047" s="689">
        <v>48.7</v>
      </c>
      <c r="C2047" s="689">
        <v>48.7</v>
      </c>
      <c r="D2047" s="689">
        <v>48.6</v>
      </c>
      <c r="E2047" s="689">
        <v>48.8</v>
      </c>
      <c r="F2047" s="689">
        <v>49.1</v>
      </c>
      <c r="G2047" s="689">
        <v>49.5</v>
      </c>
      <c r="H2047" s="689">
        <v>49.4</v>
      </c>
      <c r="I2047" s="689">
        <v>47.2</v>
      </c>
      <c r="J2047" s="693">
        <v>46</v>
      </c>
      <c r="K2047" s="690" t="s">
        <v>4060</v>
      </c>
    </row>
    <row r="2048" spans="1:11">
      <c r="A2048" s="688" t="s">
        <v>2496</v>
      </c>
      <c r="B2048" s="692" t="s">
        <v>4060</v>
      </c>
      <c r="C2048" s="691">
        <v>47.6</v>
      </c>
      <c r="D2048" s="691">
        <v>46.5</v>
      </c>
      <c r="E2048" s="691">
        <v>46.2</v>
      </c>
      <c r="F2048" s="615">
        <v>47</v>
      </c>
      <c r="G2048" s="691">
        <v>47.3</v>
      </c>
      <c r="H2048" s="691">
        <v>47.4</v>
      </c>
      <c r="I2048" s="692" t="s">
        <v>4060</v>
      </c>
      <c r="J2048" s="692" t="s">
        <v>4060</v>
      </c>
      <c r="K2048" s="691">
        <v>46.9</v>
      </c>
    </row>
    <row r="2049" spans="1:11">
      <c r="A2049" s="688" t="s">
        <v>2269</v>
      </c>
      <c r="B2049" s="689">
        <v>51.3</v>
      </c>
      <c r="C2049" s="689">
        <v>51.5</v>
      </c>
      <c r="D2049" s="689">
        <v>51.1</v>
      </c>
      <c r="E2049" s="689">
        <v>51.7</v>
      </c>
      <c r="F2049" s="689">
        <v>51.7</v>
      </c>
      <c r="G2049" s="689">
        <v>52.1</v>
      </c>
      <c r="H2049" s="689">
        <v>52.4</v>
      </c>
      <c r="I2049" s="689">
        <v>50.5</v>
      </c>
      <c r="J2049" s="689">
        <v>48.6</v>
      </c>
      <c r="K2049" s="693">
        <v>52</v>
      </c>
    </row>
    <row r="2050" spans="1:11">
      <c r="A2050" s="688" t="s">
        <v>2349</v>
      </c>
      <c r="B2050" s="691">
        <v>48.2</v>
      </c>
      <c r="C2050" s="691">
        <v>48.3</v>
      </c>
      <c r="D2050" s="691">
        <v>48.2</v>
      </c>
      <c r="E2050" s="691">
        <v>48.6</v>
      </c>
      <c r="F2050" s="691">
        <v>48.4</v>
      </c>
      <c r="G2050" s="691">
        <v>48.7</v>
      </c>
      <c r="H2050" s="691">
        <v>48.8</v>
      </c>
      <c r="I2050" s="691">
        <v>47.2</v>
      </c>
      <c r="J2050" s="691">
        <v>45.6</v>
      </c>
      <c r="K2050" s="615">
        <v>48</v>
      </c>
    </row>
    <row r="2051" spans="1:11">
      <c r="A2051" s="688" t="s">
        <v>2355</v>
      </c>
      <c r="B2051" s="689">
        <v>51.9</v>
      </c>
      <c r="C2051" s="689">
        <v>51.8</v>
      </c>
      <c r="D2051" s="689">
        <v>51.8</v>
      </c>
      <c r="E2051" s="689">
        <v>51.7</v>
      </c>
      <c r="F2051" s="689">
        <v>51.9</v>
      </c>
      <c r="G2051" s="689">
        <v>52.3</v>
      </c>
      <c r="H2051" s="689">
        <v>52.4</v>
      </c>
      <c r="I2051" s="690" t="s">
        <v>4060</v>
      </c>
      <c r="J2051" s="690" t="s">
        <v>4060</v>
      </c>
      <c r="K2051" s="690" t="s">
        <v>4060</v>
      </c>
    </row>
    <row r="2052" spans="1:11">
      <c r="A2052" s="688" t="s">
        <v>2357</v>
      </c>
      <c r="B2052" s="692" t="s">
        <v>4060</v>
      </c>
      <c r="C2052" s="691">
        <v>45.2</v>
      </c>
      <c r="D2052" s="691">
        <v>45.9</v>
      </c>
      <c r="E2052" s="691">
        <v>46.2</v>
      </c>
      <c r="F2052" s="691">
        <v>46.5</v>
      </c>
      <c r="G2052" s="691">
        <v>46.3</v>
      </c>
      <c r="H2052" s="691">
        <v>46.6</v>
      </c>
      <c r="I2052" s="692" t="s">
        <v>4060</v>
      </c>
      <c r="J2052" s="692" t="s">
        <v>4060</v>
      </c>
      <c r="K2052" s="692" t="s">
        <v>4060</v>
      </c>
    </row>
    <row r="2053" spans="1:11">
      <c r="A2053" s="688" t="s">
        <v>4070</v>
      </c>
      <c r="B2053" s="690" t="s">
        <v>4060</v>
      </c>
      <c r="C2053" s="690" t="s">
        <v>4060</v>
      </c>
      <c r="D2053" s="690" t="s">
        <v>4060</v>
      </c>
      <c r="E2053" s="689">
        <v>51.5</v>
      </c>
      <c r="F2053" s="690" t="s">
        <v>4060</v>
      </c>
      <c r="G2053" s="690" t="s">
        <v>4060</v>
      </c>
      <c r="H2053" s="690" t="s">
        <v>4060</v>
      </c>
      <c r="I2053" s="690" t="s">
        <v>4060</v>
      </c>
      <c r="J2053" s="690" t="s">
        <v>4060</v>
      </c>
      <c r="K2053" s="690" t="s">
        <v>4060</v>
      </c>
    </row>
    <row r="2054" spans="1:11">
      <c r="A2054" s="688" t="s">
        <v>2491</v>
      </c>
      <c r="B2054" s="691">
        <v>45.7</v>
      </c>
      <c r="C2054" s="691">
        <v>46.3</v>
      </c>
      <c r="D2054" s="691">
        <v>46.8</v>
      </c>
      <c r="E2054" s="615">
        <v>47</v>
      </c>
      <c r="F2054" s="691">
        <v>47.2</v>
      </c>
      <c r="G2054" s="691">
        <v>47.2</v>
      </c>
      <c r="H2054" s="692" t="s">
        <v>4060</v>
      </c>
      <c r="I2054" s="692" t="s">
        <v>4060</v>
      </c>
      <c r="J2054" s="692" t="s">
        <v>4060</v>
      </c>
      <c r="K2054" s="692" t="s">
        <v>4060</v>
      </c>
    </row>
    <row r="2055" spans="1:11">
      <c r="A2055" s="688" t="s">
        <v>2343</v>
      </c>
      <c r="B2055" s="690" t="s">
        <v>4060</v>
      </c>
      <c r="C2055" s="690" t="s">
        <v>4060</v>
      </c>
      <c r="D2055" s="690" t="s">
        <v>4060</v>
      </c>
      <c r="E2055" s="690" t="s">
        <v>4060</v>
      </c>
      <c r="F2055" s="690" t="s">
        <v>4060</v>
      </c>
      <c r="G2055" s="690" t="s">
        <v>4060</v>
      </c>
      <c r="H2055" s="690" t="s">
        <v>4060</v>
      </c>
      <c r="I2055" s="690" t="s">
        <v>4060</v>
      </c>
      <c r="J2055" s="690" t="s">
        <v>4060</v>
      </c>
      <c r="K2055" s="690" t="s">
        <v>4060</v>
      </c>
    </row>
    <row r="2056" spans="1:11">
      <c r="A2056" s="688" t="s">
        <v>4071</v>
      </c>
      <c r="B2056" s="692" t="s">
        <v>4060</v>
      </c>
      <c r="C2056" s="692" t="s">
        <v>4060</v>
      </c>
      <c r="D2056" s="692" t="s">
        <v>4060</v>
      </c>
      <c r="E2056" s="692" t="s">
        <v>4060</v>
      </c>
      <c r="F2056" s="692" t="s">
        <v>4060</v>
      </c>
      <c r="G2056" s="692" t="s">
        <v>4060</v>
      </c>
      <c r="H2056" s="692" t="s">
        <v>4060</v>
      </c>
      <c r="I2056" s="692" t="s">
        <v>4060</v>
      </c>
      <c r="J2056" s="692" t="s">
        <v>4060</v>
      </c>
      <c r="K2056" s="692" t="s">
        <v>4060</v>
      </c>
    </row>
    <row r="2057" spans="1:11">
      <c r="A2057" s="688" t="s">
        <v>2489</v>
      </c>
      <c r="B2057" s="690" t="s">
        <v>4060</v>
      </c>
      <c r="C2057" s="690" t="s">
        <v>4060</v>
      </c>
      <c r="D2057" s="689">
        <v>48.4</v>
      </c>
      <c r="E2057" s="689">
        <v>48.4</v>
      </c>
      <c r="F2057" s="693">
        <v>49</v>
      </c>
      <c r="G2057" s="689">
        <v>49.8</v>
      </c>
      <c r="H2057" s="689">
        <v>49.6</v>
      </c>
      <c r="I2057" s="690" t="s">
        <v>4060</v>
      </c>
      <c r="J2057" s="690" t="s">
        <v>4060</v>
      </c>
      <c r="K2057" s="690" t="s">
        <v>4060</v>
      </c>
    </row>
    <row r="2058" spans="1:11">
      <c r="A2058" s="688" t="s">
        <v>2490</v>
      </c>
      <c r="B2058" s="691">
        <v>48.2</v>
      </c>
      <c r="C2058" s="691">
        <v>48.3</v>
      </c>
      <c r="D2058" s="691">
        <v>48.9</v>
      </c>
      <c r="E2058" s="692" t="s">
        <v>4060</v>
      </c>
      <c r="F2058" s="691">
        <v>49.1</v>
      </c>
      <c r="G2058" s="691">
        <v>49.5</v>
      </c>
      <c r="H2058" s="691">
        <v>50.2</v>
      </c>
      <c r="I2058" s="692" t="s">
        <v>4060</v>
      </c>
      <c r="J2058" s="692" t="s">
        <v>4060</v>
      </c>
      <c r="K2058" s="692" t="s">
        <v>4060</v>
      </c>
    </row>
    <row r="2060" spans="1:11">
      <c r="A2060" s="683" t="s">
        <v>4233</v>
      </c>
    </row>
    <row r="2061" spans="1:11">
      <c r="A2061" s="683" t="s">
        <v>4060</v>
      </c>
      <c r="B2061" s="682" t="s">
        <v>4234</v>
      </c>
    </row>
    <row r="2063" spans="1:11">
      <c r="A2063" s="682" t="s">
        <v>4248</v>
      </c>
    </row>
    <row r="2064" spans="1:11">
      <c r="A2064" s="682" t="s">
        <v>4210</v>
      </c>
      <c r="B2064" s="683" t="s">
        <v>4211</v>
      </c>
    </row>
    <row r="2065" spans="1:11">
      <c r="A2065" s="682" t="s">
        <v>4212</v>
      </c>
      <c r="B2065" s="682" t="s">
        <v>4213</v>
      </c>
    </row>
    <row r="2067" spans="1:11">
      <c r="A2067" s="683" t="s">
        <v>4214</v>
      </c>
      <c r="C2067" s="682" t="s">
        <v>4215</v>
      </c>
    </row>
    <row r="2068" spans="1:11">
      <c r="A2068" s="683" t="s">
        <v>4216</v>
      </c>
      <c r="C2068" s="682" t="s">
        <v>2967</v>
      </c>
    </row>
    <row r="2069" spans="1:11">
      <c r="A2069" s="683" t="s">
        <v>3893</v>
      </c>
      <c r="C2069" s="682" t="s">
        <v>4217</v>
      </c>
    </row>
    <row r="2070" spans="1:11">
      <c r="A2070" s="683" t="s">
        <v>4218</v>
      </c>
      <c r="C2070" s="682" t="s">
        <v>4264</v>
      </c>
    </row>
    <row r="2072" spans="1:11">
      <c r="A2072" s="684" t="s">
        <v>4220</v>
      </c>
      <c r="B2072" s="685" t="s">
        <v>4221</v>
      </c>
      <c r="C2072" s="685" t="s">
        <v>4222</v>
      </c>
      <c r="D2072" s="685" t="s">
        <v>4223</v>
      </c>
      <c r="E2072" s="685" t="s">
        <v>4224</v>
      </c>
      <c r="F2072" s="685" t="s">
        <v>4225</v>
      </c>
      <c r="G2072" s="685" t="s">
        <v>4226</v>
      </c>
      <c r="H2072" s="685" t="s">
        <v>4227</v>
      </c>
      <c r="I2072" s="685" t="s">
        <v>4228</v>
      </c>
      <c r="J2072" s="685" t="s">
        <v>4229</v>
      </c>
      <c r="K2072" s="685" t="s">
        <v>4230</v>
      </c>
    </row>
    <row r="2073" spans="1:11">
      <c r="A2073" s="686" t="s">
        <v>4231</v>
      </c>
      <c r="B2073" s="687" t="s">
        <v>4232</v>
      </c>
      <c r="C2073" s="687" t="s">
        <v>4232</v>
      </c>
      <c r="D2073" s="687" t="s">
        <v>4232</v>
      </c>
      <c r="E2073" s="687" t="s">
        <v>4232</v>
      </c>
      <c r="F2073" s="687" t="s">
        <v>4232</v>
      </c>
      <c r="G2073" s="687" t="s">
        <v>4232</v>
      </c>
      <c r="H2073" s="687" t="s">
        <v>4232</v>
      </c>
      <c r="I2073" s="687" t="s">
        <v>4232</v>
      </c>
      <c r="J2073" s="687" t="s">
        <v>4232</v>
      </c>
      <c r="K2073" s="687" t="s">
        <v>4232</v>
      </c>
    </row>
    <row r="2074" spans="1:11">
      <c r="A2074" s="688" t="s">
        <v>4064</v>
      </c>
      <c r="B2074" s="691">
        <v>52.2</v>
      </c>
      <c r="C2074" s="691">
        <v>52.3</v>
      </c>
      <c r="D2074" s="691">
        <v>52.2</v>
      </c>
      <c r="E2074" s="691">
        <v>52.4</v>
      </c>
      <c r="F2074" s="691">
        <v>52.4</v>
      </c>
      <c r="G2074" s="691">
        <v>52.5</v>
      </c>
      <c r="H2074" s="691">
        <v>52.8</v>
      </c>
      <c r="I2074" s="691">
        <v>51.9</v>
      </c>
      <c r="J2074" s="691">
        <v>51.6</v>
      </c>
      <c r="K2074" s="691">
        <v>52.2</v>
      </c>
    </row>
    <row r="2075" spans="1:11">
      <c r="A2075" s="688" t="s">
        <v>4065</v>
      </c>
      <c r="B2075" s="689">
        <v>52.3</v>
      </c>
      <c r="C2075" s="689">
        <v>52.6</v>
      </c>
      <c r="D2075" s="689">
        <v>52.3</v>
      </c>
      <c r="E2075" s="689">
        <v>52.7</v>
      </c>
      <c r="F2075" s="689">
        <v>52.6</v>
      </c>
      <c r="G2075" s="689">
        <v>52.7</v>
      </c>
      <c r="H2075" s="690" t="s">
        <v>4060</v>
      </c>
      <c r="I2075" s="690" t="s">
        <v>4060</v>
      </c>
      <c r="J2075" s="690" t="s">
        <v>4060</v>
      </c>
      <c r="K2075" s="690" t="s">
        <v>4060</v>
      </c>
    </row>
    <row r="2076" spans="1:11">
      <c r="A2076" s="688" t="s">
        <v>4063</v>
      </c>
      <c r="B2076" s="691">
        <v>52.3</v>
      </c>
      <c r="C2076" s="691">
        <v>52.7</v>
      </c>
      <c r="D2076" s="691">
        <v>52.3</v>
      </c>
      <c r="E2076" s="691">
        <v>52.7</v>
      </c>
      <c r="F2076" s="691">
        <v>52.7</v>
      </c>
      <c r="G2076" s="691">
        <v>52.7</v>
      </c>
      <c r="H2076" s="692" t="s">
        <v>4060</v>
      </c>
      <c r="I2076" s="692" t="s">
        <v>4060</v>
      </c>
      <c r="J2076" s="692" t="s">
        <v>4060</v>
      </c>
      <c r="K2076" s="692" t="s">
        <v>4060</v>
      </c>
    </row>
    <row r="2077" spans="1:11">
      <c r="A2077" s="688" t="s">
        <v>4069</v>
      </c>
      <c r="B2077" s="690" t="s">
        <v>4060</v>
      </c>
      <c r="C2077" s="689">
        <v>53.3</v>
      </c>
      <c r="D2077" s="693">
        <v>53</v>
      </c>
      <c r="E2077" s="689">
        <v>53.3</v>
      </c>
      <c r="F2077" s="689">
        <v>53.4</v>
      </c>
      <c r="G2077" s="689">
        <v>53.5</v>
      </c>
      <c r="H2077" s="689">
        <v>53.7</v>
      </c>
      <c r="I2077" s="693">
        <v>53</v>
      </c>
      <c r="J2077" s="693">
        <v>53</v>
      </c>
      <c r="K2077" s="689">
        <v>53.2</v>
      </c>
    </row>
    <row r="2078" spans="1:11">
      <c r="A2078" s="688" t="s">
        <v>4068</v>
      </c>
      <c r="B2078" s="691">
        <v>53.2</v>
      </c>
      <c r="C2078" s="692" t="s">
        <v>4060</v>
      </c>
      <c r="D2078" s="692" t="s">
        <v>4060</v>
      </c>
      <c r="E2078" s="692" t="s">
        <v>4060</v>
      </c>
      <c r="F2078" s="692" t="s">
        <v>4060</v>
      </c>
      <c r="G2078" s="692" t="s">
        <v>4060</v>
      </c>
      <c r="H2078" s="692" t="s">
        <v>4060</v>
      </c>
      <c r="I2078" s="692" t="s">
        <v>4060</v>
      </c>
      <c r="J2078" s="692" t="s">
        <v>4060</v>
      </c>
      <c r="K2078" s="692" t="s">
        <v>4060</v>
      </c>
    </row>
    <row r="2079" spans="1:11">
      <c r="A2079" s="688" t="s">
        <v>0</v>
      </c>
      <c r="B2079" s="689">
        <v>52.4</v>
      </c>
      <c r="C2079" s="689">
        <v>52.8</v>
      </c>
      <c r="D2079" s="689">
        <v>52.6</v>
      </c>
      <c r="E2079" s="689">
        <v>52.9</v>
      </c>
      <c r="F2079" s="689">
        <v>53.1</v>
      </c>
      <c r="G2079" s="689">
        <v>53.2</v>
      </c>
      <c r="H2079" s="689">
        <v>53.5</v>
      </c>
      <c r="I2079" s="689">
        <v>52.4</v>
      </c>
      <c r="J2079" s="689">
        <v>53.3</v>
      </c>
      <c r="K2079" s="689">
        <v>53.3</v>
      </c>
    </row>
    <row r="2080" spans="1:11">
      <c r="A2080" s="688" t="s">
        <v>1</v>
      </c>
      <c r="B2080" s="691">
        <v>47.1</v>
      </c>
      <c r="C2080" s="691">
        <v>46.6</v>
      </c>
      <c r="D2080" s="691">
        <v>46.7</v>
      </c>
      <c r="E2080" s="691">
        <v>46.8</v>
      </c>
      <c r="F2080" s="691">
        <v>46.8</v>
      </c>
      <c r="G2080" s="691">
        <v>46.9</v>
      </c>
      <c r="H2080" s="615">
        <v>47</v>
      </c>
      <c r="I2080" s="691">
        <v>45.3</v>
      </c>
      <c r="J2080" s="691">
        <v>43.4</v>
      </c>
      <c r="K2080" s="691">
        <v>46.1</v>
      </c>
    </row>
    <row r="2081" spans="1:11">
      <c r="A2081" s="688" t="s">
        <v>2240</v>
      </c>
      <c r="B2081" s="693">
        <v>50</v>
      </c>
      <c r="C2081" s="689">
        <v>50.4</v>
      </c>
      <c r="D2081" s="689">
        <v>50.2</v>
      </c>
      <c r="E2081" s="689">
        <v>50.7</v>
      </c>
      <c r="F2081" s="689">
        <v>50.6</v>
      </c>
      <c r="G2081" s="689">
        <v>50.7</v>
      </c>
      <c r="H2081" s="689">
        <v>50.9</v>
      </c>
      <c r="I2081" s="689">
        <v>49.9</v>
      </c>
      <c r="J2081" s="689">
        <v>48.8</v>
      </c>
      <c r="K2081" s="689">
        <v>50.6</v>
      </c>
    </row>
    <row r="2082" spans="1:11">
      <c r="A2082" s="688" t="s">
        <v>2</v>
      </c>
      <c r="B2082" s="615">
        <v>52</v>
      </c>
      <c r="C2082" s="691">
        <v>52.3</v>
      </c>
      <c r="D2082" s="691">
        <v>52.3</v>
      </c>
      <c r="E2082" s="691">
        <v>52.5</v>
      </c>
      <c r="F2082" s="691">
        <v>52.7</v>
      </c>
      <c r="G2082" s="691">
        <v>52.6</v>
      </c>
      <c r="H2082" s="615">
        <v>53</v>
      </c>
      <c r="I2082" s="691">
        <v>53.1</v>
      </c>
      <c r="J2082" s="615">
        <v>53</v>
      </c>
      <c r="K2082" s="691">
        <v>52.8</v>
      </c>
    </row>
    <row r="2083" spans="1:11">
      <c r="A2083" s="688" t="s">
        <v>3</v>
      </c>
      <c r="B2083" s="689">
        <v>52.3</v>
      </c>
      <c r="C2083" s="689">
        <v>52.5</v>
      </c>
      <c r="D2083" s="689">
        <v>52.2</v>
      </c>
      <c r="E2083" s="689">
        <v>52.5</v>
      </c>
      <c r="F2083" s="689">
        <v>52.6</v>
      </c>
      <c r="G2083" s="689">
        <v>52.5</v>
      </c>
      <c r="H2083" s="689">
        <v>52.8</v>
      </c>
      <c r="I2083" s="689">
        <v>52.6</v>
      </c>
      <c r="J2083" s="689">
        <v>52.3</v>
      </c>
      <c r="K2083" s="689">
        <v>52.1</v>
      </c>
    </row>
    <row r="2084" spans="1:11">
      <c r="A2084" s="688" t="s">
        <v>4061</v>
      </c>
      <c r="B2084" s="691">
        <v>52.3</v>
      </c>
      <c r="C2084" s="691">
        <v>52.5</v>
      </c>
      <c r="D2084" s="691">
        <v>52.2</v>
      </c>
      <c r="E2084" s="691">
        <v>52.5</v>
      </c>
      <c r="F2084" s="691">
        <v>52.6</v>
      </c>
      <c r="G2084" s="691">
        <v>52.5</v>
      </c>
      <c r="H2084" s="691">
        <v>52.8</v>
      </c>
      <c r="I2084" s="691">
        <v>52.6</v>
      </c>
      <c r="J2084" s="691">
        <v>52.3</v>
      </c>
      <c r="K2084" s="691">
        <v>52.1</v>
      </c>
    </row>
    <row r="2085" spans="1:11">
      <c r="A2085" s="688" t="s">
        <v>4</v>
      </c>
      <c r="B2085" s="689">
        <v>49.3</v>
      </c>
      <c r="C2085" s="689">
        <v>49.1</v>
      </c>
      <c r="D2085" s="689">
        <v>49.5</v>
      </c>
      <c r="E2085" s="689">
        <v>49.6</v>
      </c>
      <c r="F2085" s="693">
        <v>50</v>
      </c>
      <c r="G2085" s="693">
        <v>50</v>
      </c>
      <c r="H2085" s="689">
        <v>50.5</v>
      </c>
      <c r="I2085" s="689">
        <v>50.3</v>
      </c>
      <c r="J2085" s="689">
        <v>48.9</v>
      </c>
      <c r="K2085" s="689">
        <v>49.8</v>
      </c>
    </row>
    <row r="2086" spans="1:11">
      <c r="A2086" s="688" t="s">
        <v>8</v>
      </c>
      <c r="B2086" s="691">
        <v>52.8</v>
      </c>
      <c r="C2086" s="615">
        <v>53</v>
      </c>
      <c r="D2086" s="615">
        <v>53</v>
      </c>
      <c r="E2086" s="691">
        <v>53.2</v>
      </c>
      <c r="F2086" s="691">
        <v>53.6</v>
      </c>
      <c r="G2086" s="691">
        <v>53.6</v>
      </c>
      <c r="H2086" s="615">
        <v>54</v>
      </c>
      <c r="I2086" s="691">
        <v>53.9</v>
      </c>
      <c r="J2086" s="691">
        <v>53.7</v>
      </c>
      <c r="K2086" s="691">
        <v>53.9</v>
      </c>
    </row>
    <row r="2087" spans="1:11">
      <c r="A2087" s="688" t="s">
        <v>7</v>
      </c>
      <c r="B2087" s="689">
        <v>53.1</v>
      </c>
      <c r="C2087" s="689">
        <v>52.7</v>
      </c>
      <c r="D2087" s="689">
        <v>52.5</v>
      </c>
      <c r="E2087" s="689">
        <v>52.8</v>
      </c>
      <c r="F2087" s="689">
        <v>52.7</v>
      </c>
      <c r="G2087" s="689">
        <v>53.2</v>
      </c>
      <c r="H2087" s="689">
        <v>53.1</v>
      </c>
      <c r="I2087" s="689">
        <v>52.8</v>
      </c>
      <c r="J2087" s="689">
        <v>51.7</v>
      </c>
      <c r="K2087" s="689">
        <v>52.4</v>
      </c>
    </row>
    <row r="2088" spans="1:11">
      <c r="A2088" s="688" t="s">
        <v>27</v>
      </c>
      <c r="B2088" s="691">
        <v>54.7</v>
      </c>
      <c r="C2088" s="691">
        <v>54.4</v>
      </c>
      <c r="D2088" s="691">
        <v>54.2</v>
      </c>
      <c r="E2088" s="691">
        <v>54.6</v>
      </c>
      <c r="F2088" s="691">
        <v>54.6</v>
      </c>
      <c r="G2088" s="691">
        <v>54.7</v>
      </c>
      <c r="H2088" s="615">
        <v>55</v>
      </c>
      <c r="I2088" s="691">
        <v>53.7</v>
      </c>
      <c r="J2088" s="691">
        <v>54.5</v>
      </c>
      <c r="K2088" s="691">
        <v>54.6</v>
      </c>
    </row>
    <row r="2089" spans="1:11">
      <c r="A2089" s="688" t="s">
        <v>6</v>
      </c>
      <c r="B2089" s="689">
        <v>54.1</v>
      </c>
      <c r="C2089" s="689">
        <v>54.1</v>
      </c>
      <c r="D2089" s="689">
        <v>53.9</v>
      </c>
      <c r="E2089" s="689">
        <v>54.1</v>
      </c>
      <c r="F2089" s="689">
        <v>54.2</v>
      </c>
      <c r="G2089" s="689">
        <v>54.3</v>
      </c>
      <c r="H2089" s="689">
        <v>54.5</v>
      </c>
      <c r="I2089" s="689">
        <v>53.9</v>
      </c>
      <c r="J2089" s="693">
        <v>54</v>
      </c>
      <c r="K2089" s="693">
        <v>54</v>
      </c>
    </row>
    <row r="2090" spans="1:11">
      <c r="A2090" s="688" t="s">
        <v>4058</v>
      </c>
      <c r="B2090" s="692" t="s">
        <v>4060</v>
      </c>
      <c r="C2090" s="692" t="s">
        <v>4060</v>
      </c>
      <c r="D2090" s="692" t="s">
        <v>4060</v>
      </c>
      <c r="E2090" s="692" t="s">
        <v>4060</v>
      </c>
      <c r="F2090" s="692" t="s">
        <v>4060</v>
      </c>
      <c r="G2090" s="692" t="s">
        <v>4060</v>
      </c>
      <c r="H2090" s="692" t="s">
        <v>4060</v>
      </c>
      <c r="I2090" s="692" t="s">
        <v>4060</v>
      </c>
      <c r="J2090" s="692" t="s">
        <v>4060</v>
      </c>
      <c r="K2090" s="692" t="s">
        <v>4060</v>
      </c>
    </row>
    <row r="2091" spans="1:11">
      <c r="A2091" s="688" t="s">
        <v>11</v>
      </c>
      <c r="B2091" s="689">
        <v>49.6</v>
      </c>
      <c r="C2091" s="689">
        <v>49.6</v>
      </c>
      <c r="D2091" s="689">
        <v>49.1</v>
      </c>
      <c r="E2091" s="689">
        <v>49.8</v>
      </c>
      <c r="F2091" s="689">
        <v>49.6</v>
      </c>
      <c r="G2091" s="689">
        <v>49.8</v>
      </c>
      <c r="H2091" s="693">
        <v>50</v>
      </c>
      <c r="I2091" s="689">
        <v>49.3</v>
      </c>
      <c r="J2091" s="689">
        <v>48.3</v>
      </c>
      <c r="K2091" s="689">
        <v>49.5</v>
      </c>
    </row>
    <row r="2092" spans="1:11">
      <c r="A2092" s="688" t="s">
        <v>10</v>
      </c>
      <c r="B2092" s="691">
        <v>54.4</v>
      </c>
      <c r="C2092" s="691">
        <v>54.4</v>
      </c>
      <c r="D2092" s="615">
        <v>54</v>
      </c>
      <c r="E2092" s="691">
        <v>54.6</v>
      </c>
      <c r="F2092" s="691">
        <v>54.4</v>
      </c>
      <c r="G2092" s="691">
        <v>54.7</v>
      </c>
      <c r="H2092" s="691">
        <v>54.9</v>
      </c>
      <c r="I2092" s="691">
        <v>53.7</v>
      </c>
      <c r="J2092" s="691">
        <v>54.1</v>
      </c>
      <c r="K2092" s="691">
        <v>54.3</v>
      </c>
    </row>
    <row r="2093" spans="1:11">
      <c r="A2093" s="688" t="s">
        <v>30</v>
      </c>
      <c r="B2093" s="693">
        <v>54</v>
      </c>
      <c r="C2093" s="689">
        <v>53.8</v>
      </c>
      <c r="D2093" s="689">
        <v>53.5</v>
      </c>
      <c r="E2093" s="689">
        <v>54.3</v>
      </c>
      <c r="F2093" s="689">
        <v>53.9</v>
      </c>
      <c r="G2093" s="689">
        <v>54.5</v>
      </c>
      <c r="H2093" s="689">
        <v>54.2</v>
      </c>
      <c r="I2093" s="689">
        <v>54.2</v>
      </c>
      <c r="J2093" s="689">
        <v>53.3</v>
      </c>
      <c r="K2093" s="689">
        <v>53.8</v>
      </c>
    </row>
    <row r="2094" spans="1:11">
      <c r="A2094" s="688" t="s">
        <v>12</v>
      </c>
      <c r="B2094" s="691">
        <v>46.3</v>
      </c>
      <c r="C2094" s="691">
        <v>46.4</v>
      </c>
      <c r="D2094" s="691">
        <v>46.7</v>
      </c>
      <c r="E2094" s="691">
        <v>46.8</v>
      </c>
      <c r="F2094" s="691">
        <v>46.9</v>
      </c>
      <c r="G2094" s="691">
        <v>46.9</v>
      </c>
      <c r="H2094" s="691">
        <v>47.6</v>
      </c>
      <c r="I2094" s="691">
        <v>47.3</v>
      </c>
      <c r="J2094" s="615">
        <v>45</v>
      </c>
      <c r="K2094" s="691">
        <v>46.3</v>
      </c>
    </row>
    <row r="2095" spans="1:11">
      <c r="A2095" s="688" t="s">
        <v>14</v>
      </c>
      <c r="B2095" s="689">
        <v>46.3</v>
      </c>
      <c r="C2095" s="689">
        <v>46.7</v>
      </c>
      <c r="D2095" s="689">
        <v>46.6</v>
      </c>
      <c r="E2095" s="689">
        <v>46.8</v>
      </c>
      <c r="F2095" s="689">
        <v>47.5</v>
      </c>
      <c r="G2095" s="689">
        <v>47.8</v>
      </c>
      <c r="H2095" s="689">
        <v>48.2</v>
      </c>
      <c r="I2095" s="689">
        <v>46.9</v>
      </c>
      <c r="J2095" s="689">
        <v>46.1</v>
      </c>
      <c r="K2095" s="689">
        <v>47.6</v>
      </c>
    </row>
    <row r="2096" spans="1:11">
      <c r="A2096" s="688" t="s">
        <v>15</v>
      </c>
      <c r="B2096" s="691">
        <v>53.6</v>
      </c>
      <c r="C2096" s="691">
        <v>53.4</v>
      </c>
      <c r="D2096" s="691">
        <v>53.6</v>
      </c>
      <c r="E2096" s="691">
        <v>53.9</v>
      </c>
      <c r="F2096" s="691">
        <v>53.4</v>
      </c>
      <c r="G2096" s="691">
        <v>53.7</v>
      </c>
      <c r="H2096" s="691">
        <v>54.1</v>
      </c>
      <c r="I2096" s="691">
        <v>53.7</v>
      </c>
      <c r="J2096" s="615">
        <v>54</v>
      </c>
      <c r="K2096" s="691">
        <v>54.5</v>
      </c>
    </row>
    <row r="2097" spans="1:11">
      <c r="A2097" s="688" t="s">
        <v>29</v>
      </c>
      <c r="B2097" s="689">
        <v>47.6</v>
      </c>
      <c r="C2097" s="689">
        <v>47.6</v>
      </c>
      <c r="D2097" s="689">
        <v>47.4</v>
      </c>
      <c r="E2097" s="689">
        <v>47.8</v>
      </c>
      <c r="F2097" s="689">
        <v>47.6</v>
      </c>
      <c r="G2097" s="689">
        <v>47.7</v>
      </c>
      <c r="H2097" s="693">
        <v>48</v>
      </c>
      <c r="I2097" s="689">
        <v>47.2</v>
      </c>
      <c r="J2097" s="689">
        <v>45.8</v>
      </c>
      <c r="K2097" s="689">
        <v>47.6</v>
      </c>
    </row>
    <row r="2098" spans="1:11">
      <c r="A2098" s="688" t="s">
        <v>16</v>
      </c>
      <c r="B2098" s="691">
        <v>53.7</v>
      </c>
      <c r="C2098" s="691">
        <v>53.5</v>
      </c>
      <c r="D2098" s="691">
        <v>53.6</v>
      </c>
      <c r="E2098" s="615">
        <v>54</v>
      </c>
      <c r="F2098" s="691">
        <v>53.9</v>
      </c>
      <c r="G2098" s="691">
        <v>53.8</v>
      </c>
      <c r="H2098" s="691">
        <v>54.3</v>
      </c>
      <c r="I2098" s="691">
        <v>53.6</v>
      </c>
      <c r="J2098" s="691">
        <v>53.6</v>
      </c>
      <c r="K2098" s="691">
        <v>53.9</v>
      </c>
    </row>
    <row r="2099" spans="1:11">
      <c r="A2099" s="688" t="s">
        <v>17</v>
      </c>
      <c r="B2099" s="689">
        <v>53.1</v>
      </c>
      <c r="C2099" s="689">
        <v>53.3</v>
      </c>
      <c r="D2099" s="689">
        <v>53.1</v>
      </c>
      <c r="E2099" s="689">
        <v>53.1</v>
      </c>
      <c r="F2099" s="689">
        <v>53.4</v>
      </c>
      <c r="G2099" s="689">
        <v>53.4</v>
      </c>
      <c r="H2099" s="689">
        <v>53.7</v>
      </c>
      <c r="I2099" s="693">
        <v>53</v>
      </c>
      <c r="J2099" s="689">
        <v>52.9</v>
      </c>
      <c r="K2099" s="689">
        <v>53.2</v>
      </c>
    </row>
    <row r="2100" spans="1:11">
      <c r="A2100" s="688" t="s">
        <v>19</v>
      </c>
      <c r="B2100" s="615">
        <v>53</v>
      </c>
      <c r="C2100" s="615">
        <v>53</v>
      </c>
      <c r="D2100" s="691">
        <v>52.8</v>
      </c>
      <c r="E2100" s="691">
        <v>53.3</v>
      </c>
      <c r="F2100" s="691">
        <v>53.3</v>
      </c>
      <c r="G2100" s="691">
        <v>53.3</v>
      </c>
      <c r="H2100" s="691">
        <v>53.6</v>
      </c>
      <c r="I2100" s="615">
        <v>53</v>
      </c>
      <c r="J2100" s="691">
        <v>52.9</v>
      </c>
      <c r="K2100" s="615">
        <v>53</v>
      </c>
    </row>
    <row r="2101" spans="1:11">
      <c r="A2101" s="688" t="s">
        <v>20</v>
      </c>
      <c r="B2101" s="689">
        <v>49.1</v>
      </c>
      <c r="C2101" s="689">
        <v>49.4</v>
      </c>
      <c r="D2101" s="689">
        <v>49.2</v>
      </c>
      <c r="E2101" s="689">
        <v>49.6</v>
      </c>
      <c r="F2101" s="689">
        <v>49.5</v>
      </c>
      <c r="G2101" s="689">
        <v>49.4</v>
      </c>
      <c r="H2101" s="689">
        <v>49.7</v>
      </c>
      <c r="I2101" s="689">
        <v>48.2</v>
      </c>
      <c r="J2101" s="689">
        <v>47.2</v>
      </c>
      <c r="K2101" s="689">
        <v>48.9</v>
      </c>
    </row>
    <row r="2102" spans="1:11">
      <c r="A2102" s="688" t="s">
        <v>21</v>
      </c>
      <c r="B2102" s="691">
        <v>52.5</v>
      </c>
      <c r="C2102" s="691">
        <v>52.9</v>
      </c>
      <c r="D2102" s="691">
        <v>52.9</v>
      </c>
      <c r="E2102" s="615">
        <v>53</v>
      </c>
      <c r="F2102" s="691">
        <v>53.2</v>
      </c>
      <c r="G2102" s="691">
        <v>53.2</v>
      </c>
      <c r="H2102" s="691">
        <v>53.6</v>
      </c>
      <c r="I2102" s="691">
        <v>52.9</v>
      </c>
      <c r="J2102" s="615">
        <v>53</v>
      </c>
      <c r="K2102" s="691">
        <v>53.3</v>
      </c>
    </row>
    <row r="2103" spans="1:11">
      <c r="A2103" s="688" t="s">
        <v>22</v>
      </c>
      <c r="B2103" s="689">
        <v>47.5</v>
      </c>
      <c r="C2103" s="689">
        <v>47.2</v>
      </c>
      <c r="D2103" s="689">
        <v>47.1</v>
      </c>
      <c r="E2103" s="689">
        <v>47.3</v>
      </c>
      <c r="F2103" s="689">
        <v>47.3</v>
      </c>
      <c r="G2103" s="689">
        <v>47.3</v>
      </c>
      <c r="H2103" s="689">
        <v>47.6</v>
      </c>
      <c r="I2103" s="689">
        <v>46.1</v>
      </c>
      <c r="J2103" s="689">
        <v>44.7</v>
      </c>
      <c r="K2103" s="689">
        <v>47.1</v>
      </c>
    </row>
    <row r="2104" spans="1:11">
      <c r="A2104" s="688" t="s">
        <v>26</v>
      </c>
      <c r="B2104" s="691">
        <v>52.1</v>
      </c>
      <c r="C2104" s="691">
        <v>52.4</v>
      </c>
      <c r="D2104" s="691">
        <v>52.2</v>
      </c>
      <c r="E2104" s="691">
        <v>52.6</v>
      </c>
      <c r="F2104" s="691">
        <v>52.5</v>
      </c>
      <c r="G2104" s="691">
        <v>52.7</v>
      </c>
      <c r="H2104" s="691">
        <v>52.9</v>
      </c>
      <c r="I2104" s="615">
        <v>52</v>
      </c>
      <c r="J2104" s="691">
        <v>52.1</v>
      </c>
      <c r="K2104" s="691">
        <v>52.7</v>
      </c>
    </row>
    <row r="2105" spans="1:11">
      <c r="A2105" s="688" t="s">
        <v>25</v>
      </c>
      <c r="B2105" s="689">
        <v>48.6</v>
      </c>
      <c r="C2105" s="689">
        <v>48.9</v>
      </c>
      <c r="D2105" s="689">
        <v>48.6</v>
      </c>
      <c r="E2105" s="689">
        <v>49.2</v>
      </c>
      <c r="F2105" s="689">
        <v>49.1</v>
      </c>
      <c r="G2105" s="689">
        <v>49.2</v>
      </c>
      <c r="H2105" s="689">
        <v>49.7</v>
      </c>
      <c r="I2105" s="689">
        <v>48.9</v>
      </c>
      <c r="J2105" s="689">
        <v>46.5</v>
      </c>
      <c r="K2105" s="689">
        <v>48.9</v>
      </c>
    </row>
    <row r="2106" spans="1:11">
      <c r="A2106" s="688" t="s">
        <v>5</v>
      </c>
      <c r="B2106" s="691">
        <v>52.7</v>
      </c>
      <c r="C2106" s="691">
        <v>52.7</v>
      </c>
      <c r="D2106" s="691">
        <v>52.9</v>
      </c>
      <c r="E2106" s="691">
        <v>52.9</v>
      </c>
      <c r="F2106" s="691">
        <v>53.2</v>
      </c>
      <c r="G2106" s="691">
        <v>53.3</v>
      </c>
      <c r="H2106" s="691">
        <v>53.6</v>
      </c>
      <c r="I2106" s="691">
        <v>53.5</v>
      </c>
      <c r="J2106" s="691">
        <v>53.4</v>
      </c>
      <c r="K2106" s="691">
        <v>52.9</v>
      </c>
    </row>
    <row r="2107" spans="1:11">
      <c r="A2107" s="688" t="s">
        <v>23</v>
      </c>
      <c r="B2107" s="689">
        <v>53.6</v>
      </c>
      <c r="C2107" s="689">
        <v>53.8</v>
      </c>
      <c r="D2107" s="689">
        <v>53.8</v>
      </c>
      <c r="E2107" s="689">
        <v>53.9</v>
      </c>
      <c r="F2107" s="693">
        <v>54</v>
      </c>
      <c r="G2107" s="689">
        <v>54.1</v>
      </c>
      <c r="H2107" s="689">
        <v>54.6</v>
      </c>
      <c r="I2107" s="693">
        <v>54</v>
      </c>
      <c r="J2107" s="689">
        <v>54.6</v>
      </c>
      <c r="K2107" s="689">
        <v>54.6</v>
      </c>
    </row>
    <row r="2108" spans="1:11">
      <c r="A2108" s="688" t="s">
        <v>4067</v>
      </c>
      <c r="B2108" s="691">
        <v>52.3</v>
      </c>
      <c r="C2108" s="691">
        <v>52.6</v>
      </c>
      <c r="D2108" s="691">
        <v>52.3</v>
      </c>
      <c r="E2108" s="691">
        <v>52.7</v>
      </c>
      <c r="F2108" s="691">
        <v>52.6</v>
      </c>
      <c r="G2108" s="691">
        <v>52.7</v>
      </c>
      <c r="H2108" s="692" t="s">
        <v>4060</v>
      </c>
      <c r="I2108" s="692" t="s">
        <v>4060</v>
      </c>
      <c r="J2108" s="692" t="s">
        <v>4060</v>
      </c>
      <c r="K2108" s="692" t="s">
        <v>4060</v>
      </c>
    </row>
    <row r="2109" spans="1:11">
      <c r="A2109" s="688" t="s">
        <v>4066</v>
      </c>
      <c r="B2109" s="689">
        <v>52.3</v>
      </c>
      <c r="C2109" s="689">
        <v>52.7</v>
      </c>
      <c r="D2109" s="689">
        <v>52.3</v>
      </c>
      <c r="E2109" s="689">
        <v>52.7</v>
      </c>
      <c r="F2109" s="689">
        <v>52.7</v>
      </c>
      <c r="G2109" s="689">
        <v>52.7</v>
      </c>
      <c r="H2109" s="690" t="s">
        <v>4060</v>
      </c>
      <c r="I2109" s="690" t="s">
        <v>4060</v>
      </c>
      <c r="J2109" s="690" t="s">
        <v>4060</v>
      </c>
      <c r="K2109" s="690" t="s">
        <v>4060</v>
      </c>
    </row>
    <row r="2110" spans="1:11">
      <c r="A2110" s="688" t="s">
        <v>4062</v>
      </c>
      <c r="B2110" s="691">
        <v>54.1</v>
      </c>
      <c r="C2110" s="691">
        <v>54.3</v>
      </c>
      <c r="D2110" s="691">
        <v>54.3</v>
      </c>
      <c r="E2110" s="691">
        <v>54.6</v>
      </c>
      <c r="F2110" s="691">
        <v>54.7</v>
      </c>
      <c r="G2110" s="691">
        <v>54.9</v>
      </c>
      <c r="H2110" s="691">
        <v>55.1</v>
      </c>
      <c r="I2110" s="691">
        <v>54.7</v>
      </c>
      <c r="J2110" s="615">
        <v>55</v>
      </c>
      <c r="K2110" s="691">
        <v>54.8</v>
      </c>
    </row>
    <row r="2111" spans="1:11">
      <c r="A2111" s="688" t="s">
        <v>9</v>
      </c>
      <c r="B2111" s="689">
        <v>53.7</v>
      </c>
      <c r="C2111" s="689">
        <v>54.2</v>
      </c>
      <c r="D2111" s="693">
        <v>54</v>
      </c>
      <c r="E2111" s="689">
        <v>53.6</v>
      </c>
      <c r="F2111" s="693">
        <v>54</v>
      </c>
      <c r="G2111" s="689">
        <v>54.2</v>
      </c>
      <c r="H2111" s="689">
        <v>54.3</v>
      </c>
      <c r="I2111" s="689">
        <v>54.5</v>
      </c>
      <c r="J2111" s="689">
        <v>54.7</v>
      </c>
      <c r="K2111" s="689">
        <v>53.6</v>
      </c>
    </row>
    <row r="2112" spans="1:11">
      <c r="A2112" s="688" t="s">
        <v>13</v>
      </c>
      <c r="B2112" s="691">
        <v>54.1</v>
      </c>
      <c r="C2112" s="691">
        <v>53.5</v>
      </c>
      <c r="D2112" s="691">
        <v>54.3</v>
      </c>
      <c r="E2112" s="691">
        <v>53.8</v>
      </c>
      <c r="F2112" s="691">
        <v>54.8</v>
      </c>
      <c r="G2112" s="691">
        <v>54.5</v>
      </c>
      <c r="H2112" s="691">
        <v>55.3</v>
      </c>
      <c r="I2112" s="691">
        <v>54.3</v>
      </c>
      <c r="J2112" s="691">
        <v>55.4</v>
      </c>
      <c r="K2112" s="691">
        <v>55.6</v>
      </c>
    </row>
    <row r="2113" spans="1:11">
      <c r="A2113" s="688" t="s">
        <v>18</v>
      </c>
      <c r="B2113" s="689">
        <v>53.4</v>
      </c>
      <c r="C2113" s="689">
        <v>53.7</v>
      </c>
      <c r="D2113" s="689">
        <v>53.8</v>
      </c>
      <c r="E2113" s="693">
        <v>54</v>
      </c>
      <c r="F2113" s="689">
        <v>54.2</v>
      </c>
      <c r="G2113" s="689">
        <v>54.3</v>
      </c>
      <c r="H2113" s="689">
        <v>54.5</v>
      </c>
      <c r="I2113" s="689">
        <v>54.7</v>
      </c>
      <c r="J2113" s="689">
        <v>54.7</v>
      </c>
      <c r="K2113" s="689">
        <v>54.1</v>
      </c>
    </row>
    <row r="2114" spans="1:11">
      <c r="A2114" s="688" t="s">
        <v>24</v>
      </c>
      <c r="B2114" s="691">
        <v>54.6</v>
      </c>
      <c r="C2114" s="691">
        <v>54.7</v>
      </c>
      <c r="D2114" s="691">
        <v>54.5</v>
      </c>
      <c r="E2114" s="691">
        <v>55.1</v>
      </c>
      <c r="F2114" s="615">
        <v>55</v>
      </c>
      <c r="G2114" s="691">
        <v>55.2</v>
      </c>
      <c r="H2114" s="691">
        <v>55.4</v>
      </c>
      <c r="I2114" s="691">
        <v>54.7</v>
      </c>
      <c r="J2114" s="691">
        <v>55.3</v>
      </c>
      <c r="K2114" s="691">
        <v>55.2</v>
      </c>
    </row>
    <row r="2115" spans="1:11">
      <c r="A2115" s="688" t="s">
        <v>4059</v>
      </c>
      <c r="B2115" s="689">
        <v>52.8</v>
      </c>
      <c r="C2115" s="689">
        <v>53.1</v>
      </c>
      <c r="D2115" s="689">
        <v>52.7</v>
      </c>
      <c r="E2115" s="689">
        <v>52.9</v>
      </c>
      <c r="F2115" s="693">
        <v>53</v>
      </c>
      <c r="G2115" s="693">
        <v>53</v>
      </c>
      <c r="H2115" s="690" t="s">
        <v>4060</v>
      </c>
      <c r="I2115" s="690" t="s">
        <v>4060</v>
      </c>
      <c r="J2115" s="690" t="s">
        <v>4060</v>
      </c>
      <c r="K2115" s="690" t="s">
        <v>4060</v>
      </c>
    </row>
    <row r="2116" spans="1:11">
      <c r="A2116" s="688" t="s">
        <v>2324</v>
      </c>
      <c r="B2116" s="691">
        <v>48.3</v>
      </c>
      <c r="C2116" s="691">
        <v>48.4</v>
      </c>
      <c r="D2116" s="691">
        <v>48.1</v>
      </c>
      <c r="E2116" s="691">
        <v>48.2</v>
      </c>
      <c r="F2116" s="691">
        <v>48.2</v>
      </c>
      <c r="G2116" s="691">
        <v>48.5</v>
      </c>
      <c r="H2116" s="691">
        <v>48.4</v>
      </c>
      <c r="I2116" s="691">
        <v>47.6</v>
      </c>
      <c r="J2116" s="691">
        <v>45.3</v>
      </c>
      <c r="K2116" s="692" t="s">
        <v>4060</v>
      </c>
    </row>
    <row r="2117" spans="1:11">
      <c r="A2117" s="688" t="s">
        <v>2322</v>
      </c>
      <c r="B2117" s="690" t="s">
        <v>4060</v>
      </c>
      <c r="C2117" s="690" t="s">
        <v>4060</v>
      </c>
      <c r="D2117" s="690" t="s">
        <v>4060</v>
      </c>
      <c r="E2117" s="690" t="s">
        <v>4060</v>
      </c>
      <c r="F2117" s="690" t="s">
        <v>4060</v>
      </c>
      <c r="G2117" s="690" t="s">
        <v>4060</v>
      </c>
      <c r="H2117" s="690" t="s">
        <v>4060</v>
      </c>
      <c r="I2117" s="690" t="s">
        <v>4060</v>
      </c>
      <c r="J2117" s="690" t="s">
        <v>4060</v>
      </c>
      <c r="K2117" s="690" t="s">
        <v>4060</v>
      </c>
    </row>
    <row r="2118" spans="1:11">
      <c r="A2118" s="688" t="s">
        <v>2328</v>
      </c>
      <c r="B2118" s="691">
        <v>47.7</v>
      </c>
      <c r="C2118" s="691">
        <v>47.7</v>
      </c>
      <c r="D2118" s="691">
        <v>47.6</v>
      </c>
      <c r="E2118" s="691">
        <v>47.8</v>
      </c>
      <c r="F2118" s="691">
        <v>48.1</v>
      </c>
      <c r="G2118" s="691">
        <v>48.5</v>
      </c>
      <c r="H2118" s="691">
        <v>48.5</v>
      </c>
      <c r="I2118" s="691">
        <v>46.2</v>
      </c>
      <c r="J2118" s="615">
        <v>45</v>
      </c>
      <c r="K2118" s="692" t="s">
        <v>4060</v>
      </c>
    </row>
    <row r="2119" spans="1:11">
      <c r="A2119" s="688" t="s">
        <v>2496</v>
      </c>
      <c r="B2119" s="690" t="s">
        <v>4060</v>
      </c>
      <c r="C2119" s="689">
        <v>46.7</v>
      </c>
      <c r="D2119" s="689">
        <v>45.6</v>
      </c>
      <c r="E2119" s="689">
        <v>45.2</v>
      </c>
      <c r="F2119" s="693">
        <v>46</v>
      </c>
      <c r="G2119" s="689">
        <v>46.3</v>
      </c>
      <c r="H2119" s="689">
        <v>46.4</v>
      </c>
      <c r="I2119" s="690" t="s">
        <v>4060</v>
      </c>
      <c r="J2119" s="690" t="s">
        <v>4060</v>
      </c>
      <c r="K2119" s="693">
        <v>46</v>
      </c>
    </row>
    <row r="2120" spans="1:11">
      <c r="A2120" s="688" t="s">
        <v>2269</v>
      </c>
      <c r="B2120" s="691">
        <v>50.4</v>
      </c>
      <c r="C2120" s="691">
        <v>50.5</v>
      </c>
      <c r="D2120" s="691">
        <v>50.2</v>
      </c>
      <c r="E2120" s="691">
        <v>50.7</v>
      </c>
      <c r="F2120" s="691">
        <v>50.7</v>
      </c>
      <c r="G2120" s="691">
        <v>51.1</v>
      </c>
      <c r="H2120" s="691">
        <v>51.4</v>
      </c>
      <c r="I2120" s="691">
        <v>49.5</v>
      </c>
      <c r="J2120" s="691">
        <v>47.7</v>
      </c>
      <c r="K2120" s="615">
        <v>51</v>
      </c>
    </row>
    <row r="2121" spans="1:11">
      <c r="A2121" s="688" t="s">
        <v>2349</v>
      </c>
      <c r="B2121" s="689">
        <v>47.2</v>
      </c>
      <c r="C2121" s="689">
        <v>47.3</v>
      </c>
      <c r="D2121" s="689">
        <v>47.2</v>
      </c>
      <c r="E2121" s="689">
        <v>47.6</v>
      </c>
      <c r="F2121" s="689">
        <v>47.5</v>
      </c>
      <c r="G2121" s="689">
        <v>47.8</v>
      </c>
      <c r="H2121" s="689">
        <v>47.8</v>
      </c>
      <c r="I2121" s="689">
        <v>46.3</v>
      </c>
      <c r="J2121" s="689">
        <v>44.6</v>
      </c>
      <c r="K2121" s="693">
        <v>47</v>
      </c>
    </row>
    <row r="2122" spans="1:11">
      <c r="A2122" s="688" t="s">
        <v>2355</v>
      </c>
      <c r="B2122" s="691">
        <v>50.9</v>
      </c>
      <c r="C2122" s="691">
        <v>50.8</v>
      </c>
      <c r="D2122" s="691">
        <v>50.8</v>
      </c>
      <c r="E2122" s="691">
        <v>50.7</v>
      </c>
      <c r="F2122" s="691">
        <v>50.9</v>
      </c>
      <c r="G2122" s="691">
        <v>51.3</v>
      </c>
      <c r="H2122" s="691">
        <v>51.5</v>
      </c>
      <c r="I2122" s="692" t="s">
        <v>4060</v>
      </c>
      <c r="J2122" s="692" t="s">
        <v>4060</v>
      </c>
      <c r="K2122" s="692" t="s">
        <v>4060</v>
      </c>
    </row>
    <row r="2123" spans="1:11">
      <c r="A2123" s="688" t="s">
        <v>2357</v>
      </c>
      <c r="B2123" s="690" t="s">
        <v>4060</v>
      </c>
      <c r="C2123" s="689">
        <v>44.3</v>
      </c>
      <c r="D2123" s="689">
        <v>44.9</v>
      </c>
      <c r="E2123" s="689">
        <v>45.3</v>
      </c>
      <c r="F2123" s="689">
        <v>45.6</v>
      </c>
      <c r="G2123" s="689">
        <v>45.4</v>
      </c>
      <c r="H2123" s="689">
        <v>45.6</v>
      </c>
      <c r="I2123" s="690" t="s">
        <v>4060</v>
      </c>
      <c r="J2123" s="690" t="s">
        <v>4060</v>
      </c>
      <c r="K2123" s="690" t="s">
        <v>4060</v>
      </c>
    </row>
    <row r="2124" spans="1:11">
      <c r="A2124" s="688" t="s">
        <v>4070</v>
      </c>
      <c r="B2124" s="692" t="s">
        <v>4060</v>
      </c>
      <c r="C2124" s="692" t="s">
        <v>4060</v>
      </c>
      <c r="D2124" s="692" t="s">
        <v>4060</v>
      </c>
      <c r="E2124" s="691">
        <v>50.5</v>
      </c>
      <c r="F2124" s="692" t="s">
        <v>4060</v>
      </c>
      <c r="G2124" s="692" t="s">
        <v>4060</v>
      </c>
      <c r="H2124" s="692" t="s">
        <v>4060</v>
      </c>
      <c r="I2124" s="692" t="s">
        <v>4060</v>
      </c>
      <c r="J2124" s="692" t="s">
        <v>4060</v>
      </c>
      <c r="K2124" s="692" t="s">
        <v>4060</v>
      </c>
    </row>
    <row r="2125" spans="1:11">
      <c r="A2125" s="688" t="s">
        <v>2491</v>
      </c>
      <c r="B2125" s="689">
        <v>44.8</v>
      </c>
      <c r="C2125" s="689">
        <v>45.3</v>
      </c>
      <c r="D2125" s="689">
        <v>45.8</v>
      </c>
      <c r="E2125" s="689">
        <v>46.1</v>
      </c>
      <c r="F2125" s="689">
        <v>46.3</v>
      </c>
      <c r="G2125" s="689">
        <v>46.2</v>
      </c>
      <c r="H2125" s="690" t="s">
        <v>4060</v>
      </c>
      <c r="I2125" s="690" t="s">
        <v>4060</v>
      </c>
      <c r="J2125" s="690" t="s">
        <v>4060</v>
      </c>
      <c r="K2125" s="690" t="s">
        <v>4060</v>
      </c>
    </row>
    <row r="2126" spans="1:11">
      <c r="A2126" s="688" t="s">
        <v>2343</v>
      </c>
      <c r="B2126" s="692" t="s">
        <v>4060</v>
      </c>
      <c r="C2126" s="692" t="s">
        <v>4060</v>
      </c>
      <c r="D2126" s="692" t="s">
        <v>4060</v>
      </c>
      <c r="E2126" s="692" t="s">
        <v>4060</v>
      </c>
      <c r="F2126" s="692" t="s">
        <v>4060</v>
      </c>
      <c r="G2126" s="692" t="s">
        <v>4060</v>
      </c>
      <c r="H2126" s="692" t="s">
        <v>4060</v>
      </c>
      <c r="I2126" s="692" t="s">
        <v>4060</v>
      </c>
      <c r="J2126" s="692" t="s">
        <v>4060</v>
      </c>
      <c r="K2126" s="692" t="s">
        <v>4060</v>
      </c>
    </row>
    <row r="2127" spans="1:11">
      <c r="A2127" s="688" t="s">
        <v>4071</v>
      </c>
      <c r="B2127" s="690" t="s">
        <v>4060</v>
      </c>
      <c r="C2127" s="690" t="s">
        <v>4060</v>
      </c>
      <c r="D2127" s="690" t="s">
        <v>4060</v>
      </c>
      <c r="E2127" s="690" t="s">
        <v>4060</v>
      </c>
      <c r="F2127" s="690" t="s">
        <v>4060</v>
      </c>
      <c r="G2127" s="690" t="s">
        <v>4060</v>
      </c>
      <c r="H2127" s="690" t="s">
        <v>4060</v>
      </c>
      <c r="I2127" s="690" t="s">
        <v>4060</v>
      </c>
      <c r="J2127" s="690" t="s">
        <v>4060</v>
      </c>
      <c r="K2127" s="690" t="s">
        <v>4060</v>
      </c>
    </row>
    <row r="2128" spans="1:11">
      <c r="A2128" s="688" t="s">
        <v>2489</v>
      </c>
      <c r="B2128" s="692" t="s">
        <v>4060</v>
      </c>
      <c r="C2128" s="692" t="s">
        <v>4060</v>
      </c>
      <c r="D2128" s="691">
        <v>47.4</v>
      </c>
      <c r="E2128" s="691">
        <v>47.5</v>
      </c>
      <c r="F2128" s="615">
        <v>48</v>
      </c>
      <c r="G2128" s="691">
        <v>48.8</v>
      </c>
      <c r="H2128" s="691">
        <v>48.6</v>
      </c>
      <c r="I2128" s="692" t="s">
        <v>4060</v>
      </c>
      <c r="J2128" s="692" t="s">
        <v>4060</v>
      </c>
      <c r="K2128" s="692" t="s">
        <v>4060</v>
      </c>
    </row>
    <row r="2129" spans="1:11">
      <c r="A2129" s="688" t="s">
        <v>2490</v>
      </c>
      <c r="B2129" s="689">
        <v>47.3</v>
      </c>
      <c r="C2129" s="689">
        <v>47.4</v>
      </c>
      <c r="D2129" s="693">
        <v>48</v>
      </c>
      <c r="E2129" s="690" t="s">
        <v>4060</v>
      </c>
      <c r="F2129" s="689">
        <v>48.2</v>
      </c>
      <c r="G2129" s="689">
        <v>48.5</v>
      </c>
      <c r="H2129" s="689">
        <v>49.3</v>
      </c>
      <c r="I2129" s="690" t="s">
        <v>4060</v>
      </c>
      <c r="J2129" s="690" t="s">
        <v>4060</v>
      </c>
      <c r="K2129" s="690" t="s">
        <v>4060</v>
      </c>
    </row>
    <row r="2131" spans="1:11">
      <c r="A2131" s="683" t="s">
        <v>4233</v>
      </c>
    </row>
    <row r="2132" spans="1:11">
      <c r="A2132" s="683" t="s">
        <v>4060</v>
      </c>
      <c r="B2132" s="682" t="s">
        <v>4234</v>
      </c>
    </row>
    <row r="2134" spans="1:11">
      <c r="A2134" s="682" t="s">
        <v>4248</v>
      </c>
    </row>
    <row r="2135" spans="1:11">
      <c r="A2135" s="682" t="s">
        <v>4210</v>
      </c>
      <c r="B2135" s="683" t="s">
        <v>4211</v>
      </c>
    </row>
    <row r="2136" spans="1:11">
      <c r="A2136" s="682" t="s">
        <v>4212</v>
      </c>
      <c r="B2136" s="682" t="s">
        <v>4213</v>
      </c>
    </row>
    <row r="2138" spans="1:11">
      <c r="A2138" s="683" t="s">
        <v>4214</v>
      </c>
      <c r="C2138" s="682" t="s">
        <v>4215</v>
      </c>
    </row>
    <row r="2139" spans="1:11">
      <c r="A2139" s="683" t="s">
        <v>4216</v>
      </c>
      <c r="C2139" s="682" t="s">
        <v>2967</v>
      </c>
    </row>
    <row r="2140" spans="1:11">
      <c r="A2140" s="683" t="s">
        <v>3893</v>
      </c>
      <c r="C2140" s="682" t="s">
        <v>4217</v>
      </c>
    </row>
    <row r="2141" spans="1:11">
      <c r="A2141" s="683" t="s">
        <v>4218</v>
      </c>
      <c r="C2141" s="682" t="s">
        <v>4265</v>
      </c>
    </row>
    <row r="2143" spans="1:11">
      <c r="A2143" s="684" t="s">
        <v>4220</v>
      </c>
      <c r="B2143" s="685" t="s">
        <v>4221</v>
      </c>
      <c r="C2143" s="685" t="s">
        <v>4222</v>
      </c>
      <c r="D2143" s="685" t="s">
        <v>4223</v>
      </c>
      <c r="E2143" s="685" t="s">
        <v>4224</v>
      </c>
      <c r="F2143" s="685" t="s">
        <v>4225</v>
      </c>
      <c r="G2143" s="685" t="s">
        <v>4226</v>
      </c>
      <c r="H2143" s="685" t="s">
        <v>4227</v>
      </c>
      <c r="I2143" s="685" t="s">
        <v>4228</v>
      </c>
      <c r="J2143" s="685" t="s">
        <v>4229</v>
      </c>
      <c r="K2143" s="685" t="s">
        <v>4230</v>
      </c>
    </row>
    <row r="2144" spans="1:11">
      <c r="A2144" s="686" t="s">
        <v>4231</v>
      </c>
      <c r="B2144" s="687" t="s">
        <v>4232</v>
      </c>
      <c r="C2144" s="687" t="s">
        <v>4232</v>
      </c>
      <c r="D2144" s="687" t="s">
        <v>4232</v>
      </c>
      <c r="E2144" s="687" t="s">
        <v>4232</v>
      </c>
      <c r="F2144" s="687" t="s">
        <v>4232</v>
      </c>
      <c r="G2144" s="687" t="s">
        <v>4232</v>
      </c>
      <c r="H2144" s="687" t="s">
        <v>4232</v>
      </c>
      <c r="I2144" s="687" t="s">
        <v>4232</v>
      </c>
      <c r="J2144" s="687" t="s">
        <v>4232</v>
      </c>
      <c r="K2144" s="687" t="s">
        <v>4232</v>
      </c>
    </row>
    <row r="2145" spans="1:11">
      <c r="A2145" s="688" t="s">
        <v>4064</v>
      </c>
      <c r="B2145" s="689">
        <v>51.2</v>
      </c>
      <c r="C2145" s="689">
        <v>51.3</v>
      </c>
      <c r="D2145" s="689">
        <v>51.3</v>
      </c>
      <c r="E2145" s="689">
        <v>51.4</v>
      </c>
      <c r="F2145" s="689">
        <v>51.4</v>
      </c>
      <c r="G2145" s="689">
        <v>51.5</v>
      </c>
      <c r="H2145" s="689">
        <v>51.8</v>
      </c>
      <c r="I2145" s="689">
        <v>50.9</v>
      </c>
      <c r="J2145" s="689">
        <v>50.6</v>
      </c>
      <c r="K2145" s="689">
        <v>51.2</v>
      </c>
    </row>
    <row r="2146" spans="1:11">
      <c r="A2146" s="688" t="s">
        <v>4065</v>
      </c>
      <c r="B2146" s="691">
        <v>51.3</v>
      </c>
      <c r="C2146" s="691">
        <v>51.7</v>
      </c>
      <c r="D2146" s="691">
        <v>51.3</v>
      </c>
      <c r="E2146" s="691">
        <v>51.7</v>
      </c>
      <c r="F2146" s="691">
        <v>51.7</v>
      </c>
      <c r="G2146" s="691">
        <v>51.7</v>
      </c>
      <c r="H2146" s="692" t="s">
        <v>4060</v>
      </c>
      <c r="I2146" s="692" t="s">
        <v>4060</v>
      </c>
      <c r="J2146" s="692" t="s">
        <v>4060</v>
      </c>
      <c r="K2146" s="692" t="s">
        <v>4060</v>
      </c>
    </row>
    <row r="2147" spans="1:11">
      <c r="A2147" s="688" t="s">
        <v>4063</v>
      </c>
      <c r="B2147" s="689">
        <v>51.3</v>
      </c>
      <c r="C2147" s="689">
        <v>51.7</v>
      </c>
      <c r="D2147" s="689">
        <v>51.4</v>
      </c>
      <c r="E2147" s="689">
        <v>51.7</v>
      </c>
      <c r="F2147" s="689">
        <v>51.7</v>
      </c>
      <c r="G2147" s="689">
        <v>51.8</v>
      </c>
      <c r="H2147" s="690" t="s">
        <v>4060</v>
      </c>
      <c r="I2147" s="690" t="s">
        <v>4060</v>
      </c>
      <c r="J2147" s="690" t="s">
        <v>4060</v>
      </c>
      <c r="K2147" s="690" t="s">
        <v>4060</v>
      </c>
    </row>
    <row r="2148" spans="1:11">
      <c r="A2148" s="688" t="s">
        <v>4069</v>
      </c>
      <c r="B2148" s="692" t="s">
        <v>4060</v>
      </c>
      <c r="C2148" s="691">
        <v>52.3</v>
      </c>
      <c r="D2148" s="615">
        <v>52</v>
      </c>
      <c r="E2148" s="691">
        <v>52.4</v>
      </c>
      <c r="F2148" s="691">
        <v>52.4</v>
      </c>
      <c r="G2148" s="691">
        <v>52.5</v>
      </c>
      <c r="H2148" s="691">
        <v>52.8</v>
      </c>
      <c r="I2148" s="691">
        <v>52.1</v>
      </c>
      <c r="J2148" s="691">
        <v>52.1</v>
      </c>
      <c r="K2148" s="691">
        <v>52.2</v>
      </c>
    </row>
    <row r="2149" spans="1:11">
      <c r="A2149" s="688" t="s">
        <v>4068</v>
      </c>
      <c r="B2149" s="689">
        <v>52.3</v>
      </c>
      <c r="C2149" s="690" t="s">
        <v>4060</v>
      </c>
      <c r="D2149" s="690" t="s">
        <v>4060</v>
      </c>
      <c r="E2149" s="690" t="s">
        <v>4060</v>
      </c>
      <c r="F2149" s="690" t="s">
        <v>4060</v>
      </c>
      <c r="G2149" s="690" t="s">
        <v>4060</v>
      </c>
      <c r="H2149" s="690" t="s">
        <v>4060</v>
      </c>
      <c r="I2149" s="690" t="s">
        <v>4060</v>
      </c>
      <c r="J2149" s="690" t="s">
        <v>4060</v>
      </c>
      <c r="K2149" s="690" t="s">
        <v>4060</v>
      </c>
    </row>
    <row r="2150" spans="1:11">
      <c r="A2150" s="688" t="s">
        <v>0</v>
      </c>
      <c r="B2150" s="691">
        <v>51.4</v>
      </c>
      <c r="C2150" s="691">
        <v>51.8</v>
      </c>
      <c r="D2150" s="691">
        <v>51.6</v>
      </c>
      <c r="E2150" s="615">
        <v>52</v>
      </c>
      <c r="F2150" s="691">
        <v>52.1</v>
      </c>
      <c r="G2150" s="691">
        <v>52.2</v>
      </c>
      <c r="H2150" s="691">
        <v>52.5</v>
      </c>
      <c r="I2150" s="691">
        <v>51.4</v>
      </c>
      <c r="J2150" s="691">
        <v>52.3</v>
      </c>
      <c r="K2150" s="691">
        <v>52.3</v>
      </c>
    </row>
    <row r="2151" spans="1:11">
      <c r="A2151" s="688" t="s">
        <v>1</v>
      </c>
      <c r="B2151" s="689">
        <v>46.2</v>
      </c>
      <c r="C2151" s="689">
        <v>45.7</v>
      </c>
      <c r="D2151" s="689">
        <v>45.7</v>
      </c>
      <c r="E2151" s="689">
        <v>45.9</v>
      </c>
      <c r="F2151" s="689">
        <v>45.8</v>
      </c>
      <c r="G2151" s="689">
        <v>45.9</v>
      </c>
      <c r="H2151" s="693">
        <v>46</v>
      </c>
      <c r="I2151" s="689">
        <v>44.4</v>
      </c>
      <c r="J2151" s="689">
        <v>42.4</v>
      </c>
      <c r="K2151" s="689">
        <v>45.2</v>
      </c>
    </row>
    <row r="2152" spans="1:11">
      <c r="A2152" s="688" t="s">
        <v>2240</v>
      </c>
      <c r="B2152" s="615">
        <v>49</v>
      </c>
      <c r="C2152" s="691">
        <v>49.4</v>
      </c>
      <c r="D2152" s="691">
        <v>49.2</v>
      </c>
      <c r="E2152" s="691">
        <v>49.7</v>
      </c>
      <c r="F2152" s="691">
        <v>49.6</v>
      </c>
      <c r="G2152" s="691">
        <v>49.7</v>
      </c>
      <c r="H2152" s="691">
        <v>49.9</v>
      </c>
      <c r="I2152" s="691">
        <v>48.9</v>
      </c>
      <c r="J2152" s="691">
        <v>47.8</v>
      </c>
      <c r="K2152" s="691">
        <v>49.6</v>
      </c>
    </row>
    <row r="2153" spans="1:11">
      <c r="A2153" s="688" t="s">
        <v>2</v>
      </c>
      <c r="B2153" s="693">
        <v>51</v>
      </c>
      <c r="C2153" s="689">
        <v>51.3</v>
      </c>
      <c r="D2153" s="689">
        <v>51.4</v>
      </c>
      <c r="E2153" s="689">
        <v>51.5</v>
      </c>
      <c r="F2153" s="689">
        <v>51.7</v>
      </c>
      <c r="G2153" s="689">
        <v>51.6</v>
      </c>
      <c r="H2153" s="693">
        <v>52</v>
      </c>
      <c r="I2153" s="689">
        <v>52.1</v>
      </c>
      <c r="J2153" s="693">
        <v>52</v>
      </c>
      <c r="K2153" s="689">
        <v>51.8</v>
      </c>
    </row>
    <row r="2154" spans="1:11">
      <c r="A2154" s="688" t="s">
        <v>3</v>
      </c>
      <c r="B2154" s="691">
        <v>51.3</v>
      </c>
      <c r="C2154" s="691">
        <v>51.6</v>
      </c>
      <c r="D2154" s="691">
        <v>51.2</v>
      </c>
      <c r="E2154" s="691">
        <v>51.5</v>
      </c>
      <c r="F2154" s="691">
        <v>51.6</v>
      </c>
      <c r="G2154" s="691">
        <v>51.5</v>
      </c>
      <c r="H2154" s="691">
        <v>51.8</v>
      </c>
      <c r="I2154" s="691">
        <v>51.6</v>
      </c>
      <c r="J2154" s="691">
        <v>51.3</v>
      </c>
      <c r="K2154" s="691">
        <v>51.1</v>
      </c>
    </row>
    <row r="2155" spans="1:11">
      <c r="A2155" s="688" t="s">
        <v>4061</v>
      </c>
      <c r="B2155" s="689">
        <v>51.3</v>
      </c>
      <c r="C2155" s="689">
        <v>51.6</v>
      </c>
      <c r="D2155" s="689">
        <v>51.2</v>
      </c>
      <c r="E2155" s="689">
        <v>51.5</v>
      </c>
      <c r="F2155" s="689">
        <v>51.6</v>
      </c>
      <c r="G2155" s="689">
        <v>51.5</v>
      </c>
      <c r="H2155" s="689">
        <v>51.8</v>
      </c>
      <c r="I2155" s="689">
        <v>51.6</v>
      </c>
      <c r="J2155" s="689">
        <v>51.3</v>
      </c>
      <c r="K2155" s="689">
        <v>51.1</v>
      </c>
    </row>
    <row r="2156" spans="1:11">
      <c r="A2156" s="688" t="s">
        <v>4</v>
      </c>
      <c r="B2156" s="691">
        <v>48.4</v>
      </c>
      <c r="C2156" s="691">
        <v>48.2</v>
      </c>
      <c r="D2156" s="691">
        <v>48.5</v>
      </c>
      <c r="E2156" s="691">
        <v>48.7</v>
      </c>
      <c r="F2156" s="615">
        <v>49</v>
      </c>
      <c r="G2156" s="615">
        <v>49</v>
      </c>
      <c r="H2156" s="691">
        <v>49.5</v>
      </c>
      <c r="I2156" s="691">
        <v>49.3</v>
      </c>
      <c r="J2156" s="691">
        <v>47.9</v>
      </c>
      <c r="K2156" s="691">
        <v>48.8</v>
      </c>
    </row>
    <row r="2157" spans="1:11">
      <c r="A2157" s="688" t="s">
        <v>8</v>
      </c>
      <c r="B2157" s="689">
        <v>51.8</v>
      </c>
      <c r="C2157" s="693">
        <v>52</v>
      </c>
      <c r="D2157" s="689">
        <v>52.1</v>
      </c>
      <c r="E2157" s="689">
        <v>52.2</v>
      </c>
      <c r="F2157" s="689">
        <v>52.6</v>
      </c>
      <c r="G2157" s="689">
        <v>52.6</v>
      </c>
      <c r="H2157" s="693">
        <v>53</v>
      </c>
      <c r="I2157" s="689">
        <v>52.9</v>
      </c>
      <c r="J2157" s="689">
        <v>52.7</v>
      </c>
      <c r="K2157" s="689">
        <v>52.9</v>
      </c>
    </row>
    <row r="2158" spans="1:11">
      <c r="A2158" s="688" t="s">
        <v>7</v>
      </c>
      <c r="B2158" s="691">
        <v>52.1</v>
      </c>
      <c r="C2158" s="691">
        <v>51.7</v>
      </c>
      <c r="D2158" s="691">
        <v>51.5</v>
      </c>
      <c r="E2158" s="691">
        <v>51.8</v>
      </c>
      <c r="F2158" s="691">
        <v>51.8</v>
      </c>
      <c r="G2158" s="691">
        <v>52.2</v>
      </c>
      <c r="H2158" s="691">
        <v>52.1</v>
      </c>
      <c r="I2158" s="691">
        <v>51.8</v>
      </c>
      <c r="J2158" s="691">
        <v>50.8</v>
      </c>
      <c r="K2158" s="691">
        <v>51.5</v>
      </c>
    </row>
    <row r="2159" spans="1:11">
      <c r="A2159" s="688" t="s">
        <v>27</v>
      </c>
      <c r="B2159" s="689">
        <v>53.7</v>
      </c>
      <c r="C2159" s="689">
        <v>53.4</v>
      </c>
      <c r="D2159" s="689">
        <v>53.2</v>
      </c>
      <c r="E2159" s="689">
        <v>53.6</v>
      </c>
      <c r="F2159" s="689">
        <v>53.6</v>
      </c>
      <c r="G2159" s="689">
        <v>53.7</v>
      </c>
      <c r="H2159" s="693">
        <v>54</v>
      </c>
      <c r="I2159" s="689">
        <v>52.8</v>
      </c>
      <c r="J2159" s="689">
        <v>53.5</v>
      </c>
      <c r="K2159" s="689">
        <v>53.6</v>
      </c>
    </row>
    <row r="2160" spans="1:11">
      <c r="A2160" s="688" t="s">
        <v>6</v>
      </c>
      <c r="B2160" s="691">
        <v>53.2</v>
      </c>
      <c r="C2160" s="691">
        <v>53.1</v>
      </c>
      <c r="D2160" s="691">
        <v>52.9</v>
      </c>
      <c r="E2160" s="691">
        <v>53.1</v>
      </c>
      <c r="F2160" s="691">
        <v>53.2</v>
      </c>
      <c r="G2160" s="691">
        <v>53.3</v>
      </c>
      <c r="H2160" s="691">
        <v>53.5</v>
      </c>
      <c r="I2160" s="691">
        <v>52.9</v>
      </c>
      <c r="J2160" s="615">
        <v>53</v>
      </c>
      <c r="K2160" s="691">
        <v>53.1</v>
      </c>
    </row>
    <row r="2161" spans="1:11">
      <c r="A2161" s="688" t="s">
        <v>4058</v>
      </c>
      <c r="B2161" s="690" t="s">
        <v>4060</v>
      </c>
      <c r="C2161" s="690" t="s">
        <v>4060</v>
      </c>
      <c r="D2161" s="690" t="s">
        <v>4060</v>
      </c>
      <c r="E2161" s="690" t="s">
        <v>4060</v>
      </c>
      <c r="F2161" s="690" t="s">
        <v>4060</v>
      </c>
      <c r="G2161" s="690" t="s">
        <v>4060</v>
      </c>
      <c r="H2161" s="690" t="s">
        <v>4060</v>
      </c>
      <c r="I2161" s="690" t="s">
        <v>4060</v>
      </c>
      <c r="J2161" s="690" t="s">
        <v>4060</v>
      </c>
      <c r="K2161" s="690" t="s">
        <v>4060</v>
      </c>
    </row>
    <row r="2162" spans="1:11">
      <c r="A2162" s="688" t="s">
        <v>11</v>
      </c>
      <c r="B2162" s="691">
        <v>48.6</v>
      </c>
      <c r="C2162" s="691">
        <v>48.6</v>
      </c>
      <c r="D2162" s="691">
        <v>48.2</v>
      </c>
      <c r="E2162" s="691">
        <v>48.8</v>
      </c>
      <c r="F2162" s="691">
        <v>48.6</v>
      </c>
      <c r="G2162" s="691">
        <v>48.8</v>
      </c>
      <c r="H2162" s="691">
        <v>49.1</v>
      </c>
      <c r="I2162" s="691">
        <v>48.4</v>
      </c>
      <c r="J2162" s="691">
        <v>47.3</v>
      </c>
      <c r="K2162" s="691">
        <v>48.5</v>
      </c>
    </row>
    <row r="2163" spans="1:11">
      <c r="A2163" s="688" t="s">
        <v>10</v>
      </c>
      <c r="B2163" s="689">
        <v>53.5</v>
      </c>
      <c r="C2163" s="689">
        <v>53.4</v>
      </c>
      <c r="D2163" s="693">
        <v>53</v>
      </c>
      <c r="E2163" s="689">
        <v>53.6</v>
      </c>
      <c r="F2163" s="689">
        <v>53.4</v>
      </c>
      <c r="G2163" s="689">
        <v>53.7</v>
      </c>
      <c r="H2163" s="689">
        <v>53.9</v>
      </c>
      <c r="I2163" s="689">
        <v>52.7</v>
      </c>
      <c r="J2163" s="689">
        <v>53.1</v>
      </c>
      <c r="K2163" s="689">
        <v>53.3</v>
      </c>
    </row>
    <row r="2164" spans="1:11">
      <c r="A2164" s="688" t="s">
        <v>30</v>
      </c>
      <c r="B2164" s="615">
        <v>53</v>
      </c>
      <c r="C2164" s="691">
        <v>52.8</v>
      </c>
      <c r="D2164" s="691">
        <v>52.5</v>
      </c>
      <c r="E2164" s="691">
        <v>53.3</v>
      </c>
      <c r="F2164" s="691">
        <v>52.9</v>
      </c>
      <c r="G2164" s="691">
        <v>53.5</v>
      </c>
      <c r="H2164" s="691">
        <v>53.2</v>
      </c>
      <c r="I2164" s="691">
        <v>53.2</v>
      </c>
      <c r="J2164" s="691">
        <v>52.4</v>
      </c>
      <c r="K2164" s="691">
        <v>52.8</v>
      </c>
    </row>
    <row r="2165" spans="1:11">
      <c r="A2165" s="688" t="s">
        <v>12</v>
      </c>
      <c r="B2165" s="689">
        <v>45.4</v>
      </c>
      <c r="C2165" s="689">
        <v>45.5</v>
      </c>
      <c r="D2165" s="689">
        <v>45.7</v>
      </c>
      <c r="E2165" s="689">
        <v>45.9</v>
      </c>
      <c r="F2165" s="689">
        <v>45.9</v>
      </c>
      <c r="G2165" s="689">
        <v>45.9</v>
      </c>
      <c r="H2165" s="689">
        <v>46.7</v>
      </c>
      <c r="I2165" s="689">
        <v>46.3</v>
      </c>
      <c r="J2165" s="693">
        <v>44</v>
      </c>
      <c r="K2165" s="689">
        <v>45.4</v>
      </c>
    </row>
    <row r="2166" spans="1:11">
      <c r="A2166" s="688" t="s">
        <v>14</v>
      </c>
      <c r="B2166" s="691">
        <v>45.4</v>
      </c>
      <c r="C2166" s="691">
        <v>45.8</v>
      </c>
      <c r="D2166" s="691">
        <v>45.7</v>
      </c>
      <c r="E2166" s="691">
        <v>45.9</v>
      </c>
      <c r="F2166" s="691">
        <v>46.6</v>
      </c>
      <c r="G2166" s="691">
        <v>46.9</v>
      </c>
      <c r="H2166" s="691">
        <v>47.3</v>
      </c>
      <c r="I2166" s="615">
        <v>46</v>
      </c>
      <c r="J2166" s="691">
        <v>45.1</v>
      </c>
      <c r="K2166" s="691">
        <v>46.6</v>
      </c>
    </row>
    <row r="2167" spans="1:11">
      <c r="A2167" s="688" t="s">
        <v>15</v>
      </c>
      <c r="B2167" s="689">
        <v>52.6</v>
      </c>
      <c r="C2167" s="689">
        <v>52.5</v>
      </c>
      <c r="D2167" s="689">
        <v>52.6</v>
      </c>
      <c r="E2167" s="689">
        <v>52.9</v>
      </c>
      <c r="F2167" s="689">
        <v>52.5</v>
      </c>
      <c r="G2167" s="689">
        <v>52.7</v>
      </c>
      <c r="H2167" s="689">
        <v>53.1</v>
      </c>
      <c r="I2167" s="689">
        <v>52.7</v>
      </c>
      <c r="J2167" s="689">
        <v>53.1</v>
      </c>
      <c r="K2167" s="689">
        <v>53.5</v>
      </c>
    </row>
    <row r="2168" spans="1:11">
      <c r="A2168" s="688" t="s">
        <v>29</v>
      </c>
      <c r="B2168" s="691">
        <v>46.6</v>
      </c>
      <c r="C2168" s="691">
        <v>46.6</v>
      </c>
      <c r="D2168" s="691">
        <v>46.4</v>
      </c>
      <c r="E2168" s="691">
        <v>46.8</v>
      </c>
      <c r="F2168" s="691">
        <v>46.6</v>
      </c>
      <c r="G2168" s="691">
        <v>46.7</v>
      </c>
      <c r="H2168" s="615">
        <v>47</v>
      </c>
      <c r="I2168" s="691">
        <v>46.2</v>
      </c>
      <c r="J2168" s="691">
        <v>44.8</v>
      </c>
      <c r="K2168" s="691">
        <v>46.6</v>
      </c>
    </row>
    <row r="2169" spans="1:11">
      <c r="A2169" s="688" t="s">
        <v>16</v>
      </c>
      <c r="B2169" s="689">
        <v>52.7</v>
      </c>
      <c r="C2169" s="689">
        <v>52.5</v>
      </c>
      <c r="D2169" s="689">
        <v>52.6</v>
      </c>
      <c r="E2169" s="693">
        <v>53</v>
      </c>
      <c r="F2169" s="689">
        <v>52.9</v>
      </c>
      <c r="G2169" s="689">
        <v>52.8</v>
      </c>
      <c r="H2169" s="689">
        <v>53.3</v>
      </c>
      <c r="I2169" s="689">
        <v>52.6</v>
      </c>
      <c r="J2169" s="689">
        <v>52.7</v>
      </c>
      <c r="K2169" s="689">
        <v>52.9</v>
      </c>
    </row>
    <row r="2170" spans="1:11">
      <c r="A2170" s="688" t="s">
        <v>17</v>
      </c>
      <c r="B2170" s="691">
        <v>52.1</v>
      </c>
      <c r="C2170" s="691">
        <v>52.3</v>
      </c>
      <c r="D2170" s="691">
        <v>52.1</v>
      </c>
      <c r="E2170" s="691">
        <v>52.2</v>
      </c>
      <c r="F2170" s="691">
        <v>52.4</v>
      </c>
      <c r="G2170" s="691">
        <v>52.4</v>
      </c>
      <c r="H2170" s="691">
        <v>52.7</v>
      </c>
      <c r="I2170" s="615">
        <v>52</v>
      </c>
      <c r="J2170" s="615">
        <v>52</v>
      </c>
      <c r="K2170" s="691">
        <v>52.2</v>
      </c>
    </row>
    <row r="2171" spans="1:11">
      <c r="A2171" s="688" t="s">
        <v>19</v>
      </c>
      <c r="B2171" s="693">
        <v>52</v>
      </c>
      <c r="C2171" s="689">
        <v>52.1</v>
      </c>
      <c r="D2171" s="689">
        <v>51.8</v>
      </c>
      <c r="E2171" s="689">
        <v>52.3</v>
      </c>
      <c r="F2171" s="689">
        <v>52.3</v>
      </c>
      <c r="G2171" s="689">
        <v>52.3</v>
      </c>
      <c r="H2171" s="689">
        <v>52.6</v>
      </c>
      <c r="I2171" s="693">
        <v>52</v>
      </c>
      <c r="J2171" s="689">
        <v>51.9</v>
      </c>
      <c r="K2171" s="689">
        <v>52.1</v>
      </c>
    </row>
    <row r="2172" spans="1:11">
      <c r="A2172" s="688" t="s">
        <v>20</v>
      </c>
      <c r="B2172" s="691">
        <v>48.1</v>
      </c>
      <c r="C2172" s="691">
        <v>48.5</v>
      </c>
      <c r="D2172" s="691">
        <v>48.2</v>
      </c>
      <c r="E2172" s="691">
        <v>48.6</v>
      </c>
      <c r="F2172" s="691">
        <v>48.5</v>
      </c>
      <c r="G2172" s="691">
        <v>48.4</v>
      </c>
      <c r="H2172" s="691">
        <v>48.7</v>
      </c>
      <c r="I2172" s="691">
        <v>47.2</v>
      </c>
      <c r="J2172" s="691">
        <v>46.3</v>
      </c>
      <c r="K2172" s="615">
        <v>48</v>
      </c>
    </row>
    <row r="2173" spans="1:11">
      <c r="A2173" s="688" t="s">
        <v>21</v>
      </c>
      <c r="B2173" s="689">
        <v>51.6</v>
      </c>
      <c r="C2173" s="689">
        <v>51.9</v>
      </c>
      <c r="D2173" s="693">
        <v>52</v>
      </c>
      <c r="E2173" s="693">
        <v>52</v>
      </c>
      <c r="F2173" s="689">
        <v>52.3</v>
      </c>
      <c r="G2173" s="689">
        <v>52.3</v>
      </c>
      <c r="H2173" s="689">
        <v>52.6</v>
      </c>
      <c r="I2173" s="693">
        <v>52</v>
      </c>
      <c r="J2173" s="693">
        <v>52</v>
      </c>
      <c r="K2173" s="689">
        <v>52.3</v>
      </c>
    </row>
    <row r="2174" spans="1:11">
      <c r="A2174" s="688" t="s">
        <v>22</v>
      </c>
      <c r="B2174" s="691">
        <v>46.5</v>
      </c>
      <c r="C2174" s="691">
        <v>46.2</v>
      </c>
      <c r="D2174" s="691">
        <v>46.2</v>
      </c>
      <c r="E2174" s="691">
        <v>46.4</v>
      </c>
      <c r="F2174" s="691">
        <v>46.4</v>
      </c>
      <c r="G2174" s="691">
        <v>46.4</v>
      </c>
      <c r="H2174" s="691">
        <v>46.6</v>
      </c>
      <c r="I2174" s="691">
        <v>45.1</v>
      </c>
      <c r="J2174" s="691">
        <v>43.8</v>
      </c>
      <c r="K2174" s="691">
        <v>46.1</v>
      </c>
    </row>
    <row r="2175" spans="1:11">
      <c r="A2175" s="688" t="s">
        <v>26</v>
      </c>
      <c r="B2175" s="689">
        <v>51.2</v>
      </c>
      <c r="C2175" s="689">
        <v>51.4</v>
      </c>
      <c r="D2175" s="689">
        <v>51.2</v>
      </c>
      <c r="E2175" s="689">
        <v>51.6</v>
      </c>
      <c r="F2175" s="689">
        <v>51.5</v>
      </c>
      <c r="G2175" s="689">
        <v>51.8</v>
      </c>
      <c r="H2175" s="689">
        <v>51.9</v>
      </c>
      <c r="I2175" s="693">
        <v>51</v>
      </c>
      <c r="J2175" s="689">
        <v>51.1</v>
      </c>
      <c r="K2175" s="689">
        <v>51.7</v>
      </c>
    </row>
    <row r="2176" spans="1:11">
      <c r="A2176" s="688" t="s">
        <v>25</v>
      </c>
      <c r="B2176" s="691">
        <v>47.6</v>
      </c>
      <c r="C2176" s="691">
        <v>47.9</v>
      </c>
      <c r="D2176" s="691">
        <v>47.7</v>
      </c>
      <c r="E2176" s="691">
        <v>48.2</v>
      </c>
      <c r="F2176" s="691">
        <v>48.2</v>
      </c>
      <c r="G2176" s="691">
        <v>48.3</v>
      </c>
      <c r="H2176" s="691">
        <v>48.7</v>
      </c>
      <c r="I2176" s="691">
        <v>47.9</v>
      </c>
      <c r="J2176" s="691">
        <v>45.5</v>
      </c>
      <c r="K2176" s="691">
        <v>47.9</v>
      </c>
    </row>
    <row r="2177" spans="1:11">
      <c r="A2177" s="688" t="s">
        <v>5</v>
      </c>
      <c r="B2177" s="689">
        <v>51.8</v>
      </c>
      <c r="C2177" s="689">
        <v>51.8</v>
      </c>
      <c r="D2177" s="693">
        <v>52</v>
      </c>
      <c r="E2177" s="693">
        <v>52</v>
      </c>
      <c r="F2177" s="689">
        <v>52.2</v>
      </c>
      <c r="G2177" s="689">
        <v>52.3</v>
      </c>
      <c r="H2177" s="689">
        <v>52.6</v>
      </c>
      <c r="I2177" s="689">
        <v>52.5</v>
      </c>
      <c r="J2177" s="689">
        <v>52.5</v>
      </c>
      <c r="K2177" s="689">
        <v>51.9</v>
      </c>
    </row>
    <row r="2178" spans="1:11">
      <c r="A2178" s="688" t="s">
        <v>23</v>
      </c>
      <c r="B2178" s="691">
        <v>52.7</v>
      </c>
      <c r="C2178" s="691">
        <v>52.8</v>
      </c>
      <c r="D2178" s="691">
        <v>52.9</v>
      </c>
      <c r="E2178" s="615">
        <v>53</v>
      </c>
      <c r="F2178" s="691">
        <v>53.1</v>
      </c>
      <c r="G2178" s="691">
        <v>53.2</v>
      </c>
      <c r="H2178" s="691">
        <v>53.7</v>
      </c>
      <c r="I2178" s="615">
        <v>53</v>
      </c>
      <c r="J2178" s="691">
        <v>53.6</v>
      </c>
      <c r="K2178" s="691">
        <v>53.6</v>
      </c>
    </row>
    <row r="2179" spans="1:11">
      <c r="A2179" s="688" t="s">
        <v>4067</v>
      </c>
      <c r="B2179" s="689">
        <v>51.3</v>
      </c>
      <c r="C2179" s="689">
        <v>51.7</v>
      </c>
      <c r="D2179" s="689">
        <v>51.3</v>
      </c>
      <c r="E2179" s="689">
        <v>51.7</v>
      </c>
      <c r="F2179" s="689">
        <v>51.7</v>
      </c>
      <c r="G2179" s="689">
        <v>51.7</v>
      </c>
      <c r="H2179" s="690" t="s">
        <v>4060</v>
      </c>
      <c r="I2179" s="690" t="s">
        <v>4060</v>
      </c>
      <c r="J2179" s="690" t="s">
        <v>4060</v>
      </c>
      <c r="K2179" s="690" t="s">
        <v>4060</v>
      </c>
    </row>
    <row r="2180" spans="1:11">
      <c r="A2180" s="688" t="s">
        <v>4066</v>
      </c>
      <c r="B2180" s="691">
        <v>51.3</v>
      </c>
      <c r="C2180" s="691">
        <v>51.7</v>
      </c>
      <c r="D2180" s="691">
        <v>51.4</v>
      </c>
      <c r="E2180" s="691">
        <v>51.7</v>
      </c>
      <c r="F2180" s="691">
        <v>51.7</v>
      </c>
      <c r="G2180" s="691">
        <v>51.8</v>
      </c>
      <c r="H2180" s="692" t="s">
        <v>4060</v>
      </c>
      <c r="I2180" s="692" t="s">
        <v>4060</v>
      </c>
      <c r="J2180" s="692" t="s">
        <v>4060</v>
      </c>
      <c r="K2180" s="692" t="s">
        <v>4060</v>
      </c>
    </row>
    <row r="2181" spans="1:11">
      <c r="A2181" s="688" t="s">
        <v>4062</v>
      </c>
      <c r="B2181" s="689">
        <v>53.2</v>
      </c>
      <c r="C2181" s="689">
        <v>53.4</v>
      </c>
      <c r="D2181" s="689">
        <v>53.3</v>
      </c>
      <c r="E2181" s="689">
        <v>53.6</v>
      </c>
      <c r="F2181" s="689">
        <v>53.7</v>
      </c>
      <c r="G2181" s="689">
        <v>53.9</v>
      </c>
      <c r="H2181" s="689">
        <v>54.1</v>
      </c>
      <c r="I2181" s="689">
        <v>53.7</v>
      </c>
      <c r="J2181" s="689">
        <v>54.1</v>
      </c>
      <c r="K2181" s="689">
        <v>53.8</v>
      </c>
    </row>
    <row r="2182" spans="1:11">
      <c r="A2182" s="688" t="s">
        <v>9</v>
      </c>
      <c r="B2182" s="691">
        <v>52.7</v>
      </c>
      <c r="C2182" s="691">
        <v>53.2</v>
      </c>
      <c r="D2182" s="615">
        <v>53</v>
      </c>
      <c r="E2182" s="691">
        <v>52.6</v>
      </c>
      <c r="F2182" s="691">
        <v>53.1</v>
      </c>
      <c r="G2182" s="691">
        <v>53.2</v>
      </c>
      <c r="H2182" s="691">
        <v>53.4</v>
      </c>
      <c r="I2182" s="691">
        <v>53.5</v>
      </c>
      <c r="J2182" s="691">
        <v>53.8</v>
      </c>
      <c r="K2182" s="691">
        <v>52.6</v>
      </c>
    </row>
    <row r="2183" spans="1:11">
      <c r="A2183" s="688" t="s">
        <v>13</v>
      </c>
      <c r="B2183" s="689">
        <v>53.1</v>
      </c>
      <c r="C2183" s="689">
        <v>52.5</v>
      </c>
      <c r="D2183" s="689">
        <v>53.3</v>
      </c>
      <c r="E2183" s="689">
        <v>52.8</v>
      </c>
      <c r="F2183" s="689">
        <v>53.8</v>
      </c>
      <c r="G2183" s="689">
        <v>53.5</v>
      </c>
      <c r="H2183" s="689">
        <v>54.3</v>
      </c>
      <c r="I2183" s="689">
        <v>53.3</v>
      </c>
      <c r="J2183" s="689">
        <v>54.4</v>
      </c>
      <c r="K2183" s="689">
        <v>54.6</v>
      </c>
    </row>
    <row r="2184" spans="1:11">
      <c r="A2184" s="688" t="s">
        <v>18</v>
      </c>
      <c r="B2184" s="691">
        <v>52.4</v>
      </c>
      <c r="C2184" s="691">
        <v>52.7</v>
      </c>
      <c r="D2184" s="691">
        <v>52.9</v>
      </c>
      <c r="E2184" s="615">
        <v>53</v>
      </c>
      <c r="F2184" s="691">
        <v>53.2</v>
      </c>
      <c r="G2184" s="691">
        <v>53.3</v>
      </c>
      <c r="H2184" s="691">
        <v>53.6</v>
      </c>
      <c r="I2184" s="691">
        <v>53.8</v>
      </c>
      <c r="J2184" s="691">
        <v>53.7</v>
      </c>
      <c r="K2184" s="691">
        <v>53.2</v>
      </c>
    </row>
    <row r="2185" spans="1:11">
      <c r="A2185" s="688" t="s">
        <v>24</v>
      </c>
      <c r="B2185" s="689">
        <v>53.6</v>
      </c>
      <c r="C2185" s="689">
        <v>53.8</v>
      </c>
      <c r="D2185" s="689">
        <v>53.6</v>
      </c>
      <c r="E2185" s="689">
        <v>54.1</v>
      </c>
      <c r="F2185" s="689">
        <v>54.1</v>
      </c>
      <c r="G2185" s="689">
        <v>54.2</v>
      </c>
      <c r="H2185" s="689">
        <v>54.4</v>
      </c>
      <c r="I2185" s="689">
        <v>53.7</v>
      </c>
      <c r="J2185" s="689">
        <v>54.3</v>
      </c>
      <c r="K2185" s="689">
        <v>54.2</v>
      </c>
    </row>
    <row r="2186" spans="1:11">
      <c r="A2186" s="688" t="s">
        <v>4059</v>
      </c>
      <c r="B2186" s="691">
        <v>51.8</v>
      </c>
      <c r="C2186" s="691">
        <v>52.1</v>
      </c>
      <c r="D2186" s="691">
        <v>51.8</v>
      </c>
      <c r="E2186" s="615">
        <v>52</v>
      </c>
      <c r="F2186" s="615">
        <v>52</v>
      </c>
      <c r="G2186" s="615">
        <v>52</v>
      </c>
      <c r="H2186" s="692" t="s">
        <v>4060</v>
      </c>
      <c r="I2186" s="692" t="s">
        <v>4060</v>
      </c>
      <c r="J2186" s="692" t="s">
        <v>4060</v>
      </c>
      <c r="K2186" s="692" t="s">
        <v>4060</v>
      </c>
    </row>
    <row r="2187" spans="1:11">
      <c r="A2187" s="688" t="s">
        <v>2324</v>
      </c>
      <c r="B2187" s="689">
        <v>47.4</v>
      </c>
      <c r="C2187" s="689">
        <v>47.4</v>
      </c>
      <c r="D2187" s="689">
        <v>47.2</v>
      </c>
      <c r="E2187" s="689">
        <v>47.2</v>
      </c>
      <c r="F2187" s="689">
        <v>47.3</v>
      </c>
      <c r="G2187" s="689">
        <v>47.5</v>
      </c>
      <c r="H2187" s="689">
        <v>47.4</v>
      </c>
      <c r="I2187" s="689">
        <v>46.6</v>
      </c>
      <c r="J2187" s="689">
        <v>44.4</v>
      </c>
      <c r="K2187" s="690" t="s">
        <v>4060</v>
      </c>
    </row>
    <row r="2188" spans="1:11">
      <c r="A2188" s="688" t="s">
        <v>2322</v>
      </c>
      <c r="B2188" s="692" t="s">
        <v>4060</v>
      </c>
      <c r="C2188" s="692" t="s">
        <v>4060</v>
      </c>
      <c r="D2188" s="692" t="s">
        <v>4060</v>
      </c>
      <c r="E2188" s="692" t="s">
        <v>4060</v>
      </c>
      <c r="F2188" s="692" t="s">
        <v>4060</v>
      </c>
      <c r="G2188" s="692" t="s">
        <v>4060</v>
      </c>
      <c r="H2188" s="692" t="s">
        <v>4060</v>
      </c>
      <c r="I2188" s="692" t="s">
        <v>4060</v>
      </c>
      <c r="J2188" s="692" t="s">
        <v>4060</v>
      </c>
      <c r="K2188" s="692" t="s">
        <v>4060</v>
      </c>
    </row>
    <row r="2189" spans="1:11">
      <c r="A2189" s="688" t="s">
        <v>2328</v>
      </c>
      <c r="B2189" s="689">
        <v>46.8</v>
      </c>
      <c r="C2189" s="689">
        <v>46.7</v>
      </c>
      <c r="D2189" s="689">
        <v>46.6</v>
      </c>
      <c r="E2189" s="689">
        <v>46.8</v>
      </c>
      <c r="F2189" s="689">
        <v>47.2</v>
      </c>
      <c r="G2189" s="689">
        <v>47.5</v>
      </c>
      <c r="H2189" s="689">
        <v>47.5</v>
      </c>
      <c r="I2189" s="689">
        <v>45.2</v>
      </c>
      <c r="J2189" s="693">
        <v>44</v>
      </c>
      <c r="K2189" s="690" t="s">
        <v>4060</v>
      </c>
    </row>
    <row r="2190" spans="1:11">
      <c r="A2190" s="688" t="s">
        <v>2496</v>
      </c>
      <c r="B2190" s="692" t="s">
        <v>4060</v>
      </c>
      <c r="C2190" s="691">
        <v>45.7</v>
      </c>
      <c r="D2190" s="691">
        <v>44.6</v>
      </c>
      <c r="E2190" s="691">
        <v>44.3</v>
      </c>
      <c r="F2190" s="691">
        <v>45.1</v>
      </c>
      <c r="G2190" s="691">
        <v>45.4</v>
      </c>
      <c r="H2190" s="691">
        <v>45.4</v>
      </c>
      <c r="I2190" s="692" t="s">
        <v>4060</v>
      </c>
      <c r="J2190" s="692" t="s">
        <v>4060</v>
      </c>
      <c r="K2190" s="615">
        <v>45</v>
      </c>
    </row>
    <row r="2191" spans="1:11">
      <c r="A2191" s="688" t="s">
        <v>2269</v>
      </c>
      <c r="B2191" s="689">
        <v>49.4</v>
      </c>
      <c r="C2191" s="689">
        <v>49.6</v>
      </c>
      <c r="D2191" s="689">
        <v>49.2</v>
      </c>
      <c r="E2191" s="689">
        <v>49.8</v>
      </c>
      <c r="F2191" s="689">
        <v>49.7</v>
      </c>
      <c r="G2191" s="689">
        <v>50.2</v>
      </c>
      <c r="H2191" s="689">
        <v>50.4</v>
      </c>
      <c r="I2191" s="689">
        <v>48.5</v>
      </c>
      <c r="J2191" s="689">
        <v>46.7</v>
      </c>
      <c r="K2191" s="689">
        <v>50.1</v>
      </c>
    </row>
    <row r="2192" spans="1:11">
      <c r="A2192" s="688" t="s">
        <v>2349</v>
      </c>
      <c r="B2192" s="691">
        <v>46.2</v>
      </c>
      <c r="C2192" s="691">
        <v>46.3</v>
      </c>
      <c r="D2192" s="691">
        <v>46.2</v>
      </c>
      <c r="E2192" s="691">
        <v>46.6</v>
      </c>
      <c r="F2192" s="691">
        <v>46.5</v>
      </c>
      <c r="G2192" s="691">
        <v>46.8</v>
      </c>
      <c r="H2192" s="691">
        <v>46.8</v>
      </c>
      <c r="I2192" s="691">
        <v>45.3</v>
      </c>
      <c r="J2192" s="691">
        <v>43.7</v>
      </c>
      <c r="K2192" s="691">
        <v>46.1</v>
      </c>
    </row>
    <row r="2193" spans="1:11">
      <c r="A2193" s="688" t="s">
        <v>2355</v>
      </c>
      <c r="B2193" s="689">
        <v>49.9</v>
      </c>
      <c r="C2193" s="689">
        <v>49.8</v>
      </c>
      <c r="D2193" s="689">
        <v>49.8</v>
      </c>
      <c r="E2193" s="689">
        <v>49.7</v>
      </c>
      <c r="F2193" s="693">
        <v>50</v>
      </c>
      <c r="G2193" s="689">
        <v>50.4</v>
      </c>
      <c r="H2193" s="689">
        <v>50.5</v>
      </c>
      <c r="I2193" s="690" t="s">
        <v>4060</v>
      </c>
      <c r="J2193" s="690" t="s">
        <v>4060</v>
      </c>
      <c r="K2193" s="690" t="s">
        <v>4060</v>
      </c>
    </row>
    <row r="2194" spans="1:11">
      <c r="A2194" s="688" t="s">
        <v>2357</v>
      </c>
      <c r="B2194" s="692" t="s">
        <v>4060</v>
      </c>
      <c r="C2194" s="691">
        <v>43.4</v>
      </c>
      <c r="D2194" s="615">
        <v>44</v>
      </c>
      <c r="E2194" s="691">
        <v>44.3</v>
      </c>
      <c r="F2194" s="691">
        <v>44.7</v>
      </c>
      <c r="G2194" s="691">
        <v>44.4</v>
      </c>
      <c r="H2194" s="691">
        <v>44.7</v>
      </c>
      <c r="I2194" s="692" t="s">
        <v>4060</v>
      </c>
      <c r="J2194" s="692" t="s">
        <v>4060</v>
      </c>
      <c r="K2194" s="692" t="s">
        <v>4060</v>
      </c>
    </row>
    <row r="2195" spans="1:11">
      <c r="A2195" s="688" t="s">
        <v>4070</v>
      </c>
      <c r="B2195" s="690" t="s">
        <v>4060</v>
      </c>
      <c r="C2195" s="690" t="s">
        <v>4060</v>
      </c>
      <c r="D2195" s="690" t="s">
        <v>4060</v>
      </c>
      <c r="E2195" s="689">
        <v>49.5</v>
      </c>
      <c r="F2195" s="690" t="s">
        <v>4060</v>
      </c>
      <c r="G2195" s="690" t="s">
        <v>4060</v>
      </c>
      <c r="H2195" s="690" t="s">
        <v>4060</v>
      </c>
      <c r="I2195" s="690" t="s">
        <v>4060</v>
      </c>
      <c r="J2195" s="690" t="s">
        <v>4060</v>
      </c>
      <c r="K2195" s="690" t="s">
        <v>4060</v>
      </c>
    </row>
    <row r="2196" spans="1:11">
      <c r="A2196" s="688" t="s">
        <v>2491</v>
      </c>
      <c r="B2196" s="691">
        <v>43.8</v>
      </c>
      <c r="C2196" s="691">
        <v>44.4</v>
      </c>
      <c r="D2196" s="691">
        <v>44.9</v>
      </c>
      <c r="E2196" s="691">
        <v>45.1</v>
      </c>
      <c r="F2196" s="691">
        <v>45.3</v>
      </c>
      <c r="G2196" s="691">
        <v>45.3</v>
      </c>
      <c r="H2196" s="692" t="s">
        <v>4060</v>
      </c>
      <c r="I2196" s="692" t="s">
        <v>4060</v>
      </c>
      <c r="J2196" s="692" t="s">
        <v>4060</v>
      </c>
      <c r="K2196" s="692" t="s">
        <v>4060</v>
      </c>
    </row>
    <row r="2197" spans="1:11">
      <c r="A2197" s="688" t="s">
        <v>2343</v>
      </c>
      <c r="B2197" s="690" t="s">
        <v>4060</v>
      </c>
      <c r="C2197" s="690" t="s">
        <v>4060</v>
      </c>
      <c r="D2197" s="690" t="s">
        <v>4060</v>
      </c>
      <c r="E2197" s="690" t="s">
        <v>4060</v>
      </c>
      <c r="F2197" s="690" t="s">
        <v>4060</v>
      </c>
      <c r="G2197" s="690" t="s">
        <v>4060</v>
      </c>
      <c r="H2197" s="690" t="s">
        <v>4060</v>
      </c>
      <c r="I2197" s="690" t="s">
        <v>4060</v>
      </c>
      <c r="J2197" s="690" t="s">
        <v>4060</v>
      </c>
      <c r="K2197" s="690" t="s">
        <v>4060</v>
      </c>
    </row>
    <row r="2198" spans="1:11">
      <c r="A2198" s="688" t="s">
        <v>4071</v>
      </c>
      <c r="B2198" s="692" t="s">
        <v>4060</v>
      </c>
      <c r="C2198" s="692" t="s">
        <v>4060</v>
      </c>
      <c r="D2198" s="692" t="s">
        <v>4060</v>
      </c>
      <c r="E2198" s="692" t="s">
        <v>4060</v>
      </c>
      <c r="F2198" s="692" t="s">
        <v>4060</v>
      </c>
      <c r="G2198" s="692" t="s">
        <v>4060</v>
      </c>
      <c r="H2198" s="692" t="s">
        <v>4060</v>
      </c>
      <c r="I2198" s="692" t="s">
        <v>4060</v>
      </c>
      <c r="J2198" s="692" t="s">
        <v>4060</v>
      </c>
      <c r="K2198" s="692" t="s">
        <v>4060</v>
      </c>
    </row>
    <row r="2199" spans="1:11">
      <c r="A2199" s="688" t="s">
        <v>2489</v>
      </c>
      <c r="B2199" s="690" t="s">
        <v>4060</v>
      </c>
      <c r="C2199" s="690" t="s">
        <v>4060</v>
      </c>
      <c r="D2199" s="689">
        <v>46.4</v>
      </c>
      <c r="E2199" s="689">
        <v>46.5</v>
      </c>
      <c r="F2199" s="689">
        <v>47.1</v>
      </c>
      <c r="G2199" s="689">
        <v>47.8</v>
      </c>
      <c r="H2199" s="689">
        <v>47.7</v>
      </c>
      <c r="I2199" s="690" t="s">
        <v>4060</v>
      </c>
      <c r="J2199" s="690" t="s">
        <v>4060</v>
      </c>
      <c r="K2199" s="690" t="s">
        <v>4060</v>
      </c>
    </row>
    <row r="2200" spans="1:11">
      <c r="A2200" s="688" t="s">
        <v>2490</v>
      </c>
      <c r="B2200" s="691">
        <v>46.3</v>
      </c>
      <c r="C2200" s="691">
        <v>46.4</v>
      </c>
      <c r="D2200" s="615">
        <v>47</v>
      </c>
      <c r="E2200" s="692" t="s">
        <v>4060</v>
      </c>
      <c r="F2200" s="691">
        <v>47.2</v>
      </c>
      <c r="G2200" s="691">
        <v>47.6</v>
      </c>
      <c r="H2200" s="691">
        <v>48.3</v>
      </c>
      <c r="I2200" s="692" t="s">
        <v>4060</v>
      </c>
      <c r="J2200" s="692" t="s">
        <v>4060</v>
      </c>
      <c r="K2200" s="692" t="s">
        <v>4060</v>
      </c>
    </row>
    <row r="2202" spans="1:11">
      <c r="A2202" s="683" t="s">
        <v>4233</v>
      </c>
    </row>
    <row r="2203" spans="1:11">
      <c r="A2203" s="683" t="s">
        <v>4060</v>
      </c>
      <c r="B2203" s="682" t="s">
        <v>4234</v>
      </c>
    </row>
    <row r="2205" spans="1:11">
      <c r="A2205" s="682" t="s">
        <v>4248</v>
      </c>
    </row>
    <row r="2206" spans="1:11">
      <c r="A2206" s="682" t="s">
        <v>4210</v>
      </c>
      <c r="B2206" s="683" t="s">
        <v>4211</v>
      </c>
    </row>
    <row r="2207" spans="1:11">
      <c r="A2207" s="682" t="s">
        <v>4212</v>
      </c>
      <c r="B2207" s="682" t="s">
        <v>4213</v>
      </c>
    </row>
    <row r="2209" spans="1:11">
      <c r="A2209" s="683" t="s">
        <v>4214</v>
      </c>
      <c r="C2209" s="682" t="s">
        <v>4215</v>
      </c>
    </row>
    <row r="2210" spans="1:11">
      <c r="A2210" s="683" t="s">
        <v>4216</v>
      </c>
      <c r="C2210" s="682" t="s">
        <v>2967</v>
      </c>
    </row>
    <row r="2211" spans="1:11">
      <c r="A2211" s="683" t="s">
        <v>3893</v>
      </c>
      <c r="C2211" s="682" t="s">
        <v>4217</v>
      </c>
    </row>
    <row r="2212" spans="1:11">
      <c r="A2212" s="683" t="s">
        <v>4218</v>
      </c>
      <c r="C2212" s="682" t="s">
        <v>4266</v>
      </c>
    </row>
    <row r="2214" spans="1:11">
      <c r="A2214" s="684" t="s">
        <v>4220</v>
      </c>
      <c r="B2214" s="685" t="s">
        <v>4221</v>
      </c>
      <c r="C2214" s="685" t="s">
        <v>4222</v>
      </c>
      <c r="D2214" s="685" t="s">
        <v>4223</v>
      </c>
      <c r="E2214" s="685" t="s">
        <v>4224</v>
      </c>
      <c r="F2214" s="685" t="s">
        <v>4225</v>
      </c>
      <c r="G2214" s="685" t="s">
        <v>4226</v>
      </c>
      <c r="H2214" s="685" t="s">
        <v>4227</v>
      </c>
      <c r="I2214" s="685" t="s">
        <v>4228</v>
      </c>
      <c r="J2214" s="685" t="s">
        <v>4229</v>
      </c>
      <c r="K2214" s="685" t="s">
        <v>4230</v>
      </c>
    </row>
    <row r="2215" spans="1:11">
      <c r="A2215" s="686" t="s">
        <v>4231</v>
      </c>
      <c r="B2215" s="687" t="s">
        <v>4232</v>
      </c>
      <c r="C2215" s="687" t="s">
        <v>4232</v>
      </c>
      <c r="D2215" s="687" t="s">
        <v>4232</v>
      </c>
      <c r="E2215" s="687" t="s">
        <v>4232</v>
      </c>
      <c r="F2215" s="687" t="s">
        <v>4232</v>
      </c>
      <c r="G2215" s="687" t="s">
        <v>4232</v>
      </c>
      <c r="H2215" s="687" t="s">
        <v>4232</v>
      </c>
      <c r="I2215" s="687" t="s">
        <v>4232</v>
      </c>
      <c r="J2215" s="687" t="s">
        <v>4232</v>
      </c>
      <c r="K2215" s="687" t="s">
        <v>4232</v>
      </c>
    </row>
    <row r="2216" spans="1:11">
      <c r="A2216" s="688" t="s">
        <v>4064</v>
      </c>
      <c r="B2216" s="691">
        <v>50.3</v>
      </c>
      <c r="C2216" s="691">
        <v>50.3</v>
      </c>
      <c r="D2216" s="691">
        <v>50.3</v>
      </c>
      <c r="E2216" s="691">
        <v>50.4</v>
      </c>
      <c r="F2216" s="691">
        <v>50.5</v>
      </c>
      <c r="G2216" s="691">
        <v>50.5</v>
      </c>
      <c r="H2216" s="691">
        <v>50.8</v>
      </c>
      <c r="I2216" s="615">
        <v>50</v>
      </c>
      <c r="J2216" s="691">
        <v>49.7</v>
      </c>
      <c r="K2216" s="691">
        <v>50.3</v>
      </c>
    </row>
    <row r="2217" spans="1:11">
      <c r="A2217" s="688" t="s">
        <v>4065</v>
      </c>
      <c r="B2217" s="689">
        <v>50.3</v>
      </c>
      <c r="C2217" s="689">
        <v>50.7</v>
      </c>
      <c r="D2217" s="689">
        <v>50.4</v>
      </c>
      <c r="E2217" s="689">
        <v>50.7</v>
      </c>
      <c r="F2217" s="689">
        <v>50.7</v>
      </c>
      <c r="G2217" s="689">
        <v>50.8</v>
      </c>
      <c r="H2217" s="690" t="s">
        <v>4060</v>
      </c>
      <c r="I2217" s="690" t="s">
        <v>4060</v>
      </c>
      <c r="J2217" s="690" t="s">
        <v>4060</v>
      </c>
      <c r="K2217" s="690" t="s">
        <v>4060</v>
      </c>
    </row>
    <row r="2218" spans="1:11">
      <c r="A2218" s="688" t="s">
        <v>4063</v>
      </c>
      <c r="B2218" s="691">
        <v>50.4</v>
      </c>
      <c r="C2218" s="691">
        <v>50.7</v>
      </c>
      <c r="D2218" s="691">
        <v>50.4</v>
      </c>
      <c r="E2218" s="691">
        <v>50.7</v>
      </c>
      <c r="F2218" s="691">
        <v>50.7</v>
      </c>
      <c r="G2218" s="691">
        <v>50.8</v>
      </c>
      <c r="H2218" s="692" t="s">
        <v>4060</v>
      </c>
      <c r="I2218" s="692" t="s">
        <v>4060</v>
      </c>
      <c r="J2218" s="692" t="s">
        <v>4060</v>
      </c>
      <c r="K2218" s="692" t="s">
        <v>4060</v>
      </c>
    </row>
    <row r="2219" spans="1:11">
      <c r="A2219" s="688" t="s">
        <v>4069</v>
      </c>
      <c r="B2219" s="690" t="s">
        <v>4060</v>
      </c>
      <c r="C2219" s="689">
        <v>51.3</v>
      </c>
      <c r="D2219" s="693">
        <v>51</v>
      </c>
      <c r="E2219" s="689">
        <v>51.4</v>
      </c>
      <c r="F2219" s="689">
        <v>51.4</v>
      </c>
      <c r="G2219" s="689">
        <v>51.5</v>
      </c>
      <c r="H2219" s="689">
        <v>51.8</v>
      </c>
      <c r="I2219" s="689">
        <v>51.1</v>
      </c>
      <c r="J2219" s="689">
        <v>51.1</v>
      </c>
      <c r="K2219" s="689">
        <v>51.2</v>
      </c>
    </row>
    <row r="2220" spans="1:11">
      <c r="A2220" s="688" t="s">
        <v>4068</v>
      </c>
      <c r="B2220" s="691">
        <v>51.3</v>
      </c>
      <c r="C2220" s="692" t="s">
        <v>4060</v>
      </c>
      <c r="D2220" s="692" t="s">
        <v>4060</v>
      </c>
      <c r="E2220" s="692" t="s">
        <v>4060</v>
      </c>
      <c r="F2220" s="692" t="s">
        <v>4060</v>
      </c>
      <c r="G2220" s="692" t="s">
        <v>4060</v>
      </c>
      <c r="H2220" s="692" t="s">
        <v>4060</v>
      </c>
      <c r="I2220" s="692" t="s">
        <v>4060</v>
      </c>
      <c r="J2220" s="692" t="s">
        <v>4060</v>
      </c>
      <c r="K2220" s="692" t="s">
        <v>4060</v>
      </c>
    </row>
    <row r="2221" spans="1:11">
      <c r="A2221" s="688" t="s">
        <v>0</v>
      </c>
      <c r="B2221" s="689">
        <v>50.5</v>
      </c>
      <c r="C2221" s="689">
        <v>50.8</v>
      </c>
      <c r="D2221" s="689">
        <v>50.6</v>
      </c>
      <c r="E2221" s="693">
        <v>51</v>
      </c>
      <c r="F2221" s="689">
        <v>51.1</v>
      </c>
      <c r="G2221" s="689">
        <v>51.2</v>
      </c>
      <c r="H2221" s="689">
        <v>51.6</v>
      </c>
      <c r="I2221" s="689">
        <v>50.4</v>
      </c>
      <c r="J2221" s="689">
        <v>51.3</v>
      </c>
      <c r="K2221" s="689">
        <v>51.4</v>
      </c>
    </row>
    <row r="2222" spans="1:11">
      <c r="A2222" s="688" t="s">
        <v>1</v>
      </c>
      <c r="B2222" s="691">
        <v>45.2</v>
      </c>
      <c r="C2222" s="691">
        <v>44.7</v>
      </c>
      <c r="D2222" s="691">
        <v>44.8</v>
      </c>
      <c r="E2222" s="691">
        <v>44.9</v>
      </c>
      <c r="F2222" s="691">
        <v>44.9</v>
      </c>
      <c r="G2222" s="615">
        <v>45</v>
      </c>
      <c r="H2222" s="691">
        <v>45.1</v>
      </c>
      <c r="I2222" s="691">
        <v>43.4</v>
      </c>
      <c r="J2222" s="691">
        <v>41.4</v>
      </c>
      <c r="K2222" s="691">
        <v>44.2</v>
      </c>
    </row>
    <row r="2223" spans="1:11">
      <c r="A2223" s="688" t="s">
        <v>2240</v>
      </c>
      <c r="B2223" s="693">
        <v>48</v>
      </c>
      <c r="C2223" s="689">
        <v>48.4</v>
      </c>
      <c r="D2223" s="689">
        <v>48.3</v>
      </c>
      <c r="E2223" s="689">
        <v>48.7</v>
      </c>
      <c r="F2223" s="689">
        <v>48.7</v>
      </c>
      <c r="G2223" s="689">
        <v>48.7</v>
      </c>
      <c r="H2223" s="693">
        <v>49</v>
      </c>
      <c r="I2223" s="689">
        <v>47.9</v>
      </c>
      <c r="J2223" s="689">
        <v>46.9</v>
      </c>
      <c r="K2223" s="689">
        <v>48.7</v>
      </c>
    </row>
    <row r="2224" spans="1:11">
      <c r="A2224" s="688" t="s">
        <v>2</v>
      </c>
      <c r="B2224" s="615">
        <v>50</v>
      </c>
      <c r="C2224" s="691">
        <v>50.3</v>
      </c>
      <c r="D2224" s="691">
        <v>50.4</v>
      </c>
      <c r="E2224" s="691">
        <v>50.5</v>
      </c>
      <c r="F2224" s="691">
        <v>50.8</v>
      </c>
      <c r="G2224" s="691">
        <v>50.6</v>
      </c>
      <c r="H2224" s="615">
        <v>51</v>
      </c>
      <c r="I2224" s="691">
        <v>51.2</v>
      </c>
      <c r="J2224" s="615">
        <v>51</v>
      </c>
      <c r="K2224" s="691">
        <v>50.9</v>
      </c>
    </row>
    <row r="2225" spans="1:11">
      <c r="A2225" s="688" t="s">
        <v>3</v>
      </c>
      <c r="B2225" s="689">
        <v>50.3</v>
      </c>
      <c r="C2225" s="689">
        <v>50.6</v>
      </c>
      <c r="D2225" s="689">
        <v>50.3</v>
      </c>
      <c r="E2225" s="689">
        <v>50.5</v>
      </c>
      <c r="F2225" s="689">
        <v>50.6</v>
      </c>
      <c r="G2225" s="689">
        <v>50.5</v>
      </c>
      <c r="H2225" s="689">
        <v>50.8</v>
      </c>
      <c r="I2225" s="689">
        <v>50.6</v>
      </c>
      <c r="J2225" s="689">
        <v>50.3</v>
      </c>
      <c r="K2225" s="689">
        <v>50.2</v>
      </c>
    </row>
    <row r="2226" spans="1:11">
      <c r="A2226" s="688" t="s">
        <v>4061</v>
      </c>
      <c r="B2226" s="691">
        <v>50.3</v>
      </c>
      <c r="C2226" s="691">
        <v>50.6</v>
      </c>
      <c r="D2226" s="691">
        <v>50.3</v>
      </c>
      <c r="E2226" s="691">
        <v>50.5</v>
      </c>
      <c r="F2226" s="691">
        <v>50.6</v>
      </c>
      <c r="G2226" s="691">
        <v>50.5</v>
      </c>
      <c r="H2226" s="691">
        <v>50.8</v>
      </c>
      <c r="I2226" s="691">
        <v>50.6</v>
      </c>
      <c r="J2226" s="691">
        <v>50.3</v>
      </c>
      <c r="K2226" s="691">
        <v>50.2</v>
      </c>
    </row>
    <row r="2227" spans="1:11">
      <c r="A2227" s="688" t="s">
        <v>4</v>
      </c>
      <c r="B2227" s="689">
        <v>47.5</v>
      </c>
      <c r="C2227" s="689">
        <v>47.2</v>
      </c>
      <c r="D2227" s="689">
        <v>47.6</v>
      </c>
      <c r="E2227" s="689">
        <v>47.7</v>
      </c>
      <c r="F2227" s="689">
        <v>48.1</v>
      </c>
      <c r="G2227" s="689">
        <v>48.1</v>
      </c>
      <c r="H2227" s="689">
        <v>48.5</v>
      </c>
      <c r="I2227" s="689">
        <v>48.4</v>
      </c>
      <c r="J2227" s="689">
        <v>46.9</v>
      </c>
      <c r="K2227" s="689">
        <v>47.8</v>
      </c>
    </row>
    <row r="2228" spans="1:11">
      <c r="A2228" s="688" t="s">
        <v>8</v>
      </c>
      <c r="B2228" s="691">
        <v>50.8</v>
      </c>
      <c r="C2228" s="615">
        <v>51</v>
      </c>
      <c r="D2228" s="691">
        <v>51.1</v>
      </c>
      <c r="E2228" s="691">
        <v>51.2</v>
      </c>
      <c r="F2228" s="691">
        <v>51.6</v>
      </c>
      <c r="G2228" s="691">
        <v>51.7</v>
      </c>
      <c r="H2228" s="615">
        <v>52</v>
      </c>
      <c r="I2228" s="691">
        <v>51.9</v>
      </c>
      <c r="J2228" s="691">
        <v>51.7</v>
      </c>
      <c r="K2228" s="691">
        <v>51.9</v>
      </c>
    </row>
    <row r="2229" spans="1:11">
      <c r="A2229" s="688" t="s">
        <v>7</v>
      </c>
      <c r="B2229" s="689">
        <v>51.1</v>
      </c>
      <c r="C2229" s="689">
        <v>50.8</v>
      </c>
      <c r="D2229" s="689">
        <v>50.5</v>
      </c>
      <c r="E2229" s="689">
        <v>50.9</v>
      </c>
      <c r="F2229" s="689">
        <v>50.8</v>
      </c>
      <c r="G2229" s="689">
        <v>51.2</v>
      </c>
      <c r="H2229" s="689">
        <v>51.2</v>
      </c>
      <c r="I2229" s="689">
        <v>50.8</v>
      </c>
      <c r="J2229" s="689">
        <v>49.8</v>
      </c>
      <c r="K2229" s="689">
        <v>50.5</v>
      </c>
    </row>
    <row r="2230" spans="1:11">
      <c r="A2230" s="688" t="s">
        <v>27</v>
      </c>
      <c r="B2230" s="691">
        <v>52.7</v>
      </c>
      <c r="C2230" s="691">
        <v>52.5</v>
      </c>
      <c r="D2230" s="691">
        <v>52.2</v>
      </c>
      <c r="E2230" s="691">
        <v>52.6</v>
      </c>
      <c r="F2230" s="691">
        <v>52.6</v>
      </c>
      <c r="G2230" s="691">
        <v>52.7</v>
      </c>
      <c r="H2230" s="691">
        <v>53.1</v>
      </c>
      <c r="I2230" s="691">
        <v>51.8</v>
      </c>
      <c r="J2230" s="691">
        <v>52.6</v>
      </c>
      <c r="K2230" s="691">
        <v>52.6</v>
      </c>
    </row>
    <row r="2231" spans="1:11">
      <c r="A2231" s="688" t="s">
        <v>6</v>
      </c>
      <c r="B2231" s="689">
        <v>52.2</v>
      </c>
      <c r="C2231" s="689">
        <v>52.2</v>
      </c>
      <c r="D2231" s="689">
        <v>51.9</v>
      </c>
      <c r="E2231" s="689">
        <v>52.2</v>
      </c>
      <c r="F2231" s="689">
        <v>52.2</v>
      </c>
      <c r="G2231" s="689">
        <v>52.4</v>
      </c>
      <c r="H2231" s="689">
        <v>52.5</v>
      </c>
      <c r="I2231" s="689">
        <v>51.9</v>
      </c>
      <c r="J2231" s="693">
        <v>52</v>
      </c>
      <c r="K2231" s="689">
        <v>52.1</v>
      </c>
    </row>
    <row r="2232" spans="1:11">
      <c r="A2232" s="688" t="s">
        <v>4058</v>
      </c>
      <c r="B2232" s="692" t="s">
        <v>4060</v>
      </c>
      <c r="C2232" s="692" t="s">
        <v>4060</v>
      </c>
      <c r="D2232" s="692" t="s">
        <v>4060</v>
      </c>
      <c r="E2232" s="692" t="s">
        <v>4060</v>
      </c>
      <c r="F2232" s="692" t="s">
        <v>4060</v>
      </c>
      <c r="G2232" s="692" t="s">
        <v>4060</v>
      </c>
      <c r="H2232" s="692" t="s">
        <v>4060</v>
      </c>
      <c r="I2232" s="692" t="s">
        <v>4060</v>
      </c>
      <c r="J2232" s="692" t="s">
        <v>4060</v>
      </c>
      <c r="K2232" s="692" t="s">
        <v>4060</v>
      </c>
    </row>
    <row r="2233" spans="1:11">
      <c r="A2233" s="688" t="s">
        <v>11</v>
      </c>
      <c r="B2233" s="689">
        <v>47.6</v>
      </c>
      <c r="C2233" s="689">
        <v>47.6</v>
      </c>
      <c r="D2233" s="689">
        <v>47.2</v>
      </c>
      <c r="E2233" s="689">
        <v>47.8</v>
      </c>
      <c r="F2233" s="689">
        <v>47.7</v>
      </c>
      <c r="G2233" s="689">
        <v>47.8</v>
      </c>
      <c r="H2233" s="689">
        <v>48.1</v>
      </c>
      <c r="I2233" s="689">
        <v>47.4</v>
      </c>
      <c r="J2233" s="689">
        <v>46.4</v>
      </c>
      <c r="K2233" s="689">
        <v>47.5</v>
      </c>
    </row>
    <row r="2234" spans="1:11">
      <c r="A2234" s="688" t="s">
        <v>10</v>
      </c>
      <c r="B2234" s="691">
        <v>52.5</v>
      </c>
      <c r="C2234" s="691">
        <v>52.4</v>
      </c>
      <c r="D2234" s="615">
        <v>52</v>
      </c>
      <c r="E2234" s="691">
        <v>52.6</v>
      </c>
      <c r="F2234" s="691">
        <v>52.4</v>
      </c>
      <c r="G2234" s="691">
        <v>52.7</v>
      </c>
      <c r="H2234" s="691">
        <v>52.9</v>
      </c>
      <c r="I2234" s="691">
        <v>51.7</v>
      </c>
      <c r="J2234" s="691">
        <v>52.1</v>
      </c>
      <c r="K2234" s="691">
        <v>52.3</v>
      </c>
    </row>
    <row r="2235" spans="1:11">
      <c r="A2235" s="688" t="s">
        <v>30</v>
      </c>
      <c r="B2235" s="689">
        <v>52.1</v>
      </c>
      <c r="C2235" s="689">
        <v>51.8</v>
      </c>
      <c r="D2235" s="689">
        <v>51.5</v>
      </c>
      <c r="E2235" s="689">
        <v>52.3</v>
      </c>
      <c r="F2235" s="689">
        <v>51.9</v>
      </c>
      <c r="G2235" s="689">
        <v>52.5</v>
      </c>
      <c r="H2235" s="689">
        <v>52.3</v>
      </c>
      <c r="I2235" s="689">
        <v>52.2</v>
      </c>
      <c r="J2235" s="689">
        <v>51.4</v>
      </c>
      <c r="K2235" s="689">
        <v>51.8</v>
      </c>
    </row>
    <row r="2236" spans="1:11">
      <c r="A2236" s="688" t="s">
        <v>12</v>
      </c>
      <c r="B2236" s="691">
        <v>44.5</v>
      </c>
      <c r="C2236" s="691">
        <v>44.6</v>
      </c>
      <c r="D2236" s="691">
        <v>44.8</v>
      </c>
      <c r="E2236" s="691">
        <v>44.9</v>
      </c>
      <c r="F2236" s="615">
        <v>45</v>
      </c>
      <c r="G2236" s="615">
        <v>45</v>
      </c>
      <c r="H2236" s="691">
        <v>45.7</v>
      </c>
      <c r="I2236" s="691">
        <v>45.4</v>
      </c>
      <c r="J2236" s="615">
        <v>43</v>
      </c>
      <c r="K2236" s="691">
        <v>44.5</v>
      </c>
    </row>
    <row r="2237" spans="1:11">
      <c r="A2237" s="688" t="s">
        <v>14</v>
      </c>
      <c r="B2237" s="689">
        <v>44.5</v>
      </c>
      <c r="C2237" s="689">
        <v>44.9</v>
      </c>
      <c r="D2237" s="689">
        <v>44.7</v>
      </c>
      <c r="E2237" s="689">
        <v>44.9</v>
      </c>
      <c r="F2237" s="689">
        <v>45.7</v>
      </c>
      <c r="G2237" s="689">
        <v>45.9</v>
      </c>
      <c r="H2237" s="689">
        <v>46.4</v>
      </c>
      <c r="I2237" s="689">
        <v>45.1</v>
      </c>
      <c r="J2237" s="689">
        <v>44.2</v>
      </c>
      <c r="K2237" s="689">
        <v>45.7</v>
      </c>
    </row>
    <row r="2238" spans="1:11">
      <c r="A2238" s="688" t="s">
        <v>15</v>
      </c>
      <c r="B2238" s="691">
        <v>51.6</v>
      </c>
      <c r="C2238" s="691">
        <v>51.5</v>
      </c>
      <c r="D2238" s="691">
        <v>51.6</v>
      </c>
      <c r="E2238" s="691">
        <v>51.9</v>
      </c>
      <c r="F2238" s="691">
        <v>51.5</v>
      </c>
      <c r="G2238" s="691">
        <v>51.7</v>
      </c>
      <c r="H2238" s="691">
        <v>52.1</v>
      </c>
      <c r="I2238" s="691">
        <v>51.7</v>
      </c>
      <c r="J2238" s="691">
        <v>52.1</v>
      </c>
      <c r="K2238" s="691">
        <v>52.5</v>
      </c>
    </row>
    <row r="2239" spans="1:11">
      <c r="A2239" s="688" t="s">
        <v>29</v>
      </c>
      <c r="B2239" s="689">
        <v>45.6</v>
      </c>
      <c r="C2239" s="689">
        <v>45.6</v>
      </c>
      <c r="D2239" s="689">
        <v>45.4</v>
      </c>
      <c r="E2239" s="689">
        <v>45.8</v>
      </c>
      <c r="F2239" s="689">
        <v>45.6</v>
      </c>
      <c r="G2239" s="689">
        <v>45.8</v>
      </c>
      <c r="H2239" s="693">
        <v>46</v>
      </c>
      <c r="I2239" s="689">
        <v>45.3</v>
      </c>
      <c r="J2239" s="689">
        <v>43.9</v>
      </c>
      <c r="K2239" s="689">
        <v>45.7</v>
      </c>
    </row>
    <row r="2240" spans="1:11">
      <c r="A2240" s="688" t="s">
        <v>16</v>
      </c>
      <c r="B2240" s="691">
        <v>51.7</v>
      </c>
      <c r="C2240" s="691">
        <v>51.6</v>
      </c>
      <c r="D2240" s="691">
        <v>51.7</v>
      </c>
      <c r="E2240" s="615">
        <v>52</v>
      </c>
      <c r="F2240" s="691">
        <v>51.9</v>
      </c>
      <c r="G2240" s="691">
        <v>51.9</v>
      </c>
      <c r="H2240" s="691">
        <v>52.3</v>
      </c>
      <c r="I2240" s="691">
        <v>51.6</v>
      </c>
      <c r="J2240" s="691">
        <v>51.7</v>
      </c>
      <c r="K2240" s="691">
        <v>51.9</v>
      </c>
    </row>
    <row r="2241" spans="1:11">
      <c r="A2241" s="688" t="s">
        <v>17</v>
      </c>
      <c r="B2241" s="689">
        <v>51.1</v>
      </c>
      <c r="C2241" s="689">
        <v>51.3</v>
      </c>
      <c r="D2241" s="689">
        <v>51.1</v>
      </c>
      <c r="E2241" s="689">
        <v>51.2</v>
      </c>
      <c r="F2241" s="689">
        <v>51.4</v>
      </c>
      <c r="G2241" s="689">
        <v>51.4</v>
      </c>
      <c r="H2241" s="689">
        <v>51.7</v>
      </c>
      <c r="I2241" s="693">
        <v>51</v>
      </c>
      <c r="J2241" s="693">
        <v>51</v>
      </c>
      <c r="K2241" s="689">
        <v>51.3</v>
      </c>
    </row>
    <row r="2242" spans="1:11">
      <c r="A2242" s="688" t="s">
        <v>19</v>
      </c>
      <c r="B2242" s="615">
        <v>51</v>
      </c>
      <c r="C2242" s="691">
        <v>51.1</v>
      </c>
      <c r="D2242" s="691">
        <v>50.9</v>
      </c>
      <c r="E2242" s="691">
        <v>51.3</v>
      </c>
      <c r="F2242" s="691">
        <v>51.3</v>
      </c>
      <c r="G2242" s="691">
        <v>51.3</v>
      </c>
      <c r="H2242" s="691">
        <v>51.6</v>
      </c>
      <c r="I2242" s="615">
        <v>51</v>
      </c>
      <c r="J2242" s="691">
        <v>50.9</v>
      </c>
      <c r="K2242" s="691">
        <v>51.1</v>
      </c>
    </row>
    <row r="2243" spans="1:11">
      <c r="A2243" s="688" t="s">
        <v>20</v>
      </c>
      <c r="B2243" s="689">
        <v>47.1</v>
      </c>
      <c r="C2243" s="689">
        <v>47.5</v>
      </c>
      <c r="D2243" s="689">
        <v>47.3</v>
      </c>
      <c r="E2243" s="689">
        <v>47.7</v>
      </c>
      <c r="F2243" s="689">
        <v>47.6</v>
      </c>
      <c r="G2243" s="689">
        <v>47.5</v>
      </c>
      <c r="H2243" s="689">
        <v>47.8</v>
      </c>
      <c r="I2243" s="689">
        <v>46.3</v>
      </c>
      <c r="J2243" s="689">
        <v>45.3</v>
      </c>
      <c r="K2243" s="693">
        <v>47</v>
      </c>
    </row>
    <row r="2244" spans="1:11">
      <c r="A2244" s="688" t="s">
        <v>21</v>
      </c>
      <c r="B2244" s="691">
        <v>50.6</v>
      </c>
      <c r="C2244" s="615">
        <v>51</v>
      </c>
      <c r="D2244" s="615">
        <v>51</v>
      </c>
      <c r="E2244" s="615">
        <v>51</v>
      </c>
      <c r="F2244" s="691">
        <v>51.3</v>
      </c>
      <c r="G2244" s="691">
        <v>51.3</v>
      </c>
      <c r="H2244" s="691">
        <v>51.6</v>
      </c>
      <c r="I2244" s="615">
        <v>51</v>
      </c>
      <c r="J2244" s="615">
        <v>51</v>
      </c>
      <c r="K2244" s="691">
        <v>51.3</v>
      </c>
    </row>
    <row r="2245" spans="1:11">
      <c r="A2245" s="688" t="s">
        <v>22</v>
      </c>
      <c r="B2245" s="689">
        <v>45.6</v>
      </c>
      <c r="C2245" s="689">
        <v>45.3</v>
      </c>
      <c r="D2245" s="689">
        <v>45.2</v>
      </c>
      <c r="E2245" s="689">
        <v>45.4</v>
      </c>
      <c r="F2245" s="689">
        <v>45.4</v>
      </c>
      <c r="G2245" s="689">
        <v>45.4</v>
      </c>
      <c r="H2245" s="689">
        <v>45.7</v>
      </c>
      <c r="I2245" s="689">
        <v>44.1</v>
      </c>
      <c r="J2245" s="689">
        <v>42.8</v>
      </c>
      <c r="K2245" s="689">
        <v>45.2</v>
      </c>
    </row>
    <row r="2246" spans="1:11">
      <c r="A2246" s="688" t="s">
        <v>26</v>
      </c>
      <c r="B2246" s="691">
        <v>50.2</v>
      </c>
      <c r="C2246" s="691">
        <v>50.4</v>
      </c>
      <c r="D2246" s="691">
        <v>50.2</v>
      </c>
      <c r="E2246" s="691">
        <v>50.6</v>
      </c>
      <c r="F2246" s="691">
        <v>50.5</v>
      </c>
      <c r="G2246" s="691">
        <v>50.8</v>
      </c>
      <c r="H2246" s="615">
        <v>51</v>
      </c>
      <c r="I2246" s="691">
        <v>50.1</v>
      </c>
      <c r="J2246" s="691">
        <v>50.2</v>
      </c>
      <c r="K2246" s="691">
        <v>50.8</v>
      </c>
    </row>
    <row r="2247" spans="1:11">
      <c r="A2247" s="688" t="s">
        <v>25</v>
      </c>
      <c r="B2247" s="689">
        <v>46.6</v>
      </c>
      <c r="C2247" s="689">
        <v>46.9</v>
      </c>
      <c r="D2247" s="689">
        <v>46.7</v>
      </c>
      <c r="E2247" s="689">
        <v>47.2</v>
      </c>
      <c r="F2247" s="689">
        <v>47.2</v>
      </c>
      <c r="G2247" s="689">
        <v>47.3</v>
      </c>
      <c r="H2247" s="689">
        <v>47.7</v>
      </c>
      <c r="I2247" s="689">
        <v>46.9</v>
      </c>
      <c r="J2247" s="689">
        <v>44.6</v>
      </c>
      <c r="K2247" s="693">
        <v>47</v>
      </c>
    </row>
    <row r="2248" spans="1:11">
      <c r="A2248" s="688" t="s">
        <v>5</v>
      </c>
      <c r="B2248" s="691">
        <v>50.8</v>
      </c>
      <c r="C2248" s="691">
        <v>50.8</v>
      </c>
      <c r="D2248" s="615">
        <v>51</v>
      </c>
      <c r="E2248" s="615">
        <v>51</v>
      </c>
      <c r="F2248" s="691">
        <v>51.2</v>
      </c>
      <c r="G2248" s="691">
        <v>51.3</v>
      </c>
      <c r="H2248" s="691">
        <v>51.7</v>
      </c>
      <c r="I2248" s="691">
        <v>51.6</v>
      </c>
      <c r="J2248" s="691">
        <v>51.5</v>
      </c>
      <c r="K2248" s="691">
        <v>50.9</v>
      </c>
    </row>
    <row r="2249" spans="1:11">
      <c r="A2249" s="688" t="s">
        <v>23</v>
      </c>
      <c r="B2249" s="689">
        <v>51.7</v>
      </c>
      <c r="C2249" s="689">
        <v>51.9</v>
      </c>
      <c r="D2249" s="689">
        <v>51.9</v>
      </c>
      <c r="E2249" s="693">
        <v>52</v>
      </c>
      <c r="F2249" s="689">
        <v>52.1</v>
      </c>
      <c r="G2249" s="689">
        <v>52.2</v>
      </c>
      <c r="H2249" s="689">
        <v>52.7</v>
      </c>
      <c r="I2249" s="689">
        <v>52.1</v>
      </c>
      <c r="J2249" s="689">
        <v>52.6</v>
      </c>
      <c r="K2249" s="689">
        <v>52.7</v>
      </c>
    </row>
    <row r="2250" spans="1:11">
      <c r="A2250" s="688" t="s">
        <v>4067</v>
      </c>
      <c r="B2250" s="691">
        <v>50.3</v>
      </c>
      <c r="C2250" s="691">
        <v>50.7</v>
      </c>
      <c r="D2250" s="691">
        <v>50.4</v>
      </c>
      <c r="E2250" s="691">
        <v>50.7</v>
      </c>
      <c r="F2250" s="691">
        <v>50.7</v>
      </c>
      <c r="G2250" s="691">
        <v>50.8</v>
      </c>
      <c r="H2250" s="692" t="s">
        <v>4060</v>
      </c>
      <c r="I2250" s="692" t="s">
        <v>4060</v>
      </c>
      <c r="J2250" s="692" t="s">
        <v>4060</v>
      </c>
      <c r="K2250" s="692" t="s">
        <v>4060</v>
      </c>
    </row>
    <row r="2251" spans="1:11">
      <c r="A2251" s="688" t="s">
        <v>4066</v>
      </c>
      <c r="B2251" s="689">
        <v>50.4</v>
      </c>
      <c r="C2251" s="689">
        <v>50.7</v>
      </c>
      <c r="D2251" s="689">
        <v>50.4</v>
      </c>
      <c r="E2251" s="689">
        <v>50.8</v>
      </c>
      <c r="F2251" s="689">
        <v>50.7</v>
      </c>
      <c r="G2251" s="689">
        <v>50.8</v>
      </c>
      <c r="H2251" s="690" t="s">
        <v>4060</v>
      </c>
      <c r="I2251" s="690" t="s">
        <v>4060</v>
      </c>
      <c r="J2251" s="690" t="s">
        <v>4060</v>
      </c>
      <c r="K2251" s="690" t="s">
        <v>4060</v>
      </c>
    </row>
    <row r="2252" spans="1:11">
      <c r="A2252" s="688" t="s">
        <v>4062</v>
      </c>
      <c r="B2252" s="691">
        <v>52.2</v>
      </c>
      <c r="C2252" s="691">
        <v>52.4</v>
      </c>
      <c r="D2252" s="691">
        <v>52.3</v>
      </c>
      <c r="E2252" s="691">
        <v>52.7</v>
      </c>
      <c r="F2252" s="691">
        <v>52.8</v>
      </c>
      <c r="G2252" s="691">
        <v>52.9</v>
      </c>
      <c r="H2252" s="691">
        <v>53.1</v>
      </c>
      <c r="I2252" s="691">
        <v>52.7</v>
      </c>
      <c r="J2252" s="691">
        <v>53.1</v>
      </c>
      <c r="K2252" s="691">
        <v>52.8</v>
      </c>
    </row>
    <row r="2253" spans="1:11">
      <c r="A2253" s="688" t="s">
        <v>9</v>
      </c>
      <c r="B2253" s="689">
        <v>51.7</v>
      </c>
      <c r="C2253" s="689">
        <v>52.2</v>
      </c>
      <c r="D2253" s="693">
        <v>52</v>
      </c>
      <c r="E2253" s="689">
        <v>51.7</v>
      </c>
      <c r="F2253" s="689">
        <v>52.1</v>
      </c>
      <c r="G2253" s="689">
        <v>52.3</v>
      </c>
      <c r="H2253" s="689">
        <v>52.4</v>
      </c>
      <c r="I2253" s="689">
        <v>52.5</v>
      </c>
      <c r="J2253" s="689">
        <v>52.8</v>
      </c>
      <c r="K2253" s="689">
        <v>51.7</v>
      </c>
    </row>
    <row r="2254" spans="1:11">
      <c r="A2254" s="688" t="s">
        <v>13</v>
      </c>
      <c r="B2254" s="691">
        <v>52.2</v>
      </c>
      <c r="C2254" s="691">
        <v>51.5</v>
      </c>
      <c r="D2254" s="691">
        <v>52.3</v>
      </c>
      <c r="E2254" s="691">
        <v>51.8</v>
      </c>
      <c r="F2254" s="691">
        <v>52.9</v>
      </c>
      <c r="G2254" s="691">
        <v>52.5</v>
      </c>
      <c r="H2254" s="691">
        <v>53.3</v>
      </c>
      <c r="I2254" s="691">
        <v>52.3</v>
      </c>
      <c r="J2254" s="691">
        <v>53.4</v>
      </c>
      <c r="K2254" s="691">
        <v>53.6</v>
      </c>
    </row>
    <row r="2255" spans="1:11">
      <c r="A2255" s="688" t="s">
        <v>18</v>
      </c>
      <c r="B2255" s="689">
        <v>51.5</v>
      </c>
      <c r="C2255" s="689">
        <v>51.7</v>
      </c>
      <c r="D2255" s="689">
        <v>51.9</v>
      </c>
      <c r="E2255" s="693">
        <v>52</v>
      </c>
      <c r="F2255" s="689">
        <v>52.2</v>
      </c>
      <c r="G2255" s="689">
        <v>52.4</v>
      </c>
      <c r="H2255" s="689">
        <v>52.6</v>
      </c>
      <c r="I2255" s="689">
        <v>52.8</v>
      </c>
      <c r="J2255" s="689">
        <v>52.7</v>
      </c>
      <c r="K2255" s="689">
        <v>52.2</v>
      </c>
    </row>
    <row r="2256" spans="1:11">
      <c r="A2256" s="688" t="s">
        <v>24</v>
      </c>
      <c r="B2256" s="691">
        <v>52.6</v>
      </c>
      <c r="C2256" s="691">
        <v>52.8</v>
      </c>
      <c r="D2256" s="691">
        <v>52.6</v>
      </c>
      <c r="E2256" s="691">
        <v>53.1</v>
      </c>
      <c r="F2256" s="691">
        <v>53.1</v>
      </c>
      <c r="G2256" s="691">
        <v>53.3</v>
      </c>
      <c r="H2256" s="691">
        <v>53.4</v>
      </c>
      <c r="I2256" s="691">
        <v>52.8</v>
      </c>
      <c r="J2256" s="691">
        <v>53.3</v>
      </c>
      <c r="K2256" s="691">
        <v>53.2</v>
      </c>
    </row>
    <row r="2257" spans="1:11">
      <c r="A2257" s="688" t="s">
        <v>4059</v>
      </c>
      <c r="B2257" s="689">
        <v>50.8</v>
      </c>
      <c r="C2257" s="689">
        <v>51.1</v>
      </c>
      <c r="D2257" s="689">
        <v>50.8</v>
      </c>
      <c r="E2257" s="693">
        <v>51</v>
      </c>
      <c r="F2257" s="693">
        <v>51</v>
      </c>
      <c r="G2257" s="693">
        <v>51</v>
      </c>
      <c r="H2257" s="690" t="s">
        <v>4060</v>
      </c>
      <c r="I2257" s="690" t="s">
        <v>4060</v>
      </c>
      <c r="J2257" s="690" t="s">
        <v>4060</v>
      </c>
      <c r="K2257" s="690" t="s">
        <v>4060</v>
      </c>
    </row>
    <row r="2258" spans="1:11">
      <c r="A2258" s="688" t="s">
        <v>2324</v>
      </c>
      <c r="B2258" s="691">
        <v>46.4</v>
      </c>
      <c r="C2258" s="691">
        <v>46.5</v>
      </c>
      <c r="D2258" s="691">
        <v>46.2</v>
      </c>
      <c r="E2258" s="691">
        <v>46.2</v>
      </c>
      <c r="F2258" s="691">
        <v>46.3</v>
      </c>
      <c r="G2258" s="691">
        <v>46.5</v>
      </c>
      <c r="H2258" s="691">
        <v>46.5</v>
      </c>
      <c r="I2258" s="691">
        <v>45.7</v>
      </c>
      <c r="J2258" s="691">
        <v>43.4</v>
      </c>
      <c r="K2258" s="692" t="s">
        <v>4060</v>
      </c>
    </row>
    <row r="2259" spans="1:11">
      <c r="A2259" s="688" t="s">
        <v>2322</v>
      </c>
      <c r="B2259" s="690" t="s">
        <v>4060</v>
      </c>
      <c r="C2259" s="690" t="s">
        <v>4060</v>
      </c>
      <c r="D2259" s="690" t="s">
        <v>4060</v>
      </c>
      <c r="E2259" s="690" t="s">
        <v>4060</v>
      </c>
      <c r="F2259" s="690" t="s">
        <v>4060</v>
      </c>
      <c r="G2259" s="690" t="s">
        <v>4060</v>
      </c>
      <c r="H2259" s="690" t="s">
        <v>4060</v>
      </c>
      <c r="I2259" s="690" t="s">
        <v>4060</v>
      </c>
      <c r="J2259" s="690" t="s">
        <v>4060</v>
      </c>
      <c r="K2259" s="690" t="s">
        <v>4060</v>
      </c>
    </row>
    <row r="2260" spans="1:11">
      <c r="A2260" s="688" t="s">
        <v>2328</v>
      </c>
      <c r="B2260" s="691">
        <v>45.8</v>
      </c>
      <c r="C2260" s="691">
        <v>45.7</v>
      </c>
      <c r="D2260" s="691">
        <v>45.6</v>
      </c>
      <c r="E2260" s="691">
        <v>45.9</v>
      </c>
      <c r="F2260" s="691">
        <v>46.2</v>
      </c>
      <c r="G2260" s="691">
        <v>46.5</v>
      </c>
      <c r="H2260" s="691">
        <v>46.5</v>
      </c>
      <c r="I2260" s="691">
        <v>44.2</v>
      </c>
      <c r="J2260" s="691">
        <v>43.1</v>
      </c>
      <c r="K2260" s="692" t="s">
        <v>4060</v>
      </c>
    </row>
    <row r="2261" spans="1:11">
      <c r="A2261" s="688" t="s">
        <v>2496</v>
      </c>
      <c r="B2261" s="690" t="s">
        <v>4060</v>
      </c>
      <c r="C2261" s="689">
        <v>44.8</v>
      </c>
      <c r="D2261" s="689">
        <v>43.7</v>
      </c>
      <c r="E2261" s="689">
        <v>43.4</v>
      </c>
      <c r="F2261" s="689">
        <v>44.1</v>
      </c>
      <c r="G2261" s="689">
        <v>44.4</v>
      </c>
      <c r="H2261" s="689">
        <v>44.5</v>
      </c>
      <c r="I2261" s="690" t="s">
        <v>4060</v>
      </c>
      <c r="J2261" s="690" t="s">
        <v>4060</v>
      </c>
      <c r="K2261" s="689">
        <v>44.1</v>
      </c>
    </row>
    <row r="2262" spans="1:11">
      <c r="A2262" s="688" t="s">
        <v>2269</v>
      </c>
      <c r="B2262" s="691">
        <v>48.4</v>
      </c>
      <c r="C2262" s="691">
        <v>48.6</v>
      </c>
      <c r="D2262" s="691">
        <v>48.2</v>
      </c>
      <c r="E2262" s="691">
        <v>48.8</v>
      </c>
      <c r="F2262" s="691">
        <v>48.7</v>
      </c>
      <c r="G2262" s="691">
        <v>49.2</v>
      </c>
      <c r="H2262" s="691">
        <v>49.4</v>
      </c>
      <c r="I2262" s="691">
        <v>47.5</v>
      </c>
      <c r="J2262" s="691">
        <v>45.7</v>
      </c>
      <c r="K2262" s="691">
        <v>49.1</v>
      </c>
    </row>
    <row r="2263" spans="1:11">
      <c r="A2263" s="688" t="s">
        <v>2349</v>
      </c>
      <c r="B2263" s="689">
        <v>45.3</v>
      </c>
      <c r="C2263" s="689">
        <v>45.4</v>
      </c>
      <c r="D2263" s="689">
        <v>45.2</v>
      </c>
      <c r="E2263" s="689">
        <v>45.7</v>
      </c>
      <c r="F2263" s="689">
        <v>45.5</v>
      </c>
      <c r="G2263" s="689">
        <v>45.8</v>
      </c>
      <c r="H2263" s="689">
        <v>45.9</v>
      </c>
      <c r="I2263" s="689">
        <v>44.3</v>
      </c>
      <c r="J2263" s="689">
        <v>42.7</v>
      </c>
      <c r="K2263" s="689">
        <v>45.1</v>
      </c>
    </row>
    <row r="2264" spans="1:11">
      <c r="A2264" s="688" t="s">
        <v>2355</v>
      </c>
      <c r="B2264" s="615">
        <v>49</v>
      </c>
      <c r="C2264" s="691">
        <v>48.9</v>
      </c>
      <c r="D2264" s="691">
        <v>48.8</v>
      </c>
      <c r="E2264" s="691">
        <v>48.8</v>
      </c>
      <c r="F2264" s="615">
        <v>49</v>
      </c>
      <c r="G2264" s="691">
        <v>49.4</v>
      </c>
      <c r="H2264" s="691">
        <v>49.5</v>
      </c>
      <c r="I2264" s="692" t="s">
        <v>4060</v>
      </c>
      <c r="J2264" s="692" t="s">
        <v>4060</v>
      </c>
      <c r="K2264" s="692" t="s">
        <v>4060</v>
      </c>
    </row>
    <row r="2265" spans="1:11">
      <c r="A2265" s="688" t="s">
        <v>2357</v>
      </c>
      <c r="B2265" s="690" t="s">
        <v>4060</v>
      </c>
      <c r="C2265" s="689">
        <v>42.5</v>
      </c>
      <c r="D2265" s="689">
        <v>43.1</v>
      </c>
      <c r="E2265" s="689">
        <v>43.4</v>
      </c>
      <c r="F2265" s="689">
        <v>43.7</v>
      </c>
      <c r="G2265" s="689">
        <v>43.5</v>
      </c>
      <c r="H2265" s="689">
        <v>43.8</v>
      </c>
      <c r="I2265" s="690" t="s">
        <v>4060</v>
      </c>
      <c r="J2265" s="690" t="s">
        <v>4060</v>
      </c>
      <c r="K2265" s="690" t="s">
        <v>4060</v>
      </c>
    </row>
    <row r="2266" spans="1:11">
      <c r="A2266" s="688" t="s">
        <v>4070</v>
      </c>
      <c r="B2266" s="692" t="s">
        <v>4060</v>
      </c>
      <c r="C2266" s="692" t="s">
        <v>4060</v>
      </c>
      <c r="D2266" s="692" t="s">
        <v>4060</v>
      </c>
      <c r="E2266" s="691">
        <v>48.5</v>
      </c>
      <c r="F2266" s="692" t="s">
        <v>4060</v>
      </c>
      <c r="G2266" s="692" t="s">
        <v>4060</v>
      </c>
      <c r="H2266" s="692" t="s">
        <v>4060</v>
      </c>
      <c r="I2266" s="692" t="s">
        <v>4060</v>
      </c>
      <c r="J2266" s="692" t="s">
        <v>4060</v>
      </c>
      <c r="K2266" s="692" t="s">
        <v>4060</v>
      </c>
    </row>
    <row r="2267" spans="1:11">
      <c r="A2267" s="688" t="s">
        <v>2491</v>
      </c>
      <c r="B2267" s="689">
        <v>42.9</v>
      </c>
      <c r="C2267" s="689">
        <v>43.5</v>
      </c>
      <c r="D2267" s="689">
        <v>43.9</v>
      </c>
      <c r="E2267" s="689">
        <v>44.2</v>
      </c>
      <c r="F2267" s="689">
        <v>44.4</v>
      </c>
      <c r="G2267" s="689">
        <v>44.3</v>
      </c>
      <c r="H2267" s="690" t="s">
        <v>4060</v>
      </c>
      <c r="I2267" s="690" t="s">
        <v>4060</v>
      </c>
      <c r="J2267" s="690" t="s">
        <v>4060</v>
      </c>
      <c r="K2267" s="690" t="s">
        <v>4060</v>
      </c>
    </row>
    <row r="2268" spans="1:11">
      <c r="A2268" s="688" t="s">
        <v>2343</v>
      </c>
      <c r="B2268" s="692" t="s">
        <v>4060</v>
      </c>
      <c r="C2268" s="692" t="s">
        <v>4060</v>
      </c>
      <c r="D2268" s="692" t="s">
        <v>4060</v>
      </c>
      <c r="E2268" s="692" t="s">
        <v>4060</v>
      </c>
      <c r="F2268" s="692" t="s">
        <v>4060</v>
      </c>
      <c r="G2268" s="692" t="s">
        <v>4060</v>
      </c>
      <c r="H2268" s="692" t="s">
        <v>4060</v>
      </c>
      <c r="I2268" s="692" t="s">
        <v>4060</v>
      </c>
      <c r="J2268" s="692" t="s">
        <v>4060</v>
      </c>
      <c r="K2268" s="692" t="s">
        <v>4060</v>
      </c>
    </row>
    <row r="2269" spans="1:11">
      <c r="A2269" s="688" t="s">
        <v>4071</v>
      </c>
      <c r="B2269" s="690" t="s">
        <v>4060</v>
      </c>
      <c r="C2269" s="690" t="s">
        <v>4060</v>
      </c>
      <c r="D2269" s="690" t="s">
        <v>4060</v>
      </c>
      <c r="E2269" s="690" t="s">
        <v>4060</v>
      </c>
      <c r="F2269" s="690" t="s">
        <v>4060</v>
      </c>
      <c r="G2269" s="690" t="s">
        <v>4060</v>
      </c>
      <c r="H2269" s="690" t="s">
        <v>4060</v>
      </c>
      <c r="I2269" s="690" t="s">
        <v>4060</v>
      </c>
      <c r="J2269" s="690" t="s">
        <v>4060</v>
      </c>
      <c r="K2269" s="690" t="s">
        <v>4060</v>
      </c>
    </row>
    <row r="2270" spans="1:11">
      <c r="A2270" s="688" t="s">
        <v>2489</v>
      </c>
      <c r="B2270" s="692" t="s">
        <v>4060</v>
      </c>
      <c r="C2270" s="692" t="s">
        <v>4060</v>
      </c>
      <c r="D2270" s="691">
        <v>45.4</v>
      </c>
      <c r="E2270" s="691">
        <v>45.5</v>
      </c>
      <c r="F2270" s="691">
        <v>46.1</v>
      </c>
      <c r="G2270" s="691">
        <v>46.9</v>
      </c>
      <c r="H2270" s="691">
        <v>46.7</v>
      </c>
      <c r="I2270" s="692" t="s">
        <v>4060</v>
      </c>
      <c r="J2270" s="692" t="s">
        <v>4060</v>
      </c>
      <c r="K2270" s="692" t="s">
        <v>4060</v>
      </c>
    </row>
    <row r="2271" spans="1:11">
      <c r="A2271" s="688" t="s">
        <v>2490</v>
      </c>
      <c r="B2271" s="689">
        <v>45.4</v>
      </c>
      <c r="C2271" s="689">
        <v>45.4</v>
      </c>
      <c r="D2271" s="693">
        <v>46</v>
      </c>
      <c r="E2271" s="690" t="s">
        <v>4060</v>
      </c>
      <c r="F2271" s="689">
        <v>46.2</v>
      </c>
      <c r="G2271" s="689">
        <v>46.6</v>
      </c>
      <c r="H2271" s="689">
        <v>47.3</v>
      </c>
      <c r="I2271" s="690" t="s">
        <v>4060</v>
      </c>
      <c r="J2271" s="690" t="s">
        <v>4060</v>
      </c>
      <c r="K2271" s="690" t="s">
        <v>4060</v>
      </c>
    </row>
    <row r="2273" spans="1:11">
      <c r="A2273" s="683" t="s">
        <v>4233</v>
      </c>
    </row>
    <row r="2274" spans="1:11">
      <c r="A2274" s="683" t="s">
        <v>4060</v>
      </c>
      <c r="B2274" s="682" t="s">
        <v>4234</v>
      </c>
    </row>
    <row r="2276" spans="1:11">
      <c r="A2276" s="682" t="s">
        <v>4248</v>
      </c>
    </row>
    <row r="2277" spans="1:11">
      <c r="A2277" s="682" t="s">
        <v>4210</v>
      </c>
      <c r="B2277" s="683" t="s">
        <v>4211</v>
      </c>
    </row>
    <row r="2278" spans="1:11">
      <c r="A2278" s="682" t="s">
        <v>4212</v>
      </c>
      <c r="B2278" s="682" t="s">
        <v>4213</v>
      </c>
    </row>
    <row r="2280" spans="1:11">
      <c r="A2280" s="683" t="s">
        <v>4214</v>
      </c>
      <c r="C2280" s="682" t="s">
        <v>4215</v>
      </c>
    </row>
    <row r="2281" spans="1:11">
      <c r="A2281" s="683" t="s">
        <v>4216</v>
      </c>
      <c r="C2281" s="682" t="s">
        <v>2967</v>
      </c>
    </row>
    <row r="2282" spans="1:11">
      <c r="A2282" s="683" t="s">
        <v>3893</v>
      </c>
      <c r="C2282" s="682" t="s">
        <v>4217</v>
      </c>
    </row>
    <row r="2283" spans="1:11">
      <c r="A2283" s="683" t="s">
        <v>4218</v>
      </c>
      <c r="C2283" s="682" t="s">
        <v>4267</v>
      </c>
    </row>
    <row r="2285" spans="1:11">
      <c r="A2285" s="684" t="s">
        <v>4220</v>
      </c>
      <c r="B2285" s="685" t="s">
        <v>4221</v>
      </c>
      <c r="C2285" s="685" t="s">
        <v>4222</v>
      </c>
      <c r="D2285" s="685" t="s">
        <v>4223</v>
      </c>
      <c r="E2285" s="685" t="s">
        <v>4224</v>
      </c>
      <c r="F2285" s="685" t="s">
        <v>4225</v>
      </c>
      <c r="G2285" s="685" t="s">
        <v>4226</v>
      </c>
      <c r="H2285" s="685" t="s">
        <v>4227</v>
      </c>
      <c r="I2285" s="685" t="s">
        <v>4228</v>
      </c>
      <c r="J2285" s="685" t="s">
        <v>4229</v>
      </c>
      <c r="K2285" s="685" t="s">
        <v>4230</v>
      </c>
    </row>
    <row r="2286" spans="1:11">
      <c r="A2286" s="686" t="s">
        <v>4231</v>
      </c>
      <c r="B2286" s="687" t="s">
        <v>4232</v>
      </c>
      <c r="C2286" s="687" t="s">
        <v>4232</v>
      </c>
      <c r="D2286" s="687" t="s">
        <v>4232</v>
      </c>
      <c r="E2286" s="687" t="s">
        <v>4232</v>
      </c>
      <c r="F2286" s="687" t="s">
        <v>4232</v>
      </c>
      <c r="G2286" s="687" t="s">
        <v>4232</v>
      </c>
      <c r="H2286" s="687" t="s">
        <v>4232</v>
      </c>
      <c r="I2286" s="687" t="s">
        <v>4232</v>
      </c>
      <c r="J2286" s="687" t="s">
        <v>4232</v>
      </c>
      <c r="K2286" s="687" t="s">
        <v>4232</v>
      </c>
    </row>
    <row r="2287" spans="1:11">
      <c r="A2287" s="688" t="s">
        <v>4064</v>
      </c>
      <c r="B2287" s="689">
        <v>49.3</v>
      </c>
      <c r="C2287" s="689">
        <v>49.4</v>
      </c>
      <c r="D2287" s="689">
        <v>49.3</v>
      </c>
      <c r="E2287" s="689">
        <v>49.5</v>
      </c>
      <c r="F2287" s="689">
        <v>49.5</v>
      </c>
      <c r="G2287" s="689">
        <v>49.6</v>
      </c>
      <c r="H2287" s="689">
        <v>49.8</v>
      </c>
      <c r="I2287" s="693">
        <v>49</v>
      </c>
      <c r="J2287" s="689">
        <v>48.7</v>
      </c>
      <c r="K2287" s="689">
        <v>49.3</v>
      </c>
    </row>
    <row r="2288" spans="1:11">
      <c r="A2288" s="688" t="s">
        <v>4065</v>
      </c>
      <c r="B2288" s="691">
        <v>49.4</v>
      </c>
      <c r="C2288" s="691">
        <v>49.7</v>
      </c>
      <c r="D2288" s="691">
        <v>49.4</v>
      </c>
      <c r="E2288" s="691">
        <v>49.7</v>
      </c>
      <c r="F2288" s="691">
        <v>49.7</v>
      </c>
      <c r="G2288" s="691">
        <v>49.8</v>
      </c>
      <c r="H2288" s="692" t="s">
        <v>4060</v>
      </c>
      <c r="I2288" s="692" t="s">
        <v>4060</v>
      </c>
      <c r="J2288" s="692" t="s">
        <v>4060</v>
      </c>
      <c r="K2288" s="692" t="s">
        <v>4060</v>
      </c>
    </row>
    <row r="2289" spans="1:11">
      <c r="A2289" s="688" t="s">
        <v>4063</v>
      </c>
      <c r="B2289" s="689">
        <v>49.4</v>
      </c>
      <c r="C2289" s="689">
        <v>49.7</v>
      </c>
      <c r="D2289" s="689">
        <v>49.4</v>
      </c>
      <c r="E2289" s="689">
        <v>49.8</v>
      </c>
      <c r="F2289" s="689">
        <v>49.7</v>
      </c>
      <c r="G2289" s="689">
        <v>49.8</v>
      </c>
      <c r="H2289" s="690" t="s">
        <v>4060</v>
      </c>
      <c r="I2289" s="690" t="s">
        <v>4060</v>
      </c>
      <c r="J2289" s="690" t="s">
        <v>4060</v>
      </c>
      <c r="K2289" s="690" t="s">
        <v>4060</v>
      </c>
    </row>
    <row r="2290" spans="1:11">
      <c r="A2290" s="688" t="s">
        <v>4069</v>
      </c>
      <c r="B2290" s="692" t="s">
        <v>4060</v>
      </c>
      <c r="C2290" s="691">
        <v>50.3</v>
      </c>
      <c r="D2290" s="691">
        <v>50.1</v>
      </c>
      <c r="E2290" s="691">
        <v>50.4</v>
      </c>
      <c r="F2290" s="691">
        <v>50.4</v>
      </c>
      <c r="G2290" s="691">
        <v>50.5</v>
      </c>
      <c r="H2290" s="691">
        <v>50.8</v>
      </c>
      <c r="I2290" s="691">
        <v>50.1</v>
      </c>
      <c r="J2290" s="691">
        <v>50.1</v>
      </c>
      <c r="K2290" s="691">
        <v>50.3</v>
      </c>
    </row>
    <row r="2291" spans="1:11">
      <c r="A2291" s="688" t="s">
        <v>4068</v>
      </c>
      <c r="B2291" s="689">
        <v>50.3</v>
      </c>
      <c r="C2291" s="690" t="s">
        <v>4060</v>
      </c>
      <c r="D2291" s="690" t="s">
        <v>4060</v>
      </c>
      <c r="E2291" s="690" t="s">
        <v>4060</v>
      </c>
      <c r="F2291" s="690" t="s">
        <v>4060</v>
      </c>
      <c r="G2291" s="690" t="s">
        <v>4060</v>
      </c>
      <c r="H2291" s="690" t="s">
        <v>4060</v>
      </c>
      <c r="I2291" s="690" t="s">
        <v>4060</v>
      </c>
      <c r="J2291" s="690" t="s">
        <v>4060</v>
      </c>
      <c r="K2291" s="690" t="s">
        <v>4060</v>
      </c>
    </row>
    <row r="2292" spans="1:11">
      <c r="A2292" s="688" t="s">
        <v>0</v>
      </c>
      <c r="B2292" s="691">
        <v>49.5</v>
      </c>
      <c r="C2292" s="691">
        <v>49.9</v>
      </c>
      <c r="D2292" s="691">
        <v>49.7</v>
      </c>
      <c r="E2292" s="615">
        <v>50</v>
      </c>
      <c r="F2292" s="691">
        <v>50.1</v>
      </c>
      <c r="G2292" s="691">
        <v>50.2</v>
      </c>
      <c r="H2292" s="691">
        <v>50.6</v>
      </c>
      <c r="I2292" s="691">
        <v>49.5</v>
      </c>
      <c r="J2292" s="691">
        <v>50.4</v>
      </c>
      <c r="K2292" s="691">
        <v>50.4</v>
      </c>
    </row>
    <row r="2293" spans="1:11">
      <c r="A2293" s="688" t="s">
        <v>1</v>
      </c>
      <c r="B2293" s="689">
        <v>44.3</v>
      </c>
      <c r="C2293" s="689">
        <v>43.8</v>
      </c>
      <c r="D2293" s="689">
        <v>43.8</v>
      </c>
      <c r="E2293" s="693">
        <v>44</v>
      </c>
      <c r="F2293" s="689">
        <v>43.9</v>
      </c>
      <c r="G2293" s="693">
        <v>44</v>
      </c>
      <c r="H2293" s="689">
        <v>44.1</v>
      </c>
      <c r="I2293" s="689">
        <v>42.4</v>
      </c>
      <c r="J2293" s="689">
        <v>40.5</v>
      </c>
      <c r="K2293" s="689">
        <v>43.2</v>
      </c>
    </row>
    <row r="2294" spans="1:11">
      <c r="A2294" s="688" t="s">
        <v>2240</v>
      </c>
      <c r="B2294" s="691">
        <v>47.1</v>
      </c>
      <c r="C2294" s="691">
        <v>47.5</v>
      </c>
      <c r="D2294" s="691">
        <v>47.3</v>
      </c>
      <c r="E2294" s="691">
        <v>47.7</v>
      </c>
      <c r="F2294" s="691">
        <v>47.7</v>
      </c>
      <c r="G2294" s="691">
        <v>47.7</v>
      </c>
      <c r="H2294" s="615">
        <v>48</v>
      </c>
      <c r="I2294" s="691">
        <v>46.9</v>
      </c>
      <c r="J2294" s="691">
        <v>45.9</v>
      </c>
      <c r="K2294" s="691">
        <v>47.7</v>
      </c>
    </row>
    <row r="2295" spans="1:11">
      <c r="A2295" s="688" t="s">
        <v>2</v>
      </c>
      <c r="B2295" s="693">
        <v>49</v>
      </c>
      <c r="C2295" s="689">
        <v>49.3</v>
      </c>
      <c r="D2295" s="689">
        <v>49.4</v>
      </c>
      <c r="E2295" s="689">
        <v>49.5</v>
      </c>
      <c r="F2295" s="689">
        <v>49.8</v>
      </c>
      <c r="G2295" s="689">
        <v>49.6</v>
      </c>
      <c r="H2295" s="693">
        <v>50</v>
      </c>
      <c r="I2295" s="689">
        <v>50.2</v>
      </c>
      <c r="J2295" s="693">
        <v>50</v>
      </c>
      <c r="K2295" s="689">
        <v>49.9</v>
      </c>
    </row>
    <row r="2296" spans="1:11">
      <c r="A2296" s="688" t="s">
        <v>3</v>
      </c>
      <c r="B2296" s="691">
        <v>49.3</v>
      </c>
      <c r="C2296" s="691">
        <v>49.6</v>
      </c>
      <c r="D2296" s="691">
        <v>49.3</v>
      </c>
      <c r="E2296" s="691">
        <v>49.6</v>
      </c>
      <c r="F2296" s="691">
        <v>49.6</v>
      </c>
      <c r="G2296" s="691">
        <v>49.6</v>
      </c>
      <c r="H2296" s="691">
        <v>49.9</v>
      </c>
      <c r="I2296" s="691">
        <v>49.6</v>
      </c>
      <c r="J2296" s="691">
        <v>49.3</v>
      </c>
      <c r="K2296" s="691">
        <v>49.2</v>
      </c>
    </row>
    <row r="2297" spans="1:11">
      <c r="A2297" s="688" t="s">
        <v>4061</v>
      </c>
      <c r="B2297" s="689">
        <v>49.3</v>
      </c>
      <c r="C2297" s="689">
        <v>49.6</v>
      </c>
      <c r="D2297" s="689">
        <v>49.3</v>
      </c>
      <c r="E2297" s="689">
        <v>49.6</v>
      </c>
      <c r="F2297" s="689">
        <v>49.6</v>
      </c>
      <c r="G2297" s="689">
        <v>49.6</v>
      </c>
      <c r="H2297" s="689">
        <v>49.9</v>
      </c>
      <c r="I2297" s="689">
        <v>49.6</v>
      </c>
      <c r="J2297" s="689">
        <v>49.3</v>
      </c>
      <c r="K2297" s="689">
        <v>49.2</v>
      </c>
    </row>
    <row r="2298" spans="1:11">
      <c r="A2298" s="688" t="s">
        <v>4</v>
      </c>
      <c r="B2298" s="691">
        <v>46.5</v>
      </c>
      <c r="C2298" s="691">
        <v>46.3</v>
      </c>
      <c r="D2298" s="691">
        <v>46.7</v>
      </c>
      <c r="E2298" s="691">
        <v>46.8</v>
      </c>
      <c r="F2298" s="691">
        <v>47.1</v>
      </c>
      <c r="G2298" s="691">
        <v>47.1</v>
      </c>
      <c r="H2298" s="691">
        <v>47.6</v>
      </c>
      <c r="I2298" s="691">
        <v>47.4</v>
      </c>
      <c r="J2298" s="615">
        <v>46</v>
      </c>
      <c r="K2298" s="691">
        <v>46.9</v>
      </c>
    </row>
    <row r="2299" spans="1:11">
      <c r="A2299" s="688" t="s">
        <v>8</v>
      </c>
      <c r="B2299" s="689">
        <v>49.8</v>
      </c>
      <c r="C2299" s="689">
        <v>50.1</v>
      </c>
      <c r="D2299" s="689">
        <v>50.1</v>
      </c>
      <c r="E2299" s="689">
        <v>50.2</v>
      </c>
      <c r="F2299" s="689">
        <v>50.7</v>
      </c>
      <c r="G2299" s="689">
        <v>50.7</v>
      </c>
      <c r="H2299" s="689">
        <v>51.1</v>
      </c>
      <c r="I2299" s="689">
        <v>50.9</v>
      </c>
      <c r="J2299" s="689">
        <v>50.8</v>
      </c>
      <c r="K2299" s="693">
        <v>51</v>
      </c>
    </row>
    <row r="2300" spans="1:11">
      <c r="A2300" s="688" t="s">
        <v>7</v>
      </c>
      <c r="B2300" s="691">
        <v>50.2</v>
      </c>
      <c r="C2300" s="691">
        <v>49.8</v>
      </c>
      <c r="D2300" s="691">
        <v>49.6</v>
      </c>
      <c r="E2300" s="691">
        <v>49.9</v>
      </c>
      <c r="F2300" s="691">
        <v>49.8</v>
      </c>
      <c r="G2300" s="691">
        <v>50.2</v>
      </c>
      <c r="H2300" s="691">
        <v>50.2</v>
      </c>
      <c r="I2300" s="691">
        <v>49.8</v>
      </c>
      <c r="J2300" s="691">
        <v>48.8</v>
      </c>
      <c r="K2300" s="691">
        <v>49.5</v>
      </c>
    </row>
    <row r="2301" spans="1:11">
      <c r="A2301" s="688" t="s">
        <v>27</v>
      </c>
      <c r="B2301" s="689">
        <v>51.7</v>
      </c>
      <c r="C2301" s="689">
        <v>51.5</v>
      </c>
      <c r="D2301" s="689">
        <v>51.2</v>
      </c>
      <c r="E2301" s="689">
        <v>51.6</v>
      </c>
      <c r="F2301" s="689">
        <v>51.6</v>
      </c>
      <c r="G2301" s="689">
        <v>51.7</v>
      </c>
      <c r="H2301" s="689">
        <v>52.1</v>
      </c>
      <c r="I2301" s="689">
        <v>50.8</v>
      </c>
      <c r="J2301" s="689">
        <v>51.6</v>
      </c>
      <c r="K2301" s="689">
        <v>51.6</v>
      </c>
    </row>
    <row r="2302" spans="1:11">
      <c r="A2302" s="688" t="s">
        <v>6</v>
      </c>
      <c r="B2302" s="691">
        <v>51.2</v>
      </c>
      <c r="C2302" s="691">
        <v>51.2</v>
      </c>
      <c r="D2302" s="615">
        <v>51</v>
      </c>
      <c r="E2302" s="691">
        <v>51.2</v>
      </c>
      <c r="F2302" s="691">
        <v>51.3</v>
      </c>
      <c r="G2302" s="691">
        <v>51.4</v>
      </c>
      <c r="H2302" s="691">
        <v>51.5</v>
      </c>
      <c r="I2302" s="691">
        <v>50.9</v>
      </c>
      <c r="J2302" s="615">
        <v>51</v>
      </c>
      <c r="K2302" s="691">
        <v>51.1</v>
      </c>
    </row>
    <row r="2303" spans="1:11">
      <c r="A2303" s="688" t="s">
        <v>4058</v>
      </c>
      <c r="B2303" s="690" t="s">
        <v>4060</v>
      </c>
      <c r="C2303" s="690" t="s">
        <v>4060</v>
      </c>
      <c r="D2303" s="690" t="s">
        <v>4060</v>
      </c>
      <c r="E2303" s="690" t="s">
        <v>4060</v>
      </c>
      <c r="F2303" s="690" t="s">
        <v>4060</v>
      </c>
      <c r="G2303" s="690" t="s">
        <v>4060</v>
      </c>
      <c r="H2303" s="690" t="s">
        <v>4060</v>
      </c>
      <c r="I2303" s="690" t="s">
        <v>4060</v>
      </c>
      <c r="J2303" s="690" t="s">
        <v>4060</v>
      </c>
      <c r="K2303" s="690" t="s">
        <v>4060</v>
      </c>
    </row>
    <row r="2304" spans="1:11">
      <c r="A2304" s="688" t="s">
        <v>11</v>
      </c>
      <c r="B2304" s="691">
        <v>46.7</v>
      </c>
      <c r="C2304" s="691">
        <v>46.6</v>
      </c>
      <c r="D2304" s="691">
        <v>46.2</v>
      </c>
      <c r="E2304" s="691">
        <v>46.9</v>
      </c>
      <c r="F2304" s="691">
        <v>46.7</v>
      </c>
      <c r="G2304" s="691">
        <v>46.8</v>
      </c>
      <c r="H2304" s="691">
        <v>47.1</v>
      </c>
      <c r="I2304" s="691">
        <v>46.4</v>
      </c>
      <c r="J2304" s="691">
        <v>45.4</v>
      </c>
      <c r="K2304" s="691">
        <v>46.5</v>
      </c>
    </row>
    <row r="2305" spans="1:11">
      <c r="A2305" s="688" t="s">
        <v>10</v>
      </c>
      <c r="B2305" s="689">
        <v>51.5</v>
      </c>
      <c r="C2305" s="689">
        <v>51.4</v>
      </c>
      <c r="D2305" s="693">
        <v>51</v>
      </c>
      <c r="E2305" s="689">
        <v>51.6</v>
      </c>
      <c r="F2305" s="689">
        <v>51.4</v>
      </c>
      <c r="G2305" s="689">
        <v>51.8</v>
      </c>
      <c r="H2305" s="693">
        <v>52</v>
      </c>
      <c r="I2305" s="689">
        <v>50.8</v>
      </c>
      <c r="J2305" s="689">
        <v>51.2</v>
      </c>
      <c r="K2305" s="689">
        <v>51.3</v>
      </c>
    </row>
    <row r="2306" spans="1:11">
      <c r="A2306" s="688" t="s">
        <v>30</v>
      </c>
      <c r="B2306" s="691">
        <v>51.1</v>
      </c>
      <c r="C2306" s="691">
        <v>50.8</v>
      </c>
      <c r="D2306" s="691">
        <v>50.5</v>
      </c>
      <c r="E2306" s="691">
        <v>51.3</v>
      </c>
      <c r="F2306" s="691">
        <v>50.9</v>
      </c>
      <c r="G2306" s="691">
        <v>51.5</v>
      </c>
      <c r="H2306" s="691">
        <v>51.3</v>
      </c>
      <c r="I2306" s="691">
        <v>51.2</v>
      </c>
      <c r="J2306" s="691">
        <v>50.4</v>
      </c>
      <c r="K2306" s="691">
        <v>50.9</v>
      </c>
    </row>
    <row r="2307" spans="1:11">
      <c r="A2307" s="688" t="s">
        <v>12</v>
      </c>
      <c r="B2307" s="689">
        <v>43.5</v>
      </c>
      <c r="C2307" s="689">
        <v>43.6</v>
      </c>
      <c r="D2307" s="689">
        <v>43.9</v>
      </c>
      <c r="E2307" s="693">
        <v>44</v>
      </c>
      <c r="F2307" s="689">
        <v>44.1</v>
      </c>
      <c r="G2307" s="689">
        <v>44.1</v>
      </c>
      <c r="H2307" s="689">
        <v>44.8</v>
      </c>
      <c r="I2307" s="689">
        <v>44.5</v>
      </c>
      <c r="J2307" s="689">
        <v>42.1</v>
      </c>
      <c r="K2307" s="689">
        <v>43.5</v>
      </c>
    </row>
    <row r="2308" spans="1:11">
      <c r="A2308" s="688" t="s">
        <v>14</v>
      </c>
      <c r="B2308" s="691">
        <v>43.5</v>
      </c>
      <c r="C2308" s="615">
        <v>44</v>
      </c>
      <c r="D2308" s="691">
        <v>43.8</v>
      </c>
      <c r="E2308" s="615">
        <v>44</v>
      </c>
      <c r="F2308" s="691">
        <v>44.7</v>
      </c>
      <c r="G2308" s="615">
        <v>45</v>
      </c>
      <c r="H2308" s="691">
        <v>45.4</v>
      </c>
      <c r="I2308" s="691">
        <v>44.1</v>
      </c>
      <c r="J2308" s="691">
        <v>43.3</v>
      </c>
      <c r="K2308" s="691">
        <v>44.7</v>
      </c>
    </row>
    <row r="2309" spans="1:11">
      <c r="A2309" s="688" t="s">
        <v>15</v>
      </c>
      <c r="B2309" s="689">
        <v>50.7</v>
      </c>
      <c r="C2309" s="689">
        <v>50.5</v>
      </c>
      <c r="D2309" s="689">
        <v>50.6</v>
      </c>
      <c r="E2309" s="689">
        <v>50.9</v>
      </c>
      <c r="F2309" s="689">
        <v>50.5</v>
      </c>
      <c r="G2309" s="689">
        <v>50.8</v>
      </c>
      <c r="H2309" s="689">
        <v>51.2</v>
      </c>
      <c r="I2309" s="689">
        <v>50.8</v>
      </c>
      <c r="J2309" s="689">
        <v>51.1</v>
      </c>
      <c r="K2309" s="689">
        <v>51.5</v>
      </c>
    </row>
    <row r="2310" spans="1:11">
      <c r="A2310" s="688" t="s">
        <v>29</v>
      </c>
      <c r="B2310" s="691">
        <v>44.6</v>
      </c>
      <c r="C2310" s="691">
        <v>44.6</v>
      </c>
      <c r="D2310" s="691">
        <v>44.4</v>
      </c>
      <c r="E2310" s="691">
        <v>44.9</v>
      </c>
      <c r="F2310" s="691">
        <v>44.7</v>
      </c>
      <c r="G2310" s="691">
        <v>44.8</v>
      </c>
      <c r="H2310" s="691">
        <v>45.1</v>
      </c>
      <c r="I2310" s="691">
        <v>44.3</v>
      </c>
      <c r="J2310" s="691">
        <v>42.9</v>
      </c>
      <c r="K2310" s="691">
        <v>44.7</v>
      </c>
    </row>
    <row r="2311" spans="1:11">
      <c r="A2311" s="688" t="s">
        <v>16</v>
      </c>
      <c r="B2311" s="689">
        <v>50.7</v>
      </c>
      <c r="C2311" s="689">
        <v>50.6</v>
      </c>
      <c r="D2311" s="689">
        <v>50.7</v>
      </c>
      <c r="E2311" s="693">
        <v>51</v>
      </c>
      <c r="F2311" s="693">
        <v>51</v>
      </c>
      <c r="G2311" s="689">
        <v>50.9</v>
      </c>
      <c r="H2311" s="689">
        <v>51.3</v>
      </c>
      <c r="I2311" s="689">
        <v>50.6</v>
      </c>
      <c r="J2311" s="689">
        <v>50.7</v>
      </c>
      <c r="K2311" s="689">
        <v>50.9</v>
      </c>
    </row>
    <row r="2312" spans="1:11">
      <c r="A2312" s="688" t="s">
        <v>17</v>
      </c>
      <c r="B2312" s="691">
        <v>50.1</v>
      </c>
      <c r="C2312" s="691">
        <v>50.3</v>
      </c>
      <c r="D2312" s="691">
        <v>50.1</v>
      </c>
      <c r="E2312" s="691">
        <v>50.2</v>
      </c>
      <c r="F2312" s="691">
        <v>50.4</v>
      </c>
      <c r="G2312" s="691">
        <v>50.4</v>
      </c>
      <c r="H2312" s="691">
        <v>50.7</v>
      </c>
      <c r="I2312" s="691">
        <v>50.1</v>
      </c>
      <c r="J2312" s="615">
        <v>50</v>
      </c>
      <c r="K2312" s="691">
        <v>50.3</v>
      </c>
    </row>
    <row r="2313" spans="1:11">
      <c r="A2313" s="688" t="s">
        <v>19</v>
      </c>
      <c r="B2313" s="693">
        <v>50</v>
      </c>
      <c r="C2313" s="689">
        <v>50.1</v>
      </c>
      <c r="D2313" s="689">
        <v>49.9</v>
      </c>
      <c r="E2313" s="689">
        <v>50.3</v>
      </c>
      <c r="F2313" s="689">
        <v>50.3</v>
      </c>
      <c r="G2313" s="689">
        <v>50.4</v>
      </c>
      <c r="H2313" s="689">
        <v>50.6</v>
      </c>
      <c r="I2313" s="693">
        <v>50</v>
      </c>
      <c r="J2313" s="693">
        <v>50</v>
      </c>
      <c r="K2313" s="689">
        <v>50.1</v>
      </c>
    </row>
    <row r="2314" spans="1:11">
      <c r="A2314" s="688" t="s">
        <v>20</v>
      </c>
      <c r="B2314" s="691">
        <v>46.2</v>
      </c>
      <c r="C2314" s="691">
        <v>46.5</v>
      </c>
      <c r="D2314" s="691">
        <v>46.3</v>
      </c>
      <c r="E2314" s="691">
        <v>46.7</v>
      </c>
      <c r="F2314" s="691">
        <v>46.6</v>
      </c>
      <c r="G2314" s="691">
        <v>46.5</v>
      </c>
      <c r="H2314" s="691">
        <v>46.8</v>
      </c>
      <c r="I2314" s="691">
        <v>45.3</v>
      </c>
      <c r="J2314" s="691">
        <v>44.4</v>
      </c>
      <c r="K2314" s="691">
        <v>46.1</v>
      </c>
    </row>
    <row r="2315" spans="1:11">
      <c r="A2315" s="688" t="s">
        <v>21</v>
      </c>
      <c r="B2315" s="689">
        <v>49.6</v>
      </c>
      <c r="C2315" s="693">
        <v>50</v>
      </c>
      <c r="D2315" s="693">
        <v>50</v>
      </c>
      <c r="E2315" s="693">
        <v>50</v>
      </c>
      <c r="F2315" s="689">
        <v>50.3</v>
      </c>
      <c r="G2315" s="689">
        <v>50.3</v>
      </c>
      <c r="H2315" s="689">
        <v>50.6</v>
      </c>
      <c r="I2315" s="693">
        <v>50</v>
      </c>
      <c r="J2315" s="693">
        <v>50</v>
      </c>
      <c r="K2315" s="689">
        <v>50.4</v>
      </c>
    </row>
    <row r="2316" spans="1:11">
      <c r="A2316" s="688" t="s">
        <v>22</v>
      </c>
      <c r="B2316" s="691">
        <v>44.6</v>
      </c>
      <c r="C2316" s="691">
        <v>44.3</v>
      </c>
      <c r="D2316" s="691">
        <v>44.2</v>
      </c>
      <c r="E2316" s="691">
        <v>44.4</v>
      </c>
      <c r="F2316" s="691">
        <v>44.5</v>
      </c>
      <c r="G2316" s="691">
        <v>44.4</v>
      </c>
      <c r="H2316" s="691">
        <v>44.7</v>
      </c>
      <c r="I2316" s="691">
        <v>43.2</v>
      </c>
      <c r="J2316" s="691">
        <v>41.9</v>
      </c>
      <c r="K2316" s="691">
        <v>44.2</v>
      </c>
    </row>
    <row r="2317" spans="1:11">
      <c r="A2317" s="688" t="s">
        <v>26</v>
      </c>
      <c r="B2317" s="689">
        <v>49.2</v>
      </c>
      <c r="C2317" s="689">
        <v>49.5</v>
      </c>
      <c r="D2317" s="689">
        <v>49.2</v>
      </c>
      <c r="E2317" s="689">
        <v>49.7</v>
      </c>
      <c r="F2317" s="689">
        <v>49.5</v>
      </c>
      <c r="G2317" s="689">
        <v>49.8</v>
      </c>
      <c r="H2317" s="693">
        <v>50</v>
      </c>
      <c r="I2317" s="689">
        <v>49.1</v>
      </c>
      <c r="J2317" s="689">
        <v>49.2</v>
      </c>
      <c r="K2317" s="689">
        <v>49.8</v>
      </c>
    </row>
    <row r="2318" spans="1:11">
      <c r="A2318" s="688" t="s">
        <v>25</v>
      </c>
      <c r="B2318" s="691">
        <v>45.7</v>
      </c>
      <c r="C2318" s="615">
        <v>46</v>
      </c>
      <c r="D2318" s="691">
        <v>45.7</v>
      </c>
      <c r="E2318" s="691">
        <v>46.3</v>
      </c>
      <c r="F2318" s="691">
        <v>46.2</v>
      </c>
      <c r="G2318" s="691">
        <v>46.3</v>
      </c>
      <c r="H2318" s="691">
        <v>46.8</v>
      </c>
      <c r="I2318" s="615">
        <v>46</v>
      </c>
      <c r="J2318" s="691">
        <v>43.6</v>
      </c>
      <c r="K2318" s="615">
        <v>46</v>
      </c>
    </row>
    <row r="2319" spans="1:11">
      <c r="A2319" s="688" t="s">
        <v>5</v>
      </c>
      <c r="B2319" s="689">
        <v>49.9</v>
      </c>
      <c r="C2319" s="689">
        <v>49.8</v>
      </c>
      <c r="D2319" s="693">
        <v>50</v>
      </c>
      <c r="E2319" s="693">
        <v>50</v>
      </c>
      <c r="F2319" s="689">
        <v>50.3</v>
      </c>
      <c r="G2319" s="689">
        <v>50.4</v>
      </c>
      <c r="H2319" s="689">
        <v>50.7</v>
      </c>
      <c r="I2319" s="689">
        <v>50.6</v>
      </c>
      <c r="J2319" s="689">
        <v>50.5</v>
      </c>
      <c r="K2319" s="693">
        <v>50</v>
      </c>
    </row>
    <row r="2320" spans="1:11">
      <c r="A2320" s="688" t="s">
        <v>23</v>
      </c>
      <c r="B2320" s="691">
        <v>50.7</v>
      </c>
      <c r="C2320" s="691">
        <v>50.9</v>
      </c>
      <c r="D2320" s="691">
        <v>50.9</v>
      </c>
      <c r="E2320" s="615">
        <v>51</v>
      </c>
      <c r="F2320" s="691">
        <v>51.1</v>
      </c>
      <c r="G2320" s="691">
        <v>51.2</v>
      </c>
      <c r="H2320" s="691">
        <v>51.7</v>
      </c>
      <c r="I2320" s="691">
        <v>51.1</v>
      </c>
      <c r="J2320" s="691">
        <v>51.6</v>
      </c>
      <c r="K2320" s="691">
        <v>51.7</v>
      </c>
    </row>
    <row r="2321" spans="1:11">
      <c r="A2321" s="688" t="s">
        <v>4067</v>
      </c>
      <c r="B2321" s="689">
        <v>49.4</v>
      </c>
      <c r="C2321" s="689">
        <v>49.7</v>
      </c>
      <c r="D2321" s="689">
        <v>49.4</v>
      </c>
      <c r="E2321" s="689">
        <v>49.8</v>
      </c>
      <c r="F2321" s="689">
        <v>49.7</v>
      </c>
      <c r="G2321" s="689">
        <v>49.8</v>
      </c>
      <c r="H2321" s="690" t="s">
        <v>4060</v>
      </c>
      <c r="I2321" s="690" t="s">
        <v>4060</v>
      </c>
      <c r="J2321" s="690" t="s">
        <v>4060</v>
      </c>
      <c r="K2321" s="690" t="s">
        <v>4060</v>
      </c>
    </row>
    <row r="2322" spans="1:11">
      <c r="A2322" s="688" t="s">
        <v>4066</v>
      </c>
      <c r="B2322" s="691">
        <v>49.4</v>
      </c>
      <c r="C2322" s="691">
        <v>49.7</v>
      </c>
      <c r="D2322" s="691">
        <v>49.4</v>
      </c>
      <c r="E2322" s="691">
        <v>49.8</v>
      </c>
      <c r="F2322" s="691">
        <v>49.8</v>
      </c>
      <c r="G2322" s="691">
        <v>49.8</v>
      </c>
      <c r="H2322" s="692" t="s">
        <v>4060</v>
      </c>
      <c r="I2322" s="692" t="s">
        <v>4060</v>
      </c>
      <c r="J2322" s="692" t="s">
        <v>4060</v>
      </c>
      <c r="K2322" s="692" t="s">
        <v>4060</v>
      </c>
    </row>
    <row r="2323" spans="1:11">
      <c r="A2323" s="688" t="s">
        <v>4062</v>
      </c>
      <c r="B2323" s="689">
        <v>51.2</v>
      </c>
      <c r="C2323" s="689">
        <v>51.4</v>
      </c>
      <c r="D2323" s="689">
        <v>51.3</v>
      </c>
      <c r="E2323" s="689">
        <v>51.7</v>
      </c>
      <c r="F2323" s="689">
        <v>51.8</v>
      </c>
      <c r="G2323" s="689">
        <v>51.9</v>
      </c>
      <c r="H2323" s="689">
        <v>52.1</v>
      </c>
      <c r="I2323" s="689">
        <v>51.8</v>
      </c>
      <c r="J2323" s="689">
        <v>52.1</v>
      </c>
      <c r="K2323" s="689">
        <v>51.8</v>
      </c>
    </row>
    <row r="2324" spans="1:11">
      <c r="A2324" s="688" t="s">
        <v>9</v>
      </c>
      <c r="B2324" s="691">
        <v>50.7</v>
      </c>
      <c r="C2324" s="691">
        <v>51.3</v>
      </c>
      <c r="D2324" s="691">
        <v>51.1</v>
      </c>
      <c r="E2324" s="691">
        <v>50.7</v>
      </c>
      <c r="F2324" s="691">
        <v>51.1</v>
      </c>
      <c r="G2324" s="691">
        <v>51.3</v>
      </c>
      <c r="H2324" s="691">
        <v>51.4</v>
      </c>
      <c r="I2324" s="691">
        <v>51.6</v>
      </c>
      <c r="J2324" s="691">
        <v>51.8</v>
      </c>
      <c r="K2324" s="691">
        <v>50.7</v>
      </c>
    </row>
    <row r="2325" spans="1:11">
      <c r="A2325" s="688" t="s">
        <v>13</v>
      </c>
      <c r="B2325" s="689">
        <v>51.2</v>
      </c>
      <c r="C2325" s="689">
        <v>50.7</v>
      </c>
      <c r="D2325" s="689">
        <v>51.3</v>
      </c>
      <c r="E2325" s="689">
        <v>50.8</v>
      </c>
      <c r="F2325" s="689">
        <v>51.9</v>
      </c>
      <c r="G2325" s="689">
        <v>51.6</v>
      </c>
      <c r="H2325" s="689">
        <v>52.3</v>
      </c>
      <c r="I2325" s="689">
        <v>51.3</v>
      </c>
      <c r="J2325" s="689">
        <v>52.4</v>
      </c>
      <c r="K2325" s="689">
        <v>52.6</v>
      </c>
    </row>
    <row r="2326" spans="1:11">
      <c r="A2326" s="688" t="s">
        <v>18</v>
      </c>
      <c r="B2326" s="691">
        <v>50.5</v>
      </c>
      <c r="C2326" s="691">
        <v>50.7</v>
      </c>
      <c r="D2326" s="691">
        <v>50.9</v>
      </c>
      <c r="E2326" s="615">
        <v>51</v>
      </c>
      <c r="F2326" s="691">
        <v>51.3</v>
      </c>
      <c r="G2326" s="691">
        <v>51.4</v>
      </c>
      <c r="H2326" s="691">
        <v>51.6</v>
      </c>
      <c r="I2326" s="691">
        <v>51.8</v>
      </c>
      <c r="J2326" s="691">
        <v>51.7</v>
      </c>
      <c r="K2326" s="691">
        <v>51.2</v>
      </c>
    </row>
    <row r="2327" spans="1:11">
      <c r="A2327" s="688" t="s">
        <v>24</v>
      </c>
      <c r="B2327" s="689">
        <v>51.7</v>
      </c>
      <c r="C2327" s="689">
        <v>51.8</v>
      </c>
      <c r="D2327" s="689">
        <v>51.6</v>
      </c>
      <c r="E2327" s="689">
        <v>52.1</v>
      </c>
      <c r="F2327" s="689">
        <v>52.1</v>
      </c>
      <c r="G2327" s="689">
        <v>52.3</v>
      </c>
      <c r="H2327" s="689">
        <v>52.4</v>
      </c>
      <c r="I2327" s="689">
        <v>51.8</v>
      </c>
      <c r="J2327" s="689">
        <v>52.3</v>
      </c>
      <c r="K2327" s="689">
        <v>52.2</v>
      </c>
    </row>
    <row r="2328" spans="1:11">
      <c r="A2328" s="688" t="s">
        <v>4059</v>
      </c>
      <c r="B2328" s="691">
        <v>49.9</v>
      </c>
      <c r="C2328" s="691">
        <v>50.2</v>
      </c>
      <c r="D2328" s="691">
        <v>49.8</v>
      </c>
      <c r="E2328" s="615">
        <v>50</v>
      </c>
      <c r="F2328" s="691">
        <v>50.1</v>
      </c>
      <c r="G2328" s="691">
        <v>50.1</v>
      </c>
      <c r="H2328" s="692" t="s">
        <v>4060</v>
      </c>
      <c r="I2328" s="692" t="s">
        <v>4060</v>
      </c>
      <c r="J2328" s="692" t="s">
        <v>4060</v>
      </c>
      <c r="K2328" s="692" t="s">
        <v>4060</v>
      </c>
    </row>
    <row r="2329" spans="1:11">
      <c r="A2329" s="688" t="s">
        <v>2324</v>
      </c>
      <c r="B2329" s="689">
        <v>45.5</v>
      </c>
      <c r="C2329" s="689">
        <v>45.5</v>
      </c>
      <c r="D2329" s="689">
        <v>45.2</v>
      </c>
      <c r="E2329" s="689">
        <v>45.3</v>
      </c>
      <c r="F2329" s="689">
        <v>45.3</v>
      </c>
      <c r="G2329" s="689">
        <v>45.6</v>
      </c>
      <c r="H2329" s="689">
        <v>45.5</v>
      </c>
      <c r="I2329" s="689">
        <v>44.7</v>
      </c>
      <c r="J2329" s="689">
        <v>42.4</v>
      </c>
      <c r="K2329" s="690" t="s">
        <v>4060</v>
      </c>
    </row>
    <row r="2330" spans="1:11">
      <c r="A2330" s="688" t="s">
        <v>2322</v>
      </c>
      <c r="B2330" s="692" t="s">
        <v>4060</v>
      </c>
      <c r="C2330" s="692" t="s">
        <v>4060</v>
      </c>
      <c r="D2330" s="692" t="s">
        <v>4060</v>
      </c>
      <c r="E2330" s="692" t="s">
        <v>4060</v>
      </c>
      <c r="F2330" s="692" t="s">
        <v>4060</v>
      </c>
      <c r="G2330" s="692" t="s">
        <v>4060</v>
      </c>
      <c r="H2330" s="692" t="s">
        <v>4060</v>
      </c>
      <c r="I2330" s="692" t="s">
        <v>4060</v>
      </c>
      <c r="J2330" s="692" t="s">
        <v>4060</v>
      </c>
      <c r="K2330" s="692" t="s">
        <v>4060</v>
      </c>
    </row>
    <row r="2331" spans="1:11">
      <c r="A2331" s="688" t="s">
        <v>2328</v>
      </c>
      <c r="B2331" s="689">
        <v>44.8</v>
      </c>
      <c r="C2331" s="689">
        <v>44.7</v>
      </c>
      <c r="D2331" s="689">
        <v>44.7</v>
      </c>
      <c r="E2331" s="689">
        <v>44.9</v>
      </c>
      <c r="F2331" s="689">
        <v>45.2</v>
      </c>
      <c r="G2331" s="689">
        <v>45.6</v>
      </c>
      <c r="H2331" s="689">
        <v>45.5</v>
      </c>
      <c r="I2331" s="689">
        <v>43.3</v>
      </c>
      <c r="J2331" s="689">
        <v>42.1</v>
      </c>
      <c r="K2331" s="690" t="s">
        <v>4060</v>
      </c>
    </row>
    <row r="2332" spans="1:11">
      <c r="A2332" s="688" t="s">
        <v>2496</v>
      </c>
      <c r="B2332" s="692" t="s">
        <v>4060</v>
      </c>
      <c r="C2332" s="691">
        <v>43.8</v>
      </c>
      <c r="D2332" s="691">
        <v>42.7</v>
      </c>
      <c r="E2332" s="691">
        <v>42.4</v>
      </c>
      <c r="F2332" s="691">
        <v>43.2</v>
      </c>
      <c r="G2332" s="691">
        <v>43.5</v>
      </c>
      <c r="H2332" s="691">
        <v>43.5</v>
      </c>
      <c r="I2332" s="692" t="s">
        <v>4060</v>
      </c>
      <c r="J2332" s="692" t="s">
        <v>4060</v>
      </c>
      <c r="K2332" s="691">
        <v>43.1</v>
      </c>
    </row>
    <row r="2333" spans="1:11">
      <c r="A2333" s="688" t="s">
        <v>2269</v>
      </c>
      <c r="B2333" s="689">
        <v>47.5</v>
      </c>
      <c r="C2333" s="689">
        <v>47.6</v>
      </c>
      <c r="D2333" s="689">
        <v>47.3</v>
      </c>
      <c r="E2333" s="689">
        <v>47.8</v>
      </c>
      <c r="F2333" s="689">
        <v>47.8</v>
      </c>
      <c r="G2333" s="689">
        <v>48.2</v>
      </c>
      <c r="H2333" s="689">
        <v>48.5</v>
      </c>
      <c r="I2333" s="689">
        <v>46.6</v>
      </c>
      <c r="J2333" s="689">
        <v>44.7</v>
      </c>
      <c r="K2333" s="689">
        <v>48.1</v>
      </c>
    </row>
    <row r="2334" spans="1:11">
      <c r="A2334" s="688" t="s">
        <v>2349</v>
      </c>
      <c r="B2334" s="691">
        <v>44.3</v>
      </c>
      <c r="C2334" s="691">
        <v>44.4</v>
      </c>
      <c r="D2334" s="691">
        <v>44.3</v>
      </c>
      <c r="E2334" s="691">
        <v>44.7</v>
      </c>
      <c r="F2334" s="691">
        <v>44.5</v>
      </c>
      <c r="G2334" s="691">
        <v>44.9</v>
      </c>
      <c r="H2334" s="691">
        <v>44.9</v>
      </c>
      <c r="I2334" s="691">
        <v>43.4</v>
      </c>
      <c r="J2334" s="691">
        <v>41.7</v>
      </c>
      <c r="K2334" s="691">
        <v>44.1</v>
      </c>
    </row>
    <row r="2335" spans="1:11">
      <c r="A2335" s="688" t="s">
        <v>2355</v>
      </c>
      <c r="B2335" s="693">
        <v>48</v>
      </c>
      <c r="C2335" s="689">
        <v>47.9</v>
      </c>
      <c r="D2335" s="689">
        <v>47.9</v>
      </c>
      <c r="E2335" s="689">
        <v>47.8</v>
      </c>
      <c r="F2335" s="693">
        <v>48</v>
      </c>
      <c r="G2335" s="689">
        <v>48.4</v>
      </c>
      <c r="H2335" s="689">
        <v>48.5</v>
      </c>
      <c r="I2335" s="690" t="s">
        <v>4060</v>
      </c>
      <c r="J2335" s="690" t="s">
        <v>4060</v>
      </c>
      <c r="K2335" s="690" t="s">
        <v>4060</v>
      </c>
    </row>
    <row r="2336" spans="1:11">
      <c r="A2336" s="688" t="s">
        <v>2357</v>
      </c>
      <c r="B2336" s="692" t="s">
        <v>4060</v>
      </c>
      <c r="C2336" s="691">
        <v>41.6</v>
      </c>
      <c r="D2336" s="691">
        <v>42.2</v>
      </c>
      <c r="E2336" s="691">
        <v>42.5</v>
      </c>
      <c r="F2336" s="691">
        <v>42.8</v>
      </c>
      <c r="G2336" s="691">
        <v>42.6</v>
      </c>
      <c r="H2336" s="691">
        <v>42.8</v>
      </c>
      <c r="I2336" s="692" t="s">
        <v>4060</v>
      </c>
      <c r="J2336" s="692" t="s">
        <v>4060</v>
      </c>
      <c r="K2336" s="692" t="s">
        <v>4060</v>
      </c>
    </row>
    <row r="2337" spans="1:11">
      <c r="A2337" s="688" t="s">
        <v>4070</v>
      </c>
      <c r="B2337" s="690" t="s">
        <v>4060</v>
      </c>
      <c r="C2337" s="690" t="s">
        <v>4060</v>
      </c>
      <c r="D2337" s="690" t="s">
        <v>4060</v>
      </c>
      <c r="E2337" s="689">
        <v>47.5</v>
      </c>
      <c r="F2337" s="690" t="s">
        <v>4060</v>
      </c>
      <c r="G2337" s="690" t="s">
        <v>4060</v>
      </c>
      <c r="H2337" s="690" t="s">
        <v>4060</v>
      </c>
      <c r="I2337" s="690" t="s">
        <v>4060</v>
      </c>
      <c r="J2337" s="690" t="s">
        <v>4060</v>
      </c>
      <c r="K2337" s="690" t="s">
        <v>4060</v>
      </c>
    </row>
    <row r="2338" spans="1:11">
      <c r="A2338" s="688" t="s">
        <v>2491</v>
      </c>
      <c r="B2338" s="615">
        <v>42</v>
      </c>
      <c r="C2338" s="691">
        <v>42.6</v>
      </c>
      <c r="D2338" s="615">
        <v>43</v>
      </c>
      <c r="E2338" s="691">
        <v>43.2</v>
      </c>
      <c r="F2338" s="691">
        <v>43.4</v>
      </c>
      <c r="G2338" s="691">
        <v>43.4</v>
      </c>
      <c r="H2338" s="692" t="s">
        <v>4060</v>
      </c>
      <c r="I2338" s="692" t="s">
        <v>4060</v>
      </c>
      <c r="J2338" s="692" t="s">
        <v>4060</v>
      </c>
      <c r="K2338" s="692" t="s">
        <v>4060</v>
      </c>
    </row>
    <row r="2339" spans="1:11">
      <c r="A2339" s="688" t="s">
        <v>2343</v>
      </c>
      <c r="B2339" s="690" t="s">
        <v>4060</v>
      </c>
      <c r="C2339" s="690" t="s">
        <v>4060</v>
      </c>
      <c r="D2339" s="690" t="s">
        <v>4060</v>
      </c>
      <c r="E2339" s="690" t="s">
        <v>4060</v>
      </c>
      <c r="F2339" s="690" t="s">
        <v>4060</v>
      </c>
      <c r="G2339" s="690" t="s">
        <v>4060</v>
      </c>
      <c r="H2339" s="690" t="s">
        <v>4060</v>
      </c>
      <c r="I2339" s="690" t="s">
        <v>4060</v>
      </c>
      <c r="J2339" s="690" t="s">
        <v>4060</v>
      </c>
      <c r="K2339" s="690" t="s">
        <v>4060</v>
      </c>
    </row>
    <row r="2340" spans="1:11">
      <c r="A2340" s="688" t="s">
        <v>4071</v>
      </c>
      <c r="B2340" s="692" t="s">
        <v>4060</v>
      </c>
      <c r="C2340" s="692" t="s">
        <v>4060</v>
      </c>
      <c r="D2340" s="692" t="s">
        <v>4060</v>
      </c>
      <c r="E2340" s="692" t="s">
        <v>4060</v>
      </c>
      <c r="F2340" s="692" t="s">
        <v>4060</v>
      </c>
      <c r="G2340" s="692" t="s">
        <v>4060</v>
      </c>
      <c r="H2340" s="692" t="s">
        <v>4060</v>
      </c>
      <c r="I2340" s="692" t="s">
        <v>4060</v>
      </c>
      <c r="J2340" s="692" t="s">
        <v>4060</v>
      </c>
      <c r="K2340" s="692" t="s">
        <v>4060</v>
      </c>
    </row>
    <row r="2341" spans="1:11">
      <c r="A2341" s="688" t="s">
        <v>2489</v>
      </c>
      <c r="B2341" s="690" t="s">
        <v>4060</v>
      </c>
      <c r="C2341" s="690" t="s">
        <v>4060</v>
      </c>
      <c r="D2341" s="689">
        <v>44.5</v>
      </c>
      <c r="E2341" s="689">
        <v>44.6</v>
      </c>
      <c r="F2341" s="689">
        <v>45.1</v>
      </c>
      <c r="G2341" s="689">
        <v>45.9</v>
      </c>
      <c r="H2341" s="689">
        <v>45.7</v>
      </c>
      <c r="I2341" s="690" t="s">
        <v>4060</v>
      </c>
      <c r="J2341" s="690" t="s">
        <v>4060</v>
      </c>
      <c r="K2341" s="690" t="s">
        <v>4060</v>
      </c>
    </row>
    <row r="2342" spans="1:11">
      <c r="A2342" s="688" t="s">
        <v>2490</v>
      </c>
      <c r="B2342" s="691">
        <v>44.4</v>
      </c>
      <c r="C2342" s="691">
        <v>44.5</v>
      </c>
      <c r="D2342" s="691">
        <v>45.1</v>
      </c>
      <c r="E2342" s="692" t="s">
        <v>4060</v>
      </c>
      <c r="F2342" s="691">
        <v>45.3</v>
      </c>
      <c r="G2342" s="691">
        <v>45.6</v>
      </c>
      <c r="H2342" s="691">
        <v>46.4</v>
      </c>
      <c r="I2342" s="692" t="s">
        <v>4060</v>
      </c>
      <c r="J2342" s="692" t="s">
        <v>4060</v>
      </c>
      <c r="K2342" s="692" t="s">
        <v>4060</v>
      </c>
    </row>
    <row r="2344" spans="1:11">
      <c r="A2344" s="683" t="s">
        <v>4233</v>
      </c>
    </row>
    <row r="2345" spans="1:11">
      <c r="A2345" s="683" t="s">
        <v>4060</v>
      </c>
      <c r="B2345" s="682" t="s">
        <v>4234</v>
      </c>
    </row>
    <row r="2347" spans="1:11">
      <c r="A2347" s="682" t="s">
        <v>4248</v>
      </c>
    </row>
    <row r="2348" spans="1:11">
      <c r="A2348" s="682" t="s">
        <v>4210</v>
      </c>
      <c r="B2348" s="683" t="s">
        <v>4211</v>
      </c>
    </row>
    <row r="2349" spans="1:11">
      <c r="A2349" s="682" t="s">
        <v>4212</v>
      </c>
      <c r="B2349" s="682" t="s">
        <v>4213</v>
      </c>
    </row>
    <row r="2351" spans="1:11">
      <c r="A2351" s="683" t="s">
        <v>4214</v>
      </c>
      <c r="C2351" s="682" t="s">
        <v>4215</v>
      </c>
    </row>
    <row r="2352" spans="1:11">
      <c r="A2352" s="683" t="s">
        <v>4216</v>
      </c>
      <c r="C2352" s="682" t="s">
        <v>2967</v>
      </c>
    </row>
    <row r="2353" spans="1:11">
      <c r="A2353" s="683" t="s">
        <v>3893</v>
      </c>
      <c r="C2353" s="682" t="s">
        <v>4217</v>
      </c>
    </row>
    <row r="2354" spans="1:11">
      <c r="A2354" s="683" t="s">
        <v>4218</v>
      </c>
      <c r="C2354" s="682" t="s">
        <v>4268</v>
      </c>
    </row>
    <row r="2356" spans="1:11">
      <c r="A2356" s="684" t="s">
        <v>4220</v>
      </c>
      <c r="B2356" s="685" t="s">
        <v>4221</v>
      </c>
      <c r="C2356" s="685" t="s">
        <v>4222</v>
      </c>
      <c r="D2356" s="685" t="s">
        <v>4223</v>
      </c>
      <c r="E2356" s="685" t="s">
        <v>4224</v>
      </c>
      <c r="F2356" s="685" t="s">
        <v>4225</v>
      </c>
      <c r="G2356" s="685" t="s">
        <v>4226</v>
      </c>
      <c r="H2356" s="685" t="s">
        <v>4227</v>
      </c>
      <c r="I2356" s="685" t="s">
        <v>4228</v>
      </c>
      <c r="J2356" s="685" t="s">
        <v>4229</v>
      </c>
      <c r="K2356" s="685" t="s">
        <v>4230</v>
      </c>
    </row>
    <row r="2357" spans="1:11">
      <c r="A2357" s="686" t="s">
        <v>4231</v>
      </c>
      <c r="B2357" s="687" t="s">
        <v>4232</v>
      </c>
      <c r="C2357" s="687" t="s">
        <v>4232</v>
      </c>
      <c r="D2357" s="687" t="s">
        <v>4232</v>
      </c>
      <c r="E2357" s="687" t="s">
        <v>4232</v>
      </c>
      <c r="F2357" s="687" t="s">
        <v>4232</v>
      </c>
      <c r="G2357" s="687" t="s">
        <v>4232</v>
      </c>
      <c r="H2357" s="687" t="s">
        <v>4232</v>
      </c>
      <c r="I2357" s="687" t="s">
        <v>4232</v>
      </c>
      <c r="J2357" s="687" t="s">
        <v>4232</v>
      </c>
      <c r="K2357" s="687" t="s">
        <v>4232</v>
      </c>
    </row>
    <row r="2358" spans="1:11">
      <c r="A2358" s="688" t="s">
        <v>4064</v>
      </c>
      <c r="B2358" s="691">
        <v>48.3</v>
      </c>
      <c r="C2358" s="691">
        <v>48.4</v>
      </c>
      <c r="D2358" s="691">
        <v>48.4</v>
      </c>
      <c r="E2358" s="691">
        <v>48.5</v>
      </c>
      <c r="F2358" s="691">
        <v>48.5</v>
      </c>
      <c r="G2358" s="691">
        <v>48.6</v>
      </c>
      <c r="H2358" s="691">
        <v>48.9</v>
      </c>
      <c r="I2358" s="615">
        <v>48</v>
      </c>
      <c r="J2358" s="691">
        <v>47.7</v>
      </c>
      <c r="K2358" s="691">
        <v>48.3</v>
      </c>
    </row>
    <row r="2359" spans="1:11">
      <c r="A2359" s="688" t="s">
        <v>4065</v>
      </c>
      <c r="B2359" s="689">
        <v>48.4</v>
      </c>
      <c r="C2359" s="689">
        <v>48.7</v>
      </c>
      <c r="D2359" s="689">
        <v>48.4</v>
      </c>
      <c r="E2359" s="689">
        <v>48.8</v>
      </c>
      <c r="F2359" s="689">
        <v>48.7</v>
      </c>
      <c r="G2359" s="689">
        <v>48.8</v>
      </c>
      <c r="H2359" s="690" t="s">
        <v>4060</v>
      </c>
      <c r="I2359" s="690" t="s">
        <v>4060</v>
      </c>
      <c r="J2359" s="690" t="s">
        <v>4060</v>
      </c>
      <c r="K2359" s="690" t="s">
        <v>4060</v>
      </c>
    </row>
    <row r="2360" spans="1:11">
      <c r="A2360" s="688" t="s">
        <v>4063</v>
      </c>
      <c r="B2360" s="691">
        <v>48.4</v>
      </c>
      <c r="C2360" s="691">
        <v>48.8</v>
      </c>
      <c r="D2360" s="691">
        <v>48.4</v>
      </c>
      <c r="E2360" s="691">
        <v>48.8</v>
      </c>
      <c r="F2360" s="691">
        <v>48.8</v>
      </c>
      <c r="G2360" s="691">
        <v>48.8</v>
      </c>
      <c r="H2360" s="692" t="s">
        <v>4060</v>
      </c>
      <c r="I2360" s="692" t="s">
        <v>4060</v>
      </c>
      <c r="J2360" s="692" t="s">
        <v>4060</v>
      </c>
      <c r="K2360" s="692" t="s">
        <v>4060</v>
      </c>
    </row>
    <row r="2361" spans="1:11">
      <c r="A2361" s="688" t="s">
        <v>4069</v>
      </c>
      <c r="B2361" s="690" t="s">
        <v>4060</v>
      </c>
      <c r="C2361" s="689">
        <v>49.4</v>
      </c>
      <c r="D2361" s="689">
        <v>49.1</v>
      </c>
      <c r="E2361" s="689">
        <v>49.4</v>
      </c>
      <c r="F2361" s="689">
        <v>49.5</v>
      </c>
      <c r="G2361" s="689">
        <v>49.6</v>
      </c>
      <c r="H2361" s="689">
        <v>49.8</v>
      </c>
      <c r="I2361" s="689">
        <v>49.1</v>
      </c>
      <c r="J2361" s="689">
        <v>49.1</v>
      </c>
      <c r="K2361" s="689">
        <v>49.3</v>
      </c>
    </row>
    <row r="2362" spans="1:11">
      <c r="A2362" s="688" t="s">
        <v>4068</v>
      </c>
      <c r="B2362" s="691">
        <v>49.3</v>
      </c>
      <c r="C2362" s="692" t="s">
        <v>4060</v>
      </c>
      <c r="D2362" s="692" t="s">
        <v>4060</v>
      </c>
      <c r="E2362" s="692" t="s">
        <v>4060</v>
      </c>
      <c r="F2362" s="692" t="s">
        <v>4060</v>
      </c>
      <c r="G2362" s="692" t="s">
        <v>4060</v>
      </c>
      <c r="H2362" s="692" t="s">
        <v>4060</v>
      </c>
      <c r="I2362" s="692" t="s">
        <v>4060</v>
      </c>
      <c r="J2362" s="692" t="s">
        <v>4060</v>
      </c>
      <c r="K2362" s="692" t="s">
        <v>4060</v>
      </c>
    </row>
    <row r="2363" spans="1:11">
      <c r="A2363" s="688" t="s">
        <v>0</v>
      </c>
      <c r="B2363" s="689">
        <v>48.5</v>
      </c>
      <c r="C2363" s="689">
        <v>48.9</v>
      </c>
      <c r="D2363" s="689">
        <v>48.7</v>
      </c>
      <c r="E2363" s="689">
        <v>49.1</v>
      </c>
      <c r="F2363" s="689">
        <v>49.2</v>
      </c>
      <c r="G2363" s="689">
        <v>49.3</v>
      </c>
      <c r="H2363" s="689">
        <v>49.6</v>
      </c>
      <c r="I2363" s="689">
        <v>48.5</v>
      </c>
      <c r="J2363" s="689">
        <v>49.4</v>
      </c>
      <c r="K2363" s="689">
        <v>49.4</v>
      </c>
    </row>
    <row r="2364" spans="1:11">
      <c r="A2364" s="688" t="s">
        <v>1</v>
      </c>
      <c r="B2364" s="691">
        <v>43.3</v>
      </c>
      <c r="C2364" s="691">
        <v>42.8</v>
      </c>
      <c r="D2364" s="691">
        <v>42.9</v>
      </c>
      <c r="E2364" s="615">
        <v>43</v>
      </c>
      <c r="F2364" s="691">
        <v>42.9</v>
      </c>
      <c r="G2364" s="691">
        <v>43.1</v>
      </c>
      <c r="H2364" s="691">
        <v>43.1</v>
      </c>
      <c r="I2364" s="691">
        <v>41.5</v>
      </c>
      <c r="J2364" s="691">
        <v>39.6</v>
      </c>
      <c r="K2364" s="691">
        <v>42.3</v>
      </c>
    </row>
    <row r="2365" spans="1:11">
      <c r="A2365" s="688" t="s">
        <v>2240</v>
      </c>
      <c r="B2365" s="689">
        <v>46.1</v>
      </c>
      <c r="C2365" s="689">
        <v>46.5</v>
      </c>
      <c r="D2365" s="689">
        <v>46.3</v>
      </c>
      <c r="E2365" s="689">
        <v>46.8</v>
      </c>
      <c r="F2365" s="689">
        <v>46.7</v>
      </c>
      <c r="G2365" s="689">
        <v>46.8</v>
      </c>
      <c r="H2365" s="693">
        <v>47</v>
      </c>
      <c r="I2365" s="693">
        <v>46</v>
      </c>
      <c r="J2365" s="689">
        <v>44.9</v>
      </c>
      <c r="K2365" s="689">
        <v>46.7</v>
      </c>
    </row>
    <row r="2366" spans="1:11">
      <c r="A2366" s="688" t="s">
        <v>2</v>
      </c>
      <c r="B2366" s="615">
        <v>48</v>
      </c>
      <c r="C2366" s="691">
        <v>48.4</v>
      </c>
      <c r="D2366" s="691">
        <v>48.4</v>
      </c>
      <c r="E2366" s="691">
        <v>48.6</v>
      </c>
      <c r="F2366" s="691">
        <v>48.8</v>
      </c>
      <c r="G2366" s="691">
        <v>48.6</v>
      </c>
      <c r="H2366" s="691">
        <v>49.1</v>
      </c>
      <c r="I2366" s="691">
        <v>49.2</v>
      </c>
      <c r="J2366" s="691">
        <v>49.1</v>
      </c>
      <c r="K2366" s="691">
        <v>48.9</v>
      </c>
    </row>
    <row r="2367" spans="1:11">
      <c r="A2367" s="688" t="s">
        <v>3</v>
      </c>
      <c r="B2367" s="689">
        <v>48.4</v>
      </c>
      <c r="C2367" s="689">
        <v>48.6</v>
      </c>
      <c r="D2367" s="689">
        <v>48.3</v>
      </c>
      <c r="E2367" s="689">
        <v>48.6</v>
      </c>
      <c r="F2367" s="689">
        <v>48.6</v>
      </c>
      <c r="G2367" s="689">
        <v>48.6</v>
      </c>
      <c r="H2367" s="689">
        <v>48.9</v>
      </c>
      <c r="I2367" s="689">
        <v>48.7</v>
      </c>
      <c r="J2367" s="689">
        <v>48.4</v>
      </c>
      <c r="K2367" s="689">
        <v>48.2</v>
      </c>
    </row>
    <row r="2368" spans="1:11">
      <c r="A2368" s="688" t="s">
        <v>4061</v>
      </c>
      <c r="B2368" s="691">
        <v>48.4</v>
      </c>
      <c r="C2368" s="691">
        <v>48.6</v>
      </c>
      <c r="D2368" s="691">
        <v>48.3</v>
      </c>
      <c r="E2368" s="691">
        <v>48.6</v>
      </c>
      <c r="F2368" s="691">
        <v>48.6</v>
      </c>
      <c r="G2368" s="691">
        <v>48.6</v>
      </c>
      <c r="H2368" s="691">
        <v>48.9</v>
      </c>
      <c r="I2368" s="691">
        <v>48.7</v>
      </c>
      <c r="J2368" s="691">
        <v>48.4</v>
      </c>
      <c r="K2368" s="691">
        <v>48.2</v>
      </c>
    </row>
    <row r="2369" spans="1:11">
      <c r="A2369" s="688" t="s">
        <v>4</v>
      </c>
      <c r="B2369" s="689">
        <v>45.6</v>
      </c>
      <c r="C2369" s="689">
        <v>45.4</v>
      </c>
      <c r="D2369" s="689">
        <v>45.8</v>
      </c>
      <c r="E2369" s="689">
        <v>45.9</v>
      </c>
      <c r="F2369" s="689">
        <v>46.2</v>
      </c>
      <c r="G2369" s="689">
        <v>46.1</v>
      </c>
      <c r="H2369" s="689">
        <v>46.6</v>
      </c>
      <c r="I2369" s="689">
        <v>46.4</v>
      </c>
      <c r="J2369" s="693">
        <v>45</v>
      </c>
      <c r="K2369" s="689">
        <v>45.9</v>
      </c>
    </row>
    <row r="2370" spans="1:11">
      <c r="A2370" s="688" t="s">
        <v>8</v>
      </c>
      <c r="B2370" s="691">
        <v>48.9</v>
      </c>
      <c r="C2370" s="691">
        <v>49.1</v>
      </c>
      <c r="D2370" s="691">
        <v>49.1</v>
      </c>
      <c r="E2370" s="691">
        <v>49.3</v>
      </c>
      <c r="F2370" s="691">
        <v>49.7</v>
      </c>
      <c r="G2370" s="691">
        <v>49.7</v>
      </c>
      <c r="H2370" s="691">
        <v>50.1</v>
      </c>
      <c r="I2370" s="615">
        <v>50</v>
      </c>
      <c r="J2370" s="691">
        <v>49.8</v>
      </c>
      <c r="K2370" s="615">
        <v>50</v>
      </c>
    </row>
    <row r="2371" spans="1:11">
      <c r="A2371" s="688" t="s">
        <v>7</v>
      </c>
      <c r="B2371" s="689">
        <v>49.2</v>
      </c>
      <c r="C2371" s="689">
        <v>48.8</v>
      </c>
      <c r="D2371" s="689">
        <v>48.6</v>
      </c>
      <c r="E2371" s="689">
        <v>48.9</v>
      </c>
      <c r="F2371" s="689">
        <v>48.8</v>
      </c>
      <c r="G2371" s="689">
        <v>49.3</v>
      </c>
      <c r="H2371" s="689">
        <v>49.2</v>
      </c>
      <c r="I2371" s="689">
        <v>48.9</v>
      </c>
      <c r="J2371" s="689">
        <v>47.8</v>
      </c>
      <c r="K2371" s="689">
        <v>48.5</v>
      </c>
    </row>
    <row r="2372" spans="1:11">
      <c r="A2372" s="688" t="s">
        <v>27</v>
      </c>
      <c r="B2372" s="691">
        <v>50.8</v>
      </c>
      <c r="C2372" s="691">
        <v>50.5</v>
      </c>
      <c r="D2372" s="691">
        <v>50.2</v>
      </c>
      <c r="E2372" s="691">
        <v>50.6</v>
      </c>
      <c r="F2372" s="691">
        <v>50.6</v>
      </c>
      <c r="G2372" s="691">
        <v>50.7</v>
      </c>
      <c r="H2372" s="691">
        <v>51.1</v>
      </c>
      <c r="I2372" s="691">
        <v>49.8</v>
      </c>
      <c r="J2372" s="691">
        <v>50.6</v>
      </c>
      <c r="K2372" s="691">
        <v>50.7</v>
      </c>
    </row>
    <row r="2373" spans="1:11">
      <c r="A2373" s="688" t="s">
        <v>6</v>
      </c>
      <c r="B2373" s="689">
        <v>50.2</v>
      </c>
      <c r="C2373" s="689">
        <v>50.2</v>
      </c>
      <c r="D2373" s="693">
        <v>50</v>
      </c>
      <c r="E2373" s="689">
        <v>50.2</v>
      </c>
      <c r="F2373" s="689">
        <v>50.3</v>
      </c>
      <c r="G2373" s="689">
        <v>50.4</v>
      </c>
      <c r="H2373" s="689">
        <v>50.6</v>
      </c>
      <c r="I2373" s="693">
        <v>50</v>
      </c>
      <c r="J2373" s="689">
        <v>50.1</v>
      </c>
      <c r="K2373" s="689">
        <v>50.1</v>
      </c>
    </row>
    <row r="2374" spans="1:11">
      <c r="A2374" s="688" t="s">
        <v>4058</v>
      </c>
      <c r="B2374" s="692" t="s">
        <v>4060</v>
      </c>
      <c r="C2374" s="692" t="s">
        <v>4060</v>
      </c>
      <c r="D2374" s="692" t="s">
        <v>4060</v>
      </c>
      <c r="E2374" s="692" t="s">
        <v>4060</v>
      </c>
      <c r="F2374" s="692" t="s">
        <v>4060</v>
      </c>
      <c r="G2374" s="692" t="s">
        <v>4060</v>
      </c>
      <c r="H2374" s="692" t="s">
        <v>4060</v>
      </c>
      <c r="I2374" s="692" t="s">
        <v>4060</v>
      </c>
      <c r="J2374" s="692" t="s">
        <v>4060</v>
      </c>
      <c r="K2374" s="692" t="s">
        <v>4060</v>
      </c>
    </row>
    <row r="2375" spans="1:11">
      <c r="A2375" s="688" t="s">
        <v>11</v>
      </c>
      <c r="B2375" s="689">
        <v>45.7</v>
      </c>
      <c r="C2375" s="689">
        <v>45.7</v>
      </c>
      <c r="D2375" s="689">
        <v>45.3</v>
      </c>
      <c r="E2375" s="689">
        <v>45.9</v>
      </c>
      <c r="F2375" s="689">
        <v>45.7</v>
      </c>
      <c r="G2375" s="689">
        <v>45.9</v>
      </c>
      <c r="H2375" s="689">
        <v>46.2</v>
      </c>
      <c r="I2375" s="689">
        <v>45.4</v>
      </c>
      <c r="J2375" s="689">
        <v>44.4</v>
      </c>
      <c r="K2375" s="689">
        <v>45.6</v>
      </c>
    </row>
    <row r="2376" spans="1:11">
      <c r="A2376" s="688" t="s">
        <v>10</v>
      </c>
      <c r="B2376" s="691">
        <v>50.5</v>
      </c>
      <c r="C2376" s="691">
        <v>50.5</v>
      </c>
      <c r="D2376" s="691">
        <v>50.1</v>
      </c>
      <c r="E2376" s="691">
        <v>50.6</v>
      </c>
      <c r="F2376" s="691">
        <v>50.5</v>
      </c>
      <c r="G2376" s="691">
        <v>50.8</v>
      </c>
      <c r="H2376" s="615">
        <v>51</v>
      </c>
      <c r="I2376" s="691">
        <v>49.8</v>
      </c>
      <c r="J2376" s="691">
        <v>50.2</v>
      </c>
      <c r="K2376" s="691">
        <v>50.3</v>
      </c>
    </row>
    <row r="2377" spans="1:11">
      <c r="A2377" s="688" t="s">
        <v>30</v>
      </c>
      <c r="B2377" s="689">
        <v>50.1</v>
      </c>
      <c r="C2377" s="689">
        <v>49.8</v>
      </c>
      <c r="D2377" s="689">
        <v>49.5</v>
      </c>
      <c r="E2377" s="689">
        <v>50.3</v>
      </c>
      <c r="F2377" s="693">
        <v>50</v>
      </c>
      <c r="G2377" s="689">
        <v>50.6</v>
      </c>
      <c r="H2377" s="689">
        <v>50.3</v>
      </c>
      <c r="I2377" s="689">
        <v>50.3</v>
      </c>
      <c r="J2377" s="689">
        <v>49.5</v>
      </c>
      <c r="K2377" s="689">
        <v>49.9</v>
      </c>
    </row>
    <row r="2378" spans="1:11">
      <c r="A2378" s="688" t="s">
        <v>12</v>
      </c>
      <c r="B2378" s="691">
        <v>42.6</v>
      </c>
      <c r="C2378" s="691">
        <v>42.7</v>
      </c>
      <c r="D2378" s="615">
        <v>43</v>
      </c>
      <c r="E2378" s="691">
        <v>43.1</v>
      </c>
      <c r="F2378" s="691">
        <v>43.1</v>
      </c>
      <c r="G2378" s="691">
        <v>43.1</v>
      </c>
      <c r="H2378" s="691">
        <v>43.8</v>
      </c>
      <c r="I2378" s="691">
        <v>43.5</v>
      </c>
      <c r="J2378" s="691">
        <v>41.2</v>
      </c>
      <c r="K2378" s="691">
        <v>42.6</v>
      </c>
    </row>
    <row r="2379" spans="1:11">
      <c r="A2379" s="688" t="s">
        <v>14</v>
      </c>
      <c r="B2379" s="689">
        <v>42.6</v>
      </c>
      <c r="C2379" s="689">
        <v>43.1</v>
      </c>
      <c r="D2379" s="689">
        <v>42.9</v>
      </c>
      <c r="E2379" s="689">
        <v>43.1</v>
      </c>
      <c r="F2379" s="689">
        <v>43.8</v>
      </c>
      <c r="G2379" s="689">
        <v>44.1</v>
      </c>
      <c r="H2379" s="689">
        <v>44.5</v>
      </c>
      <c r="I2379" s="689">
        <v>43.2</v>
      </c>
      <c r="J2379" s="689">
        <v>42.3</v>
      </c>
      <c r="K2379" s="689">
        <v>43.8</v>
      </c>
    </row>
    <row r="2380" spans="1:11">
      <c r="A2380" s="688" t="s">
        <v>15</v>
      </c>
      <c r="B2380" s="691">
        <v>49.7</v>
      </c>
      <c r="C2380" s="691">
        <v>49.6</v>
      </c>
      <c r="D2380" s="691">
        <v>49.6</v>
      </c>
      <c r="E2380" s="615">
        <v>50</v>
      </c>
      <c r="F2380" s="691">
        <v>49.5</v>
      </c>
      <c r="G2380" s="691">
        <v>49.8</v>
      </c>
      <c r="H2380" s="691">
        <v>50.2</v>
      </c>
      <c r="I2380" s="691">
        <v>49.8</v>
      </c>
      <c r="J2380" s="691">
        <v>50.1</v>
      </c>
      <c r="K2380" s="691">
        <v>50.6</v>
      </c>
    </row>
    <row r="2381" spans="1:11">
      <c r="A2381" s="688" t="s">
        <v>29</v>
      </c>
      <c r="B2381" s="689">
        <v>43.7</v>
      </c>
      <c r="C2381" s="689">
        <v>43.7</v>
      </c>
      <c r="D2381" s="689">
        <v>43.5</v>
      </c>
      <c r="E2381" s="689">
        <v>43.9</v>
      </c>
      <c r="F2381" s="689">
        <v>43.7</v>
      </c>
      <c r="G2381" s="689">
        <v>43.8</v>
      </c>
      <c r="H2381" s="689">
        <v>44.1</v>
      </c>
      <c r="I2381" s="689">
        <v>43.3</v>
      </c>
      <c r="J2381" s="693">
        <v>42</v>
      </c>
      <c r="K2381" s="689">
        <v>43.7</v>
      </c>
    </row>
    <row r="2382" spans="1:11">
      <c r="A2382" s="688" t="s">
        <v>16</v>
      </c>
      <c r="B2382" s="691">
        <v>49.7</v>
      </c>
      <c r="C2382" s="691">
        <v>49.6</v>
      </c>
      <c r="D2382" s="691">
        <v>49.7</v>
      </c>
      <c r="E2382" s="691">
        <v>50.1</v>
      </c>
      <c r="F2382" s="615">
        <v>50</v>
      </c>
      <c r="G2382" s="691">
        <v>49.9</v>
      </c>
      <c r="H2382" s="691">
        <v>50.4</v>
      </c>
      <c r="I2382" s="691">
        <v>49.6</v>
      </c>
      <c r="J2382" s="691">
        <v>49.7</v>
      </c>
      <c r="K2382" s="691">
        <v>49.9</v>
      </c>
    </row>
    <row r="2383" spans="1:11">
      <c r="A2383" s="688" t="s">
        <v>17</v>
      </c>
      <c r="B2383" s="689">
        <v>49.1</v>
      </c>
      <c r="C2383" s="689">
        <v>49.4</v>
      </c>
      <c r="D2383" s="689">
        <v>49.1</v>
      </c>
      <c r="E2383" s="689">
        <v>49.2</v>
      </c>
      <c r="F2383" s="689">
        <v>49.4</v>
      </c>
      <c r="G2383" s="689">
        <v>49.5</v>
      </c>
      <c r="H2383" s="689">
        <v>49.7</v>
      </c>
      <c r="I2383" s="689">
        <v>49.1</v>
      </c>
      <c r="J2383" s="693">
        <v>49</v>
      </c>
      <c r="K2383" s="689">
        <v>49.3</v>
      </c>
    </row>
    <row r="2384" spans="1:11">
      <c r="A2384" s="688" t="s">
        <v>19</v>
      </c>
      <c r="B2384" s="691">
        <v>49.1</v>
      </c>
      <c r="C2384" s="691">
        <v>49.2</v>
      </c>
      <c r="D2384" s="691">
        <v>48.9</v>
      </c>
      <c r="E2384" s="691">
        <v>49.4</v>
      </c>
      <c r="F2384" s="691">
        <v>49.3</v>
      </c>
      <c r="G2384" s="691">
        <v>49.4</v>
      </c>
      <c r="H2384" s="691">
        <v>49.7</v>
      </c>
      <c r="I2384" s="691">
        <v>49.1</v>
      </c>
      <c r="J2384" s="615">
        <v>49</v>
      </c>
      <c r="K2384" s="691">
        <v>49.1</v>
      </c>
    </row>
    <row r="2385" spans="1:11">
      <c r="A2385" s="688" t="s">
        <v>20</v>
      </c>
      <c r="B2385" s="689">
        <v>45.2</v>
      </c>
      <c r="C2385" s="689">
        <v>45.6</v>
      </c>
      <c r="D2385" s="689">
        <v>45.4</v>
      </c>
      <c r="E2385" s="689">
        <v>45.7</v>
      </c>
      <c r="F2385" s="689">
        <v>45.7</v>
      </c>
      <c r="G2385" s="689">
        <v>45.6</v>
      </c>
      <c r="H2385" s="689">
        <v>45.8</v>
      </c>
      <c r="I2385" s="689">
        <v>44.4</v>
      </c>
      <c r="J2385" s="689">
        <v>43.4</v>
      </c>
      <c r="K2385" s="689">
        <v>45.1</v>
      </c>
    </row>
    <row r="2386" spans="1:11">
      <c r="A2386" s="688" t="s">
        <v>21</v>
      </c>
      <c r="B2386" s="691">
        <v>48.6</v>
      </c>
      <c r="C2386" s="615">
        <v>49</v>
      </c>
      <c r="D2386" s="615">
        <v>49</v>
      </c>
      <c r="E2386" s="691">
        <v>49.1</v>
      </c>
      <c r="F2386" s="691">
        <v>49.3</v>
      </c>
      <c r="G2386" s="691">
        <v>49.3</v>
      </c>
      <c r="H2386" s="691">
        <v>49.7</v>
      </c>
      <c r="I2386" s="615">
        <v>49</v>
      </c>
      <c r="J2386" s="691">
        <v>49.1</v>
      </c>
      <c r="K2386" s="691">
        <v>49.4</v>
      </c>
    </row>
    <row r="2387" spans="1:11">
      <c r="A2387" s="688" t="s">
        <v>22</v>
      </c>
      <c r="B2387" s="689">
        <v>43.6</v>
      </c>
      <c r="C2387" s="689">
        <v>43.3</v>
      </c>
      <c r="D2387" s="689">
        <v>43.3</v>
      </c>
      <c r="E2387" s="689">
        <v>43.5</v>
      </c>
      <c r="F2387" s="689">
        <v>43.5</v>
      </c>
      <c r="G2387" s="689">
        <v>43.5</v>
      </c>
      <c r="H2387" s="689">
        <v>43.7</v>
      </c>
      <c r="I2387" s="689">
        <v>42.2</v>
      </c>
      <c r="J2387" s="689">
        <v>40.9</v>
      </c>
      <c r="K2387" s="689">
        <v>43.2</v>
      </c>
    </row>
    <row r="2388" spans="1:11">
      <c r="A2388" s="688" t="s">
        <v>26</v>
      </c>
      <c r="B2388" s="691">
        <v>48.2</v>
      </c>
      <c r="C2388" s="691">
        <v>48.5</v>
      </c>
      <c r="D2388" s="691">
        <v>48.3</v>
      </c>
      <c r="E2388" s="691">
        <v>48.7</v>
      </c>
      <c r="F2388" s="691">
        <v>48.6</v>
      </c>
      <c r="G2388" s="691">
        <v>48.8</v>
      </c>
      <c r="H2388" s="615">
        <v>49</v>
      </c>
      <c r="I2388" s="691">
        <v>48.1</v>
      </c>
      <c r="J2388" s="691">
        <v>48.2</v>
      </c>
      <c r="K2388" s="691">
        <v>48.8</v>
      </c>
    </row>
    <row r="2389" spans="1:11">
      <c r="A2389" s="688" t="s">
        <v>25</v>
      </c>
      <c r="B2389" s="689">
        <v>44.7</v>
      </c>
      <c r="C2389" s="693">
        <v>45</v>
      </c>
      <c r="D2389" s="689">
        <v>44.8</v>
      </c>
      <c r="E2389" s="689">
        <v>45.3</v>
      </c>
      <c r="F2389" s="689">
        <v>45.2</v>
      </c>
      <c r="G2389" s="689">
        <v>45.4</v>
      </c>
      <c r="H2389" s="689">
        <v>45.8</v>
      </c>
      <c r="I2389" s="693">
        <v>45</v>
      </c>
      <c r="J2389" s="689">
        <v>42.7</v>
      </c>
      <c r="K2389" s="693">
        <v>45</v>
      </c>
    </row>
    <row r="2390" spans="1:11">
      <c r="A2390" s="688" t="s">
        <v>5</v>
      </c>
      <c r="B2390" s="691">
        <v>48.9</v>
      </c>
      <c r="C2390" s="691">
        <v>48.9</v>
      </c>
      <c r="D2390" s="691">
        <v>49.1</v>
      </c>
      <c r="E2390" s="615">
        <v>49</v>
      </c>
      <c r="F2390" s="691">
        <v>49.3</v>
      </c>
      <c r="G2390" s="691">
        <v>49.4</v>
      </c>
      <c r="H2390" s="691">
        <v>49.7</v>
      </c>
      <c r="I2390" s="691">
        <v>49.6</v>
      </c>
      <c r="J2390" s="691">
        <v>49.6</v>
      </c>
      <c r="K2390" s="615">
        <v>49</v>
      </c>
    </row>
    <row r="2391" spans="1:11">
      <c r="A2391" s="688" t="s">
        <v>23</v>
      </c>
      <c r="B2391" s="689">
        <v>49.8</v>
      </c>
      <c r="C2391" s="689">
        <v>49.9</v>
      </c>
      <c r="D2391" s="689">
        <v>49.9</v>
      </c>
      <c r="E2391" s="689">
        <v>50.1</v>
      </c>
      <c r="F2391" s="689">
        <v>50.2</v>
      </c>
      <c r="G2391" s="689">
        <v>50.2</v>
      </c>
      <c r="H2391" s="689">
        <v>50.7</v>
      </c>
      <c r="I2391" s="689">
        <v>50.1</v>
      </c>
      <c r="J2391" s="689">
        <v>50.7</v>
      </c>
      <c r="K2391" s="689">
        <v>50.7</v>
      </c>
    </row>
    <row r="2392" spans="1:11">
      <c r="A2392" s="688" t="s">
        <v>4067</v>
      </c>
      <c r="B2392" s="691">
        <v>48.4</v>
      </c>
      <c r="C2392" s="691">
        <v>48.7</v>
      </c>
      <c r="D2392" s="691">
        <v>48.4</v>
      </c>
      <c r="E2392" s="691">
        <v>48.8</v>
      </c>
      <c r="F2392" s="691">
        <v>48.8</v>
      </c>
      <c r="G2392" s="691">
        <v>48.8</v>
      </c>
      <c r="H2392" s="692" t="s">
        <v>4060</v>
      </c>
      <c r="I2392" s="692" t="s">
        <v>4060</v>
      </c>
      <c r="J2392" s="692" t="s">
        <v>4060</v>
      </c>
      <c r="K2392" s="692" t="s">
        <v>4060</v>
      </c>
    </row>
    <row r="2393" spans="1:11">
      <c r="A2393" s="688" t="s">
        <v>4066</v>
      </c>
      <c r="B2393" s="689">
        <v>48.4</v>
      </c>
      <c r="C2393" s="689">
        <v>48.8</v>
      </c>
      <c r="D2393" s="689">
        <v>48.5</v>
      </c>
      <c r="E2393" s="689">
        <v>48.8</v>
      </c>
      <c r="F2393" s="689">
        <v>48.8</v>
      </c>
      <c r="G2393" s="689">
        <v>48.9</v>
      </c>
      <c r="H2393" s="690" t="s">
        <v>4060</v>
      </c>
      <c r="I2393" s="690" t="s">
        <v>4060</v>
      </c>
      <c r="J2393" s="690" t="s">
        <v>4060</v>
      </c>
      <c r="K2393" s="690" t="s">
        <v>4060</v>
      </c>
    </row>
    <row r="2394" spans="1:11">
      <c r="A2394" s="688" t="s">
        <v>4062</v>
      </c>
      <c r="B2394" s="691">
        <v>50.2</v>
      </c>
      <c r="C2394" s="691">
        <v>50.4</v>
      </c>
      <c r="D2394" s="691">
        <v>50.4</v>
      </c>
      <c r="E2394" s="691">
        <v>50.7</v>
      </c>
      <c r="F2394" s="691">
        <v>50.8</v>
      </c>
      <c r="G2394" s="615">
        <v>51</v>
      </c>
      <c r="H2394" s="691">
        <v>51.1</v>
      </c>
      <c r="I2394" s="691">
        <v>50.8</v>
      </c>
      <c r="J2394" s="691">
        <v>51.1</v>
      </c>
      <c r="K2394" s="691">
        <v>50.8</v>
      </c>
    </row>
    <row r="2395" spans="1:11">
      <c r="A2395" s="688" t="s">
        <v>9</v>
      </c>
      <c r="B2395" s="689">
        <v>49.8</v>
      </c>
      <c r="C2395" s="689">
        <v>50.3</v>
      </c>
      <c r="D2395" s="689">
        <v>50.1</v>
      </c>
      <c r="E2395" s="689">
        <v>49.7</v>
      </c>
      <c r="F2395" s="689">
        <v>50.2</v>
      </c>
      <c r="G2395" s="689">
        <v>50.3</v>
      </c>
      <c r="H2395" s="689">
        <v>50.5</v>
      </c>
      <c r="I2395" s="689">
        <v>50.6</v>
      </c>
      <c r="J2395" s="689">
        <v>50.9</v>
      </c>
      <c r="K2395" s="689">
        <v>49.7</v>
      </c>
    </row>
    <row r="2396" spans="1:11">
      <c r="A2396" s="688" t="s">
        <v>13</v>
      </c>
      <c r="B2396" s="691">
        <v>50.2</v>
      </c>
      <c r="C2396" s="691">
        <v>49.7</v>
      </c>
      <c r="D2396" s="691">
        <v>50.3</v>
      </c>
      <c r="E2396" s="691">
        <v>49.9</v>
      </c>
      <c r="F2396" s="691">
        <v>50.9</v>
      </c>
      <c r="G2396" s="691">
        <v>50.6</v>
      </c>
      <c r="H2396" s="691">
        <v>51.3</v>
      </c>
      <c r="I2396" s="691">
        <v>50.3</v>
      </c>
      <c r="J2396" s="691">
        <v>51.4</v>
      </c>
      <c r="K2396" s="691">
        <v>51.6</v>
      </c>
    </row>
    <row r="2397" spans="1:11">
      <c r="A2397" s="688" t="s">
        <v>18</v>
      </c>
      <c r="B2397" s="689">
        <v>49.5</v>
      </c>
      <c r="C2397" s="689">
        <v>49.8</v>
      </c>
      <c r="D2397" s="689">
        <v>49.9</v>
      </c>
      <c r="E2397" s="689">
        <v>50.1</v>
      </c>
      <c r="F2397" s="689">
        <v>50.3</v>
      </c>
      <c r="G2397" s="689">
        <v>50.4</v>
      </c>
      <c r="H2397" s="689">
        <v>50.6</v>
      </c>
      <c r="I2397" s="689">
        <v>50.8</v>
      </c>
      <c r="J2397" s="689">
        <v>50.8</v>
      </c>
      <c r="K2397" s="689">
        <v>50.2</v>
      </c>
    </row>
    <row r="2398" spans="1:11">
      <c r="A2398" s="688" t="s">
        <v>24</v>
      </c>
      <c r="B2398" s="691">
        <v>50.7</v>
      </c>
      <c r="C2398" s="691">
        <v>50.8</v>
      </c>
      <c r="D2398" s="691">
        <v>50.6</v>
      </c>
      <c r="E2398" s="691">
        <v>51.1</v>
      </c>
      <c r="F2398" s="691">
        <v>51.1</v>
      </c>
      <c r="G2398" s="691">
        <v>51.3</v>
      </c>
      <c r="H2398" s="691">
        <v>51.5</v>
      </c>
      <c r="I2398" s="691">
        <v>50.8</v>
      </c>
      <c r="J2398" s="691">
        <v>51.3</v>
      </c>
      <c r="K2398" s="691">
        <v>51.2</v>
      </c>
    </row>
    <row r="2399" spans="1:11">
      <c r="A2399" s="688" t="s">
        <v>4059</v>
      </c>
      <c r="B2399" s="689">
        <v>48.9</v>
      </c>
      <c r="C2399" s="689">
        <v>49.2</v>
      </c>
      <c r="D2399" s="689">
        <v>48.9</v>
      </c>
      <c r="E2399" s="689">
        <v>49.1</v>
      </c>
      <c r="F2399" s="689">
        <v>49.1</v>
      </c>
      <c r="G2399" s="689">
        <v>49.1</v>
      </c>
      <c r="H2399" s="690" t="s">
        <v>4060</v>
      </c>
      <c r="I2399" s="690" t="s">
        <v>4060</v>
      </c>
      <c r="J2399" s="690" t="s">
        <v>4060</v>
      </c>
      <c r="K2399" s="690" t="s">
        <v>4060</v>
      </c>
    </row>
    <row r="2400" spans="1:11">
      <c r="A2400" s="688" t="s">
        <v>2324</v>
      </c>
      <c r="B2400" s="691">
        <v>44.5</v>
      </c>
      <c r="C2400" s="691">
        <v>44.5</v>
      </c>
      <c r="D2400" s="691">
        <v>44.2</v>
      </c>
      <c r="E2400" s="691">
        <v>44.3</v>
      </c>
      <c r="F2400" s="691">
        <v>44.4</v>
      </c>
      <c r="G2400" s="691">
        <v>44.6</v>
      </c>
      <c r="H2400" s="691">
        <v>44.5</v>
      </c>
      <c r="I2400" s="691">
        <v>43.7</v>
      </c>
      <c r="J2400" s="691">
        <v>41.5</v>
      </c>
      <c r="K2400" s="692" t="s">
        <v>4060</v>
      </c>
    </row>
    <row r="2401" spans="1:11">
      <c r="A2401" s="688" t="s">
        <v>2322</v>
      </c>
      <c r="B2401" s="690" t="s">
        <v>4060</v>
      </c>
      <c r="C2401" s="690" t="s">
        <v>4060</v>
      </c>
      <c r="D2401" s="690" t="s">
        <v>4060</v>
      </c>
      <c r="E2401" s="690" t="s">
        <v>4060</v>
      </c>
      <c r="F2401" s="690" t="s">
        <v>4060</v>
      </c>
      <c r="G2401" s="690" t="s">
        <v>4060</v>
      </c>
      <c r="H2401" s="690" t="s">
        <v>4060</v>
      </c>
      <c r="I2401" s="690" t="s">
        <v>4060</v>
      </c>
      <c r="J2401" s="690" t="s">
        <v>4060</v>
      </c>
      <c r="K2401" s="690" t="s">
        <v>4060</v>
      </c>
    </row>
    <row r="2402" spans="1:11">
      <c r="A2402" s="688" t="s">
        <v>2328</v>
      </c>
      <c r="B2402" s="691">
        <v>43.8</v>
      </c>
      <c r="C2402" s="691">
        <v>43.7</v>
      </c>
      <c r="D2402" s="691">
        <v>43.7</v>
      </c>
      <c r="E2402" s="691">
        <v>43.9</v>
      </c>
      <c r="F2402" s="691">
        <v>44.2</v>
      </c>
      <c r="G2402" s="691">
        <v>44.6</v>
      </c>
      <c r="H2402" s="691">
        <v>44.5</v>
      </c>
      <c r="I2402" s="691">
        <v>42.3</v>
      </c>
      <c r="J2402" s="691">
        <v>41.1</v>
      </c>
      <c r="K2402" s="692" t="s">
        <v>4060</v>
      </c>
    </row>
    <row r="2403" spans="1:11">
      <c r="A2403" s="688" t="s">
        <v>2496</v>
      </c>
      <c r="B2403" s="690" t="s">
        <v>4060</v>
      </c>
      <c r="C2403" s="689">
        <v>42.9</v>
      </c>
      <c r="D2403" s="689">
        <v>41.8</v>
      </c>
      <c r="E2403" s="689">
        <v>41.5</v>
      </c>
      <c r="F2403" s="689">
        <v>42.2</v>
      </c>
      <c r="G2403" s="689">
        <v>42.6</v>
      </c>
      <c r="H2403" s="689">
        <v>42.6</v>
      </c>
      <c r="I2403" s="690" t="s">
        <v>4060</v>
      </c>
      <c r="J2403" s="690" t="s">
        <v>4060</v>
      </c>
      <c r="K2403" s="689">
        <v>42.2</v>
      </c>
    </row>
    <row r="2404" spans="1:11">
      <c r="A2404" s="688" t="s">
        <v>2269</v>
      </c>
      <c r="B2404" s="691">
        <v>46.5</v>
      </c>
      <c r="C2404" s="691">
        <v>46.7</v>
      </c>
      <c r="D2404" s="691">
        <v>46.3</v>
      </c>
      <c r="E2404" s="691">
        <v>46.9</v>
      </c>
      <c r="F2404" s="691">
        <v>46.8</v>
      </c>
      <c r="G2404" s="691">
        <v>47.2</v>
      </c>
      <c r="H2404" s="691">
        <v>47.5</v>
      </c>
      <c r="I2404" s="691">
        <v>45.6</v>
      </c>
      <c r="J2404" s="691">
        <v>43.7</v>
      </c>
      <c r="K2404" s="691">
        <v>47.1</v>
      </c>
    </row>
    <row r="2405" spans="1:11">
      <c r="A2405" s="688" t="s">
        <v>2349</v>
      </c>
      <c r="B2405" s="689">
        <v>43.4</v>
      </c>
      <c r="C2405" s="689">
        <v>43.4</v>
      </c>
      <c r="D2405" s="689">
        <v>43.3</v>
      </c>
      <c r="E2405" s="689">
        <v>43.7</v>
      </c>
      <c r="F2405" s="689">
        <v>43.6</v>
      </c>
      <c r="G2405" s="689">
        <v>43.9</v>
      </c>
      <c r="H2405" s="689">
        <v>43.9</v>
      </c>
      <c r="I2405" s="689">
        <v>42.4</v>
      </c>
      <c r="J2405" s="689">
        <v>40.799999999999997</v>
      </c>
      <c r="K2405" s="689">
        <v>43.1</v>
      </c>
    </row>
    <row r="2406" spans="1:11">
      <c r="A2406" s="688" t="s">
        <v>2355</v>
      </c>
      <c r="B2406" s="615">
        <v>47</v>
      </c>
      <c r="C2406" s="691">
        <v>46.9</v>
      </c>
      <c r="D2406" s="691">
        <v>46.9</v>
      </c>
      <c r="E2406" s="691">
        <v>46.8</v>
      </c>
      <c r="F2406" s="691">
        <v>47.1</v>
      </c>
      <c r="G2406" s="691">
        <v>47.4</v>
      </c>
      <c r="H2406" s="691">
        <v>47.5</v>
      </c>
      <c r="I2406" s="692" t="s">
        <v>4060</v>
      </c>
      <c r="J2406" s="692" t="s">
        <v>4060</v>
      </c>
      <c r="K2406" s="692" t="s">
        <v>4060</v>
      </c>
    </row>
    <row r="2407" spans="1:11">
      <c r="A2407" s="688" t="s">
        <v>2357</v>
      </c>
      <c r="B2407" s="690" t="s">
        <v>4060</v>
      </c>
      <c r="C2407" s="689">
        <v>40.700000000000003</v>
      </c>
      <c r="D2407" s="689">
        <v>41.3</v>
      </c>
      <c r="E2407" s="689">
        <v>41.6</v>
      </c>
      <c r="F2407" s="689">
        <v>41.9</v>
      </c>
      <c r="G2407" s="689">
        <v>41.7</v>
      </c>
      <c r="H2407" s="689">
        <v>41.9</v>
      </c>
      <c r="I2407" s="690" t="s">
        <v>4060</v>
      </c>
      <c r="J2407" s="690" t="s">
        <v>4060</v>
      </c>
      <c r="K2407" s="690" t="s">
        <v>4060</v>
      </c>
    </row>
    <row r="2408" spans="1:11">
      <c r="A2408" s="688" t="s">
        <v>4070</v>
      </c>
      <c r="B2408" s="692" t="s">
        <v>4060</v>
      </c>
      <c r="C2408" s="692" t="s">
        <v>4060</v>
      </c>
      <c r="D2408" s="692" t="s">
        <v>4060</v>
      </c>
      <c r="E2408" s="691">
        <v>46.6</v>
      </c>
      <c r="F2408" s="692" t="s">
        <v>4060</v>
      </c>
      <c r="G2408" s="692" t="s">
        <v>4060</v>
      </c>
      <c r="H2408" s="692" t="s">
        <v>4060</v>
      </c>
      <c r="I2408" s="692" t="s">
        <v>4060</v>
      </c>
      <c r="J2408" s="692" t="s">
        <v>4060</v>
      </c>
      <c r="K2408" s="692" t="s">
        <v>4060</v>
      </c>
    </row>
    <row r="2409" spans="1:11">
      <c r="A2409" s="688" t="s">
        <v>2491</v>
      </c>
      <c r="B2409" s="689">
        <v>41.1</v>
      </c>
      <c r="C2409" s="689">
        <v>41.6</v>
      </c>
      <c r="D2409" s="689">
        <v>42.1</v>
      </c>
      <c r="E2409" s="689">
        <v>42.3</v>
      </c>
      <c r="F2409" s="689">
        <v>42.5</v>
      </c>
      <c r="G2409" s="689">
        <v>42.4</v>
      </c>
      <c r="H2409" s="690" t="s">
        <v>4060</v>
      </c>
      <c r="I2409" s="690" t="s">
        <v>4060</v>
      </c>
      <c r="J2409" s="690" t="s">
        <v>4060</v>
      </c>
      <c r="K2409" s="690" t="s">
        <v>4060</v>
      </c>
    </row>
    <row r="2410" spans="1:11">
      <c r="A2410" s="688" t="s">
        <v>2343</v>
      </c>
      <c r="B2410" s="692" t="s">
        <v>4060</v>
      </c>
      <c r="C2410" s="692" t="s">
        <v>4060</v>
      </c>
      <c r="D2410" s="692" t="s">
        <v>4060</v>
      </c>
      <c r="E2410" s="692" t="s">
        <v>4060</v>
      </c>
      <c r="F2410" s="692" t="s">
        <v>4060</v>
      </c>
      <c r="G2410" s="692" t="s">
        <v>4060</v>
      </c>
      <c r="H2410" s="692" t="s">
        <v>4060</v>
      </c>
      <c r="I2410" s="692" t="s">
        <v>4060</v>
      </c>
      <c r="J2410" s="692" t="s">
        <v>4060</v>
      </c>
      <c r="K2410" s="692" t="s">
        <v>4060</v>
      </c>
    </row>
    <row r="2411" spans="1:11">
      <c r="A2411" s="688" t="s">
        <v>4071</v>
      </c>
      <c r="B2411" s="690" t="s">
        <v>4060</v>
      </c>
      <c r="C2411" s="690" t="s">
        <v>4060</v>
      </c>
      <c r="D2411" s="690" t="s">
        <v>4060</v>
      </c>
      <c r="E2411" s="690" t="s">
        <v>4060</v>
      </c>
      <c r="F2411" s="690" t="s">
        <v>4060</v>
      </c>
      <c r="G2411" s="690" t="s">
        <v>4060</v>
      </c>
      <c r="H2411" s="690" t="s">
        <v>4060</v>
      </c>
      <c r="I2411" s="690" t="s">
        <v>4060</v>
      </c>
      <c r="J2411" s="690" t="s">
        <v>4060</v>
      </c>
      <c r="K2411" s="690" t="s">
        <v>4060</v>
      </c>
    </row>
    <row r="2412" spans="1:11">
      <c r="A2412" s="688" t="s">
        <v>2489</v>
      </c>
      <c r="B2412" s="692" t="s">
        <v>4060</v>
      </c>
      <c r="C2412" s="692" t="s">
        <v>4060</v>
      </c>
      <c r="D2412" s="691">
        <v>43.5</v>
      </c>
      <c r="E2412" s="691">
        <v>43.6</v>
      </c>
      <c r="F2412" s="691">
        <v>44.2</v>
      </c>
      <c r="G2412" s="691">
        <v>44.9</v>
      </c>
      <c r="H2412" s="691">
        <v>44.8</v>
      </c>
      <c r="I2412" s="692" t="s">
        <v>4060</v>
      </c>
      <c r="J2412" s="692" t="s">
        <v>4060</v>
      </c>
      <c r="K2412" s="692" t="s">
        <v>4060</v>
      </c>
    </row>
    <row r="2413" spans="1:11">
      <c r="A2413" s="688" t="s">
        <v>2490</v>
      </c>
      <c r="B2413" s="689">
        <v>43.4</v>
      </c>
      <c r="C2413" s="689">
        <v>43.5</v>
      </c>
      <c r="D2413" s="689">
        <v>44.1</v>
      </c>
      <c r="E2413" s="690" t="s">
        <v>4060</v>
      </c>
      <c r="F2413" s="689">
        <v>44.3</v>
      </c>
      <c r="G2413" s="689">
        <v>44.7</v>
      </c>
      <c r="H2413" s="689">
        <v>45.4</v>
      </c>
      <c r="I2413" s="690" t="s">
        <v>4060</v>
      </c>
      <c r="J2413" s="690" t="s">
        <v>4060</v>
      </c>
      <c r="K2413" s="690" t="s">
        <v>4060</v>
      </c>
    </row>
    <row r="2415" spans="1:11">
      <c r="A2415" s="683" t="s">
        <v>4233</v>
      </c>
    </row>
    <row r="2416" spans="1:11">
      <c r="A2416" s="683" t="s">
        <v>4060</v>
      </c>
      <c r="B2416" s="682" t="s">
        <v>4234</v>
      </c>
    </row>
    <row r="2418" spans="1:11">
      <c r="A2418" s="682" t="s">
        <v>4248</v>
      </c>
    </row>
    <row r="2419" spans="1:11">
      <c r="A2419" s="682" t="s">
        <v>4210</v>
      </c>
      <c r="B2419" s="683" t="s">
        <v>4211</v>
      </c>
    </row>
    <row r="2420" spans="1:11">
      <c r="A2420" s="682" t="s">
        <v>4212</v>
      </c>
      <c r="B2420" s="682" t="s">
        <v>4213</v>
      </c>
    </row>
    <row r="2422" spans="1:11">
      <c r="A2422" s="683" t="s">
        <v>4214</v>
      </c>
      <c r="C2422" s="682" t="s">
        <v>4215</v>
      </c>
    </row>
    <row r="2423" spans="1:11">
      <c r="A2423" s="683" t="s">
        <v>4216</v>
      </c>
      <c r="C2423" s="682" t="s">
        <v>2967</v>
      </c>
    </row>
    <row r="2424" spans="1:11">
      <c r="A2424" s="683" t="s">
        <v>3893</v>
      </c>
      <c r="C2424" s="682" t="s">
        <v>4217</v>
      </c>
    </row>
    <row r="2425" spans="1:11">
      <c r="A2425" s="683" t="s">
        <v>4218</v>
      </c>
      <c r="C2425" s="682" t="s">
        <v>4269</v>
      </c>
    </row>
    <row r="2427" spans="1:11">
      <c r="A2427" s="684" t="s">
        <v>4220</v>
      </c>
      <c r="B2427" s="685" t="s">
        <v>4221</v>
      </c>
      <c r="C2427" s="685" t="s">
        <v>4222</v>
      </c>
      <c r="D2427" s="685" t="s">
        <v>4223</v>
      </c>
      <c r="E2427" s="685" t="s">
        <v>4224</v>
      </c>
      <c r="F2427" s="685" t="s">
        <v>4225</v>
      </c>
      <c r="G2427" s="685" t="s">
        <v>4226</v>
      </c>
      <c r="H2427" s="685" t="s">
        <v>4227</v>
      </c>
      <c r="I2427" s="685" t="s">
        <v>4228</v>
      </c>
      <c r="J2427" s="685" t="s">
        <v>4229</v>
      </c>
      <c r="K2427" s="685" t="s">
        <v>4230</v>
      </c>
    </row>
    <row r="2428" spans="1:11">
      <c r="A2428" s="686" t="s">
        <v>4231</v>
      </c>
      <c r="B2428" s="687" t="s">
        <v>4232</v>
      </c>
      <c r="C2428" s="687" t="s">
        <v>4232</v>
      </c>
      <c r="D2428" s="687" t="s">
        <v>4232</v>
      </c>
      <c r="E2428" s="687" t="s">
        <v>4232</v>
      </c>
      <c r="F2428" s="687" t="s">
        <v>4232</v>
      </c>
      <c r="G2428" s="687" t="s">
        <v>4232</v>
      </c>
      <c r="H2428" s="687" t="s">
        <v>4232</v>
      </c>
      <c r="I2428" s="687" t="s">
        <v>4232</v>
      </c>
      <c r="J2428" s="687" t="s">
        <v>4232</v>
      </c>
      <c r="K2428" s="687" t="s">
        <v>4232</v>
      </c>
    </row>
    <row r="2429" spans="1:11">
      <c r="A2429" s="688" t="s">
        <v>4064</v>
      </c>
      <c r="B2429" s="689">
        <v>47.3</v>
      </c>
      <c r="C2429" s="689">
        <v>47.4</v>
      </c>
      <c r="D2429" s="689">
        <v>47.4</v>
      </c>
      <c r="E2429" s="689">
        <v>47.5</v>
      </c>
      <c r="F2429" s="689">
        <v>47.5</v>
      </c>
      <c r="G2429" s="689">
        <v>47.6</v>
      </c>
      <c r="H2429" s="689">
        <v>47.9</v>
      </c>
      <c r="I2429" s="693">
        <v>47</v>
      </c>
      <c r="J2429" s="689">
        <v>46.8</v>
      </c>
      <c r="K2429" s="689">
        <v>47.4</v>
      </c>
    </row>
    <row r="2430" spans="1:11">
      <c r="A2430" s="688" t="s">
        <v>4065</v>
      </c>
      <c r="B2430" s="691">
        <v>47.4</v>
      </c>
      <c r="C2430" s="691">
        <v>47.8</v>
      </c>
      <c r="D2430" s="691">
        <v>47.4</v>
      </c>
      <c r="E2430" s="691">
        <v>47.8</v>
      </c>
      <c r="F2430" s="691">
        <v>47.8</v>
      </c>
      <c r="G2430" s="691">
        <v>47.8</v>
      </c>
      <c r="H2430" s="692" t="s">
        <v>4060</v>
      </c>
      <c r="I2430" s="692" t="s">
        <v>4060</v>
      </c>
      <c r="J2430" s="692" t="s">
        <v>4060</v>
      </c>
      <c r="K2430" s="692" t="s">
        <v>4060</v>
      </c>
    </row>
    <row r="2431" spans="1:11">
      <c r="A2431" s="688" t="s">
        <v>4063</v>
      </c>
      <c r="B2431" s="689">
        <v>47.4</v>
      </c>
      <c r="C2431" s="689">
        <v>47.8</v>
      </c>
      <c r="D2431" s="689">
        <v>47.5</v>
      </c>
      <c r="E2431" s="689">
        <v>47.8</v>
      </c>
      <c r="F2431" s="689">
        <v>47.8</v>
      </c>
      <c r="G2431" s="689">
        <v>47.9</v>
      </c>
      <c r="H2431" s="690" t="s">
        <v>4060</v>
      </c>
      <c r="I2431" s="690" t="s">
        <v>4060</v>
      </c>
      <c r="J2431" s="690" t="s">
        <v>4060</v>
      </c>
      <c r="K2431" s="690" t="s">
        <v>4060</v>
      </c>
    </row>
    <row r="2432" spans="1:11">
      <c r="A2432" s="688" t="s">
        <v>4069</v>
      </c>
      <c r="B2432" s="692" t="s">
        <v>4060</v>
      </c>
      <c r="C2432" s="691">
        <v>48.4</v>
      </c>
      <c r="D2432" s="691">
        <v>48.1</v>
      </c>
      <c r="E2432" s="691">
        <v>48.5</v>
      </c>
      <c r="F2432" s="691">
        <v>48.5</v>
      </c>
      <c r="G2432" s="691">
        <v>48.6</v>
      </c>
      <c r="H2432" s="691">
        <v>48.9</v>
      </c>
      <c r="I2432" s="691">
        <v>48.2</v>
      </c>
      <c r="J2432" s="691">
        <v>48.2</v>
      </c>
      <c r="K2432" s="691">
        <v>48.3</v>
      </c>
    </row>
    <row r="2433" spans="1:11">
      <c r="A2433" s="688" t="s">
        <v>4068</v>
      </c>
      <c r="B2433" s="689">
        <v>48.4</v>
      </c>
      <c r="C2433" s="690" t="s">
        <v>4060</v>
      </c>
      <c r="D2433" s="690" t="s">
        <v>4060</v>
      </c>
      <c r="E2433" s="690" t="s">
        <v>4060</v>
      </c>
      <c r="F2433" s="690" t="s">
        <v>4060</v>
      </c>
      <c r="G2433" s="690" t="s">
        <v>4060</v>
      </c>
      <c r="H2433" s="690" t="s">
        <v>4060</v>
      </c>
      <c r="I2433" s="690" t="s">
        <v>4060</v>
      </c>
      <c r="J2433" s="690" t="s">
        <v>4060</v>
      </c>
      <c r="K2433" s="690" t="s">
        <v>4060</v>
      </c>
    </row>
    <row r="2434" spans="1:11">
      <c r="A2434" s="688" t="s">
        <v>0</v>
      </c>
      <c r="B2434" s="691">
        <v>47.6</v>
      </c>
      <c r="C2434" s="691">
        <v>47.9</v>
      </c>
      <c r="D2434" s="691">
        <v>47.7</v>
      </c>
      <c r="E2434" s="691">
        <v>48.1</v>
      </c>
      <c r="F2434" s="691">
        <v>48.2</v>
      </c>
      <c r="G2434" s="691">
        <v>48.3</v>
      </c>
      <c r="H2434" s="691">
        <v>48.6</v>
      </c>
      <c r="I2434" s="691">
        <v>47.5</v>
      </c>
      <c r="J2434" s="691">
        <v>48.4</v>
      </c>
      <c r="K2434" s="691">
        <v>48.4</v>
      </c>
    </row>
    <row r="2435" spans="1:11">
      <c r="A2435" s="688" t="s">
        <v>1</v>
      </c>
      <c r="B2435" s="689">
        <v>42.4</v>
      </c>
      <c r="C2435" s="689">
        <v>41.9</v>
      </c>
      <c r="D2435" s="689">
        <v>41.9</v>
      </c>
      <c r="E2435" s="689">
        <v>42.1</v>
      </c>
      <c r="F2435" s="693">
        <v>42</v>
      </c>
      <c r="G2435" s="689">
        <v>42.1</v>
      </c>
      <c r="H2435" s="689">
        <v>42.2</v>
      </c>
      <c r="I2435" s="689">
        <v>40.5</v>
      </c>
      <c r="J2435" s="689">
        <v>38.6</v>
      </c>
      <c r="K2435" s="689">
        <v>41.3</v>
      </c>
    </row>
    <row r="2436" spans="1:11">
      <c r="A2436" s="688" t="s">
        <v>2240</v>
      </c>
      <c r="B2436" s="691">
        <v>45.1</v>
      </c>
      <c r="C2436" s="691">
        <v>45.5</v>
      </c>
      <c r="D2436" s="691">
        <v>45.3</v>
      </c>
      <c r="E2436" s="691">
        <v>45.8</v>
      </c>
      <c r="F2436" s="691">
        <v>45.8</v>
      </c>
      <c r="G2436" s="691">
        <v>45.8</v>
      </c>
      <c r="H2436" s="615">
        <v>46</v>
      </c>
      <c r="I2436" s="615">
        <v>45</v>
      </c>
      <c r="J2436" s="615">
        <v>44</v>
      </c>
      <c r="K2436" s="691">
        <v>45.8</v>
      </c>
    </row>
    <row r="2437" spans="1:11">
      <c r="A2437" s="688" t="s">
        <v>2</v>
      </c>
      <c r="B2437" s="689">
        <v>47.1</v>
      </c>
      <c r="C2437" s="689">
        <v>47.4</v>
      </c>
      <c r="D2437" s="689">
        <v>47.4</v>
      </c>
      <c r="E2437" s="689">
        <v>47.6</v>
      </c>
      <c r="F2437" s="689">
        <v>47.8</v>
      </c>
      <c r="G2437" s="689">
        <v>47.7</v>
      </c>
      <c r="H2437" s="689">
        <v>48.1</v>
      </c>
      <c r="I2437" s="689">
        <v>48.2</v>
      </c>
      <c r="J2437" s="689">
        <v>48.1</v>
      </c>
      <c r="K2437" s="689">
        <v>47.9</v>
      </c>
    </row>
    <row r="2438" spans="1:11">
      <c r="A2438" s="688" t="s">
        <v>3</v>
      </c>
      <c r="B2438" s="691">
        <v>47.4</v>
      </c>
      <c r="C2438" s="691">
        <v>47.7</v>
      </c>
      <c r="D2438" s="691">
        <v>47.3</v>
      </c>
      <c r="E2438" s="691">
        <v>47.6</v>
      </c>
      <c r="F2438" s="691">
        <v>47.7</v>
      </c>
      <c r="G2438" s="691">
        <v>47.6</v>
      </c>
      <c r="H2438" s="691">
        <v>47.9</v>
      </c>
      <c r="I2438" s="691">
        <v>47.7</v>
      </c>
      <c r="J2438" s="691">
        <v>47.4</v>
      </c>
      <c r="K2438" s="691">
        <v>47.2</v>
      </c>
    </row>
    <row r="2439" spans="1:11">
      <c r="A2439" s="688" t="s">
        <v>4061</v>
      </c>
      <c r="B2439" s="689">
        <v>47.4</v>
      </c>
      <c r="C2439" s="689">
        <v>47.7</v>
      </c>
      <c r="D2439" s="689">
        <v>47.3</v>
      </c>
      <c r="E2439" s="689">
        <v>47.6</v>
      </c>
      <c r="F2439" s="689">
        <v>47.7</v>
      </c>
      <c r="G2439" s="689">
        <v>47.6</v>
      </c>
      <c r="H2439" s="689">
        <v>47.9</v>
      </c>
      <c r="I2439" s="689">
        <v>47.7</v>
      </c>
      <c r="J2439" s="689">
        <v>47.4</v>
      </c>
      <c r="K2439" s="689">
        <v>47.2</v>
      </c>
    </row>
    <row r="2440" spans="1:11">
      <c r="A2440" s="688" t="s">
        <v>4</v>
      </c>
      <c r="B2440" s="691">
        <v>44.7</v>
      </c>
      <c r="C2440" s="691">
        <v>44.4</v>
      </c>
      <c r="D2440" s="691">
        <v>44.8</v>
      </c>
      <c r="E2440" s="691">
        <v>44.9</v>
      </c>
      <c r="F2440" s="691">
        <v>45.2</v>
      </c>
      <c r="G2440" s="691">
        <v>45.2</v>
      </c>
      <c r="H2440" s="691">
        <v>45.7</v>
      </c>
      <c r="I2440" s="691">
        <v>45.5</v>
      </c>
      <c r="J2440" s="691">
        <v>44.1</v>
      </c>
      <c r="K2440" s="615">
        <v>45</v>
      </c>
    </row>
    <row r="2441" spans="1:11">
      <c r="A2441" s="688" t="s">
        <v>8</v>
      </c>
      <c r="B2441" s="689">
        <v>47.9</v>
      </c>
      <c r="C2441" s="689">
        <v>48.1</v>
      </c>
      <c r="D2441" s="689">
        <v>48.2</v>
      </c>
      <c r="E2441" s="689">
        <v>48.3</v>
      </c>
      <c r="F2441" s="689">
        <v>48.7</v>
      </c>
      <c r="G2441" s="689">
        <v>48.8</v>
      </c>
      <c r="H2441" s="689">
        <v>49.1</v>
      </c>
      <c r="I2441" s="693">
        <v>49</v>
      </c>
      <c r="J2441" s="689">
        <v>48.8</v>
      </c>
      <c r="K2441" s="693">
        <v>49</v>
      </c>
    </row>
    <row r="2442" spans="1:11">
      <c r="A2442" s="688" t="s">
        <v>7</v>
      </c>
      <c r="B2442" s="691">
        <v>48.2</v>
      </c>
      <c r="C2442" s="691">
        <v>47.9</v>
      </c>
      <c r="D2442" s="691">
        <v>47.6</v>
      </c>
      <c r="E2442" s="691">
        <v>47.9</v>
      </c>
      <c r="F2442" s="691">
        <v>47.9</v>
      </c>
      <c r="G2442" s="691">
        <v>48.3</v>
      </c>
      <c r="H2442" s="691">
        <v>48.2</v>
      </c>
      <c r="I2442" s="691">
        <v>47.9</v>
      </c>
      <c r="J2442" s="691">
        <v>46.9</v>
      </c>
      <c r="K2442" s="691">
        <v>47.6</v>
      </c>
    </row>
    <row r="2443" spans="1:11">
      <c r="A2443" s="688" t="s">
        <v>27</v>
      </c>
      <c r="B2443" s="689">
        <v>49.8</v>
      </c>
      <c r="C2443" s="689">
        <v>49.5</v>
      </c>
      <c r="D2443" s="689">
        <v>49.2</v>
      </c>
      <c r="E2443" s="689">
        <v>49.7</v>
      </c>
      <c r="F2443" s="689">
        <v>49.6</v>
      </c>
      <c r="G2443" s="689">
        <v>49.7</v>
      </c>
      <c r="H2443" s="689">
        <v>50.1</v>
      </c>
      <c r="I2443" s="689">
        <v>48.8</v>
      </c>
      <c r="J2443" s="689">
        <v>49.6</v>
      </c>
      <c r="K2443" s="689">
        <v>49.7</v>
      </c>
    </row>
    <row r="2444" spans="1:11">
      <c r="A2444" s="688" t="s">
        <v>6</v>
      </c>
      <c r="B2444" s="691">
        <v>49.3</v>
      </c>
      <c r="C2444" s="691">
        <v>49.3</v>
      </c>
      <c r="D2444" s="615">
        <v>49</v>
      </c>
      <c r="E2444" s="691">
        <v>49.3</v>
      </c>
      <c r="F2444" s="691">
        <v>49.3</v>
      </c>
      <c r="G2444" s="691">
        <v>49.5</v>
      </c>
      <c r="H2444" s="691">
        <v>49.6</v>
      </c>
      <c r="I2444" s="615">
        <v>49</v>
      </c>
      <c r="J2444" s="691">
        <v>49.1</v>
      </c>
      <c r="K2444" s="691">
        <v>49.2</v>
      </c>
    </row>
    <row r="2445" spans="1:11">
      <c r="A2445" s="688" t="s">
        <v>4058</v>
      </c>
      <c r="B2445" s="690" t="s">
        <v>4060</v>
      </c>
      <c r="C2445" s="690" t="s">
        <v>4060</v>
      </c>
      <c r="D2445" s="690" t="s">
        <v>4060</v>
      </c>
      <c r="E2445" s="690" t="s">
        <v>4060</v>
      </c>
      <c r="F2445" s="690" t="s">
        <v>4060</v>
      </c>
      <c r="G2445" s="690" t="s">
        <v>4060</v>
      </c>
      <c r="H2445" s="690" t="s">
        <v>4060</v>
      </c>
      <c r="I2445" s="690" t="s">
        <v>4060</v>
      </c>
      <c r="J2445" s="690" t="s">
        <v>4060</v>
      </c>
      <c r="K2445" s="690" t="s">
        <v>4060</v>
      </c>
    </row>
    <row r="2446" spans="1:11">
      <c r="A2446" s="688" t="s">
        <v>11</v>
      </c>
      <c r="B2446" s="691">
        <v>44.7</v>
      </c>
      <c r="C2446" s="691">
        <v>44.7</v>
      </c>
      <c r="D2446" s="691">
        <v>44.3</v>
      </c>
      <c r="E2446" s="691">
        <v>44.9</v>
      </c>
      <c r="F2446" s="691">
        <v>44.7</v>
      </c>
      <c r="G2446" s="691">
        <v>44.9</v>
      </c>
      <c r="H2446" s="691">
        <v>45.2</v>
      </c>
      <c r="I2446" s="691">
        <v>44.5</v>
      </c>
      <c r="J2446" s="691">
        <v>43.5</v>
      </c>
      <c r="K2446" s="691">
        <v>44.6</v>
      </c>
    </row>
    <row r="2447" spans="1:11">
      <c r="A2447" s="688" t="s">
        <v>10</v>
      </c>
      <c r="B2447" s="689">
        <v>49.5</v>
      </c>
      <c r="C2447" s="689">
        <v>49.5</v>
      </c>
      <c r="D2447" s="689">
        <v>49.1</v>
      </c>
      <c r="E2447" s="689">
        <v>49.7</v>
      </c>
      <c r="F2447" s="689">
        <v>49.5</v>
      </c>
      <c r="G2447" s="689">
        <v>49.8</v>
      </c>
      <c r="H2447" s="693">
        <v>50</v>
      </c>
      <c r="I2447" s="689">
        <v>48.8</v>
      </c>
      <c r="J2447" s="689">
        <v>49.2</v>
      </c>
      <c r="K2447" s="689">
        <v>49.4</v>
      </c>
    </row>
    <row r="2448" spans="1:11">
      <c r="A2448" s="688" t="s">
        <v>30</v>
      </c>
      <c r="B2448" s="691">
        <v>49.1</v>
      </c>
      <c r="C2448" s="691">
        <v>48.8</v>
      </c>
      <c r="D2448" s="691">
        <v>48.5</v>
      </c>
      <c r="E2448" s="691">
        <v>49.3</v>
      </c>
      <c r="F2448" s="615">
        <v>49</v>
      </c>
      <c r="G2448" s="691">
        <v>49.6</v>
      </c>
      <c r="H2448" s="691">
        <v>49.3</v>
      </c>
      <c r="I2448" s="691">
        <v>49.3</v>
      </c>
      <c r="J2448" s="691">
        <v>48.5</v>
      </c>
      <c r="K2448" s="691">
        <v>48.9</v>
      </c>
    </row>
    <row r="2449" spans="1:11">
      <c r="A2449" s="688" t="s">
        <v>12</v>
      </c>
      <c r="B2449" s="689">
        <v>41.7</v>
      </c>
      <c r="C2449" s="689">
        <v>41.8</v>
      </c>
      <c r="D2449" s="693">
        <v>42</v>
      </c>
      <c r="E2449" s="689">
        <v>42.2</v>
      </c>
      <c r="F2449" s="689">
        <v>42.2</v>
      </c>
      <c r="G2449" s="689">
        <v>42.2</v>
      </c>
      <c r="H2449" s="689">
        <v>42.9</v>
      </c>
      <c r="I2449" s="689">
        <v>42.6</v>
      </c>
      <c r="J2449" s="689">
        <v>40.200000000000003</v>
      </c>
      <c r="K2449" s="689">
        <v>41.7</v>
      </c>
    </row>
    <row r="2450" spans="1:11">
      <c r="A2450" s="688" t="s">
        <v>14</v>
      </c>
      <c r="B2450" s="691">
        <v>41.7</v>
      </c>
      <c r="C2450" s="691">
        <v>42.2</v>
      </c>
      <c r="D2450" s="615">
        <v>42</v>
      </c>
      <c r="E2450" s="691">
        <v>42.2</v>
      </c>
      <c r="F2450" s="691">
        <v>42.9</v>
      </c>
      <c r="G2450" s="691">
        <v>43.2</v>
      </c>
      <c r="H2450" s="691">
        <v>43.6</v>
      </c>
      <c r="I2450" s="691">
        <v>42.2</v>
      </c>
      <c r="J2450" s="691">
        <v>41.4</v>
      </c>
      <c r="K2450" s="691">
        <v>42.9</v>
      </c>
    </row>
    <row r="2451" spans="1:11">
      <c r="A2451" s="688" t="s">
        <v>15</v>
      </c>
      <c r="B2451" s="689">
        <v>48.7</v>
      </c>
      <c r="C2451" s="689">
        <v>48.6</v>
      </c>
      <c r="D2451" s="689">
        <v>48.6</v>
      </c>
      <c r="E2451" s="693">
        <v>49</v>
      </c>
      <c r="F2451" s="689">
        <v>48.5</v>
      </c>
      <c r="G2451" s="689">
        <v>48.8</v>
      </c>
      <c r="H2451" s="689">
        <v>49.2</v>
      </c>
      <c r="I2451" s="689">
        <v>48.8</v>
      </c>
      <c r="J2451" s="689">
        <v>49.1</v>
      </c>
      <c r="K2451" s="689">
        <v>49.6</v>
      </c>
    </row>
    <row r="2452" spans="1:11">
      <c r="A2452" s="688" t="s">
        <v>29</v>
      </c>
      <c r="B2452" s="691">
        <v>42.7</v>
      </c>
      <c r="C2452" s="691">
        <v>42.7</v>
      </c>
      <c r="D2452" s="691">
        <v>42.5</v>
      </c>
      <c r="E2452" s="691">
        <v>42.9</v>
      </c>
      <c r="F2452" s="691">
        <v>42.7</v>
      </c>
      <c r="G2452" s="691">
        <v>42.9</v>
      </c>
      <c r="H2452" s="691">
        <v>43.1</v>
      </c>
      <c r="I2452" s="691">
        <v>42.4</v>
      </c>
      <c r="J2452" s="615">
        <v>41</v>
      </c>
      <c r="K2452" s="691">
        <v>42.8</v>
      </c>
    </row>
    <row r="2453" spans="1:11">
      <c r="A2453" s="688" t="s">
        <v>16</v>
      </c>
      <c r="B2453" s="689">
        <v>48.7</v>
      </c>
      <c r="C2453" s="689">
        <v>48.6</v>
      </c>
      <c r="D2453" s="689">
        <v>48.7</v>
      </c>
      <c r="E2453" s="689">
        <v>49.1</v>
      </c>
      <c r="F2453" s="693">
        <v>49</v>
      </c>
      <c r="G2453" s="689">
        <v>48.9</v>
      </c>
      <c r="H2453" s="689">
        <v>49.4</v>
      </c>
      <c r="I2453" s="689">
        <v>48.7</v>
      </c>
      <c r="J2453" s="689">
        <v>48.7</v>
      </c>
      <c r="K2453" s="689">
        <v>48.9</v>
      </c>
    </row>
    <row r="2454" spans="1:11">
      <c r="A2454" s="688" t="s">
        <v>17</v>
      </c>
      <c r="B2454" s="691">
        <v>48.2</v>
      </c>
      <c r="C2454" s="691">
        <v>48.4</v>
      </c>
      <c r="D2454" s="691">
        <v>48.2</v>
      </c>
      <c r="E2454" s="691">
        <v>48.3</v>
      </c>
      <c r="F2454" s="691">
        <v>48.5</v>
      </c>
      <c r="G2454" s="691">
        <v>48.5</v>
      </c>
      <c r="H2454" s="691">
        <v>48.8</v>
      </c>
      <c r="I2454" s="691">
        <v>48.1</v>
      </c>
      <c r="J2454" s="615">
        <v>48</v>
      </c>
      <c r="K2454" s="691">
        <v>48.3</v>
      </c>
    </row>
    <row r="2455" spans="1:11">
      <c r="A2455" s="688" t="s">
        <v>19</v>
      </c>
      <c r="B2455" s="689">
        <v>48.1</v>
      </c>
      <c r="C2455" s="689">
        <v>48.2</v>
      </c>
      <c r="D2455" s="689">
        <v>47.9</v>
      </c>
      <c r="E2455" s="689">
        <v>48.4</v>
      </c>
      <c r="F2455" s="689">
        <v>48.4</v>
      </c>
      <c r="G2455" s="689">
        <v>48.4</v>
      </c>
      <c r="H2455" s="689">
        <v>48.7</v>
      </c>
      <c r="I2455" s="689">
        <v>48.1</v>
      </c>
      <c r="J2455" s="693">
        <v>48</v>
      </c>
      <c r="K2455" s="689">
        <v>48.2</v>
      </c>
    </row>
    <row r="2456" spans="1:11">
      <c r="A2456" s="688" t="s">
        <v>20</v>
      </c>
      <c r="B2456" s="691">
        <v>44.2</v>
      </c>
      <c r="C2456" s="691">
        <v>44.6</v>
      </c>
      <c r="D2456" s="691">
        <v>44.4</v>
      </c>
      <c r="E2456" s="691">
        <v>44.8</v>
      </c>
      <c r="F2456" s="691">
        <v>44.7</v>
      </c>
      <c r="G2456" s="691">
        <v>44.6</v>
      </c>
      <c r="H2456" s="691">
        <v>44.9</v>
      </c>
      <c r="I2456" s="691">
        <v>43.4</v>
      </c>
      <c r="J2456" s="691">
        <v>42.5</v>
      </c>
      <c r="K2456" s="691">
        <v>44.2</v>
      </c>
    </row>
    <row r="2457" spans="1:11">
      <c r="A2457" s="688" t="s">
        <v>21</v>
      </c>
      <c r="B2457" s="689">
        <v>47.7</v>
      </c>
      <c r="C2457" s="689">
        <v>48.1</v>
      </c>
      <c r="D2457" s="689">
        <v>48.1</v>
      </c>
      <c r="E2457" s="689">
        <v>48.1</v>
      </c>
      <c r="F2457" s="689">
        <v>48.4</v>
      </c>
      <c r="G2457" s="689">
        <v>48.4</v>
      </c>
      <c r="H2457" s="689">
        <v>48.7</v>
      </c>
      <c r="I2457" s="689">
        <v>48.1</v>
      </c>
      <c r="J2457" s="689">
        <v>48.1</v>
      </c>
      <c r="K2457" s="689">
        <v>48.4</v>
      </c>
    </row>
    <row r="2458" spans="1:11">
      <c r="A2458" s="688" t="s">
        <v>22</v>
      </c>
      <c r="B2458" s="691">
        <v>42.7</v>
      </c>
      <c r="C2458" s="691">
        <v>42.4</v>
      </c>
      <c r="D2458" s="691">
        <v>42.3</v>
      </c>
      <c r="E2458" s="691">
        <v>42.5</v>
      </c>
      <c r="F2458" s="691">
        <v>42.5</v>
      </c>
      <c r="G2458" s="691">
        <v>42.5</v>
      </c>
      <c r="H2458" s="691">
        <v>42.8</v>
      </c>
      <c r="I2458" s="691">
        <v>41.3</v>
      </c>
      <c r="J2458" s="615">
        <v>40</v>
      </c>
      <c r="K2458" s="691">
        <v>42.3</v>
      </c>
    </row>
    <row r="2459" spans="1:11">
      <c r="A2459" s="688" t="s">
        <v>26</v>
      </c>
      <c r="B2459" s="689">
        <v>47.3</v>
      </c>
      <c r="C2459" s="689">
        <v>47.5</v>
      </c>
      <c r="D2459" s="689">
        <v>47.3</v>
      </c>
      <c r="E2459" s="689">
        <v>47.7</v>
      </c>
      <c r="F2459" s="689">
        <v>47.6</v>
      </c>
      <c r="G2459" s="689">
        <v>47.8</v>
      </c>
      <c r="H2459" s="693">
        <v>48</v>
      </c>
      <c r="I2459" s="689">
        <v>47.1</v>
      </c>
      <c r="J2459" s="689">
        <v>47.2</v>
      </c>
      <c r="K2459" s="689">
        <v>47.8</v>
      </c>
    </row>
    <row r="2460" spans="1:11">
      <c r="A2460" s="688" t="s">
        <v>25</v>
      </c>
      <c r="B2460" s="691">
        <v>43.7</v>
      </c>
      <c r="C2460" s="615">
        <v>44</v>
      </c>
      <c r="D2460" s="691">
        <v>43.8</v>
      </c>
      <c r="E2460" s="691">
        <v>44.3</v>
      </c>
      <c r="F2460" s="691">
        <v>44.3</v>
      </c>
      <c r="G2460" s="691">
        <v>44.4</v>
      </c>
      <c r="H2460" s="691">
        <v>44.8</v>
      </c>
      <c r="I2460" s="691">
        <v>44.1</v>
      </c>
      <c r="J2460" s="691">
        <v>41.7</v>
      </c>
      <c r="K2460" s="691">
        <v>44.1</v>
      </c>
    </row>
    <row r="2461" spans="1:11">
      <c r="A2461" s="688" t="s">
        <v>5</v>
      </c>
      <c r="B2461" s="689">
        <v>47.9</v>
      </c>
      <c r="C2461" s="689">
        <v>47.9</v>
      </c>
      <c r="D2461" s="689">
        <v>48.1</v>
      </c>
      <c r="E2461" s="689">
        <v>48.1</v>
      </c>
      <c r="F2461" s="689">
        <v>48.3</v>
      </c>
      <c r="G2461" s="689">
        <v>48.4</v>
      </c>
      <c r="H2461" s="689">
        <v>48.8</v>
      </c>
      <c r="I2461" s="689">
        <v>48.7</v>
      </c>
      <c r="J2461" s="689">
        <v>48.6</v>
      </c>
      <c r="K2461" s="693">
        <v>48</v>
      </c>
    </row>
    <row r="2462" spans="1:11">
      <c r="A2462" s="688" t="s">
        <v>23</v>
      </c>
      <c r="B2462" s="691">
        <v>48.8</v>
      </c>
      <c r="C2462" s="615">
        <v>49</v>
      </c>
      <c r="D2462" s="615">
        <v>49</v>
      </c>
      <c r="E2462" s="691">
        <v>49.1</v>
      </c>
      <c r="F2462" s="691">
        <v>49.2</v>
      </c>
      <c r="G2462" s="691">
        <v>49.3</v>
      </c>
      <c r="H2462" s="691">
        <v>49.8</v>
      </c>
      <c r="I2462" s="691">
        <v>49.1</v>
      </c>
      <c r="J2462" s="691">
        <v>49.7</v>
      </c>
      <c r="K2462" s="691">
        <v>49.7</v>
      </c>
    </row>
    <row r="2463" spans="1:11">
      <c r="A2463" s="688" t="s">
        <v>4067</v>
      </c>
      <c r="B2463" s="689">
        <v>47.4</v>
      </c>
      <c r="C2463" s="689">
        <v>47.8</v>
      </c>
      <c r="D2463" s="689">
        <v>47.5</v>
      </c>
      <c r="E2463" s="689">
        <v>47.8</v>
      </c>
      <c r="F2463" s="689">
        <v>47.8</v>
      </c>
      <c r="G2463" s="689">
        <v>47.9</v>
      </c>
      <c r="H2463" s="690" t="s">
        <v>4060</v>
      </c>
      <c r="I2463" s="690" t="s">
        <v>4060</v>
      </c>
      <c r="J2463" s="690" t="s">
        <v>4060</v>
      </c>
      <c r="K2463" s="690" t="s">
        <v>4060</v>
      </c>
    </row>
    <row r="2464" spans="1:11">
      <c r="A2464" s="688" t="s">
        <v>4066</v>
      </c>
      <c r="B2464" s="691">
        <v>47.5</v>
      </c>
      <c r="C2464" s="691">
        <v>47.8</v>
      </c>
      <c r="D2464" s="691">
        <v>47.5</v>
      </c>
      <c r="E2464" s="691">
        <v>47.8</v>
      </c>
      <c r="F2464" s="691">
        <v>47.8</v>
      </c>
      <c r="G2464" s="691">
        <v>47.9</v>
      </c>
      <c r="H2464" s="692" t="s">
        <v>4060</v>
      </c>
      <c r="I2464" s="692" t="s">
        <v>4060</v>
      </c>
      <c r="J2464" s="692" t="s">
        <v>4060</v>
      </c>
      <c r="K2464" s="692" t="s">
        <v>4060</v>
      </c>
    </row>
    <row r="2465" spans="1:11">
      <c r="A2465" s="688" t="s">
        <v>4062</v>
      </c>
      <c r="B2465" s="689">
        <v>49.3</v>
      </c>
      <c r="C2465" s="689">
        <v>49.5</v>
      </c>
      <c r="D2465" s="689">
        <v>49.4</v>
      </c>
      <c r="E2465" s="689">
        <v>49.7</v>
      </c>
      <c r="F2465" s="689">
        <v>49.8</v>
      </c>
      <c r="G2465" s="693">
        <v>50</v>
      </c>
      <c r="H2465" s="689">
        <v>50.2</v>
      </c>
      <c r="I2465" s="689">
        <v>49.8</v>
      </c>
      <c r="J2465" s="689">
        <v>50.2</v>
      </c>
      <c r="K2465" s="689">
        <v>49.9</v>
      </c>
    </row>
    <row r="2466" spans="1:11">
      <c r="A2466" s="688" t="s">
        <v>9</v>
      </c>
      <c r="B2466" s="691">
        <v>48.8</v>
      </c>
      <c r="C2466" s="691">
        <v>49.3</v>
      </c>
      <c r="D2466" s="691">
        <v>49.1</v>
      </c>
      <c r="E2466" s="691">
        <v>48.8</v>
      </c>
      <c r="F2466" s="691">
        <v>49.3</v>
      </c>
      <c r="G2466" s="691">
        <v>49.4</v>
      </c>
      <c r="H2466" s="691">
        <v>49.5</v>
      </c>
      <c r="I2466" s="691">
        <v>49.6</v>
      </c>
      <c r="J2466" s="691">
        <v>49.9</v>
      </c>
      <c r="K2466" s="691">
        <v>48.8</v>
      </c>
    </row>
    <row r="2467" spans="1:11">
      <c r="A2467" s="688" t="s">
        <v>13</v>
      </c>
      <c r="B2467" s="689">
        <v>49.2</v>
      </c>
      <c r="C2467" s="689">
        <v>48.7</v>
      </c>
      <c r="D2467" s="689">
        <v>49.3</v>
      </c>
      <c r="E2467" s="689">
        <v>48.9</v>
      </c>
      <c r="F2467" s="689">
        <v>49.9</v>
      </c>
      <c r="G2467" s="689">
        <v>49.6</v>
      </c>
      <c r="H2467" s="689">
        <v>50.3</v>
      </c>
      <c r="I2467" s="689">
        <v>49.3</v>
      </c>
      <c r="J2467" s="689">
        <v>50.4</v>
      </c>
      <c r="K2467" s="689">
        <v>50.6</v>
      </c>
    </row>
    <row r="2468" spans="1:11">
      <c r="A2468" s="688" t="s">
        <v>18</v>
      </c>
      <c r="B2468" s="691">
        <v>48.5</v>
      </c>
      <c r="C2468" s="691">
        <v>48.8</v>
      </c>
      <c r="D2468" s="615">
        <v>49</v>
      </c>
      <c r="E2468" s="691">
        <v>49.1</v>
      </c>
      <c r="F2468" s="691">
        <v>49.3</v>
      </c>
      <c r="G2468" s="691">
        <v>49.4</v>
      </c>
      <c r="H2468" s="691">
        <v>49.7</v>
      </c>
      <c r="I2468" s="691">
        <v>49.9</v>
      </c>
      <c r="J2468" s="691">
        <v>49.8</v>
      </c>
      <c r="K2468" s="691">
        <v>49.3</v>
      </c>
    </row>
    <row r="2469" spans="1:11">
      <c r="A2469" s="688" t="s">
        <v>24</v>
      </c>
      <c r="B2469" s="689">
        <v>49.7</v>
      </c>
      <c r="C2469" s="689">
        <v>49.8</v>
      </c>
      <c r="D2469" s="689">
        <v>49.6</v>
      </c>
      <c r="E2469" s="689">
        <v>50.1</v>
      </c>
      <c r="F2469" s="689">
        <v>50.1</v>
      </c>
      <c r="G2469" s="689">
        <v>50.3</v>
      </c>
      <c r="H2469" s="689">
        <v>50.5</v>
      </c>
      <c r="I2469" s="689">
        <v>49.8</v>
      </c>
      <c r="J2469" s="689">
        <v>50.4</v>
      </c>
      <c r="K2469" s="689">
        <v>50.3</v>
      </c>
    </row>
    <row r="2470" spans="1:11">
      <c r="A2470" s="688" t="s">
        <v>4059</v>
      </c>
      <c r="B2470" s="691">
        <v>47.9</v>
      </c>
      <c r="C2470" s="691">
        <v>48.2</v>
      </c>
      <c r="D2470" s="691">
        <v>47.9</v>
      </c>
      <c r="E2470" s="691">
        <v>48.1</v>
      </c>
      <c r="F2470" s="691">
        <v>48.1</v>
      </c>
      <c r="G2470" s="691">
        <v>48.1</v>
      </c>
      <c r="H2470" s="692" t="s">
        <v>4060</v>
      </c>
      <c r="I2470" s="692" t="s">
        <v>4060</v>
      </c>
      <c r="J2470" s="692" t="s">
        <v>4060</v>
      </c>
      <c r="K2470" s="692" t="s">
        <v>4060</v>
      </c>
    </row>
    <row r="2471" spans="1:11">
      <c r="A2471" s="688" t="s">
        <v>2324</v>
      </c>
      <c r="B2471" s="689">
        <v>43.5</v>
      </c>
      <c r="C2471" s="689">
        <v>43.6</v>
      </c>
      <c r="D2471" s="689">
        <v>43.3</v>
      </c>
      <c r="E2471" s="689">
        <v>43.3</v>
      </c>
      <c r="F2471" s="689">
        <v>43.4</v>
      </c>
      <c r="G2471" s="689">
        <v>43.6</v>
      </c>
      <c r="H2471" s="689">
        <v>43.6</v>
      </c>
      <c r="I2471" s="689">
        <v>42.8</v>
      </c>
      <c r="J2471" s="689">
        <v>40.5</v>
      </c>
      <c r="K2471" s="690" t="s">
        <v>4060</v>
      </c>
    </row>
    <row r="2472" spans="1:11">
      <c r="A2472" s="688" t="s">
        <v>2322</v>
      </c>
      <c r="B2472" s="692" t="s">
        <v>4060</v>
      </c>
      <c r="C2472" s="692" t="s">
        <v>4060</v>
      </c>
      <c r="D2472" s="692" t="s">
        <v>4060</v>
      </c>
      <c r="E2472" s="692" t="s">
        <v>4060</v>
      </c>
      <c r="F2472" s="692" t="s">
        <v>4060</v>
      </c>
      <c r="G2472" s="692" t="s">
        <v>4060</v>
      </c>
      <c r="H2472" s="692" t="s">
        <v>4060</v>
      </c>
      <c r="I2472" s="692" t="s">
        <v>4060</v>
      </c>
      <c r="J2472" s="692" t="s">
        <v>4060</v>
      </c>
      <c r="K2472" s="692" t="s">
        <v>4060</v>
      </c>
    </row>
    <row r="2473" spans="1:11">
      <c r="A2473" s="688" t="s">
        <v>2328</v>
      </c>
      <c r="B2473" s="689">
        <v>42.9</v>
      </c>
      <c r="C2473" s="689">
        <v>42.8</v>
      </c>
      <c r="D2473" s="689">
        <v>42.7</v>
      </c>
      <c r="E2473" s="689">
        <v>42.9</v>
      </c>
      <c r="F2473" s="689">
        <v>43.2</v>
      </c>
      <c r="G2473" s="689">
        <v>43.6</v>
      </c>
      <c r="H2473" s="689">
        <v>43.6</v>
      </c>
      <c r="I2473" s="689">
        <v>41.3</v>
      </c>
      <c r="J2473" s="689">
        <v>40.200000000000003</v>
      </c>
      <c r="K2473" s="690" t="s">
        <v>4060</v>
      </c>
    </row>
    <row r="2474" spans="1:11">
      <c r="A2474" s="688" t="s">
        <v>2496</v>
      </c>
      <c r="B2474" s="692" t="s">
        <v>4060</v>
      </c>
      <c r="C2474" s="691">
        <v>41.9</v>
      </c>
      <c r="D2474" s="691">
        <v>40.9</v>
      </c>
      <c r="E2474" s="691">
        <v>40.5</v>
      </c>
      <c r="F2474" s="691">
        <v>41.3</v>
      </c>
      <c r="G2474" s="691">
        <v>41.6</v>
      </c>
      <c r="H2474" s="691">
        <v>41.6</v>
      </c>
      <c r="I2474" s="692" t="s">
        <v>4060</v>
      </c>
      <c r="J2474" s="692" t="s">
        <v>4060</v>
      </c>
      <c r="K2474" s="691">
        <v>41.2</v>
      </c>
    </row>
    <row r="2475" spans="1:11">
      <c r="A2475" s="688" t="s">
        <v>2269</v>
      </c>
      <c r="B2475" s="689">
        <v>45.6</v>
      </c>
      <c r="C2475" s="689">
        <v>45.7</v>
      </c>
      <c r="D2475" s="689">
        <v>45.3</v>
      </c>
      <c r="E2475" s="689">
        <v>45.9</v>
      </c>
      <c r="F2475" s="689">
        <v>45.8</v>
      </c>
      <c r="G2475" s="689">
        <v>46.3</v>
      </c>
      <c r="H2475" s="689">
        <v>46.5</v>
      </c>
      <c r="I2475" s="689">
        <v>44.6</v>
      </c>
      <c r="J2475" s="689">
        <v>42.8</v>
      </c>
      <c r="K2475" s="689">
        <v>46.2</v>
      </c>
    </row>
    <row r="2476" spans="1:11">
      <c r="A2476" s="688" t="s">
        <v>2349</v>
      </c>
      <c r="B2476" s="691">
        <v>42.4</v>
      </c>
      <c r="C2476" s="691">
        <v>42.5</v>
      </c>
      <c r="D2476" s="691">
        <v>42.4</v>
      </c>
      <c r="E2476" s="691">
        <v>42.8</v>
      </c>
      <c r="F2476" s="691">
        <v>42.6</v>
      </c>
      <c r="G2476" s="691">
        <v>42.9</v>
      </c>
      <c r="H2476" s="615">
        <v>43</v>
      </c>
      <c r="I2476" s="691">
        <v>41.4</v>
      </c>
      <c r="J2476" s="691">
        <v>39.799999999999997</v>
      </c>
      <c r="K2476" s="691">
        <v>42.2</v>
      </c>
    </row>
    <row r="2477" spans="1:11">
      <c r="A2477" s="688" t="s">
        <v>2355</v>
      </c>
      <c r="B2477" s="689">
        <v>46.1</v>
      </c>
      <c r="C2477" s="689">
        <v>45.9</v>
      </c>
      <c r="D2477" s="689">
        <v>45.9</v>
      </c>
      <c r="E2477" s="689">
        <v>45.9</v>
      </c>
      <c r="F2477" s="689">
        <v>46.1</v>
      </c>
      <c r="G2477" s="689">
        <v>46.5</v>
      </c>
      <c r="H2477" s="689">
        <v>46.6</v>
      </c>
      <c r="I2477" s="690" t="s">
        <v>4060</v>
      </c>
      <c r="J2477" s="690" t="s">
        <v>4060</v>
      </c>
      <c r="K2477" s="690" t="s">
        <v>4060</v>
      </c>
    </row>
    <row r="2478" spans="1:11">
      <c r="A2478" s="688" t="s">
        <v>2357</v>
      </c>
      <c r="B2478" s="692" t="s">
        <v>4060</v>
      </c>
      <c r="C2478" s="691">
        <v>39.799999999999997</v>
      </c>
      <c r="D2478" s="691">
        <v>40.4</v>
      </c>
      <c r="E2478" s="691">
        <v>40.700000000000003</v>
      </c>
      <c r="F2478" s="615">
        <v>41</v>
      </c>
      <c r="G2478" s="691">
        <v>40.799999999999997</v>
      </c>
      <c r="H2478" s="615">
        <v>41</v>
      </c>
      <c r="I2478" s="692" t="s">
        <v>4060</v>
      </c>
      <c r="J2478" s="692" t="s">
        <v>4060</v>
      </c>
      <c r="K2478" s="692" t="s">
        <v>4060</v>
      </c>
    </row>
    <row r="2479" spans="1:11">
      <c r="A2479" s="688" t="s">
        <v>4070</v>
      </c>
      <c r="B2479" s="690" t="s">
        <v>4060</v>
      </c>
      <c r="C2479" s="690" t="s">
        <v>4060</v>
      </c>
      <c r="D2479" s="690" t="s">
        <v>4060</v>
      </c>
      <c r="E2479" s="689">
        <v>45.6</v>
      </c>
      <c r="F2479" s="690" t="s">
        <v>4060</v>
      </c>
      <c r="G2479" s="690" t="s">
        <v>4060</v>
      </c>
      <c r="H2479" s="690" t="s">
        <v>4060</v>
      </c>
      <c r="I2479" s="690" t="s">
        <v>4060</v>
      </c>
      <c r="J2479" s="690" t="s">
        <v>4060</v>
      </c>
      <c r="K2479" s="690" t="s">
        <v>4060</v>
      </c>
    </row>
    <row r="2480" spans="1:11">
      <c r="A2480" s="688" t="s">
        <v>2491</v>
      </c>
      <c r="B2480" s="691">
        <v>40.200000000000003</v>
      </c>
      <c r="C2480" s="691">
        <v>40.700000000000003</v>
      </c>
      <c r="D2480" s="691">
        <v>41.1</v>
      </c>
      <c r="E2480" s="691">
        <v>41.4</v>
      </c>
      <c r="F2480" s="691">
        <v>41.5</v>
      </c>
      <c r="G2480" s="691">
        <v>41.5</v>
      </c>
      <c r="H2480" s="692" t="s">
        <v>4060</v>
      </c>
      <c r="I2480" s="692" t="s">
        <v>4060</v>
      </c>
      <c r="J2480" s="692" t="s">
        <v>4060</v>
      </c>
      <c r="K2480" s="692" t="s">
        <v>4060</v>
      </c>
    </row>
    <row r="2481" spans="1:11">
      <c r="A2481" s="688" t="s">
        <v>2343</v>
      </c>
      <c r="B2481" s="690" t="s">
        <v>4060</v>
      </c>
      <c r="C2481" s="690" t="s">
        <v>4060</v>
      </c>
      <c r="D2481" s="690" t="s">
        <v>4060</v>
      </c>
      <c r="E2481" s="690" t="s">
        <v>4060</v>
      </c>
      <c r="F2481" s="690" t="s">
        <v>4060</v>
      </c>
      <c r="G2481" s="690" t="s">
        <v>4060</v>
      </c>
      <c r="H2481" s="690" t="s">
        <v>4060</v>
      </c>
      <c r="I2481" s="690" t="s">
        <v>4060</v>
      </c>
      <c r="J2481" s="690" t="s">
        <v>4060</v>
      </c>
      <c r="K2481" s="690" t="s">
        <v>4060</v>
      </c>
    </row>
    <row r="2482" spans="1:11">
      <c r="A2482" s="688" t="s">
        <v>4071</v>
      </c>
      <c r="B2482" s="692" t="s">
        <v>4060</v>
      </c>
      <c r="C2482" s="692" t="s">
        <v>4060</v>
      </c>
      <c r="D2482" s="692" t="s">
        <v>4060</v>
      </c>
      <c r="E2482" s="692" t="s">
        <v>4060</v>
      </c>
      <c r="F2482" s="692" t="s">
        <v>4060</v>
      </c>
      <c r="G2482" s="692" t="s">
        <v>4060</v>
      </c>
      <c r="H2482" s="692" t="s">
        <v>4060</v>
      </c>
      <c r="I2482" s="692" t="s">
        <v>4060</v>
      </c>
      <c r="J2482" s="692" t="s">
        <v>4060</v>
      </c>
      <c r="K2482" s="692" t="s">
        <v>4060</v>
      </c>
    </row>
    <row r="2483" spans="1:11">
      <c r="A2483" s="688" t="s">
        <v>2489</v>
      </c>
      <c r="B2483" s="690" t="s">
        <v>4060</v>
      </c>
      <c r="C2483" s="690" t="s">
        <v>4060</v>
      </c>
      <c r="D2483" s="689">
        <v>42.5</v>
      </c>
      <c r="E2483" s="689">
        <v>42.6</v>
      </c>
      <c r="F2483" s="689">
        <v>43.2</v>
      </c>
      <c r="G2483" s="693">
        <v>44</v>
      </c>
      <c r="H2483" s="689">
        <v>43.8</v>
      </c>
      <c r="I2483" s="690" t="s">
        <v>4060</v>
      </c>
      <c r="J2483" s="690" t="s">
        <v>4060</v>
      </c>
      <c r="K2483" s="690" t="s">
        <v>4060</v>
      </c>
    </row>
    <row r="2484" spans="1:11">
      <c r="A2484" s="688" t="s">
        <v>2490</v>
      </c>
      <c r="B2484" s="691">
        <v>42.5</v>
      </c>
      <c r="C2484" s="691">
        <v>42.6</v>
      </c>
      <c r="D2484" s="691">
        <v>43.2</v>
      </c>
      <c r="E2484" s="692" t="s">
        <v>4060</v>
      </c>
      <c r="F2484" s="691">
        <v>43.3</v>
      </c>
      <c r="G2484" s="691">
        <v>43.7</v>
      </c>
      <c r="H2484" s="691">
        <v>44.5</v>
      </c>
      <c r="I2484" s="692" t="s">
        <v>4060</v>
      </c>
      <c r="J2484" s="692" t="s">
        <v>4060</v>
      </c>
      <c r="K2484" s="692" t="s">
        <v>4060</v>
      </c>
    </row>
    <row r="2486" spans="1:11">
      <c r="A2486" s="683" t="s">
        <v>4233</v>
      </c>
    </row>
    <row r="2487" spans="1:11">
      <c r="A2487" s="683" t="s">
        <v>4060</v>
      </c>
      <c r="B2487" s="682" t="s">
        <v>4234</v>
      </c>
    </row>
    <row r="2489" spans="1:11">
      <c r="A2489" s="682" t="s">
        <v>4248</v>
      </c>
    </row>
    <row r="2490" spans="1:11">
      <c r="A2490" s="682" t="s">
        <v>4210</v>
      </c>
      <c r="B2490" s="683" t="s">
        <v>4211</v>
      </c>
    </row>
    <row r="2491" spans="1:11">
      <c r="A2491" s="682" t="s">
        <v>4212</v>
      </c>
      <c r="B2491" s="682" t="s">
        <v>4213</v>
      </c>
    </row>
    <row r="2493" spans="1:11">
      <c r="A2493" s="683" t="s">
        <v>4214</v>
      </c>
      <c r="C2493" s="682" t="s">
        <v>4215</v>
      </c>
    </row>
    <row r="2494" spans="1:11">
      <c r="A2494" s="683" t="s">
        <v>4216</v>
      </c>
      <c r="C2494" s="682" t="s">
        <v>2967</v>
      </c>
    </row>
    <row r="2495" spans="1:11">
      <c r="A2495" s="683" t="s">
        <v>3893</v>
      </c>
      <c r="C2495" s="682" t="s">
        <v>4217</v>
      </c>
    </row>
    <row r="2496" spans="1:11">
      <c r="A2496" s="683" t="s">
        <v>4218</v>
      </c>
      <c r="C2496" s="682" t="s">
        <v>4270</v>
      </c>
    </row>
    <row r="2498" spans="1:11">
      <c r="A2498" s="684" t="s">
        <v>4220</v>
      </c>
      <c r="B2498" s="685" t="s">
        <v>4221</v>
      </c>
      <c r="C2498" s="685" t="s">
        <v>4222</v>
      </c>
      <c r="D2498" s="685" t="s">
        <v>4223</v>
      </c>
      <c r="E2498" s="685" t="s">
        <v>4224</v>
      </c>
      <c r="F2498" s="685" t="s">
        <v>4225</v>
      </c>
      <c r="G2498" s="685" t="s">
        <v>4226</v>
      </c>
      <c r="H2498" s="685" t="s">
        <v>4227</v>
      </c>
      <c r="I2498" s="685" t="s">
        <v>4228</v>
      </c>
      <c r="J2498" s="685" t="s">
        <v>4229</v>
      </c>
      <c r="K2498" s="685" t="s">
        <v>4230</v>
      </c>
    </row>
    <row r="2499" spans="1:11">
      <c r="A2499" s="686" t="s">
        <v>4231</v>
      </c>
      <c r="B2499" s="687" t="s">
        <v>4232</v>
      </c>
      <c r="C2499" s="687" t="s">
        <v>4232</v>
      </c>
      <c r="D2499" s="687" t="s">
        <v>4232</v>
      </c>
      <c r="E2499" s="687" t="s">
        <v>4232</v>
      </c>
      <c r="F2499" s="687" t="s">
        <v>4232</v>
      </c>
      <c r="G2499" s="687" t="s">
        <v>4232</v>
      </c>
      <c r="H2499" s="687" t="s">
        <v>4232</v>
      </c>
      <c r="I2499" s="687" t="s">
        <v>4232</v>
      </c>
      <c r="J2499" s="687" t="s">
        <v>4232</v>
      </c>
      <c r="K2499" s="687" t="s">
        <v>4232</v>
      </c>
    </row>
    <row r="2500" spans="1:11">
      <c r="A2500" s="688" t="s">
        <v>4064</v>
      </c>
      <c r="B2500" s="691">
        <v>46.4</v>
      </c>
      <c r="C2500" s="691">
        <v>46.5</v>
      </c>
      <c r="D2500" s="691">
        <v>46.4</v>
      </c>
      <c r="E2500" s="691">
        <v>46.6</v>
      </c>
      <c r="F2500" s="691">
        <v>46.6</v>
      </c>
      <c r="G2500" s="691">
        <v>46.7</v>
      </c>
      <c r="H2500" s="691">
        <v>46.9</v>
      </c>
      <c r="I2500" s="691">
        <v>46.1</v>
      </c>
      <c r="J2500" s="691">
        <v>45.8</v>
      </c>
      <c r="K2500" s="691">
        <v>46.4</v>
      </c>
    </row>
    <row r="2501" spans="1:11">
      <c r="A2501" s="688" t="s">
        <v>4065</v>
      </c>
      <c r="B2501" s="689">
        <v>46.4</v>
      </c>
      <c r="C2501" s="689">
        <v>46.8</v>
      </c>
      <c r="D2501" s="689">
        <v>46.5</v>
      </c>
      <c r="E2501" s="689">
        <v>46.8</v>
      </c>
      <c r="F2501" s="689">
        <v>46.8</v>
      </c>
      <c r="G2501" s="689">
        <v>46.9</v>
      </c>
      <c r="H2501" s="690" t="s">
        <v>4060</v>
      </c>
      <c r="I2501" s="690" t="s">
        <v>4060</v>
      </c>
      <c r="J2501" s="690" t="s">
        <v>4060</v>
      </c>
      <c r="K2501" s="690" t="s">
        <v>4060</v>
      </c>
    </row>
    <row r="2502" spans="1:11">
      <c r="A2502" s="688" t="s">
        <v>4063</v>
      </c>
      <c r="B2502" s="691">
        <v>46.5</v>
      </c>
      <c r="C2502" s="691">
        <v>46.8</v>
      </c>
      <c r="D2502" s="691">
        <v>46.5</v>
      </c>
      <c r="E2502" s="691">
        <v>46.9</v>
      </c>
      <c r="F2502" s="691">
        <v>46.8</v>
      </c>
      <c r="G2502" s="691">
        <v>46.9</v>
      </c>
      <c r="H2502" s="692" t="s">
        <v>4060</v>
      </c>
      <c r="I2502" s="692" t="s">
        <v>4060</v>
      </c>
      <c r="J2502" s="692" t="s">
        <v>4060</v>
      </c>
      <c r="K2502" s="692" t="s">
        <v>4060</v>
      </c>
    </row>
    <row r="2503" spans="1:11">
      <c r="A2503" s="688" t="s">
        <v>4069</v>
      </c>
      <c r="B2503" s="690" t="s">
        <v>4060</v>
      </c>
      <c r="C2503" s="689">
        <v>47.4</v>
      </c>
      <c r="D2503" s="689">
        <v>47.2</v>
      </c>
      <c r="E2503" s="689">
        <v>47.5</v>
      </c>
      <c r="F2503" s="689">
        <v>47.5</v>
      </c>
      <c r="G2503" s="689">
        <v>47.6</v>
      </c>
      <c r="H2503" s="689">
        <v>47.9</v>
      </c>
      <c r="I2503" s="689">
        <v>47.2</v>
      </c>
      <c r="J2503" s="689">
        <v>47.2</v>
      </c>
      <c r="K2503" s="689">
        <v>47.3</v>
      </c>
    </row>
    <row r="2504" spans="1:11">
      <c r="A2504" s="688" t="s">
        <v>4068</v>
      </c>
      <c r="B2504" s="691">
        <v>47.4</v>
      </c>
      <c r="C2504" s="692" t="s">
        <v>4060</v>
      </c>
      <c r="D2504" s="692" t="s">
        <v>4060</v>
      </c>
      <c r="E2504" s="692" t="s">
        <v>4060</v>
      </c>
      <c r="F2504" s="692" t="s">
        <v>4060</v>
      </c>
      <c r="G2504" s="692" t="s">
        <v>4060</v>
      </c>
      <c r="H2504" s="692" t="s">
        <v>4060</v>
      </c>
      <c r="I2504" s="692" t="s">
        <v>4060</v>
      </c>
      <c r="J2504" s="692" t="s">
        <v>4060</v>
      </c>
      <c r="K2504" s="692" t="s">
        <v>4060</v>
      </c>
    </row>
    <row r="2505" spans="1:11">
      <c r="A2505" s="688" t="s">
        <v>0</v>
      </c>
      <c r="B2505" s="689">
        <v>46.6</v>
      </c>
      <c r="C2505" s="693">
        <v>47</v>
      </c>
      <c r="D2505" s="689">
        <v>46.7</v>
      </c>
      <c r="E2505" s="689">
        <v>47.1</v>
      </c>
      <c r="F2505" s="689">
        <v>47.2</v>
      </c>
      <c r="G2505" s="689">
        <v>47.3</v>
      </c>
      <c r="H2505" s="689">
        <v>47.7</v>
      </c>
      <c r="I2505" s="689">
        <v>46.6</v>
      </c>
      <c r="J2505" s="689">
        <v>47.4</v>
      </c>
      <c r="K2505" s="689">
        <v>47.5</v>
      </c>
    </row>
    <row r="2506" spans="1:11">
      <c r="A2506" s="688" t="s">
        <v>1</v>
      </c>
      <c r="B2506" s="691">
        <v>41.4</v>
      </c>
      <c r="C2506" s="691">
        <v>40.9</v>
      </c>
      <c r="D2506" s="615">
        <v>41</v>
      </c>
      <c r="E2506" s="691">
        <v>41.1</v>
      </c>
      <c r="F2506" s="615">
        <v>41</v>
      </c>
      <c r="G2506" s="691">
        <v>41.2</v>
      </c>
      <c r="H2506" s="691">
        <v>41.2</v>
      </c>
      <c r="I2506" s="691">
        <v>39.6</v>
      </c>
      <c r="J2506" s="691">
        <v>37.700000000000003</v>
      </c>
      <c r="K2506" s="691">
        <v>40.4</v>
      </c>
    </row>
    <row r="2507" spans="1:11">
      <c r="A2507" s="688" t="s">
        <v>2240</v>
      </c>
      <c r="B2507" s="689">
        <v>44.2</v>
      </c>
      <c r="C2507" s="689">
        <v>44.6</v>
      </c>
      <c r="D2507" s="689">
        <v>44.4</v>
      </c>
      <c r="E2507" s="689">
        <v>44.8</v>
      </c>
      <c r="F2507" s="689">
        <v>44.8</v>
      </c>
      <c r="G2507" s="689">
        <v>44.8</v>
      </c>
      <c r="H2507" s="689">
        <v>45.1</v>
      </c>
      <c r="I2507" s="693">
        <v>44</v>
      </c>
      <c r="J2507" s="693">
        <v>43</v>
      </c>
      <c r="K2507" s="689">
        <v>44.8</v>
      </c>
    </row>
    <row r="2508" spans="1:11">
      <c r="A2508" s="688" t="s">
        <v>2</v>
      </c>
      <c r="B2508" s="691">
        <v>46.1</v>
      </c>
      <c r="C2508" s="691">
        <v>46.4</v>
      </c>
      <c r="D2508" s="691">
        <v>46.5</v>
      </c>
      <c r="E2508" s="691">
        <v>46.6</v>
      </c>
      <c r="F2508" s="691">
        <v>46.8</v>
      </c>
      <c r="G2508" s="691">
        <v>46.7</v>
      </c>
      <c r="H2508" s="691">
        <v>47.1</v>
      </c>
      <c r="I2508" s="691">
        <v>47.2</v>
      </c>
      <c r="J2508" s="691">
        <v>47.1</v>
      </c>
      <c r="K2508" s="615">
        <v>47</v>
      </c>
    </row>
    <row r="2509" spans="1:11">
      <c r="A2509" s="688" t="s">
        <v>3</v>
      </c>
      <c r="B2509" s="689">
        <v>46.4</v>
      </c>
      <c r="C2509" s="689">
        <v>46.7</v>
      </c>
      <c r="D2509" s="689">
        <v>46.4</v>
      </c>
      <c r="E2509" s="689">
        <v>46.6</v>
      </c>
      <c r="F2509" s="689">
        <v>46.7</v>
      </c>
      <c r="G2509" s="689">
        <v>46.6</v>
      </c>
      <c r="H2509" s="689">
        <v>46.9</v>
      </c>
      <c r="I2509" s="689">
        <v>46.7</v>
      </c>
      <c r="J2509" s="689">
        <v>46.4</v>
      </c>
      <c r="K2509" s="689">
        <v>46.3</v>
      </c>
    </row>
    <row r="2510" spans="1:11">
      <c r="A2510" s="688" t="s">
        <v>4061</v>
      </c>
      <c r="B2510" s="691">
        <v>46.4</v>
      </c>
      <c r="C2510" s="691">
        <v>46.7</v>
      </c>
      <c r="D2510" s="691">
        <v>46.4</v>
      </c>
      <c r="E2510" s="691">
        <v>46.6</v>
      </c>
      <c r="F2510" s="691">
        <v>46.7</v>
      </c>
      <c r="G2510" s="691">
        <v>46.6</v>
      </c>
      <c r="H2510" s="691">
        <v>46.9</v>
      </c>
      <c r="I2510" s="691">
        <v>46.7</v>
      </c>
      <c r="J2510" s="691">
        <v>46.4</v>
      </c>
      <c r="K2510" s="691">
        <v>46.3</v>
      </c>
    </row>
    <row r="2511" spans="1:11">
      <c r="A2511" s="688" t="s">
        <v>4</v>
      </c>
      <c r="B2511" s="689">
        <v>43.7</v>
      </c>
      <c r="C2511" s="689">
        <v>43.5</v>
      </c>
      <c r="D2511" s="689">
        <v>43.9</v>
      </c>
      <c r="E2511" s="693">
        <v>44</v>
      </c>
      <c r="F2511" s="689">
        <v>44.3</v>
      </c>
      <c r="G2511" s="689">
        <v>44.3</v>
      </c>
      <c r="H2511" s="689">
        <v>44.7</v>
      </c>
      <c r="I2511" s="689">
        <v>44.5</v>
      </c>
      <c r="J2511" s="689">
        <v>43.1</v>
      </c>
      <c r="K2511" s="693">
        <v>44</v>
      </c>
    </row>
    <row r="2512" spans="1:11">
      <c r="A2512" s="688" t="s">
        <v>8</v>
      </c>
      <c r="B2512" s="691">
        <v>46.9</v>
      </c>
      <c r="C2512" s="691">
        <v>47.2</v>
      </c>
      <c r="D2512" s="691">
        <v>47.2</v>
      </c>
      <c r="E2512" s="691">
        <v>47.3</v>
      </c>
      <c r="F2512" s="691">
        <v>47.7</v>
      </c>
      <c r="G2512" s="691">
        <v>47.8</v>
      </c>
      <c r="H2512" s="691">
        <v>48.1</v>
      </c>
      <c r="I2512" s="615">
        <v>48</v>
      </c>
      <c r="J2512" s="691">
        <v>47.8</v>
      </c>
      <c r="K2512" s="615">
        <v>48</v>
      </c>
    </row>
    <row r="2513" spans="1:11">
      <c r="A2513" s="688" t="s">
        <v>7</v>
      </c>
      <c r="B2513" s="689">
        <v>47.3</v>
      </c>
      <c r="C2513" s="689">
        <v>46.9</v>
      </c>
      <c r="D2513" s="689">
        <v>46.7</v>
      </c>
      <c r="E2513" s="693">
        <v>47</v>
      </c>
      <c r="F2513" s="689">
        <v>46.9</v>
      </c>
      <c r="G2513" s="689">
        <v>47.3</v>
      </c>
      <c r="H2513" s="689">
        <v>47.3</v>
      </c>
      <c r="I2513" s="689">
        <v>46.9</v>
      </c>
      <c r="J2513" s="689">
        <v>45.9</v>
      </c>
      <c r="K2513" s="689">
        <v>46.6</v>
      </c>
    </row>
    <row r="2514" spans="1:11">
      <c r="A2514" s="688" t="s">
        <v>27</v>
      </c>
      <c r="B2514" s="691">
        <v>48.8</v>
      </c>
      <c r="C2514" s="691">
        <v>48.5</v>
      </c>
      <c r="D2514" s="691">
        <v>48.3</v>
      </c>
      <c r="E2514" s="691">
        <v>48.7</v>
      </c>
      <c r="F2514" s="691">
        <v>48.7</v>
      </c>
      <c r="G2514" s="691">
        <v>48.8</v>
      </c>
      <c r="H2514" s="691">
        <v>49.1</v>
      </c>
      <c r="I2514" s="691">
        <v>47.9</v>
      </c>
      <c r="J2514" s="691">
        <v>48.6</v>
      </c>
      <c r="K2514" s="691">
        <v>48.7</v>
      </c>
    </row>
    <row r="2515" spans="1:11">
      <c r="A2515" s="688" t="s">
        <v>6</v>
      </c>
      <c r="B2515" s="689">
        <v>48.3</v>
      </c>
      <c r="C2515" s="689">
        <v>48.3</v>
      </c>
      <c r="D2515" s="689">
        <v>48.1</v>
      </c>
      <c r="E2515" s="689">
        <v>48.3</v>
      </c>
      <c r="F2515" s="689">
        <v>48.4</v>
      </c>
      <c r="G2515" s="689">
        <v>48.5</v>
      </c>
      <c r="H2515" s="689">
        <v>48.6</v>
      </c>
      <c r="I2515" s="693">
        <v>48</v>
      </c>
      <c r="J2515" s="689">
        <v>48.1</v>
      </c>
      <c r="K2515" s="689">
        <v>48.2</v>
      </c>
    </row>
    <row r="2516" spans="1:11">
      <c r="A2516" s="688" t="s">
        <v>4058</v>
      </c>
      <c r="B2516" s="692" t="s">
        <v>4060</v>
      </c>
      <c r="C2516" s="692" t="s">
        <v>4060</v>
      </c>
      <c r="D2516" s="692" t="s">
        <v>4060</v>
      </c>
      <c r="E2516" s="692" t="s">
        <v>4060</v>
      </c>
      <c r="F2516" s="692" t="s">
        <v>4060</v>
      </c>
      <c r="G2516" s="692" t="s">
        <v>4060</v>
      </c>
      <c r="H2516" s="692" t="s">
        <v>4060</v>
      </c>
      <c r="I2516" s="692" t="s">
        <v>4060</v>
      </c>
      <c r="J2516" s="692" t="s">
        <v>4060</v>
      </c>
      <c r="K2516" s="692" t="s">
        <v>4060</v>
      </c>
    </row>
    <row r="2517" spans="1:11">
      <c r="A2517" s="688" t="s">
        <v>11</v>
      </c>
      <c r="B2517" s="689">
        <v>43.8</v>
      </c>
      <c r="C2517" s="689">
        <v>43.7</v>
      </c>
      <c r="D2517" s="689">
        <v>43.3</v>
      </c>
      <c r="E2517" s="689">
        <v>43.9</v>
      </c>
      <c r="F2517" s="689">
        <v>43.8</v>
      </c>
      <c r="G2517" s="689">
        <v>43.9</v>
      </c>
      <c r="H2517" s="689">
        <v>44.2</v>
      </c>
      <c r="I2517" s="689">
        <v>43.5</v>
      </c>
      <c r="J2517" s="689">
        <v>42.5</v>
      </c>
      <c r="K2517" s="689">
        <v>43.6</v>
      </c>
    </row>
    <row r="2518" spans="1:11">
      <c r="A2518" s="688" t="s">
        <v>10</v>
      </c>
      <c r="B2518" s="691">
        <v>48.6</v>
      </c>
      <c r="C2518" s="691">
        <v>48.5</v>
      </c>
      <c r="D2518" s="691">
        <v>48.1</v>
      </c>
      <c r="E2518" s="691">
        <v>48.7</v>
      </c>
      <c r="F2518" s="691">
        <v>48.5</v>
      </c>
      <c r="G2518" s="691">
        <v>48.8</v>
      </c>
      <c r="H2518" s="615">
        <v>49</v>
      </c>
      <c r="I2518" s="691">
        <v>47.8</v>
      </c>
      <c r="J2518" s="691">
        <v>48.2</v>
      </c>
      <c r="K2518" s="691">
        <v>48.4</v>
      </c>
    </row>
    <row r="2519" spans="1:11">
      <c r="A2519" s="688" t="s">
        <v>30</v>
      </c>
      <c r="B2519" s="689">
        <v>48.1</v>
      </c>
      <c r="C2519" s="689">
        <v>47.9</v>
      </c>
      <c r="D2519" s="689">
        <v>47.6</v>
      </c>
      <c r="E2519" s="689">
        <v>48.4</v>
      </c>
      <c r="F2519" s="693">
        <v>48</v>
      </c>
      <c r="G2519" s="689">
        <v>48.6</v>
      </c>
      <c r="H2519" s="689">
        <v>48.3</v>
      </c>
      <c r="I2519" s="689">
        <v>48.3</v>
      </c>
      <c r="J2519" s="689">
        <v>47.5</v>
      </c>
      <c r="K2519" s="689">
        <v>47.9</v>
      </c>
    </row>
    <row r="2520" spans="1:11">
      <c r="A2520" s="688" t="s">
        <v>12</v>
      </c>
      <c r="B2520" s="691">
        <v>40.799999999999997</v>
      </c>
      <c r="C2520" s="691">
        <v>40.9</v>
      </c>
      <c r="D2520" s="691">
        <v>41.1</v>
      </c>
      <c r="E2520" s="691">
        <v>41.2</v>
      </c>
      <c r="F2520" s="691">
        <v>41.3</v>
      </c>
      <c r="G2520" s="691">
        <v>41.3</v>
      </c>
      <c r="H2520" s="615">
        <v>42</v>
      </c>
      <c r="I2520" s="691">
        <v>41.6</v>
      </c>
      <c r="J2520" s="691">
        <v>39.299999999999997</v>
      </c>
      <c r="K2520" s="691">
        <v>40.700000000000003</v>
      </c>
    </row>
    <row r="2521" spans="1:11">
      <c r="A2521" s="688" t="s">
        <v>14</v>
      </c>
      <c r="B2521" s="689">
        <v>40.799999999999997</v>
      </c>
      <c r="C2521" s="689">
        <v>41.2</v>
      </c>
      <c r="D2521" s="689">
        <v>41.1</v>
      </c>
      <c r="E2521" s="689">
        <v>41.3</v>
      </c>
      <c r="F2521" s="693">
        <v>42</v>
      </c>
      <c r="G2521" s="689">
        <v>42.2</v>
      </c>
      <c r="H2521" s="689">
        <v>42.6</v>
      </c>
      <c r="I2521" s="689">
        <v>41.3</v>
      </c>
      <c r="J2521" s="689">
        <v>40.5</v>
      </c>
      <c r="K2521" s="689">
        <v>41.9</v>
      </c>
    </row>
    <row r="2522" spans="1:11">
      <c r="A2522" s="688" t="s">
        <v>15</v>
      </c>
      <c r="B2522" s="691">
        <v>47.8</v>
      </c>
      <c r="C2522" s="691">
        <v>47.6</v>
      </c>
      <c r="D2522" s="691">
        <v>47.7</v>
      </c>
      <c r="E2522" s="615">
        <v>48</v>
      </c>
      <c r="F2522" s="691">
        <v>47.5</v>
      </c>
      <c r="G2522" s="691">
        <v>47.9</v>
      </c>
      <c r="H2522" s="691">
        <v>48.2</v>
      </c>
      <c r="I2522" s="691">
        <v>47.8</v>
      </c>
      <c r="J2522" s="691">
        <v>48.1</v>
      </c>
      <c r="K2522" s="691">
        <v>48.6</v>
      </c>
    </row>
    <row r="2523" spans="1:11">
      <c r="A2523" s="688" t="s">
        <v>29</v>
      </c>
      <c r="B2523" s="689">
        <v>41.7</v>
      </c>
      <c r="C2523" s="689">
        <v>41.7</v>
      </c>
      <c r="D2523" s="689">
        <v>41.5</v>
      </c>
      <c r="E2523" s="693">
        <v>42</v>
      </c>
      <c r="F2523" s="689">
        <v>41.8</v>
      </c>
      <c r="G2523" s="689">
        <v>41.9</v>
      </c>
      <c r="H2523" s="689">
        <v>42.2</v>
      </c>
      <c r="I2523" s="689">
        <v>41.4</v>
      </c>
      <c r="J2523" s="693">
        <v>40</v>
      </c>
      <c r="K2523" s="689">
        <v>41.8</v>
      </c>
    </row>
    <row r="2524" spans="1:11">
      <c r="A2524" s="688" t="s">
        <v>16</v>
      </c>
      <c r="B2524" s="691">
        <v>47.8</v>
      </c>
      <c r="C2524" s="691">
        <v>47.7</v>
      </c>
      <c r="D2524" s="691">
        <v>47.8</v>
      </c>
      <c r="E2524" s="691">
        <v>48.1</v>
      </c>
      <c r="F2524" s="615">
        <v>48</v>
      </c>
      <c r="G2524" s="615">
        <v>48</v>
      </c>
      <c r="H2524" s="691">
        <v>48.4</v>
      </c>
      <c r="I2524" s="691">
        <v>47.7</v>
      </c>
      <c r="J2524" s="691">
        <v>47.7</v>
      </c>
      <c r="K2524" s="691">
        <v>47.9</v>
      </c>
    </row>
    <row r="2525" spans="1:11">
      <c r="A2525" s="688" t="s">
        <v>17</v>
      </c>
      <c r="B2525" s="689">
        <v>47.2</v>
      </c>
      <c r="C2525" s="689">
        <v>47.4</v>
      </c>
      <c r="D2525" s="689">
        <v>47.2</v>
      </c>
      <c r="E2525" s="689">
        <v>47.3</v>
      </c>
      <c r="F2525" s="689">
        <v>47.5</v>
      </c>
      <c r="G2525" s="689">
        <v>47.5</v>
      </c>
      <c r="H2525" s="689">
        <v>47.8</v>
      </c>
      <c r="I2525" s="689">
        <v>47.1</v>
      </c>
      <c r="J2525" s="689">
        <v>47.1</v>
      </c>
      <c r="K2525" s="689">
        <v>47.4</v>
      </c>
    </row>
    <row r="2526" spans="1:11">
      <c r="A2526" s="688" t="s">
        <v>19</v>
      </c>
      <c r="B2526" s="691">
        <v>47.1</v>
      </c>
      <c r="C2526" s="691">
        <v>47.2</v>
      </c>
      <c r="D2526" s="615">
        <v>47</v>
      </c>
      <c r="E2526" s="691">
        <v>47.4</v>
      </c>
      <c r="F2526" s="691">
        <v>47.4</v>
      </c>
      <c r="G2526" s="691">
        <v>47.4</v>
      </c>
      <c r="H2526" s="691">
        <v>47.7</v>
      </c>
      <c r="I2526" s="691">
        <v>47.1</v>
      </c>
      <c r="J2526" s="615">
        <v>47</v>
      </c>
      <c r="K2526" s="691">
        <v>47.2</v>
      </c>
    </row>
    <row r="2527" spans="1:11">
      <c r="A2527" s="688" t="s">
        <v>20</v>
      </c>
      <c r="B2527" s="689">
        <v>43.3</v>
      </c>
      <c r="C2527" s="689">
        <v>43.7</v>
      </c>
      <c r="D2527" s="689">
        <v>43.4</v>
      </c>
      <c r="E2527" s="689">
        <v>43.8</v>
      </c>
      <c r="F2527" s="689">
        <v>43.7</v>
      </c>
      <c r="G2527" s="689">
        <v>43.6</v>
      </c>
      <c r="H2527" s="689">
        <v>43.9</v>
      </c>
      <c r="I2527" s="689">
        <v>42.5</v>
      </c>
      <c r="J2527" s="689">
        <v>41.5</v>
      </c>
      <c r="K2527" s="689">
        <v>43.2</v>
      </c>
    </row>
    <row r="2528" spans="1:11">
      <c r="A2528" s="688" t="s">
        <v>21</v>
      </c>
      <c r="B2528" s="691">
        <v>46.7</v>
      </c>
      <c r="C2528" s="691">
        <v>47.1</v>
      </c>
      <c r="D2528" s="691">
        <v>47.1</v>
      </c>
      <c r="E2528" s="691">
        <v>47.1</v>
      </c>
      <c r="F2528" s="691">
        <v>47.4</v>
      </c>
      <c r="G2528" s="691">
        <v>47.4</v>
      </c>
      <c r="H2528" s="691">
        <v>47.7</v>
      </c>
      <c r="I2528" s="691">
        <v>47.1</v>
      </c>
      <c r="J2528" s="691">
        <v>47.1</v>
      </c>
      <c r="K2528" s="691">
        <v>47.5</v>
      </c>
    </row>
    <row r="2529" spans="1:11">
      <c r="A2529" s="688" t="s">
        <v>22</v>
      </c>
      <c r="B2529" s="689">
        <v>41.7</v>
      </c>
      <c r="C2529" s="689">
        <v>41.4</v>
      </c>
      <c r="D2529" s="689">
        <v>41.4</v>
      </c>
      <c r="E2529" s="689">
        <v>41.6</v>
      </c>
      <c r="F2529" s="689">
        <v>41.6</v>
      </c>
      <c r="G2529" s="689">
        <v>41.6</v>
      </c>
      <c r="H2529" s="689">
        <v>41.8</v>
      </c>
      <c r="I2529" s="689">
        <v>40.299999999999997</v>
      </c>
      <c r="J2529" s="693">
        <v>39</v>
      </c>
      <c r="K2529" s="689">
        <v>41.3</v>
      </c>
    </row>
    <row r="2530" spans="1:11">
      <c r="A2530" s="688" t="s">
        <v>26</v>
      </c>
      <c r="B2530" s="691">
        <v>46.3</v>
      </c>
      <c r="C2530" s="691">
        <v>46.6</v>
      </c>
      <c r="D2530" s="691">
        <v>46.3</v>
      </c>
      <c r="E2530" s="691">
        <v>46.8</v>
      </c>
      <c r="F2530" s="691">
        <v>46.6</v>
      </c>
      <c r="G2530" s="691">
        <v>46.9</v>
      </c>
      <c r="H2530" s="691">
        <v>47.1</v>
      </c>
      <c r="I2530" s="691">
        <v>46.2</v>
      </c>
      <c r="J2530" s="691">
        <v>46.3</v>
      </c>
      <c r="K2530" s="691">
        <v>46.9</v>
      </c>
    </row>
    <row r="2531" spans="1:11">
      <c r="A2531" s="688" t="s">
        <v>25</v>
      </c>
      <c r="B2531" s="689">
        <v>42.8</v>
      </c>
      <c r="C2531" s="689">
        <v>43.1</v>
      </c>
      <c r="D2531" s="689">
        <v>42.8</v>
      </c>
      <c r="E2531" s="689">
        <v>43.4</v>
      </c>
      <c r="F2531" s="689">
        <v>43.3</v>
      </c>
      <c r="G2531" s="689">
        <v>43.4</v>
      </c>
      <c r="H2531" s="689">
        <v>43.9</v>
      </c>
      <c r="I2531" s="689">
        <v>43.1</v>
      </c>
      <c r="J2531" s="689">
        <v>40.799999999999997</v>
      </c>
      <c r="K2531" s="689">
        <v>43.1</v>
      </c>
    </row>
    <row r="2532" spans="1:11">
      <c r="A2532" s="688" t="s">
        <v>5</v>
      </c>
      <c r="B2532" s="615">
        <v>47</v>
      </c>
      <c r="C2532" s="691">
        <v>46.9</v>
      </c>
      <c r="D2532" s="691">
        <v>47.1</v>
      </c>
      <c r="E2532" s="691">
        <v>47.1</v>
      </c>
      <c r="F2532" s="691">
        <v>47.4</v>
      </c>
      <c r="G2532" s="691">
        <v>47.5</v>
      </c>
      <c r="H2532" s="691">
        <v>47.8</v>
      </c>
      <c r="I2532" s="691">
        <v>47.7</v>
      </c>
      <c r="J2532" s="691">
        <v>47.6</v>
      </c>
      <c r="K2532" s="615">
        <v>47</v>
      </c>
    </row>
    <row r="2533" spans="1:11">
      <c r="A2533" s="688" t="s">
        <v>23</v>
      </c>
      <c r="B2533" s="689">
        <v>47.8</v>
      </c>
      <c r="C2533" s="693">
        <v>48</v>
      </c>
      <c r="D2533" s="693">
        <v>48</v>
      </c>
      <c r="E2533" s="689">
        <v>48.1</v>
      </c>
      <c r="F2533" s="689">
        <v>48.2</v>
      </c>
      <c r="G2533" s="689">
        <v>48.3</v>
      </c>
      <c r="H2533" s="689">
        <v>48.8</v>
      </c>
      <c r="I2533" s="689">
        <v>48.2</v>
      </c>
      <c r="J2533" s="689">
        <v>48.7</v>
      </c>
      <c r="K2533" s="689">
        <v>48.8</v>
      </c>
    </row>
    <row r="2534" spans="1:11">
      <c r="A2534" s="688" t="s">
        <v>4067</v>
      </c>
      <c r="B2534" s="691">
        <v>46.5</v>
      </c>
      <c r="C2534" s="691">
        <v>46.8</v>
      </c>
      <c r="D2534" s="691">
        <v>46.5</v>
      </c>
      <c r="E2534" s="691">
        <v>46.8</v>
      </c>
      <c r="F2534" s="691">
        <v>46.8</v>
      </c>
      <c r="G2534" s="691">
        <v>46.9</v>
      </c>
      <c r="H2534" s="692" t="s">
        <v>4060</v>
      </c>
      <c r="I2534" s="692" t="s">
        <v>4060</v>
      </c>
      <c r="J2534" s="692" t="s">
        <v>4060</v>
      </c>
      <c r="K2534" s="692" t="s">
        <v>4060</v>
      </c>
    </row>
    <row r="2535" spans="1:11">
      <c r="A2535" s="688" t="s">
        <v>4066</v>
      </c>
      <c r="B2535" s="689">
        <v>46.5</v>
      </c>
      <c r="C2535" s="689">
        <v>46.8</v>
      </c>
      <c r="D2535" s="689">
        <v>46.5</v>
      </c>
      <c r="E2535" s="689">
        <v>46.9</v>
      </c>
      <c r="F2535" s="689">
        <v>46.8</v>
      </c>
      <c r="G2535" s="689">
        <v>46.9</v>
      </c>
      <c r="H2535" s="690" t="s">
        <v>4060</v>
      </c>
      <c r="I2535" s="690" t="s">
        <v>4060</v>
      </c>
      <c r="J2535" s="690" t="s">
        <v>4060</v>
      </c>
      <c r="K2535" s="690" t="s">
        <v>4060</v>
      </c>
    </row>
    <row r="2536" spans="1:11">
      <c r="A2536" s="688" t="s">
        <v>4062</v>
      </c>
      <c r="B2536" s="691">
        <v>48.3</v>
      </c>
      <c r="C2536" s="691">
        <v>48.5</v>
      </c>
      <c r="D2536" s="691">
        <v>48.4</v>
      </c>
      <c r="E2536" s="691">
        <v>48.8</v>
      </c>
      <c r="F2536" s="691">
        <v>48.9</v>
      </c>
      <c r="G2536" s="615">
        <v>49</v>
      </c>
      <c r="H2536" s="691">
        <v>49.2</v>
      </c>
      <c r="I2536" s="691">
        <v>48.8</v>
      </c>
      <c r="J2536" s="691">
        <v>49.2</v>
      </c>
      <c r="K2536" s="691">
        <v>48.9</v>
      </c>
    </row>
    <row r="2537" spans="1:11">
      <c r="A2537" s="688" t="s">
        <v>9</v>
      </c>
      <c r="B2537" s="689">
        <v>47.9</v>
      </c>
      <c r="C2537" s="689">
        <v>48.3</v>
      </c>
      <c r="D2537" s="689">
        <v>48.1</v>
      </c>
      <c r="E2537" s="689">
        <v>47.8</v>
      </c>
      <c r="F2537" s="689">
        <v>48.3</v>
      </c>
      <c r="G2537" s="689">
        <v>48.4</v>
      </c>
      <c r="H2537" s="689">
        <v>48.6</v>
      </c>
      <c r="I2537" s="689">
        <v>48.6</v>
      </c>
      <c r="J2537" s="689">
        <v>48.9</v>
      </c>
      <c r="K2537" s="689">
        <v>47.8</v>
      </c>
    </row>
    <row r="2538" spans="1:11">
      <c r="A2538" s="688" t="s">
        <v>13</v>
      </c>
      <c r="B2538" s="691">
        <v>48.2</v>
      </c>
      <c r="C2538" s="691">
        <v>47.8</v>
      </c>
      <c r="D2538" s="691">
        <v>48.3</v>
      </c>
      <c r="E2538" s="691">
        <v>47.9</v>
      </c>
      <c r="F2538" s="691">
        <v>48.9</v>
      </c>
      <c r="G2538" s="691">
        <v>48.6</v>
      </c>
      <c r="H2538" s="691">
        <v>49.3</v>
      </c>
      <c r="I2538" s="691">
        <v>48.3</v>
      </c>
      <c r="J2538" s="691">
        <v>49.4</v>
      </c>
      <c r="K2538" s="691">
        <v>49.6</v>
      </c>
    </row>
    <row r="2539" spans="1:11">
      <c r="A2539" s="688" t="s">
        <v>18</v>
      </c>
      <c r="B2539" s="689">
        <v>47.6</v>
      </c>
      <c r="C2539" s="689">
        <v>47.8</v>
      </c>
      <c r="D2539" s="693">
        <v>48</v>
      </c>
      <c r="E2539" s="689">
        <v>48.1</v>
      </c>
      <c r="F2539" s="689">
        <v>48.3</v>
      </c>
      <c r="G2539" s="689">
        <v>48.5</v>
      </c>
      <c r="H2539" s="689">
        <v>48.7</v>
      </c>
      <c r="I2539" s="689">
        <v>48.9</v>
      </c>
      <c r="J2539" s="689">
        <v>48.8</v>
      </c>
      <c r="K2539" s="689">
        <v>48.3</v>
      </c>
    </row>
    <row r="2540" spans="1:11">
      <c r="A2540" s="688" t="s">
        <v>24</v>
      </c>
      <c r="B2540" s="691">
        <v>48.7</v>
      </c>
      <c r="C2540" s="691">
        <v>48.9</v>
      </c>
      <c r="D2540" s="691">
        <v>48.7</v>
      </c>
      <c r="E2540" s="691">
        <v>49.2</v>
      </c>
      <c r="F2540" s="691">
        <v>49.2</v>
      </c>
      <c r="G2540" s="691">
        <v>49.3</v>
      </c>
      <c r="H2540" s="691">
        <v>49.5</v>
      </c>
      <c r="I2540" s="691">
        <v>48.8</v>
      </c>
      <c r="J2540" s="691">
        <v>49.4</v>
      </c>
      <c r="K2540" s="691">
        <v>49.3</v>
      </c>
    </row>
    <row r="2541" spans="1:11">
      <c r="A2541" s="688" t="s">
        <v>4059</v>
      </c>
      <c r="B2541" s="693">
        <v>47</v>
      </c>
      <c r="C2541" s="689">
        <v>47.3</v>
      </c>
      <c r="D2541" s="689">
        <v>46.9</v>
      </c>
      <c r="E2541" s="689">
        <v>47.1</v>
      </c>
      <c r="F2541" s="689">
        <v>47.2</v>
      </c>
      <c r="G2541" s="689">
        <v>47.2</v>
      </c>
      <c r="H2541" s="690" t="s">
        <v>4060</v>
      </c>
      <c r="I2541" s="690" t="s">
        <v>4060</v>
      </c>
      <c r="J2541" s="690" t="s">
        <v>4060</v>
      </c>
      <c r="K2541" s="690" t="s">
        <v>4060</v>
      </c>
    </row>
    <row r="2542" spans="1:11">
      <c r="A2542" s="688" t="s">
        <v>2324</v>
      </c>
      <c r="B2542" s="691">
        <v>42.5</v>
      </c>
      <c r="C2542" s="691">
        <v>42.6</v>
      </c>
      <c r="D2542" s="691">
        <v>42.3</v>
      </c>
      <c r="E2542" s="691">
        <v>42.4</v>
      </c>
      <c r="F2542" s="691">
        <v>42.4</v>
      </c>
      <c r="G2542" s="691">
        <v>42.7</v>
      </c>
      <c r="H2542" s="691">
        <v>42.6</v>
      </c>
      <c r="I2542" s="691">
        <v>41.8</v>
      </c>
      <c r="J2542" s="691">
        <v>39.6</v>
      </c>
      <c r="K2542" s="692" t="s">
        <v>4060</v>
      </c>
    </row>
    <row r="2543" spans="1:11">
      <c r="A2543" s="688" t="s">
        <v>2322</v>
      </c>
      <c r="B2543" s="690" t="s">
        <v>4060</v>
      </c>
      <c r="C2543" s="690" t="s">
        <v>4060</v>
      </c>
      <c r="D2543" s="690" t="s">
        <v>4060</v>
      </c>
      <c r="E2543" s="690" t="s">
        <v>4060</v>
      </c>
      <c r="F2543" s="690" t="s">
        <v>4060</v>
      </c>
      <c r="G2543" s="690" t="s">
        <v>4060</v>
      </c>
      <c r="H2543" s="690" t="s">
        <v>4060</v>
      </c>
      <c r="I2543" s="690" t="s">
        <v>4060</v>
      </c>
      <c r="J2543" s="690" t="s">
        <v>4060</v>
      </c>
      <c r="K2543" s="690" t="s">
        <v>4060</v>
      </c>
    </row>
    <row r="2544" spans="1:11">
      <c r="A2544" s="688" t="s">
        <v>2328</v>
      </c>
      <c r="B2544" s="691">
        <v>41.9</v>
      </c>
      <c r="C2544" s="691">
        <v>41.8</v>
      </c>
      <c r="D2544" s="691">
        <v>41.8</v>
      </c>
      <c r="E2544" s="615">
        <v>42</v>
      </c>
      <c r="F2544" s="691">
        <v>42.3</v>
      </c>
      <c r="G2544" s="691">
        <v>42.6</v>
      </c>
      <c r="H2544" s="691">
        <v>42.6</v>
      </c>
      <c r="I2544" s="691">
        <v>40.299999999999997</v>
      </c>
      <c r="J2544" s="691">
        <v>39.200000000000003</v>
      </c>
      <c r="K2544" s="692" t="s">
        <v>4060</v>
      </c>
    </row>
    <row r="2545" spans="1:11">
      <c r="A2545" s="688" t="s">
        <v>2496</v>
      </c>
      <c r="B2545" s="690" t="s">
        <v>4060</v>
      </c>
      <c r="C2545" s="693">
        <v>41</v>
      </c>
      <c r="D2545" s="689">
        <v>39.9</v>
      </c>
      <c r="E2545" s="689">
        <v>39.6</v>
      </c>
      <c r="F2545" s="689">
        <v>40.299999999999997</v>
      </c>
      <c r="G2545" s="689">
        <v>40.700000000000003</v>
      </c>
      <c r="H2545" s="689">
        <v>40.700000000000003</v>
      </c>
      <c r="I2545" s="690" t="s">
        <v>4060</v>
      </c>
      <c r="J2545" s="690" t="s">
        <v>4060</v>
      </c>
      <c r="K2545" s="689">
        <v>40.299999999999997</v>
      </c>
    </row>
    <row r="2546" spans="1:11">
      <c r="A2546" s="688" t="s">
        <v>2269</v>
      </c>
      <c r="B2546" s="691">
        <v>44.6</v>
      </c>
      <c r="C2546" s="691">
        <v>44.8</v>
      </c>
      <c r="D2546" s="691">
        <v>44.3</v>
      </c>
      <c r="E2546" s="691">
        <v>44.9</v>
      </c>
      <c r="F2546" s="691">
        <v>44.9</v>
      </c>
      <c r="G2546" s="691">
        <v>45.3</v>
      </c>
      <c r="H2546" s="691">
        <v>45.6</v>
      </c>
      <c r="I2546" s="691">
        <v>43.7</v>
      </c>
      <c r="J2546" s="691">
        <v>41.8</v>
      </c>
      <c r="K2546" s="691">
        <v>45.2</v>
      </c>
    </row>
    <row r="2547" spans="1:11">
      <c r="A2547" s="688" t="s">
        <v>2349</v>
      </c>
      <c r="B2547" s="689">
        <v>41.4</v>
      </c>
      <c r="C2547" s="689">
        <v>41.5</v>
      </c>
      <c r="D2547" s="689">
        <v>41.4</v>
      </c>
      <c r="E2547" s="689">
        <v>41.8</v>
      </c>
      <c r="F2547" s="689">
        <v>41.7</v>
      </c>
      <c r="G2547" s="693">
        <v>42</v>
      </c>
      <c r="H2547" s="693">
        <v>42</v>
      </c>
      <c r="I2547" s="689">
        <v>40.5</v>
      </c>
      <c r="J2547" s="689">
        <v>38.799999999999997</v>
      </c>
      <c r="K2547" s="689">
        <v>41.2</v>
      </c>
    </row>
    <row r="2548" spans="1:11">
      <c r="A2548" s="688" t="s">
        <v>2355</v>
      </c>
      <c r="B2548" s="691">
        <v>45.1</v>
      </c>
      <c r="C2548" s="615">
        <v>45</v>
      </c>
      <c r="D2548" s="691">
        <v>44.9</v>
      </c>
      <c r="E2548" s="691">
        <v>44.9</v>
      </c>
      <c r="F2548" s="691">
        <v>45.1</v>
      </c>
      <c r="G2548" s="691">
        <v>45.5</v>
      </c>
      <c r="H2548" s="691">
        <v>45.6</v>
      </c>
      <c r="I2548" s="692" t="s">
        <v>4060</v>
      </c>
      <c r="J2548" s="692" t="s">
        <v>4060</v>
      </c>
      <c r="K2548" s="692" t="s">
        <v>4060</v>
      </c>
    </row>
    <row r="2549" spans="1:11">
      <c r="A2549" s="688" t="s">
        <v>2357</v>
      </c>
      <c r="B2549" s="690" t="s">
        <v>4060</v>
      </c>
      <c r="C2549" s="693">
        <v>39</v>
      </c>
      <c r="D2549" s="689">
        <v>39.5</v>
      </c>
      <c r="E2549" s="689">
        <v>39.799999999999997</v>
      </c>
      <c r="F2549" s="689">
        <v>40.1</v>
      </c>
      <c r="G2549" s="689">
        <v>39.9</v>
      </c>
      <c r="H2549" s="689">
        <v>40.1</v>
      </c>
      <c r="I2549" s="690" t="s">
        <v>4060</v>
      </c>
      <c r="J2549" s="690" t="s">
        <v>4060</v>
      </c>
      <c r="K2549" s="690" t="s">
        <v>4060</v>
      </c>
    </row>
    <row r="2550" spans="1:11">
      <c r="A2550" s="688" t="s">
        <v>4070</v>
      </c>
      <c r="B2550" s="692" t="s">
        <v>4060</v>
      </c>
      <c r="C2550" s="692" t="s">
        <v>4060</v>
      </c>
      <c r="D2550" s="692" t="s">
        <v>4060</v>
      </c>
      <c r="E2550" s="691">
        <v>44.6</v>
      </c>
      <c r="F2550" s="692" t="s">
        <v>4060</v>
      </c>
      <c r="G2550" s="692" t="s">
        <v>4060</v>
      </c>
      <c r="H2550" s="692" t="s">
        <v>4060</v>
      </c>
      <c r="I2550" s="692" t="s">
        <v>4060</v>
      </c>
      <c r="J2550" s="692" t="s">
        <v>4060</v>
      </c>
      <c r="K2550" s="692" t="s">
        <v>4060</v>
      </c>
    </row>
    <row r="2551" spans="1:11">
      <c r="A2551" s="688" t="s">
        <v>2491</v>
      </c>
      <c r="B2551" s="689">
        <v>39.299999999999997</v>
      </c>
      <c r="C2551" s="689">
        <v>39.799999999999997</v>
      </c>
      <c r="D2551" s="689">
        <v>40.200000000000003</v>
      </c>
      <c r="E2551" s="689">
        <v>40.5</v>
      </c>
      <c r="F2551" s="689">
        <v>40.6</v>
      </c>
      <c r="G2551" s="689">
        <v>40.6</v>
      </c>
      <c r="H2551" s="690" t="s">
        <v>4060</v>
      </c>
      <c r="I2551" s="690" t="s">
        <v>4060</v>
      </c>
      <c r="J2551" s="690" t="s">
        <v>4060</v>
      </c>
      <c r="K2551" s="690" t="s">
        <v>4060</v>
      </c>
    </row>
    <row r="2552" spans="1:11">
      <c r="A2552" s="688" t="s">
        <v>2343</v>
      </c>
      <c r="B2552" s="692" t="s">
        <v>4060</v>
      </c>
      <c r="C2552" s="692" t="s">
        <v>4060</v>
      </c>
      <c r="D2552" s="692" t="s">
        <v>4060</v>
      </c>
      <c r="E2552" s="692" t="s">
        <v>4060</v>
      </c>
      <c r="F2552" s="692" t="s">
        <v>4060</v>
      </c>
      <c r="G2552" s="692" t="s">
        <v>4060</v>
      </c>
      <c r="H2552" s="692" t="s">
        <v>4060</v>
      </c>
      <c r="I2552" s="692" t="s">
        <v>4060</v>
      </c>
      <c r="J2552" s="692" t="s">
        <v>4060</v>
      </c>
      <c r="K2552" s="692" t="s">
        <v>4060</v>
      </c>
    </row>
    <row r="2553" spans="1:11">
      <c r="A2553" s="688" t="s">
        <v>4071</v>
      </c>
      <c r="B2553" s="690" t="s">
        <v>4060</v>
      </c>
      <c r="C2553" s="690" t="s">
        <v>4060</v>
      </c>
      <c r="D2553" s="690" t="s">
        <v>4060</v>
      </c>
      <c r="E2553" s="690" t="s">
        <v>4060</v>
      </c>
      <c r="F2553" s="690" t="s">
        <v>4060</v>
      </c>
      <c r="G2553" s="690" t="s">
        <v>4060</v>
      </c>
      <c r="H2553" s="690" t="s">
        <v>4060</v>
      </c>
      <c r="I2553" s="690" t="s">
        <v>4060</v>
      </c>
      <c r="J2553" s="690" t="s">
        <v>4060</v>
      </c>
      <c r="K2553" s="690" t="s">
        <v>4060</v>
      </c>
    </row>
    <row r="2554" spans="1:11">
      <c r="A2554" s="688" t="s">
        <v>2489</v>
      </c>
      <c r="B2554" s="692" t="s">
        <v>4060</v>
      </c>
      <c r="C2554" s="692" t="s">
        <v>4060</v>
      </c>
      <c r="D2554" s="691">
        <v>41.6</v>
      </c>
      <c r="E2554" s="691">
        <v>41.7</v>
      </c>
      <c r="F2554" s="691">
        <v>42.2</v>
      </c>
      <c r="G2554" s="615">
        <v>43</v>
      </c>
      <c r="H2554" s="691">
        <v>42.8</v>
      </c>
      <c r="I2554" s="692" t="s">
        <v>4060</v>
      </c>
      <c r="J2554" s="692" t="s">
        <v>4060</v>
      </c>
      <c r="K2554" s="692" t="s">
        <v>4060</v>
      </c>
    </row>
    <row r="2555" spans="1:11">
      <c r="A2555" s="688" t="s">
        <v>2490</v>
      </c>
      <c r="B2555" s="689">
        <v>41.5</v>
      </c>
      <c r="C2555" s="689">
        <v>41.6</v>
      </c>
      <c r="D2555" s="689">
        <v>42.2</v>
      </c>
      <c r="E2555" s="690" t="s">
        <v>4060</v>
      </c>
      <c r="F2555" s="689">
        <v>42.4</v>
      </c>
      <c r="G2555" s="689">
        <v>42.7</v>
      </c>
      <c r="H2555" s="689">
        <v>43.5</v>
      </c>
      <c r="I2555" s="690" t="s">
        <v>4060</v>
      </c>
      <c r="J2555" s="690" t="s">
        <v>4060</v>
      </c>
      <c r="K2555" s="690" t="s">
        <v>4060</v>
      </c>
    </row>
    <row r="2557" spans="1:11">
      <c r="A2557" s="683" t="s">
        <v>4233</v>
      </c>
    </row>
    <row r="2558" spans="1:11">
      <c r="A2558" s="683" t="s">
        <v>4060</v>
      </c>
      <c r="B2558" s="682" t="s">
        <v>4234</v>
      </c>
    </row>
    <row r="2560" spans="1:11">
      <c r="A2560" s="682" t="s">
        <v>4248</v>
      </c>
    </row>
    <row r="2561" spans="1:11">
      <c r="A2561" s="682" t="s">
        <v>4210</v>
      </c>
      <c r="B2561" s="683" t="s">
        <v>4211</v>
      </c>
    </row>
    <row r="2562" spans="1:11">
      <c r="A2562" s="682" t="s">
        <v>4212</v>
      </c>
      <c r="B2562" s="682" t="s">
        <v>4213</v>
      </c>
    </row>
    <row r="2564" spans="1:11">
      <c r="A2564" s="683" t="s">
        <v>4214</v>
      </c>
      <c r="C2564" s="682" t="s">
        <v>4215</v>
      </c>
    </row>
    <row r="2565" spans="1:11">
      <c r="A2565" s="683" t="s">
        <v>4216</v>
      </c>
      <c r="C2565" s="682" t="s">
        <v>2967</v>
      </c>
    </row>
    <row r="2566" spans="1:11">
      <c r="A2566" s="683" t="s">
        <v>3893</v>
      </c>
      <c r="C2566" s="682" t="s">
        <v>4217</v>
      </c>
    </row>
    <row r="2567" spans="1:11">
      <c r="A2567" s="683" t="s">
        <v>4218</v>
      </c>
      <c r="C2567" s="682" t="s">
        <v>4271</v>
      </c>
    </row>
    <row r="2569" spans="1:11">
      <c r="A2569" s="684" t="s">
        <v>4220</v>
      </c>
      <c r="B2569" s="685" t="s">
        <v>4221</v>
      </c>
      <c r="C2569" s="685" t="s">
        <v>4222</v>
      </c>
      <c r="D2569" s="685" t="s">
        <v>4223</v>
      </c>
      <c r="E2569" s="685" t="s">
        <v>4224</v>
      </c>
      <c r="F2569" s="685" t="s">
        <v>4225</v>
      </c>
      <c r="G2569" s="685" t="s">
        <v>4226</v>
      </c>
      <c r="H2569" s="685" t="s">
        <v>4227</v>
      </c>
      <c r="I2569" s="685" t="s">
        <v>4228</v>
      </c>
      <c r="J2569" s="685" t="s">
        <v>4229</v>
      </c>
      <c r="K2569" s="685" t="s">
        <v>4230</v>
      </c>
    </row>
    <row r="2570" spans="1:11">
      <c r="A2570" s="686" t="s">
        <v>4231</v>
      </c>
      <c r="B2570" s="687" t="s">
        <v>4232</v>
      </c>
      <c r="C2570" s="687" t="s">
        <v>4232</v>
      </c>
      <c r="D2570" s="687" t="s">
        <v>4232</v>
      </c>
      <c r="E2570" s="687" t="s">
        <v>4232</v>
      </c>
      <c r="F2570" s="687" t="s">
        <v>4232</v>
      </c>
      <c r="G2570" s="687" t="s">
        <v>4232</v>
      </c>
      <c r="H2570" s="687" t="s">
        <v>4232</v>
      </c>
      <c r="I2570" s="687" t="s">
        <v>4232</v>
      </c>
      <c r="J2570" s="687" t="s">
        <v>4232</v>
      </c>
      <c r="K2570" s="687" t="s">
        <v>4232</v>
      </c>
    </row>
    <row r="2571" spans="1:11">
      <c r="A2571" s="688" t="s">
        <v>4064</v>
      </c>
      <c r="B2571" s="689">
        <v>45.4</v>
      </c>
      <c r="C2571" s="689">
        <v>45.5</v>
      </c>
      <c r="D2571" s="689">
        <v>45.5</v>
      </c>
      <c r="E2571" s="689">
        <v>45.6</v>
      </c>
      <c r="F2571" s="689">
        <v>45.6</v>
      </c>
      <c r="G2571" s="689">
        <v>45.7</v>
      </c>
      <c r="H2571" s="693">
        <v>46</v>
      </c>
      <c r="I2571" s="689">
        <v>45.1</v>
      </c>
      <c r="J2571" s="689">
        <v>44.8</v>
      </c>
      <c r="K2571" s="689">
        <v>45.4</v>
      </c>
    </row>
    <row r="2572" spans="1:11">
      <c r="A2572" s="688" t="s">
        <v>4065</v>
      </c>
      <c r="B2572" s="691">
        <v>45.5</v>
      </c>
      <c r="C2572" s="691">
        <v>45.8</v>
      </c>
      <c r="D2572" s="691">
        <v>45.5</v>
      </c>
      <c r="E2572" s="691">
        <v>45.9</v>
      </c>
      <c r="F2572" s="691">
        <v>45.8</v>
      </c>
      <c r="G2572" s="691">
        <v>45.9</v>
      </c>
      <c r="H2572" s="692" t="s">
        <v>4060</v>
      </c>
      <c r="I2572" s="692" t="s">
        <v>4060</v>
      </c>
      <c r="J2572" s="692" t="s">
        <v>4060</v>
      </c>
      <c r="K2572" s="692" t="s">
        <v>4060</v>
      </c>
    </row>
    <row r="2573" spans="1:11">
      <c r="A2573" s="688" t="s">
        <v>4063</v>
      </c>
      <c r="B2573" s="689">
        <v>45.5</v>
      </c>
      <c r="C2573" s="689">
        <v>45.9</v>
      </c>
      <c r="D2573" s="689">
        <v>45.5</v>
      </c>
      <c r="E2573" s="689">
        <v>45.9</v>
      </c>
      <c r="F2573" s="689">
        <v>45.9</v>
      </c>
      <c r="G2573" s="689">
        <v>45.9</v>
      </c>
      <c r="H2573" s="690" t="s">
        <v>4060</v>
      </c>
      <c r="I2573" s="690" t="s">
        <v>4060</v>
      </c>
      <c r="J2573" s="690" t="s">
        <v>4060</v>
      </c>
      <c r="K2573" s="690" t="s">
        <v>4060</v>
      </c>
    </row>
    <row r="2574" spans="1:11">
      <c r="A2574" s="688" t="s">
        <v>4069</v>
      </c>
      <c r="B2574" s="692" t="s">
        <v>4060</v>
      </c>
      <c r="C2574" s="691">
        <v>46.5</v>
      </c>
      <c r="D2574" s="691">
        <v>46.2</v>
      </c>
      <c r="E2574" s="691">
        <v>46.5</v>
      </c>
      <c r="F2574" s="691">
        <v>46.5</v>
      </c>
      <c r="G2574" s="691">
        <v>46.7</v>
      </c>
      <c r="H2574" s="691">
        <v>46.9</v>
      </c>
      <c r="I2574" s="691">
        <v>46.2</v>
      </c>
      <c r="J2574" s="691">
        <v>46.2</v>
      </c>
      <c r="K2574" s="691">
        <v>46.4</v>
      </c>
    </row>
    <row r="2575" spans="1:11">
      <c r="A2575" s="688" t="s">
        <v>4068</v>
      </c>
      <c r="B2575" s="689">
        <v>46.4</v>
      </c>
      <c r="C2575" s="690" t="s">
        <v>4060</v>
      </c>
      <c r="D2575" s="690" t="s">
        <v>4060</v>
      </c>
      <c r="E2575" s="690" t="s">
        <v>4060</v>
      </c>
      <c r="F2575" s="690" t="s">
        <v>4060</v>
      </c>
      <c r="G2575" s="690" t="s">
        <v>4060</v>
      </c>
      <c r="H2575" s="690" t="s">
        <v>4060</v>
      </c>
      <c r="I2575" s="690" t="s">
        <v>4060</v>
      </c>
      <c r="J2575" s="690" t="s">
        <v>4060</v>
      </c>
      <c r="K2575" s="690" t="s">
        <v>4060</v>
      </c>
    </row>
    <row r="2576" spans="1:11">
      <c r="A2576" s="688" t="s">
        <v>0</v>
      </c>
      <c r="B2576" s="691">
        <v>45.6</v>
      </c>
      <c r="C2576" s="615">
        <v>46</v>
      </c>
      <c r="D2576" s="691">
        <v>45.8</v>
      </c>
      <c r="E2576" s="691">
        <v>46.1</v>
      </c>
      <c r="F2576" s="691">
        <v>46.3</v>
      </c>
      <c r="G2576" s="691">
        <v>46.4</v>
      </c>
      <c r="H2576" s="691">
        <v>46.7</v>
      </c>
      <c r="I2576" s="691">
        <v>45.6</v>
      </c>
      <c r="J2576" s="691">
        <v>46.5</v>
      </c>
      <c r="K2576" s="691">
        <v>46.5</v>
      </c>
    </row>
    <row r="2577" spans="1:11">
      <c r="A2577" s="688" t="s">
        <v>1</v>
      </c>
      <c r="B2577" s="689">
        <v>40.5</v>
      </c>
      <c r="C2577" s="693">
        <v>40</v>
      </c>
      <c r="D2577" s="693">
        <v>40</v>
      </c>
      <c r="E2577" s="689">
        <v>40.200000000000003</v>
      </c>
      <c r="F2577" s="689">
        <v>40.1</v>
      </c>
      <c r="G2577" s="689">
        <v>40.200000000000003</v>
      </c>
      <c r="H2577" s="689">
        <v>40.299999999999997</v>
      </c>
      <c r="I2577" s="689">
        <v>38.6</v>
      </c>
      <c r="J2577" s="689">
        <v>36.799999999999997</v>
      </c>
      <c r="K2577" s="689">
        <v>39.4</v>
      </c>
    </row>
    <row r="2578" spans="1:11">
      <c r="A2578" s="688" t="s">
        <v>2240</v>
      </c>
      <c r="B2578" s="691">
        <v>43.2</v>
      </c>
      <c r="C2578" s="691">
        <v>43.6</v>
      </c>
      <c r="D2578" s="691">
        <v>43.4</v>
      </c>
      <c r="E2578" s="691">
        <v>43.9</v>
      </c>
      <c r="F2578" s="691">
        <v>43.8</v>
      </c>
      <c r="G2578" s="691">
        <v>43.9</v>
      </c>
      <c r="H2578" s="691">
        <v>44.1</v>
      </c>
      <c r="I2578" s="691">
        <v>43.1</v>
      </c>
      <c r="J2578" s="615">
        <v>42</v>
      </c>
      <c r="K2578" s="691">
        <v>43.9</v>
      </c>
    </row>
    <row r="2579" spans="1:11">
      <c r="A2579" s="688" t="s">
        <v>2</v>
      </c>
      <c r="B2579" s="689">
        <v>45.1</v>
      </c>
      <c r="C2579" s="689">
        <v>45.4</v>
      </c>
      <c r="D2579" s="689">
        <v>45.5</v>
      </c>
      <c r="E2579" s="689">
        <v>45.6</v>
      </c>
      <c r="F2579" s="689">
        <v>45.9</v>
      </c>
      <c r="G2579" s="689">
        <v>45.7</v>
      </c>
      <c r="H2579" s="689">
        <v>46.1</v>
      </c>
      <c r="I2579" s="689">
        <v>46.3</v>
      </c>
      <c r="J2579" s="689">
        <v>46.1</v>
      </c>
      <c r="K2579" s="693">
        <v>46</v>
      </c>
    </row>
    <row r="2580" spans="1:11">
      <c r="A2580" s="688" t="s">
        <v>3</v>
      </c>
      <c r="B2580" s="691">
        <v>45.4</v>
      </c>
      <c r="C2580" s="691">
        <v>45.7</v>
      </c>
      <c r="D2580" s="691">
        <v>45.4</v>
      </c>
      <c r="E2580" s="691">
        <v>45.7</v>
      </c>
      <c r="F2580" s="691">
        <v>45.7</v>
      </c>
      <c r="G2580" s="691">
        <v>45.7</v>
      </c>
      <c r="H2580" s="615">
        <v>46</v>
      </c>
      <c r="I2580" s="691">
        <v>45.7</v>
      </c>
      <c r="J2580" s="691">
        <v>45.4</v>
      </c>
      <c r="K2580" s="691">
        <v>45.3</v>
      </c>
    </row>
    <row r="2581" spans="1:11">
      <c r="A2581" s="688" t="s">
        <v>4061</v>
      </c>
      <c r="B2581" s="689">
        <v>45.4</v>
      </c>
      <c r="C2581" s="689">
        <v>45.7</v>
      </c>
      <c r="D2581" s="689">
        <v>45.4</v>
      </c>
      <c r="E2581" s="689">
        <v>45.7</v>
      </c>
      <c r="F2581" s="689">
        <v>45.7</v>
      </c>
      <c r="G2581" s="689">
        <v>45.7</v>
      </c>
      <c r="H2581" s="693">
        <v>46</v>
      </c>
      <c r="I2581" s="689">
        <v>45.7</v>
      </c>
      <c r="J2581" s="689">
        <v>45.4</v>
      </c>
      <c r="K2581" s="689">
        <v>45.3</v>
      </c>
    </row>
    <row r="2582" spans="1:11">
      <c r="A2582" s="688" t="s">
        <v>4</v>
      </c>
      <c r="B2582" s="691">
        <v>42.8</v>
      </c>
      <c r="C2582" s="691">
        <v>42.6</v>
      </c>
      <c r="D2582" s="615">
        <v>43</v>
      </c>
      <c r="E2582" s="691">
        <v>43.1</v>
      </c>
      <c r="F2582" s="691">
        <v>43.3</v>
      </c>
      <c r="G2582" s="691">
        <v>43.3</v>
      </c>
      <c r="H2582" s="691">
        <v>43.8</v>
      </c>
      <c r="I2582" s="691">
        <v>43.6</v>
      </c>
      <c r="J2582" s="691">
        <v>42.2</v>
      </c>
      <c r="K2582" s="691">
        <v>43.1</v>
      </c>
    </row>
    <row r="2583" spans="1:11">
      <c r="A2583" s="688" t="s">
        <v>8</v>
      </c>
      <c r="B2583" s="693">
        <v>46</v>
      </c>
      <c r="C2583" s="689">
        <v>46.2</v>
      </c>
      <c r="D2583" s="689">
        <v>46.2</v>
      </c>
      <c r="E2583" s="689">
        <v>46.4</v>
      </c>
      <c r="F2583" s="689">
        <v>46.8</v>
      </c>
      <c r="G2583" s="689">
        <v>46.8</v>
      </c>
      <c r="H2583" s="689">
        <v>47.2</v>
      </c>
      <c r="I2583" s="693">
        <v>47</v>
      </c>
      <c r="J2583" s="689">
        <v>46.9</v>
      </c>
      <c r="K2583" s="689">
        <v>47.1</v>
      </c>
    </row>
    <row r="2584" spans="1:11">
      <c r="A2584" s="688" t="s">
        <v>7</v>
      </c>
      <c r="B2584" s="691">
        <v>46.3</v>
      </c>
      <c r="C2584" s="691">
        <v>45.9</v>
      </c>
      <c r="D2584" s="691">
        <v>45.7</v>
      </c>
      <c r="E2584" s="615">
        <v>46</v>
      </c>
      <c r="F2584" s="691">
        <v>45.9</v>
      </c>
      <c r="G2584" s="691">
        <v>46.4</v>
      </c>
      <c r="H2584" s="691">
        <v>46.3</v>
      </c>
      <c r="I2584" s="691">
        <v>45.9</v>
      </c>
      <c r="J2584" s="691">
        <v>44.9</v>
      </c>
      <c r="K2584" s="691">
        <v>45.6</v>
      </c>
    </row>
    <row r="2585" spans="1:11">
      <c r="A2585" s="688" t="s">
        <v>27</v>
      </c>
      <c r="B2585" s="689">
        <v>47.8</v>
      </c>
      <c r="C2585" s="689">
        <v>47.6</v>
      </c>
      <c r="D2585" s="689">
        <v>47.3</v>
      </c>
      <c r="E2585" s="689">
        <v>47.7</v>
      </c>
      <c r="F2585" s="689">
        <v>47.7</v>
      </c>
      <c r="G2585" s="689">
        <v>47.8</v>
      </c>
      <c r="H2585" s="689">
        <v>48.2</v>
      </c>
      <c r="I2585" s="689">
        <v>46.9</v>
      </c>
      <c r="J2585" s="689">
        <v>47.7</v>
      </c>
      <c r="K2585" s="689">
        <v>47.7</v>
      </c>
    </row>
    <row r="2586" spans="1:11">
      <c r="A2586" s="688" t="s">
        <v>6</v>
      </c>
      <c r="B2586" s="691">
        <v>47.4</v>
      </c>
      <c r="C2586" s="691">
        <v>47.3</v>
      </c>
      <c r="D2586" s="691">
        <v>47.1</v>
      </c>
      <c r="E2586" s="691">
        <v>47.3</v>
      </c>
      <c r="F2586" s="691">
        <v>47.4</v>
      </c>
      <c r="G2586" s="691">
        <v>47.5</v>
      </c>
      <c r="H2586" s="691">
        <v>47.7</v>
      </c>
      <c r="I2586" s="691">
        <v>47.1</v>
      </c>
      <c r="J2586" s="691">
        <v>47.2</v>
      </c>
      <c r="K2586" s="691">
        <v>47.2</v>
      </c>
    </row>
    <row r="2587" spans="1:11">
      <c r="A2587" s="688" t="s">
        <v>4058</v>
      </c>
      <c r="B2587" s="690" t="s">
        <v>4060</v>
      </c>
      <c r="C2587" s="690" t="s">
        <v>4060</v>
      </c>
      <c r="D2587" s="690" t="s">
        <v>4060</v>
      </c>
      <c r="E2587" s="690" t="s">
        <v>4060</v>
      </c>
      <c r="F2587" s="690" t="s">
        <v>4060</v>
      </c>
      <c r="G2587" s="690" t="s">
        <v>4060</v>
      </c>
      <c r="H2587" s="690" t="s">
        <v>4060</v>
      </c>
      <c r="I2587" s="690" t="s">
        <v>4060</v>
      </c>
      <c r="J2587" s="690" t="s">
        <v>4060</v>
      </c>
      <c r="K2587" s="690" t="s">
        <v>4060</v>
      </c>
    </row>
    <row r="2588" spans="1:11">
      <c r="A2588" s="688" t="s">
        <v>11</v>
      </c>
      <c r="B2588" s="691">
        <v>42.8</v>
      </c>
      <c r="C2588" s="691">
        <v>42.8</v>
      </c>
      <c r="D2588" s="691">
        <v>42.4</v>
      </c>
      <c r="E2588" s="615">
        <v>43</v>
      </c>
      <c r="F2588" s="691">
        <v>42.8</v>
      </c>
      <c r="G2588" s="615">
        <v>43</v>
      </c>
      <c r="H2588" s="691">
        <v>43.2</v>
      </c>
      <c r="I2588" s="691">
        <v>42.5</v>
      </c>
      <c r="J2588" s="691">
        <v>41.5</v>
      </c>
      <c r="K2588" s="691">
        <v>42.7</v>
      </c>
    </row>
    <row r="2589" spans="1:11">
      <c r="A2589" s="688" t="s">
        <v>10</v>
      </c>
      <c r="B2589" s="689">
        <v>47.6</v>
      </c>
      <c r="C2589" s="689">
        <v>47.5</v>
      </c>
      <c r="D2589" s="689">
        <v>47.1</v>
      </c>
      <c r="E2589" s="689">
        <v>47.7</v>
      </c>
      <c r="F2589" s="689">
        <v>47.5</v>
      </c>
      <c r="G2589" s="689">
        <v>47.8</v>
      </c>
      <c r="H2589" s="693">
        <v>48</v>
      </c>
      <c r="I2589" s="689">
        <v>46.8</v>
      </c>
      <c r="J2589" s="689">
        <v>47.3</v>
      </c>
      <c r="K2589" s="689">
        <v>47.4</v>
      </c>
    </row>
    <row r="2590" spans="1:11">
      <c r="A2590" s="688" t="s">
        <v>30</v>
      </c>
      <c r="B2590" s="691">
        <v>47.2</v>
      </c>
      <c r="C2590" s="691">
        <v>46.9</v>
      </c>
      <c r="D2590" s="691">
        <v>46.6</v>
      </c>
      <c r="E2590" s="691">
        <v>47.4</v>
      </c>
      <c r="F2590" s="615">
        <v>47</v>
      </c>
      <c r="G2590" s="691">
        <v>47.6</v>
      </c>
      <c r="H2590" s="691">
        <v>47.4</v>
      </c>
      <c r="I2590" s="691">
        <v>47.3</v>
      </c>
      <c r="J2590" s="691">
        <v>46.5</v>
      </c>
      <c r="K2590" s="691">
        <v>46.9</v>
      </c>
    </row>
    <row r="2591" spans="1:11">
      <c r="A2591" s="688" t="s">
        <v>12</v>
      </c>
      <c r="B2591" s="689">
        <v>39.9</v>
      </c>
      <c r="C2591" s="693">
        <v>40</v>
      </c>
      <c r="D2591" s="689">
        <v>40.200000000000003</v>
      </c>
      <c r="E2591" s="689">
        <v>40.4</v>
      </c>
      <c r="F2591" s="689">
        <v>40.4</v>
      </c>
      <c r="G2591" s="689">
        <v>40.4</v>
      </c>
      <c r="H2591" s="693">
        <v>41</v>
      </c>
      <c r="I2591" s="689">
        <v>40.700000000000003</v>
      </c>
      <c r="J2591" s="689">
        <v>38.4</v>
      </c>
      <c r="K2591" s="689">
        <v>39.799999999999997</v>
      </c>
    </row>
    <row r="2592" spans="1:11">
      <c r="A2592" s="688" t="s">
        <v>14</v>
      </c>
      <c r="B2592" s="691">
        <v>39.9</v>
      </c>
      <c r="C2592" s="691">
        <v>40.4</v>
      </c>
      <c r="D2592" s="691">
        <v>40.200000000000003</v>
      </c>
      <c r="E2592" s="691">
        <v>40.299999999999997</v>
      </c>
      <c r="F2592" s="691">
        <v>41.1</v>
      </c>
      <c r="G2592" s="691">
        <v>41.3</v>
      </c>
      <c r="H2592" s="691">
        <v>41.7</v>
      </c>
      <c r="I2592" s="691">
        <v>40.4</v>
      </c>
      <c r="J2592" s="691">
        <v>39.6</v>
      </c>
      <c r="K2592" s="615">
        <v>41</v>
      </c>
    </row>
    <row r="2593" spans="1:11">
      <c r="A2593" s="688" t="s">
        <v>15</v>
      </c>
      <c r="B2593" s="689">
        <v>46.8</v>
      </c>
      <c r="C2593" s="689">
        <v>46.6</v>
      </c>
      <c r="D2593" s="689">
        <v>46.7</v>
      </c>
      <c r="E2593" s="693">
        <v>47</v>
      </c>
      <c r="F2593" s="689">
        <v>46.5</v>
      </c>
      <c r="G2593" s="689">
        <v>46.9</v>
      </c>
      <c r="H2593" s="689">
        <v>47.2</v>
      </c>
      <c r="I2593" s="689">
        <v>46.9</v>
      </c>
      <c r="J2593" s="689">
        <v>47.1</v>
      </c>
      <c r="K2593" s="689">
        <v>47.6</v>
      </c>
    </row>
    <row r="2594" spans="1:11">
      <c r="A2594" s="688" t="s">
        <v>29</v>
      </c>
      <c r="B2594" s="691">
        <v>40.799999999999997</v>
      </c>
      <c r="C2594" s="691">
        <v>40.799999999999997</v>
      </c>
      <c r="D2594" s="691">
        <v>40.6</v>
      </c>
      <c r="E2594" s="615">
        <v>41</v>
      </c>
      <c r="F2594" s="691">
        <v>40.799999999999997</v>
      </c>
      <c r="G2594" s="691">
        <v>40.9</v>
      </c>
      <c r="H2594" s="691">
        <v>41.2</v>
      </c>
      <c r="I2594" s="691">
        <v>40.4</v>
      </c>
      <c r="J2594" s="691">
        <v>39.1</v>
      </c>
      <c r="K2594" s="691">
        <v>40.799999999999997</v>
      </c>
    </row>
    <row r="2595" spans="1:11">
      <c r="A2595" s="688" t="s">
        <v>16</v>
      </c>
      <c r="B2595" s="689">
        <v>46.8</v>
      </c>
      <c r="C2595" s="689">
        <v>46.7</v>
      </c>
      <c r="D2595" s="689">
        <v>46.8</v>
      </c>
      <c r="E2595" s="689">
        <v>47.1</v>
      </c>
      <c r="F2595" s="689">
        <v>47.1</v>
      </c>
      <c r="G2595" s="693">
        <v>47</v>
      </c>
      <c r="H2595" s="689">
        <v>47.5</v>
      </c>
      <c r="I2595" s="689">
        <v>46.7</v>
      </c>
      <c r="J2595" s="689">
        <v>46.8</v>
      </c>
      <c r="K2595" s="693">
        <v>47</v>
      </c>
    </row>
    <row r="2596" spans="1:11">
      <c r="A2596" s="688" t="s">
        <v>17</v>
      </c>
      <c r="B2596" s="691">
        <v>46.2</v>
      </c>
      <c r="C2596" s="691">
        <v>46.4</v>
      </c>
      <c r="D2596" s="691">
        <v>46.2</v>
      </c>
      <c r="E2596" s="691">
        <v>46.3</v>
      </c>
      <c r="F2596" s="691">
        <v>46.5</v>
      </c>
      <c r="G2596" s="691">
        <v>46.5</v>
      </c>
      <c r="H2596" s="691">
        <v>46.8</v>
      </c>
      <c r="I2596" s="691">
        <v>46.1</v>
      </c>
      <c r="J2596" s="691">
        <v>46.1</v>
      </c>
      <c r="K2596" s="691">
        <v>46.4</v>
      </c>
    </row>
    <row r="2597" spans="1:11">
      <c r="A2597" s="688" t="s">
        <v>19</v>
      </c>
      <c r="B2597" s="689">
        <v>46.1</v>
      </c>
      <c r="C2597" s="689">
        <v>46.2</v>
      </c>
      <c r="D2597" s="693">
        <v>46</v>
      </c>
      <c r="E2597" s="689">
        <v>46.4</v>
      </c>
      <c r="F2597" s="689">
        <v>46.4</v>
      </c>
      <c r="G2597" s="689">
        <v>46.5</v>
      </c>
      <c r="H2597" s="689">
        <v>46.8</v>
      </c>
      <c r="I2597" s="689">
        <v>46.1</v>
      </c>
      <c r="J2597" s="689">
        <v>46.1</v>
      </c>
      <c r="K2597" s="689">
        <v>46.2</v>
      </c>
    </row>
    <row r="2598" spans="1:11">
      <c r="A2598" s="688" t="s">
        <v>20</v>
      </c>
      <c r="B2598" s="691">
        <v>42.3</v>
      </c>
      <c r="C2598" s="691">
        <v>42.7</v>
      </c>
      <c r="D2598" s="691">
        <v>42.5</v>
      </c>
      <c r="E2598" s="691">
        <v>42.9</v>
      </c>
      <c r="F2598" s="691">
        <v>42.8</v>
      </c>
      <c r="G2598" s="691">
        <v>42.7</v>
      </c>
      <c r="H2598" s="615">
        <v>43</v>
      </c>
      <c r="I2598" s="691">
        <v>41.5</v>
      </c>
      <c r="J2598" s="691">
        <v>40.6</v>
      </c>
      <c r="K2598" s="691">
        <v>42.3</v>
      </c>
    </row>
    <row r="2599" spans="1:11">
      <c r="A2599" s="688" t="s">
        <v>21</v>
      </c>
      <c r="B2599" s="689">
        <v>45.7</v>
      </c>
      <c r="C2599" s="689">
        <v>46.1</v>
      </c>
      <c r="D2599" s="689">
        <v>46.1</v>
      </c>
      <c r="E2599" s="689">
        <v>46.1</v>
      </c>
      <c r="F2599" s="689">
        <v>46.4</v>
      </c>
      <c r="G2599" s="689">
        <v>46.4</v>
      </c>
      <c r="H2599" s="689">
        <v>46.8</v>
      </c>
      <c r="I2599" s="689">
        <v>46.1</v>
      </c>
      <c r="J2599" s="689">
        <v>46.2</v>
      </c>
      <c r="K2599" s="689">
        <v>46.5</v>
      </c>
    </row>
    <row r="2600" spans="1:11">
      <c r="A2600" s="688" t="s">
        <v>22</v>
      </c>
      <c r="B2600" s="691">
        <v>40.799999999999997</v>
      </c>
      <c r="C2600" s="691">
        <v>40.5</v>
      </c>
      <c r="D2600" s="691">
        <v>40.4</v>
      </c>
      <c r="E2600" s="691">
        <v>40.6</v>
      </c>
      <c r="F2600" s="691">
        <v>40.6</v>
      </c>
      <c r="G2600" s="691">
        <v>40.6</v>
      </c>
      <c r="H2600" s="691">
        <v>40.9</v>
      </c>
      <c r="I2600" s="691">
        <v>39.4</v>
      </c>
      <c r="J2600" s="691">
        <v>38.1</v>
      </c>
      <c r="K2600" s="691">
        <v>40.4</v>
      </c>
    </row>
    <row r="2601" spans="1:11">
      <c r="A2601" s="688" t="s">
        <v>26</v>
      </c>
      <c r="B2601" s="689">
        <v>45.3</v>
      </c>
      <c r="C2601" s="689">
        <v>45.6</v>
      </c>
      <c r="D2601" s="689">
        <v>45.3</v>
      </c>
      <c r="E2601" s="689">
        <v>45.8</v>
      </c>
      <c r="F2601" s="689">
        <v>45.6</v>
      </c>
      <c r="G2601" s="689">
        <v>45.9</v>
      </c>
      <c r="H2601" s="689">
        <v>46.1</v>
      </c>
      <c r="I2601" s="689">
        <v>45.2</v>
      </c>
      <c r="J2601" s="689">
        <v>45.3</v>
      </c>
      <c r="K2601" s="689">
        <v>45.9</v>
      </c>
    </row>
    <row r="2602" spans="1:11">
      <c r="A2602" s="688" t="s">
        <v>25</v>
      </c>
      <c r="B2602" s="691">
        <v>41.8</v>
      </c>
      <c r="C2602" s="691">
        <v>42.1</v>
      </c>
      <c r="D2602" s="691">
        <v>41.9</v>
      </c>
      <c r="E2602" s="691">
        <v>42.4</v>
      </c>
      <c r="F2602" s="691">
        <v>42.4</v>
      </c>
      <c r="G2602" s="691">
        <v>42.5</v>
      </c>
      <c r="H2602" s="691">
        <v>42.9</v>
      </c>
      <c r="I2602" s="691">
        <v>42.1</v>
      </c>
      <c r="J2602" s="691">
        <v>39.799999999999997</v>
      </c>
      <c r="K2602" s="691">
        <v>42.2</v>
      </c>
    </row>
    <row r="2603" spans="1:11">
      <c r="A2603" s="688" t="s">
        <v>5</v>
      </c>
      <c r="B2603" s="693">
        <v>46</v>
      </c>
      <c r="C2603" s="693">
        <v>46</v>
      </c>
      <c r="D2603" s="689">
        <v>46.2</v>
      </c>
      <c r="E2603" s="689">
        <v>46.1</v>
      </c>
      <c r="F2603" s="689">
        <v>46.4</v>
      </c>
      <c r="G2603" s="689">
        <v>46.5</v>
      </c>
      <c r="H2603" s="689">
        <v>46.8</v>
      </c>
      <c r="I2603" s="689">
        <v>46.8</v>
      </c>
      <c r="J2603" s="689">
        <v>46.7</v>
      </c>
      <c r="K2603" s="689">
        <v>46.1</v>
      </c>
    </row>
    <row r="2604" spans="1:11">
      <c r="A2604" s="688" t="s">
        <v>23</v>
      </c>
      <c r="B2604" s="691">
        <v>46.8</v>
      </c>
      <c r="C2604" s="615">
        <v>47</v>
      </c>
      <c r="D2604" s="615">
        <v>47</v>
      </c>
      <c r="E2604" s="691">
        <v>47.1</v>
      </c>
      <c r="F2604" s="691">
        <v>47.2</v>
      </c>
      <c r="G2604" s="691">
        <v>47.3</v>
      </c>
      <c r="H2604" s="691">
        <v>47.8</v>
      </c>
      <c r="I2604" s="691">
        <v>47.2</v>
      </c>
      <c r="J2604" s="691">
        <v>47.7</v>
      </c>
      <c r="K2604" s="691">
        <v>47.8</v>
      </c>
    </row>
    <row r="2605" spans="1:11">
      <c r="A2605" s="688" t="s">
        <v>4067</v>
      </c>
      <c r="B2605" s="689">
        <v>45.5</v>
      </c>
      <c r="C2605" s="689">
        <v>45.8</v>
      </c>
      <c r="D2605" s="689">
        <v>45.5</v>
      </c>
      <c r="E2605" s="689">
        <v>45.9</v>
      </c>
      <c r="F2605" s="689">
        <v>45.8</v>
      </c>
      <c r="G2605" s="689">
        <v>45.9</v>
      </c>
      <c r="H2605" s="690" t="s">
        <v>4060</v>
      </c>
      <c r="I2605" s="690" t="s">
        <v>4060</v>
      </c>
      <c r="J2605" s="690" t="s">
        <v>4060</v>
      </c>
      <c r="K2605" s="690" t="s">
        <v>4060</v>
      </c>
    </row>
    <row r="2606" spans="1:11">
      <c r="A2606" s="688" t="s">
        <v>4066</v>
      </c>
      <c r="B2606" s="691">
        <v>45.5</v>
      </c>
      <c r="C2606" s="691">
        <v>45.9</v>
      </c>
      <c r="D2606" s="691">
        <v>45.6</v>
      </c>
      <c r="E2606" s="691">
        <v>45.9</v>
      </c>
      <c r="F2606" s="691">
        <v>45.9</v>
      </c>
      <c r="G2606" s="615">
        <v>46</v>
      </c>
      <c r="H2606" s="692" t="s">
        <v>4060</v>
      </c>
      <c r="I2606" s="692" t="s">
        <v>4060</v>
      </c>
      <c r="J2606" s="692" t="s">
        <v>4060</v>
      </c>
      <c r="K2606" s="692" t="s">
        <v>4060</v>
      </c>
    </row>
    <row r="2607" spans="1:11">
      <c r="A2607" s="688" t="s">
        <v>4062</v>
      </c>
      <c r="B2607" s="689">
        <v>47.3</v>
      </c>
      <c r="C2607" s="689">
        <v>47.5</v>
      </c>
      <c r="D2607" s="689">
        <v>47.4</v>
      </c>
      <c r="E2607" s="689">
        <v>47.8</v>
      </c>
      <c r="F2607" s="689">
        <v>47.9</v>
      </c>
      <c r="G2607" s="693">
        <v>48</v>
      </c>
      <c r="H2607" s="689">
        <v>48.2</v>
      </c>
      <c r="I2607" s="689">
        <v>47.8</v>
      </c>
      <c r="J2607" s="689">
        <v>48.2</v>
      </c>
      <c r="K2607" s="689">
        <v>47.9</v>
      </c>
    </row>
    <row r="2608" spans="1:11">
      <c r="A2608" s="688" t="s">
        <v>9</v>
      </c>
      <c r="B2608" s="691">
        <v>46.9</v>
      </c>
      <c r="C2608" s="691">
        <v>47.4</v>
      </c>
      <c r="D2608" s="691">
        <v>47.2</v>
      </c>
      <c r="E2608" s="691">
        <v>46.9</v>
      </c>
      <c r="F2608" s="691">
        <v>47.4</v>
      </c>
      <c r="G2608" s="691">
        <v>47.5</v>
      </c>
      <c r="H2608" s="691">
        <v>47.6</v>
      </c>
      <c r="I2608" s="691">
        <v>47.7</v>
      </c>
      <c r="J2608" s="615">
        <v>48</v>
      </c>
      <c r="K2608" s="691">
        <v>46.9</v>
      </c>
    </row>
    <row r="2609" spans="1:11">
      <c r="A2609" s="688" t="s">
        <v>13</v>
      </c>
      <c r="B2609" s="689">
        <v>47.3</v>
      </c>
      <c r="C2609" s="689">
        <v>46.8</v>
      </c>
      <c r="D2609" s="689">
        <v>47.3</v>
      </c>
      <c r="E2609" s="693">
        <v>47</v>
      </c>
      <c r="F2609" s="689">
        <v>47.9</v>
      </c>
      <c r="G2609" s="689">
        <v>47.6</v>
      </c>
      <c r="H2609" s="689">
        <v>48.3</v>
      </c>
      <c r="I2609" s="689">
        <v>47.3</v>
      </c>
      <c r="J2609" s="689">
        <v>48.4</v>
      </c>
      <c r="K2609" s="689">
        <v>48.6</v>
      </c>
    </row>
    <row r="2610" spans="1:11">
      <c r="A2610" s="688" t="s">
        <v>18</v>
      </c>
      <c r="B2610" s="691">
        <v>46.6</v>
      </c>
      <c r="C2610" s="691">
        <v>46.9</v>
      </c>
      <c r="D2610" s="615">
        <v>47</v>
      </c>
      <c r="E2610" s="691">
        <v>47.2</v>
      </c>
      <c r="F2610" s="691">
        <v>47.4</v>
      </c>
      <c r="G2610" s="691">
        <v>47.5</v>
      </c>
      <c r="H2610" s="691">
        <v>47.7</v>
      </c>
      <c r="I2610" s="691">
        <v>47.9</v>
      </c>
      <c r="J2610" s="691">
        <v>47.8</v>
      </c>
      <c r="K2610" s="691">
        <v>47.3</v>
      </c>
    </row>
    <row r="2611" spans="1:11">
      <c r="A2611" s="688" t="s">
        <v>24</v>
      </c>
      <c r="B2611" s="689">
        <v>47.7</v>
      </c>
      <c r="C2611" s="689">
        <v>47.9</v>
      </c>
      <c r="D2611" s="689">
        <v>47.7</v>
      </c>
      <c r="E2611" s="689">
        <v>48.2</v>
      </c>
      <c r="F2611" s="689">
        <v>48.2</v>
      </c>
      <c r="G2611" s="689">
        <v>48.4</v>
      </c>
      <c r="H2611" s="689">
        <v>48.5</v>
      </c>
      <c r="I2611" s="689">
        <v>47.8</v>
      </c>
      <c r="J2611" s="689">
        <v>48.4</v>
      </c>
      <c r="K2611" s="689">
        <v>48.3</v>
      </c>
    </row>
    <row r="2612" spans="1:11">
      <c r="A2612" s="688" t="s">
        <v>4059</v>
      </c>
      <c r="B2612" s="615">
        <v>46</v>
      </c>
      <c r="C2612" s="691">
        <v>46.3</v>
      </c>
      <c r="D2612" s="615">
        <v>46</v>
      </c>
      <c r="E2612" s="691">
        <v>46.2</v>
      </c>
      <c r="F2612" s="691">
        <v>46.2</v>
      </c>
      <c r="G2612" s="691">
        <v>46.2</v>
      </c>
      <c r="H2612" s="692" t="s">
        <v>4060</v>
      </c>
      <c r="I2612" s="692" t="s">
        <v>4060</v>
      </c>
      <c r="J2612" s="692" t="s">
        <v>4060</v>
      </c>
      <c r="K2612" s="692" t="s">
        <v>4060</v>
      </c>
    </row>
    <row r="2613" spans="1:11">
      <c r="A2613" s="688" t="s">
        <v>2324</v>
      </c>
      <c r="B2613" s="689">
        <v>41.5</v>
      </c>
      <c r="C2613" s="689">
        <v>41.6</v>
      </c>
      <c r="D2613" s="689">
        <v>41.3</v>
      </c>
      <c r="E2613" s="689">
        <v>41.4</v>
      </c>
      <c r="F2613" s="689">
        <v>41.5</v>
      </c>
      <c r="G2613" s="689">
        <v>41.7</v>
      </c>
      <c r="H2613" s="689">
        <v>41.6</v>
      </c>
      <c r="I2613" s="689">
        <v>40.799999999999997</v>
      </c>
      <c r="J2613" s="689">
        <v>38.6</v>
      </c>
      <c r="K2613" s="690" t="s">
        <v>4060</v>
      </c>
    </row>
    <row r="2614" spans="1:11">
      <c r="A2614" s="688" t="s">
        <v>2322</v>
      </c>
      <c r="B2614" s="692" t="s">
        <v>4060</v>
      </c>
      <c r="C2614" s="692" t="s">
        <v>4060</v>
      </c>
      <c r="D2614" s="692" t="s">
        <v>4060</v>
      </c>
      <c r="E2614" s="692" t="s">
        <v>4060</v>
      </c>
      <c r="F2614" s="692" t="s">
        <v>4060</v>
      </c>
      <c r="G2614" s="692" t="s">
        <v>4060</v>
      </c>
      <c r="H2614" s="692" t="s">
        <v>4060</v>
      </c>
      <c r="I2614" s="692" t="s">
        <v>4060</v>
      </c>
      <c r="J2614" s="692" t="s">
        <v>4060</v>
      </c>
      <c r="K2614" s="692" t="s">
        <v>4060</v>
      </c>
    </row>
    <row r="2615" spans="1:11">
      <c r="A2615" s="688" t="s">
        <v>2328</v>
      </c>
      <c r="B2615" s="689">
        <v>40.9</v>
      </c>
      <c r="C2615" s="689">
        <v>40.799999999999997</v>
      </c>
      <c r="D2615" s="689">
        <v>40.799999999999997</v>
      </c>
      <c r="E2615" s="693">
        <v>41</v>
      </c>
      <c r="F2615" s="689">
        <v>41.3</v>
      </c>
      <c r="G2615" s="689">
        <v>41.7</v>
      </c>
      <c r="H2615" s="689">
        <v>41.6</v>
      </c>
      <c r="I2615" s="689">
        <v>39.4</v>
      </c>
      <c r="J2615" s="689">
        <v>38.299999999999997</v>
      </c>
      <c r="K2615" s="690" t="s">
        <v>4060</v>
      </c>
    </row>
    <row r="2616" spans="1:11">
      <c r="A2616" s="688" t="s">
        <v>2496</v>
      </c>
      <c r="B2616" s="692" t="s">
        <v>4060</v>
      </c>
      <c r="C2616" s="691">
        <v>40.1</v>
      </c>
      <c r="D2616" s="615">
        <v>39</v>
      </c>
      <c r="E2616" s="691">
        <v>38.700000000000003</v>
      </c>
      <c r="F2616" s="691">
        <v>39.4</v>
      </c>
      <c r="G2616" s="691">
        <v>39.700000000000003</v>
      </c>
      <c r="H2616" s="691">
        <v>39.700000000000003</v>
      </c>
      <c r="I2616" s="692" t="s">
        <v>4060</v>
      </c>
      <c r="J2616" s="692" t="s">
        <v>4060</v>
      </c>
      <c r="K2616" s="691">
        <v>39.299999999999997</v>
      </c>
    </row>
    <row r="2617" spans="1:11">
      <c r="A2617" s="688" t="s">
        <v>2269</v>
      </c>
      <c r="B2617" s="689">
        <v>43.7</v>
      </c>
      <c r="C2617" s="689">
        <v>43.8</v>
      </c>
      <c r="D2617" s="689">
        <v>43.4</v>
      </c>
      <c r="E2617" s="693">
        <v>44</v>
      </c>
      <c r="F2617" s="689">
        <v>43.9</v>
      </c>
      <c r="G2617" s="689">
        <v>44.3</v>
      </c>
      <c r="H2617" s="689">
        <v>44.6</v>
      </c>
      <c r="I2617" s="689">
        <v>42.7</v>
      </c>
      <c r="J2617" s="689">
        <v>40.799999999999997</v>
      </c>
      <c r="K2617" s="689">
        <v>44.2</v>
      </c>
    </row>
    <row r="2618" spans="1:11">
      <c r="A2618" s="688" t="s">
        <v>2349</v>
      </c>
      <c r="B2618" s="691">
        <v>40.5</v>
      </c>
      <c r="C2618" s="691">
        <v>40.5</v>
      </c>
      <c r="D2618" s="691">
        <v>40.4</v>
      </c>
      <c r="E2618" s="691">
        <v>40.799999999999997</v>
      </c>
      <c r="F2618" s="691">
        <v>40.700000000000003</v>
      </c>
      <c r="G2618" s="615">
        <v>41</v>
      </c>
      <c r="H2618" s="615">
        <v>41</v>
      </c>
      <c r="I2618" s="691">
        <v>39.5</v>
      </c>
      <c r="J2618" s="691">
        <v>37.9</v>
      </c>
      <c r="K2618" s="691">
        <v>40.299999999999997</v>
      </c>
    </row>
    <row r="2619" spans="1:11">
      <c r="A2619" s="688" t="s">
        <v>2355</v>
      </c>
      <c r="B2619" s="689">
        <v>44.1</v>
      </c>
      <c r="C2619" s="693">
        <v>44</v>
      </c>
      <c r="D2619" s="693">
        <v>44</v>
      </c>
      <c r="E2619" s="689">
        <v>43.9</v>
      </c>
      <c r="F2619" s="689">
        <v>44.1</v>
      </c>
      <c r="G2619" s="689">
        <v>44.5</v>
      </c>
      <c r="H2619" s="689">
        <v>44.6</v>
      </c>
      <c r="I2619" s="690" t="s">
        <v>4060</v>
      </c>
      <c r="J2619" s="690" t="s">
        <v>4060</v>
      </c>
      <c r="K2619" s="690" t="s">
        <v>4060</v>
      </c>
    </row>
    <row r="2620" spans="1:11">
      <c r="A2620" s="688" t="s">
        <v>2357</v>
      </c>
      <c r="B2620" s="692" t="s">
        <v>4060</v>
      </c>
      <c r="C2620" s="691">
        <v>38.1</v>
      </c>
      <c r="D2620" s="691">
        <v>38.6</v>
      </c>
      <c r="E2620" s="691">
        <v>38.9</v>
      </c>
      <c r="F2620" s="691">
        <v>39.200000000000003</v>
      </c>
      <c r="G2620" s="615">
        <v>39</v>
      </c>
      <c r="H2620" s="691">
        <v>39.200000000000003</v>
      </c>
      <c r="I2620" s="692" t="s">
        <v>4060</v>
      </c>
      <c r="J2620" s="692" t="s">
        <v>4060</v>
      </c>
      <c r="K2620" s="692" t="s">
        <v>4060</v>
      </c>
    </row>
    <row r="2621" spans="1:11">
      <c r="A2621" s="688" t="s">
        <v>4070</v>
      </c>
      <c r="B2621" s="690" t="s">
        <v>4060</v>
      </c>
      <c r="C2621" s="690" t="s">
        <v>4060</v>
      </c>
      <c r="D2621" s="690" t="s">
        <v>4060</v>
      </c>
      <c r="E2621" s="689">
        <v>43.6</v>
      </c>
      <c r="F2621" s="690" t="s">
        <v>4060</v>
      </c>
      <c r="G2621" s="690" t="s">
        <v>4060</v>
      </c>
      <c r="H2621" s="690" t="s">
        <v>4060</v>
      </c>
      <c r="I2621" s="690" t="s">
        <v>4060</v>
      </c>
      <c r="J2621" s="690" t="s">
        <v>4060</v>
      </c>
      <c r="K2621" s="690" t="s">
        <v>4060</v>
      </c>
    </row>
    <row r="2622" spans="1:11">
      <c r="A2622" s="688" t="s">
        <v>2491</v>
      </c>
      <c r="B2622" s="691">
        <v>38.4</v>
      </c>
      <c r="C2622" s="691">
        <v>38.9</v>
      </c>
      <c r="D2622" s="691">
        <v>39.299999999999997</v>
      </c>
      <c r="E2622" s="691">
        <v>39.5</v>
      </c>
      <c r="F2622" s="691">
        <v>39.700000000000003</v>
      </c>
      <c r="G2622" s="691">
        <v>39.6</v>
      </c>
      <c r="H2622" s="692" t="s">
        <v>4060</v>
      </c>
      <c r="I2622" s="692" t="s">
        <v>4060</v>
      </c>
      <c r="J2622" s="692" t="s">
        <v>4060</v>
      </c>
      <c r="K2622" s="692" t="s">
        <v>4060</v>
      </c>
    </row>
    <row r="2623" spans="1:11">
      <c r="A2623" s="688" t="s">
        <v>2343</v>
      </c>
      <c r="B2623" s="690" t="s">
        <v>4060</v>
      </c>
      <c r="C2623" s="690" t="s">
        <v>4060</v>
      </c>
      <c r="D2623" s="690" t="s">
        <v>4060</v>
      </c>
      <c r="E2623" s="690" t="s">
        <v>4060</v>
      </c>
      <c r="F2623" s="690" t="s">
        <v>4060</v>
      </c>
      <c r="G2623" s="690" t="s">
        <v>4060</v>
      </c>
      <c r="H2623" s="690" t="s">
        <v>4060</v>
      </c>
      <c r="I2623" s="690" t="s">
        <v>4060</v>
      </c>
      <c r="J2623" s="690" t="s">
        <v>4060</v>
      </c>
      <c r="K2623" s="690" t="s">
        <v>4060</v>
      </c>
    </row>
    <row r="2624" spans="1:11">
      <c r="A2624" s="688" t="s">
        <v>4071</v>
      </c>
      <c r="B2624" s="692" t="s">
        <v>4060</v>
      </c>
      <c r="C2624" s="692" t="s">
        <v>4060</v>
      </c>
      <c r="D2624" s="692" t="s">
        <v>4060</v>
      </c>
      <c r="E2624" s="692" t="s">
        <v>4060</v>
      </c>
      <c r="F2624" s="692" t="s">
        <v>4060</v>
      </c>
      <c r="G2624" s="692" t="s">
        <v>4060</v>
      </c>
      <c r="H2624" s="692" t="s">
        <v>4060</v>
      </c>
      <c r="I2624" s="692" t="s">
        <v>4060</v>
      </c>
      <c r="J2624" s="692" t="s">
        <v>4060</v>
      </c>
      <c r="K2624" s="692" t="s">
        <v>4060</v>
      </c>
    </row>
    <row r="2625" spans="1:11">
      <c r="A2625" s="688" t="s">
        <v>2489</v>
      </c>
      <c r="B2625" s="690" t="s">
        <v>4060</v>
      </c>
      <c r="C2625" s="690" t="s">
        <v>4060</v>
      </c>
      <c r="D2625" s="689">
        <v>40.6</v>
      </c>
      <c r="E2625" s="689">
        <v>40.700000000000003</v>
      </c>
      <c r="F2625" s="689">
        <v>41.3</v>
      </c>
      <c r="G2625" s="693">
        <v>42</v>
      </c>
      <c r="H2625" s="689">
        <v>41.9</v>
      </c>
      <c r="I2625" s="690" t="s">
        <v>4060</v>
      </c>
      <c r="J2625" s="690" t="s">
        <v>4060</v>
      </c>
      <c r="K2625" s="690" t="s">
        <v>4060</v>
      </c>
    </row>
    <row r="2626" spans="1:11">
      <c r="A2626" s="688" t="s">
        <v>2490</v>
      </c>
      <c r="B2626" s="691">
        <v>40.6</v>
      </c>
      <c r="C2626" s="691">
        <v>40.700000000000003</v>
      </c>
      <c r="D2626" s="691">
        <v>41.2</v>
      </c>
      <c r="E2626" s="692" t="s">
        <v>4060</v>
      </c>
      <c r="F2626" s="691">
        <v>41.4</v>
      </c>
      <c r="G2626" s="691">
        <v>41.8</v>
      </c>
      <c r="H2626" s="691">
        <v>42.5</v>
      </c>
      <c r="I2626" s="692" t="s">
        <v>4060</v>
      </c>
      <c r="J2626" s="692" t="s">
        <v>4060</v>
      </c>
      <c r="K2626" s="692" t="s">
        <v>4060</v>
      </c>
    </row>
    <row r="2628" spans="1:11">
      <c r="A2628" s="683" t="s">
        <v>4233</v>
      </c>
    </row>
    <row r="2629" spans="1:11">
      <c r="A2629" s="683" t="s">
        <v>4060</v>
      </c>
      <c r="B2629" s="682" t="s">
        <v>4234</v>
      </c>
    </row>
    <row r="2631" spans="1:11">
      <c r="A2631" s="682" t="s">
        <v>4248</v>
      </c>
    </row>
    <row r="2632" spans="1:11">
      <c r="A2632" s="682" t="s">
        <v>4210</v>
      </c>
      <c r="B2632" s="683" t="s">
        <v>4211</v>
      </c>
    </row>
    <row r="2633" spans="1:11">
      <c r="A2633" s="682" t="s">
        <v>4212</v>
      </c>
      <c r="B2633" s="682" t="s">
        <v>4213</v>
      </c>
    </row>
    <row r="2635" spans="1:11">
      <c r="A2635" s="683" t="s">
        <v>4214</v>
      </c>
      <c r="C2635" s="682" t="s">
        <v>4215</v>
      </c>
    </row>
    <row r="2636" spans="1:11">
      <c r="A2636" s="683" t="s">
        <v>4216</v>
      </c>
      <c r="C2636" s="682" t="s">
        <v>2967</v>
      </c>
    </row>
    <row r="2637" spans="1:11">
      <c r="A2637" s="683" t="s">
        <v>3893</v>
      </c>
      <c r="C2637" s="682" t="s">
        <v>4217</v>
      </c>
    </row>
    <row r="2638" spans="1:11">
      <c r="A2638" s="683" t="s">
        <v>4218</v>
      </c>
      <c r="C2638" s="682" t="s">
        <v>4272</v>
      </c>
    </row>
    <row r="2640" spans="1:11">
      <c r="A2640" s="684" t="s">
        <v>4220</v>
      </c>
      <c r="B2640" s="685" t="s">
        <v>4221</v>
      </c>
      <c r="C2640" s="685" t="s">
        <v>4222</v>
      </c>
      <c r="D2640" s="685" t="s">
        <v>4223</v>
      </c>
      <c r="E2640" s="685" t="s">
        <v>4224</v>
      </c>
      <c r="F2640" s="685" t="s">
        <v>4225</v>
      </c>
      <c r="G2640" s="685" t="s">
        <v>4226</v>
      </c>
      <c r="H2640" s="685" t="s">
        <v>4227</v>
      </c>
      <c r="I2640" s="685" t="s">
        <v>4228</v>
      </c>
      <c r="J2640" s="685" t="s">
        <v>4229</v>
      </c>
      <c r="K2640" s="685" t="s">
        <v>4230</v>
      </c>
    </row>
    <row r="2641" spans="1:11">
      <c r="A2641" s="686" t="s">
        <v>4231</v>
      </c>
      <c r="B2641" s="687" t="s">
        <v>4232</v>
      </c>
      <c r="C2641" s="687" t="s">
        <v>4232</v>
      </c>
      <c r="D2641" s="687" t="s">
        <v>4232</v>
      </c>
      <c r="E2641" s="687" t="s">
        <v>4232</v>
      </c>
      <c r="F2641" s="687" t="s">
        <v>4232</v>
      </c>
      <c r="G2641" s="687" t="s">
        <v>4232</v>
      </c>
      <c r="H2641" s="687" t="s">
        <v>4232</v>
      </c>
      <c r="I2641" s="687" t="s">
        <v>4232</v>
      </c>
      <c r="J2641" s="687" t="s">
        <v>4232</v>
      </c>
      <c r="K2641" s="687" t="s">
        <v>4232</v>
      </c>
    </row>
    <row r="2642" spans="1:11">
      <c r="A2642" s="688" t="s">
        <v>4064</v>
      </c>
      <c r="B2642" s="691">
        <v>44.4</v>
      </c>
      <c r="C2642" s="691">
        <v>44.5</v>
      </c>
      <c r="D2642" s="691">
        <v>44.5</v>
      </c>
      <c r="E2642" s="691">
        <v>44.6</v>
      </c>
      <c r="F2642" s="691">
        <v>44.6</v>
      </c>
      <c r="G2642" s="691">
        <v>44.7</v>
      </c>
      <c r="H2642" s="615">
        <v>45</v>
      </c>
      <c r="I2642" s="691">
        <v>44.2</v>
      </c>
      <c r="J2642" s="691">
        <v>43.9</v>
      </c>
      <c r="K2642" s="691">
        <v>44.5</v>
      </c>
    </row>
    <row r="2643" spans="1:11">
      <c r="A2643" s="688" t="s">
        <v>4065</v>
      </c>
      <c r="B2643" s="689">
        <v>44.5</v>
      </c>
      <c r="C2643" s="689">
        <v>44.9</v>
      </c>
      <c r="D2643" s="689">
        <v>44.5</v>
      </c>
      <c r="E2643" s="689">
        <v>44.9</v>
      </c>
      <c r="F2643" s="689">
        <v>44.9</v>
      </c>
      <c r="G2643" s="689">
        <v>44.9</v>
      </c>
      <c r="H2643" s="690" t="s">
        <v>4060</v>
      </c>
      <c r="I2643" s="690" t="s">
        <v>4060</v>
      </c>
      <c r="J2643" s="690" t="s">
        <v>4060</v>
      </c>
      <c r="K2643" s="690" t="s">
        <v>4060</v>
      </c>
    </row>
    <row r="2644" spans="1:11">
      <c r="A2644" s="688" t="s">
        <v>4063</v>
      </c>
      <c r="B2644" s="691">
        <v>44.5</v>
      </c>
      <c r="C2644" s="691">
        <v>44.9</v>
      </c>
      <c r="D2644" s="691">
        <v>44.6</v>
      </c>
      <c r="E2644" s="691">
        <v>44.9</v>
      </c>
      <c r="F2644" s="691">
        <v>44.9</v>
      </c>
      <c r="G2644" s="615">
        <v>45</v>
      </c>
      <c r="H2644" s="692" t="s">
        <v>4060</v>
      </c>
      <c r="I2644" s="692" t="s">
        <v>4060</v>
      </c>
      <c r="J2644" s="692" t="s">
        <v>4060</v>
      </c>
      <c r="K2644" s="692" t="s">
        <v>4060</v>
      </c>
    </row>
    <row r="2645" spans="1:11">
      <c r="A2645" s="688" t="s">
        <v>4069</v>
      </c>
      <c r="B2645" s="690" t="s">
        <v>4060</v>
      </c>
      <c r="C2645" s="689">
        <v>45.5</v>
      </c>
      <c r="D2645" s="689">
        <v>45.2</v>
      </c>
      <c r="E2645" s="689">
        <v>45.6</v>
      </c>
      <c r="F2645" s="689">
        <v>45.6</v>
      </c>
      <c r="G2645" s="689">
        <v>45.7</v>
      </c>
      <c r="H2645" s="689">
        <v>45.9</v>
      </c>
      <c r="I2645" s="689">
        <v>45.2</v>
      </c>
      <c r="J2645" s="689">
        <v>45.2</v>
      </c>
      <c r="K2645" s="689">
        <v>45.4</v>
      </c>
    </row>
    <row r="2646" spans="1:11">
      <c r="A2646" s="688" t="s">
        <v>4068</v>
      </c>
      <c r="B2646" s="691">
        <v>45.5</v>
      </c>
      <c r="C2646" s="692" t="s">
        <v>4060</v>
      </c>
      <c r="D2646" s="692" t="s">
        <v>4060</v>
      </c>
      <c r="E2646" s="692" t="s">
        <v>4060</v>
      </c>
      <c r="F2646" s="692" t="s">
        <v>4060</v>
      </c>
      <c r="G2646" s="692" t="s">
        <v>4060</v>
      </c>
      <c r="H2646" s="692" t="s">
        <v>4060</v>
      </c>
      <c r="I2646" s="692" t="s">
        <v>4060</v>
      </c>
      <c r="J2646" s="692" t="s">
        <v>4060</v>
      </c>
      <c r="K2646" s="692" t="s">
        <v>4060</v>
      </c>
    </row>
    <row r="2647" spans="1:11">
      <c r="A2647" s="688" t="s">
        <v>0</v>
      </c>
      <c r="B2647" s="689">
        <v>44.7</v>
      </c>
      <c r="C2647" s="693">
        <v>45</v>
      </c>
      <c r="D2647" s="689">
        <v>44.8</v>
      </c>
      <c r="E2647" s="689">
        <v>45.2</v>
      </c>
      <c r="F2647" s="689">
        <v>45.3</v>
      </c>
      <c r="G2647" s="689">
        <v>45.4</v>
      </c>
      <c r="H2647" s="689">
        <v>45.7</v>
      </c>
      <c r="I2647" s="689">
        <v>44.6</v>
      </c>
      <c r="J2647" s="689">
        <v>45.5</v>
      </c>
      <c r="K2647" s="689">
        <v>45.5</v>
      </c>
    </row>
    <row r="2648" spans="1:11">
      <c r="A2648" s="688" t="s">
        <v>1</v>
      </c>
      <c r="B2648" s="691">
        <v>39.5</v>
      </c>
      <c r="C2648" s="615">
        <v>39</v>
      </c>
      <c r="D2648" s="691">
        <v>39.1</v>
      </c>
      <c r="E2648" s="691">
        <v>39.200000000000003</v>
      </c>
      <c r="F2648" s="691">
        <v>39.1</v>
      </c>
      <c r="G2648" s="691">
        <v>39.299999999999997</v>
      </c>
      <c r="H2648" s="691">
        <v>39.4</v>
      </c>
      <c r="I2648" s="691">
        <v>37.700000000000003</v>
      </c>
      <c r="J2648" s="691">
        <v>35.799999999999997</v>
      </c>
      <c r="K2648" s="691">
        <v>38.5</v>
      </c>
    </row>
    <row r="2649" spans="1:11">
      <c r="A2649" s="688" t="s">
        <v>2240</v>
      </c>
      <c r="B2649" s="689">
        <v>42.2</v>
      </c>
      <c r="C2649" s="689">
        <v>42.6</v>
      </c>
      <c r="D2649" s="689">
        <v>42.5</v>
      </c>
      <c r="E2649" s="689">
        <v>42.9</v>
      </c>
      <c r="F2649" s="689">
        <v>42.9</v>
      </c>
      <c r="G2649" s="689">
        <v>42.9</v>
      </c>
      <c r="H2649" s="689">
        <v>43.1</v>
      </c>
      <c r="I2649" s="689">
        <v>42.1</v>
      </c>
      <c r="J2649" s="689">
        <v>41.1</v>
      </c>
      <c r="K2649" s="689">
        <v>42.9</v>
      </c>
    </row>
    <row r="2650" spans="1:11">
      <c r="A2650" s="688" t="s">
        <v>2</v>
      </c>
      <c r="B2650" s="691">
        <v>44.1</v>
      </c>
      <c r="C2650" s="691">
        <v>44.5</v>
      </c>
      <c r="D2650" s="691">
        <v>44.5</v>
      </c>
      <c r="E2650" s="691">
        <v>44.7</v>
      </c>
      <c r="F2650" s="691">
        <v>44.9</v>
      </c>
      <c r="G2650" s="691">
        <v>44.8</v>
      </c>
      <c r="H2650" s="691">
        <v>45.2</v>
      </c>
      <c r="I2650" s="691">
        <v>45.3</v>
      </c>
      <c r="J2650" s="691">
        <v>45.1</v>
      </c>
      <c r="K2650" s="615">
        <v>45</v>
      </c>
    </row>
    <row r="2651" spans="1:11">
      <c r="A2651" s="688" t="s">
        <v>3</v>
      </c>
      <c r="B2651" s="689">
        <v>44.5</v>
      </c>
      <c r="C2651" s="689">
        <v>44.7</v>
      </c>
      <c r="D2651" s="689">
        <v>44.4</v>
      </c>
      <c r="E2651" s="689">
        <v>44.7</v>
      </c>
      <c r="F2651" s="689">
        <v>44.8</v>
      </c>
      <c r="G2651" s="689">
        <v>44.7</v>
      </c>
      <c r="H2651" s="693">
        <v>45</v>
      </c>
      <c r="I2651" s="689">
        <v>44.8</v>
      </c>
      <c r="J2651" s="689">
        <v>44.5</v>
      </c>
      <c r="K2651" s="689">
        <v>44.3</v>
      </c>
    </row>
    <row r="2652" spans="1:11">
      <c r="A2652" s="688" t="s">
        <v>4061</v>
      </c>
      <c r="B2652" s="691">
        <v>44.5</v>
      </c>
      <c r="C2652" s="691">
        <v>44.7</v>
      </c>
      <c r="D2652" s="691">
        <v>44.4</v>
      </c>
      <c r="E2652" s="691">
        <v>44.7</v>
      </c>
      <c r="F2652" s="691">
        <v>44.8</v>
      </c>
      <c r="G2652" s="691">
        <v>44.7</v>
      </c>
      <c r="H2652" s="615">
        <v>45</v>
      </c>
      <c r="I2652" s="691">
        <v>44.8</v>
      </c>
      <c r="J2652" s="691">
        <v>44.5</v>
      </c>
      <c r="K2652" s="691">
        <v>44.3</v>
      </c>
    </row>
    <row r="2653" spans="1:11">
      <c r="A2653" s="688" t="s">
        <v>4</v>
      </c>
      <c r="B2653" s="689">
        <v>41.8</v>
      </c>
      <c r="C2653" s="689">
        <v>41.6</v>
      </c>
      <c r="D2653" s="689">
        <v>42.1</v>
      </c>
      <c r="E2653" s="689">
        <v>42.1</v>
      </c>
      <c r="F2653" s="689">
        <v>42.4</v>
      </c>
      <c r="G2653" s="689">
        <v>42.4</v>
      </c>
      <c r="H2653" s="689">
        <v>42.8</v>
      </c>
      <c r="I2653" s="689">
        <v>42.7</v>
      </c>
      <c r="J2653" s="689">
        <v>41.2</v>
      </c>
      <c r="K2653" s="689">
        <v>42.1</v>
      </c>
    </row>
    <row r="2654" spans="1:11">
      <c r="A2654" s="688" t="s">
        <v>8</v>
      </c>
      <c r="B2654" s="615">
        <v>45</v>
      </c>
      <c r="C2654" s="691">
        <v>45.2</v>
      </c>
      <c r="D2654" s="691">
        <v>45.3</v>
      </c>
      <c r="E2654" s="691">
        <v>45.4</v>
      </c>
      <c r="F2654" s="691">
        <v>45.8</v>
      </c>
      <c r="G2654" s="691">
        <v>45.8</v>
      </c>
      <c r="H2654" s="691">
        <v>46.2</v>
      </c>
      <c r="I2654" s="691">
        <v>46.1</v>
      </c>
      <c r="J2654" s="691">
        <v>45.9</v>
      </c>
      <c r="K2654" s="691">
        <v>46.1</v>
      </c>
    </row>
    <row r="2655" spans="1:11">
      <c r="A2655" s="688" t="s">
        <v>7</v>
      </c>
      <c r="B2655" s="689">
        <v>45.3</v>
      </c>
      <c r="C2655" s="689">
        <v>44.9</v>
      </c>
      <c r="D2655" s="689">
        <v>44.7</v>
      </c>
      <c r="E2655" s="693">
        <v>45</v>
      </c>
      <c r="F2655" s="693">
        <v>45</v>
      </c>
      <c r="G2655" s="689">
        <v>45.4</v>
      </c>
      <c r="H2655" s="689">
        <v>45.3</v>
      </c>
      <c r="I2655" s="693">
        <v>45</v>
      </c>
      <c r="J2655" s="693">
        <v>44</v>
      </c>
      <c r="K2655" s="689">
        <v>44.6</v>
      </c>
    </row>
    <row r="2656" spans="1:11">
      <c r="A2656" s="688" t="s">
        <v>27</v>
      </c>
      <c r="B2656" s="691">
        <v>46.8</v>
      </c>
      <c r="C2656" s="691">
        <v>46.6</v>
      </c>
      <c r="D2656" s="691">
        <v>46.3</v>
      </c>
      <c r="E2656" s="691">
        <v>46.7</v>
      </c>
      <c r="F2656" s="691">
        <v>46.7</v>
      </c>
      <c r="G2656" s="691">
        <v>46.8</v>
      </c>
      <c r="H2656" s="691">
        <v>47.2</v>
      </c>
      <c r="I2656" s="691">
        <v>45.9</v>
      </c>
      <c r="J2656" s="691">
        <v>46.7</v>
      </c>
      <c r="K2656" s="691">
        <v>46.8</v>
      </c>
    </row>
    <row r="2657" spans="1:11">
      <c r="A2657" s="688" t="s">
        <v>6</v>
      </c>
      <c r="B2657" s="689">
        <v>46.4</v>
      </c>
      <c r="C2657" s="689">
        <v>46.4</v>
      </c>
      <c r="D2657" s="689">
        <v>46.1</v>
      </c>
      <c r="E2657" s="689">
        <v>46.4</v>
      </c>
      <c r="F2657" s="689">
        <v>46.4</v>
      </c>
      <c r="G2657" s="689">
        <v>46.6</v>
      </c>
      <c r="H2657" s="689">
        <v>46.7</v>
      </c>
      <c r="I2657" s="689">
        <v>46.1</v>
      </c>
      <c r="J2657" s="689">
        <v>46.2</v>
      </c>
      <c r="K2657" s="689">
        <v>46.3</v>
      </c>
    </row>
    <row r="2658" spans="1:11">
      <c r="A2658" s="688" t="s">
        <v>4058</v>
      </c>
      <c r="B2658" s="692" t="s">
        <v>4060</v>
      </c>
      <c r="C2658" s="692" t="s">
        <v>4060</v>
      </c>
      <c r="D2658" s="692" t="s">
        <v>4060</v>
      </c>
      <c r="E2658" s="692" t="s">
        <v>4060</v>
      </c>
      <c r="F2658" s="692" t="s">
        <v>4060</v>
      </c>
      <c r="G2658" s="692" t="s">
        <v>4060</v>
      </c>
      <c r="H2658" s="692" t="s">
        <v>4060</v>
      </c>
      <c r="I2658" s="692" t="s">
        <v>4060</v>
      </c>
      <c r="J2658" s="692" t="s">
        <v>4060</v>
      </c>
      <c r="K2658" s="692" t="s">
        <v>4060</v>
      </c>
    </row>
    <row r="2659" spans="1:11">
      <c r="A2659" s="688" t="s">
        <v>11</v>
      </c>
      <c r="B2659" s="689">
        <v>41.8</v>
      </c>
      <c r="C2659" s="689">
        <v>41.8</v>
      </c>
      <c r="D2659" s="689">
        <v>41.4</v>
      </c>
      <c r="E2659" s="693">
        <v>42</v>
      </c>
      <c r="F2659" s="689">
        <v>41.8</v>
      </c>
      <c r="G2659" s="693">
        <v>42</v>
      </c>
      <c r="H2659" s="689">
        <v>42.3</v>
      </c>
      <c r="I2659" s="689">
        <v>41.6</v>
      </c>
      <c r="J2659" s="689">
        <v>40.6</v>
      </c>
      <c r="K2659" s="689">
        <v>41.7</v>
      </c>
    </row>
    <row r="2660" spans="1:11">
      <c r="A2660" s="688" t="s">
        <v>10</v>
      </c>
      <c r="B2660" s="691">
        <v>46.6</v>
      </c>
      <c r="C2660" s="691">
        <v>46.6</v>
      </c>
      <c r="D2660" s="691">
        <v>46.2</v>
      </c>
      <c r="E2660" s="691">
        <v>46.7</v>
      </c>
      <c r="F2660" s="691">
        <v>46.5</v>
      </c>
      <c r="G2660" s="691">
        <v>46.9</v>
      </c>
      <c r="H2660" s="691">
        <v>47.1</v>
      </c>
      <c r="I2660" s="691">
        <v>45.9</v>
      </c>
      <c r="J2660" s="691">
        <v>46.3</v>
      </c>
      <c r="K2660" s="691">
        <v>46.4</v>
      </c>
    </row>
    <row r="2661" spans="1:11">
      <c r="A2661" s="688" t="s">
        <v>30</v>
      </c>
      <c r="B2661" s="689">
        <v>46.2</v>
      </c>
      <c r="C2661" s="689">
        <v>45.9</v>
      </c>
      <c r="D2661" s="689">
        <v>45.6</v>
      </c>
      <c r="E2661" s="689">
        <v>46.4</v>
      </c>
      <c r="F2661" s="693">
        <v>46</v>
      </c>
      <c r="G2661" s="689">
        <v>46.6</v>
      </c>
      <c r="H2661" s="689">
        <v>46.4</v>
      </c>
      <c r="I2661" s="689">
        <v>46.3</v>
      </c>
      <c r="J2661" s="689">
        <v>45.5</v>
      </c>
      <c r="K2661" s="693">
        <v>46</v>
      </c>
    </row>
    <row r="2662" spans="1:11">
      <c r="A2662" s="688" t="s">
        <v>12</v>
      </c>
      <c r="B2662" s="615">
        <v>39</v>
      </c>
      <c r="C2662" s="691">
        <v>39.1</v>
      </c>
      <c r="D2662" s="691">
        <v>39.299999999999997</v>
      </c>
      <c r="E2662" s="691">
        <v>39.4</v>
      </c>
      <c r="F2662" s="691">
        <v>39.5</v>
      </c>
      <c r="G2662" s="691">
        <v>39.5</v>
      </c>
      <c r="H2662" s="691">
        <v>40.1</v>
      </c>
      <c r="I2662" s="691">
        <v>39.799999999999997</v>
      </c>
      <c r="J2662" s="691">
        <v>37.5</v>
      </c>
      <c r="K2662" s="691">
        <v>38.9</v>
      </c>
    </row>
    <row r="2663" spans="1:11">
      <c r="A2663" s="688" t="s">
        <v>14</v>
      </c>
      <c r="B2663" s="693">
        <v>39</v>
      </c>
      <c r="C2663" s="689">
        <v>39.4</v>
      </c>
      <c r="D2663" s="689">
        <v>39.299999999999997</v>
      </c>
      <c r="E2663" s="689">
        <v>39.4</v>
      </c>
      <c r="F2663" s="689">
        <v>40.200000000000003</v>
      </c>
      <c r="G2663" s="689">
        <v>40.4</v>
      </c>
      <c r="H2663" s="689">
        <v>40.799999999999997</v>
      </c>
      <c r="I2663" s="689">
        <v>39.4</v>
      </c>
      <c r="J2663" s="689">
        <v>38.6</v>
      </c>
      <c r="K2663" s="689">
        <v>40.1</v>
      </c>
    </row>
    <row r="2664" spans="1:11">
      <c r="A2664" s="688" t="s">
        <v>15</v>
      </c>
      <c r="B2664" s="691">
        <v>45.8</v>
      </c>
      <c r="C2664" s="691">
        <v>45.6</v>
      </c>
      <c r="D2664" s="691">
        <v>45.7</v>
      </c>
      <c r="E2664" s="615">
        <v>46</v>
      </c>
      <c r="F2664" s="691">
        <v>45.6</v>
      </c>
      <c r="G2664" s="691">
        <v>45.9</v>
      </c>
      <c r="H2664" s="691">
        <v>46.3</v>
      </c>
      <c r="I2664" s="691">
        <v>45.9</v>
      </c>
      <c r="J2664" s="691">
        <v>46.2</v>
      </c>
      <c r="K2664" s="691">
        <v>46.6</v>
      </c>
    </row>
    <row r="2665" spans="1:11">
      <c r="A2665" s="688" t="s">
        <v>29</v>
      </c>
      <c r="B2665" s="689">
        <v>39.799999999999997</v>
      </c>
      <c r="C2665" s="689">
        <v>39.799999999999997</v>
      </c>
      <c r="D2665" s="689">
        <v>39.6</v>
      </c>
      <c r="E2665" s="693">
        <v>40</v>
      </c>
      <c r="F2665" s="689">
        <v>39.799999999999997</v>
      </c>
      <c r="G2665" s="693">
        <v>40</v>
      </c>
      <c r="H2665" s="689">
        <v>40.200000000000003</v>
      </c>
      <c r="I2665" s="689">
        <v>39.5</v>
      </c>
      <c r="J2665" s="689">
        <v>38.1</v>
      </c>
      <c r="K2665" s="689">
        <v>39.9</v>
      </c>
    </row>
    <row r="2666" spans="1:11">
      <c r="A2666" s="688" t="s">
        <v>16</v>
      </c>
      <c r="B2666" s="691">
        <v>45.8</v>
      </c>
      <c r="C2666" s="691">
        <v>45.7</v>
      </c>
      <c r="D2666" s="691">
        <v>45.8</v>
      </c>
      <c r="E2666" s="691">
        <v>46.2</v>
      </c>
      <c r="F2666" s="691">
        <v>46.1</v>
      </c>
      <c r="G2666" s="615">
        <v>46</v>
      </c>
      <c r="H2666" s="691">
        <v>46.5</v>
      </c>
      <c r="I2666" s="691">
        <v>45.7</v>
      </c>
      <c r="J2666" s="691">
        <v>45.8</v>
      </c>
      <c r="K2666" s="615">
        <v>46</v>
      </c>
    </row>
    <row r="2667" spans="1:11">
      <c r="A2667" s="688" t="s">
        <v>17</v>
      </c>
      <c r="B2667" s="689">
        <v>45.2</v>
      </c>
      <c r="C2667" s="689">
        <v>45.5</v>
      </c>
      <c r="D2667" s="689">
        <v>45.2</v>
      </c>
      <c r="E2667" s="689">
        <v>45.3</v>
      </c>
      <c r="F2667" s="689">
        <v>45.5</v>
      </c>
      <c r="G2667" s="689">
        <v>45.5</v>
      </c>
      <c r="H2667" s="689">
        <v>45.8</v>
      </c>
      <c r="I2667" s="689">
        <v>45.2</v>
      </c>
      <c r="J2667" s="689">
        <v>45.1</v>
      </c>
      <c r="K2667" s="689">
        <v>45.4</v>
      </c>
    </row>
    <row r="2668" spans="1:11">
      <c r="A2668" s="688" t="s">
        <v>19</v>
      </c>
      <c r="B2668" s="691">
        <v>45.2</v>
      </c>
      <c r="C2668" s="691">
        <v>45.3</v>
      </c>
      <c r="D2668" s="615">
        <v>45</v>
      </c>
      <c r="E2668" s="691">
        <v>45.5</v>
      </c>
      <c r="F2668" s="691">
        <v>45.5</v>
      </c>
      <c r="G2668" s="691">
        <v>45.5</v>
      </c>
      <c r="H2668" s="691">
        <v>45.8</v>
      </c>
      <c r="I2668" s="691">
        <v>45.2</v>
      </c>
      <c r="J2668" s="691">
        <v>45.1</v>
      </c>
      <c r="K2668" s="691">
        <v>45.2</v>
      </c>
    </row>
    <row r="2669" spans="1:11">
      <c r="A2669" s="688" t="s">
        <v>20</v>
      </c>
      <c r="B2669" s="689">
        <v>41.4</v>
      </c>
      <c r="C2669" s="689">
        <v>41.8</v>
      </c>
      <c r="D2669" s="689">
        <v>41.6</v>
      </c>
      <c r="E2669" s="689">
        <v>41.9</v>
      </c>
      <c r="F2669" s="689">
        <v>41.8</v>
      </c>
      <c r="G2669" s="689">
        <v>41.7</v>
      </c>
      <c r="H2669" s="693">
        <v>42</v>
      </c>
      <c r="I2669" s="689">
        <v>40.6</v>
      </c>
      <c r="J2669" s="689">
        <v>39.6</v>
      </c>
      <c r="K2669" s="689">
        <v>41.4</v>
      </c>
    </row>
    <row r="2670" spans="1:11">
      <c r="A2670" s="688" t="s">
        <v>21</v>
      </c>
      <c r="B2670" s="691">
        <v>44.8</v>
      </c>
      <c r="C2670" s="691">
        <v>45.2</v>
      </c>
      <c r="D2670" s="691">
        <v>45.1</v>
      </c>
      <c r="E2670" s="691">
        <v>45.2</v>
      </c>
      <c r="F2670" s="691">
        <v>45.5</v>
      </c>
      <c r="G2670" s="691">
        <v>45.5</v>
      </c>
      <c r="H2670" s="691">
        <v>45.8</v>
      </c>
      <c r="I2670" s="691">
        <v>45.2</v>
      </c>
      <c r="J2670" s="691">
        <v>45.2</v>
      </c>
      <c r="K2670" s="691">
        <v>45.5</v>
      </c>
    </row>
    <row r="2671" spans="1:11">
      <c r="A2671" s="688" t="s">
        <v>22</v>
      </c>
      <c r="B2671" s="689">
        <v>39.799999999999997</v>
      </c>
      <c r="C2671" s="689">
        <v>39.5</v>
      </c>
      <c r="D2671" s="689">
        <v>39.5</v>
      </c>
      <c r="E2671" s="689">
        <v>39.700000000000003</v>
      </c>
      <c r="F2671" s="689">
        <v>39.700000000000003</v>
      </c>
      <c r="G2671" s="689">
        <v>39.700000000000003</v>
      </c>
      <c r="H2671" s="689">
        <v>39.9</v>
      </c>
      <c r="I2671" s="689">
        <v>38.4</v>
      </c>
      <c r="J2671" s="689">
        <v>37.1</v>
      </c>
      <c r="K2671" s="689">
        <v>39.4</v>
      </c>
    </row>
    <row r="2672" spans="1:11">
      <c r="A2672" s="688" t="s">
        <v>26</v>
      </c>
      <c r="B2672" s="691">
        <v>44.4</v>
      </c>
      <c r="C2672" s="691">
        <v>44.6</v>
      </c>
      <c r="D2672" s="691">
        <v>44.4</v>
      </c>
      <c r="E2672" s="691">
        <v>44.8</v>
      </c>
      <c r="F2672" s="691">
        <v>44.7</v>
      </c>
      <c r="G2672" s="691">
        <v>44.9</v>
      </c>
      <c r="H2672" s="691">
        <v>45.1</v>
      </c>
      <c r="I2672" s="691">
        <v>44.2</v>
      </c>
      <c r="J2672" s="691">
        <v>44.3</v>
      </c>
      <c r="K2672" s="615">
        <v>45</v>
      </c>
    </row>
    <row r="2673" spans="1:11">
      <c r="A2673" s="688" t="s">
        <v>25</v>
      </c>
      <c r="B2673" s="689">
        <v>40.9</v>
      </c>
      <c r="C2673" s="689">
        <v>41.2</v>
      </c>
      <c r="D2673" s="689">
        <v>40.9</v>
      </c>
      <c r="E2673" s="689">
        <v>41.4</v>
      </c>
      <c r="F2673" s="689">
        <v>41.4</v>
      </c>
      <c r="G2673" s="689">
        <v>41.5</v>
      </c>
      <c r="H2673" s="693">
        <v>42</v>
      </c>
      <c r="I2673" s="689">
        <v>41.2</v>
      </c>
      <c r="J2673" s="689">
        <v>38.799999999999997</v>
      </c>
      <c r="K2673" s="689">
        <v>41.2</v>
      </c>
    </row>
    <row r="2674" spans="1:11">
      <c r="A2674" s="688" t="s">
        <v>5</v>
      </c>
      <c r="B2674" s="691">
        <v>45.1</v>
      </c>
      <c r="C2674" s="615">
        <v>45</v>
      </c>
      <c r="D2674" s="691">
        <v>45.2</v>
      </c>
      <c r="E2674" s="691">
        <v>45.2</v>
      </c>
      <c r="F2674" s="691">
        <v>45.4</v>
      </c>
      <c r="G2674" s="691">
        <v>45.5</v>
      </c>
      <c r="H2674" s="691">
        <v>45.9</v>
      </c>
      <c r="I2674" s="691">
        <v>45.8</v>
      </c>
      <c r="J2674" s="691">
        <v>45.7</v>
      </c>
      <c r="K2674" s="691">
        <v>45.1</v>
      </c>
    </row>
    <row r="2675" spans="1:11">
      <c r="A2675" s="688" t="s">
        <v>23</v>
      </c>
      <c r="B2675" s="689">
        <v>45.9</v>
      </c>
      <c r="C2675" s="693">
        <v>46</v>
      </c>
      <c r="D2675" s="689">
        <v>46.1</v>
      </c>
      <c r="E2675" s="689">
        <v>46.2</v>
      </c>
      <c r="F2675" s="689">
        <v>46.3</v>
      </c>
      <c r="G2675" s="689">
        <v>46.4</v>
      </c>
      <c r="H2675" s="689">
        <v>46.8</v>
      </c>
      <c r="I2675" s="689">
        <v>46.2</v>
      </c>
      <c r="J2675" s="689">
        <v>46.8</v>
      </c>
      <c r="K2675" s="689">
        <v>46.8</v>
      </c>
    </row>
    <row r="2676" spans="1:11">
      <c r="A2676" s="688" t="s">
        <v>4067</v>
      </c>
      <c r="B2676" s="691">
        <v>44.5</v>
      </c>
      <c r="C2676" s="691">
        <v>44.9</v>
      </c>
      <c r="D2676" s="691">
        <v>44.6</v>
      </c>
      <c r="E2676" s="691">
        <v>44.9</v>
      </c>
      <c r="F2676" s="691">
        <v>44.9</v>
      </c>
      <c r="G2676" s="615">
        <v>45</v>
      </c>
      <c r="H2676" s="692" t="s">
        <v>4060</v>
      </c>
      <c r="I2676" s="692" t="s">
        <v>4060</v>
      </c>
      <c r="J2676" s="692" t="s">
        <v>4060</v>
      </c>
      <c r="K2676" s="692" t="s">
        <v>4060</v>
      </c>
    </row>
    <row r="2677" spans="1:11">
      <c r="A2677" s="688" t="s">
        <v>4066</v>
      </c>
      <c r="B2677" s="689">
        <v>44.6</v>
      </c>
      <c r="C2677" s="689">
        <v>44.9</v>
      </c>
      <c r="D2677" s="689">
        <v>44.6</v>
      </c>
      <c r="E2677" s="689">
        <v>44.9</v>
      </c>
      <c r="F2677" s="689">
        <v>44.9</v>
      </c>
      <c r="G2677" s="693">
        <v>45</v>
      </c>
      <c r="H2677" s="690" t="s">
        <v>4060</v>
      </c>
      <c r="I2677" s="690" t="s">
        <v>4060</v>
      </c>
      <c r="J2677" s="690" t="s">
        <v>4060</v>
      </c>
      <c r="K2677" s="690" t="s">
        <v>4060</v>
      </c>
    </row>
    <row r="2678" spans="1:11">
      <c r="A2678" s="688" t="s">
        <v>4062</v>
      </c>
      <c r="B2678" s="691">
        <v>46.3</v>
      </c>
      <c r="C2678" s="691">
        <v>46.5</v>
      </c>
      <c r="D2678" s="691">
        <v>46.5</v>
      </c>
      <c r="E2678" s="691">
        <v>46.8</v>
      </c>
      <c r="F2678" s="691">
        <v>46.9</v>
      </c>
      <c r="G2678" s="615">
        <v>47</v>
      </c>
      <c r="H2678" s="691">
        <v>47.2</v>
      </c>
      <c r="I2678" s="691">
        <v>46.9</v>
      </c>
      <c r="J2678" s="691">
        <v>47.2</v>
      </c>
      <c r="K2678" s="691">
        <v>46.9</v>
      </c>
    </row>
    <row r="2679" spans="1:11">
      <c r="A2679" s="688" t="s">
        <v>9</v>
      </c>
      <c r="B2679" s="689">
        <v>45.9</v>
      </c>
      <c r="C2679" s="689">
        <v>46.4</v>
      </c>
      <c r="D2679" s="689">
        <v>46.2</v>
      </c>
      <c r="E2679" s="689">
        <v>45.9</v>
      </c>
      <c r="F2679" s="689">
        <v>46.4</v>
      </c>
      <c r="G2679" s="689">
        <v>46.5</v>
      </c>
      <c r="H2679" s="689">
        <v>46.6</v>
      </c>
      <c r="I2679" s="689">
        <v>46.7</v>
      </c>
      <c r="J2679" s="693">
        <v>47</v>
      </c>
      <c r="K2679" s="689">
        <v>45.9</v>
      </c>
    </row>
    <row r="2680" spans="1:11">
      <c r="A2680" s="688" t="s">
        <v>13</v>
      </c>
      <c r="B2680" s="691">
        <v>46.3</v>
      </c>
      <c r="C2680" s="691">
        <v>45.8</v>
      </c>
      <c r="D2680" s="691">
        <v>46.3</v>
      </c>
      <c r="E2680" s="691">
        <v>46.1</v>
      </c>
      <c r="F2680" s="691">
        <v>46.9</v>
      </c>
      <c r="G2680" s="691">
        <v>46.7</v>
      </c>
      <c r="H2680" s="691">
        <v>47.3</v>
      </c>
      <c r="I2680" s="691">
        <v>46.3</v>
      </c>
      <c r="J2680" s="691">
        <v>47.4</v>
      </c>
      <c r="K2680" s="691">
        <v>47.6</v>
      </c>
    </row>
    <row r="2681" spans="1:11">
      <c r="A2681" s="688" t="s">
        <v>18</v>
      </c>
      <c r="B2681" s="689">
        <v>45.6</v>
      </c>
      <c r="C2681" s="689">
        <v>45.9</v>
      </c>
      <c r="D2681" s="689">
        <v>46.1</v>
      </c>
      <c r="E2681" s="689">
        <v>46.2</v>
      </c>
      <c r="F2681" s="689">
        <v>46.4</v>
      </c>
      <c r="G2681" s="689">
        <v>46.5</v>
      </c>
      <c r="H2681" s="689">
        <v>46.7</v>
      </c>
      <c r="I2681" s="689">
        <v>46.9</v>
      </c>
      <c r="J2681" s="689">
        <v>46.8</v>
      </c>
      <c r="K2681" s="689">
        <v>46.3</v>
      </c>
    </row>
    <row r="2682" spans="1:11">
      <c r="A2682" s="688" t="s">
        <v>24</v>
      </c>
      <c r="B2682" s="691">
        <v>46.8</v>
      </c>
      <c r="C2682" s="691">
        <v>46.9</v>
      </c>
      <c r="D2682" s="691">
        <v>46.7</v>
      </c>
      <c r="E2682" s="691">
        <v>47.2</v>
      </c>
      <c r="F2682" s="691">
        <v>47.2</v>
      </c>
      <c r="G2682" s="691">
        <v>47.4</v>
      </c>
      <c r="H2682" s="691">
        <v>47.5</v>
      </c>
      <c r="I2682" s="691">
        <v>46.9</v>
      </c>
      <c r="J2682" s="691">
        <v>47.4</v>
      </c>
      <c r="K2682" s="691">
        <v>47.3</v>
      </c>
    </row>
    <row r="2683" spans="1:11">
      <c r="A2683" s="688" t="s">
        <v>4059</v>
      </c>
      <c r="B2683" s="693">
        <v>45</v>
      </c>
      <c r="C2683" s="689">
        <v>45.3</v>
      </c>
      <c r="D2683" s="693">
        <v>45</v>
      </c>
      <c r="E2683" s="689">
        <v>45.2</v>
      </c>
      <c r="F2683" s="689">
        <v>45.2</v>
      </c>
      <c r="G2683" s="689">
        <v>45.3</v>
      </c>
      <c r="H2683" s="690" t="s">
        <v>4060</v>
      </c>
      <c r="I2683" s="690" t="s">
        <v>4060</v>
      </c>
      <c r="J2683" s="690" t="s">
        <v>4060</v>
      </c>
      <c r="K2683" s="690" t="s">
        <v>4060</v>
      </c>
    </row>
    <row r="2684" spans="1:11">
      <c r="A2684" s="688" t="s">
        <v>2324</v>
      </c>
      <c r="B2684" s="691">
        <v>40.6</v>
      </c>
      <c r="C2684" s="691">
        <v>40.700000000000003</v>
      </c>
      <c r="D2684" s="691">
        <v>40.4</v>
      </c>
      <c r="E2684" s="691">
        <v>40.4</v>
      </c>
      <c r="F2684" s="691">
        <v>40.5</v>
      </c>
      <c r="G2684" s="691">
        <v>40.700000000000003</v>
      </c>
      <c r="H2684" s="691">
        <v>40.700000000000003</v>
      </c>
      <c r="I2684" s="691">
        <v>39.9</v>
      </c>
      <c r="J2684" s="691">
        <v>37.6</v>
      </c>
      <c r="K2684" s="692" t="s">
        <v>4060</v>
      </c>
    </row>
    <row r="2685" spans="1:11">
      <c r="A2685" s="688" t="s">
        <v>2322</v>
      </c>
      <c r="B2685" s="690" t="s">
        <v>4060</v>
      </c>
      <c r="C2685" s="690" t="s">
        <v>4060</v>
      </c>
      <c r="D2685" s="690" t="s">
        <v>4060</v>
      </c>
      <c r="E2685" s="690" t="s">
        <v>4060</v>
      </c>
      <c r="F2685" s="690" t="s">
        <v>4060</v>
      </c>
      <c r="G2685" s="690" t="s">
        <v>4060</v>
      </c>
      <c r="H2685" s="690" t="s">
        <v>4060</v>
      </c>
      <c r="I2685" s="690" t="s">
        <v>4060</v>
      </c>
      <c r="J2685" s="690" t="s">
        <v>4060</v>
      </c>
      <c r="K2685" s="690" t="s">
        <v>4060</v>
      </c>
    </row>
    <row r="2686" spans="1:11">
      <c r="A2686" s="688" t="s">
        <v>2328</v>
      </c>
      <c r="B2686" s="691">
        <v>39.9</v>
      </c>
      <c r="C2686" s="691">
        <v>39.9</v>
      </c>
      <c r="D2686" s="691">
        <v>39.799999999999997</v>
      </c>
      <c r="E2686" s="615">
        <v>40</v>
      </c>
      <c r="F2686" s="691">
        <v>40.299999999999997</v>
      </c>
      <c r="G2686" s="691">
        <v>40.700000000000003</v>
      </c>
      <c r="H2686" s="691">
        <v>40.700000000000003</v>
      </c>
      <c r="I2686" s="691">
        <v>38.4</v>
      </c>
      <c r="J2686" s="691">
        <v>37.299999999999997</v>
      </c>
      <c r="K2686" s="692" t="s">
        <v>4060</v>
      </c>
    </row>
    <row r="2687" spans="1:11">
      <c r="A2687" s="688" t="s">
        <v>2496</v>
      </c>
      <c r="B2687" s="690" t="s">
        <v>4060</v>
      </c>
      <c r="C2687" s="689">
        <v>39.1</v>
      </c>
      <c r="D2687" s="689">
        <v>38.1</v>
      </c>
      <c r="E2687" s="689">
        <v>37.799999999999997</v>
      </c>
      <c r="F2687" s="689">
        <v>38.5</v>
      </c>
      <c r="G2687" s="689">
        <v>38.799999999999997</v>
      </c>
      <c r="H2687" s="689">
        <v>38.799999999999997</v>
      </c>
      <c r="I2687" s="690" t="s">
        <v>4060</v>
      </c>
      <c r="J2687" s="690" t="s">
        <v>4060</v>
      </c>
      <c r="K2687" s="689">
        <v>38.4</v>
      </c>
    </row>
    <row r="2688" spans="1:11">
      <c r="A2688" s="688" t="s">
        <v>2269</v>
      </c>
      <c r="B2688" s="691">
        <v>42.7</v>
      </c>
      <c r="C2688" s="691">
        <v>42.9</v>
      </c>
      <c r="D2688" s="691">
        <v>42.4</v>
      </c>
      <c r="E2688" s="615">
        <v>43</v>
      </c>
      <c r="F2688" s="691">
        <v>42.9</v>
      </c>
      <c r="G2688" s="691">
        <v>43.4</v>
      </c>
      <c r="H2688" s="691">
        <v>43.6</v>
      </c>
      <c r="I2688" s="691">
        <v>41.8</v>
      </c>
      <c r="J2688" s="691">
        <v>39.799999999999997</v>
      </c>
      <c r="K2688" s="691">
        <v>43.3</v>
      </c>
    </row>
    <row r="2689" spans="1:11">
      <c r="A2689" s="688" t="s">
        <v>2349</v>
      </c>
      <c r="B2689" s="689">
        <v>39.5</v>
      </c>
      <c r="C2689" s="689">
        <v>39.6</v>
      </c>
      <c r="D2689" s="689">
        <v>39.5</v>
      </c>
      <c r="E2689" s="689">
        <v>39.9</v>
      </c>
      <c r="F2689" s="689">
        <v>39.700000000000003</v>
      </c>
      <c r="G2689" s="693">
        <v>40</v>
      </c>
      <c r="H2689" s="689">
        <v>40.1</v>
      </c>
      <c r="I2689" s="689">
        <v>38.5</v>
      </c>
      <c r="J2689" s="689">
        <v>36.9</v>
      </c>
      <c r="K2689" s="689">
        <v>39.299999999999997</v>
      </c>
    </row>
    <row r="2690" spans="1:11">
      <c r="A2690" s="688" t="s">
        <v>2355</v>
      </c>
      <c r="B2690" s="691">
        <v>43.1</v>
      </c>
      <c r="C2690" s="615">
        <v>43</v>
      </c>
      <c r="D2690" s="615">
        <v>43</v>
      </c>
      <c r="E2690" s="615">
        <v>43</v>
      </c>
      <c r="F2690" s="691">
        <v>43.2</v>
      </c>
      <c r="G2690" s="691">
        <v>43.6</v>
      </c>
      <c r="H2690" s="691">
        <v>43.7</v>
      </c>
      <c r="I2690" s="692" t="s">
        <v>4060</v>
      </c>
      <c r="J2690" s="692" t="s">
        <v>4060</v>
      </c>
      <c r="K2690" s="692" t="s">
        <v>4060</v>
      </c>
    </row>
    <row r="2691" spans="1:11">
      <c r="A2691" s="688" t="s">
        <v>2357</v>
      </c>
      <c r="B2691" s="690" t="s">
        <v>4060</v>
      </c>
      <c r="C2691" s="689">
        <v>37.200000000000003</v>
      </c>
      <c r="D2691" s="689">
        <v>37.700000000000003</v>
      </c>
      <c r="E2691" s="693">
        <v>38</v>
      </c>
      <c r="F2691" s="689">
        <v>38.299999999999997</v>
      </c>
      <c r="G2691" s="689">
        <v>38.1</v>
      </c>
      <c r="H2691" s="689">
        <v>38.299999999999997</v>
      </c>
      <c r="I2691" s="690" t="s">
        <v>4060</v>
      </c>
      <c r="J2691" s="690" t="s">
        <v>4060</v>
      </c>
      <c r="K2691" s="690" t="s">
        <v>4060</v>
      </c>
    </row>
    <row r="2692" spans="1:11">
      <c r="A2692" s="688" t="s">
        <v>4070</v>
      </c>
      <c r="B2692" s="692" t="s">
        <v>4060</v>
      </c>
      <c r="C2692" s="692" t="s">
        <v>4060</v>
      </c>
      <c r="D2692" s="692" t="s">
        <v>4060</v>
      </c>
      <c r="E2692" s="691">
        <v>42.7</v>
      </c>
      <c r="F2692" s="692" t="s">
        <v>4060</v>
      </c>
      <c r="G2692" s="692" t="s">
        <v>4060</v>
      </c>
      <c r="H2692" s="692" t="s">
        <v>4060</v>
      </c>
      <c r="I2692" s="692" t="s">
        <v>4060</v>
      </c>
      <c r="J2692" s="692" t="s">
        <v>4060</v>
      </c>
      <c r="K2692" s="692" t="s">
        <v>4060</v>
      </c>
    </row>
    <row r="2693" spans="1:11">
      <c r="A2693" s="688" t="s">
        <v>2491</v>
      </c>
      <c r="B2693" s="689">
        <v>37.5</v>
      </c>
      <c r="C2693" s="693">
        <v>38</v>
      </c>
      <c r="D2693" s="689">
        <v>38.4</v>
      </c>
      <c r="E2693" s="689">
        <v>38.6</v>
      </c>
      <c r="F2693" s="689">
        <v>38.799999999999997</v>
      </c>
      <c r="G2693" s="689">
        <v>38.700000000000003</v>
      </c>
      <c r="H2693" s="690" t="s">
        <v>4060</v>
      </c>
      <c r="I2693" s="690" t="s">
        <v>4060</v>
      </c>
      <c r="J2693" s="690" t="s">
        <v>4060</v>
      </c>
      <c r="K2693" s="690" t="s">
        <v>4060</v>
      </c>
    </row>
    <row r="2694" spans="1:11">
      <c r="A2694" s="688" t="s">
        <v>2343</v>
      </c>
      <c r="B2694" s="692" t="s">
        <v>4060</v>
      </c>
      <c r="C2694" s="692" t="s">
        <v>4060</v>
      </c>
      <c r="D2694" s="692" t="s">
        <v>4060</v>
      </c>
      <c r="E2694" s="692" t="s">
        <v>4060</v>
      </c>
      <c r="F2694" s="692" t="s">
        <v>4060</v>
      </c>
      <c r="G2694" s="692" t="s">
        <v>4060</v>
      </c>
      <c r="H2694" s="692" t="s">
        <v>4060</v>
      </c>
      <c r="I2694" s="692" t="s">
        <v>4060</v>
      </c>
      <c r="J2694" s="692" t="s">
        <v>4060</v>
      </c>
      <c r="K2694" s="692" t="s">
        <v>4060</v>
      </c>
    </row>
    <row r="2695" spans="1:11">
      <c r="A2695" s="688" t="s">
        <v>4071</v>
      </c>
      <c r="B2695" s="690" t="s">
        <v>4060</v>
      </c>
      <c r="C2695" s="690" t="s">
        <v>4060</v>
      </c>
      <c r="D2695" s="690" t="s">
        <v>4060</v>
      </c>
      <c r="E2695" s="690" t="s">
        <v>4060</v>
      </c>
      <c r="F2695" s="690" t="s">
        <v>4060</v>
      </c>
      <c r="G2695" s="690" t="s">
        <v>4060</v>
      </c>
      <c r="H2695" s="690" t="s">
        <v>4060</v>
      </c>
      <c r="I2695" s="690" t="s">
        <v>4060</v>
      </c>
      <c r="J2695" s="690" t="s">
        <v>4060</v>
      </c>
      <c r="K2695" s="690" t="s">
        <v>4060</v>
      </c>
    </row>
    <row r="2696" spans="1:11">
      <c r="A2696" s="688" t="s">
        <v>2489</v>
      </c>
      <c r="B2696" s="692" t="s">
        <v>4060</v>
      </c>
      <c r="C2696" s="692" t="s">
        <v>4060</v>
      </c>
      <c r="D2696" s="691">
        <v>39.700000000000003</v>
      </c>
      <c r="E2696" s="691">
        <v>39.700000000000003</v>
      </c>
      <c r="F2696" s="691">
        <v>40.299999999999997</v>
      </c>
      <c r="G2696" s="691">
        <v>41.1</v>
      </c>
      <c r="H2696" s="691">
        <v>40.9</v>
      </c>
      <c r="I2696" s="692" t="s">
        <v>4060</v>
      </c>
      <c r="J2696" s="692" t="s">
        <v>4060</v>
      </c>
      <c r="K2696" s="692" t="s">
        <v>4060</v>
      </c>
    </row>
    <row r="2697" spans="1:11">
      <c r="A2697" s="688" t="s">
        <v>2490</v>
      </c>
      <c r="B2697" s="689">
        <v>39.6</v>
      </c>
      <c r="C2697" s="689">
        <v>39.700000000000003</v>
      </c>
      <c r="D2697" s="689">
        <v>40.299999999999997</v>
      </c>
      <c r="E2697" s="690" t="s">
        <v>4060</v>
      </c>
      <c r="F2697" s="689">
        <v>40.5</v>
      </c>
      <c r="G2697" s="689">
        <v>40.799999999999997</v>
      </c>
      <c r="H2697" s="689">
        <v>41.6</v>
      </c>
      <c r="I2697" s="690" t="s">
        <v>4060</v>
      </c>
      <c r="J2697" s="690" t="s">
        <v>4060</v>
      </c>
      <c r="K2697" s="690" t="s">
        <v>4060</v>
      </c>
    </row>
    <row r="2699" spans="1:11">
      <c r="A2699" s="683" t="s">
        <v>4233</v>
      </c>
    </row>
    <row r="2700" spans="1:11">
      <c r="A2700" s="683" t="s">
        <v>4060</v>
      </c>
      <c r="B2700" s="682" t="s">
        <v>4234</v>
      </c>
    </row>
    <row r="2702" spans="1:11">
      <c r="A2702" s="682" t="s">
        <v>4248</v>
      </c>
    </row>
    <row r="2703" spans="1:11">
      <c r="A2703" s="682" t="s">
        <v>4210</v>
      </c>
      <c r="B2703" s="683" t="s">
        <v>4211</v>
      </c>
    </row>
    <row r="2704" spans="1:11">
      <c r="A2704" s="682" t="s">
        <v>4212</v>
      </c>
      <c r="B2704" s="682" t="s">
        <v>4213</v>
      </c>
    </row>
    <row r="2706" spans="1:11">
      <c r="A2706" s="683" t="s">
        <v>4214</v>
      </c>
      <c r="C2706" s="682" t="s">
        <v>4215</v>
      </c>
    </row>
    <row r="2707" spans="1:11">
      <c r="A2707" s="683" t="s">
        <v>4216</v>
      </c>
      <c r="C2707" s="682" t="s">
        <v>2967</v>
      </c>
    </row>
    <row r="2708" spans="1:11">
      <c r="A2708" s="683" t="s">
        <v>3893</v>
      </c>
      <c r="C2708" s="682" t="s">
        <v>4217</v>
      </c>
    </row>
    <row r="2709" spans="1:11">
      <c r="A2709" s="683" t="s">
        <v>4218</v>
      </c>
      <c r="C2709" s="682" t="s">
        <v>4273</v>
      </c>
    </row>
    <row r="2711" spans="1:11">
      <c r="A2711" s="684" t="s">
        <v>4220</v>
      </c>
      <c r="B2711" s="685" t="s">
        <v>4221</v>
      </c>
      <c r="C2711" s="685" t="s">
        <v>4222</v>
      </c>
      <c r="D2711" s="685" t="s">
        <v>4223</v>
      </c>
      <c r="E2711" s="685" t="s">
        <v>4224</v>
      </c>
      <c r="F2711" s="685" t="s">
        <v>4225</v>
      </c>
      <c r="G2711" s="685" t="s">
        <v>4226</v>
      </c>
      <c r="H2711" s="685" t="s">
        <v>4227</v>
      </c>
      <c r="I2711" s="685" t="s">
        <v>4228</v>
      </c>
      <c r="J2711" s="685" t="s">
        <v>4229</v>
      </c>
      <c r="K2711" s="685" t="s">
        <v>4230</v>
      </c>
    </row>
    <row r="2712" spans="1:11">
      <c r="A2712" s="686" t="s">
        <v>4231</v>
      </c>
      <c r="B2712" s="687" t="s">
        <v>4232</v>
      </c>
      <c r="C2712" s="687" t="s">
        <v>4232</v>
      </c>
      <c r="D2712" s="687" t="s">
        <v>4232</v>
      </c>
      <c r="E2712" s="687" t="s">
        <v>4232</v>
      </c>
      <c r="F2712" s="687" t="s">
        <v>4232</v>
      </c>
      <c r="G2712" s="687" t="s">
        <v>4232</v>
      </c>
      <c r="H2712" s="687" t="s">
        <v>4232</v>
      </c>
      <c r="I2712" s="687" t="s">
        <v>4232</v>
      </c>
      <c r="J2712" s="687" t="s">
        <v>4232</v>
      </c>
      <c r="K2712" s="687" t="s">
        <v>4232</v>
      </c>
    </row>
    <row r="2713" spans="1:11">
      <c r="A2713" s="688" t="s">
        <v>4064</v>
      </c>
      <c r="B2713" s="689">
        <v>43.5</v>
      </c>
      <c r="C2713" s="689">
        <v>43.6</v>
      </c>
      <c r="D2713" s="689">
        <v>43.5</v>
      </c>
      <c r="E2713" s="689">
        <v>43.7</v>
      </c>
      <c r="F2713" s="689">
        <v>43.7</v>
      </c>
      <c r="G2713" s="689">
        <v>43.8</v>
      </c>
      <c r="H2713" s="693">
        <v>44</v>
      </c>
      <c r="I2713" s="689">
        <v>43.2</v>
      </c>
      <c r="J2713" s="689">
        <v>42.9</v>
      </c>
      <c r="K2713" s="689">
        <v>43.5</v>
      </c>
    </row>
    <row r="2714" spans="1:11">
      <c r="A2714" s="688" t="s">
        <v>4065</v>
      </c>
      <c r="B2714" s="691">
        <v>43.6</v>
      </c>
      <c r="C2714" s="691">
        <v>43.9</v>
      </c>
      <c r="D2714" s="691">
        <v>43.6</v>
      </c>
      <c r="E2714" s="691">
        <v>43.9</v>
      </c>
      <c r="F2714" s="691">
        <v>43.9</v>
      </c>
      <c r="G2714" s="615">
        <v>44</v>
      </c>
      <c r="H2714" s="692" t="s">
        <v>4060</v>
      </c>
      <c r="I2714" s="692" t="s">
        <v>4060</v>
      </c>
      <c r="J2714" s="692" t="s">
        <v>4060</v>
      </c>
      <c r="K2714" s="692" t="s">
        <v>4060</v>
      </c>
    </row>
    <row r="2715" spans="1:11">
      <c r="A2715" s="688" t="s">
        <v>4063</v>
      </c>
      <c r="B2715" s="689">
        <v>43.6</v>
      </c>
      <c r="C2715" s="689">
        <v>43.9</v>
      </c>
      <c r="D2715" s="689">
        <v>43.6</v>
      </c>
      <c r="E2715" s="693">
        <v>44</v>
      </c>
      <c r="F2715" s="689">
        <v>43.9</v>
      </c>
      <c r="G2715" s="693">
        <v>44</v>
      </c>
      <c r="H2715" s="690" t="s">
        <v>4060</v>
      </c>
      <c r="I2715" s="690" t="s">
        <v>4060</v>
      </c>
      <c r="J2715" s="690" t="s">
        <v>4060</v>
      </c>
      <c r="K2715" s="690" t="s">
        <v>4060</v>
      </c>
    </row>
    <row r="2716" spans="1:11">
      <c r="A2716" s="688" t="s">
        <v>4069</v>
      </c>
      <c r="B2716" s="692" t="s">
        <v>4060</v>
      </c>
      <c r="C2716" s="691">
        <v>44.5</v>
      </c>
      <c r="D2716" s="691">
        <v>44.2</v>
      </c>
      <c r="E2716" s="691">
        <v>44.6</v>
      </c>
      <c r="F2716" s="691">
        <v>44.6</v>
      </c>
      <c r="G2716" s="691">
        <v>44.7</v>
      </c>
      <c r="H2716" s="615">
        <v>45</v>
      </c>
      <c r="I2716" s="691">
        <v>44.3</v>
      </c>
      <c r="J2716" s="691">
        <v>44.3</v>
      </c>
      <c r="K2716" s="691">
        <v>44.4</v>
      </c>
    </row>
    <row r="2717" spans="1:11">
      <c r="A2717" s="688" t="s">
        <v>4068</v>
      </c>
      <c r="B2717" s="689">
        <v>44.5</v>
      </c>
      <c r="C2717" s="690" t="s">
        <v>4060</v>
      </c>
      <c r="D2717" s="690" t="s">
        <v>4060</v>
      </c>
      <c r="E2717" s="690" t="s">
        <v>4060</v>
      </c>
      <c r="F2717" s="690" t="s">
        <v>4060</v>
      </c>
      <c r="G2717" s="690" t="s">
        <v>4060</v>
      </c>
      <c r="H2717" s="690" t="s">
        <v>4060</v>
      </c>
      <c r="I2717" s="690" t="s">
        <v>4060</v>
      </c>
      <c r="J2717" s="690" t="s">
        <v>4060</v>
      </c>
      <c r="K2717" s="690" t="s">
        <v>4060</v>
      </c>
    </row>
    <row r="2718" spans="1:11">
      <c r="A2718" s="688" t="s">
        <v>0</v>
      </c>
      <c r="B2718" s="691">
        <v>43.7</v>
      </c>
      <c r="C2718" s="691">
        <v>44.1</v>
      </c>
      <c r="D2718" s="691">
        <v>43.9</v>
      </c>
      <c r="E2718" s="691">
        <v>44.2</v>
      </c>
      <c r="F2718" s="691">
        <v>44.3</v>
      </c>
      <c r="G2718" s="691">
        <v>44.4</v>
      </c>
      <c r="H2718" s="691">
        <v>44.8</v>
      </c>
      <c r="I2718" s="691">
        <v>43.7</v>
      </c>
      <c r="J2718" s="691">
        <v>44.5</v>
      </c>
      <c r="K2718" s="691">
        <v>44.6</v>
      </c>
    </row>
    <row r="2719" spans="1:11">
      <c r="A2719" s="688" t="s">
        <v>1</v>
      </c>
      <c r="B2719" s="689">
        <v>38.6</v>
      </c>
      <c r="C2719" s="689">
        <v>38.1</v>
      </c>
      <c r="D2719" s="689">
        <v>38.200000000000003</v>
      </c>
      <c r="E2719" s="689">
        <v>38.299999999999997</v>
      </c>
      <c r="F2719" s="689">
        <v>38.200000000000003</v>
      </c>
      <c r="G2719" s="689">
        <v>38.299999999999997</v>
      </c>
      <c r="H2719" s="689">
        <v>38.4</v>
      </c>
      <c r="I2719" s="689">
        <v>36.799999999999997</v>
      </c>
      <c r="J2719" s="689">
        <v>34.9</v>
      </c>
      <c r="K2719" s="689">
        <v>37.6</v>
      </c>
    </row>
    <row r="2720" spans="1:11">
      <c r="A2720" s="688" t="s">
        <v>2240</v>
      </c>
      <c r="B2720" s="691">
        <v>41.3</v>
      </c>
      <c r="C2720" s="691">
        <v>41.7</v>
      </c>
      <c r="D2720" s="691">
        <v>41.5</v>
      </c>
      <c r="E2720" s="691">
        <v>41.9</v>
      </c>
      <c r="F2720" s="691">
        <v>41.9</v>
      </c>
      <c r="G2720" s="691">
        <v>41.9</v>
      </c>
      <c r="H2720" s="691">
        <v>42.2</v>
      </c>
      <c r="I2720" s="691">
        <v>41.1</v>
      </c>
      <c r="J2720" s="691">
        <v>40.1</v>
      </c>
      <c r="K2720" s="691">
        <v>41.9</v>
      </c>
    </row>
    <row r="2721" spans="1:11">
      <c r="A2721" s="688" t="s">
        <v>2</v>
      </c>
      <c r="B2721" s="689">
        <v>43.2</v>
      </c>
      <c r="C2721" s="689">
        <v>43.5</v>
      </c>
      <c r="D2721" s="689">
        <v>43.5</v>
      </c>
      <c r="E2721" s="689">
        <v>43.7</v>
      </c>
      <c r="F2721" s="689">
        <v>43.9</v>
      </c>
      <c r="G2721" s="689">
        <v>43.8</v>
      </c>
      <c r="H2721" s="689">
        <v>44.2</v>
      </c>
      <c r="I2721" s="689">
        <v>44.3</v>
      </c>
      <c r="J2721" s="689">
        <v>44.2</v>
      </c>
      <c r="K2721" s="693">
        <v>44</v>
      </c>
    </row>
    <row r="2722" spans="1:11">
      <c r="A2722" s="688" t="s">
        <v>3</v>
      </c>
      <c r="B2722" s="691">
        <v>43.5</v>
      </c>
      <c r="C2722" s="691">
        <v>43.8</v>
      </c>
      <c r="D2722" s="691">
        <v>43.5</v>
      </c>
      <c r="E2722" s="691">
        <v>43.7</v>
      </c>
      <c r="F2722" s="691">
        <v>43.8</v>
      </c>
      <c r="G2722" s="691">
        <v>43.7</v>
      </c>
      <c r="H2722" s="615">
        <v>44</v>
      </c>
      <c r="I2722" s="691">
        <v>43.8</v>
      </c>
      <c r="J2722" s="691">
        <v>43.5</v>
      </c>
      <c r="K2722" s="691">
        <v>43.3</v>
      </c>
    </row>
    <row r="2723" spans="1:11">
      <c r="A2723" s="688" t="s">
        <v>4061</v>
      </c>
      <c r="B2723" s="689">
        <v>43.5</v>
      </c>
      <c r="C2723" s="689">
        <v>43.8</v>
      </c>
      <c r="D2723" s="689">
        <v>43.5</v>
      </c>
      <c r="E2723" s="689">
        <v>43.7</v>
      </c>
      <c r="F2723" s="689">
        <v>43.8</v>
      </c>
      <c r="G2723" s="689">
        <v>43.7</v>
      </c>
      <c r="H2723" s="693">
        <v>44</v>
      </c>
      <c r="I2723" s="689">
        <v>43.8</v>
      </c>
      <c r="J2723" s="689">
        <v>43.5</v>
      </c>
      <c r="K2723" s="689">
        <v>43.3</v>
      </c>
    </row>
    <row r="2724" spans="1:11">
      <c r="A2724" s="688" t="s">
        <v>4</v>
      </c>
      <c r="B2724" s="691">
        <v>40.9</v>
      </c>
      <c r="C2724" s="691">
        <v>40.700000000000003</v>
      </c>
      <c r="D2724" s="691">
        <v>41.1</v>
      </c>
      <c r="E2724" s="691">
        <v>41.2</v>
      </c>
      <c r="F2724" s="691">
        <v>41.4</v>
      </c>
      <c r="G2724" s="691">
        <v>41.4</v>
      </c>
      <c r="H2724" s="691">
        <v>41.9</v>
      </c>
      <c r="I2724" s="691">
        <v>41.7</v>
      </c>
      <c r="J2724" s="691">
        <v>40.299999999999997</v>
      </c>
      <c r="K2724" s="691">
        <v>41.2</v>
      </c>
    </row>
    <row r="2725" spans="1:11">
      <c r="A2725" s="688" t="s">
        <v>8</v>
      </c>
      <c r="B2725" s="693">
        <v>44</v>
      </c>
      <c r="C2725" s="689">
        <v>44.3</v>
      </c>
      <c r="D2725" s="689">
        <v>44.3</v>
      </c>
      <c r="E2725" s="689">
        <v>44.4</v>
      </c>
      <c r="F2725" s="689">
        <v>44.8</v>
      </c>
      <c r="G2725" s="689">
        <v>44.9</v>
      </c>
      <c r="H2725" s="689">
        <v>45.2</v>
      </c>
      <c r="I2725" s="689">
        <v>45.1</v>
      </c>
      <c r="J2725" s="689">
        <v>44.9</v>
      </c>
      <c r="K2725" s="689">
        <v>45.1</v>
      </c>
    </row>
    <row r="2726" spans="1:11">
      <c r="A2726" s="688" t="s">
        <v>7</v>
      </c>
      <c r="B2726" s="691">
        <v>44.4</v>
      </c>
      <c r="C2726" s="615">
        <v>44</v>
      </c>
      <c r="D2726" s="691">
        <v>43.8</v>
      </c>
      <c r="E2726" s="691">
        <v>44.1</v>
      </c>
      <c r="F2726" s="615">
        <v>44</v>
      </c>
      <c r="G2726" s="691">
        <v>44.4</v>
      </c>
      <c r="H2726" s="691">
        <v>44.3</v>
      </c>
      <c r="I2726" s="615">
        <v>44</v>
      </c>
      <c r="J2726" s="615">
        <v>43</v>
      </c>
      <c r="K2726" s="691">
        <v>43.7</v>
      </c>
    </row>
    <row r="2727" spans="1:11">
      <c r="A2727" s="688" t="s">
        <v>27</v>
      </c>
      <c r="B2727" s="689">
        <v>45.9</v>
      </c>
      <c r="C2727" s="689">
        <v>45.6</v>
      </c>
      <c r="D2727" s="689">
        <v>45.3</v>
      </c>
      <c r="E2727" s="689">
        <v>45.8</v>
      </c>
      <c r="F2727" s="689">
        <v>45.7</v>
      </c>
      <c r="G2727" s="689">
        <v>45.8</v>
      </c>
      <c r="H2727" s="689">
        <v>46.2</v>
      </c>
      <c r="I2727" s="689">
        <v>44.9</v>
      </c>
      <c r="J2727" s="689">
        <v>45.7</v>
      </c>
      <c r="K2727" s="689">
        <v>45.8</v>
      </c>
    </row>
    <row r="2728" spans="1:11">
      <c r="A2728" s="688" t="s">
        <v>6</v>
      </c>
      <c r="B2728" s="691">
        <v>45.4</v>
      </c>
      <c r="C2728" s="691">
        <v>45.4</v>
      </c>
      <c r="D2728" s="691">
        <v>45.2</v>
      </c>
      <c r="E2728" s="691">
        <v>45.4</v>
      </c>
      <c r="F2728" s="691">
        <v>45.5</v>
      </c>
      <c r="G2728" s="691">
        <v>45.6</v>
      </c>
      <c r="H2728" s="691">
        <v>45.8</v>
      </c>
      <c r="I2728" s="691">
        <v>45.1</v>
      </c>
      <c r="J2728" s="691">
        <v>45.3</v>
      </c>
      <c r="K2728" s="691">
        <v>45.3</v>
      </c>
    </row>
    <row r="2729" spans="1:11">
      <c r="A2729" s="688" t="s">
        <v>4058</v>
      </c>
      <c r="B2729" s="690" t="s">
        <v>4060</v>
      </c>
      <c r="C2729" s="690" t="s">
        <v>4060</v>
      </c>
      <c r="D2729" s="690" t="s">
        <v>4060</v>
      </c>
      <c r="E2729" s="690" t="s">
        <v>4060</v>
      </c>
      <c r="F2729" s="690" t="s">
        <v>4060</v>
      </c>
      <c r="G2729" s="690" t="s">
        <v>4060</v>
      </c>
      <c r="H2729" s="690" t="s">
        <v>4060</v>
      </c>
      <c r="I2729" s="690" t="s">
        <v>4060</v>
      </c>
      <c r="J2729" s="690" t="s">
        <v>4060</v>
      </c>
      <c r="K2729" s="690" t="s">
        <v>4060</v>
      </c>
    </row>
    <row r="2730" spans="1:11">
      <c r="A2730" s="688" t="s">
        <v>11</v>
      </c>
      <c r="B2730" s="691">
        <v>40.9</v>
      </c>
      <c r="C2730" s="691">
        <v>40.799999999999997</v>
      </c>
      <c r="D2730" s="691">
        <v>40.4</v>
      </c>
      <c r="E2730" s="615">
        <v>41</v>
      </c>
      <c r="F2730" s="691">
        <v>40.9</v>
      </c>
      <c r="G2730" s="691">
        <v>41.1</v>
      </c>
      <c r="H2730" s="691">
        <v>41.3</v>
      </c>
      <c r="I2730" s="691">
        <v>40.6</v>
      </c>
      <c r="J2730" s="691">
        <v>39.6</v>
      </c>
      <c r="K2730" s="691">
        <v>40.700000000000003</v>
      </c>
    </row>
    <row r="2731" spans="1:11">
      <c r="A2731" s="688" t="s">
        <v>10</v>
      </c>
      <c r="B2731" s="689">
        <v>45.6</v>
      </c>
      <c r="C2731" s="689">
        <v>45.6</v>
      </c>
      <c r="D2731" s="689">
        <v>45.2</v>
      </c>
      <c r="E2731" s="689">
        <v>45.8</v>
      </c>
      <c r="F2731" s="689">
        <v>45.6</v>
      </c>
      <c r="G2731" s="689">
        <v>45.9</v>
      </c>
      <c r="H2731" s="689">
        <v>46.1</v>
      </c>
      <c r="I2731" s="689">
        <v>44.9</v>
      </c>
      <c r="J2731" s="689">
        <v>45.3</v>
      </c>
      <c r="K2731" s="689">
        <v>45.4</v>
      </c>
    </row>
    <row r="2732" spans="1:11">
      <c r="A2732" s="688" t="s">
        <v>30</v>
      </c>
      <c r="B2732" s="691">
        <v>45.2</v>
      </c>
      <c r="C2732" s="691">
        <v>44.9</v>
      </c>
      <c r="D2732" s="691">
        <v>44.6</v>
      </c>
      <c r="E2732" s="691">
        <v>45.4</v>
      </c>
      <c r="F2732" s="615">
        <v>45</v>
      </c>
      <c r="G2732" s="691">
        <v>45.7</v>
      </c>
      <c r="H2732" s="691">
        <v>45.4</v>
      </c>
      <c r="I2732" s="691">
        <v>45.4</v>
      </c>
      <c r="J2732" s="691">
        <v>44.6</v>
      </c>
      <c r="K2732" s="615">
        <v>45</v>
      </c>
    </row>
    <row r="2733" spans="1:11">
      <c r="A2733" s="688" t="s">
        <v>12</v>
      </c>
      <c r="B2733" s="689">
        <v>38.1</v>
      </c>
      <c r="C2733" s="689">
        <v>38.200000000000003</v>
      </c>
      <c r="D2733" s="689">
        <v>38.4</v>
      </c>
      <c r="E2733" s="689">
        <v>38.5</v>
      </c>
      <c r="F2733" s="689">
        <v>38.6</v>
      </c>
      <c r="G2733" s="689">
        <v>38.6</v>
      </c>
      <c r="H2733" s="689">
        <v>39.200000000000003</v>
      </c>
      <c r="I2733" s="689">
        <v>38.9</v>
      </c>
      <c r="J2733" s="689">
        <v>36.6</v>
      </c>
      <c r="K2733" s="693">
        <v>38</v>
      </c>
    </row>
    <row r="2734" spans="1:11">
      <c r="A2734" s="688" t="s">
        <v>14</v>
      </c>
      <c r="B2734" s="691">
        <v>38.1</v>
      </c>
      <c r="C2734" s="691">
        <v>38.5</v>
      </c>
      <c r="D2734" s="691">
        <v>38.4</v>
      </c>
      <c r="E2734" s="691">
        <v>38.5</v>
      </c>
      <c r="F2734" s="691">
        <v>39.200000000000003</v>
      </c>
      <c r="G2734" s="691">
        <v>39.5</v>
      </c>
      <c r="H2734" s="691">
        <v>39.799999999999997</v>
      </c>
      <c r="I2734" s="691">
        <v>38.5</v>
      </c>
      <c r="J2734" s="691">
        <v>37.700000000000003</v>
      </c>
      <c r="K2734" s="691">
        <v>39.1</v>
      </c>
    </row>
    <row r="2735" spans="1:11">
      <c r="A2735" s="688" t="s">
        <v>15</v>
      </c>
      <c r="B2735" s="689">
        <v>44.8</v>
      </c>
      <c r="C2735" s="689">
        <v>44.7</v>
      </c>
      <c r="D2735" s="689">
        <v>44.7</v>
      </c>
      <c r="E2735" s="693">
        <v>45</v>
      </c>
      <c r="F2735" s="689">
        <v>44.6</v>
      </c>
      <c r="G2735" s="689">
        <v>44.9</v>
      </c>
      <c r="H2735" s="689">
        <v>45.3</v>
      </c>
      <c r="I2735" s="689">
        <v>44.9</v>
      </c>
      <c r="J2735" s="689">
        <v>45.2</v>
      </c>
      <c r="K2735" s="689">
        <v>45.6</v>
      </c>
    </row>
    <row r="2736" spans="1:11">
      <c r="A2736" s="688" t="s">
        <v>29</v>
      </c>
      <c r="B2736" s="691">
        <v>38.799999999999997</v>
      </c>
      <c r="C2736" s="691">
        <v>38.9</v>
      </c>
      <c r="D2736" s="691">
        <v>38.700000000000003</v>
      </c>
      <c r="E2736" s="691">
        <v>39.1</v>
      </c>
      <c r="F2736" s="691">
        <v>38.9</v>
      </c>
      <c r="G2736" s="615">
        <v>39</v>
      </c>
      <c r="H2736" s="691">
        <v>39.299999999999997</v>
      </c>
      <c r="I2736" s="691">
        <v>38.5</v>
      </c>
      <c r="J2736" s="691">
        <v>37.200000000000003</v>
      </c>
      <c r="K2736" s="691">
        <v>38.9</v>
      </c>
    </row>
    <row r="2737" spans="1:11">
      <c r="A2737" s="688" t="s">
        <v>16</v>
      </c>
      <c r="B2737" s="689">
        <v>44.8</v>
      </c>
      <c r="C2737" s="689">
        <v>44.7</v>
      </c>
      <c r="D2737" s="689">
        <v>44.8</v>
      </c>
      <c r="E2737" s="689">
        <v>45.2</v>
      </c>
      <c r="F2737" s="689">
        <v>45.1</v>
      </c>
      <c r="G2737" s="689">
        <v>45.1</v>
      </c>
      <c r="H2737" s="689">
        <v>45.5</v>
      </c>
      <c r="I2737" s="689">
        <v>44.8</v>
      </c>
      <c r="J2737" s="689">
        <v>44.8</v>
      </c>
      <c r="K2737" s="693">
        <v>45</v>
      </c>
    </row>
    <row r="2738" spans="1:11">
      <c r="A2738" s="688" t="s">
        <v>17</v>
      </c>
      <c r="B2738" s="691">
        <v>44.3</v>
      </c>
      <c r="C2738" s="691">
        <v>44.5</v>
      </c>
      <c r="D2738" s="691">
        <v>44.3</v>
      </c>
      <c r="E2738" s="691">
        <v>44.4</v>
      </c>
      <c r="F2738" s="691">
        <v>44.6</v>
      </c>
      <c r="G2738" s="691">
        <v>44.6</v>
      </c>
      <c r="H2738" s="691">
        <v>44.9</v>
      </c>
      <c r="I2738" s="691">
        <v>44.2</v>
      </c>
      <c r="J2738" s="691">
        <v>44.2</v>
      </c>
      <c r="K2738" s="691">
        <v>44.4</v>
      </c>
    </row>
    <row r="2739" spans="1:11">
      <c r="A2739" s="688" t="s">
        <v>19</v>
      </c>
      <c r="B2739" s="689">
        <v>44.2</v>
      </c>
      <c r="C2739" s="689">
        <v>44.3</v>
      </c>
      <c r="D2739" s="689">
        <v>44.1</v>
      </c>
      <c r="E2739" s="689">
        <v>44.5</v>
      </c>
      <c r="F2739" s="689">
        <v>44.5</v>
      </c>
      <c r="G2739" s="689">
        <v>44.5</v>
      </c>
      <c r="H2739" s="689">
        <v>44.8</v>
      </c>
      <c r="I2739" s="689">
        <v>44.2</v>
      </c>
      <c r="J2739" s="689">
        <v>44.1</v>
      </c>
      <c r="K2739" s="689">
        <v>44.3</v>
      </c>
    </row>
    <row r="2740" spans="1:11">
      <c r="A2740" s="688" t="s">
        <v>20</v>
      </c>
      <c r="B2740" s="691">
        <v>40.4</v>
      </c>
      <c r="C2740" s="691">
        <v>40.799999999999997</v>
      </c>
      <c r="D2740" s="691">
        <v>40.6</v>
      </c>
      <c r="E2740" s="615">
        <v>41</v>
      </c>
      <c r="F2740" s="691">
        <v>40.9</v>
      </c>
      <c r="G2740" s="691">
        <v>40.799999999999997</v>
      </c>
      <c r="H2740" s="691">
        <v>41.1</v>
      </c>
      <c r="I2740" s="691">
        <v>39.6</v>
      </c>
      <c r="J2740" s="691">
        <v>38.700000000000003</v>
      </c>
      <c r="K2740" s="691">
        <v>40.4</v>
      </c>
    </row>
    <row r="2741" spans="1:11">
      <c r="A2741" s="688" t="s">
        <v>21</v>
      </c>
      <c r="B2741" s="689">
        <v>43.8</v>
      </c>
      <c r="C2741" s="689">
        <v>44.2</v>
      </c>
      <c r="D2741" s="689">
        <v>44.2</v>
      </c>
      <c r="E2741" s="689">
        <v>44.2</v>
      </c>
      <c r="F2741" s="689">
        <v>44.5</v>
      </c>
      <c r="G2741" s="689">
        <v>44.5</v>
      </c>
      <c r="H2741" s="689">
        <v>44.8</v>
      </c>
      <c r="I2741" s="689">
        <v>44.2</v>
      </c>
      <c r="J2741" s="689">
        <v>44.2</v>
      </c>
      <c r="K2741" s="689">
        <v>44.6</v>
      </c>
    </row>
    <row r="2742" spans="1:11">
      <c r="A2742" s="688" t="s">
        <v>22</v>
      </c>
      <c r="B2742" s="691">
        <v>38.9</v>
      </c>
      <c r="C2742" s="691">
        <v>38.6</v>
      </c>
      <c r="D2742" s="691">
        <v>38.5</v>
      </c>
      <c r="E2742" s="691">
        <v>38.700000000000003</v>
      </c>
      <c r="F2742" s="691">
        <v>38.700000000000003</v>
      </c>
      <c r="G2742" s="691">
        <v>38.700000000000003</v>
      </c>
      <c r="H2742" s="615">
        <v>39</v>
      </c>
      <c r="I2742" s="691">
        <v>37.5</v>
      </c>
      <c r="J2742" s="691">
        <v>36.200000000000003</v>
      </c>
      <c r="K2742" s="691">
        <v>38.5</v>
      </c>
    </row>
    <row r="2743" spans="1:11">
      <c r="A2743" s="688" t="s">
        <v>26</v>
      </c>
      <c r="B2743" s="689">
        <v>43.4</v>
      </c>
      <c r="C2743" s="689">
        <v>43.7</v>
      </c>
      <c r="D2743" s="689">
        <v>43.4</v>
      </c>
      <c r="E2743" s="689">
        <v>43.8</v>
      </c>
      <c r="F2743" s="689">
        <v>43.7</v>
      </c>
      <c r="G2743" s="693">
        <v>44</v>
      </c>
      <c r="H2743" s="689">
        <v>44.2</v>
      </c>
      <c r="I2743" s="689">
        <v>43.2</v>
      </c>
      <c r="J2743" s="689">
        <v>43.3</v>
      </c>
      <c r="K2743" s="693">
        <v>44</v>
      </c>
    </row>
    <row r="2744" spans="1:11">
      <c r="A2744" s="688" t="s">
        <v>25</v>
      </c>
      <c r="B2744" s="691">
        <v>39.9</v>
      </c>
      <c r="C2744" s="691">
        <v>40.200000000000003</v>
      </c>
      <c r="D2744" s="615">
        <v>40</v>
      </c>
      <c r="E2744" s="691">
        <v>40.5</v>
      </c>
      <c r="F2744" s="691">
        <v>40.4</v>
      </c>
      <c r="G2744" s="691">
        <v>40.6</v>
      </c>
      <c r="H2744" s="615">
        <v>41</v>
      </c>
      <c r="I2744" s="691">
        <v>40.200000000000003</v>
      </c>
      <c r="J2744" s="691">
        <v>37.9</v>
      </c>
      <c r="K2744" s="691">
        <v>40.299999999999997</v>
      </c>
    </row>
    <row r="2745" spans="1:11">
      <c r="A2745" s="688" t="s">
        <v>5</v>
      </c>
      <c r="B2745" s="689">
        <v>44.1</v>
      </c>
      <c r="C2745" s="689">
        <v>44.1</v>
      </c>
      <c r="D2745" s="689">
        <v>44.2</v>
      </c>
      <c r="E2745" s="689">
        <v>44.2</v>
      </c>
      <c r="F2745" s="689">
        <v>44.5</v>
      </c>
      <c r="G2745" s="689">
        <v>44.6</v>
      </c>
      <c r="H2745" s="689">
        <v>44.9</v>
      </c>
      <c r="I2745" s="689">
        <v>44.8</v>
      </c>
      <c r="J2745" s="689">
        <v>44.7</v>
      </c>
      <c r="K2745" s="689">
        <v>44.2</v>
      </c>
    </row>
    <row r="2746" spans="1:11">
      <c r="A2746" s="688" t="s">
        <v>23</v>
      </c>
      <c r="B2746" s="691">
        <v>44.9</v>
      </c>
      <c r="C2746" s="691">
        <v>45.1</v>
      </c>
      <c r="D2746" s="691">
        <v>45.1</v>
      </c>
      <c r="E2746" s="691">
        <v>45.2</v>
      </c>
      <c r="F2746" s="691">
        <v>45.3</v>
      </c>
      <c r="G2746" s="691">
        <v>45.4</v>
      </c>
      <c r="H2746" s="691">
        <v>45.9</v>
      </c>
      <c r="I2746" s="691">
        <v>45.3</v>
      </c>
      <c r="J2746" s="691">
        <v>45.8</v>
      </c>
      <c r="K2746" s="691">
        <v>45.8</v>
      </c>
    </row>
    <row r="2747" spans="1:11">
      <c r="A2747" s="688" t="s">
        <v>4067</v>
      </c>
      <c r="B2747" s="689">
        <v>43.6</v>
      </c>
      <c r="C2747" s="689">
        <v>43.9</v>
      </c>
      <c r="D2747" s="689">
        <v>43.6</v>
      </c>
      <c r="E2747" s="693">
        <v>44</v>
      </c>
      <c r="F2747" s="689">
        <v>43.9</v>
      </c>
      <c r="G2747" s="693">
        <v>44</v>
      </c>
      <c r="H2747" s="690" t="s">
        <v>4060</v>
      </c>
      <c r="I2747" s="690" t="s">
        <v>4060</v>
      </c>
      <c r="J2747" s="690" t="s">
        <v>4060</v>
      </c>
      <c r="K2747" s="690" t="s">
        <v>4060</v>
      </c>
    </row>
    <row r="2748" spans="1:11">
      <c r="A2748" s="688" t="s">
        <v>4066</v>
      </c>
      <c r="B2748" s="691">
        <v>43.6</v>
      </c>
      <c r="C2748" s="691">
        <v>43.9</v>
      </c>
      <c r="D2748" s="691">
        <v>43.6</v>
      </c>
      <c r="E2748" s="615">
        <v>44</v>
      </c>
      <c r="F2748" s="615">
        <v>44</v>
      </c>
      <c r="G2748" s="615">
        <v>44</v>
      </c>
      <c r="H2748" s="692" t="s">
        <v>4060</v>
      </c>
      <c r="I2748" s="692" t="s">
        <v>4060</v>
      </c>
      <c r="J2748" s="692" t="s">
        <v>4060</v>
      </c>
      <c r="K2748" s="692" t="s">
        <v>4060</v>
      </c>
    </row>
    <row r="2749" spans="1:11">
      <c r="A2749" s="688" t="s">
        <v>4062</v>
      </c>
      <c r="B2749" s="689">
        <v>45.4</v>
      </c>
      <c r="C2749" s="689">
        <v>45.6</v>
      </c>
      <c r="D2749" s="689">
        <v>45.5</v>
      </c>
      <c r="E2749" s="689">
        <v>45.8</v>
      </c>
      <c r="F2749" s="689">
        <v>45.9</v>
      </c>
      <c r="G2749" s="689">
        <v>46.1</v>
      </c>
      <c r="H2749" s="689">
        <v>46.3</v>
      </c>
      <c r="I2749" s="689">
        <v>45.9</v>
      </c>
      <c r="J2749" s="689">
        <v>46.2</v>
      </c>
      <c r="K2749" s="693">
        <v>46</v>
      </c>
    </row>
    <row r="2750" spans="1:11">
      <c r="A2750" s="688" t="s">
        <v>9</v>
      </c>
      <c r="B2750" s="615">
        <v>45</v>
      </c>
      <c r="C2750" s="691">
        <v>45.4</v>
      </c>
      <c r="D2750" s="691">
        <v>45.2</v>
      </c>
      <c r="E2750" s="691">
        <v>44.9</v>
      </c>
      <c r="F2750" s="691">
        <v>45.4</v>
      </c>
      <c r="G2750" s="691">
        <v>45.6</v>
      </c>
      <c r="H2750" s="691">
        <v>45.7</v>
      </c>
      <c r="I2750" s="691">
        <v>45.7</v>
      </c>
      <c r="J2750" s="615">
        <v>46</v>
      </c>
      <c r="K2750" s="615">
        <v>45</v>
      </c>
    </row>
    <row r="2751" spans="1:11">
      <c r="A2751" s="688" t="s">
        <v>13</v>
      </c>
      <c r="B2751" s="689">
        <v>45.3</v>
      </c>
      <c r="C2751" s="689">
        <v>44.9</v>
      </c>
      <c r="D2751" s="689">
        <v>45.3</v>
      </c>
      <c r="E2751" s="689">
        <v>45.1</v>
      </c>
      <c r="F2751" s="689">
        <v>45.9</v>
      </c>
      <c r="G2751" s="689">
        <v>45.7</v>
      </c>
      <c r="H2751" s="689">
        <v>46.3</v>
      </c>
      <c r="I2751" s="689">
        <v>45.3</v>
      </c>
      <c r="J2751" s="689">
        <v>46.4</v>
      </c>
      <c r="K2751" s="689">
        <v>46.6</v>
      </c>
    </row>
    <row r="2752" spans="1:11">
      <c r="A2752" s="688" t="s">
        <v>18</v>
      </c>
      <c r="B2752" s="691">
        <v>44.7</v>
      </c>
      <c r="C2752" s="691">
        <v>44.9</v>
      </c>
      <c r="D2752" s="691">
        <v>45.1</v>
      </c>
      <c r="E2752" s="691">
        <v>45.2</v>
      </c>
      <c r="F2752" s="691">
        <v>45.4</v>
      </c>
      <c r="G2752" s="691">
        <v>45.5</v>
      </c>
      <c r="H2752" s="691">
        <v>45.8</v>
      </c>
      <c r="I2752" s="615">
        <v>46</v>
      </c>
      <c r="J2752" s="691">
        <v>45.9</v>
      </c>
      <c r="K2752" s="691">
        <v>45.4</v>
      </c>
    </row>
    <row r="2753" spans="1:11">
      <c r="A2753" s="688" t="s">
        <v>24</v>
      </c>
      <c r="B2753" s="689">
        <v>45.8</v>
      </c>
      <c r="C2753" s="689">
        <v>45.9</v>
      </c>
      <c r="D2753" s="689">
        <v>45.7</v>
      </c>
      <c r="E2753" s="689">
        <v>46.2</v>
      </c>
      <c r="F2753" s="689">
        <v>46.2</v>
      </c>
      <c r="G2753" s="689">
        <v>46.4</v>
      </c>
      <c r="H2753" s="689">
        <v>46.6</v>
      </c>
      <c r="I2753" s="689">
        <v>45.9</v>
      </c>
      <c r="J2753" s="689">
        <v>46.5</v>
      </c>
      <c r="K2753" s="689">
        <v>46.4</v>
      </c>
    </row>
    <row r="2754" spans="1:11">
      <c r="A2754" s="688" t="s">
        <v>4059</v>
      </c>
      <c r="B2754" s="691">
        <v>44.1</v>
      </c>
      <c r="C2754" s="691">
        <v>44.4</v>
      </c>
      <c r="D2754" s="615">
        <v>44</v>
      </c>
      <c r="E2754" s="691">
        <v>44.3</v>
      </c>
      <c r="F2754" s="691">
        <v>44.3</v>
      </c>
      <c r="G2754" s="691">
        <v>44.3</v>
      </c>
      <c r="H2754" s="692" t="s">
        <v>4060</v>
      </c>
      <c r="I2754" s="692" t="s">
        <v>4060</v>
      </c>
      <c r="J2754" s="692" t="s">
        <v>4060</v>
      </c>
      <c r="K2754" s="692" t="s">
        <v>4060</v>
      </c>
    </row>
    <row r="2755" spans="1:11">
      <c r="A2755" s="688" t="s">
        <v>2324</v>
      </c>
      <c r="B2755" s="689">
        <v>39.6</v>
      </c>
      <c r="C2755" s="689">
        <v>39.700000000000003</v>
      </c>
      <c r="D2755" s="689">
        <v>39.4</v>
      </c>
      <c r="E2755" s="689">
        <v>39.5</v>
      </c>
      <c r="F2755" s="689">
        <v>39.6</v>
      </c>
      <c r="G2755" s="689">
        <v>39.700000000000003</v>
      </c>
      <c r="H2755" s="689">
        <v>39.700000000000003</v>
      </c>
      <c r="I2755" s="689">
        <v>38.9</v>
      </c>
      <c r="J2755" s="689">
        <v>36.700000000000003</v>
      </c>
      <c r="K2755" s="690" t="s">
        <v>4060</v>
      </c>
    </row>
    <row r="2756" spans="1:11">
      <c r="A2756" s="688" t="s">
        <v>2322</v>
      </c>
      <c r="B2756" s="692" t="s">
        <v>4060</v>
      </c>
      <c r="C2756" s="692" t="s">
        <v>4060</v>
      </c>
      <c r="D2756" s="692" t="s">
        <v>4060</v>
      </c>
      <c r="E2756" s="692" t="s">
        <v>4060</v>
      </c>
      <c r="F2756" s="692" t="s">
        <v>4060</v>
      </c>
      <c r="G2756" s="692" t="s">
        <v>4060</v>
      </c>
      <c r="H2756" s="692" t="s">
        <v>4060</v>
      </c>
      <c r="I2756" s="692" t="s">
        <v>4060</v>
      </c>
      <c r="J2756" s="692" t="s">
        <v>4060</v>
      </c>
      <c r="K2756" s="692" t="s">
        <v>4060</v>
      </c>
    </row>
    <row r="2757" spans="1:11">
      <c r="A2757" s="688" t="s">
        <v>2328</v>
      </c>
      <c r="B2757" s="693">
        <v>39</v>
      </c>
      <c r="C2757" s="689">
        <v>38.9</v>
      </c>
      <c r="D2757" s="689">
        <v>38.9</v>
      </c>
      <c r="E2757" s="689">
        <v>39.1</v>
      </c>
      <c r="F2757" s="689">
        <v>39.299999999999997</v>
      </c>
      <c r="G2757" s="689">
        <v>39.700000000000003</v>
      </c>
      <c r="H2757" s="689">
        <v>39.700000000000003</v>
      </c>
      <c r="I2757" s="689">
        <v>37.5</v>
      </c>
      <c r="J2757" s="689">
        <v>36.4</v>
      </c>
      <c r="K2757" s="690" t="s">
        <v>4060</v>
      </c>
    </row>
    <row r="2758" spans="1:11">
      <c r="A2758" s="688" t="s">
        <v>2496</v>
      </c>
      <c r="B2758" s="692" t="s">
        <v>4060</v>
      </c>
      <c r="C2758" s="691">
        <v>38.200000000000003</v>
      </c>
      <c r="D2758" s="691">
        <v>37.1</v>
      </c>
      <c r="E2758" s="691">
        <v>36.799999999999997</v>
      </c>
      <c r="F2758" s="691">
        <v>37.6</v>
      </c>
      <c r="G2758" s="691">
        <v>37.9</v>
      </c>
      <c r="H2758" s="691">
        <v>37.9</v>
      </c>
      <c r="I2758" s="692" t="s">
        <v>4060</v>
      </c>
      <c r="J2758" s="692" t="s">
        <v>4060</v>
      </c>
      <c r="K2758" s="691">
        <v>37.5</v>
      </c>
    </row>
    <row r="2759" spans="1:11">
      <c r="A2759" s="688" t="s">
        <v>2269</v>
      </c>
      <c r="B2759" s="689">
        <v>41.8</v>
      </c>
      <c r="C2759" s="689">
        <v>41.9</v>
      </c>
      <c r="D2759" s="689">
        <v>41.5</v>
      </c>
      <c r="E2759" s="689">
        <v>42.1</v>
      </c>
      <c r="F2759" s="693">
        <v>42</v>
      </c>
      <c r="G2759" s="689">
        <v>42.4</v>
      </c>
      <c r="H2759" s="689">
        <v>42.7</v>
      </c>
      <c r="I2759" s="689">
        <v>40.799999999999997</v>
      </c>
      <c r="J2759" s="689">
        <v>38.9</v>
      </c>
      <c r="K2759" s="689">
        <v>42.3</v>
      </c>
    </row>
    <row r="2760" spans="1:11">
      <c r="A2760" s="688" t="s">
        <v>2349</v>
      </c>
      <c r="B2760" s="691">
        <v>38.6</v>
      </c>
      <c r="C2760" s="691">
        <v>38.6</v>
      </c>
      <c r="D2760" s="691">
        <v>38.5</v>
      </c>
      <c r="E2760" s="691">
        <v>38.9</v>
      </c>
      <c r="F2760" s="691">
        <v>38.799999999999997</v>
      </c>
      <c r="G2760" s="691">
        <v>39.1</v>
      </c>
      <c r="H2760" s="691">
        <v>39.1</v>
      </c>
      <c r="I2760" s="691">
        <v>37.6</v>
      </c>
      <c r="J2760" s="615">
        <v>36</v>
      </c>
      <c r="K2760" s="691">
        <v>38.299999999999997</v>
      </c>
    </row>
    <row r="2761" spans="1:11">
      <c r="A2761" s="688" t="s">
        <v>2355</v>
      </c>
      <c r="B2761" s="689">
        <v>42.2</v>
      </c>
      <c r="C2761" s="689">
        <v>42.1</v>
      </c>
      <c r="D2761" s="693">
        <v>42</v>
      </c>
      <c r="E2761" s="693">
        <v>42</v>
      </c>
      <c r="F2761" s="689">
        <v>42.2</v>
      </c>
      <c r="G2761" s="689">
        <v>42.6</v>
      </c>
      <c r="H2761" s="689">
        <v>42.7</v>
      </c>
      <c r="I2761" s="690" t="s">
        <v>4060</v>
      </c>
      <c r="J2761" s="690" t="s">
        <v>4060</v>
      </c>
      <c r="K2761" s="690" t="s">
        <v>4060</v>
      </c>
    </row>
    <row r="2762" spans="1:11">
      <c r="A2762" s="688" t="s">
        <v>2357</v>
      </c>
      <c r="B2762" s="692" t="s">
        <v>4060</v>
      </c>
      <c r="C2762" s="691">
        <v>36.4</v>
      </c>
      <c r="D2762" s="691">
        <v>36.799999999999997</v>
      </c>
      <c r="E2762" s="691">
        <v>37.1</v>
      </c>
      <c r="F2762" s="691">
        <v>37.4</v>
      </c>
      <c r="G2762" s="691">
        <v>37.200000000000003</v>
      </c>
      <c r="H2762" s="691">
        <v>37.4</v>
      </c>
      <c r="I2762" s="692" t="s">
        <v>4060</v>
      </c>
      <c r="J2762" s="692" t="s">
        <v>4060</v>
      </c>
      <c r="K2762" s="692" t="s">
        <v>4060</v>
      </c>
    </row>
    <row r="2763" spans="1:11">
      <c r="A2763" s="688" t="s">
        <v>4070</v>
      </c>
      <c r="B2763" s="690" t="s">
        <v>4060</v>
      </c>
      <c r="C2763" s="690" t="s">
        <v>4060</v>
      </c>
      <c r="D2763" s="690" t="s">
        <v>4060</v>
      </c>
      <c r="E2763" s="689">
        <v>41.7</v>
      </c>
      <c r="F2763" s="690" t="s">
        <v>4060</v>
      </c>
      <c r="G2763" s="690" t="s">
        <v>4060</v>
      </c>
      <c r="H2763" s="690" t="s">
        <v>4060</v>
      </c>
      <c r="I2763" s="690" t="s">
        <v>4060</v>
      </c>
      <c r="J2763" s="690" t="s">
        <v>4060</v>
      </c>
      <c r="K2763" s="690" t="s">
        <v>4060</v>
      </c>
    </row>
    <row r="2764" spans="1:11">
      <c r="A2764" s="688" t="s">
        <v>2491</v>
      </c>
      <c r="B2764" s="691">
        <v>36.6</v>
      </c>
      <c r="C2764" s="691">
        <v>37.1</v>
      </c>
      <c r="D2764" s="691">
        <v>37.5</v>
      </c>
      <c r="E2764" s="691">
        <v>37.700000000000003</v>
      </c>
      <c r="F2764" s="691">
        <v>37.799999999999997</v>
      </c>
      <c r="G2764" s="691">
        <v>37.799999999999997</v>
      </c>
      <c r="H2764" s="692" t="s">
        <v>4060</v>
      </c>
      <c r="I2764" s="692" t="s">
        <v>4060</v>
      </c>
      <c r="J2764" s="692" t="s">
        <v>4060</v>
      </c>
      <c r="K2764" s="692" t="s">
        <v>4060</v>
      </c>
    </row>
    <row r="2765" spans="1:11">
      <c r="A2765" s="688" t="s">
        <v>2343</v>
      </c>
      <c r="B2765" s="690" t="s">
        <v>4060</v>
      </c>
      <c r="C2765" s="690" t="s">
        <v>4060</v>
      </c>
      <c r="D2765" s="690" t="s">
        <v>4060</v>
      </c>
      <c r="E2765" s="690" t="s">
        <v>4060</v>
      </c>
      <c r="F2765" s="690" t="s">
        <v>4060</v>
      </c>
      <c r="G2765" s="690" t="s">
        <v>4060</v>
      </c>
      <c r="H2765" s="690" t="s">
        <v>4060</v>
      </c>
      <c r="I2765" s="690" t="s">
        <v>4060</v>
      </c>
      <c r="J2765" s="690" t="s">
        <v>4060</v>
      </c>
      <c r="K2765" s="690" t="s">
        <v>4060</v>
      </c>
    </row>
    <row r="2766" spans="1:11">
      <c r="A2766" s="688" t="s">
        <v>4071</v>
      </c>
      <c r="B2766" s="692" t="s">
        <v>4060</v>
      </c>
      <c r="C2766" s="692" t="s">
        <v>4060</v>
      </c>
      <c r="D2766" s="692" t="s">
        <v>4060</v>
      </c>
      <c r="E2766" s="692" t="s">
        <v>4060</v>
      </c>
      <c r="F2766" s="692" t="s">
        <v>4060</v>
      </c>
      <c r="G2766" s="692" t="s">
        <v>4060</v>
      </c>
      <c r="H2766" s="692" t="s">
        <v>4060</v>
      </c>
      <c r="I2766" s="692" t="s">
        <v>4060</v>
      </c>
      <c r="J2766" s="692" t="s">
        <v>4060</v>
      </c>
      <c r="K2766" s="692" t="s">
        <v>4060</v>
      </c>
    </row>
    <row r="2767" spans="1:11">
      <c r="A2767" s="688" t="s">
        <v>2489</v>
      </c>
      <c r="B2767" s="690" t="s">
        <v>4060</v>
      </c>
      <c r="C2767" s="690" t="s">
        <v>4060</v>
      </c>
      <c r="D2767" s="689">
        <v>38.700000000000003</v>
      </c>
      <c r="E2767" s="689">
        <v>38.799999999999997</v>
      </c>
      <c r="F2767" s="689">
        <v>39.299999999999997</v>
      </c>
      <c r="G2767" s="689">
        <v>40.1</v>
      </c>
      <c r="H2767" s="689">
        <v>39.9</v>
      </c>
      <c r="I2767" s="690" t="s">
        <v>4060</v>
      </c>
      <c r="J2767" s="690" t="s">
        <v>4060</v>
      </c>
      <c r="K2767" s="690" t="s">
        <v>4060</v>
      </c>
    </row>
    <row r="2768" spans="1:11">
      <c r="A2768" s="688" t="s">
        <v>2490</v>
      </c>
      <c r="B2768" s="691">
        <v>38.700000000000003</v>
      </c>
      <c r="C2768" s="691">
        <v>38.799999999999997</v>
      </c>
      <c r="D2768" s="691">
        <v>39.299999999999997</v>
      </c>
      <c r="E2768" s="692" t="s">
        <v>4060</v>
      </c>
      <c r="F2768" s="691">
        <v>39.5</v>
      </c>
      <c r="G2768" s="691">
        <v>39.9</v>
      </c>
      <c r="H2768" s="691">
        <v>40.6</v>
      </c>
      <c r="I2768" s="692" t="s">
        <v>4060</v>
      </c>
      <c r="J2768" s="692" t="s">
        <v>4060</v>
      </c>
      <c r="K2768" s="692" t="s">
        <v>4060</v>
      </c>
    </row>
    <row r="2770" spans="1:11">
      <c r="A2770" s="683" t="s">
        <v>4233</v>
      </c>
    </row>
    <row r="2771" spans="1:11">
      <c r="A2771" s="683" t="s">
        <v>4060</v>
      </c>
      <c r="B2771" s="682" t="s">
        <v>4234</v>
      </c>
    </row>
    <row r="2773" spans="1:11">
      <c r="A2773" s="682" t="s">
        <v>4248</v>
      </c>
    </row>
    <row r="2774" spans="1:11">
      <c r="A2774" s="682" t="s">
        <v>4210</v>
      </c>
      <c r="B2774" s="683" t="s">
        <v>4211</v>
      </c>
    </row>
    <row r="2775" spans="1:11">
      <c r="A2775" s="682" t="s">
        <v>4212</v>
      </c>
      <c r="B2775" s="682" t="s">
        <v>4213</v>
      </c>
    </row>
    <row r="2777" spans="1:11">
      <c r="A2777" s="683" t="s">
        <v>4214</v>
      </c>
      <c r="C2777" s="682" t="s">
        <v>4215</v>
      </c>
    </row>
    <row r="2778" spans="1:11">
      <c r="A2778" s="683" t="s">
        <v>4216</v>
      </c>
      <c r="C2778" s="682" t="s">
        <v>2967</v>
      </c>
    </row>
    <row r="2779" spans="1:11">
      <c r="A2779" s="683" t="s">
        <v>3893</v>
      </c>
      <c r="C2779" s="682" t="s">
        <v>4217</v>
      </c>
    </row>
    <row r="2780" spans="1:11">
      <c r="A2780" s="683" t="s">
        <v>4218</v>
      </c>
      <c r="C2780" s="682" t="s">
        <v>4274</v>
      </c>
    </row>
    <row r="2782" spans="1:11">
      <c r="A2782" s="684" t="s">
        <v>4220</v>
      </c>
      <c r="B2782" s="685" t="s">
        <v>4221</v>
      </c>
      <c r="C2782" s="685" t="s">
        <v>4222</v>
      </c>
      <c r="D2782" s="685" t="s">
        <v>4223</v>
      </c>
      <c r="E2782" s="685" t="s">
        <v>4224</v>
      </c>
      <c r="F2782" s="685" t="s">
        <v>4225</v>
      </c>
      <c r="G2782" s="685" t="s">
        <v>4226</v>
      </c>
      <c r="H2782" s="685" t="s">
        <v>4227</v>
      </c>
      <c r="I2782" s="685" t="s">
        <v>4228</v>
      </c>
      <c r="J2782" s="685" t="s">
        <v>4229</v>
      </c>
      <c r="K2782" s="685" t="s">
        <v>4230</v>
      </c>
    </row>
    <row r="2783" spans="1:11">
      <c r="A2783" s="686" t="s">
        <v>4231</v>
      </c>
      <c r="B2783" s="687" t="s">
        <v>4232</v>
      </c>
      <c r="C2783" s="687" t="s">
        <v>4232</v>
      </c>
      <c r="D2783" s="687" t="s">
        <v>4232</v>
      </c>
      <c r="E2783" s="687" t="s">
        <v>4232</v>
      </c>
      <c r="F2783" s="687" t="s">
        <v>4232</v>
      </c>
      <c r="G2783" s="687" t="s">
        <v>4232</v>
      </c>
      <c r="H2783" s="687" t="s">
        <v>4232</v>
      </c>
      <c r="I2783" s="687" t="s">
        <v>4232</v>
      </c>
      <c r="J2783" s="687" t="s">
        <v>4232</v>
      </c>
      <c r="K2783" s="687" t="s">
        <v>4232</v>
      </c>
    </row>
    <row r="2784" spans="1:11">
      <c r="A2784" s="688" t="s">
        <v>4064</v>
      </c>
      <c r="B2784" s="691">
        <v>42.5</v>
      </c>
      <c r="C2784" s="691">
        <v>42.6</v>
      </c>
      <c r="D2784" s="691">
        <v>42.6</v>
      </c>
      <c r="E2784" s="691">
        <v>42.7</v>
      </c>
      <c r="F2784" s="691">
        <v>42.7</v>
      </c>
      <c r="G2784" s="691">
        <v>42.8</v>
      </c>
      <c r="H2784" s="691">
        <v>43.1</v>
      </c>
      <c r="I2784" s="691">
        <v>42.2</v>
      </c>
      <c r="J2784" s="691">
        <v>41.9</v>
      </c>
      <c r="K2784" s="691">
        <v>42.5</v>
      </c>
    </row>
    <row r="2785" spans="1:11">
      <c r="A2785" s="688" t="s">
        <v>4065</v>
      </c>
      <c r="B2785" s="689">
        <v>42.6</v>
      </c>
      <c r="C2785" s="689">
        <v>42.9</v>
      </c>
      <c r="D2785" s="689">
        <v>42.6</v>
      </c>
      <c r="E2785" s="693">
        <v>43</v>
      </c>
      <c r="F2785" s="689">
        <v>42.9</v>
      </c>
      <c r="G2785" s="693">
        <v>43</v>
      </c>
      <c r="H2785" s="690" t="s">
        <v>4060</v>
      </c>
      <c r="I2785" s="690" t="s">
        <v>4060</v>
      </c>
      <c r="J2785" s="690" t="s">
        <v>4060</v>
      </c>
      <c r="K2785" s="690" t="s">
        <v>4060</v>
      </c>
    </row>
    <row r="2786" spans="1:11">
      <c r="A2786" s="688" t="s">
        <v>4063</v>
      </c>
      <c r="B2786" s="691">
        <v>42.6</v>
      </c>
      <c r="C2786" s="615">
        <v>43</v>
      </c>
      <c r="D2786" s="691">
        <v>42.7</v>
      </c>
      <c r="E2786" s="615">
        <v>43</v>
      </c>
      <c r="F2786" s="615">
        <v>43</v>
      </c>
      <c r="G2786" s="615">
        <v>43</v>
      </c>
      <c r="H2786" s="692" t="s">
        <v>4060</v>
      </c>
      <c r="I2786" s="692" t="s">
        <v>4060</v>
      </c>
      <c r="J2786" s="692" t="s">
        <v>4060</v>
      </c>
      <c r="K2786" s="692" t="s">
        <v>4060</v>
      </c>
    </row>
    <row r="2787" spans="1:11">
      <c r="A2787" s="688" t="s">
        <v>4069</v>
      </c>
      <c r="B2787" s="690" t="s">
        <v>4060</v>
      </c>
      <c r="C2787" s="689">
        <v>43.6</v>
      </c>
      <c r="D2787" s="689">
        <v>43.3</v>
      </c>
      <c r="E2787" s="689">
        <v>43.6</v>
      </c>
      <c r="F2787" s="689">
        <v>43.6</v>
      </c>
      <c r="G2787" s="689">
        <v>43.8</v>
      </c>
      <c r="H2787" s="693">
        <v>44</v>
      </c>
      <c r="I2787" s="689">
        <v>43.3</v>
      </c>
      <c r="J2787" s="689">
        <v>43.3</v>
      </c>
      <c r="K2787" s="689">
        <v>43.5</v>
      </c>
    </row>
    <row r="2788" spans="1:11">
      <c r="A2788" s="688" t="s">
        <v>4068</v>
      </c>
      <c r="B2788" s="691">
        <v>43.5</v>
      </c>
      <c r="C2788" s="692" t="s">
        <v>4060</v>
      </c>
      <c r="D2788" s="692" t="s">
        <v>4060</v>
      </c>
      <c r="E2788" s="692" t="s">
        <v>4060</v>
      </c>
      <c r="F2788" s="692" t="s">
        <v>4060</v>
      </c>
      <c r="G2788" s="692" t="s">
        <v>4060</v>
      </c>
      <c r="H2788" s="692" t="s">
        <v>4060</v>
      </c>
      <c r="I2788" s="692" t="s">
        <v>4060</v>
      </c>
      <c r="J2788" s="692" t="s">
        <v>4060</v>
      </c>
      <c r="K2788" s="692" t="s">
        <v>4060</v>
      </c>
    </row>
    <row r="2789" spans="1:11">
      <c r="A2789" s="688" t="s">
        <v>0</v>
      </c>
      <c r="B2789" s="689">
        <v>42.7</v>
      </c>
      <c r="C2789" s="689">
        <v>43.1</v>
      </c>
      <c r="D2789" s="689">
        <v>42.9</v>
      </c>
      <c r="E2789" s="689">
        <v>43.3</v>
      </c>
      <c r="F2789" s="689">
        <v>43.4</v>
      </c>
      <c r="G2789" s="689">
        <v>43.5</v>
      </c>
      <c r="H2789" s="689">
        <v>43.8</v>
      </c>
      <c r="I2789" s="689">
        <v>42.7</v>
      </c>
      <c r="J2789" s="689">
        <v>43.6</v>
      </c>
      <c r="K2789" s="689">
        <v>43.6</v>
      </c>
    </row>
    <row r="2790" spans="1:11">
      <c r="A2790" s="688" t="s">
        <v>1</v>
      </c>
      <c r="B2790" s="691">
        <v>37.6</v>
      </c>
      <c r="C2790" s="691">
        <v>37.200000000000003</v>
      </c>
      <c r="D2790" s="691">
        <v>37.200000000000003</v>
      </c>
      <c r="E2790" s="691">
        <v>37.299999999999997</v>
      </c>
      <c r="F2790" s="691">
        <v>37.299999999999997</v>
      </c>
      <c r="G2790" s="691">
        <v>37.4</v>
      </c>
      <c r="H2790" s="691">
        <v>37.5</v>
      </c>
      <c r="I2790" s="691">
        <v>35.9</v>
      </c>
      <c r="J2790" s="615">
        <v>34</v>
      </c>
      <c r="K2790" s="691">
        <v>36.6</v>
      </c>
    </row>
    <row r="2791" spans="1:11">
      <c r="A2791" s="688" t="s">
        <v>2240</v>
      </c>
      <c r="B2791" s="689">
        <v>40.299999999999997</v>
      </c>
      <c r="C2791" s="689">
        <v>40.700000000000003</v>
      </c>
      <c r="D2791" s="689">
        <v>40.5</v>
      </c>
      <c r="E2791" s="693">
        <v>41</v>
      </c>
      <c r="F2791" s="689">
        <v>40.9</v>
      </c>
      <c r="G2791" s="693">
        <v>41</v>
      </c>
      <c r="H2791" s="689">
        <v>41.2</v>
      </c>
      <c r="I2791" s="689">
        <v>40.200000000000003</v>
      </c>
      <c r="J2791" s="689">
        <v>39.200000000000003</v>
      </c>
      <c r="K2791" s="693">
        <v>41</v>
      </c>
    </row>
    <row r="2792" spans="1:11">
      <c r="A2792" s="688" t="s">
        <v>2</v>
      </c>
      <c r="B2792" s="691">
        <v>42.2</v>
      </c>
      <c r="C2792" s="691">
        <v>42.5</v>
      </c>
      <c r="D2792" s="691">
        <v>42.6</v>
      </c>
      <c r="E2792" s="691">
        <v>42.7</v>
      </c>
      <c r="F2792" s="691">
        <v>42.9</v>
      </c>
      <c r="G2792" s="691">
        <v>42.8</v>
      </c>
      <c r="H2792" s="691">
        <v>43.2</v>
      </c>
      <c r="I2792" s="691">
        <v>43.4</v>
      </c>
      <c r="J2792" s="691">
        <v>43.2</v>
      </c>
      <c r="K2792" s="691">
        <v>43.1</v>
      </c>
    </row>
    <row r="2793" spans="1:11">
      <c r="A2793" s="688" t="s">
        <v>3</v>
      </c>
      <c r="B2793" s="689">
        <v>42.5</v>
      </c>
      <c r="C2793" s="689">
        <v>42.8</v>
      </c>
      <c r="D2793" s="689">
        <v>42.5</v>
      </c>
      <c r="E2793" s="689">
        <v>42.8</v>
      </c>
      <c r="F2793" s="689">
        <v>42.8</v>
      </c>
      <c r="G2793" s="689">
        <v>42.8</v>
      </c>
      <c r="H2793" s="689">
        <v>43.1</v>
      </c>
      <c r="I2793" s="689">
        <v>42.8</v>
      </c>
      <c r="J2793" s="689">
        <v>42.5</v>
      </c>
      <c r="K2793" s="689">
        <v>42.4</v>
      </c>
    </row>
    <row r="2794" spans="1:11">
      <c r="A2794" s="688" t="s">
        <v>4061</v>
      </c>
      <c r="B2794" s="691">
        <v>42.5</v>
      </c>
      <c r="C2794" s="691">
        <v>42.8</v>
      </c>
      <c r="D2794" s="691">
        <v>42.5</v>
      </c>
      <c r="E2794" s="691">
        <v>42.8</v>
      </c>
      <c r="F2794" s="691">
        <v>42.8</v>
      </c>
      <c r="G2794" s="691">
        <v>42.8</v>
      </c>
      <c r="H2794" s="691">
        <v>43.1</v>
      </c>
      <c r="I2794" s="691">
        <v>42.8</v>
      </c>
      <c r="J2794" s="691">
        <v>42.5</v>
      </c>
      <c r="K2794" s="691">
        <v>42.4</v>
      </c>
    </row>
    <row r="2795" spans="1:11">
      <c r="A2795" s="688" t="s">
        <v>4</v>
      </c>
      <c r="B2795" s="693">
        <v>40</v>
      </c>
      <c r="C2795" s="689">
        <v>39.799999999999997</v>
      </c>
      <c r="D2795" s="689">
        <v>40.200000000000003</v>
      </c>
      <c r="E2795" s="689">
        <v>40.299999999999997</v>
      </c>
      <c r="F2795" s="689">
        <v>40.5</v>
      </c>
      <c r="G2795" s="689">
        <v>40.5</v>
      </c>
      <c r="H2795" s="689">
        <v>40.9</v>
      </c>
      <c r="I2795" s="689">
        <v>40.799999999999997</v>
      </c>
      <c r="J2795" s="689">
        <v>39.299999999999997</v>
      </c>
      <c r="K2795" s="689">
        <v>40.299999999999997</v>
      </c>
    </row>
    <row r="2796" spans="1:11">
      <c r="A2796" s="688" t="s">
        <v>8</v>
      </c>
      <c r="B2796" s="691">
        <v>43.1</v>
      </c>
      <c r="C2796" s="691">
        <v>43.3</v>
      </c>
      <c r="D2796" s="691">
        <v>43.3</v>
      </c>
      <c r="E2796" s="691">
        <v>43.4</v>
      </c>
      <c r="F2796" s="691">
        <v>43.9</v>
      </c>
      <c r="G2796" s="691">
        <v>43.9</v>
      </c>
      <c r="H2796" s="691">
        <v>44.2</v>
      </c>
      <c r="I2796" s="691">
        <v>44.1</v>
      </c>
      <c r="J2796" s="691">
        <v>43.9</v>
      </c>
      <c r="K2796" s="691">
        <v>44.2</v>
      </c>
    </row>
    <row r="2797" spans="1:11">
      <c r="A2797" s="688" t="s">
        <v>7</v>
      </c>
      <c r="B2797" s="689">
        <v>43.4</v>
      </c>
      <c r="C2797" s="693">
        <v>43</v>
      </c>
      <c r="D2797" s="689">
        <v>42.8</v>
      </c>
      <c r="E2797" s="689">
        <v>43.1</v>
      </c>
      <c r="F2797" s="693">
        <v>43</v>
      </c>
      <c r="G2797" s="689">
        <v>43.5</v>
      </c>
      <c r="H2797" s="689">
        <v>43.4</v>
      </c>
      <c r="I2797" s="693">
        <v>43</v>
      </c>
      <c r="J2797" s="689">
        <v>42.1</v>
      </c>
      <c r="K2797" s="689">
        <v>42.7</v>
      </c>
    </row>
    <row r="2798" spans="1:11">
      <c r="A2798" s="688" t="s">
        <v>27</v>
      </c>
      <c r="B2798" s="691">
        <v>44.9</v>
      </c>
      <c r="C2798" s="691">
        <v>44.6</v>
      </c>
      <c r="D2798" s="691">
        <v>44.4</v>
      </c>
      <c r="E2798" s="691">
        <v>44.8</v>
      </c>
      <c r="F2798" s="691">
        <v>44.8</v>
      </c>
      <c r="G2798" s="691">
        <v>44.9</v>
      </c>
      <c r="H2798" s="691">
        <v>45.2</v>
      </c>
      <c r="I2798" s="615">
        <v>44</v>
      </c>
      <c r="J2798" s="691">
        <v>44.7</v>
      </c>
      <c r="K2798" s="691">
        <v>44.8</v>
      </c>
    </row>
    <row r="2799" spans="1:11">
      <c r="A2799" s="688" t="s">
        <v>6</v>
      </c>
      <c r="B2799" s="689">
        <v>44.5</v>
      </c>
      <c r="C2799" s="689">
        <v>44.5</v>
      </c>
      <c r="D2799" s="689">
        <v>44.2</v>
      </c>
      <c r="E2799" s="689">
        <v>44.4</v>
      </c>
      <c r="F2799" s="689">
        <v>44.5</v>
      </c>
      <c r="G2799" s="689">
        <v>44.6</v>
      </c>
      <c r="H2799" s="689">
        <v>44.8</v>
      </c>
      <c r="I2799" s="689">
        <v>44.2</v>
      </c>
      <c r="J2799" s="689">
        <v>44.3</v>
      </c>
      <c r="K2799" s="689">
        <v>44.4</v>
      </c>
    </row>
    <row r="2800" spans="1:11">
      <c r="A2800" s="688" t="s">
        <v>4058</v>
      </c>
      <c r="B2800" s="692" t="s">
        <v>4060</v>
      </c>
      <c r="C2800" s="692" t="s">
        <v>4060</v>
      </c>
      <c r="D2800" s="692" t="s">
        <v>4060</v>
      </c>
      <c r="E2800" s="692" t="s">
        <v>4060</v>
      </c>
      <c r="F2800" s="692" t="s">
        <v>4060</v>
      </c>
      <c r="G2800" s="692" t="s">
        <v>4060</v>
      </c>
      <c r="H2800" s="692" t="s">
        <v>4060</v>
      </c>
      <c r="I2800" s="692" t="s">
        <v>4060</v>
      </c>
      <c r="J2800" s="692" t="s">
        <v>4060</v>
      </c>
      <c r="K2800" s="692" t="s">
        <v>4060</v>
      </c>
    </row>
    <row r="2801" spans="1:11">
      <c r="A2801" s="688" t="s">
        <v>11</v>
      </c>
      <c r="B2801" s="689">
        <v>39.9</v>
      </c>
      <c r="C2801" s="689">
        <v>39.9</v>
      </c>
      <c r="D2801" s="689">
        <v>39.5</v>
      </c>
      <c r="E2801" s="689">
        <v>40.1</v>
      </c>
      <c r="F2801" s="689">
        <v>39.9</v>
      </c>
      <c r="G2801" s="689">
        <v>40.1</v>
      </c>
      <c r="H2801" s="689">
        <v>40.4</v>
      </c>
      <c r="I2801" s="689">
        <v>39.6</v>
      </c>
      <c r="J2801" s="689">
        <v>38.700000000000003</v>
      </c>
      <c r="K2801" s="689">
        <v>39.799999999999997</v>
      </c>
    </row>
    <row r="2802" spans="1:11">
      <c r="A2802" s="688" t="s">
        <v>10</v>
      </c>
      <c r="B2802" s="691">
        <v>44.7</v>
      </c>
      <c r="C2802" s="691">
        <v>44.6</v>
      </c>
      <c r="D2802" s="691">
        <v>44.2</v>
      </c>
      <c r="E2802" s="691">
        <v>44.8</v>
      </c>
      <c r="F2802" s="691">
        <v>44.6</v>
      </c>
      <c r="G2802" s="691">
        <v>44.9</v>
      </c>
      <c r="H2802" s="691">
        <v>45.1</v>
      </c>
      <c r="I2802" s="691">
        <v>43.9</v>
      </c>
      <c r="J2802" s="691">
        <v>44.3</v>
      </c>
      <c r="K2802" s="691">
        <v>44.5</v>
      </c>
    </row>
    <row r="2803" spans="1:11">
      <c r="A2803" s="688" t="s">
        <v>30</v>
      </c>
      <c r="B2803" s="689">
        <v>44.2</v>
      </c>
      <c r="C2803" s="693">
        <v>44</v>
      </c>
      <c r="D2803" s="689">
        <v>43.7</v>
      </c>
      <c r="E2803" s="689">
        <v>44.5</v>
      </c>
      <c r="F2803" s="689">
        <v>44.1</v>
      </c>
      <c r="G2803" s="689">
        <v>44.7</v>
      </c>
      <c r="H2803" s="689">
        <v>44.5</v>
      </c>
      <c r="I2803" s="689">
        <v>44.4</v>
      </c>
      <c r="J2803" s="689">
        <v>43.6</v>
      </c>
      <c r="K2803" s="693">
        <v>44</v>
      </c>
    </row>
    <row r="2804" spans="1:11">
      <c r="A2804" s="688" t="s">
        <v>12</v>
      </c>
      <c r="B2804" s="691">
        <v>37.200000000000003</v>
      </c>
      <c r="C2804" s="691">
        <v>37.299999999999997</v>
      </c>
      <c r="D2804" s="691">
        <v>37.6</v>
      </c>
      <c r="E2804" s="691">
        <v>37.6</v>
      </c>
      <c r="F2804" s="691">
        <v>37.700000000000003</v>
      </c>
      <c r="G2804" s="691">
        <v>37.700000000000003</v>
      </c>
      <c r="H2804" s="691">
        <v>38.299999999999997</v>
      </c>
      <c r="I2804" s="691">
        <v>37.9</v>
      </c>
      <c r="J2804" s="691">
        <v>35.700000000000003</v>
      </c>
      <c r="K2804" s="691">
        <v>37.1</v>
      </c>
    </row>
    <row r="2805" spans="1:11">
      <c r="A2805" s="688" t="s">
        <v>14</v>
      </c>
      <c r="B2805" s="689">
        <v>37.200000000000003</v>
      </c>
      <c r="C2805" s="689">
        <v>37.700000000000003</v>
      </c>
      <c r="D2805" s="689">
        <v>37.5</v>
      </c>
      <c r="E2805" s="689">
        <v>37.700000000000003</v>
      </c>
      <c r="F2805" s="689">
        <v>38.299999999999997</v>
      </c>
      <c r="G2805" s="689">
        <v>38.6</v>
      </c>
      <c r="H2805" s="689">
        <v>38.9</v>
      </c>
      <c r="I2805" s="689">
        <v>37.6</v>
      </c>
      <c r="J2805" s="689">
        <v>36.799999999999997</v>
      </c>
      <c r="K2805" s="689">
        <v>38.200000000000003</v>
      </c>
    </row>
    <row r="2806" spans="1:11">
      <c r="A2806" s="688" t="s">
        <v>15</v>
      </c>
      <c r="B2806" s="691">
        <v>43.8</v>
      </c>
      <c r="C2806" s="691">
        <v>43.7</v>
      </c>
      <c r="D2806" s="691">
        <v>43.8</v>
      </c>
      <c r="E2806" s="691">
        <v>44.1</v>
      </c>
      <c r="F2806" s="691">
        <v>43.6</v>
      </c>
      <c r="G2806" s="691">
        <v>43.9</v>
      </c>
      <c r="H2806" s="691">
        <v>44.3</v>
      </c>
      <c r="I2806" s="691">
        <v>43.9</v>
      </c>
      <c r="J2806" s="691">
        <v>44.2</v>
      </c>
      <c r="K2806" s="691">
        <v>44.7</v>
      </c>
    </row>
    <row r="2807" spans="1:11">
      <c r="A2807" s="688" t="s">
        <v>29</v>
      </c>
      <c r="B2807" s="689">
        <v>37.9</v>
      </c>
      <c r="C2807" s="689">
        <v>37.9</v>
      </c>
      <c r="D2807" s="689">
        <v>37.700000000000003</v>
      </c>
      <c r="E2807" s="689">
        <v>38.1</v>
      </c>
      <c r="F2807" s="689">
        <v>37.9</v>
      </c>
      <c r="G2807" s="689">
        <v>38.1</v>
      </c>
      <c r="H2807" s="689">
        <v>38.299999999999997</v>
      </c>
      <c r="I2807" s="689">
        <v>37.6</v>
      </c>
      <c r="J2807" s="689">
        <v>36.200000000000003</v>
      </c>
      <c r="K2807" s="693">
        <v>38</v>
      </c>
    </row>
    <row r="2808" spans="1:11">
      <c r="A2808" s="688" t="s">
        <v>16</v>
      </c>
      <c r="B2808" s="691">
        <v>43.9</v>
      </c>
      <c r="C2808" s="691">
        <v>43.8</v>
      </c>
      <c r="D2808" s="691">
        <v>43.9</v>
      </c>
      <c r="E2808" s="691">
        <v>44.3</v>
      </c>
      <c r="F2808" s="691">
        <v>44.2</v>
      </c>
      <c r="G2808" s="691">
        <v>44.1</v>
      </c>
      <c r="H2808" s="691">
        <v>44.5</v>
      </c>
      <c r="I2808" s="691">
        <v>43.8</v>
      </c>
      <c r="J2808" s="691">
        <v>43.8</v>
      </c>
      <c r="K2808" s="615">
        <v>44</v>
      </c>
    </row>
    <row r="2809" spans="1:11">
      <c r="A2809" s="688" t="s">
        <v>17</v>
      </c>
      <c r="B2809" s="689">
        <v>43.3</v>
      </c>
      <c r="C2809" s="689">
        <v>43.5</v>
      </c>
      <c r="D2809" s="689">
        <v>43.3</v>
      </c>
      <c r="E2809" s="689">
        <v>43.4</v>
      </c>
      <c r="F2809" s="689">
        <v>43.6</v>
      </c>
      <c r="G2809" s="689">
        <v>43.6</v>
      </c>
      <c r="H2809" s="689">
        <v>43.9</v>
      </c>
      <c r="I2809" s="689">
        <v>43.2</v>
      </c>
      <c r="J2809" s="689">
        <v>43.2</v>
      </c>
      <c r="K2809" s="689">
        <v>43.5</v>
      </c>
    </row>
    <row r="2810" spans="1:11">
      <c r="A2810" s="688" t="s">
        <v>19</v>
      </c>
      <c r="B2810" s="691">
        <v>43.2</v>
      </c>
      <c r="C2810" s="691">
        <v>43.3</v>
      </c>
      <c r="D2810" s="691">
        <v>43.1</v>
      </c>
      <c r="E2810" s="691">
        <v>43.5</v>
      </c>
      <c r="F2810" s="691">
        <v>43.5</v>
      </c>
      <c r="G2810" s="691">
        <v>43.6</v>
      </c>
      <c r="H2810" s="691">
        <v>43.8</v>
      </c>
      <c r="I2810" s="691">
        <v>43.2</v>
      </c>
      <c r="J2810" s="691">
        <v>43.2</v>
      </c>
      <c r="K2810" s="691">
        <v>43.3</v>
      </c>
    </row>
    <row r="2811" spans="1:11">
      <c r="A2811" s="688" t="s">
        <v>20</v>
      </c>
      <c r="B2811" s="689">
        <v>39.5</v>
      </c>
      <c r="C2811" s="689">
        <v>39.9</v>
      </c>
      <c r="D2811" s="689">
        <v>39.700000000000003</v>
      </c>
      <c r="E2811" s="693">
        <v>40</v>
      </c>
      <c r="F2811" s="693">
        <v>40</v>
      </c>
      <c r="G2811" s="689">
        <v>39.9</v>
      </c>
      <c r="H2811" s="689">
        <v>40.200000000000003</v>
      </c>
      <c r="I2811" s="689">
        <v>38.700000000000003</v>
      </c>
      <c r="J2811" s="689">
        <v>37.799999999999997</v>
      </c>
      <c r="K2811" s="689">
        <v>39.5</v>
      </c>
    </row>
    <row r="2812" spans="1:11">
      <c r="A2812" s="688" t="s">
        <v>21</v>
      </c>
      <c r="B2812" s="691">
        <v>42.9</v>
      </c>
      <c r="C2812" s="691">
        <v>43.2</v>
      </c>
      <c r="D2812" s="691">
        <v>43.2</v>
      </c>
      <c r="E2812" s="691">
        <v>43.2</v>
      </c>
      <c r="F2812" s="691">
        <v>43.5</v>
      </c>
      <c r="G2812" s="691">
        <v>43.5</v>
      </c>
      <c r="H2812" s="691">
        <v>43.9</v>
      </c>
      <c r="I2812" s="691">
        <v>43.2</v>
      </c>
      <c r="J2812" s="691">
        <v>43.3</v>
      </c>
      <c r="K2812" s="691">
        <v>43.6</v>
      </c>
    </row>
    <row r="2813" spans="1:11">
      <c r="A2813" s="688" t="s">
        <v>22</v>
      </c>
      <c r="B2813" s="689">
        <v>37.9</v>
      </c>
      <c r="C2813" s="689">
        <v>37.6</v>
      </c>
      <c r="D2813" s="689">
        <v>37.6</v>
      </c>
      <c r="E2813" s="689">
        <v>37.799999999999997</v>
      </c>
      <c r="F2813" s="689">
        <v>37.799999999999997</v>
      </c>
      <c r="G2813" s="689">
        <v>37.799999999999997</v>
      </c>
      <c r="H2813" s="693">
        <v>38</v>
      </c>
      <c r="I2813" s="689">
        <v>36.6</v>
      </c>
      <c r="J2813" s="689">
        <v>35.299999999999997</v>
      </c>
      <c r="K2813" s="689">
        <v>37.5</v>
      </c>
    </row>
    <row r="2814" spans="1:11">
      <c r="A2814" s="688" t="s">
        <v>26</v>
      </c>
      <c r="B2814" s="691">
        <v>42.4</v>
      </c>
      <c r="C2814" s="691">
        <v>42.7</v>
      </c>
      <c r="D2814" s="691">
        <v>42.5</v>
      </c>
      <c r="E2814" s="691">
        <v>42.9</v>
      </c>
      <c r="F2814" s="691">
        <v>42.7</v>
      </c>
      <c r="G2814" s="615">
        <v>43</v>
      </c>
      <c r="H2814" s="691">
        <v>43.2</v>
      </c>
      <c r="I2814" s="691">
        <v>42.3</v>
      </c>
      <c r="J2814" s="691">
        <v>42.4</v>
      </c>
      <c r="K2814" s="615">
        <v>43</v>
      </c>
    </row>
    <row r="2815" spans="1:11">
      <c r="A2815" s="688" t="s">
        <v>25</v>
      </c>
      <c r="B2815" s="689">
        <v>38.9</v>
      </c>
      <c r="C2815" s="689">
        <v>39.299999999999997</v>
      </c>
      <c r="D2815" s="693">
        <v>39</v>
      </c>
      <c r="E2815" s="689">
        <v>39.5</v>
      </c>
      <c r="F2815" s="689">
        <v>39.5</v>
      </c>
      <c r="G2815" s="689">
        <v>39.6</v>
      </c>
      <c r="H2815" s="689">
        <v>40.1</v>
      </c>
      <c r="I2815" s="689">
        <v>39.299999999999997</v>
      </c>
      <c r="J2815" s="693">
        <v>37</v>
      </c>
      <c r="K2815" s="689">
        <v>39.299999999999997</v>
      </c>
    </row>
    <row r="2816" spans="1:11">
      <c r="A2816" s="688" t="s">
        <v>5</v>
      </c>
      <c r="B2816" s="691">
        <v>43.2</v>
      </c>
      <c r="C2816" s="691">
        <v>43.1</v>
      </c>
      <c r="D2816" s="691">
        <v>43.3</v>
      </c>
      <c r="E2816" s="691">
        <v>43.3</v>
      </c>
      <c r="F2816" s="691">
        <v>43.5</v>
      </c>
      <c r="G2816" s="691">
        <v>43.6</v>
      </c>
      <c r="H2816" s="615">
        <v>44</v>
      </c>
      <c r="I2816" s="691">
        <v>43.9</v>
      </c>
      <c r="J2816" s="691">
        <v>43.8</v>
      </c>
      <c r="K2816" s="691">
        <v>43.2</v>
      </c>
    </row>
    <row r="2817" spans="1:11">
      <c r="A2817" s="688" t="s">
        <v>23</v>
      </c>
      <c r="B2817" s="689">
        <v>43.9</v>
      </c>
      <c r="C2817" s="689">
        <v>44.1</v>
      </c>
      <c r="D2817" s="689">
        <v>44.1</v>
      </c>
      <c r="E2817" s="689">
        <v>44.2</v>
      </c>
      <c r="F2817" s="689">
        <v>44.3</v>
      </c>
      <c r="G2817" s="689">
        <v>44.4</v>
      </c>
      <c r="H2817" s="689">
        <v>44.9</v>
      </c>
      <c r="I2817" s="689">
        <v>44.3</v>
      </c>
      <c r="J2817" s="689">
        <v>44.8</v>
      </c>
      <c r="K2817" s="689">
        <v>44.9</v>
      </c>
    </row>
    <row r="2818" spans="1:11">
      <c r="A2818" s="688" t="s">
        <v>4067</v>
      </c>
      <c r="B2818" s="691">
        <v>42.6</v>
      </c>
      <c r="C2818" s="615">
        <v>43</v>
      </c>
      <c r="D2818" s="691">
        <v>42.6</v>
      </c>
      <c r="E2818" s="615">
        <v>43</v>
      </c>
      <c r="F2818" s="615">
        <v>43</v>
      </c>
      <c r="G2818" s="615">
        <v>43</v>
      </c>
      <c r="H2818" s="692" t="s">
        <v>4060</v>
      </c>
      <c r="I2818" s="692" t="s">
        <v>4060</v>
      </c>
      <c r="J2818" s="692" t="s">
        <v>4060</v>
      </c>
      <c r="K2818" s="692" t="s">
        <v>4060</v>
      </c>
    </row>
    <row r="2819" spans="1:11">
      <c r="A2819" s="688" t="s">
        <v>4066</v>
      </c>
      <c r="B2819" s="689">
        <v>42.6</v>
      </c>
      <c r="C2819" s="693">
        <v>43</v>
      </c>
      <c r="D2819" s="689">
        <v>42.7</v>
      </c>
      <c r="E2819" s="693">
        <v>43</v>
      </c>
      <c r="F2819" s="693">
        <v>43</v>
      </c>
      <c r="G2819" s="689">
        <v>43.1</v>
      </c>
      <c r="H2819" s="690" t="s">
        <v>4060</v>
      </c>
      <c r="I2819" s="690" t="s">
        <v>4060</v>
      </c>
      <c r="J2819" s="690" t="s">
        <v>4060</v>
      </c>
      <c r="K2819" s="690" t="s">
        <v>4060</v>
      </c>
    </row>
    <row r="2820" spans="1:11">
      <c r="A2820" s="688" t="s">
        <v>4062</v>
      </c>
      <c r="B2820" s="691">
        <v>44.4</v>
      </c>
      <c r="C2820" s="691">
        <v>44.6</v>
      </c>
      <c r="D2820" s="691">
        <v>44.5</v>
      </c>
      <c r="E2820" s="691">
        <v>44.9</v>
      </c>
      <c r="F2820" s="615">
        <v>45</v>
      </c>
      <c r="G2820" s="691">
        <v>45.1</v>
      </c>
      <c r="H2820" s="691">
        <v>45.3</v>
      </c>
      <c r="I2820" s="691">
        <v>44.9</v>
      </c>
      <c r="J2820" s="691">
        <v>45.3</v>
      </c>
      <c r="K2820" s="615">
        <v>45</v>
      </c>
    </row>
    <row r="2821" spans="1:11">
      <c r="A2821" s="688" t="s">
        <v>9</v>
      </c>
      <c r="B2821" s="693">
        <v>44</v>
      </c>
      <c r="C2821" s="689">
        <v>44.4</v>
      </c>
      <c r="D2821" s="689">
        <v>44.3</v>
      </c>
      <c r="E2821" s="693">
        <v>44</v>
      </c>
      <c r="F2821" s="689">
        <v>44.5</v>
      </c>
      <c r="G2821" s="689">
        <v>44.6</v>
      </c>
      <c r="H2821" s="689">
        <v>44.7</v>
      </c>
      <c r="I2821" s="689">
        <v>44.8</v>
      </c>
      <c r="J2821" s="693">
        <v>45</v>
      </c>
      <c r="K2821" s="693">
        <v>44</v>
      </c>
    </row>
    <row r="2822" spans="1:11">
      <c r="A2822" s="688" t="s">
        <v>13</v>
      </c>
      <c r="B2822" s="691">
        <v>44.3</v>
      </c>
      <c r="C2822" s="691">
        <v>43.9</v>
      </c>
      <c r="D2822" s="691">
        <v>44.3</v>
      </c>
      <c r="E2822" s="691">
        <v>44.2</v>
      </c>
      <c r="F2822" s="691">
        <v>44.9</v>
      </c>
      <c r="G2822" s="691">
        <v>44.7</v>
      </c>
      <c r="H2822" s="691">
        <v>45.3</v>
      </c>
      <c r="I2822" s="691">
        <v>44.3</v>
      </c>
      <c r="J2822" s="691">
        <v>45.4</v>
      </c>
      <c r="K2822" s="691">
        <v>45.6</v>
      </c>
    </row>
    <row r="2823" spans="1:11">
      <c r="A2823" s="688" t="s">
        <v>18</v>
      </c>
      <c r="B2823" s="689">
        <v>43.7</v>
      </c>
      <c r="C2823" s="693">
        <v>44</v>
      </c>
      <c r="D2823" s="689">
        <v>44.1</v>
      </c>
      <c r="E2823" s="689">
        <v>44.3</v>
      </c>
      <c r="F2823" s="689">
        <v>44.4</v>
      </c>
      <c r="G2823" s="689">
        <v>44.6</v>
      </c>
      <c r="H2823" s="689">
        <v>44.8</v>
      </c>
      <c r="I2823" s="693">
        <v>45</v>
      </c>
      <c r="J2823" s="689">
        <v>44.9</v>
      </c>
      <c r="K2823" s="689">
        <v>44.4</v>
      </c>
    </row>
    <row r="2824" spans="1:11">
      <c r="A2824" s="688" t="s">
        <v>24</v>
      </c>
      <c r="B2824" s="691">
        <v>44.8</v>
      </c>
      <c r="C2824" s="615">
        <v>45</v>
      </c>
      <c r="D2824" s="691">
        <v>44.8</v>
      </c>
      <c r="E2824" s="691">
        <v>45.3</v>
      </c>
      <c r="F2824" s="691">
        <v>45.3</v>
      </c>
      <c r="G2824" s="691">
        <v>45.4</v>
      </c>
      <c r="H2824" s="691">
        <v>45.6</v>
      </c>
      <c r="I2824" s="691">
        <v>44.9</v>
      </c>
      <c r="J2824" s="691">
        <v>45.5</v>
      </c>
      <c r="K2824" s="691">
        <v>45.4</v>
      </c>
    </row>
    <row r="2825" spans="1:11">
      <c r="A2825" s="688" t="s">
        <v>4059</v>
      </c>
      <c r="B2825" s="689">
        <v>43.1</v>
      </c>
      <c r="C2825" s="689">
        <v>43.4</v>
      </c>
      <c r="D2825" s="689">
        <v>43.1</v>
      </c>
      <c r="E2825" s="689">
        <v>43.3</v>
      </c>
      <c r="F2825" s="689">
        <v>43.3</v>
      </c>
      <c r="G2825" s="689">
        <v>43.3</v>
      </c>
      <c r="H2825" s="690" t="s">
        <v>4060</v>
      </c>
      <c r="I2825" s="690" t="s">
        <v>4060</v>
      </c>
      <c r="J2825" s="690" t="s">
        <v>4060</v>
      </c>
      <c r="K2825" s="690" t="s">
        <v>4060</v>
      </c>
    </row>
    <row r="2826" spans="1:11">
      <c r="A2826" s="688" t="s">
        <v>2324</v>
      </c>
      <c r="B2826" s="691">
        <v>38.700000000000003</v>
      </c>
      <c r="C2826" s="691">
        <v>38.700000000000003</v>
      </c>
      <c r="D2826" s="691">
        <v>38.4</v>
      </c>
      <c r="E2826" s="691">
        <v>38.5</v>
      </c>
      <c r="F2826" s="691">
        <v>38.700000000000003</v>
      </c>
      <c r="G2826" s="691">
        <v>38.799999999999997</v>
      </c>
      <c r="H2826" s="691">
        <v>38.799999999999997</v>
      </c>
      <c r="I2826" s="615">
        <v>38</v>
      </c>
      <c r="J2826" s="691">
        <v>35.700000000000003</v>
      </c>
      <c r="K2826" s="692" t="s">
        <v>4060</v>
      </c>
    </row>
    <row r="2827" spans="1:11">
      <c r="A2827" s="688" t="s">
        <v>2322</v>
      </c>
      <c r="B2827" s="690" t="s">
        <v>4060</v>
      </c>
      <c r="C2827" s="690" t="s">
        <v>4060</v>
      </c>
      <c r="D2827" s="690" t="s">
        <v>4060</v>
      </c>
      <c r="E2827" s="690" t="s">
        <v>4060</v>
      </c>
      <c r="F2827" s="690" t="s">
        <v>4060</v>
      </c>
      <c r="G2827" s="690" t="s">
        <v>4060</v>
      </c>
      <c r="H2827" s="690" t="s">
        <v>4060</v>
      </c>
      <c r="I2827" s="690" t="s">
        <v>4060</v>
      </c>
      <c r="J2827" s="690" t="s">
        <v>4060</v>
      </c>
      <c r="K2827" s="690" t="s">
        <v>4060</v>
      </c>
    </row>
    <row r="2828" spans="1:11">
      <c r="A2828" s="688" t="s">
        <v>2328</v>
      </c>
      <c r="B2828" s="615">
        <v>38</v>
      </c>
      <c r="C2828" s="691">
        <v>37.9</v>
      </c>
      <c r="D2828" s="691">
        <v>37.9</v>
      </c>
      <c r="E2828" s="691">
        <v>38.1</v>
      </c>
      <c r="F2828" s="691">
        <v>38.4</v>
      </c>
      <c r="G2828" s="691">
        <v>38.799999999999997</v>
      </c>
      <c r="H2828" s="691">
        <v>38.700000000000003</v>
      </c>
      <c r="I2828" s="691">
        <v>36.5</v>
      </c>
      <c r="J2828" s="691">
        <v>35.4</v>
      </c>
      <c r="K2828" s="692" t="s">
        <v>4060</v>
      </c>
    </row>
    <row r="2829" spans="1:11">
      <c r="A2829" s="688" t="s">
        <v>2496</v>
      </c>
      <c r="B2829" s="690" t="s">
        <v>4060</v>
      </c>
      <c r="C2829" s="689">
        <v>37.299999999999997</v>
      </c>
      <c r="D2829" s="689">
        <v>36.200000000000003</v>
      </c>
      <c r="E2829" s="689">
        <v>35.9</v>
      </c>
      <c r="F2829" s="689">
        <v>36.6</v>
      </c>
      <c r="G2829" s="689">
        <v>36.9</v>
      </c>
      <c r="H2829" s="689">
        <v>36.9</v>
      </c>
      <c r="I2829" s="690" t="s">
        <v>4060</v>
      </c>
      <c r="J2829" s="690" t="s">
        <v>4060</v>
      </c>
      <c r="K2829" s="689">
        <v>36.5</v>
      </c>
    </row>
    <row r="2830" spans="1:11">
      <c r="A2830" s="688" t="s">
        <v>2269</v>
      </c>
      <c r="B2830" s="691">
        <v>40.799999999999997</v>
      </c>
      <c r="C2830" s="615">
        <v>41</v>
      </c>
      <c r="D2830" s="691">
        <v>40.5</v>
      </c>
      <c r="E2830" s="691">
        <v>41.1</v>
      </c>
      <c r="F2830" s="615">
        <v>41</v>
      </c>
      <c r="G2830" s="691">
        <v>41.5</v>
      </c>
      <c r="H2830" s="691">
        <v>41.7</v>
      </c>
      <c r="I2830" s="691">
        <v>39.799999999999997</v>
      </c>
      <c r="J2830" s="691">
        <v>37.9</v>
      </c>
      <c r="K2830" s="691">
        <v>41.3</v>
      </c>
    </row>
    <row r="2831" spans="1:11">
      <c r="A2831" s="688" t="s">
        <v>2349</v>
      </c>
      <c r="B2831" s="689">
        <v>37.6</v>
      </c>
      <c r="C2831" s="689">
        <v>37.700000000000003</v>
      </c>
      <c r="D2831" s="689">
        <v>37.6</v>
      </c>
      <c r="E2831" s="693">
        <v>38</v>
      </c>
      <c r="F2831" s="689">
        <v>37.799999999999997</v>
      </c>
      <c r="G2831" s="689">
        <v>38.1</v>
      </c>
      <c r="H2831" s="689">
        <v>38.200000000000003</v>
      </c>
      <c r="I2831" s="689">
        <v>36.6</v>
      </c>
      <c r="J2831" s="689">
        <v>35.1</v>
      </c>
      <c r="K2831" s="689">
        <v>37.4</v>
      </c>
    </row>
    <row r="2832" spans="1:11">
      <c r="A2832" s="688" t="s">
        <v>2355</v>
      </c>
      <c r="B2832" s="691">
        <v>41.2</v>
      </c>
      <c r="C2832" s="691">
        <v>41.1</v>
      </c>
      <c r="D2832" s="691">
        <v>41.1</v>
      </c>
      <c r="E2832" s="615">
        <v>41</v>
      </c>
      <c r="F2832" s="691">
        <v>41.2</v>
      </c>
      <c r="G2832" s="691">
        <v>41.6</v>
      </c>
      <c r="H2832" s="691">
        <v>41.7</v>
      </c>
      <c r="I2832" s="692" t="s">
        <v>4060</v>
      </c>
      <c r="J2832" s="692" t="s">
        <v>4060</v>
      </c>
      <c r="K2832" s="692" t="s">
        <v>4060</v>
      </c>
    </row>
    <row r="2833" spans="1:11">
      <c r="A2833" s="688" t="s">
        <v>2357</v>
      </c>
      <c r="B2833" s="690" t="s">
        <v>4060</v>
      </c>
      <c r="C2833" s="689">
        <v>35.5</v>
      </c>
      <c r="D2833" s="693">
        <v>36</v>
      </c>
      <c r="E2833" s="689">
        <v>36.299999999999997</v>
      </c>
      <c r="F2833" s="689">
        <v>36.6</v>
      </c>
      <c r="G2833" s="689">
        <v>36.299999999999997</v>
      </c>
      <c r="H2833" s="689">
        <v>36.6</v>
      </c>
      <c r="I2833" s="690" t="s">
        <v>4060</v>
      </c>
      <c r="J2833" s="690" t="s">
        <v>4060</v>
      </c>
      <c r="K2833" s="690" t="s">
        <v>4060</v>
      </c>
    </row>
    <row r="2834" spans="1:11">
      <c r="A2834" s="688" t="s">
        <v>4070</v>
      </c>
      <c r="B2834" s="692" t="s">
        <v>4060</v>
      </c>
      <c r="C2834" s="692" t="s">
        <v>4060</v>
      </c>
      <c r="D2834" s="692" t="s">
        <v>4060</v>
      </c>
      <c r="E2834" s="691">
        <v>40.700000000000003</v>
      </c>
      <c r="F2834" s="692" t="s">
        <v>4060</v>
      </c>
      <c r="G2834" s="692" t="s">
        <v>4060</v>
      </c>
      <c r="H2834" s="692" t="s">
        <v>4060</v>
      </c>
      <c r="I2834" s="692" t="s">
        <v>4060</v>
      </c>
      <c r="J2834" s="692" t="s">
        <v>4060</v>
      </c>
      <c r="K2834" s="692" t="s">
        <v>4060</v>
      </c>
    </row>
    <row r="2835" spans="1:11">
      <c r="A2835" s="688" t="s">
        <v>2491</v>
      </c>
      <c r="B2835" s="689">
        <v>35.700000000000003</v>
      </c>
      <c r="C2835" s="689">
        <v>36.200000000000003</v>
      </c>
      <c r="D2835" s="689">
        <v>36.6</v>
      </c>
      <c r="E2835" s="689">
        <v>36.799999999999997</v>
      </c>
      <c r="F2835" s="689">
        <v>36.9</v>
      </c>
      <c r="G2835" s="689">
        <v>36.9</v>
      </c>
      <c r="H2835" s="690" t="s">
        <v>4060</v>
      </c>
      <c r="I2835" s="690" t="s">
        <v>4060</v>
      </c>
      <c r="J2835" s="690" t="s">
        <v>4060</v>
      </c>
      <c r="K2835" s="690" t="s">
        <v>4060</v>
      </c>
    </row>
    <row r="2836" spans="1:11">
      <c r="A2836" s="688" t="s">
        <v>2343</v>
      </c>
      <c r="B2836" s="692" t="s">
        <v>4060</v>
      </c>
      <c r="C2836" s="692" t="s">
        <v>4060</v>
      </c>
      <c r="D2836" s="692" t="s">
        <v>4060</v>
      </c>
      <c r="E2836" s="692" t="s">
        <v>4060</v>
      </c>
      <c r="F2836" s="692" t="s">
        <v>4060</v>
      </c>
      <c r="G2836" s="692" t="s">
        <v>4060</v>
      </c>
      <c r="H2836" s="692" t="s">
        <v>4060</v>
      </c>
      <c r="I2836" s="692" t="s">
        <v>4060</v>
      </c>
      <c r="J2836" s="692" t="s">
        <v>4060</v>
      </c>
      <c r="K2836" s="692" t="s">
        <v>4060</v>
      </c>
    </row>
    <row r="2837" spans="1:11">
      <c r="A2837" s="688" t="s">
        <v>4071</v>
      </c>
      <c r="B2837" s="690" t="s">
        <v>4060</v>
      </c>
      <c r="C2837" s="690" t="s">
        <v>4060</v>
      </c>
      <c r="D2837" s="690" t="s">
        <v>4060</v>
      </c>
      <c r="E2837" s="690" t="s">
        <v>4060</v>
      </c>
      <c r="F2837" s="690" t="s">
        <v>4060</v>
      </c>
      <c r="G2837" s="690" t="s">
        <v>4060</v>
      </c>
      <c r="H2837" s="690" t="s">
        <v>4060</v>
      </c>
      <c r="I2837" s="690" t="s">
        <v>4060</v>
      </c>
      <c r="J2837" s="690" t="s">
        <v>4060</v>
      </c>
      <c r="K2837" s="690" t="s">
        <v>4060</v>
      </c>
    </row>
    <row r="2838" spans="1:11">
      <c r="A2838" s="688" t="s">
        <v>2489</v>
      </c>
      <c r="B2838" s="692" t="s">
        <v>4060</v>
      </c>
      <c r="C2838" s="692" t="s">
        <v>4060</v>
      </c>
      <c r="D2838" s="691">
        <v>37.799999999999997</v>
      </c>
      <c r="E2838" s="691">
        <v>37.799999999999997</v>
      </c>
      <c r="F2838" s="691">
        <v>38.4</v>
      </c>
      <c r="G2838" s="691">
        <v>39.200000000000003</v>
      </c>
      <c r="H2838" s="615">
        <v>39</v>
      </c>
      <c r="I2838" s="692" t="s">
        <v>4060</v>
      </c>
      <c r="J2838" s="692" t="s">
        <v>4060</v>
      </c>
      <c r="K2838" s="692" t="s">
        <v>4060</v>
      </c>
    </row>
    <row r="2839" spans="1:11">
      <c r="A2839" s="688" t="s">
        <v>2490</v>
      </c>
      <c r="B2839" s="689">
        <v>37.700000000000003</v>
      </c>
      <c r="C2839" s="689">
        <v>37.799999999999997</v>
      </c>
      <c r="D2839" s="689">
        <v>38.4</v>
      </c>
      <c r="E2839" s="690" t="s">
        <v>4060</v>
      </c>
      <c r="F2839" s="689">
        <v>38.6</v>
      </c>
      <c r="G2839" s="689">
        <v>38.9</v>
      </c>
      <c r="H2839" s="689">
        <v>39.700000000000003</v>
      </c>
      <c r="I2839" s="690" t="s">
        <v>4060</v>
      </c>
      <c r="J2839" s="690" t="s">
        <v>4060</v>
      </c>
      <c r="K2839" s="690" t="s">
        <v>4060</v>
      </c>
    </row>
    <row r="2841" spans="1:11">
      <c r="A2841" s="683" t="s">
        <v>4233</v>
      </c>
    </row>
    <row r="2842" spans="1:11">
      <c r="A2842" s="683" t="s">
        <v>4060</v>
      </c>
      <c r="B2842" s="682" t="s">
        <v>4234</v>
      </c>
    </row>
    <row r="2844" spans="1:11">
      <c r="A2844" s="682" t="s">
        <v>4248</v>
      </c>
    </row>
    <row r="2845" spans="1:11">
      <c r="A2845" s="682" t="s">
        <v>4210</v>
      </c>
      <c r="B2845" s="683" t="s">
        <v>4211</v>
      </c>
    </row>
    <row r="2846" spans="1:11">
      <c r="A2846" s="682" t="s">
        <v>4212</v>
      </c>
      <c r="B2846" s="682" t="s">
        <v>4213</v>
      </c>
    </row>
    <row r="2848" spans="1:11">
      <c r="A2848" s="683" t="s">
        <v>4214</v>
      </c>
      <c r="C2848" s="682" t="s">
        <v>4215</v>
      </c>
    </row>
    <row r="2849" spans="1:11">
      <c r="A2849" s="683" t="s">
        <v>4216</v>
      </c>
      <c r="C2849" s="682" t="s">
        <v>2967</v>
      </c>
    </row>
    <row r="2850" spans="1:11">
      <c r="A2850" s="683" t="s">
        <v>3893</v>
      </c>
      <c r="C2850" s="682" t="s">
        <v>4217</v>
      </c>
    </row>
    <row r="2851" spans="1:11">
      <c r="A2851" s="683" t="s">
        <v>4218</v>
      </c>
      <c r="C2851" s="682" t="s">
        <v>4275</v>
      </c>
    </row>
    <row r="2853" spans="1:11">
      <c r="A2853" s="684" t="s">
        <v>4220</v>
      </c>
      <c r="B2853" s="685" t="s">
        <v>4221</v>
      </c>
      <c r="C2853" s="685" t="s">
        <v>4222</v>
      </c>
      <c r="D2853" s="685" t="s">
        <v>4223</v>
      </c>
      <c r="E2853" s="685" t="s">
        <v>4224</v>
      </c>
      <c r="F2853" s="685" t="s">
        <v>4225</v>
      </c>
      <c r="G2853" s="685" t="s">
        <v>4226</v>
      </c>
      <c r="H2853" s="685" t="s">
        <v>4227</v>
      </c>
      <c r="I2853" s="685" t="s">
        <v>4228</v>
      </c>
      <c r="J2853" s="685" t="s">
        <v>4229</v>
      </c>
      <c r="K2853" s="685" t="s">
        <v>4230</v>
      </c>
    </row>
    <row r="2854" spans="1:11">
      <c r="A2854" s="686" t="s">
        <v>4231</v>
      </c>
      <c r="B2854" s="687" t="s">
        <v>4232</v>
      </c>
      <c r="C2854" s="687" t="s">
        <v>4232</v>
      </c>
      <c r="D2854" s="687" t="s">
        <v>4232</v>
      </c>
      <c r="E2854" s="687" t="s">
        <v>4232</v>
      </c>
      <c r="F2854" s="687" t="s">
        <v>4232</v>
      </c>
      <c r="G2854" s="687" t="s">
        <v>4232</v>
      </c>
      <c r="H2854" s="687" t="s">
        <v>4232</v>
      </c>
      <c r="I2854" s="687" t="s">
        <v>4232</v>
      </c>
      <c r="J2854" s="687" t="s">
        <v>4232</v>
      </c>
      <c r="K2854" s="687" t="s">
        <v>4232</v>
      </c>
    </row>
    <row r="2855" spans="1:11">
      <c r="A2855" s="688" t="s">
        <v>4064</v>
      </c>
      <c r="B2855" s="689">
        <v>41.6</v>
      </c>
      <c r="C2855" s="689">
        <v>41.6</v>
      </c>
      <c r="D2855" s="689">
        <v>41.6</v>
      </c>
      <c r="E2855" s="689">
        <v>41.8</v>
      </c>
      <c r="F2855" s="689">
        <v>41.8</v>
      </c>
      <c r="G2855" s="689">
        <v>41.8</v>
      </c>
      <c r="H2855" s="689">
        <v>42.1</v>
      </c>
      <c r="I2855" s="689">
        <v>41.3</v>
      </c>
      <c r="J2855" s="693">
        <v>41</v>
      </c>
      <c r="K2855" s="689">
        <v>41.6</v>
      </c>
    </row>
    <row r="2856" spans="1:11">
      <c r="A2856" s="688" t="s">
        <v>4065</v>
      </c>
      <c r="B2856" s="691">
        <v>41.6</v>
      </c>
      <c r="C2856" s="615">
        <v>42</v>
      </c>
      <c r="D2856" s="691">
        <v>41.7</v>
      </c>
      <c r="E2856" s="615">
        <v>42</v>
      </c>
      <c r="F2856" s="615">
        <v>42</v>
      </c>
      <c r="G2856" s="691">
        <v>42.1</v>
      </c>
      <c r="H2856" s="692" t="s">
        <v>4060</v>
      </c>
      <c r="I2856" s="692" t="s">
        <v>4060</v>
      </c>
      <c r="J2856" s="692" t="s">
        <v>4060</v>
      </c>
      <c r="K2856" s="692" t="s">
        <v>4060</v>
      </c>
    </row>
    <row r="2857" spans="1:11">
      <c r="A2857" s="688" t="s">
        <v>4063</v>
      </c>
      <c r="B2857" s="689">
        <v>41.7</v>
      </c>
      <c r="C2857" s="693">
        <v>42</v>
      </c>
      <c r="D2857" s="689">
        <v>41.7</v>
      </c>
      <c r="E2857" s="689">
        <v>42.1</v>
      </c>
      <c r="F2857" s="693">
        <v>42</v>
      </c>
      <c r="G2857" s="689">
        <v>42.1</v>
      </c>
      <c r="H2857" s="690" t="s">
        <v>4060</v>
      </c>
      <c r="I2857" s="690" t="s">
        <v>4060</v>
      </c>
      <c r="J2857" s="690" t="s">
        <v>4060</v>
      </c>
      <c r="K2857" s="690" t="s">
        <v>4060</v>
      </c>
    </row>
    <row r="2858" spans="1:11">
      <c r="A2858" s="688" t="s">
        <v>4069</v>
      </c>
      <c r="B2858" s="692" t="s">
        <v>4060</v>
      </c>
      <c r="C2858" s="691">
        <v>42.6</v>
      </c>
      <c r="D2858" s="691">
        <v>42.3</v>
      </c>
      <c r="E2858" s="691">
        <v>42.7</v>
      </c>
      <c r="F2858" s="691">
        <v>42.7</v>
      </c>
      <c r="G2858" s="691">
        <v>42.8</v>
      </c>
      <c r="H2858" s="691">
        <v>43.1</v>
      </c>
      <c r="I2858" s="691">
        <v>42.4</v>
      </c>
      <c r="J2858" s="691">
        <v>42.4</v>
      </c>
      <c r="K2858" s="691">
        <v>42.5</v>
      </c>
    </row>
    <row r="2859" spans="1:11">
      <c r="A2859" s="688" t="s">
        <v>4068</v>
      </c>
      <c r="B2859" s="689">
        <v>42.6</v>
      </c>
      <c r="C2859" s="690" t="s">
        <v>4060</v>
      </c>
      <c r="D2859" s="690" t="s">
        <v>4060</v>
      </c>
      <c r="E2859" s="690" t="s">
        <v>4060</v>
      </c>
      <c r="F2859" s="690" t="s">
        <v>4060</v>
      </c>
      <c r="G2859" s="690" t="s">
        <v>4060</v>
      </c>
      <c r="H2859" s="690" t="s">
        <v>4060</v>
      </c>
      <c r="I2859" s="690" t="s">
        <v>4060</v>
      </c>
      <c r="J2859" s="690" t="s">
        <v>4060</v>
      </c>
      <c r="K2859" s="690" t="s">
        <v>4060</v>
      </c>
    </row>
    <row r="2860" spans="1:11">
      <c r="A2860" s="688" t="s">
        <v>0</v>
      </c>
      <c r="B2860" s="691">
        <v>41.8</v>
      </c>
      <c r="C2860" s="691">
        <v>42.1</v>
      </c>
      <c r="D2860" s="691">
        <v>41.9</v>
      </c>
      <c r="E2860" s="691">
        <v>42.3</v>
      </c>
      <c r="F2860" s="691">
        <v>42.4</v>
      </c>
      <c r="G2860" s="691">
        <v>42.5</v>
      </c>
      <c r="H2860" s="691">
        <v>42.8</v>
      </c>
      <c r="I2860" s="691">
        <v>41.7</v>
      </c>
      <c r="J2860" s="691">
        <v>42.6</v>
      </c>
      <c r="K2860" s="691">
        <v>42.6</v>
      </c>
    </row>
    <row r="2861" spans="1:11">
      <c r="A2861" s="688" t="s">
        <v>1</v>
      </c>
      <c r="B2861" s="689">
        <v>36.700000000000003</v>
      </c>
      <c r="C2861" s="689">
        <v>36.200000000000003</v>
      </c>
      <c r="D2861" s="689">
        <v>36.299999999999997</v>
      </c>
      <c r="E2861" s="689">
        <v>36.4</v>
      </c>
      <c r="F2861" s="689">
        <v>36.299999999999997</v>
      </c>
      <c r="G2861" s="689">
        <v>36.5</v>
      </c>
      <c r="H2861" s="689">
        <v>36.6</v>
      </c>
      <c r="I2861" s="689">
        <v>34.9</v>
      </c>
      <c r="J2861" s="689">
        <v>33.1</v>
      </c>
      <c r="K2861" s="689">
        <v>35.700000000000003</v>
      </c>
    </row>
    <row r="2862" spans="1:11">
      <c r="A2862" s="688" t="s">
        <v>2240</v>
      </c>
      <c r="B2862" s="691">
        <v>39.299999999999997</v>
      </c>
      <c r="C2862" s="691">
        <v>39.700000000000003</v>
      </c>
      <c r="D2862" s="691">
        <v>39.6</v>
      </c>
      <c r="E2862" s="615">
        <v>40</v>
      </c>
      <c r="F2862" s="615">
        <v>40</v>
      </c>
      <c r="G2862" s="615">
        <v>40</v>
      </c>
      <c r="H2862" s="691">
        <v>40.299999999999997</v>
      </c>
      <c r="I2862" s="691">
        <v>39.200000000000003</v>
      </c>
      <c r="J2862" s="691">
        <v>38.200000000000003</v>
      </c>
      <c r="K2862" s="615">
        <v>40</v>
      </c>
    </row>
    <row r="2863" spans="1:11">
      <c r="A2863" s="688" t="s">
        <v>2</v>
      </c>
      <c r="B2863" s="689">
        <v>41.2</v>
      </c>
      <c r="C2863" s="689">
        <v>41.6</v>
      </c>
      <c r="D2863" s="689">
        <v>41.6</v>
      </c>
      <c r="E2863" s="689">
        <v>41.8</v>
      </c>
      <c r="F2863" s="693">
        <v>42</v>
      </c>
      <c r="G2863" s="689">
        <v>41.9</v>
      </c>
      <c r="H2863" s="689">
        <v>42.2</v>
      </c>
      <c r="I2863" s="689">
        <v>42.4</v>
      </c>
      <c r="J2863" s="689">
        <v>42.2</v>
      </c>
      <c r="K2863" s="689">
        <v>42.1</v>
      </c>
    </row>
    <row r="2864" spans="1:11">
      <c r="A2864" s="688" t="s">
        <v>3</v>
      </c>
      <c r="B2864" s="691">
        <v>41.6</v>
      </c>
      <c r="C2864" s="691">
        <v>41.8</v>
      </c>
      <c r="D2864" s="691">
        <v>41.5</v>
      </c>
      <c r="E2864" s="691">
        <v>41.8</v>
      </c>
      <c r="F2864" s="691">
        <v>41.9</v>
      </c>
      <c r="G2864" s="691">
        <v>41.8</v>
      </c>
      <c r="H2864" s="691">
        <v>42.1</v>
      </c>
      <c r="I2864" s="691">
        <v>41.9</v>
      </c>
      <c r="J2864" s="691">
        <v>41.6</v>
      </c>
      <c r="K2864" s="691">
        <v>41.4</v>
      </c>
    </row>
    <row r="2865" spans="1:11">
      <c r="A2865" s="688" t="s">
        <v>4061</v>
      </c>
      <c r="B2865" s="689">
        <v>41.6</v>
      </c>
      <c r="C2865" s="689">
        <v>41.8</v>
      </c>
      <c r="D2865" s="689">
        <v>41.5</v>
      </c>
      <c r="E2865" s="689">
        <v>41.8</v>
      </c>
      <c r="F2865" s="689">
        <v>41.9</v>
      </c>
      <c r="G2865" s="689">
        <v>41.8</v>
      </c>
      <c r="H2865" s="689">
        <v>42.1</v>
      </c>
      <c r="I2865" s="689">
        <v>41.9</v>
      </c>
      <c r="J2865" s="689">
        <v>41.6</v>
      </c>
      <c r="K2865" s="689">
        <v>41.4</v>
      </c>
    </row>
    <row r="2866" spans="1:11">
      <c r="A2866" s="688" t="s">
        <v>4</v>
      </c>
      <c r="B2866" s="691">
        <v>39.1</v>
      </c>
      <c r="C2866" s="691">
        <v>38.9</v>
      </c>
      <c r="D2866" s="691">
        <v>39.200000000000003</v>
      </c>
      <c r="E2866" s="691">
        <v>39.4</v>
      </c>
      <c r="F2866" s="691">
        <v>39.6</v>
      </c>
      <c r="G2866" s="691">
        <v>39.6</v>
      </c>
      <c r="H2866" s="615">
        <v>40</v>
      </c>
      <c r="I2866" s="691">
        <v>39.799999999999997</v>
      </c>
      <c r="J2866" s="691">
        <v>38.4</v>
      </c>
      <c r="K2866" s="691">
        <v>39.299999999999997</v>
      </c>
    </row>
    <row r="2867" spans="1:11">
      <c r="A2867" s="688" t="s">
        <v>8</v>
      </c>
      <c r="B2867" s="689">
        <v>42.1</v>
      </c>
      <c r="C2867" s="689">
        <v>42.3</v>
      </c>
      <c r="D2867" s="689">
        <v>42.4</v>
      </c>
      <c r="E2867" s="689">
        <v>42.5</v>
      </c>
      <c r="F2867" s="689">
        <v>42.9</v>
      </c>
      <c r="G2867" s="689">
        <v>42.9</v>
      </c>
      <c r="H2867" s="689">
        <v>43.3</v>
      </c>
      <c r="I2867" s="689">
        <v>43.2</v>
      </c>
      <c r="J2867" s="693">
        <v>43</v>
      </c>
      <c r="K2867" s="689">
        <v>43.2</v>
      </c>
    </row>
    <row r="2868" spans="1:11">
      <c r="A2868" s="688" t="s">
        <v>7</v>
      </c>
      <c r="B2868" s="691">
        <v>42.4</v>
      </c>
      <c r="C2868" s="691">
        <v>42.1</v>
      </c>
      <c r="D2868" s="691">
        <v>41.8</v>
      </c>
      <c r="E2868" s="691">
        <v>42.1</v>
      </c>
      <c r="F2868" s="691">
        <v>42.1</v>
      </c>
      <c r="G2868" s="691">
        <v>42.5</v>
      </c>
      <c r="H2868" s="691">
        <v>42.4</v>
      </c>
      <c r="I2868" s="691">
        <v>42.1</v>
      </c>
      <c r="J2868" s="691">
        <v>41.1</v>
      </c>
      <c r="K2868" s="691">
        <v>41.8</v>
      </c>
    </row>
    <row r="2869" spans="1:11">
      <c r="A2869" s="688" t="s">
        <v>27</v>
      </c>
      <c r="B2869" s="689">
        <v>43.9</v>
      </c>
      <c r="C2869" s="689">
        <v>43.7</v>
      </c>
      <c r="D2869" s="689">
        <v>43.4</v>
      </c>
      <c r="E2869" s="689">
        <v>43.8</v>
      </c>
      <c r="F2869" s="689">
        <v>43.8</v>
      </c>
      <c r="G2869" s="689">
        <v>43.9</v>
      </c>
      <c r="H2869" s="689">
        <v>44.3</v>
      </c>
      <c r="I2869" s="693">
        <v>43</v>
      </c>
      <c r="J2869" s="689">
        <v>43.8</v>
      </c>
      <c r="K2869" s="689">
        <v>43.8</v>
      </c>
    </row>
    <row r="2870" spans="1:11">
      <c r="A2870" s="688" t="s">
        <v>6</v>
      </c>
      <c r="B2870" s="691">
        <v>43.5</v>
      </c>
      <c r="C2870" s="691">
        <v>43.5</v>
      </c>
      <c r="D2870" s="691">
        <v>43.3</v>
      </c>
      <c r="E2870" s="691">
        <v>43.5</v>
      </c>
      <c r="F2870" s="691">
        <v>43.6</v>
      </c>
      <c r="G2870" s="691">
        <v>43.7</v>
      </c>
      <c r="H2870" s="691">
        <v>43.8</v>
      </c>
      <c r="I2870" s="691">
        <v>43.2</v>
      </c>
      <c r="J2870" s="691">
        <v>43.3</v>
      </c>
      <c r="K2870" s="691">
        <v>43.4</v>
      </c>
    </row>
    <row r="2871" spans="1:11">
      <c r="A2871" s="688" t="s">
        <v>4058</v>
      </c>
      <c r="B2871" s="690" t="s">
        <v>4060</v>
      </c>
      <c r="C2871" s="690" t="s">
        <v>4060</v>
      </c>
      <c r="D2871" s="690" t="s">
        <v>4060</v>
      </c>
      <c r="E2871" s="690" t="s">
        <v>4060</v>
      </c>
      <c r="F2871" s="690" t="s">
        <v>4060</v>
      </c>
      <c r="G2871" s="690" t="s">
        <v>4060</v>
      </c>
      <c r="H2871" s="690" t="s">
        <v>4060</v>
      </c>
      <c r="I2871" s="690" t="s">
        <v>4060</v>
      </c>
      <c r="J2871" s="690" t="s">
        <v>4060</v>
      </c>
      <c r="K2871" s="690" t="s">
        <v>4060</v>
      </c>
    </row>
    <row r="2872" spans="1:11">
      <c r="A2872" s="688" t="s">
        <v>11</v>
      </c>
      <c r="B2872" s="615">
        <v>39</v>
      </c>
      <c r="C2872" s="691">
        <v>38.9</v>
      </c>
      <c r="D2872" s="691">
        <v>38.5</v>
      </c>
      <c r="E2872" s="691">
        <v>39.1</v>
      </c>
      <c r="F2872" s="691">
        <v>38.9</v>
      </c>
      <c r="G2872" s="691">
        <v>39.1</v>
      </c>
      <c r="H2872" s="691">
        <v>39.4</v>
      </c>
      <c r="I2872" s="691">
        <v>38.700000000000003</v>
      </c>
      <c r="J2872" s="691">
        <v>37.700000000000003</v>
      </c>
      <c r="K2872" s="691">
        <v>38.799999999999997</v>
      </c>
    </row>
    <row r="2873" spans="1:11">
      <c r="A2873" s="688" t="s">
        <v>10</v>
      </c>
      <c r="B2873" s="689">
        <v>43.7</v>
      </c>
      <c r="C2873" s="689">
        <v>43.6</v>
      </c>
      <c r="D2873" s="689">
        <v>43.2</v>
      </c>
      <c r="E2873" s="689">
        <v>43.8</v>
      </c>
      <c r="F2873" s="689">
        <v>43.6</v>
      </c>
      <c r="G2873" s="693">
        <v>44</v>
      </c>
      <c r="H2873" s="689">
        <v>44.1</v>
      </c>
      <c r="I2873" s="689">
        <v>42.9</v>
      </c>
      <c r="J2873" s="689">
        <v>43.4</v>
      </c>
      <c r="K2873" s="689">
        <v>43.5</v>
      </c>
    </row>
    <row r="2874" spans="1:11">
      <c r="A2874" s="688" t="s">
        <v>30</v>
      </c>
      <c r="B2874" s="691">
        <v>43.3</v>
      </c>
      <c r="C2874" s="615">
        <v>43</v>
      </c>
      <c r="D2874" s="691">
        <v>42.7</v>
      </c>
      <c r="E2874" s="691">
        <v>43.5</v>
      </c>
      <c r="F2874" s="691">
        <v>43.1</v>
      </c>
      <c r="G2874" s="691">
        <v>43.7</v>
      </c>
      <c r="H2874" s="691">
        <v>43.5</v>
      </c>
      <c r="I2874" s="691">
        <v>43.4</v>
      </c>
      <c r="J2874" s="691">
        <v>42.6</v>
      </c>
      <c r="K2874" s="615">
        <v>43</v>
      </c>
    </row>
    <row r="2875" spans="1:11">
      <c r="A2875" s="688" t="s">
        <v>12</v>
      </c>
      <c r="B2875" s="689">
        <v>36.299999999999997</v>
      </c>
      <c r="C2875" s="689">
        <v>36.5</v>
      </c>
      <c r="D2875" s="689">
        <v>36.700000000000003</v>
      </c>
      <c r="E2875" s="689">
        <v>36.700000000000003</v>
      </c>
      <c r="F2875" s="689">
        <v>36.799999999999997</v>
      </c>
      <c r="G2875" s="689">
        <v>36.799999999999997</v>
      </c>
      <c r="H2875" s="689">
        <v>37.4</v>
      </c>
      <c r="I2875" s="693">
        <v>37</v>
      </c>
      <c r="J2875" s="689">
        <v>34.799999999999997</v>
      </c>
      <c r="K2875" s="689">
        <v>36.299999999999997</v>
      </c>
    </row>
    <row r="2876" spans="1:11">
      <c r="A2876" s="688" t="s">
        <v>14</v>
      </c>
      <c r="B2876" s="691">
        <v>36.4</v>
      </c>
      <c r="C2876" s="691">
        <v>36.799999999999997</v>
      </c>
      <c r="D2876" s="691">
        <v>36.6</v>
      </c>
      <c r="E2876" s="691">
        <v>36.799999999999997</v>
      </c>
      <c r="F2876" s="691">
        <v>37.4</v>
      </c>
      <c r="G2876" s="691">
        <v>37.700000000000003</v>
      </c>
      <c r="H2876" s="615">
        <v>38</v>
      </c>
      <c r="I2876" s="691">
        <v>36.700000000000003</v>
      </c>
      <c r="J2876" s="691">
        <v>35.9</v>
      </c>
      <c r="K2876" s="691">
        <v>37.299999999999997</v>
      </c>
    </row>
    <row r="2877" spans="1:11">
      <c r="A2877" s="688" t="s">
        <v>15</v>
      </c>
      <c r="B2877" s="689">
        <v>42.9</v>
      </c>
      <c r="C2877" s="689">
        <v>42.7</v>
      </c>
      <c r="D2877" s="689">
        <v>42.8</v>
      </c>
      <c r="E2877" s="689">
        <v>43.1</v>
      </c>
      <c r="F2877" s="689">
        <v>42.7</v>
      </c>
      <c r="G2877" s="689">
        <v>42.9</v>
      </c>
      <c r="H2877" s="689">
        <v>43.3</v>
      </c>
      <c r="I2877" s="693">
        <v>43</v>
      </c>
      <c r="J2877" s="689">
        <v>43.3</v>
      </c>
      <c r="K2877" s="689">
        <v>43.7</v>
      </c>
    </row>
    <row r="2878" spans="1:11">
      <c r="A2878" s="688" t="s">
        <v>29</v>
      </c>
      <c r="B2878" s="691">
        <v>36.9</v>
      </c>
      <c r="C2878" s="615">
        <v>37</v>
      </c>
      <c r="D2878" s="691">
        <v>36.799999999999997</v>
      </c>
      <c r="E2878" s="691">
        <v>37.200000000000003</v>
      </c>
      <c r="F2878" s="615">
        <v>37</v>
      </c>
      <c r="G2878" s="691">
        <v>37.1</v>
      </c>
      <c r="H2878" s="691">
        <v>37.4</v>
      </c>
      <c r="I2878" s="691">
        <v>36.6</v>
      </c>
      <c r="J2878" s="691">
        <v>35.299999999999997</v>
      </c>
      <c r="K2878" s="615">
        <v>37</v>
      </c>
    </row>
    <row r="2879" spans="1:11">
      <c r="A2879" s="688" t="s">
        <v>16</v>
      </c>
      <c r="B2879" s="689">
        <v>42.9</v>
      </c>
      <c r="C2879" s="689">
        <v>42.8</v>
      </c>
      <c r="D2879" s="689">
        <v>42.9</v>
      </c>
      <c r="E2879" s="689">
        <v>43.3</v>
      </c>
      <c r="F2879" s="689">
        <v>43.2</v>
      </c>
      <c r="G2879" s="689">
        <v>43.1</v>
      </c>
      <c r="H2879" s="689">
        <v>43.5</v>
      </c>
      <c r="I2879" s="689">
        <v>42.8</v>
      </c>
      <c r="J2879" s="689">
        <v>42.9</v>
      </c>
      <c r="K2879" s="689">
        <v>43.1</v>
      </c>
    </row>
    <row r="2880" spans="1:11">
      <c r="A2880" s="688" t="s">
        <v>17</v>
      </c>
      <c r="B2880" s="691">
        <v>42.3</v>
      </c>
      <c r="C2880" s="691">
        <v>42.5</v>
      </c>
      <c r="D2880" s="691">
        <v>42.3</v>
      </c>
      <c r="E2880" s="691">
        <v>42.4</v>
      </c>
      <c r="F2880" s="691">
        <v>42.6</v>
      </c>
      <c r="G2880" s="691">
        <v>42.6</v>
      </c>
      <c r="H2880" s="691">
        <v>42.9</v>
      </c>
      <c r="I2880" s="691">
        <v>42.3</v>
      </c>
      <c r="J2880" s="691">
        <v>42.2</v>
      </c>
      <c r="K2880" s="691">
        <v>42.5</v>
      </c>
    </row>
    <row r="2881" spans="1:11">
      <c r="A2881" s="688" t="s">
        <v>19</v>
      </c>
      <c r="B2881" s="689">
        <v>42.3</v>
      </c>
      <c r="C2881" s="689">
        <v>42.4</v>
      </c>
      <c r="D2881" s="689">
        <v>42.1</v>
      </c>
      <c r="E2881" s="689">
        <v>42.6</v>
      </c>
      <c r="F2881" s="689">
        <v>42.6</v>
      </c>
      <c r="G2881" s="689">
        <v>42.6</v>
      </c>
      <c r="H2881" s="689">
        <v>42.9</v>
      </c>
      <c r="I2881" s="689">
        <v>42.3</v>
      </c>
      <c r="J2881" s="689">
        <v>42.2</v>
      </c>
      <c r="K2881" s="689">
        <v>42.3</v>
      </c>
    </row>
    <row r="2882" spans="1:11">
      <c r="A2882" s="688" t="s">
        <v>20</v>
      </c>
      <c r="B2882" s="691">
        <v>38.6</v>
      </c>
      <c r="C2882" s="691">
        <v>38.9</v>
      </c>
      <c r="D2882" s="691">
        <v>38.700000000000003</v>
      </c>
      <c r="E2882" s="691">
        <v>39.1</v>
      </c>
      <c r="F2882" s="615">
        <v>39</v>
      </c>
      <c r="G2882" s="691">
        <v>38.9</v>
      </c>
      <c r="H2882" s="691">
        <v>39.200000000000003</v>
      </c>
      <c r="I2882" s="691">
        <v>37.799999999999997</v>
      </c>
      <c r="J2882" s="691">
        <v>36.799999999999997</v>
      </c>
      <c r="K2882" s="691">
        <v>38.6</v>
      </c>
    </row>
    <row r="2883" spans="1:11">
      <c r="A2883" s="688" t="s">
        <v>21</v>
      </c>
      <c r="B2883" s="689">
        <v>41.9</v>
      </c>
      <c r="C2883" s="689">
        <v>42.3</v>
      </c>
      <c r="D2883" s="689">
        <v>42.3</v>
      </c>
      <c r="E2883" s="689">
        <v>42.3</v>
      </c>
      <c r="F2883" s="689">
        <v>42.6</v>
      </c>
      <c r="G2883" s="689">
        <v>42.6</v>
      </c>
      <c r="H2883" s="689">
        <v>42.9</v>
      </c>
      <c r="I2883" s="689">
        <v>42.3</v>
      </c>
      <c r="J2883" s="689">
        <v>42.3</v>
      </c>
      <c r="K2883" s="689">
        <v>42.6</v>
      </c>
    </row>
    <row r="2884" spans="1:11">
      <c r="A2884" s="688" t="s">
        <v>22</v>
      </c>
      <c r="B2884" s="615">
        <v>37</v>
      </c>
      <c r="C2884" s="691">
        <v>36.700000000000003</v>
      </c>
      <c r="D2884" s="691">
        <v>36.700000000000003</v>
      </c>
      <c r="E2884" s="691">
        <v>36.799999999999997</v>
      </c>
      <c r="F2884" s="691">
        <v>36.9</v>
      </c>
      <c r="G2884" s="691">
        <v>36.799999999999997</v>
      </c>
      <c r="H2884" s="691">
        <v>37.1</v>
      </c>
      <c r="I2884" s="691">
        <v>35.6</v>
      </c>
      <c r="J2884" s="691">
        <v>34.299999999999997</v>
      </c>
      <c r="K2884" s="691">
        <v>36.6</v>
      </c>
    </row>
    <row r="2885" spans="1:11">
      <c r="A2885" s="688" t="s">
        <v>26</v>
      </c>
      <c r="B2885" s="689">
        <v>41.5</v>
      </c>
      <c r="C2885" s="689">
        <v>41.7</v>
      </c>
      <c r="D2885" s="689">
        <v>41.5</v>
      </c>
      <c r="E2885" s="689">
        <v>41.9</v>
      </c>
      <c r="F2885" s="689">
        <v>41.8</v>
      </c>
      <c r="G2885" s="693">
        <v>42</v>
      </c>
      <c r="H2885" s="689">
        <v>42.2</v>
      </c>
      <c r="I2885" s="689">
        <v>41.3</v>
      </c>
      <c r="J2885" s="689">
        <v>41.4</v>
      </c>
      <c r="K2885" s="689">
        <v>42.1</v>
      </c>
    </row>
    <row r="2886" spans="1:11">
      <c r="A2886" s="688" t="s">
        <v>25</v>
      </c>
      <c r="B2886" s="615">
        <v>38</v>
      </c>
      <c r="C2886" s="691">
        <v>38.299999999999997</v>
      </c>
      <c r="D2886" s="691">
        <v>38.1</v>
      </c>
      <c r="E2886" s="691">
        <v>38.6</v>
      </c>
      <c r="F2886" s="691">
        <v>38.5</v>
      </c>
      <c r="G2886" s="691">
        <v>38.700000000000003</v>
      </c>
      <c r="H2886" s="691">
        <v>39.1</v>
      </c>
      <c r="I2886" s="691">
        <v>38.299999999999997</v>
      </c>
      <c r="J2886" s="615">
        <v>36</v>
      </c>
      <c r="K2886" s="691">
        <v>38.4</v>
      </c>
    </row>
    <row r="2887" spans="1:11">
      <c r="A2887" s="688" t="s">
        <v>5</v>
      </c>
      <c r="B2887" s="689">
        <v>42.2</v>
      </c>
      <c r="C2887" s="689">
        <v>42.1</v>
      </c>
      <c r="D2887" s="689">
        <v>42.3</v>
      </c>
      <c r="E2887" s="689">
        <v>42.3</v>
      </c>
      <c r="F2887" s="689">
        <v>42.6</v>
      </c>
      <c r="G2887" s="689">
        <v>42.7</v>
      </c>
      <c r="H2887" s="693">
        <v>43</v>
      </c>
      <c r="I2887" s="689">
        <v>42.9</v>
      </c>
      <c r="J2887" s="689">
        <v>42.8</v>
      </c>
      <c r="K2887" s="689">
        <v>42.2</v>
      </c>
    </row>
    <row r="2888" spans="1:11">
      <c r="A2888" s="688" t="s">
        <v>23</v>
      </c>
      <c r="B2888" s="691">
        <v>42.9</v>
      </c>
      <c r="C2888" s="691">
        <v>43.1</v>
      </c>
      <c r="D2888" s="691">
        <v>43.1</v>
      </c>
      <c r="E2888" s="691">
        <v>43.3</v>
      </c>
      <c r="F2888" s="691">
        <v>43.4</v>
      </c>
      <c r="G2888" s="691">
        <v>43.5</v>
      </c>
      <c r="H2888" s="691">
        <v>43.9</v>
      </c>
      <c r="I2888" s="691">
        <v>43.3</v>
      </c>
      <c r="J2888" s="691">
        <v>43.9</v>
      </c>
      <c r="K2888" s="691">
        <v>43.9</v>
      </c>
    </row>
    <row r="2889" spans="1:11">
      <c r="A2889" s="688" t="s">
        <v>4067</v>
      </c>
      <c r="B2889" s="689">
        <v>41.7</v>
      </c>
      <c r="C2889" s="693">
        <v>42</v>
      </c>
      <c r="D2889" s="689">
        <v>41.7</v>
      </c>
      <c r="E2889" s="693">
        <v>42</v>
      </c>
      <c r="F2889" s="693">
        <v>42</v>
      </c>
      <c r="G2889" s="689">
        <v>42.1</v>
      </c>
      <c r="H2889" s="690" t="s">
        <v>4060</v>
      </c>
      <c r="I2889" s="690" t="s">
        <v>4060</v>
      </c>
      <c r="J2889" s="690" t="s">
        <v>4060</v>
      </c>
      <c r="K2889" s="690" t="s">
        <v>4060</v>
      </c>
    </row>
    <row r="2890" spans="1:11">
      <c r="A2890" s="688" t="s">
        <v>4066</v>
      </c>
      <c r="B2890" s="691">
        <v>41.7</v>
      </c>
      <c r="C2890" s="615">
        <v>42</v>
      </c>
      <c r="D2890" s="691">
        <v>41.7</v>
      </c>
      <c r="E2890" s="691">
        <v>42.1</v>
      </c>
      <c r="F2890" s="615">
        <v>42</v>
      </c>
      <c r="G2890" s="691">
        <v>42.1</v>
      </c>
      <c r="H2890" s="692" t="s">
        <v>4060</v>
      </c>
      <c r="I2890" s="692" t="s">
        <v>4060</v>
      </c>
      <c r="J2890" s="692" t="s">
        <v>4060</v>
      </c>
      <c r="K2890" s="692" t="s">
        <v>4060</v>
      </c>
    </row>
    <row r="2891" spans="1:11">
      <c r="A2891" s="688" t="s">
        <v>4062</v>
      </c>
      <c r="B2891" s="689">
        <v>43.4</v>
      </c>
      <c r="C2891" s="689">
        <v>43.6</v>
      </c>
      <c r="D2891" s="689">
        <v>43.5</v>
      </c>
      <c r="E2891" s="689">
        <v>43.9</v>
      </c>
      <c r="F2891" s="693">
        <v>44</v>
      </c>
      <c r="G2891" s="689">
        <v>44.1</v>
      </c>
      <c r="H2891" s="689">
        <v>44.3</v>
      </c>
      <c r="I2891" s="693">
        <v>44</v>
      </c>
      <c r="J2891" s="689">
        <v>44.3</v>
      </c>
      <c r="K2891" s="693">
        <v>44</v>
      </c>
    </row>
    <row r="2892" spans="1:11">
      <c r="A2892" s="688" t="s">
        <v>9</v>
      </c>
      <c r="B2892" s="615">
        <v>43</v>
      </c>
      <c r="C2892" s="691">
        <v>43.5</v>
      </c>
      <c r="D2892" s="691">
        <v>43.3</v>
      </c>
      <c r="E2892" s="615">
        <v>43</v>
      </c>
      <c r="F2892" s="691">
        <v>43.5</v>
      </c>
      <c r="G2892" s="691">
        <v>43.7</v>
      </c>
      <c r="H2892" s="691">
        <v>43.7</v>
      </c>
      <c r="I2892" s="691">
        <v>43.8</v>
      </c>
      <c r="J2892" s="691">
        <v>44.1</v>
      </c>
      <c r="K2892" s="615">
        <v>43</v>
      </c>
    </row>
    <row r="2893" spans="1:11">
      <c r="A2893" s="688" t="s">
        <v>13</v>
      </c>
      <c r="B2893" s="689">
        <v>43.3</v>
      </c>
      <c r="C2893" s="689">
        <v>42.9</v>
      </c>
      <c r="D2893" s="689">
        <v>43.4</v>
      </c>
      <c r="E2893" s="689">
        <v>43.2</v>
      </c>
      <c r="F2893" s="689">
        <v>43.9</v>
      </c>
      <c r="G2893" s="689">
        <v>43.8</v>
      </c>
      <c r="H2893" s="689">
        <v>44.4</v>
      </c>
      <c r="I2893" s="689">
        <v>43.4</v>
      </c>
      <c r="J2893" s="689">
        <v>44.4</v>
      </c>
      <c r="K2893" s="689">
        <v>44.6</v>
      </c>
    </row>
    <row r="2894" spans="1:11">
      <c r="A2894" s="688" t="s">
        <v>18</v>
      </c>
      <c r="B2894" s="691">
        <v>42.7</v>
      </c>
      <c r="C2894" s="615">
        <v>43</v>
      </c>
      <c r="D2894" s="691">
        <v>43.1</v>
      </c>
      <c r="E2894" s="691">
        <v>43.3</v>
      </c>
      <c r="F2894" s="691">
        <v>43.5</v>
      </c>
      <c r="G2894" s="691">
        <v>43.6</v>
      </c>
      <c r="H2894" s="691">
        <v>43.8</v>
      </c>
      <c r="I2894" s="615">
        <v>44</v>
      </c>
      <c r="J2894" s="691">
        <v>43.9</v>
      </c>
      <c r="K2894" s="691">
        <v>43.4</v>
      </c>
    </row>
    <row r="2895" spans="1:11">
      <c r="A2895" s="688" t="s">
        <v>24</v>
      </c>
      <c r="B2895" s="689">
        <v>43.8</v>
      </c>
      <c r="C2895" s="693">
        <v>44</v>
      </c>
      <c r="D2895" s="689">
        <v>43.8</v>
      </c>
      <c r="E2895" s="689">
        <v>44.3</v>
      </c>
      <c r="F2895" s="689">
        <v>44.3</v>
      </c>
      <c r="G2895" s="689">
        <v>44.5</v>
      </c>
      <c r="H2895" s="689">
        <v>44.6</v>
      </c>
      <c r="I2895" s="689">
        <v>43.9</v>
      </c>
      <c r="J2895" s="689">
        <v>44.5</v>
      </c>
      <c r="K2895" s="689">
        <v>44.4</v>
      </c>
    </row>
    <row r="2896" spans="1:11">
      <c r="A2896" s="688" t="s">
        <v>4059</v>
      </c>
      <c r="B2896" s="691">
        <v>42.2</v>
      </c>
      <c r="C2896" s="691">
        <v>42.5</v>
      </c>
      <c r="D2896" s="691">
        <v>42.1</v>
      </c>
      <c r="E2896" s="691">
        <v>42.3</v>
      </c>
      <c r="F2896" s="691">
        <v>42.4</v>
      </c>
      <c r="G2896" s="691">
        <v>42.4</v>
      </c>
      <c r="H2896" s="692" t="s">
        <v>4060</v>
      </c>
      <c r="I2896" s="692" t="s">
        <v>4060</v>
      </c>
      <c r="J2896" s="692" t="s">
        <v>4060</v>
      </c>
      <c r="K2896" s="692" t="s">
        <v>4060</v>
      </c>
    </row>
    <row r="2897" spans="1:11">
      <c r="A2897" s="688" t="s">
        <v>2324</v>
      </c>
      <c r="B2897" s="689">
        <v>37.700000000000003</v>
      </c>
      <c r="C2897" s="689">
        <v>37.799999999999997</v>
      </c>
      <c r="D2897" s="689">
        <v>37.5</v>
      </c>
      <c r="E2897" s="689">
        <v>37.6</v>
      </c>
      <c r="F2897" s="689">
        <v>37.700000000000003</v>
      </c>
      <c r="G2897" s="689">
        <v>37.799999999999997</v>
      </c>
      <c r="H2897" s="689">
        <v>37.799999999999997</v>
      </c>
      <c r="I2897" s="693">
        <v>37</v>
      </c>
      <c r="J2897" s="689">
        <v>34.799999999999997</v>
      </c>
      <c r="K2897" s="690" t="s">
        <v>4060</v>
      </c>
    </row>
    <row r="2898" spans="1:11">
      <c r="A2898" s="688" t="s">
        <v>2322</v>
      </c>
      <c r="B2898" s="692" t="s">
        <v>4060</v>
      </c>
      <c r="C2898" s="692" t="s">
        <v>4060</v>
      </c>
      <c r="D2898" s="692" t="s">
        <v>4060</v>
      </c>
      <c r="E2898" s="692" t="s">
        <v>4060</v>
      </c>
      <c r="F2898" s="692" t="s">
        <v>4060</v>
      </c>
      <c r="G2898" s="692" t="s">
        <v>4060</v>
      </c>
      <c r="H2898" s="692" t="s">
        <v>4060</v>
      </c>
      <c r="I2898" s="692" t="s">
        <v>4060</v>
      </c>
      <c r="J2898" s="692" t="s">
        <v>4060</v>
      </c>
      <c r="K2898" s="692" t="s">
        <v>4060</v>
      </c>
    </row>
    <row r="2899" spans="1:11">
      <c r="A2899" s="688" t="s">
        <v>2328</v>
      </c>
      <c r="B2899" s="689">
        <v>37.1</v>
      </c>
      <c r="C2899" s="693">
        <v>37</v>
      </c>
      <c r="D2899" s="689">
        <v>36.9</v>
      </c>
      <c r="E2899" s="689">
        <v>37.1</v>
      </c>
      <c r="F2899" s="689">
        <v>37.4</v>
      </c>
      <c r="G2899" s="689">
        <v>37.799999999999997</v>
      </c>
      <c r="H2899" s="689">
        <v>37.799999999999997</v>
      </c>
      <c r="I2899" s="689">
        <v>35.5</v>
      </c>
      <c r="J2899" s="689">
        <v>34.5</v>
      </c>
      <c r="K2899" s="690" t="s">
        <v>4060</v>
      </c>
    </row>
    <row r="2900" spans="1:11">
      <c r="A2900" s="688" t="s">
        <v>2496</v>
      </c>
      <c r="B2900" s="692" t="s">
        <v>4060</v>
      </c>
      <c r="C2900" s="691">
        <v>36.4</v>
      </c>
      <c r="D2900" s="691">
        <v>35.299999999999997</v>
      </c>
      <c r="E2900" s="615">
        <v>35</v>
      </c>
      <c r="F2900" s="691">
        <v>35.700000000000003</v>
      </c>
      <c r="G2900" s="615">
        <v>36</v>
      </c>
      <c r="H2900" s="615">
        <v>36</v>
      </c>
      <c r="I2900" s="692" t="s">
        <v>4060</v>
      </c>
      <c r="J2900" s="692" t="s">
        <v>4060</v>
      </c>
      <c r="K2900" s="691">
        <v>35.6</v>
      </c>
    </row>
    <row r="2901" spans="1:11">
      <c r="A2901" s="688" t="s">
        <v>2269</v>
      </c>
      <c r="B2901" s="689">
        <v>39.9</v>
      </c>
      <c r="C2901" s="693">
        <v>40</v>
      </c>
      <c r="D2901" s="689">
        <v>39.6</v>
      </c>
      <c r="E2901" s="689">
        <v>40.200000000000003</v>
      </c>
      <c r="F2901" s="689">
        <v>40.1</v>
      </c>
      <c r="G2901" s="689">
        <v>40.5</v>
      </c>
      <c r="H2901" s="689">
        <v>40.700000000000003</v>
      </c>
      <c r="I2901" s="689">
        <v>38.9</v>
      </c>
      <c r="J2901" s="693">
        <v>37</v>
      </c>
      <c r="K2901" s="689">
        <v>40.4</v>
      </c>
    </row>
    <row r="2902" spans="1:11">
      <c r="A2902" s="688" t="s">
        <v>2349</v>
      </c>
      <c r="B2902" s="691">
        <v>36.700000000000003</v>
      </c>
      <c r="C2902" s="691">
        <v>36.700000000000003</v>
      </c>
      <c r="D2902" s="691">
        <v>36.700000000000003</v>
      </c>
      <c r="E2902" s="615">
        <v>37</v>
      </c>
      <c r="F2902" s="691">
        <v>36.9</v>
      </c>
      <c r="G2902" s="691">
        <v>37.200000000000003</v>
      </c>
      <c r="H2902" s="691">
        <v>37.200000000000003</v>
      </c>
      <c r="I2902" s="691">
        <v>35.700000000000003</v>
      </c>
      <c r="J2902" s="691">
        <v>34.1</v>
      </c>
      <c r="K2902" s="691">
        <v>36.5</v>
      </c>
    </row>
    <row r="2903" spans="1:11">
      <c r="A2903" s="688" t="s">
        <v>2355</v>
      </c>
      <c r="B2903" s="689">
        <v>40.299999999999997</v>
      </c>
      <c r="C2903" s="689">
        <v>40.1</v>
      </c>
      <c r="D2903" s="689">
        <v>40.1</v>
      </c>
      <c r="E2903" s="689">
        <v>40.1</v>
      </c>
      <c r="F2903" s="689">
        <v>40.299999999999997</v>
      </c>
      <c r="G2903" s="689">
        <v>40.700000000000003</v>
      </c>
      <c r="H2903" s="689">
        <v>40.799999999999997</v>
      </c>
      <c r="I2903" s="690" t="s">
        <v>4060</v>
      </c>
      <c r="J2903" s="690" t="s">
        <v>4060</v>
      </c>
      <c r="K2903" s="690" t="s">
        <v>4060</v>
      </c>
    </row>
    <row r="2904" spans="1:11">
      <c r="A2904" s="688" t="s">
        <v>2357</v>
      </c>
      <c r="B2904" s="692" t="s">
        <v>4060</v>
      </c>
      <c r="C2904" s="691">
        <v>34.700000000000003</v>
      </c>
      <c r="D2904" s="691">
        <v>35.1</v>
      </c>
      <c r="E2904" s="691">
        <v>35.4</v>
      </c>
      <c r="F2904" s="691">
        <v>35.700000000000003</v>
      </c>
      <c r="G2904" s="691">
        <v>35.5</v>
      </c>
      <c r="H2904" s="691">
        <v>35.700000000000003</v>
      </c>
      <c r="I2904" s="692" t="s">
        <v>4060</v>
      </c>
      <c r="J2904" s="692" t="s">
        <v>4060</v>
      </c>
      <c r="K2904" s="692" t="s">
        <v>4060</v>
      </c>
    </row>
    <row r="2905" spans="1:11">
      <c r="A2905" s="688" t="s">
        <v>4070</v>
      </c>
      <c r="B2905" s="690" t="s">
        <v>4060</v>
      </c>
      <c r="C2905" s="690" t="s">
        <v>4060</v>
      </c>
      <c r="D2905" s="690" t="s">
        <v>4060</v>
      </c>
      <c r="E2905" s="689">
        <v>39.799999999999997</v>
      </c>
      <c r="F2905" s="690" t="s">
        <v>4060</v>
      </c>
      <c r="G2905" s="690" t="s">
        <v>4060</v>
      </c>
      <c r="H2905" s="690" t="s">
        <v>4060</v>
      </c>
      <c r="I2905" s="690" t="s">
        <v>4060</v>
      </c>
      <c r="J2905" s="690" t="s">
        <v>4060</v>
      </c>
      <c r="K2905" s="690" t="s">
        <v>4060</v>
      </c>
    </row>
    <row r="2906" spans="1:11">
      <c r="A2906" s="688" t="s">
        <v>2491</v>
      </c>
      <c r="B2906" s="691">
        <v>34.9</v>
      </c>
      <c r="C2906" s="691">
        <v>35.299999999999997</v>
      </c>
      <c r="D2906" s="691">
        <v>35.700000000000003</v>
      </c>
      <c r="E2906" s="691">
        <v>35.9</v>
      </c>
      <c r="F2906" s="615">
        <v>36</v>
      </c>
      <c r="G2906" s="615">
        <v>36</v>
      </c>
      <c r="H2906" s="692" t="s">
        <v>4060</v>
      </c>
      <c r="I2906" s="692" t="s">
        <v>4060</v>
      </c>
      <c r="J2906" s="692" t="s">
        <v>4060</v>
      </c>
      <c r="K2906" s="692" t="s">
        <v>4060</v>
      </c>
    </row>
    <row r="2907" spans="1:11">
      <c r="A2907" s="688" t="s">
        <v>2343</v>
      </c>
      <c r="B2907" s="690" t="s">
        <v>4060</v>
      </c>
      <c r="C2907" s="690" t="s">
        <v>4060</v>
      </c>
      <c r="D2907" s="690" t="s">
        <v>4060</v>
      </c>
      <c r="E2907" s="690" t="s">
        <v>4060</v>
      </c>
      <c r="F2907" s="690" t="s">
        <v>4060</v>
      </c>
      <c r="G2907" s="690" t="s">
        <v>4060</v>
      </c>
      <c r="H2907" s="690" t="s">
        <v>4060</v>
      </c>
      <c r="I2907" s="690" t="s">
        <v>4060</v>
      </c>
      <c r="J2907" s="690" t="s">
        <v>4060</v>
      </c>
      <c r="K2907" s="690" t="s">
        <v>4060</v>
      </c>
    </row>
    <row r="2908" spans="1:11">
      <c r="A2908" s="688" t="s">
        <v>4071</v>
      </c>
      <c r="B2908" s="692" t="s">
        <v>4060</v>
      </c>
      <c r="C2908" s="692" t="s">
        <v>4060</v>
      </c>
      <c r="D2908" s="692" t="s">
        <v>4060</v>
      </c>
      <c r="E2908" s="692" t="s">
        <v>4060</v>
      </c>
      <c r="F2908" s="692" t="s">
        <v>4060</v>
      </c>
      <c r="G2908" s="692" t="s">
        <v>4060</v>
      </c>
      <c r="H2908" s="692" t="s">
        <v>4060</v>
      </c>
      <c r="I2908" s="692" t="s">
        <v>4060</v>
      </c>
      <c r="J2908" s="692" t="s">
        <v>4060</v>
      </c>
      <c r="K2908" s="692" t="s">
        <v>4060</v>
      </c>
    </row>
    <row r="2909" spans="1:11">
      <c r="A2909" s="688" t="s">
        <v>2489</v>
      </c>
      <c r="B2909" s="690" t="s">
        <v>4060</v>
      </c>
      <c r="C2909" s="690" t="s">
        <v>4060</v>
      </c>
      <c r="D2909" s="689">
        <v>36.9</v>
      </c>
      <c r="E2909" s="689">
        <v>36.9</v>
      </c>
      <c r="F2909" s="689">
        <v>37.4</v>
      </c>
      <c r="G2909" s="689">
        <v>38.200000000000003</v>
      </c>
      <c r="H2909" s="693">
        <v>38</v>
      </c>
      <c r="I2909" s="690" t="s">
        <v>4060</v>
      </c>
      <c r="J2909" s="690" t="s">
        <v>4060</v>
      </c>
      <c r="K2909" s="690" t="s">
        <v>4060</v>
      </c>
    </row>
    <row r="2910" spans="1:11">
      <c r="A2910" s="688" t="s">
        <v>2490</v>
      </c>
      <c r="B2910" s="691">
        <v>36.799999999999997</v>
      </c>
      <c r="C2910" s="691">
        <v>36.9</v>
      </c>
      <c r="D2910" s="691">
        <v>37.5</v>
      </c>
      <c r="E2910" s="692" t="s">
        <v>4060</v>
      </c>
      <c r="F2910" s="691">
        <v>37.6</v>
      </c>
      <c r="G2910" s="691">
        <v>37.9</v>
      </c>
      <c r="H2910" s="691">
        <v>38.700000000000003</v>
      </c>
      <c r="I2910" s="692" t="s">
        <v>4060</v>
      </c>
      <c r="J2910" s="692" t="s">
        <v>4060</v>
      </c>
      <c r="K2910" s="692" t="s">
        <v>4060</v>
      </c>
    </row>
    <row r="2912" spans="1:11">
      <c r="A2912" s="683" t="s">
        <v>4233</v>
      </c>
    </row>
    <row r="2913" spans="1:11">
      <c r="A2913" s="683" t="s">
        <v>4060</v>
      </c>
      <c r="B2913" s="682" t="s">
        <v>4234</v>
      </c>
    </row>
    <row r="2915" spans="1:11">
      <c r="A2915" s="682" t="s">
        <v>4248</v>
      </c>
    </row>
    <row r="2916" spans="1:11">
      <c r="A2916" s="682" t="s">
        <v>4210</v>
      </c>
      <c r="B2916" s="683" t="s">
        <v>4211</v>
      </c>
    </row>
    <row r="2917" spans="1:11">
      <c r="A2917" s="682" t="s">
        <v>4212</v>
      </c>
      <c r="B2917" s="682" t="s">
        <v>4213</v>
      </c>
    </row>
    <row r="2919" spans="1:11">
      <c r="A2919" s="683" t="s">
        <v>4214</v>
      </c>
      <c r="C2919" s="682" t="s">
        <v>4215</v>
      </c>
    </row>
    <row r="2920" spans="1:11">
      <c r="A2920" s="683" t="s">
        <v>4216</v>
      </c>
      <c r="C2920" s="682" t="s">
        <v>2967</v>
      </c>
    </row>
    <row r="2921" spans="1:11">
      <c r="A2921" s="683" t="s">
        <v>3893</v>
      </c>
      <c r="C2921" s="682" t="s">
        <v>4217</v>
      </c>
    </row>
    <row r="2922" spans="1:11">
      <c r="A2922" s="683" t="s">
        <v>4218</v>
      </c>
      <c r="C2922" s="682" t="s">
        <v>4276</v>
      </c>
    </row>
    <row r="2924" spans="1:11">
      <c r="A2924" s="684" t="s">
        <v>4220</v>
      </c>
      <c r="B2924" s="685" t="s">
        <v>4221</v>
      </c>
      <c r="C2924" s="685" t="s">
        <v>4222</v>
      </c>
      <c r="D2924" s="685" t="s">
        <v>4223</v>
      </c>
      <c r="E2924" s="685" t="s">
        <v>4224</v>
      </c>
      <c r="F2924" s="685" t="s">
        <v>4225</v>
      </c>
      <c r="G2924" s="685" t="s">
        <v>4226</v>
      </c>
      <c r="H2924" s="685" t="s">
        <v>4227</v>
      </c>
      <c r="I2924" s="685" t="s">
        <v>4228</v>
      </c>
      <c r="J2924" s="685" t="s">
        <v>4229</v>
      </c>
      <c r="K2924" s="685" t="s">
        <v>4230</v>
      </c>
    </row>
    <row r="2925" spans="1:11">
      <c r="A2925" s="686" t="s">
        <v>4231</v>
      </c>
      <c r="B2925" s="687" t="s">
        <v>4232</v>
      </c>
      <c r="C2925" s="687" t="s">
        <v>4232</v>
      </c>
      <c r="D2925" s="687" t="s">
        <v>4232</v>
      </c>
      <c r="E2925" s="687" t="s">
        <v>4232</v>
      </c>
      <c r="F2925" s="687" t="s">
        <v>4232</v>
      </c>
      <c r="G2925" s="687" t="s">
        <v>4232</v>
      </c>
      <c r="H2925" s="687" t="s">
        <v>4232</v>
      </c>
      <c r="I2925" s="687" t="s">
        <v>4232</v>
      </c>
      <c r="J2925" s="687" t="s">
        <v>4232</v>
      </c>
      <c r="K2925" s="687" t="s">
        <v>4232</v>
      </c>
    </row>
    <row r="2926" spans="1:11">
      <c r="A2926" s="688" t="s">
        <v>4064</v>
      </c>
      <c r="B2926" s="691">
        <v>40.6</v>
      </c>
      <c r="C2926" s="691">
        <v>40.700000000000003</v>
      </c>
      <c r="D2926" s="691">
        <v>40.6</v>
      </c>
      <c r="E2926" s="691">
        <v>40.799999999999997</v>
      </c>
      <c r="F2926" s="691">
        <v>40.799999999999997</v>
      </c>
      <c r="G2926" s="691">
        <v>40.9</v>
      </c>
      <c r="H2926" s="691">
        <v>41.2</v>
      </c>
      <c r="I2926" s="691">
        <v>40.299999999999997</v>
      </c>
      <c r="J2926" s="615">
        <v>40</v>
      </c>
      <c r="K2926" s="691">
        <v>40.6</v>
      </c>
    </row>
    <row r="2927" spans="1:11">
      <c r="A2927" s="688" t="s">
        <v>4065</v>
      </c>
      <c r="B2927" s="689">
        <v>40.700000000000003</v>
      </c>
      <c r="C2927" s="693">
        <v>41</v>
      </c>
      <c r="D2927" s="689">
        <v>40.700000000000003</v>
      </c>
      <c r="E2927" s="689">
        <v>41.1</v>
      </c>
      <c r="F2927" s="693">
        <v>41</v>
      </c>
      <c r="G2927" s="689">
        <v>41.1</v>
      </c>
      <c r="H2927" s="690" t="s">
        <v>4060</v>
      </c>
      <c r="I2927" s="690" t="s">
        <v>4060</v>
      </c>
      <c r="J2927" s="690" t="s">
        <v>4060</v>
      </c>
      <c r="K2927" s="690" t="s">
        <v>4060</v>
      </c>
    </row>
    <row r="2928" spans="1:11">
      <c r="A2928" s="688" t="s">
        <v>4063</v>
      </c>
      <c r="B2928" s="691">
        <v>40.700000000000003</v>
      </c>
      <c r="C2928" s="691">
        <v>41.1</v>
      </c>
      <c r="D2928" s="691">
        <v>40.700000000000003</v>
      </c>
      <c r="E2928" s="691">
        <v>41.1</v>
      </c>
      <c r="F2928" s="691">
        <v>41.1</v>
      </c>
      <c r="G2928" s="691">
        <v>41.1</v>
      </c>
      <c r="H2928" s="692" t="s">
        <v>4060</v>
      </c>
      <c r="I2928" s="692" t="s">
        <v>4060</v>
      </c>
      <c r="J2928" s="692" t="s">
        <v>4060</v>
      </c>
      <c r="K2928" s="692" t="s">
        <v>4060</v>
      </c>
    </row>
    <row r="2929" spans="1:11">
      <c r="A2929" s="688" t="s">
        <v>4069</v>
      </c>
      <c r="B2929" s="690" t="s">
        <v>4060</v>
      </c>
      <c r="C2929" s="689">
        <v>41.6</v>
      </c>
      <c r="D2929" s="689">
        <v>41.4</v>
      </c>
      <c r="E2929" s="689">
        <v>41.7</v>
      </c>
      <c r="F2929" s="689">
        <v>41.7</v>
      </c>
      <c r="G2929" s="689">
        <v>41.8</v>
      </c>
      <c r="H2929" s="689">
        <v>42.1</v>
      </c>
      <c r="I2929" s="689">
        <v>41.4</v>
      </c>
      <c r="J2929" s="689">
        <v>41.4</v>
      </c>
      <c r="K2929" s="689">
        <v>41.5</v>
      </c>
    </row>
    <row r="2930" spans="1:11">
      <c r="A2930" s="688" t="s">
        <v>4068</v>
      </c>
      <c r="B2930" s="691">
        <v>41.6</v>
      </c>
      <c r="C2930" s="692" t="s">
        <v>4060</v>
      </c>
      <c r="D2930" s="692" t="s">
        <v>4060</v>
      </c>
      <c r="E2930" s="692" t="s">
        <v>4060</v>
      </c>
      <c r="F2930" s="692" t="s">
        <v>4060</v>
      </c>
      <c r="G2930" s="692" t="s">
        <v>4060</v>
      </c>
      <c r="H2930" s="692" t="s">
        <v>4060</v>
      </c>
      <c r="I2930" s="692" t="s">
        <v>4060</v>
      </c>
      <c r="J2930" s="692" t="s">
        <v>4060</v>
      </c>
      <c r="K2930" s="692" t="s">
        <v>4060</v>
      </c>
    </row>
    <row r="2931" spans="1:11">
      <c r="A2931" s="688" t="s">
        <v>0</v>
      </c>
      <c r="B2931" s="689">
        <v>40.799999999999997</v>
      </c>
      <c r="C2931" s="689">
        <v>41.2</v>
      </c>
      <c r="D2931" s="693">
        <v>41</v>
      </c>
      <c r="E2931" s="689">
        <v>41.3</v>
      </c>
      <c r="F2931" s="689">
        <v>41.5</v>
      </c>
      <c r="G2931" s="689">
        <v>41.6</v>
      </c>
      <c r="H2931" s="689">
        <v>41.9</v>
      </c>
      <c r="I2931" s="689">
        <v>40.799999999999997</v>
      </c>
      <c r="J2931" s="689">
        <v>41.7</v>
      </c>
      <c r="K2931" s="689">
        <v>41.7</v>
      </c>
    </row>
    <row r="2932" spans="1:11">
      <c r="A2932" s="688" t="s">
        <v>1</v>
      </c>
      <c r="B2932" s="691">
        <v>35.799999999999997</v>
      </c>
      <c r="C2932" s="691">
        <v>35.299999999999997</v>
      </c>
      <c r="D2932" s="691">
        <v>35.299999999999997</v>
      </c>
      <c r="E2932" s="691">
        <v>35.5</v>
      </c>
      <c r="F2932" s="691">
        <v>35.4</v>
      </c>
      <c r="G2932" s="691">
        <v>35.6</v>
      </c>
      <c r="H2932" s="691">
        <v>35.700000000000003</v>
      </c>
      <c r="I2932" s="615">
        <v>34</v>
      </c>
      <c r="J2932" s="691">
        <v>32.200000000000003</v>
      </c>
      <c r="K2932" s="691">
        <v>34.799999999999997</v>
      </c>
    </row>
    <row r="2933" spans="1:11">
      <c r="A2933" s="688" t="s">
        <v>2240</v>
      </c>
      <c r="B2933" s="689">
        <v>38.4</v>
      </c>
      <c r="C2933" s="689">
        <v>38.799999999999997</v>
      </c>
      <c r="D2933" s="689">
        <v>38.6</v>
      </c>
      <c r="E2933" s="689">
        <v>39.1</v>
      </c>
      <c r="F2933" s="693">
        <v>39</v>
      </c>
      <c r="G2933" s="689">
        <v>39.1</v>
      </c>
      <c r="H2933" s="689">
        <v>39.299999999999997</v>
      </c>
      <c r="I2933" s="689">
        <v>38.299999999999997</v>
      </c>
      <c r="J2933" s="689">
        <v>37.299999999999997</v>
      </c>
      <c r="K2933" s="689">
        <v>39.1</v>
      </c>
    </row>
    <row r="2934" spans="1:11">
      <c r="A2934" s="688" t="s">
        <v>2</v>
      </c>
      <c r="B2934" s="691">
        <v>40.299999999999997</v>
      </c>
      <c r="C2934" s="691">
        <v>40.6</v>
      </c>
      <c r="D2934" s="691">
        <v>40.6</v>
      </c>
      <c r="E2934" s="691">
        <v>40.799999999999997</v>
      </c>
      <c r="F2934" s="615">
        <v>41</v>
      </c>
      <c r="G2934" s="691">
        <v>40.9</v>
      </c>
      <c r="H2934" s="691">
        <v>41.3</v>
      </c>
      <c r="I2934" s="691">
        <v>41.4</v>
      </c>
      <c r="J2934" s="691">
        <v>41.3</v>
      </c>
      <c r="K2934" s="691">
        <v>41.1</v>
      </c>
    </row>
    <row r="2935" spans="1:11">
      <c r="A2935" s="688" t="s">
        <v>3</v>
      </c>
      <c r="B2935" s="689">
        <v>40.6</v>
      </c>
      <c r="C2935" s="689">
        <v>40.9</v>
      </c>
      <c r="D2935" s="689">
        <v>40.6</v>
      </c>
      <c r="E2935" s="689">
        <v>40.9</v>
      </c>
      <c r="F2935" s="689">
        <v>40.9</v>
      </c>
      <c r="G2935" s="689">
        <v>40.799999999999997</v>
      </c>
      <c r="H2935" s="689">
        <v>41.1</v>
      </c>
      <c r="I2935" s="689">
        <v>40.9</v>
      </c>
      <c r="J2935" s="689">
        <v>40.6</v>
      </c>
      <c r="K2935" s="689">
        <v>40.5</v>
      </c>
    </row>
    <row r="2936" spans="1:11">
      <c r="A2936" s="688" t="s">
        <v>4061</v>
      </c>
      <c r="B2936" s="691">
        <v>40.6</v>
      </c>
      <c r="C2936" s="691">
        <v>40.9</v>
      </c>
      <c r="D2936" s="691">
        <v>40.6</v>
      </c>
      <c r="E2936" s="691">
        <v>40.9</v>
      </c>
      <c r="F2936" s="691">
        <v>40.9</v>
      </c>
      <c r="G2936" s="691">
        <v>40.799999999999997</v>
      </c>
      <c r="H2936" s="691">
        <v>41.1</v>
      </c>
      <c r="I2936" s="691">
        <v>40.9</v>
      </c>
      <c r="J2936" s="691">
        <v>40.6</v>
      </c>
      <c r="K2936" s="691">
        <v>40.5</v>
      </c>
    </row>
    <row r="2937" spans="1:11">
      <c r="A2937" s="688" t="s">
        <v>4</v>
      </c>
      <c r="B2937" s="689">
        <v>38.1</v>
      </c>
      <c r="C2937" s="689">
        <v>37.9</v>
      </c>
      <c r="D2937" s="689">
        <v>38.299999999999997</v>
      </c>
      <c r="E2937" s="689">
        <v>38.5</v>
      </c>
      <c r="F2937" s="689">
        <v>38.6</v>
      </c>
      <c r="G2937" s="689">
        <v>38.6</v>
      </c>
      <c r="H2937" s="693">
        <v>39</v>
      </c>
      <c r="I2937" s="689">
        <v>38.9</v>
      </c>
      <c r="J2937" s="689">
        <v>37.5</v>
      </c>
      <c r="K2937" s="689">
        <v>38.4</v>
      </c>
    </row>
    <row r="2938" spans="1:11">
      <c r="A2938" s="688" t="s">
        <v>8</v>
      </c>
      <c r="B2938" s="691">
        <v>41.1</v>
      </c>
      <c r="C2938" s="691">
        <v>41.4</v>
      </c>
      <c r="D2938" s="691">
        <v>41.4</v>
      </c>
      <c r="E2938" s="691">
        <v>41.5</v>
      </c>
      <c r="F2938" s="691">
        <v>41.9</v>
      </c>
      <c r="G2938" s="615">
        <v>42</v>
      </c>
      <c r="H2938" s="691">
        <v>42.3</v>
      </c>
      <c r="I2938" s="691">
        <v>42.2</v>
      </c>
      <c r="J2938" s="615">
        <v>42</v>
      </c>
      <c r="K2938" s="691">
        <v>42.2</v>
      </c>
    </row>
    <row r="2939" spans="1:11">
      <c r="A2939" s="688" t="s">
        <v>7</v>
      </c>
      <c r="B2939" s="689">
        <v>41.5</v>
      </c>
      <c r="C2939" s="689">
        <v>41.1</v>
      </c>
      <c r="D2939" s="689">
        <v>40.9</v>
      </c>
      <c r="E2939" s="689">
        <v>41.2</v>
      </c>
      <c r="F2939" s="689">
        <v>41.1</v>
      </c>
      <c r="G2939" s="689">
        <v>41.5</v>
      </c>
      <c r="H2939" s="689">
        <v>41.5</v>
      </c>
      <c r="I2939" s="689">
        <v>41.1</v>
      </c>
      <c r="J2939" s="689">
        <v>40.1</v>
      </c>
      <c r="K2939" s="689">
        <v>40.799999999999997</v>
      </c>
    </row>
    <row r="2940" spans="1:11">
      <c r="A2940" s="688" t="s">
        <v>27</v>
      </c>
      <c r="B2940" s="615">
        <v>43</v>
      </c>
      <c r="C2940" s="691">
        <v>42.7</v>
      </c>
      <c r="D2940" s="691">
        <v>42.4</v>
      </c>
      <c r="E2940" s="691">
        <v>42.8</v>
      </c>
      <c r="F2940" s="691">
        <v>42.8</v>
      </c>
      <c r="G2940" s="691">
        <v>42.9</v>
      </c>
      <c r="H2940" s="691">
        <v>43.3</v>
      </c>
      <c r="I2940" s="615">
        <v>42</v>
      </c>
      <c r="J2940" s="691">
        <v>42.8</v>
      </c>
      <c r="K2940" s="691">
        <v>42.9</v>
      </c>
    </row>
    <row r="2941" spans="1:11">
      <c r="A2941" s="688" t="s">
        <v>6</v>
      </c>
      <c r="B2941" s="689">
        <v>42.6</v>
      </c>
      <c r="C2941" s="689">
        <v>42.6</v>
      </c>
      <c r="D2941" s="689">
        <v>42.3</v>
      </c>
      <c r="E2941" s="689">
        <v>42.5</v>
      </c>
      <c r="F2941" s="689">
        <v>42.6</v>
      </c>
      <c r="G2941" s="689">
        <v>42.7</v>
      </c>
      <c r="H2941" s="689">
        <v>42.9</v>
      </c>
      <c r="I2941" s="689">
        <v>42.3</v>
      </c>
      <c r="J2941" s="689">
        <v>42.4</v>
      </c>
      <c r="K2941" s="689">
        <v>42.5</v>
      </c>
    </row>
    <row r="2942" spans="1:11">
      <c r="A2942" s="688" t="s">
        <v>4058</v>
      </c>
      <c r="B2942" s="692" t="s">
        <v>4060</v>
      </c>
      <c r="C2942" s="692" t="s">
        <v>4060</v>
      </c>
      <c r="D2942" s="692" t="s">
        <v>4060</v>
      </c>
      <c r="E2942" s="692" t="s">
        <v>4060</v>
      </c>
      <c r="F2942" s="692" t="s">
        <v>4060</v>
      </c>
      <c r="G2942" s="692" t="s">
        <v>4060</v>
      </c>
      <c r="H2942" s="692" t="s">
        <v>4060</v>
      </c>
      <c r="I2942" s="692" t="s">
        <v>4060</v>
      </c>
      <c r="J2942" s="692" t="s">
        <v>4060</v>
      </c>
      <c r="K2942" s="692" t="s">
        <v>4060</v>
      </c>
    </row>
    <row r="2943" spans="1:11">
      <c r="A2943" s="688" t="s">
        <v>11</v>
      </c>
      <c r="B2943" s="693">
        <v>38</v>
      </c>
      <c r="C2943" s="693">
        <v>38</v>
      </c>
      <c r="D2943" s="689">
        <v>37.6</v>
      </c>
      <c r="E2943" s="689">
        <v>38.200000000000003</v>
      </c>
      <c r="F2943" s="693">
        <v>38</v>
      </c>
      <c r="G2943" s="689">
        <v>38.200000000000003</v>
      </c>
      <c r="H2943" s="689">
        <v>38.5</v>
      </c>
      <c r="I2943" s="689">
        <v>37.700000000000003</v>
      </c>
      <c r="J2943" s="689">
        <v>36.700000000000003</v>
      </c>
      <c r="K2943" s="689">
        <v>37.9</v>
      </c>
    </row>
    <row r="2944" spans="1:11">
      <c r="A2944" s="688" t="s">
        <v>10</v>
      </c>
      <c r="B2944" s="691">
        <v>42.7</v>
      </c>
      <c r="C2944" s="691">
        <v>42.7</v>
      </c>
      <c r="D2944" s="691">
        <v>42.3</v>
      </c>
      <c r="E2944" s="691">
        <v>42.8</v>
      </c>
      <c r="F2944" s="691">
        <v>42.6</v>
      </c>
      <c r="G2944" s="615">
        <v>43</v>
      </c>
      <c r="H2944" s="691">
        <v>43.2</v>
      </c>
      <c r="I2944" s="615">
        <v>42</v>
      </c>
      <c r="J2944" s="691">
        <v>42.4</v>
      </c>
      <c r="K2944" s="691">
        <v>42.5</v>
      </c>
    </row>
    <row r="2945" spans="1:11">
      <c r="A2945" s="688" t="s">
        <v>30</v>
      </c>
      <c r="B2945" s="689">
        <v>42.3</v>
      </c>
      <c r="C2945" s="693">
        <v>42</v>
      </c>
      <c r="D2945" s="689">
        <v>41.8</v>
      </c>
      <c r="E2945" s="689">
        <v>42.5</v>
      </c>
      <c r="F2945" s="689">
        <v>42.1</v>
      </c>
      <c r="G2945" s="689">
        <v>42.8</v>
      </c>
      <c r="H2945" s="689">
        <v>42.5</v>
      </c>
      <c r="I2945" s="689">
        <v>42.4</v>
      </c>
      <c r="J2945" s="689">
        <v>41.7</v>
      </c>
      <c r="K2945" s="693">
        <v>42</v>
      </c>
    </row>
    <row r="2946" spans="1:11">
      <c r="A2946" s="688" t="s">
        <v>12</v>
      </c>
      <c r="B2946" s="691">
        <v>35.4</v>
      </c>
      <c r="C2946" s="691">
        <v>35.6</v>
      </c>
      <c r="D2946" s="691">
        <v>35.799999999999997</v>
      </c>
      <c r="E2946" s="691">
        <v>35.9</v>
      </c>
      <c r="F2946" s="691">
        <v>35.9</v>
      </c>
      <c r="G2946" s="691">
        <v>35.9</v>
      </c>
      <c r="H2946" s="691">
        <v>36.5</v>
      </c>
      <c r="I2946" s="691">
        <v>36.1</v>
      </c>
      <c r="J2946" s="691">
        <v>33.9</v>
      </c>
      <c r="K2946" s="691">
        <v>35.4</v>
      </c>
    </row>
    <row r="2947" spans="1:11">
      <c r="A2947" s="688" t="s">
        <v>14</v>
      </c>
      <c r="B2947" s="689">
        <v>35.5</v>
      </c>
      <c r="C2947" s="689">
        <v>35.9</v>
      </c>
      <c r="D2947" s="689">
        <v>35.700000000000003</v>
      </c>
      <c r="E2947" s="689">
        <v>35.9</v>
      </c>
      <c r="F2947" s="689">
        <v>36.5</v>
      </c>
      <c r="G2947" s="689">
        <v>36.799999999999997</v>
      </c>
      <c r="H2947" s="689">
        <v>37.1</v>
      </c>
      <c r="I2947" s="689">
        <v>35.799999999999997</v>
      </c>
      <c r="J2947" s="693">
        <v>35</v>
      </c>
      <c r="K2947" s="689">
        <v>36.4</v>
      </c>
    </row>
    <row r="2948" spans="1:11">
      <c r="A2948" s="688" t="s">
        <v>15</v>
      </c>
      <c r="B2948" s="691">
        <v>41.9</v>
      </c>
      <c r="C2948" s="691">
        <v>41.8</v>
      </c>
      <c r="D2948" s="691">
        <v>41.8</v>
      </c>
      <c r="E2948" s="691">
        <v>42.1</v>
      </c>
      <c r="F2948" s="691">
        <v>41.7</v>
      </c>
      <c r="G2948" s="615">
        <v>42</v>
      </c>
      <c r="H2948" s="691">
        <v>42.4</v>
      </c>
      <c r="I2948" s="615">
        <v>42</v>
      </c>
      <c r="J2948" s="691">
        <v>42.3</v>
      </c>
      <c r="K2948" s="691">
        <v>42.7</v>
      </c>
    </row>
    <row r="2949" spans="1:11">
      <c r="A2949" s="688" t="s">
        <v>29</v>
      </c>
      <c r="B2949" s="693">
        <v>36</v>
      </c>
      <c r="C2949" s="693">
        <v>36</v>
      </c>
      <c r="D2949" s="689">
        <v>35.799999999999997</v>
      </c>
      <c r="E2949" s="689">
        <v>36.200000000000003</v>
      </c>
      <c r="F2949" s="693">
        <v>36</v>
      </c>
      <c r="G2949" s="689">
        <v>36.200000000000003</v>
      </c>
      <c r="H2949" s="689">
        <v>36.4</v>
      </c>
      <c r="I2949" s="689">
        <v>35.700000000000003</v>
      </c>
      <c r="J2949" s="689">
        <v>34.4</v>
      </c>
      <c r="K2949" s="689">
        <v>36.1</v>
      </c>
    </row>
    <row r="2950" spans="1:11">
      <c r="A2950" s="688" t="s">
        <v>16</v>
      </c>
      <c r="B2950" s="691">
        <v>41.9</v>
      </c>
      <c r="C2950" s="691">
        <v>41.8</v>
      </c>
      <c r="D2950" s="691">
        <v>41.9</v>
      </c>
      <c r="E2950" s="691">
        <v>42.4</v>
      </c>
      <c r="F2950" s="691">
        <v>42.2</v>
      </c>
      <c r="G2950" s="691">
        <v>42.1</v>
      </c>
      <c r="H2950" s="691">
        <v>42.5</v>
      </c>
      <c r="I2950" s="691">
        <v>41.8</v>
      </c>
      <c r="J2950" s="691">
        <v>41.9</v>
      </c>
      <c r="K2950" s="691">
        <v>42.1</v>
      </c>
    </row>
    <row r="2951" spans="1:11">
      <c r="A2951" s="688" t="s">
        <v>17</v>
      </c>
      <c r="B2951" s="689">
        <v>41.4</v>
      </c>
      <c r="C2951" s="689">
        <v>41.6</v>
      </c>
      <c r="D2951" s="689">
        <v>41.3</v>
      </c>
      <c r="E2951" s="689">
        <v>41.5</v>
      </c>
      <c r="F2951" s="689">
        <v>41.6</v>
      </c>
      <c r="G2951" s="689">
        <v>41.7</v>
      </c>
      <c r="H2951" s="693">
        <v>42</v>
      </c>
      <c r="I2951" s="689">
        <v>41.3</v>
      </c>
      <c r="J2951" s="689">
        <v>41.2</v>
      </c>
      <c r="K2951" s="689">
        <v>41.5</v>
      </c>
    </row>
    <row r="2952" spans="1:11">
      <c r="A2952" s="688" t="s">
        <v>19</v>
      </c>
      <c r="B2952" s="691">
        <v>41.3</v>
      </c>
      <c r="C2952" s="691">
        <v>41.4</v>
      </c>
      <c r="D2952" s="691">
        <v>41.2</v>
      </c>
      <c r="E2952" s="691">
        <v>41.6</v>
      </c>
      <c r="F2952" s="691">
        <v>41.6</v>
      </c>
      <c r="G2952" s="691">
        <v>41.6</v>
      </c>
      <c r="H2952" s="691">
        <v>41.9</v>
      </c>
      <c r="I2952" s="691">
        <v>41.3</v>
      </c>
      <c r="J2952" s="691">
        <v>41.2</v>
      </c>
      <c r="K2952" s="691">
        <v>41.4</v>
      </c>
    </row>
    <row r="2953" spans="1:11">
      <c r="A2953" s="688" t="s">
        <v>20</v>
      </c>
      <c r="B2953" s="689">
        <v>37.6</v>
      </c>
      <c r="C2953" s="693">
        <v>38</v>
      </c>
      <c r="D2953" s="689">
        <v>37.799999999999997</v>
      </c>
      <c r="E2953" s="689">
        <v>38.200000000000003</v>
      </c>
      <c r="F2953" s="689">
        <v>38.1</v>
      </c>
      <c r="G2953" s="693">
        <v>38</v>
      </c>
      <c r="H2953" s="689">
        <v>38.299999999999997</v>
      </c>
      <c r="I2953" s="689">
        <v>36.799999999999997</v>
      </c>
      <c r="J2953" s="689">
        <v>35.9</v>
      </c>
      <c r="K2953" s="689">
        <v>37.6</v>
      </c>
    </row>
    <row r="2954" spans="1:11">
      <c r="A2954" s="688" t="s">
        <v>21</v>
      </c>
      <c r="B2954" s="615">
        <v>41</v>
      </c>
      <c r="C2954" s="691">
        <v>41.3</v>
      </c>
      <c r="D2954" s="691">
        <v>41.3</v>
      </c>
      <c r="E2954" s="691">
        <v>41.3</v>
      </c>
      <c r="F2954" s="691">
        <v>41.6</v>
      </c>
      <c r="G2954" s="691">
        <v>41.6</v>
      </c>
      <c r="H2954" s="691">
        <v>41.9</v>
      </c>
      <c r="I2954" s="691">
        <v>41.3</v>
      </c>
      <c r="J2954" s="691">
        <v>41.4</v>
      </c>
      <c r="K2954" s="691">
        <v>41.7</v>
      </c>
    </row>
    <row r="2955" spans="1:11">
      <c r="A2955" s="688" t="s">
        <v>22</v>
      </c>
      <c r="B2955" s="689">
        <v>36.1</v>
      </c>
      <c r="C2955" s="689">
        <v>35.799999999999997</v>
      </c>
      <c r="D2955" s="689">
        <v>35.700000000000003</v>
      </c>
      <c r="E2955" s="689">
        <v>35.9</v>
      </c>
      <c r="F2955" s="689">
        <v>35.9</v>
      </c>
      <c r="G2955" s="689">
        <v>35.9</v>
      </c>
      <c r="H2955" s="689">
        <v>36.200000000000003</v>
      </c>
      <c r="I2955" s="689">
        <v>34.700000000000003</v>
      </c>
      <c r="J2955" s="689">
        <v>33.4</v>
      </c>
      <c r="K2955" s="689">
        <v>35.700000000000003</v>
      </c>
    </row>
    <row r="2956" spans="1:11">
      <c r="A2956" s="688" t="s">
        <v>26</v>
      </c>
      <c r="B2956" s="691">
        <v>40.5</v>
      </c>
      <c r="C2956" s="691">
        <v>40.799999999999997</v>
      </c>
      <c r="D2956" s="691">
        <v>40.5</v>
      </c>
      <c r="E2956" s="691">
        <v>40.9</v>
      </c>
      <c r="F2956" s="691">
        <v>40.799999999999997</v>
      </c>
      <c r="G2956" s="691">
        <v>41.1</v>
      </c>
      <c r="H2956" s="691">
        <v>41.3</v>
      </c>
      <c r="I2956" s="691">
        <v>40.299999999999997</v>
      </c>
      <c r="J2956" s="691">
        <v>40.4</v>
      </c>
      <c r="K2956" s="691">
        <v>41.1</v>
      </c>
    </row>
    <row r="2957" spans="1:11">
      <c r="A2957" s="688" t="s">
        <v>25</v>
      </c>
      <c r="B2957" s="689">
        <v>37.1</v>
      </c>
      <c r="C2957" s="689">
        <v>37.4</v>
      </c>
      <c r="D2957" s="689">
        <v>37.1</v>
      </c>
      <c r="E2957" s="689">
        <v>37.700000000000003</v>
      </c>
      <c r="F2957" s="689">
        <v>37.6</v>
      </c>
      <c r="G2957" s="689">
        <v>37.700000000000003</v>
      </c>
      <c r="H2957" s="689">
        <v>38.200000000000003</v>
      </c>
      <c r="I2957" s="689">
        <v>37.4</v>
      </c>
      <c r="J2957" s="689">
        <v>35.1</v>
      </c>
      <c r="K2957" s="689">
        <v>37.5</v>
      </c>
    </row>
    <row r="2958" spans="1:11">
      <c r="A2958" s="688" t="s">
        <v>5</v>
      </c>
      <c r="B2958" s="691">
        <v>41.2</v>
      </c>
      <c r="C2958" s="691">
        <v>41.2</v>
      </c>
      <c r="D2958" s="691">
        <v>41.4</v>
      </c>
      <c r="E2958" s="691">
        <v>41.4</v>
      </c>
      <c r="F2958" s="691">
        <v>41.6</v>
      </c>
      <c r="G2958" s="691">
        <v>41.7</v>
      </c>
      <c r="H2958" s="691">
        <v>42.1</v>
      </c>
      <c r="I2958" s="691">
        <v>41.9</v>
      </c>
      <c r="J2958" s="691">
        <v>41.9</v>
      </c>
      <c r="K2958" s="691">
        <v>41.3</v>
      </c>
    </row>
    <row r="2959" spans="1:11">
      <c r="A2959" s="688" t="s">
        <v>23</v>
      </c>
      <c r="B2959" s="693">
        <v>42</v>
      </c>
      <c r="C2959" s="689">
        <v>42.2</v>
      </c>
      <c r="D2959" s="689">
        <v>42.2</v>
      </c>
      <c r="E2959" s="689">
        <v>42.3</v>
      </c>
      <c r="F2959" s="689">
        <v>42.4</v>
      </c>
      <c r="G2959" s="689">
        <v>42.5</v>
      </c>
      <c r="H2959" s="693">
        <v>43</v>
      </c>
      <c r="I2959" s="689">
        <v>42.3</v>
      </c>
      <c r="J2959" s="689">
        <v>42.9</v>
      </c>
      <c r="K2959" s="689">
        <v>42.9</v>
      </c>
    </row>
    <row r="2960" spans="1:11">
      <c r="A2960" s="688" t="s">
        <v>4067</v>
      </c>
      <c r="B2960" s="691">
        <v>40.700000000000003</v>
      </c>
      <c r="C2960" s="615">
        <v>41</v>
      </c>
      <c r="D2960" s="691">
        <v>40.700000000000003</v>
      </c>
      <c r="E2960" s="691">
        <v>41.1</v>
      </c>
      <c r="F2960" s="615">
        <v>41</v>
      </c>
      <c r="G2960" s="691">
        <v>41.1</v>
      </c>
      <c r="H2960" s="692" t="s">
        <v>4060</v>
      </c>
      <c r="I2960" s="692" t="s">
        <v>4060</v>
      </c>
      <c r="J2960" s="692" t="s">
        <v>4060</v>
      </c>
      <c r="K2960" s="692" t="s">
        <v>4060</v>
      </c>
    </row>
    <row r="2961" spans="1:11">
      <c r="A2961" s="688" t="s">
        <v>4066</v>
      </c>
      <c r="B2961" s="689">
        <v>40.700000000000003</v>
      </c>
      <c r="C2961" s="689">
        <v>41.1</v>
      </c>
      <c r="D2961" s="689">
        <v>40.799999999999997</v>
      </c>
      <c r="E2961" s="689">
        <v>41.1</v>
      </c>
      <c r="F2961" s="689">
        <v>41.1</v>
      </c>
      <c r="G2961" s="689">
        <v>41.2</v>
      </c>
      <c r="H2961" s="690" t="s">
        <v>4060</v>
      </c>
      <c r="I2961" s="690" t="s">
        <v>4060</v>
      </c>
      <c r="J2961" s="690" t="s">
        <v>4060</v>
      </c>
      <c r="K2961" s="690" t="s">
        <v>4060</v>
      </c>
    </row>
    <row r="2962" spans="1:11">
      <c r="A2962" s="688" t="s">
        <v>4062</v>
      </c>
      <c r="B2962" s="691">
        <v>42.5</v>
      </c>
      <c r="C2962" s="691">
        <v>42.7</v>
      </c>
      <c r="D2962" s="691">
        <v>42.6</v>
      </c>
      <c r="E2962" s="691">
        <v>42.9</v>
      </c>
      <c r="F2962" s="615">
        <v>43</v>
      </c>
      <c r="G2962" s="691">
        <v>43.2</v>
      </c>
      <c r="H2962" s="691">
        <v>43.3</v>
      </c>
      <c r="I2962" s="615">
        <v>43</v>
      </c>
      <c r="J2962" s="691">
        <v>43.3</v>
      </c>
      <c r="K2962" s="615">
        <v>43</v>
      </c>
    </row>
    <row r="2963" spans="1:11">
      <c r="A2963" s="688" t="s">
        <v>9</v>
      </c>
      <c r="B2963" s="689">
        <v>42.1</v>
      </c>
      <c r="C2963" s="689">
        <v>42.5</v>
      </c>
      <c r="D2963" s="689">
        <v>42.3</v>
      </c>
      <c r="E2963" s="693">
        <v>42</v>
      </c>
      <c r="F2963" s="689">
        <v>42.5</v>
      </c>
      <c r="G2963" s="689">
        <v>42.7</v>
      </c>
      <c r="H2963" s="689">
        <v>42.8</v>
      </c>
      <c r="I2963" s="689">
        <v>42.9</v>
      </c>
      <c r="J2963" s="689">
        <v>43.2</v>
      </c>
      <c r="K2963" s="689">
        <v>42.1</v>
      </c>
    </row>
    <row r="2964" spans="1:11">
      <c r="A2964" s="688" t="s">
        <v>13</v>
      </c>
      <c r="B2964" s="691">
        <v>42.4</v>
      </c>
      <c r="C2964" s="691">
        <v>41.9</v>
      </c>
      <c r="D2964" s="691">
        <v>42.5</v>
      </c>
      <c r="E2964" s="691">
        <v>42.2</v>
      </c>
      <c r="F2964" s="615">
        <v>43</v>
      </c>
      <c r="G2964" s="691">
        <v>42.8</v>
      </c>
      <c r="H2964" s="691">
        <v>43.4</v>
      </c>
      <c r="I2964" s="691">
        <v>42.4</v>
      </c>
      <c r="J2964" s="691">
        <v>43.5</v>
      </c>
      <c r="K2964" s="691">
        <v>43.7</v>
      </c>
    </row>
    <row r="2965" spans="1:11">
      <c r="A2965" s="688" t="s">
        <v>18</v>
      </c>
      <c r="B2965" s="689">
        <v>41.8</v>
      </c>
      <c r="C2965" s="693">
        <v>42</v>
      </c>
      <c r="D2965" s="689">
        <v>42.2</v>
      </c>
      <c r="E2965" s="689">
        <v>42.3</v>
      </c>
      <c r="F2965" s="689">
        <v>42.5</v>
      </c>
      <c r="G2965" s="689">
        <v>42.6</v>
      </c>
      <c r="H2965" s="689">
        <v>42.9</v>
      </c>
      <c r="I2965" s="689">
        <v>43.1</v>
      </c>
      <c r="J2965" s="693">
        <v>43</v>
      </c>
      <c r="K2965" s="689">
        <v>42.5</v>
      </c>
    </row>
    <row r="2966" spans="1:11">
      <c r="A2966" s="688" t="s">
        <v>24</v>
      </c>
      <c r="B2966" s="691">
        <v>42.9</v>
      </c>
      <c r="C2966" s="615">
        <v>43</v>
      </c>
      <c r="D2966" s="691">
        <v>42.8</v>
      </c>
      <c r="E2966" s="691">
        <v>43.3</v>
      </c>
      <c r="F2966" s="691">
        <v>43.3</v>
      </c>
      <c r="G2966" s="691">
        <v>43.5</v>
      </c>
      <c r="H2966" s="691">
        <v>43.6</v>
      </c>
      <c r="I2966" s="615">
        <v>43</v>
      </c>
      <c r="J2966" s="691">
        <v>43.5</v>
      </c>
      <c r="K2966" s="691">
        <v>43.4</v>
      </c>
    </row>
    <row r="2967" spans="1:11">
      <c r="A2967" s="688" t="s">
        <v>4059</v>
      </c>
      <c r="B2967" s="689">
        <v>41.2</v>
      </c>
      <c r="C2967" s="689">
        <v>41.5</v>
      </c>
      <c r="D2967" s="689">
        <v>41.2</v>
      </c>
      <c r="E2967" s="689">
        <v>41.4</v>
      </c>
      <c r="F2967" s="689">
        <v>41.4</v>
      </c>
      <c r="G2967" s="689">
        <v>41.4</v>
      </c>
      <c r="H2967" s="690" t="s">
        <v>4060</v>
      </c>
      <c r="I2967" s="690" t="s">
        <v>4060</v>
      </c>
      <c r="J2967" s="690" t="s">
        <v>4060</v>
      </c>
      <c r="K2967" s="690" t="s">
        <v>4060</v>
      </c>
    </row>
    <row r="2968" spans="1:11">
      <c r="A2968" s="688" t="s">
        <v>2324</v>
      </c>
      <c r="B2968" s="691">
        <v>36.799999999999997</v>
      </c>
      <c r="C2968" s="691">
        <v>36.9</v>
      </c>
      <c r="D2968" s="691">
        <v>36.5</v>
      </c>
      <c r="E2968" s="691">
        <v>36.6</v>
      </c>
      <c r="F2968" s="691">
        <v>36.799999999999997</v>
      </c>
      <c r="G2968" s="691">
        <v>36.9</v>
      </c>
      <c r="H2968" s="691">
        <v>36.9</v>
      </c>
      <c r="I2968" s="691">
        <v>36.1</v>
      </c>
      <c r="J2968" s="691">
        <v>33.9</v>
      </c>
      <c r="K2968" s="692" t="s">
        <v>4060</v>
      </c>
    </row>
    <row r="2969" spans="1:11">
      <c r="A2969" s="688" t="s">
        <v>2322</v>
      </c>
      <c r="B2969" s="690" t="s">
        <v>4060</v>
      </c>
      <c r="C2969" s="690" t="s">
        <v>4060</v>
      </c>
      <c r="D2969" s="690" t="s">
        <v>4060</v>
      </c>
      <c r="E2969" s="690" t="s">
        <v>4060</v>
      </c>
      <c r="F2969" s="690" t="s">
        <v>4060</v>
      </c>
      <c r="G2969" s="690" t="s">
        <v>4060</v>
      </c>
      <c r="H2969" s="690" t="s">
        <v>4060</v>
      </c>
      <c r="I2969" s="690" t="s">
        <v>4060</v>
      </c>
      <c r="J2969" s="690" t="s">
        <v>4060</v>
      </c>
      <c r="K2969" s="690" t="s">
        <v>4060</v>
      </c>
    </row>
    <row r="2970" spans="1:11">
      <c r="A2970" s="688" t="s">
        <v>2328</v>
      </c>
      <c r="B2970" s="691">
        <v>36.1</v>
      </c>
      <c r="C2970" s="615">
        <v>36</v>
      </c>
      <c r="D2970" s="615">
        <v>36</v>
      </c>
      <c r="E2970" s="691">
        <v>36.200000000000003</v>
      </c>
      <c r="F2970" s="691">
        <v>36.5</v>
      </c>
      <c r="G2970" s="691">
        <v>36.9</v>
      </c>
      <c r="H2970" s="691">
        <v>36.799999999999997</v>
      </c>
      <c r="I2970" s="691">
        <v>34.6</v>
      </c>
      <c r="J2970" s="691">
        <v>33.5</v>
      </c>
      <c r="K2970" s="692" t="s">
        <v>4060</v>
      </c>
    </row>
    <row r="2971" spans="1:11">
      <c r="A2971" s="688" t="s">
        <v>2496</v>
      </c>
      <c r="B2971" s="690" t="s">
        <v>4060</v>
      </c>
      <c r="C2971" s="689">
        <v>35.4</v>
      </c>
      <c r="D2971" s="689">
        <v>34.4</v>
      </c>
      <c r="E2971" s="689">
        <v>34.1</v>
      </c>
      <c r="F2971" s="689">
        <v>34.799999999999997</v>
      </c>
      <c r="G2971" s="689">
        <v>35.1</v>
      </c>
      <c r="H2971" s="689">
        <v>35.1</v>
      </c>
      <c r="I2971" s="690" t="s">
        <v>4060</v>
      </c>
      <c r="J2971" s="690" t="s">
        <v>4060</v>
      </c>
      <c r="K2971" s="689">
        <v>34.700000000000003</v>
      </c>
    </row>
    <row r="2972" spans="1:11">
      <c r="A2972" s="688" t="s">
        <v>2269</v>
      </c>
      <c r="B2972" s="691">
        <v>38.9</v>
      </c>
      <c r="C2972" s="691">
        <v>39.1</v>
      </c>
      <c r="D2972" s="691">
        <v>38.6</v>
      </c>
      <c r="E2972" s="691">
        <v>39.200000000000003</v>
      </c>
      <c r="F2972" s="691">
        <v>39.1</v>
      </c>
      <c r="G2972" s="691">
        <v>39.6</v>
      </c>
      <c r="H2972" s="691">
        <v>39.799999999999997</v>
      </c>
      <c r="I2972" s="691">
        <v>37.9</v>
      </c>
      <c r="J2972" s="615">
        <v>36</v>
      </c>
      <c r="K2972" s="691">
        <v>39.4</v>
      </c>
    </row>
    <row r="2973" spans="1:11">
      <c r="A2973" s="688" t="s">
        <v>2349</v>
      </c>
      <c r="B2973" s="689">
        <v>35.700000000000003</v>
      </c>
      <c r="C2973" s="689">
        <v>35.799999999999997</v>
      </c>
      <c r="D2973" s="689">
        <v>35.700000000000003</v>
      </c>
      <c r="E2973" s="689">
        <v>36.1</v>
      </c>
      <c r="F2973" s="689">
        <v>35.9</v>
      </c>
      <c r="G2973" s="689">
        <v>36.200000000000003</v>
      </c>
      <c r="H2973" s="689">
        <v>36.299999999999997</v>
      </c>
      <c r="I2973" s="689">
        <v>34.799999999999997</v>
      </c>
      <c r="J2973" s="689">
        <v>33.200000000000003</v>
      </c>
      <c r="K2973" s="689">
        <v>35.5</v>
      </c>
    </row>
    <row r="2974" spans="1:11">
      <c r="A2974" s="688" t="s">
        <v>2355</v>
      </c>
      <c r="B2974" s="691">
        <v>39.299999999999997</v>
      </c>
      <c r="C2974" s="691">
        <v>39.200000000000003</v>
      </c>
      <c r="D2974" s="691">
        <v>39.1</v>
      </c>
      <c r="E2974" s="691">
        <v>39.1</v>
      </c>
      <c r="F2974" s="691">
        <v>39.299999999999997</v>
      </c>
      <c r="G2974" s="691">
        <v>39.700000000000003</v>
      </c>
      <c r="H2974" s="691">
        <v>39.799999999999997</v>
      </c>
      <c r="I2974" s="692" t="s">
        <v>4060</v>
      </c>
      <c r="J2974" s="692" t="s">
        <v>4060</v>
      </c>
      <c r="K2974" s="692" t="s">
        <v>4060</v>
      </c>
    </row>
    <row r="2975" spans="1:11">
      <c r="A2975" s="688" t="s">
        <v>2357</v>
      </c>
      <c r="B2975" s="690" t="s">
        <v>4060</v>
      </c>
      <c r="C2975" s="689">
        <v>33.799999999999997</v>
      </c>
      <c r="D2975" s="689">
        <v>34.299999999999997</v>
      </c>
      <c r="E2975" s="689">
        <v>34.5</v>
      </c>
      <c r="F2975" s="689">
        <v>34.799999999999997</v>
      </c>
      <c r="G2975" s="689">
        <v>34.6</v>
      </c>
      <c r="H2975" s="689">
        <v>34.9</v>
      </c>
      <c r="I2975" s="690" t="s">
        <v>4060</v>
      </c>
      <c r="J2975" s="690" t="s">
        <v>4060</v>
      </c>
      <c r="K2975" s="690" t="s">
        <v>4060</v>
      </c>
    </row>
    <row r="2976" spans="1:11">
      <c r="A2976" s="688" t="s">
        <v>4070</v>
      </c>
      <c r="B2976" s="692" t="s">
        <v>4060</v>
      </c>
      <c r="C2976" s="692" t="s">
        <v>4060</v>
      </c>
      <c r="D2976" s="692" t="s">
        <v>4060</v>
      </c>
      <c r="E2976" s="691">
        <v>38.799999999999997</v>
      </c>
      <c r="F2976" s="692" t="s">
        <v>4060</v>
      </c>
      <c r="G2976" s="692" t="s">
        <v>4060</v>
      </c>
      <c r="H2976" s="692" t="s">
        <v>4060</v>
      </c>
      <c r="I2976" s="692" t="s">
        <v>4060</v>
      </c>
      <c r="J2976" s="692" t="s">
        <v>4060</v>
      </c>
      <c r="K2976" s="692" t="s">
        <v>4060</v>
      </c>
    </row>
    <row r="2977" spans="1:11">
      <c r="A2977" s="688" t="s">
        <v>2491</v>
      </c>
      <c r="B2977" s="693">
        <v>34</v>
      </c>
      <c r="C2977" s="689">
        <v>34.5</v>
      </c>
      <c r="D2977" s="689">
        <v>34.799999999999997</v>
      </c>
      <c r="E2977" s="693">
        <v>35</v>
      </c>
      <c r="F2977" s="689">
        <v>35.1</v>
      </c>
      <c r="G2977" s="689">
        <v>35.1</v>
      </c>
      <c r="H2977" s="690" t="s">
        <v>4060</v>
      </c>
      <c r="I2977" s="690" t="s">
        <v>4060</v>
      </c>
      <c r="J2977" s="690" t="s">
        <v>4060</v>
      </c>
      <c r="K2977" s="690" t="s">
        <v>4060</v>
      </c>
    </row>
    <row r="2978" spans="1:11">
      <c r="A2978" s="688" t="s">
        <v>2343</v>
      </c>
      <c r="B2978" s="692" t="s">
        <v>4060</v>
      </c>
      <c r="C2978" s="692" t="s">
        <v>4060</v>
      </c>
      <c r="D2978" s="692" t="s">
        <v>4060</v>
      </c>
      <c r="E2978" s="692" t="s">
        <v>4060</v>
      </c>
      <c r="F2978" s="692" t="s">
        <v>4060</v>
      </c>
      <c r="G2978" s="692" t="s">
        <v>4060</v>
      </c>
      <c r="H2978" s="692" t="s">
        <v>4060</v>
      </c>
      <c r="I2978" s="692" t="s">
        <v>4060</v>
      </c>
      <c r="J2978" s="692" t="s">
        <v>4060</v>
      </c>
      <c r="K2978" s="692" t="s">
        <v>4060</v>
      </c>
    </row>
    <row r="2979" spans="1:11">
      <c r="A2979" s="688" t="s">
        <v>4071</v>
      </c>
      <c r="B2979" s="690" t="s">
        <v>4060</v>
      </c>
      <c r="C2979" s="690" t="s">
        <v>4060</v>
      </c>
      <c r="D2979" s="690" t="s">
        <v>4060</v>
      </c>
      <c r="E2979" s="690" t="s">
        <v>4060</v>
      </c>
      <c r="F2979" s="690" t="s">
        <v>4060</v>
      </c>
      <c r="G2979" s="690" t="s">
        <v>4060</v>
      </c>
      <c r="H2979" s="690" t="s">
        <v>4060</v>
      </c>
      <c r="I2979" s="690" t="s">
        <v>4060</v>
      </c>
      <c r="J2979" s="690" t="s">
        <v>4060</v>
      </c>
      <c r="K2979" s="690" t="s">
        <v>4060</v>
      </c>
    </row>
    <row r="2980" spans="1:11">
      <c r="A2980" s="688" t="s">
        <v>2489</v>
      </c>
      <c r="B2980" s="692" t="s">
        <v>4060</v>
      </c>
      <c r="C2980" s="692" t="s">
        <v>4060</v>
      </c>
      <c r="D2980" s="691">
        <v>35.9</v>
      </c>
      <c r="E2980" s="615">
        <v>36</v>
      </c>
      <c r="F2980" s="691">
        <v>36.5</v>
      </c>
      <c r="G2980" s="691">
        <v>37.299999999999997</v>
      </c>
      <c r="H2980" s="691">
        <v>37.1</v>
      </c>
      <c r="I2980" s="692" t="s">
        <v>4060</v>
      </c>
      <c r="J2980" s="692" t="s">
        <v>4060</v>
      </c>
      <c r="K2980" s="692" t="s">
        <v>4060</v>
      </c>
    </row>
    <row r="2981" spans="1:11">
      <c r="A2981" s="688" t="s">
        <v>2490</v>
      </c>
      <c r="B2981" s="689">
        <v>35.9</v>
      </c>
      <c r="C2981" s="689">
        <v>35.9</v>
      </c>
      <c r="D2981" s="689">
        <v>36.5</v>
      </c>
      <c r="E2981" s="690" t="s">
        <v>4060</v>
      </c>
      <c r="F2981" s="689">
        <v>36.700000000000003</v>
      </c>
      <c r="G2981" s="693">
        <v>37</v>
      </c>
      <c r="H2981" s="689">
        <v>37.799999999999997</v>
      </c>
      <c r="I2981" s="690" t="s">
        <v>4060</v>
      </c>
      <c r="J2981" s="690" t="s">
        <v>4060</v>
      </c>
      <c r="K2981" s="690" t="s">
        <v>4060</v>
      </c>
    </row>
    <row r="2983" spans="1:11">
      <c r="A2983" s="683" t="s">
        <v>4233</v>
      </c>
    </row>
    <row r="2984" spans="1:11">
      <c r="A2984" s="683" t="s">
        <v>4060</v>
      </c>
      <c r="B2984" s="682" t="s">
        <v>4234</v>
      </c>
    </row>
    <row r="2986" spans="1:11">
      <c r="A2986" s="682" t="s">
        <v>4248</v>
      </c>
    </row>
    <row r="2987" spans="1:11">
      <c r="A2987" s="682" t="s">
        <v>4210</v>
      </c>
      <c r="B2987" s="683" t="s">
        <v>4211</v>
      </c>
    </row>
    <row r="2988" spans="1:11">
      <c r="A2988" s="682" t="s">
        <v>4212</v>
      </c>
      <c r="B2988" s="682" t="s">
        <v>4213</v>
      </c>
    </row>
    <row r="2990" spans="1:11">
      <c r="A2990" s="683" t="s">
        <v>4214</v>
      </c>
      <c r="C2990" s="682" t="s">
        <v>4215</v>
      </c>
    </row>
    <row r="2991" spans="1:11">
      <c r="A2991" s="683" t="s">
        <v>4216</v>
      </c>
      <c r="C2991" s="682" t="s">
        <v>2967</v>
      </c>
    </row>
    <row r="2992" spans="1:11">
      <c r="A2992" s="683" t="s">
        <v>3893</v>
      </c>
      <c r="C2992" s="682" t="s">
        <v>4217</v>
      </c>
    </row>
    <row r="2993" spans="1:11">
      <c r="A2993" s="683" t="s">
        <v>4218</v>
      </c>
      <c r="C2993" s="682" t="s">
        <v>4277</v>
      </c>
    </row>
    <row r="2995" spans="1:11">
      <c r="A2995" s="684" t="s">
        <v>4220</v>
      </c>
      <c r="B2995" s="685" t="s">
        <v>4221</v>
      </c>
      <c r="C2995" s="685" t="s">
        <v>4222</v>
      </c>
      <c r="D2995" s="685" t="s">
        <v>4223</v>
      </c>
      <c r="E2995" s="685" t="s">
        <v>4224</v>
      </c>
      <c r="F2995" s="685" t="s">
        <v>4225</v>
      </c>
      <c r="G2995" s="685" t="s">
        <v>4226</v>
      </c>
      <c r="H2995" s="685" t="s">
        <v>4227</v>
      </c>
      <c r="I2995" s="685" t="s">
        <v>4228</v>
      </c>
      <c r="J2995" s="685" t="s">
        <v>4229</v>
      </c>
      <c r="K2995" s="685" t="s">
        <v>4230</v>
      </c>
    </row>
    <row r="2996" spans="1:11">
      <c r="A2996" s="686" t="s">
        <v>4231</v>
      </c>
      <c r="B2996" s="687" t="s">
        <v>4232</v>
      </c>
      <c r="C2996" s="687" t="s">
        <v>4232</v>
      </c>
      <c r="D2996" s="687" t="s">
        <v>4232</v>
      </c>
      <c r="E2996" s="687" t="s">
        <v>4232</v>
      </c>
      <c r="F2996" s="687" t="s">
        <v>4232</v>
      </c>
      <c r="G2996" s="687" t="s">
        <v>4232</v>
      </c>
      <c r="H2996" s="687" t="s">
        <v>4232</v>
      </c>
      <c r="I2996" s="687" t="s">
        <v>4232</v>
      </c>
      <c r="J2996" s="687" t="s">
        <v>4232</v>
      </c>
      <c r="K2996" s="687" t="s">
        <v>4232</v>
      </c>
    </row>
    <row r="2997" spans="1:11">
      <c r="A2997" s="688" t="s">
        <v>4064</v>
      </c>
      <c r="B2997" s="689">
        <v>39.700000000000003</v>
      </c>
      <c r="C2997" s="689">
        <v>39.700000000000003</v>
      </c>
      <c r="D2997" s="689">
        <v>39.700000000000003</v>
      </c>
      <c r="E2997" s="689">
        <v>39.799999999999997</v>
      </c>
      <c r="F2997" s="689">
        <v>39.799999999999997</v>
      </c>
      <c r="G2997" s="689">
        <v>39.9</v>
      </c>
      <c r="H2997" s="689">
        <v>40.200000000000003</v>
      </c>
      <c r="I2997" s="689">
        <v>39.4</v>
      </c>
      <c r="J2997" s="689">
        <v>39.1</v>
      </c>
      <c r="K2997" s="689">
        <v>39.700000000000003</v>
      </c>
    </row>
    <row r="2998" spans="1:11">
      <c r="A2998" s="688" t="s">
        <v>4065</v>
      </c>
      <c r="B2998" s="691">
        <v>39.700000000000003</v>
      </c>
      <c r="C2998" s="691">
        <v>40.1</v>
      </c>
      <c r="D2998" s="691">
        <v>39.799999999999997</v>
      </c>
      <c r="E2998" s="691">
        <v>40.1</v>
      </c>
      <c r="F2998" s="691">
        <v>40.1</v>
      </c>
      <c r="G2998" s="691">
        <v>40.200000000000003</v>
      </c>
      <c r="H2998" s="692" t="s">
        <v>4060</v>
      </c>
      <c r="I2998" s="692" t="s">
        <v>4060</v>
      </c>
      <c r="J2998" s="692" t="s">
        <v>4060</v>
      </c>
      <c r="K2998" s="692" t="s">
        <v>4060</v>
      </c>
    </row>
    <row r="2999" spans="1:11">
      <c r="A2999" s="688" t="s">
        <v>4063</v>
      </c>
      <c r="B2999" s="689">
        <v>39.799999999999997</v>
      </c>
      <c r="C2999" s="689">
        <v>40.1</v>
      </c>
      <c r="D2999" s="689">
        <v>39.799999999999997</v>
      </c>
      <c r="E2999" s="689">
        <v>40.1</v>
      </c>
      <c r="F2999" s="689">
        <v>40.1</v>
      </c>
      <c r="G2999" s="689">
        <v>40.200000000000003</v>
      </c>
      <c r="H2999" s="690" t="s">
        <v>4060</v>
      </c>
      <c r="I2999" s="690" t="s">
        <v>4060</v>
      </c>
      <c r="J2999" s="690" t="s">
        <v>4060</v>
      </c>
      <c r="K2999" s="690" t="s">
        <v>4060</v>
      </c>
    </row>
    <row r="3000" spans="1:11">
      <c r="A3000" s="688" t="s">
        <v>4069</v>
      </c>
      <c r="B3000" s="692" t="s">
        <v>4060</v>
      </c>
      <c r="C3000" s="691">
        <v>40.700000000000003</v>
      </c>
      <c r="D3000" s="691">
        <v>40.4</v>
      </c>
      <c r="E3000" s="691">
        <v>40.700000000000003</v>
      </c>
      <c r="F3000" s="691">
        <v>40.799999999999997</v>
      </c>
      <c r="G3000" s="691">
        <v>40.9</v>
      </c>
      <c r="H3000" s="691">
        <v>41.1</v>
      </c>
      <c r="I3000" s="691">
        <v>40.4</v>
      </c>
      <c r="J3000" s="691">
        <v>40.4</v>
      </c>
      <c r="K3000" s="691">
        <v>40.6</v>
      </c>
    </row>
    <row r="3001" spans="1:11">
      <c r="A3001" s="688" t="s">
        <v>4068</v>
      </c>
      <c r="B3001" s="689">
        <v>40.700000000000003</v>
      </c>
      <c r="C3001" s="690" t="s">
        <v>4060</v>
      </c>
      <c r="D3001" s="690" t="s">
        <v>4060</v>
      </c>
      <c r="E3001" s="690" t="s">
        <v>4060</v>
      </c>
      <c r="F3001" s="690" t="s">
        <v>4060</v>
      </c>
      <c r="G3001" s="690" t="s">
        <v>4060</v>
      </c>
      <c r="H3001" s="690" t="s">
        <v>4060</v>
      </c>
      <c r="I3001" s="690" t="s">
        <v>4060</v>
      </c>
      <c r="J3001" s="690" t="s">
        <v>4060</v>
      </c>
      <c r="K3001" s="690" t="s">
        <v>4060</v>
      </c>
    </row>
    <row r="3002" spans="1:11">
      <c r="A3002" s="688" t="s">
        <v>0</v>
      </c>
      <c r="B3002" s="691">
        <v>39.9</v>
      </c>
      <c r="C3002" s="691">
        <v>40.200000000000003</v>
      </c>
      <c r="D3002" s="615">
        <v>40</v>
      </c>
      <c r="E3002" s="691">
        <v>40.4</v>
      </c>
      <c r="F3002" s="691">
        <v>40.5</v>
      </c>
      <c r="G3002" s="691">
        <v>40.6</v>
      </c>
      <c r="H3002" s="691">
        <v>40.9</v>
      </c>
      <c r="I3002" s="691">
        <v>39.799999999999997</v>
      </c>
      <c r="J3002" s="691">
        <v>40.700000000000003</v>
      </c>
      <c r="K3002" s="691">
        <v>40.700000000000003</v>
      </c>
    </row>
    <row r="3003" spans="1:11">
      <c r="A3003" s="688" t="s">
        <v>1</v>
      </c>
      <c r="B3003" s="689">
        <v>34.799999999999997</v>
      </c>
      <c r="C3003" s="689">
        <v>34.4</v>
      </c>
      <c r="D3003" s="689">
        <v>34.4</v>
      </c>
      <c r="E3003" s="689">
        <v>34.6</v>
      </c>
      <c r="F3003" s="689">
        <v>34.5</v>
      </c>
      <c r="G3003" s="689">
        <v>34.6</v>
      </c>
      <c r="H3003" s="689">
        <v>34.700000000000003</v>
      </c>
      <c r="I3003" s="689">
        <v>33.1</v>
      </c>
      <c r="J3003" s="689">
        <v>31.3</v>
      </c>
      <c r="K3003" s="689">
        <v>33.9</v>
      </c>
    </row>
    <row r="3004" spans="1:11">
      <c r="A3004" s="688" t="s">
        <v>2240</v>
      </c>
      <c r="B3004" s="691">
        <v>37.4</v>
      </c>
      <c r="C3004" s="691">
        <v>37.799999999999997</v>
      </c>
      <c r="D3004" s="691">
        <v>37.700000000000003</v>
      </c>
      <c r="E3004" s="691">
        <v>38.1</v>
      </c>
      <c r="F3004" s="691">
        <v>38.1</v>
      </c>
      <c r="G3004" s="691">
        <v>38.1</v>
      </c>
      <c r="H3004" s="691">
        <v>38.4</v>
      </c>
      <c r="I3004" s="691">
        <v>37.299999999999997</v>
      </c>
      <c r="J3004" s="691">
        <v>36.299999999999997</v>
      </c>
      <c r="K3004" s="691">
        <v>38.1</v>
      </c>
    </row>
    <row r="3005" spans="1:11">
      <c r="A3005" s="688" t="s">
        <v>2</v>
      </c>
      <c r="B3005" s="689">
        <v>39.299999999999997</v>
      </c>
      <c r="C3005" s="689">
        <v>39.6</v>
      </c>
      <c r="D3005" s="689">
        <v>39.700000000000003</v>
      </c>
      <c r="E3005" s="689">
        <v>39.799999999999997</v>
      </c>
      <c r="F3005" s="689">
        <v>40.1</v>
      </c>
      <c r="G3005" s="689">
        <v>39.9</v>
      </c>
      <c r="H3005" s="689">
        <v>40.299999999999997</v>
      </c>
      <c r="I3005" s="689">
        <v>40.5</v>
      </c>
      <c r="J3005" s="689">
        <v>40.299999999999997</v>
      </c>
      <c r="K3005" s="689">
        <v>40.200000000000003</v>
      </c>
    </row>
    <row r="3006" spans="1:11">
      <c r="A3006" s="688" t="s">
        <v>3</v>
      </c>
      <c r="B3006" s="691">
        <v>39.700000000000003</v>
      </c>
      <c r="C3006" s="691">
        <v>39.9</v>
      </c>
      <c r="D3006" s="691">
        <v>39.6</v>
      </c>
      <c r="E3006" s="691">
        <v>39.9</v>
      </c>
      <c r="F3006" s="691">
        <v>39.9</v>
      </c>
      <c r="G3006" s="691">
        <v>39.9</v>
      </c>
      <c r="H3006" s="691">
        <v>40.200000000000003</v>
      </c>
      <c r="I3006" s="615">
        <v>40</v>
      </c>
      <c r="J3006" s="691">
        <v>39.700000000000003</v>
      </c>
      <c r="K3006" s="691">
        <v>39.5</v>
      </c>
    </row>
    <row r="3007" spans="1:11">
      <c r="A3007" s="688" t="s">
        <v>4061</v>
      </c>
      <c r="B3007" s="689">
        <v>39.700000000000003</v>
      </c>
      <c r="C3007" s="689">
        <v>39.9</v>
      </c>
      <c r="D3007" s="689">
        <v>39.6</v>
      </c>
      <c r="E3007" s="689">
        <v>39.9</v>
      </c>
      <c r="F3007" s="689">
        <v>39.9</v>
      </c>
      <c r="G3007" s="689">
        <v>39.9</v>
      </c>
      <c r="H3007" s="689">
        <v>40.200000000000003</v>
      </c>
      <c r="I3007" s="693">
        <v>40</v>
      </c>
      <c r="J3007" s="689">
        <v>39.700000000000003</v>
      </c>
      <c r="K3007" s="689">
        <v>39.5</v>
      </c>
    </row>
    <row r="3008" spans="1:11">
      <c r="A3008" s="688" t="s">
        <v>4</v>
      </c>
      <c r="B3008" s="691">
        <v>37.200000000000003</v>
      </c>
      <c r="C3008" s="615">
        <v>37</v>
      </c>
      <c r="D3008" s="691">
        <v>37.4</v>
      </c>
      <c r="E3008" s="691">
        <v>37.5</v>
      </c>
      <c r="F3008" s="691">
        <v>37.700000000000003</v>
      </c>
      <c r="G3008" s="691">
        <v>37.700000000000003</v>
      </c>
      <c r="H3008" s="691">
        <v>38.1</v>
      </c>
      <c r="I3008" s="691">
        <v>37.9</v>
      </c>
      <c r="J3008" s="691">
        <v>36.6</v>
      </c>
      <c r="K3008" s="691">
        <v>37.5</v>
      </c>
    </row>
    <row r="3009" spans="1:11">
      <c r="A3009" s="688" t="s">
        <v>8</v>
      </c>
      <c r="B3009" s="689">
        <v>40.200000000000003</v>
      </c>
      <c r="C3009" s="689">
        <v>40.4</v>
      </c>
      <c r="D3009" s="689">
        <v>40.5</v>
      </c>
      <c r="E3009" s="689">
        <v>40.6</v>
      </c>
      <c r="F3009" s="693">
        <v>41</v>
      </c>
      <c r="G3009" s="693">
        <v>41</v>
      </c>
      <c r="H3009" s="689">
        <v>41.3</v>
      </c>
      <c r="I3009" s="689">
        <v>41.3</v>
      </c>
      <c r="J3009" s="693">
        <v>41</v>
      </c>
      <c r="K3009" s="689">
        <v>41.3</v>
      </c>
    </row>
    <row r="3010" spans="1:11">
      <c r="A3010" s="688" t="s">
        <v>7</v>
      </c>
      <c r="B3010" s="691">
        <v>40.5</v>
      </c>
      <c r="C3010" s="691">
        <v>40.1</v>
      </c>
      <c r="D3010" s="691">
        <v>39.9</v>
      </c>
      <c r="E3010" s="691">
        <v>40.200000000000003</v>
      </c>
      <c r="F3010" s="691">
        <v>40.1</v>
      </c>
      <c r="G3010" s="691">
        <v>40.6</v>
      </c>
      <c r="H3010" s="691">
        <v>40.5</v>
      </c>
      <c r="I3010" s="691">
        <v>40.200000000000003</v>
      </c>
      <c r="J3010" s="691">
        <v>39.200000000000003</v>
      </c>
      <c r="K3010" s="691">
        <v>39.9</v>
      </c>
    </row>
    <row r="3011" spans="1:11">
      <c r="A3011" s="688" t="s">
        <v>27</v>
      </c>
      <c r="B3011" s="693">
        <v>42</v>
      </c>
      <c r="C3011" s="689">
        <v>41.7</v>
      </c>
      <c r="D3011" s="689">
        <v>41.5</v>
      </c>
      <c r="E3011" s="689">
        <v>41.9</v>
      </c>
      <c r="F3011" s="689">
        <v>41.9</v>
      </c>
      <c r="G3011" s="693">
        <v>42</v>
      </c>
      <c r="H3011" s="689">
        <v>42.3</v>
      </c>
      <c r="I3011" s="689">
        <v>41.1</v>
      </c>
      <c r="J3011" s="689">
        <v>41.8</v>
      </c>
      <c r="K3011" s="689">
        <v>41.9</v>
      </c>
    </row>
    <row r="3012" spans="1:11">
      <c r="A3012" s="688" t="s">
        <v>6</v>
      </c>
      <c r="B3012" s="691">
        <v>41.6</v>
      </c>
      <c r="C3012" s="691">
        <v>41.6</v>
      </c>
      <c r="D3012" s="691">
        <v>41.4</v>
      </c>
      <c r="E3012" s="691">
        <v>41.6</v>
      </c>
      <c r="F3012" s="691">
        <v>41.7</v>
      </c>
      <c r="G3012" s="691">
        <v>41.8</v>
      </c>
      <c r="H3012" s="691">
        <v>41.9</v>
      </c>
      <c r="I3012" s="691">
        <v>41.3</v>
      </c>
      <c r="J3012" s="691">
        <v>41.4</v>
      </c>
      <c r="K3012" s="691">
        <v>41.5</v>
      </c>
    </row>
    <row r="3013" spans="1:11">
      <c r="A3013" s="688" t="s">
        <v>4058</v>
      </c>
      <c r="B3013" s="690" t="s">
        <v>4060</v>
      </c>
      <c r="C3013" s="690" t="s">
        <v>4060</v>
      </c>
      <c r="D3013" s="690" t="s">
        <v>4060</v>
      </c>
      <c r="E3013" s="690" t="s">
        <v>4060</v>
      </c>
      <c r="F3013" s="690" t="s">
        <v>4060</v>
      </c>
      <c r="G3013" s="690" t="s">
        <v>4060</v>
      </c>
      <c r="H3013" s="690" t="s">
        <v>4060</v>
      </c>
      <c r="I3013" s="690" t="s">
        <v>4060</v>
      </c>
      <c r="J3013" s="690" t="s">
        <v>4060</v>
      </c>
      <c r="K3013" s="690" t="s">
        <v>4060</v>
      </c>
    </row>
    <row r="3014" spans="1:11">
      <c r="A3014" s="688" t="s">
        <v>11</v>
      </c>
      <c r="B3014" s="691">
        <v>37.1</v>
      </c>
      <c r="C3014" s="615">
        <v>37</v>
      </c>
      <c r="D3014" s="691">
        <v>36.6</v>
      </c>
      <c r="E3014" s="691">
        <v>37.200000000000003</v>
      </c>
      <c r="F3014" s="615">
        <v>37</v>
      </c>
      <c r="G3014" s="691">
        <v>37.200000000000003</v>
      </c>
      <c r="H3014" s="691">
        <v>37.5</v>
      </c>
      <c r="I3014" s="691">
        <v>36.799999999999997</v>
      </c>
      <c r="J3014" s="691">
        <v>35.799999999999997</v>
      </c>
      <c r="K3014" s="691">
        <v>36.9</v>
      </c>
    </row>
    <row r="3015" spans="1:11">
      <c r="A3015" s="688" t="s">
        <v>10</v>
      </c>
      <c r="B3015" s="689">
        <v>41.8</v>
      </c>
      <c r="C3015" s="689">
        <v>41.7</v>
      </c>
      <c r="D3015" s="689">
        <v>41.3</v>
      </c>
      <c r="E3015" s="689">
        <v>41.9</v>
      </c>
      <c r="F3015" s="689">
        <v>41.7</v>
      </c>
      <c r="G3015" s="693">
        <v>42</v>
      </c>
      <c r="H3015" s="689">
        <v>42.2</v>
      </c>
      <c r="I3015" s="693">
        <v>41</v>
      </c>
      <c r="J3015" s="689">
        <v>41.4</v>
      </c>
      <c r="K3015" s="689">
        <v>41.6</v>
      </c>
    </row>
    <row r="3016" spans="1:11">
      <c r="A3016" s="688" t="s">
        <v>30</v>
      </c>
      <c r="B3016" s="691">
        <v>41.3</v>
      </c>
      <c r="C3016" s="691">
        <v>41.1</v>
      </c>
      <c r="D3016" s="691">
        <v>40.799999999999997</v>
      </c>
      <c r="E3016" s="691">
        <v>41.6</v>
      </c>
      <c r="F3016" s="691">
        <v>41.2</v>
      </c>
      <c r="G3016" s="691">
        <v>41.8</v>
      </c>
      <c r="H3016" s="691">
        <v>41.5</v>
      </c>
      <c r="I3016" s="691">
        <v>41.5</v>
      </c>
      <c r="J3016" s="691">
        <v>40.700000000000003</v>
      </c>
      <c r="K3016" s="691">
        <v>41.1</v>
      </c>
    </row>
    <row r="3017" spans="1:11">
      <c r="A3017" s="688" t="s">
        <v>12</v>
      </c>
      <c r="B3017" s="689">
        <v>34.5</v>
      </c>
      <c r="C3017" s="689">
        <v>34.700000000000003</v>
      </c>
      <c r="D3017" s="689">
        <v>34.9</v>
      </c>
      <c r="E3017" s="693">
        <v>35</v>
      </c>
      <c r="F3017" s="693">
        <v>35</v>
      </c>
      <c r="G3017" s="693">
        <v>35</v>
      </c>
      <c r="H3017" s="689">
        <v>35.6</v>
      </c>
      <c r="I3017" s="689">
        <v>35.299999999999997</v>
      </c>
      <c r="J3017" s="689">
        <v>33.1</v>
      </c>
      <c r="K3017" s="689">
        <v>34.5</v>
      </c>
    </row>
    <row r="3018" spans="1:11">
      <c r="A3018" s="688" t="s">
        <v>14</v>
      </c>
      <c r="B3018" s="691">
        <v>34.6</v>
      </c>
      <c r="C3018" s="615">
        <v>35</v>
      </c>
      <c r="D3018" s="691">
        <v>34.799999999999997</v>
      </c>
      <c r="E3018" s="615">
        <v>35</v>
      </c>
      <c r="F3018" s="691">
        <v>35.700000000000003</v>
      </c>
      <c r="G3018" s="691">
        <v>35.9</v>
      </c>
      <c r="H3018" s="691">
        <v>36.200000000000003</v>
      </c>
      <c r="I3018" s="691">
        <v>34.9</v>
      </c>
      <c r="J3018" s="691">
        <v>34.1</v>
      </c>
      <c r="K3018" s="691">
        <v>35.5</v>
      </c>
    </row>
    <row r="3019" spans="1:11">
      <c r="A3019" s="688" t="s">
        <v>15</v>
      </c>
      <c r="B3019" s="693">
        <v>41</v>
      </c>
      <c r="C3019" s="689">
        <v>40.799999999999997</v>
      </c>
      <c r="D3019" s="689">
        <v>40.9</v>
      </c>
      <c r="E3019" s="689">
        <v>41.2</v>
      </c>
      <c r="F3019" s="689">
        <v>40.700000000000003</v>
      </c>
      <c r="G3019" s="693">
        <v>41</v>
      </c>
      <c r="H3019" s="689">
        <v>41.4</v>
      </c>
      <c r="I3019" s="693">
        <v>41</v>
      </c>
      <c r="J3019" s="689">
        <v>41.3</v>
      </c>
      <c r="K3019" s="689">
        <v>41.7</v>
      </c>
    </row>
    <row r="3020" spans="1:11">
      <c r="A3020" s="688" t="s">
        <v>29</v>
      </c>
      <c r="B3020" s="691">
        <v>35.1</v>
      </c>
      <c r="C3020" s="691">
        <v>35.1</v>
      </c>
      <c r="D3020" s="691">
        <v>34.9</v>
      </c>
      <c r="E3020" s="691">
        <v>35.299999999999997</v>
      </c>
      <c r="F3020" s="691">
        <v>35.1</v>
      </c>
      <c r="G3020" s="691">
        <v>35.200000000000003</v>
      </c>
      <c r="H3020" s="691">
        <v>35.5</v>
      </c>
      <c r="I3020" s="691">
        <v>34.700000000000003</v>
      </c>
      <c r="J3020" s="691">
        <v>33.4</v>
      </c>
      <c r="K3020" s="691">
        <v>35.200000000000003</v>
      </c>
    </row>
    <row r="3021" spans="1:11">
      <c r="A3021" s="688" t="s">
        <v>16</v>
      </c>
      <c r="B3021" s="689">
        <v>40.9</v>
      </c>
      <c r="C3021" s="689">
        <v>40.9</v>
      </c>
      <c r="D3021" s="693">
        <v>41</v>
      </c>
      <c r="E3021" s="689">
        <v>41.4</v>
      </c>
      <c r="F3021" s="689">
        <v>41.2</v>
      </c>
      <c r="G3021" s="689">
        <v>41.2</v>
      </c>
      <c r="H3021" s="689">
        <v>41.6</v>
      </c>
      <c r="I3021" s="689">
        <v>40.9</v>
      </c>
      <c r="J3021" s="689">
        <v>40.9</v>
      </c>
      <c r="K3021" s="689">
        <v>41.1</v>
      </c>
    </row>
    <row r="3022" spans="1:11">
      <c r="A3022" s="688" t="s">
        <v>17</v>
      </c>
      <c r="B3022" s="691">
        <v>40.4</v>
      </c>
      <c r="C3022" s="691">
        <v>40.6</v>
      </c>
      <c r="D3022" s="691">
        <v>40.4</v>
      </c>
      <c r="E3022" s="691">
        <v>40.5</v>
      </c>
      <c r="F3022" s="691">
        <v>40.700000000000003</v>
      </c>
      <c r="G3022" s="691">
        <v>40.700000000000003</v>
      </c>
      <c r="H3022" s="615">
        <v>41</v>
      </c>
      <c r="I3022" s="691">
        <v>40.299999999999997</v>
      </c>
      <c r="J3022" s="691">
        <v>40.299999999999997</v>
      </c>
      <c r="K3022" s="691">
        <v>40.6</v>
      </c>
    </row>
    <row r="3023" spans="1:11">
      <c r="A3023" s="688" t="s">
        <v>19</v>
      </c>
      <c r="B3023" s="689">
        <v>40.299999999999997</v>
      </c>
      <c r="C3023" s="689">
        <v>40.4</v>
      </c>
      <c r="D3023" s="689">
        <v>40.200000000000003</v>
      </c>
      <c r="E3023" s="689">
        <v>40.6</v>
      </c>
      <c r="F3023" s="689">
        <v>40.6</v>
      </c>
      <c r="G3023" s="689">
        <v>40.700000000000003</v>
      </c>
      <c r="H3023" s="693">
        <v>41</v>
      </c>
      <c r="I3023" s="689">
        <v>40.299999999999997</v>
      </c>
      <c r="J3023" s="689">
        <v>40.299999999999997</v>
      </c>
      <c r="K3023" s="689">
        <v>40.4</v>
      </c>
    </row>
    <row r="3024" spans="1:11">
      <c r="A3024" s="688" t="s">
        <v>20</v>
      </c>
      <c r="B3024" s="691">
        <v>36.700000000000003</v>
      </c>
      <c r="C3024" s="691">
        <v>37.1</v>
      </c>
      <c r="D3024" s="691">
        <v>36.9</v>
      </c>
      <c r="E3024" s="691">
        <v>37.200000000000003</v>
      </c>
      <c r="F3024" s="691">
        <v>37.200000000000003</v>
      </c>
      <c r="G3024" s="691">
        <v>37.1</v>
      </c>
      <c r="H3024" s="691">
        <v>37.4</v>
      </c>
      <c r="I3024" s="691">
        <v>35.9</v>
      </c>
      <c r="J3024" s="615">
        <v>35</v>
      </c>
      <c r="K3024" s="691">
        <v>36.700000000000003</v>
      </c>
    </row>
    <row r="3025" spans="1:11">
      <c r="A3025" s="688" t="s">
        <v>21</v>
      </c>
      <c r="B3025" s="693">
        <v>40</v>
      </c>
      <c r="C3025" s="689">
        <v>40.4</v>
      </c>
      <c r="D3025" s="689">
        <v>40.4</v>
      </c>
      <c r="E3025" s="689">
        <v>40.4</v>
      </c>
      <c r="F3025" s="689">
        <v>40.700000000000003</v>
      </c>
      <c r="G3025" s="689">
        <v>40.6</v>
      </c>
      <c r="H3025" s="693">
        <v>41</v>
      </c>
      <c r="I3025" s="689">
        <v>40.4</v>
      </c>
      <c r="J3025" s="689">
        <v>40.4</v>
      </c>
      <c r="K3025" s="689">
        <v>40.700000000000003</v>
      </c>
    </row>
    <row r="3026" spans="1:11">
      <c r="A3026" s="688" t="s">
        <v>22</v>
      </c>
      <c r="B3026" s="691">
        <v>35.1</v>
      </c>
      <c r="C3026" s="691">
        <v>34.9</v>
      </c>
      <c r="D3026" s="691">
        <v>34.799999999999997</v>
      </c>
      <c r="E3026" s="615">
        <v>35</v>
      </c>
      <c r="F3026" s="615">
        <v>35</v>
      </c>
      <c r="G3026" s="615">
        <v>35</v>
      </c>
      <c r="H3026" s="691">
        <v>35.200000000000003</v>
      </c>
      <c r="I3026" s="691">
        <v>33.799999999999997</v>
      </c>
      <c r="J3026" s="691">
        <v>32.5</v>
      </c>
      <c r="K3026" s="691">
        <v>34.700000000000003</v>
      </c>
    </row>
    <row r="3027" spans="1:11">
      <c r="A3027" s="688" t="s">
        <v>26</v>
      </c>
      <c r="B3027" s="689">
        <v>39.6</v>
      </c>
      <c r="C3027" s="689">
        <v>39.799999999999997</v>
      </c>
      <c r="D3027" s="689">
        <v>39.6</v>
      </c>
      <c r="E3027" s="693">
        <v>40</v>
      </c>
      <c r="F3027" s="689">
        <v>39.799999999999997</v>
      </c>
      <c r="G3027" s="689">
        <v>40.1</v>
      </c>
      <c r="H3027" s="689">
        <v>40.299999999999997</v>
      </c>
      <c r="I3027" s="689">
        <v>39.4</v>
      </c>
      <c r="J3027" s="689">
        <v>39.5</v>
      </c>
      <c r="K3027" s="689">
        <v>40.1</v>
      </c>
    </row>
    <row r="3028" spans="1:11">
      <c r="A3028" s="688" t="s">
        <v>25</v>
      </c>
      <c r="B3028" s="691">
        <v>36.1</v>
      </c>
      <c r="C3028" s="691">
        <v>36.4</v>
      </c>
      <c r="D3028" s="691">
        <v>36.200000000000003</v>
      </c>
      <c r="E3028" s="691">
        <v>36.700000000000003</v>
      </c>
      <c r="F3028" s="691">
        <v>36.700000000000003</v>
      </c>
      <c r="G3028" s="691">
        <v>36.799999999999997</v>
      </c>
      <c r="H3028" s="691">
        <v>37.200000000000003</v>
      </c>
      <c r="I3028" s="691">
        <v>36.4</v>
      </c>
      <c r="J3028" s="691">
        <v>34.1</v>
      </c>
      <c r="K3028" s="691">
        <v>36.5</v>
      </c>
    </row>
    <row r="3029" spans="1:11">
      <c r="A3029" s="688" t="s">
        <v>5</v>
      </c>
      <c r="B3029" s="689">
        <v>40.299999999999997</v>
      </c>
      <c r="C3029" s="689">
        <v>40.200000000000003</v>
      </c>
      <c r="D3029" s="689">
        <v>40.4</v>
      </c>
      <c r="E3029" s="689">
        <v>40.4</v>
      </c>
      <c r="F3029" s="689">
        <v>40.700000000000003</v>
      </c>
      <c r="G3029" s="689">
        <v>40.700000000000003</v>
      </c>
      <c r="H3029" s="689">
        <v>41.1</v>
      </c>
      <c r="I3029" s="693">
        <v>41</v>
      </c>
      <c r="J3029" s="689">
        <v>40.9</v>
      </c>
      <c r="K3029" s="689">
        <v>40.299999999999997</v>
      </c>
    </row>
    <row r="3030" spans="1:11">
      <c r="A3030" s="688" t="s">
        <v>23</v>
      </c>
      <c r="B3030" s="615">
        <v>41</v>
      </c>
      <c r="C3030" s="691">
        <v>41.2</v>
      </c>
      <c r="D3030" s="691">
        <v>41.2</v>
      </c>
      <c r="E3030" s="691">
        <v>41.3</v>
      </c>
      <c r="F3030" s="691">
        <v>41.4</v>
      </c>
      <c r="G3030" s="691">
        <v>41.5</v>
      </c>
      <c r="H3030" s="615">
        <v>42</v>
      </c>
      <c r="I3030" s="691">
        <v>41.4</v>
      </c>
      <c r="J3030" s="691">
        <v>41.9</v>
      </c>
      <c r="K3030" s="615">
        <v>42</v>
      </c>
    </row>
    <row r="3031" spans="1:11">
      <c r="A3031" s="688" t="s">
        <v>4067</v>
      </c>
      <c r="B3031" s="689">
        <v>39.700000000000003</v>
      </c>
      <c r="C3031" s="689">
        <v>40.1</v>
      </c>
      <c r="D3031" s="689">
        <v>39.799999999999997</v>
      </c>
      <c r="E3031" s="689">
        <v>40.1</v>
      </c>
      <c r="F3031" s="689">
        <v>40.1</v>
      </c>
      <c r="G3031" s="689">
        <v>40.200000000000003</v>
      </c>
      <c r="H3031" s="690" t="s">
        <v>4060</v>
      </c>
      <c r="I3031" s="690" t="s">
        <v>4060</v>
      </c>
      <c r="J3031" s="690" t="s">
        <v>4060</v>
      </c>
      <c r="K3031" s="690" t="s">
        <v>4060</v>
      </c>
    </row>
    <row r="3032" spans="1:11">
      <c r="A3032" s="688" t="s">
        <v>4066</v>
      </c>
      <c r="B3032" s="691">
        <v>39.799999999999997</v>
      </c>
      <c r="C3032" s="691">
        <v>40.1</v>
      </c>
      <c r="D3032" s="691">
        <v>39.799999999999997</v>
      </c>
      <c r="E3032" s="691">
        <v>40.200000000000003</v>
      </c>
      <c r="F3032" s="691">
        <v>40.1</v>
      </c>
      <c r="G3032" s="691">
        <v>40.200000000000003</v>
      </c>
      <c r="H3032" s="692" t="s">
        <v>4060</v>
      </c>
      <c r="I3032" s="692" t="s">
        <v>4060</v>
      </c>
      <c r="J3032" s="692" t="s">
        <v>4060</v>
      </c>
      <c r="K3032" s="692" t="s">
        <v>4060</v>
      </c>
    </row>
    <row r="3033" spans="1:11">
      <c r="A3033" s="688" t="s">
        <v>4062</v>
      </c>
      <c r="B3033" s="689">
        <v>41.5</v>
      </c>
      <c r="C3033" s="689">
        <v>41.7</v>
      </c>
      <c r="D3033" s="689">
        <v>41.6</v>
      </c>
      <c r="E3033" s="693">
        <v>42</v>
      </c>
      <c r="F3033" s="693">
        <v>42</v>
      </c>
      <c r="G3033" s="689">
        <v>42.2</v>
      </c>
      <c r="H3033" s="689">
        <v>42.4</v>
      </c>
      <c r="I3033" s="693">
        <v>42</v>
      </c>
      <c r="J3033" s="689">
        <v>42.3</v>
      </c>
      <c r="K3033" s="689">
        <v>42.1</v>
      </c>
    </row>
    <row r="3034" spans="1:11">
      <c r="A3034" s="688" t="s">
        <v>9</v>
      </c>
      <c r="B3034" s="691">
        <v>41.1</v>
      </c>
      <c r="C3034" s="691">
        <v>41.6</v>
      </c>
      <c r="D3034" s="691">
        <v>41.4</v>
      </c>
      <c r="E3034" s="691">
        <v>41.1</v>
      </c>
      <c r="F3034" s="691">
        <v>41.6</v>
      </c>
      <c r="G3034" s="691">
        <v>41.8</v>
      </c>
      <c r="H3034" s="691">
        <v>41.8</v>
      </c>
      <c r="I3034" s="615">
        <v>42</v>
      </c>
      <c r="J3034" s="691">
        <v>42.2</v>
      </c>
      <c r="K3034" s="691">
        <v>41.1</v>
      </c>
    </row>
    <row r="3035" spans="1:11">
      <c r="A3035" s="688" t="s">
        <v>13</v>
      </c>
      <c r="B3035" s="689">
        <v>41.4</v>
      </c>
      <c r="C3035" s="689">
        <v>40.9</v>
      </c>
      <c r="D3035" s="689">
        <v>41.5</v>
      </c>
      <c r="E3035" s="689">
        <v>41.2</v>
      </c>
      <c r="F3035" s="689">
        <v>42.1</v>
      </c>
      <c r="G3035" s="689">
        <v>41.8</v>
      </c>
      <c r="H3035" s="689">
        <v>42.4</v>
      </c>
      <c r="I3035" s="689">
        <v>41.4</v>
      </c>
      <c r="J3035" s="689">
        <v>42.5</v>
      </c>
      <c r="K3035" s="689">
        <v>42.8</v>
      </c>
    </row>
    <row r="3036" spans="1:11">
      <c r="A3036" s="688" t="s">
        <v>18</v>
      </c>
      <c r="B3036" s="691">
        <v>40.799999999999997</v>
      </c>
      <c r="C3036" s="691">
        <v>41.1</v>
      </c>
      <c r="D3036" s="691">
        <v>41.2</v>
      </c>
      <c r="E3036" s="691">
        <v>41.3</v>
      </c>
      <c r="F3036" s="691">
        <v>41.5</v>
      </c>
      <c r="G3036" s="691">
        <v>41.7</v>
      </c>
      <c r="H3036" s="691">
        <v>41.9</v>
      </c>
      <c r="I3036" s="691">
        <v>42.1</v>
      </c>
      <c r="J3036" s="615">
        <v>42</v>
      </c>
      <c r="K3036" s="691">
        <v>41.5</v>
      </c>
    </row>
    <row r="3037" spans="1:11">
      <c r="A3037" s="688" t="s">
        <v>24</v>
      </c>
      <c r="B3037" s="689">
        <v>41.9</v>
      </c>
      <c r="C3037" s="689">
        <v>42.1</v>
      </c>
      <c r="D3037" s="689">
        <v>41.8</v>
      </c>
      <c r="E3037" s="689">
        <v>42.3</v>
      </c>
      <c r="F3037" s="689">
        <v>42.3</v>
      </c>
      <c r="G3037" s="689">
        <v>42.5</v>
      </c>
      <c r="H3037" s="689">
        <v>42.7</v>
      </c>
      <c r="I3037" s="693">
        <v>42</v>
      </c>
      <c r="J3037" s="689">
        <v>42.5</v>
      </c>
      <c r="K3037" s="689">
        <v>42.5</v>
      </c>
    </row>
    <row r="3038" spans="1:11">
      <c r="A3038" s="688" t="s">
        <v>4059</v>
      </c>
      <c r="B3038" s="691">
        <v>40.299999999999997</v>
      </c>
      <c r="C3038" s="691">
        <v>40.6</v>
      </c>
      <c r="D3038" s="691">
        <v>40.200000000000003</v>
      </c>
      <c r="E3038" s="691">
        <v>40.4</v>
      </c>
      <c r="F3038" s="691">
        <v>40.5</v>
      </c>
      <c r="G3038" s="691">
        <v>40.5</v>
      </c>
      <c r="H3038" s="692" t="s">
        <v>4060</v>
      </c>
      <c r="I3038" s="692" t="s">
        <v>4060</v>
      </c>
      <c r="J3038" s="692" t="s">
        <v>4060</v>
      </c>
      <c r="K3038" s="692" t="s">
        <v>4060</v>
      </c>
    </row>
    <row r="3039" spans="1:11">
      <c r="A3039" s="688" t="s">
        <v>2324</v>
      </c>
      <c r="B3039" s="689">
        <v>35.9</v>
      </c>
      <c r="C3039" s="689">
        <v>35.9</v>
      </c>
      <c r="D3039" s="689">
        <v>35.6</v>
      </c>
      <c r="E3039" s="689">
        <v>35.700000000000003</v>
      </c>
      <c r="F3039" s="689">
        <v>35.9</v>
      </c>
      <c r="G3039" s="693">
        <v>36</v>
      </c>
      <c r="H3039" s="693">
        <v>36</v>
      </c>
      <c r="I3039" s="689">
        <v>35.1</v>
      </c>
      <c r="J3039" s="693">
        <v>33</v>
      </c>
      <c r="K3039" s="690" t="s">
        <v>4060</v>
      </c>
    </row>
    <row r="3040" spans="1:11">
      <c r="A3040" s="688" t="s">
        <v>2322</v>
      </c>
      <c r="B3040" s="692" t="s">
        <v>4060</v>
      </c>
      <c r="C3040" s="692" t="s">
        <v>4060</v>
      </c>
      <c r="D3040" s="692" t="s">
        <v>4060</v>
      </c>
      <c r="E3040" s="692" t="s">
        <v>4060</v>
      </c>
      <c r="F3040" s="692" t="s">
        <v>4060</v>
      </c>
      <c r="G3040" s="692" t="s">
        <v>4060</v>
      </c>
      <c r="H3040" s="692" t="s">
        <v>4060</v>
      </c>
      <c r="I3040" s="692" t="s">
        <v>4060</v>
      </c>
      <c r="J3040" s="692" t="s">
        <v>4060</v>
      </c>
      <c r="K3040" s="692" t="s">
        <v>4060</v>
      </c>
    </row>
    <row r="3041" spans="1:11">
      <c r="A3041" s="688" t="s">
        <v>2328</v>
      </c>
      <c r="B3041" s="689">
        <v>35.200000000000003</v>
      </c>
      <c r="C3041" s="689">
        <v>35.1</v>
      </c>
      <c r="D3041" s="693">
        <v>35</v>
      </c>
      <c r="E3041" s="689">
        <v>35.200000000000003</v>
      </c>
      <c r="F3041" s="689">
        <v>35.5</v>
      </c>
      <c r="G3041" s="689">
        <v>35.9</v>
      </c>
      <c r="H3041" s="689">
        <v>35.799999999999997</v>
      </c>
      <c r="I3041" s="689">
        <v>33.6</v>
      </c>
      <c r="J3041" s="689">
        <v>32.6</v>
      </c>
      <c r="K3041" s="690" t="s">
        <v>4060</v>
      </c>
    </row>
    <row r="3042" spans="1:11">
      <c r="A3042" s="688" t="s">
        <v>2496</v>
      </c>
      <c r="B3042" s="692" t="s">
        <v>4060</v>
      </c>
      <c r="C3042" s="691">
        <v>34.5</v>
      </c>
      <c r="D3042" s="691">
        <v>33.5</v>
      </c>
      <c r="E3042" s="691">
        <v>33.200000000000003</v>
      </c>
      <c r="F3042" s="691">
        <v>33.9</v>
      </c>
      <c r="G3042" s="691">
        <v>34.200000000000003</v>
      </c>
      <c r="H3042" s="691">
        <v>34.200000000000003</v>
      </c>
      <c r="I3042" s="692" t="s">
        <v>4060</v>
      </c>
      <c r="J3042" s="692" t="s">
        <v>4060</v>
      </c>
      <c r="K3042" s="691">
        <v>33.799999999999997</v>
      </c>
    </row>
    <row r="3043" spans="1:11">
      <c r="A3043" s="688" t="s">
        <v>2269</v>
      </c>
      <c r="B3043" s="693">
        <v>38</v>
      </c>
      <c r="C3043" s="689">
        <v>38.1</v>
      </c>
      <c r="D3043" s="689">
        <v>37.6</v>
      </c>
      <c r="E3043" s="689">
        <v>38.299999999999997</v>
      </c>
      <c r="F3043" s="689">
        <v>38.200000000000003</v>
      </c>
      <c r="G3043" s="689">
        <v>38.6</v>
      </c>
      <c r="H3043" s="689">
        <v>38.799999999999997</v>
      </c>
      <c r="I3043" s="693">
        <v>37</v>
      </c>
      <c r="J3043" s="689">
        <v>35.1</v>
      </c>
      <c r="K3043" s="689">
        <v>38.4</v>
      </c>
    </row>
    <row r="3044" spans="1:11">
      <c r="A3044" s="688" t="s">
        <v>2349</v>
      </c>
      <c r="B3044" s="691">
        <v>34.799999999999997</v>
      </c>
      <c r="C3044" s="691">
        <v>34.799999999999997</v>
      </c>
      <c r="D3044" s="691">
        <v>34.799999999999997</v>
      </c>
      <c r="E3044" s="691">
        <v>35.1</v>
      </c>
      <c r="F3044" s="615">
        <v>35</v>
      </c>
      <c r="G3044" s="691">
        <v>35.299999999999997</v>
      </c>
      <c r="H3044" s="691">
        <v>35.299999999999997</v>
      </c>
      <c r="I3044" s="691">
        <v>33.799999999999997</v>
      </c>
      <c r="J3044" s="691">
        <v>32.299999999999997</v>
      </c>
      <c r="K3044" s="691">
        <v>34.6</v>
      </c>
    </row>
    <row r="3045" spans="1:11">
      <c r="A3045" s="688" t="s">
        <v>2355</v>
      </c>
      <c r="B3045" s="689">
        <v>38.299999999999997</v>
      </c>
      <c r="C3045" s="689">
        <v>38.200000000000003</v>
      </c>
      <c r="D3045" s="689">
        <v>38.200000000000003</v>
      </c>
      <c r="E3045" s="689">
        <v>38.1</v>
      </c>
      <c r="F3045" s="689">
        <v>38.4</v>
      </c>
      <c r="G3045" s="689">
        <v>38.700000000000003</v>
      </c>
      <c r="H3045" s="689">
        <v>38.799999999999997</v>
      </c>
      <c r="I3045" s="690" t="s">
        <v>4060</v>
      </c>
      <c r="J3045" s="690" t="s">
        <v>4060</v>
      </c>
      <c r="K3045" s="690" t="s">
        <v>4060</v>
      </c>
    </row>
    <row r="3046" spans="1:11">
      <c r="A3046" s="688" t="s">
        <v>2357</v>
      </c>
      <c r="B3046" s="692" t="s">
        <v>4060</v>
      </c>
      <c r="C3046" s="615">
        <v>33</v>
      </c>
      <c r="D3046" s="691">
        <v>33.4</v>
      </c>
      <c r="E3046" s="691">
        <v>33.700000000000003</v>
      </c>
      <c r="F3046" s="615">
        <v>34</v>
      </c>
      <c r="G3046" s="691">
        <v>33.799999999999997</v>
      </c>
      <c r="H3046" s="615">
        <v>34</v>
      </c>
      <c r="I3046" s="692" t="s">
        <v>4060</v>
      </c>
      <c r="J3046" s="692" t="s">
        <v>4060</v>
      </c>
      <c r="K3046" s="692" t="s">
        <v>4060</v>
      </c>
    </row>
    <row r="3047" spans="1:11">
      <c r="A3047" s="688" t="s">
        <v>4070</v>
      </c>
      <c r="B3047" s="690" t="s">
        <v>4060</v>
      </c>
      <c r="C3047" s="690" t="s">
        <v>4060</v>
      </c>
      <c r="D3047" s="690" t="s">
        <v>4060</v>
      </c>
      <c r="E3047" s="689">
        <v>37.799999999999997</v>
      </c>
      <c r="F3047" s="690" t="s">
        <v>4060</v>
      </c>
      <c r="G3047" s="690" t="s">
        <v>4060</v>
      </c>
      <c r="H3047" s="690" t="s">
        <v>4060</v>
      </c>
      <c r="I3047" s="690" t="s">
        <v>4060</v>
      </c>
      <c r="J3047" s="690" t="s">
        <v>4060</v>
      </c>
      <c r="K3047" s="690" t="s">
        <v>4060</v>
      </c>
    </row>
    <row r="3048" spans="1:11">
      <c r="A3048" s="688" t="s">
        <v>2491</v>
      </c>
      <c r="B3048" s="691">
        <v>33.1</v>
      </c>
      <c r="C3048" s="691">
        <v>33.6</v>
      </c>
      <c r="D3048" s="691">
        <v>33.9</v>
      </c>
      <c r="E3048" s="691">
        <v>34.200000000000003</v>
      </c>
      <c r="F3048" s="691">
        <v>34.299999999999997</v>
      </c>
      <c r="G3048" s="691">
        <v>34.200000000000003</v>
      </c>
      <c r="H3048" s="692" t="s">
        <v>4060</v>
      </c>
      <c r="I3048" s="692" t="s">
        <v>4060</v>
      </c>
      <c r="J3048" s="692" t="s">
        <v>4060</v>
      </c>
      <c r="K3048" s="692" t="s">
        <v>4060</v>
      </c>
    </row>
    <row r="3049" spans="1:11">
      <c r="A3049" s="688" t="s">
        <v>2343</v>
      </c>
      <c r="B3049" s="690" t="s">
        <v>4060</v>
      </c>
      <c r="C3049" s="690" t="s">
        <v>4060</v>
      </c>
      <c r="D3049" s="690" t="s">
        <v>4060</v>
      </c>
      <c r="E3049" s="690" t="s">
        <v>4060</v>
      </c>
      <c r="F3049" s="690" t="s">
        <v>4060</v>
      </c>
      <c r="G3049" s="690" t="s">
        <v>4060</v>
      </c>
      <c r="H3049" s="690" t="s">
        <v>4060</v>
      </c>
      <c r="I3049" s="690" t="s">
        <v>4060</v>
      </c>
      <c r="J3049" s="690" t="s">
        <v>4060</v>
      </c>
      <c r="K3049" s="690" t="s">
        <v>4060</v>
      </c>
    </row>
    <row r="3050" spans="1:11">
      <c r="A3050" s="688" t="s">
        <v>4071</v>
      </c>
      <c r="B3050" s="692" t="s">
        <v>4060</v>
      </c>
      <c r="C3050" s="692" t="s">
        <v>4060</v>
      </c>
      <c r="D3050" s="692" t="s">
        <v>4060</v>
      </c>
      <c r="E3050" s="692" t="s">
        <v>4060</v>
      </c>
      <c r="F3050" s="692" t="s">
        <v>4060</v>
      </c>
      <c r="G3050" s="692" t="s">
        <v>4060</v>
      </c>
      <c r="H3050" s="692" t="s">
        <v>4060</v>
      </c>
      <c r="I3050" s="692" t="s">
        <v>4060</v>
      </c>
      <c r="J3050" s="692" t="s">
        <v>4060</v>
      </c>
      <c r="K3050" s="692" t="s">
        <v>4060</v>
      </c>
    </row>
    <row r="3051" spans="1:11">
      <c r="A3051" s="688" t="s">
        <v>2489</v>
      </c>
      <c r="B3051" s="690" t="s">
        <v>4060</v>
      </c>
      <c r="C3051" s="690" t="s">
        <v>4060</v>
      </c>
      <c r="D3051" s="693">
        <v>35</v>
      </c>
      <c r="E3051" s="693">
        <v>35</v>
      </c>
      <c r="F3051" s="689">
        <v>35.5</v>
      </c>
      <c r="G3051" s="689">
        <v>36.299999999999997</v>
      </c>
      <c r="H3051" s="689">
        <v>36.1</v>
      </c>
      <c r="I3051" s="690" t="s">
        <v>4060</v>
      </c>
      <c r="J3051" s="690" t="s">
        <v>4060</v>
      </c>
      <c r="K3051" s="690" t="s">
        <v>4060</v>
      </c>
    </row>
    <row r="3052" spans="1:11">
      <c r="A3052" s="688" t="s">
        <v>2490</v>
      </c>
      <c r="B3052" s="691">
        <v>34.9</v>
      </c>
      <c r="C3052" s="615">
        <v>35</v>
      </c>
      <c r="D3052" s="691">
        <v>35.6</v>
      </c>
      <c r="E3052" s="692" t="s">
        <v>4060</v>
      </c>
      <c r="F3052" s="691">
        <v>35.799999999999997</v>
      </c>
      <c r="G3052" s="691">
        <v>36.1</v>
      </c>
      <c r="H3052" s="691">
        <v>36.9</v>
      </c>
      <c r="I3052" s="692" t="s">
        <v>4060</v>
      </c>
      <c r="J3052" s="692" t="s">
        <v>4060</v>
      </c>
      <c r="K3052" s="692" t="s">
        <v>4060</v>
      </c>
    </row>
    <row r="3054" spans="1:11">
      <c r="A3054" s="683" t="s">
        <v>4233</v>
      </c>
    </row>
    <row r="3055" spans="1:11">
      <c r="A3055" s="683" t="s">
        <v>4060</v>
      </c>
      <c r="B3055" s="682" t="s">
        <v>4234</v>
      </c>
    </row>
    <row r="3057" spans="1:11">
      <c r="A3057" s="682" t="s">
        <v>4248</v>
      </c>
    </row>
    <row r="3058" spans="1:11">
      <c r="A3058" s="682" t="s">
        <v>4210</v>
      </c>
      <c r="B3058" s="683" t="s">
        <v>4211</v>
      </c>
    </row>
    <row r="3059" spans="1:11">
      <c r="A3059" s="682" t="s">
        <v>4212</v>
      </c>
      <c r="B3059" s="682" t="s">
        <v>4213</v>
      </c>
    </row>
    <row r="3061" spans="1:11">
      <c r="A3061" s="683" t="s">
        <v>4214</v>
      </c>
      <c r="C3061" s="682" t="s">
        <v>4215</v>
      </c>
    </row>
    <row r="3062" spans="1:11">
      <c r="A3062" s="683" t="s">
        <v>4216</v>
      </c>
      <c r="C3062" s="682" t="s">
        <v>2967</v>
      </c>
    </row>
    <row r="3063" spans="1:11">
      <c r="A3063" s="683" t="s">
        <v>3893</v>
      </c>
      <c r="C3063" s="682" t="s">
        <v>4217</v>
      </c>
    </row>
    <row r="3064" spans="1:11">
      <c r="A3064" s="683" t="s">
        <v>4218</v>
      </c>
      <c r="C3064" s="682" t="s">
        <v>4278</v>
      </c>
    </row>
    <row r="3066" spans="1:11">
      <c r="A3066" s="684" t="s">
        <v>4220</v>
      </c>
      <c r="B3066" s="685" t="s">
        <v>4221</v>
      </c>
      <c r="C3066" s="685" t="s">
        <v>4222</v>
      </c>
      <c r="D3066" s="685" t="s">
        <v>4223</v>
      </c>
      <c r="E3066" s="685" t="s">
        <v>4224</v>
      </c>
      <c r="F3066" s="685" t="s">
        <v>4225</v>
      </c>
      <c r="G3066" s="685" t="s">
        <v>4226</v>
      </c>
      <c r="H3066" s="685" t="s">
        <v>4227</v>
      </c>
      <c r="I3066" s="685" t="s">
        <v>4228</v>
      </c>
      <c r="J3066" s="685" t="s">
        <v>4229</v>
      </c>
      <c r="K3066" s="685" t="s">
        <v>4230</v>
      </c>
    </row>
    <row r="3067" spans="1:11">
      <c r="A3067" s="686" t="s">
        <v>4231</v>
      </c>
      <c r="B3067" s="687" t="s">
        <v>4232</v>
      </c>
      <c r="C3067" s="687" t="s">
        <v>4232</v>
      </c>
      <c r="D3067" s="687" t="s">
        <v>4232</v>
      </c>
      <c r="E3067" s="687" t="s">
        <v>4232</v>
      </c>
      <c r="F3067" s="687" t="s">
        <v>4232</v>
      </c>
      <c r="G3067" s="687" t="s">
        <v>4232</v>
      </c>
      <c r="H3067" s="687" t="s">
        <v>4232</v>
      </c>
      <c r="I3067" s="687" t="s">
        <v>4232</v>
      </c>
      <c r="J3067" s="687" t="s">
        <v>4232</v>
      </c>
      <c r="K3067" s="687" t="s">
        <v>4232</v>
      </c>
    </row>
    <row r="3068" spans="1:11">
      <c r="A3068" s="688" t="s">
        <v>4064</v>
      </c>
      <c r="B3068" s="691">
        <v>38.700000000000003</v>
      </c>
      <c r="C3068" s="691">
        <v>38.799999999999997</v>
      </c>
      <c r="D3068" s="691">
        <v>38.799999999999997</v>
      </c>
      <c r="E3068" s="691">
        <v>38.9</v>
      </c>
      <c r="F3068" s="691">
        <v>38.9</v>
      </c>
      <c r="G3068" s="615">
        <v>39</v>
      </c>
      <c r="H3068" s="691">
        <v>39.299999999999997</v>
      </c>
      <c r="I3068" s="691">
        <v>38.4</v>
      </c>
      <c r="J3068" s="691">
        <v>38.1</v>
      </c>
      <c r="K3068" s="691">
        <v>38.700000000000003</v>
      </c>
    </row>
    <row r="3069" spans="1:11">
      <c r="A3069" s="688" t="s">
        <v>4065</v>
      </c>
      <c r="B3069" s="689">
        <v>38.799999999999997</v>
      </c>
      <c r="C3069" s="689">
        <v>39.1</v>
      </c>
      <c r="D3069" s="689">
        <v>38.799999999999997</v>
      </c>
      <c r="E3069" s="689">
        <v>39.200000000000003</v>
      </c>
      <c r="F3069" s="689">
        <v>39.1</v>
      </c>
      <c r="G3069" s="689">
        <v>39.200000000000003</v>
      </c>
      <c r="H3069" s="690" t="s">
        <v>4060</v>
      </c>
      <c r="I3069" s="690" t="s">
        <v>4060</v>
      </c>
      <c r="J3069" s="690" t="s">
        <v>4060</v>
      </c>
      <c r="K3069" s="690" t="s">
        <v>4060</v>
      </c>
    </row>
    <row r="3070" spans="1:11">
      <c r="A3070" s="688" t="s">
        <v>4063</v>
      </c>
      <c r="B3070" s="691">
        <v>38.799999999999997</v>
      </c>
      <c r="C3070" s="691">
        <v>39.200000000000003</v>
      </c>
      <c r="D3070" s="691">
        <v>38.799999999999997</v>
      </c>
      <c r="E3070" s="691">
        <v>39.200000000000003</v>
      </c>
      <c r="F3070" s="691">
        <v>39.200000000000003</v>
      </c>
      <c r="G3070" s="691">
        <v>39.200000000000003</v>
      </c>
      <c r="H3070" s="692" t="s">
        <v>4060</v>
      </c>
      <c r="I3070" s="692" t="s">
        <v>4060</v>
      </c>
      <c r="J3070" s="692" t="s">
        <v>4060</v>
      </c>
      <c r="K3070" s="692" t="s">
        <v>4060</v>
      </c>
    </row>
    <row r="3071" spans="1:11">
      <c r="A3071" s="688" t="s">
        <v>4069</v>
      </c>
      <c r="B3071" s="690" t="s">
        <v>4060</v>
      </c>
      <c r="C3071" s="689">
        <v>39.700000000000003</v>
      </c>
      <c r="D3071" s="689">
        <v>39.4</v>
      </c>
      <c r="E3071" s="689">
        <v>39.799999999999997</v>
      </c>
      <c r="F3071" s="689">
        <v>39.799999999999997</v>
      </c>
      <c r="G3071" s="689">
        <v>39.9</v>
      </c>
      <c r="H3071" s="689">
        <v>40.200000000000003</v>
      </c>
      <c r="I3071" s="689">
        <v>39.5</v>
      </c>
      <c r="J3071" s="689">
        <v>39.5</v>
      </c>
      <c r="K3071" s="689">
        <v>39.6</v>
      </c>
    </row>
    <row r="3072" spans="1:11">
      <c r="A3072" s="688" t="s">
        <v>4068</v>
      </c>
      <c r="B3072" s="691">
        <v>39.700000000000003</v>
      </c>
      <c r="C3072" s="692" t="s">
        <v>4060</v>
      </c>
      <c r="D3072" s="692" t="s">
        <v>4060</v>
      </c>
      <c r="E3072" s="692" t="s">
        <v>4060</v>
      </c>
      <c r="F3072" s="692" t="s">
        <v>4060</v>
      </c>
      <c r="G3072" s="692" t="s">
        <v>4060</v>
      </c>
      <c r="H3072" s="692" t="s">
        <v>4060</v>
      </c>
      <c r="I3072" s="692" t="s">
        <v>4060</v>
      </c>
      <c r="J3072" s="692" t="s">
        <v>4060</v>
      </c>
      <c r="K3072" s="692" t="s">
        <v>4060</v>
      </c>
    </row>
    <row r="3073" spans="1:11">
      <c r="A3073" s="688" t="s">
        <v>0</v>
      </c>
      <c r="B3073" s="689">
        <v>38.9</v>
      </c>
      <c r="C3073" s="689">
        <v>39.299999999999997</v>
      </c>
      <c r="D3073" s="689">
        <v>39.1</v>
      </c>
      <c r="E3073" s="689">
        <v>39.4</v>
      </c>
      <c r="F3073" s="689">
        <v>39.6</v>
      </c>
      <c r="G3073" s="689">
        <v>39.700000000000003</v>
      </c>
      <c r="H3073" s="693">
        <v>40</v>
      </c>
      <c r="I3073" s="689">
        <v>38.9</v>
      </c>
      <c r="J3073" s="689">
        <v>39.799999999999997</v>
      </c>
      <c r="K3073" s="689">
        <v>39.799999999999997</v>
      </c>
    </row>
    <row r="3074" spans="1:11">
      <c r="A3074" s="688" t="s">
        <v>1</v>
      </c>
      <c r="B3074" s="691">
        <v>33.9</v>
      </c>
      <c r="C3074" s="691">
        <v>33.5</v>
      </c>
      <c r="D3074" s="691">
        <v>33.5</v>
      </c>
      <c r="E3074" s="691">
        <v>33.700000000000003</v>
      </c>
      <c r="F3074" s="691">
        <v>33.6</v>
      </c>
      <c r="G3074" s="691">
        <v>33.700000000000003</v>
      </c>
      <c r="H3074" s="691">
        <v>33.799999999999997</v>
      </c>
      <c r="I3074" s="691">
        <v>32.200000000000003</v>
      </c>
      <c r="J3074" s="691">
        <v>30.4</v>
      </c>
      <c r="K3074" s="615">
        <v>33</v>
      </c>
    </row>
    <row r="3075" spans="1:11">
      <c r="A3075" s="688" t="s">
        <v>2240</v>
      </c>
      <c r="B3075" s="689">
        <v>36.5</v>
      </c>
      <c r="C3075" s="689">
        <v>36.9</v>
      </c>
      <c r="D3075" s="689">
        <v>36.700000000000003</v>
      </c>
      <c r="E3075" s="689">
        <v>37.200000000000003</v>
      </c>
      <c r="F3075" s="689">
        <v>37.1</v>
      </c>
      <c r="G3075" s="689">
        <v>37.200000000000003</v>
      </c>
      <c r="H3075" s="689">
        <v>37.4</v>
      </c>
      <c r="I3075" s="689">
        <v>36.4</v>
      </c>
      <c r="J3075" s="689">
        <v>35.4</v>
      </c>
      <c r="K3075" s="689">
        <v>37.200000000000003</v>
      </c>
    </row>
    <row r="3076" spans="1:11">
      <c r="A3076" s="688" t="s">
        <v>2</v>
      </c>
      <c r="B3076" s="691">
        <v>38.4</v>
      </c>
      <c r="C3076" s="691">
        <v>38.700000000000003</v>
      </c>
      <c r="D3076" s="691">
        <v>38.700000000000003</v>
      </c>
      <c r="E3076" s="691">
        <v>38.9</v>
      </c>
      <c r="F3076" s="691">
        <v>39.1</v>
      </c>
      <c r="G3076" s="615">
        <v>39</v>
      </c>
      <c r="H3076" s="691">
        <v>39.299999999999997</v>
      </c>
      <c r="I3076" s="691">
        <v>39.5</v>
      </c>
      <c r="J3076" s="691">
        <v>39.299999999999997</v>
      </c>
      <c r="K3076" s="691">
        <v>39.200000000000003</v>
      </c>
    </row>
    <row r="3077" spans="1:11">
      <c r="A3077" s="688" t="s">
        <v>3</v>
      </c>
      <c r="B3077" s="689">
        <v>38.700000000000003</v>
      </c>
      <c r="C3077" s="693">
        <v>39</v>
      </c>
      <c r="D3077" s="689">
        <v>38.700000000000003</v>
      </c>
      <c r="E3077" s="689">
        <v>38.9</v>
      </c>
      <c r="F3077" s="693">
        <v>39</v>
      </c>
      <c r="G3077" s="689">
        <v>38.9</v>
      </c>
      <c r="H3077" s="689">
        <v>39.200000000000003</v>
      </c>
      <c r="I3077" s="693">
        <v>39</v>
      </c>
      <c r="J3077" s="689">
        <v>38.700000000000003</v>
      </c>
      <c r="K3077" s="689">
        <v>38.6</v>
      </c>
    </row>
    <row r="3078" spans="1:11">
      <c r="A3078" s="688" t="s">
        <v>4061</v>
      </c>
      <c r="B3078" s="691">
        <v>38.700000000000003</v>
      </c>
      <c r="C3078" s="615">
        <v>39</v>
      </c>
      <c r="D3078" s="691">
        <v>38.700000000000003</v>
      </c>
      <c r="E3078" s="691">
        <v>38.9</v>
      </c>
      <c r="F3078" s="615">
        <v>39</v>
      </c>
      <c r="G3078" s="691">
        <v>38.9</v>
      </c>
      <c r="H3078" s="691">
        <v>39.200000000000003</v>
      </c>
      <c r="I3078" s="615">
        <v>39</v>
      </c>
      <c r="J3078" s="691">
        <v>38.700000000000003</v>
      </c>
      <c r="K3078" s="691">
        <v>38.6</v>
      </c>
    </row>
    <row r="3079" spans="1:11">
      <c r="A3079" s="688" t="s">
        <v>4</v>
      </c>
      <c r="B3079" s="689">
        <v>36.299999999999997</v>
      </c>
      <c r="C3079" s="689">
        <v>36.1</v>
      </c>
      <c r="D3079" s="689">
        <v>36.5</v>
      </c>
      <c r="E3079" s="689">
        <v>36.6</v>
      </c>
      <c r="F3079" s="689">
        <v>36.799999999999997</v>
      </c>
      <c r="G3079" s="689">
        <v>36.799999999999997</v>
      </c>
      <c r="H3079" s="689">
        <v>37.200000000000003</v>
      </c>
      <c r="I3079" s="693">
        <v>37</v>
      </c>
      <c r="J3079" s="689">
        <v>35.700000000000003</v>
      </c>
      <c r="K3079" s="689">
        <v>36.6</v>
      </c>
    </row>
    <row r="3080" spans="1:11">
      <c r="A3080" s="688" t="s">
        <v>8</v>
      </c>
      <c r="B3080" s="691">
        <v>39.200000000000003</v>
      </c>
      <c r="C3080" s="691">
        <v>39.4</v>
      </c>
      <c r="D3080" s="691">
        <v>39.5</v>
      </c>
      <c r="E3080" s="691">
        <v>39.6</v>
      </c>
      <c r="F3080" s="615">
        <v>40</v>
      </c>
      <c r="G3080" s="615">
        <v>40</v>
      </c>
      <c r="H3080" s="691">
        <v>40.4</v>
      </c>
      <c r="I3080" s="691">
        <v>40.299999999999997</v>
      </c>
      <c r="J3080" s="691">
        <v>40.1</v>
      </c>
      <c r="K3080" s="691">
        <v>40.299999999999997</v>
      </c>
    </row>
    <row r="3081" spans="1:11">
      <c r="A3081" s="688" t="s">
        <v>7</v>
      </c>
      <c r="B3081" s="689">
        <v>39.6</v>
      </c>
      <c r="C3081" s="689">
        <v>39.200000000000003</v>
      </c>
      <c r="D3081" s="693">
        <v>39</v>
      </c>
      <c r="E3081" s="689">
        <v>39.299999999999997</v>
      </c>
      <c r="F3081" s="689">
        <v>39.200000000000003</v>
      </c>
      <c r="G3081" s="689">
        <v>39.6</v>
      </c>
      <c r="H3081" s="689">
        <v>39.6</v>
      </c>
      <c r="I3081" s="689">
        <v>39.200000000000003</v>
      </c>
      <c r="J3081" s="689">
        <v>38.299999999999997</v>
      </c>
      <c r="K3081" s="689">
        <v>38.9</v>
      </c>
    </row>
    <row r="3082" spans="1:11">
      <c r="A3082" s="688" t="s">
        <v>27</v>
      </c>
      <c r="B3082" s="615">
        <v>41</v>
      </c>
      <c r="C3082" s="691">
        <v>40.799999999999997</v>
      </c>
      <c r="D3082" s="691">
        <v>40.5</v>
      </c>
      <c r="E3082" s="691">
        <v>40.9</v>
      </c>
      <c r="F3082" s="691">
        <v>40.9</v>
      </c>
      <c r="G3082" s="615">
        <v>41</v>
      </c>
      <c r="H3082" s="691">
        <v>41.4</v>
      </c>
      <c r="I3082" s="691">
        <v>40.1</v>
      </c>
      <c r="J3082" s="691">
        <v>40.9</v>
      </c>
      <c r="K3082" s="691">
        <v>40.9</v>
      </c>
    </row>
    <row r="3083" spans="1:11">
      <c r="A3083" s="688" t="s">
        <v>6</v>
      </c>
      <c r="B3083" s="689">
        <v>40.700000000000003</v>
      </c>
      <c r="C3083" s="689">
        <v>40.700000000000003</v>
      </c>
      <c r="D3083" s="689">
        <v>40.4</v>
      </c>
      <c r="E3083" s="689">
        <v>40.6</v>
      </c>
      <c r="F3083" s="689">
        <v>40.700000000000003</v>
      </c>
      <c r="G3083" s="689">
        <v>40.799999999999997</v>
      </c>
      <c r="H3083" s="693">
        <v>41</v>
      </c>
      <c r="I3083" s="689">
        <v>40.4</v>
      </c>
      <c r="J3083" s="689">
        <v>40.5</v>
      </c>
      <c r="K3083" s="689">
        <v>40.6</v>
      </c>
    </row>
    <row r="3084" spans="1:11">
      <c r="A3084" s="688" t="s">
        <v>4058</v>
      </c>
      <c r="B3084" s="692" t="s">
        <v>4060</v>
      </c>
      <c r="C3084" s="692" t="s">
        <v>4060</v>
      </c>
      <c r="D3084" s="692" t="s">
        <v>4060</v>
      </c>
      <c r="E3084" s="692" t="s">
        <v>4060</v>
      </c>
      <c r="F3084" s="692" t="s">
        <v>4060</v>
      </c>
      <c r="G3084" s="692" t="s">
        <v>4060</v>
      </c>
      <c r="H3084" s="692" t="s">
        <v>4060</v>
      </c>
      <c r="I3084" s="692" t="s">
        <v>4060</v>
      </c>
      <c r="J3084" s="692" t="s">
        <v>4060</v>
      </c>
      <c r="K3084" s="692" t="s">
        <v>4060</v>
      </c>
    </row>
    <row r="3085" spans="1:11">
      <c r="A3085" s="688" t="s">
        <v>11</v>
      </c>
      <c r="B3085" s="689">
        <v>36.1</v>
      </c>
      <c r="C3085" s="689">
        <v>36.1</v>
      </c>
      <c r="D3085" s="689">
        <v>35.700000000000003</v>
      </c>
      <c r="E3085" s="689">
        <v>36.299999999999997</v>
      </c>
      <c r="F3085" s="689">
        <v>36.1</v>
      </c>
      <c r="G3085" s="689">
        <v>36.299999999999997</v>
      </c>
      <c r="H3085" s="689">
        <v>36.6</v>
      </c>
      <c r="I3085" s="689">
        <v>35.799999999999997</v>
      </c>
      <c r="J3085" s="689">
        <v>34.9</v>
      </c>
      <c r="K3085" s="693">
        <v>36</v>
      </c>
    </row>
    <row r="3086" spans="1:11">
      <c r="A3086" s="688" t="s">
        <v>10</v>
      </c>
      <c r="B3086" s="691">
        <v>40.799999999999997</v>
      </c>
      <c r="C3086" s="691">
        <v>40.700000000000003</v>
      </c>
      <c r="D3086" s="691">
        <v>40.299999999999997</v>
      </c>
      <c r="E3086" s="691">
        <v>40.9</v>
      </c>
      <c r="F3086" s="691">
        <v>40.700000000000003</v>
      </c>
      <c r="G3086" s="691">
        <v>41.1</v>
      </c>
      <c r="H3086" s="691">
        <v>41.2</v>
      </c>
      <c r="I3086" s="615">
        <v>40</v>
      </c>
      <c r="J3086" s="691">
        <v>40.5</v>
      </c>
      <c r="K3086" s="691">
        <v>40.6</v>
      </c>
    </row>
    <row r="3087" spans="1:11">
      <c r="A3087" s="688" t="s">
        <v>30</v>
      </c>
      <c r="B3087" s="689">
        <v>40.4</v>
      </c>
      <c r="C3087" s="689">
        <v>40.1</v>
      </c>
      <c r="D3087" s="689">
        <v>39.9</v>
      </c>
      <c r="E3087" s="689">
        <v>40.6</v>
      </c>
      <c r="F3087" s="689">
        <v>40.200000000000003</v>
      </c>
      <c r="G3087" s="689">
        <v>40.799999999999997</v>
      </c>
      <c r="H3087" s="689">
        <v>40.6</v>
      </c>
      <c r="I3087" s="689">
        <v>40.5</v>
      </c>
      <c r="J3087" s="689">
        <v>39.700000000000003</v>
      </c>
      <c r="K3087" s="689">
        <v>40.1</v>
      </c>
    </row>
    <row r="3088" spans="1:11">
      <c r="A3088" s="688" t="s">
        <v>12</v>
      </c>
      <c r="B3088" s="691">
        <v>33.700000000000003</v>
      </c>
      <c r="C3088" s="691">
        <v>33.799999999999997</v>
      </c>
      <c r="D3088" s="615">
        <v>34</v>
      </c>
      <c r="E3088" s="691">
        <v>34.1</v>
      </c>
      <c r="F3088" s="691">
        <v>34.200000000000003</v>
      </c>
      <c r="G3088" s="691">
        <v>34.1</v>
      </c>
      <c r="H3088" s="691">
        <v>34.700000000000003</v>
      </c>
      <c r="I3088" s="691">
        <v>34.4</v>
      </c>
      <c r="J3088" s="691">
        <v>32.200000000000003</v>
      </c>
      <c r="K3088" s="691">
        <v>33.6</v>
      </c>
    </row>
    <row r="3089" spans="1:11">
      <c r="A3089" s="688" t="s">
        <v>14</v>
      </c>
      <c r="B3089" s="689">
        <v>33.799999999999997</v>
      </c>
      <c r="C3089" s="689">
        <v>34.200000000000003</v>
      </c>
      <c r="D3089" s="693">
        <v>34</v>
      </c>
      <c r="E3089" s="689">
        <v>34.1</v>
      </c>
      <c r="F3089" s="689">
        <v>34.799999999999997</v>
      </c>
      <c r="G3089" s="693">
        <v>35</v>
      </c>
      <c r="H3089" s="689">
        <v>35.299999999999997</v>
      </c>
      <c r="I3089" s="693">
        <v>34</v>
      </c>
      <c r="J3089" s="689">
        <v>33.299999999999997</v>
      </c>
      <c r="K3089" s="689">
        <v>34.6</v>
      </c>
    </row>
    <row r="3090" spans="1:11">
      <c r="A3090" s="688" t="s">
        <v>15</v>
      </c>
      <c r="B3090" s="615">
        <v>40</v>
      </c>
      <c r="C3090" s="691">
        <v>39.9</v>
      </c>
      <c r="D3090" s="691">
        <v>39.9</v>
      </c>
      <c r="E3090" s="691">
        <v>40.200000000000003</v>
      </c>
      <c r="F3090" s="691">
        <v>39.799999999999997</v>
      </c>
      <c r="G3090" s="691">
        <v>40.1</v>
      </c>
      <c r="H3090" s="691">
        <v>40.4</v>
      </c>
      <c r="I3090" s="615">
        <v>40</v>
      </c>
      <c r="J3090" s="691">
        <v>40.4</v>
      </c>
      <c r="K3090" s="691">
        <v>40.799999999999997</v>
      </c>
    </row>
    <row r="3091" spans="1:11">
      <c r="A3091" s="688" t="s">
        <v>29</v>
      </c>
      <c r="B3091" s="689">
        <v>34.1</v>
      </c>
      <c r="C3091" s="689">
        <v>34.1</v>
      </c>
      <c r="D3091" s="689">
        <v>33.9</v>
      </c>
      <c r="E3091" s="689">
        <v>34.299999999999997</v>
      </c>
      <c r="F3091" s="689">
        <v>34.1</v>
      </c>
      <c r="G3091" s="689">
        <v>34.299999999999997</v>
      </c>
      <c r="H3091" s="689">
        <v>34.5</v>
      </c>
      <c r="I3091" s="689">
        <v>33.799999999999997</v>
      </c>
      <c r="J3091" s="689">
        <v>32.5</v>
      </c>
      <c r="K3091" s="689">
        <v>34.200000000000003</v>
      </c>
    </row>
    <row r="3092" spans="1:11">
      <c r="A3092" s="688" t="s">
        <v>16</v>
      </c>
      <c r="B3092" s="615">
        <v>40</v>
      </c>
      <c r="C3092" s="615">
        <v>40</v>
      </c>
      <c r="D3092" s="615">
        <v>40</v>
      </c>
      <c r="E3092" s="691">
        <v>40.5</v>
      </c>
      <c r="F3092" s="691">
        <v>40.299999999999997</v>
      </c>
      <c r="G3092" s="691">
        <v>40.200000000000003</v>
      </c>
      <c r="H3092" s="691">
        <v>40.6</v>
      </c>
      <c r="I3092" s="691">
        <v>39.9</v>
      </c>
      <c r="J3092" s="615">
        <v>40</v>
      </c>
      <c r="K3092" s="691">
        <v>40.200000000000003</v>
      </c>
    </row>
    <row r="3093" spans="1:11">
      <c r="A3093" s="688" t="s">
        <v>17</v>
      </c>
      <c r="B3093" s="689">
        <v>39.4</v>
      </c>
      <c r="C3093" s="689">
        <v>39.6</v>
      </c>
      <c r="D3093" s="689">
        <v>39.4</v>
      </c>
      <c r="E3093" s="689">
        <v>39.5</v>
      </c>
      <c r="F3093" s="689">
        <v>39.700000000000003</v>
      </c>
      <c r="G3093" s="689">
        <v>39.700000000000003</v>
      </c>
      <c r="H3093" s="693">
        <v>40</v>
      </c>
      <c r="I3093" s="689">
        <v>39.4</v>
      </c>
      <c r="J3093" s="689">
        <v>39.299999999999997</v>
      </c>
      <c r="K3093" s="689">
        <v>39.6</v>
      </c>
    </row>
    <row r="3094" spans="1:11">
      <c r="A3094" s="688" t="s">
        <v>19</v>
      </c>
      <c r="B3094" s="691">
        <v>39.4</v>
      </c>
      <c r="C3094" s="691">
        <v>39.5</v>
      </c>
      <c r="D3094" s="691">
        <v>39.200000000000003</v>
      </c>
      <c r="E3094" s="691">
        <v>39.700000000000003</v>
      </c>
      <c r="F3094" s="691">
        <v>39.700000000000003</v>
      </c>
      <c r="G3094" s="691">
        <v>39.700000000000003</v>
      </c>
      <c r="H3094" s="615">
        <v>40</v>
      </c>
      <c r="I3094" s="691">
        <v>39.4</v>
      </c>
      <c r="J3094" s="691">
        <v>39.299999999999997</v>
      </c>
      <c r="K3094" s="691">
        <v>39.5</v>
      </c>
    </row>
    <row r="3095" spans="1:11">
      <c r="A3095" s="688" t="s">
        <v>20</v>
      </c>
      <c r="B3095" s="689">
        <v>35.799999999999997</v>
      </c>
      <c r="C3095" s="689">
        <v>36.200000000000003</v>
      </c>
      <c r="D3095" s="689">
        <v>35.9</v>
      </c>
      <c r="E3095" s="689">
        <v>36.299999999999997</v>
      </c>
      <c r="F3095" s="689">
        <v>36.200000000000003</v>
      </c>
      <c r="G3095" s="689">
        <v>36.200000000000003</v>
      </c>
      <c r="H3095" s="689">
        <v>36.4</v>
      </c>
      <c r="I3095" s="693">
        <v>35</v>
      </c>
      <c r="J3095" s="689">
        <v>34.1</v>
      </c>
      <c r="K3095" s="689">
        <v>35.799999999999997</v>
      </c>
    </row>
    <row r="3096" spans="1:11">
      <c r="A3096" s="688" t="s">
        <v>21</v>
      </c>
      <c r="B3096" s="691">
        <v>39.1</v>
      </c>
      <c r="C3096" s="691">
        <v>39.4</v>
      </c>
      <c r="D3096" s="691">
        <v>39.4</v>
      </c>
      <c r="E3096" s="691">
        <v>39.4</v>
      </c>
      <c r="F3096" s="691">
        <v>39.700000000000003</v>
      </c>
      <c r="G3096" s="691">
        <v>39.700000000000003</v>
      </c>
      <c r="H3096" s="615">
        <v>40</v>
      </c>
      <c r="I3096" s="691">
        <v>39.4</v>
      </c>
      <c r="J3096" s="691">
        <v>39.5</v>
      </c>
      <c r="K3096" s="691">
        <v>39.799999999999997</v>
      </c>
    </row>
    <row r="3097" spans="1:11">
      <c r="A3097" s="688" t="s">
        <v>22</v>
      </c>
      <c r="B3097" s="689">
        <v>34.200000000000003</v>
      </c>
      <c r="C3097" s="689">
        <v>33.9</v>
      </c>
      <c r="D3097" s="689">
        <v>33.9</v>
      </c>
      <c r="E3097" s="689">
        <v>34.1</v>
      </c>
      <c r="F3097" s="689">
        <v>34.1</v>
      </c>
      <c r="G3097" s="689">
        <v>34.1</v>
      </c>
      <c r="H3097" s="689">
        <v>34.299999999999997</v>
      </c>
      <c r="I3097" s="689">
        <v>32.9</v>
      </c>
      <c r="J3097" s="689">
        <v>31.6</v>
      </c>
      <c r="K3097" s="689">
        <v>33.799999999999997</v>
      </c>
    </row>
    <row r="3098" spans="1:11">
      <c r="A3098" s="688" t="s">
        <v>26</v>
      </c>
      <c r="B3098" s="691">
        <v>38.6</v>
      </c>
      <c r="C3098" s="691">
        <v>38.799999999999997</v>
      </c>
      <c r="D3098" s="691">
        <v>38.6</v>
      </c>
      <c r="E3098" s="615">
        <v>39</v>
      </c>
      <c r="F3098" s="691">
        <v>38.9</v>
      </c>
      <c r="G3098" s="691">
        <v>39.1</v>
      </c>
      <c r="H3098" s="691">
        <v>39.4</v>
      </c>
      <c r="I3098" s="691">
        <v>38.4</v>
      </c>
      <c r="J3098" s="691">
        <v>38.5</v>
      </c>
      <c r="K3098" s="691">
        <v>39.200000000000003</v>
      </c>
    </row>
    <row r="3099" spans="1:11">
      <c r="A3099" s="688" t="s">
        <v>25</v>
      </c>
      <c r="B3099" s="689">
        <v>35.200000000000003</v>
      </c>
      <c r="C3099" s="689">
        <v>35.5</v>
      </c>
      <c r="D3099" s="689">
        <v>35.299999999999997</v>
      </c>
      <c r="E3099" s="689">
        <v>35.799999999999997</v>
      </c>
      <c r="F3099" s="689">
        <v>35.700000000000003</v>
      </c>
      <c r="G3099" s="689">
        <v>35.799999999999997</v>
      </c>
      <c r="H3099" s="689">
        <v>36.299999999999997</v>
      </c>
      <c r="I3099" s="689">
        <v>35.5</v>
      </c>
      <c r="J3099" s="689">
        <v>33.200000000000003</v>
      </c>
      <c r="K3099" s="689">
        <v>35.6</v>
      </c>
    </row>
    <row r="3100" spans="1:11">
      <c r="A3100" s="688" t="s">
        <v>5</v>
      </c>
      <c r="B3100" s="691">
        <v>39.4</v>
      </c>
      <c r="C3100" s="691">
        <v>39.299999999999997</v>
      </c>
      <c r="D3100" s="691">
        <v>39.5</v>
      </c>
      <c r="E3100" s="691">
        <v>39.5</v>
      </c>
      <c r="F3100" s="691">
        <v>39.700000000000003</v>
      </c>
      <c r="G3100" s="691">
        <v>39.799999999999997</v>
      </c>
      <c r="H3100" s="691">
        <v>40.200000000000003</v>
      </c>
      <c r="I3100" s="691">
        <v>40.1</v>
      </c>
      <c r="J3100" s="691">
        <v>39.9</v>
      </c>
      <c r="K3100" s="691">
        <v>39.4</v>
      </c>
    </row>
    <row r="3101" spans="1:11">
      <c r="A3101" s="688" t="s">
        <v>23</v>
      </c>
      <c r="B3101" s="693">
        <v>40</v>
      </c>
      <c r="C3101" s="689">
        <v>40.200000000000003</v>
      </c>
      <c r="D3101" s="689">
        <v>40.200000000000003</v>
      </c>
      <c r="E3101" s="689">
        <v>40.4</v>
      </c>
      <c r="F3101" s="689">
        <v>40.5</v>
      </c>
      <c r="G3101" s="689">
        <v>40.6</v>
      </c>
      <c r="H3101" s="693">
        <v>41</v>
      </c>
      <c r="I3101" s="689">
        <v>40.4</v>
      </c>
      <c r="J3101" s="693">
        <v>41</v>
      </c>
      <c r="K3101" s="693">
        <v>41</v>
      </c>
    </row>
    <row r="3102" spans="1:11">
      <c r="A3102" s="688" t="s">
        <v>4067</v>
      </c>
      <c r="B3102" s="691">
        <v>38.799999999999997</v>
      </c>
      <c r="C3102" s="691">
        <v>39.200000000000003</v>
      </c>
      <c r="D3102" s="691">
        <v>38.799999999999997</v>
      </c>
      <c r="E3102" s="691">
        <v>39.200000000000003</v>
      </c>
      <c r="F3102" s="691">
        <v>39.1</v>
      </c>
      <c r="G3102" s="691">
        <v>39.200000000000003</v>
      </c>
      <c r="H3102" s="692" t="s">
        <v>4060</v>
      </c>
      <c r="I3102" s="692" t="s">
        <v>4060</v>
      </c>
      <c r="J3102" s="692" t="s">
        <v>4060</v>
      </c>
      <c r="K3102" s="692" t="s">
        <v>4060</v>
      </c>
    </row>
    <row r="3103" spans="1:11">
      <c r="A3103" s="688" t="s">
        <v>4066</v>
      </c>
      <c r="B3103" s="689">
        <v>38.799999999999997</v>
      </c>
      <c r="C3103" s="689">
        <v>39.200000000000003</v>
      </c>
      <c r="D3103" s="689">
        <v>38.9</v>
      </c>
      <c r="E3103" s="689">
        <v>39.200000000000003</v>
      </c>
      <c r="F3103" s="689">
        <v>39.200000000000003</v>
      </c>
      <c r="G3103" s="689">
        <v>39.299999999999997</v>
      </c>
      <c r="H3103" s="690" t="s">
        <v>4060</v>
      </c>
      <c r="I3103" s="690" t="s">
        <v>4060</v>
      </c>
      <c r="J3103" s="690" t="s">
        <v>4060</v>
      </c>
      <c r="K3103" s="690" t="s">
        <v>4060</v>
      </c>
    </row>
    <row r="3104" spans="1:11">
      <c r="A3104" s="688" t="s">
        <v>4062</v>
      </c>
      <c r="B3104" s="691">
        <v>40.5</v>
      </c>
      <c r="C3104" s="691">
        <v>40.700000000000003</v>
      </c>
      <c r="D3104" s="691">
        <v>40.6</v>
      </c>
      <c r="E3104" s="615">
        <v>41</v>
      </c>
      <c r="F3104" s="691">
        <v>41.1</v>
      </c>
      <c r="G3104" s="691">
        <v>41.2</v>
      </c>
      <c r="H3104" s="691">
        <v>41.4</v>
      </c>
      <c r="I3104" s="691">
        <v>41.1</v>
      </c>
      <c r="J3104" s="691">
        <v>41.4</v>
      </c>
      <c r="K3104" s="691">
        <v>41.1</v>
      </c>
    </row>
    <row r="3105" spans="1:11">
      <c r="A3105" s="688" t="s">
        <v>9</v>
      </c>
      <c r="B3105" s="689">
        <v>40.200000000000003</v>
      </c>
      <c r="C3105" s="689">
        <v>40.6</v>
      </c>
      <c r="D3105" s="689">
        <v>40.4</v>
      </c>
      <c r="E3105" s="689">
        <v>40.1</v>
      </c>
      <c r="F3105" s="689">
        <v>40.6</v>
      </c>
      <c r="G3105" s="689">
        <v>40.799999999999997</v>
      </c>
      <c r="H3105" s="689">
        <v>40.9</v>
      </c>
      <c r="I3105" s="693">
        <v>41</v>
      </c>
      <c r="J3105" s="689">
        <v>41.2</v>
      </c>
      <c r="K3105" s="689">
        <v>40.200000000000003</v>
      </c>
    </row>
    <row r="3106" spans="1:11">
      <c r="A3106" s="688" t="s">
        <v>13</v>
      </c>
      <c r="B3106" s="691">
        <v>40.4</v>
      </c>
      <c r="C3106" s="691">
        <v>39.9</v>
      </c>
      <c r="D3106" s="691">
        <v>40.6</v>
      </c>
      <c r="E3106" s="691">
        <v>40.200000000000003</v>
      </c>
      <c r="F3106" s="691">
        <v>41.1</v>
      </c>
      <c r="G3106" s="691">
        <v>40.9</v>
      </c>
      <c r="H3106" s="691">
        <v>41.4</v>
      </c>
      <c r="I3106" s="691">
        <v>40.4</v>
      </c>
      <c r="J3106" s="691">
        <v>41.5</v>
      </c>
      <c r="K3106" s="691">
        <v>41.8</v>
      </c>
    </row>
    <row r="3107" spans="1:11">
      <c r="A3107" s="688" t="s">
        <v>18</v>
      </c>
      <c r="B3107" s="689">
        <v>39.9</v>
      </c>
      <c r="C3107" s="689">
        <v>40.1</v>
      </c>
      <c r="D3107" s="689">
        <v>40.200000000000003</v>
      </c>
      <c r="E3107" s="689">
        <v>40.4</v>
      </c>
      <c r="F3107" s="689">
        <v>40.6</v>
      </c>
      <c r="G3107" s="689">
        <v>40.700000000000003</v>
      </c>
      <c r="H3107" s="689">
        <v>40.9</v>
      </c>
      <c r="I3107" s="689">
        <v>41.1</v>
      </c>
      <c r="J3107" s="693">
        <v>41</v>
      </c>
      <c r="K3107" s="689">
        <v>40.5</v>
      </c>
    </row>
    <row r="3108" spans="1:11">
      <c r="A3108" s="688" t="s">
        <v>24</v>
      </c>
      <c r="B3108" s="615">
        <v>41</v>
      </c>
      <c r="C3108" s="691">
        <v>41.1</v>
      </c>
      <c r="D3108" s="691">
        <v>40.9</v>
      </c>
      <c r="E3108" s="691">
        <v>41.4</v>
      </c>
      <c r="F3108" s="691">
        <v>41.4</v>
      </c>
      <c r="G3108" s="691">
        <v>41.5</v>
      </c>
      <c r="H3108" s="691">
        <v>41.7</v>
      </c>
      <c r="I3108" s="615">
        <v>41</v>
      </c>
      <c r="J3108" s="691">
        <v>41.6</v>
      </c>
      <c r="K3108" s="691">
        <v>41.5</v>
      </c>
    </row>
    <row r="3109" spans="1:11">
      <c r="A3109" s="688" t="s">
        <v>4059</v>
      </c>
      <c r="B3109" s="689">
        <v>39.299999999999997</v>
      </c>
      <c r="C3109" s="689">
        <v>39.6</v>
      </c>
      <c r="D3109" s="689">
        <v>39.299999999999997</v>
      </c>
      <c r="E3109" s="689">
        <v>39.5</v>
      </c>
      <c r="F3109" s="689">
        <v>39.5</v>
      </c>
      <c r="G3109" s="689">
        <v>39.5</v>
      </c>
      <c r="H3109" s="690" t="s">
        <v>4060</v>
      </c>
      <c r="I3109" s="690" t="s">
        <v>4060</v>
      </c>
      <c r="J3109" s="690" t="s">
        <v>4060</v>
      </c>
      <c r="K3109" s="690" t="s">
        <v>4060</v>
      </c>
    </row>
    <row r="3110" spans="1:11">
      <c r="A3110" s="688" t="s">
        <v>2324</v>
      </c>
      <c r="B3110" s="691">
        <v>34.9</v>
      </c>
      <c r="C3110" s="615">
        <v>35</v>
      </c>
      <c r="D3110" s="691">
        <v>34.6</v>
      </c>
      <c r="E3110" s="691">
        <v>34.700000000000003</v>
      </c>
      <c r="F3110" s="691">
        <v>34.9</v>
      </c>
      <c r="G3110" s="615">
        <v>35</v>
      </c>
      <c r="H3110" s="615">
        <v>35</v>
      </c>
      <c r="I3110" s="691">
        <v>34.200000000000003</v>
      </c>
      <c r="J3110" s="615">
        <v>32</v>
      </c>
      <c r="K3110" s="692" t="s">
        <v>4060</v>
      </c>
    </row>
    <row r="3111" spans="1:11">
      <c r="A3111" s="688" t="s">
        <v>2322</v>
      </c>
      <c r="B3111" s="690" t="s">
        <v>4060</v>
      </c>
      <c r="C3111" s="690" t="s">
        <v>4060</v>
      </c>
      <c r="D3111" s="690" t="s">
        <v>4060</v>
      </c>
      <c r="E3111" s="690" t="s">
        <v>4060</v>
      </c>
      <c r="F3111" s="690" t="s">
        <v>4060</v>
      </c>
      <c r="G3111" s="690" t="s">
        <v>4060</v>
      </c>
      <c r="H3111" s="690" t="s">
        <v>4060</v>
      </c>
      <c r="I3111" s="690" t="s">
        <v>4060</v>
      </c>
      <c r="J3111" s="690" t="s">
        <v>4060</v>
      </c>
      <c r="K3111" s="690" t="s">
        <v>4060</v>
      </c>
    </row>
    <row r="3112" spans="1:11">
      <c r="A3112" s="688" t="s">
        <v>2328</v>
      </c>
      <c r="B3112" s="691">
        <v>34.200000000000003</v>
      </c>
      <c r="C3112" s="691">
        <v>34.1</v>
      </c>
      <c r="D3112" s="691">
        <v>34.1</v>
      </c>
      <c r="E3112" s="691">
        <v>34.299999999999997</v>
      </c>
      <c r="F3112" s="691">
        <v>34.6</v>
      </c>
      <c r="G3112" s="615">
        <v>35</v>
      </c>
      <c r="H3112" s="691">
        <v>34.9</v>
      </c>
      <c r="I3112" s="691">
        <v>32.700000000000003</v>
      </c>
      <c r="J3112" s="691">
        <v>31.7</v>
      </c>
      <c r="K3112" s="692" t="s">
        <v>4060</v>
      </c>
    </row>
    <row r="3113" spans="1:11">
      <c r="A3113" s="688" t="s">
        <v>2496</v>
      </c>
      <c r="B3113" s="690" t="s">
        <v>4060</v>
      </c>
      <c r="C3113" s="689">
        <v>33.6</v>
      </c>
      <c r="D3113" s="689">
        <v>32.6</v>
      </c>
      <c r="E3113" s="689">
        <v>32.4</v>
      </c>
      <c r="F3113" s="693">
        <v>33</v>
      </c>
      <c r="G3113" s="689">
        <v>33.299999999999997</v>
      </c>
      <c r="H3113" s="689">
        <v>33.299999999999997</v>
      </c>
      <c r="I3113" s="690" t="s">
        <v>4060</v>
      </c>
      <c r="J3113" s="690" t="s">
        <v>4060</v>
      </c>
      <c r="K3113" s="689">
        <v>32.9</v>
      </c>
    </row>
    <row r="3114" spans="1:11">
      <c r="A3114" s="688" t="s">
        <v>2269</v>
      </c>
      <c r="B3114" s="615">
        <v>37</v>
      </c>
      <c r="C3114" s="691">
        <v>37.200000000000003</v>
      </c>
      <c r="D3114" s="691">
        <v>36.700000000000003</v>
      </c>
      <c r="E3114" s="691">
        <v>37.299999999999997</v>
      </c>
      <c r="F3114" s="691">
        <v>37.200000000000003</v>
      </c>
      <c r="G3114" s="691">
        <v>37.6</v>
      </c>
      <c r="H3114" s="691">
        <v>37.9</v>
      </c>
      <c r="I3114" s="615">
        <v>36</v>
      </c>
      <c r="J3114" s="691">
        <v>34.1</v>
      </c>
      <c r="K3114" s="691">
        <v>37.5</v>
      </c>
    </row>
    <row r="3115" spans="1:11">
      <c r="A3115" s="688" t="s">
        <v>2349</v>
      </c>
      <c r="B3115" s="689">
        <v>33.9</v>
      </c>
      <c r="C3115" s="689">
        <v>33.9</v>
      </c>
      <c r="D3115" s="689">
        <v>33.799999999999997</v>
      </c>
      <c r="E3115" s="689">
        <v>34.200000000000003</v>
      </c>
      <c r="F3115" s="689">
        <v>34.1</v>
      </c>
      <c r="G3115" s="689">
        <v>34.4</v>
      </c>
      <c r="H3115" s="689">
        <v>34.4</v>
      </c>
      <c r="I3115" s="689">
        <v>32.9</v>
      </c>
      <c r="J3115" s="689">
        <v>31.4</v>
      </c>
      <c r="K3115" s="689">
        <v>33.6</v>
      </c>
    </row>
    <row r="3116" spans="1:11">
      <c r="A3116" s="688" t="s">
        <v>2355</v>
      </c>
      <c r="B3116" s="691">
        <v>37.4</v>
      </c>
      <c r="C3116" s="691">
        <v>37.299999999999997</v>
      </c>
      <c r="D3116" s="691">
        <v>37.200000000000003</v>
      </c>
      <c r="E3116" s="691">
        <v>37.200000000000003</v>
      </c>
      <c r="F3116" s="691">
        <v>37.4</v>
      </c>
      <c r="G3116" s="691">
        <v>37.799999999999997</v>
      </c>
      <c r="H3116" s="691">
        <v>37.9</v>
      </c>
      <c r="I3116" s="692" t="s">
        <v>4060</v>
      </c>
      <c r="J3116" s="692" t="s">
        <v>4060</v>
      </c>
      <c r="K3116" s="692" t="s">
        <v>4060</v>
      </c>
    </row>
    <row r="3117" spans="1:11">
      <c r="A3117" s="688" t="s">
        <v>2357</v>
      </c>
      <c r="B3117" s="690" t="s">
        <v>4060</v>
      </c>
      <c r="C3117" s="689">
        <v>32.1</v>
      </c>
      <c r="D3117" s="689">
        <v>32.6</v>
      </c>
      <c r="E3117" s="689">
        <v>32.799999999999997</v>
      </c>
      <c r="F3117" s="689">
        <v>33.1</v>
      </c>
      <c r="G3117" s="689">
        <v>32.9</v>
      </c>
      <c r="H3117" s="689">
        <v>33.200000000000003</v>
      </c>
      <c r="I3117" s="690" t="s">
        <v>4060</v>
      </c>
      <c r="J3117" s="690" t="s">
        <v>4060</v>
      </c>
      <c r="K3117" s="690" t="s">
        <v>4060</v>
      </c>
    </row>
    <row r="3118" spans="1:11">
      <c r="A3118" s="688" t="s">
        <v>4070</v>
      </c>
      <c r="B3118" s="692" t="s">
        <v>4060</v>
      </c>
      <c r="C3118" s="692" t="s">
        <v>4060</v>
      </c>
      <c r="D3118" s="692" t="s">
        <v>4060</v>
      </c>
      <c r="E3118" s="691">
        <v>36.9</v>
      </c>
      <c r="F3118" s="692" t="s">
        <v>4060</v>
      </c>
      <c r="G3118" s="692" t="s">
        <v>4060</v>
      </c>
      <c r="H3118" s="692" t="s">
        <v>4060</v>
      </c>
      <c r="I3118" s="692" t="s">
        <v>4060</v>
      </c>
      <c r="J3118" s="692" t="s">
        <v>4060</v>
      </c>
      <c r="K3118" s="692" t="s">
        <v>4060</v>
      </c>
    </row>
    <row r="3119" spans="1:11">
      <c r="A3119" s="688" t="s">
        <v>2491</v>
      </c>
      <c r="B3119" s="689">
        <v>32.299999999999997</v>
      </c>
      <c r="C3119" s="689">
        <v>32.700000000000003</v>
      </c>
      <c r="D3119" s="689">
        <v>33.1</v>
      </c>
      <c r="E3119" s="689">
        <v>33.299999999999997</v>
      </c>
      <c r="F3119" s="689">
        <v>33.4</v>
      </c>
      <c r="G3119" s="689">
        <v>33.4</v>
      </c>
      <c r="H3119" s="690" t="s">
        <v>4060</v>
      </c>
      <c r="I3119" s="690" t="s">
        <v>4060</v>
      </c>
      <c r="J3119" s="690" t="s">
        <v>4060</v>
      </c>
      <c r="K3119" s="690" t="s">
        <v>4060</v>
      </c>
    </row>
    <row r="3120" spans="1:11">
      <c r="A3120" s="688" t="s">
        <v>2343</v>
      </c>
      <c r="B3120" s="692" t="s">
        <v>4060</v>
      </c>
      <c r="C3120" s="692" t="s">
        <v>4060</v>
      </c>
      <c r="D3120" s="692" t="s">
        <v>4060</v>
      </c>
      <c r="E3120" s="692" t="s">
        <v>4060</v>
      </c>
      <c r="F3120" s="692" t="s">
        <v>4060</v>
      </c>
      <c r="G3120" s="692" t="s">
        <v>4060</v>
      </c>
      <c r="H3120" s="692" t="s">
        <v>4060</v>
      </c>
      <c r="I3120" s="692" t="s">
        <v>4060</v>
      </c>
      <c r="J3120" s="692" t="s">
        <v>4060</v>
      </c>
      <c r="K3120" s="692" t="s">
        <v>4060</v>
      </c>
    </row>
    <row r="3121" spans="1:11">
      <c r="A3121" s="688" t="s">
        <v>4071</v>
      </c>
      <c r="B3121" s="690" t="s">
        <v>4060</v>
      </c>
      <c r="C3121" s="690" t="s">
        <v>4060</v>
      </c>
      <c r="D3121" s="690" t="s">
        <v>4060</v>
      </c>
      <c r="E3121" s="690" t="s">
        <v>4060</v>
      </c>
      <c r="F3121" s="690" t="s">
        <v>4060</v>
      </c>
      <c r="G3121" s="690" t="s">
        <v>4060</v>
      </c>
      <c r="H3121" s="690" t="s">
        <v>4060</v>
      </c>
      <c r="I3121" s="690" t="s">
        <v>4060</v>
      </c>
      <c r="J3121" s="690" t="s">
        <v>4060</v>
      </c>
      <c r="K3121" s="690" t="s">
        <v>4060</v>
      </c>
    </row>
    <row r="3122" spans="1:11">
      <c r="A3122" s="688" t="s">
        <v>2489</v>
      </c>
      <c r="B3122" s="692" t="s">
        <v>4060</v>
      </c>
      <c r="C3122" s="692" t="s">
        <v>4060</v>
      </c>
      <c r="D3122" s="691">
        <v>34.1</v>
      </c>
      <c r="E3122" s="691">
        <v>34.1</v>
      </c>
      <c r="F3122" s="691">
        <v>34.6</v>
      </c>
      <c r="G3122" s="691">
        <v>35.4</v>
      </c>
      <c r="H3122" s="691">
        <v>35.200000000000003</v>
      </c>
      <c r="I3122" s="692" t="s">
        <v>4060</v>
      </c>
      <c r="J3122" s="692" t="s">
        <v>4060</v>
      </c>
      <c r="K3122" s="692" t="s">
        <v>4060</v>
      </c>
    </row>
    <row r="3123" spans="1:11">
      <c r="A3123" s="688" t="s">
        <v>2490</v>
      </c>
      <c r="B3123" s="693">
        <v>34</v>
      </c>
      <c r="C3123" s="689">
        <v>34.1</v>
      </c>
      <c r="D3123" s="689">
        <v>34.700000000000003</v>
      </c>
      <c r="E3123" s="690" t="s">
        <v>4060</v>
      </c>
      <c r="F3123" s="689">
        <v>34.799999999999997</v>
      </c>
      <c r="G3123" s="689">
        <v>35.1</v>
      </c>
      <c r="H3123" s="689">
        <v>35.9</v>
      </c>
      <c r="I3123" s="690" t="s">
        <v>4060</v>
      </c>
      <c r="J3123" s="690" t="s">
        <v>4060</v>
      </c>
      <c r="K3123" s="690" t="s">
        <v>4060</v>
      </c>
    </row>
    <row r="3125" spans="1:11">
      <c r="A3125" s="683" t="s">
        <v>4233</v>
      </c>
    </row>
    <row r="3126" spans="1:11">
      <c r="A3126" s="683" t="s">
        <v>4060</v>
      </c>
      <c r="B3126" s="682" t="s">
        <v>4234</v>
      </c>
    </row>
    <row r="3128" spans="1:11">
      <c r="A3128" s="682" t="s">
        <v>4248</v>
      </c>
    </row>
    <row r="3129" spans="1:11">
      <c r="A3129" s="682" t="s">
        <v>4210</v>
      </c>
      <c r="B3129" s="683" t="s">
        <v>4211</v>
      </c>
    </row>
    <row r="3130" spans="1:11">
      <c r="A3130" s="682" t="s">
        <v>4212</v>
      </c>
      <c r="B3130" s="682" t="s">
        <v>4213</v>
      </c>
    </row>
    <row r="3132" spans="1:11">
      <c r="A3132" s="683" t="s">
        <v>4214</v>
      </c>
      <c r="C3132" s="682" t="s">
        <v>4215</v>
      </c>
    </row>
    <row r="3133" spans="1:11">
      <c r="A3133" s="683" t="s">
        <v>4216</v>
      </c>
      <c r="C3133" s="682" t="s">
        <v>2967</v>
      </c>
    </row>
    <row r="3134" spans="1:11">
      <c r="A3134" s="683" t="s">
        <v>3893</v>
      </c>
      <c r="C3134" s="682" t="s">
        <v>4217</v>
      </c>
    </row>
    <row r="3135" spans="1:11">
      <c r="A3135" s="683" t="s">
        <v>4218</v>
      </c>
      <c r="C3135" s="682" t="s">
        <v>4279</v>
      </c>
    </row>
    <row r="3137" spans="1:11">
      <c r="A3137" s="684" t="s">
        <v>4220</v>
      </c>
      <c r="B3137" s="685" t="s">
        <v>4221</v>
      </c>
      <c r="C3137" s="685" t="s">
        <v>4222</v>
      </c>
      <c r="D3137" s="685" t="s">
        <v>4223</v>
      </c>
      <c r="E3137" s="685" t="s">
        <v>4224</v>
      </c>
      <c r="F3137" s="685" t="s">
        <v>4225</v>
      </c>
      <c r="G3137" s="685" t="s">
        <v>4226</v>
      </c>
      <c r="H3137" s="685" t="s">
        <v>4227</v>
      </c>
      <c r="I3137" s="685" t="s">
        <v>4228</v>
      </c>
      <c r="J3137" s="685" t="s">
        <v>4229</v>
      </c>
      <c r="K3137" s="685" t="s">
        <v>4230</v>
      </c>
    </row>
    <row r="3138" spans="1:11">
      <c r="A3138" s="686" t="s">
        <v>4231</v>
      </c>
      <c r="B3138" s="687" t="s">
        <v>4232</v>
      </c>
      <c r="C3138" s="687" t="s">
        <v>4232</v>
      </c>
      <c r="D3138" s="687" t="s">
        <v>4232</v>
      </c>
      <c r="E3138" s="687" t="s">
        <v>4232</v>
      </c>
      <c r="F3138" s="687" t="s">
        <v>4232</v>
      </c>
      <c r="G3138" s="687" t="s">
        <v>4232</v>
      </c>
      <c r="H3138" s="687" t="s">
        <v>4232</v>
      </c>
      <c r="I3138" s="687" t="s">
        <v>4232</v>
      </c>
      <c r="J3138" s="687" t="s">
        <v>4232</v>
      </c>
      <c r="K3138" s="687" t="s">
        <v>4232</v>
      </c>
    </row>
    <row r="3139" spans="1:11">
      <c r="A3139" s="688" t="s">
        <v>4064</v>
      </c>
      <c r="B3139" s="689">
        <v>37.799999999999997</v>
      </c>
      <c r="C3139" s="689">
        <v>37.9</v>
      </c>
      <c r="D3139" s="689">
        <v>37.799999999999997</v>
      </c>
      <c r="E3139" s="693">
        <v>38</v>
      </c>
      <c r="F3139" s="693">
        <v>38</v>
      </c>
      <c r="G3139" s="693">
        <v>38</v>
      </c>
      <c r="H3139" s="689">
        <v>38.299999999999997</v>
      </c>
      <c r="I3139" s="689">
        <v>37.5</v>
      </c>
      <c r="J3139" s="689">
        <v>37.200000000000003</v>
      </c>
      <c r="K3139" s="689">
        <v>37.799999999999997</v>
      </c>
    </row>
    <row r="3140" spans="1:11">
      <c r="A3140" s="688" t="s">
        <v>4065</v>
      </c>
      <c r="B3140" s="691">
        <v>37.9</v>
      </c>
      <c r="C3140" s="691">
        <v>38.200000000000003</v>
      </c>
      <c r="D3140" s="691">
        <v>37.9</v>
      </c>
      <c r="E3140" s="691">
        <v>38.200000000000003</v>
      </c>
      <c r="F3140" s="691">
        <v>38.200000000000003</v>
      </c>
      <c r="G3140" s="691">
        <v>38.299999999999997</v>
      </c>
      <c r="H3140" s="692" t="s">
        <v>4060</v>
      </c>
      <c r="I3140" s="692" t="s">
        <v>4060</v>
      </c>
      <c r="J3140" s="692" t="s">
        <v>4060</v>
      </c>
      <c r="K3140" s="692" t="s">
        <v>4060</v>
      </c>
    </row>
    <row r="3141" spans="1:11">
      <c r="A3141" s="688" t="s">
        <v>4063</v>
      </c>
      <c r="B3141" s="689">
        <v>37.9</v>
      </c>
      <c r="C3141" s="689">
        <v>38.200000000000003</v>
      </c>
      <c r="D3141" s="689">
        <v>37.9</v>
      </c>
      <c r="E3141" s="689">
        <v>38.299999999999997</v>
      </c>
      <c r="F3141" s="689">
        <v>38.200000000000003</v>
      </c>
      <c r="G3141" s="689">
        <v>38.299999999999997</v>
      </c>
      <c r="H3141" s="690" t="s">
        <v>4060</v>
      </c>
      <c r="I3141" s="690" t="s">
        <v>4060</v>
      </c>
      <c r="J3141" s="690" t="s">
        <v>4060</v>
      </c>
      <c r="K3141" s="690" t="s">
        <v>4060</v>
      </c>
    </row>
    <row r="3142" spans="1:11">
      <c r="A3142" s="688" t="s">
        <v>4069</v>
      </c>
      <c r="B3142" s="692" t="s">
        <v>4060</v>
      </c>
      <c r="C3142" s="691">
        <v>38.799999999999997</v>
      </c>
      <c r="D3142" s="691">
        <v>38.5</v>
      </c>
      <c r="E3142" s="691">
        <v>38.799999999999997</v>
      </c>
      <c r="F3142" s="691">
        <v>38.799999999999997</v>
      </c>
      <c r="G3142" s="615">
        <v>39</v>
      </c>
      <c r="H3142" s="691">
        <v>39.200000000000003</v>
      </c>
      <c r="I3142" s="691">
        <v>38.5</v>
      </c>
      <c r="J3142" s="691">
        <v>38.5</v>
      </c>
      <c r="K3142" s="691">
        <v>38.700000000000003</v>
      </c>
    </row>
    <row r="3143" spans="1:11">
      <c r="A3143" s="688" t="s">
        <v>4068</v>
      </c>
      <c r="B3143" s="689">
        <v>38.799999999999997</v>
      </c>
      <c r="C3143" s="690" t="s">
        <v>4060</v>
      </c>
      <c r="D3143" s="690" t="s">
        <v>4060</v>
      </c>
      <c r="E3143" s="690" t="s">
        <v>4060</v>
      </c>
      <c r="F3143" s="690" t="s">
        <v>4060</v>
      </c>
      <c r="G3143" s="690" t="s">
        <v>4060</v>
      </c>
      <c r="H3143" s="690" t="s">
        <v>4060</v>
      </c>
      <c r="I3143" s="690" t="s">
        <v>4060</v>
      </c>
      <c r="J3143" s="690" t="s">
        <v>4060</v>
      </c>
      <c r="K3143" s="690" t="s">
        <v>4060</v>
      </c>
    </row>
    <row r="3144" spans="1:11">
      <c r="A3144" s="688" t="s">
        <v>0</v>
      </c>
      <c r="B3144" s="615">
        <v>38</v>
      </c>
      <c r="C3144" s="691">
        <v>38.299999999999997</v>
      </c>
      <c r="D3144" s="691">
        <v>38.1</v>
      </c>
      <c r="E3144" s="691">
        <v>38.5</v>
      </c>
      <c r="F3144" s="691">
        <v>38.6</v>
      </c>
      <c r="G3144" s="691">
        <v>38.700000000000003</v>
      </c>
      <c r="H3144" s="615">
        <v>39</v>
      </c>
      <c r="I3144" s="691">
        <v>37.9</v>
      </c>
      <c r="J3144" s="691">
        <v>38.799999999999997</v>
      </c>
      <c r="K3144" s="691">
        <v>38.799999999999997</v>
      </c>
    </row>
    <row r="3145" spans="1:11">
      <c r="A3145" s="688" t="s">
        <v>1</v>
      </c>
      <c r="B3145" s="693">
        <v>33</v>
      </c>
      <c r="C3145" s="689">
        <v>32.6</v>
      </c>
      <c r="D3145" s="689">
        <v>32.6</v>
      </c>
      <c r="E3145" s="689">
        <v>32.799999999999997</v>
      </c>
      <c r="F3145" s="689">
        <v>32.700000000000003</v>
      </c>
      <c r="G3145" s="689">
        <v>32.799999999999997</v>
      </c>
      <c r="H3145" s="689">
        <v>32.9</v>
      </c>
      <c r="I3145" s="689">
        <v>31.3</v>
      </c>
      <c r="J3145" s="689">
        <v>29.5</v>
      </c>
      <c r="K3145" s="689">
        <v>32.1</v>
      </c>
    </row>
    <row r="3146" spans="1:11">
      <c r="A3146" s="688" t="s">
        <v>2240</v>
      </c>
      <c r="B3146" s="691">
        <v>35.6</v>
      </c>
      <c r="C3146" s="691">
        <v>35.9</v>
      </c>
      <c r="D3146" s="691">
        <v>35.799999999999997</v>
      </c>
      <c r="E3146" s="691">
        <v>36.200000000000003</v>
      </c>
      <c r="F3146" s="691">
        <v>36.200000000000003</v>
      </c>
      <c r="G3146" s="691">
        <v>36.200000000000003</v>
      </c>
      <c r="H3146" s="691">
        <v>36.5</v>
      </c>
      <c r="I3146" s="691">
        <v>35.4</v>
      </c>
      <c r="J3146" s="691">
        <v>34.5</v>
      </c>
      <c r="K3146" s="691">
        <v>36.200000000000003</v>
      </c>
    </row>
    <row r="3147" spans="1:11">
      <c r="A3147" s="688" t="s">
        <v>2</v>
      </c>
      <c r="B3147" s="689">
        <v>37.4</v>
      </c>
      <c r="C3147" s="689">
        <v>37.700000000000003</v>
      </c>
      <c r="D3147" s="689">
        <v>37.799999999999997</v>
      </c>
      <c r="E3147" s="689">
        <v>37.9</v>
      </c>
      <c r="F3147" s="689">
        <v>38.1</v>
      </c>
      <c r="G3147" s="693">
        <v>38</v>
      </c>
      <c r="H3147" s="689">
        <v>38.4</v>
      </c>
      <c r="I3147" s="689">
        <v>38.5</v>
      </c>
      <c r="J3147" s="689">
        <v>38.4</v>
      </c>
      <c r="K3147" s="689">
        <v>38.299999999999997</v>
      </c>
    </row>
    <row r="3148" spans="1:11">
      <c r="A3148" s="688" t="s">
        <v>3</v>
      </c>
      <c r="B3148" s="691">
        <v>37.700000000000003</v>
      </c>
      <c r="C3148" s="615">
        <v>38</v>
      </c>
      <c r="D3148" s="691">
        <v>37.700000000000003</v>
      </c>
      <c r="E3148" s="615">
        <v>38</v>
      </c>
      <c r="F3148" s="615">
        <v>38</v>
      </c>
      <c r="G3148" s="615">
        <v>38</v>
      </c>
      <c r="H3148" s="691">
        <v>38.299999999999997</v>
      </c>
      <c r="I3148" s="691">
        <v>38.1</v>
      </c>
      <c r="J3148" s="691">
        <v>37.799999999999997</v>
      </c>
      <c r="K3148" s="691">
        <v>37.6</v>
      </c>
    </row>
    <row r="3149" spans="1:11">
      <c r="A3149" s="688" t="s">
        <v>4061</v>
      </c>
      <c r="B3149" s="689">
        <v>37.700000000000003</v>
      </c>
      <c r="C3149" s="693">
        <v>38</v>
      </c>
      <c r="D3149" s="689">
        <v>37.700000000000003</v>
      </c>
      <c r="E3149" s="693">
        <v>38</v>
      </c>
      <c r="F3149" s="693">
        <v>38</v>
      </c>
      <c r="G3149" s="693">
        <v>38</v>
      </c>
      <c r="H3149" s="689">
        <v>38.299999999999997</v>
      </c>
      <c r="I3149" s="689">
        <v>38.1</v>
      </c>
      <c r="J3149" s="689">
        <v>37.799999999999997</v>
      </c>
      <c r="K3149" s="689">
        <v>37.6</v>
      </c>
    </row>
    <row r="3150" spans="1:11">
      <c r="A3150" s="688" t="s">
        <v>4</v>
      </c>
      <c r="B3150" s="691">
        <v>35.4</v>
      </c>
      <c r="C3150" s="691">
        <v>35.200000000000003</v>
      </c>
      <c r="D3150" s="691">
        <v>35.6</v>
      </c>
      <c r="E3150" s="691">
        <v>35.700000000000003</v>
      </c>
      <c r="F3150" s="691">
        <v>35.9</v>
      </c>
      <c r="G3150" s="691">
        <v>35.9</v>
      </c>
      <c r="H3150" s="691">
        <v>36.299999999999997</v>
      </c>
      <c r="I3150" s="691">
        <v>36.1</v>
      </c>
      <c r="J3150" s="691">
        <v>34.799999999999997</v>
      </c>
      <c r="K3150" s="691">
        <v>35.700000000000003</v>
      </c>
    </row>
    <row r="3151" spans="1:11">
      <c r="A3151" s="688" t="s">
        <v>8</v>
      </c>
      <c r="B3151" s="689">
        <v>38.299999999999997</v>
      </c>
      <c r="C3151" s="689">
        <v>38.5</v>
      </c>
      <c r="D3151" s="689">
        <v>38.5</v>
      </c>
      <c r="E3151" s="689">
        <v>38.6</v>
      </c>
      <c r="F3151" s="689">
        <v>39.1</v>
      </c>
      <c r="G3151" s="689">
        <v>39.1</v>
      </c>
      <c r="H3151" s="689">
        <v>39.4</v>
      </c>
      <c r="I3151" s="689">
        <v>39.299999999999997</v>
      </c>
      <c r="J3151" s="689">
        <v>39.1</v>
      </c>
      <c r="K3151" s="689">
        <v>39.299999999999997</v>
      </c>
    </row>
    <row r="3152" spans="1:11">
      <c r="A3152" s="688" t="s">
        <v>7</v>
      </c>
      <c r="B3152" s="691">
        <v>38.6</v>
      </c>
      <c r="C3152" s="691">
        <v>38.200000000000003</v>
      </c>
      <c r="D3152" s="615">
        <v>38</v>
      </c>
      <c r="E3152" s="691">
        <v>38.299999999999997</v>
      </c>
      <c r="F3152" s="691">
        <v>38.200000000000003</v>
      </c>
      <c r="G3152" s="691">
        <v>38.700000000000003</v>
      </c>
      <c r="H3152" s="691">
        <v>38.6</v>
      </c>
      <c r="I3152" s="691">
        <v>38.299999999999997</v>
      </c>
      <c r="J3152" s="691">
        <v>37.299999999999997</v>
      </c>
      <c r="K3152" s="691">
        <v>37.9</v>
      </c>
    </row>
    <row r="3153" spans="1:11">
      <c r="A3153" s="688" t="s">
        <v>27</v>
      </c>
      <c r="B3153" s="689">
        <v>40.1</v>
      </c>
      <c r="C3153" s="689">
        <v>39.799999999999997</v>
      </c>
      <c r="D3153" s="689">
        <v>39.5</v>
      </c>
      <c r="E3153" s="689">
        <v>39.9</v>
      </c>
      <c r="F3153" s="689">
        <v>39.9</v>
      </c>
      <c r="G3153" s="693">
        <v>40</v>
      </c>
      <c r="H3153" s="689">
        <v>40.4</v>
      </c>
      <c r="I3153" s="689">
        <v>39.1</v>
      </c>
      <c r="J3153" s="689">
        <v>39.9</v>
      </c>
      <c r="K3153" s="693">
        <v>40</v>
      </c>
    </row>
    <row r="3154" spans="1:11">
      <c r="A3154" s="688" t="s">
        <v>6</v>
      </c>
      <c r="B3154" s="691">
        <v>39.799999999999997</v>
      </c>
      <c r="C3154" s="691">
        <v>39.700000000000003</v>
      </c>
      <c r="D3154" s="691">
        <v>39.5</v>
      </c>
      <c r="E3154" s="691">
        <v>39.700000000000003</v>
      </c>
      <c r="F3154" s="691">
        <v>39.799999999999997</v>
      </c>
      <c r="G3154" s="691">
        <v>39.9</v>
      </c>
      <c r="H3154" s="615">
        <v>40</v>
      </c>
      <c r="I3154" s="691">
        <v>39.4</v>
      </c>
      <c r="J3154" s="691">
        <v>39.6</v>
      </c>
      <c r="K3154" s="691">
        <v>39.6</v>
      </c>
    </row>
    <row r="3155" spans="1:11">
      <c r="A3155" s="688" t="s">
        <v>4058</v>
      </c>
      <c r="B3155" s="690" t="s">
        <v>4060</v>
      </c>
      <c r="C3155" s="690" t="s">
        <v>4060</v>
      </c>
      <c r="D3155" s="690" t="s">
        <v>4060</v>
      </c>
      <c r="E3155" s="690" t="s">
        <v>4060</v>
      </c>
      <c r="F3155" s="690" t="s">
        <v>4060</v>
      </c>
      <c r="G3155" s="690" t="s">
        <v>4060</v>
      </c>
      <c r="H3155" s="690" t="s">
        <v>4060</v>
      </c>
      <c r="I3155" s="690" t="s">
        <v>4060</v>
      </c>
      <c r="J3155" s="690" t="s">
        <v>4060</v>
      </c>
      <c r="K3155" s="690" t="s">
        <v>4060</v>
      </c>
    </row>
    <row r="3156" spans="1:11">
      <c r="A3156" s="688" t="s">
        <v>11</v>
      </c>
      <c r="B3156" s="691">
        <v>35.200000000000003</v>
      </c>
      <c r="C3156" s="691">
        <v>35.1</v>
      </c>
      <c r="D3156" s="691">
        <v>34.700000000000003</v>
      </c>
      <c r="E3156" s="691">
        <v>35.299999999999997</v>
      </c>
      <c r="F3156" s="691">
        <v>35.1</v>
      </c>
      <c r="G3156" s="691">
        <v>35.299999999999997</v>
      </c>
      <c r="H3156" s="691">
        <v>35.700000000000003</v>
      </c>
      <c r="I3156" s="691">
        <v>34.9</v>
      </c>
      <c r="J3156" s="691">
        <v>33.9</v>
      </c>
      <c r="K3156" s="691">
        <v>35.1</v>
      </c>
    </row>
    <row r="3157" spans="1:11">
      <c r="A3157" s="688" t="s">
        <v>10</v>
      </c>
      <c r="B3157" s="689">
        <v>39.799999999999997</v>
      </c>
      <c r="C3157" s="689">
        <v>39.799999999999997</v>
      </c>
      <c r="D3157" s="689">
        <v>39.4</v>
      </c>
      <c r="E3157" s="693">
        <v>40</v>
      </c>
      <c r="F3157" s="689">
        <v>39.799999999999997</v>
      </c>
      <c r="G3157" s="689">
        <v>40.1</v>
      </c>
      <c r="H3157" s="689">
        <v>40.299999999999997</v>
      </c>
      <c r="I3157" s="689">
        <v>39.1</v>
      </c>
      <c r="J3157" s="689">
        <v>39.5</v>
      </c>
      <c r="K3157" s="689">
        <v>39.6</v>
      </c>
    </row>
    <row r="3158" spans="1:11">
      <c r="A3158" s="688" t="s">
        <v>30</v>
      </c>
      <c r="B3158" s="691">
        <v>39.4</v>
      </c>
      <c r="C3158" s="691">
        <v>39.200000000000003</v>
      </c>
      <c r="D3158" s="615">
        <v>39</v>
      </c>
      <c r="E3158" s="691">
        <v>39.6</v>
      </c>
      <c r="F3158" s="691">
        <v>39.200000000000003</v>
      </c>
      <c r="G3158" s="691">
        <v>39.799999999999997</v>
      </c>
      <c r="H3158" s="691">
        <v>39.6</v>
      </c>
      <c r="I3158" s="691">
        <v>39.5</v>
      </c>
      <c r="J3158" s="691">
        <v>38.799999999999997</v>
      </c>
      <c r="K3158" s="691">
        <v>39.200000000000003</v>
      </c>
    </row>
    <row r="3159" spans="1:11">
      <c r="A3159" s="688" t="s">
        <v>12</v>
      </c>
      <c r="B3159" s="689">
        <v>32.799999999999997</v>
      </c>
      <c r="C3159" s="693">
        <v>33</v>
      </c>
      <c r="D3159" s="689">
        <v>33.200000000000003</v>
      </c>
      <c r="E3159" s="689">
        <v>33.200000000000003</v>
      </c>
      <c r="F3159" s="689">
        <v>33.299999999999997</v>
      </c>
      <c r="G3159" s="689">
        <v>33.299999999999997</v>
      </c>
      <c r="H3159" s="689">
        <v>33.9</v>
      </c>
      <c r="I3159" s="689">
        <v>33.5</v>
      </c>
      <c r="J3159" s="689">
        <v>31.4</v>
      </c>
      <c r="K3159" s="689">
        <v>32.799999999999997</v>
      </c>
    </row>
    <row r="3160" spans="1:11">
      <c r="A3160" s="688" t="s">
        <v>14</v>
      </c>
      <c r="B3160" s="691">
        <v>32.9</v>
      </c>
      <c r="C3160" s="691">
        <v>33.299999999999997</v>
      </c>
      <c r="D3160" s="691">
        <v>33.1</v>
      </c>
      <c r="E3160" s="691">
        <v>33.299999999999997</v>
      </c>
      <c r="F3160" s="691">
        <v>33.9</v>
      </c>
      <c r="G3160" s="691">
        <v>34.1</v>
      </c>
      <c r="H3160" s="691">
        <v>34.4</v>
      </c>
      <c r="I3160" s="691">
        <v>33.1</v>
      </c>
      <c r="J3160" s="691">
        <v>32.4</v>
      </c>
      <c r="K3160" s="691">
        <v>33.700000000000003</v>
      </c>
    </row>
    <row r="3161" spans="1:11">
      <c r="A3161" s="688" t="s">
        <v>15</v>
      </c>
      <c r="B3161" s="693">
        <v>39</v>
      </c>
      <c r="C3161" s="689">
        <v>38.9</v>
      </c>
      <c r="D3161" s="693">
        <v>39</v>
      </c>
      <c r="E3161" s="689">
        <v>39.299999999999997</v>
      </c>
      <c r="F3161" s="689">
        <v>38.799999999999997</v>
      </c>
      <c r="G3161" s="689">
        <v>39.1</v>
      </c>
      <c r="H3161" s="689">
        <v>39.4</v>
      </c>
      <c r="I3161" s="689">
        <v>39.1</v>
      </c>
      <c r="J3161" s="689">
        <v>39.4</v>
      </c>
      <c r="K3161" s="689">
        <v>39.799999999999997</v>
      </c>
    </row>
    <row r="3162" spans="1:11">
      <c r="A3162" s="688" t="s">
        <v>29</v>
      </c>
      <c r="B3162" s="691">
        <v>33.200000000000003</v>
      </c>
      <c r="C3162" s="691">
        <v>33.200000000000003</v>
      </c>
      <c r="D3162" s="615">
        <v>33</v>
      </c>
      <c r="E3162" s="691">
        <v>33.4</v>
      </c>
      <c r="F3162" s="691">
        <v>33.200000000000003</v>
      </c>
      <c r="G3162" s="691">
        <v>33.4</v>
      </c>
      <c r="H3162" s="691">
        <v>33.6</v>
      </c>
      <c r="I3162" s="691">
        <v>32.9</v>
      </c>
      <c r="J3162" s="691">
        <v>31.6</v>
      </c>
      <c r="K3162" s="691">
        <v>33.299999999999997</v>
      </c>
    </row>
    <row r="3163" spans="1:11">
      <c r="A3163" s="688" t="s">
        <v>16</v>
      </c>
      <c r="B3163" s="693">
        <v>39</v>
      </c>
      <c r="C3163" s="693">
        <v>39</v>
      </c>
      <c r="D3163" s="693">
        <v>39</v>
      </c>
      <c r="E3163" s="689">
        <v>39.5</v>
      </c>
      <c r="F3163" s="689">
        <v>39.299999999999997</v>
      </c>
      <c r="G3163" s="689">
        <v>39.299999999999997</v>
      </c>
      <c r="H3163" s="689">
        <v>39.700000000000003</v>
      </c>
      <c r="I3163" s="693">
        <v>39</v>
      </c>
      <c r="J3163" s="693">
        <v>39</v>
      </c>
      <c r="K3163" s="689">
        <v>39.200000000000003</v>
      </c>
    </row>
    <row r="3164" spans="1:11">
      <c r="A3164" s="688" t="s">
        <v>17</v>
      </c>
      <c r="B3164" s="691">
        <v>38.5</v>
      </c>
      <c r="C3164" s="691">
        <v>38.700000000000003</v>
      </c>
      <c r="D3164" s="691">
        <v>38.5</v>
      </c>
      <c r="E3164" s="691">
        <v>38.6</v>
      </c>
      <c r="F3164" s="691">
        <v>38.799999999999997</v>
      </c>
      <c r="G3164" s="691">
        <v>38.799999999999997</v>
      </c>
      <c r="H3164" s="691">
        <v>39.1</v>
      </c>
      <c r="I3164" s="691">
        <v>38.4</v>
      </c>
      <c r="J3164" s="691">
        <v>38.4</v>
      </c>
      <c r="K3164" s="691">
        <v>38.700000000000003</v>
      </c>
    </row>
    <row r="3165" spans="1:11">
      <c r="A3165" s="688" t="s">
        <v>19</v>
      </c>
      <c r="B3165" s="689">
        <v>38.4</v>
      </c>
      <c r="C3165" s="689">
        <v>38.5</v>
      </c>
      <c r="D3165" s="689">
        <v>38.299999999999997</v>
      </c>
      <c r="E3165" s="689">
        <v>38.700000000000003</v>
      </c>
      <c r="F3165" s="689">
        <v>38.700000000000003</v>
      </c>
      <c r="G3165" s="689">
        <v>38.799999999999997</v>
      </c>
      <c r="H3165" s="693">
        <v>39</v>
      </c>
      <c r="I3165" s="689">
        <v>38.4</v>
      </c>
      <c r="J3165" s="689">
        <v>38.4</v>
      </c>
      <c r="K3165" s="689">
        <v>38.5</v>
      </c>
    </row>
    <row r="3166" spans="1:11">
      <c r="A3166" s="688" t="s">
        <v>20</v>
      </c>
      <c r="B3166" s="691">
        <v>34.9</v>
      </c>
      <c r="C3166" s="691">
        <v>35.200000000000003</v>
      </c>
      <c r="D3166" s="615">
        <v>35</v>
      </c>
      <c r="E3166" s="691">
        <v>35.4</v>
      </c>
      <c r="F3166" s="691">
        <v>35.299999999999997</v>
      </c>
      <c r="G3166" s="691">
        <v>35.200000000000003</v>
      </c>
      <c r="H3166" s="691">
        <v>35.5</v>
      </c>
      <c r="I3166" s="691">
        <v>34.1</v>
      </c>
      <c r="J3166" s="691">
        <v>33.200000000000003</v>
      </c>
      <c r="K3166" s="691">
        <v>34.9</v>
      </c>
    </row>
    <row r="3167" spans="1:11">
      <c r="A3167" s="688" t="s">
        <v>21</v>
      </c>
      <c r="B3167" s="689">
        <v>38.1</v>
      </c>
      <c r="C3167" s="689">
        <v>38.5</v>
      </c>
      <c r="D3167" s="689">
        <v>38.5</v>
      </c>
      <c r="E3167" s="689">
        <v>38.5</v>
      </c>
      <c r="F3167" s="689">
        <v>38.799999999999997</v>
      </c>
      <c r="G3167" s="689">
        <v>38.799999999999997</v>
      </c>
      <c r="H3167" s="689">
        <v>39.1</v>
      </c>
      <c r="I3167" s="689">
        <v>38.5</v>
      </c>
      <c r="J3167" s="689">
        <v>38.5</v>
      </c>
      <c r="K3167" s="689">
        <v>38.799999999999997</v>
      </c>
    </row>
    <row r="3168" spans="1:11">
      <c r="A3168" s="688" t="s">
        <v>22</v>
      </c>
      <c r="B3168" s="691">
        <v>33.299999999999997</v>
      </c>
      <c r="C3168" s="615">
        <v>33</v>
      </c>
      <c r="D3168" s="615">
        <v>33</v>
      </c>
      <c r="E3168" s="691">
        <v>33.200000000000003</v>
      </c>
      <c r="F3168" s="691">
        <v>33.200000000000003</v>
      </c>
      <c r="G3168" s="691">
        <v>33.200000000000003</v>
      </c>
      <c r="H3168" s="691">
        <v>33.4</v>
      </c>
      <c r="I3168" s="691">
        <v>31.9</v>
      </c>
      <c r="J3168" s="691">
        <v>30.7</v>
      </c>
      <c r="K3168" s="691">
        <v>32.9</v>
      </c>
    </row>
    <row r="3169" spans="1:11">
      <c r="A3169" s="688" t="s">
        <v>26</v>
      </c>
      <c r="B3169" s="689">
        <v>37.700000000000003</v>
      </c>
      <c r="C3169" s="689">
        <v>37.9</v>
      </c>
      <c r="D3169" s="689">
        <v>37.700000000000003</v>
      </c>
      <c r="E3169" s="689">
        <v>38.1</v>
      </c>
      <c r="F3169" s="689">
        <v>37.9</v>
      </c>
      <c r="G3169" s="689">
        <v>38.200000000000003</v>
      </c>
      <c r="H3169" s="689">
        <v>38.4</v>
      </c>
      <c r="I3169" s="689">
        <v>37.5</v>
      </c>
      <c r="J3169" s="689">
        <v>37.6</v>
      </c>
      <c r="K3169" s="689">
        <v>38.200000000000003</v>
      </c>
    </row>
    <row r="3170" spans="1:11">
      <c r="A3170" s="688" t="s">
        <v>25</v>
      </c>
      <c r="B3170" s="691">
        <v>34.299999999999997</v>
      </c>
      <c r="C3170" s="691">
        <v>34.6</v>
      </c>
      <c r="D3170" s="691">
        <v>34.299999999999997</v>
      </c>
      <c r="E3170" s="691">
        <v>34.9</v>
      </c>
      <c r="F3170" s="691">
        <v>34.799999999999997</v>
      </c>
      <c r="G3170" s="691">
        <v>34.9</v>
      </c>
      <c r="H3170" s="691">
        <v>35.4</v>
      </c>
      <c r="I3170" s="691">
        <v>34.6</v>
      </c>
      <c r="J3170" s="691">
        <v>32.299999999999997</v>
      </c>
      <c r="K3170" s="691">
        <v>34.700000000000003</v>
      </c>
    </row>
    <row r="3171" spans="1:11">
      <c r="A3171" s="688" t="s">
        <v>5</v>
      </c>
      <c r="B3171" s="689">
        <v>38.4</v>
      </c>
      <c r="C3171" s="689">
        <v>38.299999999999997</v>
      </c>
      <c r="D3171" s="689">
        <v>38.5</v>
      </c>
      <c r="E3171" s="689">
        <v>38.5</v>
      </c>
      <c r="F3171" s="689">
        <v>38.799999999999997</v>
      </c>
      <c r="G3171" s="689">
        <v>38.799999999999997</v>
      </c>
      <c r="H3171" s="689">
        <v>39.200000000000003</v>
      </c>
      <c r="I3171" s="689">
        <v>39.1</v>
      </c>
      <c r="J3171" s="693">
        <v>39</v>
      </c>
      <c r="K3171" s="689">
        <v>38.4</v>
      </c>
    </row>
    <row r="3172" spans="1:11">
      <c r="A3172" s="688" t="s">
        <v>23</v>
      </c>
      <c r="B3172" s="691">
        <v>39.1</v>
      </c>
      <c r="C3172" s="691">
        <v>39.299999999999997</v>
      </c>
      <c r="D3172" s="691">
        <v>39.299999999999997</v>
      </c>
      <c r="E3172" s="691">
        <v>39.4</v>
      </c>
      <c r="F3172" s="691">
        <v>39.5</v>
      </c>
      <c r="G3172" s="691">
        <v>39.6</v>
      </c>
      <c r="H3172" s="691">
        <v>40.1</v>
      </c>
      <c r="I3172" s="691">
        <v>39.4</v>
      </c>
      <c r="J3172" s="615">
        <v>40</v>
      </c>
      <c r="K3172" s="615">
        <v>40</v>
      </c>
    </row>
    <row r="3173" spans="1:11">
      <c r="A3173" s="688" t="s">
        <v>4067</v>
      </c>
      <c r="B3173" s="689">
        <v>37.9</v>
      </c>
      <c r="C3173" s="689">
        <v>38.200000000000003</v>
      </c>
      <c r="D3173" s="689">
        <v>37.9</v>
      </c>
      <c r="E3173" s="689">
        <v>38.200000000000003</v>
      </c>
      <c r="F3173" s="689">
        <v>38.200000000000003</v>
      </c>
      <c r="G3173" s="689">
        <v>38.299999999999997</v>
      </c>
      <c r="H3173" s="690" t="s">
        <v>4060</v>
      </c>
      <c r="I3173" s="690" t="s">
        <v>4060</v>
      </c>
      <c r="J3173" s="690" t="s">
        <v>4060</v>
      </c>
      <c r="K3173" s="690" t="s">
        <v>4060</v>
      </c>
    </row>
    <row r="3174" spans="1:11">
      <c r="A3174" s="688" t="s">
        <v>4066</v>
      </c>
      <c r="B3174" s="691">
        <v>37.9</v>
      </c>
      <c r="C3174" s="691">
        <v>38.200000000000003</v>
      </c>
      <c r="D3174" s="691">
        <v>37.9</v>
      </c>
      <c r="E3174" s="691">
        <v>38.299999999999997</v>
      </c>
      <c r="F3174" s="691">
        <v>38.200000000000003</v>
      </c>
      <c r="G3174" s="691">
        <v>38.299999999999997</v>
      </c>
      <c r="H3174" s="692" t="s">
        <v>4060</v>
      </c>
      <c r="I3174" s="692" t="s">
        <v>4060</v>
      </c>
      <c r="J3174" s="692" t="s">
        <v>4060</v>
      </c>
      <c r="K3174" s="692" t="s">
        <v>4060</v>
      </c>
    </row>
    <row r="3175" spans="1:11">
      <c r="A3175" s="688" t="s">
        <v>4062</v>
      </c>
      <c r="B3175" s="689">
        <v>39.6</v>
      </c>
      <c r="C3175" s="689">
        <v>39.799999999999997</v>
      </c>
      <c r="D3175" s="689">
        <v>39.700000000000003</v>
      </c>
      <c r="E3175" s="693">
        <v>40</v>
      </c>
      <c r="F3175" s="689">
        <v>40.1</v>
      </c>
      <c r="G3175" s="689">
        <v>40.299999999999997</v>
      </c>
      <c r="H3175" s="689">
        <v>40.4</v>
      </c>
      <c r="I3175" s="689">
        <v>40.1</v>
      </c>
      <c r="J3175" s="689">
        <v>40.4</v>
      </c>
      <c r="K3175" s="689">
        <v>40.200000000000003</v>
      </c>
    </row>
    <row r="3176" spans="1:11">
      <c r="A3176" s="688" t="s">
        <v>9</v>
      </c>
      <c r="B3176" s="691">
        <v>39.200000000000003</v>
      </c>
      <c r="C3176" s="691">
        <v>39.6</v>
      </c>
      <c r="D3176" s="691">
        <v>39.5</v>
      </c>
      <c r="E3176" s="691">
        <v>39.1</v>
      </c>
      <c r="F3176" s="691">
        <v>39.6</v>
      </c>
      <c r="G3176" s="691">
        <v>39.799999999999997</v>
      </c>
      <c r="H3176" s="691">
        <v>39.9</v>
      </c>
      <c r="I3176" s="691">
        <v>40.1</v>
      </c>
      <c r="J3176" s="691">
        <v>40.299999999999997</v>
      </c>
      <c r="K3176" s="691">
        <v>39.200000000000003</v>
      </c>
    </row>
    <row r="3177" spans="1:11">
      <c r="A3177" s="688" t="s">
        <v>13</v>
      </c>
      <c r="B3177" s="689">
        <v>39.5</v>
      </c>
      <c r="C3177" s="693">
        <v>39</v>
      </c>
      <c r="D3177" s="689">
        <v>39.700000000000003</v>
      </c>
      <c r="E3177" s="689">
        <v>39.200000000000003</v>
      </c>
      <c r="F3177" s="689">
        <v>40.1</v>
      </c>
      <c r="G3177" s="689">
        <v>40.1</v>
      </c>
      <c r="H3177" s="689">
        <v>40.4</v>
      </c>
      <c r="I3177" s="689">
        <v>39.4</v>
      </c>
      <c r="J3177" s="689">
        <v>40.5</v>
      </c>
      <c r="K3177" s="689">
        <v>40.9</v>
      </c>
    </row>
    <row r="3178" spans="1:11">
      <c r="A3178" s="688" t="s">
        <v>18</v>
      </c>
      <c r="B3178" s="691">
        <v>38.9</v>
      </c>
      <c r="C3178" s="691">
        <v>39.1</v>
      </c>
      <c r="D3178" s="691">
        <v>39.299999999999997</v>
      </c>
      <c r="E3178" s="691">
        <v>39.4</v>
      </c>
      <c r="F3178" s="691">
        <v>39.6</v>
      </c>
      <c r="G3178" s="691">
        <v>39.799999999999997</v>
      </c>
      <c r="H3178" s="615">
        <v>40</v>
      </c>
      <c r="I3178" s="691">
        <v>40.200000000000003</v>
      </c>
      <c r="J3178" s="691">
        <v>40.1</v>
      </c>
      <c r="K3178" s="691">
        <v>39.6</v>
      </c>
    </row>
    <row r="3179" spans="1:11">
      <c r="A3179" s="688" t="s">
        <v>24</v>
      </c>
      <c r="B3179" s="693">
        <v>40</v>
      </c>
      <c r="C3179" s="689">
        <v>40.1</v>
      </c>
      <c r="D3179" s="689">
        <v>39.9</v>
      </c>
      <c r="E3179" s="689">
        <v>40.4</v>
      </c>
      <c r="F3179" s="689">
        <v>40.4</v>
      </c>
      <c r="G3179" s="689">
        <v>40.6</v>
      </c>
      <c r="H3179" s="689">
        <v>40.700000000000003</v>
      </c>
      <c r="I3179" s="689">
        <v>40.1</v>
      </c>
      <c r="J3179" s="689">
        <v>40.6</v>
      </c>
      <c r="K3179" s="689">
        <v>40.5</v>
      </c>
    </row>
    <row r="3180" spans="1:11">
      <c r="A3180" s="688" t="s">
        <v>4059</v>
      </c>
      <c r="B3180" s="691">
        <v>38.4</v>
      </c>
      <c r="C3180" s="691">
        <v>38.700000000000003</v>
      </c>
      <c r="D3180" s="691">
        <v>38.299999999999997</v>
      </c>
      <c r="E3180" s="691">
        <v>38.6</v>
      </c>
      <c r="F3180" s="691">
        <v>38.6</v>
      </c>
      <c r="G3180" s="691">
        <v>38.6</v>
      </c>
      <c r="H3180" s="692" t="s">
        <v>4060</v>
      </c>
      <c r="I3180" s="692" t="s">
        <v>4060</v>
      </c>
      <c r="J3180" s="692" t="s">
        <v>4060</v>
      </c>
      <c r="K3180" s="692" t="s">
        <v>4060</v>
      </c>
    </row>
    <row r="3181" spans="1:11">
      <c r="A3181" s="688" t="s">
        <v>2324</v>
      </c>
      <c r="B3181" s="693">
        <v>34</v>
      </c>
      <c r="C3181" s="693">
        <v>34</v>
      </c>
      <c r="D3181" s="689">
        <v>33.700000000000003</v>
      </c>
      <c r="E3181" s="689">
        <v>33.799999999999997</v>
      </c>
      <c r="F3181" s="693">
        <v>34</v>
      </c>
      <c r="G3181" s="689">
        <v>34.1</v>
      </c>
      <c r="H3181" s="689">
        <v>34.1</v>
      </c>
      <c r="I3181" s="689">
        <v>33.200000000000003</v>
      </c>
      <c r="J3181" s="689">
        <v>31.1</v>
      </c>
      <c r="K3181" s="690" t="s">
        <v>4060</v>
      </c>
    </row>
    <row r="3182" spans="1:11">
      <c r="A3182" s="688" t="s">
        <v>2322</v>
      </c>
      <c r="B3182" s="692" t="s">
        <v>4060</v>
      </c>
      <c r="C3182" s="692" t="s">
        <v>4060</v>
      </c>
      <c r="D3182" s="692" t="s">
        <v>4060</v>
      </c>
      <c r="E3182" s="692" t="s">
        <v>4060</v>
      </c>
      <c r="F3182" s="692" t="s">
        <v>4060</v>
      </c>
      <c r="G3182" s="692" t="s">
        <v>4060</v>
      </c>
      <c r="H3182" s="692" t="s">
        <v>4060</v>
      </c>
      <c r="I3182" s="692" t="s">
        <v>4060</v>
      </c>
      <c r="J3182" s="692" t="s">
        <v>4060</v>
      </c>
      <c r="K3182" s="692" t="s">
        <v>4060</v>
      </c>
    </row>
    <row r="3183" spans="1:11">
      <c r="A3183" s="688" t="s">
        <v>2328</v>
      </c>
      <c r="B3183" s="689">
        <v>33.299999999999997</v>
      </c>
      <c r="C3183" s="689">
        <v>33.200000000000003</v>
      </c>
      <c r="D3183" s="689">
        <v>33.1</v>
      </c>
      <c r="E3183" s="689">
        <v>33.4</v>
      </c>
      <c r="F3183" s="689">
        <v>33.6</v>
      </c>
      <c r="G3183" s="693">
        <v>34</v>
      </c>
      <c r="H3183" s="689">
        <v>33.9</v>
      </c>
      <c r="I3183" s="689">
        <v>31.8</v>
      </c>
      <c r="J3183" s="689">
        <v>30.8</v>
      </c>
      <c r="K3183" s="690" t="s">
        <v>4060</v>
      </c>
    </row>
    <row r="3184" spans="1:11">
      <c r="A3184" s="688" t="s">
        <v>2496</v>
      </c>
      <c r="B3184" s="692" t="s">
        <v>4060</v>
      </c>
      <c r="C3184" s="691">
        <v>32.700000000000003</v>
      </c>
      <c r="D3184" s="691">
        <v>31.7</v>
      </c>
      <c r="E3184" s="691">
        <v>31.5</v>
      </c>
      <c r="F3184" s="691">
        <v>32.200000000000003</v>
      </c>
      <c r="G3184" s="691">
        <v>32.4</v>
      </c>
      <c r="H3184" s="691">
        <v>32.4</v>
      </c>
      <c r="I3184" s="692" t="s">
        <v>4060</v>
      </c>
      <c r="J3184" s="692" t="s">
        <v>4060</v>
      </c>
      <c r="K3184" s="615">
        <v>32</v>
      </c>
    </row>
    <row r="3185" spans="1:11">
      <c r="A3185" s="688" t="s">
        <v>2269</v>
      </c>
      <c r="B3185" s="689">
        <v>36.1</v>
      </c>
      <c r="C3185" s="689">
        <v>36.299999999999997</v>
      </c>
      <c r="D3185" s="689">
        <v>35.799999999999997</v>
      </c>
      <c r="E3185" s="689">
        <v>36.4</v>
      </c>
      <c r="F3185" s="689">
        <v>36.299999999999997</v>
      </c>
      <c r="G3185" s="689">
        <v>36.700000000000003</v>
      </c>
      <c r="H3185" s="689">
        <v>36.9</v>
      </c>
      <c r="I3185" s="689">
        <v>35.1</v>
      </c>
      <c r="J3185" s="689">
        <v>33.200000000000003</v>
      </c>
      <c r="K3185" s="689">
        <v>36.6</v>
      </c>
    </row>
    <row r="3186" spans="1:11">
      <c r="A3186" s="688" t="s">
        <v>2349</v>
      </c>
      <c r="B3186" s="691">
        <v>32.9</v>
      </c>
      <c r="C3186" s="615">
        <v>33</v>
      </c>
      <c r="D3186" s="691">
        <v>32.9</v>
      </c>
      <c r="E3186" s="691">
        <v>33.299999999999997</v>
      </c>
      <c r="F3186" s="691">
        <v>33.1</v>
      </c>
      <c r="G3186" s="691">
        <v>33.4</v>
      </c>
      <c r="H3186" s="691">
        <v>33.5</v>
      </c>
      <c r="I3186" s="615">
        <v>32</v>
      </c>
      <c r="J3186" s="691">
        <v>30.4</v>
      </c>
      <c r="K3186" s="691">
        <v>32.700000000000003</v>
      </c>
    </row>
    <row r="3187" spans="1:11">
      <c r="A3187" s="688" t="s">
        <v>2355</v>
      </c>
      <c r="B3187" s="689">
        <v>36.4</v>
      </c>
      <c r="C3187" s="689">
        <v>36.299999999999997</v>
      </c>
      <c r="D3187" s="689">
        <v>36.299999999999997</v>
      </c>
      <c r="E3187" s="689">
        <v>36.200000000000003</v>
      </c>
      <c r="F3187" s="689">
        <v>36.5</v>
      </c>
      <c r="G3187" s="689">
        <v>36.799999999999997</v>
      </c>
      <c r="H3187" s="689">
        <v>36.9</v>
      </c>
      <c r="I3187" s="690" t="s">
        <v>4060</v>
      </c>
      <c r="J3187" s="690" t="s">
        <v>4060</v>
      </c>
      <c r="K3187" s="690" t="s">
        <v>4060</v>
      </c>
    </row>
    <row r="3188" spans="1:11">
      <c r="A3188" s="688" t="s">
        <v>2357</v>
      </c>
      <c r="B3188" s="692" t="s">
        <v>4060</v>
      </c>
      <c r="C3188" s="691">
        <v>31.3</v>
      </c>
      <c r="D3188" s="691">
        <v>31.7</v>
      </c>
      <c r="E3188" s="615">
        <v>32</v>
      </c>
      <c r="F3188" s="691">
        <v>32.299999999999997</v>
      </c>
      <c r="G3188" s="691">
        <v>32.1</v>
      </c>
      <c r="H3188" s="691">
        <v>32.299999999999997</v>
      </c>
      <c r="I3188" s="692" t="s">
        <v>4060</v>
      </c>
      <c r="J3188" s="692" t="s">
        <v>4060</v>
      </c>
      <c r="K3188" s="692" t="s">
        <v>4060</v>
      </c>
    </row>
    <row r="3189" spans="1:11">
      <c r="A3189" s="688" t="s">
        <v>4070</v>
      </c>
      <c r="B3189" s="690" t="s">
        <v>4060</v>
      </c>
      <c r="C3189" s="690" t="s">
        <v>4060</v>
      </c>
      <c r="D3189" s="690" t="s">
        <v>4060</v>
      </c>
      <c r="E3189" s="689">
        <v>35.9</v>
      </c>
      <c r="F3189" s="690" t="s">
        <v>4060</v>
      </c>
      <c r="G3189" s="690" t="s">
        <v>4060</v>
      </c>
      <c r="H3189" s="690" t="s">
        <v>4060</v>
      </c>
      <c r="I3189" s="690" t="s">
        <v>4060</v>
      </c>
      <c r="J3189" s="690" t="s">
        <v>4060</v>
      </c>
      <c r="K3189" s="690" t="s">
        <v>4060</v>
      </c>
    </row>
    <row r="3190" spans="1:11">
      <c r="A3190" s="688" t="s">
        <v>2491</v>
      </c>
      <c r="B3190" s="691">
        <v>31.4</v>
      </c>
      <c r="C3190" s="691">
        <v>31.9</v>
      </c>
      <c r="D3190" s="691">
        <v>32.200000000000003</v>
      </c>
      <c r="E3190" s="691">
        <v>32.4</v>
      </c>
      <c r="F3190" s="691">
        <v>32.5</v>
      </c>
      <c r="G3190" s="691">
        <v>32.5</v>
      </c>
      <c r="H3190" s="692" t="s">
        <v>4060</v>
      </c>
      <c r="I3190" s="692" t="s">
        <v>4060</v>
      </c>
      <c r="J3190" s="692" t="s">
        <v>4060</v>
      </c>
      <c r="K3190" s="692" t="s">
        <v>4060</v>
      </c>
    </row>
    <row r="3191" spans="1:11">
      <c r="A3191" s="688" t="s">
        <v>2343</v>
      </c>
      <c r="B3191" s="690" t="s">
        <v>4060</v>
      </c>
      <c r="C3191" s="690" t="s">
        <v>4060</v>
      </c>
      <c r="D3191" s="690" t="s">
        <v>4060</v>
      </c>
      <c r="E3191" s="690" t="s">
        <v>4060</v>
      </c>
      <c r="F3191" s="690" t="s">
        <v>4060</v>
      </c>
      <c r="G3191" s="690" t="s">
        <v>4060</v>
      </c>
      <c r="H3191" s="690" t="s">
        <v>4060</v>
      </c>
      <c r="I3191" s="690" t="s">
        <v>4060</v>
      </c>
      <c r="J3191" s="690" t="s">
        <v>4060</v>
      </c>
      <c r="K3191" s="690" t="s">
        <v>4060</v>
      </c>
    </row>
    <row r="3192" spans="1:11">
      <c r="A3192" s="688" t="s">
        <v>4071</v>
      </c>
      <c r="B3192" s="692" t="s">
        <v>4060</v>
      </c>
      <c r="C3192" s="692" t="s">
        <v>4060</v>
      </c>
      <c r="D3192" s="692" t="s">
        <v>4060</v>
      </c>
      <c r="E3192" s="692" t="s">
        <v>4060</v>
      </c>
      <c r="F3192" s="692" t="s">
        <v>4060</v>
      </c>
      <c r="G3192" s="692" t="s">
        <v>4060</v>
      </c>
      <c r="H3192" s="692" t="s">
        <v>4060</v>
      </c>
      <c r="I3192" s="692" t="s">
        <v>4060</v>
      </c>
      <c r="J3192" s="692" t="s">
        <v>4060</v>
      </c>
      <c r="K3192" s="692" t="s">
        <v>4060</v>
      </c>
    </row>
    <row r="3193" spans="1:11">
      <c r="A3193" s="688" t="s">
        <v>2489</v>
      </c>
      <c r="B3193" s="690" t="s">
        <v>4060</v>
      </c>
      <c r="C3193" s="690" t="s">
        <v>4060</v>
      </c>
      <c r="D3193" s="689">
        <v>33.200000000000003</v>
      </c>
      <c r="E3193" s="689">
        <v>33.200000000000003</v>
      </c>
      <c r="F3193" s="689">
        <v>33.700000000000003</v>
      </c>
      <c r="G3193" s="689">
        <v>34.5</v>
      </c>
      <c r="H3193" s="689">
        <v>34.299999999999997</v>
      </c>
      <c r="I3193" s="690" t="s">
        <v>4060</v>
      </c>
      <c r="J3193" s="690" t="s">
        <v>4060</v>
      </c>
      <c r="K3193" s="690" t="s">
        <v>4060</v>
      </c>
    </row>
    <row r="3194" spans="1:11">
      <c r="A3194" s="688" t="s">
        <v>2490</v>
      </c>
      <c r="B3194" s="691">
        <v>33.1</v>
      </c>
      <c r="C3194" s="691">
        <v>33.200000000000003</v>
      </c>
      <c r="D3194" s="691">
        <v>33.700000000000003</v>
      </c>
      <c r="E3194" s="692" t="s">
        <v>4060</v>
      </c>
      <c r="F3194" s="691">
        <v>33.9</v>
      </c>
      <c r="G3194" s="691">
        <v>34.200000000000003</v>
      </c>
      <c r="H3194" s="615">
        <v>35</v>
      </c>
      <c r="I3194" s="692" t="s">
        <v>4060</v>
      </c>
      <c r="J3194" s="692" t="s">
        <v>4060</v>
      </c>
      <c r="K3194" s="692" t="s">
        <v>4060</v>
      </c>
    </row>
    <row r="3196" spans="1:11">
      <c r="A3196" s="683" t="s">
        <v>4233</v>
      </c>
    </row>
    <row r="3197" spans="1:11">
      <c r="A3197" s="683" t="s">
        <v>4060</v>
      </c>
      <c r="B3197" s="682" t="s">
        <v>4234</v>
      </c>
    </row>
    <row r="3199" spans="1:11">
      <c r="A3199" s="682" t="s">
        <v>4248</v>
      </c>
    </row>
    <row r="3200" spans="1:11">
      <c r="A3200" s="682" t="s">
        <v>4210</v>
      </c>
      <c r="B3200" s="683" t="s">
        <v>4211</v>
      </c>
    </row>
    <row r="3201" spans="1:11">
      <c r="A3201" s="682" t="s">
        <v>4212</v>
      </c>
      <c r="B3201" s="682" t="s">
        <v>4213</v>
      </c>
    </row>
    <row r="3203" spans="1:11">
      <c r="A3203" s="683" t="s">
        <v>4214</v>
      </c>
      <c r="C3203" s="682" t="s">
        <v>4215</v>
      </c>
    </row>
    <row r="3204" spans="1:11">
      <c r="A3204" s="683" t="s">
        <v>4216</v>
      </c>
      <c r="C3204" s="682" t="s">
        <v>2967</v>
      </c>
    </row>
    <row r="3205" spans="1:11">
      <c r="A3205" s="683" t="s">
        <v>3893</v>
      </c>
      <c r="C3205" s="682" t="s">
        <v>4217</v>
      </c>
    </row>
    <row r="3206" spans="1:11">
      <c r="A3206" s="683" t="s">
        <v>4218</v>
      </c>
      <c r="C3206" s="682" t="s">
        <v>4280</v>
      </c>
    </row>
    <row r="3208" spans="1:11">
      <c r="A3208" s="684" t="s">
        <v>4220</v>
      </c>
      <c r="B3208" s="685" t="s">
        <v>4221</v>
      </c>
      <c r="C3208" s="685" t="s">
        <v>4222</v>
      </c>
      <c r="D3208" s="685" t="s">
        <v>4223</v>
      </c>
      <c r="E3208" s="685" t="s">
        <v>4224</v>
      </c>
      <c r="F3208" s="685" t="s">
        <v>4225</v>
      </c>
      <c r="G3208" s="685" t="s">
        <v>4226</v>
      </c>
      <c r="H3208" s="685" t="s">
        <v>4227</v>
      </c>
      <c r="I3208" s="685" t="s">
        <v>4228</v>
      </c>
      <c r="J3208" s="685" t="s">
        <v>4229</v>
      </c>
      <c r="K3208" s="685" t="s">
        <v>4230</v>
      </c>
    </row>
    <row r="3209" spans="1:11">
      <c r="A3209" s="686" t="s">
        <v>4231</v>
      </c>
      <c r="B3209" s="687" t="s">
        <v>4232</v>
      </c>
      <c r="C3209" s="687" t="s">
        <v>4232</v>
      </c>
      <c r="D3209" s="687" t="s">
        <v>4232</v>
      </c>
      <c r="E3209" s="687" t="s">
        <v>4232</v>
      </c>
      <c r="F3209" s="687" t="s">
        <v>4232</v>
      </c>
      <c r="G3209" s="687" t="s">
        <v>4232</v>
      </c>
      <c r="H3209" s="687" t="s">
        <v>4232</v>
      </c>
      <c r="I3209" s="687" t="s">
        <v>4232</v>
      </c>
      <c r="J3209" s="687" t="s">
        <v>4232</v>
      </c>
      <c r="K3209" s="687" t="s">
        <v>4232</v>
      </c>
    </row>
    <row r="3210" spans="1:11">
      <c r="A3210" s="688" t="s">
        <v>4064</v>
      </c>
      <c r="B3210" s="691">
        <v>36.799999999999997</v>
      </c>
      <c r="C3210" s="691">
        <v>36.9</v>
      </c>
      <c r="D3210" s="691">
        <v>36.9</v>
      </c>
      <c r="E3210" s="615">
        <v>37</v>
      </c>
      <c r="F3210" s="615">
        <v>37</v>
      </c>
      <c r="G3210" s="691">
        <v>37.1</v>
      </c>
      <c r="H3210" s="691">
        <v>37.4</v>
      </c>
      <c r="I3210" s="691">
        <v>36.5</v>
      </c>
      <c r="J3210" s="691">
        <v>36.299999999999997</v>
      </c>
      <c r="K3210" s="691">
        <v>36.9</v>
      </c>
    </row>
    <row r="3211" spans="1:11">
      <c r="A3211" s="688" t="s">
        <v>4065</v>
      </c>
      <c r="B3211" s="689">
        <v>36.9</v>
      </c>
      <c r="C3211" s="689">
        <v>37.299999999999997</v>
      </c>
      <c r="D3211" s="689">
        <v>36.9</v>
      </c>
      <c r="E3211" s="689">
        <v>37.299999999999997</v>
      </c>
      <c r="F3211" s="689">
        <v>37.200000000000003</v>
      </c>
      <c r="G3211" s="689">
        <v>37.299999999999997</v>
      </c>
      <c r="H3211" s="690" t="s">
        <v>4060</v>
      </c>
      <c r="I3211" s="690" t="s">
        <v>4060</v>
      </c>
      <c r="J3211" s="690" t="s">
        <v>4060</v>
      </c>
      <c r="K3211" s="690" t="s">
        <v>4060</v>
      </c>
    </row>
    <row r="3212" spans="1:11">
      <c r="A3212" s="688" t="s">
        <v>4063</v>
      </c>
      <c r="B3212" s="691">
        <v>36.9</v>
      </c>
      <c r="C3212" s="691">
        <v>37.299999999999997</v>
      </c>
      <c r="D3212" s="615">
        <v>37</v>
      </c>
      <c r="E3212" s="691">
        <v>37.299999999999997</v>
      </c>
      <c r="F3212" s="691">
        <v>37.299999999999997</v>
      </c>
      <c r="G3212" s="691">
        <v>37.4</v>
      </c>
      <c r="H3212" s="692" t="s">
        <v>4060</v>
      </c>
      <c r="I3212" s="692" t="s">
        <v>4060</v>
      </c>
      <c r="J3212" s="692" t="s">
        <v>4060</v>
      </c>
      <c r="K3212" s="692" t="s">
        <v>4060</v>
      </c>
    </row>
    <row r="3213" spans="1:11">
      <c r="A3213" s="688" t="s">
        <v>4069</v>
      </c>
      <c r="B3213" s="690" t="s">
        <v>4060</v>
      </c>
      <c r="C3213" s="689">
        <v>37.799999999999997</v>
      </c>
      <c r="D3213" s="689">
        <v>37.6</v>
      </c>
      <c r="E3213" s="689">
        <v>37.9</v>
      </c>
      <c r="F3213" s="689">
        <v>37.9</v>
      </c>
      <c r="G3213" s="693">
        <v>38</v>
      </c>
      <c r="H3213" s="689">
        <v>38.299999999999997</v>
      </c>
      <c r="I3213" s="689">
        <v>37.6</v>
      </c>
      <c r="J3213" s="689">
        <v>37.6</v>
      </c>
      <c r="K3213" s="689">
        <v>37.700000000000003</v>
      </c>
    </row>
    <row r="3214" spans="1:11">
      <c r="A3214" s="688" t="s">
        <v>4068</v>
      </c>
      <c r="B3214" s="691">
        <v>37.799999999999997</v>
      </c>
      <c r="C3214" s="692" t="s">
        <v>4060</v>
      </c>
      <c r="D3214" s="692" t="s">
        <v>4060</v>
      </c>
      <c r="E3214" s="692" t="s">
        <v>4060</v>
      </c>
      <c r="F3214" s="692" t="s">
        <v>4060</v>
      </c>
      <c r="G3214" s="692" t="s">
        <v>4060</v>
      </c>
      <c r="H3214" s="692" t="s">
        <v>4060</v>
      </c>
      <c r="I3214" s="692" t="s">
        <v>4060</v>
      </c>
      <c r="J3214" s="692" t="s">
        <v>4060</v>
      </c>
      <c r="K3214" s="692" t="s">
        <v>4060</v>
      </c>
    </row>
    <row r="3215" spans="1:11">
      <c r="A3215" s="688" t="s">
        <v>0</v>
      </c>
      <c r="B3215" s="689">
        <v>37.1</v>
      </c>
      <c r="C3215" s="689">
        <v>37.4</v>
      </c>
      <c r="D3215" s="689">
        <v>37.200000000000003</v>
      </c>
      <c r="E3215" s="689">
        <v>37.5</v>
      </c>
      <c r="F3215" s="689">
        <v>37.700000000000003</v>
      </c>
      <c r="G3215" s="689">
        <v>37.799999999999997</v>
      </c>
      <c r="H3215" s="689">
        <v>38.1</v>
      </c>
      <c r="I3215" s="693">
        <v>37</v>
      </c>
      <c r="J3215" s="689">
        <v>37.9</v>
      </c>
      <c r="K3215" s="689">
        <v>37.9</v>
      </c>
    </row>
    <row r="3216" spans="1:11">
      <c r="A3216" s="688" t="s">
        <v>1</v>
      </c>
      <c r="B3216" s="691">
        <v>32.1</v>
      </c>
      <c r="C3216" s="691">
        <v>31.7</v>
      </c>
      <c r="D3216" s="691">
        <v>31.7</v>
      </c>
      <c r="E3216" s="691">
        <v>31.9</v>
      </c>
      <c r="F3216" s="691">
        <v>31.8</v>
      </c>
      <c r="G3216" s="691">
        <v>31.9</v>
      </c>
      <c r="H3216" s="615">
        <v>32</v>
      </c>
      <c r="I3216" s="691">
        <v>30.4</v>
      </c>
      <c r="J3216" s="691">
        <v>28.6</v>
      </c>
      <c r="K3216" s="691">
        <v>31.2</v>
      </c>
    </row>
    <row r="3217" spans="1:11">
      <c r="A3217" s="688" t="s">
        <v>2240</v>
      </c>
      <c r="B3217" s="689">
        <v>34.6</v>
      </c>
      <c r="C3217" s="693">
        <v>35</v>
      </c>
      <c r="D3217" s="689">
        <v>34.799999999999997</v>
      </c>
      <c r="E3217" s="689">
        <v>35.299999999999997</v>
      </c>
      <c r="F3217" s="689">
        <v>35.200000000000003</v>
      </c>
      <c r="G3217" s="689">
        <v>35.299999999999997</v>
      </c>
      <c r="H3217" s="689">
        <v>35.5</v>
      </c>
      <c r="I3217" s="689">
        <v>34.5</v>
      </c>
      <c r="J3217" s="689">
        <v>33.5</v>
      </c>
      <c r="K3217" s="689">
        <v>35.299999999999997</v>
      </c>
    </row>
    <row r="3218" spans="1:11">
      <c r="A3218" s="688" t="s">
        <v>2</v>
      </c>
      <c r="B3218" s="691">
        <v>36.5</v>
      </c>
      <c r="C3218" s="691">
        <v>36.799999999999997</v>
      </c>
      <c r="D3218" s="691">
        <v>36.799999999999997</v>
      </c>
      <c r="E3218" s="615">
        <v>37</v>
      </c>
      <c r="F3218" s="691">
        <v>37.200000000000003</v>
      </c>
      <c r="G3218" s="691">
        <v>37.1</v>
      </c>
      <c r="H3218" s="691">
        <v>37.4</v>
      </c>
      <c r="I3218" s="691">
        <v>37.6</v>
      </c>
      <c r="J3218" s="691">
        <v>37.4</v>
      </c>
      <c r="K3218" s="691">
        <v>37.299999999999997</v>
      </c>
    </row>
    <row r="3219" spans="1:11">
      <c r="A3219" s="688" t="s">
        <v>3</v>
      </c>
      <c r="B3219" s="689">
        <v>36.799999999999997</v>
      </c>
      <c r="C3219" s="689">
        <v>37.1</v>
      </c>
      <c r="D3219" s="689">
        <v>36.799999999999997</v>
      </c>
      <c r="E3219" s="693">
        <v>37</v>
      </c>
      <c r="F3219" s="689">
        <v>37.1</v>
      </c>
      <c r="G3219" s="693">
        <v>37</v>
      </c>
      <c r="H3219" s="689">
        <v>37.299999999999997</v>
      </c>
      <c r="I3219" s="689">
        <v>37.1</v>
      </c>
      <c r="J3219" s="689">
        <v>36.799999999999997</v>
      </c>
      <c r="K3219" s="689">
        <v>36.700000000000003</v>
      </c>
    </row>
    <row r="3220" spans="1:11">
      <c r="A3220" s="688" t="s">
        <v>4061</v>
      </c>
      <c r="B3220" s="691">
        <v>36.799999999999997</v>
      </c>
      <c r="C3220" s="691">
        <v>37.1</v>
      </c>
      <c r="D3220" s="691">
        <v>36.799999999999997</v>
      </c>
      <c r="E3220" s="615">
        <v>37</v>
      </c>
      <c r="F3220" s="691">
        <v>37.1</v>
      </c>
      <c r="G3220" s="615">
        <v>37</v>
      </c>
      <c r="H3220" s="691">
        <v>37.299999999999997</v>
      </c>
      <c r="I3220" s="691">
        <v>37.1</v>
      </c>
      <c r="J3220" s="691">
        <v>36.799999999999997</v>
      </c>
      <c r="K3220" s="691">
        <v>36.700000000000003</v>
      </c>
    </row>
    <row r="3221" spans="1:11">
      <c r="A3221" s="688" t="s">
        <v>4</v>
      </c>
      <c r="B3221" s="689">
        <v>34.5</v>
      </c>
      <c r="C3221" s="689">
        <v>34.200000000000003</v>
      </c>
      <c r="D3221" s="689">
        <v>34.700000000000003</v>
      </c>
      <c r="E3221" s="689">
        <v>34.799999999999997</v>
      </c>
      <c r="F3221" s="693">
        <v>35</v>
      </c>
      <c r="G3221" s="689">
        <v>34.9</v>
      </c>
      <c r="H3221" s="689">
        <v>35.299999999999997</v>
      </c>
      <c r="I3221" s="689">
        <v>35.200000000000003</v>
      </c>
      <c r="J3221" s="689">
        <v>33.9</v>
      </c>
      <c r="K3221" s="689">
        <v>34.799999999999997</v>
      </c>
    </row>
    <row r="3222" spans="1:11">
      <c r="A3222" s="688" t="s">
        <v>8</v>
      </c>
      <c r="B3222" s="691">
        <v>37.299999999999997</v>
      </c>
      <c r="C3222" s="691">
        <v>37.5</v>
      </c>
      <c r="D3222" s="691">
        <v>37.6</v>
      </c>
      <c r="E3222" s="691">
        <v>37.700000000000003</v>
      </c>
      <c r="F3222" s="691">
        <v>38.1</v>
      </c>
      <c r="G3222" s="691">
        <v>38.1</v>
      </c>
      <c r="H3222" s="691">
        <v>38.5</v>
      </c>
      <c r="I3222" s="691">
        <v>38.4</v>
      </c>
      <c r="J3222" s="691">
        <v>38.200000000000003</v>
      </c>
      <c r="K3222" s="691">
        <v>38.4</v>
      </c>
    </row>
    <row r="3223" spans="1:11">
      <c r="A3223" s="688" t="s">
        <v>7</v>
      </c>
      <c r="B3223" s="689">
        <v>37.700000000000003</v>
      </c>
      <c r="C3223" s="689">
        <v>37.299999999999997</v>
      </c>
      <c r="D3223" s="689">
        <v>37.1</v>
      </c>
      <c r="E3223" s="689">
        <v>37.4</v>
      </c>
      <c r="F3223" s="689">
        <v>37.299999999999997</v>
      </c>
      <c r="G3223" s="689">
        <v>37.700000000000003</v>
      </c>
      <c r="H3223" s="689">
        <v>37.700000000000003</v>
      </c>
      <c r="I3223" s="689">
        <v>37.299999999999997</v>
      </c>
      <c r="J3223" s="689">
        <v>36.4</v>
      </c>
      <c r="K3223" s="693">
        <v>37</v>
      </c>
    </row>
    <row r="3224" spans="1:11">
      <c r="A3224" s="688" t="s">
        <v>27</v>
      </c>
      <c r="B3224" s="691">
        <v>39.1</v>
      </c>
      <c r="C3224" s="691">
        <v>38.9</v>
      </c>
      <c r="D3224" s="691">
        <v>38.6</v>
      </c>
      <c r="E3224" s="615">
        <v>39</v>
      </c>
      <c r="F3224" s="615">
        <v>39</v>
      </c>
      <c r="G3224" s="691">
        <v>39.1</v>
      </c>
      <c r="H3224" s="691">
        <v>39.4</v>
      </c>
      <c r="I3224" s="691">
        <v>38.200000000000003</v>
      </c>
      <c r="J3224" s="615">
        <v>39</v>
      </c>
      <c r="K3224" s="615">
        <v>39</v>
      </c>
    </row>
    <row r="3225" spans="1:11">
      <c r="A3225" s="688" t="s">
        <v>6</v>
      </c>
      <c r="B3225" s="689">
        <v>38.799999999999997</v>
      </c>
      <c r="C3225" s="689">
        <v>38.799999999999997</v>
      </c>
      <c r="D3225" s="689">
        <v>38.5</v>
      </c>
      <c r="E3225" s="689">
        <v>38.799999999999997</v>
      </c>
      <c r="F3225" s="689">
        <v>38.799999999999997</v>
      </c>
      <c r="G3225" s="693">
        <v>39</v>
      </c>
      <c r="H3225" s="689">
        <v>39.1</v>
      </c>
      <c r="I3225" s="689">
        <v>38.5</v>
      </c>
      <c r="J3225" s="689">
        <v>38.6</v>
      </c>
      <c r="K3225" s="689">
        <v>38.700000000000003</v>
      </c>
    </row>
    <row r="3226" spans="1:11">
      <c r="A3226" s="688" t="s">
        <v>4058</v>
      </c>
      <c r="B3226" s="692" t="s">
        <v>4060</v>
      </c>
      <c r="C3226" s="692" t="s">
        <v>4060</v>
      </c>
      <c r="D3226" s="692" t="s">
        <v>4060</v>
      </c>
      <c r="E3226" s="692" t="s">
        <v>4060</v>
      </c>
      <c r="F3226" s="692" t="s">
        <v>4060</v>
      </c>
      <c r="G3226" s="692" t="s">
        <v>4060</v>
      </c>
      <c r="H3226" s="692" t="s">
        <v>4060</v>
      </c>
      <c r="I3226" s="692" t="s">
        <v>4060</v>
      </c>
      <c r="J3226" s="692" t="s">
        <v>4060</v>
      </c>
      <c r="K3226" s="692" t="s">
        <v>4060</v>
      </c>
    </row>
    <row r="3227" spans="1:11">
      <c r="A3227" s="688" t="s">
        <v>11</v>
      </c>
      <c r="B3227" s="689">
        <v>34.200000000000003</v>
      </c>
      <c r="C3227" s="689">
        <v>34.200000000000003</v>
      </c>
      <c r="D3227" s="689">
        <v>33.799999999999997</v>
      </c>
      <c r="E3227" s="689">
        <v>34.4</v>
      </c>
      <c r="F3227" s="689">
        <v>34.200000000000003</v>
      </c>
      <c r="G3227" s="689">
        <v>34.4</v>
      </c>
      <c r="H3227" s="689">
        <v>34.700000000000003</v>
      </c>
      <c r="I3227" s="689">
        <v>33.9</v>
      </c>
      <c r="J3227" s="693">
        <v>33</v>
      </c>
      <c r="K3227" s="689">
        <v>34.1</v>
      </c>
    </row>
    <row r="3228" spans="1:11">
      <c r="A3228" s="688" t="s">
        <v>10</v>
      </c>
      <c r="B3228" s="691">
        <v>38.9</v>
      </c>
      <c r="C3228" s="691">
        <v>38.799999999999997</v>
      </c>
      <c r="D3228" s="691">
        <v>38.4</v>
      </c>
      <c r="E3228" s="615">
        <v>39</v>
      </c>
      <c r="F3228" s="691">
        <v>38.799999999999997</v>
      </c>
      <c r="G3228" s="691">
        <v>39.1</v>
      </c>
      <c r="H3228" s="691">
        <v>39.299999999999997</v>
      </c>
      <c r="I3228" s="691">
        <v>38.1</v>
      </c>
      <c r="J3228" s="691">
        <v>38.6</v>
      </c>
      <c r="K3228" s="691">
        <v>38.700000000000003</v>
      </c>
    </row>
    <row r="3229" spans="1:11">
      <c r="A3229" s="688" t="s">
        <v>30</v>
      </c>
      <c r="B3229" s="689">
        <v>38.5</v>
      </c>
      <c r="C3229" s="689">
        <v>38.200000000000003</v>
      </c>
      <c r="D3229" s="693">
        <v>38</v>
      </c>
      <c r="E3229" s="689">
        <v>38.700000000000003</v>
      </c>
      <c r="F3229" s="689">
        <v>38.299999999999997</v>
      </c>
      <c r="G3229" s="689">
        <v>38.9</v>
      </c>
      <c r="H3229" s="689">
        <v>38.700000000000003</v>
      </c>
      <c r="I3229" s="689">
        <v>38.6</v>
      </c>
      <c r="J3229" s="689">
        <v>37.799999999999997</v>
      </c>
      <c r="K3229" s="689">
        <v>38.200000000000003</v>
      </c>
    </row>
    <row r="3230" spans="1:11">
      <c r="A3230" s="688" t="s">
        <v>12</v>
      </c>
      <c r="B3230" s="615">
        <v>32</v>
      </c>
      <c r="C3230" s="691">
        <v>32.1</v>
      </c>
      <c r="D3230" s="691">
        <v>32.299999999999997</v>
      </c>
      <c r="E3230" s="691">
        <v>32.4</v>
      </c>
      <c r="F3230" s="691">
        <v>32.4</v>
      </c>
      <c r="G3230" s="691">
        <v>32.4</v>
      </c>
      <c r="H3230" s="615">
        <v>33</v>
      </c>
      <c r="I3230" s="691">
        <v>32.6</v>
      </c>
      <c r="J3230" s="691">
        <v>30.5</v>
      </c>
      <c r="K3230" s="691">
        <v>31.9</v>
      </c>
    </row>
    <row r="3231" spans="1:11">
      <c r="A3231" s="688" t="s">
        <v>14</v>
      </c>
      <c r="B3231" s="689">
        <v>32.1</v>
      </c>
      <c r="C3231" s="689">
        <v>32.5</v>
      </c>
      <c r="D3231" s="689">
        <v>32.200000000000003</v>
      </c>
      <c r="E3231" s="689">
        <v>32.4</v>
      </c>
      <c r="F3231" s="693">
        <v>33</v>
      </c>
      <c r="G3231" s="689">
        <v>33.200000000000003</v>
      </c>
      <c r="H3231" s="689">
        <v>33.6</v>
      </c>
      <c r="I3231" s="689">
        <v>32.299999999999997</v>
      </c>
      <c r="J3231" s="689">
        <v>31.5</v>
      </c>
      <c r="K3231" s="689">
        <v>32.799999999999997</v>
      </c>
    </row>
    <row r="3232" spans="1:11">
      <c r="A3232" s="688" t="s">
        <v>15</v>
      </c>
      <c r="B3232" s="691">
        <v>38.1</v>
      </c>
      <c r="C3232" s="615">
        <v>38</v>
      </c>
      <c r="D3232" s="615">
        <v>38</v>
      </c>
      <c r="E3232" s="691">
        <v>38.299999999999997</v>
      </c>
      <c r="F3232" s="691">
        <v>37.799999999999997</v>
      </c>
      <c r="G3232" s="691">
        <v>38.1</v>
      </c>
      <c r="H3232" s="691">
        <v>38.4</v>
      </c>
      <c r="I3232" s="691">
        <v>38.1</v>
      </c>
      <c r="J3232" s="691">
        <v>38.5</v>
      </c>
      <c r="K3232" s="691">
        <v>38.799999999999997</v>
      </c>
    </row>
    <row r="3233" spans="1:11">
      <c r="A3233" s="688" t="s">
        <v>29</v>
      </c>
      <c r="B3233" s="689">
        <v>32.299999999999997</v>
      </c>
      <c r="C3233" s="689">
        <v>32.299999999999997</v>
      </c>
      <c r="D3233" s="689">
        <v>32.1</v>
      </c>
      <c r="E3233" s="689">
        <v>32.5</v>
      </c>
      <c r="F3233" s="689">
        <v>32.299999999999997</v>
      </c>
      <c r="G3233" s="689">
        <v>32.4</v>
      </c>
      <c r="H3233" s="689">
        <v>32.700000000000003</v>
      </c>
      <c r="I3233" s="689">
        <v>31.9</v>
      </c>
      <c r="J3233" s="689">
        <v>30.7</v>
      </c>
      <c r="K3233" s="689">
        <v>32.299999999999997</v>
      </c>
    </row>
    <row r="3234" spans="1:11">
      <c r="A3234" s="688" t="s">
        <v>16</v>
      </c>
      <c r="B3234" s="691">
        <v>38.1</v>
      </c>
      <c r="C3234" s="615">
        <v>38</v>
      </c>
      <c r="D3234" s="615">
        <v>38</v>
      </c>
      <c r="E3234" s="691">
        <v>38.5</v>
      </c>
      <c r="F3234" s="691">
        <v>38.4</v>
      </c>
      <c r="G3234" s="691">
        <v>38.299999999999997</v>
      </c>
      <c r="H3234" s="691">
        <v>38.700000000000003</v>
      </c>
      <c r="I3234" s="615">
        <v>38</v>
      </c>
      <c r="J3234" s="691">
        <v>38.1</v>
      </c>
      <c r="K3234" s="691">
        <v>38.200000000000003</v>
      </c>
    </row>
    <row r="3235" spans="1:11">
      <c r="A3235" s="688" t="s">
        <v>17</v>
      </c>
      <c r="B3235" s="689">
        <v>37.5</v>
      </c>
      <c r="C3235" s="689">
        <v>37.700000000000003</v>
      </c>
      <c r="D3235" s="689">
        <v>37.5</v>
      </c>
      <c r="E3235" s="689">
        <v>37.6</v>
      </c>
      <c r="F3235" s="689">
        <v>37.799999999999997</v>
      </c>
      <c r="G3235" s="689">
        <v>37.799999999999997</v>
      </c>
      <c r="H3235" s="689">
        <v>38.1</v>
      </c>
      <c r="I3235" s="689">
        <v>37.5</v>
      </c>
      <c r="J3235" s="689">
        <v>37.4</v>
      </c>
      <c r="K3235" s="689">
        <v>37.700000000000003</v>
      </c>
    </row>
    <row r="3236" spans="1:11">
      <c r="A3236" s="688" t="s">
        <v>19</v>
      </c>
      <c r="B3236" s="691">
        <v>37.5</v>
      </c>
      <c r="C3236" s="691">
        <v>37.6</v>
      </c>
      <c r="D3236" s="691">
        <v>37.299999999999997</v>
      </c>
      <c r="E3236" s="691">
        <v>37.799999999999997</v>
      </c>
      <c r="F3236" s="691">
        <v>37.799999999999997</v>
      </c>
      <c r="G3236" s="691">
        <v>37.799999999999997</v>
      </c>
      <c r="H3236" s="691">
        <v>38.1</v>
      </c>
      <c r="I3236" s="691">
        <v>37.5</v>
      </c>
      <c r="J3236" s="691">
        <v>37.4</v>
      </c>
      <c r="K3236" s="691">
        <v>37.6</v>
      </c>
    </row>
    <row r="3237" spans="1:11">
      <c r="A3237" s="688" t="s">
        <v>20</v>
      </c>
      <c r="B3237" s="693">
        <v>34</v>
      </c>
      <c r="C3237" s="689">
        <v>34.299999999999997</v>
      </c>
      <c r="D3237" s="689">
        <v>34.1</v>
      </c>
      <c r="E3237" s="689">
        <v>34.5</v>
      </c>
      <c r="F3237" s="689">
        <v>34.4</v>
      </c>
      <c r="G3237" s="689">
        <v>34.299999999999997</v>
      </c>
      <c r="H3237" s="689">
        <v>34.6</v>
      </c>
      <c r="I3237" s="689">
        <v>33.200000000000003</v>
      </c>
      <c r="J3237" s="689">
        <v>32.299999999999997</v>
      </c>
      <c r="K3237" s="693">
        <v>34</v>
      </c>
    </row>
    <row r="3238" spans="1:11">
      <c r="A3238" s="688" t="s">
        <v>21</v>
      </c>
      <c r="B3238" s="691">
        <v>37.200000000000003</v>
      </c>
      <c r="C3238" s="691">
        <v>37.6</v>
      </c>
      <c r="D3238" s="691">
        <v>37.5</v>
      </c>
      <c r="E3238" s="691">
        <v>37.5</v>
      </c>
      <c r="F3238" s="691">
        <v>37.799999999999997</v>
      </c>
      <c r="G3238" s="691">
        <v>37.799999999999997</v>
      </c>
      <c r="H3238" s="691">
        <v>38.1</v>
      </c>
      <c r="I3238" s="691">
        <v>37.5</v>
      </c>
      <c r="J3238" s="691">
        <v>37.6</v>
      </c>
      <c r="K3238" s="691">
        <v>37.9</v>
      </c>
    </row>
    <row r="3239" spans="1:11">
      <c r="A3239" s="688" t="s">
        <v>22</v>
      </c>
      <c r="B3239" s="689">
        <v>32.4</v>
      </c>
      <c r="C3239" s="689">
        <v>32.1</v>
      </c>
      <c r="D3239" s="689">
        <v>32.1</v>
      </c>
      <c r="E3239" s="689">
        <v>32.299999999999997</v>
      </c>
      <c r="F3239" s="689">
        <v>32.299999999999997</v>
      </c>
      <c r="G3239" s="689">
        <v>32.299999999999997</v>
      </c>
      <c r="H3239" s="689">
        <v>32.5</v>
      </c>
      <c r="I3239" s="689">
        <v>31.1</v>
      </c>
      <c r="J3239" s="689">
        <v>29.8</v>
      </c>
      <c r="K3239" s="693">
        <v>32</v>
      </c>
    </row>
    <row r="3240" spans="1:11">
      <c r="A3240" s="688" t="s">
        <v>26</v>
      </c>
      <c r="B3240" s="691">
        <v>36.700000000000003</v>
      </c>
      <c r="C3240" s="691">
        <v>36.9</v>
      </c>
      <c r="D3240" s="691">
        <v>36.700000000000003</v>
      </c>
      <c r="E3240" s="691">
        <v>37.1</v>
      </c>
      <c r="F3240" s="615">
        <v>37</v>
      </c>
      <c r="G3240" s="691">
        <v>37.299999999999997</v>
      </c>
      <c r="H3240" s="691">
        <v>37.4</v>
      </c>
      <c r="I3240" s="691">
        <v>36.5</v>
      </c>
      <c r="J3240" s="691">
        <v>36.6</v>
      </c>
      <c r="K3240" s="691">
        <v>37.299999999999997</v>
      </c>
    </row>
    <row r="3241" spans="1:11">
      <c r="A3241" s="688" t="s">
        <v>25</v>
      </c>
      <c r="B3241" s="689">
        <v>33.299999999999997</v>
      </c>
      <c r="C3241" s="689">
        <v>33.700000000000003</v>
      </c>
      <c r="D3241" s="689">
        <v>33.4</v>
      </c>
      <c r="E3241" s="689">
        <v>33.9</v>
      </c>
      <c r="F3241" s="689">
        <v>33.9</v>
      </c>
      <c r="G3241" s="693">
        <v>34</v>
      </c>
      <c r="H3241" s="689">
        <v>34.4</v>
      </c>
      <c r="I3241" s="689">
        <v>33.6</v>
      </c>
      <c r="J3241" s="689">
        <v>31.4</v>
      </c>
      <c r="K3241" s="689">
        <v>33.700000000000003</v>
      </c>
    </row>
    <row r="3242" spans="1:11">
      <c r="A3242" s="688" t="s">
        <v>5</v>
      </c>
      <c r="B3242" s="691">
        <v>37.5</v>
      </c>
      <c r="C3242" s="691">
        <v>37.4</v>
      </c>
      <c r="D3242" s="691">
        <v>37.6</v>
      </c>
      <c r="E3242" s="691">
        <v>37.6</v>
      </c>
      <c r="F3242" s="691">
        <v>37.799999999999997</v>
      </c>
      <c r="G3242" s="691">
        <v>37.9</v>
      </c>
      <c r="H3242" s="691">
        <v>38.299999999999997</v>
      </c>
      <c r="I3242" s="691">
        <v>38.200000000000003</v>
      </c>
      <c r="J3242" s="615">
        <v>38</v>
      </c>
      <c r="K3242" s="691">
        <v>37.5</v>
      </c>
    </row>
    <row r="3243" spans="1:11">
      <c r="A3243" s="688" t="s">
        <v>23</v>
      </c>
      <c r="B3243" s="689">
        <v>38.1</v>
      </c>
      <c r="C3243" s="689">
        <v>38.299999999999997</v>
      </c>
      <c r="D3243" s="689">
        <v>38.299999999999997</v>
      </c>
      <c r="E3243" s="689">
        <v>38.4</v>
      </c>
      <c r="F3243" s="689">
        <v>38.5</v>
      </c>
      <c r="G3243" s="689">
        <v>38.6</v>
      </c>
      <c r="H3243" s="689">
        <v>39.1</v>
      </c>
      <c r="I3243" s="689">
        <v>38.5</v>
      </c>
      <c r="J3243" s="693">
        <v>39</v>
      </c>
      <c r="K3243" s="689">
        <v>39.1</v>
      </c>
    </row>
    <row r="3244" spans="1:11">
      <c r="A3244" s="688" t="s">
        <v>4067</v>
      </c>
      <c r="B3244" s="691">
        <v>36.9</v>
      </c>
      <c r="C3244" s="691">
        <v>37.299999999999997</v>
      </c>
      <c r="D3244" s="691">
        <v>36.9</v>
      </c>
      <c r="E3244" s="691">
        <v>37.299999999999997</v>
      </c>
      <c r="F3244" s="691">
        <v>37.299999999999997</v>
      </c>
      <c r="G3244" s="691">
        <v>37.299999999999997</v>
      </c>
      <c r="H3244" s="692" t="s">
        <v>4060</v>
      </c>
      <c r="I3244" s="692" t="s">
        <v>4060</v>
      </c>
      <c r="J3244" s="692" t="s">
        <v>4060</v>
      </c>
      <c r="K3244" s="692" t="s">
        <v>4060</v>
      </c>
    </row>
    <row r="3245" spans="1:11">
      <c r="A3245" s="688" t="s">
        <v>4066</v>
      </c>
      <c r="B3245" s="693">
        <v>37</v>
      </c>
      <c r="C3245" s="689">
        <v>37.299999999999997</v>
      </c>
      <c r="D3245" s="693">
        <v>37</v>
      </c>
      <c r="E3245" s="689">
        <v>37.299999999999997</v>
      </c>
      <c r="F3245" s="689">
        <v>37.299999999999997</v>
      </c>
      <c r="G3245" s="689">
        <v>37.4</v>
      </c>
      <c r="H3245" s="690" t="s">
        <v>4060</v>
      </c>
      <c r="I3245" s="690" t="s">
        <v>4060</v>
      </c>
      <c r="J3245" s="690" t="s">
        <v>4060</v>
      </c>
      <c r="K3245" s="690" t="s">
        <v>4060</v>
      </c>
    </row>
    <row r="3246" spans="1:11">
      <c r="A3246" s="688" t="s">
        <v>4062</v>
      </c>
      <c r="B3246" s="691">
        <v>38.6</v>
      </c>
      <c r="C3246" s="691">
        <v>38.799999999999997</v>
      </c>
      <c r="D3246" s="691">
        <v>38.700000000000003</v>
      </c>
      <c r="E3246" s="691">
        <v>39.1</v>
      </c>
      <c r="F3246" s="691">
        <v>39.1</v>
      </c>
      <c r="G3246" s="691">
        <v>39.299999999999997</v>
      </c>
      <c r="H3246" s="691">
        <v>39.5</v>
      </c>
      <c r="I3246" s="691">
        <v>39.1</v>
      </c>
      <c r="J3246" s="691">
        <v>39.4</v>
      </c>
      <c r="K3246" s="691">
        <v>39.200000000000003</v>
      </c>
    </row>
    <row r="3247" spans="1:11">
      <c r="A3247" s="688" t="s">
        <v>9</v>
      </c>
      <c r="B3247" s="689">
        <v>38.200000000000003</v>
      </c>
      <c r="C3247" s="689">
        <v>38.700000000000003</v>
      </c>
      <c r="D3247" s="689">
        <v>38.6</v>
      </c>
      <c r="E3247" s="689">
        <v>38.200000000000003</v>
      </c>
      <c r="F3247" s="689">
        <v>38.6</v>
      </c>
      <c r="G3247" s="689">
        <v>38.9</v>
      </c>
      <c r="H3247" s="693">
        <v>39</v>
      </c>
      <c r="I3247" s="689">
        <v>39.1</v>
      </c>
      <c r="J3247" s="689">
        <v>39.299999999999997</v>
      </c>
      <c r="K3247" s="689">
        <v>38.200000000000003</v>
      </c>
    </row>
    <row r="3248" spans="1:11">
      <c r="A3248" s="688" t="s">
        <v>13</v>
      </c>
      <c r="B3248" s="691">
        <v>38.700000000000003</v>
      </c>
      <c r="C3248" s="615">
        <v>38</v>
      </c>
      <c r="D3248" s="691">
        <v>38.799999999999997</v>
      </c>
      <c r="E3248" s="691">
        <v>38.200000000000003</v>
      </c>
      <c r="F3248" s="691">
        <v>39.1</v>
      </c>
      <c r="G3248" s="691">
        <v>39.1</v>
      </c>
      <c r="H3248" s="691">
        <v>39.4</v>
      </c>
      <c r="I3248" s="691">
        <v>38.4</v>
      </c>
      <c r="J3248" s="691">
        <v>39.5</v>
      </c>
      <c r="K3248" s="615">
        <v>40</v>
      </c>
    </row>
    <row r="3249" spans="1:11">
      <c r="A3249" s="688" t="s">
        <v>18</v>
      </c>
      <c r="B3249" s="689">
        <v>37.9</v>
      </c>
      <c r="C3249" s="689">
        <v>38.200000000000003</v>
      </c>
      <c r="D3249" s="689">
        <v>38.299999999999997</v>
      </c>
      <c r="E3249" s="689">
        <v>38.5</v>
      </c>
      <c r="F3249" s="689">
        <v>38.6</v>
      </c>
      <c r="G3249" s="689">
        <v>38.799999999999997</v>
      </c>
      <c r="H3249" s="693">
        <v>39</v>
      </c>
      <c r="I3249" s="689">
        <v>39.200000000000003</v>
      </c>
      <c r="J3249" s="689">
        <v>39.1</v>
      </c>
      <c r="K3249" s="689">
        <v>38.6</v>
      </c>
    </row>
    <row r="3250" spans="1:11">
      <c r="A3250" s="688" t="s">
        <v>24</v>
      </c>
      <c r="B3250" s="615">
        <v>39</v>
      </c>
      <c r="C3250" s="691">
        <v>39.200000000000003</v>
      </c>
      <c r="D3250" s="691">
        <v>38.9</v>
      </c>
      <c r="E3250" s="691">
        <v>39.5</v>
      </c>
      <c r="F3250" s="691">
        <v>39.5</v>
      </c>
      <c r="G3250" s="691">
        <v>39.6</v>
      </c>
      <c r="H3250" s="691">
        <v>39.799999999999997</v>
      </c>
      <c r="I3250" s="691">
        <v>39.1</v>
      </c>
      <c r="J3250" s="691">
        <v>39.6</v>
      </c>
      <c r="K3250" s="691">
        <v>39.6</v>
      </c>
    </row>
    <row r="3251" spans="1:11">
      <c r="A3251" s="688" t="s">
        <v>4059</v>
      </c>
      <c r="B3251" s="689">
        <v>37.5</v>
      </c>
      <c r="C3251" s="689">
        <v>37.799999999999997</v>
      </c>
      <c r="D3251" s="689">
        <v>37.4</v>
      </c>
      <c r="E3251" s="689">
        <v>37.6</v>
      </c>
      <c r="F3251" s="689">
        <v>37.700000000000003</v>
      </c>
      <c r="G3251" s="689">
        <v>37.700000000000003</v>
      </c>
      <c r="H3251" s="690" t="s">
        <v>4060</v>
      </c>
      <c r="I3251" s="690" t="s">
        <v>4060</v>
      </c>
      <c r="J3251" s="690" t="s">
        <v>4060</v>
      </c>
      <c r="K3251" s="690" t="s">
        <v>4060</v>
      </c>
    </row>
    <row r="3252" spans="1:11">
      <c r="A3252" s="688" t="s">
        <v>2324</v>
      </c>
      <c r="B3252" s="691">
        <v>33.1</v>
      </c>
      <c r="C3252" s="691">
        <v>33.1</v>
      </c>
      <c r="D3252" s="691">
        <v>32.700000000000003</v>
      </c>
      <c r="E3252" s="691">
        <v>32.9</v>
      </c>
      <c r="F3252" s="691">
        <v>33.1</v>
      </c>
      <c r="G3252" s="691">
        <v>33.200000000000003</v>
      </c>
      <c r="H3252" s="691">
        <v>33.1</v>
      </c>
      <c r="I3252" s="691">
        <v>32.299999999999997</v>
      </c>
      <c r="J3252" s="691">
        <v>30.2</v>
      </c>
      <c r="K3252" s="692" t="s">
        <v>4060</v>
      </c>
    </row>
    <row r="3253" spans="1:11">
      <c r="A3253" s="688" t="s">
        <v>2322</v>
      </c>
      <c r="B3253" s="690" t="s">
        <v>4060</v>
      </c>
      <c r="C3253" s="690" t="s">
        <v>4060</v>
      </c>
      <c r="D3253" s="690" t="s">
        <v>4060</v>
      </c>
      <c r="E3253" s="690" t="s">
        <v>4060</v>
      </c>
      <c r="F3253" s="690" t="s">
        <v>4060</v>
      </c>
      <c r="G3253" s="690" t="s">
        <v>4060</v>
      </c>
      <c r="H3253" s="690" t="s">
        <v>4060</v>
      </c>
      <c r="I3253" s="690" t="s">
        <v>4060</v>
      </c>
      <c r="J3253" s="690" t="s">
        <v>4060</v>
      </c>
      <c r="K3253" s="690" t="s">
        <v>4060</v>
      </c>
    </row>
    <row r="3254" spans="1:11">
      <c r="A3254" s="688" t="s">
        <v>2328</v>
      </c>
      <c r="B3254" s="691">
        <v>32.299999999999997</v>
      </c>
      <c r="C3254" s="691">
        <v>32.200000000000003</v>
      </c>
      <c r="D3254" s="691">
        <v>32.200000000000003</v>
      </c>
      <c r="E3254" s="691">
        <v>32.4</v>
      </c>
      <c r="F3254" s="691">
        <v>32.700000000000003</v>
      </c>
      <c r="G3254" s="691">
        <v>33.1</v>
      </c>
      <c r="H3254" s="615">
        <v>33</v>
      </c>
      <c r="I3254" s="691">
        <v>30.8</v>
      </c>
      <c r="J3254" s="691">
        <v>29.8</v>
      </c>
      <c r="K3254" s="692" t="s">
        <v>4060</v>
      </c>
    </row>
    <row r="3255" spans="1:11">
      <c r="A3255" s="688" t="s">
        <v>2496</v>
      </c>
      <c r="B3255" s="690" t="s">
        <v>4060</v>
      </c>
      <c r="C3255" s="689">
        <v>31.8</v>
      </c>
      <c r="D3255" s="689">
        <v>30.8</v>
      </c>
      <c r="E3255" s="689">
        <v>30.6</v>
      </c>
      <c r="F3255" s="689">
        <v>31.3</v>
      </c>
      <c r="G3255" s="689">
        <v>31.5</v>
      </c>
      <c r="H3255" s="689">
        <v>31.5</v>
      </c>
      <c r="I3255" s="690" t="s">
        <v>4060</v>
      </c>
      <c r="J3255" s="690" t="s">
        <v>4060</v>
      </c>
      <c r="K3255" s="689">
        <v>31.1</v>
      </c>
    </row>
    <row r="3256" spans="1:11">
      <c r="A3256" s="688" t="s">
        <v>2269</v>
      </c>
      <c r="B3256" s="691">
        <v>35.200000000000003</v>
      </c>
      <c r="C3256" s="691">
        <v>35.299999999999997</v>
      </c>
      <c r="D3256" s="691">
        <v>34.799999999999997</v>
      </c>
      <c r="E3256" s="691">
        <v>35.4</v>
      </c>
      <c r="F3256" s="691">
        <v>35.299999999999997</v>
      </c>
      <c r="G3256" s="691">
        <v>35.700000000000003</v>
      </c>
      <c r="H3256" s="615">
        <v>36</v>
      </c>
      <c r="I3256" s="691">
        <v>34.200000000000003</v>
      </c>
      <c r="J3256" s="691">
        <v>32.299999999999997</v>
      </c>
      <c r="K3256" s="691">
        <v>35.6</v>
      </c>
    </row>
    <row r="3257" spans="1:11">
      <c r="A3257" s="688" t="s">
        <v>2349</v>
      </c>
      <c r="B3257" s="693">
        <v>32</v>
      </c>
      <c r="C3257" s="689">
        <v>32.1</v>
      </c>
      <c r="D3257" s="693">
        <v>32</v>
      </c>
      <c r="E3257" s="689">
        <v>32.4</v>
      </c>
      <c r="F3257" s="689">
        <v>32.200000000000003</v>
      </c>
      <c r="G3257" s="689">
        <v>32.5</v>
      </c>
      <c r="H3257" s="689">
        <v>32.5</v>
      </c>
      <c r="I3257" s="689">
        <v>31.1</v>
      </c>
      <c r="J3257" s="689">
        <v>29.5</v>
      </c>
      <c r="K3257" s="689">
        <v>31.8</v>
      </c>
    </row>
    <row r="3258" spans="1:11">
      <c r="A3258" s="688" t="s">
        <v>2355</v>
      </c>
      <c r="B3258" s="691">
        <v>35.5</v>
      </c>
      <c r="C3258" s="691">
        <v>35.4</v>
      </c>
      <c r="D3258" s="691">
        <v>35.299999999999997</v>
      </c>
      <c r="E3258" s="691">
        <v>35.299999999999997</v>
      </c>
      <c r="F3258" s="691">
        <v>35.5</v>
      </c>
      <c r="G3258" s="691">
        <v>35.9</v>
      </c>
      <c r="H3258" s="615">
        <v>36</v>
      </c>
      <c r="I3258" s="692" t="s">
        <v>4060</v>
      </c>
      <c r="J3258" s="692" t="s">
        <v>4060</v>
      </c>
      <c r="K3258" s="692" t="s">
        <v>4060</v>
      </c>
    </row>
    <row r="3259" spans="1:11">
      <c r="A3259" s="688" t="s">
        <v>2357</v>
      </c>
      <c r="B3259" s="690" t="s">
        <v>4060</v>
      </c>
      <c r="C3259" s="689">
        <v>30.5</v>
      </c>
      <c r="D3259" s="689">
        <v>30.9</v>
      </c>
      <c r="E3259" s="689">
        <v>31.2</v>
      </c>
      <c r="F3259" s="689">
        <v>31.4</v>
      </c>
      <c r="G3259" s="689">
        <v>31.3</v>
      </c>
      <c r="H3259" s="689">
        <v>31.5</v>
      </c>
      <c r="I3259" s="690" t="s">
        <v>4060</v>
      </c>
      <c r="J3259" s="690" t="s">
        <v>4060</v>
      </c>
      <c r="K3259" s="690" t="s">
        <v>4060</v>
      </c>
    </row>
    <row r="3260" spans="1:11">
      <c r="A3260" s="688" t="s">
        <v>4070</v>
      </c>
      <c r="B3260" s="692" t="s">
        <v>4060</v>
      </c>
      <c r="C3260" s="692" t="s">
        <v>4060</v>
      </c>
      <c r="D3260" s="692" t="s">
        <v>4060</v>
      </c>
      <c r="E3260" s="615">
        <v>35</v>
      </c>
      <c r="F3260" s="692" t="s">
        <v>4060</v>
      </c>
      <c r="G3260" s="692" t="s">
        <v>4060</v>
      </c>
      <c r="H3260" s="692" t="s">
        <v>4060</v>
      </c>
      <c r="I3260" s="692" t="s">
        <v>4060</v>
      </c>
      <c r="J3260" s="692" t="s">
        <v>4060</v>
      </c>
      <c r="K3260" s="692" t="s">
        <v>4060</v>
      </c>
    </row>
    <row r="3261" spans="1:11">
      <c r="A3261" s="688" t="s">
        <v>2491</v>
      </c>
      <c r="B3261" s="689">
        <v>30.6</v>
      </c>
      <c r="C3261" s="693">
        <v>31</v>
      </c>
      <c r="D3261" s="689">
        <v>31.3</v>
      </c>
      <c r="E3261" s="689">
        <v>31.5</v>
      </c>
      <c r="F3261" s="689">
        <v>31.6</v>
      </c>
      <c r="G3261" s="689">
        <v>31.6</v>
      </c>
      <c r="H3261" s="690" t="s">
        <v>4060</v>
      </c>
      <c r="I3261" s="690" t="s">
        <v>4060</v>
      </c>
      <c r="J3261" s="690" t="s">
        <v>4060</v>
      </c>
      <c r="K3261" s="690" t="s">
        <v>4060</v>
      </c>
    </row>
    <row r="3262" spans="1:11">
      <c r="A3262" s="688" t="s">
        <v>2343</v>
      </c>
      <c r="B3262" s="692" t="s">
        <v>4060</v>
      </c>
      <c r="C3262" s="692" t="s">
        <v>4060</v>
      </c>
      <c r="D3262" s="692" t="s">
        <v>4060</v>
      </c>
      <c r="E3262" s="692" t="s">
        <v>4060</v>
      </c>
      <c r="F3262" s="692" t="s">
        <v>4060</v>
      </c>
      <c r="G3262" s="692" t="s">
        <v>4060</v>
      </c>
      <c r="H3262" s="692" t="s">
        <v>4060</v>
      </c>
      <c r="I3262" s="692" t="s">
        <v>4060</v>
      </c>
      <c r="J3262" s="692" t="s">
        <v>4060</v>
      </c>
      <c r="K3262" s="692" t="s">
        <v>4060</v>
      </c>
    </row>
    <row r="3263" spans="1:11">
      <c r="A3263" s="688" t="s">
        <v>4071</v>
      </c>
      <c r="B3263" s="690" t="s">
        <v>4060</v>
      </c>
      <c r="C3263" s="690" t="s">
        <v>4060</v>
      </c>
      <c r="D3263" s="690" t="s">
        <v>4060</v>
      </c>
      <c r="E3263" s="690" t="s">
        <v>4060</v>
      </c>
      <c r="F3263" s="690" t="s">
        <v>4060</v>
      </c>
      <c r="G3263" s="690" t="s">
        <v>4060</v>
      </c>
      <c r="H3263" s="690" t="s">
        <v>4060</v>
      </c>
      <c r="I3263" s="690" t="s">
        <v>4060</v>
      </c>
      <c r="J3263" s="690" t="s">
        <v>4060</v>
      </c>
      <c r="K3263" s="690" t="s">
        <v>4060</v>
      </c>
    </row>
    <row r="3264" spans="1:11">
      <c r="A3264" s="688" t="s">
        <v>2489</v>
      </c>
      <c r="B3264" s="692" t="s">
        <v>4060</v>
      </c>
      <c r="C3264" s="692" t="s">
        <v>4060</v>
      </c>
      <c r="D3264" s="691">
        <v>32.299999999999997</v>
      </c>
      <c r="E3264" s="691">
        <v>32.299999999999997</v>
      </c>
      <c r="F3264" s="691">
        <v>32.799999999999997</v>
      </c>
      <c r="G3264" s="691">
        <v>33.6</v>
      </c>
      <c r="H3264" s="691">
        <v>33.299999999999997</v>
      </c>
      <c r="I3264" s="692" t="s">
        <v>4060</v>
      </c>
      <c r="J3264" s="692" t="s">
        <v>4060</v>
      </c>
      <c r="K3264" s="692" t="s">
        <v>4060</v>
      </c>
    </row>
    <row r="3265" spans="1:11">
      <c r="A3265" s="688" t="s">
        <v>2490</v>
      </c>
      <c r="B3265" s="689">
        <v>32.200000000000003</v>
      </c>
      <c r="C3265" s="689">
        <v>32.200000000000003</v>
      </c>
      <c r="D3265" s="689">
        <v>32.799999999999997</v>
      </c>
      <c r="E3265" s="690" t="s">
        <v>4060</v>
      </c>
      <c r="F3265" s="693">
        <v>33</v>
      </c>
      <c r="G3265" s="689">
        <v>33.299999999999997</v>
      </c>
      <c r="H3265" s="689">
        <v>34.1</v>
      </c>
      <c r="I3265" s="690" t="s">
        <v>4060</v>
      </c>
      <c r="J3265" s="690" t="s">
        <v>4060</v>
      </c>
      <c r="K3265" s="690" t="s">
        <v>4060</v>
      </c>
    </row>
    <row r="3267" spans="1:11">
      <c r="A3267" s="683" t="s">
        <v>4233</v>
      </c>
    </row>
    <row r="3268" spans="1:11">
      <c r="A3268" s="683" t="s">
        <v>4060</v>
      </c>
      <c r="B3268" s="682" t="s">
        <v>4234</v>
      </c>
    </row>
    <row r="3270" spans="1:11">
      <c r="A3270" s="682" t="s">
        <v>4248</v>
      </c>
    </row>
    <row r="3271" spans="1:11">
      <c r="A3271" s="682" t="s">
        <v>4210</v>
      </c>
      <c r="B3271" s="683" t="s">
        <v>4211</v>
      </c>
    </row>
    <row r="3272" spans="1:11">
      <c r="A3272" s="682" t="s">
        <v>4212</v>
      </c>
      <c r="B3272" s="682" t="s">
        <v>4213</v>
      </c>
    </row>
    <row r="3274" spans="1:11">
      <c r="A3274" s="683" t="s">
        <v>4214</v>
      </c>
      <c r="C3274" s="682" t="s">
        <v>4215</v>
      </c>
    </row>
    <row r="3275" spans="1:11">
      <c r="A3275" s="683" t="s">
        <v>4216</v>
      </c>
      <c r="C3275" s="682" t="s">
        <v>2967</v>
      </c>
    </row>
    <row r="3276" spans="1:11">
      <c r="A3276" s="683" t="s">
        <v>3893</v>
      </c>
      <c r="C3276" s="682" t="s">
        <v>4217</v>
      </c>
    </row>
    <row r="3277" spans="1:11">
      <c r="A3277" s="683" t="s">
        <v>4218</v>
      </c>
      <c r="C3277" s="682" t="s">
        <v>4281</v>
      </c>
    </row>
    <row r="3279" spans="1:11">
      <c r="A3279" s="684" t="s">
        <v>4220</v>
      </c>
      <c r="B3279" s="685" t="s">
        <v>4221</v>
      </c>
      <c r="C3279" s="685" t="s">
        <v>4222</v>
      </c>
      <c r="D3279" s="685" t="s">
        <v>4223</v>
      </c>
      <c r="E3279" s="685" t="s">
        <v>4224</v>
      </c>
      <c r="F3279" s="685" t="s">
        <v>4225</v>
      </c>
      <c r="G3279" s="685" t="s">
        <v>4226</v>
      </c>
      <c r="H3279" s="685" t="s">
        <v>4227</v>
      </c>
      <c r="I3279" s="685" t="s">
        <v>4228</v>
      </c>
      <c r="J3279" s="685" t="s">
        <v>4229</v>
      </c>
      <c r="K3279" s="685" t="s">
        <v>4230</v>
      </c>
    </row>
    <row r="3280" spans="1:11">
      <c r="A3280" s="686" t="s">
        <v>4231</v>
      </c>
      <c r="B3280" s="687" t="s">
        <v>4232</v>
      </c>
      <c r="C3280" s="687" t="s">
        <v>4232</v>
      </c>
      <c r="D3280" s="687" t="s">
        <v>4232</v>
      </c>
      <c r="E3280" s="687" t="s">
        <v>4232</v>
      </c>
      <c r="F3280" s="687" t="s">
        <v>4232</v>
      </c>
      <c r="G3280" s="687" t="s">
        <v>4232</v>
      </c>
      <c r="H3280" s="687" t="s">
        <v>4232</v>
      </c>
      <c r="I3280" s="687" t="s">
        <v>4232</v>
      </c>
      <c r="J3280" s="687" t="s">
        <v>4232</v>
      </c>
      <c r="K3280" s="687" t="s">
        <v>4232</v>
      </c>
    </row>
    <row r="3281" spans="1:11">
      <c r="A3281" s="688" t="s">
        <v>4064</v>
      </c>
      <c r="B3281" s="689">
        <v>35.9</v>
      </c>
      <c r="C3281" s="693">
        <v>36</v>
      </c>
      <c r="D3281" s="689">
        <v>35.9</v>
      </c>
      <c r="E3281" s="689">
        <v>36.1</v>
      </c>
      <c r="F3281" s="689">
        <v>36.1</v>
      </c>
      <c r="G3281" s="689">
        <v>36.200000000000003</v>
      </c>
      <c r="H3281" s="689">
        <v>36.4</v>
      </c>
      <c r="I3281" s="689">
        <v>35.6</v>
      </c>
      <c r="J3281" s="689">
        <v>35.299999999999997</v>
      </c>
      <c r="K3281" s="689">
        <v>35.9</v>
      </c>
    </row>
    <row r="3282" spans="1:11">
      <c r="A3282" s="688" t="s">
        <v>4065</v>
      </c>
      <c r="B3282" s="615">
        <v>36</v>
      </c>
      <c r="C3282" s="691">
        <v>36.299999999999997</v>
      </c>
      <c r="D3282" s="615">
        <v>36</v>
      </c>
      <c r="E3282" s="691">
        <v>36.4</v>
      </c>
      <c r="F3282" s="691">
        <v>36.299999999999997</v>
      </c>
      <c r="G3282" s="691">
        <v>36.4</v>
      </c>
      <c r="H3282" s="692" t="s">
        <v>4060</v>
      </c>
      <c r="I3282" s="692" t="s">
        <v>4060</v>
      </c>
      <c r="J3282" s="692" t="s">
        <v>4060</v>
      </c>
      <c r="K3282" s="692" t="s">
        <v>4060</v>
      </c>
    </row>
    <row r="3283" spans="1:11">
      <c r="A3283" s="688" t="s">
        <v>4063</v>
      </c>
      <c r="B3283" s="693">
        <v>36</v>
      </c>
      <c r="C3283" s="689">
        <v>36.4</v>
      </c>
      <c r="D3283" s="693">
        <v>36</v>
      </c>
      <c r="E3283" s="689">
        <v>36.4</v>
      </c>
      <c r="F3283" s="689">
        <v>36.299999999999997</v>
      </c>
      <c r="G3283" s="689">
        <v>36.4</v>
      </c>
      <c r="H3283" s="690" t="s">
        <v>4060</v>
      </c>
      <c r="I3283" s="690" t="s">
        <v>4060</v>
      </c>
      <c r="J3283" s="690" t="s">
        <v>4060</v>
      </c>
      <c r="K3283" s="690" t="s">
        <v>4060</v>
      </c>
    </row>
    <row r="3284" spans="1:11">
      <c r="A3284" s="688" t="s">
        <v>4069</v>
      </c>
      <c r="B3284" s="692" t="s">
        <v>4060</v>
      </c>
      <c r="C3284" s="691">
        <v>36.9</v>
      </c>
      <c r="D3284" s="691">
        <v>36.6</v>
      </c>
      <c r="E3284" s="691">
        <v>36.9</v>
      </c>
      <c r="F3284" s="615">
        <v>37</v>
      </c>
      <c r="G3284" s="691">
        <v>37.1</v>
      </c>
      <c r="H3284" s="691">
        <v>37.299999999999997</v>
      </c>
      <c r="I3284" s="691">
        <v>36.6</v>
      </c>
      <c r="J3284" s="691">
        <v>36.6</v>
      </c>
      <c r="K3284" s="691">
        <v>36.799999999999997</v>
      </c>
    </row>
    <row r="3285" spans="1:11">
      <c r="A3285" s="688" t="s">
        <v>4068</v>
      </c>
      <c r="B3285" s="689">
        <v>36.9</v>
      </c>
      <c r="C3285" s="690" t="s">
        <v>4060</v>
      </c>
      <c r="D3285" s="690" t="s">
        <v>4060</v>
      </c>
      <c r="E3285" s="690" t="s">
        <v>4060</v>
      </c>
      <c r="F3285" s="690" t="s">
        <v>4060</v>
      </c>
      <c r="G3285" s="690" t="s">
        <v>4060</v>
      </c>
      <c r="H3285" s="690" t="s">
        <v>4060</v>
      </c>
      <c r="I3285" s="690" t="s">
        <v>4060</v>
      </c>
      <c r="J3285" s="690" t="s">
        <v>4060</v>
      </c>
      <c r="K3285" s="690" t="s">
        <v>4060</v>
      </c>
    </row>
    <row r="3286" spans="1:11">
      <c r="A3286" s="688" t="s">
        <v>0</v>
      </c>
      <c r="B3286" s="691">
        <v>36.1</v>
      </c>
      <c r="C3286" s="691">
        <v>36.5</v>
      </c>
      <c r="D3286" s="691">
        <v>36.200000000000003</v>
      </c>
      <c r="E3286" s="691">
        <v>36.6</v>
      </c>
      <c r="F3286" s="691">
        <v>36.700000000000003</v>
      </c>
      <c r="G3286" s="691">
        <v>36.799999999999997</v>
      </c>
      <c r="H3286" s="691">
        <v>37.1</v>
      </c>
      <c r="I3286" s="615">
        <v>36</v>
      </c>
      <c r="J3286" s="691">
        <v>36.9</v>
      </c>
      <c r="K3286" s="691">
        <v>36.9</v>
      </c>
    </row>
    <row r="3287" spans="1:11">
      <c r="A3287" s="688" t="s">
        <v>1</v>
      </c>
      <c r="B3287" s="689">
        <v>31.2</v>
      </c>
      <c r="C3287" s="689">
        <v>30.8</v>
      </c>
      <c r="D3287" s="689">
        <v>30.8</v>
      </c>
      <c r="E3287" s="693">
        <v>31</v>
      </c>
      <c r="F3287" s="689">
        <v>30.9</v>
      </c>
      <c r="G3287" s="693">
        <v>31</v>
      </c>
      <c r="H3287" s="689">
        <v>31.1</v>
      </c>
      <c r="I3287" s="689">
        <v>29.6</v>
      </c>
      <c r="J3287" s="689">
        <v>27.8</v>
      </c>
      <c r="K3287" s="689">
        <v>30.3</v>
      </c>
    </row>
    <row r="3288" spans="1:11">
      <c r="A3288" s="688" t="s">
        <v>2240</v>
      </c>
      <c r="B3288" s="691">
        <v>33.700000000000003</v>
      </c>
      <c r="C3288" s="691">
        <v>34.1</v>
      </c>
      <c r="D3288" s="691">
        <v>33.9</v>
      </c>
      <c r="E3288" s="691">
        <v>34.299999999999997</v>
      </c>
      <c r="F3288" s="691">
        <v>34.299999999999997</v>
      </c>
      <c r="G3288" s="691">
        <v>34.4</v>
      </c>
      <c r="H3288" s="691">
        <v>34.6</v>
      </c>
      <c r="I3288" s="691">
        <v>33.6</v>
      </c>
      <c r="J3288" s="691">
        <v>32.6</v>
      </c>
      <c r="K3288" s="691">
        <v>34.4</v>
      </c>
    </row>
    <row r="3289" spans="1:11">
      <c r="A3289" s="688" t="s">
        <v>2</v>
      </c>
      <c r="B3289" s="689">
        <v>35.5</v>
      </c>
      <c r="C3289" s="689">
        <v>35.799999999999997</v>
      </c>
      <c r="D3289" s="689">
        <v>35.9</v>
      </c>
      <c r="E3289" s="693">
        <v>36</v>
      </c>
      <c r="F3289" s="689">
        <v>36.200000000000003</v>
      </c>
      <c r="G3289" s="689">
        <v>36.1</v>
      </c>
      <c r="H3289" s="689">
        <v>36.5</v>
      </c>
      <c r="I3289" s="689">
        <v>36.6</v>
      </c>
      <c r="J3289" s="689">
        <v>36.5</v>
      </c>
      <c r="K3289" s="689">
        <v>36.299999999999997</v>
      </c>
    </row>
    <row r="3290" spans="1:11">
      <c r="A3290" s="688" t="s">
        <v>3</v>
      </c>
      <c r="B3290" s="691">
        <v>35.9</v>
      </c>
      <c r="C3290" s="691">
        <v>36.1</v>
      </c>
      <c r="D3290" s="691">
        <v>35.799999999999997</v>
      </c>
      <c r="E3290" s="691">
        <v>36.1</v>
      </c>
      <c r="F3290" s="691">
        <v>36.1</v>
      </c>
      <c r="G3290" s="691">
        <v>36.1</v>
      </c>
      <c r="H3290" s="691">
        <v>36.4</v>
      </c>
      <c r="I3290" s="691">
        <v>36.200000000000003</v>
      </c>
      <c r="J3290" s="691">
        <v>35.9</v>
      </c>
      <c r="K3290" s="691">
        <v>35.700000000000003</v>
      </c>
    </row>
    <row r="3291" spans="1:11">
      <c r="A3291" s="688" t="s">
        <v>4061</v>
      </c>
      <c r="B3291" s="689">
        <v>35.9</v>
      </c>
      <c r="C3291" s="689">
        <v>36.1</v>
      </c>
      <c r="D3291" s="689">
        <v>35.799999999999997</v>
      </c>
      <c r="E3291" s="689">
        <v>36.1</v>
      </c>
      <c r="F3291" s="689">
        <v>36.1</v>
      </c>
      <c r="G3291" s="689">
        <v>36.1</v>
      </c>
      <c r="H3291" s="689">
        <v>36.4</v>
      </c>
      <c r="I3291" s="689">
        <v>36.200000000000003</v>
      </c>
      <c r="J3291" s="689">
        <v>35.9</v>
      </c>
      <c r="K3291" s="689">
        <v>35.700000000000003</v>
      </c>
    </row>
    <row r="3292" spans="1:11">
      <c r="A3292" s="688" t="s">
        <v>4</v>
      </c>
      <c r="B3292" s="691">
        <v>33.6</v>
      </c>
      <c r="C3292" s="691">
        <v>33.299999999999997</v>
      </c>
      <c r="D3292" s="691">
        <v>33.799999999999997</v>
      </c>
      <c r="E3292" s="691">
        <v>33.799999999999997</v>
      </c>
      <c r="F3292" s="615">
        <v>34</v>
      </c>
      <c r="G3292" s="615">
        <v>34</v>
      </c>
      <c r="H3292" s="691">
        <v>34.4</v>
      </c>
      <c r="I3292" s="691">
        <v>34.299999999999997</v>
      </c>
      <c r="J3292" s="615">
        <v>33</v>
      </c>
      <c r="K3292" s="691">
        <v>33.9</v>
      </c>
    </row>
    <row r="3293" spans="1:11">
      <c r="A3293" s="688" t="s">
        <v>8</v>
      </c>
      <c r="B3293" s="689">
        <v>36.4</v>
      </c>
      <c r="C3293" s="689">
        <v>36.6</v>
      </c>
      <c r="D3293" s="689">
        <v>36.6</v>
      </c>
      <c r="E3293" s="689">
        <v>36.700000000000003</v>
      </c>
      <c r="F3293" s="689">
        <v>37.1</v>
      </c>
      <c r="G3293" s="689">
        <v>37.200000000000003</v>
      </c>
      <c r="H3293" s="689">
        <v>37.5</v>
      </c>
      <c r="I3293" s="689">
        <v>37.4</v>
      </c>
      <c r="J3293" s="689">
        <v>37.200000000000003</v>
      </c>
      <c r="K3293" s="689">
        <v>37.4</v>
      </c>
    </row>
    <row r="3294" spans="1:11">
      <c r="A3294" s="688" t="s">
        <v>7</v>
      </c>
      <c r="B3294" s="691">
        <v>36.700000000000003</v>
      </c>
      <c r="C3294" s="691">
        <v>36.4</v>
      </c>
      <c r="D3294" s="691">
        <v>36.1</v>
      </c>
      <c r="E3294" s="691">
        <v>36.4</v>
      </c>
      <c r="F3294" s="691">
        <v>36.299999999999997</v>
      </c>
      <c r="G3294" s="691">
        <v>36.799999999999997</v>
      </c>
      <c r="H3294" s="691">
        <v>36.700000000000003</v>
      </c>
      <c r="I3294" s="691">
        <v>36.4</v>
      </c>
      <c r="J3294" s="691">
        <v>35.4</v>
      </c>
      <c r="K3294" s="691">
        <v>36.1</v>
      </c>
    </row>
    <row r="3295" spans="1:11">
      <c r="A3295" s="688" t="s">
        <v>27</v>
      </c>
      <c r="B3295" s="689">
        <v>38.200000000000003</v>
      </c>
      <c r="C3295" s="689">
        <v>37.9</v>
      </c>
      <c r="D3295" s="689">
        <v>37.6</v>
      </c>
      <c r="E3295" s="693">
        <v>38</v>
      </c>
      <c r="F3295" s="693">
        <v>38</v>
      </c>
      <c r="G3295" s="689">
        <v>38.1</v>
      </c>
      <c r="H3295" s="689">
        <v>38.5</v>
      </c>
      <c r="I3295" s="689">
        <v>37.200000000000003</v>
      </c>
      <c r="J3295" s="693">
        <v>38</v>
      </c>
      <c r="K3295" s="689">
        <v>38.1</v>
      </c>
    </row>
    <row r="3296" spans="1:11">
      <c r="A3296" s="688" t="s">
        <v>6</v>
      </c>
      <c r="B3296" s="691">
        <v>37.9</v>
      </c>
      <c r="C3296" s="691">
        <v>37.9</v>
      </c>
      <c r="D3296" s="691">
        <v>37.6</v>
      </c>
      <c r="E3296" s="691">
        <v>37.799999999999997</v>
      </c>
      <c r="F3296" s="691">
        <v>37.9</v>
      </c>
      <c r="G3296" s="615">
        <v>38</v>
      </c>
      <c r="H3296" s="691">
        <v>38.200000000000003</v>
      </c>
      <c r="I3296" s="691">
        <v>37.6</v>
      </c>
      <c r="J3296" s="691">
        <v>37.700000000000003</v>
      </c>
      <c r="K3296" s="691">
        <v>37.799999999999997</v>
      </c>
    </row>
    <row r="3297" spans="1:11">
      <c r="A3297" s="688" t="s">
        <v>4058</v>
      </c>
      <c r="B3297" s="690" t="s">
        <v>4060</v>
      </c>
      <c r="C3297" s="690" t="s">
        <v>4060</v>
      </c>
      <c r="D3297" s="690" t="s">
        <v>4060</v>
      </c>
      <c r="E3297" s="690" t="s">
        <v>4060</v>
      </c>
      <c r="F3297" s="690" t="s">
        <v>4060</v>
      </c>
      <c r="G3297" s="690" t="s">
        <v>4060</v>
      </c>
      <c r="H3297" s="690" t="s">
        <v>4060</v>
      </c>
      <c r="I3297" s="690" t="s">
        <v>4060</v>
      </c>
      <c r="J3297" s="690" t="s">
        <v>4060</v>
      </c>
      <c r="K3297" s="690" t="s">
        <v>4060</v>
      </c>
    </row>
    <row r="3298" spans="1:11">
      <c r="A3298" s="688" t="s">
        <v>11</v>
      </c>
      <c r="B3298" s="691">
        <v>33.299999999999997</v>
      </c>
      <c r="C3298" s="691">
        <v>33.200000000000003</v>
      </c>
      <c r="D3298" s="691">
        <v>32.9</v>
      </c>
      <c r="E3298" s="691">
        <v>33.5</v>
      </c>
      <c r="F3298" s="691">
        <v>33.299999999999997</v>
      </c>
      <c r="G3298" s="691">
        <v>33.5</v>
      </c>
      <c r="H3298" s="691">
        <v>33.799999999999997</v>
      </c>
      <c r="I3298" s="615">
        <v>33</v>
      </c>
      <c r="J3298" s="691">
        <v>32.1</v>
      </c>
      <c r="K3298" s="691">
        <v>33.200000000000003</v>
      </c>
    </row>
    <row r="3299" spans="1:11">
      <c r="A3299" s="688" t="s">
        <v>10</v>
      </c>
      <c r="B3299" s="689">
        <v>37.9</v>
      </c>
      <c r="C3299" s="689">
        <v>37.9</v>
      </c>
      <c r="D3299" s="689">
        <v>37.5</v>
      </c>
      <c r="E3299" s="693">
        <v>38</v>
      </c>
      <c r="F3299" s="689">
        <v>37.799999999999997</v>
      </c>
      <c r="G3299" s="689">
        <v>38.200000000000003</v>
      </c>
      <c r="H3299" s="689">
        <v>38.4</v>
      </c>
      <c r="I3299" s="689">
        <v>37.200000000000003</v>
      </c>
      <c r="J3299" s="689">
        <v>37.6</v>
      </c>
      <c r="K3299" s="689">
        <v>37.700000000000003</v>
      </c>
    </row>
    <row r="3300" spans="1:11">
      <c r="A3300" s="688" t="s">
        <v>30</v>
      </c>
      <c r="B3300" s="691">
        <v>37.5</v>
      </c>
      <c r="C3300" s="691">
        <v>37.200000000000003</v>
      </c>
      <c r="D3300" s="615">
        <v>37</v>
      </c>
      <c r="E3300" s="691">
        <v>37.700000000000003</v>
      </c>
      <c r="F3300" s="691">
        <v>37.299999999999997</v>
      </c>
      <c r="G3300" s="691">
        <v>37.9</v>
      </c>
      <c r="H3300" s="691">
        <v>37.700000000000003</v>
      </c>
      <c r="I3300" s="691">
        <v>37.6</v>
      </c>
      <c r="J3300" s="691">
        <v>36.9</v>
      </c>
      <c r="K3300" s="691">
        <v>37.200000000000003</v>
      </c>
    </row>
    <row r="3301" spans="1:11">
      <c r="A3301" s="688" t="s">
        <v>12</v>
      </c>
      <c r="B3301" s="689">
        <v>31.1</v>
      </c>
      <c r="C3301" s="689">
        <v>31.3</v>
      </c>
      <c r="D3301" s="689">
        <v>31.4</v>
      </c>
      <c r="E3301" s="689">
        <v>31.5</v>
      </c>
      <c r="F3301" s="689">
        <v>31.5</v>
      </c>
      <c r="G3301" s="689">
        <v>31.6</v>
      </c>
      <c r="H3301" s="689">
        <v>32.1</v>
      </c>
      <c r="I3301" s="689">
        <v>31.8</v>
      </c>
      <c r="J3301" s="689">
        <v>29.7</v>
      </c>
      <c r="K3301" s="689">
        <v>31.1</v>
      </c>
    </row>
    <row r="3302" spans="1:11">
      <c r="A3302" s="688" t="s">
        <v>14</v>
      </c>
      <c r="B3302" s="691">
        <v>31.3</v>
      </c>
      <c r="C3302" s="691">
        <v>31.6</v>
      </c>
      <c r="D3302" s="691">
        <v>31.4</v>
      </c>
      <c r="E3302" s="691">
        <v>31.6</v>
      </c>
      <c r="F3302" s="691">
        <v>32.200000000000003</v>
      </c>
      <c r="G3302" s="691">
        <v>32.4</v>
      </c>
      <c r="H3302" s="691">
        <v>32.700000000000003</v>
      </c>
      <c r="I3302" s="691">
        <v>31.4</v>
      </c>
      <c r="J3302" s="691">
        <v>30.7</v>
      </c>
      <c r="K3302" s="691">
        <v>31.9</v>
      </c>
    </row>
    <row r="3303" spans="1:11">
      <c r="A3303" s="688" t="s">
        <v>15</v>
      </c>
      <c r="B3303" s="689">
        <v>37.1</v>
      </c>
      <c r="C3303" s="693">
        <v>37</v>
      </c>
      <c r="D3303" s="689">
        <v>37.1</v>
      </c>
      <c r="E3303" s="689">
        <v>37.299999999999997</v>
      </c>
      <c r="F3303" s="689">
        <v>36.9</v>
      </c>
      <c r="G3303" s="689">
        <v>37.200000000000003</v>
      </c>
      <c r="H3303" s="689">
        <v>37.5</v>
      </c>
      <c r="I3303" s="689">
        <v>37.200000000000003</v>
      </c>
      <c r="J3303" s="689">
        <v>37.5</v>
      </c>
      <c r="K3303" s="689">
        <v>37.9</v>
      </c>
    </row>
    <row r="3304" spans="1:11">
      <c r="A3304" s="688" t="s">
        <v>29</v>
      </c>
      <c r="B3304" s="691">
        <v>31.4</v>
      </c>
      <c r="C3304" s="691">
        <v>31.4</v>
      </c>
      <c r="D3304" s="691">
        <v>31.2</v>
      </c>
      <c r="E3304" s="691">
        <v>31.5</v>
      </c>
      <c r="F3304" s="691">
        <v>31.4</v>
      </c>
      <c r="G3304" s="691">
        <v>31.5</v>
      </c>
      <c r="H3304" s="691">
        <v>31.8</v>
      </c>
      <c r="I3304" s="615">
        <v>31</v>
      </c>
      <c r="J3304" s="691">
        <v>29.8</v>
      </c>
      <c r="K3304" s="691">
        <v>31.4</v>
      </c>
    </row>
    <row r="3305" spans="1:11">
      <c r="A3305" s="688" t="s">
        <v>16</v>
      </c>
      <c r="B3305" s="689">
        <v>37.1</v>
      </c>
      <c r="C3305" s="689">
        <v>37.1</v>
      </c>
      <c r="D3305" s="689">
        <v>37.1</v>
      </c>
      <c r="E3305" s="689">
        <v>37.6</v>
      </c>
      <c r="F3305" s="689">
        <v>37.4</v>
      </c>
      <c r="G3305" s="689">
        <v>37.299999999999997</v>
      </c>
      <c r="H3305" s="689">
        <v>37.700000000000003</v>
      </c>
      <c r="I3305" s="689">
        <v>37.1</v>
      </c>
      <c r="J3305" s="689">
        <v>37.1</v>
      </c>
      <c r="K3305" s="689">
        <v>37.299999999999997</v>
      </c>
    </row>
    <row r="3306" spans="1:11">
      <c r="A3306" s="688" t="s">
        <v>17</v>
      </c>
      <c r="B3306" s="691">
        <v>36.6</v>
      </c>
      <c r="C3306" s="691">
        <v>36.799999999999997</v>
      </c>
      <c r="D3306" s="691">
        <v>36.6</v>
      </c>
      <c r="E3306" s="691">
        <v>36.700000000000003</v>
      </c>
      <c r="F3306" s="691">
        <v>36.799999999999997</v>
      </c>
      <c r="G3306" s="691">
        <v>36.9</v>
      </c>
      <c r="H3306" s="691">
        <v>37.200000000000003</v>
      </c>
      <c r="I3306" s="691">
        <v>36.5</v>
      </c>
      <c r="J3306" s="691">
        <v>36.5</v>
      </c>
      <c r="K3306" s="691">
        <v>36.700000000000003</v>
      </c>
    </row>
    <row r="3307" spans="1:11">
      <c r="A3307" s="688" t="s">
        <v>19</v>
      </c>
      <c r="B3307" s="689">
        <v>36.5</v>
      </c>
      <c r="C3307" s="689">
        <v>36.6</v>
      </c>
      <c r="D3307" s="689">
        <v>36.4</v>
      </c>
      <c r="E3307" s="689">
        <v>36.799999999999997</v>
      </c>
      <c r="F3307" s="689">
        <v>36.799999999999997</v>
      </c>
      <c r="G3307" s="689">
        <v>36.9</v>
      </c>
      <c r="H3307" s="689">
        <v>37.1</v>
      </c>
      <c r="I3307" s="689">
        <v>36.5</v>
      </c>
      <c r="J3307" s="689">
        <v>36.5</v>
      </c>
      <c r="K3307" s="689">
        <v>36.6</v>
      </c>
    </row>
    <row r="3308" spans="1:11">
      <c r="A3308" s="688" t="s">
        <v>20</v>
      </c>
      <c r="B3308" s="691">
        <v>33.1</v>
      </c>
      <c r="C3308" s="691">
        <v>33.4</v>
      </c>
      <c r="D3308" s="691">
        <v>33.200000000000003</v>
      </c>
      <c r="E3308" s="691">
        <v>33.6</v>
      </c>
      <c r="F3308" s="691">
        <v>33.5</v>
      </c>
      <c r="G3308" s="691">
        <v>33.4</v>
      </c>
      <c r="H3308" s="691">
        <v>33.700000000000003</v>
      </c>
      <c r="I3308" s="691">
        <v>32.299999999999997</v>
      </c>
      <c r="J3308" s="691">
        <v>31.4</v>
      </c>
      <c r="K3308" s="615">
        <v>33</v>
      </c>
    </row>
    <row r="3309" spans="1:11">
      <c r="A3309" s="688" t="s">
        <v>21</v>
      </c>
      <c r="B3309" s="689">
        <v>36.299999999999997</v>
      </c>
      <c r="C3309" s="689">
        <v>36.6</v>
      </c>
      <c r="D3309" s="689">
        <v>36.6</v>
      </c>
      <c r="E3309" s="689">
        <v>36.6</v>
      </c>
      <c r="F3309" s="689">
        <v>36.9</v>
      </c>
      <c r="G3309" s="689">
        <v>36.9</v>
      </c>
      <c r="H3309" s="689">
        <v>37.200000000000003</v>
      </c>
      <c r="I3309" s="689">
        <v>36.6</v>
      </c>
      <c r="J3309" s="689">
        <v>36.6</v>
      </c>
      <c r="K3309" s="689">
        <v>36.9</v>
      </c>
    </row>
    <row r="3310" spans="1:11">
      <c r="A3310" s="688" t="s">
        <v>22</v>
      </c>
      <c r="B3310" s="691">
        <v>31.5</v>
      </c>
      <c r="C3310" s="691">
        <v>31.3</v>
      </c>
      <c r="D3310" s="691">
        <v>31.2</v>
      </c>
      <c r="E3310" s="691">
        <v>31.4</v>
      </c>
      <c r="F3310" s="691">
        <v>31.4</v>
      </c>
      <c r="G3310" s="691">
        <v>31.4</v>
      </c>
      <c r="H3310" s="691">
        <v>31.6</v>
      </c>
      <c r="I3310" s="691">
        <v>30.2</v>
      </c>
      <c r="J3310" s="691">
        <v>28.9</v>
      </c>
      <c r="K3310" s="691">
        <v>31.1</v>
      </c>
    </row>
    <row r="3311" spans="1:11">
      <c r="A3311" s="688" t="s">
        <v>26</v>
      </c>
      <c r="B3311" s="689">
        <v>35.799999999999997</v>
      </c>
      <c r="C3311" s="693">
        <v>36</v>
      </c>
      <c r="D3311" s="689">
        <v>35.799999999999997</v>
      </c>
      <c r="E3311" s="689">
        <v>36.200000000000003</v>
      </c>
      <c r="F3311" s="693">
        <v>36</v>
      </c>
      <c r="G3311" s="689">
        <v>36.299999999999997</v>
      </c>
      <c r="H3311" s="689">
        <v>36.5</v>
      </c>
      <c r="I3311" s="689">
        <v>35.6</v>
      </c>
      <c r="J3311" s="689">
        <v>35.700000000000003</v>
      </c>
      <c r="K3311" s="689">
        <v>36.299999999999997</v>
      </c>
    </row>
    <row r="3312" spans="1:11">
      <c r="A3312" s="688" t="s">
        <v>25</v>
      </c>
      <c r="B3312" s="691">
        <v>32.4</v>
      </c>
      <c r="C3312" s="691">
        <v>32.799999999999997</v>
      </c>
      <c r="D3312" s="691">
        <v>32.5</v>
      </c>
      <c r="E3312" s="615">
        <v>33</v>
      </c>
      <c r="F3312" s="691">
        <v>32.9</v>
      </c>
      <c r="G3312" s="691">
        <v>33.1</v>
      </c>
      <c r="H3312" s="691">
        <v>33.5</v>
      </c>
      <c r="I3312" s="691">
        <v>32.700000000000003</v>
      </c>
      <c r="J3312" s="691">
        <v>30.5</v>
      </c>
      <c r="K3312" s="691">
        <v>32.799999999999997</v>
      </c>
    </row>
    <row r="3313" spans="1:11">
      <c r="A3313" s="688" t="s">
        <v>5</v>
      </c>
      <c r="B3313" s="689">
        <v>36.5</v>
      </c>
      <c r="C3313" s="689">
        <v>36.5</v>
      </c>
      <c r="D3313" s="689">
        <v>36.6</v>
      </c>
      <c r="E3313" s="689">
        <v>36.6</v>
      </c>
      <c r="F3313" s="689">
        <v>36.9</v>
      </c>
      <c r="G3313" s="689">
        <v>36.9</v>
      </c>
      <c r="H3313" s="689">
        <v>37.299999999999997</v>
      </c>
      <c r="I3313" s="689">
        <v>37.200000000000003</v>
      </c>
      <c r="J3313" s="689">
        <v>37.1</v>
      </c>
      <c r="K3313" s="689">
        <v>36.5</v>
      </c>
    </row>
    <row r="3314" spans="1:11">
      <c r="A3314" s="688" t="s">
        <v>23</v>
      </c>
      <c r="B3314" s="691">
        <v>37.200000000000003</v>
      </c>
      <c r="C3314" s="691">
        <v>37.4</v>
      </c>
      <c r="D3314" s="691">
        <v>37.299999999999997</v>
      </c>
      <c r="E3314" s="691">
        <v>37.5</v>
      </c>
      <c r="F3314" s="691">
        <v>37.6</v>
      </c>
      <c r="G3314" s="691">
        <v>37.700000000000003</v>
      </c>
      <c r="H3314" s="691">
        <v>38.1</v>
      </c>
      <c r="I3314" s="691">
        <v>37.5</v>
      </c>
      <c r="J3314" s="691">
        <v>38.1</v>
      </c>
      <c r="K3314" s="691">
        <v>38.1</v>
      </c>
    </row>
    <row r="3315" spans="1:11">
      <c r="A3315" s="688" t="s">
        <v>4067</v>
      </c>
      <c r="B3315" s="693">
        <v>36</v>
      </c>
      <c r="C3315" s="689">
        <v>36.299999999999997</v>
      </c>
      <c r="D3315" s="693">
        <v>36</v>
      </c>
      <c r="E3315" s="689">
        <v>36.4</v>
      </c>
      <c r="F3315" s="689">
        <v>36.299999999999997</v>
      </c>
      <c r="G3315" s="689">
        <v>36.4</v>
      </c>
      <c r="H3315" s="690" t="s">
        <v>4060</v>
      </c>
      <c r="I3315" s="690" t="s">
        <v>4060</v>
      </c>
      <c r="J3315" s="690" t="s">
        <v>4060</v>
      </c>
      <c r="K3315" s="690" t="s">
        <v>4060</v>
      </c>
    </row>
    <row r="3316" spans="1:11">
      <c r="A3316" s="688" t="s">
        <v>4066</v>
      </c>
      <c r="B3316" s="615">
        <v>36</v>
      </c>
      <c r="C3316" s="691">
        <v>36.4</v>
      </c>
      <c r="D3316" s="615">
        <v>36</v>
      </c>
      <c r="E3316" s="691">
        <v>36.4</v>
      </c>
      <c r="F3316" s="691">
        <v>36.4</v>
      </c>
      <c r="G3316" s="691">
        <v>36.4</v>
      </c>
      <c r="H3316" s="692" t="s">
        <v>4060</v>
      </c>
      <c r="I3316" s="692" t="s">
        <v>4060</v>
      </c>
      <c r="J3316" s="692" t="s">
        <v>4060</v>
      </c>
      <c r="K3316" s="692" t="s">
        <v>4060</v>
      </c>
    </row>
    <row r="3317" spans="1:11">
      <c r="A3317" s="688" t="s">
        <v>4062</v>
      </c>
      <c r="B3317" s="689">
        <v>37.700000000000003</v>
      </c>
      <c r="C3317" s="689">
        <v>37.799999999999997</v>
      </c>
      <c r="D3317" s="689">
        <v>37.799999999999997</v>
      </c>
      <c r="E3317" s="689">
        <v>38.1</v>
      </c>
      <c r="F3317" s="689">
        <v>38.200000000000003</v>
      </c>
      <c r="G3317" s="689">
        <v>38.4</v>
      </c>
      <c r="H3317" s="689">
        <v>38.5</v>
      </c>
      <c r="I3317" s="689">
        <v>38.200000000000003</v>
      </c>
      <c r="J3317" s="689">
        <v>38.5</v>
      </c>
      <c r="K3317" s="689">
        <v>38.200000000000003</v>
      </c>
    </row>
    <row r="3318" spans="1:11">
      <c r="A3318" s="688" t="s">
        <v>9</v>
      </c>
      <c r="B3318" s="691">
        <v>37.299999999999997</v>
      </c>
      <c r="C3318" s="691">
        <v>37.700000000000003</v>
      </c>
      <c r="D3318" s="691">
        <v>37.6</v>
      </c>
      <c r="E3318" s="691">
        <v>37.200000000000003</v>
      </c>
      <c r="F3318" s="691">
        <v>37.700000000000003</v>
      </c>
      <c r="G3318" s="691">
        <v>37.9</v>
      </c>
      <c r="H3318" s="615">
        <v>38</v>
      </c>
      <c r="I3318" s="691">
        <v>38.200000000000003</v>
      </c>
      <c r="J3318" s="691">
        <v>38.4</v>
      </c>
      <c r="K3318" s="691">
        <v>37.299999999999997</v>
      </c>
    </row>
    <row r="3319" spans="1:11">
      <c r="A3319" s="688" t="s">
        <v>13</v>
      </c>
      <c r="B3319" s="689">
        <v>37.700000000000003</v>
      </c>
      <c r="C3319" s="689">
        <v>37.1</v>
      </c>
      <c r="D3319" s="689">
        <v>37.799999999999997</v>
      </c>
      <c r="E3319" s="689">
        <v>37.200000000000003</v>
      </c>
      <c r="F3319" s="689">
        <v>38.200000000000003</v>
      </c>
      <c r="G3319" s="689">
        <v>38.1</v>
      </c>
      <c r="H3319" s="689">
        <v>38.5</v>
      </c>
      <c r="I3319" s="689">
        <v>37.5</v>
      </c>
      <c r="J3319" s="689">
        <v>38.5</v>
      </c>
      <c r="K3319" s="693">
        <v>39</v>
      </c>
    </row>
    <row r="3320" spans="1:11">
      <c r="A3320" s="688" t="s">
        <v>18</v>
      </c>
      <c r="B3320" s="615">
        <v>37</v>
      </c>
      <c r="C3320" s="691">
        <v>37.200000000000003</v>
      </c>
      <c r="D3320" s="691">
        <v>37.4</v>
      </c>
      <c r="E3320" s="691">
        <v>37.5</v>
      </c>
      <c r="F3320" s="691">
        <v>37.700000000000003</v>
      </c>
      <c r="G3320" s="691">
        <v>37.799999999999997</v>
      </c>
      <c r="H3320" s="615">
        <v>38</v>
      </c>
      <c r="I3320" s="691">
        <v>38.200000000000003</v>
      </c>
      <c r="J3320" s="691">
        <v>38.200000000000003</v>
      </c>
      <c r="K3320" s="691">
        <v>37.700000000000003</v>
      </c>
    </row>
    <row r="3321" spans="1:11">
      <c r="A3321" s="688" t="s">
        <v>24</v>
      </c>
      <c r="B3321" s="689">
        <v>38.1</v>
      </c>
      <c r="C3321" s="689">
        <v>38.200000000000003</v>
      </c>
      <c r="D3321" s="693">
        <v>38</v>
      </c>
      <c r="E3321" s="689">
        <v>38.5</v>
      </c>
      <c r="F3321" s="689">
        <v>38.5</v>
      </c>
      <c r="G3321" s="689">
        <v>38.700000000000003</v>
      </c>
      <c r="H3321" s="689">
        <v>38.799999999999997</v>
      </c>
      <c r="I3321" s="689">
        <v>38.1</v>
      </c>
      <c r="J3321" s="689">
        <v>38.700000000000003</v>
      </c>
      <c r="K3321" s="689">
        <v>38.6</v>
      </c>
    </row>
    <row r="3322" spans="1:11">
      <c r="A3322" s="688" t="s">
        <v>4059</v>
      </c>
      <c r="B3322" s="691">
        <v>36.5</v>
      </c>
      <c r="C3322" s="691">
        <v>36.799999999999997</v>
      </c>
      <c r="D3322" s="691">
        <v>36.5</v>
      </c>
      <c r="E3322" s="691">
        <v>36.700000000000003</v>
      </c>
      <c r="F3322" s="691">
        <v>36.700000000000003</v>
      </c>
      <c r="G3322" s="691">
        <v>36.700000000000003</v>
      </c>
      <c r="H3322" s="692" t="s">
        <v>4060</v>
      </c>
      <c r="I3322" s="692" t="s">
        <v>4060</v>
      </c>
      <c r="J3322" s="692" t="s">
        <v>4060</v>
      </c>
      <c r="K3322" s="692" t="s">
        <v>4060</v>
      </c>
    </row>
    <row r="3323" spans="1:11">
      <c r="A3323" s="688" t="s">
        <v>2324</v>
      </c>
      <c r="B3323" s="689">
        <v>32.1</v>
      </c>
      <c r="C3323" s="689">
        <v>32.200000000000003</v>
      </c>
      <c r="D3323" s="689">
        <v>31.8</v>
      </c>
      <c r="E3323" s="689">
        <v>31.9</v>
      </c>
      <c r="F3323" s="689">
        <v>32.200000000000003</v>
      </c>
      <c r="G3323" s="689">
        <v>32.200000000000003</v>
      </c>
      <c r="H3323" s="689">
        <v>32.200000000000003</v>
      </c>
      <c r="I3323" s="689">
        <v>31.4</v>
      </c>
      <c r="J3323" s="689">
        <v>29.3</v>
      </c>
      <c r="K3323" s="690" t="s">
        <v>4060</v>
      </c>
    </row>
    <row r="3324" spans="1:11">
      <c r="A3324" s="688" t="s">
        <v>2322</v>
      </c>
      <c r="B3324" s="692" t="s">
        <v>4060</v>
      </c>
      <c r="C3324" s="692" t="s">
        <v>4060</v>
      </c>
      <c r="D3324" s="692" t="s">
        <v>4060</v>
      </c>
      <c r="E3324" s="692" t="s">
        <v>4060</v>
      </c>
      <c r="F3324" s="692" t="s">
        <v>4060</v>
      </c>
      <c r="G3324" s="692" t="s">
        <v>4060</v>
      </c>
      <c r="H3324" s="692" t="s">
        <v>4060</v>
      </c>
      <c r="I3324" s="692" t="s">
        <v>4060</v>
      </c>
      <c r="J3324" s="692" t="s">
        <v>4060</v>
      </c>
      <c r="K3324" s="692" t="s">
        <v>4060</v>
      </c>
    </row>
    <row r="3325" spans="1:11">
      <c r="A3325" s="688" t="s">
        <v>2328</v>
      </c>
      <c r="B3325" s="689">
        <v>31.4</v>
      </c>
      <c r="C3325" s="689">
        <v>31.3</v>
      </c>
      <c r="D3325" s="689">
        <v>31.3</v>
      </c>
      <c r="E3325" s="689">
        <v>31.5</v>
      </c>
      <c r="F3325" s="689">
        <v>31.8</v>
      </c>
      <c r="G3325" s="689">
        <v>32.1</v>
      </c>
      <c r="H3325" s="689">
        <v>32.1</v>
      </c>
      <c r="I3325" s="689">
        <v>29.9</v>
      </c>
      <c r="J3325" s="689">
        <v>28.9</v>
      </c>
      <c r="K3325" s="690" t="s">
        <v>4060</v>
      </c>
    </row>
    <row r="3326" spans="1:11">
      <c r="A3326" s="688" t="s">
        <v>2496</v>
      </c>
      <c r="B3326" s="692" t="s">
        <v>4060</v>
      </c>
      <c r="C3326" s="615">
        <v>31</v>
      </c>
      <c r="D3326" s="615">
        <v>30</v>
      </c>
      <c r="E3326" s="691">
        <v>29.7</v>
      </c>
      <c r="F3326" s="691">
        <v>30.4</v>
      </c>
      <c r="G3326" s="691">
        <v>30.7</v>
      </c>
      <c r="H3326" s="691">
        <v>30.6</v>
      </c>
      <c r="I3326" s="692" t="s">
        <v>4060</v>
      </c>
      <c r="J3326" s="692" t="s">
        <v>4060</v>
      </c>
      <c r="K3326" s="691">
        <v>30.2</v>
      </c>
    </row>
    <row r="3327" spans="1:11">
      <c r="A3327" s="688" t="s">
        <v>2269</v>
      </c>
      <c r="B3327" s="689">
        <v>34.299999999999997</v>
      </c>
      <c r="C3327" s="689">
        <v>34.4</v>
      </c>
      <c r="D3327" s="689">
        <v>33.9</v>
      </c>
      <c r="E3327" s="689">
        <v>34.5</v>
      </c>
      <c r="F3327" s="689">
        <v>34.4</v>
      </c>
      <c r="G3327" s="689">
        <v>34.799999999999997</v>
      </c>
      <c r="H3327" s="693">
        <v>35</v>
      </c>
      <c r="I3327" s="689">
        <v>33.200000000000003</v>
      </c>
      <c r="J3327" s="689">
        <v>31.3</v>
      </c>
      <c r="K3327" s="689">
        <v>34.700000000000003</v>
      </c>
    </row>
    <row r="3328" spans="1:11">
      <c r="A3328" s="688" t="s">
        <v>2349</v>
      </c>
      <c r="B3328" s="691">
        <v>31.1</v>
      </c>
      <c r="C3328" s="691">
        <v>31.1</v>
      </c>
      <c r="D3328" s="691">
        <v>31.1</v>
      </c>
      <c r="E3328" s="691">
        <v>31.4</v>
      </c>
      <c r="F3328" s="691">
        <v>31.3</v>
      </c>
      <c r="G3328" s="691">
        <v>31.6</v>
      </c>
      <c r="H3328" s="691">
        <v>31.6</v>
      </c>
      <c r="I3328" s="691">
        <v>30.1</v>
      </c>
      <c r="J3328" s="691">
        <v>28.6</v>
      </c>
      <c r="K3328" s="691">
        <v>30.9</v>
      </c>
    </row>
    <row r="3329" spans="1:11">
      <c r="A3329" s="688" t="s">
        <v>2355</v>
      </c>
      <c r="B3329" s="689">
        <v>34.6</v>
      </c>
      <c r="C3329" s="689">
        <v>34.4</v>
      </c>
      <c r="D3329" s="689">
        <v>34.4</v>
      </c>
      <c r="E3329" s="689">
        <v>34.4</v>
      </c>
      <c r="F3329" s="689">
        <v>34.6</v>
      </c>
      <c r="G3329" s="689">
        <v>34.9</v>
      </c>
      <c r="H3329" s="693">
        <v>35</v>
      </c>
      <c r="I3329" s="690" t="s">
        <v>4060</v>
      </c>
      <c r="J3329" s="690" t="s">
        <v>4060</v>
      </c>
      <c r="K3329" s="690" t="s">
        <v>4060</v>
      </c>
    </row>
    <row r="3330" spans="1:11">
      <c r="A3330" s="688" t="s">
        <v>2357</v>
      </c>
      <c r="B3330" s="692" t="s">
        <v>4060</v>
      </c>
      <c r="C3330" s="691">
        <v>29.6</v>
      </c>
      <c r="D3330" s="691">
        <v>30.1</v>
      </c>
      <c r="E3330" s="691">
        <v>30.3</v>
      </c>
      <c r="F3330" s="691">
        <v>30.6</v>
      </c>
      <c r="G3330" s="691">
        <v>30.5</v>
      </c>
      <c r="H3330" s="691">
        <v>30.7</v>
      </c>
      <c r="I3330" s="692" t="s">
        <v>4060</v>
      </c>
      <c r="J3330" s="692" t="s">
        <v>4060</v>
      </c>
      <c r="K3330" s="692" t="s">
        <v>4060</v>
      </c>
    </row>
    <row r="3331" spans="1:11">
      <c r="A3331" s="688" t="s">
        <v>4070</v>
      </c>
      <c r="B3331" s="690" t="s">
        <v>4060</v>
      </c>
      <c r="C3331" s="690" t="s">
        <v>4060</v>
      </c>
      <c r="D3331" s="690" t="s">
        <v>4060</v>
      </c>
      <c r="E3331" s="693">
        <v>34</v>
      </c>
      <c r="F3331" s="690" t="s">
        <v>4060</v>
      </c>
      <c r="G3331" s="690" t="s">
        <v>4060</v>
      </c>
      <c r="H3331" s="690" t="s">
        <v>4060</v>
      </c>
      <c r="I3331" s="690" t="s">
        <v>4060</v>
      </c>
      <c r="J3331" s="690" t="s">
        <v>4060</v>
      </c>
      <c r="K3331" s="690" t="s">
        <v>4060</v>
      </c>
    </row>
    <row r="3332" spans="1:11">
      <c r="A3332" s="688" t="s">
        <v>2491</v>
      </c>
      <c r="B3332" s="691">
        <v>29.7</v>
      </c>
      <c r="C3332" s="691">
        <v>30.2</v>
      </c>
      <c r="D3332" s="691">
        <v>30.5</v>
      </c>
      <c r="E3332" s="691">
        <v>30.7</v>
      </c>
      <c r="F3332" s="691">
        <v>30.8</v>
      </c>
      <c r="G3332" s="691">
        <v>30.7</v>
      </c>
      <c r="H3332" s="692" t="s">
        <v>4060</v>
      </c>
      <c r="I3332" s="692" t="s">
        <v>4060</v>
      </c>
      <c r="J3332" s="692" t="s">
        <v>4060</v>
      </c>
      <c r="K3332" s="692" t="s">
        <v>4060</v>
      </c>
    </row>
    <row r="3333" spans="1:11">
      <c r="A3333" s="688" t="s">
        <v>2343</v>
      </c>
      <c r="B3333" s="690" t="s">
        <v>4060</v>
      </c>
      <c r="C3333" s="690" t="s">
        <v>4060</v>
      </c>
      <c r="D3333" s="690" t="s">
        <v>4060</v>
      </c>
      <c r="E3333" s="690" t="s">
        <v>4060</v>
      </c>
      <c r="F3333" s="690" t="s">
        <v>4060</v>
      </c>
      <c r="G3333" s="690" t="s">
        <v>4060</v>
      </c>
      <c r="H3333" s="690" t="s">
        <v>4060</v>
      </c>
      <c r="I3333" s="690" t="s">
        <v>4060</v>
      </c>
      <c r="J3333" s="690" t="s">
        <v>4060</v>
      </c>
      <c r="K3333" s="690" t="s">
        <v>4060</v>
      </c>
    </row>
    <row r="3334" spans="1:11">
      <c r="A3334" s="688" t="s">
        <v>4071</v>
      </c>
      <c r="B3334" s="692" t="s">
        <v>4060</v>
      </c>
      <c r="C3334" s="692" t="s">
        <v>4060</v>
      </c>
      <c r="D3334" s="692" t="s">
        <v>4060</v>
      </c>
      <c r="E3334" s="692" t="s">
        <v>4060</v>
      </c>
      <c r="F3334" s="692" t="s">
        <v>4060</v>
      </c>
      <c r="G3334" s="692" t="s">
        <v>4060</v>
      </c>
      <c r="H3334" s="692" t="s">
        <v>4060</v>
      </c>
      <c r="I3334" s="692" t="s">
        <v>4060</v>
      </c>
      <c r="J3334" s="692" t="s">
        <v>4060</v>
      </c>
      <c r="K3334" s="692" t="s">
        <v>4060</v>
      </c>
    </row>
    <row r="3335" spans="1:11">
      <c r="A3335" s="688" t="s">
        <v>2489</v>
      </c>
      <c r="B3335" s="690" t="s">
        <v>4060</v>
      </c>
      <c r="C3335" s="690" t="s">
        <v>4060</v>
      </c>
      <c r="D3335" s="689">
        <v>31.4</v>
      </c>
      <c r="E3335" s="689">
        <v>31.4</v>
      </c>
      <c r="F3335" s="689">
        <v>31.8</v>
      </c>
      <c r="G3335" s="689">
        <v>32.700000000000003</v>
      </c>
      <c r="H3335" s="689">
        <v>32.4</v>
      </c>
      <c r="I3335" s="690" t="s">
        <v>4060</v>
      </c>
      <c r="J3335" s="690" t="s">
        <v>4060</v>
      </c>
      <c r="K3335" s="690" t="s">
        <v>4060</v>
      </c>
    </row>
    <row r="3336" spans="1:11">
      <c r="A3336" s="688" t="s">
        <v>2490</v>
      </c>
      <c r="B3336" s="691">
        <v>31.2</v>
      </c>
      <c r="C3336" s="691">
        <v>31.3</v>
      </c>
      <c r="D3336" s="691">
        <v>31.9</v>
      </c>
      <c r="E3336" s="692" t="s">
        <v>4060</v>
      </c>
      <c r="F3336" s="691">
        <v>32.1</v>
      </c>
      <c r="G3336" s="691">
        <v>32.4</v>
      </c>
      <c r="H3336" s="691">
        <v>33.200000000000003</v>
      </c>
      <c r="I3336" s="692" t="s">
        <v>4060</v>
      </c>
      <c r="J3336" s="692" t="s">
        <v>4060</v>
      </c>
      <c r="K3336" s="692" t="s">
        <v>4060</v>
      </c>
    </row>
    <row r="3338" spans="1:11">
      <c r="A3338" s="683" t="s">
        <v>4233</v>
      </c>
    </row>
    <row r="3339" spans="1:11">
      <c r="A3339" s="683" t="s">
        <v>4060</v>
      </c>
      <c r="B3339" s="682" t="s">
        <v>4234</v>
      </c>
    </row>
    <row r="3341" spans="1:11">
      <c r="A3341" s="682" t="s">
        <v>4248</v>
      </c>
    </row>
    <row r="3342" spans="1:11">
      <c r="A3342" s="682" t="s">
        <v>4210</v>
      </c>
      <c r="B3342" s="683" t="s">
        <v>4211</v>
      </c>
    </row>
    <row r="3343" spans="1:11">
      <c r="A3343" s="682" t="s">
        <v>4212</v>
      </c>
      <c r="B3343" s="682" t="s">
        <v>4213</v>
      </c>
    </row>
    <row r="3345" spans="1:11">
      <c r="A3345" s="683" t="s">
        <v>4214</v>
      </c>
      <c r="C3345" s="682" t="s">
        <v>4215</v>
      </c>
    </row>
    <row r="3346" spans="1:11">
      <c r="A3346" s="683" t="s">
        <v>4216</v>
      </c>
      <c r="C3346" s="682" t="s">
        <v>2967</v>
      </c>
    </row>
    <row r="3347" spans="1:11">
      <c r="A3347" s="683" t="s">
        <v>3893</v>
      </c>
      <c r="C3347" s="682" t="s">
        <v>4217</v>
      </c>
    </row>
    <row r="3348" spans="1:11">
      <c r="A3348" s="683" t="s">
        <v>4218</v>
      </c>
      <c r="C3348" s="682" t="s">
        <v>4282</v>
      </c>
    </row>
    <row r="3350" spans="1:11">
      <c r="A3350" s="684" t="s">
        <v>4220</v>
      </c>
      <c r="B3350" s="685" t="s">
        <v>4221</v>
      </c>
      <c r="C3350" s="685" t="s">
        <v>4222</v>
      </c>
      <c r="D3350" s="685" t="s">
        <v>4223</v>
      </c>
      <c r="E3350" s="685" t="s">
        <v>4224</v>
      </c>
      <c r="F3350" s="685" t="s">
        <v>4225</v>
      </c>
      <c r="G3350" s="685" t="s">
        <v>4226</v>
      </c>
      <c r="H3350" s="685" t="s">
        <v>4227</v>
      </c>
      <c r="I3350" s="685" t="s">
        <v>4228</v>
      </c>
      <c r="J3350" s="685" t="s">
        <v>4229</v>
      </c>
      <c r="K3350" s="685" t="s">
        <v>4230</v>
      </c>
    </row>
    <row r="3351" spans="1:11">
      <c r="A3351" s="686" t="s">
        <v>4231</v>
      </c>
      <c r="B3351" s="687" t="s">
        <v>4232</v>
      </c>
      <c r="C3351" s="687" t="s">
        <v>4232</v>
      </c>
      <c r="D3351" s="687" t="s">
        <v>4232</v>
      </c>
      <c r="E3351" s="687" t="s">
        <v>4232</v>
      </c>
      <c r="F3351" s="687" t="s">
        <v>4232</v>
      </c>
      <c r="G3351" s="687" t="s">
        <v>4232</v>
      </c>
      <c r="H3351" s="687" t="s">
        <v>4232</v>
      </c>
      <c r="I3351" s="687" t="s">
        <v>4232</v>
      </c>
      <c r="J3351" s="687" t="s">
        <v>4232</v>
      </c>
      <c r="K3351" s="687" t="s">
        <v>4232</v>
      </c>
    </row>
    <row r="3352" spans="1:11">
      <c r="A3352" s="688" t="s">
        <v>4064</v>
      </c>
      <c r="B3352" s="615">
        <v>35</v>
      </c>
      <c r="C3352" s="691">
        <v>35.1</v>
      </c>
      <c r="D3352" s="615">
        <v>35</v>
      </c>
      <c r="E3352" s="691">
        <v>35.1</v>
      </c>
      <c r="F3352" s="691">
        <v>35.1</v>
      </c>
      <c r="G3352" s="691">
        <v>35.200000000000003</v>
      </c>
      <c r="H3352" s="691">
        <v>35.5</v>
      </c>
      <c r="I3352" s="691">
        <v>34.700000000000003</v>
      </c>
      <c r="J3352" s="691">
        <v>34.4</v>
      </c>
      <c r="K3352" s="615">
        <v>35</v>
      </c>
    </row>
    <row r="3353" spans="1:11">
      <c r="A3353" s="688" t="s">
        <v>4065</v>
      </c>
      <c r="B3353" s="689">
        <v>35.1</v>
      </c>
      <c r="C3353" s="689">
        <v>35.4</v>
      </c>
      <c r="D3353" s="689">
        <v>35.1</v>
      </c>
      <c r="E3353" s="689">
        <v>35.4</v>
      </c>
      <c r="F3353" s="689">
        <v>35.4</v>
      </c>
      <c r="G3353" s="689">
        <v>35.5</v>
      </c>
      <c r="H3353" s="690" t="s">
        <v>4060</v>
      </c>
      <c r="I3353" s="690" t="s">
        <v>4060</v>
      </c>
      <c r="J3353" s="690" t="s">
        <v>4060</v>
      </c>
      <c r="K3353" s="690" t="s">
        <v>4060</v>
      </c>
    </row>
    <row r="3354" spans="1:11">
      <c r="A3354" s="688" t="s">
        <v>4063</v>
      </c>
      <c r="B3354" s="691">
        <v>35.1</v>
      </c>
      <c r="C3354" s="691">
        <v>35.4</v>
      </c>
      <c r="D3354" s="691">
        <v>35.1</v>
      </c>
      <c r="E3354" s="691">
        <v>35.5</v>
      </c>
      <c r="F3354" s="691">
        <v>35.4</v>
      </c>
      <c r="G3354" s="691">
        <v>35.5</v>
      </c>
      <c r="H3354" s="692" t="s">
        <v>4060</v>
      </c>
      <c r="I3354" s="692" t="s">
        <v>4060</v>
      </c>
      <c r="J3354" s="692" t="s">
        <v>4060</v>
      </c>
      <c r="K3354" s="692" t="s">
        <v>4060</v>
      </c>
    </row>
    <row r="3355" spans="1:11">
      <c r="A3355" s="688" t="s">
        <v>4069</v>
      </c>
      <c r="B3355" s="690" t="s">
        <v>4060</v>
      </c>
      <c r="C3355" s="693">
        <v>36</v>
      </c>
      <c r="D3355" s="689">
        <v>35.700000000000003</v>
      </c>
      <c r="E3355" s="693">
        <v>36</v>
      </c>
      <c r="F3355" s="693">
        <v>36</v>
      </c>
      <c r="G3355" s="689">
        <v>36.1</v>
      </c>
      <c r="H3355" s="689">
        <v>36.4</v>
      </c>
      <c r="I3355" s="689">
        <v>35.700000000000003</v>
      </c>
      <c r="J3355" s="689">
        <v>35.700000000000003</v>
      </c>
      <c r="K3355" s="689">
        <v>35.9</v>
      </c>
    </row>
    <row r="3356" spans="1:11">
      <c r="A3356" s="688" t="s">
        <v>4068</v>
      </c>
      <c r="B3356" s="691">
        <v>35.9</v>
      </c>
      <c r="C3356" s="692" t="s">
        <v>4060</v>
      </c>
      <c r="D3356" s="692" t="s">
        <v>4060</v>
      </c>
      <c r="E3356" s="692" t="s">
        <v>4060</v>
      </c>
      <c r="F3356" s="692" t="s">
        <v>4060</v>
      </c>
      <c r="G3356" s="692" t="s">
        <v>4060</v>
      </c>
      <c r="H3356" s="692" t="s">
        <v>4060</v>
      </c>
      <c r="I3356" s="692" t="s">
        <v>4060</v>
      </c>
      <c r="J3356" s="692" t="s">
        <v>4060</v>
      </c>
      <c r="K3356" s="692" t="s">
        <v>4060</v>
      </c>
    </row>
    <row r="3357" spans="1:11">
      <c r="A3357" s="688" t="s">
        <v>0</v>
      </c>
      <c r="B3357" s="689">
        <v>35.200000000000003</v>
      </c>
      <c r="C3357" s="689">
        <v>35.5</v>
      </c>
      <c r="D3357" s="689">
        <v>35.299999999999997</v>
      </c>
      <c r="E3357" s="689">
        <v>35.700000000000003</v>
      </c>
      <c r="F3357" s="689">
        <v>35.799999999999997</v>
      </c>
      <c r="G3357" s="689">
        <v>35.9</v>
      </c>
      <c r="H3357" s="689">
        <v>36.200000000000003</v>
      </c>
      <c r="I3357" s="689">
        <v>35.1</v>
      </c>
      <c r="J3357" s="693">
        <v>36</v>
      </c>
      <c r="K3357" s="693">
        <v>36</v>
      </c>
    </row>
    <row r="3358" spans="1:11">
      <c r="A3358" s="688" t="s">
        <v>1</v>
      </c>
      <c r="B3358" s="691">
        <v>30.3</v>
      </c>
      <c r="C3358" s="691">
        <v>29.9</v>
      </c>
      <c r="D3358" s="615">
        <v>30</v>
      </c>
      <c r="E3358" s="691">
        <v>30.1</v>
      </c>
      <c r="F3358" s="615">
        <v>30</v>
      </c>
      <c r="G3358" s="691">
        <v>30.1</v>
      </c>
      <c r="H3358" s="691">
        <v>30.3</v>
      </c>
      <c r="I3358" s="691">
        <v>28.7</v>
      </c>
      <c r="J3358" s="691">
        <v>26.9</v>
      </c>
      <c r="K3358" s="691">
        <v>29.4</v>
      </c>
    </row>
    <row r="3359" spans="1:11">
      <c r="A3359" s="688" t="s">
        <v>2240</v>
      </c>
      <c r="B3359" s="689">
        <v>32.799999999999997</v>
      </c>
      <c r="C3359" s="689">
        <v>33.200000000000003</v>
      </c>
      <c r="D3359" s="693">
        <v>33</v>
      </c>
      <c r="E3359" s="689">
        <v>33.4</v>
      </c>
      <c r="F3359" s="689">
        <v>33.299999999999997</v>
      </c>
      <c r="G3359" s="689">
        <v>33.4</v>
      </c>
      <c r="H3359" s="689">
        <v>33.700000000000003</v>
      </c>
      <c r="I3359" s="689">
        <v>32.6</v>
      </c>
      <c r="J3359" s="689">
        <v>31.7</v>
      </c>
      <c r="K3359" s="689">
        <v>33.4</v>
      </c>
    </row>
    <row r="3360" spans="1:11">
      <c r="A3360" s="688" t="s">
        <v>2</v>
      </c>
      <c r="B3360" s="691">
        <v>34.6</v>
      </c>
      <c r="C3360" s="691">
        <v>34.9</v>
      </c>
      <c r="D3360" s="691">
        <v>34.9</v>
      </c>
      <c r="E3360" s="691">
        <v>35.1</v>
      </c>
      <c r="F3360" s="691">
        <v>35.299999999999997</v>
      </c>
      <c r="G3360" s="691">
        <v>35.200000000000003</v>
      </c>
      <c r="H3360" s="691">
        <v>35.5</v>
      </c>
      <c r="I3360" s="691">
        <v>35.700000000000003</v>
      </c>
      <c r="J3360" s="691">
        <v>35.5</v>
      </c>
      <c r="K3360" s="691">
        <v>35.4</v>
      </c>
    </row>
    <row r="3361" spans="1:11">
      <c r="A3361" s="688" t="s">
        <v>3</v>
      </c>
      <c r="B3361" s="689">
        <v>34.9</v>
      </c>
      <c r="C3361" s="689">
        <v>35.200000000000003</v>
      </c>
      <c r="D3361" s="689">
        <v>34.9</v>
      </c>
      <c r="E3361" s="689">
        <v>35.200000000000003</v>
      </c>
      <c r="F3361" s="689">
        <v>35.200000000000003</v>
      </c>
      <c r="G3361" s="689">
        <v>35.1</v>
      </c>
      <c r="H3361" s="689">
        <v>35.4</v>
      </c>
      <c r="I3361" s="689">
        <v>35.200000000000003</v>
      </c>
      <c r="J3361" s="689">
        <v>34.9</v>
      </c>
      <c r="K3361" s="689">
        <v>34.799999999999997</v>
      </c>
    </row>
    <row r="3362" spans="1:11">
      <c r="A3362" s="688" t="s">
        <v>4061</v>
      </c>
      <c r="B3362" s="691">
        <v>34.9</v>
      </c>
      <c r="C3362" s="691">
        <v>35.200000000000003</v>
      </c>
      <c r="D3362" s="691">
        <v>34.9</v>
      </c>
      <c r="E3362" s="691">
        <v>35.200000000000003</v>
      </c>
      <c r="F3362" s="691">
        <v>35.200000000000003</v>
      </c>
      <c r="G3362" s="691">
        <v>35.1</v>
      </c>
      <c r="H3362" s="691">
        <v>35.4</v>
      </c>
      <c r="I3362" s="691">
        <v>35.200000000000003</v>
      </c>
      <c r="J3362" s="691">
        <v>34.9</v>
      </c>
      <c r="K3362" s="691">
        <v>34.799999999999997</v>
      </c>
    </row>
    <row r="3363" spans="1:11">
      <c r="A3363" s="688" t="s">
        <v>4</v>
      </c>
      <c r="B3363" s="689">
        <v>32.700000000000003</v>
      </c>
      <c r="C3363" s="689">
        <v>32.5</v>
      </c>
      <c r="D3363" s="689">
        <v>32.9</v>
      </c>
      <c r="E3363" s="693">
        <v>33</v>
      </c>
      <c r="F3363" s="689">
        <v>33.200000000000003</v>
      </c>
      <c r="G3363" s="689">
        <v>33.1</v>
      </c>
      <c r="H3363" s="689">
        <v>33.6</v>
      </c>
      <c r="I3363" s="689">
        <v>33.4</v>
      </c>
      <c r="J3363" s="689">
        <v>32.1</v>
      </c>
      <c r="K3363" s="693">
        <v>33</v>
      </c>
    </row>
    <row r="3364" spans="1:11">
      <c r="A3364" s="688" t="s">
        <v>8</v>
      </c>
      <c r="B3364" s="691">
        <v>35.4</v>
      </c>
      <c r="C3364" s="691">
        <v>35.6</v>
      </c>
      <c r="D3364" s="691">
        <v>35.700000000000003</v>
      </c>
      <c r="E3364" s="691">
        <v>35.799999999999997</v>
      </c>
      <c r="F3364" s="691">
        <v>36.200000000000003</v>
      </c>
      <c r="G3364" s="691">
        <v>36.200000000000003</v>
      </c>
      <c r="H3364" s="691">
        <v>36.6</v>
      </c>
      <c r="I3364" s="691">
        <v>36.5</v>
      </c>
      <c r="J3364" s="691">
        <v>36.299999999999997</v>
      </c>
      <c r="K3364" s="691">
        <v>36.5</v>
      </c>
    </row>
    <row r="3365" spans="1:11">
      <c r="A3365" s="688" t="s">
        <v>7</v>
      </c>
      <c r="B3365" s="689">
        <v>35.799999999999997</v>
      </c>
      <c r="C3365" s="689">
        <v>35.4</v>
      </c>
      <c r="D3365" s="689">
        <v>35.200000000000003</v>
      </c>
      <c r="E3365" s="689">
        <v>35.5</v>
      </c>
      <c r="F3365" s="689">
        <v>35.4</v>
      </c>
      <c r="G3365" s="689">
        <v>35.799999999999997</v>
      </c>
      <c r="H3365" s="689">
        <v>35.799999999999997</v>
      </c>
      <c r="I3365" s="689">
        <v>35.4</v>
      </c>
      <c r="J3365" s="689">
        <v>34.5</v>
      </c>
      <c r="K3365" s="689">
        <v>35.1</v>
      </c>
    </row>
    <row r="3366" spans="1:11">
      <c r="A3366" s="688" t="s">
        <v>27</v>
      </c>
      <c r="B3366" s="691">
        <v>37.299999999999997</v>
      </c>
      <c r="C3366" s="615">
        <v>37</v>
      </c>
      <c r="D3366" s="691">
        <v>36.700000000000003</v>
      </c>
      <c r="E3366" s="691">
        <v>37.1</v>
      </c>
      <c r="F3366" s="691">
        <v>37.1</v>
      </c>
      <c r="G3366" s="691">
        <v>37.200000000000003</v>
      </c>
      <c r="H3366" s="691">
        <v>37.5</v>
      </c>
      <c r="I3366" s="691">
        <v>36.299999999999997</v>
      </c>
      <c r="J3366" s="691">
        <v>37.1</v>
      </c>
      <c r="K3366" s="691">
        <v>37.1</v>
      </c>
    </row>
    <row r="3367" spans="1:11">
      <c r="A3367" s="688" t="s">
        <v>6</v>
      </c>
      <c r="B3367" s="693">
        <v>37</v>
      </c>
      <c r="C3367" s="689">
        <v>36.9</v>
      </c>
      <c r="D3367" s="689">
        <v>36.700000000000003</v>
      </c>
      <c r="E3367" s="689">
        <v>36.9</v>
      </c>
      <c r="F3367" s="693">
        <v>37</v>
      </c>
      <c r="G3367" s="689">
        <v>37.1</v>
      </c>
      <c r="H3367" s="689">
        <v>37.200000000000003</v>
      </c>
      <c r="I3367" s="689">
        <v>36.6</v>
      </c>
      <c r="J3367" s="689">
        <v>36.700000000000003</v>
      </c>
      <c r="K3367" s="689">
        <v>36.799999999999997</v>
      </c>
    </row>
    <row r="3368" spans="1:11">
      <c r="A3368" s="688" t="s">
        <v>4058</v>
      </c>
      <c r="B3368" s="692" t="s">
        <v>4060</v>
      </c>
      <c r="C3368" s="692" t="s">
        <v>4060</v>
      </c>
      <c r="D3368" s="692" t="s">
        <v>4060</v>
      </c>
      <c r="E3368" s="692" t="s">
        <v>4060</v>
      </c>
      <c r="F3368" s="692" t="s">
        <v>4060</v>
      </c>
      <c r="G3368" s="692" t="s">
        <v>4060</v>
      </c>
      <c r="H3368" s="692" t="s">
        <v>4060</v>
      </c>
      <c r="I3368" s="692" t="s">
        <v>4060</v>
      </c>
      <c r="J3368" s="692" t="s">
        <v>4060</v>
      </c>
      <c r="K3368" s="692" t="s">
        <v>4060</v>
      </c>
    </row>
    <row r="3369" spans="1:11">
      <c r="A3369" s="688" t="s">
        <v>11</v>
      </c>
      <c r="B3369" s="689">
        <v>32.4</v>
      </c>
      <c r="C3369" s="689">
        <v>32.299999999999997</v>
      </c>
      <c r="D3369" s="693">
        <v>32</v>
      </c>
      <c r="E3369" s="689">
        <v>32.5</v>
      </c>
      <c r="F3369" s="689">
        <v>32.299999999999997</v>
      </c>
      <c r="G3369" s="689">
        <v>32.6</v>
      </c>
      <c r="H3369" s="689">
        <v>32.9</v>
      </c>
      <c r="I3369" s="689">
        <v>32.1</v>
      </c>
      <c r="J3369" s="689">
        <v>31.2</v>
      </c>
      <c r="K3369" s="689">
        <v>32.299999999999997</v>
      </c>
    </row>
    <row r="3370" spans="1:11">
      <c r="A3370" s="688" t="s">
        <v>10</v>
      </c>
      <c r="B3370" s="615">
        <v>37</v>
      </c>
      <c r="C3370" s="691">
        <v>36.9</v>
      </c>
      <c r="D3370" s="691">
        <v>36.5</v>
      </c>
      <c r="E3370" s="691">
        <v>37.1</v>
      </c>
      <c r="F3370" s="691">
        <v>36.9</v>
      </c>
      <c r="G3370" s="691">
        <v>37.200000000000003</v>
      </c>
      <c r="H3370" s="691">
        <v>37.4</v>
      </c>
      <c r="I3370" s="691">
        <v>36.200000000000003</v>
      </c>
      <c r="J3370" s="691">
        <v>36.6</v>
      </c>
      <c r="K3370" s="691">
        <v>36.799999999999997</v>
      </c>
    </row>
    <row r="3371" spans="1:11">
      <c r="A3371" s="688" t="s">
        <v>30</v>
      </c>
      <c r="B3371" s="689">
        <v>36.6</v>
      </c>
      <c r="C3371" s="689">
        <v>36.299999999999997</v>
      </c>
      <c r="D3371" s="693">
        <v>36</v>
      </c>
      <c r="E3371" s="689">
        <v>36.700000000000003</v>
      </c>
      <c r="F3371" s="689">
        <v>36.299999999999997</v>
      </c>
      <c r="G3371" s="693">
        <v>37</v>
      </c>
      <c r="H3371" s="689">
        <v>36.700000000000003</v>
      </c>
      <c r="I3371" s="689">
        <v>36.700000000000003</v>
      </c>
      <c r="J3371" s="689">
        <v>35.9</v>
      </c>
      <c r="K3371" s="689">
        <v>36.299999999999997</v>
      </c>
    </row>
    <row r="3372" spans="1:11">
      <c r="A3372" s="688" t="s">
        <v>12</v>
      </c>
      <c r="B3372" s="691">
        <v>30.3</v>
      </c>
      <c r="C3372" s="691">
        <v>30.4</v>
      </c>
      <c r="D3372" s="691">
        <v>30.6</v>
      </c>
      <c r="E3372" s="691">
        <v>30.7</v>
      </c>
      <c r="F3372" s="691">
        <v>30.7</v>
      </c>
      <c r="G3372" s="691">
        <v>30.7</v>
      </c>
      <c r="H3372" s="691">
        <v>31.2</v>
      </c>
      <c r="I3372" s="691">
        <v>30.9</v>
      </c>
      <c r="J3372" s="691">
        <v>28.9</v>
      </c>
      <c r="K3372" s="691">
        <v>30.2</v>
      </c>
    </row>
    <row r="3373" spans="1:11">
      <c r="A3373" s="688" t="s">
        <v>14</v>
      </c>
      <c r="B3373" s="689">
        <v>30.5</v>
      </c>
      <c r="C3373" s="689">
        <v>30.8</v>
      </c>
      <c r="D3373" s="689">
        <v>30.5</v>
      </c>
      <c r="E3373" s="689">
        <v>30.7</v>
      </c>
      <c r="F3373" s="689">
        <v>31.3</v>
      </c>
      <c r="G3373" s="689">
        <v>31.5</v>
      </c>
      <c r="H3373" s="689">
        <v>31.8</v>
      </c>
      <c r="I3373" s="689">
        <v>30.6</v>
      </c>
      <c r="J3373" s="689">
        <v>29.8</v>
      </c>
      <c r="K3373" s="689">
        <v>31.1</v>
      </c>
    </row>
    <row r="3374" spans="1:11">
      <c r="A3374" s="688" t="s">
        <v>15</v>
      </c>
      <c r="B3374" s="691">
        <v>36.200000000000003</v>
      </c>
      <c r="C3374" s="691">
        <v>36.1</v>
      </c>
      <c r="D3374" s="691">
        <v>36.1</v>
      </c>
      <c r="E3374" s="691">
        <v>36.4</v>
      </c>
      <c r="F3374" s="615">
        <v>36</v>
      </c>
      <c r="G3374" s="691">
        <v>36.200000000000003</v>
      </c>
      <c r="H3374" s="691">
        <v>36.5</v>
      </c>
      <c r="I3374" s="691">
        <v>36.200000000000003</v>
      </c>
      <c r="J3374" s="691">
        <v>36.5</v>
      </c>
      <c r="K3374" s="691">
        <v>36.9</v>
      </c>
    </row>
    <row r="3375" spans="1:11">
      <c r="A3375" s="688" t="s">
        <v>29</v>
      </c>
      <c r="B3375" s="689">
        <v>30.5</v>
      </c>
      <c r="C3375" s="689">
        <v>30.5</v>
      </c>
      <c r="D3375" s="689">
        <v>30.3</v>
      </c>
      <c r="E3375" s="689">
        <v>30.6</v>
      </c>
      <c r="F3375" s="689">
        <v>30.5</v>
      </c>
      <c r="G3375" s="689">
        <v>30.6</v>
      </c>
      <c r="H3375" s="689">
        <v>30.8</v>
      </c>
      <c r="I3375" s="689">
        <v>30.1</v>
      </c>
      <c r="J3375" s="689">
        <v>28.9</v>
      </c>
      <c r="K3375" s="689">
        <v>30.5</v>
      </c>
    </row>
    <row r="3376" spans="1:11">
      <c r="A3376" s="688" t="s">
        <v>16</v>
      </c>
      <c r="B3376" s="691">
        <v>36.200000000000003</v>
      </c>
      <c r="C3376" s="691">
        <v>36.1</v>
      </c>
      <c r="D3376" s="691">
        <v>36.1</v>
      </c>
      <c r="E3376" s="691">
        <v>36.6</v>
      </c>
      <c r="F3376" s="691">
        <v>36.5</v>
      </c>
      <c r="G3376" s="691">
        <v>36.4</v>
      </c>
      <c r="H3376" s="691">
        <v>36.799999999999997</v>
      </c>
      <c r="I3376" s="691">
        <v>36.1</v>
      </c>
      <c r="J3376" s="691">
        <v>36.200000000000003</v>
      </c>
      <c r="K3376" s="691">
        <v>36.299999999999997</v>
      </c>
    </row>
    <row r="3377" spans="1:11">
      <c r="A3377" s="688" t="s">
        <v>17</v>
      </c>
      <c r="B3377" s="689">
        <v>35.6</v>
      </c>
      <c r="C3377" s="689">
        <v>35.799999999999997</v>
      </c>
      <c r="D3377" s="689">
        <v>35.6</v>
      </c>
      <c r="E3377" s="689">
        <v>35.700000000000003</v>
      </c>
      <c r="F3377" s="689">
        <v>35.9</v>
      </c>
      <c r="G3377" s="689">
        <v>35.9</v>
      </c>
      <c r="H3377" s="689">
        <v>36.200000000000003</v>
      </c>
      <c r="I3377" s="689">
        <v>35.6</v>
      </c>
      <c r="J3377" s="689">
        <v>35.5</v>
      </c>
      <c r="K3377" s="689">
        <v>35.799999999999997</v>
      </c>
    </row>
    <row r="3378" spans="1:11">
      <c r="A3378" s="688" t="s">
        <v>19</v>
      </c>
      <c r="B3378" s="691">
        <v>35.6</v>
      </c>
      <c r="C3378" s="691">
        <v>35.700000000000003</v>
      </c>
      <c r="D3378" s="691">
        <v>35.5</v>
      </c>
      <c r="E3378" s="691">
        <v>35.9</v>
      </c>
      <c r="F3378" s="691">
        <v>35.9</v>
      </c>
      <c r="G3378" s="691">
        <v>35.9</v>
      </c>
      <c r="H3378" s="691">
        <v>36.200000000000003</v>
      </c>
      <c r="I3378" s="691">
        <v>35.6</v>
      </c>
      <c r="J3378" s="691">
        <v>35.5</v>
      </c>
      <c r="K3378" s="691">
        <v>35.700000000000003</v>
      </c>
    </row>
    <row r="3379" spans="1:11">
      <c r="A3379" s="688" t="s">
        <v>20</v>
      </c>
      <c r="B3379" s="689">
        <v>32.200000000000003</v>
      </c>
      <c r="C3379" s="689">
        <v>32.5</v>
      </c>
      <c r="D3379" s="689">
        <v>32.299999999999997</v>
      </c>
      <c r="E3379" s="689">
        <v>32.700000000000003</v>
      </c>
      <c r="F3379" s="689">
        <v>32.6</v>
      </c>
      <c r="G3379" s="689">
        <v>32.5</v>
      </c>
      <c r="H3379" s="689">
        <v>32.799999999999997</v>
      </c>
      <c r="I3379" s="689">
        <v>31.4</v>
      </c>
      <c r="J3379" s="689">
        <v>30.5</v>
      </c>
      <c r="K3379" s="689">
        <v>32.1</v>
      </c>
    </row>
    <row r="3380" spans="1:11">
      <c r="A3380" s="688" t="s">
        <v>21</v>
      </c>
      <c r="B3380" s="691">
        <v>35.4</v>
      </c>
      <c r="C3380" s="691">
        <v>35.700000000000003</v>
      </c>
      <c r="D3380" s="691">
        <v>35.700000000000003</v>
      </c>
      <c r="E3380" s="691">
        <v>35.700000000000003</v>
      </c>
      <c r="F3380" s="615">
        <v>36</v>
      </c>
      <c r="G3380" s="615">
        <v>36</v>
      </c>
      <c r="H3380" s="691">
        <v>36.299999999999997</v>
      </c>
      <c r="I3380" s="691">
        <v>35.700000000000003</v>
      </c>
      <c r="J3380" s="691">
        <v>35.700000000000003</v>
      </c>
      <c r="K3380" s="615">
        <v>36</v>
      </c>
    </row>
    <row r="3381" spans="1:11">
      <c r="A3381" s="688" t="s">
        <v>22</v>
      </c>
      <c r="B3381" s="689">
        <v>30.6</v>
      </c>
      <c r="C3381" s="689">
        <v>30.4</v>
      </c>
      <c r="D3381" s="689">
        <v>30.3</v>
      </c>
      <c r="E3381" s="689">
        <v>30.5</v>
      </c>
      <c r="F3381" s="689">
        <v>30.5</v>
      </c>
      <c r="G3381" s="689">
        <v>30.5</v>
      </c>
      <c r="H3381" s="689">
        <v>30.7</v>
      </c>
      <c r="I3381" s="689">
        <v>29.3</v>
      </c>
      <c r="J3381" s="693">
        <v>28</v>
      </c>
      <c r="K3381" s="689">
        <v>30.2</v>
      </c>
    </row>
    <row r="3382" spans="1:11">
      <c r="A3382" s="688" t="s">
        <v>26</v>
      </c>
      <c r="B3382" s="691">
        <v>34.9</v>
      </c>
      <c r="C3382" s="691">
        <v>35.1</v>
      </c>
      <c r="D3382" s="691">
        <v>34.799999999999997</v>
      </c>
      <c r="E3382" s="691">
        <v>35.200000000000003</v>
      </c>
      <c r="F3382" s="691">
        <v>35.1</v>
      </c>
      <c r="G3382" s="691">
        <v>35.4</v>
      </c>
      <c r="H3382" s="691">
        <v>35.6</v>
      </c>
      <c r="I3382" s="691">
        <v>34.6</v>
      </c>
      <c r="J3382" s="691">
        <v>34.799999999999997</v>
      </c>
      <c r="K3382" s="691">
        <v>35.4</v>
      </c>
    </row>
    <row r="3383" spans="1:11">
      <c r="A3383" s="688" t="s">
        <v>25</v>
      </c>
      <c r="B3383" s="689">
        <v>31.5</v>
      </c>
      <c r="C3383" s="689">
        <v>31.9</v>
      </c>
      <c r="D3383" s="689">
        <v>31.6</v>
      </c>
      <c r="E3383" s="689">
        <v>32.1</v>
      </c>
      <c r="F3383" s="693">
        <v>32</v>
      </c>
      <c r="G3383" s="689">
        <v>32.200000000000003</v>
      </c>
      <c r="H3383" s="689">
        <v>32.6</v>
      </c>
      <c r="I3383" s="689">
        <v>31.8</v>
      </c>
      <c r="J3383" s="689">
        <v>29.6</v>
      </c>
      <c r="K3383" s="689">
        <v>31.9</v>
      </c>
    </row>
    <row r="3384" spans="1:11">
      <c r="A3384" s="688" t="s">
        <v>5</v>
      </c>
      <c r="B3384" s="691">
        <v>35.6</v>
      </c>
      <c r="C3384" s="691">
        <v>35.5</v>
      </c>
      <c r="D3384" s="691">
        <v>35.700000000000003</v>
      </c>
      <c r="E3384" s="691">
        <v>35.700000000000003</v>
      </c>
      <c r="F3384" s="691">
        <v>35.9</v>
      </c>
      <c r="G3384" s="615">
        <v>36</v>
      </c>
      <c r="H3384" s="691">
        <v>36.4</v>
      </c>
      <c r="I3384" s="691">
        <v>36.299999999999997</v>
      </c>
      <c r="J3384" s="691">
        <v>36.200000000000003</v>
      </c>
      <c r="K3384" s="691">
        <v>35.6</v>
      </c>
    </row>
    <row r="3385" spans="1:11">
      <c r="A3385" s="688" t="s">
        <v>23</v>
      </c>
      <c r="B3385" s="689">
        <v>36.200000000000003</v>
      </c>
      <c r="C3385" s="689">
        <v>36.4</v>
      </c>
      <c r="D3385" s="689">
        <v>36.4</v>
      </c>
      <c r="E3385" s="689">
        <v>36.5</v>
      </c>
      <c r="F3385" s="689">
        <v>36.6</v>
      </c>
      <c r="G3385" s="689">
        <v>36.700000000000003</v>
      </c>
      <c r="H3385" s="689">
        <v>37.200000000000003</v>
      </c>
      <c r="I3385" s="689">
        <v>36.6</v>
      </c>
      <c r="J3385" s="689">
        <v>37.1</v>
      </c>
      <c r="K3385" s="689">
        <v>37.1</v>
      </c>
    </row>
    <row r="3386" spans="1:11">
      <c r="A3386" s="688" t="s">
        <v>4067</v>
      </c>
      <c r="B3386" s="691">
        <v>35.1</v>
      </c>
      <c r="C3386" s="691">
        <v>35.4</v>
      </c>
      <c r="D3386" s="691">
        <v>35.1</v>
      </c>
      <c r="E3386" s="691">
        <v>35.4</v>
      </c>
      <c r="F3386" s="691">
        <v>35.4</v>
      </c>
      <c r="G3386" s="691">
        <v>35.5</v>
      </c>
      <c r="H3386" s="692" t="s">
        <v>4060</v>
      </c>
      <c r="I3386" s="692" t="s">
        <v>4060</v>
      </c>
      <c r="J3386" s="692" t="s">
        <v>4060</v>
      </c>
      <c r="K3386" s="692" t="s">
        <v>4060</v>
      </c>
    </row>
    <row r="3387" spans="1:11">
      <c r="A3387" s="688" t="s">
        <v>4066</v>
      </c>
      <c r="B3387" s="689">
        <v>35.1</v>
      </c>
      <c r="C3387" s="689">
        <v>35.4</v>
      </c>
      <c r="D3387" s="689">
        <v>35.1</v>
      </c>
      <c r="E3387" s="689">
        <v>35.5</v>
      </c>
      <c r="F3387" s="689">
        <v>35.4</v>
      </c>
      <c r="G3387" s="689">
        <v>35.5</v>
      </c>
      <c r="H3387" s="690" t="s">
        <v>4060</v>
      </c>
      <c r="I3387" s="690" t="s">
        <v>4060</v>
      </c>
      <c r="J3387" s="690" t="s">
        <v>4060</v>
      </c>
      <c r="K3387" s="690" t="s">
        <v>4060</v>
      </c>
    </row>
    <row r="3388" spans="1:11">
      <c r="A3388" s="688" t="s">
        <v>4062</v>
      </c>
      <c r="B3388" s="691">
        <v>36.700000000000003</v>
      </c>
      <c r="C3388" s="691">
        <v>36.9</v>
      </c>
      <c r="D3388" s="691">
        <v>36.799999999999997</v>
      </c>
      <c r="E3388" s="691">
        <v>37.200000000000003</v>
      </c>
      <c r="F3388" s="691">
        <v>37.200000000000003</v>
      </c>
      <c r="G3388" s="691">
        <v>37.4</v>
      </c>
      <c r="H3388" s="691">
        <v>37.6</v>
      </c>
      <c r="I3388" s="691">
        <v>37.200000000000003</v>
      </c>
      <c r="J3388" s="691">
        <v>37.5</v>
      </c>
      <c r="K3388" s="691">
        <v>37.299999999999997</v>
      </c>
    </row>
    <row r="3389" spans="1:11">
      <c r="A3389" s="688" t="s">
        <v>9</v>
      </c>
      <c r="B3389" s="689">
        <v>36.299999999999997</v>
      </c>
      <c r="C3389" s="689">
        <v>36.799999999999997</v>
      </c>
      <c r="D3389" s="689">
        <v>36.6</v>
      </c>
      <c r="E3389" s="689">
        <v>36.200000000000003</v>
      </c>
      <c r="F3389" s="689">
        <v>36.700000000000003</v>
      </c>
      <c r="G3389" s="689">
        <v>36.9</v>
      </c>
      <c r="H3389" s="689">
        <v>37.1</v>
      </c>
      <c r="I3389" s="689">
        <v>37.200000000000003</v>
      </c>
      <c r="J3389" s="689">
        <v>37.4</v>
      </c>
      <c r="K3389" s="689">
        <v>36.4</v>
      </c>
    </row>
    <row r="3390" spans="1:11">
      <c r="A3390" s="688" t="s">
        <v>13</v>
      </c>
      <c r="B3390" s="691">
        <v>36.700000000000003</v>
      </c>
      <c r="C3390" s="691">
        <v>36.1</v>
      </c>
      <c r="D3390" s="691">
        <v>36.9</v>
      </c>
      <c r="E3390" s="691">
        <v>36.299999999999997</v>
      </c>
      <c r="F3390" s="691">
        <v>37.299999999999997</v>
      </c>
      <c r="G3390" s="691">
        <v>37.1</v>
      </c>
      <c r="H3390" s="691">
        <v>37.5</v>
      </c>
      <c r="I3390" s="691">
        <v>36.5</v>
      </c>
      <c r="J3390" s="691">
        <v>37.6</v>
      </c>
      <c r="K3390" s="615">
        <v>38</v>
      </c>
    </row>
    <row r="3391" spans="1:11">
      <c r="A3391" s="688" t="s">
        <v>18</v>
      </c>
      <c r="B3391" s="693">
        <v>36</v>
      </c>
      <c r="C3391" s="689">
        <v>36.299999999999997</v>
      </c>
      <c r="D3391" s="689">
        <v>36.4</v>
      </c>
      <c r="E3391" s="689">
        <v>36.6</v>
      </c>
      <c r="F3391" s="689">
        <v>36.700000000000003</v>
      </c>
      <c r="G3391" s="689">
        <v>36.9</v>
      </c>
      <c r="H3391" s="689">
        <v>37.1</v>
      </c>
      <c r="I3391" s="689">
        <v>37.299999999999997</v>
      </c>
      <c r="J3391" s="689">
        <v>37.200000000000003</v>
      </c>
      <c r="K3391" s="689">
        <v>36.700000000000003</v>
      </c>
    </row>
    <row r="3392" spans="1:11">
      <c r="A3392" s="688" t="s">
        <v>24</v>
      </c>
      <c r="B3392" s="691">
        <v>37.1</v>
      </c>
      <c r="C3392" s="691">
        <v>37.200000000000003</v>
      </c>
      <c r="D3392" s="615">
        <v>37</v>
      </c>
      <c r="E3392" s="691">
        <v>37.5</v>
      </c>
      <c r="F3392" s="691">
        <v>37.5</v>
      </c>
      <c r="G3392" s="691">
        <v>37.700000000000003</v>
      </c>
      <c r="H3392" s="691">
        <v>37.799999999999997</v>
      </c>
      <c r="I3392" s="691">
        <v>37.200000000000003</v>
      </c>
      <c r="J3392" s="691">
        <v>37.700000000000003</v>
      </c>
      <c r="K3392" s="691">
        <v>37.6</v>
      </c>
    </row>
    <row r="3393" spans="1:11">
      <c r="A3393" s="688" t="s">
        <v>4059</v>
      </c>
      <c r="B3393" s="689">
        <v>35.6</v>
      </c>
      <c r="C3393" s="689">
        <v>35.9</v>
      </c>
      <c r="D3393" s="689">
        <v>35.5</v>
      </c>
      <c r="E3393" s="689">
        <v>35.799999999999997</v>
      </c>
      <c r="F3393" s="689">
        <v>35.799999999999997</v>
      </c>
      <c r="G3393" s="689">
        <v>35.799999999999997</v>
      </c>
      <c r="H3393" s="690" t="s">
        <v>4060</v>
      </c>
      <c r="I3393" s="690" t="s">
        <v>4060</v>
      </c>
      <c r="J3393" s="690" t="s">
        <v>4060</v>
      </c>
      <c r="K3393" s="690" t="s">
        <v>4060</v>
      </c>
    </row>
    <row r="3394" spans="1:11">
      <c r="A3394" s="688" t="s">
        <v>2324</v>
      </c>
      <c r="B3394" s="691">
        <v>31.2</v>
      </c>
      <c r="C3394" s="691">
        <v>31.3</v>
      </c>
      <c r="D3394" s="691">
        <v>30.9</v>
      </c>
      <c r="E3394" s="615">
        <v>31</v>
      </c>
      <c r="F3394" s="691">
        <v>31.2</v>
      </c>
      <c r="G3394" s="691">
        <v>31.4</v>
      </c>
      <c r="H3394" s="691">
        <v>31.3</v>
      </c>
      <c r="I3394" s="691">
        <v>30.5</v>
      </c>
      <c r="J3394" s="691">
        <v>28.4</v>
      </c>
      <c r="K3394" s="692" t="s">
        <v>4060</v>
      </c>
    </row>
    <row r="3395" spans="1:11">
      <c r="A3395" s="688" t="s">
        <v>2322</v>
      </c>
      <c r="B3395" s="690" t="s">
        <v>4060</v>
      </c>
      <c r="C3395" s="690" t="s">
        <v>4060</v>
      </c>
      <c r="D3395" s="690" t="s">
        <v>4060</v>
      </c>
      <c r="E3395" s="690" t="s">
        <v>4060</v>
      </c>
      <c r="F3395" s="690" t="s">
        <v>4060</v>
      </c>
      <c r="G3395" s="690" t="s">
        <v>4060</v>
      </c>
      <c r="H3395" s="690" t="s">
        <v>4060</v>
      </c>
      <c r="I3395" s="690" t="s">
        <v>4060</v>
      </c>
      <c r="J3395" s="690" t="s">
        <v>4060</v>
      </c>
      <c r="K3395" s="690" t="s">
        <v>4060</v>
      </c>
    </row>
    <row r="3396" spans="1:11">
      <c r="A3396" s="688" t="s">
        <v>2328</v>
      </c>
      <c r="B3396" s="691">
        <v>30.5</v>
      </c>
      <c r="C3396" s="691">
        <v>30.4</v>
      </c>
      <c r="D3396" s="691">
        <v>30.3</v>
      </c>
      <c r="E3396" s="691">
        <v>30.6</v>
      </c>
      <c r="F3396" s="691">
        <v>30.8</v>
      </c>
      <c r="G3396" s="691">
        <v>31.2</v>
      </c>
      <c r="H3396" s="691">
        <v>31.1</v>
      </c>
      <c r="I3396" s="615">
        <v>29</v>
      </c>
      <c r="J3396" s="615">
        <v>28</v>
      </c>
      <c r="K3396" s="692" t="s">
        <v>4060</v>
      </c>
    </row>
    <row r="3397" spans="1:11">
      <c r="A3397" s="688" t="s">
        <v>2496</v>
      </c>
      <c r="B3397" s="690" t="s">
        <v>4060</v>
      </c>
      <c r="C3397" s="689">
        <v>30.1</v>
      </c>
      <c r="D3397" s="689">
        <v>29.1</v>
      </c>
      <c r="E3397" s="689">
        <v>28.9</v>
      </c>
      <c r="F3397" s="689">
        <v>29.5</v>
      </c>
      <c r="G3397" s="689">
        <v>29.8</v>
      </c>
      <c r="H3397" s="689">
        <v>29.8</v>
      </c>
      <c r="I3397" s="690" t="s">
        <v>4060</v>
      </c>
      <c r="J3397" s="690" t="s">
        <v>4060</v>
      </c>
      <c r="K3397" s="689">
        <v>29.4</v>
      </c>
    </row>
    <row r="3398" spans="1:11">
      <c r="A3398" s="688" t="s">
        <v>2269</v>
      </c>
      <c r="B3398" s="691">
        <v>33.299999999999997</v>
      </c>
      <c r="C3398" s="691">
        <v>33.5</v>
      </c>
      <c r="D3398" s="615">
        <v>33</v>
      </c>
      <c r="E3398" s="691">
        <v>33.5</v>
      </c>
      <c r="F3398" s="691">
        <v>33.4</v>
      </c>
      <c r="G3398" s="691">
        <v>33.9</v>
      </c>
      <c r="H3398" s="691">
        <v>34.1</v>
      </c>
      <c r="I3398" s="691">
        <v>32.299999999999997</v>
      </c>
      <c r="J3398" s="691">
        <v>30.4</v>
      </c>
      <c r="K3398" s="691">
        <v>33.700000000000003</v>
      </c>
    </row>
    <row r="3399" spans="1:11">
      <c r="A3399" s="688" t="s">
        <v>2349</v>
      </c>
      <c r="B3399" s="689">
        <v>30.2</v>
      </c>
      <c r="C3399" s="689">
        <v>30.2</v>
      </c>
      <c r="D3399" s="689">
        <v>30.2</v>
      </c>
      <c r="E3399" s="689">
        <v>30.5</v>
      </c>
      <c r="F3399" s="689">
        <v>30.4</v>
      </c>
      <c r="G3399" s="689">
        <v>30.7</v>
      </c>
      <c r="H3399" s="689">
        <v>30.7</v>
      </c>
      <c r="I3399" s="689">
        <v>29.3</v>
      </c>
      <c r="J3399" s="689">
        <v>27.8</v>
      </c>
      <c r="K3399" s="693">
        <v>30</v>
      </c>
    </row>
    <row r="3400" spans="1:11">
      <c r="A3400" s="688" t="s">
        <v>2355</v>
      </c>
      <c r="B3400" s="691">
        <v>33.6</v>
      </c>
      <c r="C3400" s="691">
        <v>33.5</v>
      </c>
      <c r="D3400" s="691">
        <v>33.5</v>
      </c>
      <c r="E3400" s="691">
        <v>33.4</v>
      </c>
      <c r="F3400" s="691">
        <v>33.6</v>
      </c>
      <c r="G3400" s="615">
        <v>34</v>
      </c>
      <c r="H3400" s="691">
        <v>34.1</v>
      </c>
      <c r="I3400" s="692" t="s">
        <v>4060</v>
      </c>
      <c r="J3400" s="692" t="s">
        <v>4060</v>
      </c>
      <c r="K3400" s="692" t="s">
        <v>4060</v>
      </c>
    </row>
    <row r="3401" spans="1:11">
      <c r="A3401" s="688" t="s">
        <v>2357</v>
      </c>
      <c r="B3401" s="690" t="s">
        <v>4060</v>
      </c>
      <c r="C3401" s="689">
        <v>28.8</v>
      </c>
      <c r="D3401" s="689">
        <v>29.2</v>
      </c>
      <c r="E3401" s="689">
        <v>29.5</v>
      </c>
      <c r="F3401" s="689">
        <v>29.8</v>
      </c>
      <c r="G3401" s="689">
        <v>29.6</v>
      </c>
      <c r="H3401" s="689">
        <v>29.8</v>
      </c>
      <c r="I3401" s="690" t="s">
        <v>4060</v>
      </c>
      <c r="J3401" s="690" t="s">
        <v>4060</v>
      </c>
      <c r="K3401" s="690" t="s">
        <v>4060</v>
      </c>
    </row>
    <row r="3402" spans="1:11">
      <c r="A3402" s="688" t="s">
        <v>4070</v>
      </c>
      <c r="B3402" s="692" t="s">
        <v>4060</v>
      </c>
      <c r="C3402" s="692" t="s">
        <v>4060</v>
      </c>
      <c r="D3402" s="692" t="s">
        <v>4060</v>
      </c>
      <c r="E3402" s="691">
        <v>33.1</v>
      </c>
      <c r="F3402" s="692" t="s">
        <v>4060</v>
      </c>
      <c r="G3402" s="692" t="s">
        <v>4060</v>
      </c>
      <c r="H3402" s="692" t="s">
        <v>4060</v>
      </c>
      <c r="I3402" s="692" t="s">
        <v>4060</v>
      </c>
      <c r="J3402" s="692" t="s">
        <v>4060</v>
      </c>
      <c r="K3402" s="692" t="s">
        <v>4060</v>
      </c>
    </row>
    <row r="3403" spans="1:11">
      <c r="A3403" s="688" t="s">
        <v>2491</v>
      </c>
      <c r="B3403" s="689">
        <v>28.9</v>
      </c>
      <c r="C3403" s="689">
        <v>29.3</v>
      </c>
      <c r="D3403" s="689">
        <v>29.6</v>
      </c>
      <c r="E3403" s="689">
        <v>29.8</v>
      </c>
      <c r="F3403" s="689">
        <v>29.9</v>
      </c>
      <c r="G3403" s="689">
        <v>29.9</v>
      </c>
      <c r="H3403" s="690" t="s">
        <v>4060</v>
      </c>
      <c r="I3403" s="690" t="s">
        <v>4060</v>
      </c>
      <c r="J3403" s="690" t="s">
        <v>4060</v>
      </c>
      <c r="K3403" s="690" t="s">
        <v>4060</v>
      </c>
    </row>
    <row r="3404" spans="1:11">
      <c r="A3404" s="688" t="s">
        <v>2343</v>
      </c>
      <c r="B3404" s="692" t="s">
        <v>4060</v>
      </c>
      <c r="C3404" s="692" t="s">
        <v>4060</v>
      </c>
      <c r="D3404" s="692" t="s">
        <v>4060</v>
      </c>
      <c r="E3404" s="692" t="s">
        <v>4060</v>
      </c>
      <c r="F3404" s="692" t="s">
        <v>4060</v>
      </c>
      <c r="G3404" s="692" t="s">
        <v>4060</v>
      </c>
      <c r="H3404" s="692" t="s">
        <v>4060</v>
      </c>
      <c r="I3404" s="692" t="s">
        <v>4060</v>
      </c>
      <c r="J3404" s="692" t="s">
        <v>4060</v>
      </c>
      <c r="K3404" s="692" t="s">
        <v>4060</v>
      </c>
    </row>
    <row r="3405" spans="1:11">
      <c r="A3405" s="688" t="s">
        <v>4071</v>
      </c>
      <c r="B3405" s="690" t="s">
        <v>4060</v>
      </c>
      <c r="C3405" s="690" t="s">
        <v>4060</v>
      </c>
      <c r="D3405" s="690" t="s">
        <v>4060</v>
      </c>
      <c r="E3405" s="690" t="s">
        <v>4060</v>
      </c>
      <c r="F3405" s="690" t="s">
        <v>4060</v>
      </c>
      <c r="G3405" s="690" t="s">
        <v>4060</v>
      </c>
      <c r="H3405" s="690" t="s">
        <v>4060</v>
      </c>
      <c r="I3405" s="690" t="s">
        <v>4060</v>
      </c>
      <c r="J3405" s="690" t="s">
        <v>4060</v>
      </c>
      <c r="K3405" s="690" t="s">
        <v>4060</v>
      </c>
    </row>
    <row r="3406" spans="1:11">
      <c r="A3406" s="688" t="s">
        <v>2489</v>
      </c>
      <c r="B3406" s="692" t="s">
        <v>4060</v>
      </c>
      <c r="C3406" s="692" t="s">
        <v>4060</v>
      </c>
      <c r="D3406" s="691">
        <v>30.5</v>
      </c>
      <c r="E3406" s="691">
        <v>30.5</v>
      </c>
      <c r="F3406" s="691">
        <v>30.9</v>
      </c>
      <c r="G3406" s="691">
        <v>31.8</v>
      </c>
      <c r="H3406" s="691">
        <v>31.6</v>
      </c>
      <c r="I3406" s="692" t="s">
        <v>4060</v>
      </c>
      <c r="J3406" s="692" t="s">
        <v>4060</v>
      </c>
      <c r="K3406" s="692" t="s">
        <v>4060</v>
      </c>
    </row>
    <row r="3407" spans="1:11">
      <c r="A3407" s="688" t="s">
        <v>2490</v>
      </c>
      <c r="B3407" s="689">
        <v>30.3</v>
      </c>
      <c r="C3407" s="689">
        <v>30.4</v>
      </c>
      <c r="D3407" s="693">
        <v>31</v>
      </c>
      <c r="E3407" s="690" t="s">
        <v>4060</v>
      </c>
      <c r="F3407" s="689">
        <v>31.2</v>
      </c>
      <c r="G3407" s="689">
        <v>31.4</v>
      </c>
      <c r="H3407" s="689">
        <v>32.299999999999997</v>
      </c>
      <c r="I3407" s="690" t="s">
        <v>4060</v>
      </c>
      <c r="J3407" s="690" t="s">
        <v>4060</v>
      </c>
      <c r="K3407" s="690" t="s">
        <v>4060</v>
      </c>
    </row>
    <row r="3409" spans="1:11">
      <c r="A3409" s="683" t="s">
        <v>4233</v>
      </c>
    </row>
    <row r="3410" spans="1:11">
      <c r="A3410" s="683" t="s">
        <v>4060</v>
      </c>
      <c r="B3410" s="682" t="s">
        <v>4234</v>
      </c>
    </row>
    <row r="3412" spans="1:11">
      <c r="A3412" s="682" t="s">
        <v>4248</v>
      </c>
    </row>
    <row r="3413" spans="1:11">
      <c r="A3413" s="682" t="s">
        <v>4210</v>
      </c>
      <c r="B3413" s="683" t="s">
        <v>4211</v>
      </c>
    </row>
    <row r="3414" spans="1:11">
      <c r="A3414" s="682" t="s">
        <v>4212</v>
      </c>
      <c r="B3414" s="682" t="s">
        <v>4213</v>
      </c>
    </row>
    <row r="3416" spans="1:11">
      <c r="A3416" s="683" t="s">
        <v>4214</v>
      </c>
      <c r="C3416" s="682" t="s">
        <v>4215</v>
      </c>
    </row>
    <row r="3417" spans="1:11">
      <c r="A3417" s="683" t="s">
        <v>4216</v>
      </c>
      <c r="C3417" s="682" t="s">
        <v>2967</v>
      </c>
    </row>
    <row r="3418" spans="1:11">
      <c r="A3418" s="683" t="s">
        <v>3893</v>
      </c>
      <c r="C3418" s="682" t="s">
        <v>4217</v>
      </c>
    </row>
    <row r="3419" spans="1:11">
      <c r="A3419" s="683" t="s">
        <v>4218</v>
      </c>
      <c r="C3419" s="682" t="s">
        <v>4283</v>
      </c>
    </row>
    <row r="3421" spans="1:11">
      <c r="A3421" s="684" t="s">
        <v>4220</v>
      </c>
      <c r="B3421" s="685" t="s">
        <v>4221</v>
      </c>
      <c r="C3421" s="685" t="s">
        <v>4222</v>
      </c>
      <c r="D3421" s="685" t="s">
        <v>4223</v>
      </c>
      <c r="E3421" s="685" t="s">
        <v>4224</v>
      </c>
      <c r="F3421" s="685" t="s">
        <v>4225</v>
      </c>
      <c r="G3421" s="685" t="s">
        <v>4226</v>
      </c>
      <c r="H3421" s="685" t="s">
        <v>4227</v>
      </c>
      <c r="I3421" s="685" t="s">
        <v>4228</v>
      </c>
      <c r="J3421" s="685" t="s">
        <v>4229</v>
      </c>
      <c r="K3421" s="685" t="s">
        <v>4230</v>
      </c>
    </row>
    <row r="3422" spans="1:11">
      <c r="A3422" s="686" t="s">
        <v>4231</v>
      </c>
      <c r="B3422" s="687" t="s">
        <v>4232</v>
      </c>
      <c r="C3422" s="687" t="s">
        <v>4232</v>
      </c>
      <c r="D3422" s="687" t="s">
        <v>4232</v>
      </c>
      <c r="E3422" s="687" t="s">
        <v>4232</v>
      </c>
      <c r="F3422" s="687" t="s">
        <v>4232</v>
      </c>
      <c r="G3422" s="687" t="s">
        <v>4232</v>
      </c>
      <c r="H3422" s="687" t="s">
        <v>4232</v>
      </c>
      <c r="I3422" s="687" t="s">
        <v>4232</v>
      </c>
      <c r="J3422" s="687" t="s">
        <v>4232</v>
      </c>
      <c r="K3422" s="687" t="s">
        <v>4232</v>
      </c>
    </row>
    <row r="3423" spans="1:11">
      <c r="A3423" s="688" t="s">
        <v>4064</v>
      </c>
      <c r="B3423" s="689">
        <v>34.1</v>
      </c>
      <c r="C3423" s="689">
        <v>34.1</v>
      </c>
      <c r="D3423" s="689">
        <v>34.1</v>
      </c>
      <c r="E3423" s="689">
        <v>34.200000000000003</v>
      </c>
      <c r="F3423" s="689">
        <v>34.200000000000003</v>
      </c>
      <c r="G3423" s="689">
        <v>34.299999999999997</v>
      </c>
      <c r="H3423" s="689">
        <v>34.6</v>
      </c>
      <c r="I3423" s="689">
        <v>33.700000000000003</v>
      </c>
      <c r="J3423" s="689">
        <v>33.5</v>
      </c>
      <c r="K3423" s="689">
        <v>34.1</v>
      </c>
    </row>
    <row r="3424" spans="1:11">
      <c r="A3424" s="688" t="s">
        <v>4065</v>
      </c>
      <c r="B3424" s="691">
        <v>34.1</v>
      </c>
      <c r="C3424" s="691">
        <v>34.5</v>
      </c>
      <c r="D3424" s="691">
        <v>34.200000000000003</v>
      </c>
      <c r="E3424" s="691">
        <v>34.5</v>
      </c>
      <c r="F3424" s="691">
        <v>34.5</v>
      </c>
      <c r="G3424" s="691">
        <v>34.5</v>
      </c>
      <c r="H3424" s="692" t="s">
        <v>4060</v>
      </c>
      <c r="I3424" s="692" t="s">
        <v>4060</v>
      </c>
      <c r="J3424" s="692" t="s">
        <v>4060</v>
      </c>
      <c r="K3424" s="692" t="s">
        <v>4060</v>
      </c>
    </row>
    <row r="3425" spans="1:11">
      <c r="A3425" s="688" t="s">
        <v>4063</v>
      </c>
      <c r="B3425" s="689">
        <v>34.200000000000003</v>
      </c>
      <c r="C3425" s="689">
        <v>34.5</v>
      </c>
      <c r="D3425" s="689">
        <v>34.200000000000003</v>
      </c>
      <c r="E3425" s="689">
        <v>34.5</v>
      </c>
      <c r="F3425" s="689">
        <v>34.5</v>
      </c>
      <c r="G3425" s="689">
        <v>34.6</v>
      </c>
      <c r="H3425" s="690" t="s">
        <v>4060</v>
      </c>
      <c r="I3425" s="690" t="s">
        <v>4060</v>
      </c>
      <c r="J3425" s="690" t="s">
        <v>4060</v>
      </c>
      <c r="K3425" s="690" t="s">
        <v>4060</v>
      </c>
    </row>
    <row r="3426" spans="1:11">
      <c r="A3426" s="688" t="s">
        <v>4069</v>
      </c>
      <c r="B3426" s="692" t="s">
        <v>4060</v>
      </c>
      <c r="C3426" s="615">
        <v>35</v>
      </c>
      <c r="D3426" s="691">
        <v>34.700000000000003</v>
      </c>
      <c r="E3426" s="691">
        <v>35.1</v>
      </c>
      <c r="F3426" s="691">
        <v>35.1</v>
      </c>
      <c r="G3426" s="691">
        <v>35.200000000000003</v>
      </c>
      <c r="H3426" s="691">
        <v>35.4</v>
      </c>
      <c r="I3426" s="691">
        <v>34.799999999999997</v>
      </c>
      <c r="J3426" s="691">
        <v>34.799999999999997</v>
      </c>
      <c r="K3426" s="691">
        <v>34.9</v>
      </c>
    </row>
    <row r="3427" spans="1:11">
      <c r="A3427" s="688" t="s">
        <v>4068</v>
      </c>
      <c r="B3427" s="693">
        <v>35</v>
      </c>
      <c r="C3427" s="690" t="s">
        <v>4060</v>
      </c>
      <c r="D3427" s="690" t="s">
        <v>4060</v>
      </c>
      <c r="E3427" s="690" t="s">
        <v>4060</v>
      </c>
      <c r="F3427" s="690" t="s">
        <v>4060</v>
      </c>
      <c r="G3427" s="690" t="s">
        <v>4060</v>
      </c>
      <c r="H3427" s="690" t="s">
        <v>4060</v>
      </c>
      <c r="I3427" s="690" t="s">
        <v>4060</v>
      </c>
      <c r="J3427" s="690" t="s">
        <v>4060</v>
      </c>
      <c r="K3427" s="690" t="s">
        <v>4060</v>
      </c>
    </row>
    <row r="3428" spans="1:11">
      <c r="A3428" s="688" t="s">
        <v>0</v>
      </c>
      <c r="B3428" s="691">
        <v>34.299999999999997</v>
      </c>
      <c r="C3428" s="691">
        <v>34.6</v>
      </c>
      <c r="D3428" s="691">
        <v>34.4</v>
      </c>
      <c r="E3428" s="691">
        <v>34.700000000000003</v>
      </c>
      <c r="F3428" s="691">
        <v>34.9</v>
      </c>
      <c r="G3428" s="691">
        <v>34.9</v>
      </c>
      <c r="H3428" s="691">
        <v>35.299999999999997</v>
      </c>
      <c r="I3428" s="691">
        <v>34.1</v>
      </c>
      <c r="J3428" s="691">
        <v>35.1</v>
      </c>
      <c r="K3428" s="691">
        <v>35.1</v>
      </c>
    </row>
    <row r="3429" spans="1:11">
      <c r="A3429" s="688" t="s">
        <v>1</v>
      </c>
      <c r="B3429" s="689">
        <v>29.5</v>
      </c>
      <c r="C3429" s="689">
        <v>29.1</v>
      </c>
      <c r="D3429" s="689">
        <v>29.1</v>
      </c>
      <c r="E3429" s="689">
        <v>29.3</v>
      </c>
      <c r="F3429" s="689">
        <v>29.2</v>
      </c>
      <c r="G3429" s="689">
        <v>29.3</v>
      </c>
      <c r="H3429" s="689">
        <v>29.4</v>
      </c>
      <c r="I3429" s="689">
        <v>27.9</v>
      </c>
      <c r="J3429" s="689">
        <v>26.1</v>
      </c>
      <c r="K3429" s="689">
        <v>28.5</v>
      </c>
    </row>
    <row r="3430" spans="1:11">
      <c r="A3430" s="688" t="s">
        <v>2240</v>
      </c>
      <c r="B3430" s="691">
        <v>31.9</v>
      </c>
      <c r="C3430" s="691">
        <v>32.200000000000003</v>
      </c>
      <c r="D3430" s="615">
        <v>32</v>
      </c>
      <c r="E3430" s="691">
        <v>32.5</v>
      </c>
      <c r="F3430" s="691">
        <v>32.4</v>
      </c>
      <c r="G3430" s="691">
        <v>32.5</v>
      </c>
      <c r="H3430" s="691">
        <v>32.700000000000003</v>
      </c>
      <c r="I3430" s="691">
        <v>31.7</v>
      </c>
      <c r="J3430" s="691">
        <v>30.8</v>
      </c>
      <c r="K3430" s="691">
        <v>32.5</v>
      </c>
    </row>
    <row r="3431" spans="1:11">
      <c r="A3431" s="688" t="s">
        <v>2</v>
      </c>
      <c r="B3431" s="689">
        <v>33.700000000000003</v>
      </c>
      <c r="C3431" s="693">
        <v>34</v>
      </c>
      <c r="D3431" s="693">
        <v>34</v>
      </c>
      <c r="E3431" s="689">
        <v>34.1</v>
      </c>
      <c r="F3431" s="689">
        <v>34.299999999999997</v>
      </c>
      <c r="G3431" s="689">
        <v>34.200000000000003</v>
      </c>
      <c r="H3431" s="689">
        <v>34.6</v>
      </c>
      <c r="I3431" s="689">
        <v>34.700000000000003</v>
      </c>
      <c r="J3431" s="689">
        <v>34.6</v>
      </c>
      <c r="K3431" s="689">
        <v>34.4</v>
      </c>
    </row>
    <row r="3432" spans="1:11">
      <c r="A3432" s="688" t="s">
        <v>3</v>
      </c>
      <c r="B3432" s="615">
        <v>34</v>
      </c>
      <c r="C3432" s="691">
        <v>34.299999999999997</v>
      </c>
      <c r="D3432" s="691">
        <v>33.9</v>
      </c>
      <c r="E3432" s="691">
        <v>34.200000000000003</v>
      </c>
      <c r="F3432" s="691">
        <v>34.299999999999997</v>
      </c>
      <c r="G3432" s="691">
        <v>34.200000000000003</v>
      </c>
      <c r="H3432" s="691">
        <v>34.5</v>
      </c>
      <c r="I3432" s="691">
        <v>34.299999999999997</v>
      </c>
      <c r="J3432" s="615">
        <v>34</v>
      </c>
      <c r="K3432" s="691">
        <v>33.799999999999997</v>
      </c>
    </row>
    <row r="3433" spans="1:11">
      <c r="A3433" s="688" t="s">
        <v>4061</v>
      </c>
      <c r="B3433" s="693">
        <v>34</v>
      </c>
      <c r="C3433" s="689">
        <v>34.299999999999997</v>
      </c>
      <c r="D3433" s="689">
        <v>33.9</v>
      </c>
      <c r="E3433" s="689">
        <v>34.200000000000003</v>
      </c>
      <c r="F3433" s="689">
        <v>34.299999999999997</v>
      </c>
      <c r="G3433" s="689">
        <v>34.200000000000003</v>
      </c>
      <c r="H3433" s="689">
        <v>34.5</v>
      </c>
      <c r="I3433" s="689">
        <v>34.299999999999997</v>
      </c>
      <c r="J3433" s="693">
        <v>34</v>
      </c>
      <c r="K3433" s="689">
        <v>33.799999999999997</v>
      </c>
    </row>
    <row r="3434" spans="1:11">
      <c r="A3434" s="688" t="s">
        <v>4</v>
      </c>
      <c r="B3434" s="691">
        <v>31.8</v>
      </c>
      <c r="C3434" s="691">
        <v>31.6</v>
      </c>
      <c r="D3434" s="615">
        <v>32</v>
      </c>
      <c r="E3434" s="691">
        <v>32.1</v>
      </c>
      <c r="F3434" s="691">
        <v>32.299999999999997</v>
      </c>
      <c r="G3434" s="691">
        <v>32.200000000000003</v>
      </c>
      <c r="H3434" s="691">
        <v>32.700000000000003</v>
      </c>
      <c r="I3434" s="691">
        <v>32.5</v>
      </c>
      <c r="J3434" s="691">
        <v>31.2</v>
      </c>
      <c r="K3434" s="691">
        <v>32.1</v>
      </c>
    </row>
    <row r="3435" spans="1:11">
      <c r="A3435" s="688" t="s">
        <v>8</v>
      </c>
      <c r="B3435" s="689">
        <v>34.5</v>
      </c>
      <c r="C3435" s="689">
        <v>34.700000000000003</v>
      </c>
      <c r="D3435" s="689">
        <v>34.700000000000003</v>
      </c>
      <c r="E3435" s="689">
        <v>34.799999999999997</v>
      </c>
      <c r="F3435" s="689">
        <v>35.299999999999997</v>
      </c>
      <c r="G3435" s="689">
        <v>35.299999999999997</v>
      </c>
      <c r="H3435" s="689">
        <v>35.6</v>
      </c>
      <c r="I3435" s="689">
        <v>35.5</v>
      </c>
      <c r="J3435" s="689">
        <v>35.299999999999997</v>
      </c>
      <c r="K3435" s="689">
        <v>35.5</v>
      </c>
    </row>
    <row r="3436" spans="1:11">
      <c r="A3436" s="688" t="s">
        <v>7</v>
      </c>
      <c r="B3436" s="691">
        <v>34.9</v>
      </c>
      <c r="C3436" s="691">
        <v>34.5</v>
      </c>
      <c r="D3436" s="691">
        <v>34.299999999999997</v>
      </c>
      <c r="E3436" s="691">
        <v>34.6</v>
      </c>
      <c r="F3436" s="691">
        <v>34.5</v>
      </c>
      <c r="G3436" s="691">
        <v>34.9</v>
      </c>
      <c r="H3436" s="691">
        <v>34.799999999999997</v>
      </c>
      <c r="I3436" s="691">
        <v>34.5</v>
      </c>
      <c r="J3436" s="691">
        <v>33.6</v>
      </c>
      <c r="K3436" s="691">
        <v>34.200000000000003</v>
      </c>
    </row>
    <row r="3437" spans="1:11">
      <c r="A3437" s="688" t="s">
        <v>27</v>
      </c>
      <c r="B3437" s="689">
        <v>36.299999999999997</v>
      </c>
      <c r="C3437" s="693">
        <v>36</v>
      </c>
      <c r="D3437" s="689">
        <v>35.700000000000003</v>
      </c>
      <c r="E3437" s="689">
        <v>36.1</v>
      </c>
      <c r="F3437" s="689">
        <v>36.1</v>
      </c>
      <c r="G3437" s="689">
        <v>36.200000000000003</v>
      </c>
      <c r="H3437" s="689">
        <v>36.6</v>
      </c>
      <c r="I3437" s="689">
        <v>35.299999999999997</v>
      </c>
      <c r="J3437" s="689">
        <v>36.1</v>
      </c>
      <c r="K3437" s="689">
        <v>36.200000000000003</v>
      </c>
    </row>
    <row r="3438" spans="1:11">
      <c r="A3438" s="688" t="s">
        <v>6</v>
      </c>
      <c r="B3438" s="691">
        <v>36.1</v>
      </c>
      <c r="C3438" s="615">
        <v>36</v>
      </c>
      <c r="D3438" s="691">
        <v>35.799999999999997</v>
      </c>
      <c r="E3438" s="615">
        <v>36</v>
      </c>
      <c r="F3438" s="691">
        <v>36.1</v>
      </c>
      <c r="G3438" s="691">
        <v>36.200000000000003</v>
      </c>
      <c r="H3438" s="691">
        <v>36.299999999999997</v>
      </c>
      <c r="I3438" s="691">
        <v>35.700000000000003</v>
      </c>
      <c r="J3438" s="691">
        <v>35.799999999999997</v>
      </c>
      <c r="K3438" s="691">
        <v>35.9</v>
      </c>
    </row>
    <row r="3439" spans="1:11">
      <c r="A3439" s="688" t="s">
        <v>4058</v>
      </c>
      <c r="B3439" s="690" t="s">
        <v>4060</v>
      </c>
      <c r="C3439" s="690" t="s">
        <v>4060</v>
      </c>
      <c r="D3439" s="690" t="s">
        <v>4060</v>
      </c>
      <c r="E3439" s="690" t="s">
        <v>4060</v>
      </c>
      <c r="F3439" s="690" t="s">
        <v>4060</v>
      </c>
      <c r="G3439" s="690" t="s">
        <v>4060</v>
      </c>
      <c r="H3439" s="690" t="s">
        <v>4060</v>
      </c>
      <c r="I3439" s="690" t="s">
        <v>4060</v>
      </c>
      <c r="J3439" s="690" t="s">
        <v>4060</v>
      </c>
      <c r="K3439" s="690" t="s">
        <v>4060</v>
      </c>
    </row>
    <row r="3440" spans="1:11">
      <c r="A3440" s="688" t="s">
        <v>11</v>
      </c>
      <c r="B3440" s="691">
        <v>31.5</v>
      </c>
      <c r="C3440" s="691">
        <v>31.4</v>
      </c>
      <c r="D3440" s="615">
        <v>31</v>
      </c>
      <c r="E3440" s="691">
        <v>31.6</v>
      </c>
      <c r="F3440" s="691">
        <v>31.4</v>
      </c>
      <c r="G3440" s="691">
        <v>31.6</v>
      </c>
      <c r="H3440" s="691">
        <v>31.9</v>
      </c>
      <c r="I3440" s="691">
        <v>31.2</v>
      </c>
      <c r="J3440" s="691">
        <v>30.3</v>
      </c>
      <c r="K3440" s="691">
        <v>31.4</v>
      </c>
    </row>
    <row r="3441" spans="1:11">
      <c r="A3441" s="688" t="s">
        <v>10</v>
      </c>
      <c r="B3441" s="689">
        <v>36.1</v>
      </c>
      <c r="C3441" s="693">
        <v>36</v>
      </c>
      <c r="D3441" s="689">
        <v>35.6</v>
      </c>
      <c r="E3441" s="689">
        <v>36.1</v>
      </c>
      <c r="F3441" s="693">
        <v>36</v>
      </c>
      <c r="G3441" s="689">
        <v>36.299999999999997</v>
      </c>
      <c r="H3441" s="689">
        <v>36.5</v>
      </c>
      <c r="I3441" s="689">
        <v>35.299999999999997</v>
      </c>
      <c r="J3441" s="689">
        <v>35.700000000000003</v>
      </c>
      <c r="K3441" s="689">
        <v>35.799999999999997</v>
      </c>
    </row>
    <row r="3442" spans="1:11">
      <c r="A3442" s="688" t="s">
        <v>30</v>
      </c>
      <c r="B3442" s="691">
        <v>35.6</v>
      </c>
      <c r="C3442" s="691">
        <v>35.299999999999997</v>
      </c>
      <c r="D3442" s="691">
        <v>35.1</v>
      </c>
      <c r="E3442" s="691">
        <v>35.799999999999997</v>
      </c>
      <c r="F3442" s="691">
        <v>35.4</v>
      </c>
      <c r="G3442" s="615">
        <v>36</v>
      </c>
      <c r="H3442" s="691">
        <v>35.799999999999997</v>
      </c>
      <c r="I3442" s="691">
        <v>35.799999999999997</v>
      </c>
      <c r="J3442" s="615">
        <v>35</v>
      </c>
      <c r="K3442" s="691">
        <v>35.4</v>
      </c>
    </row>
    <row r="3443" spans="1:11">
      <c r="A3443" s="688" t="s">
        <v>12</v>
      </c>
      <c r="B3443" s="689">
        <v>29.4</v>
      </c>
      <c r="C3443" s="689">
        <v>29.6</v>
      </c>
      <c r="D3443" s="689">
        <v>29.7</v>
      </c>
      <c r="E3443" s="689">
        <v>29.8</v>
      </c>
      <c r="F3443" s="689">
        <v>29.8</v>
      </c>
      <c r="G3443" s="689">
        <v>29.9</v>
      </c>
      <c r="H3443" s="689">
        <v>30.4</v>
      </c>
      <c r="I3443" s="689">
        <v>30.1</v>
      </c>
      <c r="J3443" s="693">
        <v>28</v>
      </c>
      <c r="K3443" s="689">
        <v>29.4</v>
      </c>
    </row>
    <row r="3444" spans="1:11">
      <c r="A3444" s="688" t="s">
        <v>14</v>
      </c>
      <c r="B3444" s="691">
        <v>29.7</v>
      </c>
      <c r="C3444" s="691">
        <v>29.9</v>
      </c>
      <c r="D3444" s="691">
        <v>29.7</v>
      </c>
      <c r="E3444" s="691">
        <v>29.9</v>
      </c>
      <c r="F3444" s="691">
        <v>30.5</v>
      </c>
      <c r="G3444" s="691">
        <v>30.6</v>
      </c>
      <c r="H3444" s="691">
        <v>30.9</v>
      </c>
      <c r="I3444" s="691">
        <v>29.7</v>
      </c>
      <c r="J3444" s="615">
        <v>29</v>
      </c>
      <c r="K3444" s="691">
        <v>30.2</v>
      </c>
    </row>
    <row r="3445" spans="1:11">
      <c r="A3445" s="688" t="s">
        <v>15</v>
      </c>
      <c r="B3445" s="689">
        <v>35.299999999999997</v>
      </c>
      <c r="C3445" s="689">
        <v>35.1</v>
      </c>
      <c r="D3445" s="689">
        <v>35.200000000000003</v>
      </c>
      <c r="E3445" s="689">
        <v>35.5</v>
      </c>
      <c r="F3445" s="693">
        <v>35</v>
      </c>
      <c r="G3445" s="689">
        <v>35.299999999999997</v>
      </c>
      <c r="H3445" s="689">
        <v>35.6</v>
      </c>
      <c r="I3445" s="689">
        <v>35.200000000000003</v>
      </c>
      <c r="J3445" s="689">
        <v>35.6</v>
      </c>
      <c r="K3445" s="689">
        <v>35.9</v>
      </c>
    </row>
    <row r="3446" spans="1:11">
      <c r="A3446" s="688" t="s">
        <v>29</v>
      </c>
      <c r="B3446" s="691">
        <v>29.6</v>
      </c>
      <c r="C3446" s="691">
        <v>29.6</v>
      </c>
      <c r="D3446" s="691">
        <v>29.4</v>
      </c>
      <c r="E3446" s="691">
        <v>29.7</v>
      </c>
      <c r="F3446" s="691">
        <v>29.6</v>
      </c>
      <c r="G3446" s="691">
        <v>29.7</v>
      </c>
      <c r="H3446" s="691">
        <v>29.9</v>
      </c>
      <c r="I3446" s="691">
        <v>29.2</v>
      </c>
      <c r="J3446" s="615">
        <v>28</v>
      </c>
      <c r="K3446" s="691">
        <v>29.6</v>
      </c>
    </row>
    <row r="3447" spans="1:11">
      <c r="A3447" s="688" t="s">
        <v>16</v>
      </c>
      <c r="B3447" s="689">
        <v>35.200000000000003</v>
      </c>
      <c r="C3447" s="689">
        <v>35.200000000000003</v>
      </c>
      <c r="D3447" s="689">
        <v>35.1</v>
      </c>
      <c r="E3447" s="689">
        <v>35.700000000000003</v>
      </c>
      <c r="F3447" s="689">
        <v>35.5</v>
      </c>
      <c r="G3447" s="689">
        <v>35.4</v>
      </c>
      <c r="H3447" s="689">
        <v>35.799999999999997</v>
      </c>
      <c r="I3447" s="689">
        <v>35.200000000000003</v>
      </c>
      <c r="J3447" s="689">
        <v>35.299999999999997</v>
      </c>
      <c r="K3447" s="689">
        <v>35.4</v>
      </c>
    </row>
    <row r="3448" spans="1:11">
      <c r="A3448" s="688" t="s">
        <v>17</v>
      </c>
      <c r="B3448" s="691">
        <v>34.700000000000003</v>
      </c>
      <c r="C3448" s="691">
        <v>34.9</v>
      </c>
      <c r="D3448" s="691">
        <v>34.700000000000003</v>
      </c>
      <c r="E3448" s="691">
        <v>34.799999999999997</v>
      </c>
      <c r="F3448" s="615">
        <v>35</v>
      </c>
      <c r="G3448" s="615">
        <v>35</v>
      </c>
      <c r="H3448" s="691">
        <v>35.299999999999997</v>
      </c>
      <c r="I3448" s="691">
        <v>34.6</v>
      </c>
      <c r="J3448" s="691">
        <v>34.6</v>
      </c>
      <c r="K3448" s="691">
        <v>34.9</v>
      </c>
    </row>
    <row r="3449" spans="1:11">
      <c r="A3449" s="688" t="s">
        <v>19</v>
      </c>
      <c r="B3449" s="689">
        <v>34.700000000000003</v>
      </c>
      <c r="C3449" s="689">
        <v>34.799999999999997</v>
      </c>
      <c r="D3449" s="689">
        <v>34.5</v>
      </c>
      <c r="E3449" s="689">
        <v>34.9</v>
      </c>
      <c r="F3449" s="689">
        <v>34.9</v>
      </c>
      <c r="G3449" s="693">
        <v>35</v>
      </c>
      <c r="H3449" s="689">
        <v>35.299999999999997</v>
      </c>
      <c r="I3449" s="689">
        <v>34.6</v>
      </c>
      <c r="J3449" s="689">
        <v>34.6</v>
      </c>
      <c r="K3449" s="689">
        <v>34.700000000000003</v>
      </c>
    </row>
    <row r="3450" spans="1:11">
      <c r="A3450" s="688" t="s">
        <v>20</v>
      </c>
      <c r="B3450" s="691">
        <v>31.3</v>
      </c>
      <c r="C3450" s="691">
        <v>31.6</v>
      </c>
      <c r="D3450" s="691">
        <v>31.4</v>
      </c>
      <c r="E3450" s="691">
        <v>31.8</v>
      </c>
      <c r="F3450" s="691">
        <v>31.7</v>
      </c>
      <c r="G3450" s="691">
        <v>31.6</v>
      </c>
      <c r="H3450" s="691">
        <v>31.9</v>
      </c>
      <c r="I3450" s="691">
        <v>30.5</v>
      </c>
      <c r="J3450" s="691">
        <v>29.6</v>
      </c>
      <c r="K3450" s="691">
        <v>31.3</v>
      </c>
    </row>
    <row r="3451" spans="1:11">
      <c r="A3451" s="688" t="s">
        <v>21</v>
      </c>
      <c r="B3451" s="689">
        <v>34.5</v>
      </c>
      <c r="C3451" s="689">
        <v>34.799999999999997</v>
      </c>
      <c r="D3451" s="689">
        <v>34.799999999999997</v>
      </c>
      <c r="E3451" s="689">
        <v>34.799999999999997</v>
      </c>
      <c r="F3451" s="689">
        <v>35.1</v>
      </c>
      <c r="G3451" s="693">
        <v>35</v>
      </c>
      <c r="H3451" s="689">
        <v>35.299999999999997</v>
      </c>
      <c r="I3451" s="689">
        <v>34.700000000000003</v>
      </c>
      <c r="J3451" s="689">
        <v>34.799999999999997</v>
      </c>
      <c r="K3451" s="689">
        <v>35.1</v>
      </c>
    </row>
    <row r="3452" spans="1:11">
      <c r="A3452" s="688" t="s">
        <v>22</v>
      </c>
      <c r="B3452" s="691">
        <v>29.8</v>
      </c>
      <c r="C3452" s="691">
        <v>29.5</v>
      </c>
      <c r="D3452" s="691">
        <v>29.5</v>
      </c>
      <c r="E3452" s="691">
        <v>29.6</v>
      </c>
      <c r="F3452" s="691">
        <v>29.6</v>
      </c>
      <c r="G3452" s="691">
        <v>29.6</v>
      </c>
      <c r="H3452" s="691">
        <v>29.9</v>
      </c>
      <c r="I3452" s="691">
        <v>28.4</v>
      </c>
      <c r="J3452" s="691">
        <v>27.2</v>
      </c>
      <c r="K3452" s="691">
        <v>29.4</v>
      </c>
    </row>
    <row r="3453" spans="1:11">
      <c r="A3453" s="688" t="s">
        <v>26</v>
      </c>
      <c r="B3453" s="689">
        <v>33.9</v>
      </c>
      <c r="C3453" s="689">
        <v>34.1</v>
      </c>
      <c r="D3453" s="689">
        <v>33.9</v>
      </c>
      <c r="E3453" s="689">
        <v>34.299999999999997</v>
      </c>
      <c r="F3453" s="689">
        <v>34.1</v>
      </c>
      <c r="G3453" s="689">
        <v>34.4</v>
      </c>
      <c r="H3453" s="689">
        <v>34.6</v>
      </c>
      <c r="I3453" s="689">
        <v>33.700000000000003</v>
      </c>
      <c r="J3453" s="689">
        <v>33.799999999999997</v>
      </c>
      <c r="K3453" s="689">
        <v>34.5</v>
      </c>
    </row>
    <row r="3454" spans="1:11">
      <c r="A3454" s="688" t="s">
        <v>25</v>
      </c>
      <c r="B3454" s="691">
        <v>30.6</v>
      </c>
      <c r="C3454" s="615">
        <v>31</v>
      </c>
      <c r="D3454" s="691">
        <v>30.7</v>
      </c>
      <c r="E3454" s="691">
        <v>31.2</v>
      </c>
      <c r="F3454" s="691">
        <v>31.1</v>
      </c>
      <c r="G3454" s="691">
        <v>31.3</v>
      </c>
      <c r="H3454" s="691">
        <v>31.7</v>
      </c>
      <c r="I3454" s="691">
        <v>30.9</v>
      </c>
      <c r="J3454" s="691">
        <v>28.7</v>
      </c>
      <c r="K3454" s="615">
        <v>31</v>
      </c>
    </row>
    <row r="3455" spans="1:11">
      <c r="A3455" s="688" t="s">
        <v>5</v>
      </c>
      <c r="B3455" s="689">
        <v>34.700000000000003</v>
      </c>
      <c r="C3455" s="689">
        <v>34.6</v>
      </c>
      <c r="D3455" s="689">
        <v>34.799999999999997</v>
      </c>
      <c r="E3455" s="689">
        <v>34.799999999999997</v>
      </c>
      <c r="F3455" s="693">
        <v>35</v>
      </c>
      <c r="G3455" s="689">
        <v>35.1</v>
      </c>
      <c r="H3455" s="689">
        <v>35.4</v>
      </c>
      <c r="I3455" s="689">
        <v>35.4</v>
      </c>
      <c r="J3455" s="689">
        <v>35.200000000000003</v>
      </c>
      <c r="K3455" s="689">
        <v>34.700000000000003</v>
      </c>
    </row>
    <row r="3456" spans="1:11">
      <c r="A3456" s="688" t="s">
        <v>23</v>
      </c>
      <c r="B3456" s="691">
        <v>35.299999999999997</v>
      </c>
      <c r="C3456" s="691">
        <v>35.5</v>
      </c>
      <c r="D3456" s="691">
        <v>35.4</v>
      </c>
      <c r="E3456" s="691">
        <v>35.6</v>
      </c>
      <c r="F3456" s="691">
        <v>35.700000000000003</v>
      </c>
      <c r="G3456" s="691">
        <v>35.799999999999997</v>
      </c>
      <c r="H3456" s="691">
        <v>36.200000000000003</v>
      </c>
      <c r="I3456" s="691">
        <v>35.6</v>
      </c>
      <c r="J3456" s="691">
        <v>36.200000000000003</v>
      </c>
      <c r="K3456" s="691">
        <v>36.200000000000003</v>
      </c>
    </row>
    <row r="3457" spans="1:11">
      <c r="A3457" s="688" t="s">
        <v>4067</v>
      </c>
      <c r="B3457" s="689">
        <v>34.1</v>
      </c>
      <c r="C3457" s="689">
        <v>34.5</v>
      </c>
      <c r="D3457" s="689">
        <v>34.200000000000003</v>
      </c>
      <c r="E3457" s="689">
        <v>34.5</v>
      </c>
      <c r="F3457" s="689">
        <v>34.5</v>
      </c>
      <c r="G3457" s="689">
        <v>34.6</v>
      </c>
      <c r="H3457" s="690" t="s">
        <v>4060</v>
      </c>
      <c r="I3457" s="690" t="s">
        <v>4060</v>
      </c>
      <c r="J3457" s="690" t="s">
        <v>4060</v>
      </c>
      <c r="K3457" s="690" t="s">
        <v>4060</v>
      </c>
    </row>
    <row r="3458" spans="1:11">
      <c r="A3458" s="688" t="s">
        <v>4066</v>
      </c>
      <c r="B3458" s="691">
        <v>34.200000000000003</v>
      </c>
      <c r="C3458" s="691">
        <v>34.5</v>
      </c>
      <c r="D3458" s="691">
        <v>34.200000000000003</v>
      </c>
      <c r="E3458" s="691">
        <v>34.5</v>
      </c>
      <c r="F3458" s="691">
        <v>34.5</v>
      </c>
      <c r="G3458" s="691">
        <v>34.6</v>
      </c>
      <c r="H3458" s="692" t="s">
        <v>4060</v>
      </c>
      <c r="I3458" s="692" t="s">
        <v>4060</v>
      </c>
      <c r="J3458" s="692" t="s">
        <v>4060</v>
      </c>
      <c r="K3458" s="692" t="s">
        <v>4060</v>
      </c>
    </row>
    <row r="3459" spans="1:11">
      <c r="A3459" s="688" t="s">
        <v>4062</v>
      </c>
      <c r="B3459" s="689">
        <v>35.799999999999997</v>
      </c>
      <c r="C3459" s="689">
        <v>35.9</v>
      </c>
      <c r="D3459" s="689">
        <v>35.9</v>
      </c>
      <c r="E3459" s="689">
        <v>36.200000000000003</v>
      </c>
      <c r="F3459" s="689">
        <v>36.299999999999997</v>
      </c>
      <c r="G3459" s="689">
        <v>36.5</v>
      </c>
      <c r="H3459" s="689">
        <v>36.6</v>
      </c>
      <c r="I3459" s="689">
        <v>36.299999999999997</v>
      </c>
      <c r="J3459" s="689">
        <v>36.6</v>
      </c>
      <c r="K3459" s="689">
        <v>36.299999999999997</v>
      </c>
    </row>
    <row r="3460" spans="1:11">
      <c r="A3460" s="688" t="s">
        <v>9</v>
      </c>
      <c r="B3460" s="691">
        <v>35.299999999999997</v>
      </c>
      <c r="C3460" s="691">
        <v>35.799999999999997</v>
      </c>
      <c r="D3460" s="691">
        <v>35.6</v>
      </c>
      <c r="E3460" s="691">
        <v>35.299999999999997</v>
      </c>
      <c r="F3460" s="691">
        <v>35.700000000000003</v>
      </c>
      <c r="G3460" s="615">
        <v>36</v>
      </c>
      <c r="H3460" s="691">
        <v>36.1</v>
      </c>
      <c r="I3460" s="691">
        <v>36.200000000000003</v>
      </c>
      <c r="J3460" s="691">
        <v>36.4</v>
      </c>
      <c r="K3460" s="691">
        <v>35.4</v>
      </c>
    </row>
    <row r="3461" spans="1:11">
      <c r="A3461" s="688" t="s">
        <v>13</v>
      </c>
      <c r="B3461" s="689">
        <v>35.799999999999997</v>
      </c>
      <c r="C3461" s="689">
        <v>35.200000000000003</v>
      </c>
      <c r="D3461" s="689">
        <v>35.9</v>
      </c>
      <c r="E3461" s="689">
        <v>35.299999999999997</v>
      </c>
      <c r="F3461" s="689">
        <v>36.5</v>
      </c>
      <c r="G3461" s="689">
        <v>36.1</v>
      </c>
      <c r="H3461" s="689">
        <v>36.5</v>
      </c>
      <c r="I3461" s="689">
        <v>35.5</v>
      </c>
      <c r="J3461" s="689">
        <v>36.6</v>
      </c>
      <c r="K3461" s="693">
        <v>37</v>
      </c>
    </row>
    <row r="3462" spans="1:11">
      <c r="A3462" s="688" t="s">
        <v>18</v>
      </c>
      <c r="B3462" s="691">
        <v>35.1</v>
      </c>
      <c r="C3462" s="691">
        <v>35.299999999999997</v>
      </c>
      <c r="D3462" s="691">
        <v>35.5</v>
      </c>
      <c r="E3462" s="691">
        <v>35.6</v>
      </c>
      <c r="F3462" s="691">
        <v>35.799999999999997</v>
      </c>
      <c r="G3462" s="691">
        <v>35.9</v>
      </c>
      <c r="H3462" s="691">
        <v>36.1</v>
      </c>
      <c r="I3462" s="691">
        <v>36.299999999999997</v>
      </c>
      <c r="J3462" s="691">
        <v>36.299999999999997</v>
      </c>
      <c r="K3462" s="691">
        <v>35.799999999999997</v>
      </c>
    </row>
    <row r="3463" spans="1:11">
      <c r="A3463" s="688" t="s">
        <v>24</v>
      </c>
      <c r="B3463" s="689">
        <v>36.200000000000003</v>
      </c>
      <c r="C3463" s="689">
        <v>36.299999999999997</v>
      </c>
      <c r="D3463" s="689">
        <v>36.1</v>
      </c>
      <c r="E3463" s="689">
        <v>36.6</v>
      </c>
      <c r="F3463" s="689">
        <v>36.6</v>
      </c>
      <c r="G3463" s="689">
        <v>36.799999999999997</v>
      </c>
      <c r="H3463" s="689">
        <v>36.9</v>
      </c>
      <c r="I3463" s="689">
        <v>36.200000000000003</v>
      </c>
      <c r="J3463" s="689">
        <v>36.799999999999997</v>
      </c>
      <c r="K3463" s="689">
        <v>36.700000000000003</v>
      </c>
    </row>
    <row r="3464" spans="1:11">
      <c r="A3464" s="688" t="s">
        <v>4059</v>
      </c>
      <c r="B3464" s="691">
        <v>34.700000000000003</v>
      </c>
      <c r="C3464" s="615">
        <v>35</v>
      </c>
      <c r="D3464" s="691">
        <v>34.6</v>
      </c>
      <c r="E3464" s="691">
        <v>34.9</v>
      </c>
      <c r="F3464" s="691">
        <v>34.9</v>
      </c>
      <c r="G3464" s="691">
        <v>34.9</v>
      </c>
      <c r="H3464" s="692" t="s">
        <v>4060</v>
      </c>
      <c r="I3464" s="692" t="s">
        <v>4060</v>
      </c>
      <c r="J3464" s="692" t="s">
        <v>4060</v>
      </c>
      <c r="K3464" s="692" t="s">
        <v>4060</v>
      </c>
    </row>
    <row r="3465" spans="1:11">
      <c r="A3465" s="688" t="s">
        <v>2324</v>
      </c>
      <c r="B3465" s="689">
        <v>30.3</v>
      </c>
      <c r="C3465" s="689">
        <v>30.4</v>
      </c>
      <c r="D3465" s="693">
        <v>30</v>
      </c>
      <c r="E3465" s="689">
        <v>30.1</v>
      </c>
      <c r="F3465" s="689">
        <v>30.4</v>
      </c>
      <c r="G3465" s="689">
        <v>30.5</v>
      </c>
      <c r="H3465" s="689">
        <v>30.4</v>
      </c>
      <c r="I3465" s="689">
        <v>29.6</v>
      </c>
      <c r="J3465" s="689">
        <v>27.5</v>
      </c>
      <c r="K3465" s="690" t="s">
        <v>4060</v>
      </c>
    </row>
    <row r="3466" spans="1:11">
      <c r="A3466" s="688" t="s">
        <v>2322</v>
      </c>
      <c r="B3466" s="692" t="s">
        <v>4060</v>
      </c>
      <c r="C3466" s="692" t="s">
        <v>4060</v>
      </c>
      <c r="D3466" s="692" t="s">
        <v>4060</v>
      </c>
      <c r="E3466" s="692" t="s">
        <v>4060</v>
      </c>
      <c r="F3466" s="692" t="s">
        <v>4060</v>
      </c>
      <c r="G3466" s="692" t="s">
        <v>4060</v>
      </c>
      <c r="H3466" s="692" t="s">
        <v>4060</v>
      </c>
      <c r="I3466" s="692" t="s">
        <v>4060</v>
      </c>
      <c r="J3466" s="692" t="s">
        <v>4060</v>
      </c>
      <c r="K3466" s="692" t="s">
        <v>4060</v>
      </c>
    </row>
    <row r="3467" spans="1:11">
      <c r="A3467" s="688" t="s">
        <v>2328</v>
      </c>
      <c r="B3467" s="689">
        <v>29.6</v>
      </c>
      <c r="C3467" s="689">
        <v>29.5</v>
      </c>
      <c r="D3467" s="689">
        <v>29.4</v>
      </c>
      <c r="E3467" s="689">
        <v>29.7</v>
      </c>
      <c r="F3467" s="689">
        <v>29.9</v>
      </c>
      <c r="G3467" s="689">
        <v>30.3</v>
      </c>
      <c r="H3467" s="689">
        <v>30.2</v>
      </c>
      <c r="I3467" s="689">
        <v>28.1</v>
      </c>
      <c r="J3467" s="689">
        <v>27.1</v>
      </c>
      <c r="K3467" s="690" t="s">
        <v>4060</v>
      </c>
    </row>
    <row r="3468" spans="1:11">
      <c r="A3468" s="688" t="s">
        <v>2496</v>
      </c>
      <c r="B3468" s="692" t="s">
        <v>4060</v>
      </c>
      <c r="C3468" s="691">
        <v>29.3</v>
      </c>
      <c r="D3468" s="691">
        <v>28.2</v>
      </c>
      <c r="E3468" s="615">
        <v>28</v>
      </c>
      <c r="F3468" s="691">
        <v>28.7</v>
      </c>
      <c r="G3468" s="691">
        <v>28.9</v>
      </c>
      <c r="H3468" s="691">
        <v>28.9</v>
      </c>
      <c r="I3468" s="692" t="s">
        <v>4060</v>
      </c>
      <c r="J3468" s="692" t="s">
        <v>4060</v>
      </c>
      <c r="K3468" s="691">
        <v>28.5</v>
      </c>
    </row>
    <row r="3469" spans="1:11">
      <c r="A3469" s="688" t="s">
        <v>2269</v>
      </c>
      <c r="B3469" s="689">
        <v>32.4</v>
      </c>
      <c r="C3469" s="689">
        <v>32.5</v>
      </c>
      <c r="D3469" s="693">
        <v>32</v>
      </c>
      <c r="E3469" s="689">
        <v>32.6</v>
      </c>
      <c r="F3469" s="689">
        <v>32.5</v>
      </c>
      <c r="G3469" s="689">
        <v>32.9</v>
      </c>
      <c r="H3469" s="689">
        <v>33.200000000000003</v>
      </c>
      <c r="I3469" s="689">
        <v>31.4</v>
      </c>
      <c r="J3469" s="689">
        <v>29.5</v>
      </c>
      <c r="K3469" s="689">
        <v>32.799999999999997</v>
      </c>
    </row>
    <row r="3470" spans="1:11">
      <c r="A3470" s="688" t="s">
        <v>2349</v>
      </c>
      <c r="B3470" s="691">
        <v>29.3</v>
      </c>
      <c r="C3470" s="691">
        <v>29.3</v>
      </c>
      <c r="D3470" s="691">
        <v>29.3</v>
      </c>
      <c r="E3470" s="691">
        <v>29.6</v>
      </c>
      <c r="F3470" s="691">
        <v>29.5</v>
      </c>
      <c r="G3470" s="691">
        <v>29.8</v>
      </c>
      <c r="H3470" s="691">
        <v>29.8</v>
      </c>
      <c r="I3470" s="691">
        <v>28.4</v>
      </c>
      <c r="J3470" s="691">
        <v>26.9</v>
      </c>
      <c r="K3470" s="691">
        <v>29.1</v>
      </c>
    </row>
    <row r="3471" spans="1:11">
      <c r="A3471" s="688" t="s">
        <v>2355</v>
      </c>
      <c r="B3471" s="689">
        <v>32.700000000000003</v>
      </c>
      <c r="C3471" s="689">
        <v>32.6</v>
      </c>
      <c r="D3471" s="689">
        <v>32.5</v>
      </c>
      <c r="E3471" s="689">
        <v>32.5</v>
      </c>
      <c r="F3471" s="689">
        <v>32.700000000000003</v>
      </c>
      <c r="G3471" s="693">
        <v>33</v>
      </c>
      <c r="H3471" s="689">
        <v>33.1</v>
      </c>
      <c r="I3471" s="690" t="s">
        <v>4060</v>
      </c>
      <c r="J3471" s="690" t="s">
        <v>4060</v>
      </c>
      <c r="K3471" s="690" t="s">
        <v>4060</v>
      </c>
    </row>
    <row r="3472" spans="1:11">
      <c r="A3472" s="688" t="s">
        <v>2357</v>
      </c>
      <c r="B3472" s="692" t="s">
        <v>4060</v>
      </c>
      <c r="C3472" s="615">
        <v>28</v>
      </c>
      <c r="D3472" s="691">
        <v>28.4</v>
      </c>
      <c r="E3472" s="691">
        <v>28.7</v>
      </c>
      <c r="F3472" s="691">
        <v>28.9</v>
      </c>
      <c r="G3472" s="691">
        <v>28.8</v>
      </c>
      <c r="H3472" s="615">
        <v>29</v>
      </c>
      <c r="I3472" s="692" t="s">
        <v>4060</v>
      </c>
      <c r="J3472" s="692" t="s">
        <v>4060</v>
      </c>
      <c r="K3472" s="692" t="s">
        <v>4060</v>
      </c>
    </row>
    <row r="3473" spans="1:11">
      <c r="A3473" s="688" t="s">
        <v>4070</v>
      </c>
      <c r="B3473" s="690" t="s">
        <v>4060</v>
      </c>
      <c r="C3473" s="690" t="s">
        <v>4060</v>
      </c>
      <c r="D3473" s="690" t="s">
        <v>4060</v>
      </c>
      <c r="E3473" s="689">
        <v>32.1</v>
      </c>
      <c r="F3473" s="690" t="s">
        <v>4060</v>
      </c>
      <c r="G3473" s="690" t="s">
        <v>4060</v>
      </c>
      <c r="H3473" s="690" t="s">
        <v>4060</v>
      </c>
      <c r="I3473" s="690" t="s">
        <v>4060</v>
      </c>
      <c r="J3473" s="690" t="s">
        <v>4060</v>
      </c>
      <c r="K3473" s="690" t="s">
        <v>4060</v>
      </c>
    </row>
    <row r="3474" spans="1:11">
      <c r="A3474" s="688" t="s">
        <v>2491</v>
      </c>
      <c r="B3474" s="691">
        <v>28.1</v>
      </c>
      <c r="C3474" s="691">
        <v>28.5</v>
      </c>
      <c r="D3474" s="691">
        <v>28.8</v>
      </c>
      <c r="E3474" s="615">
        <v>29</v>
      </c>
      <c r="F3474" s="691">
        <v>29.1</v>
      </c>
      <c r="G3474" s="615">
        <v>29</v>
      </c>
      <c r="H3474" s="692" t="s">
        <v>4060</v>
      </c>
      <c r="I3474" s="692" t="s">
        <v>4060</v>
      </c>
      <c r="J3474" s="692" t="s">
        <v>4060</v>
      </c>
      <c r="K3474" s="692" t="s">
        <v>4060</v>
      </c>
    </row>
    <row r="3475" spans="1:11">
      <c r="A3475" s="688" t="s">
        <v>2343</v>
      </c>
      <c r="B3475" s="690" t="s">
        <v>4060</v>
      </c>
      <c r="C3475" s="690" t="s">
        <v>4060</v>
      </c>
      <c r="D3475" s="690" t="s">
        <v>4060</v>
      </c>
      <c r="E3475" s="690" t="s">
        <v>4060</v>
      </c>
      <c r="F3475" s="690" t="s">
        <v>4060</v>
      </c>
      <c r="G3475" s="690" t="s">
        <v>4060</v>
      </c>
      <c r="H3475" s="690" t="s">
        <v>4060</v>
      </c>
      <c r="I3475" s="690" t="s">
        <v>4060</v>
      </c>
      <c r="J3475" s="690" t="s">
        <v>4060</v>
      </c>
      <c r="K3475" s="690" t="s">
        <v>4060</v>
      </c>
    </row>
    <row r="3476" spans="1:11">
      <c r="A3476" s="688" t="s">
        <v>4071</v>
      </c>
      <c r="B3476" s="692" t="s">
        <v>4060</v>
      </c>
      <c r="C3476" s="692" t="s">
        <v>4060</v>
      </c>
      <c r="D3476" s="692" t="s">
        <v>4060</v>
      </c>
      <c r="E3476" s="692" t="s">
        <v>4060</v>
      </c>
      <c r="F3476" s="692" t="s">
        <v>4060</v>
      </c>
      <c r="G3476" s="692" t="s">
        <v>4060</v>
      </c>
      <c r="H3476" s="692" t="s">
        <v>4060</v>
      </c>
      <c r="I3476" s="692" t="s">
        <v>4060</v>
      </c>
      <c r="J3476" s="692" t="s">
        <v>4060</v>
      </c>
      <c r="K3476" s="692" t="s">
        <v>4060</v>
      </c>
    </row>
    <row r="3477" spans="1:11">
      <c r="A3477" s="688" t="s">
        <v>2489</v>
      </c>
      <c r="B3477" s="690" t="s">
        <v>4060</v>
      </c>
      <c r="C3477" s="690" t="s">
        <v>4060</v>
      </c>
      <c r="D3477" s="689">
        <v>29.6</v>
      </c>
      <c r="E3477" s="689">
        <v>29.6</v>
      </c>
      <c r="F3477" s="693">
        <v>30</v>
      </c>
      <c r="G3477" s="689">
        <v>30.8</v>
      </c>
      <c r="H3477" s="689">
        <v>30.7</v>
      </c>
      <c r="I3477" s="690" t="s">
        <v>4060</v>
      </c>
      <c r="J3477" s="690" t="s">
        <v>4060</v>
      </c>
      <c r="K3477" s="690" t="s">
        <v>4060</v>
      </c>
    </row>
    <row r="3478" spans="1:11">
      <c r="A3478" s="688" t="s">
        <v>2490</v>
      </c>
      <c r="B3478" s="691">
        <v>29.4</v>
      </c>
      <c r="C3478" s="691">
        <v>29.5</v>
      </c>
      <c r="D3478" s="691">
        <v>30.1</v>
      </c>
      <c r="E3478" s="692" t="s">
        <v>4060</v>
      </c>
      <c r="F3478" s="691">
        <v>30.3</v>
      </c>
      <c r="G3478" s="691">
        <v>30.5</v>
      </c>
      <c r="H3478" s="691">
        <v>31.4</v>
      </c>
      <c r="I3478" s="692" t="s">
        <v>4060</v>
      </c>
      <c r="J3478" s="692" t="s">
        <v>4060</v>
      </c>
      <c r="K3478" s="692" t="s">
        <v>4060</v>
      </c>
    </row>
    <row r="3480" spans="1:11">
      <c r="A3480" s="683" t="s">
        <v>4233</v>
      </c>
    </row>
    <row r="3481" spans="1:11">
      <c r="A3481" s="683" t="s">
        <v>4060</v>
      </c>
      <c r="B3481" s="682" t="s">
        <v>4234</v>
      </c>
    </row>
    <row r="3483" spans="1:11">
      <c r="A3483" s="682" t="s">
        <v>4248</v>
      </c>
    </row>
    <row r="3484" spans="1:11">
      <c r="A3484" s="682" t="s">
        <v>4210</v>
      </c>
      <c r="B3484" s="683" t="s">
        <v>4211</v>
      </c>
    </row>
    <row r="3485" spans="1:11">
      <c r="A3485" s="682" t="s">
        <v>4212</v>
      </c>
      <c r="B3485" s="682" t="s">
        <v>4213</v>
      </c>
    </row>
    <row r="3487" spans="1:11">
      <c r="A3487" s="683" t="s">
        <v>4214</v>
      </c>
      <c r="C3487" s="682" t="s">
        <v>4215</v>
      </c>
    </row>
    <row r="3488" spans="1:11">
      <c r="A3488" s="683" t="s">
        <v>4216</v>
      </c>
      <c r="C3488" s="682" t="s">
        <v>2967</v>
      </c>
    </row>
    <row r="3489" spans="1:11">
      <c r="A3489" s="683" t="s">
        <v>3893</v>
      </c>
      <c r="C3489" s="682" t="s">
        <v>4217</v>
      </c>
    </row>
    <row r="3490" spans="1:11">
      <c r="A3490" s="683" t="s">
        <v>4218</v>
      </c>
      <c r="C3490" s="682" t="s">
        <v>4284</v>
      </c>
    </row>
    <row r="3492" spans="1:11">
      <c r="A3492" s="684" t="s">
        <v>4220</v>
      </c>
      <c r="B3492" s="685" t="s">
        <v>4221</v>
      </c>
      <c r="C3492" s="685" t="s">
        <v>4222</v>
      </c>
      <c r="D3492" s="685" t="s">
        <v>4223</v>
      </c>
      <c r="E3492" s="685" t="s">
        <v>4224</v>
      </c>
      <c r="F3492" s="685" t="s">
        <v>4225</v>
      </c>
      <c r="G3492" s="685" t="s">
        <v>4226</v>
      </c>
      <c r="H3492" s="685" t="s">
        <v>4227</v>
      </c>
      <c r="I3492" s="685" t="s">
        <v>4228</v>
      </c>
      <c r="J3492" s="685" t="s">
        <v>4229</v>
      </c>
      <c r="K3492" s="685" t="s">
        <v>4230</v>
      </c>
    </row>
    <row r="3493" spans="1:11">
      <c r="A3493" s="686" t="s">
        <v>4231</v>
      </c>
      <c r="B3493" s="687" t="s">
        <v>4232</v>
      </c>
      <c r="C3493" s="687" t="s">
        <v>4232</v>
      </c>
      <c r="D3493" s="687" t="s">
        <v>4232</v>
      </c>
      <c r="E3493" s="687" t="s">
        <v>4232</v>
      </c>
      <c r="F3493" s="687" t="s">
        <v>4232</v>
      </c>
      <c r="G3493" s="687" t="s">
        <v>4232</v>
      </c>
      <c r="H3493" s="687" t="s">
        <v>4232</v>
      </c>
      <c r="I3493" s="687" t="s">
        <v>4232</v>
      </c>
      <c r="J3493" s="687" t="s">
        <v>4232</v>
      </c>
      <c r="K3493" s="687" t="s">
        <v>4232</v>
      </c>
    </row>
    <row r="3494" spans="1:11">
      <c r="A3494" s="688" t="s">
        <v>4064</v>
      </c>
      <c r="B3494" s="691">
        <v>33.200000000000003</v>
      </c>
      <c r="C3494" s="691">
        <v>33.200000000000003</v>
      </c>
      <c r="D3494" s="691">
        <v>33.200000000000003</v>
      </c>
      <c r="E3494" s="691">
        <v>33.299999999999997</v>
      </c>
      <c r="F3494" s="691">
        <v>33.299999999999997</v>
      </c>
      <c r="G3494" s="691">
        <v>33.4</v>
      </c>
      <c r="H3494" s="691">
        <v>33.6</v>
      </c>
      <c r="I3494" s="691">
        <v>32.799999999999997</v>
      </c>
      <c r="J3494" s="691">
        <v>32.6</v>
      </c>
      <c r="K3494" s="691">
        <v>33.1</v>
      </c>
    </row>
    <row r="3495" spans="1:11">
      <c r="A3495" s="688" t="s">
        <v>4065</v>
      </c>
      <c r="B3495" s="689">
        <v>33.200000000000003</v>
      </c>
      <c r="C3495" s="689">
        <v>33.6</v>
      </c>
      <c r="D3495" s="689">
        <v>33.200000000000003</v>
      </c>
      <c r="E3495" s="689">
        <v>33.6</v>
      </c>
      <c r="F3495" s="689">
        <v>33.5</v>
      </c>
      <c r="G3495" s="689">
        <v>33.6</v>
      </c>
      <c r="H3495" s="690" t="s">
        <v>4060</v>
      </c>
      <c r="I3495" s="690" t="s">
        <v>4060</v>
      </c>
      <c r="J3495" s="690" t="s">
        <v>4060</v>
      </c>
      <c r="K3495" s="690" t="s">
        <v>4060</v>
      </c>
    </row>
    <row r="3496" spans="1:11">
      <c r="A3496" s="688" t="s">
        <v>4063</v>
      </c>
      <c r="B3496" s="691">
        <v>33.200000000000003</v>
      </c>
      <c r="C3496" s="691">
        <v>33.6</v>
      </c>
      <c r="D3496" s="691">
        <v>33.299999999999997</v>
      </c>
      <c r="E3496" s="691">
        <v>33.6</v>
      </c>
      <c r="F3496" s="691">
        <v>33.6</v>
      </c>
      <c r="G3496" s="691">
        <v>33.6</v>
      </c>
      <c r="H3496" s="692" t="s">
        <v>4060</v>
      </c>
      <c r="I3496" s="692" t="s">
        <v>4060</v>
      </c>
      <c r="J3496" s="692" t="s">
        <v>4060</v>
      </c>
      <c r="K3496" s="692" t="s">
        <v>4060</v>
      </c>
    </row>
    <row r="3497" spans="1:11">
      <c r="A3497" s="688" t="s">
        <v>4069</v>
      </c>
      <c r="B3497" s="690" t="s">
        <v>4060</v>
      </c>
      <c r="C3497" s="689">
        <v>34.1</v>
      </c>
      <c r="D3497" s="689">
        <v>33.799999999999997</v>
      </c>
      <c r="E3497" s="689">
        <v>34.200000000000003</v>
      </c>
      <c r="F3497" s="689">
        <v>34.200000000000003</v>
      </c>
      <c r="G3497" s="689">
        <v>34.299999999999997</v>
      </c>
      <c r="H3497" s="689">
        <v>34.5</v>
      </c>
      <c r="I3497" s="689">
        <v>33.799999999999997</v>
      </c>
      <c r="J3497" s="689">
        <v>33.799999999999997</v>
      </c>
      <c r="K3497" s="693">
        <v>34</v>
      </c>
    </row>
    <row r="3498" spans="1:11">
      <c r="A3498" s="688" t="s">
        <v>4068</v>
      </c>
      <c r="B3498" s="691">
        <v>34.1</v>
      </c>
      <c r="C3498" s="692" t="s">
        <v>4060</v>
      </c>
      <c r="D3498" s="692" t="s">
        <v>4060</v>
      </c>
      <c r="E3498" s="692" t="s">
        <v>4060</v>
      </c>
      <c r="F3498" s="692" t="s">
        <v>4060</v>
      </c>
      <c r="G3498" s="692" t="s">
        <v>4060</v>
      </c>
      <c r="H3498" s="692" t="s">
        <v>4060</v>
      </c>
      <c r="I3498" s="692" t="s">
        <v>4060</v>
      </c>
      <c r="J3498" s="692" t="s">
        <v>4060</v>
      </c>
      <c r="K3498" s="692" t="s">
        <v>4060</v>
      </c>
    </row>
    <row r="3499" spans="1:11">
      <c r="A3499" s="688" t="s">
        <v>0</v>
      </c>
      <c r="B3499" s="689">
        <v>33.299999999999997</v>
      </c>
      <c r="C3499" s="689">
        <v>33.700000000000003</v>
      </c>
      <c r="D3499" s="689">
        <v>33.5</v>
      </c>
      <c r="E3499" s="689">
        <v>33.799999999999997</v>
      </c>
      <c r="F3499" s="689">
        <v>33.9</v>
      </c>
      <c r="G3499" s="693">
        <v>34</v>
      </c>
      <c r="H3499" s="689">
        <v>34.299999999999997</v>
      </c>
      <c r="I3499" s="689">
        <v>33.200000000000003</v>
      </c>
      <c r="J3499" s="689">
        <v>34.1</v>
      </c>
      <c r="K3499" s="689">
        <v>34.1</v>
      </c>
    </row>
    <row r="3500" spans="1:11">
      <c r="A3500" s="688" t="s">
        <v>1</v>
      </c>
      <c r="B3500" s="691">
        <v>28.6</v>
      </c>
      <c r="C3500" s="691">
        <v>28.2</v>
      </c>
      <c r="D3500" s="691">
        <v>28.2</v>
      </c>
      <c r="E3500" s="691">
        <v>28.4</v>
      </c>
      <c r="F3500" s="691">
        <v>28.3</v>
      </c>
      <c r="G3500" s="691">
        <v>28.4</v>
      </c>
      <c r="H3500" s="691">
        <v>28.5</v>
      </c>
      <c r="I3500" s="615">
        <v>27</v>
      </c>
      <c r="J3500" s="691">
        <v>25.3</v>
      </c>
      <c r="K3500" s="691">
        <v>27.7</v>
      </c>
    </row>
    <row r="3501" spans="1:11">
      <c r="A3501" s="688" t="s">
        <v>2240</v>
      </c>
      <c r="B3501" s="689">
        <v>30.9</v>
      </c>
      <c r="C3501" s="689">
        <v>31.3</v>
      </c>
      <c r="D3501" s="689">
        <v>31.1</v>
      </c>
      <c r="E3501" s="689">
        <v>31.6</v>
      </c>
      <c r="F3501" s="689">
        <v>31.5</v>
      </c>
      <c r="G3501" s="689">
        <v>31.6</v>
      </c>
      <c r="H3501" s="689">
        <v>31.8</v>
      </c>
      <c r="I3501" s="689">
        <v>30.8</v>
      </c>
      <c r="J3501" s="689">
        <v>29.9</v>
      </c>
      <c r="K3501" s="689">
        <v>31.6</v>
      </c>
    </row>
    <row r="3502" spans="1:11">
      <c r="A3502" s="688" t="s">
        <v>2</v>
      </c>
      <c r="B3502" s="691">
        <v>32.700000000000003</v>
      </c>
      <c r="C3502" s="615">
        <v>33</v>
      </c>
      <c r="D3502" s="691">
        <v>33.1</v>
      </c>
      <c r="E3502" s="691">
        <v>33.200000000000003</v>
      </c>
      <c r="F3502" s="691">
        <v>33.4</v>
      </c>
      <c r="G3502" s="691">
        <v>33.299999999999997</v>
      </c>
      <c r="H3502" s="691">
        <v>33.6</v>
      </c>
      <c r="I3502" s="691">
        <v>33.799999999999997</v>
      </c>
      <c r="J3502" s="691">
        <v>33.6</v>
      </c>
      <c r="K3502" s="691">
        <v>33.5</v>
      </c>
    </row>
    <row r="3503" spans="1:11">
      <c r="A3503" s="688" t="s">
        <v>3</v>
      </c>
      <c r="B3503" s="689">
        <v>33.1</v>
      </c>
      <c r="C3503" s="689">
        <v>33.299999999999997</v>
      </c>
      <c r="D3503" s="693">
        <v>33</v>
      </c>
      <c r="E3503" s="689">
        <v>33.299999999999997</v>
      </c>
      <c r="F3503" s="689">
        <v>33.299999999999997</v>
      </c>
      <c r="G3503" s="689">
        <v>33.299999999999997</v>
      </c>
      <c r="H3503" s="689">
        <v>33.6</v>
      </c>
      <c r="I3503" s="689">
        <v>33.4</v>
      </c>
      <c r="J3503" s="689">
        <v>33.1</v>
      </c>
      <c r="K3503" s="689">
        <v>32.9</v>
      </c>
    </row>
    <row r="3504" spans="1:11">
      <c r="A3504" s="688" t="s">
        <v>4061</v>
      </c>
      <c r="B3504" s="691">
        <v>33.1</v>
      </c>
      <c r="C3504" s="691">
        <v>33.299999999999997</v>
      </c>
      <c r="D3504" s="615">
        <v>33</v>
      </c>
      <c r="E3504" s="691">
        <v>33.299999999999997</v>
      </c>
      <c r="F3504" s="691">
        <v>33.299999999999997</v>
      </c>
      <c r="G3504" s="691">
        <v>33.299999999999997</v>
      </c>
      <c r="H3504" s="691">
        <v>33.6</v>
      </c>
      <c r="I3504" s="691">
        <v>33.4</v>
      </c>
      <c r="J3504" s="691">
        <v>33.1</v>
      </c>
      <c r="K3504" s="691">
        <v>32.9</v>
      </c>
    </row>
    <row r="3505" spans="1:11">
      <c r="A3505" s="688" t="s">
        <v>4</v>
      </c>
      <c r="B3505" s="689">
        <v>30.9</v>
      </c>
      <c r="C3505" s="689">
        <v>30.7</v>
      </c>
      <c r="D3505" s="689">
        <v>31.1</v>
      </c>
      <c r="E3505" s="689">
        <v>31.2</v>
      </c>
      <c r="F3505" s="689">
        <v>31.4</v>
      </c>
      <c r="G3505" s="689">
        <v>31.3</v>
      </c>
      <c r="H3505" s="689">
        <v>31.8</v>
      </c>
      <c r="I3505" s="689">
        <v>31.6</v>
      </c>
      <c r="J3505" s="689">
        <v>30.3</v>
      </c>
      <c r="K3505" s="689">
        <v>31.2</v>
      </c>
    </row>
    <row r="3506" spans="1:11">
      <c r="A3506" s="688" t="s">
        <v>8</v>
      </c>
      <c r="B3506" s="691">
        <v>33.6</v>
      </c>
      <c r="C3506" s="691">
        <v>33.799999999999997</v>
      </c>
      <c r="D3506" s="691">
        <v>33.799999999999997</v>
      </c>
      <c r="E3506" s="691">
        <v>33.9</v>
      </c>
      <c r="F3506" s="691">
        <v>34.299999999999997</v>
      </c>
      <c r="G3506" s="691">
        <v>34.4</v>
      </c>
      <c r="H3506" s="691">
        <v>34.700000000000003</v>
      </c>
      <c r="I3506" s="691">
        <v>34.6</v>
      </c>
      <c r="J3506" s="691">
        <v>34.4</v>
      </c>
      <c r="K3506" s="691">
        <v>34.6</v>
      </c>
    </row>
    <row r="3507" spans="1:11">
      <c r="A3507" s="688" t="s">
        <v>7</v>
      </c>
      <c r="B3507" s="693">
        <v>34</v>
      </c>
      <c r="C3507" s="689">
        <v>33.6</v>
      </c>
      <c r="D3507" s="689">
        <v>33.299999999999997</v>
      </c>
      <c r="E3507" s="689">
        <v>33.6</v>
      </c>
      <c r="F3507" s="689">
        <v>33.5</v>
      </c>
      <c r="G3507" s="693">
        <v>34</v>
      </c>
      <c r="H3507" s="689">
        <v>33.9</v>
      </c>
      <c r="I3507" s="689">
        <v>33.6</v>
      </c>
      <c r="J3507" s="689">
        <v>32.700000000000003</v>
      </c>
      <c r="K3507" s="689">
        <v>33.299999999999997</v>
      </c>
    </row>
    <row r="3508" spans="1:11">
      <c r="A3508" s="688" t="s">
        <v>27</v>
      </c>
      <c r="B3508" s="691">
        <v>35.4</v>
      </c>
      <c r="C3508" s="691">
        <v>35.1</v>
      </c>
      <c r="D3508" s="691">
        <v>34.799999999999997</v>
      </c>
      <c r="E3508" s="691">
        <v>35.200000000000003</v>
      </c>
      <c r="F3508" s="691">
        <v>35.200000000000003</v>
      </c>
      <c r="G3508" s="691">
        <v>35.299999999999997</v>
      </c>
      <c r="H3508" s="691">
        <v>35.6</v>
      </c>
      <c r="I3508" s="691">
        <v>34.4</v>
      </c>
      <c r="J3508" s="691">
        <v>35.200000000000003</v>
      </c>
      <c r="K3508" s="691">
        <v>35.200000000000003</v>
      </c>
    </row>
    <row r="3509" spans="1:11">
      <c r="A3509" s="688" t="s">
        <v>6</v>
      </c>
      <c r="B3509" s="689">
        <v>35.200000000000003</v>
      </c>
      <c r="C3509" s="689">
        <v>35.1</v>
      </c>
      <c r="D3509" s="689">
        <v>34.9</v>
      </c>
      <c r="E3509" s="689">
        <v>35.1</v>
      </c>
      <c r="F3509" s="689">
        <v>35.1</v>
      </c>
      <c r="G3509" s="689">
        <v>35.299999999999997</v>
      </c>
      <c r="H3509" s="689">
        <v>35.4</v>
      </c>
      <c r="I3509" s="689">
        <v>34.799999999999997</v>
      </c>
      <c r="J3509" s="689">
        <v>34.9</v>
      </c>
      <c r="K3509" s="693">
        <v>35</v>
      </c>
    </row>
    <row r="3510" spans="1:11">
      <c r="A3510" s="688" t="s">
        <v>4058</v>
      </c>
      <c r="B3510" s="692" t="s">
        <v>4060</v>
      </c>
      <c r="C3510" s="692" t="s">
        <v>4060</v>
      </c>
      <c r="D3510" s="692" t="s">
        <v>4060</v>
      </c>
      <c r="E3510" s="692" t="s">
        <v>4060</v>
      </c>
      <c r="F3510" s="692" t="s">
        <v>4060</v>
      </c>
      <c r="G3510" s="692" t="s">
        <v>4060</v>
      </c>
      <c r="H3510" s="692" t="s">
        <v>4060</v>
      </c>
      <c r="I3510" s="692" t="s">
        <v>4060</v>
      </c>
      <c r="J3510" s="692" t="s">
        <v>4060</v>
      </c>
      <c r="K3510" s="692" t="s">
        <v>4060</v>
      </c>
    </row>
    <row r="3511" spans="1:11">
      <c r="A3511" s="688" t="s">
        <v>11</v>
      </c>
      <c r="B3511" s="689">
        <v>30.6</v>
      </c>
      <c r="C3511" s="689">
        <v>30.5</v>
      </c>
      <c r="D3511" s="689">
        <v>30.1</v>
      </c>
      <c r="E3511" s="689">
        <v>30.7</v>
      </c>
      <c r="F3511" s="689">
        <v>30.5</v>
      </c>
      <c r="G3511" s="689">
        <v>30.7</v>
      </c>
      <c r="H3511" s="693">
        <v>31</v>
      </c>
      <c r="I3511" s="689">
        <v>30.3</v>
      </c>
      <c r="J3511" s="689">
        <v>29.4</v>
      </c>
      <c r="K3511" s="689">
        <v>30.5</v>
      </c>
    </row>
    <row r="3512" spans="1:11">
      <c r="A3512" s="688" t="s">
        <v>10</v>
      </c>
      <c r="B3512" s="691">
        <v>35.1</v>
      </c>
      <c r="C3512" s="615">
        <v>35</v>
      </c>
      <c r="D3512" s="691">
        <v>34.6</v>
      </c>
      <c r="E3512" s="691">
        <v>35.200000000000003</v>
      </c>
      <c r="F3512" s="615">
        <v>35</v>
      </c>
      <c r="G3512" s="691">
        <v>35.299999999999997</v>
      </c>
      <c r="H3512" s="691">
        <v>35.5</v>
      </c>
      <c r="I3512" s="691">
        <v>34.299999999999997</v>
      </c>
      <c r="J3512" s="691">
        <v>34.799999999999997</v>
      </c>
      <c r="K3512" s="691">
        <v>34.9</v>
      </c>
    </row>
    <row r="3513" spans="1:11">
      <c r="A3513" s="688" t="s">
        <v>30</v>
      </c>
      <c r="B3513" s="689">
        <v>34.6</v>
      </c>
      <c r="C3513" s="689">
        <v>34.4</v>
      </c>
      <c r="D3513" s="689">
        <v>34.200000000000003</v>
      </c>
      <c r="E3513" s="689">
        <v>34.799999999999997</v>
      </c>
      <c r="F3513" s="689">
        <v>34.4</v>
      </c>
      <c r="G3513" s="689">
        <v>35.1</v>
      </c>
      <c r="H3513" s="689">
        <v>34.799999999999997</v>
      </c>
      <c r="I3513" s="689">
        <v>34.799999999999997</v>
      </c>
      <c r="J3513" s="689">
        <v>34.1</v>
      </c>
      <c r="K3513" s="689">
        <v>34.4</v>
      </c>
    </row>
    <row r="3514" spans="1:11">
      <c r="A3514" s="688" t="s">
        <v>12</v>
      </c>
      <c r="B3514" s="691">
        <v>28.6</v>
      </c>
      <c r="C3514" s="691">
        <v>28.7</v>
      </c>
      <c r="D3514" s="691">
        <v>28.9</v>
      </c>
      <c r="E3514" s="615">
        <v>29</v>
      </c>
      <c r="F3514" s="615">
        <v>29</v>
      </c>
      <c r="G3514" s="615">
        <v>29</v>
      </c>
      <c r="H3514" s="691">
        <v>29.5</v>
      </c>
      <c r="I3514" s="691">
        <v>29.3</v>
      </c>
      <c r="J3514" s="691">
        <v>27.2</v>
      </c>
      <c r="K3514" s="691">
        <v>28.6</v>
      </c>
    </row>
    <row r="3515" spans="1:11">
      <c r="A3515" s="688" t="s">
        <v>14</v>
      </c>
      <c r="B3515" s="689">
        <v>28.9</v>
      </c>
      <c r="C3515" s="689">
        <v>29.1</v>
      </c>
      <c r="D3515" s="689">
        <v>28.9</v>
      </c>
      <c r="E3515" s="689">
        <v>29.1</v>
      </c>
      <c r="F3515" s="689">
        <v>29.6</v>
      </c>
      <c r="G3515" s="689">
        <v>29.8</v>
      </c>
      <c r="H3515" s="689">
        <v>30.1</v>
      </c>
      <c r="I3515" s="689">
        <v>28.9</v>
      </c>
      <c r="J3515" s="689">
        <v>28.2</v>
      </c>
      <c r="K3515" s="689">
        <v>29.4</v>
      </c>
    </row>
    <row r="3516" spans="1:11">
      <c r="A3516" s="688" t="s">
        <v>15</v>
      </c>
      <c r="B3516" s="691">
        <v>34.299999999999997</v>
      </c>
      <c r="C3516" s="691">
        <v>34.200000000000003</v>
      </c>
      <c r="D3516" s="691">
        <v>34.200000000000003</v>
      </c>
      <c r="E3516" s="691">
        <v>34.5</v>
      </c>
      <c r="F3516" s="691">
        <v>34.1</v>
      </c>
      <c r="G3516" s="691">
        <v>34.299999999999997</v>
      </c>
      <c r="H3516" s="691">
        <v>34.6</v>
      </c>
      <c r="I3516" s="691">
        <v>34.299999999999997</v>
      </c>
      <c r="J3516" s="691">
        <v>34.6</v>
      </c>
      <c r="K3516" s="615">
        <v>35</v>
      </c>
    </row>
    <row r="3517" spans="1:11">
      <c r="A3517" s="688" t="s">
        <v>29</v>
      </c>
      <c r="B3517" s="689">
        <v>28.8</v>
      </c>
      <c r="C3517" s="689">
        <v>28.8</v>
      </c>
      <c r="D3517" s="689">
        <v>28.5</v>
      </c>
      <c r="E3517" s="689">
        <v>28.9</v>
      </c>
      <c r="F3517" s="689">
        <v>28.7</v>
      </c>
      <c r="G3517" s="689">
        <v>28.8</v>
      </c>
      <c r="H3517" s="693">
        <v>29</v>
      </c>
      <c r="I3517" s="689">
        <v>28.3</v>
      </c>
      <c r="J3517" s="689">
        <v>27.1</v>
      </c>
      <c r="K3517" s="689">
        <v>28.7</v>
      </c>
    </row>
    <row r="3518" spans="1:11">
      <c r="A3518" s="688" t="s">
        <v>16</v>
      </c>
      <c r="B3518" s="691">
        <v>34.299999999999997</v>
      </c>
      <c r="C3518" s="691">
        <v>34.299999999999997</v>
      </c>
      <c r="D3518" s="691">
        <v>34.200000000000003</v>
      </c>
      <c r="E3518" s="691">
        <v>34.799999999999997</v>
      </c>
      <c r="F3518" s="691">
        <v>34.5</v>
      </c>
      <c r="G3518" s="691">
        <v>34.4</v>
      </c>
      <c r="H3518" s="691">
        <v>34.9</v>
      </c>
      <c r="I3518" s="691">
        <v>34.299999999999997</v>
      </c>
      <c r="J3518" s="691">
        <v>34.299999999999997</v>
      </c>
      <c r="K3518" s="691">
        <v>34.5</v>
      </c>
    </row>
    <row r="3519" spans="1:11">
      <c r="A3519" s="688" t="s">
        <v>17</v>
      </c>
      <c r="B3519" s="689">
        <v>33.799999999999997</v>
      </c>
      <c r="C3519" s="693">
        <v>34</v>
      </c>
      <c r="D3519" s="689">
        <v>33.700000000000003</v>
      </c>
      <c r="E3519" s="689">
        <v>33.799999999999997</v>
      </c>
      <c r="F3519" s="693">
        <v>34</v>
      </c>
      <c r="G3519" s="693">
        <v>34</v>
      </c>
      <c r="H3519" s="689">
        <v>34.299999999999997</v>
      </c>
      <c r="I3519" s="689">
        <v>33.700000000000003</v>
      </c>
      <c r="J3519" s="689">
        <v>33.6</v>
      </c>
      <c r="K3519" s="689">
        <v>33.9</v>
      </c>
    </row>
    <row r="3520" spans="1:11">
      <c r="A3520" s="688" t="s">
        <v>19</v>
      </c>
      <c r="B3520" s="691">
        <v>33.700000000000003</v>
      </c>
      <c r="C3520" s="691">
        <v>33.799999999999997</v>
      </c>
      <c r="D3520" s="691">
        <v>33.6</v>
      </c>
      <c r="E3520" s="615">
        <v>34</v>
      </c>
      <c r="F3520" s="615">
        <v>34</v>
      </c>
      <c r="G3520" s="691">
        <v>34.1</v>
      </c>
      <c r="H3520" s="691">
        <v>34.299999999999997</v>
      </c>
      <c r="I3520" s="691">
        <v>33.700000000000003</v>
      </c>
      <c r="J3520" s="691">
        <v>33.700000000000003</v>
      </c>
      <c r="K3520" s="691">
        <v>33.799999999999997</v>
      </c>
    </row>
    <row r="3521" spans="1:11">
      <c r="A3521" s="688" t="s">
        <v>20</v>
      </c>
      <c r="B3521" s="689">
        <v>30.4</v>
      </c>
      <c r="C3521" s="689">
        <v>30.8</v>
      </c>
      <c r="D3521" s="689">
        <v>30.5</v>
      </c>
      <c r="E3521" s="689">
        <v>30.9</v>
      </c>
      <c r="F3521" s="689">
        <v>30.8</v>
      </c>
      <c r="G3521" s="689">
        <v>30.7</v>
      </c>
      <c r="H3521" s="693">
        <v>31</v>
      </c>
      <c r="I3521" s="689">
        <v>29.6</v>
      </c>
      <c r="J3521" s="689">
        <v>28.7</v>
      </c>
      <c r="K3521" s="689">
        <v>30.4</v>
      </c>
    </row>
    <row r="3522" spans="1:11">
      <c r="A3522" s="688" t="s">
        <v>21</v>
      </c>
      <c r="B3522" s="691">
        <v>33.6</v>
      </c>
      <c r="C3522" s="691">
        <v>33.9</v>
      </c>
      <c r="D3522" s="691">
        <v>33.9</v>
      </c>
      <c r="E3522" s="691">
        <v>33.799999999999997</v>
      </c>
      <c r="F3522" s="691">
        <v>34.1</v>
      </c>
      <c r="G3522" s="691">
        <v>34.1</v>
      </c>
      <c r="H3522" s="691">
        <v>34.4</v>
      </c>
      <c r="I3522" s="691">
        <v>33.799999999999997</v>
      </c>
      <c r="J3522" s="691">
        <v>33.799999999999997</v>
      </c>
      <c r="K3522" s="691">
        <v>34.200000000000003</v>
      </c>
    </row>
    <row r="3523" spans="1:11">
      <c r="A3523" s="688" t="s">
        <v>22</v>
      </c>
      <c r="B3523" s="689">
        <v>28.9</v>
      </c>
      <c r="C3523" s="689">
        <v>28.6</v>
      </c>
      <c r="D3523" s="689">
        <v>28.6</v>
      </c>
      <c r="E3523" s="689">
        <v>28.8</v>
      </c>
      <c r="F3523" s="689">
        <v>28.8</v>
      </c>
      <c r="G3523" s="689">
        <v>28.8</v>
      </c>
      <c r="H3523" s="693">
        <v>29</v>
      </c>
      <c r="I3523" s="689">
        <v>27.6</v>
      </c>
      <c r="J3523" s="689">
        <v>26.3</v>
      </c>
      <c r="K3523" s="689">
        <v>28.5</v>
      </c>
    </row>
    <row r="3524" spans="1:11">
      <c r="A3524" s="688" t="s">
        <v>26</v>
      </c>
      <c r="B3524" s="615">
        <v>33</v>
      </c>
      <c r="C3524" s="691">
        <v>33.200000000000003</v>
      </c>
      <c r="D3524" s="615">
        <v>33</v>
      </c>
      <c r="E3524" s="691">
        <v>33.299999999999997</v>
      </c>
      <c r="F3524" s="691">
        <v>33.200000000000003</v>
      </c>
      <c r="G3524" s="691">
        <v>33.5</v>
      </c>
      <c r="H3524" s="691">
        <v>33.700000000000003</v>
      </c>
      <c r="I3524" s="691">
        <v>32.799999999999997</v>
      </c>
      <c r="J3524" s="691">
        <v>32.9</v>
      </c>
      <c r="K3524" s="691">
        <v>33.5</v>
      </c>
    </row>
    <row r="3525" spans="1:11">
      <c r="A3525" s="688" t="s">
        <v>25</v>
      </c>
      <c r="B3525" s="689">
        <v>29.7</v>
      </c>
      <c r="C3525" s="689">
        <v>30.1</v>
      </c>
      <c r="D3525" s="689">
        <v>29.8</v>
      </c>
      <c r="E3525" s="689">
        <v>30.3</v>
      </c>
      <c r="F3525" s="689">
        <v>30.2</v>
      </c>
      <c r="G3525" s="689">
        <v>30.4</v>
      </c>
      <c r="H3525" s="689">
        <v>30.8</v>
      </c>
      <c r="I3525" s="693">
        <v>30</v>
      </c>
      <c r="J3525" s="689">
        <v>27.8</v>
      </c>
      <c r="K3525" s="689">
        <v>30.1</v>
      </c>
    </row>
    <row r="3526" spans="1:11">
      <c r="A3526" s="688" t="s">
        <v>5</v>
      </c>
      <c r="B3526" s="691">
        <v>33.799999999999997</v>
      </c>
      <c r="C3526" s="691">
        <v>33.700000000000003</v>
      </c>
      <c r="D3526" s="691">
        <v>33.799999999999997</v>
      </c>
      <c r="E3526" s="691">
        <v>33.799999999999997</v>
      </c>
      <c r="F3526" s="691">
        <v>34.1</v>
      </c>
      <c r="G3526" s="691">
        <v>34.200000000000003</v>
      </c>
      <c r="H3526" s="691">
        <v>34.5</v>
      </c>
      <c r="I3526" s="691">
        <v>34.4</v>
      </c>
      <c r="J3526" s="691">
        <v>34.299999999999997</v>
      </c>
      <c r="K3526" s="691">
        <v>33.700000000000003</v>
      </c>
    </row>
    <row r="3527" spans="1:11">
      <c r="A3527" s="688" t="s">
        <v>23</v>
      </c>
      <c r="B3527" s="689">
        <v>34.299999999999997</v>
      </c>
      <c r="C3527" s="689">
        <v>34.5</v>
      </c>
      <c r="D3527" s="689">
        <v>34.5</v>
      </c>
      <c r="E3527" s="689">
        <v>34.6</v>
      </c>
      <c r="F3527" s="689">
        <v>34.700000000000003</v>
      </c>
      <c r="G3527" s="689">
        <v>34.799999999999997</v>
      </c>
      <c r="H3527" s="689">
        <v>35.299999999999997</v>
      </c>
      <c r="I3527" s="689">
        <v>34.6</v>
      </c>
      <c r="J3527" s="689">
        <v>35.200000000000003</v>
      </c>
      <c r="K3527" s="689">
        <v>35.200000000000003</v>
      </c>
    </row>
    <row r="3528" spans="1:11">
      <c r="A3528" s="688" t="s">
        <v>4067</v>
      </c>
      <c r="B3528" s="691">
        <v>33.200000000000003</v>
      </c>
      <c r="C3528" s="691">
        <v>33.6</v>
      </c>
      <c r="D3528" s="691">
        <v>33.200000000000003</v>
      </c>
      <c r="E3528" s="691">
        <v>33.6</v>
      </c>
      <c r="F3528" s="691">
        <v>33.6</v>
      </c>
      <c r="G3528" s="691">
        <v>33.6</v>
      </c>
      <c r="H3528" s="692" t="s">
        <v>4060</v>
      </c>
      <c r="I3528" s="692" t="s">
        <v>4060</v>
      </c>
      <c r="J3528" s="692" t="s">
        <v>4060</v>
      </c>
      <c r="K3528" s="692" t="s">
        <v>4060</v>
      </c>
    </row>
    <row r="3529" spans="1:11">
      <c r="A3529" s="688" t="s">
        <v>4066</v>
      </c>
      <c r="B3529" s="689">
        <v>33.299999999999997</v>
      </c>
      <c r="C3529" s="689">
        <v>33.6</v>
      </c>
      <c r="D3529" s="689">
        <v>33.299999999999997</v>
      </c>
      <c r="E3529" s="689">
        <v>33.6</v>
      </c>
      <c r="F3529" s="689">
        <v>33.6</v>
      </c>
      <c r="G3529" s="689">
        <v>33.700000000000003</v>
      </c>
      <c r="H3529" s="690" t="s">
        <v>4060</v>
      </c>
      <c r="I3529" s="690" t="s">
        <v>4060</v>
      </c>
      <c r="J3529" s="690" t="s">
        <v>4060</v>
      </c>
      <c r="K3529" s="690" t="s">
        <v>4060</v>
      </c>
    </row>
    <row r="3530" spans="1:11">
      <c r="A3530" s="688" t="s">
        <v>4062</v>
      </c>
      <c r="B3530" s="691">
        <v>34.799999999999997</v>
      </c>
      <c r="C3530" s="615">
        <v>35</v>
      </c>
      <c r="D3530" s="691">
        <v>34.9</v>
      </c>
      <c r="E3530" s="691">
        <v>35.299999999999997</v>
      </c>
      <c r="F3530" s="691">
        <v>35.299999999999997</v>
      </c>
      <c r="G3530" s="691">
        <v>35.5</v>
      </c>
      <c r="H3530" s="691">
        <v>35.6</v>
      </c>
      <c r="I3530" s="691">
        <v>35.299999999999997</v>
      </c>
      <c r="J3530" s="691">
        <v>35.6</v>
      </c>
      <c r="K3530" s="691">
        <v>35.4</v>
      </c>
    </row>
    <row r="3531" spans="1:11">
      <c r="A3531" s="688" t="s">
        <v>9</v>
      </c>
      <c r="B3531" s="689">
        <v>34.4</v>
      </c>
      <c r="C3531" s="689">
        <v>34.799999999999997</v>
      </c>
      <c r="D3531" s="689">
        <v>34.700000000000003</v>
      </c>
      <c r="E3531" s="689">
        <v>34.299999999999997</v>
      </c>
      <c r="F3531" s="689">
        <v>34.799999999999997</v>
      </c>
      <c r="G3531" s="689">
        <v>35.1</v>
      </c>
      <c r="H3531" s="689">
        <v>35.200000000000003</v>
      </c>
      <c r="I3531" s="689">
        <v>35.299999999999997</v>
      </c>
      <c r="J3531" s="689">
        <v>35.5</v>
      </c>
      <c r="K3531" s="689">
        <v>34.5</v>
      </c>
    </row>
    <row r="3532" spans="1:11">
      <c r="A3532" s="688" t="s">
        <v>13</v>
      </c>
      <c r="B3532" s="691">
        <v>34.9</v>
      </c>
      <c r="C3532" s="691">
        <v>34.299999999999997</v>
      </c>
      <c r="D3532" s="691">
        <v>34.9</v>
      </c>
      <c r="E3532" s="691">
        <v>34.299999999999997</v>
      </c>
      <c r="F3532" s="691">
        <v>35.6</v>
      </c>
      <c r="G3532" s="691">
        <v>35.299999999999997</v>
      </c>
      <c r="H3532" s="691">
        <v>35.6</v>
      </c>
      <c r="I3532" s="691">
        <v>34.5</v>
      </c>
      <c r="J3532" s="691">
        <v>35.700000000000003</v>
      </c>
      <c r="K3532" s="615">
        <v>36</v>
      </c>
    </row>
    <row r="3533" spans="1:11">
      <c r="A3533" s="688" t="s">
        <v>18</v>
      </c>
      <c r="B3533" s="689">
        <v>34.1</v>
      </c>
      <c r="C3533" s="689">
        <v>34.4</v>
      </c>
      <c r="D3533" s="689">
        <v>34.5</v>
      </c>
      <c r="E3533" s="689">
        <v>34.700000000000003</v>
      </c>
      <c r="F3533" s="689">
        <v>34.799999999999997</v>
      </c>
      <c r="G3533" s="693">
        <v>35</v>
      </c>
      <c r="H3533" s="689">
        <v>35.200000000000003</v>
      </c>
      <c r="I3533" s="689">
        <v>35.4</v>
      </c>
      <c r="J3533" s="689">
        <v>35.299999999999997</v>
      </c>
      <c r="K3533" s="689">
        <v>34.799999999999997</v>
      </c>
    </row>
    <row r="3534" spans="1:11">
      <c r="A3534" s="688" t="s">
        <v>24</v>
      </c>
      <c r="B3534" s="691">
        <v>35.299999999999997</v>
      </c>
      <c r="C3534" s="691">
        <v>35.4</v>
      </c>
      <c r="D3534" s="691">
        <v>35.1</v>
      </c>
      <c r="E3534" s="691">
        <v>35.6</v>
      </c>
      <c r="F3534" s="691">
        <v>35.6</v>
      </c>
      <c r="G3534" s="691">
        <v>35.799999999999997</v>
      </c>
      <c r="H3534" s="691">
        <v>35.9</v>
      </c>
      <c r="I3534" s="691">
        <v>35.299999999999997</v>
      </c>
      <c r="J3534" s="691">
        <v>35.799999999999997</v>
      </c>
      <c r="K3534" s="691">
        <v>35.700000000000003</v>
      </c>
    </row>
    <row r="3535" spans="1:11">
      <c r="A3535" s="688" t="s">
        <v>4059</v>
      </c>
      <c r="B3535" s="689">
        <v>33.700000000000003</v>
      </c>
      <c r="C3535" s="693">
        <v>34</v>
      </c>
      <c r="D3535" s="689">
        <v>33.700000000000003</v>
      </c>
      <c r="E3535" s="689">
        <v>33.9</v>
      </c>
      <c r="F3535" s="693">
        <v>34</v>
      </c>
      <c r="G3535" s="693">
        <v>34</v>
      </c>
      <c r="H3535" s="690" t="s">
        <v>4060</v>
      </c>
      <c r="I3535" s="690" t="s">
        <v>4060</v>
      </c>
      <c r="J3535" s="690" t="s">
        <v>4060</v>
      </c>
      <c r="K3535" s="690" t="s">
        <v>4060</v>
      </c>
    </row>
    <row r="3536" spans="1:11">
      <c r="A3536" s="688" t="s">
        <v>2324</v>
      </c>
      <c r="B3536" s="691">
        <v>29.4</v>
      </c>
      <c r="C3536" s="691">
        <v>29.5</v>
      </c>
      <c r="D3536" s="691">
        <v>29.1</v>
      </c>
      <c r="E3536" s="691">
        <v>29.2</v>
      </c>
      <c r="F3536" s="691">
        <v>29.5</v>
      </c>
      <c r="G3536" s="691">
        <v>29.6</v>
      </c>
      <c r="H3536" s="691">
        <v>29.6</v>
      </c>
      <c r="I3536" s="691">
        <v>28.6</v>
      </c>
      <c r="J3536" s="691">
        <v>26.6</v>
      </c>
      <c r="K3536" s="692" t="s">
        <v>4060</v>
      </c>
    </row>
    <row r="3537" spans="1:11">
      <c r="A3537" s="688" t="s">
        <v>2322</v>
      </c>
      <c r="B3537" s="690" t="s">
        <v>4060</v>
      </c>
      <c r="C3537" s="690" t="s">
        <v>4060</v>
      </c>
      <c r="D3537" s="690" t="s">
        <v>4060</v>
      </c>
      <c r="E3537" s="690" t="s">
        <v>4060</v>
      </c>
      <c r="F3537" s="690" t="s">
        <v>4060</v>
      </c>
      <c r="G3537" s="690" t="s">
        <v>4060</v>
      </c>
      <c r="H3537" s="690" t="s">
        <v>4060</v>
      </c>
      <c r="I3537" s="690" t="s">
        <v>4060</v>
      </c>
      <c r="J3537" s="690" t="s">
        <v>4060</v>
      </c>
      <c r="K3537" s="690" t="s">
        <v>4060</v>
      </c>
    </row>
    <row r="3538" spans="1:11">
      <c r="A3538" s="688" t="s">
        <v>2328</v>
      </c>
      <c r="B3538" s="691">
        <v>28.7</v>
      </c>
      <c r="C3538" s="691">
        <v>28.6</v>
      </c>
      <c r="D3538" s="691">
        <v>28.5</v>
      </c>
      <c r="E3538" s="691">
        <v>28.8</v>
      </c>
      <c r="F3538" s="615">
        <v>29</v>
      </c>
      <c r="G3538" s="691">
        <v>29.4</v>
      </c>
      <c r="H3538" s="691">
        <v>29.3</v>
      </c>
      <c r="I3538" s="691">
        <v>27.2</v>
      </c>
      <c r="J3538" s="691">
        <v>26.3</v>
      </c>
      <c r="K3538" s="692" t="s">
        <v>4060</v>
      </c>
    </row>
    <row r="3539" spans="1:11">
      <c r="A3539" s="688" t="s">
        <v>2496</v>
      </c>
      <c r="B3539" s="690" t="s">
        <v>4060</v>
      </c>
      <c r="C3539" s="689">
        <v>28.4</v>
      </c>
      <c r="D3539" s="689">
        <v>27.4</v>
      </c>
      <c r="E3539" s="689">
        <v>27.2</v>
      </c>
      <c r="F3539" s="689">
        <v>27.8</v>
      </c>
      <c r="G3539" s="689">
        <v>28.1</v>
      </c>
      <c r="H3539" s="689">
        <v>28.1</v>
      </c>
      <c r="I3539" s="690" t="s">
        <v>4060</v>
      </c>
      <c r="J3539" s="690" t="s">
        <v>4060</v>
      </c>
      <c r="K3539" s="689">
        <v>27.7</v>
      </c>
    </row>
    <row r="3540" spans="1:11">
      <c r="A3540" s="688" t="s">
        <v>2269</v>
      </c>
      <c r="B3540" s="691">
        <v>31.5</v>
      </c>
      <c r="C3540" s="691">
        <v>31.6</v>
      </c>
      <c r="D3540" s="691">
        <v>31.1</v>
      </c>
      <c r="E3540" s="691">
        <v>31.7</v>
      </c>
      <c r="F3540" s="691">
        <v>31.6</v>
      </c>
      <c r="G3540" s="615">
        <v>32</v>
      </c>
      <c r="H3540" s="691">
        <v>32.200000000000003</v>
      </c>
      <c r="I3540" s="691">
        <v>30.5</v>
      </c>
      <c r="J3540" s="691">
        <v>28.6</v>
      </c>
      <c r="K3540" s="691">
        <v>31.9</v>
      </c>
    </row>
    <row r="3541" spans="1:11">
      <c r="A3541" s="688" t="s">
        <v>2349</v>
      </c>
      <c r="B3541" s="689">
        <v>28.4</v>
      </c>
      <c r="C3541" s="689">
        <v>28.5</v>
      </c>
      <c r="D3541" s="689">
        <v>28.4</v>
      </c>
      <c r="E3541" s="689">
        <v>28.7</v>
      </c>
      <c r="F3541" s="689">
        <v>28.6</v>
      </c>
      <c r="G3541" s="689">
        <v>28.9</v>
      </c>
      <c r="H3541" s="689">
        <v>28.9</v>
      </c>
      <c r="I3541" s="689">
        <v>27.5</v>
      </c>
      <c r="J3541" s="693">
        <v>26</v>
      </c>
      <c r="K3541" s="689">
        <v>28.2</v>
      </c>
    </row>
    <row r="3542" spans="1:11">
      <c r="A3542" s="688" t="s">
        <v>2355</v>
      </c>
      <c r="B3542" s="691">
        <v>31.8</v>
      </c>
      <c r="C3542" s="691">
        <v>31.7</v>
      </c>
      <c r="D3542" s="691">
        <v>31.6</v>
      </c>
      <c r="E3542" s="691">
        <v>31.6</v>
      </c>
      <c r="F3542" s="691">
        <v>31.8</v>
      </c>
      <c r="G3542" s="691">
        <v>32.1</v>
      </c>
      <c r="H3542" s="691">
        <v>32.200000000000003</v>
      </c>
      <c r="I3542" s="692" t="s">
        <v>4060</v>
      </c>
      <c r="J3542" s="692" t="s">
        <v>4060</v>
      </c>
      <c r="K3542" s="692" t="s">
        <v>4060</v>
      </c>
    </row>
    <row r="3543" spans="1:11">
      <c r="A3543" s="688" t="s">
        <v>2357</v>
      </c>
      <c r="B3543" s="690" t="s">
        <v>4060</v>
      </c>
      <c r="C3543" s="689">
        <v>27.2</v>
      </c>
      <c r="D3543" s="689">
        <v>27.6</v>
      </c>
      <c r="E3543" s="689">
        <v>27.9</v>
      </c>
      <c r="F3543" s="689">
        <v>28.1</v>
      </c>
      <c r="G3543" s="693">
        <v>28</v>
      </c>
      <c r="H3543" s="689">
        <v>28.2</v>
      </c>
      <c r="I3543" s="690" t="s">
        <v>4060</v>
      </c>
      <c r="J3543" s="690" t="s">
        <v>4060</v>
      </c>
      <c r="K3543" s="690" t="s">
        <v>4060</v>
      </c>
    </row>
    <row r="3544" spans="1:11">
      <c r="A3544" s="688" t="s">
        <v>4070</v>
      </c>
      <c r="B3544" s="692" t="s">
        <v>4060</v>
      </c>
      <c r="C3544" s="692" t="s">
        <v>4060</v>
      </c>
      <c r="D3544" s="692" t="s">
        <v>4060</v>
      </c>
      <c r="E3544" s="691">
        <v>31.2</v>
      </c>
      <c r="F3544" s="692" t="s">
        <v>4060</v>
      </c>
      <c r="G3544" s="692" t="s">
        <v>4060</v>
      </c>
      <c r="H3544" s="692" t="s">
        <v>4060</v>
      </c>
      <c r="I3544" s="692" t="s">
        <v>4060</v>
      </c>
      <c r="J3544" s="692" t="s">
        <v>4060</v>
      </c>
      <c r="K3544" s="692" t="s">
        <v>4060</v>
      </c>
    </row>
    <row r="3545" spans="1:11">
      <c r="A3545" s="688" t="s">
        <v>2491</v>
      </c>
      <c r="B3545" s="689">
        <v>27.2</v>
      </c>
      <c r="C3545" s="689">
        <v>27.7</v>
      </c>
      <c r="D3545" s="689">
        <v>27.9</v>
      </c>
      <c r="E3545" s="689">
        <v>28.1</v>
      </c>
      <c r="F3545" s="689">
        <v>28.2</v>
      </c>
      <c r="G3545" s="689">
        <v>28.2</v>
      </c>
      <c r="H3545" s="690" t="s">
        <v>4060</v>
      </c>
      <c r="I3545" s="690" t="s">
        <v>4060</v>
      </c>
      <c r="J3545" s="690" t="s">
        <v>4060</v>
      </c>
      <c r="K3545" s="690" t="s">
        <v>4060</v>
      </c>
    </row>
    <row r="3546" spans="1:11">
      <c r="A3546" s="688" t="s">
        <v>2343</v>
      </c>
      <c r="B3546" s="692" t="s">
        <v>4060</v>
      </c>
      <c r="C3546" s="692" t="s">
        <v>4060</v>
      </c>
      <c r="D3546" s="692" t="s">
        <v>4060</v>
      </c>
      <c r="E3546" s="692" t="s">
        <v>4060</v>
      </c>
      <c r="F3546" s="692" t="s">
        <v>4060</v>
      </c>
      <c r="G3546" s="692" t="s">
        <v>4060</v>
      </c>
      <c r="H3546" s="692" t="s">
        <v>4060</v>
      </c>
      <c r="I3546" s="692" t="s">
        <v>4060</v>
      </c>
      <c r="J3546" s="692" t="s">
        <v>4060</v>
      </c>
      <c r="K3546" s="692" t="s">
        <v>4060</v>
      </c>
    </row>
    <row r="3547" spans="1:11">
      <c r="A3547" s="688" t="s">
        <v>4071</v>
      </c>
      <c r="B3547" s="690" t="s">
        <v>4060</v>
      </c>
      <c r="C3547" s="690" t="s">
        <v>4060</v>
      </c>
      <c r="D3547" s="690" t="s">
        <v>4060</v>
      </c>
      <c r="E3547" s="690" t="s">
        <v>4060</v>
      </c>
      <c r="F3547" s="690" t="s">
        <v>4060</v>
      </c>
      <c r="G3547" s="690" t="s">
        <v>4060</v>
      </c>
      <c r="H3547" s="690" t="s">
        <v>4060</v>
      </c>
      <c r="I3547" s="690" t="s">
        <v>4060</v>
      </c>
      <c r="J3547" s="690" t="s">
        <v>4060</v>
      </c>
      <c r="K3547" s="690" t="s">
        <v>4060</v>
      </c>
    </row>
    <row r="3548" spans="1:11">
      <c r="A3548" s="688" t="s">
        <v>2489</v>
      </c>
      <c r="B3548" s="692" t="s">
        <v>4060</v>
      </c>
      <c r="C3548" s="692" t="s">
        <v>4060</v>
      </c>
      <c r="D3548" s="691">
        <v>28.7</v>
      </c>
      <c r="E3548" s="691">
        <v>28.7</v>
      </c>
      <c r="F3548" s="691">
        <v>29.1</v>
      </c>
      <c r="G3548" s="691">
        <v>29.9</v>
      </c>
      <c r="H3548" s="691">
        <v>29.8</v>
      </c>
      <c r="I3548" s="692" t="s">
        <v>4060</v>
      </c>
      <c r="J3548" s="692" t="s">
        <v>4060</v>
      </c>
      <c r="K3548" s="692" t="s">
        <v>4060</v>
      </c>
    </row>
    <row r="3549" spans="1:11">
      <c r="A3549" s="688" t="s">
        <v>2490</v>
      </c>
      <c r="B3549" s="689">
        <v>28.6</v>
      </c>
      <c r="C3549" s="689">
        <v>28.6</v>
      </c>
      <c r="D3549" s="689">
        <v>29.2</v>
      </c>
      <c r="E3549" s="690" t="s">
        <v>4060</v>
      </c>
      <c r="F3549" s="689">
        <v>29.4</v>
      </c>
      <c r="G3549" s="689">
        <v>29.6</v>
      </c>
      <c r="H3549" s="689">
        <v>30.5</v>
      </c>
      <c r="I3549" s="690" t="s">
        <v>4060</v>
      </c>
      <c r="J3549" s="690" t="s">
        <v>4060</v>
      </c>
      <c r="K3549" s="690" t="s">
        <v>4060</v>
      </c>
    </row>
    <row r="3551" spans="1:11">
      <c r="A3551" s="683" t="s">
        <v>4233</v>
      </c>
    </row>
    <row r="3552" spans="1:11">
      <c r="A3552" s="683" t="s">
        <v>4060</v>
      </c>
      <c r="B3552" s="682" t="s">
        <v>4234</v>
      </c>
    </row>
    <row r="3554" spans="1:11">
      <c r="A3554" s="682" t="s">
        <v>4248</v>
      </c>
    </row>
    <row r="3555" spans="1:11">
      <c r="A3555" s="682" t="s">
        <v>4210</v>
      </c>
      <c r="B3555" s="683" t="s">
        <v>4211</v>
      </c>
    </row>
    <row r="3556" spans="1:11">
      <c r="A3556" s="682" t="s">
        <v>4212</v>
      </c>
      <c r="B3556" s="682" t="s">
        <v>4213</v>
      </c>
    </row>
    <row r="3558" spans="1:11">
      <c r="A3558" s="683" t="s">
        <v>4214</v>
      </c>
      <c r="C3558" s="682" t="s">
        <v>4215</v>
      </c>
    </row>
    <row r="3559" spans="1:11">
      <c r="A3559" s="683" t="s">
        <v>4216</v>
      </c>
      <c r="C3559" s="682" t="s">
        <v>2967</v>
      </c>
    </row>
    <row r="3560" spans="1:11">
      <c r="A3560" s="683" t="s">
        <v>3893</v>
      </c>
      <c r="C3560" s="682" t="s">
        <v>4217</v>
      </c>
    </row>
    <row r="3561" spans="1:11">
      <c r="A3561" s="683" t="s">
        <v>4218</v>
      </c>
      <c r="C3561" s="682" t="s">
        <v>4285</v>
      </c>
    </row>
    <row r="3563" spans="1:11">
      <c r="A3563" s="684" t="s">
        <v>4220</v>
      </c>
      <c r="B3563" s="685" t="s">
        <v>4221</v>
      </c>
      <c r="C3563" s="685" t="s">
        <v>4222</v>
      </c>
      <c r="D3563" s="685" t="s">
        <v>4223</v>
      </c>
      <c r="E3563" s="685" t="s">
        <v>4224</v>
      </c>
      <c r="F3563" s="685" t="s">
        <v>4225</v>
      </c>
      <c r="G3563" s="685" t="s">
        <v>4226</v>
      </c>
      <c r="H3563" s="685" t="s">
        <v>4227</v>
      </c>
      <c r="I3563" s="685" t="s">
        <v>4228</v>
      </c>
      <c r="J3563" s="685" t="s">
        <v>4229</v>
      </c>
      <c r="K3563" s="685" t="s">
        <v>4230</v>
      </c>
    </row>
    <row r="3564" spans="1:11">
      <c r="A3564" s="686" t="s">
        <v>4231</v>
      </c>
      <c r="B3564" s="687" t="s">
        <v>4232</v>
      </c>
      <c r="C3564" s="687" t="s">
        <v>4232</v>
      </c>
      <c r="D3564" s="687" t="s">
        <v>4232</v>
      </c>
      <c r="E3564" s="687" t="s">
        <v>4232</v>
      </c>
      <c r="F3564" s="687" t="s">
        <v>4232</v>
      </c>
      <c r="G3564" s="687" t="s">
        <v>4232</v>
      </c>
      <c r="H3564" s="687" t="s">
        <v>4232</v>
      </c>
      <c r="I3564" s="687" t="s">
        <v>4232</v>
      </c>
      <c r="J3564" s="687" t="s">
        <v>4232</v>
      </c>
      <c r="K3564" s="687" t="s">
        <v>4232</v>
      </c>
    </row>
    <row r="3565" spans="1:11">
      <c r="A3565" s="688" t="s">
        <v>4064</v>
      </c>
      <c r="B3565" s="689">
        <v>32.200000000000003</v>
      </c>
      <c r="C3565" s="689">
        <v>32.299999999999997</v>
      </c>
      <c r="D3565" s="689">
        <v>32.299999999999997</v>
      </c>
      <c r="E3565" s="689">
        <v>32.4</v>
      </c>
      <c r="F3565" s="689">
        <v>32.4</v>
      </c>
      <c r="G3565" s="689">
        <v>32.5</v>
      </c>
      <c r="H3565" s="689">
        <v>32.700000000000003</v>
      </c>
      <c r="I3565" s="689">
        <v>31.9</v>
      </c>
      <c r="J3565" s="689">
        <v>31.7</v>
      </c>
      <c r="K3565" s="689">
        <v>32.200000000000003</v>
      </c>
    </row>
    <row r="3566" spans="1:11">
      <c r="A3566" s="688" t="s">
        <v>4065</v>
      </c>
      <c r="B3566" s="691">
        <v>32.299999999999997</v>
      </c>
      <c r="C3566" s="691">
        <v>32.700000000000003</v>
      </c>
      <c r="D3566" s="691">
        <v>32.299999999999997</v>
      </c>
      <c r="E3566" s="691">
        <v>32.700000000000003</v>
      </c>
      <c r="F3566" s="691">
        <v>32.6</v>
      </c>
      <c r="G3566" s="691">
        <v>32.700000000000003</v>
      </c>
      <c r="H3566" s="692" t="s">
        <v>4060</v>
      </c>
      <c r="I3566" s="692" t="s">
        <v>4060</v>
      </c>
      <c r="J3566" s="692" t="s">
        <v>4060</v>
      </c>
      <c r="K3566" s="692" t="s">
        <v>4060</v>
      </c>
    </row>
    <row r="3567" spans="1:11">
      <c r="A3567" s="688" t="s">
        <v>4063</v>
      </c>
      <c r="B3567" s="689">
        <v>32.299999999999997</v>
      </c>
      <c r="C3567" s="689">
        <v>32.700000000000003</v>
      </c>
      <c r="D3567" s="689">
        <v>32.4</v>
      </c>
      <c r="E3567" s="689">
        <v>32.700000000000003</v>
      </c>
      <c r="F3567" s="689">
        <v>32.700000000000003</v>
      </c>
      <c r="G3567" s="689">
        <v>32.700000000000003</v>
      </c>
      <c r="H3567" s="690" t="s">
        <v>4060</v>
      </c>
      <c r="I3567" s="690" t="s">
        <v>4060</v>
      </c>
      <c r="J3567" s="690" t="s">
        <v>4060</v>
      </c>
      <c r="K3567" s="690" t="s">
        <v>4060</v>
      </c>
    </row>
    <row r="3568" spans="1:11">
      <c r="A3568" s="688" t="s">
        <v>4069</v>
      </c>
      <c r="B3568" s="692" t="s">
        <v>4060</v>
      </c>
      <c r="C3568" s="691">
        <v>33.200000000000003</v>
      </c>
      <c r="D3568" s="691">
        <v>32.9</v>
      </c>
      <c r="E3568" s="691">
        <v>33.200000000000003</v>
      </c>
      <c r="F3568" s="691">
        <v>33.200000000000003</v>
      </c>
      <c r="G3568" s="691">
        <v>33.299999999999997</v>
      </c>
      <c r="H3568" s="691">
        <v>33.6</v>
      </c>
      <c r="I3568" s="691">
        <v>32.9</v>
      </c>
      <c r="J3568" s="691">
        <v>32.9</v>
      </c>
      <c r="K3568" s="691">
        <v>33.1</v>
      </c>
    </row>
    <row r="3569" spans="1:11">
      <c r="A3569" s="688" t="s">
        <v>4068</v>
      </c>
      <c r="B3569" s="689">
        <v>33.200000000000003</v>
      </c>
      <c r="C3569" s="690" t="s">
        <v>4060</v>
      </c>
      <c r="D3569" s="690" t="s">
        <v>4060</v>
      </c>
      <c r="E3569" s="690" t="s">
        <v>4060</v>
      </c>
      <c r="F3569" s="690" t="s">
        <v>4060</v>
      </c>
      <c r="G3569" s="690" t="s">
        <v>4060</v>
      </c>
      <c r="H3569" s="690" t="s">
        <v>4060</v>
      </c>
      <c r="I3569" s="690" t="s">
        <v>4060</v>
      </c>
      <c r="J3569" s="690" t="s">
        <v>4060</v>
      </c>
      <c r="K3569" s="690" t="s">
        <v>4060</v>
      </c>
    </row>
    <row r="3570" spans="1:11">
      <c r="A3570" s="688" t="s">
        <v>0</v>
      </c>
      <c r="B3570" s="691">
        <v>32.4</v>
      </c>
      <c r="C3570" s="691">
        <v>32.799999999999997</v>
      </c>
      <c r="D3570" s="691">
        <v>32.5</v>
      </c>
      <c r="E3570" s="691">
        <v>32.9</v>
      </c>
      <c r="F3570" s="615">
        <v>33</v>
      </c>
      <c r="G3570" s="691">
        <v>33.1</v>
      </c>
      <c r="H3570" s="691">
        <v>33.4</v>
      </c>
      <c r="I3570" s="691">
        <v>32.299999999999997</v>
      </c>
      <c r="J3570" s="691">
        <v>33.200000000000003</v>
      </c>
      <c r="K3570" s="691">
        <v>33.200000000000003</v>
      </c>
    </row>
    <row r="3571" spans="1:11">
      <c r="A3571" s="688" t="s">
        <v>1</v>
      </c>
      <c r="B3571" s="689">
        <v>27.8</v>
      </c>
      <c r="C3571" s="689">
        <v>27.4</v>
      </c>
      <c r="D3571" s="689">
        <v>27.4</v>
      </c>
      <c r="E3571" s="689">
        <v>27.6</v>
      </c>
      <c r="F3571" s="689">
        <v>27.5</v>
      </c>
      <c r="G3571" s="689">
        <v>27.6</v>
      </c>
      <c r="H3571" s="689">
        <v>27.7</v>
      </c>
      <c r="I3571" s="689">
        <v>26.2</v>
      </c>
      <c r="J3571" s="689">
        <v>24.4</v>
      </c>
      <c r="K3571" s="689">
        <v>26.8</v>
      </c>
    </row>
    <row r="3572" spans="1:11">
      <c r="A3572" s="688" t="s">
        <v>2240</v>
      </c>
      <c r="B3572" s="615">
        <v>30</v>
      </c>
      <c r="C3572" s="691">
        <v>30.4</v>
      </c>
      <c r="D3572" s="691">
        <v>30.2</v>
      </c>
      <c r="E3572" s="691">
        <v>30.7</v>
      </c>
      <c r="F3572" s="691">
        <v>30.6</v>
      </c>
      <c r="G3572" s="691">
        <v>30.7</v>
      </c>
      <c r="H3572" s="691">
        <v>30.9</v>
      </c>
      <c r="I3572" s="691">
        <v>29.9</v>
      </c>
      <c r="J3572" s="691">
        <v>28.9</v>
      </c>
      <c r="K3572" s="691">
        <v>30.7</v>
      </c>
    </row>
    <row r="3573" spans="1:11">
      <c r="A3573" s="688" t="s">
        <v>2</v>
      </c>
      <c r="B3573" s="689">
        <v>31.8</v>
      </c>
      <c r="C3573" s="689">
        <v>32.1</v>
      </c>
      <c r="D3573" s="689">
        <v>32.1</v>
      </c>
      <c r="E3573" s="689">
        <v>32.299999999999997</v>
      </c>
      <c r="F3573" s="689">
        <v>32.5</v>
      </c>
      <c r="G3573" s="689">
        <v>32.299999999999997</v>
      </c>
      <c r="H3573" s="689">
        <v>32.700000000000003</v>
      </c>
      <c r="I3573" s="689">
        <v>32.9</v>
      </c>
      <c r="J3573" s="689">
        <v>32.700000000000003</v>
      </c>
      <c r="K3573" s="689">
        <v>32.6</v>
      </c>
    </row>
    <row r="3574" spans="1:11">
      <c r="A3574" s="688" t="s">
        <v>3</v>
      </c>
      <c r="B3574" s="691">
        <v>32.200000000000003</v>
      </c>
      <c r="C3574" s="691">
        <v>32.4</v>
      </c>
      <c r="D3574" s="691">
        <v>32.1</v>
      </c>
      <c r="E3574" s="691">
        <v>32.4</v>
      </c>
      <c r="F3574" s="691">
        <v>32.4</v>
      </c>
      <c r="G3574" s="691">
        <v>32.4</v>
      </c>
      <c r="H3574" s="691">
        <v>32.6</v>
      </c>
      <c r="I3574" s="691">
        <v>32.4</v>
      </c>
      <c r="J3574" s="691">
        <v>32.200000000000003</v>
      </c>
      <c r="K3574" s="615">
        <v>32</v>
      </c>
    </row>
    <row r="3575" spans="1:11">
      <c r="A3575" s="688" t="s">
        <v>4061</v>
      </c>
      <c r="B3575" s="689">
        <v>32.200000000000003</v>
      </c>
      <c r="C3575" s="689">
        <v>32.4</v>
      </c>
      <c r="D3575" s="689">
        <v>32.1</v>
      </c>
      <c r="E3575" s="689">
        <v>32.4</v>
      </c>
      <c r="F3575" s="689">
        <v>32.4</v>
      </c>
      <c r="G3575" s="689">
        <v>32.4</v>
      </c>
      <c r="H3575" s="689">
        <v>32.6</v>
      </c>
      <c r="I3575" s="689">
        <v>32.4</v>
      </c>
      <c r="J3575" s="689">
        <v>32.200000000000003</v>
      </c>
      <c r="K3575" s="693">
        <v>32</v>
      </c>
    </row>
    <row r="3576" spans="1:11">
      <c r="A3576" s="688" t="s">
        <v>4</v>
      </c>
      <c r="B3576" s="615">
        <v>30</v>
      </c>
      <c r="C3576" s="691">
        <v>29.9</v>
      </c>
      <c r="D3576" s="691">
        <v>30.2</v>
      </c>
      <c r="E3576" s="691">
        <v>30.3</v>
      </c>
      <c r="F3576" s="691">
        <v>30.5</v>
      </c>
      <c r="G3576" s="691">
        <v>30.4</v>
      </c>
      <c r="H3576" s="691">
        <v>30.9</v>
      </c>
      <c r="I3576" s="691">
        <v>30.7</v>
      </c>
      <c r="J3576" s="691">
        <v>29.4</v>
      </c>
      <c r="K3576" s="691">
        <v>30.3</v>
      </c>
    </row>
    <row r="3577" spans="1:11">
      <c r="A3577" s="688" t="s">
        <v>8</v>
      </c>
      <c r="B3577" s="689">
        <v>32.6</v>
      </c>
      <c r="C3577" s="689">
        <v>32.799999999999997</v>
      </c>
      <c r="D3577" s="689">
        <v>32.9</v>
      </c>
      <c r="E3577" s="693">
        <v>33</v>
      </c>
      <c r="F3577" s="689">
        <v>33.4</v>
      </c>
      <c r="G3577" s="689">
        <v>33.4</v>
      </c>
      <c r="H3577" s="689">
        <v>33.700000000000003</v>
      </c>
      <c r="I3577" s="689">
        <v>33.700000000000003</v>
      </c>
      <c r="J3577" s="689">
        <v>33.5</v>
      </c>
      <c r="K3577" s="689">
        <v>33.6</v>
      </c>
    </row>
    <row r="3578" spans="1:11">
      <c r="A3578" s="688" t="s">
        <v>7</v>
      </c>
      <c r="B3578" s="691">
        <v>33.1</v>
      </c>
      <c r="C3578" s="691">
        <v>32.700000000000003</v>
      </c>
      <c r="D3578" s="691">
        <v>32.4</v>
      </c>
      <c r="E3578" s="691">
        <v>32.700000000000003</v>
      </c>
      <c r="F3578" s="691">
        <v>32.6</v>
      </c>
      <c r="G3578" s="691">
        <v>33.1</v>
      </c>
      <c r="H3578" s="615">
        <v>33</v>
      </c>
      <c r="I3578" s="691">
        <v>32.6</v>
      </c>
      <c r="J3578" s="691">
        <v>31.7</v>
      </c>
      <c r="K3578" s="691">
        <v>32.299999999999997</v>
      </c>
    </row>
    <row r="3579" spans="1:11">
      <c r="A3579" s="688" t="s">
        <v>27</v>
      </c>
      <c r="B3579" s="689">
        <v>34.5</v>
      </c>
      <c r="C3579" s="689">
        <v>34.200000000000003</v>
      </c>
      <c r="D3579" s="689">
        <v>33.9</v>
      </c>
      <c r="E3579" s="689">
        <v>34.299999999999997</v>
      </c>
      <c r="F3579" s="689">
        <v>34.299999999999997</v>
      </c>
      <c r="G3579" s="689">
        <v>34.299999999999997</v>
      </c>
      <c r="H3579" s="689">
        <v>34.700000000000003</v>
      </c>
      <c r="I3579" s="689">
        <v>33.4</v>
      </c>
      <c r="J3579" s="689">
        <v>34.200000000000003</v>
      </c>
      <c r="K3579" s="689">
        <v>34.299999999999997</v>
      </c>
    </row>
    <row r="3580" spans="1:11">
      <c r="A3580" s="688" t="s">
        <v>6</v>
      </c>
      <c r="B3580" s="691">
        <v>34.299999999999997</v>
      </c>
      <c r="C3580" s="691">
        <v>34.200000000000003</v>
      </c>
      <c r="D3580" s="615">
        <v>34</v>
      </c>
      <c r="E3580" s="691">
        <v>34.200000000000003</v>
      </c>
      <c r="F3580" s="691">
        <v>34.200000000000003</v>
      </c>
      <c r="G3580" s="691">
        <v>34.4</v>
      </c>
      <c r="H3580" s="691">
        <v>34.5</v>
      </c>
      <c r="I3580" s="691">
        <v>33.9</v>
      </c>
      <c r="J3580" s="615">
        <v>34</v>
      </c>
      <c r="K3580" s="691">
        <v>34.1</v>
      </c>
    </row>
    <row r="3581" spans="1:11">
      <c r="A3581" s="688" t="s">
        <v>4058</v>
      </c>
      <c r="B3581" s="690" t="s">
        <v>4060</v>
      </c>
      <c r="C3581" s="690" t="s">
        <v>4060</v>
      </c>
      <c r="D3581" s="690" t="s">
        <v>4060</v>
      </c>
      <c r="E3581" s="690" t="s">
        <v>4060</v>
      </c>
      <c r="F3581" s="690" t="s">
        <v>4060</v>
      </c>
      <c r="G3581" s="690" t="s">
        <v>4060</v>
      </c>
      <c r="H3581" s="690" t="s">
        <v>4060</v>
      </c>
      <c r="I3581" s="690" t="s">
        <v>4060</v>
      </c>
      <c r="J3581" s="690" t="s">
        <v>4060</v>
      </c>
      <c r="K3581" s="690" t="s">
        <v>4060</v>
      </c>
    </row>
    <row r="3582" spans="1:11">
      <c r="A3582" s="688" t="s">
        <v>11</v>
      </c>
      <c r="B3582" s="691">
        <v>29.7</v>
      </c>
      <c r="C3582" s="691">
        <v>29.6</v>
      </c>
      <c r="D3582" s="691">
        <v>29.2</v>
      </c>
      <c r="E3582" s="691">
        <v>29.8</v>
      </c>
      <c r="F3582" s="691">
        <v>29.6</v>
      </c>
      <c r="G3582" s="691">
        <v>29.8</v>
      </c>
      <c r="H3582" s="691">
        <v>30.1</v>
      </c>
      <c r="I3582" s="691">
        <v>29.4</v>
      </c>
      <c r="J3582" s="691">
        <v>28.5</v>
      </c>
      <c r="K3582" s="691">
        <v>29.5</v>
      </c>
    </row>
    <row r="3583" spans="1:11">
      <c r="A3583" s="688" t="s">
        <v>10</v>
      </c>
      <c r="B3583" s="689">
        <v>34.200000000000003</v>
      </c>
      <c r="C3583" s="689">
        <v>34.1</v>
      </c>
      <c r="D3583" s="689">
        <v>33.700000000000003</v>
      </c>
      <c r="E3583" s="689">
        <v>34.299999999999997</v>
      </c>
      <c r="F3583" s="689">
        <v>34.1</v>
      </c>
      <c r="G3583" s="689">
        <v>34.4</v>
      </c>
      <c r="H3583" s="689">
        <v>34.6</v>
      </c>
      <c r="I3583" s="689">
        <v>33.4</v>
      </c>
      <c r="J3583" s="689">
        <v>33.799999999999997</v>
      </c>
      <c r="K3583" s="689">
        <v>33.9</v>
      </c>
    </row>
    <row r="3584" spans="1:11">
      <c r="A3584" s="688" t="s">
        <v>30</v>
      </c>
      <c r="B3584" s="691">
        <v>33.700000000000003</v>
      </c>
      <c r="C3584" s="691">
        <v>33.4</v>
      </c>
      <c r="D3584" s="691">
        <v>33.200000000000003</v>
      </c>
      <c r="E3584" s="691">
        <v>33.9</v>
      </c>
      <c r="F3584" s="691">
        <v>33.5</v>
      </c>
      <c r="G3584" s="691">
        <v>34.1</v>
      </c>
      <c r="H3584" s="691">
        <v>33.9</v>
      </c>
      <c r="I3584" s="691">
        <v>33.9</v>
      </c>
      <c r="J3584" s="691">
        <v>33.200000000000003</v>
      </c>
      <c r="K3584" s="691">
        <v>33.5</v>
      </c>
    </row>
    <row r="3585" spans="1:11">
      <c r="A3585" s="688" t="s">
        <v>12</v>
      </c>
      <c r="B3585" s="689">
        <v>27.8</v>
      </c>
      <c r="C3585" s="689">
        <v>27.9</v>
      </c>
      <c r="D3585" s="689">
        <v>28.1</v>
      </c>
      <c r="E3585" s="689">
        <v>28.2</v>
      </c>
      <c r="F3585" s="689">
        <v>28.2</v>
      </c>
      <c r="G3585" s="689">
        <v>28.2</v>
      </c>
      <c r="H3585" s="689">
        <v>28.7</v>
      </c>
      <c r="I3585" s="689">
        <v>28.4</v>
      </c>
      <c r="J3585" s="689">
        <v>26.4</v>
      </c>
      <c r="K3585" s="689">
        <v>27.7</v>
      </c>
    </row>
    <row r="3586" spans="1:11">
      <c r="A3586" s="688" t="s">
        <v>14</v>
      </c>
      <c r="B3586" s="615">
        <v>28</v>
      </c>
      <c r="C3586" s="691">
        <v>28.3</v>
      </c>
      <c r="D3586" s="615">
        <v>28</v>
      </c>
      <c r="E3586" s="691">
        <v>28.3</v>
      </c>
      <c r="F3586" s="691">
        <v>28.8</v>
      </c>
      <c r="G3586" s="691">
        <v>28.9</v>
      </c>
      <c r="H3586" s="691">
        <v>29.3</v>
      </c>
      <c r="I3586" s="691">
        <v>28.1</v>
      </c>
      <c r="J3586" s="691">
        <v>27.4</v>
      </c>
      <c r="K3586" s="691">
        <v>28.6</v>
      </c>
    </row>
    <row r="3587" spans="1:11">
      <c r="A3587" s="688" t="s">
        <v>15</v>
      </c>
      <c r="B3587" s="689">
        <v>33.4</v>
      </c>
      <c r="C3587" s="689">
        <v>33.299999999999997</v>
      </c>
      <c r="D3587" s="689">
        <v>33.299999999999997</v>
      </c>
      <c r="E3587" s="689">
        <v>33.6</v>
      </c>
      <c r="F3587" s="689">
        <v>33.200000000000003</v>
      </c>
      <c r="G3587" s="689">
        <v>33.4</v>
      </c>
      <c r="H3587" s="689">
        <v>33.700000000000003</v>
      </c>
      <c r="I3587" s="689">
        <v>33.4</v>
      </c>
      <c r="J3587" s="689">
        <v>33.700000000000003</v>
      </c>
      <c r="K3587" s="693">
        <v>34</v>
      </c>
    </row>
    <row r="3588" spans="1:11">
      <c r="A3588" s="688" t="s">
        <v>29</v>
      </c>
      <c r="B3588" s="691">
        <v>27.9</v>
      </c>
      <c r="C3588" s="691">
        <v>27.9</v>
      </c>
      <c r="D3588" s="691">
        <v>27.6</v>
      </c>
      <c r="E3588" s="615">
        <v>28</v>
      </c>
      <c r="F3588" s="691">
        <v>27.8</v>
      </c>
      <c r="G3588" s="691">
        <v>27.9</v>
      </c>
      <c r="H3588" s="691">
        <v>28.2</v>
      </c>
      <c r="I3588" s="691">
        <v>27.4</v>
      </c>
      <c r="J3588" s="691">
        <v>26.3</v>
      </c>
      <c r="K3588" s="691">
        <v>27.8</v>
      </c>
    </row>
    <row r="3589" spans="1:11">
      <c r="A3589" s="688" t="s">
        <v>16</v>
      </c>
      <c r="B3589" s="689">
        <v>33.4</v>
      </c>
      <c r="C3589" s="689">
        <v>33.299999999999997</v>
      </c>
      <c r="D3589" s="689">
        <v>33.299999999999997</v>
      </c>
      <c r="E3589" s="689">
        <v>33.799999999999997</v>
      </c>
      <c r="F3589" s="689">
        <v>33.6</v>
      </c>
      <c r="G3589" s="689">
        <v>33.5</v>
      </c>
      <c r="H3589" s="693">
        <v>34</v>
      </c>
      <c r="I3589" s="689">
        <v>33.299999999999997</v>
      </c>
      <c r="J3589" s="689">
        <v>33.4</v>
      </c>
      <c r="K3589" s="689">
        <v>33.5</v>
      </c>
    </row>
    <row r="3590" spans="1:11">
      <c r="A3590" s="688" t="s">
        <v>17</v>
      </c>
      <c r="B3590" s="691">
        <v>32.799999999999997</v>
      </c>
      <c r="C3590" s="615">
        <v>33</v>
      </c>
      <c r="D3590" s="691">
        <v>32.799999999999997</v>
      </c>
      <c r="E3590" s="691">
        <v>32.9</v>
      </c>
      <c r="F3590" s="691">
        <v>33.1</v>
      </c>
      <c r="G3590" s="691">
        <v>33.1</v>
      </c>
      <c r="H3590" s="691">
        <v>33.4</v>
      </c>
      <c r="I3590" s="691">
        <v>32.700000000000003</v>
      </c>
      <c r="J3590" s="691">
        <v>32.700000000000003</v>
      </c>
      <c r="K3590" s="615">
        <v>33</v>
      </c>
    </row>
    <row r="3591" spans="1:11">
      <c r="A3591" s="688" t="s">
        <v>19</v>
      </c>
      <c r="B3591" s="689">
        <v>32.799999999999997</v>
      </c>
      <c r="C3591" s="689">
        <v>32.9</v>
      </c>
      <c r="D3591" s="689">
        <v>32.700000000000003</v>
      </c>
      <c r="E3591" s="689">
        <v>33.1</v>
      </c>
      <c r="F3591" s="693">
        <v>33</v>
      </c>
      <c r="G3591" s="689">
        <v>33.1</v>
      </c>
      <c r="H3591" s="689">
        <v>33.4</v>
      </c>
      <c r="I3591" s="689">
        <v>32.700000000000003</v>
      </c>
      <c r="J3591" s="689">
        <v>32.700000000000003</v>
      </c>
      <c r="K3591" s="689">
        <v>32.799999999999997</v>
      </c>
    </row>
    <row r="3592" spans="1:11">
      <c r="A3592" s="688" t="s">
        <v>20</v>
      </c>
      <c r="B3592" s="691">
        <v>29.6</v>
      </c>
      <c r="C3592" s="691">
        <v>29.9</v>
      </c>
      <c r="D3592" s="691">
        <v>29.7</v>
      </c>
      <c r="E3592" s="691">
        <v>30.1</v>
      </c>
      <c r="F3592" s="615">
        <v>30</v>
      </c>
      <c r="G3592" s="691">
        <v>29.9</v>
      </c>
      <c r="H3592" s="691">
        <v>30.1</v>
      </c>
      <c r="I3592" s="691">
        <v>28.7</v>
      </c>
      <c r="J3592" s="691">
        <v>27.9</v>
      </c>
      <c r="K3592" s="691">
        <v>29.5</v>
      </c>
    </row>
    <row r="3593" spans="1:11">
      <c r="A3593" s="688" t="s">
        <v>21</v>
      </c>
      <c r="B3593" s="689">
        <v>32.700000000000003</v>
      </c>
      <c r="C3593" s="693">
        <v>33</v>
      </c>
      <c r="D3593" s="693">
        <v>33</v>
      </c>
      <c r="E3593" s="689">
        <v>32.9</v>
      </c>
      <c r="F3593" s="689">
        <v>33.200000000000003</v>
      </c>
      <c r="G3593" s="689">
        <v>33.200000000000003</v>
      </c>
      <c r="H3593" s="689">
        <v>33.5</v>
      </c>
      <c r="I3593" s="689">
        <v>32.9</v>
      </c>
      <c r="J3593" s="689">
        <v>32.9</v>
      </c>
      <c r="K3593" s="689">
        <v>33.200000000000003</v>
      </c>
    </row>
    <row r="3594" spans="1:11">
      <c r="A3594" s="688" t="s">
        <v>22</v>
      </c>
      <c r="B3594" s="615">
        <v>28</v>
      </c>
      <c r="C3594" s="691">
        <v>27.8</v>
      </c>
      <c r="D3594" s="691">
        <v>27.7</v>
      </c>
      <c r="E3594" s="691">
        <v>27.9</v>
      </c>
      <c r="F3594" s="691">
        <v>27.9</v>
      </c>
      <c r="G3594" s="691">
        <v>27.9</v>
      </c>
      <c r="H3594" s="691">
        <v>28.2</v>
      </c>
      <c r="I3594" s="691">
        <v>26.7</v>
      </c>
      <c r="J3594" s="691">
        <v>25.5</v>
      </c>
      <c r="K3594" s="691">
        <v>27.7</v>
      </c>
    </row>
    <row r="3595" spans="1:11">
      <c r="A3595" s="688" t="s">
        <v>26</v>
      </c>
      <c r="B3595" s="689">
        <v>32.1</v>
      </c>
      <c r="C3595" s="689">
        <v>32.299999999999997</v>
      </c>
      <c r="D3595" s="689">
        <v>32.1</v>
      </c>
      <c r="E3595" s="689">
        <v>32.4</v>
      </c>
      <c r="F3595" s="689">
        <v>32.299999999999997</v>
      </c>
      <c r="G3595" s="689">
        <v>32.5</v>
      </c>
      <c r="H3595" s="689">
        <v>32.700000000000003</v>
      </c>
      <c r="I3595" s="689">
        <v>31.9</v>
      </c>
      <c r="J3595" s="693">
        <v>32</v>
      </c>
      <c r="K3595" s="689">
        <v>32.6</v>
      </c>
    </row>
    <row r="3596" spans="1:11">
      <c r="A3596" s="688" t="s">
        <v>25</v>
      </c>
      <c r="B3596" s="691">
        <v>28.9</v>
      </c>
      <c r="C3596" s="691">
        <v>29.2</v>
      </c>
      <c r="D3596" s="615">
        <v>29</v>
      </c>
      <c r="E3596" s="691">
        <v>29.4</v>
      </c>
      <c r="F3596" s="691">
        <v>29.3</v>
      </c>
      <c r="G3596" s="691">
        <v>29.5</v>
      </c>
      <c r="H3596" s="691">
        <v>29.9</v>
      </c>
      <c r="I3596" s="691">
        <v>29.1</v>
      </c>
      <c r="J3596" s="615">
        <v>27</v>
      </c>
      <c r="K3596" s="691">
        <v>29.2</v>
      </c>
    </row>
    <row r="3597" spans="1:11">
      <c r="A3597" s="688" t="s">
        <v>5</v>
      </c>
      <c r="B3597" s="689">
        <v>32.9</v>
      </c>
      <c r="C3597" s="689">
        <v>32.700000000000003</v>
      </c>
      <c r="D3597" s="689">
        <v>32.9</v>
      </c>
      <c r="E3597" s="689">
        <v>32.9</v>
      </c>
      <c r="F3597" s="689">
        <v>33.1</v>
      </c>
      <c r="G3597" s="689">
        <v>33.200000000000003</v>
      </c>
      <c r="H3597" s="689">
        <v>33.6</v>
      </c>
      <c r="I3597" s="689">
        <v>33.5</v>
      </c>
      <c r="J3597" s="689">
        <v>33.4</v>
      </c>
      <c r="K3597" s="689">
        <v>32.799999999999997</v>
      </c>
    </row>
    <row r="3598" spans="1:11">
      <c r="A3598" s="688" t="s">
        <v>23</v>
      </c>
      <c r="B3598" s="691">
        <v>33.4</v>
      </c>
      <c r="C3598" s="691">
        <v>33.6</v>
      </c>
      <c r="D3598" s="691">
        <v>33.5</v>
      </c>
      <c r="E3598" s="691">
        <v>33.700000000000003</v>
      </c>
      <c r="F3598" s="691">
        <v>33.799999999999997</v>
      </c>
      <c r="G3598" s="691">
        <v>33.9</v>
      </c>
      <c r="H3598" s="691">
        <v>34.299999999999997</v>
      </c>
      <c r="I3598" s="691">
        <v>33.700000000000003</v>
      </c>
      <c r="J3598" s="691">
        <v>34.299999999999997</v>
      </c>
      <c r="K3598" s="691">
        <v>34.299999999999997</v>
      </c>
    </row>
    <row r="3599" spans="1:11">
      <c r="A3599" s="688" t="s">
        <v>4067</v>
      </c>
      <c r="B3599" s="689">
        <v>32.299999999999997</v>
      </c>
      <c r="C3599" s="689">
        <v>32.700000000000003</v>
      </c>
      <c r="D3599" s="689">
        <v>32.299999999999997</v>
      </c>
      <c r="E3599" s="689">
        <v>32.700000000000003</v>
      </c>
      <c r="F3599" s="689">
        <v>32.6</v>
      </c>
      <c r="G3599" s="689">
        <v>32.700000000000003</v>
      </c>
      <c r="H3599" s="690" t="s">
        <v>4060</v>
      </c>
      <c r="I3599" s="690" t="s">
        <v>4060</v>
      </c>
      <c r="J3599" s="690" t="s">
        <v>4060</v>
      </c>
      <c r="K3599" s="690" t="s">
        <v>4060</v>
      </c>
    </row>
    <row r="3600" spans="1:11">
      <c r="A3600" s="688" t="s">
        <v>4066</v>
      </c>
      <c r="B3600" s="691">
        <v>32.4</v>
      </c>
      <c r="C3600" s="691">
        <v>32.700000000000003</v>
      </c>
      <c r="D3600" s="691">
        <v>32.4</v>
      </c>
      <c r="E3600" s="691">
        <v>32.700000000000003</v>
      </c>
      <c r="F3600" s="691">
        <v>32.700000000000003</v>
      </c>
      <c r="G3600" s="691">
        <v>32.700000000000003</v>
      </c>
      <c r="H3600" s="692" t="s">
        <v>4060</v>
      </c>
      <c r="I3600" s="692" t="s">
        <v>4060</v>
      </c>
      <c r="J3600" s="692" t="s">
        <v>4060</v>
      </c>
      <c r="K3600" s="692" t="s">
        <v>4060</v>
      </c>
    </row>
    <row r="3601" spans="1:11">
      <c r="A3601" s="688" t="s">
        <v>4062</v>
      </c>
      <c r="B3601" s="689">
        <v>33.9</v>
      </c>
      <c r="C3601" s="689">
        <v>34.1</v>
      </c>
      <c r="D3601" s="693">
        <v>34</v>
      </c>
      <c r="E3601" s="689">
        <v>34.299999999999997</v>
      </c>
      <c r="F3601" s="689">
        <v>34.4</v>
      </c>
      <c r="G3601" s="689">
        <v>34.6</v>
      </c>
      <c r="H3601" s="689">
        <v>34.700000000000003</v>
      </c>
      <c r="I3601" s="689">
        <v>34.4</v>
      </c>
      <c r="J3601" s="689">
        <v>34.700000000000003</v>
      </c>
      <c r="K3601" s="689">
        <v>34.4</v>
      </c>
    </row>
    <row r="3602" spans="1:11">
      <c r="A3602" s="688" t="s">
        <v>9</v>
      </c>
      <c r="B3602" s="691">
        <v>33.5</v>
      </c>
      <c r="C3602" s="691">
        <v>33.9</v>
      </c>
      <c r="D3602" s="691">
        <v>33.799999999999997</v>
      </c>
      <c r="E3602" s="691">
        <v>33.4</v>
      </c>
      <c r="F3602" s="691">
        <v>33.9</v>
      </c>
      <c r="G3602" s="691">
        <v>34.1</v>
      </c>
      <c r="H3602" s="691">
        <v>34.200000000000003</v>
      </c>
      <c r="I3602" s="691">
        <v>34.4</v>
      </c>
      <c r="J3602" s="691">
        <v>34.6</v>
      </c>
      <c r="K3602" s="691">
        <v>33.6</v>
      </c>
    </row>
    <row r="3603" spans="1:11">
      <c r="A3603" s="688" t="s">
        <v>13</v>
      </c>
      <c r="B3603" s="693">
        <v>34</v>
      </c>
      <c r="C3603" s="689">
        <v>33.299999999999997</v>
      </c>
      <c r="D3603" s="689">
        <v>33.9</v>
      </c>
      <c r="E3603" s="689">
        <v>33.4</v>
      </c>
      <c r="F3603" s="689">
        <v>34.6</v>
      </c>
      <c r="G3603" s="689">
        <v>34.299999999999997</v>
      </c>
      <c r="H3603" s="689">
        <v>34.6</v>
      </c>
      <c r="I3603" s="689">
        <v>33.5</v>
      </c>
      <c r="J3603" s="689">
        <v>34.700000000000003</v>
      </c>
      <c r="K3603" s="693">
        <v>35</v>
      </c>
    </row>
    <row r="3604" spans="1:11">
      <c r="A3604" s="688" t="s">
        <v>18</v>
      </c>
      <c r="B3604" s="691">
        <v>33.200000000000003</v>
      </c>
      <c r="C3604" s="691">
        <v>33.5</v>
      </c>
      <c r="D3604" s="691">
        <v>33.6</v>
      </c>
      <c r="E3604" s="691">
        <v>33.700000000000003</v>
      </c>
      <c r="F3604" s="691">
        <v>33.9</v>
      </c>
      <c r="G3604" s="615">
        <v>34</v>
      </c>
      <c r="H3604" s="691">
        <v>34.200000000000003</v>
      </c>
      <c r="I3604" s="691">
        <v>34.5</v>
      </c>
      <c r="J3604" s="691">
        <v>34.4</v>
      </c>
      <c r="K3604" s="691">
        <v>33.9</v>
      </c>
    </row>
    <row r="3605" spans="1:11">
      <c r="A3605" s="688" t="s">
        <v>24</v>
      </c>
      <c r="B3605" s="689">
        <v>34.299999999999997</v>
      </c>
      <c r="C3605" s="689">
        <v>34.4</v>
      </c>
      <c r="D3605" s="689">
        <v>34.200000000000003</v>
      </c>
      <c r="E3605" s="689">
        <v>34.700000000000003</v>
      </c>
      <c r="F3605" s="689">
        <v>34.700000000000003</v>
      </c>
      <c r="G3605" s="689">
        <v>34.9</v>
      </c>
      <c r="H3605" s="693">
        <v>35</v>
      </c>
      <c r="I3605" s="689">
        <v>34.299999999999997</v>
      </c>
      <c r="J3605" s="689">
        <v>34.9</v>
      </c>
      <c r="K3605" s="689">
        <v>34.799999999999997</v>
      </c>
    </row>
    <row r="3606" spans="1:11">
      <c r="A3606" s="688" t="s">
        <v>4059</v>
      </c>
      <c r="B3606" s="691">
        <v>32.799999999999997</v>
      </c>
      <c r="C3606" s="691">
        <v>33.1</v>
      </c>
      <c r="D3606" s="691">
        <v>32.799999999999997</v>
      </c>
      <c r="E3606" s="615">
        <v>33</v>
      </c>
      <c r="F3606" s="615">
        <v>33</v>
      </c>
      <c r="G3606" s="691">
        <v>33.1</v>
      </c>
      <c r="H3606" s="692" t="s">
        <v>4060</v>
      </c>
      <c r="I3606" s="692" t="s">
        <v>4060</v>
      </c>
      <c r="J3606" s="692" t="s">
        <v>4060</v>
      </c>
      <c r="K3606" s="692" t="s">
        <v>4060</v>
      </c>
    </row>
    <row r="3607" spans="1:11">
      <c r="A3607" s="688" t="s">
        <v>2324</v>
      </c>
      <c r="B3607" s="689">
        <v>28.6</v>
      </c>
      <c r="C3607" s="689">
        <v>28.6</v>
      </c>
      <c r="D3607" s="689">
        <v>28.2</v>
      </c>
      <c r="E3607" s="689">
        <v>28.3</v>
      </c>
      <c r="F3607" s="689">
        <v>28.6</v>
      </c>
      <c r="G3607" s="689">
        <v>28.7</v>
      </c>
      <c r="H3607" s="689">
        <v>28.7</v>
      </c>
      <c r="I3607" s="689">
        <v>27.8</v>
      </c>
      <c r="J3607" s="689">
        <v>25.7</v>
      </c>
      <c r="K3607" s="690" t="s">
        <v>4060</v>
      </c>
    </row>
    <row r="3608" spans="1:11">
      <c r="A3608" s="688" t="s">
        <v>2322</v>
      </c>
      <c r="B3608" s="692" t="s">
        <v>4060</v>
      </c>
      <c r="C3608" s="692" t="s">
        <v>4060</v>
      </c>
      <c r="D3608" s="692" t="s">
        <v>4060</v>
      </c>
      <c r="E3608" s="692" t="s">
        <v>4060</v>
      </c>
      <c r="F3608" s="692" t="s">
        <v>4060</v>
      </c>
      <c r="G3608" s="692" t="s">
        <v>4060</v>
      </c>
      <c r="H3608" s="692" t="s">
        <v>4060</v>
      </c>
      <c r="I3608" s="692" t="s">
        <v>4060</v>
      </c>
      <c r="J3608" s="692" t="s">
        <v>4060</v>
      </c>
      <c r="K3608" s="692" t="s">
        <v>4060</v>
      </c>
    </row>
    <row r="3609" spans="1:11">
      <c r="A3609" s="688" t="s">
        <v>2328</v>
      </c>
      <c r="B3609" s="689">
        <v>27.8</v>
      </c>
      <c r="C3609" s="689">
        <v>27.7</v>
      </c>
      <c r="D3609" s="689">
        <v>27.6</v>
      </c>
      <c r="E3609" s="689">
        <v>27.8</v>
      </c>
      <c r="F3609" s="689">
        <v>28.1</v>
      </c>
      <c r="G3609" s="689">
        <v>28.5</v>
      </c>
      <c r="H3609" s="689">
        <v>28.4</v>
      </c>
      <c r="I3609" s="689">
        <v>26.3</v>
      </c>
      <c r="J3609" s="689">
        <v>25.4</v>
      </c>
      <c r="K3609" s="690" t="s">
        <v>4060</v>
      </c>
    </row>
    <row r="3610" spans="1:11">
      <c r="A3610" s="688" t="s">
        <v>2496</v>
      </c>
      <c r="B3610" s="692" t="s">
        <v>4060</v>
      </c>
      <c r="C3610" s="691">
        <v>27.6</v>
      </c>
      <c r="D3610" s="691">
        <v>26.6</v>
      </c>
      <c r="E3610" s="691">
        <v>26.3</v>
      </c>
      <c r="F3610" s="615">
        <v>27</v>
      </c>
      <c r="G3610" s="691">
        <v>27.2</v>
      </c>
      <c r="H3610" s="691">
        <v>27.2</v>
      </c>
      <c r="I3610" s="692" t="s">
        <v>4060</v>
      </c>
      <c r="J3610" s="692" t="s">
        <v>4060</v>
      </c>
      <c r="K3610" s="691">
        <v>26.8</v>
      </c>
    </row>
    <row r="3611" spans="1:11">
      <c r="A3611" s="688" t="s">
        <v>2269</v>
      </c>
      <c r="B3611" s="689">
        <v>30.6</v>
      </c>
      <c r="C3611" s="689">
        <v>30.7</v>
      </c>
      <c r="D3611" s="689">
        <v>30.2</v>
      </c>
      <c r="E3611" s="689">
        <v>30.8</v>
      </c>
      <c r="F3611" s="689">
        <v>30.7</v>
      </c>
      <c r="G3611" s="689">
        <v>31.1</v>
      </c>
      <c r="H3611" s="689">
        <v>31.3</v>
      </c>
      <c r="I3611" s="689">
        <v>29.5</v>
      </c>
      <c r="J3611" s="689">
        <v>27.7</v>
      </c>
      <c r="K3611" s="689">
        <v>30.9</v>
      </c>
    </row>
    <row r="3612" spans="1:11">
      <c r="A3612" s="688" t="s">
        <v>2349</v>
      </c>
      <c r="B3612" s="691">
        <v>27.5</v>
      </c>
      <c r="C3612" s="691">
        <v>27.6</v>
      </c>
      <c r="D3612" s="691">
        <v>27.5</v>
      </c>
      <c r="E3612" s="691">
        <v>27.8</v>
      </c>
      <c r="F3612" s="691">
        <v>27.7</v>
      </c>
      <c r="G3612" s="615">
        <v>28</v>
      </c>
      <c r="H3612" s="615">
        <v>28</v>
      </c>
      <c r="I3612" s="691">
        <v>26.6</v>
      </c>
      <c r="J3612" s="691">
        <v>25.1</v>
      </c>
      <c r="K3612" s="691">
        <v>27.3</v>
      </c>
    </row>
    <row r="3613" spans="1:11">
      <c r="A3613" s="688" t="s">
        <v>2355</v>
      </c>
      <c r="B3613" s="689">
        <v>30.9</v>
      </c>
      <c r="C3613" s="689">
        <v>30.7</v>
      </c>
      <c r="D3613" s="689">
        <v>30.7</v>
      </c>
      <c r="E3613" s="689">
        <v>30.6</v>
      </c>
      <c r="F3613" s="689">
        <v>30.8</v>
      </c>
      <c r="G3613" s="689">
        <v>31.2</v>
      </c>
      <c r="H3613" s="689">
        <v>31.3</v>
      </c>
      <c r="I3613" s="690" t="s">
        <v>4060</v>
      </c>
      <c r="J3613" s="690" t="s">
        <v>4060</v>
      </c>
      <c r="K3613" s="690" t="s">
        <v>4060</v>
      </c>
    </row>
    <row r="3614" spans="1:11">
      <c r="A3614" s="688" t="s">
        <v>2357</v>
      </c>
      <c r="B3614" s="692" t="s">
        <v>4060</v>
      </c>
      <c r="C3614" s="691">
        <v>26.4</v>
      </c>
      <c r="D3614" s="691">
        <v>26.8</v>
      </c>
      <c r="E3614" s="691">
        <v>27.1</v>
      </c>
      <c r="F3614" s="691">
        <v>27.3</v>
      </c>
      <c r="G3614" s="691">
        <v>27.2</v>
      </c>
      <c r="H3614" s="691">
        <v>27.4</v>
      </c>
      <c r="I3614" s="692" t="s">
        <v>4060</v>
      </c>
      <c r="J3614" s="692" t="s">
        <v>4060</v>
      </c>
      <c r="K3614" s="692" t="s">
        <v>4060</v>
      </c>
    </row>
    <row r="3615" spans="1:11">
      <c r="A3615" s="688" t="s">
        <v>4070</v>
      </c>
      <c r="B3615" s="690" t="s">
        <v>4060</v>
      </c>
      <c r="C3615" s="690" t="s">
        <v>4060</v>
      </c>
      <c r="D3615" s="690" t="s">
        <v>4060</v>
      </c>
      <c r="E3615" s="689">
        <v>30.3</v>
      </c>
      <c r="F3615" s="690" t="s">
        <v>4060</v>
      </c>
      <c r="G3615" s="690" t="s">
        <v>4060</v>
      </c>
      <c r="H3615" s="690" t="s">
        <v>4060</v>
      </c>
      <c r="I3615" s="690" t="s">
        <v>4060</v>
      </c>
      <c r="J3615" s="690" t="s">
        <v>4060</v>
      </c>
      <c r="K3615" s="690" t="s">
        <v>4060</v>
      </c>
    </row>
    <row r="3616" spans="1:11">
      <c r="A3616" s="688" t="s">
        <v>2491</v>
      </c>
      <c r="B3616" s="691">
        <v>26.4</v>
      </c>
      <c r="C3616" s="691">
        <v>26.9</v>
      </c>
      <c r="D3616" s="691">
        <v>27.1</v>
      </c>
      <c r="E3616" s="691">
        <v>27.3</v>
      </c>
      <c r="F3616" s="691">
        <v>27.4</v>
      </c>
      <c r="G3616" s="691">
        <v>27.4</v>
      </c>
      <c r="H3616" s="692" t="s">
        <v>4060</v>
      </c>
      <c r="I3616" s="692" t="s">
        <v>4060</v>
      </c>
      <c r="J3616" s="692" t="s">
        <v>4060</v>
      </c>
      <c r="K3616" s="692" t="s">
        <v>4060</v>
      </c>
    </row>
    <row r="3617" spans="1:11">
      <c r="A3617" s="688" t="s">
        <v>2343</v>
      </c>
      <c r="B3617" s="690" t="s">
        <v>4060</v>
      </c>
      <c r="C3617" s="690" t="s">
        <v>4060</v>
      </c>
      <c r="D3617" s="690" t="s">
        <v>4060</v>
      </c>
      <c r="E3617" s="690" t="s">
        <v>4060</v>
      </c>
      <c r="F3617" s="690" t="s">
        <v>4060</v>
      </c>
      <c r="G3617" s="690" t="s">
        <v>4060</v>
      </c>
      <c r="H3617" s="690" t="s">
        <v>4060</v>
      </c>
      <c r="I3617" s="690" t="s">
        <v>4060</v>
      </c>
      <c r="J3617" s="690" t="s">
        <v>4060</v>
      </c>
      <c r="K3617" s="690" t="s">
        <v>4060</v>
      </c>
    </row>
    <row r="3618" spans="1:11">
      <c r="A3618" s="688" t="s">
        <v>4071</v>
      </c>
      <c r="B3618" s="692" t="s">
        <v>4060</v>
      </c>
      <c r="C3618" s="692" t="s">
        <v>4060</v>
      </c>
      <c r="D3618" s="692" t="s">
        <v>4060</v>
      </c>
      <c r="E3618" s="692" t="s">
        <v>4060</v>
      </c>
      <c r="F3618" s="692" t="s">
        <v>4060</v>
      </c>
      <c r="G3618" s="692" t="s">
        <v>4060</v>
      </c>
      <c r="H3618" s="692" t="s">
        <v>4060</v>
      </c>
      <c r="I3618" s="692" t="s">
        <v>4060</v>
      </c>
      <c r="J3618" s="692" t="s">
        <v>4060</v>
      </c>
      <c r="K3618" s="692" t="s">
        <v>4060</v>
      </c>
    </row>
    <row r="3619" spans="1:11">
      <c r="A3619" s="688" t="s">
        <v>2489</v>
      </c>
      <c r="B3619" s="690" t="s">
        <v>4060</v>
      </c>
      <c r="C3619" s="690" t="s">
        <v>4060</v>
      </c>
      <c r="D3619" s="689">
        <v>27.9</v>
      </c>
      <c r="E3619" s="689">
        <v>27.8</v>
      </c>
      <c r="F3619" s="689">
        <v>28.2</v>
      </c>
      <c r="G3619" s="693">
        <v>29</v>
      </c>
      <c r="H3619" s="689">
        <v>28.9</v>
      </c>
      <c r="I3619" s="690" t="s">
        <v>4060</v>
      </c>
      <c r="J3619" s="690" t="s">
        <v>4060</v>
      </c>
      <c r="K3619" s="690" t="s">
        <v>4060</v>
      </c>
    </row>
    <row r="3620" spans="1:11">
      <c r="A3620" s="688" t="s">
        <v>2490</v>
      </c>
      <c r="B3620" s="691">
        <v>27.7</v>
      </c>
      <c r="C3620" s="691">
        <v>27.7</v>
      </c>
      <c r="D3620" s="691">
        <v>28.3</v>
      </c>
      <c r="E3620" s="692" t="s">
        <v>4060</v>
      </c>
      <c r="F3620" s="691">
        <v>28.5</v>
      </c>
      <c r="G3620" s="691">
        <v>28.7</v>
      </c>
      <c r="H3620" s="691">
        <v>29.6</v>
      </c>
      <c r="I3620" s="692" t="s">
        <v>4060</v>
      </c>
      <c r="J3620" s="692" t="s">
        <v>4060</v>
      </c>
      <c r="K3620" s="692" t="s">
        <v>4060</v>
      </c>
    </row>
    <row r="3622" spans="1:11">
      <c r="A3622" s="683" t="s">
        <v>4233</v>
      </c>
    </row>
    <row r="3623" spans="1:11">
      <c r="A3623" s="683" t="s">
        <v>4060</v>
      </c>
      <c r="B3623" s="682" t="s">
        <v>4234</v>
      </c>
    </row>
    <row r="3625" spans="1:11">
      <c r="A3625" s="682" t="s">
        <v>4248</v>
      </c>
    </row>
    <row r="3626" spans="1:11">
      <c r="A3626" s="682" t="s">
        <v>4210</v>
      </c>
      <c r="B3626" s="683" t="s">
        <v>4211</v>
      </c>
    </row>
    <row r="3627" spans="1:11">
      <c r="A3627" s="682" t="s">
        <v>4212</v>
      </c>
      <c r="B3627" s="682" t="s">
        <v>4213</v>
      </c>
    </row>
    <row r="3629" spans="1:11">
      <c r="A3629" s="683" t="s">
        <v>4214</v>
      </c>
      <c r="C3629" s="682" t="s">
        <v>4215</v>
      </c>
    </row>
    <row r="3630" spans="1:11">
      <c r="A3630" s="683" t="s">
        <v>4216</v>
      </c>
      <c r="C3630" s="682" t="s">
        <v>2967</v>
      </c>
    </row>
    <row r="3631" spans="1:11">
      <c r="A3631" s="683" t="s">
        <v>3893</v>
      </c>
      <c r="C3631" s="682" t="s">
        <v>4217</v>
      </c>
    </row>
    <row r="3632" spans="1:11">
      <c r="A3632" s="683" t="s">
        <v>4218</v>
      </c>
      <c r="C3632" s="682" t="s">
        <v>4286</v>
      </c>
    </row>
    <row r="3634" spans="1:11">
      <c r="A3634" s="684" t="s">
        <v>4220</v>
      </c>
      <c r="B3634" s="685" t="s">
        <v>4221</v>
      </c>
      <c r="C3634" s="685" t="s">
        <v>4222</v>
      </c>
      <c r="D3634" s="685" t="s">
        <v>4223</v>
      </c>
      <c r="E3634" s="685" t="s">
        <v>4224</v>
      </c>
      <c r="F3634" s="685" t="s">
        <v>4225</v>
      </c>
      <c r="G3634" s="685" t="s">
        <v>4226</v>
      </c>
      <c r="H3634" s="685" t="s">
        <v>4227</v>
      </c>
      <c r="I3634" s="685" t="s">
        <v>4228</v>
      </c>
      <c r="J3634" s="685" t="s">
        <v>4229</v>
      </c>
      <c r="K3634" s="685" t="s">
        <v>4230</v>
      </c>
    </row>
    <row r="3635" spans="1:11">
      <c r="A3635" s="686" t="s">
        <v>4231</v>
      </c>
      <c r="B3635" s="687" t="s">
        <v>4232</v>
      </c>
      <c r="C3635" s="687" t="s">
        <v>4232</v>
      </c>
      <c r="D3635" s="687" t="s">
        <v>4232</v>
      </c>
      <c r="E3635" s="687" t="s">
        <v>4232</v>
      </c>
      <c r="F3635" s="687" t="s">
        <v>4232</v>
      </c>
      <c r="G3635" s="687" t="s">
        <v>4232</v>
      </c>
      <c r="H3635" s="687" t="s">
        <v>4232</v>
      </c>
      <c r="I3635" s="687" t="s">
        <v>4232</v>
      </c>
      <c r="J3635" s="687" t="s">
        <v>4232</v>
      </c>
      <c r="K3635" s="687" t="s">
        <v>4232</v>
      </c>
    </row>
    <row r="3636" spans="1:11">
      <c r="A3636" s="688" t="s">
        <v>4064</v>
      </c>
      <c r="B3636" s="691">
        <v>31.4</v>
      </c>
      <c r="C3636" s="691">
        <v>31.4</v>
      </c>
      <c r="D3636" s="691">
        <v>31.4</v>
      </c>
      <c r="E3636" s="691">
        <v>31.5</v>
      </c>
      <c r="F3636" s="691">
        <v>31.5</v>
      </c>
      <c r="G3636" s="691">
        <v>31.6</v>
      </c>
      <c r="H3636" s="691">
        <v>31.8</v>
      </c>
      <c r="I3636" s="615">
        <v>31</v>
      </c>
      <c r="J3636" s="691">
        <v>30.8</v>
      </c>
      <c r="K3636" s="691">
        <v>31.3</v>
      </c>
    </row>
    <row r="3637" spans="1:11">
      <c r="A3637" s="688" t="s">
        <v>4065</v>
      </c>
      <c r="B3637" s="689">
        <v>31.4</v>
      </c>
      <c r="C3637" s="689">
        <v>31.8</v>
      </c>
      <c r="D3637" s="689">
        <v>31.4</v>
      </c>
      <c r="E3637" s="689">
        <v>31.8</v>
      </c>
      <c r="F3637" s="689">
        <v>31.7</v>
      </c>
      <c r="G3637" s="689">
        <v>31.8</v>
      </c>
      <c r="H3637" s="690" t="s">
        <v>4060</v>
      </c>
      <c r="I3637" s="690" t="s">
        <v>4060</v>
      </c>
      <c r="J3637" s="690" t="s">
        <v>4060</v>
      </c>
      <c r="K3637" s="690" t="s">
        <v>4060</v>
      </c>
    </row>
    <row r="3638" spans="1:11">
      <c r="A3638" s="688" t="s">
        <v>4063</v>
      </c>
      <c r="B3638" s="691">
        <v>31.4</v>
      </c>
      <c r="C3638" s="691">
        <v>31.8</v>
      </c>
      <c r="D3638" s="691">
        <v>31.4</v>
      </c>
      <c r="E3638" s="691">
        <v>31.8</v>
      </c>
      <c r="F3638" s="691">
        <v>31.7</v>
      </c>
      <c r="G3638" s="691">
        <v>31.8</v>
      </c>
      <c r="H3638" s="692" t="s">
        <v>4060</v>
      </c>
      <c r="I3638" s="692" t="s">
        <v>4060</v>
      </c>
      <c r="J3638" s="692" t="s">
        <v>4060</v>
      </c>
      <c r="K3638" s="692" t="s">
        <v>4060</v>
      </c>
    </row>
    <row r="3639" spans="1:11">
      <c r="A3639" s="688" t="s">
        <v>4069</v>
      </c>
      <c r="B3639" s="690" t="s">
        <v>4060</v>
      </c>
      <c r="C3639" s="689">
        <v>32.299999999999997</v>
      </c>
      <c r="D3639" s="693">
        <v>32</v>
      </c>
      <c r="E3639" s="689">
        <v>32.299999999999997</v>
      </c>
      <c r="F3639" s="689">
        <v>32.299999999999997</v>
      </c>
      <c r="G3639" s="689">
        <v>32.4</v>
      </c>
      <c r="H3639" s="689">
        <v>32.700000000000003</v>
      </c>
      <c r="I3639" s="693">
        <v>32</v>
      </c>
      <c r="J3639" s="693">
        <v>32</v>
      </c>
      <c r="K3639" s="689">
        <v>32.1</v>
      </c>
    </row>
    <row r="3640" spans="1:11">
      <c r="A3640" s="688" t="s">
        <v>4068</v>
      </c>
      <c r="B3640" s="691">
        <v>32.299999999999997</v>
      </c>
      <c r="C3640" s="692" t="s">
        <v>4060</v>
      </c>
      <c r="D3640" s="692" t="s">
        <v>4060</v>
      </c>
      <c r="E3640" s="692" t="s">
        <v>4060</v>
      </c>
      <c r="F3640" s="692" t="s">
        <v>4060</v>
      </c>
      <c r="G3640" s="692" t="s">
        <v>4060</v>
      </c>
      <c r="H3640" s="692" t="s">
        <v>4060</v>
      </c>
      <c r="I3640" s="692" t="s">
        <v>4060</v>
      </c>
      <c r="J3640" s="692" t="s">
        <v>4060</v>
      </c>
      <c r="K3640" s="692" t="s">
        <v>4060</v>
      </c>
    </row>
    <row r="3641" spans="1:11">
      <c r="A3641" s="688" t="s">
        <v>0</v>
      </c>
      <c r="B3641" s="689">
        <v>31.5</v>
      </c>
      <c r="C3641" s="689">
        <v>31.9</v>
      </c>
      <c r="D3641" s="689">
        <v>31.6</v>
      </c>
      <c r="E3641" s="693">
        <v>32</v>
      </c>
      <c r="F3641" s="689">
        <v>32.1</v>
      </c>
      <c r="G3641" s="689">
        <v>32.200000000000003</v>
      </c>
      <c r="H3641" s="689">
        <v>32.5</v>
      </c>
      <c r="I3641" s="689">
        <v>31.4</v>
      </c>
      <c r="J3641" s="689">
        <v>32.299999999999997</v>
      </c>
      <c r="K3641" s="689">
        <v>32.299999999999997</v>
      </c>
    </row>
    <row r="3642" spans="1:11">
      <c r="A3642" s="688" t="s">
        <v>1</v>
      </c>
      <c r="B3642" s="691">
        <v>26.9</v>
      </c>
      <c r="C3642" s="691">
        <v>26.5</v>
      </c>
      <c r="D3642" s="691">
        <v>26.6</v>
      </c>
      <c r="E3642" s="691">
        <v>26.7</v>
      </c>
      <c r="F3642" s="691">
        <v>26.6</v>
      </c>
      <c r="G3642" s="691">
        <v>26.7</v>
      </c>
      <c r="H3642" s="691">
        <v>26.9</v>
      </c>
      <c r="I3642" s="691">
        <v>25.3</v>
      </c>
      <c r="J3642" s="691">
        <v>23.6</v>
      </c>
      <c r="K3642" s="615">
        <v>26</v>
      </c>
    </row>
    <row r="3643" spans="1:11">
      <c r="A3643" s="688" t="s">
        <v>2240</v>
      </c>
      <c r="B3643" s="689">
        <v>29.1</v>
      </c>
      <c r="C3643" s="689">
        <v>29.5</v>
      </c>
      <c r="D3643" s="689">
        <v>29.3</v>
      </c>
      <c r="E3643" s="689">
        <v>29.8</v>
      </c>
      <c r="F3643" s="689">
        <v>29.7</v>
      </c>
      <c r="G3643" s="689">
        <v>29.8</v>
      </c>
      <c r="H3643" s="693">
        <v>30</v>
      </c>
      <c r="I3643" s="693">
        <v>29</v>
      </c>
      <c r="J3643" s="689">
        <v>28.1</v>
      </c>
      <c r="K3643" s="689">
        <v>29.8</v>
      </c>
    </row>
    <row r="3644" spans="1:11">
      <c r="A3644" s="688" t="s">
        <v>2</v>
      </c>
      <c r="B3644" s="691">
        <v>30.9</v>
      </c>
      <c r="C3644" s="691">
        <v>31.2</v>
      </c>
      <c r="D3644" s="691">
        <v>31.2</v>
      </c>
      <c r="E3644" s="691">
        <v>31.4</v>
      </c>
      <c r="F3644" s="691">
        <v>31.6</v>
      </c>
      <c r="G3644" s="691">
        <v>31.4</v>
      </c>
      <c r="H3644" s="691">
        <v>31.8</v>
      </c>
      <c r="I3644" s="691">
        <v>31.9</v>
      </c>
      <c r="J3644" s="691">
        <v>31.8</v>
      </c>
      <c r="K3644" s="691">
        <v>31.6</v>
      </c>
    </row>
    <row r="3645" spans="1:11">
      <c r="A3645" s="688" t="s">
        <v>3</v>
      </c>
      <c r="B3645" s="689">
        <v>31.3</v>
      </c>
      <c r="C3645" s="689">
        <v>31.5</v>
      </c>
      <c r="D3645" s="689">
        <v>31.2</v>
      </c>
      <c r="E3645" s="689">
        <v>31.5</v>
      </c>
      <c r="F3645" s="689">
        <v>31.5</v>
      </c>
      <c r="G3645" s="689">
        <v>31.4</v>
      </c>
      <c r="H3645" s="689">
        <v>31.7</v>
      </c>
      <c r="I3645" s="689">
        <v>31.5</v>
      </c>
      <c r="J3645" s="689">
        <v>31.2</v>
      </c>
      <c r="K3645" s="689">
        <v>31.1</v>
      </c>
    </row>
    <row r="3646" spans="1:11">
      <c r="A3646" s="688" t="s">
        <v>4061</v>
      </c>
      <c r="B3646" s="691">
        <v>31.3</v>
      </c>
      <c r="C3646" s="691">
        <v>31.5</v>
      </c>
      <c r="D3646" s="691">
        <v>31.2</v>
      </c>
      <c r="E3646" s="691">
        <v>31.5</v>
      </c>
      <c r="F3646" s="691">
        <v>31.5</v>
      </c>
      <c r="G3646" s="691">
        <v>31.4</v>
      </c>
      <c r="H3646" s="691">
        <v>31.7</v>
      </c>
      <c r="I3646" s="691">
        <v>31.5</v>
      </c>
      <c r="J3646" s="691">
        <v>31.2</v>
      </c>
      <c r="K3646" s="691">
        <v>31.1</v>
      </c>
    </row>
    <row r="3647" spans="1:11">
      <c r="A3647" s="688" t="s">
        <v>4</v>
      </c>
      <c r="B3647" s="689">
        <v>29.1</v>
      </c>
      <c r="C3647" s="693">
        <v>29</v>
      </c>
      <c r="D3647" s="689">
        <v>29.3</v>
      </c>
      <c r="E3647" s="689">
        <v>29.4</v>
      </c>
      <c r="F3647" s="689">
        <v>29.6</v>
      </c>
      <c r="G3647" s="689">
        <v>29.5</v>
      </c>
      <c r="H3647" s="693">
        <v>30</v>
      </c>
      <c r="I3647" s="689">
        <v>29.9</v>
      </c>
      <c r="J3647" s="689">
        <v>28.5</v>
      </c>
      <c r="K3647" s="689">
        <v>29.5</v>
      </c>
    </row>
    <row r="3648" spans="1:11">
      <c r="A3648" s="688" t="s">
        <v>8</v>
      </c>
      <c r="B3648" s="691">
        <v>31.7</v>
      </c>
      <c r="C3648" s="691">
        <v>31.9</v>
      </c>
      <c r="D3648" s="691">
        <v>31.9</v>
      </c>
      <c r="E3648" s="691">
        <v>32.1</v>
      </c>
      <c r="F3648" s="691">
        <v>32.4</v>
      </c>
      <c r="G3648" s="691">
        <v>32.5</v>
      </c>
      <c r="H3648" s="691">
        <v>32.799999999999997</v>
      </c>
      <c r="I3648" s="691">
        <v>32.700000000000003</v>
      </c>
      <c r="J3648" s="691">
        <v>32.5</v>
      </c>
      <c r="K3648" s="691">
        <v>32.700000000000003</v>
      </c>
    </row>
    <row r="3649" spans="1:11">
      <c r="A3649" s="688" t="s">
        <v>7</v>
      </c>
      <c r="B3649" s="689">
        <v>32.1</v>
      </c>
      <c r="C3649" s="689">
        <v>31.8</v>
      </c>
      <c r="D3649" s="689">
        <v>31.5</v>
      </c>
      <c r="E3649" s="689">
        <v>31.8</v>
      </c>
      <c r="F3649" s="689">
        <v>31.7</v>
      </c>
      <c r="G3649" s="689">
        <v>32.1</v>
      </c>
      <c r="H3649" s="689">
        <v>32.1</v>
      </c>
      <c r="I3649" s="689">
        <v>31.7</v>
      </c>
      <c r="J3649" s="689">
        <v>30.8</v>
      </c>
      <c r="K3649" s="689">
        <v>31.4</v>
      </c>
    </row>
    <row r="3650" spans="1:11">
      <c r="A3650" s="688" t="s">
        <v>27</v>
      </c>
      <c r="B3650" s="691">
        <v>33.6</v>
      </c>
      <c r="C3650" s="691">
        <v>33.299999999999997</v>
      </c>
      <c r="D3650" s="615">
        <v>33</v>
      </c>
      <c r="E3650" s="691">
        <v>33.4</v>
      </c>
      <c r="F3650" s="691">
        <v>33.299999999999997</v>
      </c>
      <c r="G3650" s="691">
        <v>33.4</v>
      </c>
      <c r="H3650" s="691">
        <v>33.799999999999997</v>
      </c>
      <c r="I3650" s="691">
        <v>32.5</v>
      </c>
      <c r="J3650" s="691">
        <v>33.299999999999997</v>
      </c>
      <c r="K3650" s="691">
        <v>33.299999999999997</v>
      </c>
    </row>
    <row r="3651" spans="1:11">
      <c r="A3651" s="688" t="s">
        <v>6</v>
      </c>
      <c r="B3651" s="689">
        <v>33.4</v>
      </c>
      <c r="C3651" s="689">
        <v>33.299999999999997</v>
      </c>
      <c r="D3651" s="689">
        <v>33.1</v>
      </c>
      <c r="E3651" s="689">
        <v>33.299999999999997</v>
      </c>
      <c r="F3651" s="689">
        <v>33.299999999999997</v>
      </c>
      <c r="G3651" s="689">
        <v>33.5</v>
      </c>
      <c r="H3651" s="689">
        <v>33.6</v>
      </c>
      <c r="I3651" s="693">
        <v>33</v>
      </c>
      <c r="J3651" s="689">
        <v>33.1</v>
      </c>
      <c r="K3651" s="689">
        <v>33.200000000000003</v>
      </c>
    </row>
    <row r="3652" spans="1:11">
      <c r="A3652" s="688" t="s">
        <v>4058</v>
      </c>
      <c r="B3652" s="692" t="s">
        <v>4060</v>
      </c>
      <c r="C3652" s="692" t="s">
        <v>4060</v>
      </c>
      <c r="D3652" s="692" t="s">
        <v>4060</v>
      </c>
      <c r="E3652" s="692" t="s">
        <v>4060</v>
      </c>
      <c r="F3652" s="692" t="s">
        <v>4060</v>
      </c>
      <c r="G3652" s="692" t="s">
        <v>4060</v>
      </c>
      <c r="H3652" s="692" t="s">
        <v>4060</v>
      </c>
      <c r="I3652" s="692" t="s">
        <v>4060</v>
      </c>
      <c r="J3652" s="692" t="s">
        <v>4060</v>
      </c>
      <c r="K3652" s="692" t="s">
        <v>4060</v>
      </c>
    </row>
    <row r="3653" spans="1:11">
      <c r="A3653" s="688" t="s">
        <v>11</v>
      </c>
      <c r="B3653" s="689">
        <v>28.8</v>
      </c>
      <c r="C3653" s="689">
        <v>28.7</v>
      </c>
      <c r="D3653" s="689">
        <v>28.4</v>
      </c>
      <c r="E3653" s="689">
        <v>28.9</v>
      </c>
      <c r="F3653" s="689">
        <v>28.7</v>
      </c>
      <c r="G3653" s="689">
        <v>28.9</v>
      </c>
      <c r="H3653" s="689">
        <v>29.2</v>
      </c>
      <c r="I3653" s="689">
        <v>28.5</v>
      </c>
      <c r="J3653" s="689">
        <v>27.6</v>
      </c>
      <c r="K3653" s="689">
        <v>28.6</v>
      </c>
    </row>
    <row r="3654" spans="1:11">
      <c r="A3654" s="688" t="s">
        <v>10</v>
      </c>
      <c r="B3654" s="691">
        <v>33.299999999999997</v>
      </c>
      <c r="C3654" s="691">
        <v>33.200000000000003</v>
      </c>
      <c r="D3654" s="691">
        <v>32.799999999999997</v>
      </c>
      <c r="E3654" s="691">
        <v>33.299999999999997</v>
      </c>
      <c r="F3654" s="691">
        <v>33.1</v>
      </c>
      <c r="G3654" s="691">
        <v>33.5</v>
      </c>
      <c r="H3654" s="691">
        <v>33.6</v>
      </c>
      <c r="I3654" s="691">
        <v>32.5</v>
      </c>
      <c r="J3654" s="691">
        <v>32.9</v>
      </c>
      <c r="K3654" s="615">
        <v>33</v>
      </c>
    </row>
    <row r="3655" spans="1:11">
      <c r="A3655" s="688" t="s">
        <v>30</v>
      </c>
      <c r="B3655" s="689">
        <v>32.700000000000003</v>
      </c>
      <c r="C3655" s="689">
        <v>32.5</v>
      </c>
      <c r="D3655" s="689">
        <v>32.200000000000003</v>
      </c>
      <c r="E3655" s="693">
        <v>33</v>
      </c>
      <c r="F3655" s="689">
        <v>32.6</v>
      </c>
      <c r="G3655" s="689">
        <v>33.200000000000003</v>
      </c>
      <c r="H3655" s="689">
        <v>32.9</v>
      </c>
      <c r="I3655" s="689">
        <v>32.9</v>
      </c>
      <c r="J3655" s="689">
        <v>32.200000000000003</v>
      </c>
      <c r="K3655" s="689">
        <v>32.5</v>
      </c>
    </row>
    <row r="3656" spans="1:11">
      <c r="A3656" s="688" t="s">
        <v>12</v>
      </c>
      <c r="B3656" s="615">
        <v>27</v>
      </c>
      <c r="C3656" s="691">
        <v>27.1</v>
      </c>
      <c r="D3656" s="691">
        <v>27.2</v>
      </c>
      <c r="E3656" s="691">
        <v>27.3</v>
      </c>
      <c r="F3656" s="691">
        <v>27.3</v>
      </c>
      <c r="G3656" s="691">
        <v>27.4</v>
      </c>
      <c r="H3656" s="691">
        <v>27.8</v>
      </c>
      <c r="I3656" s="691">
        <v>27.6</v>
      </c>
      <c r="J3656" s="691">
        <v>25.6</v>
      </c>
      <c r="K3656" s="691">
        <v>26.9</v>
      </c>
    </row>
    <row r="3657" spans="1:11">
      <c r="A3657" s="688" t="s">
        <v>14</v>
      </c>
      <c r="B3657" s="689">
        <v>27.2</v>
      </c>
      <c r="C3657" s="689">
        <v>27.5</v>
      </c>
      <c r="D3657" s="689">
        <v>27.2</v>
      </c>
      <c r="E3657" s="689">
        <v>27.4</v>
      </c>
      <c r="F3657" s="693">
        <v>28</v>
      </c>
      <c r="G3657" s="689">
        <v>28.1</v>
      </c>
      <c r="H3657" s="689">
        <v>28.4</v>
      </c>
      <c r="I3657" s="689">
        <v>27.3</v>
      </c>
      <c r="J3657" s="689">
        <v>26.6</v>
      </c>
      <c r="K3657" s="689">
        <v>27.7</v>
      </c>
    </row>
    <row r="3658" spans="1:11">
      <c r="A3658" s="688" t="s">
        <v>15</v>
      </c>
      <c r="B3658" s="691">
        <v>32.5</v>
      </c>
      <c r="C3658" s="691">
        <v>32.4</v>
      </c>
      <c r="D3658" s="691">
        <v>32.299999999999997</v>
      </c>
      <c r="E3658" s="691">
        <v>32.700000000000003</v>
      </c>
      <c r="F3658" s="691">
        <v>32.299999999999997</v>
      </c>
      <c r="G3658" s="691">
        <v>32.5</v>
      </c>
      <c r="H3658" s="691">
        <v>32.799999999999997</v>
      </c>
      <c r="I3658" s="691">
        <v>32.5</v>
      </c>
      <c r="J3658" s="691">
        <v>32.799999999999997</v>
      </c>
      <c r="K3658" s="691">
        <v>33.1</v>
      </c>
    </row>
    <row r="3659" spans="1:11">
      <c r="A3659" s="688" t="s">
        <v>29</v>
      </c>
      <c r="B3659" s="689">
        <v>27.1</v>
      </c>
      <c r="C3659" s="689">
        <v>27.1</v>
      </c>
      <c r="D3659" s="689">
        <v>26.8</v>
      </c>
      <c r="E3659" s="689">
        <v>27.2</v>
      </c>
      <c r="F3659" s="693">
        <v>27</v>
      </c>
      <c r="G3659" s="689">
        <v>27.1</v>
      </c>
      <c r="H3659" s="689">
        <v>27.3</v>
      </c>
      <c r="I3659" s="689">
        <v>26.6</v>
      </c>
      <c r="J3659" s="689">
        <v>25.4</v>
      </c>
      <c r="K3659" s="693">
        <v>27</v>
      </c>
    </row>
    <row r="3660" spans="1:11">
      <c r="A3660" s="688" t="s">
        <v>16</v>
      </c>
      <c r="B3660" s="691">
        <v>32.4</v>
      </c>
      <c r="C3660" s="691">
        <v>32.299999999999997</v>
      </c>
      <c r="D3660" s="691">
        <v>32.299999999999997</v>
      </c>
      <c r="E3660" s="691">
        <v>32.9</v>
      </c>
      <c r="F3660" s="691">
        <v>32.700000000000003</v>
      </c>
      <c r="G3660" s="691">
        <v>32.6</v>
      </c>
      <c r="H3660" s="691">
        <v>33.1</v>
      </c>
      <c r="I3660" s="691">
        <v>32.4</v>
      </c>
      <c r="J3660" s="691">
        <v>32.4</v>
      </c>
      <c r="K3660" s="691">
        <v>32.6</v>
      </c>
    </row>
    <row r="3661" spans="1:11">
      <c r="A3661" s="688" t="s">
        <v>17</v>
      </c>
      <c r="B3661" s="689">
        <v>31.9</v>
      </c>
      <c r="C3661" s="689">
        <v>32.1</v>
      </c>
      <c r="D3661" s="689">
        <v>31.9</v>
      </c>
      <c r="E3661" s="693">
        <v>32</v>
      </c>
      <c r="F3661" s="689">
        <v>32.200000000000003</v>
      </c>
      <c r="G3661" s="689">
        <v>32.200000000000003</v>
      </c>
      <c r="H3661" s="689">
        <v>32.4</v>
      </c>
      <c r="I3661" s="689">
        <v>31.8</v>
      </c>
      <c r="J3661" s="689">
        <v>31.8</v>
      </c>
      <c r="K3661" s="689">
        <v>32.1</v>
      </c>
    </row>
    <row r="3662" spans="1:11">
      <c r="A3662" s="688" t="s">
        <v>19</v>
      </c>
      <c r="B3662" s="691">
        <v>31.9</v>
      </c>
      <c r="C3662" s="615">
        <v>32</v>
      </c>
      <c r="D3662" s="691">
        <v>31.7</v>
      </c>
      <c r="E3662" s="691">
        <v>32.1</v>
      </c>
      <c r="F3662" s="691">
        <v>32.1</v>
      </c>
      <c r="G3662" s="691">
        <v>32.200000000000003</v>
      </c>
      <c r="H3662" s="691">
        <v>32.5</v>
      </c>
      <c r="I3662" s="691">
        <v>31.8</v>
      </c>
      <c r="J3662" s="691">
        <v>31.8</v>
      </c>
      <c r="K3662" s="691">
        <v>31.9</v>
      </c>
    </row>
    <row r="3663" spans="1:11">
      <c r="A3663" s="688" t="s">
        <v>20</v>
      </c>
      <c r="B3663" s="689">
        <v>28.7</v>
      </c>
      <c r="C3663" s="693">
        <v>29</v>
      </c>
      <c r="D3663" s="689">
        <v>28.8</v>
      </c>
      <c r="E3663" s="689">
        <v>29.2</v>
      </c>
      <c r="F3663" s="689">
        <v>29.1</v>
      </c>
      <c r="G3663" s="693">
        <v>29</v>
      </c>
      <c r="H3663" s="689">
        <v>29.3</v>
      </c>
      <c r="I3663" s="689">
        <v>27.9</v>
      </c>
      <c r="J3663" s="693">
        <v>27</v>
      </c>
      <c r="K3663" s="689">
        <v>28.6</v>
      </c>
    </row>
    <row r="3664" spans="1:11">
      <c r="A3664" s="688" t="s">
        <v>21</v>
      </c>
      <c r="B3664" s="691">
        <v>31.8</v>
      </c>
      <c r="C3664" s="691">
        <v>32.1</v>
      </c>
      <c r="D3664" s="691">
        <v>32.1</v>
      </c>
      <c r="E3664" s="615">
        <v>32</v>
      </c>
      <c r="F3664" s="691">
        <v>32.299999999999997</v>
      </c>
      <c r="G3664" s="691">
        <v>32.299999999999997</v>
      </c>
      <c r="H3664" s="691">
        <v>32.6</v>
      </c>
      <c r="I3664" s="615">
        <v>32</v>
      </c>
      <c r="J3664" s="615">
        <v>32</v>
      </c>
      <c r="K3664" s="691">
        <v>32.299999999999997</v>
      </c>
    </row>
    <row r="3665" spans="1:11">
      <c r="A3665" s="688" t="s">
        <v>22</v>
      </c>
      <c r="B3665" s="689">
        <v>27.2</v>
      </c>
      <c r="C3665" s="693">
        <v>27</v>
      </c>
      <c r="D3665" s="689">
        <v>26.9</v>
      </c>
      <c r="E3665" s="689">
        <v>27.1</v>
      </c>
      <c r="F3665" s="689">
        <v>27.1</v>
      </c>
      <c r="G3665" s="689">
        <v>27.1</v>
      </c>
      <c r="H3665" s="689">
        <v>27.3</v>
      </c>
      <c r="I3665" s="689">
        <v>25.9</v>
      </c>
      <c r="J3665" s="689">
        <v>24.7</v>
      </c>
      <c r="K3665" s="689">
        <v>26.8</v>
      </c>
    </row>
    <row r="3666" spans="1:11">
      <c r="A3666" s="688" t="s">
        <v>26</v>
      </c>
      <c r="B3666" s="691">
        <v>31.2</v>
      </c>
      <c r="C3666" s="691">
        <v>31.4</v>
      </c>
      <c r="D3666" s="691">
        <v>31.2</v>
      </c>
      <c r="E3666" s="691">
        <v>31.5</v>
      </c>
      <c r="F3666" s="691">
        <v>31.3</v>
      </c>
      <c r="G3666" s="691">
        <v>31.6</v>
      </c>
      <c r="H3666" s="691">
        <v>31.8</v>
      </c>
      <c r="I3666" s="691">
        <v>30.9</v>
      </c>
      <c r="J3666" s="691">
        <v>31.1</v>
      </c>
      <c r="K3666" s="691">
        <v>31.7</v>
      </c>
    </row>
    <row r="3667" spans="1:11">
      <c r="A3667" s="688" t="s">
        <v>25</v>
      </c>
      <c r="B3667" s="693">
        <v>28</v>
      </c>
      <c r="C3667" s="689">
        <v>28.3</v>
      </c>
      <c r="D3667" s="689">
        <v>28.1</v>
      </c>
      <c r="E3667" s="689">
        <v>28.6</v>
      </c>
      <c r="F3667" s="689">
        <v>28.5</v>
      </c>
      <c r="G3667" s="689">
        <v>28.6</v>
      </c>
      <c r="H3667" s="693">
        <v>29</v>
      </c>
      <c r="I3667" s="689">
        <v>28.3</v>
      </c>
      <c r="J3667" s="689">
        <v>26.1</v>
      </c>
      <c r="K3667" s="689">
        <v>28.3</v>
      </c>
    </row>
    <row r="3668" spans="1:11">
      <c r="A3668" s="688" t="s">
        <v>5</v>
      </c>
      <c r="B3668" s="615">
        <v>32</v>
      </c>
      <c r="C3668" s="691">
        <v>31.8</v>
      </c>
      <c r="D3668" s="615">
        <v>32</v>
      </c>
      <c r="E3668" s="615">
        <v>32</v>
      </c>
      <c r="F3668" s="691">
        <v>32.200000000000003</v>
      </c>
      <c r="G3668" s="691">
        <v>32.299999999999997</v>
      </c>
      <c r="H3668" s="691">
        <v>32.700000000000003</v>
      </c>
      <c r="I3668" s="691">
        <v>32.6</v>
      </c>
      <c r="J3668" s="691">
        <v>32.4</v>
      </c>
      <c r="K3668" s="691">
        <v>31.9</v>
      </c>
    </row>
    <row r="3669" spans="1:11">
      <c r="A3669" s="688" t="s">
        <v>23</v>
      </c>
      <c r="B3669" s="689">
        <v>32.5</v>
      </c>
      <c r="C3669" s="689">
        <v>32.6</v>
      </c>
      <c r="D3669" s="689">
        <v>32.6</v>
      </c>
      <c r="E3669" s="689">
        <v>32.799999999999997</v>
      </c>
      <c r="F3669" s="689">
        <v>32.9</v>
      </c>
      <c r="G3669" s="689">
        <v>32.9</v>
      </c>
      <c r="H3669" s="689">
        <v>33.4</v>
      </c>
      <c r="I3669" s="689">
        <v>32.799999999999997</v>
      </c>
      <c r="J3669" s="689">
        <v>33.299999999999997</v>
      </c>
      <c r="K3669" s="689">
        <v>33.299999999999997</v>
      </c>
    </row>
    <row r="3670" spans="1:11">
      <c r="A3670" s="688" t="s">
        <v>4067</v>
      </c>
      <c r="B3670" s="691">
        <v>31.4</v>
      </c>
      <c r="C3670" s="691">
        <v>31.8</v>
      </c>
      <c r="D3670" s="691">
        <v>31.4</v>
      </c>
      <c r="E3670" s="691">
        <v>31.8</v>
      </c>
      <c r="F3670" s="691">
        <v>31.7</v>
      </c>
      <c r="G3670" s="691">
        <v>31.8</v>
      </c>
      <c r="H3670" s="692" t="s">
        <v>4060</v>
      </c>
      <c r="I3670" s="692" t="s">
        <v>4060</v>
      </c>
      <c r="J3670" s="692" t="s">
        <v>4060</v>
      </c>
      <c r="K3670" s="692" t="s">
        <v>4060</v>
      </c>
    </row>
    <row r="3671" spans="1:11">
      <c r="A3671" s="688" t="s">
        <v>4066</v>
      </c>
      <c r="B3671" s="689">
        <v>31.4</v>
      </c>
      <c r="C3671" s="689">
        <v>31.8</v>
      </c>
      <c r="D3671" s="689">
        <v>31.5</v>
      </c>
      <c r="E3671" s="689">
        <v>31.8</v>
      </c>
      <c r="F3671" s="689">
        <v>31.8</v>
      </c>
      <c r="G3671" s="689">
        <v>31.8</v>
      </c>
      <c r="H3671" s="690" t="s">
        <v>4060</v>
      </c>
      <c r="I3671" s="690" t="s">
        <v>4060</v>
      </c>
      <c r="J3671" s="690" t="s">
        <v>4060</v>
      </c>
      <c r="K3671" s="690" t="s">
        <v>4060</v>
      </c>
    </row>
    <row r="3672" spans="1:11">
      <c r="A3672" s="688" t="s">
        <v>4062</v>
      </c>
      <c r="B3672" s="615">
        <v>33</v>
      </c>
      <c r="C3672" s="691">
        <v>33.1</v>
      </c>
      <c r="D3672" s="615">
        <v>33</v>
      </c>
      <c r="E3672" s="691">
        <v>33.4</v>
      </c>
      <c r="F3672" s="691">
        <v>33.5</v>
      </c>
      <c r="G3672" s="691">
        <v>33.6</v>
      </c>
      <c r="H3672" s="691">
        <v>33.799999999999997</v>
      </c>
      <c r="I3672" s="691">
        <v>33.4</v>
      </c>
      <c r="J3672" s="691">
        <v>33.700000000000003</v>
      </c>
      <c r="K3672" s="691">
        <v>33.5</v>
      </c>
    </row>
    <row r="3673" spans="1:11">
      <c r="A3673" s="688" t="s">
        <v>9</v>
      </c>
      <c r="B3673" s="689">
        <v>32.6</v>
      </c>
      <c r="C3673" s="689">
        <v>32.9</v>
      </c>
      <c r="D3673" s="689">
        <v>32.9</v>
      </c>
      <c r="E3673" s="689">
        <v>32.5</v>
      </c>
      <c r="F3673" s="689">
        <v>32.9</v>
      </c>
      <c r="G3673" s="689">
        <v>33.200000000000003</v>
      </c>
      <c r="H3673" s="689">
        <v>33.299999999999997</v>
      </c>
      <c r="I3673" s="689">
        <v>33.4</v>
      </c>
      <c r="J3673" s="689">
        <v>33.6</v>
      </c>
      <c r="K3673" s="689">
        <v>32.6</v>
      </c>
    </row>
    <row r="3674" spans="1:11">
      <c r="A3674" s="688" t="s">
        <v>13</v>
      </c>
      <c r="B3674" s="615">
        <v>33</v>
      </c>
      <c r="C3674" s="691">
        <v>32.299999999999997</v>
      </c>
      <c r="D3674" s="691">
        <v>33.1</v>
      </c>
      <c r="E3674" s="691">
        <v>32.4</v>
      </c>
      <c r="F3674" s="691">
        <v>33.6</v>
      </c>
      <c r="G3674" s="691">
        <v>33.4</v>
      </c>
      <c r="H3674" s="691">
        <v>33.6</v>
      </c>
      <c r="I3674" s="691">
        <v>32.6</v>
      </c>
      <c r="J3674" s="691">
        <v>33.9</v>
      </c>
      <c r="K3674" s="691">
        <v>34.200000000000003</v>
      </c>
    </row>
    <row r="3675" spans="1:11">
      <c r="A3675" s="688" t="s">
        <v>18</v>
      </c>
      <c r="B3675" s="689">
        <v>32.299999999999997</v>
      </c>
      <c r="C3675" s="689">
        <v>32.5</v>
      </c>
      <c r="D3675" s="689">
        <v>32.6</v>
      </c>
      <c r="E3675" s="689">
        <v>32.799999999999997</v>
      </c>
      <c r="F3675" s="689">
        <v>32.9</v>
      </c>
      <c r="G3675" s="689">
        <v>33.1</v>
      </c>
      <c r="H3675" s="689">
        <v>33.299999999999997</v>
      </c>
      <c r="I3675" s="689">
        <v>33.5</v>
      </c>
      <c r="J3675" s="689">
        <v>33.4</v>
      </c>
      <c r="K3675" s="689">
        <v>32.9</v>
      </c>
    </row>
    <row r="3676" spans="1:11">
      <c r="A3676" s="688" t="s">
        <v>24</v>
      </c>
      <c r="B3676" s="691">
        <v>33.4</v>
      </c>
      <c r="C3676" s="691">
        <v>33.5</v>
      </c>
      <c r="D3676" s="691">
        <v>33.299999999999997</v>
      </c>
      <c r="E3676" s="691">
        <v>33.799999999999997</v>
      </c>
      <c r="F3676" s="691">
        <v>33.799999999999997</v>
      </c>
      <c r="G3676" s="691">
        <v>33.9</v>
      </c>
      <c r="H3676" s="615">
        <v>34</v>
      </c>
      <c r="I3676" s="691">
        <v>33.4</v>
      </c>
      <c r="J3676" s="691">
        <v>33.9</v>
      </c>
      <c r="K3676" s="691">
        <v>33.799999999999997</v>
      </c>
    </row>
    <row r="3677" spans="1:11">
      <c r="A3677" s="688" t="s">
        <v>4059</v>
      </c>
      <c r="B3677" s="689">
        <v>31.9</v>
      </c>
      <c r="C3677" s="689">
        <v>32.200000000000003</v>
      </c>
      <c r="D3677" s="689">
        <v>31.9</v>
      </c>
      <c r="E3677" s="689">
        <v>32.1</v>
      </c>
      <c r="F3677" s="689">
        <v>32.1</v>
      </c>
      <c r="G3677" s="689">
        <v>32.200000000000003</v>
      </c>
      <c r="H3677" s="690" t="s">
        <v>4060</v>
      </c>
      <c r="I3677" s="690" t="s">
        <v>4060</v>
      </c>
      <c r="J3677" s="690" t="s">
        <v>4060</v>
      </c>
      <c r="K3677" s="690" t="s">
        <v>4060</v>
      </c>
    </row>
    <row r="3678" spans="1:11">
      <c r="A3678" s="688" t="s">
        <v>2324</v>
      </c>
      <c r="B3678" s="691">
        <v>27.7</v>
      </c>
      <c r="C3678" s="691">
        <v>27.7</v>
      </c>
      <c r="D3678" s="691">
        <v>27.3</v>
      </c>
      <c r="E3678" s="691">
        <v>27.4</v>
      </c>
      <c r="F3678" s="691">
        <v>27.7</v>
      </c>
      <c r="G3678" s="691">
        <v>27.8</v>
      </c>
      <c r="H3678" s="691">
        <v>27.8</v>
      </c>
      <c r="I3678" s="691">
        <v>26.9</v>
      </c>
      <c r="J3678" s="691">
        <v>24.9</v>
      </c>
      <c r="K3678" s="692" t="s">
        <v>4060</v>
      </c>
    </row>
    <row r="3679" spans="1:11">
      <c r="A3679" s="688" t="s">
        <v>2322</v>
      </c>
      <c r="B3679" s="690" t="s">
        <v>4060</v>
      </c>
      <c r="C3679" s="690" t="s">
        <v>4060</v>
      </c>
      <c r="D3679" s="690" t="s">
        <v>4060</v>
      </c>
      <c r="E3679" s="690" t="s">
        <v>4060</v>
      </c>
      <c r="F3679" s="690" t="s">
        <v>4060</v>
      </c>
      <c r="G3679" s="690" t="s">
        <v>4060</v>
      </c>
      <c r="H3679" s="690" t="s">
        <v>4060</v>
      </c>
      <c r="I3679" s="690" t="s">
        <v>4060</v>
      </c>
      <c r="J3679" s="690" t="s">
        <v>4060</v>
      </c>
      <c r="K3679" s="690" t="s">
        <v>4060</v>
      </c>
    </row>
    <row r="3680" spans="1:11">
      <c r="A3680" s="688" t="s">
        <v>2328</v>
      </c>
      <c r="B3680" s="691">
        <v>26.9</v>
      </c>
      <c r="C3680" s="691">
        <v>26.8</v>
      </c>
      <c r="D3680" s="691">
        <v>26.7</v>
      </c>
      <c r="E3680" s="615">
        <v>27</v>
      </c>
      <c r="F3680" s="691">
        <v>27.2</v>
      </c>
      <c r="G3680" s="691">
        <v>27.6</v>
      </c>
      <c r="H3680" s="691">
        <v>27.5</v>
      </c>
      <c r="I3680" s="691">
        <v>25.4</v>
      </c>
      <c r="J3680" s="691">
        <v>24.5</v>
      </c>
      <c r="K3680" s="692" t="s">
        <v>4060</v>
      </c>
    </row>
    <row r="3681" spans="1:11">
      <c r="A3681" s="688" t="s">
        <v>2496</v>
      </c>
      <c r="B3681" s="690" t="s">
        <v>4060</v>
      </c>
      <c r="C3681" s="689">
        <v>26.7</v>
      </c>
      <c r="D3681" s="689">
        <v>25.7</v>
      </c>
      <c r="E3681" s="689">
        <v>25.5</v>
      </c>
      <c r="F3681" s="689">
        <v>26.2</v>
      </c>
      <c r="G3681" s="689">
        <v>26.4</v>
      </c>
      <c r="H3681" s="689">
        <v>26.4</v>
      </c>
      <c r="I3681" s="690" t="s">
        <v>4060</v>
      </c>
      <c r="J3681" s="690" t="s">
        <v>4060</v>
      </c>
      <c r="K3681" s="693">
        <v>26</v>
      </c>
    </row>
    <row r="3682" spans="1:11">
      <c r="A3682" s="688" t="s">
        <v>2269</v>
      </c>
      <c r="B3682" s="691">
        <v>29.6</v>
      </c>
      <c r="C3682" s="691">
        <v>29.8</v>
      </c>
      <c r="D3682" s="691">
        <v>29.3</v>
      </c>
      <c r="E3682" s="691">
        <v>29.8</v>
      </c>
      <c r="F3682" s="691">
        <v>29.7</v>
      </c>
      <c r="G3682" s="691">
        <v>30.1</v>
      </c>
      <c r="H3682" s="691">
        <v>30.4</v>
      </c>
      <c r="I3682" s="691">
        <v>28.6</v>
      </c>
      <c r="J3682" s="691">
        <v>26.8</v>
      </c>
      <c r="K3682" s="615">
        <v>30</v>
      </c>
    </row>
    <row r="3683" spans="1:11">
      <c r="A3683" s="688" t="s">
        <v>2349</v>
      </c>
      <c r="B3683" s="689">
        <v>26.7</v>
      </c>
      <c r="C3683" s="689">
        <v>26.7</v>
      </c>
      <c r="D3683" s="689">
        <v>26.6</v>
      </c>
      <c r="E3683" s="693">
        <v>27</v>
      </c>
      <c r="F3683" s="689">
        <v>26.8</v>
      </c>
      <c r="G3683" s="689">
        <v>27.1</v>
      </c>
      <c r="H3683" s="689">
        <v>27.1</v>
      </c>
      <c r="I3683" s="689">
        <v>25.7</v>
      </c>
      <c r="J3683" s="689">
        <v>24.3</v>
      </c>
      <c r="K3683" s="689">
        <v>26.4</v>
      </c>
    </row>
    <row r="3684" spans="1:11">
      <c r="A3684" s="688" t="s">
        <v>2355</v>
      </c>
      <c r="B3684" s="615">
        <v>30</v>
      </c>
      <c r="C3684" s="691">
        <v>29.8</v>
      </c>
      <c r="D3684" s="691">
        <v>29.8</v>
      </c>
      <c r="E3684" s="691">
        <v>29.7</v>
      </c>
      <c r="F3684" s="691">
        <v>29.9</v>
      </c>
      <c r="G3684" s="691">
        <v>30.3</v>
      </c>
      <c r="H3684" s="691">
        <v>30.4</v>
      </c>
      <c r="I3684" s="692" t="s">
        <v>4060</v>
      </c>
      <c r="J3684" s="692" t="s">
        <v>4060</v>
      </c>
      <c r="K3684" s="692" t="s">
        <v>4060</v>
      </c>
    </row>
    <row r="3685" spans="1:11">
      <c r="A3685" s="688" t="s">
        <v>2357</v>
      </c>
      <c r="B3685" s="690" t="s">
        <v>4060</v>
      </c>
      <c r="C3685" s="689">
        <v>25.6</v>
      </c>
      <c r="D3685" s="693">
        <v>26</v>
      </c>
      <c r="E3685" s="689">
        <v>26.2</v>
      </c>
      <c r="F3685" s="689">
        <v>26.5</v>
      </c>
      <c r="G3685" s="689">
        <v>26.4</v>
      </c>
      <c r="H3685" s="689">
        <v>26.6</v>
      </c>
      <c r="I3685" s="690" t="s">
        <v>4060</v>
      </c>
      <c r="J3685" s="690" t="s">
        <v>4060</v>
      </c>
      <c r="K3685" s="690" t="s">
        <v>4060</v>
      </c>
    </row>
    <row r="3686" spans="1:11">
      <c r="A3686" s="688" t="s">
        <v>4070</v>
      </c>
      <c r="B3686" s="692" t="s">
        <v>4060</v>
      </c>
      <c r="C3686" s="692" t="s">
        <v>4060</v>
      </c>
      <c r="D3686" s="692" t="s">
        <v>4060</v>
      </c>
      <c r="E3686" s="691">
        <v>29.4</v>
      </c>
      <c r="F3686" s="692" t="s">
        <v>4060</v>
      </c>
      <c r="G3686" s="692" t="s">
        <v>4060</v>
      </c>
      <c r="H3686" s="692" t="s">
        <v>4060</v>
      </c>
      <c r="I3686" s="692" t="s">
        <v>4060</v>
      </c>
      <c r="J3686" s="692" t="s">
        <v>4060</v>
      </c>
      <c r="K3686" s="692" t="s">
        <v>4060</v>
      </c>
    </row>
    <row r="3687" spans="1:11">
      <c r="A3687" s="688" t="s">
        <v>2491</v>
      </c>
      <c r="B3687" s="689">
        <v>25.6</v>
      </c>
      <c r="C3687" s="693">
        <v>26</v>
      </c>
      <c r="D3687" s="689">
        <v>26.3</v>
      </c>
      <c r="E3687" s="689">
        <v>26.5</v>
      </c>
      <c r="F3687" s="689">
        <v>26.6</v>
      </c>
      <c r="G3687" s="689">
        <v>26.6</v>
      </c>
      <c r="H3687" s="690" t="s">
        <v>4060</v>
      </c>
      <c r="I3687" s="690" t="s">
        <v>4060</v>
      </c>
      <c r="J3687" s="690" t="s">
        <v>4060</v>
      </c>
      <c r="K3687" s="690" t="s">
        <v>4060</v>
      </c>
    </row>
    <row r="3688" spans="1:11">
      <c r="A3688" s="688" t="s">
        <v>2343</v>
      </c>
      <c r="B3688" s="692" t="s">
        <v>4060</v>
      </c>
      <c r="C3688" s="692" t="s">
        <v>4060</v>
      </c>
      <c r="D3688" s="692" t="s">
        <v>4060</v>
      </c>
      <c r="E3688" s="692" t="s">
        <v>4060</v>
      </c>
      <c r="F3688" s="692" t="s">
        <v>4060</v>
      </c>
      <c r="G3688" s="692" t="s">
        <v>4060</v>
      </c>
      <c r="H3688" s="692" t="s">
        <v>4060</v>
      </c>
      <c r="I3688" s="692" t="s">
        <v>4060</v>
      </c>
      <c r="J3688" s="692" t="s">
        <v>4060</v>
      </c>
      <c r="K3688" s="692" t="s">
        <v>4060</v>
      </c>
    </row>
    <row r="3689" spans="1:11">
      <c r="A3689" s="688" t="s">
        <v>4071</v>
      </c>
      <c r="B3689" s="690" t="s">
        <v>4060</v>
      </c>
      <c r="C3689" s="690" t="s">
        <v>4060</v>
      </c>
      <c r="D3689" s="690" t="s">
        <v>4060</v>
      </c>
      <c r="E3689" s="690" t="s">
        <v>4060</v>
      </c>
      <c r="F3689" s="690" t="s">
        <v>4060</v>
      </c>
      <c r="G3689" s="690" t="s">
        <v>4060</v>
      </c>
      <c r="H3689" s="690" t="s">
        <v>4060</v>
      </c>
      <c r="I3689" s="690" t="s">
        <v>4060</v>
      </c>
      <c r="J3689" s="690" t="s">
        <v>4060</v>
      </c>
      <c r="K3689" s="690" t="s">
        <v>4060</v>
      </c>
    </row>
    <row r="3690" spans="1:11">
      <c r="A3690" s="688" t="s">
        <v>2489</v>
      </c>
      <c r="B3690" s="692" t="s">
        <v>4060</v>
      </c>
      <c r="C3690" s="692" t="s">
        <v>4060</v>
      </c>
      <c r="D3690" s="615">
        <v>27</v>
      </c>
      <c r="E3690" s="615">
        <v>27</v>
      </c>
      <c r="F3690" s="691">
        <v>27.4</v>
      </c>
      <c r="G3690" s="691">
        <v>28.2</v>
      </c>
      <c r="H3690" s="615">
        <v>28</v>
      </c>
      <c r="I3690" s="692" t="s">
        <v>4060</v>
      </c>
      <c r="J3690" s="692" t="s">
        <v>4060</v>
      </c>
      <c r="K3690" s="692" t="s">
        <v>4060</v>
      </c>
    </row>
    <row r="3691" spans="1:11">
      <c r="A3691" s="688" t="s">
        <v>2490</v>
      </c>
      <c r="B3691" s="689">
        <v>26.8</v>
      </c>
      <c r="C3691" s="689">
        <v>26.8</v>
      </c>
      <c r="D3691" s="689">
        <v>27.4</v>
      </c>
      <c r="E3691" s="690" t="s">
        <v>4060</v>
      </c>
      <c r="F3691" s="689">
        <v>27.6</v>
      </c>
      <c r="G3691" s="689">
        <v>27.9</v>
      </c>
      <c r="H3691" s="689">
        <v>28.7</v>
      </c>
      <c r="I3691" s="690" t="s">
        <v>4060</v>
      </c>
      <c r="J3691" s="690" t="s">
        <v>4060</v>
      </c>
      <c r="K3691" s="690" t="s">
        <v>4060</v>
      </c>
    </row>
    <row r="3693" spans="1:11">
      <c r="A3693" s="683" t="s">
        <v>4233</v>
      </c>
    </row>
    <row r="3694" spans="1:11">
      <c r="A3694" s="683" t="s">
        <v>4060</v>
      </c>
      <c r="B3694" s="682" t="s">
        <v>4234</v>
      </c>
    </row>
    <row r="3696" spans="1:11">
      <c r="A3696" s="682" t="s">
        <v>4248</v>
      </c>
    </row>
    <row r="3697" spans="1:11">
      <c r="A3697" s="682" t="s">
        <v>4210</v>
      </c>
      <c r="B3697" s="683" t="s">
        <v>4211</v>
      </c>
    </row>
    <row r="3698" spans="1:11">
      <c r="A3698" s="682" t="s">
        <v>4212</v>
      </c>
      <c r="B3698" s="682" t="s">
        <v>4213</v>
      </c>
    </row>
    <row r="3700" spans="1:11">
      <c r="A3700" s="683" t="s">
        <v>4214</v>
      </c>
      <c r="C3700" s="682" t="s">
        <v>4215</v>
      </c>
    </row>
    <row r="3701" spans="1:11">
      <c r="A3701" s="683" t="s">
        <v>4216</v>
      </c>
      <c r="C3701" s="682" t="s">
        <v>2967</v>
      </c>
    </row>
    <row r="3702" spans="1:11">
      <c r="A3702" s="683" t="s">
        <v>3893</v>
      </c>
      <c r="C3702" s="682" t="s">
        <v>4217</v>
      </c>
    </row>
    <row r="3703" spans="1:11">
      <c r="A3703" s="683" t="s">
        <v>4218</v>
      </c>
      <c r="C3703" s="682" t="s">
        <v>4287</v>
      </c>
    </row>
    <row r="3705" spans="1:11">
      <c r="A3705" s="684" t="s">
        <v>4220</v>
      </c>
      <c r="B3705" s="685" t="s">
        <v>4221</v>
      </c>
      <c r="C3705" s="685" t="s">
        <v>4222</v>
      </c>
      <c r="D3705" s="685" t="s">
        <v>4223</v>
      </c>
      <c r="E3705" s="685" t="s">
        <v>4224</v>
      </c>
      <c r="F3705" s="685" t="s">
        <v>4225</v>
      </c>
      <c r="G3705" s="685" t="s">
        <v>4226</v>
      </c>
      <c r="H3705" s="685" t="s">
        <v>4227</v>
      </c>
      <c r="I3705" s="685" t="s">
        <v>4228</v>
      </c>
      <c r="J3705" s="685" t="s">
        <v>4229</v>
      </c>
      <c r="K3705" s="685" t="s">
        <v>4230</v>
      </c>
    </row>
    <row r="3706" spans="1:11">
      <c r="A3706" s="686" t="s">
        <v>4231</v>
      </c>
      <c r="B3706" s="687" t="s">
        <v>4232</v>
      </c>
      <c r="C3706" s="687" t="s">
        <v>4232</v>
      </c>
      <c r="D3706" s="687" t="s">
        <v>4232</v>
      </c>
      <c r="E3706" s="687" t="s">
        <v>4232</v>
      </c>
      <c r="F3706" s="687" t="s">
        <v>4232</v>
      </c>
      <c r="G3706" s="687" t="s">
        <v>4232</v>
      </c>
      <c r="H3706" s="687" t="s">
        <v>4232</v>
      </c>
      <c r="I3706" s="687" t="s">
        <v>4232</v>
      </c>
      <c r="J3706" s="687" t="s">
        <v>4232</v>
      </c>
      <c r="K3706" s="687" t="s">
        <v>4232</v>
      </c>
    </row>
    <row r="3707" spans="1:11">
      <c r="A3707" s="688" t="s">
        <v>4064</v>
      </c>
      <c r="B3707" s="689">
        <v>30.5</v>
      </c>
      <c r="C3707" s="689">
        <v>30.5</v>
      </c>
      <c r="D3707" s="689">
        <v>30.5</v>
      </c>
      <c r="E3707" s="689">
        <v>30.6</v>
      </c>
      <c r="F3707" s="689">
        <v>30.6</v>
      </c>
      <c r="G3707" s="689">
        <v>30.7</v>
      </c>
      <c r="H3707" s="689">
        <v>30.9</v>
      </c>
      <c r="I3707" s="689">
        <v>30.1</v>
      </c>
      <c r="J3707" s="689">
        <v>29.9</v>
      </c>
      <c r="K3707" s="689">
        <v>30.4</v>
      </c>
    </row>
    <row r="3708" spans="1:11">
      <c r="A3708" s="688" t="s">
        <v>4065</v>
      </c>
      <c r="B3708" s="691">
        <v>30.5</v>
      </c>
      <c r="C3708" s="691">
        <v>30.9</v>
      </c>
      <c r="D3708" s="691">
        <v>30.5</v>
      </c>
      <c r="E3708" s="691">
        <v>30.9</v>
      </c>
      <c r="F3708" s="691">
        <v>30.8</v>
      </c>
      <c r="G3708" s="691">
        <v>30.9</v>
      </c>
      <c r="H3708" s="692" t="s">
        <v>4060</v>
      </c>
      <c r="I3708" s="692" t="s">
        <v>4060</v>
      </c>
      <c r="J3708" s="692" t="s">
        <v>4060</v>
      </c>
      <c r="K3708" s="692" t="s">
        <v>4060</v>
      </c>
    </row>
    <row r="3709" spans="1:11">
      <c r="A3709" s="688" t="s">
        <v>4063</v>
      </c>
      <c r="B3709" s="689">
        <v>30.6</v>
      </c>
      <c r="C3709" s="689">
        <v>30.9</v>
      </c>
      <c r="D3709" s="689">
        <v>30.5</v>
      </c>
      <c r="E3709" s="689">
        <v>30.9</v>
      </c>
      <c r="F3709" s="689">
        <v>30.8</v>
      </c>
      <c r="G3709" s="689">
        <v>30.9</v>
      </c>
      <c r="H3709" s="690" t="s">
        <v>4060</v>
      </c>
      <c r="I3709" s="690" t="s">
        <v>4060</v>
      </c>
      <c r="J3709" s="690" t="s">
        <v>4060</v>
      </c>
      <c r="K3709" s="690" t="s">
        <v>4060</v>
      </c>
    </row>
    <row r="3710" spans="1:11">
      <c r="A3710" s="688" t="s">
        <v>4069</v>
      </c>
      <c r="B3710" s="692" t="s">
        <v>4060</v>
      </c>
      <c r="C3710" s="691">
        <v>31.4</v>
      </c>
      <c r="D3710" s="691">
        <v>31.1</v>
      </c>
      <c r="E3710" s="691">
        <v>31.4</v>
      </c>
      <c r="F3710" s="691">
        <v>31.4</v>
      </c>
      <c r="G3710" s="691">
        <v>31.5</v>
      </c>
      <c r="H3710" s="691">
        <v>31.8</v>
      </c>
      <c r="I3710" s="691">
        <v>31.1</v>
      </c>
      <c r="J3710" s="691">
        <v>31.1</v>
      </c>
      <c r="K3710" s="691">
        <v>31.2</v>
      </c>
    </row>
    <row r="3711" spans="1:11">
      <c r="A3711" s="688" t="s">
        <v>4068</v>
      </c>
      <c r="B3711" s="689">
        <v>31.4</v>
      </c>
      <c r="C3711" s="690" t="s">
        <v>4060</v>
      </c>
      <c r="D3711" s="690" t="s">
        <v>4060</v>
      </c>
      <c r="E3711" s="690" t="s">
        <v>4060</v>
      </c>
      <c r="F3711" s="690" t="s">
        <v>4060</v>
      </c>
      <c r="G3711" s="690" t="s">
        <v>4060</v>
      </c>
      <c r="H3711" s="690" t="s">
        <v>4060</v>
      </c>
      <c r="I3711" s="690" t="s">
        <v>4060</v>
      </c>
      <c r="J3711" s="690" t="s">
        <v>4060</v>
      </c>
      <c r="K3711" s="690" t="s">
        <v>4060</v>
      </c>
    </row>
    <row r="3712" spans="1:11">
      <c r="A3712" s="688" t="s">
        <v>0</v>
      </c>
      <c r="B3712" s="691">
        <v>30.6</v>
      </c>
      <c r="C3712" s="615">
        <v>31</v>
      </c>
      <c r="D3712" s="691">
        <v>30.7</v>
      </c>
      <c r="E3712" s="691">
        <v>31.1</v>
      </c>
      <c r="F3712" s="691">
        <v>31.2</v>
      </c>
      <c r="G3712" s="691">
        <v>31.3</v>
      </c>
      <c r="H3712" s="691">
        <v>31.6</v>
      </c>
      <c r="I3712" s="691">
        <v>30.5</v>
      </c>
      <c r="J3712" s="691">
        <v>31.4</v>
      </c>
      <c r="K3712" s="691">
        <v>31.4</v>
      </c>
    </row>
    <row r="3713" spans="1:11">
      <c r="A3713" s="688" t="s">
        <v>1</v>
      </c>
      <c r="B3713" s="689">
        <v>26.1</v>
      </c>
      <c r="C3713" s="689">
        <v>25.7</v>
      </c>
      <c r="D3713" s="689">
        <v>25.7</v>
      </c>
      <c r="E3713" s="689">
        <v>25.9</v>
      </c>
      <c r="F3713" s="689">
        <v>25.8</v>
      </c>
      <c r="G3713" s="689">
        <v>25.9</v>
      </c>
      <c r="H3713" s="693">
        <v>26</v>
      </c>
      <c r="I3713" s="689">
        <v>24.5</v>
      </c>
      <c r="J3713" s="689">
        <v>22.8</v>
      </c>
      <c r="K3713" s="689">
        <v>25.2</v>
      </c>
    </row>
    <row r="3714" spans="1:11">
      <c r="A3714" s="688" t="s">
        <v>2240</v>
      </c>
      <c r="B3714" s="691">
        <v>28.3</v>
      </c>
      <c r="C3714" s="691">
        <v>28.6</v>
      </c>
      <c r="D3714" s="691">
        <v>28.4</v>
      </c>
      <c r="E3714" s="691">
        <v>28.9</v>
      </c>
      <c r="F3714" s="691">
        <v>28.8</v>
      </c>
      <c r="G3714" s="691">
        <v>28.9</v>
      </c>
      <c r="H3714" s="691">
        <v>29.1</v>
      </c>
      <c r="I3714" s="691">
        <v>28.1</v>
      </c>
      <c r="J3714" s="691">
        <v>27.2</v>
      </c>
      <c r="K3714" s="691">
        <v>28.9</v>
      </c>
    </row>
    <row r="3715" spans="1:11">
      <c r="A3715" s="688" t="s">
        <v>2</v>
      </c>
      <c r="B3715" s="693">
        <v>30</v>
      </c>
      <c r="C3715" s="689">
        <v>30.3</v>
      </c>
      <c r="D3715" s="689">
        <v>30.3</v>
      </c>
      <c r="E3715" s="689">
        <v>30.5</v>
      </c>
      <c r="F3715" s="689">
        <v>30.6</v>
      </c>
      <c r="G3715" s="689">
        <v>30.5</v>
      </c>
      <c r="H3715" s="689">
        <v>30.9</v>
      </c>
      <c r="I3715" s="693">
        <v>31</v>
      </c>
      <c r="J3715" s="689">
        <v>30.8</v>
      </c>
      <c r="K3715" s="689">
        <v>30.7</v>
      </c>
    </row>
    <row r="3716" spans="1:11">
      <c r="A3716" s="688" t="s">
        <v>3</v>
      </c>
      <c r="B3716" s="691">
        <v>30.4</v>
      </c>
      <c r="C3716" s="691">
        <v>30.6</v>
      </c>
      <c r="D3716" s="691">
        <v>30.3</v>
      </c>
      <c r="E3716" s="691">
        <v>30.6</v>
      </c>
      <c r="F3716" s="691">
        <v>30.6</v>
      </c>
      <c r="G3716" s="691">
        <v>30.5</v>
      </c>
      <c r="H3716" s="691">
        <v>30.8</v>
      </c>
      <c r="I3716" s="691">
        <v>30.6</v>
      </c>
      <c r="J3716" s="691">
        <v>30.3</v>
      </c>
      <c r="K3716" s="691">
        <v>30.2</v>
      </c>
    </row>
    <row r="3717" spans="1:11">
      <c r="A3717" s="688" t="s">
        <v>4061</v>
      </c>
      <c r="B3717" s="689">
        <v>30.4</v>
      </c>
      <c r="C3717" s="689">
        <v>30.6</v>
      </c>
      <c r="D3717" s="689">
        <v>30.3</v>
      </c>
      <c r="E3717" s="689">
        <v>30.6</v>
      </c>
      <c r="F3717" s="689">
        <v>30.6</v>
      </c>
      <c r="G3717" s="689">
        <v>30.5</v>
      </c>
      <c r="H3717" s="689">
        <v>30.8</v>
      </c>
      <c r="I3717" s="689">
        <v>30.6</v>
      </c>
      <c r="J3717" s="689">
        <v>30.3</v>
      </c>
      <c r="K3717" s="689">
        <v>30.2</v>
      </c>
    </row>
    <row r="3718" spans="1:11">
      <c r="A3718" s="688" t="s">
        <v>4</v>
      </c>
      <c r="B3718" s="691">
        <v>28.3</v>
      </c>
      <c r="C3718" s="691">
        <v>28.1</v>
      </c>
      <c r="D3718" s="691">
        <v>28.5</v>
      </c>
      <c r="E3718" s="691">
        <v>28.6</v>
      </c>
      <c r="F3718" s="691">
        <v>28.7</v>
      </c>
      <c r="G3718" s="691">
        <v>28.7</v>
      </c>
      <c r="H3718" s="691">
        <v>29.1</v>
      </c>
      <c r="I3718" s="615">
        <v>29</v>
      </c>
      <c r="J3718" s="691">
        <v>27.7</v>
      </c>
      <c r="K3718" s="691">
        <v>28.6</v>
      </c>
    </row>
    <row r="3719" spans="1:11">
      <c r="A3719" s="688" t="s">
        <v>8</v>
      </c>
      <c r="B3719" s="689">
        <v>30.8</v>
      </c>
      <c r="C3719" s="693">
        <v>31</v>
      </c>
      <c r="D3719" s="693">
        <v>31</v>
      </c>
      <c r="E3719" s="689">
        <v>31.1</v>
      </c>
      <c r="F3719" s="689">
        <v>31.5</v>
      </c>
      <c r="G3719" s="689">
        <v>31.6</v>
      </c>
      <c r="H3719" s="689">
        <v>31.9</v>
      </c>
      <c r="I3719" s="689">
        <v>31.8</v>
      </c>
      <c r="J3719" s="689">
        <v>31.6</v>
      </c>
      <c r="K3719" s="689">
        <v>31.8</v>
      </c>
    </row>
    <row r="3720" spans="1:11">
      <c r="A3720" s="688" t="s">
        <v>7</v>
      </c>
      <c r="B3720" s="691">
        <v>31.2</v>
      </c>
      <c r="C3720" s="691">
        <v>30.8</v>
      </c>
      <c r="D3720" s="691">
        <v>30.6</v>
      </c>
      <c r="E3720" s="691">
        <v>30.9</v>
      </c>
      <c r="F3720" s="691">
        <v>30.8</v>
      </c>
      <c r="G3720" s="691">
        <v>31.2</v>
      </c>
      <c r="H3720" s="691">
        <v>31.2</v>
      </c>
      <c r="I3720" s="691">
        <v>30.8</v>
      </c>
      <c r="J3720" s="691">
        <v>29.9</v>
      </c>
      <c r="K3720" s="691">
        <v>30.5</v>
      </c>
    </row>
    <row r="3721" spans="1:11">
      <c r="A3721" s="688" t="s">
        <v>27</v>
      </c>
      <c r="B3721" s="689">
        <v>32.700000000000003</v>
      </c>
      <c r="C3721" s="689">
        <v>32.4</v>
      </c>
      <c r="D3721" s="689">
        <v>32.1</v>
      </c>
      <c r="E3721" s="689">
        <v>32.4</v>
      </c>
      <c r="F3721" s="689">
        <v>32.4</v>
      </c>
      <c r="G3721" s="689">
        <v>32.5</v>
      </c>
      <c r="H3721" s="689">
        <v>32.799999999999997</v>
      </c>
      <c r="I3721" s="689">
        <v>31.6</v>
      </c>
      <c r="J3721" s="689">
        <v>32.4</v>
      </c>
      <c r="K3721" s="689">
        <v>32.4</v>
      </c>
    </row>
    <row r="3722" spans="1:11">
      <c r="A3722" s="688" t="s">
        <v>6</v>
      </c>
      <c r="B3722" s="691">
        <v>32.5</v>
      </c>
      <c r="C3722" s="691">
        <v>32.4</v>
      </c>
      <c r="D3722" s="691">
        <v>32.200000000000003</v>
      </c>
      <c r="E3722" s="691">
        <v>32.4</v>
      </c>
      <c r="F3722" s="691">
        <v>32.4</v>
      </c>
      <c r="G3722" s="691">
        <v>32.6</v>
      </c>
      <c r="H3722" s="691">
        <v>32.700000000000003</v>
      </c>
      <c r="I3722" s="691">
        <v>32.1</v>
      </c>
      <c r="J3722" s="691">
        <v>32.200000000000003</v>
      </c>
      <c r="K3722" s="691">
        <v>32.299999999999997</v>
      </c>
    </row>
    <row r="3723" spans="1:11">
      <c r="A3723" s="688" t="s">
        <v>4058</v>
      </c>
      <c r="B3723" s="690" t="s">
        <v>4060</v>
      </c>
      <c r="C3723" s="690" t="s">
        <v>4060</v>
      </c>
      <c r="D3723" s="690" t="s">
        <v>4060</v>
      </c>
      <c r="E3723" s="690" t="s">
        <v>4060</v>
      </c>
      <c r="F3723" s="690" t="s">
        <v>4060</v>
      </c>
      <c r="G3723" s="690" t="s">
        <v>4060</v>
      </c>
      <c r="H3723" s="690" t="s">
        <v>4060</v>
      </c>
      <c r="I3723" s="690" t="s">
        <v>4060</v>
      </c>
      <c r="J3723" s="690" t="s">
        <v>4060</v>
      </c>
      <c r="K3723" s="690" t="s">
        <v>4060</v>
      </c>
    </row>
    <row r="3724" spans="1:11">
      <c r="A3724" s="688" t="s">
        <v>11</v>
      </c>
      <c r="B3724" s="691">
        <v>27.9</v>
      </c>
      <c r="C3724" s="691">
        <v>27.8</v>
      </c>
      <c r="D3724" s="691">
        <v>27.5</v>
      </c>
      <c r="E3724" s="615">
        <v>28</v>
      </c>
      <c r="F3724" s="691">
        <v>27.8</v>
      </c>
      <c r="G3724" s="615">
        <v>28</v>
      </c>
      <c r="H3724" s="691">
        <v>28.3</v>
      </c>
      <c r="I3724" s="691">
        <v>27.6</v>
      </c>
      <c r="J3724" s="691">
        <v>26.7</v>
      </c>
      <c r="K3724" s="691">
        <v>27.8</v>
      </c>
    </row>
    <row r="3725" spans="1:11">
      <c r="A3725" s="688" t="s">
        <v>10</v>
      </c>
      <c r="B3725" s="689">
        <v>32.299999999999997</v>
      </c>
      <c r="C3725" s="689">
        <v>32.200000000000003</v>
      </c>
      <c r="D3725" s="689">
        <v>31.8</v>
      </c>
      <c r="E3725" s="689">
        <v>32.4</v>
      </c>
      <c r="F3725" s="689">
        <v>32.200000000000003</v>
      </c>
      <c r="G3725" s="689">
        <v>32.5</v>
      </c>
      <c r="H3725" s="689">
        <v>32.700000000000003</v>
      </c>
      <c r="I3725" s="689">
        <v>31.5</v>
      </c>
      <c r="J3725" s="693">
        <v>32</v>
      </c>
      <c r="K3725" s="689">
        <v>32.1</v>
      </c>
    </row>
    <row r="3726" spans="1:11">
      <c r="A3726" s="688" t="s">
        <v>30</v>
      </c>
      <c r="B3726" s="691">
        <v>31.8</v>
      </c>
      <c r="C3726" s="691">
        <v>31.6</v>
      </c>
      <c r="D3726" s="691">
        <v>31.3</v>
      </c>
      <c r="E3726" s="691">
        <v>32.1</v>
      </c>
      <c r="F3726" s="691">
        <v>31.7</v>
      </c>
      <c r="G3726" s="691">
        <v>32.200000000000003</v>
      </c>
      <c r="H3726" s="615">
        <v>32</v>
      </c>
      <c r="I3726" s="615">
        <v>32</v>
      </c>
      <c r="J3726" s="691">
        <v>31.3</v>
      </c>
      <c r="K3726" s="691">
        <v>31.6</v>
      </c>
    </row>
    <row r="3727" spans="1:11">
      <c r="A3727" s="688" t="s">
        <v>12</v>
      </c>
      <c r="B3727" s="689">
        <v>26.2</v>
      </c>
      <c r="C3727" s="689">
        <v>26.3</v>
      </c>
      <c r="D3727" s="689">
        <v>26.4</v>
      </c>
      <c r="E3727" s="689">
        <v>26.5</v>
      </c>
      <c r="F3727" s="689">
        <v>26.5</v>
      </c>
      <c r="G3727" s="689">
        <v>26.5</v>
      </c>
      <c r="H3727" s="693">
        <v>27</v>
      </c>
      <c r="I3727" s="689">
        <v>26.8</v>
      </c>
      <c r="J3727" s="689">
        <v>24.9</v>
      </c>
      <c r="K3727" s="689">
        <v>26.1</v>
      </c>
    </row>
    <row r="3728" spans="1:11">
      <c r="A3728" s="688" t="s">
        <v>14</v>
      </c>
      <c r="B3728" s="691">
        <v>26.5</v>
      </c>
      <c r="C3728" s="691">
        <v>26.7</v>
      </c>
      <c r="D3728" s="691">
        <v>26.4</v>
      </c>
      <c r="E3728" s="691">
        <v>26.6</v>
      </c>
      <c r="F3728" s="691">
        <v>27.1</v>
      </c>
      <c r="G3728" s="691">
        <v>27.3</v>
      </c>
      <c r="H3728" s="691">
        <v>27.6</v>
      </c>
      <c r="I3728" s="691">
        <v>26.4</v>
      </c>
      <c r="J3728" s="691">
        <v>25.8</v>
      </c>
      <c r="K3728" s="691">
        <v>26.9</v>
      </c>
    </row>
    <row r="3729" spans="1:11">
      <c r="A3729" s="688" t="s">
        <v>15</v>
      </c>
      <c r="B3729" s="689">
        <v>31.6</v>
      </c>
      <c r="C3729" s="689">
        <v>31.4</v>
      </c>
      <c r="D3729" s="689">
        <v>31.4</v>
      </c>
      <c r="E3729" s="689">
        <v>31.7</v>
      </c>
      <c r="F3729" s="689">
        <v>31.4</v>
      </c>
      <c r="G3729" s="689">
        <v>31.6</v>
      </c>
      <c r="H3729" s="689">
        <v>31.9</v>
      </c>
      <c r="I3729" s="689">
        <v>31.5</v>
      </c>
      <c r="J3729" s="689">
        <v>31.9</v>
      </c>
      <c r="K3729" s="689">
        <v>32.200000000000003</v>
      </c>
    </row>
    <row r="3730" spans="1:11">
      <c r="A3730" s="688" t="s">
        <v>29</v>
      </c>
      <c r="B3730" s="691">
        <v>26.3</v>
      </c>
      <c r="C3730" s="691">
        <v>26.2</v>
      </c>
      <c r="D3730" s="615">
        <v>26</v>
      </c>
      <c r="E3730" s="691">
        <v>26.3</v>
      </c>
      <c r="F3730" s="691">
        <v>26.1</v>
      </c>
      <c r="G3730" s="691">
        <v>26.2</v>
      </c>
      <c r="H3730" s="691">
        <v>26.4</v>
      </c>
      <c r="I3730" s="691">
        <v>25.7</v>
      </c>
      <c r="J3730" s="691">
        <v>24.6</v>
      </c>
      <c r="K3730" s="691">
        <v>26.1</v>
      </c>
    </row>
    <row r="3731" spans="1:11">
      <c r="A3731" s="688" t="s">
        <v>16</v>
      </c>
      <c r="B3731" s="689">
        <v>31.5</v>
      </c>
      <c r="C3731" s="689">
        <v>31.4</v>
      </c>
      <c r="D3731" s="689">
        <v>31.4</v>
      </c>
      <c r="E3731" s="693">
        <v>32</v>
      </c>
      <c r="F3731" s="689">
        <v>31.7</v>
      </c>
      <c r="G3731" s="689">
        <v>31.7</v>
      </c>
      <c r="H3731" s="689">
        <v>32.1</v>
      </c>
      <c r="I3731" s="689">
        <v>31.5</v>
      </c>
      <c r="J3731" s="689">
        <v>31.5</v>
      </c>
      <c r="K3731" s="689">
        <v>31.7</v>
      </c>
    </row>
    <row r="3732" spans="1:11">
      <c r="A3732" s="688" t="s">
        <v>17</v>
      </c>
      <c r="B3732" s="615">
        <v>31</v>
      </c>
      <c r="C3732" s="691">
        <v>31.2</v>
      </c>
      <c r="D3732" s="615">
        <v>31</v>
      </c>
      <c r="E3732" s="615">
        <v>31</v>
      </c>
      <c r="F3732" s="691">
        <v>31.2</v>
      </c>
      <c r="G3732" s="691">
        <v>31.2</v>
      </c>
      <c r="H3732" s="691">
        <v>31.5</v>
      </c>
      <c r="I3732" s="691">
        <v>30.9</v>
      </c>
      <c r="J3732" s="691">
        <v>30.8</v>
      </c>
      <c r="K3732" s="691">
        <v>31.1</v>
      </c>
    </row>
    <row r="3733" spans="1:11">
      <c r="A3733" s="688" t="s">
        <v>19</v>
      </c>
      <c r="B3733" s="693">
        <v>31</v>
      </c>
      <c r="C3733" s="689">
        <v>31.1</v>
      </c>
      <c r="D3733" s="689">
        <v>30.8</v>
      </c>
      <c r="E3733" s="689">
        <v>31.2</v>
      </c>
      <c r="F3733" s="689">
        <v>31.2</v>
      </c>
      <c r="G3733" s="689">
        <v>31.3</v>
      </c>
      <c r="H3733" s="689">
        <v>31.5</v>
      </c>
      <c r="I3733" s="689">
        <v>30.9</v>
      </c>
      <c r="J3733" s="689">
        <v>30.9</v>
      </c>
      <c r="K3733" s="693">
        <v>31</v>
      </c>
    </row>
    <row r="3734" spans="1:11">
      <c r="A3734" s="688" t="s">
        <v>20</v>
      </c>
      <c r="B3734" s="691">
        <v>27.9</v>
      </c>
      <c r="C3734" s="691">
        <v>28.2</v>
      </c>
      <c r="D3734" s="615">
        <v>28</v>
      </c>
      <c r="E3734" s="691">
        <v>28.3</v>
      </c>
      <c r="F3734" s="691">
        <v>28.2</v>
      </c>
      <c r="G3734" s="691">
        <v>28.1</v>
      </c>
      <c r="H3734" s="691">
        <v>28.4</v>
      </c>
      <c r="I3734" s="615">
        <v>27</v>
      </c>
      <c r="J3734" s="691">
        <v>26.2</v>
      </c>
      <c r="K3734" s="691">
        <v>27.8</v>
      </c>
    </row>
    <row r="3735" spans="1:11">
      <c r="A3735" s="688" t="s">
        <v>21</v>
      </c>
      <c r="B3735" s="689">
        <v>30.9</v>
      </c>
      <c r="C3735" s="689">
        <v>31.2</v>
      </c>
      <c r="D3735" s="689">
        <v>31.2</v>
      </c>
      <c r="E3735" s="689">
        <v>31.2</v>
      </c>
      <c r="F3735" s="689">
        <v>31.5</v>
      </c>
      <c r="G3735" s="689">
        <v>31.4</v>
      </c>
      <c r="H3735" s="689">
        <v>31.7</v>
      </c>
      <c r="I3735" s="689">
        <v>31.1</v>
      </c>
      <c r="J3735" s="689">
        <v>31.1</v>
      </c>
      <c r="K3735" s="689">
        <v>31.4</v>
      </c>
    </row>
    <row r="3736" spans="1:11">
      <c r="A3736" s="688" t="s">
        <v>22</v>
      </c>
      <c r="B3736" s="691">
        <v>26.4</v>
      </c>
      <c r="C3736" s="691">
        <v>26.2</v>
      </c>
      <c r="D3736" s="691">
        <v>26.1</v>
      </c>
      <c r="E3736" s="691">
        <v>26.2</v>
      </c>
      <c r="F3736" s="691">
        <v>26.2</v>
      </c>
      <c r="G3736" s="691">
        <v>26.2</v>
      </c>
      <c r="H3736" s="691">
        <v>26.5</v>
      </c>
      <c r="I3736" s="691">
        <v>25.1</v>
      </c>
      <c r="J3736" s="691">
        <v>23.9</v>
      </c>
      <c r="K3736" s="615">
        <v>26</v>
      </c>
    </row>
    <row r="3737" spans="1:11">
      <c r="A3737" s="688" t="s">
        <v>26</v>
      </c>
      <c r="B3737" s="689">
        <v>30.3</v>
      </c>
      <c r="C3737" s="689">
        <v>30.5</v>
      </c>
      <c r="D3737" s="689">
        <v>30.3</v>
      </c>
      <c r="E3737" s="689">
        <v>30.6</v>
      </c>
      <c r="F3737" s="689">
        <v>30.5</v>
      </c>
      <c r="G3737" s="689">
        <v>30.7</v>
      </c>
      <c r="H3737" s="689">
        <v>30.9</v>
      </c>
      <c r="I3737" s="693">
        <v>30</v>
      </c>
      <c r="J3737" s="689">
        <v>30.1</v>
      </c>
      <c r="K3737" s="689">
        <v>30.7</v>
      </c>
    </row>
    <row r="3738" spans="1:11">
      <c r="A3738" s="688" t="s">
        <v>25</v>
      </c>
      <c r="B3738" s="691">
        <v>27.2</v>
      </c>
      <c r="C3738" s="691">
        <v>27.5</v>
      </c>
      <c r="D3738" s="691">
        <v>27.2</v>
      </c>
      <c r="E3738" s="691">
        <v>27.7</v>
      </c>
      <c r="F3738" s="691">
        <v>27.6</v>
      </c>
      <c r="G3738" s="691">
        <v>27.8</v>
      </c>
      <c r="H3738" s="691">
        <v>28.2</v>
      </c>
      <c r="I3738" s="691">
        <v>27.4</v>
      </c>
      <c r="J3738" s="691">
        <v>25.2</v>
      </c>
      <c r="K3738" s="691">
        <v>27.5</v>
      </c>
    </row>
    <row r="3739" spans="1:11">
      <c r="A3739" s="688" t="s">
        <v>5</v>
      </c>
      <c r="B3739" s="689">
        <v>31.1</v>
      </c>
      <c r="C3739" s="689">
        <v>30.9</v>
      </c>
      <c r="D3739" s="689">
        <v>31.1</v>
      </c>
      <c r="E3739" s="689">
        <v>31.1</v>
      </c>
      <c r="F3739" s="689">
        <v>31.3</v>
      </c>
      <c r="G3739" s="689">
        <v>31.4</v>
      </c>
      <c r="H3739" s="689">
        <v>31.7</v>
      </c>
      <c r="I3739" s="689">
        <v>31.7</v>
      </c>
      <c r="J3739" s="689">
        <v>31.5</v>
      </c>
      <c r="K3739" s="693">
        <v>31</v>
      </c>
    </row>
    <row r="3740" spans="1:11">
      <c r="A3740" s="688" t="s">
        <v>23</v>
      </c>
      <c r="B3740" s="691">
        <v>31.5</v>
      </c>
      <c r="C3740" s="691">
        <v>31.7</v>
      </c>
      <c r="D3740" s="691">
        <v>31.7</v>
      </c>
      <c r="E3740" s="691">
        <v>31.8</v>
      </c>
      <c r="F3740" s="691">
        <v>31.9</v>
      </c>
      <c r="G3740" s="615">
        <v>32</v>
      </c>
      <c r="H3740" s="691">
        <v>32.4</v>
      </c>
      <c r="I3740" s="691">
        <v>31.8</v>
      </c>
      <c r="J3740" s="691">
        <v>32.4</v>
      </c>
      <c r="K3740" s="691">
        <v>32.4</v>
      </c>
    </row>
    <row r="3741" spans="1:11">
      <c r="A3741" s="688" t="s">
        <v>4067</v>
      </c>
      <c r="B3741" s="689">
        <v>30.5</v>
      </c>
      <c r="C3741" s="689">
        <v>30.9</v>
      </c>
      <c r="D3741" s="689">
        <v>30.5</v>
      </c>
      <c r="E3741" s="689">
        <v>30.9</v>
      </c>
      <c r="F3741" s="689">
        <v>30.8</v>
      </c>
      <c r="G3741" s="689">
        <v>30.9</v>
      </c>
      <c r="H3741" s="690" t="s">
        <v>4060</v>
      </c>
      <c r="I3741" s="690" t="s">
        <v>4060</v>
      </c>
      <c r="J3741" s="690" t="s">
        <v>4060</v>
      </c>
      <c r="K3741" s="690" t="s">
        <v>4060</v>
      </c>
    </row>
    <row r="3742" spans="1:11">
      <c r="A3742" s="688" t="s">
        <v>4066</v>
      </c>
      <c r="B3742" s="691">
        <v>30.6</v>
      </c>
      <c r="C3742" s="691">
        <v>30.9</v>
      </c>
      <c r="D3742" s="691">
        <v>30.6</v>
      </c>
      <c r="E3742" s="691">
        <v>30.9</v>
      </c>
      <c r="F3742" s="691">
        <v>30.9</v>
      </c>
      <c r="G3742" s="691">
        <v>30.9</v>
      </c>
      <c r="H3742" s="692" t="s">
        <v>4060</v>
      </c>
      <c r="I3742" s="692" t="s">
        <v>4060</v>
      </c>
      <c r="J3742" s="692" t="s">
        <v>4060</v>
      </c>
      <c r="K3742" s="692" t="s">
        <v>4060</v>
      </c>
    </row>
    <row r="3743" spans="1:11">
      <c r="A3743" s="688" t="s">
        <v>4062</v>
      </c>
      <c r="B3743" s="693">
        <v>32</v>
      </c>
      <c r="C3743" s="689">
        <v>32.200000000000003</v>
      </c>
      <c r="D3743" s="689">
        <v>32.1</v>
      </c>
      <c r="E3743" s="689">
        <v>32.4</v>
      </c>
      <c r="F3743" s="689">
        <v>32.5</v>
      </c>
      <c r="G3743" s="689">
        <v>32.700000000000003</v>
      </c>
      <c r="H3743" s="689">
        <v>32.799999999999997</v>
      </c>
      <c r="I3743" s="689">
        <v>32.5</v>
      </c>
      <c r="J3743" s="689">
        <v>32.799999999999997</v>
      </c>
      <c r="K3743" s="689">
        <v>32.6</v>
      </c>
    </row>
    <row r="3744" spans="1:11">
      <c r="A3744" s="688" t="s">
        <v>9</v>
      </c>
      <c r="B3744" s="691">
        <v>31.6</v>
      </c>
      <c r="C3744" s="615">
        <v>32</v>
      </c>
      <c r="D3744" s="615">
        <v>32</v>
      </c>
      <c r="E3744" s="691">
        <v>31.5</v>
      </c>
      <c r="F3744" s="615">
        <v>32</v>
      </c>
      <c r="G3744" s="691">
        <v>32.200000000000003</v>
      </c>
      <c r="H3744" s="691">
        <v>32.4</v>
      </c>
      <c r="I3744" s="691">
        <v>32.5</v>
      </c>
      <c r="J3744" s="691">
        <v>32.6</v>
      </c>
      <c r="K3744" s="691">
        <v>31.7</v>
      </c>
    </row>
    <row r="3745" spans="1:11">
      <c r="A3745" s="688" t="s">
        <v>13</v>
      </c>
      <c r="B3745" s="689">
        <v>32.1</v>
      </c>
      <c r="C3745" s="689">
        <v>31.4</v>
      </c>
      <c r="D3745" s="689">
        <v>32.1</v>
      </c>
      <c r="E3745" s="689">
        <v>31.4</v>
      </c>
      <c r="F3745" s="689">
        <v>32.6</v>
      </c>
      <c r="G3745" s="689">
        <v>32.6</v>
      </c>
      <c r="H3745" s="689">
        <v>32.700000000000003</v>
      </c>
      <c r="I3745" s="689">
        <v>31.7</v>
      </c>
      <c r="J3745" s="693">
        <v>33</v>
      </c>
      <c r="K3745" s="689">
        <v>33.200000000000003</v>
      </c>
    </row>
    <row r="3746" spans="1:11">
      <c r="A3746" s="688" t="s">
        <v>18</v>
      </c>
      <c r="B3746" s="691">
        <v>31.4</v>
      </c>
      <c r="C3746" s="691">
        <v>31.6</v>
      </c>
      <c r="D3746" s="691">
        <v>31.7</v>
      </c>
      <c r="E3746" s="691">
        <v>31.9</v>
      </c>
      <c r="F3746" s="615">
        <v>32</v>
      </c>
      <c r="G3746" s="691">
        <v>32.200000000000003</v>
      </c>
      <c r="H3746" s="691">
        <v>32.4</v>
      </c>
      <c r="I3746" s="691">
        <v>32.6</v>
      </c>
      <c r="J3746" s="691">
        <v>32.5</v>
      </c>
      <c r="K3746" s="615">
        <v>32</v>
      </c>
    </row>
    <row r="3747" spans="1:11">
      <c r="A3747" s="688" t="s">
        <v>24</v>
      </c>
      <c r="B3747" s="689">
        <v>32.4</v>
      </c>
      <c r="C3747" s="689">
        <v>32.6</v>
      </c>
      <c r="D3747" s="689">
        <v>32.299999999999997</v>
      </c>
      <c r="E3747" s="689">
        <v>32.799999999999997</v>
      </c>
      <c r="F3747" s="689">
        <v>32.799999999999997</v>
      </c>
      <c r="G3747" s="693">
        <v>33</v>
      </c>
      <c r="H3747" s="689">
        <v>33.1</v>
      </c>
      <c r="I3747" s="689">
        <v>32.4</v>
      </c>
      <c r="J3747" s="693">
        <v>33</v>
      </c>
      <c r="K3747" s="689">
        <v>32.9</v>
      </c>
    </row>
    <row r="3748" spans="1:11">
      <c r="A3748" s="688" t="s">
        <v>4059</v>
      </c>
      <c r="B3748" s="615">
        <v>31</v>
      </c>
      <c r="C3748" s="691">
        <v>31.3</v>
      </c>
      <c r="D3748" s="615">
        <v>31</v>
      </c>
      <c r="E3748" s="691">
        <v>31.2</v>
      </c>
      <c r="F3748" s="691">
        <v>31.2</v>
      </c>
      <c r="G3748" s="691">
        <v>31.3</v>
      </c>
      <c r="H3748" s="692" t="s">
        <v>4060</v>
      </c>
      <c r="I3748" s="692" t="s">
        <v>4060</v>
      </c>
      <c r="J3748" s="692" t="s">
        <v>4060</v>
      </c>
      <c r="K3748" s="692" t="s">
        <v>4060</v>
      </c>
    </row>
    <row r="3749" spans="1:11">
      <c r="A3749" s="688" t="s">
        <v>2324</v>
      </c>
      <c r="B3749" s="689">
        <v>26.8</v>
      </c>
      <c r="C3749" s="689">
        <v>26.8</v>
      </c>
      <c r="D3749" s="689">
        <v>26.5</v>
      </c>
      <c r="E3749" s="689">
        <v>26.5</v>
      </c>
      <c r="F3749" s="689">
        <v>26.8</v>
      </c>
      <c r="G3749" s="689">
        <v>26.9</v>
      </c>
      <c r="H3749" s="689">
        <v>26.9</v>
      </c>
      <c r="I3749" s="693">
        <v>26</v>
      </c>
      <c r="J3749" s="693">
        <v>24</v>
      </c>
      <c r="K3749" s="690" t="s">
        <v>4060</v>
      </c>
    </row>
    <row r="3750" spans="1:11">
      <c r="A3750" s="688" t="s">
        <v>2322</v>
      </c>
      <c r="B3750" s="692" t="s">
        <v>4060</v>
      </c>
      <c r="C3750" s="692" t="s">
        <v>4060</v>
      </c>
      <c r="D3750" s="692" t="s">
        <v>4060</v>
      </c>
      <c r="E3750" s="692" t="s">
        <v>4060</v>
      </c>
      <c r="F3750" s="692" t="s">
        <v>4060</v>
      </c>
      <c r="G3750" s="692" t="s">
        <v>4060</v>
      </c>
      <c r="H3750" s="692" t="s">
        <v>4060</v>
      </c>
      <c r="I3750" s="692" t="s">
        <v>4060</v>
      </c>
      <c r="J3750" s="692" t="s">
        <v>4060</v>
      </c>
      <c r="K3750" s="692" t="s">
        <v>4060</v>
      </c>
    </row>
    <row r="3751" spans="1:11">
      <c r="A3751" s="688" t="s">
        <v>2328</v>
      </c>
      <c r="B3751" s="693">
        <v>26</v>
      </c>
      <c r="C3751" s="689">
        <v>25.9</v>
      </c>
      <c r="D3751" s="689">
        <v>25.8</v>
      </c>
      <c r="E3751" s="693">
        <v>26</v>
      </c>
      <c r="F3751" s="689">
        <v>26.3</v>
      </c>
      <c r="G3751" s="689">
        <v>26.6</v>
      </c>
      <c r="H3751" s="689">
        <v>26.6</v>
      </c>
      <c r="I3751" s="689">
        <v>24.5</v>
      </c>
      <c r="J3751" s="689">
        <v>23.7</v>
      </c>
      <c r="K3751" s="690" t="s">
        <v>4060</v>
      </c>
    </row>
    <row r="3752" spans="1:11">
      <c r="A3752" s="688" t="s">
        <v>2496</v>
      </c>
      <c r="B3752" s="692" t="s">
        <v>4060</v>
      </c>
      <c r="C3752" s="691">
        <v>25.9</v>
      </c>
      <c r="D3752" s="691">
        <v>24.9</v>
      </c>
      <c r="E3752" s="691">
        <v>24.7</v>
      </c>
      <c r="F3752" s="691">
        <v>25.3</v>
      </c>
      <c r="G3752" s="691">
        <v>25.6</v>
      </c>
      <c r="H3752" s="691">
        <v>25.5</v>
      </c>
      <c r="I3752" s="692" t="s">
        <v>4060</v>
      </c>
      <c r="J3752" s="692" t="s">
        <v>4060</v>
      </c>
      <c r="K3752" s="691">
        <v>25.2</v>
      </c>
    </row>
    <row r="3753" spans="1:11">
      <c r="A3753" s="688" t="s">
        <v>2269</v>
      </c>
      <c r="B3753" s="689">
        <v>28.7</v>
      </c>
      <c r="C3753" s="689">
        <v>28.9</v>
      </c>
      <c r="D3753" s="689">
        <v>28.4</v>
      </c>
      <c r="E3753" s="689">
        <v>28.9</v>
      </c>
      <c r="F3753" s="689">
        <v>28.8</v>
      </c>
      <c r="G3753" s="689">
        <v>29.2</v>
      </c>
      <c r="H3753" s="689">
        <v>29.5</v>
      </c>
      <c r="I3753" s="689">
        <v>27.7</v>
      </c>
      <c r="J3753" s="689">
        <v>25.9</v>
      </c>
      <c r="K3753" s="689">
        <v>29.1</v>
      </c>
    </row>
    <row r="3754" spans="1:11">
      <c r="A3754" s="688" t="s">
        <v>2349</v>
      </c>
      <c r="B3754" s="691">
        <v>25.8</v>
      </c>
      <c r="C3754" s="691">
        <v>25.9</v>
      </c>
      <c r="D3754" s="691">
        <v>25.8</v>
      </c>
      <c r="E3754" s="691">
        <v>26.1</v>
      </c>
      <c r="F3754" s="615">
        <v>26</v>
      </c>
      <c r="G3754" s="691">
        <v>26.2</v>
      </c>
      <c r="H3754" s="691">
        <v>26.3</v>
      </c>
      <c r="I3754" s="691">
        <v>24.9</v>
      </c>
      <c r="J3754" s="691">
        <v>23.4</v>
      </c>
      <c r="K3754" s="691">
        <v>25.6</v>
      </c>
    </row>
    <row r="3755" spans="1:11">
      <c r="A3755" s="688" t="s">
        <v>2355</v>
      </c>
      <c r="B3755" s="689">
        <v>29.1</v>
      </c>
      <c r="C3755" s="689">
        <v>28.9</v>
      </c>
      <c r="D3755" s="689">
        <v>28.9</v>
      </c>
      <c r="E3755" s="689">
        <v>28.8</v>
      </c>
      <c r="F3755" s="693">
        <v>29</v>
      </c>
      <c r="G3755" s="689">
        <v>29.4</v>
      </c>
      <c r="H3755" s="689">
        <v>29.4</v>
      </c>
      <c r="I3755" s="690" t="s">
        <v>4060</v>
      </c>
      <c r="J3755" s="690" t="s">
        <v>4060</v>
      </c>
      <c r="K3755" s="690" t="s">
        <v>4060</v>
      </c>
    </row>
    <row r="3756" spans="1:11">
      <c r="A3756" s="688" t="s">
        <v>2357</v>
      </c>
      <c r="B3756" s="692" t="s">
        <v>4060</v>
      </c>
      <c r="C3756" s="691">
        <v>24.8</v>
      </c>
      <c r="D3756" s="691">
        <v>25.2</v>
      </c>
      <c r="E3756" s="691">
        <v>25.5</v>
      </c>
      <c r="F3756" s="691">
        <v>25.7</v>
      </c>
      <c r="G3756" s="691">
        <v>25.6</v>
      </c>
      <c r="H3756" s="691">
        <v>25.8</v>
      </c>
      <c r="I3756" s="692" t="s">
        <v>4060</v>
      </c>
      <c r="J3756" s="692" t="s">
        <v>4060</v>
      </c>
      <c r="K3756" s="692" t="s">
        <v>4060</v>
      </c>
    </row>
    <row r="3757" spans="1:11">
      <c r="A3757" s="688" t="s">
        <v>4070</v>
      </c>
      <c r="B3757" s="690" t="s">
        <v>4060</v>
      </c>
      <c r="C3757" s="690" t="s">
        <v>4060</v>
      </c>
      <c r="D3757" s="690" t="s">
        <v>4060</v>
      </c>
      <c r="E3757" s="689">
        <v>28.5</v>
      </c>
      <c r="F3757" s="690" t="s">
        <v>4060</v>
      </c>
      <c r="G3757" s="690" t="s">
        <v>4060</v>
      </c>
      <c r="H3757" s="690" t="s">
        <v>4060</v>
      </c>
      <c r="I3757" s="690" t="s">
        <v>4060</v>
      </c>
      <c r="J3757" s="690" t="s">
        <v>4060</v>
      </c>
      <c r="K3757" s="690" t="s">
        <v>4060</v>
      </c>
    </row>
    <row r="3758" spans="1:11">
      <c r="A3758" s="688" t="s">
        <v>2491</v>
      </c>
      <c r="B3758" s="691">
        <v>24.8</v>
      </c>
      <c r="C3758" s="691">
        <v>25.3</v>
      </c>
      <c r="D3758" s="691">
        <v>25.5</v>
      </c>
      <c r="E3758" s="691">
        <v>25.7</v>
      </c>
      <c r="F3758" s="691">
        <v>25.7</v>
      </c>
      <c r="G3758" s="691">
        <v>25.8</v>
      </c>
      <c r="H3758" s="692" t="s">
        <v>4060</v>
      </c>
      <c r="I3758" s="692" t="s">
        <v>4060</v>
      </c>
      <c r="J3758" s="692" t="s">
        <v>4060</v>
      </c>
      <c r="K3758" s="692" t="s">
        <v>4060</v>
      </c>
    </row>
    <row r="3759" spans="1:11">
      <c r="A3759" s="688" t="s">
        <v>2343</v>
      </c>
      <c r="B3759" s="690" t="s">
        <v>4060</v>
      </c>
      <c r="C3759" s="690" t="s">
        <v>4060</v>
      </c>
      <c r="D3759" s="690" t="s">
        <v>4060</v>
      </c>
      <c r="E3759" s="690" t="s">
        <v>4060</v>
      </c>
      <c r="F3759" s="690" t="s">
        <v>4060</v>
      </c>
      <c r="G3759" s="690" t="s">
        <v>4060</v>
      </c>
      <c r="H3759" s="690" t="s">
        <v>4060</v>
      </c>
      <c r="I3759" s="690" t="s">
        <v>4060</v>
      </c>
      <c r="J3759" s="690" t="s">
        <v>4060</v>
      </c>
      <c r="K3759" s="690" t="s">
        <v>4060</v>
      </c>
    </row>
    <row r="3760" spans="1:11">
      <c r="A3760" s="688" t="s">
        <v>4071</v>
      </c>
      <c r="B3760" s="692" t="s">
        <v>4060</v>
      </c>
      <c r="C3760" s="692" t="s">
        <v>4060</v>
      </c>
      <c r="D3760" s="692" t="s">
        <v>4060</v>
      </c>
      <c r="E3760" s="692" t="s">
        <v>4060</v>
      </c>
      <c r="F3760" s="692" t="s">
        <v>4060</v>
      </c>
      <c r="G3760" s="692" t="s">
        <v>4060</v>
      </c>
      <c r="H3760" s="692" t="s">
        <v>4060</v>
      </c>
      <c r="I3760" s="692" t="s">
        <v>4060</v>
      </c>
      <c r="J3760" s="692" t="s">
        <v>4060</v>
      </c>
      <c r="K3760" s="692" t="s">
        <v>4060</v>
      </c>
    </row>
    <row r="3761" spans="1:11">
      <c r="A3761" s="688" t="s">
        <v>2489</v>
      </c>
      <c r="B3761" s="690" t="s">
        <v>4060</v>
      </c>
      <c r="C3761" s="690" t="s">
        <v>4060</v>
      </c>
      <c r="D3761" s="689">
        <v>26.2</v>
      </c>
      <c r="E3761" s="689">
        <v>26.1</v>
      </c>
      <c r="F3761" s="689">
        <v>26.5</v>
      </c>
      <c r="G3761" s="689">
        <v>27.3</v>
      </c>
      <c r="H3761" s="689">
        <v>27.2</v>
      </c>
      <c r="I3761" s="690" t="s">
        <v>4060</v>
      </c>
      <c r="J3761" s="690" t="s">
        <v>4060</v>
      </c>
      <c r="K3761" s="690" t="s">
        <v>4060</v>
      </c>
    </row>
    <row r="3762" spans="1:11">
      <c r="A3762" s="688" t="s">
        <v>2490</v>
      </c>
      <c r="B3762" s="691">
        <v>25.9</v>
      </c>
      <c r="C3762" s="615">
        <v>26</v>
      </c>
      <c r="D3762" s="691">
        <v>26.5</v>
      </c>
      <c r="E3762" s="692" t="s">
        <v>4060</v>
      </c>
      <c r="F3762" s="691">
        <v>26.7</v>
      </c>
      <c r="G3762" s="615">
        <v>27</v>
      </c>
      <c r="H3762" s="691">
        <v>27.8</v>
      </c>
      <c r="I3762" s="692" t="s">
        <v>4060</v>
      </c>
      <c r="J3762" s="692" t="s">
        <v>4060</v>
      </c>
      <c r="K3762" s="692" t="s">
        <v>4060</v>
      </c>
    </row>
    <row r="3764" spans="1:11">
      <c r="A3764" s="683" t="s">
        <v>4233</v>
      </c>
    </row>
    <row r="3765" spans="1:11">
      <c r="A3765" s="683" t="s">
        <v>4060</v>
      </c>
      <c r="B3765" s="682" t="s">
        <v>4234</v>
      </c>
    </row>
    <row r="3767" spans="1:11">
      <c r="A3767" s="682" t="s">
        <v>4248</v>
      </c>
    </row>
    <row r="3768" spans="1:11">
      <c r="A3768" s="682" t="s">
        <v>4210</v>
      </c>
      <c r="B3768" s="683" t="s">
        <v>4211</v>
      </c>
    </row>
    <row r="3769" spans="1:11">
      <c r="A3769" s="682" t="s">
        <v>4212</v>
      </c>
      <c r="B3769" s="682" t="s">
        <v>4213</v>
      </c>
    </row>
    <row r="3771" spans="1:11">
      <c r="A3771" s="683" t="s">
        <v>4214</v>
      </c>
      <c r="C3771" s="682" t="s">
        <v>4215</v>
      </c>
    </row>
    <row r="3772" spans="1:11">
      <c r="A3772" s="683" t="s">
        <v>4216</v>
      </c>
      <c r="C3772" s="682" t="s">
        <v>2967</v>
      </c>
    </row>
    <row r="3773" spans="1:11">
      <c r="A3773" s="683" t="s">
        <v>3893</v>
      </c>
      <c r="C3773" s="682" t="s">
        <v>4217</v>
      </c>
    </row>
    <row r="3774" spans="1:11">
      <c r="A3774" s="683" t="s">
        <v>4218</v>
      </c>
      <c r="C3774" s="682" t="s">
        <v>4288</v>
      </c>
    </row>
    <row r="3776" spans="1:11">
      <c r="A3776" s="684" t="s">
        <v>4220</v>
      </c>
      <c r="B3776" s="685" t="s">
        <v>4221</v>
      </c>
      <c r="C3776" s="685" t="s">
        <v>4222</v>
      </c>
      <c r="D3776" s="685" t="s">
        <v>4223</v>
      </c>
      <c r="E3776" s="685" t="s">
        <v>4224</v>
      </c>
      <c r="F3776" s="685" t="s">
        <v>4225</v>
      </c>
      <c r="G3776" s="685" t="s">
        <v>4226</v>
      </c>
      <c r="H3776" s="685" t="s">
        <v>4227</v>
      </c>
      <c r="I3776" s="685" t="s">
        <v>4228</v>
      </c>
      <c r="J3776" s="685" t="s">
        <v>4229</v>
      </c>
      <c r="K3776" s="685" t="s">
        <v>4230</v>
      </c>
    </row>
    <row r="3777" spans="1:11">
      <c r="A3777" s="686" t="s">
        <v>4231</v>
      </c>
      <c r="B3777" s="687" t="s">
        <v>4232</v>
      </c>
      <c r="C3777" s="687" t="s">
        <v>4232</v>
      </c>
      <c r="D3777" s="687" t="s">
        <v>4232</v>
      </c>
      <c r="E3777" s="687" t="s">
        <v>4232</v>
      </c>
      <c r="F3777" s="687" t="s">
        <v>4232</v>
      </c>
      <c r="G3777" s="687" t="s">
        <v>4232</v>
      </c>
      <c r="H3777" s="687" t="s">
        <v>4232</v>
      </c>
      <c r="I3777" s="687" t="s">
        <v>4232</v>
      </c>
      <c r="J3777" s="687" t="s">
        <v>4232</v>
      </c>
      <c r="K3777" s="687" t="s">
        <v>4232</v>
      </c>
    </row>
    <row r="3778" spans="1:11">
      <c r="A3778" s="688" t="s">
        <v>4064</v>
      </c>
      <c r="B3778" s="691">
        <v>29.6</v>
      </c>
      <c r="C3778" s="691">
        <v>29.6</v>
      </c>
      <c r="D3778" s="691">
        <v>29.6</v>
      </c>
      <c r="E3778" s="691">
        <v>29.7</v>
      </c>
      <c r="F3778" s="691">
        <v>29.7</v>
      </c>
      <c r="G3778" s="691">
        <v>29.8</v>
      </c>
      <c r="H3778" s="615">
        <v>30</v>
      </c>
      <c r="I3778" s="691">
        <v>29.2</v>
      </c>
      <c r="J3778" s="615">
        <v>29</v>
      </c>
      <c r="K3778" s="691">
        <v>29.5</v>
      </c>
    </row>
    <row r="3779" spans="1:11">
      <c r="A3779" s="688" t="s">
        <v>4065</v>
      </c>
      <c r="B3779" s="689">
        <v>29.6</v>
      </c>
      <c r="C3779" s="693">
        <v>30</v>
      </c>
      <c r="D3779" s="689">
        <v>29.6</v>
      </c>
      <c r="E3779" s="693">
        <v>30</v>
      </c>
      <c r="F3779" s="689">
        <v>29.9</v>
      </c>
      <c r="G3779" s="693">
        <v>30</v>
      </c>
      <c r="H3779" s="690" t="s">
        <v>4060</v>
      </c>
      <c r="I3779" s="690" t="s">
        <v>4060</v>
      </c>
      <c r="J3779" s="690" t="s">
        <v>4060</v>
      </c>
      <c r="K3779" s="690" t="s">
        <v>4060</v>
      </c>
    </row>
    <row r="3780" spans="1:11">
      <c r="A3780" s="688" t="s">
        <v>4063</v>
      </c>
      <c r="B3780" s="691">
        <v>29.7</v>
      </c>
      <c r="C3780" s="615">
        <v>30</v>
      </c>
      <c r="D3780" s="691">
        <v>29.7</v>
      </c>
      <c r="E3780" s="615">
        <v>30</v>
      </c>
      <c r="F3780" s="615">
        <v>30</v>
      </c>
      <c r="G3780" s="615">
        <v>30</v>
      </c>
      <c r="H3780" s="692" t="s">
        <v>4060</v>
      </c>
      <c r="I3780" s="692" t="s">
        <v>4060</v>
      </c>
      <c r="J3780" s="692" t="s">
        <v>4060</v>
      </c>
      <c r="K3780" s="692" t="s">
        <v>4060</v>
      </c>
    </row>
    <row r="3781" spans="1:11">
      <c r="A3781" s="688" t="s">
        <v>4069</v>
      </c>
      <c r="B3781" s="690" t="s">
        <v>4060</v>
      </c>
      <c r="C3781" s="689">
        <v>30.5</v>
      </c>
      <c r="D3781" s="689">
        <v>30.2</v>
      </c>
      <c r="E3781" s="689">
        <v>30.5</v>
      </c>
      <c r="F3781" s="689">
        <v>30.5</v>
      </c>
      <c r="G3781" s="689">
        <v>30.6</v>
      </c>
      <c r="H3781" s="689">
        <v>30.8</v>
      </c>
      <c r="I3781" s="689">
        <v>30.2</v>
      </c>
      <c r="J3781" s="689">
        <v>30.2</v>
      </c>
      <c r="K3781" s="689">
        <v>30.3</v>
      </c>
    </row>
    <row r="3782" spans="1:11">
      <c r="A3782" s="688" t="s">
        <v>4068</v>
      </c>
      <c r="B3782" s="691">
        <v>30.5</v>
      </c>
      <c r="C3782" s="692" t="s">
        <v>4060</v>
      </c>
      <c r="D3782" s="692" t="s">
        <v>4060</v>
      </c>
      <c r="E3782" s="692" t="s">
        <v>4060</v>
      </c>
      <c r="F3782" s="692" t="s">
        <v>4060</v>
      </c>
      <c r="G3782" s="692" t="s">
        <v>4060</v>
      </c>
      <c r="H3782" s="692" t="s">
        <v>4060</v>
      </c>
      <c r="I3782" s="692" t="s">
        <v>4060</v>
      </c>
      <c r="J3782" s="692" t="s">
        <v>4060</v>
      </c>
      <c r="K3782" s="692" t="s">
        <v>4060</v>
      </c>
    </row>
    <row r="3783" spans="1:11">
      <c r="A3783" s="688" t="s">
        <v>0</v>
      </c>
      <c r="B3783" s="689">
        <v>29.7</v>
      </c>
      <c r="C3783" s="689">
        <v>30.1</v>
      </c>
      <c r="D3783" s="689">
        <v>29.8</v>
      </c>
      <c r="E3783" s="689">
        <v>30.2</v>
      </c>
      <c r="F3783" s="689">
        <v>30.3</v>
      </c>
      <c r="G3783" s="689">
        <v>30.3</v>
      </c>
      <c r="H3783" s="689">
        <v>30.7</v>
      </c>
      <c r="I3783" s="689">
        <v>29.6</v>
      </c>
      <c r="J3783" s="689">
        <v>30.5</v>
      </c>
      <c r="K3783" s="689">
        <v>30.5</v>
      </c>
    </row>
    <row r="3784" spans="1:11">
      <c r="A3784" s="688" t="s">
        <v>1</v>
      </c>
      <c r="B3784" s="691">
        <v>25.3</v>
      </c>
      <c r="C3784" s="691">
        <v>24.9</v>
      </c>
      <c r="D3784" s="691">
        <v>24.9</v>
      </c>
      <c r="E3784" s="691">
        <v>25.1</v>
      </c>
      <c r="F3784" s="615">
        <v>25</v>
      </c>
      <c r="G3784" s="691">
        <v>25.1</v>
      </c>
      <c r="H3784" s="691">
        <v>25.2</v>
      </c>
      <c r="I3784" s="691">
        <v>23.7</v>
      </c>
      <c r="J3784" s="615">
        <v>22</v>
      </c>
      <c r="K3784" s="691">
        <v>24.4</v>
      </c>
    </row>
    <row r="3785" spans="1:11">
      <c r="A3785" s="688" t="s">
        <v>2240</v>
      </c>
      <c r="B3785" s="689">
        <v>27.4</v>
      </c>
      <c r="C3785" s="689">
        <v>27.7</v>
      </c>
      <c r="D3785" s="689">
        <v>27.5</v>
      </c>
      <c r="E3785" s="693">
        <v>28</v>
      </c>
      <c r="F3785" s="689">
        <v>27.9</v>
      </c>
      <c r="G3785" s="693">
        <v>28</v>
      </c>
      <c r="H3785" s="689">
        <v>28.2</v>
      </c>
      <c r="I3785" s="689">
        <v>27.2</v>
      </c>
      <c r="J3785" s="689">
        <v>26.3</v>
      </c>
      <c r="K3785" s="693">
        <v>28</v>
      </c>
    </row>
    <row r="3786" spans="1:11">
      <c r="A3786" s="688" t="s">
        <v>2</v>
      </c>
      <c r="B3786" s="691">
        <v>29.1</v>
      </c>
      <c r="C3786" s="691">
        <v>29.4</v>
      </c>
      <c r="D3786" s="691">
        <v>29.4</v>
      </c>
      <c r="E3786" s="691">
        <v>29.6</v>
      </c>
      <c r="F3786" s="691">
        <v>29.7</v>
      </c>
      <c r="G3786" s="691">
        <v>29.6</v>
      </c>
      <c r="H3786" s="691">
        <v>29.9</v>
      </c>
      <c r="I3786" s="691">
        <v>30.1</v>
      </c>
      <c r="J3786" s="691">
        <v>29.9</v>
      </c>
      <c r="K3786" s="691">
        <v>29.8</v>
      </c>
    </row>
    <row r="3787" spans="1:11">
      <c r="A3787" s="688" t="s">
        <v>3</v>
      </c>
      <c r="B3787" s="689">
        <v>29.5</v>
      </c>
      <c r="C3787" s="689">
        <v>29.7</v>
      </c>
      <c r="D3787" s="689">
        <v>29.4</v>
      </c>
      <c r="E3787" s="689">
        <v>29.7</v>
      </c>
      <c r="F3787" s="689">
        <v>29.7</v>
      </c>
      <c r="G3787" s="689">
        <v>29.6</v>
      </c>
      <c r="H3787" s="689">
        <v>29.9</v>
      </c>
      <c r="I3787" s="689">
        <v>29.7</v>
      </c>
      <c r="J3787" s="689">
        <v>29.4</v>
      </c>
      <c r="K3787" s="689">
        <v>29.3</v>
      </c>
    </row>
    <row r="3788" spans="1:11">
      <c r="A3788" s="688" t="s">
        <v>4061</v>
      </c>
      <c r="B3788" s="691">
        <v>29.5</v>
      </c>
      <c r="C3788" s="691">
        <v>29.7</v>
      </c>
      <c r="D3788" s="691">
        <v>29.4</v>
      </c>
      <c r="E3788" s="691">
        <v>29.7</v>
      </c>
      <c r="F3788" s="691">
        <v>29.7</v>
      </c>
      <c r="G3788" s="691">
        <v>29.6</v>
      </c>
      <c r="H3788" s="691">
        <v>29.9</v>
      </c>
      <c r="I3788" s="691">
        <v>29.7</v>
      </c>
      <c r="J3788" s="691">
        <v>29.4</v>
      </c>
      <c r="K3788" s="691">
        <v>29.3</v>
      </c>
    </row>
    <row r="3789" spans="1:11">
      <c r="A3789" s="688" t="s">
        <v>4</v>
      </c>
      <c r="B3789" s="689">
        <v>27.4</v>
      </c>
      <c r="C3789" s="689">
        <v>27.3</v>
      </c>
      <c r="D3789" s="689">
        <v>27.6</v>
      </c>
      <c r="E3789" s="689">
        <v>27.7</v>
      </c>
      <c r="F3789" s="689">
        <v>27.9</v>
      </c>
      <c r="G3789" s="689">
        <v>27.8</v>
      </c>
      <c r="H3789" s="689">
        <v>28.3</v>
      </c>
      <c r="I3789" s="689">
        <v>28.2</v>
      </c>
      <c r="J3789" s="689">
        <v>26.8</v>
      </c>
      <c r="K3789" s="689">
        <v>27.7</v>
      </c>
    </row>
    <row r="3790" spans="1:11">
      <c r="A3790" s="688" t="s">
        <v>8</v>
      </c>
      <c r="B3790" s="691">
        <v>29.9</v>
      </c>
      <c r="C3790" s="691">
        <v>30.1</v>
      </c>
      <c r="D3790" s="691">
        <v>30.1</v>
      </c>
      <c r="E3790" s="691">
        <v>30.2</v>
      </c>
      <c r="F3790" s="691">
        <v>30.6</v>
      </c>
      <c r="G3790" s="691">
        <v>30.7</v>
      </c>
      <c r="H3790" s="615">
        <v>31</v>
      </c>
      <c r="I3790" s="691">
        <v>30.9</v>
      </c>
      <c r="J3790" s="691">
        <v>30.7</v>
      </c>
      <c r="K3790" s="691">
        <v>30.9</v>
      </c>
    </row>
    <row r="3791" spans="1:11">
      <c r="A3791" s="688" t="s">
        <v>7</v>
      </c>
      <c r="B3791" s="689">
        <v>30.3</v>
      </c>
      <c r="C3791" s="689">
        <v>29.9</v>
      </c>
      <c r="D3791" s="689">
        <v>29.7</v>
      </c>
      <c r="E3791" s="693">
        <v>30</v>
      </c>
      <c r="F3791" s="689">
        <v>29.9</v>
      </c>
      <c r="G3791" s="689">
        <v>30.3</v>
      </c>
      <c r="H3791" s="689">
        <v>30.3</v>
      </c>
      <c r="I3791" s="689">
        <v>29.9</v>
      </c>
      <c r="J3791" s="689">
        <v>29.1</v>
      </c>
      <c r="K3791" s="689">
        <v>29.6</v>
      </c>
    </row>
    <row r="3792" spans="1:11">
      <c r="A3792" s="688" t="s">
        <v>27</v>
      </c>
      <c r="B3792" s="691">
        <v>31.8</v>
      </c>
      <c r="C3792" s="691">
        <v>31.5</v>
      </c>
      <c r="D3792" s="691">
        <v>31.2</v>
      </c>
      <c r="E3792" s="691">
        <v>31.5</v>
      </c>
      <c r="F3792" s="691">
        <v>31.5</v>
      </c>
      <c r="G3792" s="691">
        <v>31.6</v>
      </c>
      <c r="H3792" s="691">
        <v>31.9</v>
      </c>
      <c r="I3792" s="691">
        <v>30.7</v>
      </c>
      <c r="J3792" s="691">
        <v>31.5</v>
      </c>
      <c r="K3792" s="691">
        <v>31.5</v>
      </c>
    </row>
    <row r="3793" spans="1:11">
      <c r="A3793" s="688" t="s">
        <v>6</v>
      </c>
      <c r="B3793" s="689">
        <v>31.6</v>
      </c>
      <c r="C3793" s="689">
        <v>31.5</v>
      </c>
      <c r="D3793" s="689">
        <v>31.3</v>
      </c>
      <c r="E3793" s="689">
        <v>31.5</v>
      </c>
      <c r="F3793" s="689">
        <v>31.5</v>
      </c>
      <c r="G3793" s="689">
        <v>31.7</v>
      </c>
      <c r="H3793" s="689">
        <v>31.8</v>
      </c>
      <c r="I3793" s="689">
        <v>31.2</v>
      </c>
      <c r="J3793" s="689">
        <v>31.3</v>
      </c>
      <c r="K3793" s="689">
        <v>31.4</v>
      </c>
    </row>
    <row r="3794" spans="1:11">
      <c r="A3794" s="688" t="s">
        <v>4058</v>
      </c>
      <c r="B3794" s="692" t="s">
        <v>4060</v>
      </c>
      <c r="C3794" s="692" t="s">
        <v>4060</v>
      </c>
      <c r="D3794" s="692" t="s">
        <v>4060</v>
      </c>
      <c r="E3794" s="692" t="s">
        <v>4060</v>
      </c>
      <c r="F3794" s="692" t="s">
        <v>4060</v>
      </c>
      <c r="G3794" s="692" t="s">
        <v>4060</v>
      </c>
      <c r="H3794" s="692" t="s">
        <v>4060</v>
      </c>
      <c r="I3794" s="692" t="s">
        <v>4060</v>
      </c>
      <c r="J3794" s="692" t="s">
        <v>4060</v>
      </c>
      <c r="K3794" s="692" t="s">
        <v>4060</v>
      </c>
    </row>
    <row r="3795" spans="1:11">
      <c r="A3795" s="688" t="s">
        <v>11</v>
      </c>
      <c r="B3795" s="693">
        <v>27</v>
      </c>
      <c r="C3795" s="693">
        <v>27</v>
      </c>
      <c r="D3795" s="689">
        <v>26.6</v>
      </c>
      <c r="E3795" s="689">
        <v>27.1</v>
      </c>
      <c r="F3795" s="693">
        <v>27</v>
      </c>
      <c r="G3795" s="689">
        <v>27.2</v>
      </c>
      <c r="H3795" s="689">
        <v>27.4</v>
      </c>
      <c r="I3795" s="689">
        <v>26.7</v>
      </c>
      <c r="J3795" s="689">
        <v>25.9</v>
      </c>
      <c r="K3795" s="689">
        <v>26.9</v>
      </c>
    </row>
    <row r="3796" spans="1:11">
      <c r="A3796" s="688" t="s">
        <v>10</v>
      </c>
      <c r="B3796" s="691">
        <v>31.4</v>
      </c>
      <c r="C3796" s="691">
        <v>31.3</v>
      </c>
      <c r="D3796" s="691">
        <v>30.9</v>
      </c>
      <c r="E3796" s="691">
        <v>31.5</v>
      </c>
      <c r="F3796" s="691">
        <v>31.3</v>
      </c>
      <c r="G3796" s="691">
        <v>31.6</v>
      </c>
      <c r="H3796" s="691">
        <v>31.8</v>
      </c>
      <c r="I3796" s="691">
        <v>30.6</v>
      </c>
      <c r="J3796" s="615">
        <v>31</v>
      </c>
      <c r="K3796" s="691">
        <v>31.2</v>
      </c>
    </row>
    <row r="3797" spans="1:11">
      <c r="A3797" s="688" t="s">
        <v>30</v>
      </c>
      <c r="B3797" s="689">
        <v>30.8</v>
      </c>
      <c r="C3797" s="689">
        <v>30.6</v>
      </c>
      <c r="D3797" s="689">
        <v>30.4</v>
      </c>
      <c r="E3797" s="689">
        <v>31.1</v>
      </c>
      <c r="F3797" s="689">
        <v>30.7</v>
      </c>
      <c r="G3797" s="689">
        <v>31.3</v>
      </c>
      <c r="H3797" s="689">
        <v>31.1</v>
      </c>
      <c r="I3797" s="689">
        <v>31.1</v>
      </c>
      <c r="J3797" s="689">
        <v>30.4</v>
      </c>
      <c r="K3797" s="689">
        <v>30.7</v>
      </c>
    </row>
    <row r="3798" spans="1:11">
      <c r="A3798" s="688" t="s">
        <v>12</v>
      </c>
      <c r="B3798" s="691">
        <v>25.4</v>
      </c>
      <c r="C3798" s="691">
        <v>25.5</v>
      </c>
      <c r="D3798" s="691">
        <v>25.6</v>
      </c>
      <c r="E3798" s="691">
        <v>25.7</v>
      </c>
      <c r="F3798" s="691">
        <v>25.7</v>
      </c>
      <c r="G3798" s="691">
        <v>25.7</v>
      </c>
      <c r="H3798" s="691">
        <v>26.2</v>
      </c>
      <c r="I3798" s="615">
        <v>26</v>
      </c>
      <c r="J3798" s="691">
        <v>24.1</v>
      </c>
      <c r="K3798" s="691">
        <v>25.4</v>
      </c>
    </row>
    <row r="3799" spans="1:11">
      <c r="A3799" s="688" t="s">
        <v>14</v>
      </c>
      <c r="B3799" s="689">
        <v>25.7</v>
      </c>
      <c r="C3799" s="689">
        <v>25.9</v>
      </c>
      <c r="D3799" s="689">
        <v>25.6</v>
      </c>
      <c r="E3799" s="689">
        <v>25.8</v>
      </c>
      <c r="F3799" s="689">
        <v>26.3</v>
      </c>
      <c r="G3799" s="689">
        <v>26.5</v>
      </c>
      <c r="H3799" s="689">
        <v>26.7</v>
      </c>
      <c r="I3799" s="689">
        <v>25.6</v>
      </c>
      <c r="J3799" s="693">
        <v>25</v>
      </c>
      <c r="K3799" s="689">
        <v>26.1</v>
      </c>
    </row>
    <row r="3800" spans="1:11">
      <c r="A3800" s="688" t="s">
        <v>15</v>
      </c>
      <c r="B3800" s="691">
        <v>30.7</v>
      </c>
      <c r="C3800" s="691">
        <v>30.5</v>
      </c>
      <c r="D3800" s="691">
        <v>30.5</v>
      </c>
      <c r="E3800" s="691">
        <v>30.8</v>
      </c>
      <c r="F3800" s="691">
        <v>30.4</v>
      </c>
      <c r="G3800" s="691">
        <v>30.7</v>
      </c>
      <c r="H3800" s="615">
        <v>31</v>
      </c>
      <c r="I3800" s="691">
        <v>30.6</v>
      </c>
      <c r="J3800" s="691">
        <v>30.9</v>
      </c>
      <c r="K3800" s="691">
        <v>31.2</v>
      </c>
    </row>
    <row r="3801" spans="1:11">
      <c r="A3801" s="688" t="s">
        <v>29</v>
      </c>
      <c r="B3801" s="689">
        <v>25.5</v>
      </c>
      <c r="C3801" s="689">
        <v>25.4</v>
      </c>
      <c r="D3801" s="689">
        <v>25.2</v>
      </c>
      <c r="E3801" s="689">
        <v>25.5</v>
      </c>
      <c r="F3801" s="689">
        <v>25.3</v>
      </c>
      <c r="G3801" s="689">
        <v>25.4</v>
      </c>
      <c r="H3801" s="689">
        <v>25.6</v>
      </c>
      <c r="I3801" s="689">
        <v>24.9</v>
      </c>
      <c r="J3801" s="689">
        <v>23.7</v>
      </c>
      <c r="K3801" s="689">
        <v>25.3</v>
      </c>
    </row>
    <row r="3802" spans="1:11">
      <c r="A3802" s="688" t="s">
        <v>16</v>
      </c>
      <c r="B3802" s="691">
        <v>30.6</v>
      </c>
      <c r="C3802" s="691">
        <v>30.5</v>
      </c>
      <c r="D3802" s="691">
        <v>30.5</v>
      </c>
      <c r="E3802" s="691">
        <v>31.1</v>
      </c>
      <c r="F3802" s="691">
        <v>30.8</v>
      </c>
      <c r="G3802" s="691">
        <v>30.8</v>
      </c>
      <c r="H3802" s="691">
        <v>31.1</v>
      </c>
      <c r="I3802" s="691">
        <v>30.5</v>
      </c>
      <c r="J3802" s="691">
        <v>30.5</v>
      </c>
      <c r="K3802" s="691">
        <v>30.8</v>
      </c>
    </row>
    <row r="3803" spans="1:11">
      <c r="A3803" s="688" t="s">
        <v>17</v>
      </c>
      <c r="B3803" s="689">
        <v>30.1</v>
      </c>
      <c r="C3803" s="689">
        <v>30.3</v>
      </c>
      <c r="D3803" s="693">
        <v>30</v>
      </c>
      <c r="E3803" s="689">
        <v>30.1</v>
      </c>
      <c r="F3803" s="689">
        <v>30.3</v>
      </c>
      <c r="G3803" s="689">
        <v>30.3</v>
      </c>
      <c r="H3803" s="689">
        <v>30.6</v>
      </c>
      <c r="I3803" s="693">
        <v>30</v>
      </c>
      <c r="J3803" s="689">
        <v>29.9</v>
      </c>
      <c r="K3803" s="689">
        <v>30.2</v>
      </c>
    </row>
    <row r="3804" spans="1:11">
      <c r="A3804" s="688" t="s">
        <v>19</v>
      </c>
      <c r="B3804" s="691">
        <v>30.1</v>
      </c>
      <c r="C3804" s="691">
        <v>30.2</v>
      </c>
      <c r="D3804" s="691">
        <v>29.9</v>
      </c>
      <c r="E3804" s="691">
        <v>30.3</v>
      </c>
      <c r="F3804" s="691">
        <v>30.3</v>
      </c>
      <c r="G3804" s="691">
        <v>30.4</v>
      </c>
      <c r="H3804" s="691">
        <v>30.6</v>
      </c>
      <c r="I3804" s="615">
        <v>30</v>
      </c>
      <c r="J3804" s="615">
        <v>30</v>
      </c>
      <c r="K3804" s="691">
        <v>30.1</v>
      </c>
    </row>
    <row r="3805" spans="1:11">
      <c r="A3805" s="688" t="s">
        <v>20</v>
      </c>
      <c r="B3805" s="693">
        <v>27</v>
      </c>
      <c r="C3805" s="689">
        <v>27.3</v>
      </c>
      <c r="D3805" s="689">
        <v>27.1</v>
      </c>
      <c r="E3805" s="689">
        <v>27.5</v>
      </c>
      <c r="F3805" s="689">
        <v>27.4</v>
      </c>
      <c r="G3805" s="689">
        <v>27.3</v>
      </c>
      <c r="H3805" s="689">
        <v>27.6</v>
      </c>
      <c r="I3805" s="689">
        <v>26.2</v>
      </c>
      <c r="J3805" s="689">
        <v>25.4</v>
      </c>
      <c r="K3805" s="689">
        <v>26.9</v>
      </c>
    </row>
    <row r="3806" spans="1:11">
      <c r="A3806" s="688" t="s">
        <v>21</v>
      </c>
      <c r="B3806" s="615">
        <v>30</v>
      </c>
      <c r="C3806" s="691">
        <v>30.3</v>
      </c>
      <c r="D3806" s="691">
        <v>30.3</v>
      </c>
      <c r="E3806" s="691">
        <v>30.3</v>
      </c>
      <c r="F3806" s="691">
        <v>30.6</v>
      </c>
      <c r="G3806" s="691">
        <v>30.5</v>
      </c>
      <c r="H3806" s="691">
        <v>30.8</v>
      </c>
      <c r="I3806" s="691">
        <v>30.2</v>
      </c>
      <c r="J3806" s="691">
        <v>30.2</v>
      </c>
      <c r="K3806" s="691">
        <v>30.5</v>
      </c>
    </row>
    <row r="3807" spans="1:11">
      <c r="A3807" s="688" t="s">
        <v>22</v>
      </c>
      <c r="B3807" s="689">
        <v>25.6</v>
      </c>
      <c r="C3807" s="689">
        <v>25.3</v>
      </c>
      <c r="D3807" s="689">
        <v>25.2</v>
      </c>
      <c r="E3807" s="689">
        <v>25.4</v>
      </c>
      <c r="F3807" s="689">
        <v>25.4</v>
      </c>
      <c r="G3807" s="689">
        <v>25.4</v>
      </c>
      <c r="H3807" s="689">
        <v>25.7</v>
      </c>
      <c r="I3807" s="689">
        <v>24.3</v>
      </c>
      <c r="J3807" s="689">
        <v>23.1</v>
      </c>
      <c r="K3807" s="689">
        <v>25.1</v>
      </c>
    </row>
    <row r="3808" spans="1:11">
      <c r="A3808" s="688" t="s">
        <v>26</v>
      </c>
      <c r="B3808" s="691">
        <v>29.4</v>
      </c>
      <c r="C3808" s="691">
        <v>29.6</v>
      </c>
      <c r="D3808" s="691">
        <v>29.4</v>
      </c>
      <c r="E3808" s="691">
        <v>29.7</v>
      </c>
      <c r="F3808" s="691">
        <v>29.6</v>
      </c>
      <c r="G3808" s="691">
        <v>29.8</v>
      </c>
      <c r="H3808" s="615">
        <v>30</v>
      </c>
      <c r="I3808" s="691">
        <v>29.1</v>
      </c>
      <c r="J3808" s="691">
        <v>29.2</v>
      </c>
      <c r="K3808" s="691">
        <v>29.8</v>
      </c>
    </row>
    <row r="3809" spans="1:11">
      <c r="A3809" s="688" t="s">
        <v>25</v>
      </c>
      <c r="B3809" s="689">
        <v>26.3</v>
      </c>
      <c r="C3809" s="689">
        <v>26.6</v>
      </c>
      <c r="D3809" s="689">
        <v>26.4</v>
      </c>
      <c r="E3809" s="689">
        <v>26.8</v>
      </c>
      <c r="F3809" s="689">
        <v>26.8</v>
      </c>
      <c r="G3809" s="689">
        <v>26.9</v>
      </c>
      <c r="H3809" s="689">
        <v>27.3</v>
      </c>
      <c r="I3809" s="689">
        <v>26.5</v>
      </c>
      <c r="J3809" s="689">
        <v>24.4</v>
      </c>
      <c r="K3809" s="689">
        <v>26.6</v>
      </c>
    </row>
    <row r="3810" spans="1:11">
      <c r="A3810" s="688" t="s">
        <v>5</v>
      </c>
      <c r="B3810" s="691">
        <v>30.2</v>
      </c>
      <c r="C3810" s="615">
        <v>30</v>
      </c>
      <c r="D3810" s="691">
        <v>30.2</v>
      </c>
      <c r="E3810" s="691">
        <v>30.2</v>
      </c>
      <c r="F3810" s="691">
        <v>30.4</v>
      </c>
      <c r="G3810" s="691">
        <v>30.5</v>
      </c>
      <c r="H3810" s="691">
        <v>30.8</v>
      </c>
      <c r="I3810" s="691">
        <v>30.8</v>
      </c>
      <c r="J3810" s="691">
        <v>30.6</v>
      </c>
      <c r="K3810" s="691">
        <v>30.1</v>
      </c>
    </row>
    <row r="3811" spans="1:11">
      <c r="A3811" s="688" t="s">
        <v>23</v>
      </c>
      <c r="B3811" s="689">
        <v>30.6</v>
      </c>
      <c r="C3811" s="689">
        <v>30.8</v>
      </c>
      <c r="D3811" s="689">
        <v>30.7</v>
      </c>
      <c r="E3811" s="689">
        <v>30.9</v>
      </c>
      <c r="F3811" s="693">
        <v>31</v>
      </c>
      <c r="G3811" s="693">
        <v>31</v>
      </c>
      <c r="H3811" s="689">
        <v>31.5</v>
      </c>
      <c r="I3811" s="689">
        <v>30.9</v>
      </c>
      <c r="J3811" s="689">
        <v>31.5</v>
      </c>
      <c r="K3811" s="689">
        <v>31.5</v>
      </c>
    </row>
    <row r="3812" spans="1:11">
      <c r="A3812" s="688" t="s">
        <v>4067</v>
      </c>
      <c r="B3812" s="691">
        <v>29.6</v>
      </c>
      <c r="C3812" s="615">
        <v>30</v>
      </c>
      <c r="D3812" s="691">
        <v>29.6</v>
      </c>
      <c r="E3812" s="615">
        <v>30</v>
      </c>
      <c r="F3812" s="691">
        <v>29.9</v>
      </c>
      <c r="G3812" s="615">
        <v>30</v>
      </c>
      <c r="H3812" s="692" t="s">
        <v>4060</v>
      </c>
      <c r="I3812" s="692" t="s">
        <v>4060</v>
      </c>
      <c r="J3812" s="692" t="s">
        <v>4060</v>
      </c>
      <c r="K3812" s="692" t="s">
        <v>4060</v>
      </c>
    </row>
    <row r="3813" spans="1:11">
      <c r="A3813" s="688" t="s">
        <v>4066</v>
      </c>
      <c r="B3813" s="689">
        <v>29.7</v>
      </c>
      <c r="C3813" s="693">
        <v>30</v>
      </c>
      <c r="D3813" s="689">
        <v>29.7</v>
      </c>
      <c r="E3813" s="693">
        <v>30</v>
      </c>
      <c r="F3813" s="693">
        <v>30</v>
      </c>
      <c r="G3813" s="693">
        <v>30</v>
      </c>
      <c r="H3813" s="690" t="s">
        <v>4060</v>
      </c>
      <c r="I3813" s="690" t="s">
        <v>4060</v>
      </c>
      <c r="J3813" s="690" t="s">
        <v>4060</v>
      </c>
      <c r="K3813" s="690" t="s">
        <v>4060</v>
      </c>
    </row>
    <row r="3814" spans="1:11">
      <c r="A3814" s="688" t="s">
        <v>4062</v>
      </c>
      <c r="B3814" s="691">
        <v>31.1</v>
      </c>
      <c r="C3814" s="691">
        <v>31.3</v>
      </c>
      <c r="D3814" s="691">
        <v>31.2</v>
      </c>
      <c r="E3814" s="691">
        <v>31.5</v>
      </c>
      <c r="F3814" s="691">
        <v>31.6</v>
      </c>
      <c r="G3814" s="691">
        <v>31.8</v>
      </c>
      <c r="H3814" s="691">
        <v>31.9</v>
      </c>
      <c r="I3814" s="691">
        <v>31.6</v>
      </c>
      <c r="J3814" s="691">
        <v>31.9</v>
      </c>
      <c r="K3814" s="691">
        <v>31.6</v>
      </c>
    </row>
    <row r="3815" spans="1:11">
      <c r="A3815" s="688" t="s">
        <v>9</v>
      </c>
      <c r="B3815" s="689">
        <v>30.7</v>
      </c>
      <c r="C3815" s="689">
        <v>31.1</v>
      </c>
      <c r="D3815" s="693">
        <v>31</v>
      </c>
      <c r="E3815" s="689">
        <v>30.6</v>
      </c>
      <c r="F3815" s="689">
        <v>31.1</v>
      </c>
      <c r="G3815" s="689">
        <v>31.3</v>
      </c>
      <c r="H3815" s="689">
        <v>31.4</v>
      </c>
      <c r="I3815" s="689">
        <v>31.5</v>
      </c>
      <c r="J3815" s="689">
        <v>31.7</v>
      </c>
      <c r="K3815" s="689">
        <v>30.8</v>
      </c>
    </row>
    <row r="3816" spans="1:11">
      <c r="A3816" s="688" t="s">
        <v>13</v>
      </c>
      <c r="B3816" s="691">
        <v>31.1</v>
      </c>
      <c r="C3816" s="691">
        <v>30.4</v>
      </c>
      <c r="D3816" s="691">
        <v>31.1</v>
      </c>
      <c r="E3816" s="691">
        <v>30.5</v>
      </c>
      <c r="F3816" s="691">
        <v>31.7</v>
      </c>
      <c r="G3816" s="691">
        <v>31.6</v>
      </c>
      <c r="H3816" s="691">
        <v>31.8</v>
      </c>
      <c r="I3816" s="691">
        <v>30.7</v>
      </c>
      <c r="J3816" s="615">
        <v>32</v>
      </c>
      <c r="K3816" s="691">
        <v>32.200000000000003</v>
      </c>
    </row>
    <row r="3817" spans="1:11">
      <c r="A3817" s="688" t="s">
        <v>18</v>
      </c>
      <c r="B3817" s="689">
        <v>30.4</v>
      </c>
      <c r="C3817" s="689">
        <v>30.7</v>
      </c>
      <c r="D3817" s="689">
        <v>30.8</v>
      </c>
      <c r="E3817" s="689">
        <v>30.9</v>
      </c>
      <c r="F3817" s="689">
        <v>31.1</v>
      </c>
      <c r="G3817" s="689">
        <v>31.2</v>
      </c>
      <c r="H3817" s="689">
        <v>31.4</v>
      </c>
      <c r="I3817" s="689">
        <v>31.7</v>
      </c>
      <c r="J3817" s="689">
        <v>31.6</v>
      </c>
      <c r="K3817" s="689">
        <v>31.1</v>
      </c>
    </row>
    <row r="3818" spans="1:11">
      <c r="A3818" s="688" t="s">
        <v>24</v>
      </c>
      <c r="B3818" s="691">
        <v>31.5</v>
      </c>
      <c r="C3818" s="691">
        <v>31.6</v>
      </c>
      <c r="D3818" s="691">
        <v>31.4</v>
      </c>
      <c r="E3818" s="691">
        <v>31.9</v>
      </c>
      <c r="F3818" s="691">
        <v>31.9</v>
      </c>
      <c r="G3818" s="691">
        <v>32.1</v>
      </c>
      <c r="H3818" s="691">
        <v>32.200000000000003</v>
      </c>
      <c r="I3818" s="691">
        <v>31.5</v>
      </c>
      <c r="J3818" s="615">
        <v>32</v>
      </c>
      <c r="K3818" s="615">
        <v>32</v>
      </c>
    </row>
    <row r="3819" spans="1:11">
      <c r="A3819" s="688" t="s">
        <v>4059</v>
      </c>
      <c r="B3819" s="689">
        <v>30.1</v>
      </c>
      <c r="C3819" s="689">
        <v>30.4</v>
      </c>
      <c r="D3819" s="689">
        <v>30.1</v>
      </c>
      <c r="E3819" s="689">
        <v>30.3</v>
      </c>
      <c r="F3819" s="689">
        <v>30.3</v>
      </c>
      <c r="G3819" s="689">
        <v>30.4</v>
      </c>
      <c r="H3819" s="690" t="s">
        <v>4060</v>
      </c>
      <c r="I3819" s="690" t="s">
        <v>4060</v>
      </c>
      <c r="J3819" s="690" t="s">
        <v>4060</v>
      </c>
      <c r="K3819" s="690" t="s">
        <v>4060</v>
      </c>
    </row>
    <row r="3820" spans="1:11">
      <c r="A3820" s="688" t="s">
        <v>2324</v>
      </c>
      <c r="B3820" s="691">
        <v>25.9</v>
      </c>
      <c r="C3820" s="615">
        <v>26</v>
      </c>
      <c r="D3820" s="691">
        <v>25.6</v>
      </c>
      <c r="E3820" s="691">
        <v>25.6</v>
      </c>
      <c r="F3820" s="691">
        <v>25.9</v>
      </c>
      <c r="G3820" s="615">
        <v>26</v>
      </c>
      <c r="H3820" s="691">
        <v>26.1</v>
      </c>
      <c r="I3820" s="691">
        <v>25.1</v>
      </c>
      <c r="J3820" s="691">
        <v>23.2</v>
      </c>
      <c r="K3820" s="692" t="s">
        <v>4060</v>
      </c>
    </row>
    <row r="3821" spans="1:11">
      <c r="A3821" s="688" t="s">
        <v>2322</v>
      </c>
      <c r="B3821" s="690" t="s">
        <v>4060</v>
      </c>
      <c r="C3821" s="690" t="s">
        <v>4060</v>
      </c>
      <c r="D3821" s="690" t="s">
        <v>4060</v>
      </c>
      <c r="E3821" s="690" t="s">
        <v>4060</v>
      </c>
      <c r="F3821" s="690" t="s">
        <v>4060</v>
      </c>
      <c r="G3821" s="690" t="s">
        <v>4060</v>
      </c>
      <c r="H3821" s="690" t="s">
        <v>4060</v>
      </c>
      <c r="I3821" s="690" t="s">
        <v>4060</v>
      </c>
      <c r="J3821" s="690" t="s">
        <v>4060</v>
      </c>
      <c r="K3821" s="690" t="s">
        <v>4060</v>
      </c>
    </row>
    <row r="3822" spans="1:11">
      <c r="A3822" s="688" t="s">
        <v>2328</v>
      </c>
      <c r="B3822" s="691">
        <v>25.1</v>
      </c>
      <c r="C3822" s="691">
        <v>25.1</v>
      </c>
      <c r="D3822" s="615">
        <v>25</v>
      </c>
      <c r="E3822" s="691">
        <v>25.2</v>
      </c>
      <c r="F3822" s="691">
        <v>25.4</v>
      </c>
      <c r="G3822" s="691">
        <v>25.8</v>
      </c>
      <c r="H3822" s="691">
        <v>25.7</v>
      </c>
      <c r="I3822" s="691">
        <v>23.7</v>
      </c>
      <c r="J3822" s="691">
        <v>22.8</v>
      </c>
      <c r="K3822" s="692" t="s">
        <v>4060</v>
      </c>
    </row>
    <row r="3823" spans="1:11">
      <c r="A3823" s="688" t="s">
        <v>2496</v>
      </c>
      <c r="B3823" s="690" t="s">
        <v>4060</v>
      </c>
      <c r="C3823" s="689">
        <v>25.1</v>
      </c>
      <c r="D3823" s="689">
        <v>24.1</v>
      </c>
      <c r="E3823" s="689">
        <v>23.9</v>
      </c>
      <c r="F3823" s="689">
        <v>24.5</v>
      </c>
      <c r="G3823" s="689">
        <v>24.7</v>
      </c>
      <c r="H3823" s="689">
        <v>24.7</v>
      </c>
      <c r="I3823" s="690" t="s">
        <v>4060</v>
      </c>
      <c r="J3823" s="690" t="s">
        <v>4060</v>
      </c>
      <c r="K3823" s="689">
        <v>24.3</v>
      </c>
    </row>
    <row r="3824" spans="1:11">
      <c r="A3824" s="688" t="s">
        <v>2269</v>
      </c>
      <c r="B3824" s="691">
        <v>27.8</v>
      </c>
      <c r="C3824" s="615">
        <v>28</v>
      </c>
      <c r="D3824" s="691">
        <v>27.5</v>
      </c>
      <c r="E3824" s="615">
        <v>28</v>
      </c>
      <c r="F3824" s="691">
        <v>27.9</v>
      </c>
      <c r="G3824" s="691">
        <v>28.3</v>
      </c>
      <c r="H3824" s="691">
        <v>28.5</v>
      </c>
      <c r="I3824" s="691">
        <v>26.8</v>
      </c>
      <c r="J3824" s="615">
        <v>25</v>
      </c>
      <c r="K3824" s="691">
        <v>28.2</v>
      </c>
    </row>
    <row r="3825" spans="1:11">
      <c r="A3825" s="688" t="s">
        <v>2349</v>
      </c>
      <c r="B3825" s="689">
        <v>24.9</v>
      </c>
      <c r="C3825" s="693">
        <v>25</v>
      </c>
      <c r="D3825" s="689">
        <v>24.9</v>
      </c>
      <c r="E3825" s="689">
        <v>25.3</v>
      </c>
      <c r="F3825" s="689">
        <v>25.1</v>
      </c>
      <c r="G3825" s="689">
        <v>25.4</v>
      </c>
      <c r="H3825" s="689">
        <v>25.4</v>
      </c>
      <c r="I3825" s="693">
        <v>24</v>
      </c>
      <c r="J3825" s="689">
        <v>22.6</v>
      </c>
      <c r="K3825" s="689">
        <v>24.7</v>
      </c>
    </row>
    <row r="3826" spans="1:11">
      <c r="A3826" s="688" t="s">
        <v>2355</v>
      </c>
      <c r="B3826" s="691">
        <v>28.2</v>
      </c>
      <c r="C3826" s="615">
        <v>28</v>
      </c>
      <c r="D3826" s="615">
        <v>28</v>
      </c>
      <c r="E3826" s="691">
        <v>27.9</v>
      </c>
      <c r="F3826" s="691">
        <v>28.1</v>
      </c>
      <c r="G3826" s="691">
        <v>28.5</v>
      </c>
      <c r="H3826" s="691">
        <v>28.5</v>
      </c>
      <c r="I3826" s="692" t="s">
        <v>4060</v>
      </c>
      <c r="J3826" s="692" t="s">
        <v>4060</v>
      </c>
      <c r="K3826" s="692" t="s">
        <v>4060</v>
      </c>
    </row>
    <row r="3827" spans="1:11">
      <c r="A3827" s="688" t="s">
        <v>2357</v>
      </c>
      <c r="B3827" s="690" t="s">
        <v>4060</v>
      </c>
      <c r="C3827" s="693">
        <v>24</v>
      </c>
      <c r="D3827" s="689">
        <v>24.4</v>
      </c>
      <c r="E3827" s="689">
        <v>24.7</v>
      </c>
      <c r="F3827" s="689">
        <v>24.9</v>
      </c>
      <c r="G3827" s="689">
        <v>24.8</v>
      </c>
      <c r="H3827" s="693">
        <v>25</v>
      </c>
      <c r="I3827" s="690" t="s">
        <v>4060</v>
      </c>
      <c r="J3827" s="690" t="s">
        <v>4060</v>
      </c>
      <c r="K3827" s="690" t="s">
        <v>4060</v>
      </c>
    </row>
    <row r="3828" spans="1:11">
      <c r="A3828" s="688" t="s">
        <v>4070</v>
      </c>
      <c r="B3828" s="692" t="s">
        <v>4060</v>
      </c>
      <c r="C3828" s="692" t="s">
        <v>4060</v>
      </c>
      <c r="D3828" s="692" t="s">
        <v>4060</v>
      </c>
      <c r="E3828" s="691">
        <v>27.6</v>
      </c>
      <c r="F3828" s="692" t="s">
        <v>4060</v>
      </c>
      <c r="G3828" s="692" t="s">
        <v>4060</v>
      </c>
      <c r="H3828" s="692" t="s">
        <v>4060</v>
      </c>
      <c r="I3828" s="692" t="s">
        <v>4060</v>
      </c>
      <c r="J3828" s="692" t="s">
        <v>4060</v>
      </c>
      <c r="K3828" s="692" t="s">
        <v>4060</v>
      </c>
    </row>
    <row r="3829" spans="1:11">
      <c r="A3829" s="688" t="s">
        <v>2491</v>
      </c>
      <c r="B3829" s="693">
        <v>24</v>
      </c>
      <c r="C3829" s="689">
        <v>24.5</v>
      </c>
      <c r="D3829" s="689">
        <v>24.7</v>
      </c>
      <c r="E3829" s="689">
        <v>24.9</v>
      </c>
      <c r="F3829" s="689">
        <v>24.9</v>
      </c>
      <c r="G3829" s="689">
        <v>24.9</v>
      </c>
      <c r="H3829" s="690" t="s">
        <v>4060</v>
      </c>
      <c r="I3829" s="690" t="s">
        <v>4060</v>
      </c>
      <c r="J3829" s="690" t="s">
        <v>4060</v>
      </c>
      <c r="K3829" s="690" t="s">
        <v>4060</v>
      </c>
    </row>
    <row r="3830" spans="1:11">
      <c r="A3830" s="688" t="s">
        <v>2343</v>
      </c>
      <c r="B3830" s="692" t="s">
        <v>4060</v>
      </c>
      <c r="C3830" s="692" t="s">
        <v>4060</v>
      </c>
      <c r="D3830" s="692" t="s">
        <v>4060</v>
      </c>
      <c r="E3830" s="692" t="s">
        <v>4060</v>
      </c>
      <c r="F3830" s="692" t="s">
        <v>4060</v>
      </c>
      <c r="G3830" s="692" t="s">
        <v>4060</v>
      </c>
      <c r="H3830" s="692" t="s">
        <v>4060</v>
      </c>
      <c r="I3830" s="692" t="s">
        <v>4060</v>
      </c>
      <c r="J3830" s="692" t="s">
        <v>4060</v>
      </c>
      <c r="K3830" s="692" t="s">
        <v>4060</v>
      </c>
    </row>
    <row r="3831" spans="1:11">
      <c r="A3831" s="688" t="s">
        <v>4071</v>
      </c>
      <c r="B3831" s="690" t="s">
        <v>4060</v>
      </c>
      <c r="C3831" s="690" t="s">
        <v>4060</v>
      </c>
      <c r="D3831" s="690" t="s">
        <v>4060</v>
      </c>
      <c r="E3831" s="690" t="s">
        <v>4060</v>
      </c>
      <c r="F3831" s="690" t="s">
        <v>4060</v>
      </c>
      <c r="G3831" s="690" t="s">
        <v>4060</v>
      </c>
      <c r="H3831" s="690" t="s">
        <v>4060</v>
      </c>
      <c r="I3831" s="690" t="s">
        <v>4060</v>
      </c>
      <c r="J3831" s="690" t="s">
        <v>4060</v>
      </c>
      <c r="K3831" s="690" t="s">
        <v>4060</v>
      </c>
    </row>
    <row r="3832" spans="1:11">
      <c r="A3832" s="688" t="s">
        <v>2489</v>
      </c>
      <c r="B3832" s="692" t="s">
        <v>4060</v>
      </c>
      <c r="C3832" s="692" t="s">
        <v>4060</v>
      </c>
      <c r="D3832" s="691">
        <v>25.3</v>
      </c>
      <c r="E3832" s="691">
        <v>25.3</v>
      </c>
      <c r="F3832" s="691">
        <v>25.7</v>
      </c>
      <c r="G3832" s="691">
        <v>26.4</v>
      </c>
      <c r="H3832" s="691">
        <v>26.3</v>
      </c>
      <c r="I3832" s="692" t="s">
        <v>4060</v>
      </c>
      <c r="J3832" s="692" t="s">
        <v>4060</v>
      </c>
      <c r="K3832" s="692" t="s">
        <v>4060</v>
      </c>
    </row>
    <row r="3833" spans="1:11">
      <c r="A3833" s="688" t="s">
        <v>2490</v>
      </c>
      <c r="B3833" s="689">
        <v>25.1</v>
      </c>
      <c r="C3833" s="689">
        <v>25.1</v>
      </c>
      <c r="D3833" s="689">
        <v>25.7</v>
      </c>
      <c r="E3833" s="690" t="s">
        <v>4060</v>
      </c>
      <c r="F3833" s="689">
        <v>25.9</v>
      </c>
      <c r="G3833" s="689">
        <v>26.1</v>
      </c>
      <c r="H3833" s="689">
        <v>26.9</v>
      </c>
      <c r="I3833" s="690" t="s">
        <v>4060</v>
      </c>
      <c r="J3833" s="690" t="s">
        <v>4060</v>
      </c>
      <c r="K3833" s="690" t="s">
        <v>4060</v>
      </c>
    </row>
    <row r="3835" spans="1:11">
      <c r="A3835" s="683" t="s">
        <v>4233</v>
      </c>
    </row>
    <row r="3836" spans="1:11">
      <c r="A3836" s="683" t="s">
        <v>4060</v>
      </c>
      <c r="B3836" s="682" t="s">
        <v>4234</v>
      </c>
    </row>
    <row r="3838" spans="1:11">
      <c r="A3838" s="682" t="s">
        <v>4248</v>
      </c>
    </row>
    <row r="3839" spans="1:11">
      <c r="A3839" s="682" t="s">
        <v>4210</v>
      </c>
      <c r="B3839" s="683" t="s">
        <v>4211</v>
      </c>
    </row>
    <row r="3840" spans="1:11">
      <c r="A3840" s="682" t="s">
        <v>4212</v>
      </c>
      <c r="B3840" s="682" t="s">
        <v>4213</v>
      </c>
    </row>
    <row r="3842" spans="1:11">
      <c r="A3842" s="683" t="s">
        <v>4214</v>
      </c>
      <c r="C3842" s="682" t="s">
        <v>4215</v>
      </c>
    </row>
    <row r="3843" spans="1:11">
      <c r="A3843" s="683" t="s">
        <v>4216</v>
      </c>
      <c r="C3843" s="682" t="s">
        <v>2967</v>
      </c>
    </row>
    <row r="3844" spans="1:11">
      <c r="A3844" s="683" t="s">
        <v>3893</v>
      </c>
      <c r="C3844" s="682" t="s">
        <v>4217</v>
      </c>
    </row>
    <row r="3845" spans="1:11">
      <c r="A3845" s="683" t="s">
        <v>4218</v>
      </c>
      <c r="C3845" s="682" t="s">
        <v>4289</v>
      </c>
    </row>
    <row r="3847" spans="1:11">
      <c r="A3847" s="684" t="s">
        <v>4220</v>
      </c>
      <c r="B3847" s="685" t="s">
        <v>4221</v>
      </c>
      <c r="C3847" s="685" t="s">
        <v>4222</v>
      </c>
      <c r="D3847" s="685" t="s">
        <v>4223</v>
      </c>
      <c r="E3847" s="685" t="s">
        <v>4224</v>
      </c>
      <c r="F3847" s="685" t="s">
        <v>4225</v>
      </c>
      <c r="G3847" s="685" t="s">
        <v>4226</v>
      </c>
      <c r="H3847" s="685" t="s">
        <v>4227</v>
      </c>
      <c r="I3847" s="685" t="s">
        <v>4228</v>
      </c>
      <c r="J3847" s="685" t="s">
        <v>4229</v>
      </c>
      <c r="K3847" s="685" t="s">
        <v>4230</v>
      </c>
    </row>
    <row r="3848" spans="1:11">
      <c r="A3848" s="686" t="s">
        <v>4231</v>
      </c>
      <c r="B3848" s="687" t="s">
        <v>4232</v>
      </c>
      <c r="C3848" s="687" t="s">
        <v>4232</v>
      </c>
      <c r="D3848" s="687" t="s">
        <v>4232</v>
      </c>
      <c r="E3848" s="687" t="s">
        <v>4232</v>
      </c>
      <c r="F3848" s="687" t="s">
        <v>4232</v>
      </c>
      <c r="G3848" s="687" t="s">
        <v>4232</v>
      </c>
      <c r="H3848" s="687" t="s">
        <v>4232</v>
      </c>
      <c r="I3848" s="687" t="s">
        <v>4232</v>
      </c>
      <c r="J3848" s="687" t="s">
        <v>4232</v>
      </c>
      <c r="K3848" s="687" t="s">
        <v>4232</v>
      </c>
    </row>
    <row r="3849" spans="1:11">
      <c r="A3849" s="688" t="s">
        <v>4064</v>
      </c>
      <c r="B3849" s="689">
        <v>28.7</v>
      </c>
      <c r="C3849" s="689">
        <v>28.8</v>
      </c>
      <c r="D3849" s="689">
        <v>28.7</v>
      </c>
      <c r="E3849" s="689">
        <v>28.8</v>
      </c>
      <c r="F3849" s="689">
        <v>28.8</v>
      </c>
      <c r="G3849" s="689">
        <v>28.9</v>
      </c>
      <c r="H3849" s="689">
        <v>29.1</v>
      </c>
      <c r="I3849" s="689">
        <v>28.3</v>
      </c>
      <c r="J3849" s="689">
        <v>28.1</v>
      </c>
      <c r="K3849" s="689">
        <v>28.6</v>
      </c>
    </row>
    <row r="3850" spans="1:11">
      <c r="A3850" s="688" t="s">
        <v>4065</v>
      </c>
      <c r="B3850" s="691">
        <v>28.8</v>
      </c>
      <c r="C3850" s="691">
        <v>29.1</v>
      </c>
      <c r="D3850" s="691">
        <v>28.7</v>
      </c>
      <c r="E3850" s="691">
        <v>29.1</v>
      </c>
      <c r="F3850" s="615">
        <v>29</v>
      </c>
      <c r="G3850" s="691">
        <v>29.1</v>
      </c>
      <c r="H3850" s="692" t="s">
        <v>4060</v>
      </c>
      <c r="I3850" s="692" t="s">
        <v>4060</v>
      </c>
      <c r="J3850" s="692" t="s">
        <v>4060</v>
      </c>
      <c r="K3850" s="692" t="s">
        <v>4060</v>
      </c>
    </row>
    <row r="3851" spans="1:11">
      <c r="A3851" s="688" t="s">
        <v>4063</v>
      </c>
      <c r="B3851" s="689">
        <v>28.8</v>
      </c>
      <c r="C3851" s="689">
        <v>29.1</v>
      </c>
      <c r="D3851" s="689">
        <v>28.8</v>
      </c>
      <c r="E3851" s="689">
        <v>29.1</v>
      </c>
      <c r="F3851" s="689">
        <v>29.1</v>
      </c>
      <c r="G3851" s="689">
        <v>29.1</v>
      </c>
      <c r="H3851" s="690" t="s">
        <v>4060</v>
      </c>
      <c r="I3851" s="690" t="s">
        <v>4060</v>
      </c>
      <c r="J3851" s="690" t="s">
        <v>4060</v>
      </c>
      <c r="K3851" s="690" t="s">
        <v>4060</v>
      </c>
    </row>
    <row r="3852" spans="1:11">
      <c r="A3852" s="688" t="s">
        <v>4069</v>
      </c>
      <c r="B3852" s="692" t="s">
        <v>4060</v>
      </c>
      <c r="C3852" s="691">
        <v>29.6</v>
      </c>
      <c r="D3852" s="691">
        <v>29.3</v>
      </c>
      <c r="E3852" s="691">
        <v>29.6</v>
      </c>
      <c r="F3852" s="691">
        <v>29.6</v>
      </c>
      <c r="G3852" s="691">
        <v>29.7</v>
      </c>
      <c r="H3852" s="615">
        <v>30</v>
      </c>
      <c r="I3852" s="691">
        <v>29.3</v>
      </c>
      <c r="J3852" s="691">
        <v>29.3</v>
      </c>
      <c r="K3852" s="691">
        <v>29.4</v>
      </c>
    </row>
    <row r="3853" spans="1:11">
      <c r="A3853" s="688" t="s">
        <v>4068</v>
      </c>
      <c r="B3853" s="689">
        <v>29.6</v>
      </c>
      <c r="C3853" s="690" t="s">
        <v>4060</v>
      </c>
      <c r="D3853" s="690" t="s">
        <v>4060</v>
      </c>
      <c r="E3853" s="690" t="s">
        <v>4060</v>
      </c>
      <c r="F3853" s="690" t="s">
        <v>4060</v>
      </c>
      <c r="G3853" s="690" t="s">
        <v>4060</v>
      </c>
      <c r="H3853" s="690" t="s">
        <v>4060</v>
      </c>
      <c r="I3853" s="690" t="s">
        <v>4060</v>
      </c>
      <c r="J3853" s="690" t="s">
        <v>4060</v>
      </c>
      <c r="K3853" s="690" t="s">
        <v>4060</v>
      </c>
    </row>
    <row r="3854" spans="1:11">
      <c r="A3854" s="688" t="s">
        <v>0</v>
      </c>
      <c r="B3854" s="691">
        <v>28.8</v>
      </c>
      <c r="C3854" s="691">
        <v>29.2</v>
      </c>
      <c r="D3854" s="691">
        <v>28.9</v>
      </c>
      <c r="E3854" s="691">
        <v>29.3</v>
      </c>
      <c r="F3854" s="691">
        <v>29.4</v>
      </c>
      <c r="G3854" s="691">
        <v>29.4</v>
      </c>
      <c r="H3854" s="691">
        <v>29.8</v>
      </c>
      <c r="I3854" s="691">
        <v>28.7</v>
      </c>
      <c r="J3854" s="691">
        <v>29.6</v>
      </c>
      <c r="K3854" s="691">
        <v>29.6</v>
      </c>
    </row>
    <row r="3855" spans="1:11">
      <c r="A3855" s="688" t="s">
        <v>1</v>
      </c>
      <c r="B3855" s="689">
        <v>24.4</v>
      </c>
      <c r="C3855" s="689">
        <v>24.1</v>
      </c>
      <c r="D3855" s="689">
        <v>24.1</v>
      </c>
      <c r="E3855" s="689">
        <v>24.3</v>
      </c>
      <c r="F3855" s="689">
        <v>24.2</v>
      </c>
      <c r="G3855" s="689">
        <v>24.3</v>
      </c>
      <c r="H3855" s="689">
        <v>24.4</v>
      </c>
      <c r="I3855" s="689">
        <v>22.9</v>
      </c>
      <c r="J3855" s="689">
        <v>21.3</v>
      </c>
      <c r="K3855" s="689">
        <v>23.6</v>
      </c>
    </row>
    <row r="3856" spans="1:11">
      <c r="A3856" s="688" t="s">
        <v>2240</v>
      </c>
      <c r="B3856" s="691">
        <v>26.5</v>
      </c>
      <c r="C3856" s="691">
        <v>26.9</v>
      </c>
      <c r="D3856" s="691">
        <v>26.7</v>
      </c>
      <c r="E3856" s="691">
        <v>27.1</v>
      </c>
      <c r="F3856" s="615">
        <v>27</v>
      </c>
      <c r="G3856" s="691">
        <v>27.1</v>
      </c>
      <c r="H3856" s="691">
        <v>27.3</v>
      </c>
      <c r="I3856" s="691">
        <v>26.3</v>
      </c>
      <c r="J3856" s="691">
        <v>25.4</v>
      </c>
      <c r="K3856" s="691">
        <v>27.1</v>
      </c>
    </row>
    <row r="3857" spans="1:11">
      <c r="A3857" s="688" t="s">
        <v>2</v>
      </c>
      <c r="B3857" s="689">
        <v>28.2</v>
      </c>
      <c r="C3857" s="689">
        <v>28.5</v>
      </c>
      <c r="D3857" s="689">
        <v>28.5</v>
      </c>
      <c r="E3857" s="689">
        <v>28.6</v>
      </c>
      <c r="F3857" s="689">
        <v>28.8</v>
      </c>
      <c r="G3857" s="689">
        <v>28.7</v>
      </c>
      <c r="H3857" s="693">
        <v>29</v>
      </c>
      <c r="I3857" s="689">
        <v>29.2</v>
      </c>
      <c r="J3857" s="693">
        <v>29</v>
      </c>
      <c r="K3857" s="689">
        <v>28.9</v>
      </c>
    </row>
    <row r="3858" spans="1:11">
      <c r="A3858" s="688" t="s">
        <v>3</v>
      </c>
      <c r="B3858" s="691">
        <v>28.6</v>
      </c>
      <c r="C3858" s="691">
        <v>28.8</v>
      </c>
      <c r="D3858" s="691">
        <v>28.5</v>
      </c>
      <c r="E3858" s="691">
        <v>28.8</v>
      </c>
      <c r="F3858" s="691">
        <v>28.8</v>
      </c>
      <c r="G3858" s="691">
        <v>28.7</v>
      </c>
      <c r="H3858" s="615">
        <v>29</v>
      </c>
      <c r="I3858" s="691">
        <v>28.8</v>
      </c>
      <c r="J3858" s="691">
        <v>28.5</v>
      </c>
      <c r="K3858" s="691">
        <v>28.4</v>
      </c>
    </row>
    <row r="3859" spans="1:11">
      <c r="A3859" s="688" t="s">
        <v>4061</v>
      </c>
      <c r="B3859" s="689">
        <v>28.6</v>
      </c>
      <c r="C3859" s="689">
        <v>28.8</v>
      </c>
      <c r="D3859" s="689">
        <v>28.5</v>
      </c>
      <c r="E3859" s="689">
        <v>28.8</v>
      </c>
      <c r="F3859" s="689">
        <v>28.8</v>
      </c>
      <c r="G3859" s="689">
        <v>28.7</v>
      </c>
      <c r="H3859" s="693">
        <v>29</v>
      </c>
      <c r="I3859" s="689">
        <v>28.8</v>
      </c>
      <c r="J3859" s="689">
        <v>28.5</v>
      </c>
      <c r="K3859" s="689">
        <v>28.4</v>
      </c>
    </row>
    <row r="3860" spans="1:11">
      <c r="A3860" s="688" t="s">
        <v>4</v>
      </c>
      <c r="B3860" s="691">
        <v>26.6</v>
      </c>
      <c r="C3860" s="691">
        <v>26.5</v>
      </c>
      <c r="D3860" s="691">
        <v>26.8</v>
      </c>
      <c r="E3860" s="691">
        <v>26.9</v>
      </c>
      <c r="F3860" s="615">
        <v>27</v>
      </c>
      <c r="G3860" s="615">
        <v>27</v>
      </c>
      <c r="H3860" s="691">
        <v>27.4</v>
      </c>
      <c r="I3860" s="691">
        <v>27.3</v>
      </c>
      <c r="J3860" s="615">
        <v>26</v>
      </c>
      <c r="K3860" s="691">
        <v>26.9</v>
      </c>
    </row>
    <row r="3861" spans="1:11">
      <c r="A3861" s="688" t="s">
        <v>8</v>
      </c>
      <c r="B3861" s="693">
        <v>29</v>
      </c>
      <c r="C3861" s="689">
        <v>29.2</v>
      </c>
      <c r="D3861" s="689">
        <v>29.2</v>
      </c>
      <c r="E3861" s="689">
        <v>29.3</v>
      </c>
      <c r="F3861" s="689">
        <v>29.7</v>
      </c>
      <c r="G3861" s="689">
        <v>29.8</v>
      </c>
      <c r="H3861" s="693">
        <v>30</v>
      </c>
      <c r="I3861" s="693">
        <v>30</v>
      </c>
      <c r="J3861" s="689">
        <v>29.8</v>
      </c>
      <c r="K3861" s="693">
        <v>30</v>
      </c>
    </row>
    <row r="3862" spans="1:11">
      <c r="A3862" s="688" t="s">
        <v>7</v>
      </c>
      <c r="B3862" s="691">
        <v>29.5</v>
      </c>
      <c r="C3862" s="691">
        <v>29.1</v>
      </c>
      <c r="D3862" s="691">
        <v>28.8</v>
      </c>
      <c r="E3862" s="691">
        <v>29.1</v>
      </c>
      <c r="F3862" s="615">
        <v>29</v>
      </c>
      <c r="G3862" s="691">
        <v>29.4</v>
      </c>
      <c r="H3862" s="691">
        <v>29.4</v>
      </c>
      <c r="I3862" s="615">
        <v>29</v>
      </c>
      <c r="J3862" s="691">
        <v>28.2</v>
      </c>
      <c r="K3862" s="691">
        <v>28.7</v>
      </c>
    </row>
    <row r="3863" spans="1:11">
      <c r="A3863" s="688" t="s">
        <v>27</v>
      </c>
      <c r="B3863" s="689">
        <v>30.9</v>
      </c>
      <c r="C3863" s="689">
        <v>30.6</v>
      </c>
      <c r="D3863" s="689">
        <v>30.3</v>
      </c>
      <c r="E3863" s="689">
        <v>30.6</v>
      </c>
      <c r="F3863" s="689">
        <v>30.6</v>
      </c>
      <c r="G3863" s="689">
        <v>30.7</v>
      </c>
      <c r="H3863" s="693">
        <v>31</v>
      </c>
      <c r="I3863" s="689">
        <v>29.8</v>
      </c>
      <c r="J3863" s="689">
        <v>30.5</v>
      </c>
      <c r="K3863" s="689">
        <v>30.6</v>
      </c>
    </row>
    <row r="3864" spans="1:11">
      <c r="A3864" s="688" t="s">
        <v>6</v>
      </c>
      <c r="B3864" s="691">
        <v>30.7</v>
      </c>
      <c r="C3864" s="691">
        <v>30.6</v>
      </c>
      <c r="D3864" s="691">
        <v>30.4</v>
      </c>
      <c r="E3864" s="691">
        <v>30.6</v>
      </c>
      <c r="F3864" s="691">
        <v>30.7</v>
      </c>
      <c r="G3864" s="691">
        <v>30.8</v>
      </c>
      <c r="H3864" s="691">
        <v>30.9</v>
      </c>
      <c r="I3864" s="691">
        <v>30.3</v>
      </c>
      <c r="J3864" s="691">
        <v>30.4</v>
      </c>
      <c r="K3864" s="691">
        <v>30.5</v>
      </c>
    </row>
    <row r="3865" spans="1:11">
      <c r="A3865" s="688" t="s">
        <v>4058</v>
      </c>
      <c r="B3865" s="690" t="s">
        <v>4060</v>
      </c>
      <c r="C3865" s="690" t="s">
        <v>4060</v>
      </c>
      <c r="D3865" s="690" t="s">
        <v>4060</v>
      </c>
      <c r="E3865" s="690" t="s">
        <v>4060</v>
      </c>
      <c r="F3865" s="690" t="s">
        <v>4060</v>
      </c>
      <c r="G3865" s="690" t="s">
        <v>4060</v>
      </c>
      <c r="H3865" s="690" t="s">
        <v>4060</v>
      </c>
      <c r="I3865" s="690" t="s">
        <v>4060</v>
      </c>
      <c r="J3865" s="690" t="s">
        <v>4060</v>
      </c>
      <c r="K3865" s="690" t="s">
        <v>4060</v>
      </c>
    </row>
    <row r="3866" spans="1:11">
      <c r="A3866" s="688" t="s">
        <v>11</v>
      </c>
      <c r="B3866" s="691">
        <v>26.2</v>
      </c>
      <c r="C3866" s="691">
        <v>26.1</v>
      </c>
      <c r="D3866" s="691">
        <v>25.7</v>
      </c>
      <c r="E3866" s="691">
        <v>26.3</v>
      </c>
      <c r="F3866" s="691">
        <v>26.1</v>
      </c>
      <c r="G3866" s="691">
        <v>26.3</v>
      </c>
      <c r="H3866" s="691">
        <v>26.6</v>
      </c>
      <c r="I3866" s="691">
        <v>25.8</v>
      </c>
      <c r="J3866" s="615">
        <v>25</v>
      </c>
      <c r="K3866" s="615">
        <v>26</v>
      </c>
    </row>
    <row r="3867" spans="1:11">
      <c r="A3867" s="688" t="s">
        <v>10</v>
      </c>
      <c r="B3867" s="689">
        <v>30.5</v>
      </c>
      <c r="C3867" s="689">
        <v>30.4</v>
      </c>
      <c r="D3867" s="693">
        <v>30</v>
      </c>
      <c r="E3867" s="689">
        <v>30.6</v>
      </c>
      <c r="F3867" s="689">
        <v>30.4</v>
      </c>
      <c r="G3867" s="689">
        <v>30.7</v>
      </c>
      <c r="H3867" s="689">
        <v>30.9</v>
      </c>
      <c r="I3867" s="689">
        <v>29.7</v>
      </c>
      <c r="J3867" s="689">
        <v>30.1</v>
      </c>
      <c r="K3867" s="689">
        <v>30.2</v>
      </c>
    </row>
    <row r="3868" spans="1:11">
      <c r="A3868" s="688" t="s">
        <v>30</v>
      </c>
      <c r="B3868" s="691">
        <v>29.9</v>
      </c>
      <c r="C3868" s="691">
        <v>29.7</v>
      </c>
      <c r="D3868" s="691">
        <v>29.4</v>
      </c>
      <c r="E3868" s="691">
        <v>30.2</v>
      </c>
      <c r="F3868" s="691">
        <v>29.8</v>
      </c>
      <c r="G3868" s="691">
        <v>30.3</v>
      </c>
      <c r="H3868" s="691">
        <v>30.1</v>
      </c>
      <c r="I3868" s="691">
        <v>30.2</v>
      </c>
      <c r="J3868" s="691">
        <v>29.5</v>
      </c>
      <c r="K3868" s="691">
        <v>29.7</v>
      </c>
    </row>
    <row r="3869" spans="1:11">
      <c r="A3869" s="688" t="s">
        <v>12</v>
      </c>
      <c r="B3869" s="689">
        <v>24.7</v>
      </c>
      <c r="C3869" s="689">
        <v>24.7</v>
      </c>
      <c r="D3869" s="689">
        <v>24.9</v>
      </c>
      <c r="E3869" s="689">
        <v>24.9</v>
      </c>
      <c r="F3869" s="689">
        <v>24.9</v>
      </c>
      <c r="G3869" s="693">
        <v>25</v>
      </c>
      <c r="H3869" s="689">
        <v>25.4</v>
      </c>
      <c r="I3869" s="689">
        <v>25.2</v>
      </c>
      <c r="J3869" s="689">
        <v>23.3</v>
      </c>
      <c r="K3869" s="689">
        <v>24.6</v>
      </c>
    </row>
    <row r="3870" spans="1:11">
      <c r="A3870" s="688" t="s">
        <v>14</v>
      </c>
      <c r="B3870" s="691">
        <v>24.9</v>
      </c>
      <c r="C3870" s="691">
        <v>25.1</v>
      </c>
      <c r="D3870" s="691">
        <v>24.8</v>
      </c>
      <c r="E3870" s="615">
        <v>25</v>
      </c>
      <c r="F3870" s="691">
        <v>25.5</v>
      </c>
      <c r="G3870" s="691">
        <v>25.6</v>
      </c>
      <c r="H3870" s="691">
        <v>25.9</v>
      </c>
      <c r="I3870" s="691">
        <v>24.8</v>
      </c>
      <c r="J3870" s="691">
        <v>24.2</v>
      </c>
      <c r="K3870" s="691">
        <v>25.3</v>
      </c>
    </row>
    <row r="3871" spans="1:11">
      <c r="A3871" s="688" t="s">
        <v>15</v>
      </c>
      <c r="B3871" s="689">
        <v>29.8</v>
      </c>
      <c r="C3871" s="689">
        <v>29.6</v>
      </c>
      <c r="D3871" s="689">
        <v>29.6</v>
      </c>
      <c r="E3871" s="689">
        <v>29.9</v>
      </c>
      <c r="F3871" s="689">
        <v>29.5</v>
      </c>
      <c r="G3871" s="689">
        <v>29.8</v>
      </c>
      <c r="H3871" s="689">
        <v>30.1</v>
      </c>
      <c r="I3871" s="689">
        <v>29.7</v>
      </c>
      <c r="J3871" s="693">
        <v>30</v>
      </c>
      <c r="K3871" s="689">
        <v>30.3</v>
      </c>
    </row>
    <row r="3872" spans="1:11">
      <c r="A3872" s="688" t="s">
        <v>29</v>
      </c>
      <c r="B3872" s="691">
        <v>24.7</v>
      </c>
      <c r="C3872" s="691">
        <v>24.6</v>
      </c>
      <c r="D3872" s="691">
        <v>24.4</v>
      </c>
      <c r="E3872" s="691">
        <v>24.7</v>
      </c>
      <c r="F3872" s="691">
        <v>24.5</v>
      </c>
      <c r="G3872" s="691">
        <v>24.6</v>
      </c>
      <c r="H3872" s="691">
        <v>24.8</v>
      </c>
      <c r="I3872" s="615">
        <v>24</v>
      </c>
      <c r="J3872" s="615">
        <v>23</v>
      </c>
      <c r="K3872" s="691">
        <v>24.4</v>
      </c>
    </row>
    <row r="3873" spans="1:11">
      <c r="A3873" s="688" t="s">
        <v>16</v>
      </c>
      <c r="B3873" s="689">
        <v>29.6</v>
      </c>
      <c r="C3873" s="689">
        <v>29.5</v>
      </c>
      <c r="D3873" s="689">
        <v>29.6</v>
      </c>
      <c r="E3873" s="689">
        <v>30.2</v>
      </c>
      <c r="F3873" s="689">
        <v>29.9</v>
      </c>
      <c r="G3873" s="689">
        <v>29.9</v>
      </c>
      <c r="H3873" s="689">
        <v>30.2</v>
      </c>
      <c r="I3873" s="689">
        <v>29.6</v>
      </c>
      <c r="J3873" s="689">
        <v>29.6</v>
      </c>
      <c r="K3873" s="689">
        <v>29.8</v>
      </c>
    </row>
    <row r="3874" spans="1:11">
      <c r="A3874" s="688" t="s">
        <v>17</v>
      </c>
      <c r="B3874" s="691">
        <v>29.2</v>
      </c>
      <c r="C3874" s="691">
        <v>29.4</v>
      </c>
      <c r="D3874" s="691">
        <v>29.1</v>
      </c>
      <c r="E3874" s="691">
        <v>29.2</v>
      </c>
      <c r="F3874" s="691">
        <v>29.4</v>
      </c>
      <c r="G3874" s="691">
        <v>29.4</v>
      </c>
      <c r="H3874" s="691">
        <v>29.7</v>
      </c>
      <c r="I3874" s="691">
        <v>29.1</v>
      </c>
      <c r="J3874" s="615">
        <v>29</v>
      </c>
      <c r="K3874" s="691">
        <v>29.3</v>
      </c>
    </row>
    <row r="3875" spans="1:11">
      <c r="A3875" s="688" t="s">
        <v>19</v>
      </c>
      <c r="B3875" s="689">
        <v>29.2</v>
      </c>
      <c r="C3875" s="689">
        <v>29.3</v>
      </c>
      <c r="D3875" s="693">
        <v>29</v>
      </c>
      <c r="E3875" s="689">
        <v>29.4</v>
      </c>
      <c r="F3875" s="689">
        <v>29.4</v>
      </c>
      <c r="G3875" s="689">
        <v>29.4</v>
      </c>
      <c r="H3875" s="689">
        <v>29.7</v>
      </c>
      <c r="I3875" s="689">
        <v>29.1</v>
      </c>
      <c r="J3875" s="689">
        <v>29.1</v>
      </c>
      <c r="K3875" s="689">
        <v>29.1</v>
      </c>
    </row>
    <row r="3876" spans="1:11">
      <c r="A3876" s="688" t="s">
        <v>20</v>
      </c>
      <c r="B3876" s="691">
        <v>26.2</v>
      </c>
      <c r="C3876" s="691">
        <v>26.5</v>
      </c>
      <c r="D3876" s="691">
        <v>26.3</v>
      </c>
      <c r="E3876" s="691">
        <v>26.7</v>
      </c>
      <c r="F3876" s="691">
        <v>26.5</v>
      </c>
      <c r="G3876" s="691">
        <v>26.5</v>
      </c>
      <c r="H3876" s="691">
        <v>26.7</v>
      </c>
      <c r="I3876" s="691">
        <v>25.4</v>
      </c>
      <c r="J3876" s="691">
        <v>24.5</v>
      </c>
      <c r="K3876" s="691">
        <v>26.1</v>
      </c>
    </row>
    <row r="3877" spans="1:11">
      <c r="A3877" s="688" t="s">
        <v>21</v>
      </c>
      <c r="B3877" s="689">
        <v>29.1</v>
      </c>
      <c r="C3877" s="689">
        <v>29.5</v>
      </c>
      <c r="D3877" s="689">
        <v>29.4</v>
      </c>
      <c r="E3877" s="689">
        <v>29.4</v>
      </c>
      <c r="F3877" s="689">
        <v>29.7</v>
      </c>
      <c r="G3877" s="689">
        <v>29.7</v>
      </c>
      <c r="H3877" s="689">
        <v>29.9</v>
      </c>
      <c r="I3877" s="689">
        <v>29.4</v>
      </c>
      <c r="J3877" s="689">
        <v>29.4</v>
      </c>
      <c r="K3877" s="689">
        <v>29.6</v>
      </c>
    </row>
    <row r="3878" spans="1:11">
      <c r="A3878" s="688" t="s">
        <v>22</v>
      </c>
      <c r="B3878" s="691">
        <v>24.8</v>
      </c>
      <c r="C3878" s="691">
        <v>24.5</v>
      </c>
      <c r="D3878" s="691">
        <v>24.4</v>
      </c>
      <c r="E3878" s="691">
        <v>24.6</v>
      </c>
      <c r="F3878" s="691">
        <v>24.6</v>
      </c>
      <c r="G3878" s="691">
        <v>24.6</v>
      </c>
      <c r="H3878" s="691">
        <v>24.9</v>
      </c>
      <c r="I3878" s="691">
        <v>23.5</v>
      </c>
      <c r="J3878" s="691">
        <v>22.3</v>
      </c>
      <c r="K3878" s="691">
        <v>24.3</v>
      </c>
    </row>
    <row r="3879" spans="1:11">
      <c r="A3879" s="688" t="s">
        <v>26</v>
      </c>
      <c r="B3879" s="689">
        <v>28.5</v>
      </c>
      <c r="C3879" s="689">
        <v>28.7</v>
      </c>
      <c r="D3879" s="689">
        <v>28.5</v>
      </c>
      <c r="E3879" s="689">
        <v>28.8</v>
      </c>
      <c r="F3879" s="689">
        <v>28.7</v>
      </c>
      <c r="G3879" s="689">
        <v>28.9</v>
      </c>
      <c r="H3879" s="689">
        <v>29.1</v>
      </c>
      <c r="I3879" s="689">
        <v>28.2</v>
      </c>
      <c r="J3879" s="689">
        <v>28.4</v>
      </c>
      <c r="K3879" s="689">
        <v>28.9</v>
      </c>
    </row>
    <row r="3880" spans="1:11">
      <c r="A3880" s="688" t="s">
        <v>25</v>
      </c>
      <c r="B3880" s="691">
        <v>25.5</v>
      </c>
      <c r="C3880" s="691">
        <v>25.7</v>
      </c>
      <c r="D3880" s="691">
        <v>25.5</v>
      </c>
      <c r="E3880" s="615">
        <v>26</v>
      </c>
      <c r="F3880" s="691">
        <v>25.9</v>
      </c>
      <c r="G3880" s="691">
        <v>26.1</v>
      </c>
      <c r="H3880" s="691">
        <v>26.5</v>
      </c>
      <c r="I3880" s="691">
        <v>25.7</v>
      </c>
      <c r="J3880" s="691">
        <v>23.6</v>
      </c>
      <c r="K3880" s="691">
        <v>25.8</v>
      </c>
    </row>
    <row r="3881" spans="1:11">
      <c r="A3881" s="688" t="s">
        <v>5</v>
      </c>
      <c r="B3881" s="689">
        <v>29.3</v>
      </c>
      <c r="C3881" s="689">
        <v>29.1</v>
      </c>
      <c r="D3881" s="689">
        <v>29.3</v>
      </c>
      <c r="E3881" s="689">
        <v>29.3</v>
      </c>
      <c r="F3881" s="689">
        <v>29.5</v>
      </c>
      <c r="G3881" s="689">
        <v>29.6</v>
      </c>
      <c r="H3881" s="689">
        <v>29.9</v>
      </c>
      <c r="I3881" s="689">
        <v>29.9</v>
      </c>
      <c r="J3881" s="689">
        <v>29.7</v>
      </c>
      <c r="K3881" s="689">
        <v>29.2</v>
      </c>
    </row>
    <row r="3882" spans="1:11">
      <c r="A3882" s="688" t="s">
        <v>23</v>
      </c>
      <c r="B3882" s="691">
        <v>29.7</v>
      </c>
      <c r="C3882" s="691">
        <v>29.9</v>
      </c>
      <c r="D3882" s="691">
        <v>29.8</v>
      </c>
      <c r="E3882" s="615">
        <v>30</v>
      </c>
      <c r="F3882" s="691">
        <v>30.1</v>
      </c>
      <c r="G3882" s="691">
        <v>30.1</v>
      </c>
      <c r="H3882" s="691">
        <v>30.6</v>
      </c>
      <c r="I3882" s="691">
        <v>29.9</v>
      </c>
      <c r="J3882" s="691">
        <v>30.5</v>
      </c>
      <c r="K3882" s="691">
        <v>30.5</v>
      </c>
    </row>
    <row r="3883" spans="1:11">
      <c r="A3883" s="688" t="s">
        <v>4067</v>
      </c>
      <c r="B3883" s="689">
        <v>28.8</v>
      </c>
      <c r="C3883" s="689">
        <v>29.1</v>
      </c>
      <c r="D3883" s="689">
        <v>28.8</v>
      </c>
      <c r="E3883" s="689">
        <v>29.1</v>
      </c>
      <c r="F3883" s="689">
        <v>29.1</v>
      </c>
      <c r="G3883" s="689">
        <v>29.1</v>
      </c>
      <c r="H3883" s="690" t="s">
        <v>4060</v>
      </c>
      <c r="I3883" s="690" t="s">
        <v>4060</v>
      </c>
      <c r="J3883" s="690" t="s">
        <v>4060</v>
      </c>
      <c r="K3883" s="690" t="s">
        <v>4060</v>
      </c>
    </row>
    <row r="3884" spans="1:11">
      <c r="A3884" s="688" t="s">
        <v>4066</v>
      </c>
      <c r="B3884" s="691">
        <v>28.8</v>
      </c>
      <c r="C3884" s="691">
        <v>29.1</v>
      </c>
      <c r="D3884" s="691">
        <v>28.8</v>
      </c>
      <c r="E3884" s="691">
        <v>29.1</v>
      </c>
      <c r="F3884" s="691">
        <v>29.1</v>
      </c>
      <c r="G3884" s="691">
        <v>29.2</v>
      </c>
      <c r="H3884" s="692" t="s">
        <v>4060</v>
      </c>
      <c r="I3884" s="692" t="s">
        <v>4060</v>
      </c>
      <c r="J3884" s="692" t="s">
        <v>4060</v>
      </c>
      <c r="K3884" s="692" t="s">
        <v>4060</v>
      </c>
    </row>
    <row r="3885" spans="1:11">
      <c r="A3885" s="688" t="s">
        <v>4062</v>
      </c>
      <c r="B3885" s="689">
        <v>30.2</v>
      </c>
      <c r="C3885" s="689">
        <v>30.4</v>
      </c>
      <c r="D3885" s="689">
        <v>30.3</v>
      </c>
      <c r="E3885" s="689">
        <v>30.6</v>
      </c>
      <c r="F3885" s="689">
        <v>30.7</v>
      </c>
      <c r="G3885" s="689">
        <v>30.8</v>
      </c>
      <c r="H3885" s="693">
        <v>31</v>
      </c>
      <c r="I3885" s="689">
        <v>30.6</v>
      </c>
      <c r="J3885" s="689">
        <v>30.9</v>
      </c>
      <c r="K3885" s="689">
        <v>30.7</v>
      </c>
    </row>
    <row r="3886" spans="1:11">
      <c r="A3886" s="688" t="s">
        <v>9</v>
      </c>
      <c r="B3886" s="691">
        <v>29.8</v>
      </c>
      <c r="C3886" s="691">
        <v>30.2</v>
      </c>
      <c r="D3886" s="691">
        <v>30.1</v>
      </c>
      <c r="E3886" s="691">
        <v>29.6</v>
      </c>
      <c r="F3886" s="691">
        <v>30.2</v>
      </c>
      <c r="G3886" s="691">
        <v>30.4</v>
      </c>
      <c r="H3886" s="691">
        <v>30.5</v>
      </c>
      <c r="I3886" s="691">
        <v>30.7</v>
      </c>
      <c r="J3886" s="691">
        <v>30.8</v>
      </c>
      <c r="K3886" s="691">
        <v>29.9</v>
      </c>
    </row>
    <row r="3887" spans="1:11">
      <c r="A3887" s="688" t="s">
        <v>13</v>
      </c>
      <c r="B3887" s="689">
        <v>30.3</v>
      </c>
      <c r="C3887" s="689">
        <v>29.5</v>
      </c>
      <c r="D3887" s="689">
        <v>30.2</v>
      </c>
      <c r="E3887" s="689">
        <v>29.5</v>
      </c>
      <c r="F3887" s="689">
        <v>30.8</v>
      </c>
      <c r="G3887" s="689">
        <v>30.6</v>
      </c>
      <c r="H3887" s="689">
        <v>30.8</v>
      </c>
      <c r="I3887" s="689">
        <v>29.8</v>
      </c>
      <c r="J3887" s="689">
        <v>31.1</v>
      </c>
      <c r="K3887" s="689">
        <v>31.4</v>
      </c>
    </row>
    <row r="3888" spans="1:11">
      <c r="A3888" s="688" t="s">
        <v>18</v>
      </c>
      <c r="B3888" s="691">
        <v>29.5</v>
      </c>
      <c r="C3888" s="691">
        <v>29.8</v>
      </c>
      <c r="D3888" s="691">
        <v>29.9</v>
      </c>
      <c r="E3888" s="615">
        <v>30</v>
      </c>
      <c r="F3888" s="691">
        <v>30.2</v>
      </c>
      <c r="G3888" s="691">
        <v>30.3</v>
      </c>
      <c r="H3888" s="691">
        <v>30.5</v>
      </c>
      <c r="I3888" s="691">
        <v>30.7</v>
      </c>
      <c r="J3888" s="691">
        <v>30.6</v>
      </c>
      <c r="K3888" s="691">
        <v>30.1</v>
      </c>
    </row>
    <row r="3889" spans="1:11">
      <c r="A3889" s="688" t="s">
        <v>24</v>
      </c>
      <c r="B3889" s="689">
        <v>30.6</v>
      </c>
      <c r="C3889" s="689">
        <v>30.7</v>
      </c>
      <c r="D3889" s="689">
        <v>30.5</v>
      </c>
      <c r="E3889" s="693">
        <v>31</v>
      </c>
      <c r="F3889" s="693">
        <v>31</v>
      </c>
      <c r="G3889" s="689">
        <v>31.1</v>
      </c>
      <c r="H3889" s="689">
        <v>31.2</v>
      </c>
      <c r="I3889" s="689">
        <v>30.6</v>
      </c>
      <c r="J3889" s="689">
        <v>31.1</v>
      </c>
      <c r="K3889" s="693">
        <v>31</v>
      </c>
    </row>
    <row r="3890" spans="1:11">
      <c r="A3890" s="688" t="s">
        <v>4059</v>
      </c>
      <c r="B3890" s="691">
        <v>29.2</v>
      </c>
      <c r="C3890" s="691">
        <v>29.5</v>
      </c>
      <c r="D3890" s="691">
        <v>29.2</v>
      </c>
      <c r="E3890" s="691">
        <v>29.4</v>
      </c>
      <c r="F3890" s="691">
        <v>29.4</v>
      </c>
      <c r="G3890" s="691">
        <v>29.5</v>
      </c>
      <c r="H3890" s="692" t="s">
        <v>4060</v>
      </c>
      <c r="I3890" s="692" t="s">
        <v>4060</v>
      </c>
      <c r="J3890" s="692" t="s">
        <v>4060</v>
      </c>
      <c r="K3890" s="692" t="s">
        <v>4060</v>
      </c>
    </row>
    <row r="3891" spans="1:11">
      <c r="A3891" s="688" t="s">
        <v>2324</v>
      </c>
      <c r="B3891" s="689">
        <v>25.1</v>
      </c>
      <c r="C3891" s="689">
        <v>25.1</v>
      </c>
      <c r="D3891" s="689">
        <v>24.8</v>
      </c>
      <c r="E3891" s="689">
        <v>24.7</v>
      </c>
      <c r="F3891" s="693">
        <v>25</v>
      </c>
      <c r="G3891" s="689">
        <v>25.1</v>
      </c>
      <c r="H3891" s="689">
        <v>25.2</v>
      </c>
      <c r="I3891" s="689">
        <v>24.3</v>
      </c>
      <c r="J3891" s="689">
        <v>22.3</v>
      </c>
      <c r="K3891" s="690" t="s">
        <v>4060</v>
      </c>
    </row>
    <row r="3892" spans="1:11">
      <c r="A3892" s="688" t="s">
        <v>2322</v>
      </c>
      <c r="B3892" s="692" t="s">
        <v>4060</v>
      </c>
      <c r="C3892" s="692" t="s">
        <v>4060</v>
      </c>
      <c r="D3892" s="692" t="s">
        <v>4060</v>
      </c>
      <c r="E3892" s="692" t="s">
        <v>4060</v>
      </c>
      <c r="F3892" s="692" t="s">
        <v>4060</v>
      </c>
      <c r="G3892" s="692" t="s">
        <v>4060</v>
      </c>
      <c r="H3892" s="692" t="s">
        <v>4060</v>
      </c>
      <c r="I3892" s="692" t="s">
        <v>4060</v>
      </c>
      <c r="J3892" s="692" t="s">
        <v>4060</v>
      </c>
      <c r="K3892" s="692" t="s">
        <v>4060</v>
      </c>
    </row>
    <row r="3893" spans="1:11">
      <c r="A3893" s="688" t="s">
        <v>2328</v>
      </c>
      <c r="B3893" s="689">
        <v>24.2</v>
      </c>
      <c r="C3893" s="689">
        <v>24.2</v>
      </c>
      <c r="D3893" s="689">
        <v>24.1</v>
      </c>
      <c r="E3893" s="689">
        <v>24.3</v>
      </c>
      <c r="F3893" s="689">
        <v>24.5</v>
      </c>
      <c r="G3893" s="689">
        <v>24.9</v>
      </c>
      <c r="H3893" s="689">
        <v>24.8</v>
      </c>
      <c r="I3893" s="689">
        <v>22.8</v>
      </c>
      <c r="J3893" s="693">
        <v>22</v>
      </c>
      <c r="K3893" s="690" t="s">
        <v>4060</v>
      </c>
    </row>
    <row r="3894" spans="1:11">
      <c r="A3894" s="688" t="s">
        <v>2496</v>
      </c>
      <c r="B3894" s="692" t="s">
        <v>4060</v>
      </c>
      <c r="C3894" s="691">
        <v>24.3</v>
      </c>
      <c r="D3894" s="691">
        <v>23.3</v>
      </c>
      <c r="E3894" s="691">
        <v>23.1</v>
      </c>
      <c r="F3894" s="691">
        <v>23.7</v>
      </c>
      <c r="G3894" s="691">
        <v>23.9</v>
      </c>
      <c r="H3894" s="691">
        <v>23.9</v>
      </c>
      <c r="I3894" s="692" t="s">
        <v>4060</v>
      </c>
      <c r="J3894" s="692" t="s">
        <v>4060</v>
      </c>
      <c r="K3894" s="691">
        <v>23.5</v>
      </c>
    </row>
    <row r="3895" spans="1:11">
      <c r="A3895" s="688" t="s">
        <v>2269</v>
      </c>
      <c r="B3895" s="689">
        <v>26.9</v>
      </c>
      <c r="C3895" s="689">
        <v>27.1</v>
      </c>
      <c r="D3895" s="689">
        <v>26.6</v>
      </c>
      <c r="E3895" s="689">
        <v>27.1</v>
      </c>
      <c r="F3895" s="693">
        <v>27</v>
      </c>
      <c r="G3895" s="689">
        <v>27.4</v>
      </c>
      <c r="H3895" s="689">
        <v>27.6</v>
      </c>
      <c r="I3895" s="689">
        <v>25.9</v>
      </c>
      <c r="J3895" s="689">
        <v>24.1</v>
      </c>
      <c r="K3895" s="689">
        <v>27.3</v>
      </c>
    </row>
    <row r="3896" spans="1:11">
      <c r="A3896" s="688" t="s">
        <v>2349</v>
      </c>
      <c r="B3896" s="691">
        <v>24.1</v>
      </c>
      <c r="C3896" s="691">
        <v>24.2</v>
      </c>
      <c r="D3896" s="691">
        <v>24.1</v>
      </c>
      <c r="E3896" s="691">
        <v>24.4</v>
      </c>
      <c r="F3896" s="691">
        <v>24.3</v>
      </c>
      <c r="G3896" s="691">
        <v>24.5</v>
      </c>
      <c r="H3896" s="691">
        <v>24.6</v>
      </c>
      <c r="I3896" s="691">
        <v>23.2</v>
      </c>
      <c r="J3896" s="691">
        <v>21.8</v>
      </c>
      <c r="K3896" s="691">
        <v>23.9</v>
      </c>
    </row>
    <row r="3897" spans="1:11">
      <c r="A3897" s="688" t="s">
        <v>2355</v>
      </c>
      <c r="B3897" s="689">
        <v>27.3</v>
      </c>
      <c r="C3897" s="689">
        <v>27.1</v>
      </c>
      <c r="D3897" s="689">
        <v>27.1</v>
      </c>
      <c r="E3897" s="693">
        <v>27</v>
      </c>
      <c r="F3897" s="689">
        <v>27.2</v>
      </c>
      <c r="G3897" s="689">
        <v>27.6</v>
      </c>
      <c r="H3897" s="689">
        <v>27.6</v>
      </c>
      <c r="I3897" s="690" t="s">
        <v>4060</v>
      </c>
      <c r="J3897" s="690" t="s">
        <v>4060</v>
      </c>
      <c r="K3897" s="690" t="s">
        <v>4060</v>
      </c>
    </row>
    <row r="3898" spans="1:11">
      <c r="A3898" s="688" t="s">
        <v>2357</v>
      </c>
      <c r="B3898" s="692" t="s">
        <v>4060</v>
      </c>
      <c r="C3898" s="691">
        <v>23.3</v>
      </c>
      <c r="D3898" s="691">
        <v>23.6</v>
      </c>
      <c r="E3898" s="691">
        <v>23.9</v>
      </c>
      <c r="F3898" s="691">
        <v>24.1</v>
      </c>
      <c r="G3898" s="615">
        <v>24</v>
      </c>
      <c r="H3898" s="691">
        <v>24.2</v>
      </c>
      <c r="I3898" s="692" t="s">
        <v>4060</v>
      </c>
      <c r="J3898" s="692" t="s">
        <v>4060</v>
      </c>
      <c r="K3898" s="692" t="s">
        <v>4060</v>
      </c>
    </row>
    <row r="3899" spans="1:11">
      <c r="A3899" s="688" t="s">
        <v>4070</v>
      </c>
      <c r="B3899" s="690" t="s">
        <v>4060</v>
      </c>
      <c r="C3899" s="690" t="s">
        <v>4060</v>
      </c>
      <c r="D3899" s="690" t="s">
        <v>4060</v>
      </c>
      <c r="E3899" s="689">
        <v>26.7</v>
      </c>
      <c r="F3899" s="690" t="s">
        <v>4060</v>
      </c>
      <c r="G3899" s="690" t="s">
        <v>4060</v>
      </c>
      <c r="H3899" s="690" t="s">
        <v>4060</v>
      </c>
      <c r="I3899" s="690" t="s">
        <v>4060</v>
      </c>
      <c r="J3899" s="690" t="s">
        <v>4060</v>
      </c>
      <c r="K3899" s="690" t="s">
        <v>4060</v>
      </c>
    </row>
    <row r="3900" spans="1:11">
      <c r="A3900" s="688" t="s">
        <v>2491</v>
      </c>
      <c r="B3900" s="691">
        <v>23.3</v>
      </c>
      <c r="C3900" s="691">
        <v>23.7</v>
      </c>
      <c r="D3900" s="691">
        <v>23.9</v>
      </c>
      <c r="E3900" s="691">
        <v>24.1</v>
      </c>
      <c r="F3900" s="691">
        <v>24.1</v>
      </c>
      <c r="G3900" s="691">
        <v>24.1</v>
      </c>
      <c r="H3900" s="692" t="s">
        <v>4060</v>
      </c>
      <c r="I3900" s="692" t="s">
        <v>4060</v>
      </c>
      <c r="J3900" s="692" t="s">
        <v>4060</v>
      </c>
      <c r="K3900" s="692" t="s">
        <v>4060</v>
      </c>
    </row>
    <row r="3901" spans="1:11">
      <c r="A3901" s="688" t="s">
        <v>2343</v>
      </c>
      <c r="B3901" s="690" t="s">
        <v>4060</v>
      </c>
      <c r="C3901" s="690" t="s">
        <v>4060</v>
      </c>
      <c r="D3901" s="690" t="s">
        <v>4060</v>
      </c>
      <c r="E3901" s="690" t="s">
        <v>4060</v>
      </c>
      <c r="F3901" s="690" t="s">
        <v>4060</v>
      </c>
      <c r="G3901" s="690" t="s">
        <v>4060</v>
      </c>
      <c r="H3901" s="690" t="s">
        <v>4060</v>
      </c>
      <c r="I3901" s="690" t="s">
        <v>4060</v>
      </c>
      <c r="J3901" s="690" t="s">
        <v>4060</v>
      </c>
      <c r="K3901" s="690" t="s">
        <v>4060</v>
      </c>
    </row>
    <row r="3902" spans="1:11">
      <c r="A3902" s="688" t="s">
        <v>4071</v>
      </c>
      <c r="B3902" s="692" t="s">
        <v>4060</v>
      </c>
      <c r="C3902" s="692" t="s">
        <v>4060</v>
      </c>
      <c r="D3902" s="692" t="s">
        <v>4060</v>
      </c>
      <c r="E3902" s="692" t="s">
        <v>4060</v>
      </c>
      <c r="F3902" s="692" t="s">
        <v>4060</v>
      </c>
      <c r="G3902" s="692" t="s">
        <v>4060</v>
      </c>
      <c r="H3902" s="692" t="s">
        <v>4060</v>
      </c>
      <c r="I3902" s="692" t="s">
        <v>4060</v>
      </c>
      <c r="J3902" s="692" t="s">
        <v>4060</v>
      </c>
      <c r="K3902" s="692" t="s">
        <v>4060</v>
      </c>
    </row>
    <row r="3903" spans="1:11">
      <c r="A3903" s="688" t="s">
        <v>2489</v>
      </c>
      <c r="B3903" s="690" t="s">
        <v>4060</v>
      </c>
      <c r="C3903" s="690" t="s">
        <v>4060</v>
      </c>
      <c r="D3903" s="689">
        <v>24.5</v>
      </c>
      <c r="E3903" s="689">
        <v>24.5</v>
      </c>
      <c r="F3903" s="689">
        <v>24.8</v>
      </c>
      <c r="G3903" s="689">
        <v>25.6</v>
      </c>
      <c r="H3903" s="689">
        <v>25.5</v>
      </c>
      <c r="I3903" s="690" t="s">
        <v>4060</v>
      </c>
      <c r="J3903" s="690" t="s">
        <v>4060</v>
      </c>
      <c r="K3903" s="690" t="s">
        <v>4060</v>
      </c>
    </row>
    <row r="3904" spans="1:11">
      <c r="A3904" s="688" t="s">
        <v>2490</v>
      </c>
      <c r="B3904" s="691">
        <v>24.2</v>
      </c>
      <c r="C3904" s="691">
        <v>24.2</v>
      </c>
      <c r="D3904" s="691">
        <v>24.8</v>
      </c>
      <c r="E3904" s="692" t="s">
        <v>4060</v>
      </c>
      <c r="F3904" s="615">
        <v>25</v>
      </c>
      <c r="G3904" s="691">
        <v>25.3</v>
      </c>
      <c r="H3904" s="691">
        <v>26.1</v>
      </c>
      <c r="I3904" s="692" t="s">
        <v>4060</v>
      </c>
      <c r="J3904" s="692" t="s">
        <v>4060</v>
      </c>
      <c r="K3904" s="692" t="s">
        <v>4060</v>
      </c>
    </row>
    <row r="3906" spans="1:11">
      <c r="A3906" s="683" t="s">
        <v>4233</v>
      </c>
    </row>
    <row r="3907" spans="1:11">
      <c r="A3907" s="683" t="s">
        <v>4060</v>
      </c>
      <c r="B3907" s="682" t="s">
        <v>4234</v>
      </c>
    </row>
    <row r="3909" spans="1:11">
      <c r="A3909" s="682" t="s">
        <v>4248</v>
      </c>
    </row>
    <row r="3910" spans="1:11">
      <c r="A3910" s="682" t="s">
        <v>4210</v>
      </c>
      <c r="B3910" s="683" t="s">
        <v>4211</v>
      </c>
    </row>
    <row r="3911" spans="1:11">
      <c r="A3911" s="682" t="s">
        <v>4212</v>
      </c>
      <c r="B3911" s="682" t="s">
        <v>4213</v>
      </c>
    </row>
    <row r="3913" spans="1:11">
      <c r="A3913" s="683" t="s">
        <v>4214</v>
      </c>
      <c r="C3913" s="682" t="s">
        <v>4215</v>
      </c>
    </row>
    <row r="3914" spans="1:11">
      <c r="A3914" s="683" t="s">
        <v>4216</v>
      </c>
      <c r="C3914" s="682" t="s">
        <v>2967</v>
      </c>
    </row>
    <row r="3915" spans="1:11">
      <c r="A3915" s="683" t="s">
        <v>3893</v>
      </c>
      <c r="C3915" s="682" t="s">
        <v>4217</v>
      </c>
    </row>
    <row r="3916" spans="1:11">
      <c r="A3916" s="683" t="s">
        <v>4218</v>
      </c>
      <c r="C3916" s="682" t="s">
        <v>4290</v>
      </c>
    </row>
    <row r="3918" spans="1:11">
      <c r="A3918" s="684" t="s">
        <v>4220</v>
      </c>
      <c r="B3918" s="685" t="s">
        <v>4221</v>
      </c>
      <c r="C3918" s="685" t="s">
        <v>4222</v>
      </c>
      <c r="D3918" s="685" t="s">
        <v>4223</v>
      </c>
      <c r="E3918" s="685" t="s">
        <v>4224</v>
      </c>
      <c r="F3918" s="685" t="s">
        <v>4225</v>
      </c>
      <c r="G3918" s="685" t="s">
        <v>4226</v>
      </c>
      <c r="H3918" s="685" t="s">
        <v>4227</v>
      </c>
      <c r="I3918" s="685" t="s">
        <v>4228</v>
      </c>
      <c r="J3918" s="685" t="s">
        <v>4229</v>
      </c>
      <c r="K3918" s="685" t="s">
        <v>4230</v>
      </c>
    </row>
    <row r="3919" spans="1:11">
      <c r="A3919" s="686" t="s">
        <v>4231</v>
      </c>
      <c r="B3919" s="687" t="s">
        <v>4232</v>
      </c>
      <c r="C3919" s="687" t="s">
        <v>4232</v>
      </c>
      <c r="D3919" s="687" t="s">
        <v>4232</v>
      </c>
      <c r="E3919" s="687" t="s">
        <v>4232</v>
      </c>
      <c r="F3919" s="687" t="s">
        <v>4232</v>
      </c>
      <c r="G3919" s="687" t="s">
        <v>4232</v>
      </c>
      <c r="H3919" s="687" t="s">
        <v>4232</v>
      </c>
      <c r="I3919" s="687" t="s">
        <v>4232</v>
      </c>
      <c r="J3919" s="687" t="s">
        <v>4232</v>
      </c>
      <c r="K3919" s="687" t="s">
        <v>4232</v>
      </c>
    </row>
    <row r="3920" spans="1:11">
      <c r="A3920" s="688" t="s">
        <v>4064</v>
      </c>
      <c r="B3920" s="691">
        <v>27.8</v>
      </c>
      <c r="C3920" s="691">
        <v>27.9</v>
      </c>
      <c r="D3920" s="691">
        <v>27.8</v>
      </c>
      <c r="E3920" s="691">
        <v>27.9</v>
      </c>
      <c r="F3920" s="691">
        <v>27.9</v>
      </c>
      <c r="G3920" s="615">
        <v>28</v>
      </c>
      <c r="H3920" s="691">
        <v>28.3</v>
      </c>
      <c r="I3920" s="691">
        <v>27.5</v>
      </c>
      <c r="J3920" s="691">
        <v>27.2</v>
      </c>
      <c r="K3920" s="691">
        <v>27.8</v>
      </c>
    </row>
    <row r="3921" spans="1:11">
      <c r="A3921" s="688" t="s">
        <v>4065</v>
      </c>
      <c r="B3921" s="689">
        <v>27.9</v>
      </c>
      <c r="C3921" s="689">
        <v>28.2</v>
      </c>
      <c r="D3921" s="689">
        <v>27.9</v>
      </c>
      <c r="E3921" s="689">
        <v>28.2</v>
      </c>
      <c r="F3921" s="689">
        <v>28.2</v>
      </c>
      <c r="G3921" s="689">
        <v>28.2</v>
      </c>
      <c r="H3921" s="690" t="s">
        <v>4060</v>
      </c>
      <c r="I3921" s="690" t="s">
        <v>4060</v>
      </c>
      <c r="J3921" s="690" t="s">
        <v>4060</v>
      </c>
      <c r="K3921" s="690" t="s">
        <v>4060</v>
      </c>
    </row>
    <row r="3922" spans="1:11">
      <c r="A3922" s="688" t="s">
        <v>4063</v>
      </c>
      <c r="B3922" s="691">
        <v>27.9</v>
      </c>
      <c r="C3922" s="691">
        <v>28.3</v>
      </c>
      <c r="D3922" s="691">
        <v>27.9</v>
      </c>
      <c r="E3922" s="691">
        <v>28.3</v>
      </c>
      <c r="F3922" s="691">
        <v>28.2</v>
      </c>
      <c r="G3922" s="691">
        <v>28.3</v>
      </c>
      <c r="H3922" s="692" t="s">
        <v>4060</v>
      </c>
      <c r="I3922" s="692" t="s">
        <v>4060</v>
      </c>
      <c r="J3922" s="692" t="s">
        <v>4060</v>
      </c>
      <c r="K3922" s="692" t="s">
        <v>4060</v>
      </c>
    </row>
    <row r="3923" spans="1:11">
      <c r="A3923" s="688" t="s">
        <v>4069</v>
      </c>
      <c r="B3923" s="690" t="s">
        <v>4060</v>
      </c>
      <c r="C3923" s="689">
        <v>28.7</v>
      </c>
      <c r="D3923" s="689">
        <v>28.4</v>
      </c>
      <c r="E3923" s="689">
        <v>28.7</v>
      </c>
      <c r="F3923" s="689">
        <v>28.7</v>
      </c>
      <c r="G3923" s="689">
        <v>28.8</v>
      </c>
      <c r="H3923" s="689">
        <v>29.1</v>
      </c>
      <c r="I3923" s="689">
        <v>28.4</v>
      </c>
      <c r="J3923" s="689">
        <v>28.4</v>
      </c>
      <c r="K3923" s="689">
        <v>28.5</v>
      </c>
    </row>
    <row r="3924" spans="1:11">
      <c r="A3924" s="688" t="s">
        <v>4068</v>
      </c>
      <c r="B3924" s="691">
        <v>28.7</v>
      </c>
      <c r="C3924" s="692" t="s">
        <v>4060</v>
      </c>
      <c r="D3924" s="692" t="s">
        <v>4060</v>
      </c>
      <c r="E3924" s="692" t="s">
        <v>4060</v>
      </c>
      <c r="F3924" s="692" t="s">
        <v>4060</v>
      </c>
      <c r="G3924" s="692" t="s">
        <v>4060</v>
      </c>
      <c r="H3924" s="692" t="s">
        <v>4060</v>
      </c>
      <c r="I3924" s="692" t="s">
        <v>4060</v>
      </c>
      <c r="J3924" s="692" t="s">
        <v>4060</v>
      </c>
      <c r="K3924" s="692" t="s">
        <v>4060</v>
      </c>
    </row>
    <row r="3925" spans="1:11">
      <c r="A3925" s="688" t="s">
        <v>0</v>
      </c>
      <c r="B3925" s="693">
        <v>28</v>
      </c>
      <c r="C3925" s="689">
        <v>28.3</v>
      </c>
      <c r="D3925" s="693">
        <v>28</v>
      </c>
      <c r="E3925" s="689">
        <v>28.4</v>
      </c>
      <c r="F3925" s="689">
        <v>28.5</v>
      </c>
      <c r="G3925" s="689">
        <v>28.6</v>
      </c>
      <c r="H3925" s="689">
        <v>28.9</v>
      </c>
      <c r="I3925" s="689">
        <v>27.8</v>
      </c>
      <c r="J3925" s="689">
        <v>28.7</v>
      </c>
      <c r="K3925" s="689">
        <v>28.7</v>
      </c>
    </row>
    <row r="3926" spans="1:11">
      <c r="A3926" s="688" t="s">
        <v>1</v>
      </c>
      <c r="B3926" s="691">
        <v>23.6</v>
      </c>
      <c r="C3926" s="691">
        <v>23.3</v>
      </c>
      <c r="D3926" s="691">
        <v>23.3</v>
      </c>
      <c r="E3926" s="691">
        <v>23.5</v>
      </c>
      <c r="F3926" s="691">
        <v>23.4</v>
      </c>
      <c r="G3926" s="691">
        <v>23.5</v>
      </c>
      <c r="H3926" s="691">
        <v>23.6</v>
      </c>
      <c r="I3926" s="691">
        <v>22.2</v>
      </c>
      <c r="J3926" s="691">
        <v>20.5</v>
      </c>
      <c r="K3926" s="691">
        <v>22.8</v>
      </c>
    </row>
    <row r="3927" spans="1:11">
      <c r="A3927" s="688" t="s">
        <v>2240</v>
      </c>
      <c r="B3927" s="689">
        <v>25.6</v>
      </c>
      <c r="C3927" s="693">
        <v>26</v>
      </c>
      <c r="D3927" s="689">
        <v>25.8</v>
      </c>
      <c r="E3927" s="689">
        <v>26.2</v>
      </c>
      <c r="F3927" s="689">
        <v>26.1</v>
      </c>
      <c r="G3927" s="689">
        <v>26.2</v>
      </c>
      <c r="H3927" s="689">
        <v>26.5</v>
      </c>
      <c r="I3927" s="689">
        <v>25.4</v>
      </c>
      <c r="J3927" s="689">
        <v>24.6</v>
      </c>
      <c r="K3927" s="689">
        <v>26.2</v>
      </c>
    </row>
    <row r="3928" spans="1:11">
      <c r="A3928" s="688" t="s">
        <v>2</v>
      </c>
      <c r="B3928" s="691">
        <v>27.4</v>
      </c>
      <c r="C3928" s="691">
        <v>27.6</v>
      </c>
      <c r="D3928" s="691">
        <v>27.7</v>
      </c>
      <c r="E3928" s="691">
        <v>27.8</v>
      </c>
      <c r="F3928" s="691">
        <v>27.9</v>
      </c>
      <c r="G3928" s="691">
        <v>27.8</v>
      </c>
      <c r="H3928" s="691">
        <v>28.1</v>
      </c>
      <c r="I3928" s="691">
        <v>28.3</v>
      </c>
      <c r="J3928" s="691">
        <v>28.1</v>
      </c>
      <c r="K3928" s="615">
        <v>28</v>
      </c>
    </row>
    <row r="3929" spans="1:11">
      <c r="A3929" s="688" t="s">
        <v>3</v>
      </c>
      <c r="B3929" s="689">
        <v>27.7</v>
      </c>
      <c r="C3929" s="689">
        <v>27.9</v>
      </c>
      <c r="D3929" s="689">
        <v>27.6</v>
      </c>
      <c r="E3929" s="689">
        <v>27.9</v>
      </c>
      <c r="F3929" s="689">
        <v>27.9</v>
      </c>
      <c r="G3929" s="689">
        <v>27.8</v>
      </c>
      <c r="H3929" s="689">
        <v>28.1</v>
      </c>
      <c r="I3929" s="689">
        <v>27.9</v>
      </c>
      <c r="J3929" s="689">
        <v>27.6</v>
      </c>
      <c r="K3929" s="689">
        <v>27.5</v>
      </c>
    </row>
    <row r="3930" spans="1:11">
      <c r="A3930" s="688" t="s">
        <v>4061</v>
      </c>
      <c r="B3930" s="691">
        <v>27.7</v>
      </c>
      <c r="C3930" s="691">
        <v>27.9</v>
      </c>
      <c r="D3930" s="691">
        <v>27.6</v>
      </c>
      <c r="E3930" s="691">
        <v>27.9</v>
      </c>
      <c r="F3930" s="691">
        <v>27.9</v>
      </c>
      <c r="G3930" s="691">
        <v>27.8</v>
      </c>
      <c r="H3930" s="691">
        <v>28.1</v>
      </c>
      <c r="I3930" s="691">
        <v>27.9</v>
      </c>
      <c r="J3930" s="691">
        <v>27.6</v>
      </c>
      <c r="K3930" s="691">
        <v>27.5</v>
      </c>
    </row>
    <row r="3931" spans="1:11">
      <c r="A3931" s="688" t="s">
        <v>4</v>
      </c>
      <c r="B3931" s="689">
        <v>25.8</v>
      </c>
      <c r="C3931" s="689">
        <v>25.6</v>
      </c>
      <c r="D3931" s="693">
        <v>26</v>
      </c>
      <c r="E3931" s="689">
        <v>26.1</v>
      </c>
      <c r="F3931" s="689">
        <v>26.2</v>
      </c>
      <c r="G3931" s="689">
        <v>26.2</v>
      </c>
      <c r="H3931" s="689">
        <v>26.6</v>
      </c>
      <c r="I3931" s="689">
        <v>26.5</v>
      </c>
      <c r="J3931" s="689">
        <v>25.2</v>
      </c>
      <c r="K3931" s="689">
        <v>26.1</v>
      </c>
    </row>
    <row r="3932" spans="1:11">
      <c r="A3932" s="688" t="s">
        <v>8</v>
      </c>
      <c r="B3932" s="691">
        <v>28.1</v>
      </c>
      <c r="C3932" s="691">
        <v>28.3</v>
      </c>
      <c r="D3932" s="691">
        <v>28.3</v>
      </c>
      <c r="E3932" s="691">
        <v>28.4</v>
      </c>
      <c r="F3932" s="691">
        <v>28.8</v>
      </c>
      <c r="G3932" s="691">
        <v>28.8</v>
      </c>
      <c r="H3932" s="691">
        <v>29.1</v>
      </c>
      <c r="I3932" s="691">
        <v>29.1</v>
      </c>
      <c r="J3932" s="691">
        <v>28.9</v>
      </c>
      <c r="K3932" s="691">
        <v>29.1</v>
      </c>
    </row>
    <row r="3933" spans="1:11">
      <c r="A3933" s="688" t="s">
        <v>7</v>
      </c>
      <c r="B3933" s="689">
        <v>28.6</v>
      </c>
      <c r="C3933" s="689">
        <v>28.2</v>
      </c>
      <c r="D3933" s="689">
        <v>27.9</v>
      </c>
      <c r="E3933" s="689">
        <v>28.3</v>
      </c>
      <c r="F3933" s="689">
        <v>28.1</v>
      </c>
      <c r="G3933" s="689">
        <v>28.6</v>
      </c>
      <c r="H3933" s="689">
        <v>28.5</v>
      </c>
      <c r="I3933" s="689">
        <v>28.1</v>
      </c>
      <c r="J3933" s="689">
        <v>27.3</v>
      </c>
      <c r="K3933" s="689">
        <v>27.8</v>
      </c>
    </row>
    <row r="3934" spans="1:11">
      <c r="A3934" s="688" t="s">
        <v>27</v>
      </c>
      <c r="B3934" s="615">
        <v>30</v>
      </c>
      <c r="C3934" s="691">
        <v>29.7</v>
      </c>
      <c r="D3934" s="691">
        <v>29.4</v>
      </c>
      <c r="E3934" s="691">
        <v>29.7</v>
      </c>
      <c r="F3934" s="691">
        <v>29.7</v>
      </c>
      <c r="G3934" s="691">
        <v>29.8</v>
      </c>
      <c r="H3934" s="691">
        <v>30.1</v>
      </c>
      <c r="I3934" s="691">
        <v>28.9</v>
      </c>
      <c r="J3934" s="691">
        <v>29.6</v>
      </c>
      <c r="K3934" s="691">
        <v>29.7</v>
      </c>
    </row>
    <row r="3935" spans="1:11">
      <c r="A3935" s="688" t="s">
        <v>6</v>
      </c>
      <c r="B3935" s="689">
        <v>29.9</v>
      </c>
      <c r="C3935" s="689">
        <v>29.8</v>
      </c>
      <c r="D3935" s="689">
        <v>29.5</v>
      </c>
      <c r="E3935" s="689">
        <v>29.7</v>
      </c>
      <c r="F3935" s="689">
        <v>29.8</v>
      </c>
      <c r="G3935" s="689">
        <v>29.9</v>
      </c>
      <c r="H3935" s="693">
        <v>30</v>
      </c>
      <c r="I3935" s="689">
        <v>29.4</v>
      </c>
      <c r="J3935" s="689">
        <v>29.5</v>
      </c>
      <c r="K3935" s="689">
        <v>29.6</v>
      </c>
    </row>
    <row r="3936" spans="1:11">
      <c r="A3936" s="688" t="s">
        <v>4058</v>
      </c>
      <c r="B3936" s="692" t="s">
        <v>4060</v>
      </c>
      <c r="C3936" s="692" t="s">
        <v>4060</v>
      </c>
      <c r="D3936" s="692" t="s">
        <v>4060</v>
      </c>
      <c r="E3936" s="692" t="s">
        <v>4060</v>
      </c>
      <c r="F3936" s="692" t="s">
        <v>4060</v>
      </c>
      <c r="G3936" s="692" t="s">
        <v>4060</v>
      </c>
      <c r="H3936" s="692" t="s">
        <v>4060</v>
      </c>
      <c r="I3936" s="692" t="s">
        <v>4060</v>
      </c>
      <c r="J3936" s="692" t="s">
        <v>4060</v>
      </c>
      <c r="K3936" s="692" t="s">
        <v>4060</v>
      </c>
    </row>
    <row r="3937" spans="1:11">
      <c r="A3937" s="688" t="s">
        <v>11</v>
      </c>
      <c r="B3937" s="689">
        <v>25.3</v>
      </c>
      <c r="C3937" s="689">
        <v>25.3</v>
      </c>
      <c r="D3937" s="689">
        <v>24.9</v>
      </c>
      <c r="E3937" s="689">
        <v>25.4</v>
      </c>
      <c r="F3937" s="689">
        <v>25.2</v>
      </c>
      <c r="G3937" s="689">
        <v>25.5</v>
      </c>
      <c r="H3937" s="689">
        <v>25.7</v>
      </c>
      <c r="I3937" s="693">
        <v>25</v>
      </c>
      <c r="J3937" s="689">
        <v>24.2</v>
      </c>
      <c r="K3937" s="689">
        <v>25.1</v>
      </c>
    </row>
    <row r="3938" spans="1:11">
      <c r="A3938" s="688" t="s">
        <v>10</v>
      </c>
      <c r="B3938" s="691">
        <v>29.6</v>
      </c>
      <c r="C3938" s="691">
        <v>29.5</v>
      </c>
      <c r="D3938" s="691">
        <v>29.1</v>
      </c>
      <c r="E3938" s="691">
        <v>29.7</v>
      </c>
      <c r="F3938" s="691">
        <v>29.4</v>
      </c>
      <c r="G3938" s="691">
        <v>29.8</v>
      </c>
      <c r="H3938" s="691">
        <v>29.9</v>
      </c>
      <c r="I3938" s="691">
        <v>28.8</v>
      </c>
      <c r="J3938" s="691">
        <v>29.2</v>
      </c>
      <c r="K3938" s="691">
        <v>29.3</v>
      </c>
    </row>
    <row r="3939" spans="1:11">
      <c r="A3939" s="688" t="s">
        <v>30</v>
      </c>
      <c r="B3939" s="693">
        <v>29</v>
      </c>
      <c r="C3939" s="689">
        <v>28.8</v>
      </c>
      <c r="D3939" s="689">
        <v>28.6</v>
      </c>
      <c r="E3939" s="689">
        <v>29.3</v>
      </c>
      <c r="F3939" s="689">
        <v>28.9</v>
      </c>
      <c r="G3939" s="689">
        <v>29.4</v>
      </c>
      <c r="H3939" s="689">
        <v>29.2</v>
      </c>
      <c r="I3939" s="689">
        <v>29.2</v>
      </c>
      <c r="J3939" s="689">
        <v>28.6</v>
      </c>
      <c r="K3939" s="689">
        <v>28.8</v>
      </c>
    </row>
    <row r="3940" spans="1:11">
      <c r="A3940" s="688" t="s">
        <v>12</v>
      </c>
      <c r="B3940" s="691">
        <v>23.9</v>
      </c>
      <c r="C3940" s="691">
        <v>23.9</v>
      </c>
      <c r="D3940" s="691">
        <v>24.1</v>
      </c>
      <c r="E3940" s="691">
        <v>24.1</v>
      </c>
      <c r="F3940" s="691">
        <v>24.2</v>
      </c>
      <c r="G3940" s="691">
        <v>24.2</v>
      </c>
      <c r="H3940" s="691">
        <v>24.6</v>
      </c>
      <c r="I3940" s="691">
        <v>24.4</v>
      </c>
      <c r="J3940" s="691">
        <v>22.6</v>
      </c>
      <c r="K3940" s="691">
        <v>23.9</v>
      </c>
    </row>
    <row r="3941" spans="1:11">
      <c r="A3941" s="688" t="s">
        <v>14</v>
      </c>
      <c r="B3941" s="689">
        <v>24.2</v>
      </c>
      <c r="C3941" s="689">
        <v>24.3</v>
      </c>
      <c r="D3941" s="689">
        <v>24.1</v>
      </c>
      <c r="E3941" s="689">
        <v>24.3</v>
      </c>
      <c r="F3941" s="689">
        <v>24.7</v>
      </c>
      <c r="G3941" s="689">
        <v>24.8</v>
      </c>
      <c r="H3941" s="689">
        <v>25.1</v>
      </c>
      <c r="I3941" s="689">
        <v>24.1</v>
      </c>
      <c r="J3941" s="689">
        <v>23.4</v>
      </c>
      <c r="K3941" s="689">
        <v>24.5</v>
      </c>
    </row>
    <row r="3942" spans="1:11">
      <c r="A3942" s="688" t="s">
        <v>15</v>
      </c>
      <c r="B3942" s="615">
        <v>29</v>
      </c>
      <c r="C3942" s="691">
        <v>28.7</v>
      </c>
      <c r="D3942" s="691">
        <v>28.7</v>
      </c>
      <c r="E3942" s="615">
        <v>29</v>
      </c>
      <c r="F3942" s="691">
        <v>28.6</v>
      </c>
      <c r="G3942" s="691">
        <v>28.8</v>
      </c>
      <c r="H3942" s="691">
        <v>29.2</v>
      </c>
      <c r="I3942" s="691">
        <v>28.7</v>
      </c>
      <c r="J3942" s="691">
        <v>29.1</v>
      </c>
      <c r="K3942" s="691">
        <v>29.4</v>
      </c>
    </row>
    <row r="3943" spans="1:11">
      <c r="A3943" s="688" t="s">
        <v>29</v>
      </c>
      <c r="B3943" s="689">
        <v>23.9</v>
      </c>
      <c r="C3943" s="689">
        <v>23.9</v>
      </c>
      <c r="D3943" s="689">
        <v>23.6</v>
      </c>
      <c r="E3943" s="689">
        <v>23.9</v>
      </c>
      <c r="F3943" s="689">
        <v>23.7</v>
      </c>
      <c r="G3943" s="689">
        <v>23.8</v>
      </c>
      <c r="H3943" s="693">
        <v>24</v>
      </c>
      <c r="I3943" s="689">
        <v>23.2</v>
      </c>
      <c r="J3943" s="689">
        <v>22.2</v>
      </c>
      <c r="K3943" s="689">
        <v>23.6</v>
      </c>
    </row>
    <row r="3944" spans="1:11">
      <c r="A3944" s="688" t="s">
        <v>16</v>
      </c>
      <c r="B3944" s="691">
        <v>28.7</v>
      </c>
      <c r="C3944" s="691">
        <v>28.6</v>
      </c>
      <c r="D3944" s="691">
        <v>28.6</v>
      </c>
      <c r="E3944" s="691">
        <v>29.3</v>
      </c>
      <c r="F3944" s="615">
        <v>29</v>
      </c>
      <c r="G3944" s="615">
        <v>29</v>
      </c>
      <c r="H3944" s="691">
        <v>29.3</v>
      </c>
      <c r="I3944" s="691">
        <v>28.7</v>
      </c>
      <c r="J3944" s="691">
        <v>28.7</v>
      </c>
      <c r="K3944" s="691">
        <v>28.9</v>
      </c>
    </row>
    <row r="3945" spans="1:11">
      <c r="A3945" s="688" t="s">
        <v>17</v>
      </c>
      <c r="B3945" s="689">
        <v>28.3</v>
      </c>
      <c r="C3945" s="689">
        <v>28.5</v>
      </c>
      <c r="D3945" s="689">
        <v>28.2</v>
      </c>
      <c r="E3945" s="689">
        <v>28.3</v>
      </c>
      <c r="F3945" s="689">
        <v>28.5</v>
      </c>
      <c r="G3945" s="689">
        <v>28.5</v>
      </c>
      <c r="H3945" s="689">
        <v>28.8</v>
      </c>
      <c r="I3945" s="689">
        <v>28.2</v>
      </c>
      <c r="J3945" s="689">
        <v>28.1</v>
      </c>
      <c r="K3945" s="689">
        <v>28.4</v>
      </c>
    </row>
    <row r="3946" spans="1:11">
      <c r="A3946" s="688" t="s">
        <v>19</v>
      </c>
      <c r="B3946" s="691">
        <v>28.3</v>
      </c>
      <c r="C3946" s="691">
        <v>28.4</v>
      </c>
      <c r="D3946" s="691">
        <v>28.1</v>
      </c>
      <c r="E3946" s="691">
        <v>28.5</v>
      </c>
      <c r="F3946" s="691">
        <v>28.5</v>
      </c>
      <c r="G3946" s="691">
        <v>28.5</v>
      </c>
      <c r="H3946" s="691">
        <v>28.8</v>
      </c>
      <c r="I3946" s="691">
        <v>28.2</v>
      </c>
      <c r="J3946" s="691">
        <v>28.2</v>
      </c>
      <c r="K3946" s="691">
        <v>28.2</v>
      </c>
    </row>
    <row r="3947" spans="1:11">
      <c r="A3947" s="688" t="s">
        <v>20</v>
      </c>
      <c r="B3947" s="689">
        <v>25.4</v>
      </c>
      <c r="C3947" s="689">
        <v>25.7</v>
      </c>
      <c r="D3947" s="689">
        <v>25.5</v>
      </c>
      <c r="E3947" s="689">
        <v>25.8</v>
      </c>
      <c r="F3947" s="689">
        <v>25.7</v>
      </c>
      <c r="G3947" s="689">
        <v>25.6</v>
      </c>
      <c r="H3947" s="689">
        <v>25.9</v>
      </c>
      <c r="I3947" s="689">
        <v>24.5</v>
      </c>
      <c r="J3947" s="689">
        <v>23.7</v>
      </c>
      <c r="K3947" s="689">
        <v>25.3</v>
      </c>
    </row>
    <row r="3948" spans="1:11">
      <c r="A3948" s="688" t="s">
        <v>21</v>
      </c>
      <c r="B3948" s="691">
        <v>28.3</v>
      </c>
      <c r="C3948" s="691">
        <v>28.6</v>
      </c>
      <c r="D3948" s="691">
        <v>28.5</v>
      </c>
      <c r="E3948" s="691">
        <v>28.5</v>
      </c>
      <c r="F3948" s="691">
        <v>28.8</v>
      </c>
      <c r="G3948" s="691">
        <v>28.8</v>
      </c>
      <c r="H3948" s="691">
        <v>29.1</v>
      </c>
      <c r="I3948" s="691">
        <v>28.5</v>
      </c>
      <c r="J3948" s="691">
        <v>28.5</v>
      </c>
      <c r="K3948" s="691">
        <v>28.8</v>
      </c>
    </row>
    <row r="3949" spans="1:11">
      <c r="A3949" s="688" t="s">
        <v>22</v>
      </c>
      <c r="B3949" s="693">
        <v>24</v>
      </c>
      <c r="C3949" s="689">
        <v>23.8</v>
      </c>
      <c r="D3949" s="689">
        <v>23.7</v>
      </c>
      <c r="E3949" s="689">
        <v>23.9</v>
      </c>
      <c r="F3949" s="689">
        <v>23.8</v>
      </c>
      <c r="G3949" s="689">
        <v>23.8</v>
      </c>
      <c r="H3949" s="689">
        <v>24.1</v>
      </c>
      <c r="I3949" s="689">
        <v>22.7</v>
      </c>
      <c r="J3949" s="689">
        <v>21.5</v>
      </c>
      <c r="K3949" s="689">
        <v>23.6</v>
      </c>
    </row>
    <row r="3950" spans="1:11">
      <c r="A3950" s="688" t="s">
        <v>26</v>
      </c>
      <c r="B3950" s="691">
        <v>27.6</v>
      </c>
      <c r="C3950" s="691">
        <v>27.8</v>
      </c>
      <c r="D3950" s="691">
        <v>27.6</v>
      </c>
      <c r="E3950" s="615">
        <v>28</v>
      </c>
      <c r="F3950" s="691">
        <v>27.8</v>
      </c>
      <c r="G3950" s="615">
        <v>28</v>
      </c>
      <c r="H3950" s="691">
        <v>28.2</v>
      </c>
      <c r="I3950" s="691">
        <v>27.3</v>
      </c>
      <c r="J3950" s="691">
        <v>27.5</v>
      </c>
      <c r="K3950" s="615">
        <v>28</v>
      </c>
    </row>
    <row r="3951" spans="1:11">
      <c r="A3951" s="688" t="s">
        <v>25</v>
      </c>
      <c r="B3951" s="689">
        <v>24.6</v>
      </c>
      <c r="C3951" s="689">
        <v>24.9</v>
      </c>
      <c r="D3951" s="689">
        <v>24.7</v>
      </c>
      <c r="E3951" s="689">
        <v>25.2</v>
      </c>
      <c r="F3951" s="689">
        <v>25.1</v>
      </c>
      <c r="G3951" s="689">
        <v>25.2</v>
      </c>
      <c r="H3951" s="689">
        <v>25.6</v>
      </c>
      <c r="I3951" s="689">
        <v>24.8</v>
      </c>
      <c r="J3951" s="689">
        <v>22.8</v>
      </c>
      <c r="K3951" s="689">
        <v>24.9</v>
      </c>
    </row>
    <row r="3952" spans="1:11">
      <c r="A3952" s="688" t="s">
        <v>5</v>
      </c>
      <c r="B3952" s="691">
        <v>28.4</v>
      </c>
      <c r="C3952" s="691">
        <v>28.3</v>
      </c>
      <c r="D3952" s="691">
        <v>28.4</v>
      </c>
      <c r="E3952" s="691">
        <v>28.4</v>
      </c>
      <c r="F3952" s="691">
        <v>28.6</v>
      </c>
      <c r="G3952" s="691">
        <v>28.7</v>
      </c>
      <c r="H3952" s="615">
        <v>29</v>
      </c>
      <c r="I3952" s="615">
        <v>29</v>
      </c>
      <c r="J3952" s="691">
        <v>28.8</v>
      </c>
      <c r="K3952" s="691">
        <v>28.3</v>
      </c>
    </row>
    <row r="3953" spans="1:11">
      <c r="A3953" s="688" t="s">
        <v>23</v>
      </c>
      <c r="B3953" s="689">
        <v>28.8</v>
      </c>
      <c r="C3953" s="693">
        <v>29</v>
      </c>
      <c r="D3953" s="689">
        <v>28.9</v>
      </c>
      <c r="E3953" s="693">
        <v>29</v>
      </c>
      <c r="F3953" s="689">
        <v>29.1</v>
      </c>
      <c r="G3953" s="689">
        <v>29.2</v>
      </c>
      <c r="H3953" s="689">
        <v>29.6</v>
      </c>
      <c r="I3953" s="693">
        <v>29</v>
      </c>
      <c r="J3953" s="689">
        <v>29.6</v>
      </c>
      <c r="K3953" s="689">
        <v>29.6</v>
      </c>
    </row>
    <row r="3954" spans="1:11">
      <c r="A3954" s="688" t="s">
        <v>4067</v>
      </c>
      <c r="B3954" s="691">
        <v>27.9</v>
      </c>
      <c r="C3954" s="691">
        <v>28.2</v>
      </c>
      <c r="D3954" s="691">
        <v>27.9</v>
      </c>
      <c r="E3954" s="691">
        <v>28.2</v>
      </c>
      <c r="F3954" s="691">
        <v>28.2</v>
      </c>
      <c r="G3954" s="691">
        <v>28.3</v>
      </c>
      <c r="H3954" s="692" t="s">
        <v>4060</v>
      </c>
      <c r="I3954" s="692" t="s">
        <v>4060</v>
      </c>
      <c r="J3954" s="692" t="s">
        <v>4060</v>
      </c>
      <c r="K3954" s="692" t="s">
        <v>4060</v>
      </c>
    </row>
    <row r="3955" spans="1:11">
      <c r="A3955" s="688" t="s">
        <v>4066</v>
      </c>
      <c r="B3955" s="689">
        <v>27.9</v>
      </c>
      <c r="C3955" s="689">
        <v>28.3</v>
      </c>
      <c r="D3955" s="689">
        <v>27.9</v>
      </c>
      <c r="E3955" s="689">
        <v>28.3</v>
      </c>
      <c r="F3955" s="689">
        <v>28.2</v>
      </c>
      <c r="G3955" s="689">
        <v>28.3</v>
      </c>
      <c r="H3955" s="690" t="s">
        <v>4060</v>
      </c>
      <c r="I3955" s="690" t="s">
        <v>4060</v>
      </c>
      <c r="J3955" s="690" t="s">
        <v>4060</v>
      </c>
      <c r="K3955" s="690" t="s">
        <v>4060</v>
      </c>
    </row>
    <row r="3956" spans="1:11">
      <c r="A3956" s="688" t="s">
        <v>4062</v>
      </c>
      <c r="B3956" s="691">
        <v>29.3</v>
      </c>
      <c r="C3956" s="691">
        <v>29.5</v>
      </c>
      <c r="D3956" s="691">
        <v>29.4</v>
      </c>
      <c r="E3956" s="691">
        <v>29.7</v>
      </c>
      <c r="F3956" s="691">
        <v>29.8</v>
      </c>
      <c r="G3956" s="691">
        <v>29.9</v>
      </c>
      <c r="H3956" s="615">
        <v>30</v>
      </c>
      <c r="I3956" s="691">
        <v>29.7</v>
      </c>
      <c r="J3956" s="615">
        <v>30</v>
      </c>
      <c r="K3956" s="691">
        <v>29.8</v>
      </c>
    </row>
    <row r="3957" spans="1:11">
      <c r="A3957" s="688" t="s">
        <v>9</v>
      </c>
      <c r="B3957" s="689">
        <v>28.9</v>
      </c>
      <c r="C3957" s="689">
        <v>29.3</v>
      </c>
      <c r="D3957" s="689">
        <v>29.2</v>
      </c>
      <c r="E3957" s="689">
        <v>28.7</v>
      </c>
      <c r="F3957" s="689">
        <v>29.3</v>
      </c>
      <c r="G3957" s="689">
        <v>29.4</v>
      </c>
      <c r="H3957" s="689">
        <v>29.6</v>
      </c>
      <c r="I3957" s="689">
        <v>29.7</v>
      </c>
      <c r="J3957" s="689">
        <v>29.9</v>
      </c>
      <c r="K3957" s="689">
        <v>28.9</v>
      </c>
    </row>
    <row r="3958" spans="1:11">
      <c r="A3958" s="688" t="s">
        <v>13</v>
      </c>
      <c r="B3958" s="691">
        <v>29.3</v>
      </c>
      <c r="C3958" s="691">
        <v>28.6</v>
      </c>
      <c r="D3958" s="691">
        <v>29.2</v>
      </c>
      <c r="E3958" s="691">
        <v>28.6</v>
      </c>
      <c r="F3958" s="691">
        <v>29.9</v>
      </c>
      <c r="G3958" s="691">
        <v>29.7</v>
      </c>
      <c r="H3958" s="691">
        <v>29.9</v>
      </c>
      <c r="I3958" s="691">
        <v>28.9</v>
      </c>
      <c r="J3958" s="691">
        <v>30.2</v>
      </c>
      <c r="K3958" s="691">
        <v>30.5</v>
      </c>
    </row>
    <row r="3959" spans="1:11">
      <c r="A3959" s="688" t="s">
        <v>18</v>
      </c>
      <c r="B3959" s="689">
        <v>28.6</v>
      </c>
      <c r="C3959" s="689">
        <v>28.9</v>
      </c>
      <c r="D3959" s="693">
        <v>29</v>
      </c>
      <c r="E3959" s="689">
        <v>29.1</v>
      </c>
      <c r="F3959" s="689">
        <v>29.3</v>
      </c>
      <c r="G3959" s="689">
        <v>29.4</v>
      </c>
      <c r="H3959" s="689">
        <v>29.6</v>
      </c>
      <c r="I3959" s="689">
        <v>29.8</v>
      </c>
      <c r="J3959" s="689">
        <v>29.7</v>
      </c>
      <c r="K3959" s="689">
        <v>29.2</v>
      </c>
    </row>
    <row r="3960" spans="1:11">
      <c r="A3960" s="688" t="s">
        <v>24</v>
      </c>
      <c r="B3960" s="691">
        <v>29.7</v>
      </c>
      <c r="C3960" s="691">
        <v>29.8</v>
      </c>
      <c r="D3960" s="691">
        <v>29.6</v>
      </c>
      <c r="E3960" s="691">
        <v>30.1</v>
      </c>
      <c r="F3960" s="691">
        <v>30.1</v>
      </c>
      <c r="G3960" s="691">
        <v>30.2</v>
      </c>
      <c r="H3960" s="691">
        <v>30.3</v>
      </c>
      <c r="I3960" s="691">
        <v>29.7</v>
      </c>
      <c r="J3960" s="691">
        <v>30.2</v>
      </c>
      <c r="K3960" s="691">
        <v>30.1</v>
      </c>
    </row>
    <row r="3961" spans="1:11">
      <c r="A3961" s="688" t="s">
        <v>4059</v>
      </c>
      <c r="B3961" s="689">
        <v>28.3</v>
      </c>
      <c r="C3961" s="689">
        <v>28.6</v>
      </c>
      <c r="D3961" s="689">
        <v>28.3</v>
      </c>
      <c r="E3961" s="689">
        <v>28.5</v>
      </c>
      <c r="F3961" s="689">
        <v>28.5</v>
      </c>
      <c r="G3961" s="689">
        <v>28.6</v>
      </c>
      <c r="H3961" s="690" t="s">
        <v>4060</v>
      </c>
      <c r="I3961" s="690" t="s">
        <v>4060</v>
      </c>
      <c r="J3961" s="690" t="s">
        <v>4060</v>
      </c>
      <c r="K3961" s="690" t="s">
        <v>4060</v>
      </c>
    </row>
    <row r="3962" spans="1:11">
      <c r="A3962" s="688" t="s">
        <v>2324</v>
      </c>
      <c r="B3962" s="691">
        <v>24.2</v>
      </c>
      <c r="C3962" s="691">
        <v>24.3</v>
      </c>
      <c r="D3962" s="691">
        <v>23.9</v>
      </c>
      <c r="E3962" s="691">
        <v>23.9</v>
      </c>
      <c r="F3962" s="691">
        <v>24.1</v>
      </c>
      <c r="G3962" s="691">
        <v>24.3</v>
      </c>
      <c r="H3962" s="691">
        <v>24.4</v>
      </c>
      <c r="I3962" s="691">
        <v>23.4</v>
      </c>
      <c r="J3962" s="691">
        <v>21.5</v>
      </c>
      <c r="K3962" s="692" t="s">
        <v>4060</v>
      </c>
    </row>
    <row r="3963" spans="1:11">
      <c r="A3963" s="688" t="s">
        <v>2322</v>
      </c>
      <c r="B3963" s="690" t="s">
        <v>4060</v>
      </c>
      <c r="C3963" s="690" t="s">
        <v>4060</v>
      </c>
      <c r="D3963" s="690" t="s">
        <v>4060</v>
      </c>
      <c r="E3963" s="690" t="s">
        <v>4060</v>
      </c>
      <c r="F3963" s="690" t="s">
        <v>4060</v>
      </c>
      <c r="G3963" s="690" t="s">
        <v>4060</v>
      </c>
      <c r="H3963" s="690" t="s">
        <v>4060</v>
      </c>
      <c r="I3963" s="690" t="s">
        <v>4060</v>
      </c>
      <c r="J3963" s="690" t="s">
        <v>4060</v>
      </c>
      <c r="K3963" s="690" t="s">
        <v>4060</v>
      </c>
    </row>
    <row r="3964" spans="1:11">
      <c r="A3964" s="688" t="s">
        <v>2328</v>
      </c>
      <c r="B3964" s="691">
        <v>23.4</v>
      </c>
      <c r="C3964" s="691">
        <v>23.4</v>
      </c>
      <c r="D3964" s="691">
        <v>23.2</v>
      </c>
      <c r="E3964" s="691">
        <v>23.5</v>
      </c>
      <c r="F3964" s="691">
        <v>23.6</v>
      </c>
      <c r="G3964" s="615">
        <v>24</v>
      </c>
      <c r="H3964" s="691">
        <v>23.9</v>
      </c>
      <c r="I3964" s="615">
        <v>22</v>
      </c>
      <c r="J3964" s="691">
        <v>21.2</v>
      </c>
      <c r="K3964" s="692" t="s">
        <v>4060</v>
      </c>
    </row>
    <row r="3965" spans="1:11">
      <c r="A3965" s="688" t="s">
        <v>2496</v>
      </c>
      <c r="B3965" s="690" t="s">
        <v>4060</v>
      </c>
      <c r="C3965" s="689">
        <v>23.5</v>
      </c>
      <c r="D3965" s="689">
        <v>22.5</v>
      </c>
      <c r="E3965" s="689">
        <v>22.3</v>
      </c>
      <c r="F3965" s="689">
        <v>22.9</v>
      </c>
      <c r="G3965" s="689">
        <v>23.1</v>
      </c>
      <c r="H3965" s="689">
        <v>23.1</v>
      </c>
      <c r="I3965" s="690" t="s">
        <v>4060</v>
      </c>
      <c r="J3965" s="690" t="s">
        <v>4060</v>
      </c>
      <c r="K3965" s="689">
        <v>22.7</v>
      </c>
    </row>
    <row r="3966" spans="1:11">
      <c r="A3966" s="688" t="s">
        <v>2269</v>
      </c>
      <c r="B3966" s="615">
        <v>26</v>
      </c>
      <c r="C3966" s="691">
        <v>26.2</v>
      </c>
      <c r="D3966" s="691">
        <v>25.7</v>
      </c>
      <c r="E3966" s="691">
        <v>26.2</v>
      </c>
      <c r="F3966" s="691">
        <v>26.1</v>
      </c>
      <c r="G3966" s="691">
        <v>26.5</v>
      </c>
      <c r="H3966" s="691">
        <v>26.7</v>
      </c>
      <c r="I3966" s="615">
        <v>25</v>
      </c>
      <c r="J3966" s="691">
        <v>23.2</v>
      </c>
      <c r="K3966" s="691">
        <v>26.4</v>
      </c>
    </row>
    <row r="3967" spans="1:11">
      <c r="A3967" s="688" t="s">
        <v>2349</v>
      </c>
      <c r="B3967" s="689">
        <v>23.3</v>
      </c>
      <c r="C3967" s="689">
        <v>23.4</v>
      </c>
      <c r="D3967" s="689">
        <v>23.3</v>
      </c>
      <c r="E3967" s="689">
        <v>23.6</v>
      </c>
      <c r="F3967" s="689">
        <v>23.5</v>
      </c>
      <c r="G3967" s="689">
        <v>23.7</v>
      </c>
      <c r="H3967" s="689">
        <v>23.7</v>
      </c>
      <c r="I3967" s="689">
        <v>22.4</v>
      </c>
      <c r="J3967" s="693">
        <v>21</v>
      </c>
      <c r="K3967" s="693">
        <v>23</v>
      </c>
    </row>
    <row r="3968" spans="1:11">
      <c r="A3968" s="688" t="s">
        <v>2355</v>
      </c>
      <c r="B3968" s="691">
        <v>26.4</v>
      </c>
      <c r="C3968" s="691">
        <v>26.3</v>
      </c>
      <c r="D3968" s="691">
        <v>26.2</v>
      </c>
      <c r="E3968" s="691">
        <v>26.1</v>
      </c>
      <c r="F3968" s="691">
        <v>26.3</v>
      </c>
      <c r="G3968" s="691">
        <v>26.7</v>
      </c>
      <c r="H3968" s="691">
        <v>26.8</v>
      </c>
      <c r="I3968" s="692" t="s">
        <v>4060</v>
      </c>
      <c r="J3968" s="692" t="s">
        <v>4060</v>
      </c>
      <c r="K3968" s="692" t="s">
        <v>4060</v>
      </c>
    </row>
    <row r="3969" spans="1:11">
      <c r="A3969" s="688" t="s">
        <v>2357</v>
      </c>
      <c r="B3969" s="690" t="s">
        <v>4060</v>
      </c>
      <c r="C3969" s="689">
        <v>22.5</v>
      </c>
      <c r="D3969" s="689">
        <v>22.8</v>
      </c>
      <c r="E3969" s="689">
        <v>23.1</v>
      </c>
      <c r="F3969" s="689">
        <v>23.4</v>
      </c>
      <c r="G3969" s="689">
        <v>23.2</v>
      </c>
      <c r="H3969" s="689">
        <v>23.4</v>
      </c>
      <c r="I3969" s="690" t="s">
        <v>4060</v>
      </c>
      <c r="J3969" s="690" t="s">
        <v>4060</v>
      </c>
      <c r="K3969" s="690" t="s">
        <v>4060</v>
      </c>
    </row>
    <row r="3970" spans="1:11">
      <c r="A3970" s="688" t="s">
        <v>4070</v>
      </c>
      <c r="B3970" s="692" t="s">
        <v>4060</v>
      </c>
      <c r="C3970" s="692" t="s">
        <v>4060</v>
      </c>
      <c r="D3970" s="692" t="s">
        <v>4060</v>
      </c>
      <c r="E3970" s="691">
        <v>25.8</v>
      </c>
      <c r="F3970" s="692" t="s">
        <v>4060</v>
      </c>
      <c r="G3970" s="692" t="s">
        <v>4060</v>
      </c>
      <c r="H3970" s="692" t="s">
        <v>4060</v>
      </c>
      <c r="I3970" s="692" t="s">
        <v>4060</v>
      </c>
      <c r="J3970" s="692" t="s">
        <v>4060</v>
      </c>
      <c r="K3970" s="692" t="s">
        <v>4060</v>
      </c>
    </row>
    <row r="3971" spans="1:11">
      <c r="A3971" s="688" t="s">
        <v>2491</v>
      </c>
      <c r="B3971" s="689">
        <v>22.5</v>
      </c>
      <c r="C3971" s="689">
        <v>22.9</v>
      </c>
      <c r="D3971" s="689">
        <v>23.1</v>
      </c>
      <c r="E3971" s="689">
        <v>23.3</v>
      </c>
      <c r="F3971" s="689">
        <v>23.3</v>
      </c>
      <c r="G3971" s="689">
        <v>23.4</v>
      </c>
      <c r="H3971" s="690" t="s">
        <v>4060</v>
      </c>
      <c r="I3971" s="690" t="s">
        <v>4060</v>
      </c>
      <c r="J3971" s="690" t="s">
        <v>4060</v>
      </c>
      <c r="K3971" s="690" t="s">
        <v>4060</v>
      </c>
    </row>
    <row r="3972" spans="1:11">
      <c r="A3972" s="688" t="s">
        <v>2343</v>
      </c>
      <c r="B3972" s="692" t="s">
        <v>4060</v>
      </c>
      <c r="C3972" s="692" t="s">
        <v>4060</v>
      </c>
      <c r="D3972" s="692" t="s">
        <v>4060</v>
      </c>
      <c r="E3972" s="692" t="s">
        <v>4060</v>
      </c>
      <c r="F3972" s="692" t="s">
        <v>4060</v>
      </c>
      <c r="G3972" s="692" t="s">
        <v>4060</v>
      </c>
      <c r="H3972" s="692" t="s">
        <v>4060</v>
      </c>
      <c r="I3972" s="692" t="s">
        <v>4060</v>
      </c>
      <c r="J3972" s="692" t="s">
        <v>4060</v>
      </c>
      <c r="K3972" s="692" t="s">
        <v>4060</v>
      </c>
    </row>
    <row r="3973" spans="1:11">
      <c r="A3973" s="688" t="s">
        <v>4071</v>
      </c>
      <c r="B3973" s="690" t="s">
        <v>4060</v>
      </c>
      <c r="C3973" s="690" t="s">
        <v>4060</v>
      </c>
      <c r="D3973" s="690" t="s">
        <v>4060</v>
      </c>
      <c r="E3973" s="690" t="s">
        <v>4060</v>
      </c>
      <c r="F3973" s="690" t="s">
        <v>4060</v>
      </c>
      <c r="G3973" s="690" t="s">
        <v>4060</v>
      </c>
      <c r="H3973" s="690" t="s">
        <v>4060</v>
      </c>
      <c r="I3973" s="690" t="s">
        <v>4060</v>
      </c>
      <c r="J3973" s="690" t="s">
        <v>4060</v>
      </c>
      <c r="K3973" s="690" t="s">
        <v>4060</v>
      </c>
    </row>
    <row r="3974" spans="1:11">
      <c r="A3974" s="688" t="s">
        <v>2489</v>
      </c>
      <c r="B3974" s="692" t="s">
        <v>4060</v>
      </c>
      <c r="C3974" s="692" t="s">
        <v>4060</v>
      </c>
      <c r="D3974" s="691">
        <v>23.7</v>
      </c>
      <c r="E3974" s="691">
        <v>23.6</v>
      </c>
      <c r="F3974" s="615">
        <v>24</v>
      </c>
      <c r="G3974" s="691">
        <v>24.7</v>
      </c>
      <c r="H3974" s="691">
        <v>24.7</v>
      </c>
      <c r="I3974" s="692" t="s">
        <v>4060</v>
      </c>
      <c r="J3974" s="692" t="s">
        <v>4060</v>
      </c>
      <c r="K3974" s="692" t="s">
        <v>4060</v>
      </c>
    </row>
    <row r="3975" spans="1:11">
      <c r="A3975" s="688" t="s">
        <v>2490</v>
      </c>
      <c r="B3975" s="689">
        <v>23.4</v>
      </c>
      <c r="C3975" s="689">
        <v>23.4</v>
      </c>
      <c r="D3975" s="693">
        <v>24</v>
      </c>
      <c r="E3975" s="690" t="s">
        <v>4060</v>
      </c>
      <c r="F3975" s="689">
        <v>24.2</v>
      </c>
      <c r="G3975" s="689">
        <v>24.4</v>
      </c>
      <c r="H3975" s="689">
        <v>25.2</v>
      </c>
      <c r="I3975" s="690" t="s">
        <v>4060</v>
      </c>
      <c r="J3975" s="690" t="s">
        <v>4060</v>
      </c>
      <c r="K3975" s="690" t="s">
        <v>4060</v>
      </c>
    </row>
    <row r="3977" spans="1:11">
      <c r="A3977" s="683" t="s">
        <v>4233</v>
      </c>
    </row>
    <row r="3978" spans="1:11">
      <c r="A3978" s="683" t="s">
        <v>4060</v>
      </c>
      <c r="B3978" s="682" t="s">
        <v>4234</v>
      </c>
    </row>
    <row r="3980" spans="1:11">
      <c r="A3980" s="682" t="s">
        <v>4248</v>
      </c>
    </row>
    <row r="3981" spans="1:11">
      <c r="A3981" s="682" t="s">
        <v>4210</v>
      </c>
      <c r="B3981" s="683" t="s">
        <v>4211</v>
      </c>
    </row>
    <row r="3982" spans="1:11">
      <c r="A3982" s="682" t="s">
        <v>4212</v>
      </c>
      <c r="B3982" s="682" t="s">
        <v>4213</v>
      </c>
    </row>
    <row r="3984" spans="1:11">
      <c r="A3984" s="683" t="s">
        <v>4214</v>
      </c>
      <c r="C3984" s="682" t="s">
        <v>4215</v>
      </c>
    </row>
    <row r="3985" spans="1:11">
      <c r="A3985" s="683" t="s">
        <v>4216</v>
      </c>
      <c r="C3985" s="682" t="s">
        <v>2967</v>
      </c>
    </row>
    <row r="3986" spans="1:11">
      <c r="A3986" s="683" t="s">
        <v>3893</v>
      </c>
      <c r="C3986" s="682" t="s">
        <v>4217</v>
      </c>
    </row>
    <row r="3987" spans="1:11">
      <c r="A3987" s="683" t="s">
        <v>4218</v>
      </c>
      <c r="C3987" s="682" t="s">
        <v>4291</v>
      </c>
    </row>
    <row r="3989" spans="1:11">
      <c r="A3989" s="684" t="s">
        <v>4220</v>
      </c>
      <c r="B3989" s="685" t="s">
        <v>4221</v>
      </c>
      <c r="C3989" s="685" t="s">
        <v>4222</v>
      </c>
      <c r="D3989" s="685" t="s">
        <v>4223</v>
      </c>
      <c r="E3989" s="685" t="s">
        <v>4224</v>
      </c>
      <c r="F3989" s="685" t="s">
        <v>4225</v>
      </c>
      <c r="G3989" s="685" t="s">
        <v>4226</v>
      </c>
      <c r="H3989" s="685" t="s">
        <v>4227</v>
      </c>
      <c r="I3989" s="685" t="s">
        <v>4228</v>
      </c>
      <c r="J3989" s="685" t="s">
        <v>4229</v>
      </c>
      <c r="K3989" s="685" t="s">
        <v>4230</v>
      </c>
    </row>
    <row r="3990" spans="1:11">
      <c r="A3990" s="686" t="s">
        <v>4231</v>
      </c>
      <c r="B3990" s="687" t="s">
        <v>4232</v>
      </c>
      <c r="C3990" s="687" t="s">
        <v>4232</v>
      </c>
      <c r="D3990" s="687" t="s">
        <v>4232</v>
      </c>
      <c r="E3990" s="687" t="s">
        <v>4232</v>
      </c>
      <c r="F3990" s="687" t="s">
        <v>4232</v>
      </c>
      <c r="G3990" s="687" t="s">
        <v>4232</v>
      </c>
      <c r="H3990" s="687" t="s">
        <v>4232</v>
      </c>
      <c r="I3990" s="687" t="s">
        <v>4232</v>
      </c>
      <c r="J3990" s="687" t="s">
        <v>4232</v>
      </c>
      <c r="K3990" s="687" t="s">
        <v>4232</v>
      </c>
    </row>
    <row r="3991" spans="1:11">
      <c r="A3991" s="688" t="s">
        <v>4064</v>
      </c>
      <c r="B3991" s="693">
        <v>27</v>
      </c>
      <c r="C3991" s="693">
        <v>27</v>
      </c>
      <c r="D3991" s="693">
        <v>27</v>
      </c>
      <c r="E3991" s="689">
        <v>27.1</v>
      </c>
      <c r="F3991" s="689">
        <v>27.1</v>
      </c>
      <c r="G3991" s="689">
        <v>27.1</v>
      </c>
      <c r="H3991" s="689">
        <v>27.4</v>
      </c>
      <c r="I3991" s="689">
        <v>26.6</v>
      </c>
      <c r="J3991" s="689">
        <v>26.4</v>
      </c>
      <c r="K3991" s="689">
        <v>26.9</v>
      </c>
    </row>
    <row r="3992" spans="1:11">
      <c r="A3992" s="688" t="s">
        <v>4065</v>
      </c>
      <c r="B3992" s="615">
        <v>27</v>
      </c>
      <c r="C3992" s="691">
        <v>27.4</v>
      </c>
      <c r="D3992" s="615">
        <v>27</v>
      </c>
      <c r="E3992" s="691">
        <v>27.4</v>
      </c>
      <c r="F3992" s="691">
        <v>27.3</v>
      </c>
      <c r="G3992" s="691">
        <v>27.4</v>
      </c>
      <c r="H3992" s="692" t="s">
        <v>4060</v>
      </c>
      <c r="I3992" s="692" t="s">
        <v>4060</v>
      </c>
      <c r="J3992" s="692" t="s">
        <v>4060</v>
      </c>
      <c r="K3992" s="692" t="s">
        <v>4060</v>
      </c>
    </row>
    <row r="3993" spans="1:11">
      <c r="A3993" s="688" t="s">
        <v>4063</v>
      </c>
      <c r="B3993" s="689">
        <v>27.1</v>
      </c>
      <c r="C3993" s="689">
        <v>27.4</v>
      </c>
      <c r="D3993" s="693">
        <v>27</v>
      </c>
      <c r="E3993" s="689">
        <v>27.4</v>
      </c>
      <c r="F3993" s="689">
        <v>27.3</v>
      </c>
      <c r="G3993" s="689">
        <v>27.4</v>
      </c>
      <c r="H3993" s="690" t="s">
        <v>4060</v>
      </c>
      <c r="I3993" s="690" t="s">
        <v>4060</v>
      </c>
      <c r="J3993" s="690" t="s">
        <v>4060</v>
      </c>
      <c r="K3993" s="690" t="s">
        <v>4060</v>
      </c>
    </row>
    <row r="3994" spans="1:11">
      <c r="A3994" s="688" t="s">
        <v>4069</v>
      </c>
      <c r="B3994" s="692" t="s">
        <v>4060</v>
      </c>
      <c r="C3994" s="691">
        <v>27.8</v>
      </c>
      <c r="D3994" s="691">
        <v>27.5</v>
      </c>
      <c r="E3994" s="691">
        <v>27.8</v>
      </c>
      <c r="F3994" s="691">
        <v>27.8</v>
      </c>
      <c r="G3994" s="691">
        <v>27.9</v>
      </c>
      <c r="H3994" s="691">
        <v>28.2</v>
      </c>
      <c r="I3994" s="691">
        <v>27.5</v>
      </c>
      <c r="J3994" s="691">
        <v>27.5</v>
      </c>
      <c r="K3994" s="691">
        <v>27.6</v>
      </c>
    </row>
    <row r="3995" spans="1:11">
      <c r="A3995" s="688" t="s">
        <v>4068</v>
      </c>
      <c r="B3995" s="689">
        <v>27.9</v>
      </c>
      <c r="C3995" s="690" t="s">
        <v>4060</v>
      </c>
      <c r="D3995" s="690" t="s">
        <v>4060</v>
      </c>
      <c r="E3995" s="690" t="s">
        <v>4060</v>
      </c>
      <c r="F3995" s="690" t="s">
        <v>4060</v>
      </c>
      <c r="G3995" s="690" t="s">
        <v>4060</v>
      </c>
      <c r="H3995" s="690" t="s">
        <v>4060</v>
      </c>
      <c r="I3995" s="690" t="s">
        <v>4060</v>
      </c>
      <c r="J3995" s="690" t="s">
        <v>4060</v>
      </c>
      <c r="K3995" s="690" t="s">
        <v>4060</v>
      </c>
    </row>
    <row r="3996" spans="1:11">
      <c r="A3996" s="688" t="s">
        <v>0</v>
      </c>
      <c r="B3996" s="691">
        <v>27.1</v>
      </c>
      <c r="C3996" s="691">
        <v>27.4</v>
      </c>
      <c r="D3996" s="691">
        <v>27.2</v>
      </c>
      <c r="E3996" s="691">
        <v>27.5</v>
      </c>
      <c r="F3996" s="691">
        <v>27.6</v>
      </c>
      <c r="G3996" s="691">
        <v>27.7</v>
      </c>
      <c r="H3996" s="615">
        <v>28</v>
      </c>
      <c r="I3996" s="691">
        <v>26.9</v>
      </c>
      <c r="J3996" s="691">
        <v>27.8</v>
      </c>
      <c r="K3996" s="691">
        <v>27.8</v>
      </c>
    </row>
    <row r="3997" spans="1:11">
      <c r="A3997" s="688" t="s">
        <v>1</v>
      </c>
      <c r="B3997" s="689">
        <v>22.9</v>
      </c>
      <c r="C3997" s="689">
        <v>22.6</v>
      </c>
      <c r="D3997" s="689">
        <v>22.5</v>
      </c>
      <c r="E3997" s="689">
        <v>22.7</v>
      </c>
      <c r="F3997" s="689">
        <v>22.6</v>
      </c>
      <c r="G3997" s="689">
        <v>22.7</v>
      </c>
      <c r="H3997" s="689">
        <v>22.8</v>
      </c>
      <c r="I3997" s="689">
        <v>21.4</v>
      </c>
      <c r="J3997" s="689">
        <v>19.8</v>
      </c>
      <c r="K3997" s="693">
        <v>22</v>
      </c>
    </row>
    <row r="3998" spans="1:11">
      <c r="A3998" s="688" t="s">
        <v>2240</v>
      </c>
      <c r="B3998" s="691">
        <v>24.8</v>
      </c>
      <c r="C3998" s="691">
        <v>25.1</v>
      </c>
      <c r="D3998" s="691">
        <v>24.9</v>
      </c>
      <c r="E3998" s="691">
        <v>25.4</v>
      </c>
      <c r="F3998" s="691">
        <v>25.3</v>
      </c>
      <c r="G3998" s="691">
        <v>25.3</v>
      </c>
      <c r="H3998" s="691">
        <v>25.6</v>
      </c>
      <c r="I3998" s="691">
        <v>24.6</v>
      </c>
      <c r="J3998" s="691">
        <v>23.7</v>
      </c>
      <c r="K3998" s="691">
        <v>25.4</v>
      </c>
    </row>
    <row r="3999" spans="1:11">
      <c r="A3999" s="688" t="s">
        <v>2</v>
      </c>
      <c r="B3999" s="689">
        <v>26.5</v>
      </c>
      <c r="C3999" s="689">
        <v>26.8</v>
      </c>
      <c r="D3999" s="689">
        <v>26.8</v>
      </c>
      <c r="E3999" s="689">
        <v>26.9</v>
      </c>
      <c r="F3999" s="689">
        <v>27.1</v>
      </c>
      <c r="G3999" s="689">
        <v>26.9</v>
      </c>
      <c r="H3999" s="689">
        <v>27.2</v>
      </c>
      <c r="I3999" s="689">
        <v>27.4</v>
      </c>
      <c r="J3999" s="689">
        <v>27.2</v>
      </c>
      <c r="K3999" s="689">
        <v>27.1</v>
      </c>
    </row>
    <row r="4000" spans="1:11">
      <c r="A4000" s="688" t="s">
        <v>3</v>
      </c>
      <c r="B4000" s="691">
        <v>26.9</v>
      </c>
      <c r="C4000" s="691">
        <v>27.1</v>
      </c>
      <c r="D4000" s="691">
        <v>26.8</v>
      </c>
      <c r="E4000" s="615">
        <v>27</v>
      </c>
      <c r="F4000" s="615">
        <v>27</v>
      </c>
      <c r="G4000" s="615">
        <v>27</v>
      </c>
      <c r="H4000" s="691">
        <v>27.2</v>
      </c>
      <c r="I4000" s="615">
        <v>27</v>
      </c>
      <c r="J4000" s="691">
        <v>26.8</v>
      </c>
      <c r="K4000" s="691">
        <v>26.6</v>
      </c>
    </row>
    <row r="4001" spans="1:11">
      <c r="A4001" s="688" t="s">
        <v>4061</v>
      </c>
      <c r="B4001" s="689">
        <v>26.9</v>
      </c>
      <c r="C4001" s="689">
        <v>27.1</v>
      </c>
      <c r="D4001" s="689">
        <v>26.8</v>
      </c>
      <c r="E4001" s="693">
        <v>27</v>
      </c>
      <c r="F4001" s="693">
        <v>27</v>
      </c>
      <c r="G4001" s="693">
        <v>27</v>
      </c>
      <c r="H4001" s="689">
        <v>27.2</v>
      </c>
      <c r="I4001" s="693">
        <v>27</v>
      </c>
      <c r="J4001" s="689">
        <v>26.8</v>
      </c>
      <c r="K4001" s="689">
        <v>26.6</v>
      </c>
    </row>
    <row r="4002" spans="1:11">
      <c r="A4002" s="688" t="s">
        <v>4</v>
      </c>
      <c r="B4002" s="615">
        <v>25</v>
      </c>
      <c r="C4002" s="691">
        <v>24.8</v>
      </c>
      <c r="D4002" s="691">
        <v>25.1</v>
      </c>
      <c r="E4002" s="691">
        <v>25.3</v>
      </c>
      <c r="F4002" s="691">
        <v>25.4</v>
      </c>
      <c r="G4002" s="691">
        <v>25.4</v>
      </c>
      <c r="H4002" s="691">
        <v>25.8</v>
      </c>
      <c r="I4002" s="691">
        <v>25.7</v>
      </c>
      <c r="J4002" s="691">
        <v>24.3</v>
      </c>
      <c r="K4002" s="691">
        <v>25.2</v>
      </c>
    </row>
    <row r="4003" spans="1:11">
      <c r="A4003" s="688" t="s">
        <v>8</v>
      </c>
      <c r="B4003" s="689">
        <v>27.2</v>
      </c>
      <c r="C4003" s="689">
        <v>27.4</v>
      </c>
      <c r="D4003" s="689">
        <v>27.4</v>
      </c>
      <c r="E4003" s="689">
        <v>27.5</v>
      </c>
      <c r="F4003" s="689">
        <v>27.9</v>
      </c>
      <c r="G4003" s="693">
        <v>28</v>
      </c>
      <c r="H4003" s="689">
        <v>28.2</v>
      </c>
      <c r="I4003" s="689">
        <v>28.2</v>
      </c>
      <c r="J4003" s="693">
        <v>28</v>
      </c>
      <c r="K4003" s="689">
        <v>28.1</v>
      </c>
    </row>
    <row r="4004" spans="1:11">
      <c r="A4004" s="688" t="s">
        <v>7</v>
      </c>
      <c r="B4004" s="691">
        <v>27.7</v>
      </c>
      <c r="C4004" s="691">
        <v>27.3</v>
      </c>
      <c r="D4004" s="615">
        <v>27</v>
      </c>
      <c r="E4004" s="691">
        <v>27.4</v>
      </c>
      <c r="F4004" s="691">
        <v>27.2</v>
      </c>
      <c r="G4004" s="691">
        <v>27.7</v>
      </c>
      <c r="H4004" s="691">
        <v>27.6</v>
      </c>
      <c r="I4004" s="691">
        <v>27.3</v>
      </c>
      <c r="J4004" s="691">
        <v>26.4</v>
      </c>
      <c r="K4004" s="691">
        <v>26.9</v>
      </c>
    </row>
    <row r="4005" spans="1:11">
      <c r="A4005" s="688" t="s">
        <v>27</v>
      </c>
      <c r="B4005" s="689">
        <v>29.1</v>
      </c>
      <c r="C4005" s="689">
        <v>28.8</v>
      </c>
      <c r="D4005" s="689">
        <v>28.5</v>
      </c>
      <c r="E4005" s="689">
        <v>28.9</v>
      </c>
      <c r="F4005" s="689">
        <v>28.8</v>
      </c>
      <c r="G4005" s="689">
        <v>28.9</v>
      </c>
      <c r="H4005" s="689">
        <v>29.2</v>
      </c>
      <c r="I4005" s="693">
        <v>28</v>
      </c>
      <c r="J4005" s="689">
        <v>28.7</v>
      </c>
      <c r="K4005" s="689">
        <v>28.8</v>
      </c>
    </row>
    <row r="4006" spans="1:11">
      <c r="A4006" s="688" t="s">
        <v>6</v>
      </c>
      <c r="B4006" s="615">
        <v>29</v>
      </c>
      <c r="C4006" s="691">
        <v>28.9</v>
      </c>
      <c r="D4006" s="691">
        <v>28.7</v>
      </c>
      <c r="E4006" s="691">
        <v>28.9</v>
      </c>
      <c r="F4006" s="691">
        <v>28.9</v>
      </c>
      <c r="G4006" s="615">
        <v>29</v>
      </c>
      <c r="H4006" s="691">
        <v>29.2</v>
      </c>
      <c r="I4006" s="691">
        <v>28.5</v>
      </c>
      <c r="J4006" s="691">
        <v>28.7</v>
      </c>
      <c r="K4006" s="691">
        <v>28.7</v>
      </c>
    </row>
    <row r="4007" spans="1:11">
      <c r="A4007" s="688" t="s">
        <v>4058</v>
      </c>
      <c r="B4007" s="690" t="s">
        <v>4060</v>
      </c>
      <c r="C4007" s="690" t="s">
        <v>4060</v>
      </c>
      <c r="D4007" s="690" t="s">
        <v>4060</v>
      </c>
      <c r="E4007" s="690" t="s">
        <v>4060</v>
      </c>
      <c r="F4007" s="690" t="s">
        <v>4060</v>
      </c>
      <c r="G4007" s="690" t="s">
        <v>4060</v>
      </c>
      <c r="H4007" s="690" t="s">
        <v>4060</v>
      </c>
      <c r="I4007" s="690" t="s">
        <v>4060</v>
      </c>
      <c r="J4007" s="690" t="s">
        <v>4060</v>
      </c>
      <c r="K4007" s="690" t="s">
        <v>4060</v>
      </c>
    </row>
    <row r="4008" spans="1:11">
      <c r="A4008" s="688" t="s">
        <v>11</v>
      </c>
      <c r="B4008" s="691">
        <v>24.5</v>
      </c>
      <c r="C4008" s="691">
        <v>24.4</v>
      </c>
      <c r="D4008" s="615">
        <v>24</v>
      </c>
      <c r="E4008" s="691">
        <v>24.5</v>
      </c>
      <c r="F4008" s="691">
        <v>24.4</v>
      </c>
      <c r="G4008" s="691">
        <v>24.6</v>
      </c>
      <c r="H4008" s="691">
        <v>24.8</v>
      </c>
      <c r="I4008" s="691">
        <v>24.1</v>
      </c>
      <c r="J4008" s="691">
        <v>23.3</v>
      </c>
      <c r="K4008" s="691">
        <v>24.3</v>
      </c>
    </row>
    <row r="4009" spans="1:11">
      <c r="A4009" s="688" t="s">
        <v>10</v>
      </c>
      <c r="B4009" s="689">
        <v>28.7</v>
      </c>
      <c r="C4009" s="689">
        <v>28.6</v>
      </c>
      <c r="D4009" s="689">
        <v>28.2</v>
      </c>
      <c r="E4009" s="689">
        <v>28.7</v>
      </c>
      <c r="F4009" s="689">
        <v>28.5</v>
      </c>
      <c r="G4009" s="689">
        <v>28.9</v>
      </c>
      <c r="H4009" s="693">
        <v>29</v>
      </c>
      <c r="I4009" s="689">
        <v>27.9</v>
      </c>
      <c r="J4009" s="689">
        <v>28.3</v>
      </c>
      <c r="K4009" s="689">
        <v>28.4</v>
      </c>
    </row>
    <row r="4010" spans="1:11">
      <c r="A4010" s="688" t="s">
        <v>30</v>
      </c>
      <c r="B4010" s="691">
        <v>28.1</v>
      </c>
      <c r="C4010" s="691">
        <v>27.9</v>
      </c>
      <c r="D4010" s="691">
        <v>27.7</v>
      </c>
      <c r="E4010" s="691">
        <v>28.4</v>
      </c>
      <c r="F4010" s="691">
        <v>27.9</v>
      </c>
      <c r="G4010" s="691">
        <v>28.5</v>
      </c>
      <c r="H4010" s="691">
        <v>28.3</v>
      </c>
      <c r="I4010" s="691">
        <v>28.3</v>
      </c>
      <c r="J4010" s="691">
        <v>27.7</v>
      </c>
      <c r="K4010" s="691">
        <v>27.9</v>
      </c>
    </row>
    <row r="4011" spans="1:11">
      <c r="A4011" s="688" t="s">
        <v>12</v>
      </c>
      <c r="B4011" s="689">
        <v>23.1</v>
      </c>
      <c r="C4011" s="689">
        <v>23.2</v>
      </c>
      <c r="D4011" s="689">
        <v>23.3</v>
      </c>
      <c r="E4011" s="689">
        <v>23.3</v>
      </c>
      <c r="F4011" s="689">
        <v>23.4</v>
      </c>
      <c r="G4011" s="689">
        <v>23.4</v>
      </c>
      <c r="H4011" s="689">
        <v>23.9</v>
      </c>
      <c r="I4011" s="689">
        <v>23.6</v>
      </c>
      <c r="J4011" s="689">
        <v>21.8</v>
      </c>
      <c r="K4011" s="689">
        <v>23.1</v>
      </c>
    </row>
    <row r="4012" spans="1:11">
      <c r="A4012" s="688" t="s">
        <v>14</v>
      </c>
      <c r="B4012" s="691">
        <v>23.4</v>
      </c>
      <c r="C4012" s="691">
        <v>23.5</v>
      </c>
      <c r="D4012" s="691">
        <v>23.3</v>
      </c>
      <c r="E4012" s="691">
        <v>23.5</v>
      </c>
      <c r="F4012" s="691">
        <v>23.9</v>
      </c>
      <c r="G4012" s="615">
        <v>24</v>
      </c>
      <c r="H4012" s="691">
        <v>24.3</v>
      </c>
      <c r="I4012" s="691">
        <v>23.3</v>
      </c>
      <c r="J4012" s="691">
        <v>22.6</v>
      </c>
      <c r="K4012" s="691">
        <v>23.7</v>
      </c>
    </row>
    <row r="4013" spans="1:11">
      <c r="A4013" s="688" t="s">
        <v>15</v>
      </c>
      <c r="B4013" s="689">
        <v>28.1</v>
      </c>
      <c r="C4013" s="689">
        <v>27.8</v>
      </c>
      <c r="D4013" s="689">
        <v>27.8</v>
      </c>
      <c r="E4013" s="689">
        <v>28.1</v>
      </c>
      <c r="F4013" s="689">
        <v>27.7</v>
      </c>
      <c r="G4013" s="689">
        <v>27.9</v>
      </c>
      <c r="H4013" s="689">
        <v>28.3</v>
      </c>
      <c r="I4013" s="689">
        <v>27.8</v>
      </c>
      <c r="J4013" s="689">
        <v>28.2</v>
      </c>
      <c r="K4013" s="689">
        <v>28.5</v>
      </c>
    </row>
    <row r="4014" spans="1:11">
      <c r="A4014" s="688" t="s">
        <v>29</v>
      </c>
      <c r="B4014" s="691">
        <v>23.1</v>
      </c>
      <c r="C4014" s="691">
        <v>23.1</v>
      </c>
      <c r="D4014" s="691">
        <v>22.8</v>
      </c>
      <c r="E4014" s="691">
        <v>23.1</v>
      </c>
      <c r="F4014" s="691">
        <v>22.9</v>
      </c>
      <c r="G4014" s="615">
        <v>23</v>
      </c>
      <c r="H4014" s="691">
        <v>23.2</v>
      </c>
      <c r="I4014" s="691">
        <v>22.5</v>
      </c>
      <c r="J4014" s="691">
        <v>21.4</v>
      </c>
      <c r="K4014" s="691">
        <v>22.8</v>
      </c>
    </row>
    <row r="4015" spans="1:11">
      <c r="A4015" s="688" t="s">
        <v>16</v>
      </c>
      <c r="B4015" s="689">
        <v>27.8</v>
      </c>
      <c r="C4015" s="689">
        <v>27.7</v>
      </c>
      <c r="D4015" s="689">
        <v>27.7</v>
      </c>
      <c r="E4015" s="689">
        <v>28.4</v>
      </c>
      <c r="F4015" s="689">
        <v>28.1</v>
      </c>
      <c r="G4015" s="689">
        <v>28.1</v>
      </c>
      <c r="H4015" s="689">
        <v>28.4</v>
      </c>
      <c r="I4015" s="689">
        <v>27.8</v>
      </c>
      <c r="J4015" s="689">
        <v>27.8</v>
      </c>
      <c r="K4015" s="693">
        <v>28</v>
      </c>
    </row>
    <row r="4016" spans="1:11">
      <c r="A4016" s="688" t="s">
        <v>17</v>
      </c>
      <c r="B4016" s="691">
        <v>27.4</v>
      </c>
      <c r="C4016" s="691">
        <v>27.6</v>
      </c>
      <c r="D4016" s="691">
        <v>27.3</v>
      </c>
      <c r="E4016" s="691">
        <v>27.4</v>
      </c>
      <c r="F4016" s="691">
        <v>27.6</v>
      </c>
      <c r="G4016" s="691">
        <v>27.6</v>
      </c>
      <c r="H4016" s="691">
        <v>27.9</v>
      </c>
      <c r="I4016" s="691">
        <v>27.2</v>
      </c>
      <c r="J4016" s="691">
        <v>27.2</v>
      </c>
      <c r="K4016" s="691">
        <v>27.5</v>
      </c>
    </row>
    <row r="4017" spans="1:11">
      <c r="A4017" s="688" t="s">
        <v>19</v>
      </c>
      <c r="B4017" s="689">
        <v>27.4</v>
      </c>
      <c r="C4017" s="689">
        <v>27.5</v>
      </c>
      <c r="D4017" s="689">
        <v>27.2</v>
      </c>
      <c r="E4017" s="689">
        <v>27.6</v>
      </c>
      <c r="F4017" s="689">
        <v>27.6</v>
      </c>
      <c r="G4017" s="689">
        <v>27.7</v>
      </c>
      <c r="H4017" s="689">
        <v>27.9</v>
      </c>
      <c r="I4017" s="689">
        <v>27.3</v>
      </c>
      <c r="J4017" s="689">
        <v>27.3</v>
      </c>
      <c r="K4017" s="689">
        <v>27.3</v>
      </c>
    </row>
    <row r="4018" spans="1:11">
      <c r="A4018" s="688" t="s">
        <v>20</v>
      </c>
      <c r="B4018" s="691">
        <v>24.6</v>
      </c>
      <c r="C4018" s="691">
        <v>24.9</v>
      </c>
      <c r="D4018" s="691">
        <v>24.7</v>
      </c>
      <c r="E4018" s="615">
        <v>25</v>
      </c>
      <c r="F4018" s="691">
        <v>24.9</v>
      </c>
      <c r="G4018" s="691">
        <v>24.8</v>
      </c>
      <c r="H4018" s="691">
        <v>25.1</v>
      </c>
      <c r="I4018" s="691">
        <v>23.7</v>
      </c>
      <c r="J4018" s="691">
        <v>22.9</v>
      </c>
      <c r="K4018" s="691">
        <v>24.4</v>
      </c>
    </row>
    <row r="4019" spans="1:11">
      <c r="A4019" s="688" t="s">
        <v>21</v>
      </c>
      <c r="B4019" s="689">
        <v>27.4</v>
      </c>
      <c r="C4019" s="689">
        <v>27.7</v>
      </c>
      <c r="D4019" s="689">
        <v>27.6</v>
      </c>
      <c r="E4019" s="689">
        <v>27.6</v>
      </c>
      <c r="F4019" s="693">
        <v>28</v>
      </c>
      <c r="G4019" s="689">
        <v>27.9</v>
      </c>
      <c r="H4019" s="689">
        <v>28.2</v>
      </c>
      <c r="I4019" s="689">
        <v>27.6</v>
      </c>
      <c r="J4019" s="689">
        <v>27.6</v>
      </c>
      <c r="K4019" s="689">
        <v>27.9</v>
      </c>
    </row>
    <row r="4020" spans="1:11">
      <c r="A4020" s="688" t="s">
        <v>22</v>
      </c>
      <c r="B4020" s="691">
        <v>23.2</v>
      </c>
      <c r="C4020" s="615">
        <v>23</v>
      </c>
      <c r="D4020" s="691">
        <v>22.9</v>
      </c>
      <c r="E4020" s="691">
        <v>23.1</v>
      </c>
      <c r="F4020" s="691">
        <v>23.1</v>
      </c>
      <c r="G4020" s="691">
        <v>23.1</v>
      </c>
      <c r="H4020" s="691">
        <v>23.3</v>
      </c>
      <c r="I4020" s="691">
        <v>21.9</v>
      </c>
      <c r="J4020" s="691">
        <v>20.7</v>
      </c>
      <c r="K4020" s="691">
        <v>22.7</v>
      </c>
    </row>
    <row r="4021" spans="1:11">
      <c r="A4021" s="688" t="s">
        <v>26</v>
      </c>
      <c r="B4021" s="689">
        <v>26.8</v>
      </c>
      <c r="C4021" s="689">
        <v>26.9</v>
      </c>
      <c r="D4021" s="689">
        <v>26.8</v>
      </c>
      <c r="E4021" s="689">
        <v>27.1</v>
      </c>
      <c r="F4021" s="689">
        <v>26.9</v>
      </c>
      <c r="G4021" s="689">
        <v>27.1</v>
      </c>
      <c r="H4021" s="689">
        <v>27.3</v>
      </c>
      <c r="I4021" s="689">
        <v>26.5</v>
      </c>
      <c r="J4021" s="689">
        <v>26.6</v>
      </c>
      <c r="K4021" s="689">
        <v>27.1</v>
      </c>
    </row>
    <row r="4022" spans="1:11">
      <c r="A4022" s="688" t="s">
        <v>25</v>
      </c>
      <c r="B4022" s="691">
        <v>23.8</v>
      </c>
      <c r="C4022" s="691">
        <v>24.1</v>
      </c>
      <c r="D4022" s="691">
        <v>23.9</v>
      </c>
      <c r="E4022" s="691">
        <v>24.3</v>
      </c>
      <c r="F4022" s="691">
        <v>24.3</v>
      </c>
      <c r="G4022" s="691">
        <v>24.4</v>
      </c>
      <c r="H4022" s="691">
        <v>24.8</v>
      </c>
      <c r="I4022" s="615">
        <v>24</v>
      </c>
      <c r="J4022" s="615">
        <v>22</v>
      </c>
      <c r="K4022" s="691">
        <v>24.1</v>
      </c>
    </row>
    <row r="4023" spans="1:11">
      <c r="A4023" s="688" t="s">
        <v>5</v>
      </c>
      <c r="B4023" s="689">
        <v>27.5</v>
      </c>
      <c r="C4023" s="689">
        <v>27.4</v>
      </c>
      <c r="D4023" s="689">
        <v>27.5</v>
      </c>
      <c r="E4023" s="689">
        <v>27.5</v>
      </c>
      <c r="F4023" s="689">
        <v>27.7</v>
      </c>
      <c r="G4023" s="689">
        <v>27.8</v>
      </c>
      <c r="H4023" s="689">
        <v>28.1</v>
      </c>
      <c r="I4023" s="689">
        <v>28.1</v>
      </c>
      <c r="J4023" s="689">
        <v>27.9</v>
      </c>
      <c r="K4023" s="689">
        <v>27.4</v>
      </c>
    </row>
    <row r="4024" spans="1:11">
      <c r="A4024" s="688" t="s">
        <v>23</v>
      </c>
      <c r="B4024" s="691">
        <v>27.9</v>
      </c>
      <c r="C4024" s="615">
        <v>28</v>
      </c>
      <c r="D4024" s="615">
        <v>28</v>
      </c>
      <c r="E4024" s="691">
        <v>28.1</v>
      </c>
      <c r="F4024" s="691">
        <v>28.2</v>
      </c>
      <c r="G4024" s="691">
        <v>28.3</v>
      </c>
      <c r="H4024" s="691">
        <v>28.7</v>
      </c>
      <c r="I4024" s="691">
        <v>28.1</v>
      </c>
      <c r="J4024" s="691">
        <v>28.7</v>
      </c>
      <c r="K4024" s="691">
        <v>28.7</v>
      </c>
    </row>
    <row r="4025" spans="1:11">
      <c r="A4025" s="688" t="s">
        <v>4067</v>
      </c>
      <c r="B4025" s="689">
        <v>27.1</v>
      </c>
      <c r="C4025" s="689">
        <v>27.4</v>
      </c>
      <c r="D4025" s="693">
        <v>27</v>
      </c>
      <c r="E4025" s="689">
        <v>27.4</v>
      </c>
      <c r="F4025" s="689">
        <v>27.3</v>
      </c>
      <c r="G4025" s="689">
        <v>27.4</v>
      </c>
      <c r="H4025" s="690" t="s">
        <v>4060</v>
      </c>
      <c r="I4025" s="690" t="s">
        <v>4060</v>
      </c>
      <c r="J4025" s="690" t="s">
        <v>4060</v>
      </c>
      <c r="K4025" s="690" t="s">
        <v>4060</v>
      </c>
    </row>
    <row r="4026" spans="1:11">
      <c r="A4026" s="688" t="s">
        <v>4066</v>
      </c>
      <c r="B4026" s="691">
        <v>27.1</v>
      </c>
      <c r="C4026" s="691">
        <v>27.4</v>
      </c>
      <c r="D4026" s="691">
        <v>27.1</v>
      </c>
      <c r="E4026" s="691">
        <v>27.4</v>
      </c>
      <c r="F4026" s="691">
        <v>27.3</v>
      </c>
      <c r="G4026" s="691">
        <v>27.4</v>
      </c>
      <c r="H4026" s="692" t="s">
        <v>4060</v>
      </c>
      <c r="I4026" s="692" t="s">
        <v>4060</v>
      </c>
      <c r="J4026" s="692" t="s">
        <v>4060</v>
      </c>
      <c r="K4026" s="692" t="s">
        <v>4060</v>
      </c>
    </row>
    <row r="4027" spans="1:11">
      <c r="A4027" s="688" t="s">
        <v>4062</v>
      </c>
      <c r="B4027" s="689">
        <v>28.4</v>
      </c>
      <c r="C4027" s="689">
        <v>28.6</v>
      </c>
      <c r="D4027" s="689">
        <v>28.5</v>
      </c>
      <c r="E4027" s="689">
        <v>28.8</v>
      </c>
      <c r="F4027" s="689">
        <v>28.8</v>
      </c>
      <c r="G4027" s="693">
        <v>29</v>
      </c>
      <c r="H4027" s="689">
        <v>29.1</v>
      </c>
      <c r="I4027" s="689">
        <v>28.8</v>
      </c>
      <c r="J4027" s="689">
        <v>29.1</v>
      </c>
      <c r="K4027" s="689">
        <v>28.9</v>
      </c>
    </row>
    <row r="4028" spans="1:11">
      <c r="A4028" s="688" t="s">
        <v>9</v>
      </c>
      <c r="B4028" s="691">
        <v>27.9</v>
      </c>
      <c r="C4028" s="691">
        <v>28.4</v>
      </c>
      <c r="D4028" s="691">
        <v>28.3</v>
      </c>
      <c r="E4028" s="691">
        <v>27.8</v>
      </c>
      <c r="F4028" s="691">
        <v>28.4</v>
      </c>
      <c r="G4028" s="691">
        <v>28.5</v>
      </c>
      <c r="H4028" s="691">
        <v>28.7</v>
      </c>
      <c r="I4028" s="691">
        <v>28.8</v>
      </c>
      <c r="J4028" s="615">
        <v>29</v>
      </c>
      <c r="K4028" s="615">
        <v>28</v>
      </c>
    </row>
    <row r="4029" spans="1:11">
      <c r="A4029" s="688" t="s">
        <v>13</v>
      </c>
      <c r="B4029" s="689">
        <v>28.5</v>
      </c>
      <c r="C4029" s="689">
        <v>27.7</v>
      </c>
      <c r="D4029" s="689">
        <v>28.2</v>
      </c>
      <c r="E4029" s="689">
        <v>27.7</v>
      </c>
      <c r="F4029" s="693">
        <v>29</v>
      </c>
      <c r="G4029" s="689">
        <v>28.8</v>
      </c>
      <c r="H4029" s="689">
        <v>28.9</v>
      </c>
      <c r="I4029" s="689">
        <v>27.9</v>
      </c>
      <c r="J4029" s="689">
        <v>29.2</v>
      </c>
      <c r="K4029" s="689">
        <v>29.6</v>
      </c>
    </row>
    <row r="4030" spans="1:11">
      <c r="A4030" s="688" t="s">
        <v>18</v>
      </c>
      <c r="B4030" s="691">
        <v>27.7</v>
      </c>
      <c r="C4030" s="615">
        <v>28</v>
      </c>
      <c r="D4030" s="691">
        <v>28.1</v>
      </c>
      <c r="E4030" s="691">
        <v>28.2</v>
      </c>
      <c r="F4030" s="691">
        <v>28.3</v>
      </c>
      <c r="G4030" s="691">
        <v>28.5</v>
      </c>
      <c r="H4030" s="691">
        <v>28.7</v>
      </c>
      <c r="I4030" s="691">
        <v>28.9</v>
      </c>
      <c r="J4030" s="691">
        <v>28.8</v>
      </c>
      <c r="K4030" s="691">
        <v>28.3</v>
      </c>
    </row>
    <row r="4031" spans="1:11">
      <c r="A4031" s="688" t="s">
        <v>24</v>
      </c>
      <c r="B4031" s="689">
        <v>28.8</v>
      </c>
      <c r="C4031" s="689">
        <v>28.9</v>
      </c>
      <c r="D4031" s="689">
        <v>28.7</v>
      </c>
      <c r="E4031" s="689">
        <v>29.1</v>
      </c>
      <c r="F4031" s="689">
        <v>29.2</v>
      </c>
      <c r="G4031" s="689">
        <v>29.3</v>
      </c>
      <c r="H4031" s="689">
        <v>29.4</v>
      </c>
      <c r="I4031" s="689">
        <v>28.7</v>
      </c>
      <c r="J4031" s="689">
        <v>29.3</v>
      </c>
      <c r="K4031" s="689">
        <v>29.2</v>
      </c>
    </row>
    <row r="4032" spans="1:11">
      <c r="A4032" s="688" t="s">
        <v>4059</v>
      </c>
      <c r="B4032" s="691">
        <v>27.4</v>
      </c>
      <c r="C4032" s="691">
        <v>27.7</v>
      </c>
      <c r="D4032" s="691">
        <v>27.4</v>
      </c>
      <c r="E4032" s="691">
        <v>27.6</v>
      </c>
      <c r="F4032" s="691">
        <v>27.6</v>
      </c>
      <c r="G4032" s="691">
        <v>27.7</v>
      </c>
      <c r="H4032" s="692" t="s">
        <v>4060</v>
      </c>
      <c r="I4032" s="692" t="s">
        <v>4060</v>
      </c>
      <c r="J4032" s="692" t="s">
        <v>4060</v>
      </c>
      <c r="K4032" s="692" t="s">
        <v>4060</v>
      </c>
    </row>
    <row r="4033" spans="1:11">
      <c r="A4033" s="688" t="s">
        <v>2324</v>
      </c>
      <c r="B4033" s="689">
        <v>23.4</v>
      </c>
      <c r="C4033" s="689">
        <v>23.5</v>
      </c>
      <c r="D4033" s="689">
        <v>23.1</v>
      </c>
      <c r="E4033" s="689">
        <v>23.1</v>
      </c>
      <c r="F4033" s="689">
        <v>23.3</v>
      </c>
      <c r="G4033" s="689">
        <v>23.4</v>
      </c>
      <c r="H4033" s="689">
        <v>23.6</v>
      </c>
      <c r="I4033" s="689">
        <v>22.6</v>
      </c>
      <c r="J4033" s="689">
        <v>20.6</v>
      </c>
      <c r="K4033" s="690" t="s">
        <v>4060</v>
      </c>
    </row>
    <row r="4034" spans="1:11">
      <c r="A4034" s="688" t="s">
        <v>2322</v>
      </c>
      <c r="B4034" s="692" t="s">
        <v>4060</v>
      </c>
      <c r="C4034" s="692" t="s">
        <v>4060</v>
      </c>
      <c r="D4034" s="692" t="s">
        <v>4060</v>
      </c>
      <c r="E4034" s="692" t="s">
        <v>4060</v>
      </c>
      <c r="F4034" s="692" t="s">
        <v>4060</v>
      </c>
      <c r="G4034" s="692" t="s">
        <v>4060</v>
      </c>
      <c r="H4034" s="692" t="s">
        <v>4060</v>
      </c>
      <c r="I4034" s="692" t="s">
        <v>4060</v>
      </c>
      <c r="J4034" s="692" t="s">
        <v>4060</v>
      </c>
      <c r="K4034" s="692" t="s">
        <v>4060</v>
      </c>
    </row>
    <row r="4035" spans="1:11">
      <c r="A4035" s="688" t="s">
        <v>2328</v>
      </c>
      <c r="B4035" s="689">
        <v>22.6</v>
      </c>
      <c r="C4035" s="689">
        <v>22.5</v>
      </c>
      <c r="D4035" s="689">
        <v>22.4</v>
      </c>
      <c r="E4035" s="689">
        <v>22.6</v>
      </c>
      <c r="F4035" s="689">
        <v>22.8</v>
      </c>
      <c r="G4035" s="689">
        <v>23.2</v>
      </c>
      <c r="H4035" s="689">
        <v>23.1</v>
      </c>
      <c r="I4035" s="689">
        <v>21.1</v>
      </c>
      <c r="J4035" s="689">
        <v>20.3</v>
      </c>
      <c r="K4035" s="690" t="s">
        <v>4060</v>
      </c>
    </row>
    <row r="4036" spans="1:11">
      <c r="A4036" s="688" t="s">
        <v>2496</v>
      </c>
      <c r="B4036" s="692" t="s">
        <v>4060</v>
      </c>
      <c r="C4036" s="691">
        <v>22.7</v>
      </c>
      <c r="D4036" s="691">
        <v>21.8</v>
      </c>
      <c r="E4036" s="691">
        <v>21.6</v>
      </c>
      <c r="F4036" s="691">
        <v>22.1</v>
      </c>
      <c r="G4036" s="691">
        <v>22.4</v>
      </c>
      <c r="H4036" s="691">
        <v>22.3</v>
      </c>
      <c r="I4036" s="692" t="s">
        <v>4060</v>
      </c>
      <c r="J4036" s="692" t="s">
        <v>4060</v>
      </c>
      <c r="K4036" s="691">
        <v>21.9</v>
      </c>
    </row>
    <row r="4037" spans="1:11">
      <c r="A4037" s="688" t="s">
        <v>2269</v>
      </c>
      <c r="B4037" s="689">
        <v>25.1</v>
      </c>
      <c r="C4037" s="689">
        <v>25.3</v>
      </c>
      <c r="D4037" s="689">
        <v>24.8</v>
      </c>
      <c r="E4037" s="689">
        <v>25.3</v>
      </c>
      <c r="F4037" s="689">
        <v>25.2</v>
      </c>
      <c r="G4037" s="689">
        <v>25.6</v>
      </c>
      <c r="H4037" s="689">
        <v>25.8</v>
      </c>
      <c r="I4037" s="689">
        <v>24.1</v>
      </c>
      <c r="J4037" s="689">
        <v>22.3</v>
      </c>
      <c r="K4037" s="689">
        <v>25.5</v>
      </c>
    </row>
    <row r="4038" spans="1:11">
      <c r="A4038" s="688" t="s">
        <v>2349</v>
      </c>
      <c r="B4038" s="691">
        <v>22.5</v>
      </c>
      <c r="C4038" s="691">
        <v>22.5</v>
      </c>
      <c r="D4038" s="691">
        <v>22.5</v>
      </c>
      <c r="E4038" s="691">
        <v>22.8</v>
      </c>
      <c r="F4038" s="691">
        <v>22.7</v>
      </c>
      <c r="G4038" s="691">
        <v>22.9</v>
      </c>
      <c r="H4038" s="691">
        <v>22.9</v>
      </c>
      <c r="I4038" s="691">
        <v>21.6</v>
      </c>
      <c r="J4038" s="691">
        <v>20.2</v>
      </c>
      <c r="K4038" s="691">
        <v>22.2</v>
      </c>
    </row>
    <row r="4039" spans="1:11">
      <c r="A4039" s="688" t="s">
        <v>2355</v>
      </c>
      <c r="B4039" s="689">
        <v>25.5</v>
      </c>
      <c r="C4039" s="689">
        <v>25.4</v>
      </c>
      <c r="D4039" s="689">
        <v>25.3</v>
      </c>
      <c r="E4039" s="689">
        <v>25.3</v>
      </c>
      <c r="F4039" s="689">
        <v>25.5</v>
      </c>
      <c r="G4039" s="689">
        <v>25.8</v>
      </c>
      <c r="H4039" s="689">
        <v>25.9</v>
      </c>
      <c r="I4039" s="690" t="s">
        <v>4060</v>
      </c>
      <c r="J4039" s="690" t="s">
        <v>4060</v>
      </c>
      <c r="K4039" s="690" t="s">
        <v>4060</v>
      </c>
    </row>
    <row r="4040" spans="1:11">
      <c r="A4040" s="688" t="s">
        <v>2357</v>
      </c>
      <c r="B4040" s="692" t="s">
        <v>4060</v>
      </c>
      <c r="C4040" s="691">
        <v>21.7</v>
      </c>
      <c r="D4040" s="691">
        <v>22.1</v>
      </c>
      <c r="E4040" s="691">
        <v>22.3</v>
      </c>
      <c r="F4040" s="691">
        <v>22.6</v>
      </c>
      <c r="G4040" s="691">
        <v>22.5</v>
      </c>
      <c r="H4040" s="691">
        <v>22.7</v>
      </c>
      <c r="I4040" s="692" t="s">
        <v>4060</v>
      </c>
      <c r="J4040" s="692" t="s">
        <v>4060</v>
      </c>
      <c r="K4040" s="692" t="s">
        <v>4060</v>
      </c>
    </row>
    <row r="4041" spans="1:11">
      <c r="A4041" s="688" t="s">
        <v>4070</v>
      </c>
      <c r="B4041" s="690" t="s">
        <v>4060</v>
      </c>
      <c r="C4041" s="690" t="s">
        <v>4060</v>
      </c>
      <c r="D4041" s="690" t="s">
        <v>4060</v>
      </c>
      <c r="E4041" s="689">
        <v>24.9</v>
      </c>
      <c r="F4041" s="690" t="s">
        <v>4060</v>
      </c>
      <c r="G4041" s="690" t="s">
        <v>4060</v>
      </c>
      <c r="H4041" s="690" t="s">
        <v>4060</v>
      </c>
      <c r="I4041" s="690" t="s">
        <v>4060</v>
      </c>
      <c r="J4041" s="690" t="s">
        <v>4060</v>
      </c>
      <c r="K4041" s="690" t="s">
        <v>4060</v>
      </c>
    </row>
    <row r="4042" spans="1:11">
      <c r="A4042" s="688" t="s">
        <v>2491</v>
      </c>
      <c r="B4042" s="691">
        <v>21.7</v>
      </c>
      <c r="C4042" s="691">
        <v>22.2</v>
      </c>
      <c r="D4042" s="691">
        <v>22.3</v>
      </c>
      <c r="E4042" s="691">
        <v>22.5</v>
      </c>
      <c r="F4042" s="691">
        <v>22.5</v>
      </c>
      <c r="G4042" s="691">
        <v>22.6</v>
      </c>
      <c r="H4042" s="692" t="s">
        <v>4060</v>
      </c>
      <c r="I4042" s="692" t="s">
        <v>4060</v>
      </c>
      <c r="J4042" s="692" t="s">
        <v>4060</v>
      </c>
      <c r="K4042" s="692" t="s">
        <v>4060</v>
      </c>
    </row>
    <row r="4043" spans="1:11">
      <c r="A4043" s="688" t="s">
        <v>2343</v>
      </c>
      <c r="B4043" s="690" t="s">
        <v>4060</v>
      </c>
      <c r="C4043" s="690" t="s">
        <v>4060</v>
      </c>
      <c r="D4043" s="690" t="s">
        <v>4060</v>
      </c>
      <c r="E4043" s="690" t="s">
        <v>4060</v>
      </c>
      <c r="F4043" s="690" t="s">
        <v>4060</v>
      </c>
      <c r="G4043" s="690" t="s">
        <v>4060</v>
      </c>
      <c r="H4043" s="690" t="s">
        <v>4060</v>
      </c>
      <c r="I4043" s="690" t="s">
        <v>4060</v>
      </c>
      <c r="J4043" s="690" t="s">
        <v>4060</v>
      </c>
      <c r="K4043" s="690" t="s">
        <v>4060</v>
      </c>
    </row>
    <row r="4044" spans="1:11">
      <c r="A4044" s="688" t="s">
        <v>4071</v>
      </c>
      <c r="B4044" s="692" t="s">
        <v>4060</v>
      </c>
      <c r="C4044" s="692" t="s">
        <v>4060</v>
      </c>
      <c r="D4044" s="692" t="s">
        <v>4060</v>
      </c>
      <c r="E4044" s="692" t="s">
        <v>4060</v>
      </c>
      <c r="F4044" s="692" t="s">
        <v>4060</v>
      </c>
      <c r="G4044" s="692" t="s">
        <v>4060</v>
      </c>
      <c r="H4044" s="692" t="s">
        <v>4060</v>
      </c>
      <c r="I4044" s="692" t="s">
        <v>4060</v>
      </c>
      <c r="J4044" s="692" t="s">
        <v>4060</v>
      </c>
      <c r="K4044" s="692" t="s">
        <v>4060</v>
      </c>
    </row>
    <row r="4045" spans="1:11">
      <c r="A4045" s="688" t="s">
        <v>2489</v>
      </c>
      <c r="B4045" s="690" t="s">
        <v>4060</v>
      </c>
      <c r="C4045" s="690" t="s">
        <v>4060</v>
      </c>
      <c r="D4045" s="689">
        <v>22.9</v>
      </c>
      <c r="E4045" s="689">
        <v>22.8</v>
      </c>
      <c r="F4045" s="689">
        <v>23.2</v>
      </c>
      <c r="G4045" s="689">
        <v>23.9</v>
      </c>
      <c r="H4045" s="689">
        <v>23.8</v>
      </c>
      <c r="I4045" s="690" t="s">
        <v>4060</v>
      </c>
      <c r="J4045" s="690" t="s">
        <v>4060</v>
      </c>
      <c r="K4045" s="690" t="s">
        <v>4060</v>
      </c>
    </row>
    <row r="4046" spans="1:11">
      <c r="A4046" s="688" t="s">
        <v>2490</v>
      </c>
      <c r="B4046" s="691">
        <v>22.6</v>
      </c>
      <c r="C4046" s="691">
        <v>22.5</v>
      </c>
      <c r="D4046" s="691">
        <v>23.2</v>
      </c>
      <c r="E4046" s="692" t="s">
        <v>4060</v>
      </c>
      <c r="F4046" s="691">
        <v>23.3</v>
      </c>
      <c r="G4046" s="691">
        <v>23.6</v>
      </c>
      <c r="H4046" s="691">
        <v>24.4</v>
      </c>
      <c r="I4046" s="692" t="s">
        <v>4060</v>
      </c>
      <c r="J4046" s="692" t="s">
        <v>4060</v>
      </c>
      <c r="K4046" s="692" t="s">
        <v>4060</v>
      </c>
    </row>
    <row r="4048" spans="1:11">
      <c r="A4048" s="683" t="s">
        <v>4233</v>
      </c>
    </row>
    <row r="4049" spans="1:11">
      <c r="A4049" s="683" t="s">
        <v>4060</v>
      </c>
      <c r="B4049" s="682" t="s">
        <v>4234</v>
      </c>
    </row>
    <row r="4051" spans="1:11">
      <c r="A4051" s="682" t="s">
        <v>4248</v>
      </c>
    </row>
    <row r="4052" spans="1:11">
      <c r="A4052" s="682" t="s">
        <v>4210</v>
      </c>
      <c r="B4052" s="683" t="s">
        <v>4211</v>
      </c>
    </row>
    <row r="4053" spans="1:11">
      <c r="A4053" s="682" t="s">
        <v>4212</v>
      </c>
      <c r="B4053" s="682" t="s">
        <v>4213</v>
      </c>
    </row>
    <row r="4055" spans="1:11">
      <c r="A4055" s="683" t="s">
        <v>4214</v>
      </c>
      <c r="C4055" s="682" t="s">
        <v>4215</v>
      </c>
    </row>
    <row r="4056" spans="1:11">
      <c r="A4056" s="683" t="s">
        <v>4216</v>
      </c>
      <c r="C4056" s="682" t="s">
        <v>2967</v>
      </c>
    </row>
    <row r="4057" spans="1:11">
      <c r="A4057" s="683" t="s">
        <v>3893</v>
      </c>
      <c r="C4057" s="682" t="s">
        <v>4217</v>
      </c>
    </row>
    <row r="4058" spans="1:11">
      <c r="A4058" s="683" t="s">
        <v>4218</v>
      </c>
      <c r="C4058" s="682" t="s">
        <v>4292</v>
      </c>
    </row>
    <row r="4060" spans="1:11">
      <c r="A4060" s="684" t="s">
        <v>4220</v>
      </c>
      <c r="B4060" s="685" t="s">
        <v>4221</v>
      </c>
      <c r="C4060" s="685" t="s">
        <v>4222</v>
      </c>
      <c r="D4060" s="685" t="s">
        <v>4223</v>
      </c>
      <c r="E4060" s="685" t="s">
        <v>4224</v>
      </c>
      <c r="F4060" s="685" t="s">
        <v>4225</v>
      </c>
      <c r="G4060" s="685" t="s">
        <v>4226</v>
      </c>
      <c r="H4060" s="685" t="s">
        <v>4227</v>
      </c>
      <c r="I4060" s="685" t="s">
        <v>4228</v>
      </c>
      <c r="J4060" s="685" t="s">
        <v>4229</v>
      </c>
      <c r="K4060" s="685" t="s">
        <v>4230</v>
      </c>
    </row>
    <row r="4061" spans="1:11">
      <c r="A4061" s="686" t="s">
        <v>4231</v>
      </c>
      <c r="B4061" s="687" t="s">
        <v>4232</v>
      </c>
      <c r="C4061" s="687" t="s">
        <v>4232</v>
      </c>
      <c r="D4061" s="687" t="s">
        <v>4232</v>
      </c>
      <c r="E4061" s="687" t="s">
        <v>4232</v>
      </c>
      <c r="F4061" s="687" t="s">
        <v>4232</v>
      </c>
      <c r="G4061" s="687" t="s">
        <v>4232</v>
      </c>
      <c r="H4061" s="687" t="s">
        <v>4232</v>
      </c>
      <c r="I4061" s="687" t="s">
        <v>4232</v>
      </c>
      <c r="J4061" s="687" t="s">
        <v>4232</v>
      </c>
      <c r="K4061" s="687" t="s">
        <v>4232</v>
      </c>
    </row>
    <row r="4062" spans="1:11">
      <c r="A4062" s="688" t="s">
        <v>4064</v>
      </c>
      <c r="B4062" s="691">
        <v>26.2</v>
      </c>
      <c r="C4062" s="691">
        <v>26.2</v>
      </c>
      <c r="D4062" s="691">
        <v>26.1</v>
      </c>
      <c r="E4062" s="691">
        <v>26.2</v>
      </c>
      <c r="F4062" s="691">
        <v>26.2</v>
      </c>
      <c r="G4062" s="691">
        <v>26.3</v>
      </c>
      <c r="H4062" s="691">
        <v>26.5</v>
      </c>
      <c r="I4062" s="691">
        <v>25.7</v>
      </c>
      <c r="J4062" s="691">
        <v>25.5</v>
      </c>
      <c r="K4062" s="615">
        <v>26</v>
      </c>
    </row>
    <row r="4063" spans="1:11">
      <c r="A4063" s="688" t="s">
        <v>4065</v>
      </c>
      <c r="B4063" s="689">
        <v>26.2</v>
      </c>
      <c r="C4063" s="689">
        <v>26.5</v>
      </c>
      <c r="D4063" s="689">
        <v>26.2</v>
      </c>
      <c r="E4063" s="689">
        <v>26.5</v>
      </c>
      <c r="F4063" s="689">
        <v>26.4</v>
      </c>
      <c r="G4063" s="689">
        <v>26.5</v>
      </c>
      <c r="H4063" s="690" t="s">
        <v>4060</v>
      </c>
      <c r="I4063" s="690" t="s">
        <v>4060</v>
      </c>
      <c r="J4063" s="690" t="s">
        <v>4060</v>
      </c>
      <c r="K4063" s="690" t="s">
        <v>4060</v>
      </c>
    </row>
    <row r="4064" spans="1:11">
      <c r="A4064" s="688" t="s">
        <v>4063</v>
      </c>
      <c r="B4064" s="691">
        <v>26.2</v>
      </c>
      <c r="C4064" s="691">
        <v>26.5</v>
      </c>
      <c r="D4064" s="691">
        <v>26.2</v>
      </c>
      <c r="E4064" s="691">
        <v>26.5</v>
      </c>
      <c r="F4064" s="691">
        <v>26.5</v>
      </c>
      <c r="G4064" s="691">
        <v>26.5</v>
      </c>
      <c r="H4064" s="692" t="s">
        <v>4060</v>
      </c>
      <c r="I4064" s="692" t="s">
        <v>4060</v>
      </c>
      <c r="J4064" s="692" t="s">
        <v>4060</v>
      </c>
      <c r="K4064" s="692" t="s">
        <v>4060</v>
      </c>
    </row>
    <row r="4065" spans="1:11">
      <c r="A4065" s="688" t="s">
        <v>4069</v>
      </c>
      <c r="B4065" s="690" t="s">
        <v>4060</v>
      </c>
      <c r="C4065" s="693">
        <v>27</v>
      </c>
      <c r="D4065" s="689">
        <v>26.7</v>
      </c>
      <c r="E4065" s="693">
        <v>27</v>
      </c>
      <c r="F4065" s="693">
        <v>27</v>
      </c>
      <c r="G4065" s="689">
        <v>27.1</v>
      </c>
      <c r="H4065" s="689">
        <v>27.3</v>
      </c>
      <c r="I4065" s="689">
        <v>26.6</v>
      </c>
      <c r="J4065" s="689">
        <v>26.6</v>
      </c>
      <c r="K4065" s="689">
        <v>26.8</v>
      </c>
    </row>
    <row r="4066" spans="1:11">
      <c r="A4066" s="688" t="s">
        <v>4068</v>
      </c>
      <c r="B4066" s="615">
        <v>27</v>
      </c>
      <c r="C4066" s="692" t="s">
        <v>4060</v>
      </c>
      <c r="D4066" s="692" t="s">
        <v>4060</v>
      </c>
      <c r="E4066" s="692" t="s">
        <v>4060</v>
      </c>
      <c r="F4066" s="692" t="s">
        <v>4060</v>
      </c>
      <c r="G4066" s="692" t="s">
        <v>4060</v>
      </c>
      <c r="H4066" s="692" t="s">
        <v>4060</v>
      </c>
      <c r="I4066" s="692" t="s">
        <v>4060</v>
      </c>
      <c r="J4066" s="692" t="s">
        <v>4060</v>
      </c>
      <c r="K4066" s="692" t="s">
        <v>4060</v>
      </c>
    </row>
    <row r="4067" spans="1:11">
      <c r="A4067" s="688" t="s">
        <v>0</v>
      </c>
      <c r="B4067" s="689">
        <v>26.3</v>
      </c>
      <c r="C4067" s="689">
        <v>26.6</v>
      </c>
      <c r="D4067" s="689">
        <v>26.3</v>
      </c>
      <c r="E4067" s="689">
        <v>26.6</v>
      </c>
      <c r="F4067" s="689">
        <v>26.7</v>
      </c>
      <c r="G4067" s="689">
        <v>26.8</v>
      </c>
      <c r="H4067" s="689">
        <v>27.1</v>
      </c>
      <c r="I4067" s="693">
        <v>26</v>
      </c>
      <c r="J4067" s="689">
        <v>26.9</v>
      </c>
      <c r="K4067" s="689">
        <v>26.9</v>
      </c>
    </row>
    <row r="4068" spans="1:11">
      <c r="A4068" s="688" t="s">
        <v>1</v>
      </c>
      <c r="B4068" s="691">
        <v>22.1</v>
      </c>
      <c r="C4068" s="691">
        <v>21.8</v>
      </c>
      <c r="D4068" s="691">
        <v>21.7</v>
      </c>
      <c r="E4068" s="691">
        <v>21.9</v>
      </c>
      <c r="F4068" s="691">
        <v>21.9</v>
      </c>
      <c r="G4068" s="691">
        <v>21.9</v>
      </c>
      <c r="H4068" s="615">
        <v>22</v>
      </c>
      <c r="I4068" s="691">
        <v>20.7</v>
      </c>
      <c r="J4068" s="691">
        <v>19.100000000000001</v>
      </c>
      <c r="K4068" s="691">
        <v>21.2</v>
      </c>
    </row>
    <row r="4069" spans="1:11">
      <c r="A4069" s="688" t="s">
        <v>2240</v>
      </c>
      <c r="B4069" s="693">
        <v>24</v>
      </c>
      <c r="C4069" s="689">
        <v>24.3</v>
      </c>
      <c r="D4069" s="689">
        <v>24.1</v>
      </c>
      <c r="E4069" s="689">
        <v>24.5</v>
      </c>
      <c r="F4069" s="689">
        <v>24.4</v>
      </c>
      <c r="G4069" s="689">
        <v>24.5</v>
      </c>
      <c r="H4069" s="689">
        <v>24.7</v>
      </c>
      <c r="I4069" s="689">
        <v>23.7</v>
      </c>
      <c r="J4069" s="689">
        <v>22.9</v>
      </c>
      <c r="K4069" s="689">
        <v>24.5</v>
      </c>
    </row>
    <row r="4070" spans="1:11">
      <c r="A4070" s="688" t="s">
        <v>2</v>
      </c>
      <c r="B4070" s="691">
        <v>25.6</v>
      </c>
      <c r="C4070" s="691">
        <v>25.9</v>
      </c>
      <c r="D4070" s="691">
        <v>25.9</v>
      </c>
      <c r="E4070" s="615">
        <v>26</v>
      </c>
      <c r="F4070" s="691">
        <v>26.2</v>
      </c>
      <c r="G4070" s="615">
        <v>26</v>
      </c>
      <c r="H4070" s="691">
        <v>26.3</v>
      </c>
      <c r="I4070" s="691">
        <v>26.5</v>
      </c>
      <c r="J4070" s="691">
        <v>26.3</v>
      </c>
      <c r="K4070" s="691">
        <v>26.2</v>
      </c>
    </row>
    <row r="4071" spans="1:11">
      <c r="A4071" s="688" t="s">
        <v>3</v>
      </c>
      <c r="B4071" s="693">
        <v>26</v>
      </c>
      <c r="C4071" s="689">
        <v>26.2</v>
      </c>
      <c r="D4071" s="689">
        <v>25.9</v>
      </c>
      <c r="E4071" s="689">
        <v>26.2</v>
      </c>
      <c r="F4071" s="689">
        <v>26.2</v>
      </c>
      <c r="G4071" s="689">
        <v>26.1</v>
      </c>
      <c r="H4071" s="689">
        <v>26.4</v>
      </c>
      <c r="I4071" s="689">
        <v>26.1</v>
      </c>
      <c r="J4071" s="689">
        <v>25.9</v>
      </c>
      <c r="K4071" s="689">
        <v>25.7</v>
      </c>
    </row>
    <row r="4072" spans="1:11">
      <c r="A4072" s="688" t="s">
        <v>4061</v>
      </c>
      <c r="B4072" s="615">
        <v>26</v>
      </c>
      <c r="C4072" s="691">
        <v>26.2</v>
      </c>
      <c r="D4072" s="691">
        <v>25.9</v>
      </c>
      <c r="E4072" s="691">
        <v>26.2</v>
      </c>
      <c r="F4072" s="691">
        <v>26.2</v>
      </c>
      <c r="G4072" s="691">
        <v>26.1</v>
      </c>
      <c r="H4072" s="691">
        <v>26.4</v>
      </c>
      <c r="I4072" s="691">
        <v>26.1</v>
      </c>
      <c r="J4072" s="691">
        <v>25.9</v>
      </c>
      <c r="K4072" s="691">
        <v>25.7</v>
      </c>
    </row>
    <row r="4073" spans="1:11">
      <c r="A4073" s="688" t="s">
        <v>4</v>
      </c>
      <c r="B4073" s="689">
        <v>24.2</v>
      </c>
      <c r="C4073" s="693">
        <v>24</v>
      </c>
      <c r="D4073" s="689">
        <v>24.3</v>
      </c>
      <c r="E4073" s="689">
        <v>24.5</v>
      </c>
      <c r="F4073" s="689">
        <v>24.5</v>
      </c>
      <c r="G4073" s="689">
        <v>24.5</v>
      </c>
      <c r="H4073" s="693">
        <v>25</v>
      </c>
      <c r="I4073" s="689">
        <v>24.9</v>
      </c>
      <c r="J4073" s="689">
        <v>23.5</v>
      </c>
      <c r="K4073" s="689">
        <v>24.4</v>
      </c>
    </row>
    <row r="4074" spans="1:11">
      <c r="A4074" s="688" t="s">
        <v>8</v>
      </c>
      <c r="B4074" s="691">
        <v>26.3</v>
      </c>
      <c r="C4074" s="691">
        <v>26.5</v>
      </c>
      <c r="D4074" s="691">
        <v>26.5</v>
      </c>
      <c r="E4074" s="691">
        <v>26.6</v>
      </c>
      <c r="F4074" s="615">
        <v>27</v>
      </c>
      <c r="G4074" s="691">
        <v>27.1</v>
      </c>
      <c r="H4074" s="691">
        <v>27.3</v>
      </c>
      <c r="I4074" s="691">
        <v>27.3</v>
      </c>
      <c r="J4074" s="691">
        <v>27.1</v>
      </c>
      <c r="K4074" s="691">
        <v>27.2</v>
      </c>
    </row>
    <row r="4075" spans="1:11">
      <c r="A4075" s="688" t="s">
        <v>7</v>
      </c>
      <c r="B4075" s="689">
        <v>26.8</v>
      </c>
      <c r="C4075" s="689">
        <v>26.4</v>
      </c>
      <c r="D4075" s="689">
        <v>26.2</v>
      </c>
      <c r="E4075" s="689">
        <v>26.5</v>
      </c>
      <c r="F4075" s="689">
        <v>26.4</v>
      </c>
      <c r="G4075" s="689">
        <v>26.8</v>
      </c>
      <c r="H4075" s="689">
        <v>26.7</v>
      </c>
      <c r="I4075" s="689">
        <v>26.4</v>
      </c>
      <c r="J4075" s="689">
        <v>25.6</v>
      </c>
      <c r="K4075" s="689">
        <v>26.1</v>
      </c>
    </row>
    <row r="4076" spans="1:11">
      <c r="A4076" s="688" t="s">
        <v>27</v>
      </c>
      <c r="B4076" s="691">
        <v>28.2</v>
      </c>
      <c r="C4076" s="691">
        <v>27.9</v>
      </c>
      <c r="D4076" s="691">
        <v>27.6</v>
      </c>
      <c r="E4076" s="615">
        <v>28</v>
      </c>
      <c r="F4076" s="691">
        <v>27.9</v>
      </c>
      <c r="G4076" s="615">
        <v>28</v>
      </c>
      <c r="H4076" s="691">
        <v>28.4</v>
      </c>
      <c r="I4076" s="691">
        <v>27.1</v>
      </c>
      <c r="J4076" s="691">
        <v>27.9</v>
      </c>
      <c r="K4076" s="691">
        <v>27.9</v>
      </c>
    </row>
    <row r="4077" spans="1:11">
      <c r="A4077" s="688" t="s">
        <v>6</v>
      </c>
      <c r="B4077" s="689">
        <v>28.2</v>
      </c>
      <c r="C4077" s="689">
        <v>28.1</v>
      </c>
      <c r="D4077" s="689">
        <v>27.8</v>
      </c>
      <c r="E4077" s="693">
        <v>28</v>
      </c>
      <c r="F4077" s="689">
        <v>28.1</v>
      </c>
      <c r="G4077" s="689">
        <v>28.2</v>
      </c>
      <c r="H4077" s="689">
        <v>28.3</v>
      </c>
      <c r="I4077" s="689">
        <v>27.7</v>
      </c>
      <c r="J4077" s="689">
        <v>27.8</v>
      </c>
      <c r="K4077" s="689">
        <v>27.9</v>
      </c>
    </row>
    <row r="4078" spans="1:11">
      <c r="A4078" s="688" t="s">
        <v>4058</v>
      </c>
      <c r="B4078" s="692" t="s">
        <v>4060</v>
      </c>
      <c r="C4078" s="692" t="s">
        <v>4060</v>
      </c>
      <c r="D4078" s="692" t="s">
        <v>4060</v>
      </c>
      <c r="E4078" s="692" t="s">
        <v>4060</v>
      </c>
      <c r="F4078" s="692" t="s">
        <v>4060</v>
      </c>
      <c r="G4078" s="692" t="s">
        <v>4060</v>
      </c>
      <c r="H4078" s="692" t="s">
        <v>4060</v>
      </c>
      <c r="I4078" s="692" t="s">
        <v>4060</v>
      </c>
      <c r="J4078" s="692" t="s">
        <v>4060</v>
      </c>
      <c r="K4078" s="692" t="s">
        <v>4060</v>
      </c>
    </row>
    <row r="4079" spans="1:11">
      <c r="A4079" s="688" t="s">
        <v>11</v>
      </c>
      <c r="B4079" s="689">
        <v>23.7</v>
      </c>
      <c r="C4079" s="689">
        <v>23.6</v>
      </c>
      <c r="D4079" s="689">
        <v>23.2</v>
      </c>
      <c r="E4079" s="689">
        <v>23.7</v>
      </c>
      <c r="F4079" s="689">
        <v>23.5</v>
      </c>
      <c r="G4079" s="689">
        <v>23.8</v>
      </c>
      <c r="H4079" s="693">
        <v>24</v>
      </c>
      <c r="I4079" s="689">
        <v>23.3</v>
      </c>
      <c r="J4079" s="689">
        <v>22.5</v>
      </c>
      <c r="K4079" s="689">
        <v>23.4</v>
      </c>
    </row>
    <row r="4080" spans="1:11">
      <c r="A4080" s="688" t="s">
        <v>10</v>
      </c>
      <c r="B4080" s="691">
        <v>27.8</v>
      </c>
      <c r="C4080" s="691">
        <v>27.7</v>
      </c>
      <c r="D4080" s="691">
        <v>27.3</v>
      </c>
      <c r="E4080" s="691">
        <v>27.8</v>
      </c>
      <c r="F4080" s="691">
        <v>27.6</v>
      </c>
      <c r="G4080" s="615">
        <v>28</v>
      </c>
      <c r="H4080" s="691">
        <v>28.1</v>
      </c>
      <c r="I4080" s="615">
        <v>27</v>
      </c>
      <c r="J4080" s="691">
        <v>27.4</v>
      </c>
      <c r="K4080" s="691">
        <v>27.5</v>
      </c>
    </row>
    <row r="4081" spans="1:11">
      <c r="A4081" s="688" t="s">
        <v>30</v>
      </c>
      <c r="B4081" s="689">
        <v>27.2</v>
      </c>
      <c r="C4081" s="693">
        <v>27</v>
      </c>
      <c r="D4081" s="689">
        <v>26.7</v>
      </c>
      <c r="E4081" s="689">
        <v>27.5</v>
      </c>
      <c r="F4081" s="689">
        <v>27.1</v>
      </c>
      <c r="G4081" s="689">
        <v>27.6</v>
      </c>
      <c r="H4081" s="689">
        <v>27.3</v>
      </c>
      <c r="I4081" s="689">
        <v>27.4</v>
      </c>
      <c r="J4081" s="689">
        <v>26.8</v>
      </c>
      <c r="K4081" s="693">
        <v>27</v>
      </c>
    </row>
    <row r="4082" spans="1:11">
      <c r="A4082" s="688" t="s">
        <v>12</v>
      </c>
      <c r="B4082" s="691">
        <v>22.4</v>
      </c>
      <c r="C4082" s="691">
        <v>22.4</v>
      </c>
      <c r="D4082" s="691">
        <v>22.6</v>
      </c>
      <c r="E4082" s="691">
        <v>22.6</v>
      </c>
      <c r="F4082" s="691">
        <v>22.6</v>
      </c>
      <c r="G4082" s="691">
        <v>22.7</v>
      </c>
      <c r="H4082" s="691">
        <v>23.1</v>
      </c>
      <c r="I4082" s="691">
        <v>22.8</v>
      </c>
      <c r="J4082" s="691">
        <v>21.1</v>
      </c>
      <c r="K4082" s="691">
        <v>22.3</v>
      </c>
    </row>
    <row r="4083" spans="1:11">
      <c r="A4083" s="688" t="s">
        <v>14</v>
      </c>
      <c r="B4083" s="689">
        <v>22.7</v>
      </c>
      <c r="C4083" s="689">
        <v>22.8</v>
      </c>
      <c r="D4083" s="689">
        <v>22.5</v>
      </c>
      <c r="E4083" s="689">
        <v>22.7</v>
      </c>
      <c r="F4083" s="689">
        <v>23.1</v>
      </c>
      <c r="G4083" s="689">
        <v>23.2</v>
      </c>
      <c r="H4083" s="689">
        <v>23.5</v>
      </c>
      <c r="I4083" s="689">
        <v>22.5</v>
      </c>
      <c r="J4083" s="689">
        <v>21.8</v>
      </c>
      <c r="K4083" s="689">
        <v>22.9</v>
      </c>
    </row>
    <row r="4084" spans="1:11">
      <c r="A4084" s="688" t="s">
        <v>15</v>
      </c>
      <c r="B4084" s="691">
        <v>27.3</v>
      </c>
      <c r="C4084" s="691">
        <v>26.9</v>
      </c>
      <c r="D4084" s="691">
        <v>26.9</v>
      </c>
      <c r="E4084" s="691">
        <v>27.2</v>
      </c>
      <c r="F4084" s="691">
        <v>26.8</v>
      </c>
      <c r="G4084" s="615">
        <v>27</v>
      </c>
      <c r="H4084" s="691">
        <v>27.3</v>
      </c>
      <c r="I4084" s="691">
        <v>26.9</v>
      </c>
      <c r="J4084" s="691">
        <v>27.3</v>
      </c>
      <c r="K4084" s="691">
        <v>27.6</v>
      </c>
    </row>
    <row r="4085" spans="1:11">
      <c r="A4085" s="688" t="s">
        <v>29</v>
      </c>
      <c r="B4085" s="689">
        <v>22.4</v>
      </c>
      <c r="C4085" s="689">
        <v>22.4</v>
      </c>
      <c r="D4085" s="689">
        <v>22.1</v>
      </c>
      <c r="E4085" s="689">
        <v>22.4</v>
      </c>
      <c r="F4085" s="689">
        <v>22.2</v>
      </c>
      <c r="G4085" s="689">
        <v>22.2</v>
      </c>
      <c r="H4085" s="689">
        <v>22.4</v>
      </c>
      <c r="I4085" s="689">
        <v>21.7</v>
      </c>
      <c r="J4085" s="689">
        <v>20.7</v>
      </c>
      <c r="K4085" s="693">
        <v>22</v>
      </c>
    </row>
    <row r="4086" spans="1:11">
      <c r="A4086" s="688" t="s">
        <v>16</v>
      </c>
      <c r="B4086" s="691">
        <v>26.9</v>
      </c>
      <c r="C4086" s="691">
        <v>26.8</v>
      </c>
      <c r="D4086" s="691">
        <v>26.8</v>
      </c>
      <c r="E4086" s="691">
        <v>27.6</v>
      </c>
      <c r="F4086" s="691">
        <v>27.2</v>
      </c>
      <c r="G4086" s="691">
        <v>27.2</v>
      </c>
      <c r="H4086" s="691">
        <v>27.5</v>
      </c>
      <c r="I4086" s="691">
        <v>26.9</v>
      </c>
      <c r="J4086" s="615">
        <v>27</v>
      </c>
      <c r="K4086" s="691">
        <v>27.1</v>
      </c>
    </row>
    <row r="4087" spans="1:11">
      <c r="A4087" s="688" t="s">
        <v>17</v>
      </c>
      <c r="B4087" s="689">
        <v>26.5</v>
      </c>
      <c r="C4087" s="689">
        <v>26.7</v>
      </c>
      <c r="D4087" s="689">
        <v>26.4</v>
      </c>
      <c r="E4087" s="689">
        <v>26.5</v>
      </c>
      <c r="F4087" s="689">
        <v>26.7</v>
      </c>
      <c r="G4087" s="689">
        <v>26.7</v>
      </c>
      <c r="H4087" s="693">
        <v>27</v>
      </c>
      <c r="I4087" s="689">
        <v>26.3</v>
      </c>
      <c r="J4087" s="689">
        <v>26.3</v>
      </c>
      <c r="K4087" s="689">
        <v>26.6</v>
      </c>
    </row>
    <row r="4088" spans="1:11">
      <c r="A4088" s="688" t="s">
        <v>19</v>
      </c>
      <c r="B4088" s="691">
        <v>26.6</v>
      </c>
      <c r="C4088" s="691">
        <v>26.6</v>
      </c>
      <c r="D4088" s="691">
        <v>26.4</v>
      </c>
      <c r="E4088" s="691">
        <v>26.7</v>
      </c>
      <c r="F4088" s="691">
        <v>26.7</v>
      </c>
      <c r="G4088" s="691">
        <v>26.8</v>
      </c>
      <c r="H4088" s="615">
        <v>27</v>
      </c>
      <c r="I4088" s="691">
        <v>26.4</v>
      </c>
      <c r="J4088" s="691">
        <v>26.4</v>
      </c>
      <c r="K4088" s="691">
        <v>26.4</v>
      </c>
    </row>
    <row r="4089" spans="1:11">
      <c r="A4089" s="688" t="s">
        <v>20</v>
      </c>
      <c r="B4089" s="689">
        <v>23.8</v>
      </c>
      <c r="C4089" s="689">
        <v>24.1</v>
      </c>
      <c r="D4089" s="689">
        <v>23.9</v>
      </c>
      <c r="E4089" s="689">
        <v>24.2</v>
      </c>
      <c r="F4089" s="689">
        <v>24.1</v>
      </c>
      <c r="G4089" s="693">
        <v>24</v>
      </c>
      <c r="H4089" s="689">
        <v>24.3</v>
      </c>
      <c r="I4089" s="689">
        <v>22.9</v>
      </c>
      <c r="J4089" s="689">
        <v>22.1</v>
      </c>
      <c r="K4089" s="689">
        <v>23.6</v>
      </c>
    </row>
    <row r="4090" spans="1:11">
      <c r="A4090" s="688" t="s">
        <v>21</v>
      </c>
      <c r="B4090" s="691">
        <v>26.5</v>
      </c>
      <c r="C4090" s="691">
        <v>26.9</v>
      </c>
      <c r="D4090" s="691">
        <v>26.8</v>
      </c>
      <c r="E4090" s="691">
        <v>26.8</v>
      </c>
      <c r="F4090" s="691">
        <v>27.1</v>
      </c>
      <c r="G4090" s="615">
        <v>27</v>
      </c>
      <c r="H4090" s="691">
        <v>27.3</v>
      </c>
      <c r="I4090" s="691">
        <v>26.7</v>
      </c>
      <c r="J4090" s="691">
        <v>26.8</v>
      </c>
      <c r="K4090" s="615">
        <v>27</v>
      </c>
    </row>
    <row r="4091" spans="1:11">
      <c r="A4091" s="688" t="s">
        <v>22</v>
      </c>
      <c r="B4091" s="689">
        <v>22.4</v>
      </c>
      <c r="C4091" s="689">
        <v>22.2</v>
      </c>
      <c r="D4091" s="689">
        <v>22.1</v>
      </c>
      <c r="E4091" s="689">
        <v>22.3</v>
      </c>
      <c r="F4091" s="689">
        <v>22.3</v>
      </c>
      <c r="G4091" s="689">
        <v>22.3</v>
      </c>
      <c r="H4091" s="689">
        <v>22.5</v>
      </c>
      <c r="I4091" s="689">
        <v>21.1</v>
      </c>
      <c r="J4091" s="693">
        <v>20</v>
      </c>
      <c r="K4091" s="693">
        <v>22</v>
      </c>
    </row>
    <row r="4092" spans="1:11">
      <c r="A4092" s="688" t="s">
        <v>26</v>
      </c>
      <c r="B4092" s="691">
        <v>25.9</v>
      </c>
      <c r="C4092" s="615">
        <v>26</v>
      </c>
      <c r="D4092" s="691">
        <v>25.9</v>
      </c>
      <c r="E4092" s="691">
        <v>26.2</v>
      </c>
      <c r="F4092" s="691">
        <v>26.1</v>
      </c>
      <c r="G4092" s="691">
        <v>26.3</v>
      </c>
      <c r="H4092" s="691">
        <v>26.4</v>
      </c>
      <c r="I4092" s="691">
        <v>25.6</v>
      </c>
      <c r="J4092" s="691">
        <v>25.7</v>
      </c>
      <c r="K4092" s="691">
        <v>26.3</v>
      </c>
    </row>
    <row r="4093" spans="1:11">
      <c r="A4093" s="688" t="s">
        <v>25</v>
      </c>
      <c r="B4093" s="693">
        <v>23</v>
      </c>
      <c r="C4093" s="689">
        <v>23.3</v>
      </c>
      <c r="D4093" s="689">
        <v>23.1</v>
      </c>
      <c r="E4093" s="689">
        <v>23.5</v>
      </c>
      <c r="F4093" s="689">
        <v>23.5</v>
      </c>
      <c r="G4093" s="689">
        <v>23.6</v>
      </c>
      <c r="H4093" s="693">
        <v>24</v>
      </c>
      <c r="I4093" s="689">
        <v>23.2</v>
      </c>
      <c r="J4093" s="689">
        <v>21.2</v>
      </c>
      <c r="K4093" s="689">
        <v>23.2</v>
      </c>
    </row>
    <row r="4094" spans="1:11">
      <c r="A4094" s="688" t="s">
        <v>5</v>
      </c>
      <c r="B4094" s="691">
        <v>26.7</v>
      </c>
      <c r="C4094" s="691">
        <v>26.5</v>
      </c>
      <c r="D4094" s="691">
        <v>26.7</v>
      </c>
      <c r="E4094" s="691">
        <v>26.7</v>
      </c>
      <c r="F4094" s="691">
        <v>26.9</v>
      </c>
      <c r="G4094" s="691">
        <v>26.9</v>
      </c>
      <c r="H4094" s="691">
        <v>27.2</v>
      </c>
      <c r="I4094" s="691">
        <v>27.2</v>
      </c>
      <c r="J4094" s="615">
        <v>27</v>
      </c>
      <c r="K4094" s="691">
        <v>26.5</v>
      </c>
    </row>
    <row r="4095" spans="1:11">
      <c r="A4095" s="688" t="s">
        <v>23</v>
      </c>
      <c r="B4095" s="693">
        <v>27</v>
      </c>
      <c r="C4095" s="689">
        <v>27.1</v>
      </c>
      <c r="D4095" s="689">
        <v>27.1</v>
      </c>
      <c r="E4095" s="689">
        <v>27.2</v>
      </c>
      <c r="F4095" s="689">
        <v>27.3</v>
      </c>
      <c r="G4095" s="689">
        <v>27.4</v>
      </c>
      <c r="H4095" s="689">
        <v>27.8</v>
      </c>
      <c r="I4095" s="689">
        <v>27.2</v>
      </c>
      <c r="J4095" s="689">
        <v>27.8</v>
      </c>
      <c r="K4095" s="689">
        <v>27.8</v>
      </c>
    </row>
    <row r="4096" spans="1:11">
      <c r="A4096" s="688" t="s">
        <v>4067</v>
      </c>
      <c r="B4096" s="691">
        <v>26.2</v>
      </c>
      <c r="C4096" s="691">
        <v>26.5</v>
      </c>
      <c r="D4096" s="691">
        <v>26.2</v>
      </c>
      <c r="E4096" s="691">
        <v>26.5</v>
      </c>
      <c r="F4096" s="691">
        <v>26.4</v>
      </c>
      <c r="G4096" s="691">
        <v>26.5</v>
      </c>
      <c r="H4096" s="692" t="s">
        <v>4060</v>
      </c>
      <c r="I4096" s="692" t="s">
        <v>4060</v>
      </c>
      <c r="J4096" s="692" t="s">
        <v>4060</v>
      </c>
      <c r="K4096" s="692" t="s">
        <v>4060</v>
      </c>
    </row>
    <row r="4097" spans="1:11">
      <c r="A4097" s="688" t="s">
        <v>4066</v>
      </c>
      <c r="B4097" s="689">
        <v>26.2</v>
      </c>
      <c r="C4097" s="689">
        <v>26.5</v>
      </c>
      <c r="D4097" s="689">
        <v>26.2</v>
      </c>
      <c r="E4097" s="689">
        <v>26.5</v>
      </c>
      <c r="F4097" s="689">
        <v>26.5</v>
      </c>
      <c r="G4097" s="689">
        <v>26.5</v>
      </c>
      <c r="H4097" s="690" t="s">
        <v>4060</v>
      </c>
      <c r="I4097" s="690" t="s">
        <v>4060</v>
      </c>
      <c r="J4097" s="690" t="s">
        <v>4060</v>
      </c>
      <c r="K4097" s="690" t="s">
        <v>4060</v>
      </c>
    </row>
    <row r="4098" spans="1:11">
      <c r="A4098" s="688" t="s">
        <v>4062</v>
      </c>
      <c r="B4098" s="691">
        <v>27.5</v>
      </c>
      <c r="C4098" s="691">
        <v>27.7</v>
      </c>
      <c r="D4098" s="691">
        <v>27.6</v>
      </c>
      <c r="E4098" s="691">
        <v>27.9</v>
      </c>
      <c r="F4098" s="691">
        <v>27.9</v>
      </c>
      <c r="G4098" s="691">
        <v>28.1</v>
      </c>
      <c r="H4098" s="691">
        <v>28.2</v>
      </c>
      <c r="I4098" s="691">
        <v>27.9</v>
      </c>
      <c r="J4098" s="691">
        <v>28.2</v>
      </c>
      <c r="K4098" s="691">
        <v>27.9</v>
      </c>
    </row>
    <row r="4099" spans="1:11">
      <c r="A4099" s="688" t="s">
        <v>9</v>
      </c>
      <c r="B4099" s="693">
        <v>27</v>
      </c>
      <c r="C4099" s="689">
        <v>27.5</v>
      </c>
      <c r="D4099" s="689">
        <v>27.4</v>
      </c>
      <c r="E4099" s="689">
        <v>26.9</v>
      </c>
      <c r="F4099" s="689">
        <v>27.5</v>
      </c>
      <c r="G4099" s="689">
        <v>27.6</v>
      </c>
      <c r="H4099" s="689">
        <v>27.8</v>
      </c>
      <c r="I4099" s="693">
        <v>28</v>
      </c>
      <c r="J4099" s="689">
        <v>28.1</v>
      </c>
      <c r="K4099" s="689">
        <v>27.1</v>
      </c>
    </row>
    <row r="4100" spans="1:11">
      <c r="A4100" s="688" t="s">
        <v>13</v>
      </c>
      <c r="B4100" s="691">
        <v>27.6</v>
      </c>
      <c r="C4100" s="691">
        <v>26.8</v>
      </c>
      <c r="D4100" s="691">
        <v>27.3</v>
      </c>
      <c r="E4100" s="691">
        <v>26.8</v>
      </c>
      <c r="F4100" s="691">
        <v>28.1</v>
      </c>
      <c r="G4100" s="691">
        <v>27.8</v>
      </c>
      <c r="H4100" s="691">
        <v>28.1</v>
      </c>
      <c r="I4100" s="615">
        <v>27</v>
      </c>
      <c r="J4100" s="691">
        <v>28.4</v>
      </c>
      <c r="K4100" s="691">
        <v>28.7</v>
      </c>
    </row>
    <row r="4101" spans="1:11">
      <c r="A4101" s="688" t="s">
        <v>18</v>
      </c>
      <c r="B4101" s="689">
        <v>26.9</v>
      </c>
      <c r="C4101" s="689">
        <v>27.1</v>
      </c>
      <c r="D4101" s="689">
        <v>27.2</v>
      </c>
      <c r="E4101" s="689">
        <v>27.3</v>
      </c>
      <c r="F4101" s="689">
        <v>27.4</v>
      </c>
      <c r="G4101" s="689">
        <v>27.6</v>
      </c>
      <c r="H4101" s="689">
        <v>27.8</v>
      </c>
      <c r="I4101" s="693">
        <v>28</v>
      </c>
      <c r="J4101" s="689">
        <v>27.9</v>
      </c>
      <c r="K4101" s="689">
        <v>27.4</v>
      </c>
    </row>
    <row r="4102" spans="1:11">
      <c r="A4102" s="688" t="s">
        <v>24</v>
      </c>
      <c r="B4102" s="691">
        <v>27.9</v>
      </c>
      <c r="C4102" s="615">
        <v>28</v>
      </c>
      <c r="D4102" s="691">
        <v>27.8</v>
      </c>
      <c r="E4102" s="691">
        <v>28.2</v>
      </c>
      <c r="F4102" s="691">
        <v>28.2</v>
      </c>
      <c r="G4102" s="691">
        <v>28.4</v>
      </c>
      <c r="H4102" s="691">
        <v>28.5</v>
      </c>
      <c r="I4102" s="691">
        <v>27.8</v>
      </c>
      <c r="J4102" s="691">
        <v>28.4</v>
      </c>
      <c r="K4102" s="691">
        <v>28.3</v>
      </c>
    </row>
    <row r="4103" spans="1:11">
      <c r="A4103" s="688" t="s">
        <v>4059</v>
      </c>
      <c r="B4103" s="689">
        <v>26.5</v>
      </c>
      <c r="C4103" s="689">
        <v>26.8</v>
      </c>
      <c r="D4103" s="689">
        <v>26.5</v>
      </c>
      <c r="E4103" s="689">
        <v>26.7</v>
      </c>
      <c r="F4103" s="689">
        <v>26.8</v>
      </c>
      <c r="G4103" s="689">
        <v>26.8</v>
      </c>
      <c r="H4103" s="690" t="s">
        <v>4060</v>
      </c>
      <c r="I4103" s="690" t="s">
        <v>4060</v>
      </c>
      <c r="J4103" s="690" t="s">
        <v>4060</v>
      </c>
      <c r="K4103" s="690" t="s">
        <v>4060</v>
      </c>
    </row>
    <row r="4104" spans="1:11">
      <c r="A4104" s="688" t="s">
        <v>2324</v>
      </c>
      <c r="B4104" s="691">
        <v>22.5</v>
      </c>
      <c r="C4104" s="691">
        <v>22.7</v>
      </c>
      <c r="D4104" s="691">
        <v>22.3</v>
      </c>
      <c r="E4104" s="691">
        <v>22.3</v>
      </c>
      <c r="F4104" s="691">
        <v>22.5</v>
      </c>
      <c r="G4104" s="691">
        <v>22.7</v>
      </c>
      <c r="H4104" s="691">
        <v>22.7</v>
      </c>
      <c r="I4104" s="691">
        <v>21.8</v>
      </c>
      <c r="J4104" s="691">
        <v>19.899999999999999</v>
      </c>
      <c r="K4104" s="692" t="s">
        <v>4060</v>
      </c>
    </row>
    <row r="4105" spans="1:11">
      <c r="A4105" s="688" t="s">
        <v>2322</v>
      </c>
      <c r="B4105" s="690" t="s">
        <v>4060</v>
      </c>
      <c r="C4105" s="690" t="s">
        <v>4060</v>
      </c>
      <c r="D4105" s="690" t="s">
        <v>4060</v>
      </c>
      <c r="E4105" s="690" t="s">
        <v>4060</v>
      </c>
      <c r="F4105" s="690" t="s">
        <v>4060</v>
      </c>
      <c r="G4105" s="690" t="s">
        <v>4060</v>
      </c>
      <c r="H4105" s="690" t="s">
        <v>4060</v>
      </c>
      <c r="I4105" s="690" t="s">
        <v>4060</v>
      </c>
      <c r="J4105" s="690" t="s">
        <v>4060</v>
      </c>
      <c r="K4105" s="690" t="s">
        <v>4060</v>
      </c>
    </row>
    <row r="4106" spans="1:11">
      <c r="A4106" s="688" t="s">
        <v>2328</v>
      </c>
      <c r="B4106" s="691">
        <v>21.7</v>
      </c>
      <c r="C4106" s="691">
        <v>21.7</v>
      </c>
      <c r="D4106" s="691">
        <v>21.5</v>
      </c>
      <c r="E4106" s="691">
        <v>21.8</v>
      </c>
      <c r="F4106" s="691">
        <v>21.9</v>
      </c>
      <c r="G4106" s="691">
        <v>22.3</v>
      </c>
      <c r="H4106" s="691">
        <v>22.2</v>
      </c>
      <c r="I4106" s="691">
        <v>20.3</v>
      </c>
      <c r="J4106" s="691">
        <v>19.600000000000001</v>
      </c>
      <c r="K4106" s="692" t="s">
        <v>4060</v>
      </c>
    </row>
    <row r="4107" spans="1:11">
      <c r="A4107" s="688" t="s">
        <v>2496</v>
      </c>
      <c r="B4107" s="690" t="s">
        <v>4060</v>
      </c>
      <c r="C4107" s="689">
        <v>21.9</v>
      </c>
      <c r="D4107" s="693">
        <v>21</v>
      </c>
      <c r="E4107" s="689">
        <v>20.8</v>
      </c>
      <c r="F4107" s="689">
        <v>21.3</v>
      </c>
      <c r="G4107" s="689">
        <v>21.6</v>
      </c>
      <c r="H4107" s="689">
        <v>21.5</v>
      </c>
      <c r="I4107" s="690" t="s">
        <v>4060</v>
      </c>
      <c r="J4107" s="690" t="s">
        <v>4060</v>
      </c>
      <c r="K4107" s="689">
        <v>21.1</v>
      </c>
    </row>
    <row r="4108" spans="1:11">
      <c r="A4108" s="688" t="s">
        <v>2269</v>
      </c>
      <c r="B4108" s="691">
        <v>24.3</v>
      </c>
      <c r="C4108" s="691">
        <v>24.4</v>
      </c>
      <c r="D4108" s="691">
        <v>23.9</v>
      </c>
      <c r="E4108" s="691">
        <v>24.4</v>
      </c>
      <c r="F4108" s="691">
        <v>24.4</v>
      </c>
      <c r="G4108" s="691">
        <v>24.7</v>
      </c>
      <c r="H4108" s="615">
        <v>25</v>
      </c>
      <c r="I4108" s="691">
        <v>23.3</v>
      </c>
      <c r="J4108" s="691">
        <v>21.5</v>
      </c>
      <c r="K4108" s="691">
        <v>24.6</v>
      </c>
    </row>
    <row r="4109" spans="1:11">
      <c r="A4109" s="688" t="s">
        <v>2349</v>
      </c>
      <c r="B4109" s="689">
        <v>21.7</v>
      </c>
      <c r="C4109" s="689">
        <v>21.7</v>
      </c>
      <c r="D4109" s="689">
        <v>21.7</v>
      </c>
      <c r="E4109" s="693">
        <v>22</v>
      </c>
      <c r="F4109" s="689">
        <v>21.9</v>
      </c>
      <c r="G4109" s="689">
        <v>22.1</v>
      </c>
      <c r="H4109" s="689">
        <v>22.1</v>
      </c>
      <c r="I4109" s="689">
        <v>20.8</v>
      </c>
      <c r="J4109" s="689">
        <v>19.399999999999999</v>
      </c>
      <c r="K4109" s="689">
        <v>21.4</v>
      </c>
    </row>
    <row r="4110" spans="1:11">
      <c r="A4110" s="688" t="s">
        <v>2355</v>
      </c>
      <c r="B4110" s="691">
        <v>24.7</v>
      </c>
      <c r="C4110" s="691">
        <v>24.5</v>
      </c>
      <c r="D4110" s="691">
        <v>24.5</v>
      </c>
      <c r="E4110" s="691">
        <v>24.4</v>
      </c>
      <c r="F4110" s="691">
        <v>24.6</v>
      </c>
      <c r="G4110" s="691">
        <v>24.9</v>
      </c>
      <c r="H4110" s="615">
        <v>25</v>
      </c>
      <c r="I4110" s="692" t="s">
        <v>4060</v>
      </c>
      <c r="J4110" s="692" t="s">
        <v>4060</v>
      </c>
      <c r="K4110" s="692" t="s">
        <v>4060</v>
      </c>
    </row>
    <row r="4111" spans="1:11">
      <c r="A4111" s="688" t="s">
        <v>2357</v>
      </c>
      <c r="B4111" s="690" t="s">
        <v>4060</v>
      </c>
      <c r="C4111" s="693">
        <v>21</v>
      </c>
      <c r="D4111" s="689">
        <v>21.3</v>
      </c>
      <c r="E4111" s="689">
        <v>21.6</v>
      </c>
      <c r="F4111" s="689">
        <v>21.8</v>
      </c>
      <c r="G4111" s="689">
        <v>21.7</v>
      </c>
      <c r="H4111" s="689">
        <v>21.9</v>
      </c>
      <c r="I4111" s="690" t="s">
        <v>4060</v>
      </c>
      <c r="J4111" s="690" t="s">
        <v>4060</v>
      </c>
      <c r="K4111" s="690" t="s">
        <v>4060</v>
      </c>
    </row>
    <row r="4112" spans="1:11">
      <c r="A4112" s="688" t="s">
        <v>4070</v>
      </c>
      <c r="B4112" s="692" t="s">
        <v>4060</v>
      </c>
      <c r="C4112" s="692" t="s">
        <v>4060</v>
      </c>
      <c r="D4112" s="692" t="s">
        <v>4060</v>
      </c>
      <c r="E4112" s="691">
        <v>24.1</v>
      </c>
      <c r="F4112" s="692" t="s">
        <v>4060</v>
      </c>
      <c r="G4112" s="692" t="s">
        <v>4060</v>
      </c>
      <c r="H4112" s="692" t="s">
        <v>4060</v>
      </c>
      <c r="I4112" s="692" t="s">
        <v>4060</v>
      </c>
      <c r="J4112" s="692" t="s">
        <v>4060</v>
      </c>
      <c r="K4112" s="692" t="s">
        <v>4060</v>
      </c>
    </row>
    <row r="4113" spans="1:11">
      <c r="A4113" s="688" t="s">
        <v>2491</v>
      </c>
      <c r="B4113" s="693">
        <v>21</v>
      </c>
      <c r="C4113" s="689">
        <v>21.4</v>
      </c>
      <c r="D4113" s="689">
        <v>21.6</v>
      </c>
      <c r="E4113" s="689">
        <v>21.8</v>
      </c>
      <c r="F4113" s="689">
        <v>21.8</v>
      </c>
      <c r="G4113" s="689">
        <v>21.8</v>
      </c>
      <c r="H4113" s="690" t="s">
        <v>4060</v>
      </c>
      <c r="I4113" s="690" t="s">
        <v>4060</v>
      </c>
      <c r="J4113" s="690" t="s">
        <v>4060</v>
      </c>
      <c r="K4113" s="690" t="s">
        <v>4060</v>
      </c>
    </row>
    <row r="4114" spans="1:11">
      <c r="A4114" s="688" t="s">
        <v>2343</v>
      </c>
      <c r="B4114" s="692" t="s">
        <v>4060</v>
      </c>
      <c r="C4114" s="692" t="s">
        <v>4060</v>
      </c>
      <c r="D4114" s="692" t="s">
        <v>4060</v>
      </c>
      <c r="E4114" s="692" t="s">
        <v>4060</v>
      </c>
      <c r="F4114" s="692" t="s">
        <v>4060</v>
      </c>
      <c r="G4114" s="692" t="s">
        <v>4060</v>
      </c>
      <c r="H4114" s="692" t="s">
        <v>4060</v>
      </c>
      <c r="I4114" s="692" t="s">
        <v>4060</v>
      </c>
      <c r="J4114" s="692" t="s">
        <v>4060</v>
      </c>
      <c r="K4114" s="692" t="s">
        <v>4060</v>
      </c>
    </row>
    <row r="4115" spans="1:11">
      <c r="A4115" s="688" t="s">
        <v>4071</v>
      </c>
      <c r="B4115" s="690" t="s">
        <v>4060</v>
      </c>
      <c r="C4115" s="690" t="s">
        <v>4060</v>
      </c>
      <c r="D4115" s="690" t="s">
        <v>4060</v>
      </c>
      <c r="E4115" s="690" t="s">
        <v>4060</v>
      </c>
      <c r="F4115" s="690" t="s">
        <v>4060</v>
      </c>
      <c r="G4115" s="690" t="s">
        <v>4060</v>
      </c>
      <c r="H4115" s="690" t="s">
        <v>4060</v>
      </c>
      <c r="I4115" s="690" t="s">
        <v>4060</v>
      </c>
      <c r="J4115" s="690" t="s">
        <v>4060</v>
      </c>
      <c r="K4115" s="690" t="s">
        <v>4060</v>
      </c>
    </row>
    <row r="4116" spans="1:11">
      <c r="A4116" s="688" t="s">
        <v>2489</v>
      </c>
      <c r="B4116" s="692" t="s">
        <v>4060</v>
      </c>
      <c r="C4116" s="692" t="s">
        <v>4060</v>
      </c>
      <c r="D4116" s="691">
        <v>22.1</v>
      </c>
      <c r="E4116" s="615">
        <v>22</v>
      </c>
      <c r="F4116" s="691">
        <v>22.4</v>
      </c>
      <c r="G4116" s="615">
        <v>23</v>
      </c>
      <c r="H4116" s="615">
        <v>23</v>
      </c>
      <c r="I4116" s="692" t="s">
        <v>4060</v>
      </c>
      <c r="J4116" s="692" t="s">
        <v>4060</v>
      </c>
      <c r="K4116" s="692" t="s">
        <v>4060</v>
      </c>
    </row>
    <row r="4117" spans="1:11">
      <c r="A4117" s="688" t="s">
        <v>2490</v>
      </c>
      <c r="B4117" s="689">
        <v>21.7</v>
      </c>
      <c r="C4117" s="689">
        <v>21.7</v>
      </c>
      <c r="D4117" s="689">
        <v>22.3</v>
      </c>
      <c r="E4117" s="690" t="s">
        <v>4060</v>
      </c>
      <c r="F4117" s="689">
        <v>22.5</v>
      </c>
      <c r="G4117" s="689">
        <v>22.8</v>
      </c>
      <c r="H4117" s="689">
        <v>23.5</v>
      </c>
      <c r="I4117" s="690" t="s">
        <v>4060</v>
      </c>
      <c r="J4117" s="690" t="s">
        <v>4060</v>
      </c>
      <c r="K4117" s="690" t="s">
        <v>4060</v>
      </c>
    </row>
    <row r="4119" spans="1:11">
      <c r="A4119" s="683" t="s">
        <v>4233</v>
      </c>
    </row>
    <row r="4120" spans="1:11">
      <c r="A4120" s="683" t="s">
        <v>4060</v>
      </c>
      <c r="B4120" s="682" t="s">
        <v>4234</v>
      </c>
    </row>
    <row r="4122" spans="1:11">
      <c r="A4122" s="682" t="s">
        <v>4248</v>
      </c>
    </row>
    <row r="4123" spans="1:11">
      <c r="A4123" s="682" t="s">
        <v>4210</v>
      </c>
      <c r="B4123" s="683" t="s">
        <v>4211</v>
      </c>
    </row>
    <row r="4124" spans="1:11">
      <c r="A4124" s="682" t="s">
        <v>4212</v>
      </c>
      <c r="B4124" s="682" t="s">
        <v>4213</v>
      </c>
    </row>
    <row r="4126" spans="1:11">
      <c r="A4126" s="683" t="s">
        <v>4214</v>
      </c>
      <c r="C4126" s="682" t="s">
        <v>4215</v>
      </c>
    </row>
    <row r="4127" spans="1:11">
      <c r="A4127" s="683" t="s">
        <v>4216</v>
      </c>
      <c r="C4127" s="682" t="s">
        <v>2967</v>
      </c>
    </row>
    <row r="4128" spans="1:11">
      <c r="A4128" s="683" t="s">
        <v>3893</v>
      </c>
      <c r="C4128" s="682" t="s">
        <v>4217</v>
      </c>
    </row>
    <row r="4129" spans="1:11">
      <c r="A4129" s="683" t="s">
        <v>4218</v>
      </c>
      <c r="C4129" s="682" t="s">
        <v>4293</v>
      </c>
    </row>
    <row r="4131" spans="1:11">
      <c r="A4131" s="684" t="s">
        <v>4220</v>
      </c>
      <c r="B4131" s="685" t="s">
        <v>4221</v>
      </c>
      <c r="C4131" s="685" t="s">
        <v>4222</v>
      </c>
      <c r="D4131" s="685" t="s">
        <v>4223</v>
      </c>
      <c r="E4131" s="685" t="s">
        <v>4224</v>
      </c>
      <c r="F4131" s="685" t="s">
        <v>4225</v>
      </c>
      <c r="G4131" s="685" t="s">
        <v>4226</v>
      </c>
      <c r="H4131" s="685" t="s">
        <v>4227</v>
      </c>
      <c r="I4131" s="685" t="s">
        <v>4228</v>
      </c>
      <c r="J4131" s="685" t="s">
        <v>4229</v>
      </c>
      <c r="K4131" s="685" t="s">
        <v>4230</v>
      </c>
    </row>
    <row r="4132" spans="1:11">
      <c r="A4132" s="686" t="s">
        <v>4231</v>
      </c>
      <c r="B4132" s="687" t="s">
        <v>4232</v>
      </c>
      <c r="C4132" s="687" t="s">
        <v>4232</v>
      </c>
      <c r="D4132" s="687" t="s">
        <v>4232</v>
      </c>
      <c r="E4132" s="687" t="s">
        <v>4232</v>
      </c>
      <c r="F4132" s="687" t="s">
        <v>4232</v>
      </c>
      <c r="G4132" s="687" t="s">
        <v>4232</v>
      </c>
      <c r="H4132" s="687" t="s">
        <v>4232</v>
      </c>
      <c r="I4132" s="687" t="s">
        <v>4232</v>
      </c>
      <c r="J4132" s="687" t="s">
        <v>4232</v>
      </c>
      <c r="K4132" s="687" t="s">
        <v>4232</v>
      </c>
    </row>
    <row r="4133" spans="1:11">
      <c r="A4133" s="688" t="s">
        <v>4064</v>
      </c>
      <c r="B4133" s="689">
        <v>25.3</v>
      </c>
      <c r="C4133" s="689">
        <v>25.3</v>
      </c>
      <c r="D4133" s="689">
        <v>25.3</v>
      </c>
      <c r="E4133" s="689">
        <v>25.4</v>
      </c>
      <c r="F4133" s="689">
        <v>25.4</v>
      </c>
      <c r="G4133" s="689">
        <v>25.4</v>
      </c>
      <c r="H4133" s="689">
        <v>25.7</v>
      </c>
      <c r="I4133" s="689">
        <v>24.9</v>
      </c>
      <c r="J4133" s="689">
        <v>24.7</v>
      </c>
      <c r="K4133" s="689">
        <v>25.2</v>
      </c>
    </row>
    <row r="4134" spans="1:11">
      <c r="A4134" s="688" t="s">
        <v>4065</v>
      </c>
      <c r="B4134" s="691">
        <v>25.4</v>
      </c>
      <c r="C4134" s="691">
        <v>25.7</v>
      </c>
      <c r="D4134" s="691">
        <v>25.3</v>
      </c>
      <c r="E4134" s="691">
        <v>25.7</v>
      </c>
      <c r="F4134" s="691">
        <v>25.6</v>
      </c>
      <c r="G4134" s="691">
        <v>25.7</v>
      </c>
      <c r="H4134" s="692" t="s">
        <v>4060</v>
      </c>
      <c r="I4134" s="692" t="s">
        <v>4060</v>
      </c>
      <c r="J4134" s="692" t="s">
        <v>4060</v>
      </c>
      <c r="K4134" s="692" t="s">
        <v>4060</v>
      </c>
    </row>
    <row r="4135" spans="1:11">
      <c r="A4135" s="688" t="s">
        <v>4063</v>
      </c>
      <c r="B4135" s="689">
        <v>25.4</v>
      </c>
      <c r="C4135" s="689">
        <v>25.7</v>
      </c>
      <c r="D4135" s="689">
        <v>25.4</v>
      </c>
      <c r="E4135" s="689">
        <v>25.7</v>
      </c>
      <c r="F4135" s="689">
        <v>25.6</v>
      </c>
      <c r="G4135" s="689">
        <v>25.7</v>
      </c>
      <c r="H4135" s="690" t="s">
        <v>4060</v>
      </c>
      <c r="I4135" s="690" t="s">
        <v>4060</v>
      </c>
      <c r="J4135" s="690" t="s">
        <v>4060</v>
      </c>
      <c r="K4135" s="690" t="s">
        <v>4060</v>
      </c>
    </row>
    <row r="4136" spans="1:11">
      <c r="A4136" s="688" t="s">
        <v>4069</v>
      </c>
      <c r="B4136" s="692" t="s">
        <v>4060</v>
      </c>
      <c r="C4136" s="691">
        <v>26.1</v>
      </c>
      <c r="D4136" s="691">
        <v>25.8</v>
      </c>
      <c r="E4136" s="691">
        <v>26.1</v>
      </c>
      <c r="F4136" s="691">
        <v>26.1</v>
      </c>
      <c r="G4136" s="691">
        <v>26.2</v>
      </c>
      <c r="H4136" s="691">
        <v>26.4</v>
      </c>
      <c r="I4136" s="691">
        <v>25.7</v>
      </c>
      <c r="J4136" s="691">
        <v>25.8</v>
      </c>
      <c r="K4136" s="691">
        <v>25.9</v>
      </c>
    </row>
    <row r="4137" spans="1:11">
      <c r="A4137" s="688" t="s">
        <v>4068</v>
      </c>
      <c r="B4137" s="689">
        <v>26.1</v>
      </c>
      <c r="C4137" s="690" t="s">
        <v>4060</v>
      </c>
      <c r="D4137" s="690" t="s">
        <v>4060</v>
      </c>
      <c r="E4137" s="690" t="s">
        <v>4060</v>
      </c>
      <c r="F4137" s="690" t="s">
        <v>4060</v>
      </c>
      <c r="G4137" s="690" t="s">
        <v>4060</v>
      </c>
      <c r="H4137" s="690" t="s">
        <v>4060</v>
      </c>
      <c r="I4137" s="690" t="s">
        <v>4060</v>
      </c>
      <c r="J4137" s="690" t="s">
        <v>4060</v>
      </c>
      <c r="K4137" s="690" t="s">
        <v>4060</v>
      </c>
    </row>
    <row r="4138" spans="1:11">
      <c r="A4138" s="688" t="s">
        <v>0</v>
      </c>
      <c r="B4138" s="691">
        <v>25.4</v>
      </c>
      <c r="C4138" s="691">
        <v>25.7</v>
      </c>
      <c r="D4138" s="691">
        <v>25.4</v>
      </c>
      <c r="E4138" s="691">
        <v>25.8</v>
      </c>
      <c r="F4138" s="691">
        <v>25.8</v>
      </c>
      <c r="G4138" s="691">
        <v>25.9</v>
      </c>
      <c r="H4138" s="691">
        <v>26.2</v>
      </c>
      <c r="I4138" s="691">
        <v>25.1</v>
      </c>
      <c r="J4138" s="615">
        <v>26</v>
      </c>
      <c r="K4138" s="615">
        <v>26</v>
      </c>
    </row>
    <row r="4139" spans="1:11">
      <c r="A4139" s="688" t="s">
        <v>1</v>
      </c>
      <c r="B4139" s="689">
        <v>21.3</v>
      </c>
      <c r="C4139" s="693">
        <v>21</v>
      </c>
      <c r="D4139" s="693">
        <v>21</v>
      </c>
      <c r="E4139" s="689">
        <v>21.2</v>
      </c>
      <c r="F4139" s="689">
        <v>21.1</v>
      </c>
      <c r="G4139" s="689">
        <v>21.2</v>
      </c>
      <c r="H4139" s="689">
        <v>21.2</v>
      </c>
      <c r="I4139" s="689">
        <v>19.899999999999999</v>
      </c>
      <c r="J4139" s="689">
        <v>18.399999999999999</v>
      </c>
      <c r="K4139" s="689">
        <v>20.399999999999999</v>
      </c>
    </row>
    <row r="4140" spans="1:11">
      <c r="A4140" s="688" t="s">
        <v>2240</v>
      </c>
      <c r="B4140" s="691">
        <v>23.1</v>
      </c>
      <c r="C4140" s="691">
        <v>23.5</v>
      </c>
      <c r="D4140" s="691">
        <v>23.2</v>
      </c>
      <c r="E4140" s="691">
        <v>23.6</v>
      </c>
      <c r="F4140" s="691">
        <v>23.6</v>
      </c>
      <c r="G4140" s="691">
        <v>23.6</v>
      </c>
      <c r="H4140" s="691">
        <v>23.9</v>
      </c>
      <c r="I4140" s="691">
        <v>22.9</v>
      </c>
      <c r="J4140" s="691">
        <v>22.1</v>
      </c>
      <c r="K4140" s="691">
        <v>23.7</v>
      </c>
    </row>
    <row r="4141" spans="1:11">
      <c r="A4141" s="688" t="s">
        <v>2</v>
      </c>
      <c r="B4141" s="689">
        <v>24.8</v>
      </c>
      <c r="C4141" s="689">
        <v>25.1</v>
      </c>
      <c r="D4141" s="693">
        <v>25</v>
      </c>
      <c r="E4141" s="689">
        <v>25.2</v>
      </c>
      <c r="F4141" s="689">
        <v>25.3</v>
      </c>
      <c r="G4141" s="689">
        <v>25.2</v>
      </c>
      <c r="H4141" s="689">
        <v>25.5</v>
      </c>
      <c r="I4141" s="689">
        <v>25.6</v>
      </c>
      <c r="J4141" s="689">
        <v>25.4</v>
      </c>
      <c r="K4141" s="689">
        <v>25.3</v>
      </c>
    </row>
    <row r="4142" spans="1:11">
      <c r="A4142" s="688" t="s">
        <v>3</v>
      </c>
      <c r="B4142" s="691">
        <v>25.1</v>
      </c>
      <c r="C4142" s="691">
        <v>25.4</v>
      </c>
      <c r="D4142" s="615">
        <v>25</v>
      </c>
      <c r="E4142" s="691">
        <v>25.3</v>
      </c>
      <c r="F4142" s="691">
        <v>25.3</v>
      </c>
      <c r="G4142" s="691">
        <v>25.2</v>
      </c>
      <c r="H4142" s="691">
        <v>25.5</v>
      </c>
      <c r="I4142" s="691">
        <v>25.3</v>
      </c>
      <c r="J4142" s="615">
        <v>25</v>
      </c>
      <c r="K4142" s="691">
        <v>24.8</v>
      </c>
    </row>
    <row r="4143" spans="1:11">
      <c r="A4143" s="688" t="s">
        <v>4061</v>
      </c>
      <c r="B4143" s="689">
        <v>25.1</v>
      </c>
      <c r="C4143" s="689">
        <v>25.4</v>
      </c>
      <c r="D4143" s="693">
        <v>25</v>
      </c>
      <c r="E4143" s="689">
        <v>25.3</v>
      </c>
      <c r="F4143" s="689">
        <v>25.3</v>
      </c>
      <c r="G4143" s="689">
        <v>25.2</v>
      </c>
      <c r="H4143" s="689">
        <v>25.5</v>
      </c>
      <c r="I4143" s="689">
        <v>25.3</v>
      </c>
      <c r="J4143" s="693">
        <v>25</v>
      </c>
      <c r="K4143" s="689">
        <v>24.8</v>
      </c>
    </row>
    <row r="4144" spans="1:11">
      <c r="A4144" s="688" t="s">
        <v>4</v>
      </c>
      <c r="B4144" s="691">
        <v>23.4</v>
      </c>
      <c r="C4144" s="691">
        <v>23.2</v>
      </c>
      <c r="D4144" s="691">
        <v>23.5</v>
      </c>
      <c r="E4144" s="691">
        <v>23.7</v>
      </c>
      <c r="F4144" s="691">
        <v>23.7</v>
      </c>
      <c r="G4144" s="691">
        <v>23.7</v>
      </c>
      <c r="H4144" s="691">
        <v>24.2</v>
      </c>
      <c r="I4144" s="691">
        <v>24.1</v>
      </c>
      <c r="J4144" s="691">
        <v>22.7</v>
      </c>
      <c r="K4144" s="691">
        <v>23.6</v>
      </c>
    </row>
    <row r="4145" spans="1:11">
      <c r="A4145" s="688" t="s">
        <v>8</v>
      </c>
      <c r="B4145" s="689">
        <v>25.5</v>
      </c>
      <c r="C4145" s="689">
        <v>25.6</v>
      </c>
      <c r="D4145" s="689">
        <v>25.6</v>
      </c>
      <c r="E4145" s="689">
        <v>25.7</v>
      </c>
      <c r="F4145" s="689">
        <v>26.1</v>
      </c>
      <c r="G4145" s="689">
        <v>26.2</v>
      </c>
      <c r="H4145" s="689">
        <v>26.5</v>
      </c>
      <c r="I4145" s="689">
        <v>26.4</v>
      </c>
      <c r="J4145" s="689">
        <v>26.2</v>
      </c>
      <c r="K4145" s="689">
        <v>26.3</v>
      </c>
    </row>
    <row r="4146" spans="1:11">
      <c r="A4146" s="688" t="s">
        <v>7</v>
      </c>
      <c r="B4146" s="615">
        <v>26</v>
      </c>
      <c r="C4146" s="691">
        <v>25.6</v>
      </c>
      <c r="D4146" s="691">
        <v>25.3</v>
      </c>
      <c r="E4146" s="691">
        <v>25.6</v>
      </c>
      <c r="F4146" s="691">
        <v>25.5</v>
      </c>
      <c r="G4146" s="691">
        <v>25.9</v>
      </c>
      <c r="H4146" s="691">
        <v>25.9</v>
      </c>
      <c r="I4146" s="691">
        <v>25.5</v>
      </c>
      <c r="J4146" s="691">
        <v>24.7</v>
      </c>
      <c r="K4146" s="691">
        <v>25.2</v>
      </c>
    </row>
    <row r="4147" spans="1:11">
      <c r="A4147" s="688" t="s">
        <v>27</v>
      </c>
      <c r="B4147" s="689">
        <v>27.3</v>
      </c>
      <c r="C4147" s="693">
        <v>27</v>
      </c>
      <c r="D4147" s="689">
        <v>26.7</v>
      </c>
      <c r="E4147" s="689">
        <v>27.1</v>
      </c>
      <c r="F4147" s="689">
        <v>27.1</v>
      </c>
      <c r="G4147" s="689">
        <v>27.1</v>
      </c>
      <c r="H4147" s="689">
        <v>27.5</v>
      </c>
      <c r="I4147" s="689">
        <v>26.2</v>
      </c>
      <c r="J4147" s="693">
        <v>27</v>
      </c>
      <c r="K4147" s="693">
        <v>27</v>
      </c>
    </row>
    <row r="4148" spans="1:11">
      <c r="A4148" s="688" t="s">
        <v>6</v>
      </c>
      <c r="B4148" s="691">
        <v>27.3</v>
      </c>
      <c r="C4148" s="691">
        <v>27.2</v>
      </c>
      <c r="D4148" s="615">
        <v>27</v>
      </c>
      <c r="E4148" s="691">
        <v>27.2</v>
      </c>
      <c r="F4148" s="691">
        <v>27.2</v>
      </c>
      <c r="G4148" s="691">
        <v>27.3</v>
      </c>
      <c r="H4148" s="691">
        <v>27.4</v>
      </c>
      <c r="I4148" s="691">
        <v>26.8</v>
      </c>
      <c r="J4148" s="691">
        <v>26.9</v>
      </c>
      <c r="K4148" s="615">
        <v>27</v>
      </c>
    </row>
    <row r="4149" spans="1:11">
      <c r="A4149" s="688" t="s">
        <v>4058</v>
      </c>
      <c r="B4149" s="690" t="s">
        <v>4060</v>
      </c>
      <c r="C4149" s="690" t="s">
        <v>4060</v>
      </c>
      <c r="D4149" s="690" t="s">
        <v>4060</v>
      </c>
      <c r="E4149" s="690" t="s">
        <v>4060</v>
      </c>
      <c r="F4149" s="690" t="s">
        <v>4060</v>
      </c>
      <c r="G4149" s="690" t="s">
        <v>4060</v>
      </c>
      <c r="H4149" s="690" t="s">
        <v>4060</v>
      </c>
      <c r="I4149" s="690" t="s">
        <v>4060</v>
      </c>
      <c r="J4149" s="690" t="s">
        <v>4060</v>
      </c>
      <c r="K4149" s="690" t="s">
        <v>4060</v>
      </c>
    </row>
    <row r="4150" spans="1:11">
      <c r="A4150" s="688" t="s">
        <v>11</v>
      </c>
      <c r="B4150" s="691">
        <v>22.8</v>
      </c>
      <c r="C4150" s="691">
        <v>22.8</v>
      </c>
      <c r="D4150" s="691">
        <v>22.4</v>
      </c>
      <c r="E4150" s="691">
        <v>22.9</v>
      </c>
      <c r="F4150" s="691">
        <v>22.7</v>
      </c>
      <c r="G4150" s="691">
        <v>22.9</v>
      </c>
      <c r="H4150" s="691">
        <v>23.2</v>
      </c>
      <c r="I4150" s="691">
        <v>22.4</v>
      </c>
      <c r="J4150" s="691">
        <v>21.7</v>
      </c>
      <c r="K4150" s="691">
        <v>22.6</v>
      </c>
    </row>
    <row r="4151" spans="1:11">
      <c r="A4151" s="688" t="s">
        <v>10</v>
      </c>
      <c r="B4151" s="689">
        <v>26.9</v>
      </c>
      <c r="C4151" s="689">
        <v>26.8</v>
      </c>
      <c r="D4151" s="689">
        <v>26.4</v>
      </c>
      <c r="E4151" s="693">
        <v>27</v>
      </c>
      <c r="F4151" s="689">
        <v>26.7</v>
      </c>
      <c r="G4151" s="689">
        <v>27.1</v>
      </c>
      <c r="H4151" s="689">
        <v>27.2</v>
      </c>
      <c r="I4151" s="689">
        <v>26.1</v>
      </c>
      <c r="J4151" s="689">
        <v>26.5</v>
      </c>
      <c r="K4151" s="689">
        <v>26.6</v>
      </c>
    </row>
    <row r="4152" spans="1:11">
      <c r="A4152" s="688" t="s">
        <v>30</v>
      </c>
      <c r="B4152" s="691">
        <v>26.3</v>
      </c>
      <c r="C4152" s="691">
        <v>26.1</v>
      </c>
      <c r="D4152" s="691">
        <v>25.8</v>
      </c>
      <c r="E4152" s="691">
        <v>26.6</v>
      </c>
      <c r="F4152" s="691">
        <v>26.1</v>
      </c>
      <c r="G4152" s="691">
        <v>26.7</v>
      </c>
      <c r="H4152" s="691">
        <v>26.4</v>
      </c>
      <c r="I4152" s="691">
        <v>26.6</v>
      </c>
      <c r="J4152" s="691">
        <v>25.9</v>
      </c>
      <c r="K4152" s="691">
        <v>26.1</v>
      </c>
    </row>
    <row r="4153" spans="1:11">
      <c r="A4153" s="688" t="s">
        <v>12</v>
      </c>
      <c r="B4153" s="689">
        <v>21.7</v>
      </c>
      <c r="C4153" s="689">
        <v>21.7</v>
      </c>
      <c r="D4153" s="689">
        <v>21.8</v>
      </c>
      <c r="E4153" s="689">
        <v>21.8</v>
      </c>
      <c r="F4153" s="689">
        <v>21.9</v>
      </c>
      <c r="G4153" s="689">
        <v>21.9</v>
      </c>
      <c r="H4153" s="689">
        <v>22.3</v>
      </c>
      <c r="I4153" s="693">
        <v>22</v>
      </c>
      <c r="J4153" s="689">
        <v>20.3</v>
      </c>
      <c r="K4153" s="689">
        <v>21.6</v>
      </c>
    </row>
    <row r="4154" spans="1:11">
      <c r="A4154" s="688" t="s">
        <v>14</v>
      </c>
      <c r="B4154" s="691">
        <v>21.9</v>
      </c>
      <c r="C4154" s="615">
        <v>22</v>
      </c>
      <c r="D4154" s="691">
        <v>21.8</v>
      </c>
      <c r="E4154" s="691">
        <v>21.9</v>
      </c>
      <c r="F4154" s="691">
        <v>22.3</v>
      </c>
      <c r="G4154" s="691">
        <v>22.4</v>
      </c>
      <c r="H4154" s="691">
        <v>22.7</v>
      </c>
      <c r="I4154" s="691">
        <v>21.8</v>
      </c>
      <c r="J4154" s="691">
        <v>21.1</v>
      </c>
      <c r="K4154" s="691">
        <v>22.1</v>
      </c>
    </row>
    <row r="4155" spans="1:11">
      <c r="A4155" s="688" t="s">
        <v>15</v>
      </c>
      <c r="B4155" s="689">
        <v>26.4</v>
      </c>
      <c r="C4155" s="693">
        <v>26</v>
      </c>
      <c r="D4155" s="693">
        <v>26</v>
      </c>
      <c r="E4155" s="689">
        <v>26.3</v>
      </c>
      <c r="F4155" s="689">
        <v>25.9</v>
      </c>
      <c r="G4155" s="689">
        <v>26.1</v>
      </c>
      <c r="H4155" s="689">
        <v>26.5</v>
      </c>
      <c r="I4155" s="689">
        <v>26.1</v>
      </c>
      <c r="J4155" s="689">
        <v>26.4</v>
      </c>
      <c r="K4155" s="689">
        <v>26.7</v>
      </c>
    </row>
    <row r="4156" spans="1:11">
      <c r="A4156" s="688" t="s">
        <v>29</v>
      </c>
      <c r="B4156" s="691">
        <v>21.7</v>
      </c>
      <c r="C4156" s="691">
        <v>21.6</v>
      </c>
      <c r="D4156" s="691">
        <v>21.3</v>
      </c>
      <c r="E4156" s="691">
        <v>21.6</v>
      </c>
      <c r="F4156" s="691">
        <v>21.4</v>
      </c>
      <c r="G4156" s="691">
        <v>21.5</v>
      </c>
      <c r="H4156" s="691">
        <v>21.6</v>
      </c>
      <c r="I4156" s="691">
        <v>20.9</v>
      </c>
      <c r="J4156" s="691">
        <v>19.899999999999999</v>
      </c>
      <c r="K4156" s="691">
        <v>21.2</v>
      </c>
    </row>
    <row r="4157" spans="1:11">
      <c r="A4157" s="688" t="s">
        <v>16</v>
      </c>
      <c r="B4157" s="693">
        <v>26</v>
      </c>
      <c r="C4157" s="689">
        <v>25.9</v>
      </c>
      <c r="D4157" s="693">
        <v>26</v>
      </c>
      <c r="E4157" s="689">
        <v>26.7</v>
      </c>
      <c r="F4157" s="689">
        <v>26.3</v>
      </c>
      <c r="G4157" s="689">
        <v>26.3</v>
      </c>
      <c r="H4157" s="689">
        <v>26.6</v>
      </c>
      <c r="I4157" s="693">
        <v>26</v>
      </c>
      <c r="J4157" s="689">
        <v>26.1</v>
      </c>
      <c r="K4157" s="689">
        <v>26.2</v>
      </c>
    </row>
    <row r="4158" spans="1:11">
      <c r="A4158" s="688" t="s">
        <v>17</v>
      </c>
      <c r="B4158" s="691">
        <v>25.6</v>
      </c>
      <c r="C4158" s="691">
        <v>25.8</v>
      </c>
      <c r="D4158" s="691">
        <v>25.6</v>
      </c>
      <c r="E4158" s="691">
        <v>25.7</v>
      </c>
      <c r="F4158" s="691">
        <v>25.8</v>
      </c>
      <c r="G4158" s="691">
        <v>25.8</v>
      </c>
      <c r="H4158" s="691">
        <v>26.1</v>
      </c>
      <c r="I4158" s="691">
        <v>25.4</v>
      </c>
      <c r="J4158" s="691">
        <v>25.4</v>
      </c>
      <c r="K4158" s="691">
        <v>25.7</v>
      </c>
    </row>
    <row r="4159" spans="1:11">
      <c r="A4159" s="688" t="s">
        <v>19</v>
      </c>
      <c r="B4159" s="689">
        <v>25.7</v>
      </c>
      <c r="C4159" s="689">
        <v>25.8</v>
      </c>
      <c r="D4159" s="689">
        <v>25.5</v>
      </c>
      <c r="E4159" s="689">
        <v>25.9</v>
      </c>
      <c r="F4159" s="689">
        <v>25.8</v>
      </c>
      <c r="G4159" s="689">
        <v>25.9</v>
      </c>
      <c r="H4159" s="689">
        <v>26.1</v>
      </c>
      <c r="I4159" s="689">
        <v>25.5</v>
      </c>
      <c r="J4159" s="689">
        <v>25.5</v>
      </c>
      <c r="K4159" s="689">
        <v>25.6</v>
      </c>
    </row>
    <row r="4160" spans="1:11">
      <c r="A4160" s="688" t="s">
        <v>20</v>
      </c>
      <c r="B4160" s="691">
        <v>23.1</v>
      </c>
      <c r="C4160" s="691">
        <v>23.3</v>
      </c>
      <c r="D4160" s="691">
        <v>23.1</v>
      </c>
      <c r="E4160" s="691">
        <v>23.4</v>
      </c>
      <c r="F4160" s="691">
        <v>23.3</v>
      </c>
      <c r="G4160" s="691">
        <v>23.2</v>
      </c>
      <c r="H4160" s="691">
        <v>23.5</v>
      </c>
      <c r="I4160" s="691">
        <v>22.1</v>
      </c>
      <c r="J4160" s="691">
        <v>21.3</v>
      </c>
      <c r="K4160" s="691">
        <v>22.8</v>
      </c>
    </row>
    <row r="4161" spans="1:11">
      <c r="A4161" s="688" t="s">
        <v>21</v>
      </c>
      <c r="B4161" s="689">
        <v>25.7</v>
      </c>
      <c r="C4161" s="693">
        <v>26</v>
      </c>
      <c r="D4161" s="689">
        <v>25.9</v>
      </c>
      <c r="E4161" s="689">
        <v>25.9</v>
      </c>
      <c r="F4161" s="689">
        <v>26.2</v>
      </c>
      <c r="G4161" s="689">
        <v>26.2</v>
      </c>
      <c r="H4161" s="689">
        <v>26.5</v>
      </c>
      <c r="I4161" s="689">
        <v>25.9</v>
      </c>
      <c r="J4161" s="689">
        <v>25.9</v>
      </c>
      <c r="K4161" s="689">
        <v>26.2</v>
      </c>
    </row>
    <row r="4162" spans="1:11">
      <c r="A4162" s="688" t="s">
        <v>22</v>
      </c>
      <c r="B4162" s="691">
        <v>21.7</v>
      </c>
      <c r="C4162" s="691">
        <v>21.5</v>
      </c>
      <c r="D4162" s="691">
        <v>21.4</v>
      </c>
      <c r="E4162" s="691">
        <v>21.6</v>
      </c>
      <c r="F4162" s="691">
        <v>21.6</v>
      </c>
      <c r="G4162" s="691">
        <v>21.6</v>
      </c>
      <c r="H4162" s="691">
        <v>21.8</v>
      </c>
      <c r="I4162" s="691">
        <v>20.399999999999999</v>
      </c>
      <c r="J4162" s="691">
        <v>19.3</v>
      </c>
      <c r="K4162" s="691">
        <v>21.2</v>
      </c>
    </row>
    <row r="4163" spans="1:11">
      <c r="A4163" s="688" t="s">
        <v>26</v>
      </c>
      <c r="B4163" s="689">
        <v>25.1</v>
      </c>
      <c r="C4163" s="689">
        <v>25.2</v>
      </c>
      <c r="D4163" s="689">
        <v>25.1</v>
      </c>
      <c r="E4163" s="689">
        <v>25.4</v>
      </c>
      <c r="F4163" s="689">
        <v>25.2</v>
      </c>
      <c r="G4163" s="689">
        <v>25.4</v>
      </c>
      <c r="H4163" s="689">
        <v>25.5</v>
      </c>
      <c r="I4163" s="689">
        <v>24.7</v>
      </c>
      <c r="J4163" s="689">
        <v>24.8</v>
      </c>
      <c r="K4163" s="689">
        <v>25.4</v>
      </c>
    </row>
    <row r="4164" spans="1:11">
      <c r="A4164" s="688" t="s">
        <v>25</v>
      </c>
      <c r="B4164" s="691">
        <v>22.2</v>
      </c>
      <c r="C4164" s="691">
        <v>22.5</v>
      </c>
      <c r="D4164" s="691">
        <v>22.3</v>
      </c>
      <c r="E4164" s="691">
        <v>22.7</v>
      </c>
      <c r="F4164" s="691">
        <v>22.7</v>
      </c>
      <c r="G4164" s="691">
        <v>22.8</v>
      </c>
      <c r="H4164" s="691">
        <v>23.2</v>
      </c>
      <c r="I4164" s="691">
        <v>22.4</v>
      </c>
      <c r="J4164" s="691">
        <v>20.399999999999999</v>
      </c>
      <c r="K4164" s="691">
        <v>22.4</v>
      </c>
    </row>
    <row r="4165" spans="1:11">
      <c r="A4165" s="688" t="s">
        <v>5</v>
      </c>
      <c r="B4165" s="689">
        <v>25.8</v>
      </c>
      <c r="C4165" s="689">
        <v>25.6</v>
      </c>
      <c r="D4165" s="689">
        <v>25.8</v>
      </c>
      <c r="E4165" s="689">
        <v>25.8</v>
      </c>
      <c r="F4165" s="693">
        <v>26</v>
      </c>
      <c r="G4165" s="689">
        <v>26.1</v>
      </c>
      <c r="H4165" s="689">
        <v>26.4</v>
      </c>
      <c r="I4165" s="689">
        <v>26.3</v>
      </c>
      <c r="J4165" s="689">
        <v>26.2</v>
      </c>
      <c r="K4165" s="689">
        <v>25.6</v>
      </c>
    </row>
    <row r="4166" spans="1:11">
      <c r="A4166" s="688" t="s">
        <v>23</v>
      </c>
      <c r="B4166" s="691">
        <v>26.1</v>
      </c>
      <c r="C4166" s="691">
        <v>26.3</v>
      </c>
      <c r="D4166" s="691">
        <v>26.2</v>
      </c>
      <c r="E4166" s="691">
        <v>26.3</v>
      </c>
      <c r="F4166" s="691">
        <v>26.4</v>
      </c>
      <c r="G4166" s="691">
        <v>26.5</v>
      </c>
      <c r="H4166" s="691">
        <v>26.9</v>
      </c>
      <c r="I4166" s="691">
        <v>26.3</v>
      </c>
      <c r="J4166" s="691">
        <v>26.9</v>
      </c>
      <c r="K4166" s="691">
        <v>26.8</v>
      </c>
    </row>
    <row r="4167" spans="1:11">
      <c r="A4167" s="688" t="s">
        <v>4067</v>
      </c>
      <c r="B4167" s="689">
        <v>25.4</v>
      </c>
      <c r="C4167" s="689">
        <v>25.7</v>
      </c>
      <c r="D4167" s="689">
        <v>25.3</v>
      </c>
      <c r="E4167" s="689">
        <v>25.7</v>
      </c>
      <c r="F4167" s="689">
        <v>25.6</v>
      </c>
      <c r="G4167" s="689">
        <v>25.7</v>
      </c>
      <c r="H4167" s="690" t="s">
        <v>4060</v>
      </c>
      <c r="I4167" s="690" t="s">
        <v>4060</v>
      </c>
      <c r="J4167" s="690" t="s">
        <v>4060</v>
      </c>
      <c r="K4167" s="690" t="s">
        <v>4060</v>
      </c>
    </row>
    <row r="4168" spans="1:11">
      <c r="A4168" s="688" t="s">
        <v>4066</v>
      </c>
      <c r="B4168" s="691">
        <v>25.4</v>
      </c>
      <c r="C4168" s="691">
        <v>25.7</v>
      </c>
      <c r="D4168" s="691">
        <v>25.4</v>
      </c>
      <c r="E4168" s="691">
        <v>25.7</v>
      </c>
      <c r="F4168" s="691">
        <v>25.6</v>
      </c>
      <c r="G4168" s="691">
        <v>25.7</v>
      </c>
      <c r="H4168" s="692" t="s">
        <v>4060</v>
      </c>
      <c r="I4168" s="692" t="s">
        <v>4060</v>
      </c>
      <c r="J4168" s="692" t="s">
        <v>4060</v>
      </c>
      <c r="K4168" s="692" t="s">
        <v>4060</v>
      </c>
    </row>
    <row r="4169" spans="1:11">
      <c r="A4169" s="688" t="s">
        <v>4062</v>
      </c>
      <c r="B4169" s="689">
        <v>26.6</v>
      </c>
      <c r="C4169" s="689">
        <v>26.8</v>
      </c>
      <c r="D4169" s="689">
        <v>26.7</v>
      </c>
      <c r="E4169" s="693">
        <v>27</v>
      </c>
      <c r="F4169" s="693">
        <v>27</v>
      </c>
      <c r="G4169" s="689">
        <v>27.2</v>
      </c>
      <c r="H4169" s="689">
        <v>27.3</v>
      </c>
      <c r="I4169" s="693">
        <v>27</v>
      </c>
      <c r="J4169" s="689">
        <v>27.3</v>
      </c>
      <c r="K4169" s="693">
        <v>27</v>
      </c>
    </row>
    <row r="4170" spans="1:11">
      <c r="A4170" s="688" t="s">
        <v>9</v>
      </c>
      <c r="B4170" s="691">
        <v>26.1</v>
      </c>
      <c r="C4170" s="691">
        <v>26.6</v>
      </c>
      <c r="D4170" s="691">
        <v>26.5</v>
      </c>
      <c r="E4170" s="615">
        <v>26</v>
      </c>
      <c r="F4170" s="691">
        <v>26.6</v>
      </c>
      <c r="G4170" s="691">
        <v>26.7</v>
      </c>
      <c r="H4170" s="691">
        <v>26.9</v>
      </c>
      <c r="I4170" s="691">
        <v>27.1</v>
      </c>
      <c r="J4170" s="691">
        <v>27.2</v>
      </c>
      <c r="K4170" s="691">
        <v>26.2</v>
      </c>
    </row>
    <row r="4171" spans="1:11">
      <c r="A4171" s="688" t="s">
        <v>13</v>
      </c>
      <c r="B4171" s="689">
        <v>26.7</v>
      </c>
      <c r="C4171" s="689">
        <v>25.9</v>
      </c>
      <c r="D4171" s="689">
        <v>26.4</v>
      </c>
      <c r="E4171" s="693">
        <v>26</v>
      </c>
      <c r="F4171" s="689">
        <v>27.1</v>
      </c>
      <c r="G4171" s="689">
        <v>26.9</v>
      </c>
      <c r="H4171" s="689">
        <v>27.1</v>
      </c>
      <c r="I4171" s="693">
        <v>26</v>
      </c>
      <c r="J4171" s="689">
        <v>27.4</v>
      </c>
      <c r="K4171" s="689">
        <v>27.7</v>
      </c>
    </row>
    <row r="4172" spans="1:11">
      <c r="A4172" s="688" t="s">
        <v>18</v>
      </c>
      <c r="B4172" s="615">
        <v>26</v>
      </c>
      <c r="C4172" s="691">
        <v>26.2</v>
      </c>
      <c r="D4172" s="691">
        <v>26.3</v>
      </c>
      <c r="E4172" s="691">
        <v>26.4</v>
      </c>
      <c r="F4172" s="691">
        <v>26.5</v>
      </c>
      <c r="G4172" s="691">
        <v>26.7</v>
      </c>
      <c r="H4172" s="691">
        <v>26.9</v>
      </c>
      <c r="I4172" s="691">
        <v>27.1</v>
      </c>
      <c r="J4172" s="615">
        <v>27</v>
      </c>
      <c r="K4172" s="691">
        <v>26.5</v>
      </c>
    </row>
    <row r="4173" spans="1:11">
      <c r="A4173" s="688" t="s">
        <v>24</v>
      </c>
      <c r="B4173" s="693">
        <v>27</v>
      </c>
      <c r="C4173" s="689">
        <v>27.1</v>
      </c>
      <c r="D4173" s="689">
        <v>26.9</v>
      </c>
      <c r="E4173" s="689">
        <v>27.3</v>
      </c>
      <c r="F4173" s="689">
        <v>27.3</v>
      </c>
      <c r="G4173" s="689">
        <v>27.5</v>
      </c>
      <c r="H4173" s="689">
        <v>27.6</v>
      </c>
      <c r="I4173" s="689">
        <v>26.9</v>
      </c>
      <c r="J4173" s="689">
        <v>27.5</v>
      </c>
      <c r="K4173" s="689">
        <v>27.4</v>
      </c>
    </row>
    <row r="4174" spans="1:11">
      <c r="A4174" s="688" t="s">
        <v>4059</v>
      </c>
      <c r="B4174" s="691">
        <v>25.7</v>
      </c>
      <c r="C4174" s="615">
        <v>26</v>
      </c>
      <c r="D4174" s="691">
        <v>25.6</v>
      </c>
      <c r="E4174" s="691">
        <v>25.9</v>
      </c>
      <c r="F4174" s="691">
        <v>25.9</v>
      </c>
      <c r="G4174" s="691">
        <v>25.9</v>
      </c>
      <c r="H4174" s="692" t="s">
        <v>4060</v>
      </c>
      <c r="I4174" s="692" t="s">
        <v>4060</v>
      </c>
      <c r="J4174" s="692" t="s">
        <v>4060</v>
      </c>
      <c r="K4174" s="692" t="s">
        <v>4060</v>
      </c>
    </row>
    <row r="4175" spans="1:11">
      <c r="A4175" s="688" t="s">
        <v>2324</v>
      </c>
      <c r="B4175" s="689">
        <v>21.7</v>
      </c>
      <c r="C4175" s="689">
        <v>21.8</v>
      </c>
      <c r="D4175" s="689">
        <v>21.5</v>
      </c>
      <c r="E4175" s="689">
        <v>21.5</v>
      </c>
      <c r="F4175" s="689">
        <v>21.6</v>
      </c>
      <c r="G4175" s="689">
        <v>21.9</v>
      </c>
      <c r="H4175" s="689">
        <v>21.9</v>
      </c>
      <c r="I4175" s="693">
        <v>21</v>
      </c>
      <c r="J4175" s="689">
        <v>19.100000000000001</v>
      </c>
      <c r="K4175" s="690" t="s">
        <v>4060</v>
      </c>
    </row>
    <row r="4176" spans="1:11">
      <c r="A4176" s="688" t="s">
        <v>2322</v>
      </c>
      <c r="B4176" s="692" t="s">
        <v>4060</v>
      </c>
      <c r="C4176" s="692" t="s">
        <v>4060</v>
      </c>
      <c r="D4176" s="692" t="s">
        <v>4060</v>
      </c>
      <c r="E4176" s="692" t="s">
        <v>4060</v>
      </c>
      <c r="F4176" s="692" t="s">
        <v>4060</v>
      </c>
      <c r="G4176" s="692" t="s">
        <v>4060</v>
      </c>
      <c r="H4176" s="692" t="s">
        <v>4060</v>
      </c>
      <c r="I4176" s="692" t="s">
        <v>4060</v>
      </c>
      <c r="J4176" s="692" t="s">
        <v>4060</v>
      </c>
      <c r="K4176" s="692" t="s">
        <v>4060</v>
      </c>
    </row>
    <row r="4177" spans="1:11">
      <c r="A4177" s="688" t="s">
        <v>2328</v>
      </c>
      <c r="B4177" s="689">
        <v>20.9</v>
      </c>
      <c r="C4177" s="689">
        <v>20.9</v>
      </c>
      <c r="D4177" s="689">
        <v>20.7</v>
      </c>
      <c r="E4177" s="693">
        <v>21</v>
      </c>
      <c r="F4177" s="689">
        <v>21.1</v>
      </c>
      <c r="G4177" s="689">
        <v>21.5</v>
      </c>
      <c r="H4177" s="689">
        <v>21.4</v>
      </c>
      <c r="I4177" s="689">
        <v>19.5</v>
      </c>
      <c r="J4177" s="689">
        <v>18.8</v>
      </c>
      <c r="K4177" s="690" t="s">
        <v>4060</v>
      </c>
    </row>
    <row r="4178" spans="1:11">
      <c r="A4178" s="688" t="s">
        <v>2496</v>
      </c>
      <c r="B4178" s="692" t="s">
        <v>4060</v>
      </c>
      <c r="C4178" s="691">
        <v>21.1</v>
      </c>
      <c r="D4178" s="691">
        <v>20.3</v>
      </c>
      <c r="E4178" s="615">
        <v>20</v>
      </c>
      <c r="F4178" s="691">
        <v>20.6</v>
      </c>
      <c r="G4178" s="691">
        <v>20.8</v>
      </c>
      <c r="H4178" s="691">
        <v>20.8</v>
      </c>
      <c r="I4178" s="692" t="s">
        <v>4060</v>
      </c>
      <c r="J4178" s="692" t="s">
        <v>4060</v>
      </c>
      <c r="K4178" s="691">
        <v>20.399999999999999</v>
      </c>
    </row>
    <row r="4179" spans="1:11">
      <c r="A4179" s="688" t="s">
        <v>2269</v>
      </c>
      <c r="B4179" s="689">
        <v>23.4</v>
      </c>
      <c r="C4179" s="689">
        <v>23.5</v>
      </c>
      <c r="D4179" s="693">
        <v>23</v>
      </c>
      <c r="E4179" s="689">
        <v>23.5</v>
      </c>
      <c r="F4179" s="689">
        <v>23.5</v>
      </c>
      <c r="G4179" s="689">
        <v>23.8</v>
      </c>
      <c r="H4179" s="689">
        <v>24.1</v>
      </c>
      <c r="I4179" s="689">
        <v>22.4</v>
      </c>
      <c r="J4179" s="689">
        <v>20.6</v>
      </c>
      <c r="K4179" s="689">
        <v>23.7</v>
      </c>
    </row>
    <row r="4180" spans="1:11">
      <c r="A4180" s="688" t="s">
        <v>2349</v>
      </c>
      <c r="B4180" s="691">
        <v>20.9</v>
      </c>
      <c r="C4180" s="615">
        <v>21</v>
      </c>
      <c r="D4180" s="691">
        <v>20.9</v>
      </c>
      <c r="E4180" s="691">
        <v>21.2</v>
      </c>
      <c r="F4180" s="691">
        <v>21.1</v>
      </c>
      <c r="G4180" s="691">
        <v>21.3</v>
      </c>
      <c r="H4180" s="691">
        <v>21.3</v>
      </c>
      <c r="I4180" s="691">
        <v>20.100000000000001</v>
      </c>
      <c r="J4180" s="691">
        <v>18.7</v>
      </c>
      <c r="K4180" s="691">
        <v>20.6</v>
      </c>
    </row>
    <row r="4181" spans="1:11">
      <c r="A4181" s="688" t="s">
        <v>2355</v>
      </c>
      <c r="B4181" s="689">
        <v>23.8</v>
      </c>
      <c r="C4181" s="689">
        <v>23.7</v>
      </c>
      <c r="D4181" s="689">
        <v>23.6</v>
      </c>
      <c r="E4181" s="689">
        <v>23.6</v>
      </c>
      <c r="F4181" s="689">
        <v>23.7</v>
      </c>
      <c r="G4181" s="689">
        <v>24.1</v>
      </c>
      <c r="H4181" s="689">
        <v>24.1</v>
      </c>
      <c r="I4181" s="690" t="s">
        <v>4060</v>
      </c>
      <c r="J4181" s="690" t="s">
        <v>4060</v>
      </c>
      <c r="K4181" s="690" t="s">
        <v>4060</v>
      </c>
    </row>
    <row r="4182" spans="1:11">
      <c r="A4182" s="688" t="s">
        <v>2357</v>
      </c>
      <c r="B4182" s="692" t="s">
        <v>4060</v>
      </c>
      <c r="C4182" s="691">
        <v>20.3</v>
      </c>
      <c r="D4182" s="691">
        <v>20.6</v>
      </c>
      <c r="E4182" s="691">
        <v>20.8</v>
      </c>
      <c r="F4182" s="691">
        <v>21.1</v>
      </c>
      <c r="G4182" s="691">
        <v>20.9</v>
      </c>
      <c r="H4182" s="691">
        <v>21.1</v>
      </c>
      <c r="I4182" s="692" t="s">
        <v>4060</v>
      </c>
      <c r="J4182" s="692" t="s">
        <v>4060</v>
      </c>
      <c r="K4182" s="692" t="s">
        <v>4060</v>
      </c>
    </row>
    <row r="4183" spans="1:11">
      <c r="A4183" s="688" t="s">
        <v>4070</v>
      </c>
      <c r="B4183" s="690" t="s">
        <v>4060</v>
      </c>
      <c r="C4183" s="690" t="s">
        <v>4060</v>
      </c>
      <c r="D4183" s="690" t="s">
        <v>4060</v>
      </c>
      <c r="E4183" s="689">
        <v>23.3</v>
      </c>
      <c r="F4183" s="690" t="s">
        <v>4060</v>
      </c>
      <c r="G4183" s="690" t="s">
        <v>4060</v>
      </c>
      <c r="H4183" s="690" t="s">
        <v>4060</v>
      </c>
      <c r="I4183" s="690" t="s">
        <v>4060</v>
      </c>
      <c r="J4183" s="690" t="s">
        <v>4060</v>
      </c>
      <c r="K4183" s="690" t="s">
        <v>4060</v>
      </c>
    </row>
    <row r="4184" spans="1:11">
      <c r="A4184" s="688" t="s">
        <v>2491</v>
      </c>
      <c r="B4184" s="691">
        <v>20.3</v>
      </c>
      <c r="C4184" s="691">
        <v>20.7</v>
      </c>
      <c r="D4184" s="691">
        <v>20.8</v>
      </c>
      <c r="E4184" s="615">
        <v>21</v>
      </c>
      <c r="F4184" s="615">
        <v>21</v>
      </c>
      <c r="G4184" s="691">
        <v>21.1</v>
      </c>
      <c r="H4184" s="692" t="s">
        <v>4060</v>
      </c>
      <c r="I4184" s="692" t="s">
        <v>4060</v>
      </c>
      <c r="J4184" s="692" t="s">
        <v>4060</v>
      </c>
      <c r="K4184" s="692" t="s">
        <v>4060</v>
      </c>
    </row>
    <row r="4185" spans="1:11">
      <c r="A4185" s="688" t="s">
        <v>2343</v>
      </c>
      <c r="B4185" s="690" t="s">
        <v>4060</v>
      </c>
      <c r="C4185" s="690" t="s">
        <v>4060</v>
      </c>
      <c r="D4185" s="690" t="s">
        <v>4060</v>
      </c>
      <c r="E4185" s="690" t="s">
        <v>4060</v>
      </c>
      <c r="F4185" s="690" t="s">
        <v>4060</v>
      </c>
      <c r="G4185" s="690" t="s">
        <v>4060</v>
      </c>
      <c r="H4185" s="690" t="s">
        <v>4060</v>
      </c>
      <c r="I4185" s="690" t="s">
        <v>4060</v>
      </c>
      <c r="J4185" s="690" t="s">
        <v>4060</v>
      </c>
      <c r="K4185" s="690" t="s">
        <v>4060</v>
      </c>
    </row>
    <row r="4186" spans="1:11">
      <c r="A4186" s="688" t="s">
        <v>4071</v>
      </c>
      <c r="B4186" s="692" t="s">
        <v>4060</v>
      </c>
      <c r="C4186" s="692" t="s">
        <v>4060</v>
      </c>
      <c r="D4186" s="692" t="s">
        <v>4060</v>
      </c>
      <c r="E4186" s="692" t="s">
        <v>4060</v>
      </c>
      <c r="F4186" s="692" t="s">
        <v>4060</v>
      </c>
      <c r="G4186" s="692" t="s">
        <v>4060</v>
      </c>
      <c r="H4186" s="692" t="s">
        <v>4060</v>
      </c>
      <c r="I4186" s="692" t="s">
        <v>4060</v>
      </c>
      <c r="J4186" s="692" t="s">
        <v>4060</v>
      </c>
      <c r="K4186" s="692" t="s">
        <v>4060</v>
      </c>
    </row>
    <row r="4187" spans="1:11">
      <c r="A4187" s="688" t="s">
        <v>2489</v>
      </c>
      <c r="B4187" s="690" t="s">
        <v>4060</v>
      </c>
      <c r="C4187" s="690" t="s">
        <v>4060</v>
      </c>
      <c r="D4187" s="689">
        <v>21.3</v>
      </c>
      <c r="E4187" s="689">
        <v>21.2</v>
      </c>
      <c r="F4187" s="689">
        <v>21.6</v>
      </c>
      <c r="G4187" s="689">
        <v>22.2</v>
      </c>
      <c r="H4187" s="689">
        <v>22.2</v>
      </c>
      <c r="I4187" s="690" t="s">
        <v>4060</v>
      </c>
      <c r="J4187" s="690" t="s">
        <v>4060</v>
      </c>
      <c r="K4187" s="690" t="s">
        <v>4060</v>
      </c>
    </row>
    <row r="4188" spans="1:11">
      <c r="A4188" s="688" t="s">
        <v>2490</v>
      </c>
      <c r="B4188" s="691">
        <v>20.9</v>
      </c>
      <c r="C4188" s="691">
        <v>20.9</v>
      </c>
      <c r="D4188" s="691">
        <v>21.5</v>
      </c>
      <c r="E4188" s="692" t="s">
        <v>4060</v>
      </c>
      <c r="F4188" s="691">
        <v>21.7</v>
      </c>
      <c r="G4188" s="691">
        <v>21.9</v>
      </c>
      <c r="H4188" s="691">
        <v>22.7</v>
      </c>
      <c r="I4188" s="692" t="s">
        <v>4060</v>
      </c>
      <c r="J4188" s="692" t="s">
        <v>4060</v>
      </c>
      <c r="K4188" s="692" t="s">
        <v>4060</v>
      </c>
    </row>
    <row r="4190" spans="1:11">
      <c r="A4190" s="683" t="s">
        <v>4233</v>
      </c>
    </row>
    <row r="4191" spans="1:11">
      <c r="A4191" s="683" t="s">
        <v>4060</v>
      </c>
      <c r="B4191" s="682" t="s">
        <v>4234</v>
      </c>
    </row>
    <row r="4193" spans="1:11">
      <c r="A4193" s="682" t="s">
        <v>4248</v>
      </c>
    </row>
    <row r="4194" spans="1:11">
      <c r="A4194" s="682" t="s">
        <v>4210</v>
      </c>
      <c r="B4194" s="683" t="s">
        <v>4211</v>
      </c>
    </row>
    <row r="4195" spans="1:11">
      <c r="A4195" s="682" t="s">
        <v>4212</v>
      </c>
      <c r="B4195" s="682" t="s">
        <v>4213</v>
      </c>
    </row>
    <row r="4197" spans="1:11">
      <c r="A4197" s="683" t="s">
        <v>4214</v>
      </c>
      <c r="C4197" s="682" t="s">
        <v>4215</v>
      </c>
    </row>
    <row r="4198" spans="1:11">
      <c r="A4198" s="683" t="s">
        <v>4216</v>
      </c>
      <c r="C4198" s="682" t="s">
        <v>2967</v>
      </c>
    </row>
    <row r="4199" spans="1:11">
      <c r="A4199" s="683" t="s">
        <v>3893</v>
      </c>
      <c r="C4199" s="682" t="s">
        <v>4217</v>
      </c>
    </row>
    <row r="4200" spans="1:11">
      <c r="A4200" s="683" t="s">
        <v>4218</v>
      </c>
      <c r="C4200" s="682" t="s">
        <v>4294</v>
      </c>
    </row>
    <row r="4202" spans="1:11">
      <c r="A4202" s="684" t="s">
        <v>4220</v>
      </c>
      <c r="B4202" s="685" t="s">
        <v>4221</v>
      </c>
      <c r="C4202" s="685" t="s">
        <v>4222</v>
      </c>
      <c r="D4202" s="685" t="s">
        <v>4223</v>
      </c>
      <c r="E4202" s="685" t="s">
        <v>4224</v>
      </c>
      <c r="F4202" s="685" t="s">
        <v>4225</v>
      </c>
      <c r="G4202" s="685" t="s">
        <v>4226</v>
      </c>
      <c r="H4202" s="685" t="s">
        <v>4227</v>
      </c>
      <c r="I4202" s="685" t="s">
        <v>4228</v>
      </c>
      <c r="J4202" s="685" t="s">
        <v>4229</v>
      </c>
      <c r="K4202" s="685" t="s">
        <v>4230</v>
      </c>
    </row>
    <row r="4203" spans="1:11">
      <c r="A4203" s="686" t="s">
        <v>4231</v>
      </c>
      <c r="B4203" s="687" t="s">
        <v>4232</v>
      </c>
      <c r="C4203" s="687" t="s">
        <v>4232</v>
      </c>
      <c r="D4203" s="687" t="s">
        <v>4232</v>
      </c>
      <c r="E4203" s="687" t="s">
        <v>4232</v>
      </c>
      <c r="F4203" s="687" t="s">
        <v>4232</v>
      </c>
      <c r="G4203" s="687" t="s">
        <v>4232</v>
      </c>
      <c r="H4203" s="687" t="s">
        <v>4232</v>
      </c>
      <c r="I4203" s="687" t="s">
        <v>4232</v>
      </c>
      <c r="J4203" s="687" t="s">
        <v>4232</v>
      </c>
      <c r="K4203" s="687" t="s">
        <v>4232</v>
      </c>
    </row>
    <row r="4204" spans="1:11">
      <c r="A4204" s="688" t="s">
        <v>4064</v>
      </c>
      <c r="B4204" s="691">
        <v>24.5</v>
      </c>
      <c r="C4204" s="691">
        <v>24.5</v>
      </c>
      <c r="D4204" s="691">
        <v>24.5</v>
      </c>
      <c r="E4204" s="691">
        <v>24.6</v>
      </c>
      <c r="F4204" s="691">
        <v>24.5</v>
      </c>
      <c r="G4204" s="691">
        <v>24.6</v>
      </c>
      <c r="H4204" s="691">
        <v>24.8</v>
      </c>
      <c r="I4204" s="615">
        <v>24</v>
      </c>
      <c r="J4204" s="691">
        <v>23.8</v>
      </c>
      <c r="K4204" s="691">
        <v>24.3</v>
      </c>
    </row>
    <row r="4205" spans="1:11">
      <c r="A4205" s="688" t="s">
        <v>4065</v>
      </c>
      <c r="B4205" s="689">
        <v>24.5</v>
      </c>
      <c r="C4205" s="689">
        <v>24.8</v>
      </c>
      <c r="D4205" s="689">
        <v>24.5</v>
      </c>
      <c r="E4205" s="689">
        <v>24.8</v>
      </c>
      <c r="F4205" s="689">
        <v>24.7</v>
      </c>
      <c r="G4205" s="689">
        <v>24.8</v>
      </c>
      <c r="H4205" s="690" t="s">
        <v>4060</v>
      </c>
      <c r="I4205" s="690" t="s">
        <v>4060</v>
      </c>
      <c r="J4205" s="690" t="s">
        <v>4060</v>
      </c>
      <c r="K4205" s="690" t="s">
        <v>4060</v>
      </c>
    </row>
    <row r="4206" spans="1:11">
      <c r="A4206" s="688" t="s">
        <v>4063</v>
      </c>
      <c r="B4206" s="691">
        <v>24.6</v>
      </c>
      <c r="C4206" s="691">
        <v>24.9</v>
      </c>
      <c r="D4206" s="691">
        <v>24.5</v>
      </c>
      <c r="E4206" s="691">
        <v>24.9</v>
      </c>
      <c r="F4206" s="691">
        <v>24.8</v>
      </c>
      <c r="G4206" s="691">
        <v>24.8</v>
      </c>
      <c r="H4206" s="692" t="s">
        <v>4060</v>
      </c>
      <c r="I4206" s="692" t="s">
        <v>4060</v>
      </c>
      <c r="J4206" s="692" t="s">
        <v>4060</v>
      </c>
      <c r="K4206" s="692" t="s">
        <v>4060</v>
      </c>
    </row>
    <row r="4207" spans="1:11">
      <c r="A4207" s="688" t="s">
        <v>4069</v>
      </c>
      <c r="B4207" s="690" t="s">
        <v>4060</v>
      </c>
      <c r="C4207" s="689">
        <v>25.2</v>
      </c>
      <c r="D4207" s="693">
        <v>25</v>
      </c>
      <c r="E4207" s="689">
        <v>25.3</v>
      </c>
      <c r="F4207" s="689">
        <v>25.2</v>
      </c>
      <c r="G4207" s="689">
        <v>25.3</v>
      </c>
      <c r="H4207" s="689">
        <v>25.6</v>
      </c>
      <c r="I4207" s="689">
        <v>24.9</v>
      </c>
      <c r="J4207" s="689">
        <v>24.9</v>
      </c>
      <c r="K4207" s="693">
        <v>25</v>
      </c>
    </row>
    <row r="4208" spans="1:11">
      <c r="A4208" s="688" t="s">
        <v>4068</v>
      </c>
      <c r="B4208" s="691">
        <v>25.3</v>
      </c>
      <c r="C4208" s="692" t="s">
        <v>4060</v>
      </c>
      <c r="D4208" s="692" t="s">
        <v>4060</v>
      </c>
      <c r="E4208" s="692" t="s">
        <v>4060</v>
      </c>
      <c r="F4208" s="692" t="s">
        <v>4060</v>
      </c>
      <c r="G4208" s="692" t="s">
        <v>4060</v>
      </c>
      <c r="H4208" s="692" t="s">
        <v>4060</v>
      </c>
      <c r="I4208" s="692" t="s">
        <v>4060</v>
      </c>
      <c r="J4208" s="692" t="s">
        <v>4060</v>
      </c>
      <c r="K4208" s="692" t="s">
        <v>4060</v>
      </c>
    </row>
    <row r="4209" spans="1:11">
      <c r="A4209" s="688" t="s">
        <v>0</v>
      </c>
      <c r="B4209" s="689">
        <v>24.6</v>
      </c>
      <c r="C4209" s="689">
        <v>24.9</v>
      </c>
      <c r="D4209" s="689">
        <v>24.6</v>
      </c>
      <c r="E4209" s="689">
        <v>24.9</v>
      </c>
      <c r="F4209" s="693">
        <v>25</v>
      </c>
      <c r="G4209" s="689">
        <v>25.1</v>
      </c>
      <c r="H4209" s="689">
        <v>25.3</v>
      </c>
      <c r="I4209" s="689">
        <v>24.3</v>
      </c>
      <c r="J4209" s="689">
        <v>25.2</v>
      </c>
      <c r="K4209" s="689">
        <v>25.1</v>
      </c>
    </row>
    <row r="4210" spans="1:11">
      <c r="A4210" s="688" t="s">
        <v>1</v>
      </c>
      <c r="B4210" s="691">
        <v>20.6</v>
      </c>
      <c r="C4210" s="691">
        <v>20.3</v>
      </c>
      <c r="D4210" s="691">
        <v>20.2</v>
      </c>
      <c r="E4210" s="691">
        <v>20.399999999999999</v>
      </c>
      <c r="F4210" s="691">
        <v>20.3</v>
      </c>
      <c r="G4210" s="691">
        <v>20.399999999999999</v>
      </c>
      <c r="H4210" s="691">
        <v>20.5</v>
      </c>
      <c r="I4210" s="691">
        <v>19.2</v>
      </c>
      <c r="J4210" s="691">
        <v>17.7</v>
      </c>
      <c r="K4210" s="691">
        <v>19.7</v>
      </c>
    </row>
    <row r="4211" spans="1:11">
      <c r="A4211" s="688" t="s">
        <v>2240</v>
      </c>
      <c r="B4211" s="689">
        <v>22.3</v>
      </c>
      <c r="C4211" s="689">
        <v>22.6</v>
      </c>
      <c r="D4211" s="689">
        <v>22.4</v>
      </c>
      <c r="E4211" s="689">
        <v>22.8</v>
      </c>
      <c r="F4211" s="689">
        <v>22.7</v>
      </c>
      <c r="G4211" s="689">
        <v>22.8</v>
      </c>
      <c r="H4211" s="693">
        <v>23</v>
      </c>
      <c r="I4211" s="693">
        <v>22</v>
      </c>
      <c r="J4211" s="689">
        <v>21.3</v>
      </c>
      <c r="K4211" s="689">
        <v>22.8</v>
      </c>
    </row>
    <row r="4212" spans="1:11">
      <c r="A4212" s="688" t="s">
        <v>2</v>
      </c>
      <c r="B4212" s="615">
        <v>24</v>
      </c>
      <c r="C4212" s="691">
        <v>24.2</v>
      </c>
      <c r="D4212" s="691">
        <v>24.2</v>
      </c>
      <c r="E4212" s="691">
        <v>24.3</v>
      </c>
      <c r="F4212" s="691">
        <v>24.5</v>
      </c>
      <c r="G4212" s="691">
        <v>24.3</v>
      </c>
      <c r="H4212" s="691">
        <v>24.6</v>
      </c>
      <c r="I4212" s="691">
        <v>24.7</v>
      </c>
      <c r="J4212" s="691">
        <v>24.6</v>
      </c>
      <c r="K4212" s="691">
        <v>24.4</v>
      </c>
    </row>
    <row r="4213" spans="1:11">
      <c r="A4213" s="688" t="s">
        <v>3</v>
      </c>
      <c r="B4213" s="689">
        <v>24.3</v>
      </c>
      <c r="C4213" s="689">
        <v>24.5</v>
      </c>
      <c r="D4213" s="689">
        <v>24.2</v>
      </c>
      <c r="E4213" s="689">
        <v>24.5</v>
      </c>
      <c r="F4213" s="689">
        <v>24.5</v>
      </c>
      <c r="G4213" s="689">
        <v>24.4</v>
      </c>
      <c r="H4213" s="689">
        <v>24.7</v>
      </c>
      <c r="I4213" s="689">
        <v>24.4</v>
      </c>
      <c r="J4213" s="689">
        <v>24.2</v>
      </c>
      <c r="K4213" s="693">
        <v>24</v>
      </c>
    </row>
    <row r="4214" spans="1:11">
      <c r="A4214" s="688" t="s">
        <v>4061</v>
      </c>
      <c r="B4214" s="691">
        <v>24.3</v>
      </c>
      <c r="C4214" s="691">
        <v>24.5</v>
      </c>
      <c r="D4214" s="691">
        <v>24.2</v>
      </c>
      <c r="E4214" s="691">
        <v>24.5</v>
      </c>
      <c r="F4214" s="691">
        <v>24.5</v>
      </c>
      <c r="G4214" s="691">
        <v>24.4</v>
      </c>
      <c r="H4214" s="691">
        <v>24.7</v>
      </c>
      <c r="I4214" s="691">
        <v>24.4</v>
      </c>
      <c r="J4214" s="691">
        <v>24.2</v>
      </c>
      <c r="K4214" s="615">
        <v>24</v>
      </c>
    </row>
    <row r="4215" spans="1:11">
      <c r="A4215" s="688" t="s">
        <v>4</v>
      </c>
      <c r="B4215" s="689">
        <v>22.6</v>
      </c>
      <c r="C4215" s="689">
        <v>22.4</v>
      </c>
      <c r="D4215" s="689">
        <v>22.7</v>
      </c>
      <c r="E4215" s="689">
        <v>22.9</v>
      </c>
      <c r="F4215" s="689">
        <v>22.9</v>
      </c>
      <c r="G4215" s="689">
        <v>22.9</v>
      </c>
      <c r="H4215" s="689">
        <v>23.3</v>
      </c>
      <c r="I4215" s="689">
        <v>23.3</v>
      </c>
      <c r="J4215" s="689">
        <v>21.9</v>
      </c>
      <c r="K4215" s="689">
        <v>22.8</v>
      </c>
    </row>
    <row r="4216" spans="1:11">
      <c r="A4216" s="688" t="s">
        <v>8</v>
      </c>
      <c r="B4216" s="691">
        <v>24.6</v>
      </c>
      <c r="C4216" s="691">
        <v>24.7</v>
      </c>
      <c r="D4216" s="691">
        <v>24.8</v>
      </c>
      <c r="E4216" s="691">
        <v>24.8</v>
      </c>
      <c r="F4216" s="691">
        <v>25.2</v>
      </c>
      <c r="G4216" s="691">
        <v>25.3</v>
      </c>
      <c r="H4216" s="691">
        <v>25.6</v>
      </c>
      <c r="I4216" s="691">
        <v>25.5</v>
      </c>
      <c r="J4216" s="691">
        <v>25.3</v>
      </c>
      <c r="K4216" s="691">
        <v>25.5</v>
      </c>
    </row>
    <row r="4217" spans="1:11">
      <c r="A4217" s="688" t="s">
        <v>7</v>
      </c>
      <c r="B4217" s="689">
        <v>25.2</v>
      </c>
      <c r="C4217" s="689">
        <v>24.7</v>
      </c>
      <c r="D4217" s="689">
        <v>24.5</v>
      </c>
      <c r="E4217" s="689">
        <v>24.8</v>
      </c>
      <c r="F4217" s="689">
        <v>24.7</v>
      </c>
      <c r="G4217" s="689">
        <v>25.1</v>
      </c>
      <c r="H4217" s="693">
        <v>25</v>
      </c>
      <c r="I4217" s="689">
        <v>24.7</v>
      </c>
      <c r="J4217" s="689">
        <v>23.9</v>
      </c>
      <c r="K4217" s="689">
        <v>24.3</v>
      </c>
    </row>
    <row r="4218" spans="1:11">
      <c r="A4218" s="688" t="s">
        <v>27</v>
      </c>
      <c r="B4218" s="691">
        <v>26.5</v>
      </c>
      <c r="C4218" s="691">
        <v>26.2</v>
      </c>
      <c r="D4218" s="691">
        <v>25.9</v>
      </c>
      <c r="E4218" s="691">
        <v>26.2</v>
      </c>
      <c r="F4218" s="691">
        <v>26.2</v>
      </c>
      <c r="G4218" s="691">
        <v>26.3</v>
      </c>
      <c r="H4218" s="691">
        <v>26.6</v>
      </c>
      <c r="I4218" s="691">
        <v>25.4</v>
      </c>
      <c r="J4218" s="691">
        <v>26.1</v>
      </c>
      <c r="K4218" s="691">
        <v>26.1</v>
      </c>
    </row>
    <row r="4219" spans="1:11">
      <c r="A4219" s="688" t="s">
        <v>6</v>
      </c>
      <c r="B4219" s="689">
        <v>26.5</v>
      </c>
      <c r="C4219" s="689">
        <v>26.4</v>
      </c>
      <c r="D4219" s="689">
        <v>26.1</v>
      </c>
      <c r="E4219" s="689">
        <v>26.3</v>
      </c>
      <c r="F4219" s="689">
        <v>26.4</v>
      </c>
      <c r="G4219" s="689">
        <v>26.5</v>
      </c>
      <c r="H4219" s="689">
        <v>26.6</v>
      </c>
      <c r="I4219" s="693">
        <v>26</v>
      </c>
      <c r="J4219" s="689">
        <v>26.1</v>
      </c>
      <c r="K4219" s="689">
        <v>26.1</v>
      </c>
    </row>
    <row r="4220" spans="1:11">
      <c r="A4220" s="688" t="s">
        <v>4058</v>
      </c>
      <c r="B4220" s="692" t="s">
        <v>4060</v>
      </c>
      <c r="C4220" s="692" t="s">
        <v>4060</v>
      </c>
      <c r="D4220" s="692" t="s">
        <v>4060</v>
      </c>
      <c r="E4220" s="692" t="s">
        <v>4060</v>
      </c>
      <c r="F4220" s="692" t="s">
        <v>4060</v>
      </c>
      <c r="G4220" s="692" t="s">
        <v>4060</v>
      </c>
      <c r="H4220" s="692" t="s">
        <v>4060</v>
      </c>
      <c r="I4220" s="692" t="s">
        <v>4060</v>
      </c>
      <c r="J4220" s="692" t="s">
        <v>4060</v>
      </c>
      <c r="K4220" s="692" t="s">
        <v>4060</v>
      </c>
    </row>
    <row r="4221" spans="1:11">
      <c r="A4221" s="688" t="s">
        <v>11</v>
      </c>
      <c r="B4221" s="693">
        <v>22</v>
      </c>
      <c r="C4221" s="693">
        <v>22</v>
      </c>
      <c r="D4221" s="689">
        <v>21.6</v>
      </c>
      <c r="E4221" s="689">
        <v>22.1</v>
      </c>
      <c r="F4221" s="689">
        <v>21.9</v>
      </c>
      <c r="G4221" s="689">
        <v>22.1</v>
      </c>
      <c r="H4221" s="689">
        <v>22.4</v>
      </c>
      <c r="I4221" s="689">
        <v>21.6</v>
      </c>
      <c r="J4221" s="689">
        <v>20.9</v>
      </c>
      <c r="K4221" s="689">
        <v>21.8</v>
      </c>
    </row>
    <row r="4222" spans="1:11">
      <c r="A4222" s="688" t="s">
        <v>10</v>
      </c>
      <c r="B4222" s="615">
        <v>26</v>
      </c>
      <c r="C4222" s="691">
        <v>25.9</v>
      </c>
      <c r="D4222" s="691">
        <v>25.5</v>
      </c>
      <c r="E4222" s="691">
        <v>26.1</v>
      </c>
      <c r="F4222" s="691">
        <v>25.9</v>
      </c>
      <c r="G4222" s="691">
        <v>26.2</v>
      </c>
      <c r="H4222" s="691">
        <v>26.3</v>
      </c>
      <c r="I4222" s="691">
        <v>25.2</v>
      </c>
      <c r="J4222" s="691">
        <v>25.6</v>
      </c>
      <c r="K4222" s="691">
        <v>25.7</v>
      </c>
    </row>
    <row r="4223" spans="1:11">
      <c r="A4223" s="688" t="s">
        <v>30</v>
      </c>
      <c r="B4223" s="689">
        <v>25.4</v>
      </c>
      <c r="C4223" s="689">
        <v>25.2</v>
      </c>
      <c r="D4223" s="689">
        <v>24.9</v>
      </c>
      <c r="E4223" s="689">
        <v>25.7</v>
      </c>
      <c r="F4223" s="689">
        <v>25.2</v>
      </c>
      <c r="G4223" s="689">
        <v>25.8</v>
      </c>
      <c r="H4223" s="689">
        <v>25.6</v>
      </c>
      <c r="I4223" s="689">
        <v>25.7</v>
      </c>
      <c r="J4223" s="693">
        <v>25</v>
      </c>
      <c r="K4223" s="689">
        <v>25.2</v>
      </c>
    </row>
    <row r="4224" spans="1:11">
      <c r="A4224" s="688" t="s">
        <v>12</v>
      </c>
      <c r="B4224" s="615">
        <v>21</v>
      </c>
      <c r="C4224" s="691">
        <v>20.9</v>
      </c>
      <c r="D4224" s="615">
        <v>21</v>
      </c>
      <c r="E4224" s="691">
        <v>21.1</v>
      </c>
      <c r="F4224" s="691">
        <v>21.1</v>
      </c>
      <c r="G4224" s="691">
        <v>21.2</v>
      </c>
      <c r="H4224" s="691">
        <v>21.6</v>
      </c>
      <c r="I4224" s="691">
        <v>21.3</v>
      </c>
      <c r="J4224" s="691">
        <v>19.600000000000001</v>
      </c>
      <c r="K4224" s="691">
        <v>20.8</v>
      </c>
    </row>
    <row r="4225" spans="1:11">
      <c r="A4225" s="688" t="s">
        <v>14</v>
      </c>
      <c r="B4225" s="689">
        <v>21.2</v>
      </c>
      <c r="C4225" s="689">
        <v>21.3</v>
      </c>
      <c r="D4225" s="693">
        <v>21</v>
      </c>
      <c r="E4225" s="689">
        <v>21.2</v>
      </c>
      <c r="F4225" s="689">
        <v>21.5</v>
      </c>
      <c r="G4225" s="689">
        <v>21.7</v>
      </c>
      <c r="H4225" s="689">
        <v>21.9</v>
      </c>
      <c r="I4225" s="693">
        <v>21</v>
      </c>
      <c r="J4225" s="689">
        <v>20.3</v>
      </c>
      <c r="K4225" s="689">
        <v>21.4</v>
      </c>
    </row>
    <row r="4226" spans="1:11">
      <c r="A4226" s="688" t="s">
        <v>15</v>
      </c>
      <c r="B4226" s="691">
        <v>25.5</v>
      </c>
      <c r="C4226" s="691">
        <v>25.2</v>
      </c>
      <c r="D4226" s="691">
        <v>25.1</v>
      </c>
      <c r="E4226" s="691">
        <v>25.4</v>
      </c>
      <c r="F4226" s="615">
        <v>25</v>
      </c>
      <c r="G4226" s="691">
        <v>25.3</v>
      </c>
      <c r="H4226" s="691">
        <v>25.6</v>
      </c>
      <c r="I4226" s="691">
        <v>25.2</v>
      </c>
      <c r="J4226" s="691">
        <v>25.6</v>
      </c>
      <c r="K4226" s="691">
        <v>25.8</v>
      </c>
    </row>
    <row r="4227" spans="1:11">
      <c r="A4227" s="688" t="s">
        <v>29</v>
      </c>
      <c r="B4227" s="689">
        <v>20.9</v>
      </c>
      <c r="C4227" s="689">
        <v>20.9</v>
      </c>
      <c r="D4227" s="689">
        <v>20.6</v>
      </c>
      <c r="E4227" s="689">
        <v>20.9</v>
      </c>
      <c r="F4227" s="689">
        <v>20.7</v>
      </c>
      <c r="G4227" s="689">
        <v>20.7</v>
      </c>
      <c r="H4227" s="689">
        <v>20.9</v>
      </c>
      <c r="I4227" s="689">
        <v>20.2</v>
      </c>
      <c r="J4227" s="689">
        <v>19.2</v>
      </c>
      <c r="K4227" s="689">
        <v>20.5</v>
      </c>
    </row>
    <row r="4228" spans="1:11">
      <c r="A4228" s="688" t="s">
        <v>16</v>
      </c>
      <c r="B4228" s="691">
        <v>25.1</v>
      </c>
      <c r="C4228" s="691">
        <v>25.1</v>
      </c>
      <c r="D4228" s="691">
        <v>25.1</v>
      </c>
      <c r="E4228" s="691">
        <v>25.8</v>
      </c>
      <c r="F4228" s="691">
        <v>25.4</v>
      </c>
      <c r="G4228" s="691">
        <v>25.4</v>
      </c>
      <c r="H4228" s="691">
        <v>25.7</v>
      </c>
      <c r="I4228" s="691">
        <v>25.2</v>
      </c>
      <c r="J4228" s="691">
        <v>25.2</v>
      </c>
      <c r="K4228" s="691">
        <v>25.3</v>
      </c>
    </row>
    <row r="4229" spans="1:11">
      <c r="A4229" s="688" t="s">
        <v>17</v>
      </c>
      <c r="B4229" s="689">
        <v>24.8</v>
      </c>
      <c r="C4229" s="689">
        <v>24.9</v>
      </c>
      <c r="D4229" s="689">
        <v>24.7</v>
      </c>
      <c r="E4229" s="689">
        <v>24.8</v>
      </c>
      <c r="F4229" s="689">
        <v>24.9</v>
      </c>
      <c r="G4229" s="689">
        <v>24.9</v>
      </c>
      <c r="H4229" s="689">
        <v>25.2</v>
      </c>
      <c r="I4229" s="689">
        <v>24.6</v>
      </c>
      <c r="J4229" s="689">
        <v>24.6</v>
      </c>
      <c r="K4229" s="689">
        <v>24.8</v>
      </c>
    </row>
    <row r="4230" spans="1:11">
      <c r="A4230" s="688" t="s">
        <v>19</v>
      </c>
      <c r="B4230" s="691">
        <v>24.9</v>
      </c>
      <c r="C4230" s="691">
        <v>24.9</v>
      </c>
      <c r="D4230" s="691">
        <v>24.6</v>
      </c>
      <c r="E4230" s="615">
        <v>25</v>
      </c>
      <c r="F4230" s="615">
        <v>25</v>
      </c>
      <c r="G4230" s="691">
        <v>25.1</v>
      </c>
      <c r="H4230" s="691">
        <v>25.2</v>
      </c>
      <c r="I4230" s="691">
        <v>24.6</v>
      </c>
      <c r="J4230" s="691">
        <v>24.6</v>
      </c>
      <c r="K4230" s="691">
        <v>24.7</v>
      </c>
    </row>
    <row r="4231" spans="1:11">
      <c r="A4231" s="688" t="s">
        <v>20</v>
      </c>
      <c r="B4231" s="689">
        <v>22.3</v>
      </c>
      <c r="C4231" s="689">
        <v>22.5</v>
      </c>
      <c r="D4231" s="689">
        <v>22.3</v>
      </c>
      <c r="E4231" s="689">
        <v>22.7</v>
      </c>
      <c r="F4231" s="689">
        <v>22.5</v>
      </c>
      <c r="G4231" s="689">
        <v>22.4</v>
      </c>
      <c r="H4231" s="689">
        <v>22.7</v>
      </c>
      <c r="I4231" s="689">
        <v>21.4</v>
      </c>
      <c r="J4231" s="689">
        <v>20.6</v>
      </c>
      <c r="K4231" s="693">
        <v>22</v>
      </c>
    </row>
    <row r="4232" spans="1:11">
      <c r="A4232" s="688" t="s">
        <v>21</v>
      </c>
      <c r="B4232" s="691">
        <v>24.8</v>
      </c>
      <c r="C4232" s="691">
        <v>25.2</v>
      </c>
      <c r="D4232" s="691">
        <v>25.1</v>
      </c>
      <c r="E4232" s="691">
        <v>25.1</v>
      </c>
      <c r="F4232" s="691">
        <v>25.4</v>
      </c>
      <c r="G4232" s="691">
        <v>25.3</v>
      </c>
      <c r="H4232" s="691">
        <v>25.6</v>
      </c>
      <c r="I4232" s="615">
        <v>25</v>
      </c>
      <c r="J4232" s="615">
        <v>25</v>
      </c>
      <c r="K4232" s="691">
        <v>25.3</v>
      </c>
    </row>
    <row r="4233" spans="1:11">
      <c r="A4233" s="688" t="s">
        <v>22</v>
      </c>
      <c r="B4233" s="689">
        <v>20.9</v>
      </c>
      <c r="C4233" s="689">
        <v>20.7</v>
      </c>
      <c r="D4233" s="689">
        <v>20.6</v>
      </c>
      <c r="E4233" s="689">
        <v>20.8</v>
      </c>
      <c r="F4233" s="689">
        <v>20.8</v>
      </c>
      <c r="G4233" s="689">
        <v>20.8</v>
      </c>
      <c r="H4233" s="689">
        <v>21.1</v>
      </c>
      <c r="I4233" s="689">
        <v>19.7</v>
      </c>
      <c r="J4233" s="689">
        <v>18.600000000000001</v>
      </c>
      <c r="K4233" s="689">
        <v>20.5</v>
      </c>
    </row>
    <row r="4234" spans="1:11">
      <c r="A4234" s="688" t="s">
        <v>26</v>
      </c>
      <c r="B4234" s="691">
        <v>24.3</v>
      </c>
      <c r="C4234" s="691">
        <v>24.4</v>
      </c>
      <c r="D4234" s="691">
        <v>24.2</v>
      </c>
      <c r="E4234" s="691">
        <v>24.5</v>
      </c>
      <c r="F4234" s="691">
        <v>24.4</v>
      </c>
      <c r="G4234" s="691">
        <v>24.6</v>
      </c>
      <c r="H4234" s="691">
        <v>24.7</v>
      </c>
      <c r="I4234" s="691">
        <v>23.8</v>
      </c>
      <c r="J4234" s="615">
        <v>24</v>
      </c>
      <c r="K4234" s="691">
        <v>24.5</v>
      </c>
    </row>
    <row r="4235" spans="1:11">
      <c r="A4235" s="688" t="s">
        <v>25</v>
      </c>
      <c r="B4235" s="689">
        <v>21.4</v>
      </c>
      <c r="C4235" s="689">
        <v>21.7</v>
      </c>
      <c r="D4235" s="689">
        <v>21.5</v>
      </c>
      <c r="E4235" s="689">
        <v>21.9</v>
      </c>
      <c r="F4235" s="689">
        <v>21.8</v>
      </c>
      <c r="G4235" s="693">
        <v>22</v>
      </c>
      <c r="H4235" s="689">
        <v>22.4</v>
      </c>
      <c r="I4235" s="689">
        <v>21.6</v>
      </c>
      <c r="J4235" s="689">
        <v>19.600000000000001</v>
      </c>
      <c r="K4235" s="689">
        <v>21.6</v>
      </c>
    </row>
    <row r="4236" spans="1:11">
      <c r="A4236" s="688" t="s">
        <v>5</v>
      </c>
      <c r="B4236" s="615">
        <v>25</v>
      </c>
      <c r="C4236" s="691">
        <v>24.8</v>
      </c>
      <c r="D4236" s="691">
        <v>24.9</v>
      </c>
      <c r="E4236" s="691">
        <v>24.9</v>
      </c>
      <c r="F4236" s="691">
        <v>25.1</v>
      </c>
      <c r="G4236" s="691">
        <v>25.2</v>
      </c>
      <c r="H4236" s="691">
        <v>25.5</v>
      </c>
      <c r="I4236" s="691">
        <v>25.4</v>
      </c>
      <c r="J4236" s="691">
        <v>25.3</v>
      </c>
      <c r="K4236" s="691">
        <v>24.7</v>
      </c>
    </row>
    <row r="4237" spans="1:11">
      <c r="A4237" s="688" t="s">
        <v>23</v>
      </c>
      <c r="B4237" s="689">
        <v>25.2</v>
      </c>
      <c r="C4237" s="689">
        <v>25.4</v>
      </c>
      <c r="D4237" s="689">
        <v>25.3</v>
      </c>
      <c r="E4237" s="689">
        <v>25.4</v>
      </c>
      <c r="F4237" s="689">
        <v>25.5</v>
      </c>
      <c r="G4237" s="689">
        <v>25.6</v>
      </c>
      <c r="H4237" s="693">
        <v>26</v>
      </c>
      <c r="I4237" s="689">
        <v>25.4</v>
      </c>
      <c r="J4237" s="693">
        <v>26</v>
      </c>
      <c r="K4237" s="689">
        <v>25.9</v>
      </c>
    </row>
    <row r="4238" spans="1:11">
      <c r="A4238" s="688" t="s">
        <v>4067</v>
      </c>
      <c r="B4238" s="691">
        <v>24.5</v>
      </c>
      <c r="C4238" s="691">
        <v>24.8</v>
      </c>
      <c r="D4238" s="691">
        <v>24.5</v>
      </c>
      <c r="E4238" s="691">
        <v>24.8</v>
      </c>
      <c r="F4238" s="691">
        <v>24.7</v>
      </c>
      <c r="G4238" s="691">
        <v>24.8</v>
      </c>
      <c r="H4238" s="692" t="s">
        <v>4060</v>
      </c>
      <c r="I4238" s="692" t="s">
        <v>4060</v>
      </c>
      <c r="J4238" s="692" t="s">
        <v>4060</v>
      </c>
      <c r="K4238" s="692" t="s">
        <v>4060</v>
      </c>
    </row>
    <row r="4239" spans="1:11">
      <c r="A4239" s="688" t="s">
        <v>4066</v>
      </c>
      <c r="B4239" s="689">
        <v>24.6</v>
      </c>
      <c r="C4239" s="689">
        <v>24.9</v>
      </c>
      <c r="D4239" s="689">
        <v>24.5</v>
      </c>
      <c r="E4239" s="689">
        <v>24.9</v>
      </c>
      <c r="F4239" s="689">
        <v>24.8</v>
      </c>
      <c r="G4239" s="689">
        <v>24.9</v>
      </c>
      <c r="H4239" s="690" t="s">
        <v>4060</v>
      </c>
      <c r="I4239" s="690" t="s">
        <v>4060</v>
      </c>
      <c r="J4239" s="690" t="s">
        <v>4060</v>
      </c>
      <c r="K4239" s="690" t="s">
        <v>4060</v>
      </c>
    </row>
    <row r="4240" spans="1:11">
      <c r="A4240" s="688" t="s">
        <v>4062</v>
      </c>
      <c r="B4240" s="691">
        <v>25.7</v>
      </c>
      <c r="C4240" s="691">
        <v>25.9</v>
      </c>
      <c r="D4240" s="691">
        <v>25.8</v>
      </c>
      <c r="E4240" s="691">
        <v>26.1</v>
      </c>
      <c r="F4240" s="691">
        <v>26.1</v>
      </c>
      <c r="G4240" s="691">
        <v>26.3</v>
      </c>
      <c r="H4240" s="691">
        <v>26.4</v>
      </c>
      <c r="I4240" s="691">
        <v>26.1</v>
      </c>
      <c r="J4240" s="691">
        <v>26.4</v>
      </c>
      <c r="K4240" s="691">
        <v>26.1</v>
      </c>
    </row>
    <row r="4241" spans="1:11">
      <c r="A4241" s="688" t="s">
        <v>9</v>
      </c>
      <c r="B4241" s="689">
        <v>25.2</v>
      </c>
      <c r="C4241" s="689">
        <v>25.7</v>
      </c>
      <c r="D4241" s="689">
        <v>25.6</v>
      </c>
      <c r="E4241" s="689">
        <v>25.1</v>
      </c>
      <c r="F4241" s="689">
        <v>25.7</v>
      </c>
      <c r="G4241" s="689">
        <v>25.8</v>
      </c>
      <c r="H4241" s="693">
        <v>26</v>
      </c>
      <c r="I4241" s="689">
        <v>26.2</v>
      </c>
      <c r="J4241" s="689">
        <v>26.3</v>
      </c>
      <c r="K4241" s="689">
        <v>25.3</v>
      </c>
    </row>
    <row r="4242" spans="1:11">
      <c r="A4242" s="688" t="s">
        <v>13</v>
      </c>
      <c r="B4242" s="691">
        <v>25.8</v>
      </c>
      <c r="C4242" s="691">
        <v>25.2</v>
      </c>
      <c r="D4242" s="691">
        <v>25.6</v>
      </c>
      <c r="E4242" s="691">
        <v>25.1</v>
      </c>
      <c r="F4242" s="691">
        <v>26.2</v>
      </c>
      <c r="G4242" s="615">
        <v>26</v>
      </c>
      <c r="H4242" s="691">
        <v>26.2</v>
      </c>
      <c r="I4242" s="691">
        <v>25.1</v>
      </c>
      <c r="J4242" s="691">
        <v>26.6</v>
      </c>
      <c r="K4242" s="691">
        <v>26.8</v>
      </c>
    </row>
    <row r="4243" spans="1:11">
      <c r="A4243" s="688" t="s">
        <v>18</v>
      </c>
      <c r="B4243" s="689">
        <v>25.1</v>
      </c>
      <c r="C4243" s="689">
        <v>25.3</v>
      </c>
      <c r="D4243" s="689">
        <v>25.4</v>
      </c>
      <c r="E4243" s="689">
        <v>25.5</v>
      </c>
      <c r="F4243" s="689">
        <v>25.6</v>
      </c>
      <c r="G4243" s="689">
        <v>25.8</v>
      </c>
      <c r="H4243" s="693">
        <v>26</v>
      </c>
      <c r="I4243" s="689">
        <v>26.2</v>
      </c>
      <c r="J4243" s="689">
        <v>26.1</v>
      </c>
      <c r="K4243" s="689">
        <v>25.6</v>
      </c>
    </row>
    <row r="4244" spans="1:11">
      <c r="A4244" s="688" t="s">
        <v>24</v>
      </c>
      <c r="B4244" s="691">
        <v>26.1</v>
      </c>
      <c r="C4244" s="691">
        <v>26.2</v>
      </c>
      <c r="D4244" s="615">
        <v>26</v>
      </c>
      <c r="E4244" s="691">
        <v>26.4</v>
      </c>
      <c r="F4244" s="691">
        <v>26.4</v>
      </c>
      <c r="G4244" s="691">
        <v>26.6</v>
      </c>
      <c r="H4244" s="691">
        <v>26.7</v>
      </c>
      <c r="I4244" s="615">
        <v>26</v>
      </c>
      <c r="J4244" s="691">
        <v>26.6</v>
      </c>
      <c r="K4244" s="691">
        <v>26.5</v>
      </c>
    </row>
    <row r="4245" spans="1:11">
      <c r="A4245" s="688" t="s">
        <v>4059</v>
      </c>
      <c r="B4245" s="689">
        <v>24.8</v>
      </c>
      <c r="C4245" s="689">
        <v>25.1</v>
      </c>
      <c r="D4245" s="689">
        <v>24.8</v>
      </c>
      <c r="E4245" s="693">
        <v>25</v>
      </c>
      <c r="F4245" s="693">
        <v>25</v>
      </c>
      <c r="G4245" s="689">
        <v>25.1</v>
      </c>
      <c r="H4245" s="690" t="s">
        <v>4060</v>
      </c>
      <c r="I4245" s="690" t="s">
        <v>4060</v>
      </c>
      <c r="J4245" s="690" t="s">
        <v>4060</v>
      </c>
      <c r="K4245" s="690" t="s">
        <v>4060</v>
      </c>
    </row>
    <row r="4246" spans="1:11">
      <c r="A4246" s="688" t="s">
        <v>2324</v>
      </c>
      <c r="B4246" s="615">
        <v>21</v>
      </c>
      <c r="C4246" s="615">
        <v>21</v>
      </c>
      <c r="D4246" s="691">
        <v>20.7</v>
      </c>
      <c r="E4246" s="691">
        <v>20.7</v>
      </c>
      <c r="F4246" s="691">
        <v>20.8</v>
      </c>
      <c r="G4246" s="691">
        <v>21.1</v>
      </c>
      <c r="H4246" s="691">
        <v>21.1</v>
      </c>
      <c r="I4246" s="691">
        <v>20.2</v>
      </c>
      <c r="J4246" s="691">
        <v>18.3</v>
      </c>
      <c r="K4246" s="692" t="s">
        <v>4060</v>
      </c>
    </row>
    <row r="4247" spans="1:11">
      <c r="A4247" s="688" t="s">
        <v>2322</v>
      </c>
      <c r="B4247" s="690" t="s">
        <v>4060</v>
      </c>
      <c r="C4247" s="690" t="s">
        <v>4060</v>
      </c>
      <c r="D4247" s="690" t="s">
        <v>4060</v>
      </c>
      <c r="E4247" s="690" t="s">
        <v>4060</v>
      </c>
      <c r="F4247" s="690" t="s">
        <v>4060</v>
      </c>
      <c r="G4247" s="690" t="s">
        <v>4060</v>
      </c>
      <c r="H4247" s="690" t="s">
        <v>4060</v>
      </c>
      <c r="I4247" s="690" t="s">
        <v>4060</v>
      </c>
      <c r="J4247" s="690" t="s">
        <v>4060</v>
      </c>
      <c r="K4247" s="690" t="s">
        <v>4060</v>
      </c>
    </row>
    <row r="4248" spans="1:11">
      <c r="A4248" s="688" t="s">
        <v>2328</v>
      </c>
      <c r="B4248" s="691">
        <v>20.100000000000001</v>
      </c>
      <c r="C4248" s="691">
        <v>20.100000000000001</v>
      </c>
      <c r="D4248" s="691">
        <v>19.899999999999999</v>
      </c>
      <c r="E4248" s="691">
        <v>20.100000000000001</v>
      </c>
      <c r="F4248" s="691">
        <v>20.3</v>
      </c>
      <c r="G4248" s="691">
        <v>20.7</v>
      </c>
      <c r="H4248" s="691">
        <v>20.6</v>
      </c>
      <c r="I4248" s="691">
        <v>18.7</v>
      </c>
      <c r="J4248" s="615">
        <v>18</v>
      </c>
      <c r="K4248" s="692" t="s">
        <v>4060</v>
      </c>
    </row>
    <row r="4249" spans="1:11">
      <c r="A4249" s="688" t="s">
        <v>2496</v>
      </c>
      <c r="B4249" s="690" t="s">
        <v>4060</v>
      </c>
      <c r="C4249" s="689">
        <v>20.399999999999999</v>
      </c>
      <c r="D4249" s="689">
        <v>19.5</v>
      </c>
      <c r="E4249" s="689">
        <v>19.3</v>
      </c>
      <c r="F4249" s="689">
        <v>19.8</v>
      </c>
      <c r="G4249" s="689">
        <v>20.100000000000001</v>
      </c>
      <c r="H4249" s="693">
        <v>20</v>
      </c>
      <c r="I4249" s="690" t="s">
        <v>4060</v>
      </c>
      <c r="J4249" s="690" t="s">
        <v>4060</v>
      </c>
      <c r="K4249" s="689">
        <v>19.600000000000001</v>
      </c>
    </row>
    <row r="4250" spans="1:11">
      <c r="A4250" s="688" t="s">
        <v>2269</v>
      </c>
      <c r="B4250" s="691">
        <v>22.5</v>
      </c>
      <c r="C4250" s="691">
        <v>22.7</v>
      </c>
      <c r="D4250" s="691">
        <v>22.1</v>
      </c>
      <c r="E4250" s="691">
        <v>22.7</v>
      </c>
      <c r="F4250" s="691">
        <v>22.6</v>
      </c>
      <c r="G4250" s="691">
        <v>22.9</v>
      </c>
      <c r="H4250" s="691">
        <v>23.2</v>
      </c>
      <c r="I4250" s="691">
        <v>21.5</v>
      </c>
      <c r="J4250" s="691">
        <v>19.8</v>
      </c>
      <c r="K4250" s="691">
        <v>22.9</v>
      </c>
    </row>
    <row r="4251" spans="1:11">
      <c r="A4251" s="688" t="s">
        <v>2349</v>
      </c>
      <c r="B4251" s="689">
        <v>20.100000000000001</v>
      </c>
      <c r="C4251" s="689">
        <v>20.2</v>
      </c>
      <c r="D4251" s="689">
        <v>20.100000000000001</v>
      </c>
      <c r="E4251" s="689">
        <v>20.399999999999999</v>
      </c>
      <c r="F4251" s="689">
        <v>20.3</v>
      </c>
      <c r="G4251" s="689">
        <v>20.5</v>
      </c>
      <c r="H4251" s="689">
        <v>20.5</v>
      </c>
      <c r="I4251" s="689">
        <v>19.3</v>
      </c>
      <c r="J4251" s="689">
        <v>17.899999999999999</v>
      </c>
      <c r="K4251" s="689">
        <v>19.8</v>
      </c>
    </row>
    <row r="4252" spans="1:11">
      <c r="A4252" s="688" t="s">
        <v>2355</v>
      </c>
      <c r="B4252" s="615">
        <v>23</v>
      </c>
      <c r="C4252" s="691">
        <v>22.8</v>
      </c>
      <c r="D4252" s="691">
        <v>22.8</v>
      </c>
      <c r="E4252" s="691">
        <v>22.7</v>
      </c>
      <c r="F4252" s="691">
        <v>22.9</v>
      </c>
      <c r="G4252" s="691">
        <v>23.2</v>
      </c>
      <c r="H4252" s="691">
        <v>23.3</v>
      </c>
      <c r="I4252" s="692" t="s">
        <v>4060</v>
      </c>
      <c r="J4252" s="692" t="s">
        <v>4060</v>
      </c>
      <c r="K4252" s="692" t="s">
        <v>4060</v>
      </c>
    </row>
    <row r="4253" spans="1:11">
      <c r="A4253" s="688" t="s">
        <v>2357</v>
      </c>
      <c r="B4253" s="690" t="s">
        <v>4060</v>
      </c>
      <c r="C4253" s="689">
        <v>19.5</v>
      </c>
      <c r="D4253" s="689">
        <v>19.8</v>
      </c>
      <c r="E4253" s="689">
        <v>20.100000000000001</v>
      </c>
      <c r="F4253" s="689">
        <v>20.3</v>
      </c>
      <c r="G4253" s="689">
        <v>20.2</v>
      </c>
      <c r="H4253" s="689">
        <v>20.399999999999999</v>
      </c>
      <c r="I4253" s="690" t="s">
        <v>4060</v>
      </c>
      <c r="J4253" s="690" t="s">
        <v>4060</v>
      </c>
      <c r="K4253" s="690" t="s">
        <v>4060</v>
      </c>
    </row>
    <row r="4254" spans="1:11">
      <c r="A4254" s="688" t="s">
        <v>4070</v>
      </c>
      <c r="B4254" s="692" t="s">
        <v>4060</v>
      </c>
      <c r="C4254" s="692" t="s">
        <v>4060</v>
      </c>
      <c r="D4254" s="692" t="s">
        <v>4060</v>
      </c>
      <c r="E4254" s="691">
        <v>22.4</v>
      </c>
      <c r="F4254" s="692" t="s">
        <v>4060</v>
      </c>
      <c r="G4254" s="692" t="s">
        <v>4060</v>
      </c>
      <c r="H4254" s="692" t="s">
        <v>4060</v>
      </c>
      <c r="I4254" s="692" t="s">
        <v>4060</v>
      </c>
      <c r="J4254" s="692" t="s">
        <v>4060</v>
      </c>
      <c r="K4254" s="692" t="s">
        <v>4060</v>
      </c>
    </row>
    <row r="4255" spans="1:11">
      <c r="A4255" s="688" t="s">
        <v>2491</v>
      </c>
      <c r="B4255" s="689">
        <v>19.600000000000001</v>
      </c>
      <c r="C4255" s="693">
        <v>20</v>
      </c>
      <c r="D4255" s="689">
        <v>20.100000000000001</v>
      </c>
      <c r="E4255" s="689">
        <v>20.3</v>
      </c>
      <c r="F4255" s="689">
        <v>20.3</v>
      </c>
      <c r="G4255" s="689">
        <v>20.3</v>
      </c>
      <c r="H4255" s="690" t="s">
        <v>4060</v>
      </c>
      <c r="I4255" s="690" t="s">
        <v>4060</v>
      </c>
      <c r="J4255" s="690" t="s">
        <v>4060</v>
      </c>
      <c r="K4255" s="690" t="s">
        <v>4060</v>
      </c>
    </row>
    <row r="4256" spans="1:11">
      <c r="A4256" s="688" t="s">
        <v>2343</v>
      </c>
      <c r="B4256" s="692" t="s">
        <v>4060</v>
      </c>
      <c r="C4256" s="692" t="s">
        <v>4060</v>
      </c>
      <c r="D4256" s="692" t="s">
        <v>4060</v>
      </c>
      <c r="E4256" s="692" t="s">
        <v>4060</v>
      </c>
      <c r="F4256" s="692" t="s">
        <v>4060</v>
      </c>
      <c r="G4256" s="692" t="s">
        <v>4060</v>
      </c>
      <c r="H4256" s="692" t="s">
        <v>4060</v>
      </c>
      <c r="I4256" s="692" t="s">
        <v>4060</v>
      </c>
      <c r="J4256" s="692" t="s">
        <v>4060</v>
      </c>
      <c r="K4256" s="692" t="s">
        <v>4060</v>
      </c>
    </row>
    <row r="4257" spans="1:11">
      <c r="A4257" s="688" t="s">
        <v>4071</v>
      </c>
      <c r="B4257" s="690" t="s">
        <v>4060</v>
      </c>
      <c r="C4257" s="690" t="s">
        <v>4060</v>
      </c>
      <c r="D4257" s="690" t="s">
        <v>4060</v>
      </c>
      <c r="E4257" s="690" t="s">
        <v>4060</v>
      </c>
      <c r="F4257" s="690" t="s">
        <v>4060</v>
      </c>
      <c r="G4257" s="690" t="s">
        <v>4060</v>
      </c>
      <c r="H4257" s="690" t="s">
        <v>4060</v>
      </c>
      <c r="I4257" s="690" t="s">
        <v>4060</v>
      </c>
      <c r="J4257" s="690" t="s">
        <v>4060</v>
      </c>
      <c r="K4257" s="690" t="s">
        <v>4060</v>
      </c>
    </row>
    <row r="4258" spans="1:11">
      <c r="A4258" s="688" t="s">
        <v>2489</v>
      </c>
      <c r="B4258" s="692" t="s">
        <v>4060</v>
      </c>
      <c r="C4258" s="692" t="s">
        <v>4060</v>
      </c>
      <c r="D4258" s="691">
        <v>20.399999999999999</v>
      </c>
      <c r="E4258" s="691">
        <v>20.399999999999999</v>
      </c>
      <c r="F4258" s="691">
        <v>20.8</v>
      </c>
      <c r="G4258" s="691">
        <v>21.4</v>
      </c>
      <c r="H4258" s="691">
        <v>21.4</v>
      </c>
      <c r="I4258" s="692" t="s">
        <v>4060</v>
      </c>
      <c r="J4258" s="692" t="s">
        <v>4060</v>
      </c>
      <c r="K4258" s="692" t="s">
        <v>4060</v>
      </c>
    </row>
    <row r="4259" spans="1:11">
      <c r="A4259" s="688" t="s">
        <v>2490</v>
      </c>
      <c r="B4259" s="689">
        <v>20.100000000000001</v>
      </c>
      <c r="C4259" s="689">
        <v>20.100000000000001</v>
      </c>
      <c r="D4259" s="689">
        <v>20.7</v>
      </c>
      <c r="E4259" s="690" t="s">
        <v>4060</v>
      </c>
      <c r="F4259" s="689">
        <v>20.9</v>
      </c>
      <c r="G4259" s="689">
        <v>21.1</v>
      </c>
      <c r="H4259" s="689">
        <v>21.9</v>
      </c>
      <c r="I4259" s="690" t="s">
        <v>4060</v>
      </c>
      <c r="J4259" s="690" t="s">
        <v>4060</v>
      </c>
      <c r="K4259" s="690" t="s">
        <v>4060</v>
      </c>
    </row>
    <row r="4261" spans="1:11">
      <c r="A4261" s="683" t="s">
        <v>4233</v>
      </c>
    </row>
    <row r="4262" spans="1:11">
      <c r="A4262" s="683" t="s">
        <v>4060</v>
      </c>
      <c r="B4262" s="682" t="s">
        <v>4234</v>
      </c>
    </row>
    <row r="4264" spans="1:11">
      <c r="A4264" s="682" t="s">
        <v>4248</v>
      </c>
    </row>
    <row r="4265" spans="1:11">
      <c r="A4265" s="682" t="s">
        <v>4210</v>
      </c>
      <c r="B4265" s="683" t="s">
        <v>4211</v>
      </c>
    </row>
    <row r="4266" spans="1:11">
      <c r="A4266" s="682" t="s">
        <v>4212</v>
      </c>
      <c r="B4266" s="682" t="s">
        <v>4213</v>
      </c>
    </row>
    <row r="4268" spans="1:11">
      <c r="A4268" s="683" t="s">
        <v>4214</v>
      </c>
      <c r="C4268" s="682" t="s">
        <v>4215</v>
      </c>
    </row>
    <row r="4269" spans="1:11">
      <c r="A4269" s="683" t="s">
        <v>4216</v>
      </c>
      <c r="C4269" s="682" t="s">
        <v>2967</v>
      </c>
    </row>
    <row r="4270" spans="1:11">
      <c r="A4270" s="683" t="s">
        <v>3893</v>
      </c>
      <c r="C4270" s="682" t="s">
        <v>4217</v>
      </c>
    </row>
    <row r="4271" spans="1:11">
      <c r="A4271" s="683" t="s">
        <v>4218</v>
      </c>
      <c r="C4271" s="682" t="s">
        <v>4295</v>
      </c>
    </row>
    <row r="4273" spans="1:11">
      <c r="A4273" s="684" t="s">
        <v>4220</v>
      </c>
      <c r="B4273" s="685" t="s">
        <v>4221</v>
      </c>
      <c r="C4273" s="685" t="s">
        <v>4222</v>
      </c>
      <c r="D4273" s="685" t="s">
        <v>4223</v>
      </c>
      <c r="E4273" s="685" t="s">
        <v>4224</v>
      </c>
      <c r="F4273" s="685" t="s">
        <v>4225</v>
      </c>
      <c r="G4273" s="685" t="s">
        <v>4226</v>
      </c>
      <c r="H4273" s="685" t="s">
        <v>4227</v>
      </c>
      <c r="I4273" s="685" t="s">
        <v>4228</v>
      </c>
      <c r="J4273" s="685" t="s">
        <v>4229</v>
      </c>
      <c r="K4273" s="685" t="s">
        <v>4230</v>
      </c>
    </row>
    <row r="4274" spans="1:11">
      <c r="A4274" s="686" t="s">
        <v>4231</v>
      </c>
      <c r="B4274" s="687" t="s">
        <v>4232</v>
      </c>
      <c r="C4274" s="687" t="s">
        <v>4232</v>
      </c>
      <c r="D4274" s="687" t="s">
        <v>4232</v>
      </c>
      <c r="E4274" s="687" t="s">
        <v>4232</v>
      </c>
      <c r="F4274" s="687" t="s">
        <v>4232</v>
      </c>
      <c r="G4274" s="687" t="s">
        <v>4232</v>
      </c>
      <c r="H4274" s="687" t="s">
        <v>4232</v>
      </c>
      <c r="I4274" s="687" t="s">
        <v>4232</v>
      </c>
      <c r="J4274" s="687" t="s">
        <v>4232</v>
      </c>
      <c r="K4274" s="687" t="s">
        <v>4232</v>
      </c>
    </row>
    <row r="4275" spans="1:11">
      <c r="A4275" s="688" t="s">
        <v>4064</v>
      </c>
      <c r="B4275" s="689">
        <v>23.7</v>
      </c>
      <c r="C4275" s="689">
        <v>23.7</v>
      </c>
      <c r="D4275" s="689">
        <v>23.6</v>
      </c>
      <c r="E4275" s="689">
        <v>23.7</v>
      </c>
      <c r="F4275" s="689">
        <v>23.7</v>
      </c>
      <c r="G4275" s="689">
        <v>23.8</v>
      </c>
      <c r="H4275" s="693">
        <v>24</v>
      </c>
      <c r="I4275" s="689">
        <v>23.2</v>
      </c>
      <c r="J4275" s="693">
        <v>23</v>
      </c>
      <c r="K4275" s="689">
        <v>23.5</v>
      </c>
    </row>
    <row r="4276" spans="1:11">
      <c r="A4276" s="688" t="s">
        <v>4065</v>
      </c>
      <c r="B4276" s="691">
        <v>23.7</v>
      </c>
      <c r="C4276" s="615">
        <v>24</v>
      </c>
      <c r="D4276" s="691">
        <v>23.7</v>
      </c>
      <c r="E4276" s="615">
        <v>24</v>
      </c>
      <c r="F4276" s="691">
        <v>23.9</v>
      </c>
      <c r="G4276" s="615">
        <v>24</v>
      </c>
      <c r="H4276" s="692" t="s">
        <v>4060</v>
      </c>
      <c r="I4276" s="692" t="s">
        <v>4060</v>
      </c>
      <c r="J4276" s="692" t="s">
        <v>4060</v>
      </c>
      <c r="K4276" s="692" t="s">
        <v>4060</v>
      </c>
    </row>
    <row r="4277" spans="1:11">
      <c r="A4277" s="688" t="s">
        <v>4063</v>
      </c>
      <c r="B4277" s="689">
        <v>23.7</v>
      </c>
      <c r="C4277" s="693">
        <v>24</v>
      </c>
      <c r="D4277" s="689">
        <v>23.7</v>
      </c>
      <c r="E4277" s="693">
        <v>24</v>
      </c>
      <c r="F4277" s="689">
        <v>23.9</v>
      </c>
      <c r="G4277" s="693">
        <v>24</v>
      </c>
      <c r="H4277" s="690" t="s">
        <v>4060</v>
      </c>
      <c r="I4277" s="690" t="s">
        <v>4060</v>
      </c>
      <c r="J4277" s="690" t="s">
        <v>4060</v>
      </c>
      <c r="K4277" s="690" t="s">
        <v>4060</v>
      </c>
    </row>
    <row r="4278" spans="1:11">
      <c r="A4278" s="688" t="s">
        <v>4069</v>
      </c>
      <c r="B4278" s="692" t="s">
        <v>4060</v>
      </c>
      <c r="C4278" s="691">
        <v>24.4</v>
      </c>
      <c r="D4278" s="691">
        <v>24.1</v>
      </c>
      <c r="E4278" s="691">
        <v>24.4</v>
      </c>
      <c r="F4278" s="691">
        <v>24.4</v>
      </c>
      <c r="G4278" s="691">
        <v>24.5</v>
      </c>
      <c r="H4278" s="691">
        <v>24.7</v>
      </c>
      <c r="I4278" s="615">
        <v>24</v>
      </c>
      <c r="J4278" s="691">
        <v>24.1</v>
      </c>
      <c r="K4278" s="691">
        <v>24.2</v>
      </c>
    </row>
    <row r="4279" spans="1:11">
      <c r="A4279" s="688" t="s">
        <v>4068</v>
      </c>
      <c r="B4279" s="689">
        <v>24.5</v>
      </c>
      <c r="C4279" s="690" t="s">
        <v>4060</v>
      </c>
      <c r="D4279" s="690" t="s">
        <v>4060</v>
      </c>
      <c r="E4279" s="690" t="s">
        <v>4060</v>
      </c>
      <c r="F4279" s="690" t="s">
        <v>4060</v>
      </c>
      <c r="G4279" s="690" t="s">
        <v>4060</v>
      </c>
      <c r="H4279" s="690" t="s">
        <v>4060</v>
      </c>
      <c r="I4279" s="690" t="s">
        <v>4060</v>
      </c>
      <c r="J4279" s="690" t="s">
        <v>4060</v>
      </c>
      <c r="K4279" s="690" t="s">
        <v>4060</v>
      </c>
    </row>
    <row r="4280" spans="1:11">
      <c r="A4280" s="688" t="s">
        <v>0</v>
      </c>
      <c r="B4280" s="691">
        <v>23.7</v>
      </c>
      <c r="C4280" s="615">
        <v>24</v>
      </c>
      <c r="D4280" s="691">
        <v>23.8</v>
      </c>
      <c r="E4280" s="691">
        <v>24.1</v>
      </c>
      <c r="F4280" s="691">
        <v>24.1</v>
      </c>
      <c r="G4280" s="691">
        <v>24.2</v>
      </c>
      <c r="H4280" s="691">
        <v>24.5</v>
      </c>
      <c r="I4280" s="691">
        <v>23.4</v>
      </c>
      <c r="J4280" s="691">
        <v>24.3</v>
      </c>
      <c r="K4280" s="691">
        <v>24.3</v>
      </c>
    </row>
    <row r="4281" spans="1:11">
      <c r="A4281" s="688" t="s">
        <v>1</v>
      </c>
      <c r="B4281" s="689">
        <v>19.8</v>
      </c>
      <c r="C4281" s="689">
        <v>19.5</v>
      </c>
      <c r="D4281" s="689">
        <v>19.5</v>
      </c>
      <c r="E4281" s="689">
        <v>19.7</v>
      </c>
      <c r="F4281" s="689">
        <v>19.600000000000001</v>
      </c>
      <c r="G4281" s="689">
        <v>19.7</v>
      </c>
      <c r="H4281" s="689">
        <v>19.8</v>
      </c>
      <c r="I4281" s="689">
        <v>18.5</v>
      </c>
      <c r="J4281" s="693">
        <v>17</v>
      </c>
      <c r="K4281" s="693">
        <v>19</v>
      </c>
    </row>
    <row r="4282" spans="1:11">
      <c r="A4282" s="688" t="s">
        <v>2240</v>
      </c>
      <c r="B4282" s="691">
        <v>21.5</v>
      </c>
      <c r="C4282" s="691">
        <v>21.8</v>
      </c>
      <c r="D4282" s="691">
        <v>21.6</v>
      </c>
      <c r="E4282" s="615">
        <v>22</v>
      </c>
      <c r="F4282" s="691">
        <v>21.9</v>
      </c>
      <c r="G4282" s="615">
        <v>22</v>
      </c>
      <c r="H4282" s="691">
        <v>22.2</v>
      </c>
      <c r="I4282" s="691">
        <v>21.2</v>
      </c>
      <c r="J4282" s="691">
        <v>20.5</v>
      </c>
      <c r="K4282" s="615">
        <v>22</v>
      </c>
    </row>
    <row r="4283" spans="1:11">
      <c r="A4283" s="688" t="s">
        <v>2</v>
      </c>
      <c r="B4283" s="689">
        <v>23.1</v>
      </c>
      <c r="C4283" s="689">
        <v>23.4</v>
      </c>
      <c r="D4283" s="689">
        <v>23.4</v>
      </c>
      <c r="E4283" s="689">
        <v>23.5</v>
      </c>
      <c r="F4283" s="689">
        <v>23.6</v>
      </c>
      <c r="G4283" s="689">
        <v>23.5</v>
      </c>
      <c r="H4283" s="689">
        <v>23.8</v>
      </c>
      <c r="I4283" s="689">
        <v>23.9</v>
      </c>
      <c r="J4283" s="689">
        <v>23.7</v>
      </c>
      <c r="K4283" s="689">
        <v>23.6</v>
      </c>
    </row>
    <row r="4284" spans="1:11">
      <c r="A4284" s="688" t="s">
        <v>3</v>
      </c>
      <c r="B4284" s="691">
        <v>23.5</v>
      </c>
      <c r="C4284" s="691">
        <v>23.7</v>
      </c>
      <c r="D4284" s="691">
        <v>23.4</v>
      </c>
      <c r="E4284" s="691">
        <v>23.6</v>
      </c>
      <c r="F4284" s="691">
        <v>23.6</v>
      </c>
      <c r="G4284" s="691">
        <v>23.6</v>
      </c>
      <c r="H4284" s="691">
        <v>23.8</v>
      </c>
      <c r="I4284" s="691">
        <v>23.6</v>
      </c>
      <c r="J4284" s="691">
        <v>23.4</v>
      </c>
      <c r="K4284" s="691">
        <v>23.1</v>
      </c>
    </row>
    <row r="4285" spans="1:11">
      <c r="A4285" s="688" t="s">
        <v>4061</v>
      </c>
      <c r="B4285" s="689">
        <v>23.5</v>
      </c>
      <c r="C4285" s="689">
        <v>23.7</v>
      </c>
      <c r="D4285" s="689">
        <v>23.4</v>
      </c>
      <c r="E4285" s="689">
        <v>23.6</v>
      </c>
      <c r="F4285" s="689">
        <v>23.6</v>
      </c>
      <c r="G4285" s="689">
        <v>23.6</v>
      </c>
      <c r="H4285" s="689">
        <v>23.8</v>
      </c>
      <c r="I4285" s="689">
        <v>23.6</v>
      </c>
      <c r="J4285" s="689">
        <v>23.4</v>
      </c>
      <c r="K4285" s="689">
        <v>23.1</v>
      </c>
    </row>
    <row r="4286" spans="1:11">
      <c r="A4286" s="688" t="s">
        <v>4</v>
      </c>
      <c r="B4286" s="691">
        <v>21.8</v>
      </c>
      <c r="C4286" s="691">
        <v>21.7</v>
      </c>
      <c r="D4286" s="615">
        <v>22</v>
      </c>
      <c r="E4286" s="691">
        <v>22.1</v>
      </c>
      <c r="F4286" s="691">
        <v>22.1</v>
      </c>
      <c r="G4286" s="691">
        <v>22.2</v>
      </c>
      <c r="H4286" s="691">
        <v>22.5</v>
      </c>
      <c r="I4286" s="691">
        <v>22.5</v>
      </c>
      <c r="J4286" s="691">
        <v>21.1</v>
      </c>
      <c r="K4286" s="615">
        <v>22</v>
      </c>
    </row>
    <row r="4287" spans="1:11">
      <c r="A4287" s="688" t="s">
        <v>8</v>
      </c>
      <c r="B4287" s="689">
        <v>23.7</v>
      </c>
      <c r="C4287" s="689">
        <v>23.9</v>
      </c>
      <c r="D4287" s="689">
        <v>23.9</v>
      </c>
      <c r="E4287" s="693">
        <v>24</v>
      </c>
      <c r="F4287" s="689">
        <v>24.3</v>
      </c>
      <c r="G4287" s="689">
        <v>24.4</v>
      </c>
      <c r="H4287" s="689">
        <v>24.7</v>
      </c>
      <c r="I4287" s="689">
        <v>24.6</v>
      </c>
      <c r="J4287" s="689">
        <v>24.4</v>
      </c>
      <c r="K4287" s="689">
        <v>24.6</v>
      </c>
    </row>
    <row r="4288" spans="1:11">
      <c r="A4288" s="688" t="s">
        <v>7</v>
      </c>
      <c r="B4288" s="691">
        <v>24.3</v>
      </c>
      <c r="C4288" s="691">
        <v>23.9</v>
      </c>
      <c r="D4288" s="691">
        <v>23.6</v>
      </c>
      <c r="E4288" s="691">
        <v>23.9</v>
      </c>
      <c r="F4288" s="691">
        <v>23.8</v>
      </c>
      <c r="G4288" s="691">
        <v>24.2</v>
      </c>
      <c r="H4288" s="691">
        <v>24.2</v>
      </c>
      <c r="I4288" s="691">
        <v>23.8</v>
      </c>
      <c r="J4288" s="691">
        <v>23.1</v>
      </c>
      <c r="K4288" s="691">
        <v>23.5</v>
      </c>
    </row>
    <row r="4289" spans="1:11">
      <c r="A4289" s="688" t="s">
        <v>27</v>
      </c>
      <c r="B4289" s="689">
        <v>25.6</v>
      </c>
      <c r="C4289" s="689">
        <v>25.3</v>
      </c>
      <c r="D4289" s="693">
        <v>25</v>
      </c>
      <c r="E4289" s="689">
        <v>25.4</v>
      </c>
      <c r="F4289" s="689">
        <v>25.3</v>
      </c>
      <c r="G4289" s="689">
        <v>25.4</v>
      </c>
      <c r="H4289" s="689">
        <v>25.7</v>
      </c>
      <c r="I4289" s="689">
        <v>24.5</v>
      </c>
      <c r="J4289" s="689">
        <v>25.3</v>
      </c>
      <c r="K4289" s="689">
        <v>25.3</v>
      </c>
    </row>
    <row r="4290" spans="1:11">
      <c r="A4290" s="688" t="s">
        <v>6</v>
      </c>
      <c r="B4290" s="691">
        <v>25.7</v>
      </c>
      <c r="C4290" s="691">
        <v>25.6</v>
      </c>
      <c r="D4290" s="691">
        <v>25.3</v>
      </c>
      <c r="E4290" s="691">
        <v>25.5</v>
      </c>
      <c r="F4290" s="691">
        <v>25.5</v>
      </c>
      <c r="G4290" s="691">
        <v>25.6</v>
      </c>
      <c r="H4290" s="691">
        <v>25.7</v>
      </c>
      <c r="I4290" s="691">
        <v>25.1</v>
      </c>
      <c r="J4290" s="691">
        <v>25.2</v>
      </c>
      <c r="K4290" s="691">
        <v>25.3</v>
      </c>
    </row>
    <row r="4291" spans="1:11">
      <c r="A4291" s="688" t="s">
        <v>4058</v>
      </c>
      <c r="B4291" s="690" t="s">
        <v>4060</v>
      </c>
      <c r="C4291" s="690" t="s">
        <v>4060</v>
      </c>
      <c r="D4291" s="690" t="s">
        <v>4060</v>
      </c>
      <c r="E4291" s="690" t="s">
        <v>4060</v>
      </c>
      <c r="F4291" s="690" t="s">
        <v>4060</v>
      </c>
      <c r="G4291" s="690" t="s">
        <v>4060</v>
      </c>
      <c r="H4291" s="690" t="s">
        <v>4060</v>
      </c>
      <c r="I4291" s="690" t="s">
        <v>4060</v>
      </c>
      <c r="J4291" s="690" t="s">
        <v>4060</v>
      </c>
      <c r="K4291" s="690" t="s">
        <v>4060</v>
      </c>
    </row>
    <row r="4292" spans="1:11">
      <c r="A4292" s="688" t="s">
        <v>11</v>
      </c>
      <c r="B4292" s="691">
        <v>21.2</v>
      </c>
      <c r="C4292" s="691">
        <v>21.2</v>
      </c>
      <c r="D4292" s="691">
        <v>20.8</v>
      </c>
      <c r="E4292" s="691">
        <v>21.3</v>
      </c>
      <c r="F4292" s="691">
        <v>21.1</v>
      </c>
      <c r="G4292" s="691">
        <v>21.3</v>
      </c>
      <c r="H4292" s="691">
        <v>21.6</v>
      </c>
      <c r="I4292" s="691">
        <v>20.8</v>
      </c>
      <c r="J4292" s="691">
        <v>20.100000000000001</v>
      </c>
      <c r="K4292" s="691">
        <v>20.9</v>
      </c>
    </row>
    <row r="4293" spans="1:11">
      <c r="A4293" s="688" t="s">
        <v>10</v>
      </c>
      <c r="B4293" s="689">
        <v>25.2</v>
      </c>
      <c r="C4293" s="693">
        <v>25</v>
      </c>
      <c r="D4293" s="689">
        <v>24.7</v>
      </c>
      <c r="E4293" s="689">
        <v>25.2</v>
      </c>
      <c r="F4293" s="693">
        <v>25</v>
      </c>
      <c r="G4293" s="689">
        <v>25.3</v>
      </c>
      <c r="H4293" s="689">
        <v>25.5</v>
      </c>
      <c r="I4293" s="689">
        <v>24.3</v>
      </c>
      <c r="J4293" s="689">
        <v>24.7</v>
      </c>
      <c r="K4293" s="689">
        <v>24.8</v>
      </c>
    </row>
    <row r="4294" spans="1:11">
      <c r="A4294" s="688" t="s">
        <v>30</v>
      </c>
      <c r="B4294" s="691">
        <v>24.5</v>
      </c>
      <c r="C4294" s="691">
        <v>24.3</v>
      </c>
      <c r="D4294" s="615">
        <v>24</v>
      </c>
      <c r="E4294" s="691">
        <v>24.8</v>
      </c>
      <c r="F4294" s="691">
        <v>24.3</v>
      </c>
      <c r="G4294" s="691">
        <v>24.9</v>
      </c>
      <c r="H4294" s="691">
        <v>24.7</v>
      </c>
      <c r="I4294" s="691">
        <v>24.8</v>
      </c>
      <c r="J4294" s="691">
        <v>24.1</v>
      </c>
      <c r="K4294" s="691">
        <v>24.3</v>
      </c>
    </row>
    <row r="4295" spans="1:11">
      <c r="A4295" s="688" t="s">
        <v>12</v>
      </c>
      <c r="B4295" s="689">
        <v>20.2</v>
      </c>
      <c r="C4295" s="689">
        <v>20.2</v>
      </c>
      <c r="D4295" s="689">
        <v>20.3</v>
      </c>
      <c r="E4295" s="689">
        <v>20.399999999999999</v>
      </c>
      <c r="F4295" s="689">
        <v>20.399999999999999</v>
      </c>
      <c r="G4295" s="689">
        <v>20.5</v>
      </c>
      <c r="H4295" s="689">
        <v>20.8</v>
      </c>
      <c r="I4295" s="689">
        <v>20.5</v>
      </c>
      <c r="J4295" s="693">
        <v>19</v>
      </c>
      <c r="K4295" s="689">
        <v>20.100000000000001</v>
      </c>
    </row>
    <row r="4296" spans="1:11">
      <c r="A4296" s="688" t="s">
        <v>14</v>
      </c>
      <c r="B4296" s="691">
        <v>20.5</v>
      </c>
      <c r="C4296" s="691">
        <v>20.6</v>
      </c>
      <c r="D4296" s="691">
        <v>20.3</v>
      </c>
      <c r="E4296" s="691">
        <v>20.5</v>
      </c>
      <c r="F4296" s="691">
        <v>20.8</v>
      </c>
      <c r="G4296" s="691">
        <v>20.9</v>
      </c>
      <c r="H4296" s="691">
        <v>21.2</v>
      </c>
      <c r="I4296" s="691">
        <v>20.3</v>
      </c>
      <c r="J4296" s="691">
        <v>19.600000000000001</v>
      </c>
      <c r="K4296" s="691">
        <v>20.6</v>
      </c>
    </row>
    <row r="4297" spans="1:11">
      <c r="A4297" s="688" t="s">
        <v>15</v>
      </c>
      <c r="B4297" s="689">
        <v>24.7</v>
      </c>
      <c r="C4297" s="689">
        <v>24.3</v>
      </c>
      <c r="D4297" s="689">
        <v>24.3</v>
      </c>
      <c r="E4297" s="689">
        <v>24.7</v>
      </c>
      <c r="F4297" s="689">
        <v>24.1</v>
      </c>
      <c r="G4297" s="689">
        <v>24.4</v>
      </c>
      <c r="H4297" s="689">
        <v>24.7</v>
      </c>
      <c r="I4297" s="689">
        <v>24.3</v>
      </c>
      <c r="J4297" s="689">
        <v>24.7</v>
      </c>
      <c r="K4297" s="693">
        <v>25</v>
      </c>
    </row>
    <row r="4298" spans="1:11">
      <c r="A4298" s="688" t="s">
        <v>29</v>
      </c>
      <c r="B4298" s="691">
        <v>20.2</v>
      </c>
      <c r="C4298" s="691">
        <v>20.2</v>
      </c>
      <c r="D4298" s="691">
        <v>19.899999999999999</v>
      </c>
      <c r="E4298" s="691">
        <v>20.2</v>
      </c>
      <c r="F4298" s="691">
        <v>19.899999999999999</v>
      </c>
      <c r="G4298" s="615">
        <v>20</v>
      </c>
      <c r="H4298" s="691">
        <v>20.2</v>
      </c>
      <c r="I4298" s="691">
        <v>19.399999999999999</v>
      </c>
      <c r="J4298" s="691">
        <v>18.5</v>
      </c>
      <c r="K4298" s="691">
        <v>19.7</v>
      </c>
    </row>
    <row r="4299" spans="1:11">
      <c r="A4299" s="688" t="s">
        <v>16</v>
      </c>
      <c r="B4299" s="689">
        <v>24.2</v>
      </c>
      <c r="C4299" s="689">
        <v>24.2</v>
      </c>
      <c r="D4299" s="689">
        <v>24.2</v>
      </c>
      <c r="E4299" s="689">
        <v>24.9</v>
      </c>
      <c r="F4299" s="689">
        <v>24.5</v>
      </c>
      <c r="G4299" s="689">
        <v>24.5</v>
      </c>
      <c r="H4299" s="689">
        <v>24.8</v>
      </c>
      <c r="I4299" s="689">
        <v>24.3</v>
      </c>
      <c r="J4299" s="689">
        <v>24.3</v>
      </c>
      <c r="K4299" s="689">
        <v>24.5</v>
      </c>
    </row>
    <row r="4300" spans="1:11">
      <c r="A4300" s="688" t="s">
        <v>17</v>
      </c>
      <c r="B4300" s="691">
        <v>23.9</v>
      </c>
      <c r="C4300" s="691">
        <v>24.1</v>
      </c>
      <c r="D4300" s="691">
        <v>23.8</v>
      </c>
      <c r="E4300" s="691">
        <v>23.9</v>
      </c>
      <c r="F4300" s="691">
        <v>24.1</v>
      </c>
      <c r="G4300" s="691">
        <v>24.1</v>
      </c>
      <c r="H4300" s="691">
        <v>24.3</v>
      </c>
      <c r="I4300" s="691">
        <v>23.7</v>
      </c>
      <c r="J4300" s="691">
        <v>23.7</v>
      </c>
      <c r="K4300" s="615">
        <v>24</v>
      </c>
    </row>
    <row r="4301" spans="1:11">
      <c r="A4301" s="688" t="s">
        <v>19</v>
      </c>
      <c r="B4301" s="693">
        <v>24</v>
      </c>
      <c r="C4301" s="689">
        <v>24.1</v>
      </c>
      <c r="D4301" s="689">
        <v>23.8</v>
      </c>
      <c r="E4301" s="689">
        <v>24.2</v>
      </c>
      <c r="F4301" s="689">
        <v>24.1</v>
      </c>
      <c r="G4301" s="689">
        <v>24.2</v>
      </c>
      <c r="H4301" s="689">
        <v>24.4</v>
      </c>
      <c r="I4301" s="689">
        <v>23.8</v>
      </c>
      <c r="J4301" s="689">
        <v>23.8</v>
      </c>
      <c r="K4301" s="689">
        <v>23.8</v>
      </c>
    </row>
    <row r="4302" spans="1:11">
      <c r="A4302" s="688" t="s">
        <v>20</v>
      </c>
      <c r="B4302" s="691">
        <v>21.6</v>
      </c>
      <c r="C4302" s="691">
        <v>21.8</v>
      </c>
      <c r="D4302" s="691">
        <v>21.6</v>
      </c>
      <c r="E4302" s="691">
        <v>21.9</v>
      </c>
      <c r="F4302" s="691">
        <v>21.8</v>
      </c>
      <c r="G4302" s="691">
        <v>21.7</v>
      </c>
      <c r="H4302" s="691">
        <v>21.9</v>
      </c>
      <c r="I4302" s="691">
        <v>20.6</v>
      </c>
      <c r="J4302" s="691">
        <v>19.8</v>
      </c>
      <c r="K4302" s="691">
        <v>21.3</v>
      </c>
    </row>
    <row r="4303" spans="1:11">
      <c r="A4303" s="688" t="s">
        <v>21</v>
      </c>
      <c r="B4303" s="693">
        <v>24</v>
      </c>
      <c r="C4303" s="689">
        <v>24.3</v>
      </c>
      <c r="D4303" s="689">
        <v>24.2</v>
      </c>
      <c r="E4303" s="689">
        <v>24.2</v>
      </c>
      <c r="F4303" s="689">
        <v>24.5</v>
      </c>
      <c r="G4303" s="689">
        <v>24.5</v>
      </c>
      <c r="H4303" s="689">
        <v>24.8</v>
      </c>
      <c r="I4303" s="689">
        <v>24.2</v>
      </c>
      <c r="J4303" s="689">
        <v>24.2</v>
      </c>
      <c r="K4303" s="689">
        <v>24.5</v>
      </c>
    </row>
    <row r="4304" spans="1:11">
      <c r="A4304" s="688" t="s">
        <v>22</v>
      </c>
      <c r="B4304" s="691">
        <v>20.2</v>
      </c>
      <c r="C4304" s="615">
        <v>20</v>
      </c>
      <c r="D4304" s="691">
        <v>19.899999999999999</v>
      </c>
      <c r="E4304" s="691">
        <v>20.100000000000001</v>
      </c>
      <c r="F4304" s="691">
        <v>20.100000000000001</v>
      </c>
      <c r="G4304" s="691">
        <v>20.100000000000001</v>
      </c>
      <c r="H4304" s="691">
        <v>20.3</v>
      </c>
      <c r="I4304" s="615">
        <v>19</v>
      </c>
      <c r="J4304" s="691">
        <v>17.899999999999999</v>
      </c>
      <c r="K4304" s="691">
        <v>19.7</v>
      </c>
    </row>
    <row r="4305" spans="1:11">
      <c r="A4305" s="688" t="s">
        <v>26</v>
      </c>
      <c r="B4305" s="689">
        <v>23.5</v>
      </c>
      <c r="C4305" s="689">
        <v>23.5</v>
      </c>
      <c r="D4305" s="689">
        <v>23.4</v>
      </c>
      <c r="E4305" s="689">
        <v>23.7</v>
      </c>
      <c r="F4305" s="689">
        <v>23.5</v>
      </c>
      <c r="G4305" s="689">
        <v>23.7</v>
      </c>
      <c r="H4305" s="689">
        <v>23.9</v>
      </c>
      <c r="I4305" s="693">
        <v>23</v>
      </c>
      <c r="J4305" s="689">
        <v>23.2</v>
      </c>
      <c r="K4305" s="689">
        <v>23.7</v>
      </c>
    </row>
    <row r="4306" spans="1:11">
      <c r="A4306" s="688" t="s">
        <v>25</v>
      </c>
      <c r="B4306" s="691">
        <v>20.7</v>
      </c>
      <c r="C4306" s="615">
        <v>21</v>
      </c>
      <c r="D4306" s="691">
        <v>20.7</v>
      </c>
      <c r="E4306" s="691">
        <v>21.1</v>
      </c>
      <c r="F4306" s="691">
        <v>21.1</v>
      </c>
      <c r="G4306" s="691">
        <v>21.2</v>
      </c>
      <c r="H4306" s="691">
        <v>21.6</v>
      </c>
      <c r="I4306" s="691">
        <v>20.8</v>
      </c>
      <c r="J4306" s="691">
        <v>18.899999999999999</v>
      </c>
      <c r="K4306" s="691">
        <v>20.9</v>
      </c>
    </row>
    <row r="4307" spans="1:11">
      <c r="A4307" s="688" t="s">
        <v>5</v>
      </c>
      <c r="B4307" s="689">
        <v>24.1</v>
      </c>
      <c r="C4307" s="689">
        <v>23.9</v>
      </c>
      <c r="D4307" s="689">
        <v>24.1</v>
      </c>
      <c r="E4307" s="689">
        <v>24.1</v>
      </c>
      <c r="F4307" s="689">
        <v>24.3</v>
      </c>
      <c r="G4307" s="689">
        <v>24.3</v>
      </c>
      <c r="H4307" s="689">
        <v>24.6</v>
      </c>
      <c r="I4307" s="689">
        <v>24.6</v>
      </c>
      <c r="J4307" s="689">
        <v>24.5</v>
      </c>
      <c r="K4307" s="689">
        <v>23.9</v>
      </c>
    </row>
    <row r="4308" spans="1:11">
      <c r="A4308" s="688" t="s">
        <v>23</v>
      </c>
      <c r="B4308" s="691">
        <v>24.3</v>
      </c>
      <c r="C4308" s="691">
        <v>24.5</v>
      </c>
      <c r="D4308" s="691">
        <v>24.5</v>
      </c>
      <c r="E4308" s="691">
        <v>24.6</v>
      </c>
      <c r="F4308" s="691">
        <v>24.6</v>
      </c>
      <c r="G4308" s="691">
        <v>24.7</v>
      </c>
      <c r="H4308" s="691">
        <v>25.1</v>
      </c>
      <c r="I4308" s="691">
        <v>24.5</v>
      </c>
      <c r="J4308" s="691">
        <v>25.1</v>
      </c>
      <c r="K4308" s="691">
        <v>25.1</v>
      </c>
    </row>
    <row r="4309" spans="1:11">
      <c r="A4309" s="688" t="s">
        <v>4067</v>
      </c>
      <c r="B4309" s="689">
        <v>23.7</v>
      </c>
      <c r="C4309" s="693">
        <v>24</v>
      </c>
      <c r="D4309" s="689">
        <v>23.7</v>
      </c>
      <c r="E4309" s="693">
        <v>24</v>
      </c>
      <c r="F4309" s="689">
        <v>23.9</v>
      </c>
      <c r="G4309" s="693">
        <v>24</v>
      </c>
      <c r="H4309" s="690" t="s">
        <v>4060</v>
      </c>
      <c r="I4309" s="690" t="s">
        <v>4060</v>
      </c>
      <c r="J4309" s="690" t="s">
        <v>4060</v>
      </c>
      <c r="K4309" s="690" t="s">
        <v>4060</v>
      </c>
    </row>
    <row r="4310" spans="1:11">
      <c r="A4310" s="688" t="s">
        <v>4066</v>
      </c>
      <c r="B4310" s="691">
        <v>23.7</v>
      </c>
      <c r="C4310" s="691">
        <v>24.1</v>
      </c>
      <c r="D4310" s="691">
        <v>23.7</v>
      </c>
      <c r="E4310" s="615">
        <v>24</v>
      </c>
      <c r="F4310" s="691">
        <v>23.9</v>
      </c>
      <c r="G4310" s="615">
        <v>24</v>
      </c>
      <c r="H4310" s="692" t="s">
        <v>4060</v>
      </c>
      <c r="I4310" s="692" t="s">
        <v>4060</v>
      </c>
      <c r="J4310" s="692" t="s">
        <v>4060</v>
      </c>
      <c r="K4310" s="692" t="s">
        <v>4060</v>
      </c>
    </row>
    <row r="4311" spans="1:11">
      <c r="A4311" s="688" t="s">
        <v>4062</v>
      </c>
      <c r="B4311" s="689">
        <v>24.9</v>
      </c>
      <c r="C4311" s="693">
        <v>25</v>
      </c>
      <c r="D4311" s="689">
        <v>24.9</v>
      </c>
      <c r="E4311" s="689">
        <v>25.2</v>
      </c>
      <c r="F4311" s="689">
        <v>25.3</v>
      </c>
      <c r="G4311" s="689">
        <v>25.4</v>
      </c>
      <c r="H4311" s="689">
        <v>25.5</v>
      </c>
      <c r="I4311" s="689">
        <v>25.2</v>
      </c>
      <c r="J4311" s="689">
        <v>25.5</v>
      </c>
      <c r="K4311" s="689">
        <v>25.2</v>
      </c>
    </row>
    <row r="4312" spans="1:11">
      <c r="A4312" s="688" t="s">
        <v>9</v>
      </c>
      <c r="B4312" s="691">
        <v>24.3</v>
      </c>
      <c r="C4312" s="691">
        <v>24.9</v>
      </c>
      <c r="D4312" s="691">
        <v>24.7</v>
      </c>
      <c r="E4312" s="691">
        <v>24.2</v>
      </c>
      <c r="F4312" s="691">
        <v>24.8</v>
      </c>
      <c r="G4312" s="615">
        <v>25</v>
      </c>
      <c r="H4312" s="691">
        <v>25.1</v>
      </c>
      <c r="I4312" s="691">
        <v>25.3</v>
      </c>
      <c r="J4312" s="691">
        <v>25.4</v>
      </c>
      <c r="K4312" s="691">
        <v>24.4</v>
      </c>
    </row>
    <row r="4313" spans="1:11">
      <c r="A4313" s="688" t="s">
        <v>13</v>
      </c>
      <c r="B4313" s="689">
        <v>24.8</v>
      </c>
      <c r="C4313" s="689">
        <v>24.3</v>
      </c>
      <c r="D4313" s="689">
        <v>24.8</v>
      </c>
      <c r="E4313" s="689">
        <v>24.2</v>
      </c>
      <c r="F4313" s="689">
        <v>25.3</v>
      </c>
      <c r="G4313" s="693">
        <v>25</v>
      </c>
      <c r="H4313" s="689">
        <v>25.3</v>
      </c>
      <c r="I4313" s="689">
        <v>24.2</v>
      </c>
      <c r="J4313" s="689">
        <v>25.6</v>
      </c>
      <c r="K4313" s="689">
        <v>25.8</v>
      </c>
    </row>
    <row r="4314" spans="1:11">
      <c r="A4314" s="688" t="s">
        <v>18</v>
      </c>
      <c r="B4314" s="691">
        <v>24.2</v>
      </c>
      <c r="C4314" s="691">
        <v>24.4</v>
      </c>
      <c r="D4314" s="691">
        <v>24.5</v>
      </c>
      <c r="E4314" s="691">
        <v>24.6</v>
      </c>
      <c r="F4314" s="691">
        <v>24.8</v>
      </c>
      <c r="G4314" s="691">
        <v>24.9</v>
      </c>
      <c r="H4314" s="691">
        <v>25.1</v>
      </c>
      <c r="I4314" s="691">
        <v>25.3</v>
      </c>
      <c r="J4314" s="691">
        <v>25.2</v>
      </c>
      <c r="K4314" s="691">
        <v>24.7</v>
      </c>
    </row>
    <row r="4315" spans="1:11">
      <c r="A4315" s="688" t="s">
        <v>24</v>
      </c>
      <c r="B4315" s="689">
        <v>25.3</v>
      </c>
      <c r="C4315" s="689">
        <v>25.3</v>
      </c>
      <c r="D4315" s="689">
        <v>25.1</v>
      </c>
      <c r="E4315" s="689">
        <v>25.6</v>
      </c>
      <c r="F4315" s="689">
        <v>25.6</v>
      </c>
      <c r="G4315" s="689">
        <v>25.7</v>
      </c>
      <c r="H4315" s="689">
        <v>25.8</v>
      </c>
      <c r="I4315" s="689">
        <v>25.1</v>
      </c>
      <c r="J4315" s="689">
        <v>25.7</v>
      </c>
      <c r="K4315" s="689">
        <v>25.6</v>
      </c>
    </row>
    <row r="4316" spans="1:11">
      <c r="A4316" s="688" t="s">
        <v>4059</v>
      </c>
      <c r="B4316" s="615">
        <v>24</v>
      </c>
      <c r="C4316" s="691">
        <v>24.2</v>
      </c>
      <c r="D4316" s="691">
        <v>23.9</v>
      </c>
      <c r="E4316" s="691">
        <v>24.2</v>
      </c>
      <c r="F4316" s="691">
        <v>24.2</v>
      </c>
      <c r="G4316" s="691">
        <v>24.2</v>
      </c>
      <c r="H4316" s="692" t="s">
        <v>4060</v>
      </c>
      <c r="I4316" s="692" t="s">
        <v>4060</v>
      </c>
      <c r="J4316" s="692" t="s">
        <v>4060</v>
      </c>
      <c r="K4316" s="692" t="s">
        <v>4060</v>
      </c>
    </row>
    <row r="4317" spans="1:11">
      <c r="A4317" s="688" t="s">
        <v>2324</v>
      </c>
      <c r="B4317" s="689">
        <v>20.100000000000001</v>
      </c>
      <c r="C4317" s="689">
        <v>20.2</v>
      </c>
      <c r="D4317" s="689">
        <v>19.899999999999999</v>
      </c>
      <c r="E4317" s="689">
        <v>19.899999999999999</v>
      </c>
      <c r="F4317" s="689">
        <v>20.100000000000001</v>
      </c>
      <c r="G4317" s="689">
        <v>20.3</v>
      </c>
      <c r="H4317" s="689">
        <v>20.399999999999999</v>
      </c>
      <c r="I4317" s="689">
        <v>19.399999999999999</v>
      </c>
      <c r="J4317" s="689">
        <v>17.5</v>
      </c>
      <c r="K4317" s="690" t="s">
        <v>4060</v>
      </c>
    </row>
    <row r="4318" spans="1:11">
      <c r="A4318" s="688" t="s">
        <v>2322</v>
      </c>
      <c r="B4318" s="692" t="s">
        <v>4060</v>
      </c>
      <c r="C4318" s="692" t="s">
        <v>4060</v>
      </c>
      <c r="D4318" s="692" t="s">
        <v>4060</v>
      </c>
      <c r="E4318" s="692" t="s">
        <v>4060</v>
      </c>
      <c r="F4318" s="692" t="s">
        <v>4060</v>
      </c>
      <c r="G4318" s="692" t="s">
        <v>4060</v>
      </c>
      <c r="H4318" s="692" t="s">
        <v>4060</v>
      </c>
      <c r="I4318" s="692" t="s">
        <v>4060</v>
      </c>
      <c r="J4318" s="692" t="s">
        <v>4060</v>
      </c>
      <c r="K4318" s="692" t="s">
        <v>4060</v>
      </c>
    </row>
    <row r="4319" spans="1:11">
      <c r="A4319" s="688" t="s">
        <v>2328</v>
      </c>
      <c r="B4319" s="689">
        <v>19.3</v>
      </c>
      <c r="C4319" s="689">
        <v>19.3</v>
      </c>
      <c r="D4319" s="689">
        <v>19.100000000000001</v>
      </c>
      <c r="E4319" s="689">
        <v>19.3</v>
      </c>
      <c r="F4319" s="689">
        <v>19.5</v>
      </c>
      <c r="G4319" s="689">
        <v>19.899999999999999</v>
      </c>
      <c r="H4319" s="689">
        <v>19.8</v>
      </c>
      <c r="I4319" s="693">
        <v>18</v>
      </c>
      <c r="J4319" s="689">
        <v>17.3</v>
      </c>
      <c r="K4319" s="690" t="s">
        <v>4060</v>
      </c>
    </row>
    <row r="4320" spans="1:11">
      <c r="A4320" s="688" t="s">
        <v>2496</v>
      </c>
      <c r="B4320" s="692" t="s">
        <v>4060</v>
      </c>
      <c r="C4320" s="691">
        <v>19.600000000000001</v>
      </c>
      <c r="D4320" s="691">
        <v>18.8</v>
      </c>
      <c r="E4320" s="691">
        <v>18.600000000000001</v>
      </c>
      <c r="F4320" s="691">
        <v>19.100000000000001</v>
      </c>
      <c r="G4320" s="691">
        <v>19.3</v>
      </c>
      <c r="H4320" s="691">
        <v>19.3</v>
      </c>
      <c r="I4320" s="692" t="s">
        <v>4060</v>
      </c>
      <c r="J4320" s="692" t="s">
        <v>4060</v>
      </c>
      <c r="K4320" s="691">
        <v>18.899999999999999</v>
      </c>
    </row>
    <row r="4321" spans="1:11">
      <c r="A4321" s="688" t="s">
        <v>2269</v>
      </c>
      <c r="B4321" s="689">
        <v>21.7</v>
      </c>
      <c r="C4321" s="689">
        <v>21.8</v>
      </c>
      <c r="D4321" s="689">
        <v>21.3</v>
      </c>
      <c r="E4321" s="689">
        <v>21.8</v>
      </c>
      <c r="F4321" s="689">
        <v>21.7</v>
      </c>
      <c r="G4321" s="689">
        <v>22.1</v>
      </c>
      <c r="H4321" s="689">
        <v>22.3</v>
      </c>
      <c r="I4321" s="689">
        <v>20.7</v>
      </c>
      <c r="J4321" s="689">
        <v>18.899999999999999</v>
      </c>
      <c r="K4321" s="693">
        <v>22</v>
      </c>
    </row>
    <row r="4322" spans="1:11">
      <c r="A4322" s="688" t="s">
        <v>2349</v>
      </c>
      <c r="B4322" s="691">
        <v>19.399999999999999</v>
      </c>
      <c r="C4322" s="691">
        <v>19.399999999999999</v>
      </c>
      <c r="D4322" s="691">
        <v>19.3</v>
      </c>
      <c r="E4322" s="691">
        <v>19.600000000000001</v>
      </c>
      <c r="F4322" s="691">
        <v>19.5</v>
      </c>
      <c r="G4322" s="691">
        <v>19.7</v>
      </c>
      <c r="H4322" s="691">
        <v>19.8</v>
      </c>
      <c r="I4322" s="691">
        <v>18.5</v>
      </c>
      <c r="J4322" s="691">
        <v>17.2</v>
      </c>
      <c r="K4322" s="691">
        <v>19.100000000000001</v>
      </c>
    </row>
    <row r="4323" spans="1:11">
      <c r="A4323" s="688" t="s">
        <v>2355</v>
      </c>
      <c r="B4323" s="689">
        <v>22.1</v>
      </c>
      <c r="C4323" s="693">
        <v>22</v>
      </c>
      <c r="D4323" s="689">
        <v>21.9</v>
      </c>
      <c r="E4323" s="689">
        <v>21.9</v>
      </c>
      <c r="F4323" s="693">
        <v>22</v>
      </c>
      <c r="G4323" s="689">
        <v>22.4</v>
      </c>
      <c r="H4323" s="689">
        <v>22.4</v>
      </c>
      <c r="I4323" s="690" t="s">
        <v>4060</v>
      </c>
      <c r="J4323" s="690" t="s">
        <v>4060</v>
      </c>
      <c r="K4323" s="690" t="s">
        <v>4060</v>
      </c>
    </row>
    <row r="4324" spans="1:11">
      <c r="A4324" s="688" t="s">
        <v>2357</v>
      </c>
      <c r="B4324" s="692" t="s">
        <v>4060</v>
      </c>
      <c r="C4324" s="691">
        <v>18.8</v>
      </c>
      <c r="D4324" s="691">
        <v>19.100000000000001</v>
      </c>
      <c r="E4324" s="691">
        <v>19.399999999999999</v>
      </c>
      <c r="F4324" s="691">
        <v>19.600000000000001</v>
      </c>
      <c r="G4324" s="691">
        <v>19.5</v>
      </c>
      <c r="H4324" s="691">
        <v>19.600000000000001</v>
      </c>
      <c r="I4324" s="692" t="s">
        <v>4060</v>
      </c>
      <c r="J4324" s="692" t="s">
        <v>4060</v>
      </c>
      <c r="K4324" s="692" t="s">
        <v>4060</v>
      </c>
    </row>
    <row r="4325" spans="1:11">
      <c r="A4325" s="688" t="s">
        <v>4070</v>
      </c>
      <c r="B4325" s="690" t="s">
        <v>4060</v>
      </c>
      <c r="C4325" s="690" t="s">
        <v>4060</v>
      </c>
      <c r="D4325" s="690" t="s">
        <v>4060</v>
      </c>
      <c r="E4325" s="689">
        <v>21.6</v>
      </c>
      <c r="F4325" s="690" t="s">
        <v>4060</v>
      </c>
      <c r="G4325" s="690" t="s">
        <v>4060</v>
      </c>
      <c r="H4325" s="690" t="s">
        <v>4060</v>
      </c>
      <c r="I4325" s="690" t="s">
        <v>4060</v>
      </c>
      <c r="J4325" s="690" t="s">
        <v>4060</v>
      </c>
      <c r="K4325" s="690" t="s">
        <v>4060</v>
      </c>
    </row>
    <row r="4326" spans="1:11">
      <c r="A4326" s="688" t="s">
        <v>2491</v>
      </c>
      <c r="B4326" s="691">
        <v>18.899999999999999</v>
      </c>
      <c r="C4326" s="691">
        <v>19.2</v>
      </c>
      <c r="D4326" s="691">
        <v>19.399999999999999</v>
      </c>
      <c r="E4326" s="691">
        <v>19.5</v>
      </c>
      <c r="F4326" s="691">
        <v>19.5</v>
      </c>
      <c r="G4326" s="691">
        <v>19.600000000000001</v>
      </c>
      <c r="H4326" s="692" t="s">
        <v>4060</v>
      </c>
      <c r="I4326" s="692" t="s">
        <v>4060</v>
      </c>
      <c r="J4326" s="692" t="s">
        <v>4060</v>
      </c>
      <c r="K4326" s="692" t="s">
        <v>4060</v>
      </c>
    </row>
    <row r="4327" spans="1:11">
      <c r="A4327" s="688" t="s">
        <v>2343</v>
      </c>
      <c r="B4327" s="690" t="s">
        <v>4060</v>
      </c>
      <c r="C4327" s="690" t="s">
        <v>4060</v>
      </c>
      <c r="D4327" s="690" t="s">
        <v>4060</v>
      </c>
      <c r="E4327" s="690" t="s">
        <v>4060</v>
      </c>
      <c r="F4327" s="690" t="s">
        <v>4060</v>
      </c>
      <c r="G4327" s="690" t="s">
        <v>4060</v>
      </c>
      <c r="H4327" s="690" t="s">
        <v>4060</v>
      </c>
      <c r="I4327" s="690" t="s">
        <v>4060</v>
      </c>
      <c r="J4327" s="690" t="s">
        <v>4060</v>
      </c>
      <c r="K4327" s="690" t="s">
        <v>4060</v>
      </c>
    </row>
    <row r="4328" spans="1:11">
      <c r="A4328" s="688" t="s">
        <v>4071</v>
      </c>
      <c r="B4328" s="692" t="s">
        <v>4060</v>
      </c>
      <c r="C4328" s="692" t="s">
        <v>4060</v>
      </c>
      <c r="D4328" s="692" t="s">
        <v>4060</v>
      </c>
      <c r="E4328" s="692" t="s">
        <v>4060</v>
      </c>
      <c r="F4328" s="692" t="s">
        <v>4060</v>
      </c>
      <c r="G4328" s="692" t="s">
        <v>4060</v>
      </c>
      <c r="H4328" s="692" t="s">
        <v>4060</v>
      </c>
      <c r="I4328" s="692" t="s">
        <v>4060</v>
      </c>
      <c r="J4328" s="692" t="s">
        <v>4060</v>
      </c>
      <c r="K4328" s="692" t="s">
        <v>4060</v>
      </c>
    </row>
    <row r="4329" spans="1:11">
      <c r="A4329" s="688" t="s">
        <v>2489</v>
      </c>
      <c r="B4329" s="690" t="s">
        <v>4060</v>
      </c>
      <c r="C4329" s="690" t="s">
        <v>4060</v>
      </c>
      <c r="D4329" s="689">
        <v>19.7</v>
      </c>
      <c r="E4329" s="689">
        <v>19.7</v>
      </c>
      <c r="F4329" s="693">
        <v>20</v>
      </c>
      <c r="G4329" s="689">
        <v>20.6</v>
      </c>
      <c r="H4329" s="689">
        <v>20.6</v>
      </c>
      <c r="I4329" s="690" t="s">
        <v>4060</v>
      </c>
      <c r="J4329" s="690" t="s">
        <v>4060</v>
      </c>
      <c r="K4329" s="690" t="s">
        <v>4060</v>
      </c>
    </row>
    <row r="4330" spans="1:11">
      <c r="A4330" s="688" t="s">
        <v>2490</v>
      </c>
      <c r="B4330" s="691">
        <v>19.399999999999999</v>
      </c>
      <c r="C4330" s="691">
        <v>19.3</v>
      </c>
      <c r="D4330" s="615">
        <v>20</v>
      </c>
      <c r="E4330" s="692" t="s">
        <v>4060</v>
      </c>
      <c r="F4330" s="691">
        <v>20.100000000000001</v>
      </c>
      <c r="G4330" s="691">
        <v>20.3</v>
      </c>
      <c r="H4330" s="691">
        <v>21.1</v>
      </c>
      <c r="I4330" s="692" t="s">
        <v>4060</v>
      </c>
      <c r="J4330" s="692" t="s">
        <v>4060</v>
      </c>
      <c r="K4330" s="692" t="s">
        <v>4060</v>
      </c>
    </row>
    <row r="4332" spans="1:11">
      <c r="A4332" s="683" t="s">
        <v>4233</v>
      </c>
    </row>
    <row r="4333" spans="1:11">
      <c r="A4333" s="683" t="s">
        <v>4060</v>
      </c>
      <c r="B4333" s="682" t="s">
        <v>4234</v>
      </c>
    </row>
    <row r="4335" spans="1:11">
      <c r="A4335" s="682" t="s">
        <v>4248</v>
      </c>
    </row>
    <row r="4336" spans="1:11">
      <c r="A4336" s="682" t="s">
        <v>4210</v>
      </c>
      <c r="B4336" s="683" t="s">
        <v>4211</v>
      </c>
    </row>
    <row r="4337" spans="1:11">
      <c r="A4337" s="682" t="s">
        <v>4212</v>
      </c>
      <c r="B4337" s="682" t="s">
        <v>4213</v>
      </c>
    </row>
    <row r="4339" spans="1:11">
      <c r="A4339" s="683" t="s">
        <v>4214</v>
      </c>
      <c r="C4339" s="682" t="s">
        <v>4215</v>
      </c>
    </row>
    <row r="4340" spans="1:11">
      <c r="A4340" s="683" t="s">
        <v>4216</v>
      </c>
      <c r="C4340" s="682" t="s">
        <v>2967</v>
      </c>
    </row>
    <row r="4341" spans="1:11">
      <c r="A4341" s="683" t="s">
        <v>3893</v>
      </c>
      <c r="C4341" s="682" t="s">
        <v>4217</v>
      </c>
    </row>
    <row r="4342" spans="1:11">
      <c r="A4342" s="683" t="s">
        <v>4218</v>
      </c>
      <c r="C4342" s="682" t="s">
        <v>4296</v>
      </c>
    </row>
    <row r="4344" spans="1:11">
      <c r="A4344" s="684" t="s">
        <v>4220</v>
      </c>
      <c r="B4344" s="685" t="s">
        <v>4221</v>
      </c>
      <c r="C4344" s="685" t="s">
        <v>4222</v>
      </c>
      <c r="D4344" s="685" t="s">
        <v>4223</v>
      </c>
      <c r="E4344" s="685" t="s">
        <v>4224</v>
      </c>
      <c r="F4344" s="685" t="s">
        <v>4225</v>
      </c>
      <c r="G4344" s="685" t="s">
        <v>4226</v>
      </c>
      <c r="H4344" s="685" t="s">
        <v>4227</v>
      </c>
      <c r="I4344" s="685" t="s">
        <v>4228</v>
      </c>
      <c r="J4344" s="685" t="s">
        <v>4229</v>
      </c>
      <c r="K4344" s="685" t="s">
        <v>4230</v>
      </c>
    </row>
    <row r="4345" spans="1:11">
      <c r="A4345" s="686" t="s">
        <v>4231</v>
      </c>
      <c r="B4345" s="687" t="s">
        <v>4232</v>
      </c>
      <c r="C4345" s="687" t="s">
        <v>4232</v>
      </c>
      <c r="D4345" s="687" t="s">
        <v>4232</v>
      </c>
      <c r="E4345" s="687" t="s">
        <v>4232</v>
      </c>
      <c r="F4345" s="687" t="s">
        <v>4232</v>
      </c>
      <c r="G4345" s="687" t="s">
        <v>4232</v>
      </c>
      <c r="H4345" s="687" t="s">
        <v>4232</v>
      </c>
      <c r="I4345" s="687" t="s">
        <v>4232</v>
      </c>
      <c r="J4345" s="687" t="s">
        <v>4232</v>
      </c>
      <c r="K4345" s="687" t="s">
        <v>4232</v>
      </c>
    </row>
    <row r="4346" spans="1:11">
      <c r="A4346" s="688" t="s">
        <v>4064</v>
      </c>
      <c r="B4346" s="691">
        <v>22.9</v>
      </c>
      <c r="C4346" s="691">
        <v>22.9</v>
      </c>
      <c r="D4346" s="691">
        <v>22.8</v>
      </c>
      <c r="E4346" s="691">
        <v>22.9</v>
      </c>
      <c r="F4346" s="691">
        <v>22.9</v>
      </c>
      <c r="G4346" s="615">
        <v>23</v>
      </c>
      <c r="H4346" s="691">
        <v>23.2</v>
      </c>
      <c r="I4346" s="691">
        <v>22.4</v>
      </c>
      <c r="J4346" s="691">
        <v>22.2</v>
      </c>
      <c r="K4346" s="691">
        <v>22.6</v>
      </c>
    </row>
    <row r="4347" spans="1:11">
      <c r="A4347" s="688" t="s">
        <v>4065</v>
      </c>
      <c r="B4347" s="689">
        <v>22.9</v>
      </c>
      <c r="C4347" s="689">
        <v>23.2</v>
      </c>
      <c r="D4347" s="689">
        <v>22.9</v>
      </c>
      <c r="E4347" s="689">
        <v>23.2</v>
      </c>
      <c r="F4347" s="689">
        <v>23.1</v>
      </c>
      <c r="G4347" s="689">
        <v>23.2</v>
      </c>
      <c r="H4347" s="690" t="s">
        <v>4060</v>
      </c>
      <c r="I4347" s="690" t="s">
        <v>4060</v>
      </c>
      <c r="J4347" s="690" t="s">
        <v>4060</v>
      </c>
      <c r="K4347" s="690" t="s">
        <v>4060</v>
      </c>
    </row>
    <row r="4348" spans="1:11">
      <c r="A4348" s="688" t="s">
        <v>4063</v>
      </c>
      <c r="B4348" s="691">
        <v>22.9</v>
      </c>
      <c r="C4348" s="691">
        <v>23.2</v>
      </c>
      <c r="D4348" s="691">
        <v>22.9</v>
      </c>
      <c r="E4348" s="691">
        <v>23.2</v>
      </c>
      <c r="F4348" s="691">
        <v>23.1</v>
      </c>
      <c r="G4348" s="691">
        <v>23.2</v>
      </c>
      <c r="H4348" s="692" t="s">
        <v>4060</v>
      </c>
      <c r="I4348" s="692" t="s">
        <v>4060</v>
      </c>
      <c r="J4348" s="692" t="s">
        <v>4060</v>
      </c>
      <c r="K4348" s="692" t="s">
        <v>4060</v>
      </c>
    </row>
    <row r="4349" spans="1:11">
      <c r="A4349" s="688" t="s">
        <v>4069</v>
      </c>
      <c r="B4349" s="690" t="s">
        <v>4060</v>
      </c>
      <c r="C4349" s="689">
        <v>23.6</v>
      </c>
      <c r="D4349" s="689">
        <v>23.3</v>
      </c>
      <c r="E4349" s="689">
        <v>23.6</v>
      </c>
      <c r="F4349" s="689">
        <v>23.6</v>
      </c>
      <c r="G4349" s="689">
        <v>23.7</v>
      </c>
      <c r="H4349" s="689">
        <v>23.9</v>
      </c>
      <c r="I4349" s="689">
        <v>23.2</v>
      </c>
      <c r="J4349" s="689">
        <v>23.2</v>
      </c>
      <c r="K4349" s="689">
        <v>23.3</v>
      </c>
    </row>
    <row r="4350" spans="1:11">
      <c r="A4350" s="688" t="s">
        <v>4068</v>
      </c>
      <c r="B4350" s="691">
        <v>23.6</v>
      </c>
      <c r="C4350" s="692" t="s">
        <v>4060</v>
      </c>
      <c r="D4350" s="692" t="s">
        <v>4060</v>
      </c>
      <c r="E4350" s="692" t="s">
        <v>4060</v>
      </c>
      <c r="F4350" s="692" t="s">
        <v>4060</v>
      </c>
      <c r="G4350" s="692" t="s">
        <v>4060</v>
      </c>
      <c r="H4350" s="692" t="s">
        <v>4060</v>
      </c>
      <c r="I4350" s="692" t="s">
        <v>4060</v>
      </c>
      <c r="J4350" s="692" t="s">
        <v>4060</v>
      </c>
      <c r="K4350" s="692" t="s">
        <v>4060</v>
      </c>
    </row>
    <row r="4351" spans="1:11">
      <c r="A4351" s="688" t="s">
        <v>0</v>
      </c>
      <c r="B4351" s="689">
        <v>22.9</v>
      </c>
      <c r="C4351" s="689">
        <v>23.2</v>
      </c>
      <c r="D4351" s="693">
        <v>23</v>
      </c>
      <c r="E4351" s="689">
        <v>23.2</v>
      </c>
      <c r="F4351" s="689">
        <v>23.3</v>
      </c>
      <c r="G4351" s="689">
        <v>23.4</v>
      </c>
      <c r="H4351" s="689">
        <v>23.6</v>
      </c>
      <c r="I4351" s="689">
        <v>22.5</v>
      </c>
      <c r="J4351" s="689">
        <v>23.5</v>
      </c>
      <c r="K4351" s="689">
        <v>23.4</v>
      </c>
    </row>
    <row r="4352" spans="1:11">
      <c r="A4352" s="688" t="s">
        <v>1</v>
      </c>
      <c r="B4352" s="691">
        <v>19.100000000000001</v>
      </c>
      <c r="C4352" s="691">
        <v>18.8</v>
      </c>
      <c r="D4352" s="691">
        <v>18.8</v>
      </c>
      <c r="E4352" s="615">
        <v>19</v>
      </c>
      <c r="F4352" s="691">
        <v>18.8</v>
      </c>
      <c r="G4352" s="615">
        <v>19</v>
      </c>
      <c r="H4352" s="615">
        <v>19</v>
      </c>
      <c r="I4352" s="691">
        <v>17.8</v>
      </c>
      <c r="J4352" s="691">
        <v>16.3</v>
      </c>
      <c r="K4352" s="691">
        <v>18.3</v>
      </c>
    </row>
    <row r="4353" spans="1:11">
      <c r="A4353" s="688" t="s">
        <v>2240</v>
      </c>
      <c r="B4353" s="689">
        <v>20.7</v>
      </c>
      <c r="C4353" s="693">
        <v>21</v>
      </c>
      <c r="D4353" s="689">
        <v>20.8</v>
      </c>
      <c r="E4353" s="689">
        <v>21.2</v>
      </c>
      <c r="F4353" s="689">
        <v>21.1</v>
      </c>
      <c r="G4353" s="689">
        <v>21.2</v>
      </c>
      <c r="H4353" s="689">
        <v>21.4</v>
      </c>
      <c r="I4353" s="689">
        <v>20.399999999999999</v>
      </c>
      <c r="J4353" s="689">
        <v>19.7</v>
      </c>
      <c r="K4353" s="689">
        <v>21.2</v>
      </c>
    </row>
    <row r="4354" spans="1:11">
      <c r="A4354" s="688" t="s">
        <v>2</v>
      </c>
      <c r="B4354" s="691">
        <v>22.3</v>
      </c>
      <c r="C4354" s="691">
        <v>22.5</v>
      </c>
      <c r="D4354" s="691">
        <v>22.6</v>
      </c>
      <c r="E4354" s="691">
        <v>22.7</v>
      </c>
      <c r="F4354" s="691">
        <v>22.8</v>
      </c>
      <c r="G4354" s="691">
        <v>22.6</v>
      </c>
      <c r="H4354" s="691">
        <v>22.9</v>
      </c>
      <c r="I4354" s="615">
        <v>23</v>
      </c>
      <c r="J4354" s="691">
        <v>22.9</v>
      </c>
      <c r="K4354" s="691">
        <v>22.7</v>
      </c>
    </row>
    <row r="4355" spans="1:11">
      <c r="A4355" s="688" t="s">
        <v>3</v>
      </c>
      <c r="B4355" s="689">
        <v>22.7</v>
      </c>
      <c r="C4355" s="689">
        <v>22.9</v>
      </c>
      <c r="D4355" s="689">
        <v>22.6</v>
      </c>
      <c r="E4355" s="689">
        <v>22.8</v>
      </c>
      <c r="F4355" s="689">
        <v>22.8</v>
      </c>
      <c r="G4355" s="689">
        <v>22.7</v>
      </c>
      <c r="H4355" s="693">
        <v>23</v>
      </c>
      <c r="I4355" s="689">
        <v>22.8</v>
      </c>
      <c r="J4355" s="689">
        <v>22.5</v>
      </c>
      <c r="K4355" s="689">
        <v>22.3</v>
      </c>
    </row>
    <row r="4356" spans="1:11">
      <c r="A4356" s="688" t="s">
        <v>4061</v>
      </c>
      <c r="B4356" s="691">
        <v>22.7</v>
      </c>
      <c r="C4356" s="691">
        <v>22.9</v>
      </c>
      <c r="D4356" s="691">
        <v>22.6</v>
      </c>
      <c r="E4356" s="691">
        <v>22.8</v>
      </c>
      <c r="F4356" s="691">
        <v>22.8</v>
      </c>
      <c r="G4356" s="691">
        <v>22.7</v>
      </c>
      <c r="H4356" s="615">
        <v>23</v>
      </c>
      <c r="I4356" s="691">
        <v>22.8</v>
      </c>
      <c r="J4356" s="691">
        <v>22.5</v>
      </c>
      <c r="K4356" s="691">
        <v>22.3</v>
      </c>
    </row>
    <row r="4357" spans="1:11">
      <c r="A4357" s="688" t="s">
        <v>4</v>
      </c>
      <c r="B4357" s="689">
        <v>21.1</v>
      </c>
      <c r="C4357" s="689">
        <v>20.9</v>
      </c>
      <c r="D4357" s="689">
        <v>21.2</v>
      </c>
      <c r="E4357" s="689">
        <v>21.4</v>
      </c>
      <c r="F4357" s="689">
        <v>21.3</v>
      </c>
      <c r="G4357" s="689">
        <v>21.4</v>
      </c>
      <c r="H4357" s="689">
        <v>21.8</v>
      </c>
      <c r="I4357" s="689">
        <v>21.7</v>
      </c>
      <c r="J4357" s="689">
        <v>20.399999999999999</v>
      </c>
      <c r="K4357" s="689">
        <v>21.2</v>
      </c>
    </row>
    <row r="4358" spans="1:11">
      <c r="A4358" s="688" t="s">
        <v>8</v>
      </c>
      <c r="B4358" s="691">
        <v>22.9</v>
      </c>
      <c r="C4358" s="615">
        <v>23</v>
      </c>
      <c r="D4358" s="615">
        <v>23</v>
      </c>
      <c r="E4358" s="691">
        <v>23.1</v>
      </c>
      <c r="F4358" s="691">
        <v>23.4</v>
      </c>
      <c r="G4358" s="691">
        <v>23.5</v>
      </c>
      <c r="H4358" s="691">
        <v>23.8</v>
      </c>
      <c r="I4358" s="691">
        <v>23.7</v>
      </c>
      <c r="J4358" s="691">
        <v>23.6</v>
      </c>
      <c r="K4358" s="691">
        <v>23.7</v>
      </c>
    </row>
    <row r="4359" spans="1:11">
      <c r="A4359" s="688" t="s">
        <v>7</v>
      </c>
      <c r="B4359" s="689">
        <v>23.5</v>
      </c>
      <c r="C4359" s="693">
        <v>23</v>
      </c>
      <c r="D4359" s="689">
        <v>22.8</v>
      </c>
      <c r="E4359" s="689">
        <v>23.1</v>
      </c>
      <c r="F4359" s="693">
        <v>23</v>
      </c>
      <c r="G4359" s="689">
        <v>23.4</v>
      </c>
      <c r="H4359" s="689">
        <v>23.3</v>
      </c>
      <c r="I4359" s="693">
        <v>23</v>
      </c>
      <c r="J4359" s="689">
        <v>22.2</v>
      </c>
      <c r="K4359" s="689">
        <v>22.7</v>
      </c>
    </row>
    <row r="4360" spans="1:11">
      <c r="A4360" s="688" t="s">
        <v>27</v>
      </c>
      <c r="B4360" s="691">
        <v>24.8</v>
      </c>
      <c r="C4360" s="691">
        <v>24.4</v>
      </c>
      <c r="D4360" s="691">
        <v>24.1</v>
      </c>
      <c r="E4360" s="691">
        <v>24.5</v>
      </c>
      <c r="F4360" s="691">
        <v>24.5</v>
      </c>
      <c r="G4360" s="691">
        <v>24.5</v>
      </c>
      <c r="H4360" s="691">
        <v>24.9</v>
      </c>
      <c r="I4360" s="691">
        <v>23.6</v>
      </c>
      <c r="J4360" s="691">
        <v>24.4</v>
      </c>
      <c r="K4360" s="691">
        <v>24.4</v>
      </c>
    </row>
    <row r="4361" spans="1:11">
      <c r="A4361" s="688" t="s">
        <v>6</v>
      </c>
      <c r="B4361" s="689">
        <v>24.9</v>
      </c>
      <c r="C4361" s="689">
        <v>24.7</v>
      </c>
      <c r="D4361" s="689">
        <v>24.5</v>
      </c>
      <c r="E4361" s="689">
        <v>24.7</v>
      </c>
      <c r="F4361" s="689">
        <v>24.7</v>
      </c>
      <c r="G4361" s="689">
        <v>24.8</v>
      </c>
      <c r="H4361" s="689">
        <v>24.9</v>
      </c>
      <c r="I4361" s="689">
        <v>24.3</v>
      </c>
      <c r="J4361" s="689">
        <v>24.4</v>
      </c>
      <c r="K4361" s="689">
        <v>24.5</v>
      </c>
    </row>
    <row r="4362" spans="1:11">
      <c r="A4362" s="688" t="s">
        <v>4058</v>
      </c>
      <c r="B4362" s="692" t="s">
        <v>4060</v>
      </c>
      <c r="C4362" s="692" t="s">
        <v>4060</v>
      </c>
      <c r="D4362" s="692" t="s">
        <v>4060</v>
      </c>
      <c r="E4362" s="692" t="s">
        <v>4060</v>
      </c>
      <c r="F4362" s="692" t="s">
        <v>4060</v>
      </c>
      <c r="G4362" s="692" t="s">
        <v>4060</v>
      </c>
      <c r="H4362" s="692" t="s">
        <v>4060</v>
      </c>
      <c r="I4362" s="692" t="s">
        <v>4060</v>
      </c>
      <c r="J4362" s="692" t="s">
        <v>4060</v>
      </c>
      <c r="K4362" s="692" t="s">
        <v>4060</v>
      </c>
    </row>
    <row r="4363" spans="1:11">
      <c r="A4363" s="688" t="s">
        <v>11</v>
      </c>
      <c r="B4363" s="689">
        <v>20.5</v>
      </c>
      <c r="C4363" s="689">
        <v>20.399999999999999</v>
      </c>
      <c r="D4363" s="693">
        <v>20</v>
      </c>
      <c r="E4363" s="689">
        <v>20.5</v>
      </c>
      <c r="F4363" s="689">
        <v>20.3</v>
      </c>
      <c r="G4363" s="689">
        <v>20.5</v>
      </c>
      <c r="H4363" s="689">
        <v>20.8</v>
      </c>
      <c r="I4363" s="693">
        <v>20</v>
      </c>
      <c r="J4363" s="689">
        <v>19.3</v>
      </c>
      <c r="K4363" s="689">
        <v>20.100000000000001</v>
      </c>
    </row>
    <row r="4364" spans="1:11">
      <c r="A4364" s="688" t="s">
        <v>10</v>
      </c>
      <c r="B4364" s="691">
        <v>24.3</v>
      </c>
      <c r="C4364" s="691">
        <v>24.2</v>
      </c>
      <c r="D4364" s="691">
        <v>23.8</v>
      </c>
      <c r="E4364" s="691">
        <v>24.3</v>
      </c>
      <c r="F4364" s="691">
        <v>24.1</v>
      </c>
      <c r="G4364" s="691">
        <v>24.4</v>
      </c>
      <c r="H4364" s="691">
        <v>24.6</v>
      </c>
      <c r="I4364" s="691">
        <v>23.4</v>
      </c>
      <c r="J4364" s="691">
        <v>23.9</v>
      </c>
      <c r="K4364" s="615">
        <v>24</v>
      </c>
    </row>
    <row r="4365" spans="1:11">
      <c r="A4365" s="688" t="s">
        <v>30</v>
      </c>
      <c r="B4365" s="689">
        <v>23.6</v>
      </c>
      <c r="C4365" s="689">
        <v>23.5</v>
      </c>
      <c r="D4365" s="689">
        <v>23.2</v>
      </c>
      <c r="E4365" s="689">
        <v>23.9</v>
      </c>
      <c r="F4365" s="689">
        <v>23.5</v>
      </c>
      <c r="G4365" s="693">
        <v>24</v>
      </c>
      <c r="H4365" s="689">
        <v>23.8</v>
      </c>
      <c r="I4365" s="689">
        <v>23.9</v>
      </c>
      <c r="J4365" s="689">
        <v>23.3</v>
      </c>
      <c r="K4365" s="689">
        <v>23.4</v>
      </c>
    </row>
    <row r="4366" spans="1:11">
      <c r="A4366" s="688" t="s">
        <v>12</v>
      </c>
      <c r="B4366" s="691">
        <v>19.5</v>
      </c>
      <c r="C4366" s="691">
        <v>19.5</v>
      </c>
      <c r="D4366" s="691">
        <v>19.600000000000001</v>
      </c>
      <c r="E4366" s="691">
        <v>19.600000000000001</v>
      </c>
      <c r="F4366" s="691">
        <v>19.7</v>
      </c>
      <c r="G4366" s="691">
        <v>19.7</v>
      </c>
      <c r="H4366" s="691">
        <v>20.100000000000001</v>
      </c>
      <c r="I4366" s="691">
        <v>19.8</v>
      </c>
      <c r="J4366" s="691">
        <v>18.3</v>
      </c>
      <c r="K4366" s="691">
        <v>19.399999999999999</v>
      </c>
    </row>
    <row r="4367" spans="1:11">
      <c r="A4367" s="688" t="s">
        <v>14</v>
      </c>
      <c r="B4367" s="689">
        <v>19.8</v>
      </c>
      <c r="C4367" s="689">
        <v>19.899999999999999</v>
      </c>
      <c r="D4367" s="689">
        <v>19.600000000000001</v>
      </c>
      <c r="E4367" s="689">
        <v>19.7</v>
      </c>
      <c r="F4367" s="693">
        <v>20</v>
      </c>
      <c r="G4367" s="689">
        <v>20.2</v>
      </c>
      <c r="H4367" s="689">
        <v>20.399999999999999</v>
      </c>
      <c r="I4367" s="689">
        <v>19.5</v>
      </c>
      <c r="J4367" s="689">
        <v>18.899999999999999</v>
      </c>
      <c r="K4367" s="689">
        <v>19.8</v>
      </c>
    </row>
    <row r="4368" spans="1:11">
      <c r="A4368" s="688" t="s">
        <v>15</v>
      </c>
      <c r="B4368" s="691">
        <v>23.8</v>
      </c>
      <c r="C4368" s="691">
        <v>23.5</v>
      </c>
      <c r="D4368" s="691">
        <v>23.4</v>
      </c>
      <c r="E4368" s="691">
        <v>23.8</v>
      </c>
      <c r="F4368" s="691">
        <v>23.2</v>
      </c>
      <c r="G4368" s="691">
        <v>23.5</v>
      </c>
      <c r="H4368" s="691">
        <v>23.9</v>
      </c>
      <c r="I4368" s="691">
        <v>23.5</v>
      </c>
      <c r="J4368" s="691">
        <v>23.8</v>
      </c>
      <c r="K4368" s="691">
        <v>24.1</v>
      </c>
    </row>
    <row r="4369" spans="1:11">
      <c r="A4369" s="688" t="s">
        <v>29</v>
      </c>
      <c r="B4369" s="689">
        <v>19.5</v>
      </c>
      <c r="C4369" s="689">
        <v>19.5</v>
      </c>
      <c r="D4369" s="689">
        <v>19.2</v>
      </c>
      <c r="E4369" s="689">
        <v>19.5</v>
      </c>
      <c r="F4369" s="689">
        <v>19.2</v>
      </c>
      <c r="G4369" s="689">
        <v>19.3</v>
      </c>
      <c r="H4369" s="689">
        <v>19.5</v>
      </c>
      <c r="I4369" s="689">
        <v>18.7</v>
      </c>
      <c r="J4369" s="689">
        <v>17.899999999999999</v>
      </c>
      <c r="K4369" s="693">
        <v>19</v>
      </c>
    </row>
    <row r="4370" spans="1:11">
      <c r="A4370" s="688" t="s">
        <v>16</v>
      </c>
      <c r="B4370" s="691">
        <v>23.3</v>
      </c>
      <c r="C4370" s="691">
        <v>23.3</v>
      </c>
      <c r="D4370" s="691">
        <v>23.4</v>
      </c>
      <c r="E4370" s="615">
        <v>24</v>
      </c>
      <c r="F4370" s="691">
        <v>23.7</v>
      </c>
      <c r="G4370" s="691">
        <v>23.7</v>
      </c>
      <c r="H4370" s="691">
        <v>23.9</v>
      </c>
      <c r="I4370" s="691">
        <v>23.4</v>
      </c>
      <c r="J4370" s="691">
        <v>23.4</v>
      </c>
      <c r="K4370" s="691">
        <v>23.6</v>
      </c>
    </row>
    <row r="4371" spans="1:11">
      <c r="A4371" s="688" t="s">
        <v>17</v>
      </c>
      <c r="B4371" s="689">
        <v>23.1</v>
      </c>
      <c r="C4371" s="689">
        <v>23.2</v>
      </c>
      <c r="D4371" s="693">
        <v>23</v>
      </c>
      <c r="E4371" s="689">
        <v>23.1</v>
      </c>
      <c r="F4371" s="689">
        <v>23.2</v>
      </c>
      <c r="G4371" s="689">
        <v>23.2</v>
      </c>
      <c r="H4371" s="689">
        <v>23.5</v>
      </c>
      <c r="I4371" s="689">
        <v>22.8</v>
      </c>
      <c r="J4371" s="689">
        <v>22.8</v>
      </c>
      <c r="K4371" s="689">
        <v>23.1</v>
      </c>
    </row>
    <row r="4372" spans="1:11">
      <c r="A4372" s="688" t="s">
        <v>19</v>
      </c>
      <c r="B4372" s="691">
        <v>23.2</v>
      </c>
      <c r="C4372" s="691">
        <v>23.2</v>
      </c>
      <c r="D4372" s="691">
        <v>22.9</v>
      </c>
      <c r="E4372" s="691">
        <v>23.3</v>
      </c>
      <c r="F4372" s="691">
        <v>23.3</v>
      </c>
      <c r="G4372" s="691">
        <v>23.4</v>
      </c>
      <c r="H4372" s="691">
        <v>23.5</v>
      </c>
      <c r="I4372" s="691">
        <v>22.9</v>
      </c>
      <c r="J4372" s="691">
        <v>22.9</v>
      </c>
      <c r="K4372" s="615">
        <v>23</v>
      </c>
    </row>
    <row r="4373" spans="1:11">
      <c r="A4373" s="688" t="s">
        <v>20</v>
      </c>
      <c r="B4373" s="689">
        <v>20.8</v>
      </c>
      <c r="C4373" s="693">
        <v>21</v>
      </c>
      <c r="D4373" s="689">
        <v>20.8</v>
      </c>
      <c r="E4373" s="689">
        <v>21.2</v>
      </c>
      <c r="F4373" s="693">
        <v>21</v>
      </c>
      <c r="G4373" s="689">
        <v>20.9</v>
      </c>
      <c r="H4373" s="689">
        <v>21.2</v>
      </c>
      <c r="I4373" s="689">
        <v>19.8</v>
      </c>
      <c r="J4373" s="689">
        <v>19.100000000000001</v>
      </c>
      <c r="K4373" s="689">
        <v>20.5</v>
      </c>
    </row>
    <row r="4374" spans="1:11">
      <c r="A4374" s="688" t="s">
        <v>21</v>
      </c>
      <c r="B4374" s="691">
        <v>23.2</v>
      </c>
      <c r="C4374" s="691">
        <v>23.5</v>
      </c>
      <c r="D4374" s="691">
        <v>23.4</v>
      </c>
      <c r="E4374" s="691">
        <v>23.4</v>
      </c>
      <c r="F4374" s="691">
        <v>23.7</v>
      </c>
      <c r="G4374" s="691">
        <v>23.6</v>
      </c>
      <c r="H4374" s="691">
        <v>23.9</v>
      </c>
      <c r="I4374" s="691">
        <v>23.4</v>
      </c>
      <c r="J4374" s="691">
        <v>23.4</v>
      </c>
      <c r="K4374" s="691">
        <v>23.6</v>
      </c>
    </row>
    <row r="4375" spans="1:11">
      <c r="A4375" s="688" t="s">
        <v>22</v>
      </c>
      <c r="B4375" s="689">
        <v>19.5</v>
      </c>
      <c r="C4375" s="689">
        <v>19.3</v>
      </c>
      <c r="D4375" s="689">
        <v>19.2</v>
      </c>
      <c r="E4375" s="689">
        <v>19.399999999999999</v>
      </c>
      <c r="F4375" s="689">
        <v>19.399999999999999</v>
      </c>
      <c r="G4375" s="689">
        <v>19.399999999999999</v>
      </c>
      <c r="H4375" s="689">
        <v>19.600000000000001</v>
      </c>
      <c r="I4375" s="689">
        <v>18.3</v>
      </c>
      <c r="J4375" s="689">
        <v>17.2</v>
      </c>
      <c r="K4375" s="693">
        <v>19</v>
      </c>
    </row>
    <row r="4376" spans="1:11">
      <c r="A4376" s="688" t="s">
        <v>26</v>
      </c>
      <c r="B4376" s="691">
        <v>22.7</v>
      </c>
      <c r="C4376" s="691">
        <v>22.7</v>
      </c>
      <c r="D4376" s="691">
        <v>22.6</v>
      </c>
      <c r="E4376" s="691">
        <v>22.9</v>
      </c>
      <c r="F4376" s="691">
        <v>22.7</v>
      </c>
      <c r="G4376" s="691">
        <v>22.9</v>
      </c>
      <c r="H4376" s="615">
        <v>23</v>
      </c>
      <c r="I4376" s="691">
        <v>22.1</v>
      </c>
      <c r="J4376" s="691">
        <v>22.3</v>
      </c>
      <c r="K4376" s="691">
        <v>22.8</v>
      </c>
    </row>
    <row r="4377" spans="1:11">
      <c r="A4377" s="688" t="s">
        <v>25</v>
      </c>
      <c r="B4377" s="689">
        <v>19.899999999999999</v>
      </c>
      <c r="C4377" s="689">
        <v>20.2</v>
      </c>
      <c r="D4377" s="693">
        <v>20</v>
      </c>
      <c r="E4377" s="689">
        <v>20.3</v>
      </c>
      <c r="F4377" s="689">
        <v>20.3</v>
      </c>
      <c r="G4377" s="689">
        <v>20.5</v>
      </c>
      <c r="H4377" s="689">
        <v>20.8</v>
      </c>
      <c r="I4377" s="693">
        <v>20</v>
      </c>
      <c r="J4377" s="689">
        <v>18.100000000000001</v>
      </c>
      <c r="K4377" s="689">
        <v>20.100000000000001</v>
      </c>
    </row>
    <row r="4378" spans="1:11">
      <c r="A4378" s="688" t="s">
        <v>5</v>
      </c>
      <c r="B4378" s="691">
        <v>23.3</v>
      </c>
      <c r="C4378" s="691">
        <v>23.1</v>
      </c>
      <c r="D4378" s="691">
        <v>23.2</v>
      </c>
      <c r="E4378" s="691">
        <v>23.2</v>
      </c>
      <c r="F4378" s="691">
        <v>23.4</v>
      </c>
      <c r="G4378" s="691">
        <v>23.5</v>
      </c>
      <c r="H4378" s="691">
        <v>23.8</v>
      </c>
      <c r="I4378" s="691">
        <v>23.7</v>
      </c>
      <c r="J4378" s="691">
        <v>23.6</v>
      </c>
      <c r="K4378" s="615">
        <v>23</v>
      </c>
    </row>
    <row r="4379" spans="1:11">
      <c r="A4379" s="688" t="s">
        <v>23</v>
      </c>
      <c r="B4379" s="689">
        <v>23.5</v>
      </c>
      <c r="C4379" s="689">
        <v>23.6</v>
      </c>
      <c r="D4379" s="689">
        <v>23.6</v>
      </c>
      <c r="E4379" s="689">
        <v>23.7</v>
      </c>
      <c r="F4379" s="689">
        <v>23.8</v>
      </c>
      <c r="G4379" s="689">
        <v>23.8</v>
      </c>
      <c r="H4379" s="689">
        <v>24.2</v>
      </c>
      <c r="I4379" s="689">
        <v>23.6</v>
      </c>
      <c r="J4379" s="689">
        <v>24.2</v>
      </c>
      <c r="K4379" s="689">
        <v>24.2</v>
      </c>
    </row>
    <row r="4380" spans="1:11">
      <c r="A4380" s="688" t="s">
        <v>4067</v>
      </c>
      <c r="B4380" s="691">
        <v>22.9</v>
      </c>
      <c r="C4380" s="691">
        <v>23.2</v>
      </c>
      <c r="D4380" s="691">
        <v>22.9</v>
      </c>
      <c r="E4380" s="691">
        <v>23.2</v>
      </c>
      <c r="F4380" s="691">
        <v>23.1</v>
      </c>
      <c r="G4380" s="691">
        <v>23.2</v>
      </c>
      <c r="H4380" s="692" t="s">
        <v>4060</v>
      </c>
      <c r="I4380" s="692" t="s">
        <v>4060</v>
      </c>
      <c r="J4380" s="692" t="s">
        <v>4060</v>
      </c>
      <c r="K4380" s="692" t="s">
        <v>4060</v>
      </c>
    </row>
    <row r="4381" spans="1:11">
      <c r="A4381" s="688" t="s">
        <v>4066</v>
      </c>
      <c r="B4381" s="689">
        <v>22.9</v>
      </c>
      <c r="C4381" s="689">
        <v>23.2</v>
      </c>
      <c r="D4381" s="689">
        <v>22.9</v>
      </c>
      <c r="E4381" s="689">
        <v>23.2</v>
      </c>
      <c r="F4381" s="689">
        <v>23.1</v>
      </c>
      <c r="G4381" s="689">
        <v>23.2</v>
      </c>
      <c r="H4381" s="690" t="s">
        <v>4060</v>
      </c>
      <c r="I4381" s="690" t="s">
        <v>4060</v>
      </c>
      <c r="J4381" s="690" t="s">
        <v>4060</v>
      </c>
      <c r="K4381" s="690" t="s">
        <v>4060</v>
      </c>
    </row>
    <row r="4382" spans="1:11">
      <c r="A4382" s="688" t="s">
        <v>4062</v>
      </c>
      <c r="B4382" s="615">
        <v>24</v>
      </c>
      <c r="C4382" s="691">
        <v>24.1</v>
      </c>
      <c r="D4382" s="615">
        <v>24</v>
      </c>
      <c r="E4382" s="691">
        <v>24.3</v>
      </c>
      <c r="F4382" s="691">
        <v>24.4</v>
      </c>
      <c r="G4382" s="691">
        <v>24.5</v>
      </c>
      <c r="H4382" s="691">
        <v>24.6</v>
      </c>
      <c r="I4382" s="691">
        <v>24.3</v>
      </c>
      <c r="J4382" s="691">
        <v>24.6</v>
      </c>
      <c r="K4382" s="691">
        <v>24.4</v>
      </c>
    </row>
    <row r="4383" spans="1:11">
      <c r="A4383" s="688" t="s">
        <v>9</v>
      </c>
      <c r="B4383" s="689">
        <v>23.5</v>
      </c>
      <c r="C4383" s="693">
        <v>24</v>
      </c>
      <c r="D4383" s="689">
        <v>23.8</v>
      </c>
      <c r="E4383" s="689">
        <v>23.3</v>
      </c>
      <c r="F4383" s="689">
        <v>23.9</v>
      </c>
      <c r="G4383" s="689">
        <v>24.1</v>
      </c>
      <c r="H4383" s="689">
        <v>24.3</v>
      </c>
      <c r="I4383" s="689">
        <v>24.4</v>
      </c>
      <c r="J4383" s="689">
        <v>24.5</v>
      </c>
      <c r="K4383" s="689">
        <v>23.5</v>
      </c>
    </row>
    <row r="4384" spans="1:11">
      <c r="A4384" s="688" t="s">
        <v>13</v>
      </c>
      <c r="B4384" s="615">
        <v>24</v>
      </c>
      <c r="C4384" s="691">
        <v>23.4</v>
      </c>
      <c r="D4384" s="615">
        <v>24</v>
      </c>
      <c r="E4384" s="691">
        <v>23.4</v>
      </c>
      <c r="F4384" s="691">
        <v>24.4</v>
      </c>
      <c r="G4384" s="691">
        <v>24.1</v>
      </c>
      <c r="H4384" s="691">
        <v>24.5</v>
      </c>
      <c r="I4384" s="691">
        <v>23.3</v>
      </c>
      <c r="J4384" s="691">
        <v>24.8</v>
      </c>
      <c r="K4384" s="691">
        <v>24.8</v>
      </c>
    </row>
    <row r="4385" spans="1:11">
      <c r="A4385" s="688" t="s">
        <v>18</v>
      </c>
      <c r="B4385" s="689">
        <v>23.4</v>
      </c>
      <c r="C4385" s="689">
        <v>23.6</v>
      </c>
      <c r="D4385" s="689">
        <v>23.6</v>
      </c>
      <c r="E4385" s="689">
        <v>23.8</v>
      </c>
      <c r="F4385" s="689">
        <v>23.9</v>
      </c>
      <c r="G4385" s="693">
        <v>24</v>
      </c>
      <c r="H4385" s="689">
        <v>24.2</v>
      </c>
      <c r="I4385" s="689">
        <v>24.4</v>
      </c>
      <c r="J4385" s="689">
        <v>24.3</v>
      </c>
      <c r="K4385" s="689">
        <v>23.8</v>
      </c>
    </row>
    <row r="4386" spans="1:11">
      <c r="A4386" s="688" t="s">
        <v>24</v>
      </c>
      <c r="B4386" s="691">
        <v>24.4</v>
      </c>
      <c r="C4386" s="691">
        <v>24.5</v>
      </c>
      <c r="D4386" s="691">
        <v>24.2</v>
      </c>
      <c r="E4386" s="691">
        <v>24.7</v>
      </c>
      <c r="F4386" s="691">
        <v>24.7</v>
      </c>
      <c r="G4386" s="691">
        <v>24.8</v>
      </c>
      <c r="H4386" s="691">
        <v>24.9</v>
      </c>
      <c r="I4386" s="691">
        <v>24.2</v>
      </c>
      <c r="J4386" s="691">
        <v>24.8</v>
      </c>
      <c r="K4386" s="691">
        <v>24.7</v>
      </c>
    </row>
    <row r="4387" spans="1:11">
      <c r="A4387" s="688" t="s">
        <v>4059</v>
      </c>
      <c r="B4387" s="689">
        <v>23.1</v>
      </c>
      <c r="C4387" s="689">
        <v>23.4</v>
      </c>
      <c r="D4387" s="689">
        <v>23.1</v>
      </c>
      <c r="E4387" s="689">
        <v>23.3</v>
      </c>
      <c r="F4387" s="689">
        <v>23.3</v>
      </c>
      <c r="G4387" s="689">
        <v>23.4</v>
      </c>
      <c r="H4387" s="690" t="s">
        <v>4060</v>
      </c>
      <c r="I4387" s="690" t="s">
        <v>4060</v>
      </c>
      <c r="J4387" s="690" t="s">
        <v>4060</v>
      </c>
      <c r="K4387" s="690" t="s">
        <v>4060</v>
      </c>
    </row>
    <row r="4388" spans="1:11">
      <c r="A4388" s="688" t="s">
        <v>2324</v>
      </c>
      <c r="B4388" s="691">
        <v>19.3</v>
      </c>
      <c r="C4388" s="691">
        <v>19.5</v>
      </c>
      <c r="D4388" s="691">
        <v>19.100000000000001</v>
      </c>
      <c r="E4388" s="691">
        <v>19.100000000000001</v>
      </c>
      <c r="F4388" s="691">
        <v>19.3</v>
      </c>
      <c r="G4388" s="691">
        <v>19.5</v>
      </c>
      <c r="H4388" s="691">
        <v>19.600000000000001</v>
      </c>
      <c r="I4388" s="691">
        <v>18.600000000000001</v>
      </c>
      <c r="J4388" s="691">
        <v>16.8</v>
      </c>
      <c r="K4388" s="692" t="s">
        <v>4060</v>
      </c>
    </row>
    <row r="4389" spans="1:11">
      <c r="A4389" s="688" t="s">
        <v>2322</v>
      </c>
      <c r="B4389" s="690" t="s">
        <v>4060</v>
      </c>
      <c r="C4389" s="690" t="s">
        <v>4060</v>
      </c>
      <c r="D4389" s="690" t="s">
        <v>4060</v>
      </c>
      <c r="E4389" s="690" t="s">
        <v>4060</v>
      </c>
      <c r="F4389" s="690" t="s">
        <v>4060</v>
      </c>
      <c r="G4389" s="690" t="s">
        <v>4060</v>
      </c>
      <c r="H4389" s="690" t="s">
        <v>4060</v>
      </c>
      <c r="I4389" s="690" t="s">
        <v>4060</v>
      </c>
      <c r="J4389" s="690" t="s">
        <v>4060</v>
      </c>
      <c r="K4389" s="690" t="s">
        <v>4060</v>
      </c>
    </row>
    <row r="4390" spans="1:11">
      <c r="A4390" s="688" t="s">
        <v>2328</v>
      </c>
      <c r="B4390" s="691">
        <v>18.5</v>
      </c>
      <c r="C4390" s="691">
        <v>18.5</v>
      </c>
      <c r="D4390" s="691">
        <v>18.3</v>
      </c>
      <c r="E4390" s="691">
        <v>18.5</v>
      </c>
      <c r="F4390" s="691">
        <v>18.7</v>
      </c>
      <c r="G4390" s="691">
        <v>19.100000000000001</v>
      </c>
      <c r="H4390" s="615">
        <v>19</v>
      </c>
      <c r="I4390" s="691">
        <v>17.2</v>
      </c>
      <c r="J4390" s="691">
        <v>16.5</v>
      </c>
      <c r="K4390" s="692" t="s">
        <v>4060</v>
      </c>
    </row>
    <row r="4391" spans="1:11">
      <c r="A4391" s="688" t="s">
        <v>2496</v>
      </c>
      <c r="B4391" s="690" t="s">
        <v>4060</v>
      </c>
      <c r="C4391" s="689">
        <v>18.899999999999999</v>
      </c>
      <c r="D4391" s="689">
        <v>18.100000000000001</v>
      </c>
      <c r="E4391" s="689">
        <v>17.8</v>
      </c>
      <c r="F4391" s="689">
        <v>18.3</v>
      </c>
      <c r="G4391" s="689">
        <v>18.600000000000001</v>
      </c>
      <c r="H4391" s="689">
        <v>18.5</v>
      </c>
      <c r="I4391" s="690" t="s">
        <v>4060</v>
      </c>
      <c r="J4391" s="690" t="s">
        <v>4060</v>
      </c>
      <c r="K4391" s="689">
        <v>18.100000000000001</v>
      </c>
    </row>
    <row r="4392" spans="1:11">
      <c r="A4392" s="688" t="s">
        <v>2269</v>
      </c>
      <c r="B4392" s="691">
        <v>20.8</v>
      </c>
      <c r="C4392" s="691">
        <v>20.9</v>
      </c>
      <c r="D4392" s="691">
        <v>20.399999999999999</v>
      </c>
      <c r="E4392" s="691">
        <v>20.9</v>
      </c>
      <c r="F4392" s="691">
        <v>20.9</v>
      </c>
      <c r="G4392" s="691">
        <v>21.2</v>
      </c>
      <c r="H4392" s="691">
        <v>21.4</v>
      </c>
      <c r="I4392" s="691">
        <v>19.899999999999999</v>
      </c>
      <c r="J4392" s="691">
        <v>18.100000000000001</v>
      </c>
      <c r="K4392" s="691">
        <v>21.1</v>
      </c>
    </row>
    <row r="4393" spans="1:11">
      <c r="A4393" s="688" t="s">
        <v>2349</v>
      </c>
      <c r="B4393" s="689">
        <v>18.600000000000001</v>
      </c>
      <c r="C4393" s="689">
        <v>18.7</v>
      </c>
      <c r="D4393" s="689">
        <v>18.600000000000001</v>
      </c>
      <c r="E4393" s="689">
        <v>18.899999999999999</v>
      </c>
      <c r="F4393" s="689">
        <v>18.7</v>
      </c>
      <c r="G4393" s="693">
        <v>19</v>
      </c>
      <c r="H4393" s="693">
        <v>19</v>
      </c>
      <c r="I4393" s="689">
        <v>17.8</v>
      </c>
      <c r="J4393" s="689">
        <v>16.5</v>
      </c>
      <c r="K4393" s="689">
        <v>18.3</v>
      </c>
    </row>
    <row r="4394" spans="1:11">
      <c r="A4394" s="688" t="s">
        <v>2355</v>
      </c>
      <c r="B4394" s="691">
        <v>21.3</v>
      </c>
      <c r="C4394" s="691">
        <v>21.2</v>
      </c>
      <c r="D4394" s="691">
        <v>21.1</v>
      </c>
      <c r="E4394" s="691">
        <v>21.1</v>
      </c>
      <c r="F4394" s="691">
        <v>21.2</v>
      </c>
      <c r="G4394" s="691">
        <v>21.5</v>
      </c>
      <c r="H4394" s="691">
        <v>21.6</v>
      </c>
      <c r="I4394" s="692" t="s">
        <v>4060</v>
      </c>
      <c r="J4394" s="692" t="s">
        <v>4060</v>
      </c>
      <c r="K4394" s="692" t="s">
        <v>4060</v>
      </c>
    </row>
    <row r="4395" spans="1:11">
      <c r="A4395" s="688" t="s">
        <v>2357</v>
      </c>
      <c r="B4395" s="690" t="s">
        <v>4060</v>
      </c>
      <c r="C4395" s="689">
        <v>18.100000000000001</v>
      </c>
      <c r="D4395" s="689">
        <v>18.399999999999999</v>
      </c>
      <c r="E4395" s="689">
        <v>18.7</v>
      </c>
      <c r="F4395" s="689">
        <v>18.899999999999999</v>
      </c>
      <c r="G4395" s="689">
        <v>18.8</v>
      </c>
      <c r="H4395" s="689">
        <v>18.899999999999999</v>
      </c>
      <c r="I4395" s="690" t="s">
        <v>4060</v>
      </c>
      <c r="J4395" s="690" t="s">
        <v>4060</v>
      </c>
      <c r="K4395" s="690" t="s">
        <v>4060</v>
      </c>
    </row>
    <row r="4396" spans="1:11">
      <c r="A4396" s="688" t="s">
        <v>4070</v>
      </c>
      <c r="B4396" s="692" t="s">
        <v>4060</v>
      </c>
      <c r="C4396" s="692" t="s">
        <v>4060</v>
      </c>
      <c r="D4396" s="692" t="s">
        <v>4060</v>
      </c>
      <c r="E4396" s="691">
        <v>20.8</v>
      </c>
      <c r="F4396" s="692" t="s">
        <v>4060</v>
      </c>
      <c r="G4396" s="692" t="s">
        <v>4060</v>
      </c>
      <c r="H4396" s="692" t="s">
        <v>4060</v>
      </c>
      <c r="I4396" s="692" t="s">
        <v>4060</v>
      </c>
      <c r="J4396" s="692" t="s">
        <v>4060</v>
      </c>
      <c r="K4396" s="692" t="s">
        <v>4060</v>
      </c>
    </row>
    <row r="4397" spans="1:11">
      <c r="A4397" s="688" t="s">
        <v>2491</v>
      </c>
      <c r="B4397" s="689">
        <v>18.2</v>
      </c>
      <c r="C4397" s="689">
        <v>18.600000000000001</v>
      </c>
      <c r="D4397" s="689">
        <v>18.7</v>
      </c>
      <c r="E4397" s="689">
        <v>18.8</v>
      </c>
      <c r="F4397" s="689">
        <v>18.8</v>
      </c>
      <c r="G4397" s="689">
        <v>18.899999999999999</v>
      </c>
      <c r="H4397" s="690" t="s">
        <v>4060</v>
      </c>
      <c r="I4397" s="690" t="s">
        <v>4060</v>
      </c>
      <c r="J4397" s="690" t="s">
        <v>4060</v>
      </c>
      <c r="K4397" s="690" t="s">
        <v>4060</v>
      </c>
    </row>
    <row r="4398" spans="1:11">
      <c r="A4398" s="688" t="s">
        <v>2343</v>
      </c>
      <c r="B4398" s="692" t="s">
        <v>4060</v>
      </c>
      <c r="C4398" s="692" t="s">
        <v>4060</v>
      </c>
      <c r="D4398" s="692" t="s">
        <v>4060</v>
      </c>
      <c r="E4398" s="692" t="s">
        <v>4060</v>
      </c>
      <c r="F4398" s="692" t="s">
        <v>4060</v>
      </c>
      <c r="G4398" s="692" t="s">
        <v>4060</v>
      </c>
      <c r="H4398" s="692" t="s">
        <v>4060</v>
      </c>
      <c r="I4398" s="692" t="s">
        <v>4060</v>
      </c>
      <c r="J4398" s="692" t="s">
        <v>4060</v>
      </c>
      <c r="K4398" s="692" t="s">
        <v>4060</v>
      </c>
    </row>
    <row r="4399" spans="1:11">
      <c r="A4399" s="688" t="s">
        <v>4071</v>
      </c>
      <c r="B4399" s="690" t="s">
        <v>4060</v>
      </c>
      <c r="C4399" s="690" t="s">
        <v>4060</v>
      </c>
      <c r="D4399" s="690" t="s">
        <v>4060</v>
      </c>
      <c r="E4399" s="690" t="s">
        <v>4060</v>
      </c>
      <c r="F4399" s="690" t="s">
        <v>4060</v>
      </c>
      <c r="G4399" s="690" t="s">
        <v>4060</v>
      </c>
      <c r="H4399" s="690" t="s">
        <v>4060</v>
      </c>
      <c r="I4399" s="690" t="s">
        <v>4060</v>
      </c>
      <c r="J4399" s="690" t="s">
        <v>4060</v>
      </c>
      <c r="K4399" s="690" t="s">
        <v>4060</v>
      </c>
    </row>
    <row r="4400" spans="1:11">
      <c r="A4400" s="688" t="s">
        <v>2489</v>
      </c>
      <c r="B4400" s="692" t="s">
        <v>4060</v>
      </c>
      <c r="C4400" s="692" t="s">
        <v>4060</v>
      </c>
      <c r="D4400" s="691">
        <v>18.899999999999999</v>
      </c>
      <c r="E4400" s="691">
        <v>18.899999999999999</v>
      </c>
      <c r="F4400" s="691">
        <v>19.2</v>
      </c>
      <c r="G4400" s="691">
        <v>19.8</v>
      </c>
      <c r="H4400" s="691">
        <v>19.899999999999999</v>
      </c>
      <c r="I4400" s="692" t="s">
        <v>4060</v>
      </c>
      <c r="J4400" s="692" t="s">
        <v>4060</v>
      </c>
      <c r="K4400" s="692" t="s">
        <v>4060</v>
      </c>
    </row>
    <row r="4401" spans="1:11">
      <c r="A4401" s="688" t="s">
        <v>2490</v>
      </c>
      <c r="B4401" s="689">
        <v>18.600000000000001</v>
      </c>
      <c r="C4401" s="689">
        <v>18.5</v>
      </c>
      <c r="D4401" s="689">
        <v>19.2</v>
      </c>
      <c r="E4401" s="690" t="s">
        <v>4060</v>
      </c>
      <c r="F4401" s="689">
        <v>19.3</v>
      </c>
      <c r="G4401" s="689">
        <v>19.5</v>
      </c>
      <c r="H4401" s="689">
        <v>20.3</v>
      </c>
      <c r="I4401" s="690" t="s">
        <v>4060</v>
      </c>
      <c r="J4401" s="690" t="s">
        <v>4060</v>
      </c>
      <c r="K4401" s="690" t="s">
        <v>4060</v>
      </c>
    </row>
    <row r="4403" spans="1:11">
      <c r="A4403" s="683" t="s">
        <v>4233</v>
      </c>
    </row>
    <row r="4404" spans="1:11">
      <c r="A4404" s="683" t="s">
        <v>4060</v>
      </c>
      <c r="B4404" s="682" t="s">
        <v>4234</v>
      </c>
    </row>
    <row r="4406" spans="1:11">
      <c r="A4406" s="682" t="s">
        <v>4248</v>
      </c>
    </row>
    <row r="4407" spans="1:11">
      <c r="A4407" s="682" t="s">
        <v>4210</v>
      </c>
      <c r="B4407" s="683" t="s">
        <v>4211</v>
      </c>
    </row>
    <row r="4408" spans="1:11">
      <c r="A4408" s="682" t="s">
        <v>4212</v>
      </c>
      <c r="B4408" s="682" t="s">
        <v>4213</v>
      </c>
    </row>
    <row r="4410" spans="1:11">
      <c r="A4410" s="683" t="s">
        <v>4214</v>
      </c>
      <c r="C4410" s="682" t="s">
        <v>4215</v>
      </c>
    </row>
    <row r="4411" spans="1:11">
      <c r="A4411" s="683" t="s">
        <v>4216</v>
      </c>
      <c r="C4411" s="682" t="s">
        <v>2967</v>
      </c>
    </row>
    <row r="4412" spans="1:11">
      <c r="A4412" s="683" t="s">
        <v>3893</v>
      </c>
      <c r="C4412" s="682" t="s">
        <v>4217</v>
      </c>
    </row>
    <row r="4413" spans="1:11">
      <c r="A4413" s="683" t="s">
        <v>4218</v>
      </c>
      <c r="C4413" s="682" t="s">
        <v>4297</v>
      </c>
    </row>
    <row r="4415" spans="1:11">
      <c r="A4415" s="684" t="s">
        <v>4220</v>
      </c>
      <c r="B4415" s="685" t="s">
        <v>4221</v>
      </c>
      <c r="C4415" s="685" t="s">
        <v>4222</v>
      </c>
      <c r="D4415" s="685" t="s">
        <v>4223</v>
      </c>
      <c r="E4415" s="685" t="s">
        <v>4224</v>
      </c>
      <c r="F4415" s="685" t="s">
        <v>4225</v>
      </c>
      <c r="G4415" s="685" t="s">
        <v>4226</v>
      </c>
      <c r="H4415" s="685" t="s">
        <v>4227</v>
      </c>
      <c r="I4415" s="685" t="s">
        <v>4228</v>
      </c>
      <c r="J4415" s="685" t="s">
        <v>4229</v>
      </c>
      <c r="K4415" s="685" t="s">
        <v>4230</v>
      </c>
    </row>
    <row r="4416" spans="1:11">
      <c r="A4416" s="686" t="s">
        <v>4231</v>
      </c>
      <c r="B4416" s="687" t="s">
        <v>4232</v>
      </c>
      <c r="C4416" s="687" t="s">
        <v>4232</v>
      </c>
      <c r="D4416" s="687" t="s">
        <v>4232</v>
      </c>
      <c r="E4416" s="687" t="s">
        <v>4232</v>
      </c>
      <c r="F4416" s="687" t="s">
        <v>4232</v>
      </c>
      <c r="G4416" s="687" t="s">
        <v>4232</v>
      </c>
      <c r="H4416" s="687" t="s">
        <v>4232</v>
      </c>
      <c r="I4416" s="687" t="s">
        <v>4232</v>
      </c>
      <c r="J4416" s="687" t="s">
        <v>4232</v>
      </c>
      <c r="K4416" s="687" t="s">
        <v>4232</v>
      </c>
    </row>
    <row r="4417" spans="1:11">
      <c r="A4417" s="688" t="s">
        <v>4064</v>
      </c>
      <c r="B4417" s="689">
        <v>22.1</v>
      </c>
      <c r="C4417" s="689">
        <v>22.1</v>
      </c>
      <c r="D4417" s="693">
        <v>22</v>
      </c>
      <c r="E4417" s="689">
        <v>22.1</v>
      </c>
      <c r="F4417" s="689">
        <v>22.1</v>
      </c>
      <c r="G4417" s="689">
        <v>22.1</v>
      </c>
      <c r="H4417" s="689">
        <v>22.4</v>
      </c>
      <c r="I4417" s="689">
        <v>21.6</v>
      </c>
      <c r="J4417" s="689">
        <v>21.4</v>
      </c>
      <c r="K4417" s="689">
        <v>21.8</v>
      </c>
    </row>
    <row r="4418" spans="1:11">
      <c r="A4418" s="688" t="s">
        <v>4065</v>
      </c>
      <c r="B4418" s="691">
        <v>22.1</v>
      </c>
      <c r="C4418" s="691">
        <v>22.4</v>
      </c>
      <c r="D4418" s="615">
        <v>22</v>
      </c>
      <c r="E4418" s="691">
        <v>22.4</v>
      </c>
      <c r="F4418" s="691">
        <v>22.3</v>
      </c>
      <c r="G4418" s="691">
        <v>22.4</v>
      </c>
      <c r="H4418" s="692" t="s">
        <v>4060</v>
      </c>
      <c r="I4418" s="692" t="s">
        <v>4060</v>
      </c>
      <c r="J4418" s="692" t="s">
        <v>4060</v>
      </c>
      <c r="K4418" s="692" t="s">
        <v>4060</v>
      </c>
    </row>
    <row r="4419" spans="1:11">
      <c r="A4419" s="688" t="s">
        <v>4063</v>
      </c>
      <c r="B4419" s="689">
        <v>22.1</v>
      </c>
      <c r="C4419" s="689">
        <v>22.4</v>
      </c>
      <c r="D4419" s="689">
        <v>22.1</v>
      </c>
      <c r="E4419" s="689">
        <v>22.4</v>
      </c>
      <c r="F4419" s="689">
        <v>22.3</v>
      </c>
      <c r="G4419" s="689">
        <v>22.4</v>
      </c>
      <c r="H4419" s="690" t="s">
        <v>4060</v>
      </c>
      <c r="I4419" s="690" t="s">
        <v>4060</v>
      </c>
      <c r="J4419" s="690" t="s">
        <v>4060</v>
      </c>
      <c r="K4419" s="690" t="s">
        <v>4060</v>
      </c>
    </row>
    <row r="4420" spans="1:11">
      <c r="A4420" s="688" t="s">
        <v>4069</v>
      </c>
      <c r="B4420" s="692" t="s">
        <v>4060</v>
      </c>
      <c r="C4420" s="691">
        <v>22.7</v>
      </c>
      <c r="D4420" s="691">
        <v>22.5</v>
      </c>
      <c r="E4420" s="691">
        <v>22.8</v>
      </c>
      <c r="F4420" s="691">
        <v>22.7</v>
      </c>
      <c r="G4420" s="691">
        <v>22.8</v>
      </c>
      <c r="H4420" s="615">
        <v>23</v>
      </c>
      <c r="I4420" s="691">
        <v>22.4</v>
      </c>
      <c r="J4420" s="691">
        <v>22.4</v>
      </c>
      <c r="K4420" s="691">
        <v>22.5</v>
      </c>
    </row>
    <row r="4421" spans="1:11">
      <c r="A4421" s="688" t="s">
        <v>4068</v>
      </c>
      <c r="B4421" s="689">
        <v>22.8</v>
      </c>
      <c r="C4421" s="690" t="s">
        <v>4060</v>
      </c>
      <c r="D4421" s="690" t="s">
        <v>4060</v>
      </c>
      <c r="E4421" s="690" t="s">
        <v>4060</v>
      </c>
      <c r="F4421" s="690" t="s">
        <v>4060</v>
      </c>
      <c r="G4421" s="690" t="s">
        <v>4060</v>
      </c>
      <c r="H4421" s="690" t="s">
        <v>4060</v>
      </c>
      <c r="I4421" s="690" t="s">
        <v>4060</v>
      </c>
      <c r="J4421" s="690" t="s">
        <v>4060</v>
      </c>
      <c r="K4421" s="690" t="s">
        <v>4060</v>
      </c>
    </row>
    <row r="4422" spans="1:11">
      <c r="A4422" s="688" t="s">
        <v>0</v>
      </c>
      <c r="B4422" s="691">
        <v>22.1</v>
      </c>
      <c r="C4422" s="691">
        <v>22.4</v>
      </c>
      <c r="D4422" s="691">
        <v>22.1</v>
      </c>
      <c r="E4422" s="691">
        <v>22.4</v>
      </c>
      <c r="F4422" s="691">
        <v>22.5</v>
      </c>
      <c r="G4422" s="691">
        <v>22.5</v>
      </c>
      <c r="H4422" s="691">
        <v>22.8</v>
      </c>
      <c r="I4422" s="691">
        <v>21.7</v>
      </c>
      <c r="J4422" s="691">
        <v>22.6</v>
      </c>
      <c r="K4422" s="691">
        <v>22.6</v>
      </c>
    </row>
    <row r="4423" spans="1:11">
      <c r="A4423" s="688" t="s">
        <v>1</v>
      </c>
      <c r="B4423" s="689">
        <v>18.3</v>
      </c>
      <c r="C4423" s="689">
        <v>18.100000000000001</v>
      </c>
      <c r="D4423" s="693">
        <v>18</v>
      </c>
      <c r="E4423" s="689">
        <v>18.3</v>
      </c>
      <c r="F4423" s="689">
        <v>18.100000000000001</v>
      </c>
      <c r="G4423" s="689">
        <v>18.2</v>
      </c>
      <c r="H4423" s="689">
        <v>18.3</v>
      </c>
      <c r="I4423" s="689">
        <v>17.100000000000001</v>
      </c>
      <c r="J4423" s="689">
        <v>15.6</v>
      </c>
      <c r="K4423" s="689">
        <v>17.600000000000001</v>
      </c>
    </row>
    <row r="4424" spans="1:11">
      <c r="A4424" s="688" t="s">
        <v>2240</v>
      </c>
      <c r="B4424" s="691">
        <v>19.899999999999999</v>
      </c>
      <c r="C4424" s="691">
        <v>20.2</v>
      </c>
      <c r="D4424" s="615">
        <v>20</v>
      </c>
      <c r="E4424" s="691">
        <v>20.399999999999999</v>
      </c>
      <c r="F4424" s="691">
        <v>20.3</v>
      </c>
      <c r="G4424" s="691">
        <v>20.399999999999999</v>
      </c>
      <c r="H4424" s="691">
        <v>20.6</v>
      </c>
      <c r="I4424" s="691">
        <v>19.600000000000001</v>
      </c>
      <c r="J4424" s="691">
        <v>18.899999999999999</v>
      </c>
      <c r="K4424" s="691">
        <v>20.399999999999999</v>
      </c>
    </row>
    <row r="4425" spans="1:11">
      <c r="A4425" s="688" t="s">
        <v>2</v>
      </c>
      <c r="B4425" s="689">
        <v>21.5</v>
      </c>
      <c r="C4425" s="689">
        <v>21.7</v>
      </c>
      <c r="D4425" s="689">
        <v>21.7</v>
      </c>
      <c r="E4425" s="689">
        <v>21.9</v>
      </c>
      <c r="F4425" s="693">
        <v>22</v>
      </c>
      <c r="G4425" s="689">
        <v>21.8</v>
      </c>
      <c r="H4425" s="689">
        <v>22.1</v>
      </c>
      <c r="I4425" s="689">
        <v>22.2</v>
      </c>
      <c r="J4425" s="693">
        <v>22</v>
      </c>
      <c r="K4425" s="689">
        <v>21.9</v>
      </c>
    </row>
    <row r="4426" spans="1:11">
      <c r="A4426" s="688" t="s">
        <v>3</v>
      </c>
      <c r="B4426" s="691">
        <v>21.8</v>
      </c>
      <c r="C4426" s="691">
        <v>22.1</v>
      </c>
      <c r="D4426" s="691">
        <v>21.7</v>
      </c>
      <c r="E4426" s="615">
        <v>22</v>
      </c>
      <c r="F4426" s="615">
        <v>22</v>
      </c>
      <c r="G4426" s="691">
        <v>21.9</v>
      </c>
      <c r="H4426" s="691">
        <v>22.2</v>
      </c>
      <c r="I4426" s="691">
        <v>21.9</v>
      </c>
      <c r="J4426" s="691">
        <v>21.7</v>
      </c>
      <c r="K4426" s="691">
        <v>21.5</v>
      </c>
    </row>
    <row r="4427" spans="1:11">
      <c r="A4427" s="688" t="s">
        <v>4061</v>
      </c>
      <c r="B4427" s="689">
        <v>21.8</v>
      </c>
      <c r="C4427" s="689">
        <v>22.1</v>
      </c>
      <c r="D4427" s="689">
        <v>21.7</v>
      </c>
      <c r="E4427" s="693">
        <v>22</v>
      </c>
      <c r="F4427" s="693">
        <v>22</v>
      </c>
      <c r="G4427" s="689">
        <v>21.9</v>
      </c>
      <c r="H4427" s="689">
        <v>22.2</v>
      </c>
      <c r="I4427" s="689">
        <v>21.9</v>
      </c>
      <c r="J4427" s="689">
        <v>21.7</v>
      </c>
      <c r="K4427" s="689">
        <v>21.5</v>
      </c>
    </row>
    <row r="4428" spans="1:11">
      <c r="A4428" s="688" t="s">
        <v>4</v>
      </c>
      <c r="B4428" s="691">
        <v>20.399999999999999</v>
      </c>
      <c r="C4428" s="691">
        <v>20.2</v>
      </c>
      <c r="D4428" s="691">
        <v>20.399999999999999</v>
      </c>
      <c r="E4428" s="691">
        <v>20.7</v>
      </c>
      <c r="F4428" s="691">
        <v>20.6</v>
      </c>
      <c r="G4428" s="691">
        <v>20.7</v>
      </c>
      <c r="H4428" s="615">
        <v>21</v>
      </c>
      <c r="I4428" s="615">
        <v>21</v>
      </c>
      <c r="J4428" s="691">
        <v>19.600000000000001</v>
      </c>
      <c r="K4428" s="691">
        <v>20.399999999999999</v>
      </c>
    </row>
    <row r="4429" spans="1:11">
      <c r="A4429" s="688" t="s">
        <v>8</v>
      </c>
      <c r="B4429" s="693">
        <v>22</v>
      </c>
      <c r="C4429" s="689">
        <v>22.1</v>
      </c>
      <c r="D4429" s="689">
        <v>22.2</v>
      </c>
      <c r="E4429" s="689">
        <v>22.2</v>
      </c>
      <c r="F4429" s="689">
        <v>22.6</v>
      </c>
      <c r="G4429" s="689">
        <v>22.7</v>
      </c>
      <c r="H4429" s="693">
        <v>23</v>
      </c>
      <c r="I4429" s="689">
        <v>22.8</v>
      </c>
      <c r="J4429" s="689">
        <v>22.7</v>
      </c>
      <c r="K4429" s="689">
        <v>22.8</v>
      </c>
    </row>
    <row r="4430" spans="1:11">
      <c r="A4430" s="688" t="s">
        <v>7</v>
      </c>
      <c r="B4430" s="691">
        <v>22.7</v>
      </c>
      <c r="C4430" s="691">
        <v>22.2</v>
      </c>
      <c r="D4430" s="615">
        <v>22</v>
      </c>
      <c r="E4430" s="691">
        <v>22.3</v>
      </c>
      <c r="F4430" s="691">
        <v>22.1</v>
      </c>
      <c r="G4430" s="691">
        <v>22.6</v>
      </c>
      <c r="H4430" s="691">
        <v>22.5</v>
      </c>
      <c r="I4430" s="691">
        <v>22.2</v>
      </c>
      <c r="J4430" s="691">
        <v>21.4</v>
      </c>
      <c r="K4430" s="691">
        <v>21.8</v>
      </c>
    </row>
    <row r="4431" spans="1:11">
      <c r="A4431" s="688" t="s">
        <v>27</v>
      </c>
      <c r="B4431" s="689">
        <v>23.9</v>
      </c>
      <c r="C4431" s="689">
        <v>23.6</v>
      </c>
      <c r="D4431" s="689">
        <v>23.3</v>
      </c>
      <c r="E4431" s="689">
        <v>23.7</v>
      </c>
      <c r="F4431" s="689">
        <v>23.6</v>
      </c>
      <c r="G4431" s="689">
        <v>23.7</v>
      </c>
      <c r="H4431" s="693">
        <v>24</v>
      </c>
      <c r="I4431" s="689">
        <v>22.8</v>
      </c>
      <c r="J4431" s="689">
        <v>23.6</v>
      </c>
      <c r="K4431" s="689">
        <v>23.6</v>
      </c>
    </row>
    <row r="4432" spans="1:11">
      <c r="A4432" s="688" t="s">
        <v>6</v>
      </c>
      <c r="B4432" s="615">
        <v>24</v>
      </c>
      <c r="C4432" s="691">
        <v>23.9</v>
      </c>
      <c r="D4432" s="691">
        <v>23.7</v>
      </c>
      <c r="E4432" s="691">
        <v>23.9</v>
      </c>
      <c r="F4432" s="691">
        <v>23.9</v>
      </c>
      <c r="G4432" s="615">
        <v>24</v>
      </c>
      <c r="H4432" s="691">
        <v>24.1</v>
      </c>
      <c r="I4432" s="691">
        <v>23.5</v>
      </c>
      <c r="J4432" s="691">
        <v>23.6</v>
      </c>
      <c r="K4432" s="691">
        <v>23.6</v>
      </c>
    </row>
    <row r="4433" spans="1:11">
      <c r="A4433" s="688" t="s">
        <v>4058</v>
      </c>
      <c r="B4433" s="690" t="s">
        <v>4060</v>
      </c>
      <c r="C4433" s="690" t="s">
        <v>4060</v>
      </c>
      <c r="D4433" s="690" t="s">
        <v>4060</v>
      </c>
      <c r="E4433" s="690" t="s">
        <v>4060</v>
      </c>
      <c r="F4433" s="690" t="s">
        <v>4060</v>
      </c>
      <c r="G4433" s="690" t="s">
        <v>4060</v>
      </c>
      <c r="H4433" s="690" t="s">
        <v>4060</v>
      </c>
      <c r="I4433" s="690" t="s">
        <v>4060</v>
      </c>
      <c r="J4433" s="690" t="s">
        <v>4060</v>
      </c>
      <c r="K4433" s="690" t="s">
        <v>4060</v>
      </c>
    </row>
    <row r="4434" spans="1:11">
      <c r="A4434" s="688" t="s">
        <v>11</v>
      </c>
      <c r="B4434" s="691">
        <v>19.7</v>
      </c>
      <c r="C4434" s="691">
        <v>19.600000000000001</v>
      </c>
      <c r="D4434" s="691">
        <v>19.2</v>
      </c>
      <c r="E4434" s="691">
        <v>19.7</v>
      </c>
      <c r="F4434" s="691">
        <v>19.5</v>
      </c>
      <c r="G4434" s="691">
        <v>19.8</v>
      </c>
      <c r="H4434" s="615">
        <v>20</v>
      </c>
      <c r="I4434" s="691">
        <v>19.2</v>
      </c>
      <c r="J4434" s="691">
        <v>18.5</v>
      </c>
      <c r="K4434" s="691">
        <v>19.3</v>
      </c>
    </row>
    <row r="4435" spans="1:11">
      <c r="A4435" s="688" t="s">
        <v>10</v>
      </c>
      <c r="B4435" s="689">
        <v>23.4</v>
      </c>
      <c r="C4435" s="689">
        <v>23.3</v>
      </c>
      <c r="D4435" s="689">
        <v>22.9</v>
      </c>
      <c r="E4435" s="689">
        <v>23.5</v>
      </c>
      <c r="F4435" s="689">
        <v>23.2</v>
      </c>
      <c r="G4435" s="689">
        <v>23.6</v>
      </c>
      <c r="H4435" s="689">
        <v>23.7</v>
      </c>
      <c r="I4435" s="689">
        <v>22.6</v>
      </c>
      <c r="J4435" s="693">
        <v>23</v>
      </c>
      <c r="K4435" s="689">
        <v>23.1</v>
      </c>
    </row>
    <row r="4436" spans="1:11">
      <c r="A4436" s="688" t="s">
        <v>30</v>
      </c>
      <c r="B4436" s="691">
        <v>22.7</v>
      </c>
      <c r="C4436" s="691">
        <v>22.6</v>
      </c>
      <c r="D4436" s="691">
        <v>22.3</v>
      </c>
      <c r="E4436" s="615">
        <v>23</v>
      </c>
      <c r="F4436" s="691">
        <v>22.6</v>
      </c>
      <c r="G4436" s="691">
        <v>23.1</v>
      </c>
      <c r="H4436" s="691">
        <v>22.9</v>
      </c>
      <c r="I4436" s="691">
        <v>23.1</v>
      </c>
      <c r="J4436" s="691">
        <v>22.4</v>
      </c>
      <c r="K4436" s="691">
        <v>22.5</v>
      </c>
    </row>
    <row r="4437" spans="1:11">
      <c r="A4437" s="688" t="s">
        <v>12</v>
      </c>
      <c r="B4437" s="689">
        <v>18.8</v>
      </c>
      <c r="C4437" s="689">
        <v>18.8</v>
      </c>
      <c r="D4437" s="689">
        <v>18.899999999999999</v>
      </c>
      <c r="E4437" s="689">
        <v>18.899999999999999</v>
      </c>
      <c r="F4437" s="693">
        <v>19</v>
      </c>
      <c r="G4437" s="693">
        <v>19</v>
      </c>
      <c r="H4437" s="689">
        <v>19.399999999999999</v>
      </c>
      <c r="I4437" s="689">
        <v>19.100000000000001</v>
      </c>
      <c r="J4437" s="689">
        <v>17.600000000000001</v>
      </c>
      <c r="K4437" s="689">
        <v>18.7</v>
      </c>
    </row>
    <row r="4438" spans="1:11">
      <c r="A4438" s="688" t="s">
        <v>14</v>
      </c>
      <c r="B4438" s="691">
        <v>19.100000000000001</v>
      </c>
      <c r="C4438" s="691">
        <v>19.2</v>
      </c>
      <c r="D4438" s="691">
        <v>18.899999999999999</v>
      </c>
      <c r="E4438" s="691">
        <v>19.100000000000001</v>
      </c>
      <c r="F4438" s="691">
        <v>19.3</v>
      </c>
      <c r="G4438" s="691">
        <v>19.399999999999999</v>
      </c>
      <c r="H4438" s="691">
        <v>19.7</v>
      </c>
      <c r="I4438" s="691">
        <v>18.8</v>
      </c>
      <c r="J4438" s="691">
        <v>18.2</v>
      </c>
      <c r="K4438" s="691">
        <v>19.100000000000001</v>
      </c>
    </row>
    <row r="4439" spans="1:11">
      <c r="A4439" s="688" t="s">
        <v>15</v>
      </c>
      <c r="B4439" s="693">
        <v>23</v>
      </c>
      <c r="C4439" s="689">
        <v>22.7</v>
      </c>
      <c r="D4439" s="689">
        <v>22.5</v>
      </c>
      <c r="E4439" s="689">
        <v>22.9</v>
      </c>
      <c r="F4439" s="689">
        <v>22.4</v>
      </c>
      <c r="G4439" s="689">
        <v>22.7</v>
      </c>
      <c r="H4439" s="689">
        <v>23.1</v>
      </c>
      <c r="I4439" s="689">
        <v>22.6</v>
      </c>
      <c r="J4439" s="689">
        <v>22.9</v>
      </c>
      <c r="K4439" s="689">
        <v>23.2</v>
      </c>
    </row>
    <row r="4440" spans="1:11">
      <c r="A4440" s="688" t="s">
        <v>29</v>
      </c>
      <c r="B4440" s="691">
        <v>18.8</v>
      </c>
      <c r="C4440" s="691">
        <v>18.8</v>
      </c>
      <c r="D4440" s="691">
        <v>18.5</v>
      </c>
      <c r="E4440" s="691">
        <v>18.8</v>
      </c>
      <c r="F4440" s="691">
        <v>18.5</v>
      </c>
      <c r="G4440" s="691">
        <v>18.600000000000001</v>
      </c>
      <c r="H4440" s="691">
        <v>18.7</v>
      </c>
      <c r="I4440" s="691">
        <v>18.100000000000001</v>
      </c>
      <c r="J4440" s="691">
        <v>17.2</v>
      </c>
      <c r="K4440" s="691">
        <v>18.3</v>
      </c>
    </row>
    <row r="4441" spans="1:11">
      <c r="A4441" s="688" t="s">
        <v>16</v>
      </c>
      <c r="B4441" s="689">
        <v>22.5</v>
      </c>
      <c r="C4441" s="689">
        <v>22.5</v>
      </c>
      <c r="D4441" s="689">
        <v>22.5</v>
      </c>
      <c r="E4441" s="689">
        <v>23.1</v>
      </c>
      <c r="F4441" s="689">
        <v>22.8</v>
      </c>
      <c r="G4441" s="689">
        <v>22.8</v>
      </c>
      <c r="H4441" s="693">
        <v>23</v>
      </c>
      <c r="I4441" s="689">
        <v>22.5</v>
      </c>
      <c r="J4441" s="689">
        <v>22.5</v>
      </c>
      <c r="K4441" s="689">
        <v>22.7</v>
      </c>
    </row>
    <row r="4442" spans="1:11">
      <c r="A4442" s="688" t="s">
        <v>17</v>
      </c>
      <c r="B4442" s="691">
        <v>22.2</v>
      </c>
      <c r="C4442" s="691">
        <v>22.4</v>
      </c>
      <c r="D4442" s="691">
        <v>22.1</v>
      </c>
      <c r="E4442" s="691">
        <v>22.2</v>
      </c>
      <c r="F4442" s="691">
        <v>22.4</v>
      </c>
      <c r="G4442" s="691">
        <v>22.4</v>
      </c>
      <c r="H4442" s="691">
        <v>22.6</v>
      </c>
      <c r="I4442" s="615">
        <v>22</v>
      </c>
      <c r="J4442" s="615">
        <v>22</v>
      </c>
      <c r="K4442" s="691">
        <v>22.2</v>
      </c>
    </row>
    <row r="4443" spans="1:11">
      <c r="A4443" s="688" t="s">
        <v>19</v>
      </c>
      <c r="B4443" s="689">
        <v>22.4</v>
      </c>
      <c r="C4443" s="689">
        <v>22.4</v>
      </c>
      <c r="D4443" s="689">
        <v>22.1</v>
      </c>
      <c r="E4443" s="689">
        <v>22.5</v>
      </c>
      <c r="F4443" s="689">
        <v>22.4</v>
      </c>
      <c r="G4443" s="689">
        <v>22.5</v>
      </c>
      <c r="H4443" s="689">
        <v>22.7</v>
      </c>
      <c r="I4443" s="689">
        <v>22.1</v>
      </c>
      <c r="J4443" s="689">
        <v>22.1</v>
      </c>
      <c r="K4443" s="689">
        <v>22.1</v>
      </c>
    </row>
    <row r="4444" spans="1:11">
      <c r="A4444" s="688" t="s">
        <v>20</v>
      </c>
      <c r="B4444" s="691">
        <v>20.100000000000001</v>
      </c>
      <c r="C4444" s="691">
        <v>20.3</v>
      </c>
      <c r="D4444" s="691">
        <v>20.100000000000001</v>
      </c>
      <c r="E4444" s="691">
        <v>20.399999999999999</v>
      </c>
      <c r="F4444" s="691">
        <v>20.3</v>
      </c>
      <c r="G4444" s="691">
        <v>20.2</v>
      </c>
      <c r="H4444" s="691">
        <v>20.399999999999999</v>
      </c>
      <c r="I4444" s="691">
        <v>19.100000000000001</v>
      </c>
      <c r="J4444" s="691">
        <v>18.399999999999999</v>
      </c>
      <c r="K4444" s="691">
        <v>19.8</v>
      </c>
    </row>
    <row r="4445" spans="1:11">
      <c r="A4445" s="688" t="s">
        <v>21</v>
      </c>
      <c r="B4445" s="689">
        <v>22.3</v>
      </c>
      <c r="C4445" s="689">
        <v>22.6</v>
      </c>
      <c r="D4445" s="689">
        <v>22.6</v>
      </c>
      <c r="E4445" s="689">
        <v>22.6</v>
      </c>
      <c r="F4445" s="689">
        <v>22.9</v>
      </c>
      <c r="G4445" s="689">
        <v>22.8</v>
      </c>
      <c r="H4445" s="689">
        <v>23.1</v>
      </c>
      <c r="I4445" s="689">
        <v>22.5</v>
      </c>
      <c r="J4445" s="689">
        <v>22.6</v>
      </c>
      <c r="K4445" s="689">
        <v>22.8</v>
      </c>
    </row>
    <row r="4446" spans="1:11">
      <c r="A4446" s="688" t="s">
        <v>22</v>
      </c>
      <c r="B4446" s="691">
        <v>18.7</v>
      </c>
      <c r="C4446" s="691">
        <v>18.5</v>
      </c>
      <c r="D4446" s="691">
        <v>18.399999999999999</v>
      </c>
      <c r="E4446" s="691">
        <v>18.7</v>
      </c>
      <c r="F4446" s="691">
        <v>18.7</v>
      </c>
      <c r="G4446" s="691">
        <v>18.7</v>
      </c>
      <c r="H4446" s="691">
        <v>18.899999999999999</v>
      </c>
      <c r="I4446" s="691">
        <v>17.600000000000001</v>
      </c>
      <c r="J4446" s="691">
        <v>16.5</v>
      </c>
      <c r="K4446" s="691">
        <v>18.3</v>
      </c>
    </row>
    <row r="4447" spans="1:11">
      <c r="A4447" s="688" t="s">
        <v>26</v>
      </c>
      <c r="B4447" s="689">
        <v>21.9</v>
      </c>
      <c r="C4447" s="689">
        <v>21.9</v>
      </c>
      <c r="D4447" s="689">
        <v>21.8</v>
      </c>
      <c r="E4447" s="689">
        <v>22.1</v>
      </c>
      <c r="F4447" s="689">
        <v>21.9</v>
      </c>
      <c r="G4447" s="689">
        <v>22.1</v>
      </c>
      <c r="H4447" s="689">
        <v>22.2</v>
      </c>
      <c r="I4447" s="689">
        <v>21.3</v>
      </c>
      <c r="J4447" s="689">
        <v>21.5</v>
      </c>
      <c r="K4447" s="693">
        <v>22</v>
      </c>
    </row>
    <row r="4448" spans="1:11">
      <c r="A4448" s="688" t="s">
        <v>25</v>
      </c>
      <c r="B4448" s="691">
        <v>19.2</v>
      </c>
      <c r="C4448" s="691">
        <v>19.5</v>
      </c>
      <c r="D4448" s="691">
        <v>19.2</v>
      </c>
      <c r="E4448" s="691">
        <v>19.600000000000001</v>
      </c>
      <c r="F4448" s="691">
        <v>19.600000000000001</v>
      </c>
      <c r="G4448" s="691">
        <v>19.7</v>
      </c>
      <c r="H4448" s="615">
        <v>20</v>
      </c>
      <c r="I4448" s="691">
        <v>19.2</v>
      </c>
      <c r="J4448" s="691">
        <v>17.399999999999999</v>
      </c>
      <c r="K4448" s="691">
        <v>19.3</v>
      </c>
    </row>
    <row r="4449" spans="1:11">
      <c r="A4449" s="688" t="s">
        <v>5</v>
      </c>
      <c r="B4449" s="689">
        <v>22.5</v>
      </c>
      <c r="C4449" s="689">
        <v>22.3</v>
      </c>
      <c r="D4449" s="689">
        <v>22.4</v>
      </c>
      <c r="E4449" s="689">
        <v>22.4</v>
      </c>
      <c r="F4449" s="689">
        <v>22.6</v>
      </c>
      <c r="G4449" s="689">
        <v>22.7</v>
      </c>
      <c r="H4449" s="689">
        <v>22.9</v>
      </c>
      <c r="I4449" s="689">
        <v>22.9</v>
      </c>
      <c r="J4449" s="689">
        <v>22.8</v>
      </c>
      <c r="K4449" s="689">
        <v>22.2</v>
      </c>
    </row>
    <row r="4450" spans="1:11">
      <c r="A4450" s="688" t="s">
        <v>23</v>
      </c>
      <c r="B4450" s="691">
        <v>22.6</v>
      </c>
      <c r="C4450" s="691">
        <v>22.8</v>
      </c>
      <c r="D4450" s="691">
        <v>22.7</v>
      </c>
      <c r="E4450" s="691">
        <v>22.8</v>
      </c>
      <c r="F4450" s="691">
        <v>22.9</v>
      </c>
      <c r="G4450" s="691">
        <v>22.9</v>
      </c>
      <c r="H4450" s="691">
        <v>23.4</v>
      </c>
      <c r="I4450" s="691">
        <v>22.8</v>
      </c>
      <c r="J4450" s="691">
        <v>23.3</v>
      </c>
      <c r="K4450" s="691">
        <v>23.3</v>
      </c>
    </row>
    <row r="4451" spans="1:11">
      <c r="A4451" s="688" t="s">
        <v>4067</v>
      </c>
      <c r="B4451" s="689">
        <v>22.1</v>
      </c>
      <c r="C4451" s="689">
        <v>22.4</v>
      </c>
      <c r="D4451" s="689">
        <v>22.1</v>
      </c>
      <c r="E4451" s="689">
        <v>22.4</v>
      </c>
      <c r="F4451" s="689">
        <v>22.3</v>
      </c>
      <c r="G4451" s="689">
        <v>22.4</v>
      </c>
      <c r="H4451" s="690" t="s">
        <v>4060</v>
      </c>
      <c r="I4451" s="690" t="s">
        <v>4060</v>
      </c>
      <c r="J4451" s="690" t="s">
        <v>4060</v>
      </c>
      <c r="K4451" s="690" t="s">
        <v>4060</v>
      </c>
    </row>
    <row r="4452" spans="1:11">
      <c r="A4452" s="688" t="s">
        <v>4066</v>
      </c>
      <c r="B4452" s="691">
        <v>22.1</v>
      </c>
      <c r="C4452" s="691">
        <v>22.4</v>
      </c>
      <c r="D4452" s="691">
        <v>22.1</v>
      </c>
      <c r="E4452" s="691">
        <v>22.4</v>
      </c>
      <c r="F4452" s="691">
        <v>22.3</v>
      </c>
      <c r="G4452" s="691">
        <v>22.4</v>
      </c>
      <c r="H4452" s="692" t="s">
        <v>4060</v>
      </c>
      <c r="I4452" s="692" t="s">
        <v>4060</v>
      </c>
      <c r="J4452" s="692" t="s">
        <v>4060</v>
      </c>
      <c r="K4452" s="692" t="s">
        <v>4060</v>
      </c>
    </row>
    <row r="4453" spans="1:11">
      <c r="A4453" s="688" t="s">
        <v>4062</v>
      </c>
      <c r="B4453" s="689">
        <v>23.2</v>
      </c>
      <c r="C4453" s="689">
        <v>23.3</v>
      </c>
      <c r="D4453" s="689">
        <v>23.2</v>
      </c>
      <c r="E4453" s="689">
        <v>23.5</v>
      </c>
      <c r="F4453" s="689">
        <v>23.5</v>
      </c>
      <c r="G4453" s="689">
        <v>23.7</v>
      </c>
      <c r="H4453" s="689">
        <v>23.8</v>
      </c>
      <c r="I4453" s="689">
        <v>23.4</v>
      </c>
      <c r="J4453" s="689">
        <v>23.7</v>
      </c>
      <c r="K4453" s="689">
        <v>23.5</v>
      </c>
    </row>
    <row r="4454" spans="1:11">
      <c r="A4454" s="688" t="s">
        <v>9</v>
      </c>
      <c r="B4454" s="691">
        <v>22.5</v>
      </c>
      <c r="C4454" s="691">
        <v>23.2</v>
      </c>
      <c r="D4454" s="691">
        <v>22.9</v>
      </c>
      <c r="E4454" s="691">
        <v>22.5</v>
      </c>
      <c r="F4454" s="615">
        <v>23</v>
      </c>
      <c r="G4454" s="691">
        <v>23.2</v>
      </c>
      <c r="H4454" s="691">
        <v>23.4</v>
      </c>
      <c r="I4454" s="691">
        <v>23.5</v>
      </c>
      <c r="J4454" s="691">
        <v>23.7</v>
      </c>
      <c r="K4454" s="691">
        <v>22.6</v>
      </c>
    </row>
    <row r="4455" spans="1:11">
      <c r="A4455" s="688" t="s">
        <v>13</v>
      </c>
      <c r="B4455" s="693">
        <v>23</v>
      </c>
      <c r="C4455" s="689">
        <v>22.5</v>
      </c>
      <c r="D4455" s="689">
        <v>23.1</v>
      </c>
      <c r="E4455" s="689">
        <v>22.6</v>
      </c>
      <c r="F4455" s="689">
        <v>23.6</v>
      </c>
      <c r="G4455" s="689">
        <v>23.1</v>
      </c>
      <c r="H4455" s="689">
        <v>23.6</v>
      </c>
      <c r="I4455" s="689">
        <v>22.3</v>
      </c>
      <c r="J4455" s="689">
        <v>23.9</v>
      </c>
      <c r="K4455" s="689">
        <v>23.8</v>
      </c>
    </row>
    <row r="4456" spans="1:11">
      <c r="A4456" s="688" t="s">
        <v>18</v>
      </c>
      <c r="B4456" s="691">
        <v>22.5</v>
      </c>
      <c r="C4456" s="691">
        <v>22.7</v>
      </c>
      <c r="D4456" s="691">
        <v>22.8</v>
      </c>
      <c r="E4456" s="691">
        <v>22.9</v>
      </c>
      <c r="F4456" s="615">
        <v>23</v>
      </c>
      <c r="G4456" s="691">
        <v>23.2</v>
      </c>
      <c r="H4456" s="691">
        <v>23.3</v>
      </c>
      <c r="I4456" s="691">
        <v>23.5</v>
      </c>
      <c r="J4456" s="691">
        <v>23.4</v>
      </c>
      <c r="K4456" s="615">
        <v>23</v>
      </c>
    </row>
    <row r="4457" spans="1:11">
      <c r="A4457" s="688" t="s">
        <v>24</v>
      </c>
      <c r="B4457" s="689">
        <v>23.6</v>
      </c>
      <c r="C4457" s="689">
        <v>23.6</v>
      </c>
      <c r="D4457" s="689">
        <v>23.4</v>
      </c>
      <c r="E4457" s="689">
        <v>23.8</v>
      </c>
      <c r="F4457" s="689">
        <v>23.8</v>
      </c>
      <c r="G4457" s="693">
        <v>24</v>
      </c>
      <c r="H4457" s="693">
        <v>24</v>
      </c>
      <c r="I4457" s="689">
        <v>23.3</v>
      </c>
      <c r="J4457" s="689">
        <v>23.9</v>
      </c>
      <c r="K4457" s="689">
        <v>23.8</v>
      </c>
    </row>
    <row r="4458" spans="1:11">
      <c r="A4458" s="688" t="s">
        <v>4059</v>
      </c>
      <c r="B4458" s="691">
        <v>22.3</v>
      </c>
      <c r="C4458" s="691">
        <v>22.6</v>
      </c>
      <c r="D4458" s="691">
        <v>22.2</v>
      </c>
      <c r="E4458" s="691">
        <v>22.5</v>
      </c>
      <c r="F4458" s="691">
        <v>22.5</v>
      </c>
      <c r="G4458" s="691">
        <v>22.5</v>
      </c>
      <c r="H4458" s="692" t="s">
        <v>4060</v>
      </c>
      <c r="I4458" s="692" t="s">
        <v>4060</v>
      </c>
      <c r="J4458" s="692" t="s">
        <v>4060</v>
      </c>
      <c r="K4458" s="692" t="s">
        <v>4060</v>
      </c>
    </row>
    <row r="4459" spans="1:11">
      <c r="A4459" s="688" t="s">
        <v>2324</v>
      </c>
      <c r="B4459" s="689">
        <v>18.600000000000001</v>
      </c>
      <c r="C4459" s="689">
        <v>18.7</v>
      </c>
      <c r="D4459" s="689">
        <v>18.399999999999999</v>
      </c>
      <c r="E4459" s="689">
        <v>18.3</v>
      </c>
      <c r="F4459" s="689">
        <v>18.600000000000001</v>
      </c>
      <c r="G4459" s="689">
        <v>18.7</v>
      </c>
      <c r="H4459" s="689">
        <v>18.8</v>
      </c>
      <c r="I4459" s="689">
        <v>17.899999999999999</v>
      </c>
      <c r="J4459" s="693">
        <v>16</v>
      </c>
      <c r="K4459" s="690" t="s">
        <v>4060</v>
      </c>
    </row>
    <row r="4460" spans="1:11">
      <c r="A4460" s="688" t="s">
        <v>2322</v>
      </c>
      <c r="B4460" s="692" t="s">
        <v>4060</v>
      </c>
      <c r="C4460" s="692" t="s">
        <v>4060</v>
      </c>
      <c r="D4460" s="692" t="s">
        <v>4060</v>
      </c>
      <c r="E4460" s="692" t="s">
        <v>4060</v>
      </c>
      <c r="F4460" s="692" t="s">
        <v>4060</v>
      </c>
      <c r="G4460" s="692" t="s">
        <v>4060</v>
      </c>
      <c r="H4460" s="692" t="s">
        <v>4060</v>
      </c>
      <c r="I4460" s="692" t="s">
        <v>4060</v>
      </c>
      <c r="J4460" s="692" t="s">
        <v>4060</v>
      </c>
      <c r="K4460" s="692" t="s">
        <v>4060</v>
      </c>
    </row>
    <row r="4461" spans="1:11">
      <c r="A4461" s="688" t="s">
        <v>2328</v>
      </c>
      <c r="B4461" s="689">
        <v>17.8</v>
      </c>
      <c r="C4461" s="689">
        <v>17.7</v>
      </c>
      <c r="D4461" s="689">
        <v>17.600000000000001</v>
      </c>
      <c r="E4461" s="689">
        <v>17.8</v>
      </c>
      <c r="F4461" s="689">
        <v>17.899999999999999</v>
      </c>
      <c r="G4461" s="689">
        <v>18.3</v>
      </c>
      <c r="H4461" s="689">
        <v>18.2</v>
      </c>
      <c r="I4461" s="689">
        <v>16.5</v>
      </c>
      <c r="J4461" s="689">
        <v>15.8</v>
      </c>
      <c r="K4461" s="690" t="s">
        <v>4060</v>
      </c>
    </row>
    <row r="4462" spans="1:11">
      <c r="A4462" s="688" t="s">
        <v>2496</v>
      </c>
      <c r="B4462" s="692" t="s">
        <v>4060</v>
      </c>
      <c r="C4462" s="691">
        <v>18.2</v>
      </c>
      <c r="D4462" s="691">
        <v>17.399999999999999</v>
      </c>
      <c r="E4462" s="691">
        <v>17.100000000000001</v>
      </c>
      <c r="F4462" s="691">
        <v>17.600000000000001</v>
      </c>
      <c r="G4462" s="691">
        <v>17.8</v>
      </c>
      <c r="H4462" s="691">
        <v>17.8</v>
      </c>
      <c r="I4462" s="692" t="s">
        <v>4060</v>
      </c>
      <c r="J4462" s="692" t="s">
        <v>4060</v>
      </c>
      <c r="K4462" s="691">
        <v>17.399999999999999</v>
      </c>
    </row>
    <row r="4463" spans="1:11">
      <c r="A4463" s="688" t="s">
        <v>2269</v>
      </c>
      <c r="B4463" s="689">
        <v>19.899999999999999</v>
      </c>
      <c r="C4463" s="689">
        <v>20.100000000000001</v>
      </c>
      <c r="D4463" s="689">
        <v>19.600000000000001</v>
      </c>
      <c r="E4463" s="689">
        <v>20.100000000000001</v>
      </c>
      <c r="F4463" s="693">
        <v>20</v>
      </c>
      <c r="G4463" s="689">
        <v>20.399999999999999</v>
      </c>
      <c r="H4463" s="689">
        <v>20.6</v>
      </c>
      <c r="I4463" s="693">
        <v>19</v>
      </c>
      <c r="J4463" s="689">
        <v>17.3</v>
      </c>
      <c r="K4463" s="689">
        <v>20.2</v>
      </c>
    </row>
    <row r="4464" spans="1:11">
      <c r="A4464" s="688" t="s">
        <v>2349</v>
      </c>
      <c r="B4464" s="691">
        <v>17.899999999999999</v>
      </c>
      <c r="C4464" s="691">
        <v>17.899999999999999</v>
      </c>
      <c r="D4464" s="691">
        <v>17.8</v>
      </c>
      <c r="E4464" s="691">
        <v>18.100000000000001</v>
      </c>
      <c r="F4464" s="615">
        <v>18</v>
      </c>
      <c r="G4464" s="691">
        <v>18.2</v>
      </c>
      <c r="H4464" s="691">
        <v>18.3</v>
      </c>
      <c r="I4464" s="691">
        <v>17.100000000000001</v>
      </c>
      <c r="J4464" s="691">
        <v>15.7</v>
      </c>
      <c r="K4464" s="691">
        <v>17.600000000000001</v>
      </c>
    </row>
    <row r="4465" spans="1:11">
      <c r="A4465" s="688" t="s">
        <v>2355</v>
      </c>
      <c r="B4465" s="689">
        <v>20.5</v>
      </c>
      <c r="C4465" s="689">
        <v>20.399999999999999</v>
      </c>
      <c r="D4465" s="689">
        <v>20.3</v>
      </c>
      <c r="E4465" s="689">
        <v>20.2</v>
      </c>
      <c r="F4465" s="689">
        <v>20.399999999999999</v>
      </c>
      <c r="G4465" s="689">
        <v>20.7</v>
      </c>
      <c r="H4465" s="689">
        <v>20.8</v>
      </c>
      <c r="I4465" s="690" t="s">
        <v>4060</v>
      </c>
      <c r="J4465" s="690" t="s">
        <v>4060</v>
      </c>
      <c r="K4465" s="690" t="s">
        <v>4060</v>
      </c>
    </row>
    <row r="4466" spans="1:11">
      <c r="A4466" s="688" t="s">
        <v>2357</v>
      </c>
      <c r="B4466" s="692" t="s">
        <v>4060</v>
      </c>
      <c r="C4466" s="691">
        <v>17.399999999999999</v>
      </c>
      <c r="D4466" s="691">
        <v>17.7</v>
      </c>
      <c r="E4466" s="615">
        <v>18</v>
      </c>
      <c r="F4466" s="691">
        <v>18.2</v>
      </c>
      <c r="G4466" s="691">
        <v>18.100000000000001</v>
      </c>
      <c r="H4466" s="691">
        <v>18.2</v>
      </c>
      <c r="I4466" s="692" t="s">
        <v>4060</v>
      </c>
      <c r="J4466" s="692" t="s">
        <v>4060</v>
      </c>
      <c r="K4466" s="692" t="s">
        <v>4060</v>
      </c>
    </row>
    <row r="4467" spans="1:11">
      <c r="A4467" s="688" t="s">
        <v>4070</v>
      </c>
      <c r="B4467" s="690" t="s">
        <v>4060</v>
      </c>
      <c r="C4467" s="690" t="s">
        <v>4060</v>
      </c>
      <c r="D4467" s="690" t="s">
        <v>4060</v>
      </c>
      <c r="E4467" s="693">
        <v>20</v>
      </c>
      <c r="F4467" s="690" t="s">
        <v>4060</v>
      </c>
      <c r="G4467" s="690" t="s">
        <v>4060</v>
      </c>
      <c r="H4467" s="690" t="s">
        <v>4060</v>
      </c>
      <c r="I4467" s="690" t="s">
        <v>4060</v>
      </c>
      <c r="J4467" s="690" t="s">
        <v>4060</v>
      </c>
      <c r="K4467" s="690" t="s">
        <v>4060</v>
      </c>
    </row>
    <row r="4468" spans="1:11">
      <c r="A4468" s="688" t="s">
        <v>2491</v>
      </c>
      <c r="B4468" s="691">
        <v>17.5</v>
      </c>
      <c r="C4468" s="691">
        <v>17.899999999999999</v>
      </c>
      <c r="D4468" s="615">
        <v>18</v>
      </c>
      <c r="E4468" s="691">
        <v>18.100000000000001</v>
      </c>
      <c r="F4468" s="691">
        <v>18.100000000000001</v>
      </c>
      <c r="G4468" s="691">
        <v>18.2</v>
      </c>
      <c r="H4468" s="692" t="s">
        <v>4060</v>
      </c>
      <c r="I4468" s="692" t="s">
        <v>4060</v>
      </c>
      <c r="J4468" s="692" t="s">
        <v>4060</v>
      </c>
      <c r="K4468" s="692" t="s">
        <v>4060</v>
      </c>
    </row>
    <row r="4469" spans="1:11">
      <c r="A4469" s="688" t="s">
        <v>2343</v>
      </c>
      <c r="B4469" s="690" t="s">
        <v>4060</v>
      </c>
      <c r="C4469" s="690" t="s">
        <v>4060</v>
      </c>
      <c r="D4469" s="690" t="s">
        <v>4060</v>
      </c>
      <c r="E4469" s="690" t="s">
        <v>4060</v>
      </c>
      <c r="F4469" s="690" t="s">
        <v>4060</v>
      </c>
      <c r="G4469" s="690" t="s">
        <v>4060</v>
      </c>
      <c r="H4469" s="690" t="s">
        <v>4060</v>
      </c>
      <c r="I4469" s="690" t="s">
        <v>4060</v>
      </c>
      <c r="J4469" s="690" t="s">
        <v>4060</v>
      </c>
      <c r="K4469" s="690" t="s">
        <v>4060</v>
      </c>
    </row>
    <row r="4470" spans="1:11">
      <c r="A4470" s="688" t="s">
        <v>4071</v>
      </c>
      <c r="B4470" s="692" t="s">
        <v>4060</v>
      </c>
      <c r="C4470" s="692" t="s">
        <v>4060</v>
      </c>
      <c r="D4470" s="692" t="s">
        <v>4060</v>
      </c>
      <c r="E4470" s="692" t="s">
        <v>4060</v>
      </c>
      <c r="F4470" s="692" t="s">
        <v>4060</v>
      </c>
      <c r="G4470" s="692" t="s">
        <v>4060</v>
      </c>
      <c r="H4470" s="692" t="s">
        <v>4060</v>
      </c>
      <c r="I4470" s="692" t="s">
        <v>4060</v>
      </c>
      <c r="J4470" s="692" t="s">
        <v>4060</v>
      </c>
      <c r="K4470" s="692" t="s">
        <v>4060</v>
      </c>
    </row>
    <row r="4471" spans="1:11">
      <c r="A4471" s="688" t="s">
        <v>2489</v>
      </c>
      <c r="B4471" s="690" t="s">
        <v>4060</v>
      </c>
      <c r="C4471" s="690" t="s">
        <v>4060</v>
      </c>
      <c r="D4471" s="689">
        <v>18.100000000000001</v>
      </c>
      <c r="E4471" s="689">
        <v>18.2</v>
      </c>
      <c r="F4471" s="689">
        <v>18.5</v>
      </c>
      <c r="G4471" s="693">
        <v>19</v>
      </c>
      <c r="H4471" s="689">
        <v>19.100000000000001</v>
      </c>
      <c r="I4471" s="690" t="s">
        <v>4060</v>
      </c>
      <c r="J4471" s="690" t="s">
        <v>4060</v>
      </c>
      <c r="K4471" s="690" t="s">
        <v>4060</v>
      </c>
    </row>
    <row r="4472" spans="1:11">
      <c r="A4472" s="688" t="s">
        <v>2490</v>
      </c>
      <c r="B4472" s="691">
        <v>17.899999999999999</v>
      </c>
      <c r="C4472" s="691">
        <v>17.8</v>
      </c>
      <c r="D4472" s="691">
        <v>18.399999999999999</v>
      </c>
      <c r="E4472" s="692" t="s">
        <v>4060</v>
      </c>
      <c r="F4472" s="691">
        <v>18.600000000000001</v>
      </c>
      <c r="G4472" s="691">
        <v>18.8</v>
      </c>
      <c r="H4472" s="691">
        <v>19.600000000000001</v>
      </c>
      <c r="I4472" s="692" t="s">
        <v>4060</v>
      </c>
      <c r="J4472" s="692" t="s">
        <v>4060</v>
      </c>
      <c r="K4472" s="692" t="s">
        <v>4060</v>
      </c>
    </row>
    <row r="4474" spans="1:11">
      <c r="A4474" s="683" t="s">
        <v>4233</v>
      </c>
    </row>
    <row r="4475" spans="1:11">
      <c r="A4475" s="683" t="s">
        <v>4060</v>
      </c>
      <c r="B4475" s="682" t="s">
        <v>4234</v>
      </c>
    </row>
    <row r="4477" spans="1:11">
      <c r="A4477" s="682" t="s">
        <v>4248</v>
      </c>
    </row>
    <row r="4478" spans="1:11">
      <c r="A4478" s="682" t="s">
        <v>4210</v>
      </c>
      <c r="B4478" s="683" t="s">
        <v>4211</v>
      </c>
    </row>
    <row r="4479" spans="1:11">
      <c r="A4479" s="682" t="s">
        <v>4212</v>
      </c>
      <c r="B4479" s="682" t="s">
        <v>4213</v>
      </c>
    </row>
    <row r="4481" spans="1:11">
      <c r="A4481" s="683" t="s">
        <v>4214</v>
      </c>
      <c r="C4481" s="682" t="s">
        <v>4215</v>
      </c>
    </row>
    <row r="4482" spans="1:11">
      <c r="A4482" s="683" t="s">
        <v>4216</v>
      </c>
      <c r="C4482" s="682" t="s">
        <v>2967</v>
      </c>
    </row>
    <row r="4483" spans="1:11">
      <c r="A4483" s="683" t="s">
        <v>3893</v>
      </c>
      <c r="C4483" s="682" t="s">
        <v>4217</v>
      </c>
    </row>
    <row r="4484" spans="1:11">
      <c r="A4484" s="683" t="s">
        <v>4218</v>
      </c>
      <c r="C4484" s="682" t="s">
        <v>4298</v>
      </c>
    </row>
    <row r="4486" spans="1:11">
      <c r="A4486" s="684" t="s">
        <v>4220</v>
      </c>
      <c r="B4486" s="685" t="s">
        <v>4221</v>
      </c>
      <c r="C4486" s="685" t="s">
        <v>4222</v>
      </c>
      <c r="D4486" s="685" t="s">
        <v>4223</v>
      </c>
      <c r="E4486" s="685" t="s">
        <v>4224</v>
      </c>
      <c r="F4486" s="685" t="s">
        <v>4225</v>
      </c>
      <c r="G4486" s="685" t="s">
        <v>4226</v>
      </c>
      <c r="H4486" s="685" t="s">
        <v>4227</v>
      </c>
      <c r="I4486" s="685" t="s">
        <v>4228</v>
      </c>
      <c r="J4486" s="685" t="s">
        <v>4229</v>
      </c>
      <c r="K4486" s="685" t="s">
        <v>4230</v>
      </c>
    </row>
    <row r="4487" spans="1:11">
      <c r="A4487" s="686" t="s">
        <v>4231</v>
      </c>
      <c r="B4487" s="687" t="s">
        <v>4232</v>
      </c>
      <c r="C4487" s="687" t="s">
        <v>4232</v>
      </c>
      <c r="D4487" s="687" t="s">
        <v>4232</v>
      </c>
      <c r="E4487" s="687" t="s">
        <v>4232</v>
      </c>
      <c r="F4487" s="687" t="s">
        <v>4232</v>
      </c>
      <c r="G4487" s="687" t="s">
        <v>4232</v>
      </c>
      <c r="H4487" s="687" t="s">
        <v>4232</v>
      </c>
      <c r="I4487" s="687" t="s">
        <v>4232</v>
      </c>
      <c r="J4487" s="687" t="s">
        <v>4232</v>
      </c>
      <c r="K4487" s="687" t="s">
        <v>4232</v>
      </c>
    </row>
    <row r="4488" spans="1:11">
      <c r="A4488" s="688" t="s">
        <v>4064</v>
      </c>
      <c r="B4488" s="691">
        <v>21.3</v>
      </c>
      <c r="C4488" s="691">
        <v>21.3</v>
      </c>
      <c r="D4488" s="691">
        <v>21.2</v>
      </c>
      <c r="E4488" s="691">
        <v>21.3</v>
      </c>
      <c r="F4488" s="691">
        <v>21.3</v>
      </c>
      <c r="G4488" s="691">
        <v>21.3</v>
      </c>
      <c r="H4488" s="691">
        <v>21.6</v>
      </c>
      <c r="I4488" s="691">
        <v>20.8</v>
      </c>
      <c r="J4488" s="691">
        <v>20.6</v>
      </c>
      <c r="K4488" s="615">
        <v>21</v>
      </c>
    </row>
    <row r="4489" spans="1:11">
      <c r="A4489" s="688" t="s">
        <v>4065</v>
      </c>
      <c r="B4489" s="689">
        <v>21.3</v>
      </c>
      <c r="C4489" s="689">
        <v>21.6</v>
      </c>
      <c r="D4489" s="689">
        <v>21.3</v>
      </c>
      <c r="E4489" s="689">
        <v>21.6</v>
      </c>
      <c r="F4489" s="689">
        <v>21.5</v>
      </c>
      <c r="G4489" s="689">
        <v>21.6</v>
      </c>
      <c r="H4489" s="690" t="s">
        <v>4060</v>
      </c>
      <c r="I4489" s="690" t="s">
        <v>4060</v>
      </c>
      <c r="J4489" s="690" t="s">
        <v>4060</v>
      </c>
      <c r="K4489" s="690" t="s">
        <v>4060</v>
      </c>
    </row>
    <row r="4490" spans="1:11">
      <c r="A4490" s="688" t="s">
        <v>4063</v>
      </c>
      <c r="B4490" s="691">
        <v>21.3</v>
      </c>
      <c r="C4490" s="691">
        <v>21.6</v>
      </c>
      <c r="D4490" s="691">
        <v>21.3</v>
      </c>
      <c r="E4490" s="691">
        <v>21.6</v>
      </c>
      <c r="F4490" s="691">
        <v>21.5</v>
      </c>
      <c r="G4490" s="691">
        <v>21.6</v>
      </c>
      <c r="H4490" s="692" t="s">
        <v>4060</v>
      </c>
      <c r="I4490" s="692" t="s">
        <v>4060</v>
      </c>
      <c r="J4490" s="692" t="s">
        <v>4060</v>
      </c>
      <c r="K4490" s="692" t="s">
        <v>4060</v>
      </c>
    </row>
    <row r="4491" spans="1:11">
      <c r="A4491" s="688" t="s">
        <v>4069</v>
      </c>
      <c r="B4491" s="690" t="s">
        <v>4060</v>
      </c>
      <c r="C4491" s="689">
        <v>21.9</v>
      </c>
      <c r="D4491" s="689">
        <v>21.6</v>
      </c>
      <c r="E4491" s="689">
        <v>21.9</v>
      </c>
      <c r="F4491" s="689">
        <v>21.9</v>
      </c>
      <c r="G4491" s="693">
        <v>22</v>
      </c>
      <c r="H4491" s="689">
        <v>22.2</v>
      </c>
      <c r="I4491" s="689">
        <v>21.5</v>
      </c>
      <c r="J4491" s="689">
        <v>21.6</v>
      </c>
      <c r="K4491" s="689">
        <v>21.7</v>
      </c>
    </row>
    <row r="4492" spans="1:11">
      <c r="A4492" s="688" t="s">
        <v>4068</v>
      </c>
      <c r="B4492" s="615">
        <v>22</v>
      </c>
      <c r="C4492" s="692" t="s">
        <v>4060</v>
      </c>
      <c r="D4492" s="692" t="s">
        <v>4060</v>
      </c>
      <c r="E4492" s="692" t="s">
        <v>4060</v>
      </c>
      <c r="F4492" s="692" t="s">
        <v>4060</v>
      </c>
      <c r="G4492" s="692" t="s">
        <v>4060</v>
      </c>
      <c r="H4492" s="692" t="s">
        <v>4060</v>
      </c>
      <c r="I4492" s="692" t="s">
        <v>4060</v>
      </c>
      <c r="J4492" s="692" t="s">
        <v>4060</v>
      </c>
      <c r="K4492" s="692" t="s">
        <v>4060</v>
      </c>
    </row>
    <row r="4493" spans="1:11">
      <c r="A4493" s="688" t="s">
        <v>0</v>
      </c>
      <c r="B4493" s="689">
        <v>21.3</v>
      </c>
      <c r="C4493" s="689">
        <v>21.6</v>
      </c>
      <c r="D4493" s="689">
        <v>21.3</v>
      </c>
      <c r="E4493" s="689">
        <v>21.6</v>
      </c>
      <c r="F4493" s="689">
        <v>21.7</v>
      </c>
      <c r="G4493" s="689">
        <v>21.7</v>
      </c>
      <c r="H4493" s="693">
        <v>22</v>
      </c>
      <c r="I4493" s="689">
        <v>20.9</v>
      </c>
      <c r="J4493" s="689">
        <v>21.8</v>
      </c>
      <c r="K4493" s="689">
        <v>21.7</v>
      </c>
    </row>
    <row r="4494" spans="1:11">
      <c r="A4494" s="688" t="s">
        <v>1</v>
      </c>
      <c r="B4494" s="691">
        <v>17.600000000000001</v>
      </c>
      <c r="C4494" s="691">
        <v>17.3</v>
      </c>
      <c r="D4494" s="691">
        <v>17.3</v>
      </c>
      <c r="E4494" s="691">
        <v>17.5</v>
      </c>
      <c r="F4494" s="691">
        <v>17.399999999999999</v>
      </c>
      <c r="G4494" s="691">
        <v>17.5</v>
      </c>
      <c r="H4494" s="691">
        <v>17.600000000000001</v>
      </c>
      <c r="I4494" s="691">
        <v>16.399999999999999</v>
      </c>
      <c r="J4494" s="615">
        <v>15</v>
      </c>
      <c r="K4494" s="691">
        <v>16.899999999999999</v>
      </c>
    </row>
    <row r="4495" spans="1:11">
      <c r="A4495" s="688" t="s">
        <v>2240</v>
      </c>
      <c r="B4495" s="689">
        <v>19.2</v>
      </c>
      <c r="C4495" s="689">
        <v>19.399999999999999</v>
      </c>
      <c r="D4495" s="689">
        <v>19.2</v>
      </c>
      <c r="E4495" s="689">
        <v>19.600000000000001</v>
      </c>
      <c r="F4495" s="689">
        <v>19.5</v>
      </c>
      <c r="G4495" s="689">
        <v>19.600000000000001</v>
      </c>
      <c r="H4495" s="689">
        <v>19.8</v>
      </c>
      <c r="I4495" s="689">
        <v>18.8</v>
      </c>
      <c r="J4495" s="689">
        <v>18.100000000000001</v>
      </c>
      <c r="K4495" s="689">
        <v>19.600000000000001</v>
      </c>
    </row>
    <row r="4496" spans="1:11">
      <c r="A4496" s="688" t="s">
        <v>2</v>
      </c>
      <c r="B4496" s="691">
        <v>20.7</v>
      </c>
      <c r="C4496" s="691">
        <v>20.9</v>
      </c>
      <c r="D4496" s="615">
        <v>21</v>
      </c>
      <c r="E4496" s="615">
        <v>21</v>
      </c>
      <c r="F4496" s="691">
        <v>21.2</v>
      </c>
      <c r="G4496" s="615">
        <v>21</v>
      </c>
      <c r="H4496" s="691">
        <v>21.3</v>
      </c>
      <c r="I4496" s="691">
        <v>21.4</v>
      </c>
      <c r="J4496" s="691">
        <v>21.2</v>
      </c>
      <c r="K4496" s="615">
        <v>21</v>
      </c>
    </row>
    <row r="4497" spans="1:11">
      <c r="A4497" s="688" t="s">
        <v>3</v>
      </c>
      <c r="B4497" s="693">
        <v>21</v>
      </c>
      <c r="C4497" s="689">
        <v>21.3</v>
      </c>
      <c r="D4497" s="689">
        <v>20.9</v>
      </c>
      <c r="E4497" s="689">
        <v>21.2</v>
      </c>
      <c r="F4497" s="689">
        <v>21.2</v>
      </c>
      <c r="G4497" s="689">
        <v>21.1</v>
      </c>
      <c r="H4497" s="689">
        <v>21.4</v>
      </c>
      <c r="I4497" s="689">
        <v>21.1</v>
      </c>
      <c r="J4497" s="689">
        <v>20.9</v>
      </c>
      <c r="K4497" s="689">
        <v>20.7</v>
      </c>
    </row>
    <row r="4498" spans="1:11">
      <c r="A4498" s="688" t="s">
        <v>4061</v>
      </c>
      <c r="B4498" s="615">
        <v>21</v>
      </c>
      <c r="C4498" s="691">
        <v>21.3</v>
      </c>
      <c r="D4498" s="691">
        <v>20.9</v>
      </c>
      <c r="E4498" s="691">
        <v>21.2</v>
      </c>
      <c r="F4498" s="691">
        <v>21.2</v>
      </c>
      <c r="G4498" s="691">
        <v>21.1</v>
      </c>
      <c r="H4498" s="691">
        <v>21.4</v>
      </c>
      <c r="I4498" s="691">
        <v>21.1</v>
      </c>
      <c r="J4498" s="691">
        <v>20.9</v>
      </c>
      <c r="K4498" s="691">
        <v>20.7</v>
      </c>
    </row>
    <row r="4499" spans="1:11">
      <c r="A4499" s="688" t="s">
        <v>4</v>
      </c>
      <c r="B4499" s="689">
        <v>19.7</v>
      </c>
      <c r="C4499" s="689">
        <v>19.5</v>
      </c>
      <c r="D4499" s="689">
        <v>19.7</v>
      </c>
      <c r="E4499" s="689">
        <v>19.899999999999999</v>
      </c>
      <c r="F4499" s="689">
        <v>19.899999999999999</v>
      </c>
      <c r="G4499" s="689">
        <v>19.899999999999999</v>
      </c>
      <c r="H4499" s="689">
        <v>20.2</v>
      </c>
      <c r="I4499" s="689">
        <v>20.2</v>
      </c>
      <c r="J4499" s="689">
        <v>18.899999999999999</v>
      </c>
      <c r="K4499" s="689">
        <v>19.7</v>
      </c>
    </row>
    <row r="4500" spans="1:11">
      <c r="A4500" s="688" t="s">
        <v>8</v>
      </c>
      <c r="B4500" s="691">
        <v>21.2</v>
      </c>
      <c r="C4500" s="691">
        <v>21.3</v>
      </c>
      <c r="D4500" s="691">
        <v>21.3</v>
      </c>
      <c r="E4500" s="691">
        <v>21.4</v>
      </c>
      <c r="F4500" s="691">
        <v>21.7</v>
      </c>
      <c r="G4500" s="691">
        <v>21.8</v>
      </c>
      <c r="H4500" s="691">
        <v>22.1</v>
      </c>
      <c r="I4500" s="615">
        <v>22</v>
      </c>
      <c r="J4500" s="691">
        <v>21.9</v>
      </c>
      <c r="K4500" s="615">
        <v>22</v>
      </c>
    </row>
    <row r="4501" spans="1:11">
      <c r="A4501" s="688" t="s">
        <v>7</v>
      </c>
      <c r="B4501" s="689">
        <v>21.8</v>
      </c>
      <c r="C4501" s="689">
        <v>21.4</v>
      </c>
      <c r="D4501" s="689">
        <v>21.1</v>
      </c>
      <c r="E4501" s="689">
        <v>21.5</v>
      </c>
      <c r="F4501" s="689">
        <v>21.3</v>
      </c>
      <c r="G4501" s="689">
        <v>21.8</v>
      </c>
      <c r="H4501" s="689">
        <v>21.7</v>
      </c>
      <c r="I4501" s="689">
        <v>21.4</v>
      </c>
      <c r="J4501" s="689">
        <v>20.6</v>
      </c>
      <c r="K4501" s="693">
        <v>21</v>
      </c>
    </row>
    <row r="4502" spans="1:11">
      <c r="A4502" s="688" t="s">
        <v>27</v>
      </c>
      <c r="B4502" s="691">
        <v>23.1</v>
      </c>
      <c r="C4502" s="691">
        <v>22.8</v>
      </c>
      <c r="D4502" s="691">
        <v>22.5</v>
      </c>
      <c r="E4502" s="691">
        <v>22.8</v>
      </c>
      <c r="F4502" s="691">
        <v>22.8</v>
      </c>
      <c r="G4502" s="691">
        <v>22.9</v>
      </c>
      <c r="H4502" s="691">
        <v>23.2</v>
      </c>
      <c r="I4502" s="615">
        <v>22</v>
      </c>
      <c r="J4502" s="691">
        <v>22.7</v>
      </c>
      <c r="K4502" s="691">
        <v>22.7</v>
      </c>
    </row>
    <row r="4503" spans="1:11">
      <c r="A4503" s="688" t="s">
        <v>6</v>
      </c>
      <c r="B4503" s="689">
        <v>23.2</v>
      </c>
      <c r="C4503" s="689">
        <v>23.1</v>
      </c>
      <c r="D4503" s="689">
        <v>22.9</v>
      </c>
      <c r="E4503" s="693">
        <v>23</v>
      </c>
      <c r="F4503" s="689">
        <v>23.1</v>
      </c>
      <c r="G4503" s="689">
        <v>23.2</v>
      </c>
      <c r="H4503" s="689">
        <v>23.3</v>
      </c>
      <c r="I4503" s="689">
        <v>22.7</v>
      </c>
      <c r="J4503" s="689">
        <v>22.8</v>
      </c>
      <c r="K4503" s="689">
        <v>22.8</v>
      </c>
    </row>
    <row r="4504" spans="1:11">
      <c r="A4504" s="688" t="s">
        <v>4058</v>
      </c>
      <c r="B4504" s="692" t="s">
        <v>4060</v>
      </c>
      <c r="C4504" s="692" t="s">
        <v>4060</v>
      </c>
      <c r="D4504" s="692" t="s">
        <v>4060</v>
      </c>
      <c r="E4504" s="692" t="s">
        <v>4060</v>
      </c>
      <c r="F4504" s="692" t="s">
        <v>4060</v>
      </c>
      <c r="G4504" s="692" t="s">
        <v>4060</v>
      </c>
      <c r="H4504" s="692" t="s">
        <v>4060</v>
      </c>
      <c r="I4504" s="692" t="s">
        <v>4060</v>
      </c>
      <c r="J4504" s="692" t="s">
        <v>4060</v>
      </c>
      <c r="K4504" s="692" t="s">
        <v>4060</v>
      </c>
    </row>
    <row r="4505" spans="1:11">
      <c r="A4505" s="688" t="s">
        <v>11</v>
      </c>
      <c r="B4505" s="689">
        <v>18.899999999999999</v>
      </c>
      <c r="C4505" s="689">
        <v>18.8</v>
      </c>
      <c r="D4505" s="689">
        <v>18.5</v>
      </c>
      <c r="E4505" s="689">
        <v>18.899999999999999</v>
      </c>
      <c r="F4505" s="689">
        <v>18.7</v>
      </c>
      <c r="G4505" s="693">
        <v>19</v>
      </c>
      <c r="H4505" s="689">
        <v>19.2</v>
      </c>
      <c r="I4505" s="689">
        <v>18.5</v>
      </c>
      <c r="J4505" s="689">
        <v>17.8</v>
      </c>
      <c r="K4505" s="689">
        <v>18.600000000000001</v>
      </c>
    </row>
    <row r="4506" spans="1:11">
      <c r="A4506" s="688" t="s">
        <v>10</v>
      </c>
      <c r="B4506" s="691">
        <v>22.6</v>
      </c>
      <c r="C4506" s="691">
        <v>22.4</v>
      </c>
      <c r="D4506" s="691">
        <v>22.1</v>
      </c>
      <c r="E4506" s="691">
        <v>22.6</v>
      </c>
      <c r="F4506" s="691">
        <v>22.4</v>
      </c>
      <c r="G4506" s="691">
        <v>22.7</v>
      </c>
      <c r="H4506" s="691">
        <v>22.8</v>
      </c>
      <c r="I4506" s="691">
        <v>21.7</v>
      </c>
      <c r="J4506" s="691">
        <v>22.2</v>
      </c>
      <c r="K4506" s="691">
        <v>22.2</v>
      </c>
    </row>
    <row r="4507" spans="1:11">
      <c r="A4507" s="688" t="s">
        <v>30</v>
      </c>
      <c r="B4507" s="689">
        <v>21.8</v>
      </c>
      <c r="C4507" s="689">
        <v>21.7</v>
      </c>
      <c r="D4507" s="689">
        <v>21.4</v>
      </c>
      <c r="E4507" s="689">
        <v>22.1</v>
      </c>
      <c r="F4507" s="689">
        <v>21.7</v>
      </c>
      <c r="G4507" s="689">
        <v>22.3</v>
      </c>
      <c r="H4507" s="693">
        <v>22</v>
      </c>
      <c r="I4507" s="689">
        <v>22.2</v>
      </c>
      <c r="J4507" s="689">
        <v>21.5</v>
      </c>
      <c r="K4507" s="689">
        <v>21.7</v>
      </c>
    </row>
    <row r="4508" spans="1:11">
      <c r="A4508" s="688" t="s">
        <v>12</v>
      </c>
      <c r="B4508" s="691">
        <v>18.100000000000001</v>
      </c>
      <c r="C4508" s="691">
        <v>18.100000000000001</v>
      </c>
      <c r="D4508" s="691">
        <v>18.2</v>
      </c>
      <c r="E4508" s="691">
        <v>18.2</v>
      </c>
      <c r="F4508" s="691">
        <v>18.3</v>
      </c>
      <c r="G4508" s="691">
        <v>18.3</v>
      </c>
      <c r="H4508" s="691">
        <v>18.7</v>
      </c>
      <c r="I4508" s="691">
        <v>18.399999999999999</v>
      </c>
      <c r="J4508" s="691">
        <v>16.899999999999999</v>
      </c>
      <c r="K4508" s="615">
        <v>18</v>
      </c>
    </row>
    <row r="4509" spans="1:11">
      <c r="A4509" s="688" t="s">
        <v>14</v>
      </c>
      <c r="B4509" s="689">
        <v>18.399999999999999</v>
      </c>
      <c r="C4509" s="689">
        <v>18.5</v>
      </c>
      <c r="D4509" s="689">
        <v>18.2</v>
      </c>
      <c r="E4509" s="689">
        <v>18.399999999999999</v>
      </c>
      <c r="F4509" s="689">
        <v>18.600000000000001</v>
      </c>
      <c r="G4509" s="689">
        <v>18.7</v>
      </c>
      <c r="H4509" s="693">
        <v>19</v>
      </c>
      <c r="I4509" s="689">
        <v>18.100000000000001</v>
      </c>
      <c r="J4509" s="689">
        <v>17.5</v>
      </c>
      <c r="K4509" s="689">
        <v>18.399999999999999</v>
      </c>
    </row>
    <row r="4510" spans="1:11">
      <c r="A4510" s="688" t="s">
        <v>15</v>
      </c>
      <c r="B4510" s="691">
        <v>22.2</v>
      </c>
      <c r="C4510" s="691">
        <v>21.8</v>
      </c>
      <c r="D4510" s="691">
        <v>21.7</v>
      </c>
      <c r="E4510" s="691">
        <v>22.1</v>
      </c>
      <c r="F4510" s="691">
        <v>21.5</v>
      </c>
      <c r="G4510" s="691">
        <v>21.8</v>
      </c>
      <c r="H4510" s="691">
        <v>22.2</v>
      </c>
      <c r="I4510" s="691">
        <v>21.7</v>
      </c>
      <c r="J4510" s="691">
        <v>22.1</v>
      </c>
      <c r="K4510" s="691">
        <v>22.4</v>
      </c>
    </row>
    <row r="4511" spans="1:11">
      <c r="A4511" s="688" t="s">
        <v>29</v>
      </c>
      <c r="B4511" s="689">
        <v>18.100000000000001</v>
      </c>
      <c r="C4511" s="689">
        <v>18.100000000000001</v>
      </c>
      <c r="D4511" s="689">
        <v>17.8</v>
      </c>
      <c r="E4511" s="689">
        <v>18.100000000000001</v>
      </c>
      <c r="F4511" s="689">
        <v>17.8</v>
      </c>
      <c r="G4511" s="689">
        <v>17.899999999999999</v>
      </c>
      <c r="H4511" s="689">
        <v>18.100000000000001</v>
      </c>
      <c r="I4511" s="689">
        <v>17.399999999999999</v>
      </c>
      <c r="J4511" s="689">
        <v>16.600000000000001</v>
      </c>
      <c r="K4511" s="689">
        <v>17.7</v>
      </c>
    </row>
    <row r="4512" spans="1:11">
      <c r="A4512" s="688" t="s">
        <v>16</v>
      </c>
      <c r="B4512" s="691">
        <v>21.7</v>
      </c>
      <c r="C4512" s="691">
        <v>21.6</v>
      </c>
      <c r="D4512" s="691">
        <v>21.6</v>
      </c>
      <c r="E4512" s="691">
        <v>22.2</v>
      </c>
      <c r="F4512" s="691">
        <v>21.9</v>
      </c>
      <c r="G4512" s="615">
        <v>22</v>
      </c>
      <c r="H4512" s="691">
        <v>22.1</v>
      </c>
      <c r="I4512" s="691">
        <v>21.7</v>
      </c>
      <c r="J4512" s="691">
        <v>21.7</v>
      </c>
      <c r="K4512" s="691">
        <v>21.9</v>
      </c>
    </row>
    <row r="4513" spans="1:11">
      <c r="A4513" s="688" t="s">
        <v>17</v>
      </c>
      <c r="B4513" s="689">
        <v>21.4</v>
      </c>
      <c r="C4513" s="689">
        <v>21.6</v>
      </c>
      <c r="D4513" s="689">
        <v>21.3</v>
      </c>
      <c r="E4513" s="689">
        <v>21.4</v>
      </c>
      <c r="F4513" s="689">
        <v>21.5</v>
      </c>
      <c r="G4513" s="689">
        <v>21.5</v>
      </c>
      <c r="H4513" s="689">
        <v>21.8</v>
      </c>
      <c r="I4513" s="689">
        <v>21.1</v>
      </c>
      <c r="J4513" s="689">
        <v>21.1</v>
      </c>
      <c r="K4513" s="689">
        <v>21.4</v>
      </c>
    </row>
    <row r="4514" spans="1:11">
      <c r="A4514" s="688" t="s">
        <v>19</v>
      </c>
      <c r="B4514" s="691">
        <v>21.6</v>
      </c>
      <c r="C4514" s="691">
        <v>21.6</v>
      </c>
      <c r="D4514" s="691">
        <v>21.3</v>
      </c>
      <c r="E4514" s="691">
        <v>21.7</v>
      </c>
      <c r="F4514" s="691">
        <v>21.6</v>
      </c>
      <c r="G4514" s="691">
        <v>21.7</v>
      </c>
      <c r="H4514" s="691">
        <v>21.9</v>
      </c>
      <c r="I4514" s="691">
        <v>21.2</v>
      </c>
      <c r="J4514" s="691">
        <v>21.3</v>
      </c>
      <c r="K4514" s="691">
        <v>21.3</v>
      </c>
    </row>
    <row r="4515" spans="1:11">
      <c r="A4515" s="688" t="s">
        <v>20</v>
      </c>
      <c r="B4515" s="689">
        <v>19.399999999999999</v>
      </c>
      <c r="C4515" s="689">
        <v>19.600000000000001</v>
      </c>
      <c r="D4515" s="689">
        <v>19.3</v>
      </c>
      <c r="E4515" s="689">
        <v>19.7</v>
      </c>
      <c r="F4515" s="689">
        <v>19.600000000000001</v>
      </c>
      <c r="G4515" s="689">
        <v>19.5</v>
      </c>
      <c r="H4515" s="689">
        <v>19.7</v>
      </c>
      <c r="I4515" s="689">
        <v>18.399999999999999</v>
      </c>
      <c r="J4515" s="689">
        <v>17.600000000000001</v>
      </c>
      <c r="K4515" s="693">
        <v>19</v>
      </c>
    </row>
    <row r="4516" spans="1:11">
      <c r="A4516" s="688" t="s">
        <v>21</v>
      </c>
      <c r="B4516" s="691">
        <v>21.5</v>
      </c>
      <c r="C4516" s="691">
        <v>21.8</v>
      </c>
      <c r="D4516" s="691">
        <v>21.7</v>
      </c>
      <c r="E4516" s="691">
        <v>21.7</v>
      </c>
      <c r="F4516" s="615">
        <v>22</v>
      </c>
      <c r="G4516" s="615">
        <v>22</v>
      </c>
      <c r="H4516" s="691">
        <v>22.3</v>
      </c>
      <c r="I4516" s="691">
        <v>21.7</v>
      </c>
      <c r="J4516" s="691">
        <v>21.7</v>
      </c>
      <c r="K4516" s="615">
        <v>22</v>
      </c>
    </row>
    <row r="4517" spans="1:11">
      <c r="A4517" s="688" t="s">
        <v>22</v>
      </c>
      <c r="B4517" s="693">
        <v>18</v>
      </c>
      <c r="C4517" s="689">
        <v>17.8</v>
      </c>
      <c r="D4517" s="689">
        <v>17.7</v>
      </c>
      <c r="E4517" s="693">
        <v>18</v>
      </c>
      <c r="F4517" s="693">
        <v>18</v>
      </c>
      <c r="G4517" s="693">
        <v>18</v>
      </c>
      <c r="H4517" s="689">
        <v>18.2</v>
      </c>
      <c r="I4517" s="693">
        <v>17</v>
      </c>
      <c r="J4517" s="689">
        <v>15.9</v>
      </c>
      <c r="K4517" s="689">
        <v>17.600000000000001</v>
      </c>
    </row>
    <row r="4518" spans="1:11">
      <c r="A4518" s="688" t="s">
        <v>26</v>
      </c>
      <c r="B4518" s="691">
        <v>21.1</v>
      </c>
      <c r="C4518" s="691">
        <v>21.1</v>
      </c>
      <c r="D4518" s="615">
        <v>21</v>
      </c>
      <c r="E4518" s="691">
        <v>21.3</v>
      </c>
      <c r="F4518" s="691">
        <v>21.1</v>
      </c>
      <c r="G4518" s="691">
        <v>21.3</v>
      </c>
      <c r="H4518" s="691">
        <v>21.4</v>
      </c>
      <c r="I4518" s="691">
        <v>20.5</v>
      </c>
      <c r="J4518" s="691">
        <v>20.7</v>
      </c>
      <c r="K4518" s="691">
        <v>21.2</v>
      </c>
    </row>
    <row r="4519" spans="1:11">
      <c r="A4519" s="688" t="s">
        <v>25</v>
      </c>
      <c r="B4519" s="689">
        <v>18.5</v>
      </c>
      <c r="C4519" s="689">
        <v>18.7</v>
      </c>
      <c r="D4519" s="689">
        <v>18.5</v>
      </c>
      <c r="E4519" s="689">
        <v>18.899999999999999</v>
      </c>
      <c r="F4519" s="689">
        <v>18.8</v>
      </c>
      <c r="G4519" s="693">
        <v>19</v>
      </c>
      <c r="H4519" s="689">
        <v>19.3</v>
      </c>
      <c r="I4519" s="689">
        <v>18.5</v>
      </c>
      <c r="J4519" s="689">
        <v>16.7</v>
      </c>
      <c r="K4519" s="689">
        <v>18.600000000000001</v>
      </c>
    </row>
    <row r="4520" spans="1:11">
      <c r="A4520" s="688" t="s">
        <v>5</v>
      </c>
      <c r="B4520" s="691">
        <v>21.7</v>
      </c>
      <c r="C4520" s="691">
        <v>21.5</v>
      </c>
      <c r="D4520" s="691">
        <v>21.6</v>
      </c>
      <c r="E4520" s="691">
        <v>21.6</v>
      </c>
      <c r="F4520" s="691">
        <v>21.8</v>
      </c>
      <c r="G4520" s="691">
        <v>21.9</v>
      </c>
      <c r="H4520" s="691">
        <v>22.1</v>
      </c>
      <c r="I4520" s="691">
        <v>22.1</v>
      </c>
      <c r="J4520" s="691">
        <v>21.9</v>
      </c>
      <c r="K4520" s="691">
        <v>21.4</v>
      </c>
    </row>
    <row r="4521" spans="1:11">
      <c r="A4521" s="688" t="s">
        <v>23</v>
      </c>
      <c r="B4521" s="689">
        <v>21.8</v>
      </c>
      <c r="C4521" s="689">
        <v>21.9</v>
      </c>
      <c r="D4521" s="689">
        <v>21.9</v>
      </c>
      <c r="E4521" s="693">
        <v>22</v>
      </c>
      <c r="F4521" s="693">
        <v>22</v>
      </c>
      <c r="G4521" s="689">
        <v>22.1</v>
      </c>
      <c r="H4521" s="689">
        <v>22.5</v>
      </c>
      <c r="I4521" s="689">
        <v>21.9</v>
      </c>
      <c r="J4521" s="689">
        <v>22.5</v>
      </c>
      <c r="K4521" s="689">
        <v>22.4</v>
      </c>
    </row>
    <row r="4522" spans="1:11">
      <c r="A4522" s="688" t="s">
        <v>4067</v>
      </c>
      <c r="B4522" s="691">
        <v>21.3</v>
      </c>
      <c r="C4522" s="691">
        <v>21.6</v>
      </c>
      <c r="D4522" s="691">
        <v>21.3</v>
      </c>
      <c r="E4522" s="691">
        <v>21.6</v>
      </c>
      <c r="F4522" s="691">
        <v>21.5</v>
      </c>
      <c r="G4522" s="691">
        <v>21.6</v>
      </c>
      <c r="H4522" s="692" t="s">
        <v>4060</v>
      </c>
      <c r="I4522" s="692" t="s">
        <v>4060</v>
      </c>
      <c r="J4522" s="692" t="s">
        <v>4060</v>
      </c>
      <c r="K4522" s="692" t="s">
        <v>4060</v>
      </c>
    </row>
    <row r="4523" spans="1:11">
      <c r="A4523" s="688" t="s">
        <v>4066</v>
      </c>
      <c r="B4523" s="689">
        <v>21.3</v>
      </c>
      <c r="C4523" s="689">
        <v>21.6</v>
      </c>
      <c r="D4523" s="689">
        <v>21.3</v>
      </c>
      <c r="E4523" s="689">
        <v>21.6</v>
      </c>
      <c r="F4523" s="689">
        <v>21.5</v>
      </c>
      <c r="G4523" s="689">
        <v>21.6</v>
      </c>
      <c r="H4523" s="690" t="s">
        <v>4060</v>
      </c>
      <c r="I4523" s="690" t="s">
        <v>4060</v>
      </c>
      <c r="J4523" s="690" t="s">
        <v>4060</v>
      </c>
      <c r="K4523" s="690" t="s">
        <v>4060</v>
      </c>
    </row>
    <row r="4524" spans="1:11">
      <c r="A4524" s="688" t="s">
        <v>4062</v>
      </c>
      <c r="B4524" s="691">
        <v>22.3</v>
      </c>
      <c r="C4524" s="691">
        <v>22.4</v>
      </c>
      <c r="D4524" s="691">
        <v>22.3</v>
      </c>
      <c r="E4524" s="691">
        <v>22.6</v>
      </c>
      <c r="F4524" s="691">
        <v>22.6</v>
      </c>
      <c r="G4524" s="691">
        <v>22.8</v>
      </c>
      <c r="H4524" s="691">
        <v>22.9</v>
      </c>
      <c r="I4524" s="691">
        <v>22.5</v>
      </c>
      <c r="J4524" s="691">
        <v>22.9</v>
      </c>
      <c r="K4524" s="691">
        <v>22.6</v>
      </c>
    </row>
    <row r="4525" spans="1:11">
      <c r="A4525" s="688" t="s">
        <v>9</v>
      </c>
      <c r="B4525" s="689">
        <v>21.7</v>
      </c>
      <c r="C4525" s="689">
        <v>22.4</v>
      </c>
      <c r="D4525" s="689">
        <v>22.1</v>
      </c>
      <c r="E4525" s="689">
        <v>21.6</v>
      </c>
      <c r="F4525" s="689">
        <v>22.2</v>
      </c>
      <c r="G4525" s="689">
        <v>22.3</v>
      </c>
      <c r="H4525" s="689">
        <v>22.5</v>
      </c>
      <c r="I4525" s="689">
        <v>22.7</v>
      </c>
      <c r="J4525" s="689">
        <v>22.8</v>
      </c>
      <c r="K4525" s="689">
        <v>21.8</v>
      </c>
    </row>
    <row r="4526" spans="1:11">
      <c r="A4526" s="688" t="s">
        <v>13</v>
      </c>
      <c r="B4526" s="615">
        <v>22</v>
      </c>
      <c r="C4526" s="691">
        <v>21.6</v>
      </c>
      <c r="D4526" s="691">
        <v>22.2</v>
      </c>
      <c r="E4526" s="691">
        <v>21.7</v>
      </c>
      <c r="F4526" s="691">
        <v>22.7</v>
      </c>
      <c r="G4526" s="691">
        <v>22.2</v>
      </c>
      <c r="H4526" s="691">
        <v>22.8</v>
      </c>
      <c r="I4526" s="691">
        <v>21.4</v>
      </c>
      <c r="J4526" s="691">
        <v>23.1</v>
      </c>
      <c r="K4526" s="615">
        <v>23</v>
      </c>
    </row>
    <row r="4527" spans="1:11">
      <c r="A4527" s="688" t="s">
        <v>18</v>
      </c>
      <c r="B4527" s="689">
        <v>21.7</v>
      </c>
      <c r="C4527" s="689">
        <v>21.9</v>
      </c>
      <c r="D4527" s="689">
        <v>21.9</v>
      </c>
      <c r="E4527" s="689">
        <v>22.1</v>
      </c>
      <c r="F4527" s="689">
        <v>22.1</v>
      </c>
      <c r="G4527" s="689">
        <v>22.3</v>
      </c>
      <c r="H4527" s="689">
        <v>22.5</v>
      </c>
      <c r="I4527" s="689">
        <v>22.6</v>
      </c>
      <c r="J4527" s="689">
        <v>22.5</v>
      </c>
      <c r="K4527" s="689">
        <v>22.1</v>
      </c>
    </row>
    <row r="4528" spans="1:11">
      <c r="A4528" s="688" t="s">
        <v>24</v>
      </c>
      <c r="B4528" s="691">
        <v>22.7</v>
      </c>
      <c r="C4528" s="691">
        <v>22.7</v>
      </c>
      <c r="D4528" s="691">
        <v>22.5</v>
      </c>
      <c r="E4528" s="615">
        <v>23</v>
      </c>
      <c r="F4528" s="691">
        <v>22.9</v>
      </c>
      <c r="G4528" s="691">
        <v>23.1</v>
      </c>
      <c r="H4528" s="691">
        <v>23.2</v>
      </c>
      <c r="I4528" s="691">
        <v>22.5</v>
      </c>
      <c r="J4528" s="691">
        <v>23.1</v>
      </c>
      <c r="K4528" s="691">
        <v>22.9</v>
      </c>
    </row>
    <row r="4529" spans="1:11">
      <c r="A4529" s="688" t="s">
        <v>4059</v>
      </c>
      <c r="B4529" s="689">
        <v>21.5</v>
      </c>
      <c r="C4529" s="689">
        <v>21.7</v>
      </c>
      <c r="D4529" s="689">
        <v>21.4</v>
      </c>
      <c r="E4529" s="689">
        <v>21.6</v>
      </c>
      <c r="F4529" s="689">
        <v>21.6</v>
      </c>
      <c r="G4529" s="689">
        <v>21.7</v>
      </c>
      <c r="H4529" s="690" t="s">
        <v>4060</v>
      </c>
      <c r="I4529" s="690" t="s">
        <v>4060</v>
      </c>
      <c r="J4529" s="690" t="s">
        <v>4060</v>
      </c>
      <c r="K4529" s="690" t="s">
        <v>4060</v>
      </c>
    </row>
    <row r="4530" spans="1:11">
      <c r="A4530" s="688" t="s">
        <v>2324</v>
      </c>
      <c r="B4530" s="691">
        <v>17.8</v>
      </c>
      <c r="C4530" s="615">
        <v>18</v>
      </c>
      <c r="D4530" s="691">
        <v>17.600000000000001</v>
      </c>
      <c r="E4530" s="691">
        <v>17.600000000000001</v>
      </c>
      <c r="F4530" s="691">
        <v>17.8</v>
      </c>
      <c r="G4530" s="691">
        <v>17.899999999999999</v>
      </c>
      <c r="H4530" s="691">
        <v>18.100000000000001</v>
      </c>
      <c r="I4530" s="691">
        <v>17.2</v>
      </c>
      <c r="J4530" s="691">
        <v>15.3</v>
      </c>
      <c r="K4530" s="692" t="s">
        <v>4060</v>
      </c>
    </row>
    <row r="4531" spans="1:11">
      <c r="A4531" s="688" t="s">
        <v>2322</v>
      </c>
      <c r="B4531" s="690" t="s">
        <v>4060</v>
      </c>
      <c r="C4531" s="690" t="s">
        <v>4060</v>
      </c>
      <c r="D4531" s="690" t="s">
        <v>4060</v>
      </c>
      <c r="E4531" s="690" t="s">
        <v>4060</v>
      </c>
      <c r="F4531" s="690" t="s">
        <v>4060</v>
      </c>
      <c r="G4531" s="690" t="s">
        <v>4060</v>
      </c>
      <c r="H4531" s="690" t="s">
        <v>4060</v>
      </c>
      <c r="I4531" s="690" t="s">
        <v>4060</v>
      </c>
      <c r="J4531" s="690" t="s">
        <v>4060</v>
      </c>
      <c r="K4531" s="690" t="s">
        <v>4060</v>
      </c>
    </row>
    <row r="4532" spans="1:11">
      <c r="A4532" s="688" t="s">
        <v>2328</v>
      </c>
      <c r="B4532" s="615">
        <v>17</v>
      </c>
      <c r="C4532" s="691">
        <v>16.899999999999999</v>
      </c>
      <c r="D4532" s="691">
        <v>16.8</v>
      </c>
      <c r="E4532" s="615">
        <v>17</v>
      </c>
      <c r="F4532" s="691">
        <v>17.2</v>
      </c>
      <c r="G4532" s="691">
        <v>17.600000000000001</v>
      </c>
      <c r="H4532" s="691">
        <v>17.399999999999999</v>
      </c>
      <c r="I4532" s="691">
        <v>15.8</v>
      </c>
      <c r="J4532" s="691">
        <v>15.1</v>
      </c>
      <c r="K4532" s="692" t="s">
        <v>4060</v>
      </c>
    </row>
    <row r="4533" spans="1:11">
      <c r="A4533" s="688" t="s">
        <v>2496</v>
      </c>
      <c r="B4533" s="690" t="s">
        <v>4060</v>
      </c>
      <c r="C4533" s="689">
        <v>17.5</v>
      </c>
      <c r="D4533" s="689">
        <v>16.600000000000001</v>
      </c>
      <c r="E4533" s="689">
        <v>16.399999999999999</v>
      </c>
      <c r="F4533" s="689">
        <v>16.8</v>
      </c>
      <c r="G4533" s="689">
        <v>17.100000000000001</v>
      </c>
      <c r="H4533" s="689">
        <v>17.100000000000001</v>
      </c>
      <c r="I4533" s="690" t="s">
        <v>4060</v>
      </c>
      <c r="J4533" s="690" t="s">
        <v>4060</v>
      </c>
      <c r="K4533" s="689">
        <v>16.7</v>
      </c>
    </row>
    <row r="4534" spans="1:11">
      <c r="A4534" s="688" t="s">
        <v>2269</v>
      </c>
      <c r="B4534" s="691">
        <v>19.100000000000001</v>
      </c>
      <c r="C4534" s="691">
        <v>19.2</v>
      </c>
      <c r="D4534" s="691">
        <v>18.7</v>
      </c>
      <c r="E4534" s="691">
        <v>19.2</v>
      </c>
      <c r="F4534" s="691">
        <v>19.2</v>
      </c>
      <c r="G4534" s="691">
        <v>19.5</v>
      </c>
      <c r="H4534" s="691">
        <v>19.7</v>
      </c>
      <c r="I4534" s="691">
        <v>18.2</v>
      </c>
      <c r="J4534" s="691">
        <v>16.399999999999999</v>
      </c>
      <c r="K4534" s="691">
        <v>19.399999999999999</v>
      </c>
    </row>
    <row r="4535" spans="1:11">
      <c r="A4535" s="688" t="s">
        <v>2349</v>
      </c>
      <c r="B4535" s="689">
        <v>17.100000000000001</v>
      </c>
      <c r="C4535" s="689">
        <v>17.2</v>
      </c>
      <c r="D4535" s="689">
        <v>17.100000000000001</v>
      </c>
      <c r="E4535" s="689">
        <v>17.399999999999999</v>
      </c>
      <c r="F4535" s="689">
        <v>17.3</v>
      </c>
      <c r="G4535" s="689">
        <v>17.5</v>
      </c>
      <c r="H4535" s="689">
        <v>17.600000000000001</v>
      </c>
      <c r="I4535" s="689">
        <v>16.399999999999999</v>
      </c>
      <c r="J4535" s="689">
        <v>15.1</v>
      </c>
      <c r="K4535" s="689">
        <v>16.8</v>
      </c>
    </row>
    <row r="4536" spans="1:11">
      <c r="A4536" s="688" t="s">
        <v>2355</v>
      </c>
      <c r="B4536" s="691">
        <v>19.7</v>
      </c>
      <c r="C4536" s="691">
        <v>19.600000000000001</v>
      </c>
      <c r="D4536" s="691">
        <v>19.5</v>
      </c>
      <c r="E4536" s="691">
        <v>19.399999999999999</v>
      </c>
      <c r="F4536" s="691">
        <v>19.600000000000001</v>
      </c>
      <c r="G4536" s="691">
        <v>19.899999999999999</v>
      </c>
      <c r="H4536" s="615">
        <v>20</v>
      </c>
      <c r="I4536" s="692" t="s">
        <v>4060</v>
      </c>
      <c r="J4536" s="692" t="s">
        <v>4060</v>
      </c>
      <c r="K4536" s="692" t="s">
        <v>4060</v>
      </c>
    </row>
    <row r="4537" spans="1:11">
      <c r="A4537" s="688" t="s">
        <v>2357</v>
      </c>
      <c r="B4537" s="690" t="s">
        <v>4060</v>
      </c>
      <c r="C4537" s="689">
        <v>16.8</v>
      </c>
      <c r="D4537" s="693">
        <v>17</v>
      </c>
      <c r="E4537" s="689">
        <v>17.3</v>
      </c>
      <c r="F4537" s="689">
        <v>17.5</v>
      </c>
      <c r="G4537" s="689">
        <v>17.399999999999999</v>
      </c>
      <c r="H4537" s="689">
        <v>17.5</v>
      </c>
      <c r="I4537" s="690" t="s">
        <v>4060</v>
      </c>
      <c r="J4537" s="690" t="s">
        <v>4060</v>
      </c>
      <c r="K4537" s="690" t="s">
        <v>4060</v>
      </c>
    </row>
    <row r="4538" spans="1:11">
      <c r="A4538" s="688" t="s">
        <v>4070</v>
      </c>
      <c r="B4538" s="692" t="s">
        <v>4060</v>
      </c>
      <c r="C4538" s="692" t="s">
        <v>4060</v>
      </c>
      <c r="D4538" s="692" t="s">
        <v>4060</v>
      </c>
      <c r="E4538" s="691">
        <v>19.2</v>
      </c>
      <c r="F4538" s="692" t="s">
        <v>4060</v>
      </c>
      <c r="G4538" s="692" t="s">
        <v>4060</v>
      </c>
      <c r="H4538" s="692" t="s">
        <v>4060</v>
      </c>
      <c r="I4538" s="692" t="s">
        <v>4060</v>
      </c>
      <c r="J4538" s="692" t="s">
        <v>4060</v>
      </c>
      <c r="K4538" s="692" t="s">
        <v>4060</v>
      </c>
    </row>
    <row r="4539" spans="1:11">
      <c r="A4539" s="688" t="s">
        <v>2491</v>
      </c>
      <c r="B4539" s="689">
        <v>16.899999999999999</v>
      </c>
      <c r="C4539" s="689">
        <v>17.2</v>
      </c>
      <c r="D4539" s="689">
        <v>17.3</v>
      </c>
      <c r="E4539" s="689">
        <v>17.399999999999999</v>
      </c>
      <c r="F4539" s="689">
        <v>17.5</v>
      </c>
      <c r="G4539" s="689">
        <v>17.5</v>
      </c>
      <c r="H4539" s="690" t="s">
        <v>4060</v>
      </c>
      <c r="I4539" s="690" t="s">
        <v>4060</v>
      </c>
      <c r="J4539" s="690" t="s">
        <v>4060</v>
      </c>
      <c r="K4539" s="690" t="s">
        <v>4060</v>
      </c>
    </row>
    <row r="4540" spans="1:11">
      <c r="A4540" s="688" t="s">
        <v>2343</v>
      </c>
      <c r="B4540" s="692" t="s">
        <v>4060</v>
      </c>
      <c r="C4540" s="692" t="s">
        <v>4060</v>
      </c>
      <c r="D4540" s="692" t="s">
        <v>4060</v>
      </c>
      <c r="E4540" s="692" t="s">
        <v>4060</v>
      </c>
      <c r="F4540" s="692" t="s">
        <v>4060</v>
      </c>
      <c r="G4540" s="692" t="s">
        <v>4060</v>
      </c>
      <c r="H4540" s="692" t="s">
        <v>4060</v>
      </c>
      <c r="I4540" s="692" t="s">
        <v>4060</v>
      </c>
      <c r="J4540" s="692" t="s">
        <v>4060</v>
      </c>
      <c r="K4540" s="692" t="s">
        <v>4060</v>
      </c>
    </row>
    <row r="4541" spans="1:11">
      <c r="A4541" s="688" t="s">
        <v>4071</v>
      </c>
      <c r="B4541" s="690" t="s">
        <v>4060</v>
      </c>
      <c r="C4541" s="690" t="s">
        <v>4060</v>
      </c>
      <c r="D4541" s="690" t="s">
        <v>4060</v>
      </c>
      <c r="E4541" s="690" t="s">
        <v>4060</v>
      </c>
      <c r="F4541" s="690" t="s">
        <v>4060</v>
      </c>
      <c r="G4541" s="690" t="s">
        <v>4060</v>
      </c>
      <c r="H4541" s="690" t="s">
        <v>4060</v>
      </c>
      <c r="I4541" s="690" t="s">
        <v>4060</v>
      </c>
      <c r="J4541" s="690" t="s">
        <v>4060</v>
      </c>
      <c r="K4541" s="690" t="s">
        <v>4060</v>
      </c>
    </row>
    <row r="4542" spans="1:11">
      <c r="A4542" s="688" t="s">
        <v>2489</v>
      </c>
      <c r="B4542" s="692" t="s">
        <v>4060</v>
      </c>
      <c r="C4542" s="692" t="s">
        <v>4060</v>
      </c>
      <c r="D4542" s="691">
        <v>17.399999999999999</v>
      </c>
      <c r="E4542" s="691">
        <v>17.399999999999999</v>
      </c>
      <c r="F4542" s="691">
        <v>17.7</v>
      </c>
      <c r="G4542" s="691">
        <v>18.3</v>
      </c>
      <c r="H4542" s="691">
        <v>18.3</v>
      </c>
      <c r="I4542" s="692" t="s">
        <v>4060</v>
      </c>
      <c r="J4542" s="692" t="s">
        <v>4060</v>
      </c>
      <c r="K4542" s="692" t="s">
        <v>4060</v>
      </c>
    </row>
    <row r="4543" spans="1:11">
      <c r="A4543" s="688" t="s">
        <v>2490</v>
      </c>
      <c r="B4543" s="689">
        <v>17.100000000000001</v>
      </c>
      <c r="C4543" s="689">
        <v>17.100000000000001</v>
      </c>
      <c r="D4543" s="689">
        <v>17.7</v>
      </c>
      <c r="E4543" s="690" t="s">
        <v>4060</v>
      </c>
      <c r="F4543" s="689">
        <v>17.899999999999999</v>
      </c>
      <c r="G4543" s="693">
        <v>18</v>
      </c>
      <c r="H4543" s="689">
        <v>18.8</v>
      </c>
      <c r="I4543" s="690" t="s">
        <v>4060</v>
      </c>
      <c r="J4543" s="690" t="s">
        <v>4060</v>
      </c>
      <c r="K4543" s="690" t="s">
        <v>4060</v>
      </c>
    </row>
    <row r="4545" spans="1:11">
      <c r="A4545" s="683" t="s">
        <v>4233</v>
      </c>
    </row>
    <row r="4546" spans="1:11">
      <c r="A4546" s="683" t="s">
        <v>4060</v>
      </c>
      <c r="B4546" s="682" t="s">
        <v>4234</v>
      </c>
    </row>
    <row r="4548" spans="1:11">
      <c r="A4548" s="682" t="s">
        <v>4248</v>
      </c>
    </row>
    <row r="4549" spans="1:11">
      <c r="A4549" s="682" t="s">
        <v>4210</v>
      </c>
      <c r="B4549" s="683" t="s">
        <v>4211</v>
      </c>
    </row>
    <row r="4550" spans="1:11">
      <c r="A4550" s="682" t="s">
        <v>4212</v>
      </c>
      <c r="B4550" s="682" t="s">
        <v>4213</v>
      </c>
    </row>
    <row r="4552" spans="1:11">
      <c r="A4552" s="683" t="s">
        <v>4214</v>
      </c>
      <c r="C4552" s="682" t="s">
        <v>4215</v>
      </c>
    </row>
    <row r="4553" spans="1:11">
      <c r="A4553" s="683" t="s">
        <v>4216</v>
      </c>
      <c r="C4553" s="682" t="s">
        <v>2967</v>
      </c>
    </row>
    <row r="4554" spans="1:11">
      <c r="A4554" s="683" t="s">
        <v>3893</v>
      </c>
      <c r="C4554" s="682" t="s">
        <v>4217</v>
      </c>
    </row>
    <row r="4555" spans="1:11">
      <c r="A4555" s="683" t="s">
        <v>4218</v>
      </c>
      <c r="C4555" s="682" t="s">
        <v>4299</v>
      </c>
    </row>
    <row r="4557" spans="1:11">
      <c r="A4557" s="684" t="s">
        <v>4220</v>
      </c>
      <c r="B4557" s="685" t="s">
        <v>4221</v>
      </c>
      <c r="C4557" s="685" t="s">
        <v>4222</v>
      </c>
      <c r="D4557" s="685" t="s">
        <v>4223</v>
      </c>
      <c r="E4557" s="685" t="s">
        <v>4224</v>
      </c>
      <c r="F4557" s="685" t="s">
        <v>4225</v>
      </c>
      <c r="G4557" s="685" t="s">
        <v>4226</v>
      </c>
      <c r="H4557" s="685" t="s">
        <v>4227</v>
      </c>
      <c r="I4557" s="685" t="s">
        <v>4228</v>
      </c>
      <c r="J4557" s="685" t="s">
        <v>4229</v>
      </c>
      <c r="K4557" s="685" t="s">
        <v>4230</v>
      </c>
    </row>
    <row r="4558" spans="1:11">
      <c r="A4558" s="686" t="s">
        <v>4231</v>
      </c>
      <c r="B4558" s="687" t="s">
        <v>4232</v>
      </c>
      <c r="C4558" s="687" t="s">
        <v>4232</v>
      </c>
      <c r="D4558" s="687" t="s">
        <v>4232</v>
      </c>
      <c r="E4558" s="687" t="s">
        <v>4232</v>
      </c>
      <c r="F4558" s="687" t="s">
        <v>4232</v>
      </c>
      <c r="G4558" s="687" t="s">
        <v>4232</v>
      </c>
      <c r="H4558" s="687" t="s">
        <v>4232</v>
      </c>
      <c r="I4558" s="687" t="s">
        <v>4232</v>
      </c>
      <c r="J4558" s="687" t="s">
        <v>4232</v>
      </c>
      <c r="K4558" s="687" t="s">
        <v>4232</v>
      </c>
    </row>
    <row r="4559" spans="1:11">
      <c r="A4559" s="688" t="s">
        <v>4064</v>
      </c>
      <c r="B4559" s="689">
        <v>20.5</v>
      </c>
      <c r="C4559" s="689">
        <v>20.5</v>
      </c>
      <c r="D4559" s="689">
        <v>20.399999999999999</v>
      </c>
      <c r="E4559" s="689">
        <v>20.5</v>
      </c>
      <c r="F4559" s="689">
        <v>20.5</v>
      </c>
      <c r="G4559" s="689">
        <v>20.6</v>
      </c>
      <c r="H4559" s="689">
        <v>20.8</v>
      </c>
      <c r="I4559" s="693">
        <v>20</v>
      </c>
      <c r="J4559" s="689">
        <v>19.8</v>
      </c>
      <c r="K4559" s="689">
        <v>20.2</v>
      </c>
    </row>
    <row r="4560" spans="1:11">
      <c r="A4560" s="688" t="s">
        <v>4065</v>
      </c>
      <c r="B4560" s="691">
        <v>20.5</v>
      </c>
      <c r="C4560" s="691">
        <v>20.8</v>
      </c>
      <c r="D4560" s="691">
        <v>20.5</v>
      </c>
      <c r="E4560" s="691">
        <v>20.8</v>
      </c>
      <c r="F4560" s="691">
        <v>20.7</v>
      </c>
      <c r="G4560" s="691">
        <v>20.8</v>
      </c>
      <c r="H4560" s="692" t="s">
        <v>4060</v>
      </c>
      <c r="I4560" s="692" t="s">
        <v>4060</v>
      </c>
      <c r="J4560" s="692" t="s">
        <v>4060</v>
      </c>
      <c r="K4560" s="692" t="s">
        <v>4060</v>
      </c>
    </row>
    <row r="4561" spans="1:11">
      <c r="A4561" s="688" t="s">
        <v>4063</v>
      </c>
      <c r="B4561" s="689">
        <v>20.5</v>
      </c>
      <c r="C4561" s="689">
        <v>20.8</v>
      </c>
      <c r="D4561" s="689">
        <v>20.5</v>
      </c>
      <c r="E4561" s="689">
        <v>20.8</v>
      </c>
      <c r="F4561" s="689">
        <v>20.7</v>
      </c>
      <c r="G4561" s="689">
        <v>20.8</v>
      </c>
      <c r="H4561" s="690" t="s">
        <v>4060</v>
      </c>
      <c r="I4561" s="690" t="s">
        <v>4060</v>
      </c>
      <c r="J4561" s="690" t="s">
        <v>4060</v>
      </c>
      <c r="K4561" s="690" t="s">
        <v>4060</v>
      </c>
    </row>
    <row r="4562" spans="1:11">
      <c r="A4562" s="688" t="s">
        <v>4069</v>
      </c>
      <c r="B4562" s="692" t="s">
        <v>4060</v>
      </c>
      <c r="C4562" s="691">
        <v>21.1</v>
      </c>
      <c r="D4562" s="691">
        <v>20.8</v>
      </c>
      <c r="E4562" s="691">
        <v>21.1</v>
      </c>
      <c r="F4562" s="691">
        <v>21.1</v>
      </c>
      <c r="G4562" s="691">
        <v>21.2</v>
      </c>
      <c r="H4562" s="691">
        <v>21.4</v>
      </c>
      <c r="I4562" s="691">
        <v>20.7</v>
      </c>
      <c r="J4562" s="691">
        <v>20.8</v>
      </c>
      <c r="K4562" s="691">
        <v>20.8</v>
      </c>
    </row>
    <row r="4563" spans="1:11">
      <c r="A4563" s="688" t="s">
        <v>4068</v>
      </c>
      <c r="B4563" s="689">
        <v>21.2</v>
      </c>
      <c r="C4563" s="690" t="s">
        <v>4060</v>
      </c>
      <c r="D4563" s="690" t="s">
        <v>4060</v>
      </c>
      <c r="E4563" s="690" t="s">
        <v>4060</v>
      </c>
      <c r="F4563" s="690" t="s">
        <v>4060</v>
      </c>
      <c r="G4563" s="690" t="s">
        <v>4060</v>
      </c>
      <c r="H4563" s="690" t="s">
        <v>4060</v>
      </c>
      <c r="I4563" s="690" t="s">
        <v>4060</v>
      </c>
      <c r="J4563" s="690" t="s">
        <v>4060</v>
      </c>
      <c r="K4563" s="690" t="s">
        <v>4060</v>
      </c>
    </row>
    <row r="4564" spans="1:11">
      <c r="A4564" s="688" t="s">
        <v>0</v>
      </c>
      <c r="B4564" s="691">
        <v>20.5</v>
      </c>
      <c r="C4564" s="691">
        <v>20.7</v>
      </c>
      <c r="D4564" s="691">
        <v>20.5</v>
      </c>
      <c r="E4564" s="691">
        <v>20.8</v>
      </c>
      <c r="F4564" s="691">
        <v>20.9</v>
      </c>
      <c r="G4564" s="691">
        <v>20.9</v>
      </c>
      <c r="H4564" s="691">
        <v>21.2</v>
      </c>
      <c r="I4564" s="691">
        <v>20.100000000000001</v>
      </c>
      <c r="J4564" s="615">
        <v>21</v>
      </c>
      <c r="K4564" s="691">
        <v>20.9</v>
      </c>
    </row>
    <row r="4565" spans="1:11">
      <c r="A4565" s="688" t="s">
        <v>1</v>
      </c>
      <c r="B4565" s="689">
        <v>16.899999999999999</v>
      </c>
      <c r="C4565" s="689">
        <v>16.600000000000001</v>
      </c>
      <c r="D4565" s="689">
        <v>16.600000000000001</v>
      </c>
      <c r="E4565" s="689">
        <v>16.8</v>
      </c>
      <c r="F4565" s="689">
        <v>16.7</v>
      </c>
      <c r="G4565" s="689">
        <v>16.8</v>
      </c>
      <c r="H4565" s="689">
        <v>16.899999999999999</v>
      </c>
      <c r="I4565" s="689">
        <v>15.7</v>
      </c>
      <c r="J4565" s="689">
        <v>14.4</v>
      </c>
      <c r="K4565" s="689">
        <v>16.2</v>
      </c>
    </row>
    <row r="4566" spans="1:11">
      <c r="A4566" s="688" t="s">
        <v>2</v>
      </c>
      <c r="B4566" s="689">
        <v>19.899999999999999</v>
      </c>
      <c r="C4566" s="689">
        <v>20.2</v>
      </c>
      <c r="D4566" s="689">
        <v>20.100000000000001</v>
      </c>
      <c r="E4566" s="689">
        <v>20.3</v>
      </c>
      <c r="F4566" s="689">
        <v>20.3</v>
      </c>
      <c r="G4566" s="689">
        <v>20.2</v>
      </c>
      <c r="H4566" s="689">
        <v>20.5</v>
      </c>
      <c r="I4566" s="689">
        <v>20.6</v>
      </c>
      <c r="J4566" s="689">
        <v>20.399999999999999</v>
      </c>
      <c r="K4566" s="689">
        <v>20.2</v>
      </c>
    </row>
    <row r="4567" spans="1:11">
      <c r="A4567" s="688" t="s">
        <v>3</v>
      </c>
      <c r="B4567" s="691">
        <v>20.2</v>
      </c>
      <c r="C4567" s="691">
        <v>20.399999999999999</v>
      </c>
      <c r="D4567" s="691">
        <v>20.100000000000001</v>
      </c>
      <c r="E4567" s="691">
        <v>20.399999999999999</v>
      </c>
      <c r="F4567" s="691">
        <v>20.399999999999999</v>
      </c>
      <c r="G4567" s="691">
        <v>20.3</v>
      </c>
      <c r="H4567" s="691">
        <v>20.6</v>
      </c>
      <c r="I4567" s="691">
        <v>20.3</v>
      </c>
      <c r="J4567" s="691">
        <v>20.100000000000001</v>
      </c>
      <c r="K4567" s="691">
        <v>19.899999999999999</v>
      </c>
    </row>
    <row r="4568" spans="1:11">
      <c r="A4568" s="688" t="s">
        <v>4</v>
      </c>
      <c r="B4568" s="691">
        <v>18.899999999999999</v>
      </c>
      <c r="C4568" s="691">
        <v>18.8</v>
      </c>
      <c r="D4568" s="615">
        <v>19</v>
      </c>
      <c r="E4568" s="691">
        <v>19.2</v>
      </c>
      <c r="F4568" s="691">
        <v>19.100000000000001</v>
      </c>
      <c r="G4568" s="691">
        <v>19.2</v>
      </c>
      <c r="H4568" s="691">
        <v>19.5</v>
      </c>
      <c r="I4568" s="691">
        <v>19.5</v>
      </c>
      <c r="J4568" s="691">
        <v>18.2</v>
      </c>
      <c r="K4568" s="615">
        <v>19</v>
      </c>
    </row>
    <row r="4569" spans="1:11">
      <c r="A4569" s="688" t="s">
        <v>4061</v>
      </c>
      <c r="B4569" s="689">
        <v>20.2</v>
      </c>
      <c r="C4569" s="689">
        <v>20.399999999999999</v>
      </c>
      <c r="D4569" s="689">
        <v>20.100000000000001</v>
      </c>
      <c r="E4569" s="689">
        <v>20.399999999999999</v>
      </c>
      <c r="F4569" s="689">
        <v>20.399999999999999</v>
      </c>
      <c r="G4569" s="689">
        <v>20.3</v>
      </c>
      <c r="H4569" s="689">
        <v>20.6</v>
      </c>
      <c r="I4569" s="689">
        <v>20.3</v>
      </c>
      <c r="J4569" s="689">
        <v>20.100000000000001</v>
      </c>
      <c r="K4569" s="689">
        <v>19.899999999999999</v>
      </c>
    </row>
    <row r="4570" spans="1:11">
      <c r="A4570" s="688" t="s">
        <v>5</v>
      </c>
      <c r="B4570" s="689">
        <v>20.9</v>
      </c>
      <c r="C4570" s="689">
        <v>20.7</v>
      </c>
      <c r="D4570" s="689">
        <v>20.8</v>
      </c>
      <c r="E4570" s="689">
        <v>20.7</v>
      </c>
      <c r="F4570" s="689">
        <v>20.9</v>
      </c>
      <c r="G4570" s="693">
        <v>21</v>
      </c>
      <c r="H4570" s="689">
        <v>21.2</v>
      </c>
      <c r="I4570" s="689">
        <v>21.2</v>
      </c>
      <c r="J4570" s="689">
        <v>21.1</v>
      </c>
      <c r="K4570" s="689">
        <v>20.5</v>
      </c>
    </row>
    <row r="4571" spans="1:11">
      <c r="A4571" s="688" t="s">
        <v>4058</v>
      </c>
      <c r="B4571" s="690" t="s">
        <v>4060</v>
      </c>
      <c r="C4571" s="690" t="s">
        <v>4060</v>
      </c>
      <c r="D4571" s="690" t="s">
        <v>4060</v>
      </c>
      <c r="E4571" s="690" t="s">
        <v>4060</v>
      </c>
      <c r="F4571" s="690" t="s">
        <v>4060</v>
      </c>
      <c r="G4571" s="690" t="s">
        <v>4060</v>
      </c>
      <c r="H4571" s="690" t="s">
        <v>4060</v>
      </c>
      <c r="I4571" s="690" t="s">
        <v>4060</v>
      </c>
      <c r="J4571" s="690" t="s">
        <v>4060</v>
      </c>
      <c r="K4571" s="690" t="s">
        <v>4060</v>
      </c>
    </row>
    <row r="4572" spans="1:11">
      <c r="A4572" s="688" t="s">
        <v>7</v>
      </c>
      <c r="B4572" s="615">
        <v>21</v>
      </c>
      <c r="C4572" s="691">
        <v>20.6</v>
      </c>
      <c r="D4572" s="691">
        <v>20.3</v>
      </c>
      <c r="E4572" s="691">
        <v>20.6</v>
      </c>
      <c r="F4572" s="691">
        <v>20.5</v>
      </c>
      <c r="G4572" s="691">
        <v>20.9</v>
      </c>
      <c r="H4572" s="691">
        <v>20.9</v>
      </c>
      <c r="I4572" s="691">
        <v>20.5</v>
      </c>
      <c r="J4572" s="691">
        <v>19.8</v>
      </c>
      <c r="K4572" s="691">
        <v>20.2</v>
      </c>
    </row>
    <row r="4573" spans="1:11">
      <c r="A4573" s="688" t="s">
        <v>8</v>
      </c>
      <c r="B4573" s="689">
        <v>20.3</v>
      </c>
      <c r="C4573" s="689">
        <v>20.5</v>
      </c>
      <c r="D4573" s="689">
        <v>20.5</v>
      </c>
      <c r="E4573" s="689">
        <v>20.5</v>
      </c>
      <c r="F4573" s="689">
        <v>20.9</v>
      </c>
      <c r="G4573" s="693">
        <v>21</v>
      </c>
      <c r="H4573" s="689">
        <v>21.3</v>
      </c>
      <c r="I4573" s="689">
        <v>21.1</v>
      </c>
      <c r="J4573" s="693">
        <v>21</v>
      </c>
      <c r="K4573" s="689">
        <v>21.1</v>
      </c>
    </row>
    <row r="4574" spans="1:11">
      <c r="A4574" s="688" t="s">
        <v>6</v>
      </c>
      <c r="B4574" s="691">
        <v>22.4</v>
      </c>
      <c r="C4574" s="691">
        <v>22.3</v>
      </c>
      <c r="D4574" s="615">
        <v>22</v>
      </c>
      <c r="E4574" s="691">
        <v>22.2</v>
      </c>
      <c r="F4574" s="691">
        <v>22.3</v>
      </c>
      <c r="G4574" s="691">
        <v>22.4</v>
      </c>
      <c r="H4574" s="691">
        <v>22.5</v>
      </c>
      <c r="I4574" s="691">
        <v>21.8</v>
      </c>
      <c r="J4574" s="615">
        <v>22</v>
      </c>
      <c r="K4574" s="615">
        <v>22</v>
      </c>
    </row>
    <row r="4575" spans="1:11">
      <c r="A4575" s="688" t="s">
        <v>9</v>
      </c>
      <c r="B4575" s="691">
        <v>20.9</v>
      </c>
      <c r="C4575" s="691">
        <v>21.5</v>
      </c>
      <c r="D4575" s="691">
        <v>21.1</v>
      </c>
      <c r="E4575" s="691">
        <v>20.7</v>
      </c>
      <c r="F4575" s="691">
        <v>21.3</v>
      </c>
      <c r="G4575" s="691">
        <v>21.5</v>
      </c>
      <c r="H4575" s="691">
        <v>21.7</v>
      </c>
      <c r="I4575" s="691">
        <v>21.8</v>
      </c>
      <c r="J4575" s="691">
        <v>21.9</v>
      </c>
      <c r="K4575" s="691">
        <v>20.9</v>
      </c>
    </row>
    <row r="4576" spans="1:11">
      <c r="A4576" s="688" t="s">
        <v>10</v>
      </c>
      <c r="B4576" s="689">
        <v>21.7</v>
      </c>
      <c r="C4576" s="689">
        <v>21.6</v>
      </c>
      <c r="D4576" s="689">
        <v>21.2</v>
      </c>
      <c r="E4576" s="689">
        <v>21.7</v>
      </c>
      <c r="F4576" s="689">
        <v>21.5</v>
      </c>
      <c r="G4576" s="689">
        <v>21.9</v>
      </c>
      <c r="H4576" s="693">
        <v>22</v>
      </c>
      <c r="I4576" s="689">
        <v>20.9</v>
      </c>
      <c r="J4576" s="689">
        <v>21.3</v>
      </c>
      <c r="K4576" s="689">
        <v>21.4</v>
      </c>
    </row>
    <row r="4577" spans="1:11">
      <c r="A4577" s="688" t="s">
        <v>11</v>
      </c>
      <c r="B4577" s="691">
        <v>18.2</v>
      </c>
      <c r="C4577" s="691">
        <v>18.100000000000001</v>
      </c>
      <c r="D4577" s="691">
        <v>17.7</v>
      </c>
      <c r="E4577" s="691">
        <v>18.100000000000001</v>
      </c>
      <c r="F4577" s="615">
        <v>18</v>
      </c>
      <c r="G4577" s="691">
        <v>18.2</v>
      </c>
      <c r="H4577" s="691">
        <v>18.399999999999999</v>
      </c>
      <c r="I4577" s="691">
        <v>17.7</v>
      </c>
      <c r="J4577" s="615">
        <v>17</v>
      </c>
      <c r="K4577" s="691">
        <v>17.8</v>
      </c>
    </row>
    <row r="4578" spans="1:11">
      <c r="A4578" s="688" t="s">
        <v>12</v>
      </c>
      <c r="B4578" s="689">
        <v>17.5</v>
      </c>
      <c r="C4578" s="689">
        <v>17.399999999999999</v>
      </c>
      <c r="D4578" s="689">
        <v>17.5</v>
      </c>
      <c r="E4578" s="689">
        <v>17.5</v>
      </c>
      <c r="F4578" s="689">
        <v>17.600000000000001</v>
      </c>
      <c r="G4578" s="689">
        <v>17.600000000000001</v>
      </c>
      <c r="H4578" s="693">
        <v>18</v>
      </c>
      <c r="I4578" s="689">
        <v>17.7</v>
      </c>
      <c r="J4578" s="689">
        <v>16.2</v>
      </c>
      <c r="K4578" s="689">
        <v>17.3</v>
      </c>
    </row>
    <row r="4579" spans="1:11">
      <c r="A4579" s="688" t="s">
        <v>13</v>
      </c>
      <c r="B4579" s="689">
        <v>21.4</v>
      </c>
      <c r="C4579" s="689">
        <v>20.9</v>
      </c>
      <c r="D4579" s="689">
        <v>21.4</v>
      </c>
      <c r="E4579" s="689">
        <v>20.9</v>
      </c>
      <c r="F4579" s="689">
        <v>21.9</v>
      </c>
      <c r="G4579" s="689">
        <v>21.3</v>
      </c>
      <c r="H4579" s="689">
        <v>21.9</v>
      </c>
      <c r="I4579" s="689">
        <v>20.6</v>
      </c>
      <c r="J4579" s="689">
        <v>22.4</v>
      </c>
      <c r="K4579" s="689">
        <v>22.1</v>
      </c>
    </row>
    <row r="4580" spans="1:11">
      <c r="A4580" s="688" t="s">
        <v>14</v>
      </c>
      <c r="B4580" s="691">
        <v>17.8</v>
      </c>
      <c r="C4580" s="691">
        <v>17.8</v>
      </c>
      <c r="D4580" s="691">
        <v>17.5</v>
      </c>
      <c r="E4580" s="691">
        <v>17.7</v>
      </c>
      <c r="F4580" s="691">
        <v>17.899999999999999</v>
      </c>
      <c r="G4580" s="615">
        <v>18</v>
      </c>
      <c r="H4580" s="691">
        <v>18.3</v>
      </c>
      <c r="I4580" s="691">
        <v>17.399999999999999</v>
      </c>
      <c r="J4580" s="691">
        <v>16.8</v>
      </c>
      <c r="K4580" s="691">
        <v>17.7</v>
      </c>
    </row>
    <row r="4581" spans="1:11">
      <c r="A4581" s="688" t="s">
        <v>15</v>
      </c>
      <c r="B4581" s="689">
        <v>21.4</v>
      </c>
      <c r="C4581" s="693">
        <v>21</v>
      </c>
      <c r="D4581" s="689">
        <v>20.9</v>
      </c>
      <c r="E4581" s="689">
        <v>21.3</v>
      </c>
      <c r="F4581" s="689">
        <v>20.7</v>
      </c>
      <c r="G4581" s="689">
        <v>21.1</v>
      </c>
      <c r="H4581" s="689">
        <v>21.4</v>
      </c>
      <c r="I4581" s="689">
        <v>20.9</v>
      </c>
      <c r="J4581" s="689">
        <v>21.3</v>
      </c>
      <c r="K4581" s="689">
        <v>21.5</v>
      </c>
    </row>
    <row r="4582" spans="1:11">
      <c r="A4582" s="688" t="s">
        <v>16</v>
      </c>
      <c r="B4582" s="689">
        <v>20.8</v>
      </c>
      <c r="C4582" s="689">
        <v>20.8</v>
      </c>
      <c r="D4582" s="689">
        <v>20.8</v>
      </c>
      <c r="E4582" s="689">
        <v>21.3</v>
      </c>
      <c r="F4582" s="689">
        <v>21.1</v>
      </c>
      <c r="G4582" s="689">
        <v>21.2</v>
      </c>
      <c r="H4582" s="689">
        <v>21.3</v>
      </c>
      <c r="I4582" s="689">
        <v>20.9</v>
      </c>
      <c r="J4582" s="689">
        <v>20.9</v>
      </c>
      <c r="K4582" s="689">
        <v>21.1</v>
      </c>
    </row>
    <row r="4583" spans="1:11">
      <c r="A4583" s="688" t="s">
        <v>17</v>
      </c>
      <c r="B4583" s="691">
        <v>20.6</v>
      </c>
      <c r="C4583" s="691">
        <v>20.7</v>
      </c>
      <c r="D4583" s="691">
        <v>20.5</v>
      </c>
      <c r="E4583" s="691">
        <v>20.6</v>
      </c>
      <c r="F4583" s="691">
        <v>20.7</v>
      </c>
      <c r="G4583" s="691">
        <v>20.7</v>
      </c>
      <c r="H4583" s="691">
        <v>20.9</v>
      </c>
      <c r="I4583" s="691">
        <v>20.3</v>
      </c>
      <c r="J4583" s="691">
        <v>20.3</v>
      </c>
      <c r="K4583" s="691">
        <v>20.5</v>
      </c>
    </row>
    <row r="4584" spans="1:11">
      <c r="A4584" s="688" t="s">
        <v>18</v>
      </c>
      <c r="B4584" s="691">
        <v>20.9</v>
      </c>
      <c r="C4584" s="615">
        <v>21</v>
      </c>
      <c r="D4584" s="691">
        <v>21.1</v>
      </c>
      <c r="E4584" s="691">
        <v>21.2</v>
      </c>
      <c r="F4584" s="691">
        <v>21.3</v>
      </c>
      <c r="G4584" s="691">
        <v>21.4</v>
      </c>
      <c r="H4584" s="691">
        <v>21.6</v>
      </c>
      <c r="I4584" s="691">
        <v>21.8</v>
      </c>
      <c r="J4584" s="691">
        <v>21.7</v>
      </c>
      <c r="K4584" s="691">
        <v>21.2</v>
      </c>
    </row>
    <row r="4585" spans="1:11">
      <c r="A4585" s="688" t="s">
        <v>19</v>
      </c>
      <c r="B4585" s="689">
        <v>20.8</v>
      </c>
      <c r="C4585" s="689">
        <v>20.8</v>
      </c>
      <c r="D4585" s="689">
        <v>20.5</v>
      </c>
      <c r="E4585" s="689">
        <v>20.9</v>
      </c>
      <c r="F4585" s="689">
        <v>20.8</v>
      </c>
      <c r="G4585" s="689">
        <v>20.9</v>
      </c>
      <c r="H4585" s="693">
        <v>21</v>
      </c>
      <c r="I4585" s="689">
        <v>20.399999999999999</v>
      </c>
      <c r="J4585" s="689">
        <v>20.399999999999999</v>
      </c>
      <c r="K4585" s="689">
        <v>20.5</v>
      </c>
    </row>
    <row r="4586" spans="1:11">
      <c r="A4586" s="688" t="s">
        <v>20</v>
      </c>
      <c r="B4586" s="691">
        <v>18.7</v>
      </c>
      <c r="C4586" s="691">
        <v>18.8</v>
      </c>
      <c r="D4586" s="691">
        <v>18.600000000000001</v>
      </c>
      <c r="E4586" s="615">
        <v>19</v>
      </c>
      <c r="F4586" s="691">
        <v>18.8</v>
      </c>
      <c r="G4586" s="691">
        <v>18.7</v>
      </c>
      <c r="H4586" s="615">
        <v>19</v>
      </c>
      <c r="I4586" s="691">
        <v>17.7</v>
      </c>
      <c r="J4586" s="615">
        <v>17</v>
      </c>
      <c r="K4586" s="691">
        <v>18.3</v>
      </c>
    </row>
    <row r="4587" spans="1:11">
      <c r="A4587" s="688" t="s">
        <v>21</v>
      </c>
      <c r="B4587" s="689">
        <v>20.7</v>
      </c>
      <c r="C4587" s="693">
        <v>21</v>
      </c>
      <c r="D4587" s="689">
        <v>20.9</v>
      </c>
      <c r="E4587" s="689">
        <v>20.9</v>
      </c>
      <c r="F4587" s="689">
        <v>21.2</v>
      </c>
      <c r="G4587" s="689">
        <v>21.2</v>
      </c>
      <c r="H4587" s="689">
        <v>21.4</v>
      </c>
      <c r="I4587" s="689">
        <v>20.9</v>
      </c>
      <c r="J4587" s="689">
        <v>20.9</v>
      </c>
      <c r="K4587" s="689">
        <v>21.2</v>
      </c>
    </row>
    <row r="4588" spans="1:11">
      <c r="A4588" s="688" t="s">
        <v>22</v>
      </c>
      <c r="B4588" s="691">
        <v>17.3</v>
      </c>
      <c r="C4588" s="691">
        <v>17.100000000000001</v>
      </c>
      <c r="D4588" s="615">
        <v>17</v>
      </c>
      <c r="E4588" s="691">
        <v>17.3</v>
      </c>
      <c r="F4588" s="691">
        <v>17.3</v>
      </c>
      <c r="G4588" s="691">
        <v>17.3</v>
      </c>
      <c r="H4588" s="691">
        <v>17.600000000000001</v>
      </c>
      <c r="I4588" s="691">
        <v>16.3</v>
      </c>
      <c r="J4588" s="691">
        <v>15.2</v>
      </c>
      <c r="K4588" s="691">
        <v>16.899999999999999</v>
      </c>
    </row>
    <row r="4589" spans="1:11">
      <c r="A4589" s="688" t="s">
        <v>23</v>
      </c>
      <c r="B4589" s="691">
        <v>20.9</v>
      </c>
      <c r="C4589" s="691">
        <v>21.1</v>
      </c>
      <c r="D4589" s="615">
        <v>21</v>
      </c>
      <c r="E4589" s="691">
        <v>21.1</v>
      </c>
      <c r="F4589" s="691">
        <v>21.2</v>
      </c>
      <c r="G4589" s="691">
        <v>21.2</v>
      </c>
      <c r="H4589" s="691">
        <v>21.7</v>
      </c>
      <c r="I4589" s="615">
        <v>21</v>
      </c>
      <c r="J4589" s="691">
        <v>21.6</v>
      </c>
      <c r="K4589" s="691">
        <v>21.6</v>
      </c>
    </row>
    <row r="4590" spans="1:11">
      <c r="A4590" s="688" t="s">
        <v>24</v>
      </c>
      <c r="B4590" s="689">
        <v>21.8</v>
      </c>
      <c r="C4590" s="689">
        <v>21.9</v>
      </c>
      <c r="D4590" s="689">
        <v>21.7</v>
      </c>
      <c r="E4590" s="689">
        <v>22.1</v>
      </c>
      <c r="F4590" s="689">
        <v>22.1</v>
      </c>
      <c r="G4590" s="689">
        <v>22.2</v>
      </c>
      <c r="H4590" s="689">
        <v>22.3</v>
      </c>
      <c r="I4590" s="689">
        <v>21.6</v>
      </c>
      <c r="J4590" s="689">
        <v>22.2</v>
      </c>
      <c r="K4590" s="689">
        <v>22.1</v>
      </c>
    </row>
    <row r="4591" spans="1:11">
      <c r="A4591" s="688" t="s">
        <v>25</v>
      </c>
      <c r="B4591" s="691">
        <v>17.7</v>
      </c>
      <c r="C4591" s="615">
        <v>18</v>
      </c>
      <c r="D4591" s="691">
        <v>17.8</v>
      </c>
      <c r="E4591" s="691">
        <v>18.100000000000001</v>
      </c>
      <c r="F4591" s="691">
        <v>18.100000000000001</v>
      </c>
      <c r="G4591" s="691">
        <v>18.2</v>
      </c>
      <c r="H4591" s="691">
        <v>18.600000000000001</v>
      </c>
      <c r="I4591" s="691">
        <v>17.8</v>
      </c>
      <c r="J4591" s="615">
        <v>16</v>
      </c>
      <c r="K4591" s="691">
        <v>17.8</v>
      </c>
    </row>
    <row r="4592" spans="1:11">
      <c r="A4592" s="688" t="s">
        <v>26</v>
      </c>
      <c r="B4592" s="689">
        <v>20.3</v>
      </c>
      <c r="C4592" s="689">
        <v>20.3</v>
      </c>
      <c r="D4592" s="689">
        <v>20.2</v>
      </c>
      <c r="E4592" s="689">
        <v>20.5</v>
      </c>
      <c r="F4592" s="689">
        <v>20.3</v>
      </c>
      <c r="G4592" s="689">
        <v>20.5</v>
      </c>
      <c r="H4592" s="689">
        <v>20.6</v>
      </c>
      <c r="I4592" s="689">
        <v>19.7</v>
      </c>
      <c r="J4592" s="689">
        <v>19.899999999999999</v>
      </c>
      <c r="K4592" s="689">
        <v>20.399999999999999</v>
      </c>
    </row>
    <row r="4593" spans="1:11">
      <c r="A4593" s="688" t="s">
        <v>4067</v>
      </c>
      <c r="B4593" s="689">
        <v>20.5</v>
      </c>
      <c r="C4593" s="689">
        <v>20.8</v>
      </c>
      <c r="D4593" s="689">
        <v>20.5</v>
      </c>
      <c r="E4593" s="689">
        <v>20.8</v>
      </c>
      <c r="F4593" s="689">
        <v>20.7</v>
      </c>
      <c r="G4593" s="689">
        <v>20.8</v>
      </c>
      <c r="H4593" s="690" t="s">
        <v>4060</v>
      </c>
      <c r="I4593" s="690" t="s">
        <v>4060</v>
      </c>
      <c r="J4593" s="690" t="s">
        <v>4060</v>
      </c>
      <c r="K4593" s="690" t="s">
        <v>4060</v>
      </c>
    </row>
    <row r="4594" spans="1:11">
      <c r="A4594" s="688" t="s">
        <v>4066</v>
      </c>
      <c r="B4594" s="691">
        <v>20.5</v>
      </c>
      <c r="C4594" s="691">
        <v>20.8</v>
      </c>
      <c r="D4594" s="691">
        <v>20.5</v>
      </c>
      <c r="E4594" s="691">
        <v>20.8</v>
      </c>
      <c r="F4594" s="691">
        <v>20.7</v>
      </c>
      <c r="G4594" s="691">
        <v>20.8</v>
      </c>
      <c r="H4594" s="692" t="s">
        <v>4060</v>
      </c>
      <c r="I4594" s="692" t="s">
        <v>4060</v>
      </c>
      <c r="J4594" s="692" t="s">
        <v>4060</v>
      </c>
      <c r="K4594" s="692" t="s">
        <v>4060</v>
      </c>
    </row>
    <row r="4595" spans="1:11">
      <c r="A4595" s="688" t="s">
        <v>4062</v>
      </c>
      <c r="B4595" s="689">
        <v>21.5</v>
      </c>
      <c r="C4595" s="689">
        <v>21.6</v>
      </c>
      <c r="D4595" s="689">
        <v>21.4</v>
      </c>
      <c r="E4595" s="689">
        <v>21.8</v>
      </c>
      <c r="F4595" s="689">
        <v>21.8</v>
      </c>
      <c r="G4595" s="689">
        <v>21.9</v>
      </c>
      <c r="H4595" s="693">
        <v>22</v>
      </c>
      <c r="I4595" s="689">
        <v>21.7</v>
      </c>
      <c r="J4595" s="693">
        <v>22</v>
      </c>
      <c r="K4595" s="689">
        <v>21.7</v>
      </c>
    </row>
    <row r="4596" spans="1:11">
      <c r="A4596" s="688" t="s">
        <v>27</v>
      </c>
      <c r="B4596" s="689">
        <v>22.3</v>
      </c>
      <c r="C4596" s="689">
        <v>21.9</v>
      </c>
      <c r="D4596" s="689">
        <v>21.6</v>
      </c>
      <c r="E4596" s="693">
        <v>22</v>
      </c>
      <c r="F4596" s="689">
        <v>21.9</v>
      </c>
      <c r="G4596" s="693">
        <v>22</v>
      </c>
      <c r="H4596" s="689">
        <v>22.3</v>
      </c>
      <c r="I4596" s="689">
        <v>21.1</v>
      </c>
      <c r="J4596" s="689">
        <v>21.9</v>
      </c>
      <c r="K4596" s="689">
        <v>21.9</v>
      </c>
    </row>
    <row r="4597" spans="1:11">
      <c r="A4597" s="688" t="s">
        <v>2240</v>
      </c>
      <c r="B4597" s="691">
        <v>18.399999999999999</v>
      </c>
      <c r="C4597" s="691">
        <v>18.7</v>
      </c>
      <c r="D4597" s="691">
        <v>18.399999999999999</v>
      </c>
      <c r="E4597" s="691">
        <v>18.8</v>
      </c>
      <c r="F4597" s="691">
        <v>18.8</v>
      </c>
      <c r="G4597" s="691">
        <v>18.8</v>
      </c>
      <c r="H4597" s="615">
        <v>19</v>
      </c>
      <c r="I4597" s="615">
        <v>18</v>
      </c>
      <c r="J4597" s="691">
        <v>17.399999999999999</v>
      </c>
      <c r="K4597" s="691">
        <v>18.8</v>
      </c>
    </row>
    <row r="4598" spans="1:11">
      <c r="A4598" s="688" t="s">
        <v>29</v>
      </c>
      <c r="B4598" s="691">
        <v>17.399999999999999</v>
      </c>
      <c r="C4598" s="691">
        <v>17.399999999999999</v>
      </c>
      <c r="D4598" s="691">
        <v>17.100000000000001</v>
      </c>
      <c r="E4598" s="691">
        <v>17.399999999999999</v>
      </c>
      <c r="F4598" s="691">
        <v>17.2</v>
      </c>
      <c r="G4598" s="691">
        <v>17.3</v>
      </c>
      <c r="H4598" s="691">
        <v>17.399999999999999</v>
      </c>
      <c r="I4598" s="691">
        <v>16.7</v>
      </c>
      <c r="J4598" s="691">
        <v>15.9</v>
      </c>
      <c r="K4598" s="615">
        <v>17</v>
      </c>
    </row>
    <row r="4599" spans="1:11">
      <c r="A4599" s="688" t="s">
        <v>4059</v>
      </c>
      <c r="B4599" s="691">
        <v>20.6</v>
      </c>
      <c r="C4599" s="691">
        <v>20.9</v>
      </c>
      <c r="D4599" s="691">
        <v>20.6</v>
      </c>
      <c r="E4599" s="691">
        <v>20.8</v>
      </c>
      <c r="F4599" s="691">
        <v>20.8</v>
      </c>
      <c r="G4599" s="691">
        <v>20.9</v>
      </c>
      <c r="H4599" s="692" t="s">
        <v>4060</v>
      </c>
      <c r="I4599" s="692" t="s">
        <v>4060</v>
      </c>
      <c r="J4599" s="692" t="s">
        <v>4060</v>
      </c>
      <c r="K4599" s="692" t="s">
        <v>4060</v>
      </c>
    </row>
    <row r="4600" spans="1:11">
      <c r="A4600" s="688" t="s">
        <v>30</v>
      </c>
      <c r="B4600" s="615">
        <v>21</v>
      </c>
      <c r="C4600" s="691">
        <v>20.8</v>
      </c>
      <c r="D4600" s="691">
        <v>20.6</v>
      </c>
      <c r="E4600" s="691">
        <v>21.3</v>
      </c>
      <c r="F4600" s="691">
        <v>20.9</v>
      </c>
      <c r="G4600" s="691">
        <v>21.4</v>
      </c>
      <c r="H4600" s="691">
        <v>21.2</v>
      </c>
      <c r="I4600" s="691">
        <v>21.4</v>
      </c>
      <c r="J4600" s="691">
        <v>20.7</v>
      </c>
      <c r="K4600" s="691">
        <v>20.9</v>
      </c>
    </row>
    <row r="4601" spans="1:11">
      <c r="A4601" s="688" t="s">
        <v>2324</v>
      </c>
      <c r="B4601" s="689">
        <v>17.100000000000001</v>
      </c>
      <c r="C4601" s="689">
        <v>17.2</v>
      </c>
      <c r="D4601" s="689">
        <v>16.899999999999999</v>
      </c>
      <c r="E4601" s="689">
        <v>16.8</v>
      </c>
      <c r="F4601" s="689">
        <v>17.100000000000001</v>
      </c>
      <c r="G4601" s="689">
        <v>17.100000000000001</v>
      </c>
      <c r="H4601" s="689">
        <v>17.3</v>
      </c>
      <c r="I4601" s="689">
        <v>16.399999999999999</v>
      </c>
      <c r="J4601" s="689">
        <v>14.6</v>
      </c>
      <c r="K4601" s="690" t="s">
        <v>4060</v>
      </c>
    </row>
    <row r="4602" spans="1:11">
      <c r="A4602" s="688" t="s">
        <v>2322</v>
      </c>
      <c r="B4602" s="692" t="s">
        <v>4060</v>
      </c>
      <c r="C4602" s="692" t="s">
        <v>4060</v>
      </c>
      <c r="D4602" s="692" t="s">
        <v>4060</v>
      </c>
      <c r="E4602" s="692" t="s">
        <v>4060</v>
      </c>
      <c r="F4602" s="692" t="s">
        <v>4060</v>
      </c>
      <c r="G4602" s="692" t="s">
        <v>4060</v>
      </c>
      <c r="H4602" s="692" t="s">
        <v>4060</v>
      </c>
      <c r="I4602" s="692" t="s">
        <v>4060</v>
      </c>
      <c r="J4602" s="692" t="s">
        <v>4060</v>
      </c>
      <c r="K4602" s="692" t="s">
        <v>4060</v>
      </c>
    </row>
    <row r="4603" spans="1:11">
      <c r="A4603" s="688" t="s">
        <v>2328</v>
      </c>
      <c r="B4603" s="689">
        <v>16.2</v>
      </c>
      <c r="C4603" s="689">
        <v>16.2</v>
      </c>
      <c r="D4603" s="693">
        <v>16</v>
      </c>
      <c r="E4603" s="689">
        <v>16.3</v>
      </c>
      <c r="F4603" s="689">
        <v>16.399999999999999</v>
      </c>
      <c r="G4603" s="689">
        <v>16.8</v>
      </c>
      <c r="H4603" s="689">
        <v>16.7</v>
      </c>
      <c r="I4603" s="689">
        <v>15.1</v>
      </c>
      <c r="J4603" s="689">
        <v>14.4</v>
      </c>
      <c r="K4603" s="690" t="s">
        <v>4060</v>
      </c>
    </row>
    <row r="4604" spans="1:11">
      <c r="A4604" s="688" t="s">
        <v>2496</v>
      </c>
      <c r="B4604" s="692" t="s">
        <v>4060</v>
      </c>
      <c r="C4604" s="691">
        <v>16.8</v>
      </c>
      <c r="D4604" s="691">
        <v>15.9</v>
      </c>
      <c r="E4604" s="691">
        <v>15.7</v>
      </c>
      <c r="F4604" s="691">
        <v>16.100000000000001</v>
      </c>
      <c r="G4604" s="691">
        <v>16.399999999999999</v>
      </c>
      <c r="H4604" s="691">
        <v>16.399999999999999</v>
      </c>
      <c r="I4604" s="692" t="s">
        <v>4060</v>
      </c>
      <c r="J4604" s="692" t="s">
        <v>4060</v>
      </c>
      <c r="K4604" s="691">
        <v>15.9</v>
      </c>
    </row>
    <row r="4605" spans="1:11">
      <c r="A4605" s="688" t="s">
        <v>2269</v>
      </c>
      <c r="B4605" s="689">
        <v>18.3</v>
      </c>
      <c r="C4605" s="689">
        <v>18.399999999999999</v>
      </c>
      <c r="D4605" s="689">
        <v>17.899999999999999</v>
      </c>
      <c r="E4605" s="689">
        <v>18.399999999999999</v>
      </c>
      <c r="F4605" s="689">
        <v>18.3</v>
      </c>
      <c r="G4605" s="689">
        <v>18.7</v>
      </c>
      <c r="H4605" s="689">
        <v>18.899999999999999</v>
      </c>
      <c r="I4605" s="689">
        <v>17.399999999999999</v>
      </c>
      <c r="J4605" s="689">
        <v>15.6</v>
      </c>
      <c r="K4605" s="689">
        <v>18.600000000000001</v>
      </c>
    </row>
    <row r="4606" spans="1:11">
      <c r="A4606" s="688" t="s">
        <v>2349</v>
      </c>
      <c r="B4606" s="691">
        <v>16.399999999999999</v>
      </c>
      <c r="C4606" s="691">
        <v>16.5</v>
      </c>
      <c r="D4606" s="691">
        <v>16.399999999999999</v>
      </c>
      <c r="E4606" s="691">
        <v>16.7</v>
      </c>
      <c r="F4606" s="691">
        <v>16.5</v>
      </c>
      <c r="G4606" s="691">
        <v>16.7</v>
      </c>
      <c r="H4606" s="691">
        <v>16.8</v>
      </c>
      <c r="I4606" s="691">
        <v>15.7</v>
      </c>
      <c r="J4606" s="691">
        <v>14.4</v>
      </c>
      <c r="K4606" s="691">
        <v>16.100000000000001</v>
      </c>
    </row>
    <row r="4607" spans="1:11">
      <c r="A4607" s="688" t="s">
        <v>2355</v>
      </c>
      <c r="B4607" s="693">
        <v>19</v>
      </c>
      <c r="C4607" s="689">
        <v>18.8</v>
      </c>
      <c r="D4607" s="689">
        <v>18.7</v>
      </c>
      <c r="E4607" s="689">
        <v>18.7</v>
      </c>
      <c r="F4607" s="689">
        <v>18.8</v>
      </c>
      <c r="G4607" s="689">
        <v>19.100000000000001</v>
      </c>
      <c r="H4607" s="689">
        <v>19.2</v>
      </c>
      <c r="I4607" s="690" t="s">
        <v>4060</v>
      </c>
      <c r="J4607" s="690" t="s">
        <v>4060</v>
      </c>
      <c r="K4607" s="690" t="s">
        <v>4060</v>
      </c>
    </row>
    <row r="4608" spans="1:11">
      <c r="A4608" s="688" t="s">
        <v>2357</v>
      </c>
      <c r="B4608" s="692" t="s">
        <v>4060</v>
      </c>
      <c r="C4608" s="691">
        <v>16.100000000000001</v>
      </c>
      <c r="D4608" s="691">
        <v>16.399999999999999</v>
      </c>
      <c r="E4608" s="691">
        <v>16.600000000000001</v>
      </c>
      <c r="F4608" s="691">
        <v>16.8</v>
      </c>
      <c r="G4608" s="691">
        <v>16.7</v>
      </c>
      <c r="H4608" s="691">
        <v>16.8</v>
      </c>
      <c r="I4608" s="692" t="s">
        <v>4060</v>
      </c>
      <c r="J4608" s="692" t="s">
        <v>4060</v>
      </c>
      <c r="K4608" s="692" t="s">
        <v>4060</v>
      </c>
    </row>
    <row r="4609" spans="1:11">
      <c r="A4609" s="688" t="s">
        <v>4070</v>
      </c>
      <c r="B4609" s="690" t="s">
        <v>4060</v>
      </c>
      <c r="C4609" s="690" t="s">
        <v>4060</v>
      </c>
      <c r="D4609" s="690" t="s">
        <v>4060</v>
      </c>
      <c r="E4609" s="689">
        <v>18.399999999999999</v>
      </c>
      <c r="F4609" s="690" t="s">
        <v>4060</v>
      </c>
      <c r="G4609" s="690" t="s">
        <v>4060</v>
      </c>
      <c r="H4609" s="690" t="s">
        <v>4060</v>
      </c>
      <c r="I4609" s="690" t="s">
        <v>4060</v>
      </c>
      <c r="J4609" s="690" t="s">
        <v>4060</v>
      </c>
      <c r="K4609" s="690" t="s">
        <v>4060</v>
      </c>
    </row>
    <row r="4610" spans="1:11">
      <c r="A4610" s="688" t="s">
        <v>2491</v>
      </c>
      <c r="B4610" s="691">
        <v>16.2</v>
      </c>
      <c r="C4610" s="691">
        <v>16.600000000000001</v>
      </c>
      <c r="D4610" s="691">
        <v>16.7</v>
      </c>
      <c r="E4610" s="691">
        <v>16.8</v>
      </c>
      <c r="F4610" s="691">
        <v>16.8</v>
      </c>
      <c r="G4610" s="691">
        <v>16.899999999999999</v>
      </c>
      <c r="H4610" s="692" t="s">
        <v>4060</v>
      </c>
      <c r="I4610" s="692" t="s">
        <v>4060</v>
      </c>
      <c r="J4610" s="692" t="s">
        <v>4060</v>
      </c>
      <c r="K4610" s="692" t="s">
        <v>4060</v>
      </c>
    </row>
    <row r="4611" spans="1:11">
      <c r="A4611" s="688" t="s">
        <v>2343</v>
      </c>
      <c r="B4611" s="690" t="s">
        <v>4060</v>
      </c>
      <c r="C4611" s="690" t="s">
        <v>4060</v>
      </c>
      <c r="D4611" s="690" t="s">
        <v>4060</v>
      </c>
      <c r="E4611" s="690" t="s">
        <v>4060</v>
      </c>
      <c r="F4611" s="690" t="s">
        <v>4060</v>
      </c>
      <c r="G4611" s="690" t="s">
        <v>4060</v>
      </c>
      <c r="H4611" s="690" t="s">
        <v>4060</v>
      </c>
      <c r="I4611" s="690" t="s">
        <v>4060</v>
      </c>
      <c r="J4611" s="690" t="s">
        <v>4060</v>
      </c>
      <c r="K4611" s="690" t="s">
        <v>4060</v>
      </c>
    </row>
    <row r="4612" spans="1:11">
      <c r="A4612" s="688" t="s">
        <v>4071</v>
      </c>
      <c r="B4612" s="692" t="s">
        <v>4060</v>
      </c>
      <c r="C4612" s="692" t="s">
        <v>4060</v>
      </c>
      <c r="D4612" s="692" t="s">
        <v>4060</v>
      </c>
      <c r="E4612" s="692" t="s">
        <v>4060</v>
      </c>
      <c r="F4612" s="692" t="s">
        <v>4060</v>
      </c>
      <c r="G4612" s="692" t="s">
        <v>4060</v>
      </c>
      <c r="H4612" s="692" t="s">
        <v>4060</v>
      </c>
      <c r="I4612" s="692" t="s">
        <v>4060</v>
      </c>
      <c r="J4612" s="692" t="s">
        <v>4060</v>
      </c>
      <c r="K4612" s="692" t="s">
        <v>4060</v>
      </c>
    </row>
    <row r="4613" spans="1:11">
      <c r="A4613" s="688" t="s">
        <v>2489</v>
      </c>
      <c r="B4613" s="690" t="s">
        <v>4060</v>
      </c>
      <c r="C4613" s="690" t="s">
        <v>4060</v>
      </c>
      <c r="D4613" s="689">
        <v>16.7</v>
      </c>
      <c r="E4613" s="689">
        <v>16.7</v>
      </c>
      <c r="F4613" s="693">
        <v>17</v>
      </c>
      <c r="G4613" s="689">
        <v>17.5</v>
      </c>
      <c r="H4613" s="689">
        <v>17.600000000000001</v>
      </c>
      <c r="I4613" s="690" t="s">
        <v>4060</v>
      </c>
      <c r="J4613" s="690" t="s">
        <v>4060</v>
      </c>
      <c r="K4613" s="690" t="s">
        <v>4060</v>
      </c>
    </row>
    <row r="4614" spans="1:11">
      <c r="A4614" s="688" t="s">
        <v>2490</v>
      </c>
      <c r="B4614" s="691">
        <v>16.399999999999999</v>
      </c>
      <c r="C4614" s="691">
        <v>16.3</v>
      </c>
      <c r="D4614" s="615">
        <v>17</v>
      </c>
      <c r="E4614" s="692" t="s">
        <v>4060</v>
      </c>
      <c r="F4614" s="691">
        <v>17.100000000000001</v>
      </c>
      <c r="G4614" s="691">
        <v>17.3</v>
      </c>
      <c r="H4614" s="691">
        <v>18.100000000000001</v>
      </c>
      <c r="I4614" s="692" t="s">
        <v>4060</v>
      </c>
      <c r="J4614" s="692" t="s">
        <v>4060</v>
      </c>
      <c r="K4614" s="692" t="s">
        <v>4060</v>
      </c>
    </row>
    <row r="4616" spans="1:11">
      <c r="A4616" s="683" t="s">
        <v>4233</v>
      </c>
    </row>
    <row r="4617" spans="1:11">
      <c r="A4617" s="683" t="s">
        <v>4060</v>
      </c>
      <c r="B4617" s="682" t="s">
        <v>4234</v>
      </c>
    </row>
    <row r="4619" spans="1:11">
      <c r="A4619" s="682" t="s">
        <v>4248</v>
      </c>
    </row>
    <row r="4620" spans="1:11">
      <c r="A4620" s="682" t="s">
        <v>4210</v>
      </c>
      <c r="B4620" s="683" t="s">
        <v>4211</v>
      </c>
    </row>
    <row r="4621" spans="1:11">
      <c r="A4621" s="682" t="s">
        <v>4212</v>
      </c>
      <c r="B4621" s="682" t="s">
        <v>4213</v>
      </c>
    </row>
    <row r="4623" spans="1:11">
      <c r="A4623" s="683" t="s">
        <v>4214</v>
      </c>
      <c r="C4623" s="682" t="s">
        <v>4215</v>
      </c>
    </row>
    <row r="4624" spans="1:11">
      <c r="A4624" s="683" t="s">
        <v>4216</v>
      </c>
      <c r="C4624" s="682" t="s">
        <v>2967</v>
      </c>
    </row>
    <row r="4625" spans="1:11">
      <c r="A4625" s="683" t="s">
        <v>3893</v>
      </c>
      <c r="C4625" s="682" t="s">
        <v>4217</v>
      </c>
    </row>
    <row r="4626" spans="1:11">
      <c r="A4626" s="683" t="s">
        <v>4218</v>
      </c>
      <c r="C4626" s="682" t="s">
        <v>2993</v>
      </c>
    </row>
    <row r="4628" spans="1:11">
      <c r="A4628" s="684" t="s">
        <v>4220</v>
      </c>
      <c r="B4628" s="685" t="s">
        <v>4221</v>
      </c>
      <c r="C4628" s="685" t="s">
        <v>4222</v>
      </c>
      <c r="D4628" s="685" t="s">
        <v>4223</v>
      </c>
      <c r="E4628" s="685" t="s">
        <v>4224</v>
      </c>
      <c r="F4628" s="685" t="s">
        <v>4225</v>
      </c>
      <c r="G4628" s="685" t="s">
        <v>4226</v>
      </c>
      <c r="H4628" s="685" t="s">
        <v>4227</v>
      </c>
      <c r="I4628" s="685" t="s">
        <v>4228</v>
      </c>
      <c r="J4628" s="685" t="s">
        <v>4229</v>
      </c>
      <c r="K4628" s="685" t="s">
        <v>4230</v>
      </c>
    </row>
    <row r="4629" spans="1:11">
      <c r="A4629" s="686" t="s">
        <v>4231</v>
      </c>
      <c r="B4629" s="687" t="s">
        <v>4232</v>
      </c>
      <c r="C4629" s="687" t="s">
        <v>4232</v>
      </c>
      <c r="D4629" s="687" t="s">
        <v>4232</v>
      </c>
      <c r="E4629" s="687" t="s">
        <v>4232</v>
      </c>
      <c r="F4629" s="687" t="s">
        <v>4232</v>
      </c>
      <c r="G4629" s="687" t="s">
        <v>4232</v>
      </c>
      <c r="H4629" s="687" t="s">
        <v>4232</v>
      </c>
      <c r="I4629" s="687" t="s">
        <v>4232</v>
      </c>
      <c r="J4629" s="687" t="s">
        <v>4232</v>
      </c>
      <c r="K4629" s="687" t="s">
        <v>4232</v>
      </c>
    </row>
    <row r="4630" spans="1:11">
      <c r="A4630" s="688" t="s">
        <v>2269</v>
      </c>
      <c r="B4630" s="691">
        <v>17.5</v>
      </c>
      <c r="C4630" s="691">
        <v>17.600000000000001</v>
      </c>
      <c r="D4630" s="691">
        <v>17.100000000000001</v>
      </c>
      <c r="E4630" s="691">
        <v>17.600000000000001</v>
      </c>
      <c r="F4630" s="691">
        <v>17.5</v>
      </c>
      <c r="G4630" s="691">
        <v>17.8</v>
      </c>
      <c r="H4630" s="691">
        <v>18.100000000000001</v>
      </c>
      <c r="I4630" s="691">
        <v>16.600000000000001</v>
      </c>
      <c r="J4630" s="691">
        <v>14.8</v>
      </c>
      <c r="K4630" s="691">
        <v>17.7</v>
      </c>
    </row>
    <row r="4631" spans="1:11">
      <c r="A4631" s="688" t="s">
        <v>2489</v>
      </c>
      <c r="B4631" s="692" t="s">
        <v>4060</v>
      </c>
      <c r="C4631" s="692" t="s">
        <v>4060</v>
      </c>
      <c r="D4631" s="615">
        <v>16</v>
      </c>
      <c r="E4631" s="615">
        <v>16</v>
      </c>
      <c r="F4631" s="691">
        <v>16.3</v>
      </c>
      <c r="G4631" s="691">
        <v>16.8</v>
      </c>
      <c r="H4631" s="691">
        <v>16.899999999999999</v>
      </c>
      <c r="I4631" s="692" t="s">
        <v>4060</v>
      </c>
      <c r="J4631" s="692" t="s">
        <v>4060</v>
      </c>
      <c r="K4631" s="692" t="s">
        <v>4060</v>
      </c>
    </row>
    <row r="4632" spans="1:11">
      <c r="A4632" s="688" t="s">
        <v>2490</v>
      </c>
      <c r="B4632" s="689">
        <v>15.7</v>
      </c>
      <c r="C4632" s="689">
        <v>15.6</v>
      </c>
      <c r="D4632" s="689">
        <v>16.3</v>
      </c>
      <c r="E4632" s="690" t="s">
        <v>4060</v>
      </c>
      <c r="F4632" s="689">
        <v>16.399999999999999</v>
      </c>
      <c r="G4632" s="689">
        <v>16.600000000000001</v>
      </c>
      <c r="H4632" s="689">
        <v>17.399999999999999</v>
      </c>
      <c r="I4632" s="690" t="s">
        <v>4060</v>
      </c>
      <c r="J4632" s="690" t="s">
        <v>4060</v>
      </c>
      <c r="K4632" s="690" t="s">
        <v>4060</v>
      </c>
    </row>
    <row r="4633" spans="1:11">
      <c r="A4633" s="688" t="s">
        <v>2491</v>
      </c>
      <c r="B4633" s="689">
        <v>15.6</v>
      </c>
      <c r="C4633" s="689">
        <v>15.9</v>
      </c>
      <c r="D4633" s="693">
        <v>16</v>
      </c>
      <c r="E4633" s="689">
        <v>16.100000000000001</v>
      </c>
      <c r="F4633" s="689">
        <v>16.100000000000001</v>
      </c>
      <c r="G4633" s="689">
        <v>16.2</v>
      </c>
      <c r="H4633" s="690" t="s">
        <v>4060</v>
      </c>
      <c r="I4633" s="690" t="s">
        <v>4060</v>
      </c>
      <c r="J4633" s="690" t="s">
        <v>4060</v>
      </c>
      <c r="K4633" s="690" t="s">
        <v>4060</v>
      </c>
    </row>
    <row r="4634" spans="1:11">
      <c r="A4634" s="688" t="s">
        <v>0</v>
      </c>
      <c r="B4634" s="689">
        <v>19.7</v>
      </c>
      <c r="C4634" s="689">
        <v>19.899999999999999</v>
      </c>
      <c r="D4634" s="689">
        <v>19.7</v>
      </c>
      <c r="E4634" s="693">
        <v>20</v>
      </c>
      <c r="F4634" s="689">
        <v>20.100000000000001</v>
      </c>
      <c r="G4634" s="689">
        <v>20.100000000000001</v>
      </c>
      <c r="H4634" s="689">
        <v>20.399999999999999</v>
      </c>
      <c r="I4634" s="689">
        <v>19.3</v>
      </c>
      <c r="J4634" s="689">
        <v>20.2</v>
      </c>
      <c r="K4634" s="689">
        <v>20.100000000000001</v>
      </c>
    </row>
    <row r="4635" spans="1:11">
      <c r="A4635" s="688" t="s">
        <v>1</v>
      </c>
      <c r="B4635" s="691">
        <v>16.2</v>
      </c>
      <c r="C4635" s="691">
        <v>15.9</v>
      </c>
      <c r="D4635" s="691">
        <v>15.9</v>
      </c>
      <c r="E4635" s="691">
        <v>16.100000000000001</v>
      </c>
      <c r="F4635" s="615">
        <v>16</v>
      </c>
      <c r="G4635" s="691">
        <v>16.100000000000001</v>
      </c>
      <c r="H4635" s="691">
        <v>16.2</v>
      </c>
      <c r="I4635" s="691">
        <v>15.1</v>
      </c>
      <c r="J4635" s="691">
        <v>13.7</v>
      </c>
      <c r="K4635" s="691">
        <v>15.5</v>
      </c>
    </row>
    <row r="4636" spans="1:11">
      <c r="A4636" s="688" t="s">
        <v>2</v>
      </c>
      <c r="B4636" s="691">
        <v>19.100000000000001</v>
      </c>
      <c r="C4636" s="691">
        <v>19.399999999999999</v>
      </c>
      <c r="D4636" s="691">
        <v>19.399999999999999</v>
      </c>
      <c r="E4636" s="691">
        <v>19.5</v>
      </c>
      <c r="F4636" s="691">
        <v>19.5</v>
      </c>
      <c r="G4636" s="691">
        <v>19.399999999999999</v>
      </c>
      <c r="H4636" s="691">
        <v>19.7</v>
      </c>
      <c r="I4636" s="691">
        <v>19.8</v>
      </c>
      <c r="J4636" s="691">
        <v>19.600000000000001</v>
      </c>
      <c r="K4636" s="691">
        <v>19.399999999999999</v>
      </c>
    </row>
    <row r="4637" spans="1:11">
      <c r="A4637" s="688" t="s">
        <v>3</v>
      </c>
      <c r="B4637" s="689">
        <v>19.5</v>
      </c>
      <c r="C4637" s="689">
        <v>19.7</v>
      </c>
      <c r="D4637" s="689">
        <v>19.399999999999999</v>
      </c>
      <c r="E4637" s="689">
        <v>19.600000000000001</v>
      </c>
      <c r="F4637" s="689">
        <v>19.600000000000001</v>
      </c>
      <c r="G4637" s="689">
        <v>19.5</v>
      </c>
      <c r="H4637" s="689">
        <v>19.8</v>
      </c>
      <c r="I4637" s="689">
        <v>19.5</v>
      </c>
      <c r="J4637" s="689">
        <v>19.3</v>
      </c>
      <c r="K4637" s="689">
        <v>19.100000000000001</v>
      </c>
    </row>
    <row r="4638" spans="1:11">
      <c r="A4638" s="688" t="s">
        <v>4061</v>
      </c>
      <c r="B4638" s="691">
        <v>19.5</v>
      </c>
      <c r="C4638" s="691">
        <v>19.7</v>
      </c>
      <c r="D4638" s="691">
        <v>19.399999999999999</v>
      </c>
      <c r="E4638" s="691">
        <v>19.600000000000001</v>
      </c>
      <c r="F4638" s="691">
        <v>19.600000000000001</v>
      </c>
      <c r="G4638" s="691">
        <v>19.5</v>
      </c>
      <c r="H4638" s="691">
        <v>19.8</v>
      </c>
      <c r="I4638" s="691">
        <v>19.5</v>
      </c>
      <c r="J4638" s="691">
        <v>19.3</v>
      </c>
      <c r="K4638" s="691">
        <v>19.100000000000001</v>
      </c>
    </row>
    <row r="4639" spans="1:11">
      <c r="A4639" s="688" t="s">
        <v>4</v>
      </c>
      <c r="B4639" s="689">
        <v>18.2</v>
      </c>
      <c r="C4639" s="689">
        <v>18.100000000000001</v>
      </c>
      <c r="D4639" s="689">
        <v>18.3</v>
      </c>
      <c r="E4639" s="689">
        <v>18.399999999999999</v>
      </c>
      <c r="F4639" s="689">
        <v>18.399999999999999</v>
      </c>
      <c r="G4639" s="689">
        <v>18.399999999999999</v>
      </c>
      <c r="H4639" s="689">
        <v>18.7</v>
      </c>
      <c r="I4639" s="689">
        <v>18.8</v>
      </c>
      <c r="J4639" s="689">
        <v>17.5</v>
      </c>
      <c r="K4639" s="689">
        <v>18.2</v>
      </c>
    </row>
    <row r="4640" spans="1:11">
      <c r="A4640" s="688" t="s">
        <v>4062</v>
      </c>
      <c r="B4640" s="691">
        <v>20.6</v>
      </c>
      <c r="C4640" s="691">
        <v>20.7</v>
      </c>
      <c r="D4640" s="691">
        <v>20.6</v>
      </c>
      <c r="E4640" s="691">
        <v>20.9</v>
      </c>
      <c r="F4640" s="691">
        <v>20.9</v>
      </c>
      <c r="G4640" s="691">
        <v>21.1</v>
      </c>
      <c r="H4640" s="691">
        <v>21.2</v>
      </c>
      <c r="I4640" s="691">
        <v>20.8</v>
      </c>
      <c r="J4640" s="691">
        <v>21.2</v>
      </c>
      <c r="K4640" s="691">
        <v>20.9</v>
      </c>
    </row>
    <row r="4641" spans="1:11">
      <c r="A4641" s="688" t="s">
        <v>4063</v>
      </c>
      <c r="B4641" s="691">
        <v>19.8</v>
      </c>
      <c r="C4641" s="691">
        <v>20.100000000000001</v>
      </c>
      <c r="D4641" s="691">
        <v>19.7</v>
      </c>
      <c r="E4641" s="615">
        <v>20</v>
      </c>
      <c r="F4641" s="691">
        <v>19.899999999999999</v>
      </c>
      <c r="G4641" s="615">
        <v>20</v>
      </c>
      <c r="H4641" s="692" t="s">
        <v>4060</v>
      </c>
      <c r="I4641" s="692" t="s">
        <v>4060</v>
      </c>
      <c r="J4641" s="692" t="s">
        <v>4060</v>
      </c>
      <c r="K4641" s="692" t="s">
        <v>4060</v>
      </c>
    </row>
    <row r="4642" spans="1:11">
      <c r="A4642" s="688" t="s">
        <v>4064</v>
      </c>
      <c r="B4642" s="691">
        <v>19.7</v>
      </c>
      <c r="C4642" s="691">
        <v>19.7</v>
      </c>
      <c r="D4642" s="691">
        <v>19.7</v>
      </c>
      <c r="E4642" s="691">
        <v>19.8</v>
      </c>
      <c r="F4642" s="691">
        <v>19.7</v>
      </c>
      <c r="G4642" s="691">
        <v>19.8</v>
      </c>
      <c r="H4642" s="615">
        <v>20</v>
      </c>
      <c r="I4642" s="691">
        <v>19.2</v>
      </c>
      <c r="J4642" s="691">
        <v>19.100000000000001</v>
      </c>
      <c r="K4642" s="691">
        <v>19.399999999999999</v>
      </c>
    </row>
    <row r="4643" spans="1:11">
      <c r="A4643" s="688" t="s">
        <v>4065</v>
      </c>
      <c r="B4643" s="689">
        <v>19.7</v>
      </c>
      <c r="C4643" s="693">
        <v>20</v>
      </c>
      <c r="D4643" s="689">
        <v>19.7</v>
      </c>
      <c r="E4643" s="693">
        <v>20</v>
      </c>
      <c r="F4643" s="689">
        <v>19.899999999999999</v>
      </c>
      <c r="G4643" s="693">
        <v>20</v>
      </c>
      <c r="H4643" s="690" t="s">
        <v>4060</v>
      </c>
      <c r="I4643" s="690" t="s">
        <v>4060</v>
      </c>
      <c r="J4643" s="690" t="s">
        <v>4060</v>
      </c>
      <c r="K4643" s="690" t="s">
        <v>4060</v>
      </c>
    </row>
    <row r="4644" spans="1:11">
      <c r="A4644" s="688" t="s">
        <v>4066</v>
      </c>
      <c r="B4644" s="689">
        <v>19.8</v>
      </c>
      <c r="C4644" s="689">
        <v>20.100000000000001</v>
      </c>
      <c r="D4644" s="689">
        <v>19.7</v>
      </c>
      <c r="E4644" s="693">
        <v>20</v>
      </c>
      <c r="F4644" s="689">
        <v>19.899999999999999</v>
      </c>
      <c r="G4644" s="693">
        <v>20</v>
      </c>
      <c r="H4644" s="690" t="s">
        <v>4060</v>
      </c>
      <c r="I4644" s="690" t="s">
        <v>4060</v>
      </c>
      <c r="J4644" s="690" t="s">
        <v>4060</v>
      </c>
      <c r="K4644" s="690" t="s">
        <v>4060</v>
      </c>
    </row>
    <row r="4645" spans="1:11">
      <c r="A4645" s="688" t="s">
        <v>4067</v>
      </c>
      <c r="B4645" s="691">
        <v>19.7</v>
      </c>
      <c r="C4645" s="615">
        <v>20</v>
      </c>
      <c r="D4645" s="691">
        <v>19.7</v>
      </c>
      <c r="E4645" s="615">
        <v>20</v>
      </c>
      <c r="F4645" s="691">
        <v>19.899999999999999</v>
      </c>
      <c r="G4645" s="615">
        <v>20</v>
      </c>
      <c r="H4645" s="692" t="s">
        <v>4060</v>
      </c>
      <c r="I4645" s="692" t="s">
        <v>4060</v>
      </c>
      <c r="J4645" s="692" t="s">
        <v>4060</v>
      </c>
      <c r="K4645" s="692" t="s">
        <v>4060</v>
      </c>
    </row>
    <row r="4646" spans="1:11">
      <c r="A4646" s="688" t="s">
        <v>4068</v>
      </c>
      <c r="B4646" s="691">
        <v>20.399999999999999</v>
      </c>
      <c r="C4646" s="692" t="s">
        <v>4060</v>
      </c>
      <c r="D4646" s="692" t="s">
        <v>4060</v>
      </c>
      <c r="E4646" s="692" t="s">
        <v>4060</v>
      </c>
      <c r="F4646" s="692" t="s">
        <v>4060</v>
      </c>
      <c r="G4646" s="692" t="s">
        <v>4060</v>
      </c>
      <c r="H4646" s="692" t="s">
        <v>4060</v>
      </c>
      <c r="I4646" s="692" t="s">
        <v>4060</v>
      </c>
      <c r="J4646" s="692" t="s">
        <v>4060</v>
      </c>
      <c r="K4646" s="692" t="s">
        <v>4060</v>
      </c>
    </row>
    <row r="4647" spans="1:11">
      <c r="A4647" s="688" t="s">
        <v>4069</v>
      </c>
      <c r="B4647" s="690" t="s">
        <v>4060</v>
      </c>
      <c r="C4647" s="689">
        <v>20.3</v>
      </c>
      <c r="D4647" s="693">
        <v>20</v>
      </c>
      <c r="E4647" s="689">
        <v>20.3</v>
      </c>
      <c r="F4647" s="689">
        <v>20.3</v>
      </c>
      <c r="G4647" s="689">
        <v>20.399999999999999</v>
      </c>
      <c r="H4647" s="689">
        <v>20.6</v>
      </c>
      <c r="I4647" s="689">
        <v>19.899999999999999</v>
      </c>
      <c r="J4647" s="693">
        <v>20</v>
      </c>
      <c r="K4647" s="693">
        <v>20</v>
      </c>
    </row>
    <row r="4648" spans="1:11">
      <c r="A4648" s="688" t="s">
        <v>5</v>
      </c>
      <c r="B4648" s="691">
        <v>20.100000000000001</v>
      </c>
      <c r="C4648" s="691">
        <v>19.899999999999999</v>
      </c>
      <c r="D4648" s="615">
        <v>20</v>
      </c>
      <c r="E4648" s="615">
        <v>20</v>
      </c>
      <c r="F4648" s="691">
        <v>20.100000000000001</v>
      </c>
      <c r="G4648" s="691">
        <v>20.2</v>
      </c>
      <c r="H4648" s="691">
        <v>20.399999999999999</v>
      </c>
      <c r="I4648" s="691">
        <v>20.399999999999999</v>
      </c>
      <c r="J4648" s="691">
        <v>20.3</v>
      </c>
      <c r="K4648" s="691">
        <v>19.7</v>
      </c>
    </row>
    <row r="4649" spans="1:11">
      <c r="A4649" s="688" t="s">
        <v>6</v>
      </c>
      <c r="B4649" s="689">
        <v>21.6</v>
      </c>
      <c r="C4649" s="689">
        <v>21.5</v>
      </c>
      <c r="D4649" s="689">
        <v>21.2</v>
      </c>
      <c r="E4649" s="689">
        <v>21.4</v>
      </c>
      <c r="F4649" s="689">
        <v>21.5</v>
      </c>
      <c r="G4649" s="689">
        <v>21.6</v>
      </c>
      <c r="H4649" s="689">
        <v>21.7</v>
      </c>
      <c r="I4649" s="693">
        <v>21</v>
      </c>
      <c r="J4649" s="689">
        <v>21.2</v>
      </c>
      <c r="K4649" s="689">
        <v>21.2</v>
      </c>
    </row>
    <row r="4650" spans="1:11">
      <c r="A4650" s="688" t="s">
        <v>4058</v>
      </c>
      <c r="B4650" s="692" t="s">
        <v>4060</v>
      </c>
      <c r="C4650" s="692" t="s">
        <v>4060</v>
      </c>
      <c r="D4650" s="692" t="s">
        <v>4060</v>
      </c>
      <c r="E4650" s="692" t="s">
        <v>4060</v>
      </c>
      <c r="F4650" s="692" t="s">
        <v>4060</v>
      </c>
      <c r="G4650" s="692" t="s">
        <v>4060</v>
      </c>
      <c r="H4650" s="692" t="s">
        <v>4060</v>
      </c>
      <c r="I4650" s="692" t="s">
        <v>4060</v>
      </c>
      <c r="J4650" s="692" t="s">
        <v>4060</v>
      </c>
      <c r="K4650" s="692" t="s">
        <v>4060</v>
      </c>
    </row>
    <row r="4651" spans="1:11">
      <c r="A4651" s="688" t="s">
        <v>2496</v>
      </c>
      <c r="B4651" s="690" t="s">
        <v>4060</v>
      </c>
      <c r="C4651" s="689">
        <v>16.100000000000001</v>
      </c>
      <c r="D4651" s="689">
        <v>15.3</v>
      </c>
      <c r="E4651" s="693">
        <v>15</v>
      </c>
      <c r="F4651" s="689">
        <v>15.4</v>
      </c>
      <c r="G4651" s="689">
        <v>15.7</v>
      </c>
      <c r="H4651" s="689">
        <v>15.7</v>
      </c>
      <c r="I4651" s="690" t="s">
        <v>4060</v>
      </c>
      <c r="J4651" s="690" t="s">
        <v>4060</v>
      </c>
      <c r="K4651" s="689">
        <v>15.2</v>
      </c>
    </row>
    <row r="4652" spans="1:11">
      <c r="A4652" s="688" t="s">
        <v>7</v>
      </c>
      <c r="B4652" s="689">
        <v>20.2</v>
      </c>
      <c r="C4652" s="689">
        <v>19.8</v>
      </c>
      <c r="D4652" s="689">
        <v>19.5</v>
      </c>
      <c r="E4652" s="689">
        <v>19.8</v>
      </c>
      <c r="F4652" s="689">
        <v>19.7</v>
      </c>
      <c r="G4652" s="689">
        <v>20.100000000000001</v>
      </c>
      <c r="H4652" s="689">
        <v>20.100000000000001</v>
      </c>
      <c r="I4652" s="689">
        <v>19.7</v>
      </c>
      <c r="J4652" s="689">
        <v>19.100000000000001</v>
      </c>
      <c r="K4652" s="689">
        <v>19.399999999999999</v>
      </c>
    </row>
    <row r="4653" spans="1:11">
      <c r="A4653" s="688" t="s">
        <v>8</v>
      </c>
      <c r="B4653" s="691">
        <v>19.5</v>
      </c>
      <c r="C4653" s="691">
        <v>19.600000000000001</v>
      </c>
      <c r="D4653" s="691">
        <v>19.600000000000001</v>
      </c>
      <c r="E4653" s="691">
        <v>19.7</v>
      </c>
      <c r="F4653" s="691">
        <v>20.100000000000001</v>
      </c>
      <c r="G4653" s="691">
        <v>20.100000000000001</v>
      </c>
      <c r="H4653" s="691">
        <v>20.399999999999999</v>
      </c>
      <c r="I4653" s="691">
        <v>20.3</v>
      </c>
      <c r="J4653" s="691">
        <v>20.2</v>
      </c>
      <c r="K4653" s="691">
        <v>20.3</v>
      </c>
    </row>
    <row r="4654" spans="1:11">
      <c r="A4654" s="688" t="s">
        <v>9</v>
      </c>
      <c r="B4654" s="693">
        <v>20</v>
      </c>
      <c r="C4654" s="689">
        <v>20.6</v>
      </c>
      <c r="D4654" s="689">
        <v>20.3</v>
      </c>
      <c r="E4654" s="689">
        <v>19.899999999999999</v>
      </c>
      <c r="F4654" s="689">
        <v>20.399999999999999</v>
      </c>
      <c r="G4654" s="689">
        <v>20.6</v>
      </c>
      <c r="H4654" s="689">
        <v>20.8</v>
      </c>
      <c r="I4654" s="689">
        <v>20.9</v>
      </c>
      <c r="J4654" s="689">
        <v>21.1</v>
      </c>
      <c r="K4654" s="689">
        <v>20.100000000000001</v>
      </c>
    </row>
    <row r="4655" spans="1:11">
      <c r="A4655" s="688" t="s">
        <v>10</v>
      </c>
      <c r="B4655" s="691">
        <v>20.9</v>
      </c>
      <c r="C4655" s="691">
        <v>20.8</v>
      </c>
      <c r="D4655" s="691">
        <v>20.399999999999999</v>
      </c>
      <c r="E4655" s="691">
        <v>20.9</v>
      </c>
      <c r="F4655" s="691">
        <v>20.7</v>
      </c>
      <c r="G4655" s="615">
        <v>21</v>
      </c>
      <c r="H4655" s="691">
        <v>21.1</v>
      </c>
      <c r="I4655" s="615">
        <v>20</v>
      </c>
      <c r="J4655" s="691">
        <v>20.5</v>
      </c>
      <c r="K4655" s="691">
        <v>20.5</v>
      </c>
    </row>
    <row r="4656" spans="1:11">
      <c r="A4656" s="688" t="s">
        <v>4070</v>
      </c>
      <c r="B4656" s="692" t="s">
        <v>4060</v>
      </c>
      <c r="C4656" s="692" t="s">
        <v>4060</v>
      </c>
      <c r="D4656" s="692" t="s">
        <v>4060</v>
      </c>
      <c r="E4656" s="691">
        <v>17.600000000000001</v>
      </c>
      <c r="F4656" s="692" t="s">
        <v>4060</v>
      </c>
      <c r="G4656" s="692" t="s">
        <v>4060</v>
      </c>
      <c r="H4656" s="692" t="s">
        <v>4060</v>
      </c>
      <c r="I4656" s="692" t="s">
        <v>4060</v>
      </c>
      <c r="J4656" s="692" t="s">
        <v>4060</v>
      </c>
      <c r="K4656" s="692" t="s">
        <v>4060</v>
      </c>
    </row>
    <row r="4657" spans="1:11">
      <c r="A4657" s="688" t="s">
        <v>11</v>
      </c>
      <c r="B4657" s="689">
        <v>17.399999999999999</v>
      </c>
      <c r="C4657" s="689">
        <v>17.3</v>
      </c>
      <c r="D4657" s="693">
        <v>17</v>
      </c>
      <c r="E4657" s="689">
        <v>17.399999999999999</v>
      </c>
      <c r="F4657" s="689">
        <v>17.2</v>
      </c>
      <c r="G4657" s="689">
        <v>17.5</v>
      </c>
      <c r="H4657" s="689">
        <v>17.7</v>
      </c>
      <c r="I4657" s="693">
        <v>17</v>
      </c>
      <c r="J4657" s="689">
        <v>16.3</v>
      </c>
      <c r="K4657" s="689">
        <v>17.100000000000001</v>
      </c>
    </row>
    <row r="4658" spans="1:11">
      <c r="A4658" s="688" t="s">
        <v>12</v>
      </c>
      <c r="B4658" s="691">
        <v>16.8</v>
      </c>
      <c r="C4658" s="691">
        <v>16.8</v>
      </c>
      <c r="D4658" s="691">
        <v>16.899999999999999</v>
      </c>
      <c r="E4658" s="691">
        <v>16.899999999999999</v>
      </c>
      <c r="F4658" s="691">
        <v>16.899999999999999</v>
      </c>
      <c r="G4658" s="615">
        <v>17</v>
      </c>
      <c r="H4658" s="691">
        <v>17.3</v>
      </c>
      <c r="I4658" s="615">
        <v>17</v>
      </c>
      <c r="J4658" s="691">
        <v>15.6</v>
      </c>
      <c r="K4658" s="691">
        <v>16.600000000000001</v>
      </c>
    </row>
    <row r="4659" spans="1:11">
      <c r="A4659" s="688" t="s">
        <v>13</v>
      </c>
      <c r="B4659" s="691">
        <v>20.6</v>
      </c>
      <c r="C4659" s="691">
        <v>19.899999999999999</v>
      </c>
      <c r="D4659" s="691">
        <v>20.5</v>
      </c>
      <c r="E4659" s="691">
        <v>20.100000000000001</v>
      </c>
      <c r="F4659" s="691">
        <v>21.1</v>
      </c>
      <c r="G4659" s="691">
        <v>20.399999999999999</v>
      </c>
      <c r="H4659" s="615">
        <v>21</v>
      </c>
      <c r="I4659" s="691">
        <v>19.7</v>
      </c>
      <c r="J4659" s="691">
        <v>21.6</v>
      </c>
      <c r="K4659" s="691">
        <v>21.3</v>
      </c>
    </row>
    <row r="4660" spans="1:11">
      <c r="A4660" s="688" t="s">
        <v>14</v>
      </c>
      <c r="B4660" s="689">
        <v>17.100000000000001</v>
      </c>
      <c r="C4660" s="689">
        <v>17.100000000000001</v>
      </c>
      <c r="D4660" s="689">
        <v>16.8</v>
      </c>
      <c r="E4660" s="693">
        <v>17</v>
      </c>
      <c r="F4660" s="689">
        <v>17.2</v>
      </c>
      <c r="G4660" s="689">
        <v>17.3</v>
      </c>
      <c r="H4660" s="689">
        <v>17.600000000000001</v>
      </c>
      <c r="I4660" s="689">
        <v>16.7</v>
      </c>
      <c r="J4660" s="689">
        <v>16.100000000000001</v>
      </c>
      <c r="K4660" s="693">
        <v>17</v>
      </c>
    </row>
    <row r="4661" spans="1:11">
      <c r="A4661" s="688" t="s">
        <v>15</v>
      </c>
      <c r="B4661" s="691">
        <v>20.6</v>
      </c>
      <c r="C4661" s="691">
        <v>20.2</v>
      </c>
      <c r="D4661" s="691">
        <v>20.100000000000001</v>
      </c>
      <c r="E4661" s="691">
        <v>20.399999999999999</v>
      </c>
      <c r="F4661" s="691">
        <v>19.899999999999999</v>
      </c>
      <c r="G4661" s="691">
        <v>20.2</v>
      </c>
      <c r="H4661" s="691">
        <v>20.6</v>
      </c>
      <c r="I4661" s="691">
        <v>20.100000000000001</v>
      </c>
      <c r="J4661" s="691">
        <v>20.5</v>
      </c>
      <c r="K4661" s="691">
        <v>20.8</v>
      </c>
    </row>
    <row r="4662" spans="1:11">
      <c r="A4662" s="688" t="s">
        <v>16</v>
      </c>
      <c r="B4662" s="615">
        <v>20</v>
      </c>
      <c r="C4662" s="691">
        <v>19.899999999999999</v>
      </c>
      <c r="D4662" s="615">
        <v>20</v>
      </c>
      <c r="E4662" s="691">
        <v>20.5</v>
      </c>
      <c r="F4662" s="691">
        <v>20.3</v>
      </c>
      <c r="G4662" s="691">
        <v>20.3</v>
      </c>
      <c r="H4662" s="691">
        <v>20.399999999999999</v>
      </c>
      <c r="I4662" s="615">
        <v>20</v>
      </c>
      <c r="J4662" s="691">
        <v>20.100000000000001</v>
      </c>
      <c r="K4662" s="691">
        <v>20.2</v>
      </c>
    </row>
    <row r="4663" spans="1:11">
      <c r="A4663" s="688" t="s">
        <v>2322</v>
      </c>
      <c r="B4663" s="690" t="s">
        <v>4060</v>
      </c>
      <c r="C4663" s="690" t="s">
        <v>4060</v>
      </c>
      <c r="D4663" s="690" t="s">
        <v>4060</v>
      </c>
      <c r="E4663" s="690" t="s">
        <v>4060</v>
      </c>
      <c r="F4663" s="690" t="s">
        <v>4060</v>
      </c>
      <c r="G4663" s="690" t="s">
        <v>4060</v>
      </c>
      <c r="H4663" s="690" t="s">
        <v>4060</v>
      </c>
      <c r="I4663" s="690" t="s">
        <v>4060</v>
      </c>
      <c r="J4663" s="690" t="s">
        <v>4060</v>
      </c>
      <c r="K4663" s="690" t="s">
        <v>4060</v>
      </c>
    </row>
    <row r="4664" spans="1:11">
      <c r="A4664" s="688" t="s">
        <v>2324</v>
      </c>
      <c r="B4664" s="691">
        <v>16.3</v>
      </c>
      <c r="C4664" s="691">
        <v>16.399999999999999</v>
      </c>
      <c r="D4664" s="691">
        <v>16.2</v>
      </c>
      <c r="E4664" s="691">
        <v>16.100000000000001</v>
      </c>
      <c r="F4664" s="691">
        <v>16.399999999999999</v>
      </c>
      <c r="G4664" s="691">
        <v>16.399999999999999</v>
      </c>
      <c r="H4664" s="691">
        <v>16.600000000000001</v>
      </c>
      <c r="I4664" s="691">
        <v>15.7</v>
      </c>
      <c r="J4664" s="691">
        <v>13.9</v>
      </c>
      <c r="K4664" s="692" t="s">
        <v>4060</v>
      </c>
    </row>
    <row r="4665" spans="1:11">
      <c r="A4665" s="688" t="s">
        <v>17</v>
      </c>
      <c r="B4665" s="689">
        <v>19.8</v>
      </c>
      <c r="C4665" s="689">
        <v>19.899999999999999</v>
      </c>
      <c r="D4665" s="689">
        <v>19.7</v>
      </c>
      <c r="E4665" s="689">
        <v>19.8</v>
      </c>
      <c r="F4665" s="689">
        <v>19.899999999999999</v>
      </c>
      <c r="G4665" s="689">
        <v>19.899999999999999</v>
      </c>
      <c r="H4665" s="689">
        <v>20.100000000000001</v>
      </c>
      <c r="I4665" s="689">
        <v>19.5</v>
      </c>
      <c r="J4665" s="689">
        <v>19.5</v>
      </c>
      <c r="K4665" s="689">
        <v>19.7</v>
      </c>
    </row>
    <row r="4666" spans="1:11">
      <c r="A4666" s="688" t="s">
        <v>2328</v>
      </c>
      <c r="B4666" s="691">
        <v>15.5</v>
      </c>
      <c r="C4666" s="691">
        <v>15.4</v>
      </c>
      <c r="D4666" s="691">
        <v>15.3</v>
      </c>
      <c r="E4666" s="691">
        <v>15.5</v>
      </c>
      <c r="F4666" s="691">
        <v>15.7</v>
      </c>
      <c r="G4666" s="615">
        <v>16</v>
      </c>
      <c r="H4666" s="691">
        <v>15.9</v>
      </c>
      <c r="I4666" s="691">
        <v>14.4</v>
      </c>
      <c r="J4666" s="691">
        <v>13.7</v>
      </c>
      <c r="K4666" s="692" t="s">
        <v>4060</v>
      </c>
    </row>
    <row r="4667" spans="1:11">
      <c r="A4667" s="688" t="s">
        <v>18</v>
      </c>
      <c r="B4667" s="693">
        <v>20</v>
      </c>
      <c r="C4667" s="689">
        <v>20.2</v>
      </c>
      <c r="D4667" s="689">
        <v>20.2</v>
      </c>
      <c r="E4667" s="689">
        <v>20.399999999999999</v>
      </c>
      <c r="F4667" s="689">
        <v>20.5</v>
      </c>
      <c r="G4667" s="689">
        <v>20.6</v>
      </c>
      <c r="H4667" s="689">
        <v>20.8</v>
      </c>
      <c r="I4667" s="689">
        <v>20.9</v>
      </c>
      <c r="J4667" s="689">
        <v>20.8</v>
      </c>
      <c r="K4667" s="689">
        <v>20.399999999999999</v>
      </c>
    </row>
    <row r="4668" spans="1:11">
      <c r="A4668" s="688" t="s">
        <v>19</v>
      </c>
      <c r="B4668" s="615">
        <v>20</v>
      </c>
      <c r="C4668" s="615">
        <v>20</v>
      </c>
      <c r="D4668" s="691">
        <v>19.7</v>
      </c>
      <c r="E4668" s="615">
        <v>20</v>
      </c>
      <c r="F4668" s="615">
        <v>20</v>
      </c>
      <c r="G4668" s="615">
        <v>20</v>
      </c>
      <c r="H4668" s="691">
        <v>20.2</v>
      </c>
      <c r="I4668" s="691">
        <v>19.600000000000001</v>
      </c>
      <c r="J4668" s="691">
        <v>19.600000000000001</v>
      </c>
      <c r="K4668" s="691">
        <v>19.7</v>
      </c>
    </row>
    <row r="4669" spans="1:11">
      <c r="A4669" s="688" t="s">
        <v>20</v>
      </c>
      <c r="B4669" s="693">
        <v>18</v>
      </c>
      <c r="C4669" s="689">
        <v>18.100000000000001</v>
      </c>
      <c r="D4669" s="689">
        <v>17.899999999999999</v>
      </c>
      <c r="E4669" s="689">
        <v>18.3</v>
      </c>
      <c r="F4669" s="689">
        <v>18.100000000000001</v>
      </c>
      <c r="G4669" s="693">
        <v>18</v>
      </c>
      <c r="H4669" s="689">
        <v>18.3</v>
      </c>
      <c r="I4669" s="693">
        <v>17</v>
      </c>
      <c r="J4669" s="689">
        <v>16.3</v>
      </c>
      <c r="K4669" s="689">
        <v>17.600000000000001</v>
      </c>
    </row>
    <row r="4670" spans="1:11">
      <c r="A4670" s="688" t="s">
        <v>21</v>
      </c>
      <c r="B4670" s="691">
        <v>19.899999999999999</v>
      </c>
      <c r="C4670" s="691">
        <v>20.2</v>
      </c>
      <c r="D4670" s="691">
        <v>20.100000000000001</v>
      </c>
      <c r="E4670" s="691">
        <v>20.100000000000001</v>
      </c>
      <c r="F4670" s="691">
        <v>20.399999999999999</v>
      </c>
      <c r="G4670" s="691">
        <v>20.399999999999999</v>
      </c>
      <c r="H4670" s="691">
        <v>20.6</v>
      </c>
      <c r="I4670" s="691">
        <v>20.100000000000001</v>
      </c>
      <c r="J4670" s="691">
        <v>20.100000000000001</v>
      </c>
      <c r="K4670" s="691">
        <v>20.399999999999999</v>
      </c>
    </row>
    <row r="4671" spans="1:11">
      <c r="A4671" s="688" t="s">
        <v>22</v>
      </c>
      <c r="B4671" s="689">
        <v>16.600000000000001</v>
      </c>
      <c r="C4671" s="689">
        <v>16.399999999999999</v>
      </c>
      <c r="D4671" s="689">
        <v>16.3</v>
      </c>
      <c r="E4671" s="689">
        <v>16.600000000000001</v>
      </c>
      <c r="F4671" s="689">
        <v>16.600000000000001</v>
      </c>
      <c r="G4671" s="689">
        <v>16.600000000000001</v>
      </c>
      <c r="H4671" s="689">
        <v>16.899999999999999</v>
      </c>
      <c r="I4671" s="689">
        <v>15.7</v>
      </c>
      <c r="J4671" s="689">
        <v>14.6</v>
      </c>
      <c r="K4671" s="689">
        <v>16.2</v>
      </c>
    </row>
    <row r="4672" spans="1:11">
      <c r="A4672" s="688" t="s">
        <v>2343</v>
      </c>
      <c r="B4672" s="692" t="s">
        <v>4060</v>
      </c>
      <c r="C4672" s="692" t="s">
        <v>4060</v>
      </c>
      <c r="D4672" s="692" t="s">
        <v>4060</v>
      </c>
      <c r="E4672" s="692" t="s">
        <v>4060</v>
      </c>
      <c r="F4672" s="692" t="s">
        <v>4060</v>
      </c>
      <c r="G4672" s="692" t="s">
        <v>4060</v>
      </c>
      <c r="H4672" s="692" t="s">
        <v>4060</v>
      </c>
      <c r="I4672" s="692" t="s">
        <v>4060</v>
      </c>
      <c r="J4672" s="692" t="s">
        <v>4060</v>
      </c>
      <c r="K4672" s="692" t="s">
        <v>4060</v>
      </c>
    </row>
    <row r="4673" spans="1:11">
      <c r="A4673" s="688" t="s">
        <v>4071</v>
      </c>
      <c r="B4673" s="690" t="s">
        <v>4060</v>
      </c>
      <c r="C4673" s="690" t="s">
        <v>4060</v>
      </c>
      <c r="D4673" s="690" t="s">
        <v>4060</v>
      </c>
      <c r="E4673" s="690" t="s">
        <v>4060</v>
      </c>
      <c r="F4673" s="690" t="s">
        <v>4060</v>
      </c>
      <c r="G4673" s="690" t="s">
        <v>4060</v>
      </c>
      <c r="H4673" s="690" t="s">
        <v>4060</v>
      </c>
      <c r="I4673" s="690" t="s">
        <v>4060</v>
      </c>
      <c r="J4673" s="690" t="s">
        <v>4060</v>
      </c>
      <c r="K4673" s="690" t="s">
        <v>4060</v>
      </c>
    </row>
    <row r="4674" spans="1:11">
      <c r="A4674" s="688" t="s">
        <v>23</v>
      </c>
      <c r="B4674" s="689">
        <v>20.100000000000001</v>
      </c>
      <c r="C4674" s="689">
        <v>20.2</v>
      </c>
      <c r="D4674" s="689">
        <v>20.2</v>
      </c>
      <c r="E4674" s="689">
        <v>20.3</v>
      </c>
      <c r="F4674" s="689">
        <v>20.399999999999999</v>
      </c>
      <c r="G4674" s="689">
        <v>20.399999999999999</v>
      </c>
      <c r="H4674" s="689">
        <v>20.8</v>
      </c>
      <c r="I4674" s="689">
        <v>20.2</v>
      </c>
      <c r="J4674" s="689">
        <v>20.8</v>
      </c>
      <c r="K4674" s="689">
        <v>20.7</v>
      </c>
    </row>
    <row r="4675" spans="1:11">
      <c r="A4675" s="688" t="s">
        <v>24</v>
      </c>
      <c r="B4675" s="615">
        <v>21</v>
      </c>
      <c r="C4675" s="615">
        <v>21</v>
      </c>
      <c r="D4675" s="691">
        <v>20.8</v>
      </c>
      <c r="E4675" s="691">
        <v>21.3</v>
      </c>
      <c r="F4675" s="691">
        <v>21.2</v>
      </c>
      <c r="G4675" s="691">
        <v>21.4</v>
      </c>
      <c r="H4675" s="691">
        <v>21.4</v>
      </c>
      <c r="I4675" s="691">
        <v>20.8</v>
      </c>
      <c r="J4675" s="691">
        <v>21.4</v>
      </c>
      <c r="K4675" s="691">
        <v>21.2</v>
      </c>
    </row>
    <row r="4676" spans="1:11">
      <c r="A4676" s="688" t="s">
        <v>2349</v>
      </c>
      <c r="B4676" s="689">
        <v>15.7</v>
      </c>
      <c r="C4676" s="689">
        <v>15.8</v>
      </c>
      <c r="D4676" s="689">
        <v>15.7</v>
      </c>
      <c r="E4676" s="693">
        <v>16</v>
      </c>
      <c r="F4676" s="689">
        <v>15.8</v>
      </c>
      <c r="G4676" s="693">
        <v>16</v>
      </c>
      <c r="H4676" s="689">
        <v>16.2</v>
      </c>
      <c r="I4676" s="693">
        <v>15</v>
      </c>
      <c r="J4676" s="689">
        <v>13.7</v>
      </c>
      <c r="K4676" s="689">
        <v>15.4</v>
      </c>
    </row>
    <row r="4677" spans="1:11">
      <c r="A4677" s="688" t="s">
        <v>25</v>
      </c>
      <c r="B4677" s="693">
        <v>17</v>
      </c>
      <c r="C4677" s="689">
        <v>17.3</v>
      </c>
      <c r="D4677" s="689">
        <v>17.100000000000001</v>
      </c>
      <c r="E4677" s="689">
        <v>17.399999999999999</v>
      </c>
      <c r="F4677" s="689">
        <v>17.399999999999999</v>
      </c>
      <c r="G4677" s="689">
        <v>17.5</v>
      </c>
      <c r="H4677" s="689">
        <v>17.899999999999999</v>
      </c>
      <c r="I4677" s="689">
        <v>17.100000000000001</v>
      </c>
      <c r="J4677" s="689">
        <v>15.4</v>
      </c>
      <c r="K4677" s="689">
        <v>17.100000000000001</v>
      </c>
    </row>
    <row r="4678" spans="1:11">
      <c r="A4678" s="688" t="s">
        <v>26</v>
      </c>
      <c r="B4678" s="691">
        <v>19.5</v>
      </c>
      <c r="C4678" s="691">
        <v>19.5</v>
      </c>
      <c r="D4678" s="691">
        <v>19.399999999999999</v>
      </c>
      <c r="E4678" s="691">
        <v>19.7</v>
      </c>
      <c r="F4678" s="691">
        <v>19.5</v>
      </c>
      <c r="G4678" s="691">
        <v>19.7</v>
      </c>
      <c r="H4678" s="691">
        <v>19.8</v>
      </c>
      <c r="I4678" s="691">
        <v>18.8</v>
      </c>
      <c r="J4678" s="691">
        <v>19.100000000000001</v>
      </c>
      <c r="K4678" s="691">
        <v>19.600000000000001</v>
      </c>
    </row>
    <row r="4679" spans="1:11">
      <c r="A4679" s="688" t="s">
        <v>27</v>
      </c>
      <c r="B4679" s="691">
        <v>21.4</v>
      </c>
      <c r="C4679" s="691">
        <v>21.1</v>
      </c>
      <c r="D4679" s="691">
        <v>20.8</v>
      </c>
      <c r="E4679" s="691">
        <v>21.2</v>
      </c>
      <c r="F4679" s="691">
        <v>21.1</v>
      </c>
      <c r="G4679" s="691">
        <v>21.2</v>
      </c>
      <c r="H4679" s="691">
        <v>21.5</v>
      </c>
      <c r="I4679" s="691">
        <v>20.3</v>
      </c>
      <c r="J4679" s="691">
        <v>21.1</v>
      </c>
      <c r="K4679" s="691">
        <v>21.1</v>
      </c>
    </row>
    <row r="4680" spans="1:11">
      <c r="A4680" s="688" t="s">
        <v>2240</v>
      </c>
      <c r="B4680" s="689">
        <v>17.7</v>
      </c>
      <c r="C4680" s="689">
        <v>17.899999999999999</v>
      </c>
      <c r="D4680" s="689">
        <v>17.7</v>
      </c>
      <c r="E4680" s="689">
        <v>18.100000000000001</v>
      </c>
      <c r="F4680" s="693">
        <v>18</v>
      </c>
      <c r="G4680" s="689">
        <v>18.100000000000001</v>
      </c>
      <c r="H4680" s="689">
        <v>18.3</v>
      </c>
      <c r="I4680" s="689">
        <v>17.3</v>
      </c>
      <c r="J4680" s="689">
        <v>16.7</v>
      </c>
      <c r="K4680" s="693">
        <v>18</v>
      </c>
    </row>
    <row r="4681" spans="1:11">
      <c r="A4681" s="688" t="s">
        <v>2355</v>
      </c>
      <c r="B4681" s="691">
        <v>18.2</v>
      </c>
      <c r="C4681" s="615">
        <v>18</v>
      </c>
      <c r="D4681" s="691">
        <v>17.899999999999999</v>
      </c>
      <c r="E4681" s="691">
        <v>17.899999999999999</v>
      </c>
      <c r="F4681" s="615">
        <v>18</v>
      </c>
      <c r="G4681" s="691">
        <v>18.3</v>
      </c>
      <c r="H4681" s="691">
        <v>18.399999999999999</v>
      </c>
      <c r="I4681" s="692" t="s">
        <v>4060</v>
      </c>
      <c r="J4681" s="692" t="s">
        <v>4060</v>
      </c>
      <c r="K4681" s="692" t="s">
        <v>4060</v>
      </c>
    </row>
    <row r="4682" spans="1:11">
      <c r="A4682" s="688" t="s">
        <v>2357</v>
      </c>
      <c r="B4682" s="690" t="s">
        <v>4060</v>
      </c>
      <c r="C4682" s="689">
        <v>15.4</v>
      </c>
      <c r="D4682" s="689">
        <v>15.7</v>
      </c>
      <c r="E4682" s="689">
        <v>15.9</v>
      </c>
      <c r="F4682" s="689">
        <v>16.100000000000001</v>
      </c>
      <c r="G4682" s="693">
        <v>16</v>
      </c>
      <c r="H4682" s="689">
        <v>16.100000000000001</v>
      </c>
      <c r="I4682" s="690" t="s">
        <v>4060</v>
      </c>
      <c r="J4682" s="690" t="s">
        <v>4060</v>
      </c>
      <c r="K4682" s="690" t="s">
        <v>4060</v>
      </c>
    </row>
    <row r="4683" spans="1:11">
      <c r="A4683" s="688" t="s">
        <v>29</v>
      </c>
      <c r="B4683" s="689">
        <v>16.8</v>
      </c>
      <c r="C4683" s="689">
        <v>16.7</v>
      </c>
      <c r="D4683" s="689">
        <v>16.5</v>
      </c>
      <c r="E4683" s="689">
        <v>16.8</v>
      </c>
      <c r="F4683" s="689">
        <v>16.5</v>
      </c>
      <c r="G4683" s="689">
        <v>16.600000000000001</v>
      </c>
      <c r="H4683" s="689">
        <v>16.7</v>
      </c>
      <c r="I4683" s="693">
        <v>16</v>
      </c>
      <c r="J4683" s="689">
        <v>15.3</v>
      </c>
      <c r="K4683" s="689">
        <v>16.3</v>
      </c>
    </row>
    <row r="4684" spans="1:11">
      <c r="A4684" s="688" t="s">
        <v>4059</v>
      </c>
      <c r="B4684" s="689">
        <v>19.8</v>
      </c>
      <c r="C4684" s="689">
        <v>20.100000000000001</v>
      </c>
      <c r="D4684" s="689">
        <v>19.8</v>
      </c>
      <c r="E4684" s="693">
        <v>20</v>
      </c>
      <c r="F4684" s="693">
        <v>20</v>
      </c>
      <c r="G4684" s="689">
        <v>20.100000000000001</v>
      </c>
      <c r="H4684" s="690" t="s">
        <v>4060</v>
      </c>
      <c r="I4684" s="690" t="s">
        <v>4060</v>
      </c>
      <c r="J4684" s="690" t="s">
        <v>4060</v>
      </c>
      <c r="K4684" s="690" t="s">
        <v>4060</v>
      </c>
    </row>
    <row r="4685" spans="1:11">
      <c r="A4685" s="688" t="s">
        <v>30</v>
      </c>
      <c r="B4685" s="689">
        <v>20.100000000000001</v>
      </c>
      <c r="C4685" s="689">
        <v>19.899999999999999</v>
      </c>
      <c r="D4685" s="689">
        <v>19.7</v>
      </c>
      <c r="E4685" s="689">
        <v>20.399999999999999</v>
      </c>
      <c r="F4685" s="689">
        <v>20.100000000000001</v>
      </c>
      <c r="G4685" s="689">
        <v>20.6</v>
      </c>
      <c r="H4685" s="689">
        <v>20.399999999999999</v>
      </c>
      <c r="I4685" s="689">
        <v>20.5</v>
      </c>
      <c r="J4685" s="689">
        <v>19.899999999999999</v>
      </c>
      <c r="K4685" s="693">
        <v>20</v>
      </c>
    </row>
    <row r="4687" spans="1:11">
      <c r="A4687" s="683" t="s">
        <v>4233</v>
      </c>
    </row>
    <row r="4688" spans="1:11">
      <c r="A4688" s="683" t="s">
        <v>4060</v>
      </c>
      <c r="B4688" s="682" t="s">
        <v>4234</v>
      </c>
    </row>
    <row r="4690" spans="1:11">
      <c r="A4690" s="682" t="s">
        <v>4248</v>
      </c>
    </row>
    <row r="4691" spans="1:11">
      <c r="A4691" s="682" t="s">
        <v>4210</v>
      </c>
      <c r="B4691" s="683" t="s">
        <v>4211</v>
      </c>
    </row>
    <row r="4692" spans="1:11">
      <c r="A4692" s="682" t="s">
        <v>4212</v>
      </c>
      <c r="B4692" s="682" t="s">
        <v>4213</v>
      </c>
    </row>
    <row r="4694" spans="1:11">
      <c r="A4694" s="683" t="s">
        <v>4214</v>
      </c>
      <c r="C4694" s="682" t="s">
        <v>4215</v>
      </c>
    </row>
    <row r="4695" spans="1:11">
      <c r="A4695" s="683" t="s">
        <v>4216</v>
      </c>
      <c r="C4695" s="682" t="s">
        <v>2967</v>
      </c>
    </row>
    <row r="4696" spans="1:11">
      <c r="A4696" s="683" t="s">
        <v>3893</v>
      </c>
      <c r="C4696" s="682" t="s">
        <v>4217</v>
      </c>
    </row>
    <row r="4697" spans="1:11">
      <c r="A4697" s="683" t="s">
        <v>4218</v>
      </c>
      <c r="C4697" s="682" t="s">
        <v>4300</v>
      </c>
    </row>
    <row r="4699" spans="1:11">
      <c r="A4699" s="684" t="s">
        <v>4220</v>
      </c>
      <c r="B4699" s="685" t="s">
        <v>4221</v>
      </c>
      <c r="C4699" s="685" t="s">
        <v>4222</v>
      </c>
      <c r="D4699" s="685" t="s">
        <v>4223</v>
      </c>
      <c r="E4699" s="685" t="s">
        <v>4224</v>
      </c>
      <c r="F4699" s="685" t="s">
        <v>4225</v>
      </c>
      <c r="G4699" s="685" t="s">
        <v>4226</v>
      </c>
      <c r="H4699" s="685" t="s">
        <v>4227</v>
      </c>
      <c r="I4699" s="685" t="s">
        <v>4228</v>
      </c>
      <c r="J4699" s="685" t="s">
        <v>4229</v>
      </c>
      <c r="K4699" s="685" t="s">
        <v>4230</v>
      </c>
    </row>
    <row r="4700" spans="1:11">
      <c r="A4700" s="686" t="s">
        <v>4231</v>
      </c>
      <c r="B4700" s="687" t="s">
        <v>4232</v>
      </c>
      <c r="C4700" s="687" t="s">
        <v>4232</v>
      </c>
      <c r="D4700" s="687" t="s">
        <v>4232</v>
      </c>
      <c r="E4700" s="687" t="s">
        <v>4232</v>
      </c>
      <c r="F4700" s="687" t="s">
        <v>4232</v>
      </c>
      <c r="G4700" s="687" t="s">
        <v>4232</v>
      </c>
      <c r="H4700" s="687" t="s">
        <v>4232</v>
      </c>
      <c r="I4700" s="687" t="s">
        <v>4232</v>
      </c>
      <c r="J4700" s="687" t="s">
        <v>4232</v>
      </c>
      <c r="K4700" s="687" t="s">
        <v>4232</v>
      </c>
    </row>
    <row r="4701" spans="1:11">
      <c r="A4701" s="688" t="s">
        <v>4064</v>
      </c>
      <c r="B4701" s="693">
        <v>19</v>
      </c>
      <c r="C4701" s="689">
        <v>18.899999999999999</v>
      </c>
      <c r="D4701" s="689">
        <v>18.899999999999999</v>
      </c>
      <c r="E4701" s="693">
        <v>19</v>
      </c>
      <c r="F4701" s="689">
        <v>18.899999999999999</v>
      </c>
      <c r="G4701" s="693">
        <v>19</v>
      </c>
      <c r="H4701" s="689">
        <v>19.2</v>
      </c>
      <c r="I4701" s="689">
        <v>18.5</v>
      </c>
      <c r="J4701" s="689">
        <v>18.3</v>
      </c>
      <c r="K4701" s="689">
        <v>18.7</v>
      </c>
    </row>
    <row r="4702" spans="1:11">
      <c r="A4702" s="688" t="s">
        <v>4065</v>
      </c>
      <c r="B4702" s="615">
        <v>19</v>
      </c>
      <c r="C4702" s="691">
        <v>19.3</v>
      </c>
      <c r="D4702" s="691">
        <v>18.899999999999999</v>
      </c>
      <c r="E4702" s="691">
        <v>19.2</v>
      </c>
      <c r="F4702" s="691">
        <v>19.100000000000001</v>
      </c>
      <c r="G4702" s="691">
        <v>19.2</v>
      </c>
      <c r="H4702" s="692" t="s">
        <v>4060</v>
      </c>
      <c r="I4702" s="692" t="s">
        <v>4060</v>
      </c>
      <c r="J4702" s="692" t="s">
        <v>4060</v>
      </c>
      <c r="K4702" s="692" t="s">
        <v>4060</v>
      </c>
    </row>
    <row r="4703" spans="1:11">
      <c r="A4703" s="688" t="s">
        <v>4063</v>
      </c>
      <c r="B4703" s="693">
        <v>19</v>
      </c>
      <c r="C4703" s="689">
        <v>19.3</v>
      </c>
      <c r="D4703" s="689">
        <v>18.899999999999999</v>
      </c>
      <c r="E4703" s="689">
        <v>19.3</v>
      </c>
      <c r="F4703" s="689">
        <v>19.2</v>
      </c>
      <c r="G4703" s="689">
        <v>19.2</v>
      </c>
      <c r="H4703" s="690" t="s">
        <v>4060</v>
      </c>
      <c r="I4703" s="690" t="s">
        <v>4060</v>
      </c>
      <c r="J4703" s="690" t="s">
        <v>4060</v>
      </c>
      <c r="K4703" s="690" t="s">
        <v>4060</v>
      </c>
    </row>
    <row r="4704" spans="1:11">
      <c r="A4704" s="688" t="s">
        <v>4069</v>
      </c>
      <c r="B4704" s="692" t="s">
        <v>4060</v>
      </c>
      <c r="C4704" s="691">
        <v>19.5</v>
      </c>
      <c r="D4704" s="691">
        <v>19.2</v>
      </c>
      <c r="E4704" s="691">
        <v>19.5</v>
      </c>
      <c r="F4704" s="691">
        <v>19.5</v>
      </c>
      <c r="G4704" s="691">
        <v>19.600000000000001</v>
      </c>
      <c r="H4704" s="691">
        <v>19.8</v>
      </c>
      <c r="I4704" s="691">
        <v>19.100000000000001</v>
      </c>
      <c r="J4704" s="691">
        <v>19.2</v>
      </c>
      <c r="K4704" s="691">
        <v>19.2</v>
      </c>
    </row>
    <row r="4705" spans="1:11">
      <c r="A4705" s="688" t="s">
        <v>4068</v>
      </c>
      <c r="B4705" s="689">
        <v>19.600000000000001</v>
      </c>
      <c r="C4705" s="690" t="s">
        <v>4060</v>
      </c>
      <c r="D4705" s="690" t="s">
        <v>4060</v>
      </c>
      <c r="E4705" s="690" t="s">
        <v>4060</v>
      </c>
      <c r="F4705" s="690" t="s">
        <v>4060</v>
      </c>
      <c r="G4705" s="690" t="s">
        <v>4060</v>
      </c>
      <c r="H4705" s="690" t="s">
        <v>4060</v>
      </c>
      <c r="I4705" s="690" t="s">
        <v>4060</v>
      </c>
      <c r="J4705" s="690" t="s">
        <v>4060</v>
      </c>
      <c r="K4705" s="690" t="s">
        <v>4060</v>
      </c>
    </row>
    <row r="4706" spans="1:11">
      <c r="A4706" s="688" t="s">
        <v>0</v>
      </c>
      <c r="B4706" s="691">
        <v>18.899999999999999</v>
      </c>
      <c r="C4706" s="691">
        <v>19.2</v>
      </c>
      <c r="D4706" s="615">
        <v>19</v>
      </c>
      <c r="E4706" s="691">
        <v>19.2</v>
      </c>
      <c r="F4706" s="691">
        <v>19.3</v>
      </c>
      <c r="G4706" s="691">
        <v>19.3</v>
      </c>
      <c r="H4706" s="691">
        <v>19.600000000000001</v>
      </c>
      <c r="I4706" s="691">
        <v>18.5</v>
      </c>
      <c r="J4706" s="691">
        <v>19.399999999999999</v>
      </c>
      <c r="K4706" s="691">
        <v>19.3</v>
      </c>
    </row>
    <row r="4707" spans="1:11">
      <c r="A4707" s="688" t="s">
        <v>1</v>
      </c>
      <c r="B4707" s="689">
        <v>15.5</v>
      </c>
      <c r="C4707" s="689">
        <v>15.2</v>
      </c>
      <c r="D4707" s="689">
        <v>15.2</v>
      </c>
      <c r="E4707" s="689">
        <v>15.4</v>
      </c>
      <c r="F4707" s="689">
        <v>15.3</v>
      </c>
      <c r="G4707" s="689">
        <v>15.5</v>
      </c>
      <c r="H4707" s="689">
        <v>15.5</v>
      </c>
      <c r="I4707" s="689">
        <v>14.4</v>
      </c>
      <c r="J4707" s="689">
        <v>13.1</v>
      </c>
      <c r="K4707" s="689">
        <v>14.9</v>
      </c>
    </row>
    <row r="4708" spans="1:11">
      <c r="A4708" s="688" t="s">
        <v>2240</v>
      </c>
      <c r="B4708" s="615">
        <v>17</v>
      </c>
      <c r="C4708" s="691">
        <v>17.2</v>
      </c>
      <c r="D4708" s="615">
        <v>17</v>
      </c>
      <c r="E4708" s="691">
        <v>17.3</v>
      </c>
      <c r="F4708" s="691">
        <v>17.3</v>
      </c>
      <c r="G4708" s="691">
        <v>17.3</v>
      </c>
      <c r="H4708" s="691">
        <v>17.5</v>
      </c>
      <c r="I4708" s="691">
        <v>16.5</v>
      </c>
      <c r="J4708" s="615">
        <v>16</v>
      </c>
      <c r="K4708" s="691">
        <v>17.3</v>
      </c>
    </row>
    <row r="4709" spans="1:11">
      <c r="A4709" s="688" t="s">
        <v>2</v>
      </c>
      <c r="B4709" s="689">
        <v>18.3</v>
      </c>
      <c r="C4709" s="689">
        <v>18.600000000000001</v>
      </c>
      <c r="D4709" s="689">
        <v>18.600000000000001</v>
      </c>
      <c r="E4709" s="689">
        <v>18.7</v>
      </c>
      <c r="F4709" s="689">
        <v>18.8</v>
      </c>
      <c r="G4709" s="689">
        <v>18.600000000000001</v>
      </c>
      <c r="H4709" s="689">
        <v>18.899999999999999</v>
      </c>
      <c r="I4709" s="693">
        <v>19</v>
      </c>
      <c r="J4709" s="689">
        <v>18.8</v>
      </c>
      <c r="K4709" s="689">
        <v>18.600000000000001</v>
      </c>
    </row>
    <row r="4710" spans="1:11">
      <c r="A4710" s="688" t="s">
        <v>3</v>
      </c>
      <c r="B4710" s="691">
        <v>18.7</v>
      </c>
      <c r="C4710" s="691">
        <v>18.899999999999999</v>
      </c>
      <c r="D4710" s="691">
        <v>18.600000000000001</v>
      </c>
      <c r="E4710" s="691">
        <v>18.8</v>
      </c>
      <c r="F4710" s="691">
        <v>18.8</v>
      </c>
      <c r="G4710" s="691">
        <v>18.8</v>
      </c>
      <c r="H4710" s="615">
        <v>19</v>
      </c>
      <c r="I4710" s="691">
        <v>18.8</v>
      </c>
      <c r="J4710" s="691">
        <v>18.600000000000001</v>
      </c>
      <c r="K4710" s="691">
        <v>18.3</v>
      </c>
    </row>
    <row r="4711" spans="1:11">
      <c r="A4711" s="688" t="s">
        <v>4061</v>
      </c>
      <c r="B4711" s="689">
        <v>18.7</v>
      </c>
      <c r="C4711" s="689">
        <v>18.899999999999999</v>
      </c>
      <c r="D4711" s="689">
        <v>18.600000000000001</v>
      </c>
      <c r="E4711" s="689">
        <v>18.8</v>
      </c>
      <c r="F4711" s="689">
        <v>18.8</v>
      </c>
      <c r="G4711" s="689">
        <v>18.8</v>
      </c>
      <c r="H4711" s="693">
        <v>19</v>
      </c>
      <c r="I4711" s="689">
        <v>18.8</v>
      </c>
      <c r="J4711" s="689">
        <v>18.600000000000001</v>
      </c>
      <c r="K4711" s="689">
        <v>18.3</v>
      </c>
    </row>
    <row r="4712" spans="1:11">
      <c r="A4712" s="688" t="s">
        <v>4</v>
      </c>
      <c r="B4712" s="691">
        <v>17.600000000000001</v>
      </c>
      <c r="C4712" s="691">
        <v>17.399999999999999</v>
      </c>
      <c r="D4712" s="691">
        <v>17.600000000000001</v>
      </c>
      <c r="E4712" s="691">
        <v>17.7</v>
      </c>
      <c r="F4712" s="691">
        <v>17.7</v>
      </c>
      <c r="G4712" s="691">
        <v>17.7</v>
      </c>
      <c r="H4712" s="615">
        <v>18</v>
      </c>
      <c r="I4712" s="691">
        <v>18.100000000000001</v>
      </c>
      <c r="J4712" s="691">
        <v>16.8</v>
      </c>
      <c r="K4712" s="691">
        <v>17.5</v>
      </c>
    </row>
    <row r="4713" spans="1:11">
      <c r="A4713" s="688" t="s">
        <v>8</v>
      </c>
      <c r="B4713" s="689">
        <v>18.7</v>
      </c>
      <c r="C4713" s="689">
        <v>18.8</v>
      </c>
      <c r="D4713" s="689">
        <v>18.8</v>
      </c>
      <c r="E4713" s="689">
        <v>18.899999999999999</v>
      </c>
      <c r="F4713" s="689">
        <v>19.2</v>
      </c>
      <c r="G4713" s="689">
        <v>19.3</v>
      </c>
      <c r="H4713" s="689">
        <v>19.600000000000001</v>
      </c>
      <c r="I4713" s="689">
        <v>19.5</v>
      </c>
      <c r="J4713" s="689">
        <v>19.399999999999999</v>
      </c>
      <c r="K4713" s="689">
        <v>19.399999999999999</v>
      </c>
    </row>
    <row r="4714" spans="1:11">
      <c r="A4714" s="688" t="s">
        <v>7</v>
      </c>
      <c r="B4714" s="691">
        <v>19.399999999999999</v>
      </c>
      <c r="C4714" s="691">
        <v>18.899999999999999</v>
      </c>
      <c r="D4714" s="691">
        <v>18.7</v>
      </c>
      <c r="E4714" s="615">
        <v>19</v>
      </c>
      <c r="F4714" s="691">
        <v>18.899999999999999</v>
      </c>
      <c r="G4714" s="691">
        <v>19.3</v>
      </c>
      <c r="H4714" s="691">
        <v>19.2</v>
      </c>
      <c r="I4714" s="691">
        <v>18.899999999999999</v>
      </c>
      <c r="J4714" s="691">
        <v>18.3</v>
      </c>
      <c r="K4714" s="691">
        <v>18.600000000000001</v>
      </c>
    </row>
    <row r="4715" spans="1:11">
      <c r="A4715" s="688" t="s">
        <v>27</v>
      </c>
      <c r="B4715" s="689">
        <v>20.6</v>
      </c>
      <c r="C4715" s="689">
        <v>20.3</v>
      </c>
      <c r="D4715" s="693">
        <v>20</v>
      </c>
      <c r="E4715" s="689">
        <v>20.3</v>
      </c>
      <c r="F4715" s="689">
        <v>20.3</v>
      </c>
      <c r="G4715" s="689">
        <v>20.399999999999999</v>
      </c>
      <c r="H4715" s="689">
        <v>20.7</v>
      </c>
      <c r="I4715" s="689">
        <v>19.5</v>
      </c>
      <c r="J4715" s="689">
        <v>20.3</v>
      </c>
      <c r="K4715" s="689">
        <v>20.3</v>
      </c>
    </row>
    <row r="4716" spans="1:11">
      <c r="A4716" s="688" t="s">
        <v>6</v>
      </c>
      <c r="B4716" s="691">
        <v>20.8</v>
      </c>
      <c r="C4716" s="691">
        <v>20.7</v>
      </c>
      <c r="D4716" s="691">
        <v>20.399999999999999</v>
      </c>
      <c r="E4716" s="691">
        <v>20.6</v>
      </c>
      <c r="F4716" s="691">
        <v>20.7</v>
      </c>
      <c r="G4716" s="691">
        <v>20.8</v>
      </c>
      <c r="H4716" s="691">
        <v>20.9</v>
      </c>
      <c r="I4716" s="691">
        <v>20.3</v>
      </c>
      <c r="J4716" s="691">
        <v>20.399999999999999</v>
      </c>
      <c r="K4716" s="691">
        <v>20.399999999999999</v>
      </c>
    </row>
    <row r="4717" spans="1:11">
      <c r="A4717" s="688" t="s">
        <v>4058</v>
      </c>
      <c r="B4717" s="690" t="s">
        <v>4060</v>
      </c>
      <c r="C4717" s="690" t="s">
        <v>4060</v>
      </c>
      <c r="D4717" s="690" t="s">
        <v>4060</v>
      </c>
      <c r="E4717" s="690" t="s">
        <v>4060</v>
      </c>
      <c r="F4717" s="690" t="s">
        <v>4060</v>
      </c>
      <c r="G4717" s="690" t="s">
        <v>4060</v>
      </c>
      <c r="H4717" s="690" t="s">
        <v>4060</v>
      </c>
      <c r="I4717" s="690" t="s">
        <v>4060</v>
      </c>
      <c r="J4717" s="690" t="s">
        <v>4060</v>
      </c>
      <c r="K4717" s="690" t="s">
        <v>4060</v>
      </c>
    </row>
    <row r="4718" spans="1:11">
      <c r="A4718" s="688" t="s">
        <v>11</v>
      </c>
      <c r="B4718" s="691">
        <v>16.7</v>
      </c>
      <c r="C4718" s="691">
        <v>16.600000000000001</v>
      </c>
      <c r="D4718" s="691">
        <v>16.3</v>
      </c>
      <c r="E4718" s="691">
        <v>16.7</v>
      </c>
      <c r="F4718" s="691">
        <v>16.5</v>
      </c>
      <c r="G4718" s="691">
        <v>16.7</v>
      </c>
      <c r="H4718" s="691">
        <v>16.899999999999999</v>
      </c>
      <c r="I4718" s="691">
        <v>16.2</v>
      </c>
      <c r="J4718" s="691">
        <v>15.6</v>
      </c>
      <c r="K4718" s="691">
        <v>16.3</v>
      </c>
    </row>
    <row r="4719" spans="1:11">
      <c r="A4719" s="688" t="s">
        <v>10</v>
      </c>
      <c r="B4719" s="689">
        <v>20.100000000000001</v>
      </c>
      <c r="C4719" s="689">
        <v>19.899999999999999</v>
      </c>
      <c r="D4719" s="689">
        <v>19.600000000000001</v>
      </c>
      <c r="E4719" s="689">
        <v>20.100000000000001</v>
      </c>
      <c r="F4719" s="689">
        <v>19.8</v>
      </c>
      <c r="G4719" s="689">
        <v>20.2</v>
      </c>
      <c r="H4719" s="689">
        <v>20.3</v>
      </c>
      <c r="I4719" s="689">
        <v>19.2</v>
      </c>
      <c r="J4719" s="689">
        <v>19.7</v>
      </c>
      <c r="K4719" s="689">
        <v>19.7</v>
      </c>
    </row>
    <row r="4720" spans="1:11">
      <c r="A4720" s="688" t="s">
        <v>30</v>
      </c>
      <c r="B4720" s="691">
        <v>19.3</v>
      </c>
      <c r="C4720" s="691">
        <v>19.100000000000001</v>
      </c>
      <c r="D4720" s="691">
        <v>18.899999999999999</v>
      </c>
      <c r="E4720" s="691">
        <v>19.5</v>
      </c>
      <c r="F4720" s="691">
        <v>19.3</v>
      </c>
      <c r="G4720" s="691">
        <v>19.7</v>
      </c>
      <c r="H4720" s="691">
        <v>19.5</v>
      </c>
      <c r="I4720" s="691">
        <v>19.7</v>
      </c>
      <c r="J4720" s="691">
        <v>19.100000000000001</v>
      </c>
      <c r="K4720" s="691">
        <v>19.2</v>
      </c>
    </row>
    <row r="4721" spans="1:11">
      <c r="A4721" s="688" t="s">
        <v>12</v>
      </c>
      <c r="B4721" s="689">
        <v>16.2</v>
      </c>
      <c r="C4721" s="689">
        <v>16.100000000000001</v>
      </c>
      <c r="D4721" s="689">
        <v>16.2</v>
      </c>
      <c r="E4721" s="689">
        <v>16.2</v>
      </c>
      <c r="F4721" s="689">
        <v>16.3</v>
      </c>
      <c r="G4721" s="689">
        <v>16.3</v>
      </c>
      <c r="H4721" s="689">
        <v>16.600000000000001</v>
      </c>
      <c r="I4721" s="689">
        <v>16.3</v>
      </c>
      <c r="J4721" s="693">
        <v>15</v>
      </c>
      <c r="K4721" s="693">
        <v>16</v>
      </c>
    </row>
    <row r="4722" spans="1:11">
      <c r="A4722" s="688" t="s">
        <v>14</v>
      </c>
      <c r="B4722" s="691">
        <v>16.5</v>
      </c>
      <c r="C4722" s="691">
        <v>16.399999999999999</v>
      </c>
      <c r="D4722" s="691">
        <v>16.2</v>
      </c>
      <c r="E4722" s="691">
        <v>16.3</v>
      </c>
      <c r="F4722" s="691">
        <v>16.5</v>
      </c>
      <c r="G4722" s="691">
        <v>16.600000000000001</v>
      </c>
      <c r="H4722" s="691">
        <v>16.899999999999999</v>
      </c>
      <c r="I4722" s="691">
        <v>16.100000000000001</v>
      </c>
      <c r="J4722" s="691">
        <v>15.5</v>
      </c>
      <c r="K4722" s="691">
        <v>16.3</v>
      </c>
    </row>
    <row r="4723" spans="1:11">
      <c r="A4723" s="688" t="s">
        <v>15</v>
      </c>
      <c r="B4723" s="689">
        <v>19.7</v>
      </c>
      <c r="C4723" s="689">
        <v>19.399999999999999</v>
      </c>
      <c r="D4723" s="689">
        <v>19.3</v>
      </c>
      <c r="E4723" s="689">
        <v>19.600000000000001</v>
      </c>
      <c r="F4723" s="689">
        <v>19.100000000000001</v>
      </c>
      <c r="G4723" s="689">
        <v>19.399999999999999</v>
      </c>
      <c r="H4723" s="689">
        <v>19.8</v>
      </c>
      <c r="I4723" s="689">
        <v>19.3</v>
      </c>
      <c r="J4723" s="689">
        <v>19.600000000000001</v>
      </c>
      <c r="K4723" s="693">
        <v>20</v>
      </c>
    </row>
    <row r="4724" spans="1:11">
      <c r="A4724" s="688" t="s">
        <v>29</v>
      </c>
      <c r="B4724" s="691">
        <v>16.100000000000001</v>
      </c>
      <c r="C4724" s="691">
        <v>16.100000000000001</v>
      </c>
      <c r="D4724" s="691">
        <v>15.8</v>
      </c>
      <c r="E4724" s="691">
        <v>16.100000000000001</v>
      </c>
      <c r="F4724" s="691">
        <v>15.9</v>
      </c>
      <c r="G4724" s="615">
        <v>16</v>
      </c>
      <c r="H4724" s="691">
        <v>16.100000000000001</v>
      </c>
      <c r="I4724" s="691">
        <v>15.4</v>
      </c>
      <c r="J4724" s="691">
        <v>14.7</v>
      </c>
      <c r="K4724" s="691">
        <v>15.7</v>
      </c>
    </row>
    <row r="4725" spans="1:11">
      <c r="A4725" s="688" t="s">
        <v>16</v>
      </c>
      <c r="B4725" s="689">
        <v>19.2</v>
      </c>
      <c r="C4725" s="689">
        <v>19.100000000000001</v>
      </c>
      <c r="D4725" s="689">
        <v>19.2</v>
      </c>
      <c r="E4725" s="689">
        <v>19.7</v>
      </c>
      <c r="F4725" s="689">
        <v>19.5</v>
      </c>
      <c r="G4725" s="689">
        <v>19.5</v>
      </c>
      <c r="H4725" s="689">
        <v>19.600000000000001</v>
      </c>
      <c r="I4725" s="689">
        <v>19.2</v>
      </c>
      <c r="J4725" s="689">
        <v>19.2</v>
      </c>
      <c r="K4725" s="689">
        <v>19.399999999999999</v>
      </c>
    </row>
    <row r="4726" spans="1:11">
      <c r="A4726" s="688" t="s">
        <v>17</v>
      </c>
      <c r="B4726" s="615">
        <v>19</v>
      </c>
      <c r="C4726" s="691">
        <v>19.100000000000001</v>
      </c>
      <c r="D4726" s="691">
        <v>18.899999999999999</v>
      </c>
      <c r="E4726" s="615">
        <v>19</v>
      </c>
      <c r="F4726" s="691">
        <v>19.100000000000001</v>
      </c>
      <c r="G4726" s="691">
        <v>19.100000000000001</v>
      </c>
      <c r="H4726" s="691">
        <v>19.3</v>
      </c>
      <c r="I4726" s="691">
        <v>18.600000000000001</v>
      </c>
      <c r="J4726" s="691">
        <v>18.7</v>
      </c>
      <c r="K4726" s="691">
        <v>18.899999999999999</v>
      </c>
    </row>
    <row r="4727" spans="1:11">
      <c r="A4727" s="688" t="s">
        <v>19</v>
      </c>
      <c r="B4727" s="689">
        <v>19.2</v>
      </c>
      <c r="C4727" s="689">
        <v>19.2</v>
      </c>
      <c r="D4727" s="689">
        <v>18.899999999999999</v>
      </c>
      <c r="E4727" s="689">
        <v>19.3</v>
      </c>
      <c r="F4727" s="689">
        <v>19.2</v>
      </c>
      <c r="G4727" s="689">
        <v>19.2</v>
      </c>
      <c r="H4727" s="689">
        <v>19.399999999999999</v>
      </c>
      <c r="I4727" s="689">
        <v>18.8</v>
      </c>
      <c r="J4727" s="689">
        <v>18.8</v>
      </c>
      <c r="K4727" s="689">
        <v>18.899999999999999</v>
      </c>
    </row>
    <row r="4728" spans="1:11">
      <c r="A4728" s="688" t="s">
        <v>20</v>
      </c>
      <c r="B4728" s="691">
        <v>17.3</v>
      </c>
      <c r="C4728" s="691">
        <v>17.399999999999999</v>
      </c>
      <c r="D4728" s="691">
        <v>17.2</v>
      </c>
      <c r="E4728" s="691">
        <v>17.600000000000001</v>
      </c>
      <c r="F4728" s="691">
        <v>17.399999999999999</v>
      </c>
      <c r="G4728" s="691">
        <v>17.3</v>
      </c>
      <c r="H4728" s="691">
        <v>17.600000000000001</v>
      </c>
      <c r="I4728" s="691">
        <v>16.3</v>
      </c>
      <c r="J4728" s="691">
        <v>15.6</v>
      </c>
      <c r="K4728" s="691">
        <v>16.899999999999999</v>
      </c>
    </row>
    <row r="4729" spans="1:11">
      <c r="A4729" s="688" t="s">
        <v>21</v>
      </c>
      <c r="B4729" s="689">
        <v>19.100000000000001</v>
      </c>
      <c r="C4729" s="689">
        <v>19.3</v>
      </c>
      <c r="D4729" s="689">
        <v>19.3</v>
      </c>
      <c r="E4729" s="689">
        <v>19.3</v>
      </c>
      <c r="F4729" s="689">
        <v>19.600000000000001</v>
      </c>
      <c r="G4729" s="689">
        <v>19.5</v>
      </c>
      <c r="H4729" s="689">
        <v>19.8</v>
      </c>
      <c r="I4729" s="689">
        <v>19.3</v>
      </c>
      <c r="J4729" s="689">
        <v>19.3</v>
      </c>
      <c r="K4729" s="689">
        <v>19.600000000000001</v>
      </c>
    </row>
    <row r="4730" spans="1:11">
      <c r="A4730" s="688" t="s">
        <v>22</v>
      </c>
      <c r="B4730" s="691">
        <v>15.9</v>
      </c>
      <c r="C4730" s="691">
        <v>15.7</v>
      </c>
      <c r="D4730" s="691">
        <v>15.6</v>
      </c>
      <c r="E4730" s="691">
        <v>15.9</v>
      </c>
      <c r="F4730" s="691">
        <v>15.9</v>
      </c>
      <c r="G4730" s="615">
        <v>16</v>
      </c>
      <c r="H4730" s="691">
        <v>16.2</v>
      </c>
      <c r="I4730" s="615">
        <v>15</v>
      </c>
      <c r="J4730" s="615">
        <v>14</v>
      </c>
      <c r="K4730" s="691">
        <v>15.5</v>
      </c>
    </row>
    <row r="4731" spans="1:11">
      <c r="A4731" s="688" t="s">
        <v>26</v>
      </c>
      <c r="B4731" s="689">
        <v>18.8</v>
      </c>
      <c r="C4731" s="689">
        <v>18.7</v>
      </c>
      <c r="D4731" s="689">
        <v>18.600000000000001</v>
      </c>
      <c r="E4731" s="689">
        <v>18.899999999999999</v>
      </c>
      <c r="F4731" s="689">
        <v>18.7</v>
      </c>
      <c r="G4731" s="689">
        <v>18.899999999999999</v>
      </c>
      <c r="H4731" s="693">
        <v>19</v>
      </c>
      <c r="I4731" s="689">
        <v>18.100000000000001</v>
      </c>
      <c r="J4731" s="689">
        <v>18.3</v>
      </c>
      <c r="K4731" s="689">
        <v>18.8</v>
      </c>
    </row>
    <row r="4732" spans="1:11">
      <c r="A4732" s="688" t="s">
        <v>25</v>
      </c>
      <c r="B4732" s="691">
        <v>16.3</v>
      </c>
      <c r="C4732" s="691">
        <v>16.600000000000001</v>
      </c>
      <c r="D4732" s="691">
        <v>16.399999999999999</v>
      </c>
      <c r="E4732" s="691">
        <v>16.7</v>
      </c>
      <c r="F4732" s="691">
        <v>16.7</v>
      </c>
      <c r="G4732" s="691">
        <v>16.8</v>
      </c>
      <c r="H4732" s="691">
        <v>17.100000000000001</v>
      </c>
      <c r="I4732" s="691">
        <v>16.3</v>
      </c>
      <c r="J4732" s="691">
        <v>14.7</v>
      </c>
      <c r="K4732" s="691">
        <v>16.399999999999999</v>
      </c>
    </row>
    <row r="4733" spans="1:11">
      <c r="A4733" s="688" t="s">
        <v>5</v>
      </c>
      <c r="B4733" s="689">
        <v>19.3</v>
      </c>
      <c r="C4733" s="689">
        <v>19.100000000000001</v>
      </c>
      <c r="D4733" s="689">
        <v>19.2</v>
      </c>
      <c r="E4733" s="689">
        <v>19.2</v>
      </c>
      <c r="F4733" s="689">
        <v>19.3</v>
      </c>
      <c r="G4733" s="689">
        <v>19.399999999999999</v>
      </c>
      <c r="H4733" s="689">
        <v>19.600000000000001</v>
      </c>
      <c r="I4733" s="689">
        <v>19.600000000000001</v>
      </c>
      <c r="J4733" s="689">
        <v>19.5</v>
      </c>
      <c r="K4733" s="689">
        <v>18.899999999999999</v>
      </c>
    </row>
    <row r="4734" spans="1:11">
      <c r="A4734" s="688" t="s">
        <v>23</v>
      </c>
      <c r="B4734" s="691">
        <v>19.3</v>
      </c>
      <c r="C4734" s="691">
        <v>19.399999999999999</v>
      </c>
      <c r="D4734" s="691">
        <v>19.399999999999999</v>
      </c>
      <c r="E4734" s="691">
        <v>19.5</v>
      </c>
      <c r="F4734" s="691">
        <v>19.5</v>
      </c>
      <c r="G4734" s="691">
        <v>19.600000000000001</v>
      </c>
      <c r="H4734" s="615">
        <v>20</v>
      </c>
      <c r="I4734" s="691">
        <v>19.399999999999999</v>
      </c>
      <c r="J4734" s="691">
        <v>19.899999999999999</v>
      </c>
      <c r="K4734" s="691">
        <v>19.899999999999999</v>
      </c>
    </row>
    <row r="4735" spans="1:11">
      <c r="A4735" s="688" t="s">
        <v>4067</v>
      </c>
      <c r="B4735" s="693">
        <v>19</v>
      </c>
      <c r="C4735" s="689">
        <v>19.3</v>
      </c>
      <c r="D4735" s="689">
        <v>18.899999999999999</v>
      </c>
      <c r="E4735" s="689">
        <v>19.3</v>
      </c>
      <c r="F4735" s="689">
        <v>19.100000000000001</v>
      </c>
      <c r="G4735" s="689">
        <v>19.2</v>
      </c>
      <c r="H4735" s="690" t="s">
        <v>4060</v>
      </c>
      <c r="I4735" s="690" t="s">
        <v>4060</v>
      </c>
      <c r="J4735" s="690" t="s">
        <v>4060</v>
      </c>
      <c r="K4735" s="690" t="s">
        <v>4060</v>
      </c>
    </row>
    <row r="4736" spans="1:11">
      <c r="A4736" s="688" t="s">
        <v>4066</v>
      </c>
      <c r="B4736" s="615">
        <v>19</v>
      </c>
      <c r="C4736" s="691">
        <v>19.3</v>
      </c>
      <c r="D4736" s="691">
        <v>18.899999999999999</v>
      </c>
      <c r="E4736" s="691">
        <v>19.3</v>
      </c>
      <c r="F4736" s="691">
        <v>19.2</v>
      </c>
      <c r="G4736" s="691">
        <v>19.3</v>
      </c>
      <c r="H4736" s="692" t="s">
        <v>4060</v>
      </c>
      <c r="I4736" s="692" t="s">
        <v>4060</v>
      </c>
      <c r="J4736" s="692" t="s">
        <v>4060</v>
      </c>
      <c r="K4736" s="692" t="s">
        <v>4060</v>
      </c>
    </row>
    <row r="4737" spans="1:11">
      <c r="A4737" s="688" t="s">
        <v>4062</v>
      </c>
      <c r="B4737" s="689">
        <v>19.8</v>
      </c>
      <c r="C4737" s="689">
        <v>19.899999999999999</v>
      </c>
      <c r="D4737" s="689">
        <v>19.8</v>
      </c>
      <c r="E4737" s="689">
        <v>20.100000000000001</v>
      </c>
      <c r="F4737" s="689">
        <v>20.100000000000001</v>
      </c>
      <c r="G4737" s="689">
        <v>20.3</v>
      </c>
      <c r="H4737" s="689">
        <v>20.399999999999999</v>
      </c>
      <c r="I4737" s="693">
        <v>20</v>
      </c>
      <c r="J4737" s="689">
        <v>20.3</v>
      </c>
      <c r="K4737" s="689">
        <v>20.100000000000001</v>
      </c>
    </row>
    <row r="4738" spans="1:11">
      <c r="A4738" s="688" t="s">
        <v>9</v>
      </c>
      <c r="B4738" s="691">
        <v>19.2</v>
      </c>
      <c r="C4738" s="691">
        <v>19.7</v>
      </c>
      <c r="D4738" s="691">
        <v>19.5</v>
      </c>
      <c r="E4738" s="615">
        <v>19</v>
      </c>
      <c r="F4738" s="691">
        <v>19.5</v>
      </c>
      <c r="G4738" s="691">
        <v>19.8</v>
      </c>
      <c r="H4738" s="615">
        <v>20</v>
      </c>
      <c r="I4738" s="615">
        <v>20</v>
      </c>
      <c r="J4738" s="691">
        <v>20.2</v>
      </c>
      <c r="K4738" s="691">
        <v>19.3</v>
      </c>
    </row>
    <row r="4739" spans="1:11">
      <c r="A4739" s="688" t="s">
        <v>13</v>
      </c>
      <c r="B4739" s="693">
        <v>20</v>
      </c>
      <c r="C4739" s="689">
        <v>19.100000000000001</v>
      </c>
      <c r="D4739" s="689">
        <v>19.7</v>
      </c>
      <c r="E4739" s="689">
        <v>19.2</v>
      </c>
      <c r="F4739" s="689">
        <v>20.3</v>
      </c>
      <c r="G4739" s="689">
        <v>19.600000000000001</v>
      </c>
      <c r="H4739" s="689">
        <v>20.2</v>
      </c>
      <c r="I4739" s="689">
        <v>18.899999999999999</v>
      </c>
      <c r="J4739" s="689">
        <v>20.7</v>
      </c>
      <c r="K4739" s="689">
        <v>20.5</v>
      </c>
    </row>
    <row r="4740" spans="1:11">
      <c r="A4740" s="688" t="s">
        <v>18</v>
      </c>
      <c r="B4740" s="691">
        <v>19.2</v>
      </c>
      <c r="C4740" s="691">
        <v>19.399999999999999</v>
      </c>
      <c r="D4740" s="691">
        <v>19.399999999999999</v>
      </c>
      <c r="E4740" s="691">
        <v>19.600000000000001</v>
      </c>
      <c r="F4740" s="691">
        <v>19.600000000000001</v>
      </c>
      <c r="G4740" s="691">
        <v>19.8</v>
      </c>
      <c r="H4740" s="691">
        <v>19.899999999999999</v>
      </c>
      <c r="I4740" s="691">
        <v>20.100000000000001</v>
      </c>
      <c r="J4740" s="615">
        <v>20</v>
      </c>
      <c r="K4740" s="691">
        <v>19.5</v>
      </c>
    </row>
    <row r="4741" spans="1:11">
      <c r="A4741" s="688" t="s">
        <v>24</v>
      </c>
      <c r="B4741" s="689">
        <v>20.2</v>
      </c>
      <c r="C4741" s="689">
        <v>20.2</v>
      </c>
      <c r="D4741" s="693">
        <v>20</v>
      </c>
      <c r="E4741" s="689">
        <v>20.399999999999999</v>
      </c>
      <c r="F4741" s="689">
        <v>20.399999999999999</v>
      </c>
      <c r="G4741" s="689">
        <v>20.6</v>
      </c>
      <c r="H4741" s="689">
        <v>20.6</v>
      </c>
      <c r="I4741" s="689">
        <v>19.899999999999999</v>
      </c>
      <c r="J4741" s="689">
        <v>20.5</v>
      </c>
      <c r="K4741" s="689">
        <v>20.399999999999999</v>
      </c>
    </row>
    <row r="4742" spans="1:11">
      <c r="A4742" s="688" t="s">
        <v>4059</v>
      </c>
      <c r="B4742" s="615">
        <v>19</v>
      </c>
      <c r="C4742" s="691">
        <v>19.3</v>
      </c>
      <c r="D4742" s="691">
        <v>18.899999999999999</v>
      </c>
      <c r="E4742" s="691">
        <v>19.2</v>
      </c>
      <c r="F4742" s="691">
        <v>19.2</v>
      </c>
      <c r="G4742" s="691">
        <v>19.3</v>
      </c>
      <c r="H4742" s="692" t="s">
        <v>4060</v>
      </c>
      <c r="I4742" s="692" t="s">
        <v>4060</v>
      </c>
      <c r="J4742" s="692" t="s">
        <v>4060</v>
      </c>
      <c r="K4742" s="692" t="s">
        <v>4060</v>
      </c>
    </row>
    <row r="4743" spans="1:11">
      <c r="A4743" s="688" t="s">
        <v>2324</v>
      </c>
      <c r="B4743" s="689">
        <v>15.6</v>
      </c>
      <c r="C4743" s="689">
        <v>15.7</v>
      </c>
      <c r="D4743" s="689">
        <v>15.4</v>
      </c>
      <c r="E4743" s="689">
        <v>15.4</v>
      </c>
      <c r="F4743" s="689">
        <v>15.6</v>
      </c>
      <c r="G4743" s="689">
        <v>15.7</v>
      </c>
      <c r="H4743" s="689">
        <v>15.8</v>
      </c>
      <c r="I4743" s="693">
        <v>15</v>
      </c>
      <c r="J4743" s="689">
        <v>13.2</v>
      </c>
      <c r="K4743" s="690" t="s">
        <v>4060</v>
      </c>
    </row>
    <row r="4744" spans="1:11">
      <c r="A4744" s="688" t="s">
        <v>2322</v>
      </c>
      <c r="B4744" s="692" t="s">
        <v>4060</v>
      </c>
      <c r="C4744" s="692" t="s">
        <v>4060</v>
      </c>
      <c r="D4744" s="692" t="s">
        <v>4060</v>
      </c>
      <c r="E4744" s="692" t="s">
        <v>4060</v>
      </c>
      <c r="F4744" s="692" t="s">
        <v>4060</v>
      </c>
      <c r="G4744" s="692" t="s">
        <v>4060</v>
      </c>
      <c r="H4744" s="692" t="s">
        <v>4060</v>
      </c>
      <c r="I4744" s="692" t="s">
        <v>4060</v>
      </c>
      <c r="J4744" s="692" t="s">
        <v>4060</v>
      </c>
      <c r="K4744" s="692" t="s">
        <v>4060</v>
      </c>
    </row>
    <row r="4745" spans="1:11">
      <c r="A4745" s="688" t="s">
        <v>2328</v>
      </c>
      <c r="B4745" s="689">
        <v>14.8</v>
      </c>
      <c r="C4745" s="689">
        <v>14.7</v>
      </c>
      <c r="D4745" s="689">
        <v>14.6</v>
      </c>
      <c r="E4745" s="689">
        <v>14.8</v>
      </c>
      <c r="F4745" s="689">
        <v>14.9</v>
      </c>
      <c r="G4745" s="689">
        <v>15.3</v>
      </c>
      <c r="H4745" s="689">
        <v>15.2</v>
      </c>
      <c r="I4745" s="689">
        <v>13.7</v>
      </c>
      <c r="J4745" s="689">
        <v>13.1</v>
      </c>
      <c r="K4745" s="690" t="s">
        <v>4060</v>
      </c>
    </row>
    <row r="4746" spans="1:11">
      <c r="A4746" s="688" t="s">
        <v>2496</v>
      </c>
      <c r="B4746" s="692" t="s">
        <v>4060</v>
      </c>
      <c r="C4746" s="691">
        <v>15.4</v>
      </c>
      <c r="D4746" s="691">
        <v>14.6</v>
      </c>
      <c r="E4746" s="691">
        <v>14.3</v>
      </c>
      <c r="F4746" s="691">
        <v>14.7</v>
      </c>
      <c r="G4746" s="615">
        <v>15</v>
      </c>
      <c r="H4746" s="615">
        <v>15</v>
      </c>
      <c r="I4746" s="692" t="s">
        <v>4060</v>
      </c>
      <c r="J4746" s="692" t="s">
        <v>4060</v>
      </c>
      <c r="K4746" s="691">
        <v>14.5</v>
      </c>
    </row>
    <row r="4747" spans="1:11">
      <c r="A4747" s="688" t="s">
        <v>2269</v>
      </c>
      <c r="B4747" s="689">
        <v>16.600000000000001</v>
      </c>
      <c r="C4747" s="689">
        <v>16.8</v>
      </c>
      <c r="D4747" s="689">
        <v>16.2</v>
      </c>
      <c r="E4747" s="689">
        <v>16.7</v>
      </c>
      <c r="F4747" s="689">
        <v>16.600000000000001</v>
      </c>
      <c r="G4747" s="693">
        <v>17</v>
      </c>
      <c r="H4747" s="689">
        <v>17.2</v>
      </c>
      <c r="I4747" s="689">
        <v>15.8</v>
      </c>
      <c r="J4747" s="689">
        <v>14.1</v>
      </c>
      <c r="K4747" s="689">
        <v>16.899999999999999</v>
      </c>
    </row>
    <row r="4748" spans="1:11">
      <c r="A4748" s="688" t="s">
        <v>2349</v>
      </c>
      <c r="B4748" s="615">
        <v>15</v>
      </c>
      <c r="C4748" s="615">
        <v>15</v>
      </c>
      <c r="D4748" s="615">
        <v>15</v>
      </c>
      <c r="E4748" s="691">
        <v>15.3</v>
      </c>
      <c r="F4748" s="691">
        <v>15.1</v>
      </c>
      <c r="G4748" s="691">
        <v>15.3</v>
      </c>
      <c r="H4748" s="691">
        <v>15.4</v>
      </c>
      <c r="I4748" s="691">
        <v>14.4</v>
      </c>
      <c r="J4748" s="691">
        <v>13.1</v>
      </c>
      <c r="K4748" s="691">
        <v>14.7</v>
      </c>
    </row>
    <row r="4749" spans="1:11">
      <c r="A4749" s="688" t="s">
        <v>2355</v>
      </c>
      <c r="B4749" s="689">
        <v>17.399999999999999</v>
      </c>
      <c r="C4749" s="689">
        <v>17.2</v>
      </c>
      <c r="D4749" s="689">
        <v>17.2</v>
      </c>
      <c r="E4749" s="689">
        <v>17.100000000000001</v>
      </c>
      <c r="F4749" s="689">
        <v>17.3</v>
      </c>
      <c r="G4749" s="689">
        <v>17.600000000000001</v>
      </c>
      <c r="H4749" s="689">
        <v>17.600000000000001</v>
      </c>
      <c r="I4749" s="690" t="s">
        <v>4060</v>
      </c>
      <c r="J4749" s="690" t="s">
        <v>4060</v>
      </c>
      <c r="K4749" s="690" t="s">
        <v>4060</v>
      </c>
    </row>
    <row r="4750" spans="1:11">
      <c r="A4750" s="688" t="s">
        <v>2357</v>
      </c>
      <c r="B4750" s="692" t="s">
        <v>4060</v>
      </c>
      <c r="C4750" s="691">
        <v>14.8</v>
      </c>
      <c r="D4750" s="691">
        <v>15.1</v>
      </c>
      <c r="E4750" s="691">
        <v>15.3</v>
      </c>
      <c r="F4750" s="691">
        <v>15.5</v>
      </c>
      <c r="G4750" s="691">
        <v>15.4</v>
      </c>
      <c r="H4750" s="691">
        <v>15.5</v>
      </c>
      <c r="I4750" s="692" t="s">
        <v>4060</v>
      </c>
      <c r="J4750" s="692" t="s">
        <v>4060</v>
      </c>
      <c r="K4750" s="692" t="s">
        <v>4060</v>
      </c>
    </row>
    <row r="4751" spans="1:11">
      <c r="A4751" s="688" t="s">
        <v>4070</v>
      </c>
      <c r="B4751" s="690" t="s">
        <v>4060</v>
      </c>
      <c r="C4751" s="690" t="s">
        <v>4060</v>
      </c>
      <c r="D4751" s="690" t="s">
        <v>4060</v>
      </c>
      <c r="E4751" s="689">
        <v>16.899999999999999</v>
      </c>
      <c r="F4751" s="690" t="s">
        <v>4060</v>
      </c>
      <c r="G4751" s="690" t="s">
        <v>4060</v>
      </c>
      <c r="H4751" s="690" t="s">
        <v>4060</v>
      </c>
      <c r="I4751" s="690" t="s">
        <v>4060</v>
      </c>
      <c r="J4751" s="690" t="s">
        <v>4060</v>
      </c>
      <c r="K4751" s="690" t="s">
        <v>4060</v>
      </c>
    </row>
    <row r="4752" spans="1:11">
      <c r="A4752" s="688" t="s">
        <v>2491</v>
      </c>
      <c r="B4752" s="691">
        <v>14.9</v>
      </c>
      <c r="C4752" s="691">
        <v>15.3</v>
      </c>
      <c r="D4752" s="691">
        <v>15.4</v>
      </c>
      <c r="E4752" s="691">
        <v>15.4</v>
      </c>
      <c r="F4752" s="691">
        <v>15.5</v>
      </c>
      <c r="G4752" s="691">
        <v>15.5</v>
      </c>
      <c r="H4752" s="692" t="s">
        <v>4060</v>
      </c>
      <c r="I4752" s="692" t="s">
        <v>4060</v>
      </c>
      <c r="J4752" s="692" t="s">
        <v>4060</v>
      </c>
      <c r="K4752" s="692" t="s">
        <v>4060</v>
      </c>
    </row>
    <row r="4753" spans="1:11">
      <c r="A4753" s="688" t="s">
        <v>2343</v>
      </c>
      <c r="B4753" s="690" t="s">
        <v>4060</v>
      </c>
      <c r="C4753" s="690" t="s">
        <v>4060</v>
      </c>
      <c r="D4753" s="690" t="s">
        <v>4060</v>
      </c>
      <c r="E4753" s="690" t="s">
        <v>4060</v>
      </c>
      <c r="F4753" s="690" t="s">
        <v>4060</v>
      </c>
      <c r="G4753" s="690" t="s">
        <v>4060</v>
      </c>
      <c r="H4753" s="690" t="s">
        <v>4060</v>
      </c>
      <c r="I4753" s="690" t="s">
        <v>4060</v>
      </c>
      <c r="J4753" s="690" t="s">
        <v>4060</v>
      </c>
      <c r="K4753" s="690" t="s">
        <v>4060</v>
      </c>
    </row>
    <row r="4754" spans="1:11">
      <c r="A4754" s="688" t="s">
        <v>4071</v>
      </c>
      <c r="B4754" s="692" t="s">
        <v>4060</v>
      </c>
      <c r="C4754" s="692" t="s">
        <v>4060</v>
      </c>
      <c r="D4754" s="692" t="s">
        <v>4060</v>
      </c>
      <c r="E4754" s="692" t="s">
        <v>4060</v>
      </c>
      <c r="F4754" s="692" t="s">
        <v>4060</v>
      </c>
      <c r="G4754" s="692" t="s">
        <v>4060</v>
      </c>
      <c r="H4754" s="692" t="s">
        <v>4060</v>
      </c>
      <c r="I4754" s="692" t="s">
        <v>4060</v>
      </c>
      <c r="J4754" s="692" t="s">
        <v>4060</v>
      </c>
      <c r="K4754" s="692" t="s">
        <v>4060</v>
      </c>
    </row>
    <row r="4755" spans="1:11">
      <c r="A4755" s="688" t="s">
        <v>2489</v>
      </c>
      <c r="B4755" s="690" t="s">
        <v>4060</v>
      </c>
      <c r="C4755" s="690" t="s">
        <v>4060</v>
      </c>
      <c r="D4755" s="689">
        <v>15.3</v>
      </c>
      <c r="E4755" s="689">
        <v>15.3</v>
      </c>
      <c r="F4755" s="689">
        <v>15.6</v>
      </c>
      <c r="G4755" s="689">
        <v>16.100000000000001</v>
      </c>
      <c r="H4755" s="689">
        <v>16.100000000000001</v>
      </c>
      <c r="I4755" s="690" t="s">
        <v>4060</v>
      </c>
      <c r="J4755" s="690" t="s">
        <v>4060</v>
      </c>
      <c r="K4755" s="690" t="s">
        <v>4060</v>
      </c>
    </row>
    <row r="4756" spans="1:11">
      <c r="A4756" s="688" t="s">
        <v>2490</v>
      </c>
      <c r="B4756" s="615">
        <v>15</v>
      </c>
      <c r="C4756" s="691">
        <v>14.9</v>
      </c>
      <c r="D4756" s="691">
        <v>15.6</v>
      </c>
      <c r="E4756" s="692" t="s">
        <v>4060</v>
      </c>
      <c r="F4756" s="691">
        <v>15.8</v>
      </c>
      <c r="G4756" s="691">
        <v>15.9</v>
      </c>
      <c r="H4756" s="691">
        <v>16.600000000000001</v>
      </c>
      <c r="I4756" s="692" t="s">
        <v>4060</v>
      </c>
      <c r="J4756" s="692" t="s">
        <v>4060</v>
      </c>
      <c r="K4756" s="692" t="s">
        <v>4060</v>
      </c>
    </row>
    <row r="4758" spans="1:11">
      <c r="A4758" s="683" t="s">
        <v>4233</v>
      </c>
    </row>
    <row r="4759" spans="1:11">
      <c r="A4759" s="683" t="s">
        <v>4060</v>
      </c>
      <c r="B4759" s="682" t="s">
        <v>4234</v>
      </c>
    </row>
    <row r="4761" spans="1:11">
      <c r="A4761" s="682" t="s">
        <v>4248</v>
      </c>
    </row>
    <row r="4762" spans="1:11">
      <c r="A4762" s="682" t="s">
        <v>4210</v>
      </c>
      <c r="B4762" s="683" t="s">
        <v>4211</v>
      </c>
    </row>
    <row r="4763" spans="1:11">
      <c r="A4763" s="682" t="s">
        <v>4212</v>
      </c>
      <c r="B4763" s="682" t="s">
        <v>4213</v>
      </c>
    </row>
    <row r="4765" spans="1:11">
      <c r="A4765" s="683" t="s">
        <v>4214</v>
      </c>
      <c r="C4765" s="682" t="s">
        <v>4215</v>
      </c>
    </row>
    <row r="4766" spans="1:11">
      <c r="A4766" s="683" t="s">
        <v>4216</v>
      </c>
      <c r="C4766" s="682" t="s">
        <v>2967</v>
      </c>
    </row>
    <row r="4767" spans="1:11">
      <c r="A4767" s="683" t="s">
        <v>3893</v>
      </c>
      <c r="C4767" s="682" t="s">
        <v>4217</v>
      </c>
    </row>
    <row r="4768" spans="1:11">
      <c r="A4768" s="683" t="s">
        <v>4218</v>
      </c>
      <c r="C4768" s="682" t="s">
        <v>4301</v>
      </c>
    </row>
    <row r="4770" spans="1:11">
      <c r="A4770" s="684" t="s">
        <v>4220</v>
      </c>
      <c r="B4770" s="685" t="s">
        <v>4221</v>
      </c>
      <c r="C4770" s="685" t="s">
        <v>4222</v>
      </c>
      <c r="D4770" s="685" t="s">
        <v>4223</v>
      </c>
      <c r="E4770" s="685" t="s">
        <v>4224</v>
      </c>
      <c r="F4770" s="685" t="s">
        <v>4225</v>
      </c>
      <c r="G4770" s="685" t="s">
        <v>4226</v>
      </c>
      <c r="H4770" s="685" t="s">
        <v>4227</v>
      </c>
      <c r="I4770" s="685" t="s">
        <v>4228</v>
      </c>
      <c r="J4770" s="685" t="s">
        <v>4229</v>
      </c>
      <c r="K4770" s="685" t="s">
        <v>4230</v>
      </c>
    </row>
    <row r="4771" spans="1:11">
      <c r="A4771" s="686" t="s">
        <v>4231</v>
      </c>
      <c r="B4771" s="687" t="s">
        <v>4232</v>
      </c>
      <c r="C4771" s="687" t="s">
        <v>4232</v>
      </c>
      <c r="D4771" s="687" t="s">
        <v>4232</v>
      </c>
      <c r="E4771" s="687" t="s">
        <v>4232</v>
      </c>
      <c r="F4771" s="687" t="s">
        <v>4232</v>
      </c>
      <c r="G4771" s="687" t="s">
        <v>4232</v>
      </c>
      <c r="H4771" s="687" t="s">
        <v>4232</v>
      </c>
      <c r="I4771" s="687" t="s">
        <v>4232</v>
      </c>
      <c r="J4771" s="687" t="s">
        <v>4232</v>
      </c>
      <c r="K4771" s="687" t="s">
        <v>4232</v>
      </c>
    </row>
    <row r="4772" spans="1:11">
      <c r="A4772" s="688" t="s">
        <v>4064</v>
      </c>
      <c r="B4772" s="691">
        <v>18.2</v>
      </c>
      <c r="C4772" s="691">
        <v>18.2</v>
      </c>
      <c r="D4772" s="691">
        <v>18.100000000000001</v>
      </c>
      <c r="E4772" s="691">
        <v>18.2</v>
      </c>
      <c r="F4772" s="691">
        <v>18.2</v>
      </c>
      <c r="G4772" s="691">
        <v>18.3</v>
      </c>
      <c r="H4772" s="691">
        <v>18.399999999999999</v>
      </c>
      <c r="I4772" s="691">
        <v>17.7</v>
      </c>
      <c r="J4772" s="691">
        <v>17.600000000000001</v>
      </c>
      <c r="K4772" s="691">
        <v>17.899999999999999</v>
      </c>
    </row>
    <row r="4773" spans="1:11">
      <c r="A4773" s="688" t="s">
        <v>4065</v>
      </c>
      <c r="B4773" s="689">
        <v>18.2</v>
      </c>
      <c r="C4773" s="689">
        <v>18.5</v>
      </c>
      <c r="D4773" s="689">
        <v>18.100000000000001</v>
      </c>
      <c r="E4773" s="689">
        <v>18.5</v>
      </c>
      <c r="F4773" s="689">
        <v>18.399999999999999</v>
      </c>
      <c r="G4773" s="689">
        <v>18.5</v>
      </c>
      <c r="H4773" s="690" t="s">
        <v>4060</v>
      </c>
      <c r="I4773" s="690" t="s">
        <v>4060</v>
      </c>
      <c r="J4773" s="690" t="s">
        <v>4060</v>
      </c>
      <c r="K4773" s="690" t="s">
        <v>4060</v>
      </c>
    </row>
    <row r="4774" spans="1:11">
      <c r="A4774" s="688" t="s">
        <v>4063</v>
      </c>
      <c r="B4774" s="691">
        <v>18.2</v>
      </c>
      <c r="C4774" s="691">
        <v>18.5</v>
      </c>
      <c r="D4774" s="691">
        <v>18.2</v>
      </c>
      <c r="E4774" s="691">
        <v>18.5</v>
      </c>
      <c r="F4774" s="691">
        <v>18.399999999999999</v>
      </c>
      <c r="G4774" s="691">
        <v>18.5</v>
      </c>
      <c r="H4774" s="692" t="s">
        <v>4060</v>
      </c>
      <c r="I4774" s="692" t="s">
        <v>4060</v>
      </c>
      <c r="J4774" s="692" t="s">
        <v>4060</v>
      </c>
      <c r="K4774" s="692" t="s">
        <v>4060</v>
      </c>
    </row>
    <row r="4775" spans="1:11">
      <c r="A4775" s="688" t="s">
        <v>4069</v>
      </c>
      <c r="B4775" s="690" t="s">
        <v>4060</v>
      </c>
      <c r="C4775" s="689">
        <v>18.7</v>
      </c>
      <c r="D4775" s="689">
        <v>18.399999999999999</v>
      </c>
      <c r="E4775" s="689">
        <v>18.7</v>
      </c>
      <c r="F4775" s="689">
        <v>18.7</v>
      </c>
      <c r="G4775" s="689">
        <v>18.8</v>
      </c>
      <c r="H4775" s="693">
        <v>19</v>
      </c>
      <c r="I4775" s="689">
        <v>18.3</v>
      </c>
      <c r="J4775" s="689">
        <v>18.399999999999999</v>
      </c>
      <c r="K4775" s="689">
        <v>18.5</v>
      </c>
    </row>
    <row r="4776" spans="1:11">
      <c r="A4776" s="688" t="s">
        <v>4068</v>
      </c>
      <c r="B4776" s="691">
        <v>18.8</v>
      </c>
      <c r="C4776" s="692" t="s">
        <v>4060</v>
      </c>
      <c r="D4776" s="692" t="s">
        <v>4060</v>
      </c>
      <c r="E4776" s="692" t="s">
        <v>4060</v>
      </c>
      <c r="F4776" s="692" t="s">
        <v>4060</v>
      </c>
      <c r="G4776" s="692" t="s">
        <v>4060</v>
      </c>
      <c r="H4776" s="692" t="s">
        <v>4060</v>
      </c>
      <c r="I4776" s="692" t="s">
        <v>4060</v>
      </c>
      <c r="J4776" s="692" t="s">
        <v>4060</v>
      </c>
      <c r="K4776" s="692" t="s">
        <v>4060</v>
      </c>
    </row>
    <row r="4777" spans="1:11">
      <c r="A4777" s="688" t="s">
        <v>0</v>
      </c>
      <c r="B4777" s="689">
        <v>18.2</v>
      </c>
      <c r="C4777" s="689">
        <v>18.399999999999999</v>
      </c>
      <c r="D4777" s="689">
        <v>18.2</v>
      </c>
      <c r="E4777" s="689">
        <v>18.5</v>
      </c>
      <c r="F4777" s="689">
        <v>18.5</v>
      </c>
      <c r="G4777" s="689">
        <v>18.5</v>
      </c>
      <c r="H4777" s="689">
        <v>18.8</v>
      </c>
      <c r="I4777" s="689">
        <v>17.7</v>
      </c>
      <c r="J4777" s="689">
        <v>18.600000000000001</v>
      </c>
      <c r="K4777" s="689">
        <v>18.5</v>
      </c>
    </row>
    <row r="4778" spans="1:11">
      <c r="A4778" s="688" t="s">
        <v>1</v>
      </c>
      <c r="B4778" s="691">
        <v>14.9</v>
      </c>
      <c r="C4778" s="691">
        <v>14.6</v>
      </c>
      <c r="D4778" s="691">
        <v>14.5</v>
      </c>
      <c r="E4778" s="691">
        <v>14.8</v>
      </c>
      <c r="F4778" s="691">
        <v>14.6</v>
      </c>
      <c r="G4778" s="691">
        <v>14.8</v>
      </c>
      <c r="H4778" s="691">
        <v>14.8</v>
      </c>
      <c r="I4778" s="691">
        <v>13.8</v>
      </c>
      <c r="J4778" s="691">
        <v>12.5</v>
      </c>
      <c r="K4778" s="691">
        <v>14.2</v>
      </c>
    </row>
    <row r="4779" spans="1:11">
      <c r="A4779" s="688" t="s">
        <v>2240</v>
      </c>
      <c r="B4779" s="689">
        <v>16.2</v>
      </c>
      <c r="C4779" s="689">
        <v>16.5</v>
      </c>
      <c r="D4779" s="689">
        <v>16.2</v>
      </c>
      <c r="E4779" s="689">
        <v>16.600000000000001</v>
      </c>
      <c r="F4779" s="689">
        <v>16.5</v>
      </c>
      <c r="G4779" s="689">
        <v>16.600000000000001</v>
      </c>
      <c r="H4779" s="689">
        <v>16.8</v>
      </c>
      <c r="I4779" s="689">
        <v>15.8</v>
      </c>
      <c r="J4779" s="689">
        <v>15.3</v>
      </c>
      <c r="K4779" s="689">
        <v>16.5</v>
      </c>
    </row>
    <row r="4780" spans="1:11">
      <c r="A4780" s="688" t="s">
        <v>2</v>
      </c>
      <c r="B4780" s="691">
        <v>17.600000000000001</v>
      </c>
      <c r="C4780" s="691">
        <v>17.8</v>
      </c>
      <c r="D4780" s="691">
        <v>17.8</v>
      </c>
      <c r="E4780" s="691">
        <v>17.899999999999999</v>
      </c>
      <c r="F4780" s="615">
        <v>18</v>
      </c>
      <c r="G4780" s="691">
        <v>17.8</v>
      </c>
      <c r="H4780" s="691">
        <v>18.100000000000001</v>
      </c>
      <c r="I4780" s="691">
        <v>18.2</v>
      </c>
      <c r="J4780" s="615">
        <v>18</v>
      </c>
      <c r="K4780" s="691">
        <v>17.8</v>
      </c>
    </row>
    <row r="4781" spans="1:11">
      <c r="A4781" s="688" t="s">
        <v>3</v>
      </c>
      <c r="B4781" s="689">
        <v>17.899999999999999</v>
      </c>
      <c r="C4781" s="689">
        <v>18.100000000000001</v>
      </c>
      <c r="D4781" s="689">
        <v>17.8</v>
      </c>
      <c r="E4781" s="689">
        <v>18.100000000000001</v>
      </c>
      <c r="F4781" s="693">
        <v>18</v>
      </c>
      <c r="G4781" s="693">
        <v>18</v>
      </c>
      <c r="H4781" s="689">
        <v>18.2</v>
      </c>
      <c r="I4781" s="693">
        <v>18</v>
      </c>
      <c r="J4781" s="689">
        <v>17.8</v>
      </c>
      <c r="K4781" s="689">
        <v>17.600000000000001</v>
      </c>
    </row>
    <row r="4782" spans="1:11">
      <c r="A4782" s="688" t="s">
        <v>4061</v>
      </c>
      <c r="B4782" s="691">
        <v>17.899999999999999</v>
      </c>
      <c r="C4782" s="691">
        <v>18.100000000000001</v>
      </c>
      <c r="D4782" s="691">
        <v>17.8</v>
      </c>
      <c r="E4782" s="691">
        <v>18.100000000000001</v>
      </c>
      <c r="F4782" s="615">
        <v>18</v>
      </c>
      <c r="G4782" s="615">
        <v>18</v>
      </c>
      <c r="H4782" s="691">
        <v>18.2</v>
      </c>
      <c r="I4782" s="615">
        <v>18</v>
      </c>
      <c r="J4782" s="691">
        <v>17.8</v>
      </c>
      <c r="K4782" s="691">
        <v>17.600000000000001</v>
      </c>
    </row>
    <row r="4783" spans="1:11">
      <c r="A4783" s="688" t="s">
        <v>4</v>
      </c>
      <c r="B4783" s="689">
        <v>16.899999999999999</v>
      </c>
      <c r="C4783" s="689">
        <v>16.600000000000001</v>
      </c>
      <c r="D4783" s="689">
        <v>16.899999999999999</v>
      </c>
      <c r="E4783" s="693">
        <v>17</v>
      </c>
      <c r="F4783" s="693">
        <v>17</v>
      </c>
      <c r="G4783" s="693">
        <v>17</v>
      </c>
      <c r="H4783" s="689">
        <v>17.3</v>
      </c>
      <c r="I4783" s="689">
        <v>17.399999999999999</v>
      </c>
      <c r="J4783" s="689">
        <v>16.100000000000001</v>
      </c>
      <c r="K4783" s="689">
        <v>16.8</v>
      </c>
    </row>
    <row r="4784" spans="1:11">
      <c r="A4784" s="688" t="s">
        <v>8</v>
      </c>
      <c r="B4784" s="691">
        <v>17.899999999999999</v>
      </c>
      <c r="C4784" s="691">
        <v>18.100000000000001</v>
      </c>
      <c r="D4784" s="615">
        <v>18</v>
      </c>
      <c r="E4784" s="691">
        <v>18.100000000000001</v>
      </c>
      <c r="F4784" s="691">
        <v>18.399999999999999</v>
      </c>
      <c r="G4784" s="691">
        <v>18.5</v>
      </c>
      <c r="H4784" s="691">
        <v>18.8</v>
      </c>
      <c r="I4784" s="691">
        <v>18.600000000000001</v>
      </c>
      <c r="J4784" s="691">
        <v>18.5</v>
      </c>
      <c r="K4784" s="691">
        <v>18.600000000000001</v>
      </c>
    </row>
    <row r="4785" spans="1:11">
      <c r="A4785" s="688" t="s">
        <v>7</v>
      </c>
      <c r="B4785" s="689">
        <v>18.600000000000001</v>
      </c>
      <c r="C4785" s="689">
        <v>18.100000000000001</v>
      </c>
      <c r="D4785" s="689">
        <v>17.899999999999999</v>
      </c>
      <c r="E4785" s="689">
        <v>18.2</v>
      </c>
      <c r="F4785" s="689">
        <v>18.100000000000001</v>
      </c>
      <c r="G4785" s="689">
        <v>18.5</v>
      </c>
      <c r="H4785" s="689">
        <v>18.399999999999999</v>
      </c>
      <c r="I4785" s="689">
        <v>18.2</v>
      </c>
      <c r="J4785" s="689">
        <v>17.5</v>
      </c>
      <c r="K4785" s="689">
        <v>17.8</v>
      </c>
    </row>
    <row r="4786" spans="1:11">
      <c r="A4786" s="688" t="s">
        <v>27</v>
      </c>
      <c r="B4786" s="691">
        <v>19.8</v>
      </c>
      <c r="C4786" s="691">
        <v>19.5</v>
      </c>
      <c r="D4786" s="691">
        <v>19.100000000000001</v>
      </c>
      <c r="E4786" s="691">
        <v>19.5</v>
      </c>
      <c r="F4786" s="691">
        <v>19.5</v>
      </c>
      <c r="G4786" s="691">
        <v>19.600000000000001</v>
      </c>
      <c r="H4786" s="691">
        <v>19.899999999999999</v>
      </c>
      <c r="I4786" s="691">
        <v>18.7</v>
      </c>
      <c r="J4786" s="691">
        <v>19.5</v>
      </c>
      <c r="K4786" s="691">
        <v>19.5</v>
      </c>
    </row>
    <row r="4787" spans="1:11">
      <c r="A4787" s="688" t="s">
        <v>6</v>
      </c>
      <c r="B4787" s="689">
        <v>20.100000000000001</v>
      </c>
      <c r="C4787" s="689">
        <v>19.899999999999999</v>
      </c>
      <c r="D4787" s="689">
        <v>19.600000000000001</v>
      </c>
      <c r="E4787" s="689">
        <v>19.899999999999999</v>
      </c>
      <c r="F4787" s="689">
        <v>19.899999999999999</v>
      </c>
      <c r="G4787" s="693">
        <v>20</v>
      </c>
      <c r="H4787" s="689">
        <v>20.100000000000001</v>
      </c>
      <c r="I4787" s="689">
        <v>19.5</v>
      </c>
      <c r="J4787" s="689">
        <v>19.600000000000001</v>
      </c>
      <c r="K4787" s="689">
        <v>19.600000000000001</v>
      </c>
    </row>
    <row r="4788" spans="1:11">
      <c r="A4788" s="688" t="s">
        <v>4058</v>
      </c>
      <c r="B4788" s="692" t="s">
        <v>4060</v>
      </c>
      <c r="C4788" s="692" t="s">
        <v>4060</v>
      </c>
      <c r="D4788" s="692" t="s">
        <v>4060</v>
      </c>
      <c r="E4788" s="692" t="s">
        <v>4060</v>
      </c>
      <c r="F4788" s="692" t="s">
        <v>4060</v>
      </c>
      <c r="G4788" s="692" t="s">
        <v>4060</v>
      </c>
      <c r="H4788" s="692" t="s">
        <v>4060</v>
      </c>
      <c r="I4788" s="692" t="s">
        <v>4060</v>
      </c>
      <c r="J4788" s="692" t="s">
        <v>4060</v>
      </c>
      <c r="K4788" s="692" t="s">
        <v>4060</v>
      </c>
    </row>
    <row r="4789" spans="1:11">
      <c r="A4789" s="688" t="s">
        <v>11</v>
      </c>
      <c r="B4789" s="689">
        <v>15.9</v>
      </c>
      <c r="C4789" s="689">
        <v>15.8</v>
      </c>
      <c r="D4789" s="689">
        <v>15.5</v>
      </c>
      <c r="E4789" s="689">
        <v>15.9</v>
      </c>
      <c r="F4789" s="689">
        <v>15.8</v>
      </c>
      <c r="G4789" s="693">
        <v>16</v>
      </c>
      <c r="H4789" s="689">
        <v>16.2</v>
      </c>
      <c r="I4789" s="689">
        <v>15.5</v>
      </c>
      <c r="J4789" s="689">
        <v>14.9</v>
      </c>
      <c r="K4789" s="689">
        <v>15.6</v>
      </c>
    </row>
    <row r="4790" spans="1:11">
      <c r="A4790" s="688" t="s">
        <v>10</v>
      </c>
      <c r="B4790" s="691">
        <v>19.3</v>
      </c>
      <c r="C4790" s="691">
        <v>19.100000000000001</v>
      </c>
      <c r="D4790" s="691">
        <v>18.7</v>
      </c>
      <c r="E4790" s="691">
        <v>19.2</v>
      </c>
      <c r="F4790" s="615">
        <v>19</v>
      </c>
      <c r="G4790" s="691">
        <v>19.3</v>
      </c>
      <c r="H4790" s="691">
        <v>19.5</v>
      </c>
      <c r="I4790" s="691">
        <v>18.399999999999999</v>
      </c>
      <c r="J4790" s="691">
        <v>18.8</v>
      </c>
      <c r="K4790" s="691">
        <v>18.899999999999999</v>
      </c>
    </row>
    <row r="4791" spans="1:11">
      <c r="A4791" s="688" t="s">
        <v>30</v>
      </c>
      <c r="B4791" s="689">
        <v>18.5</v>
      </c>
      <c r="C4791" s="689">
        <v>18.3</v>
      </c>
      <c r="D4791" s="693">
        <v>18</v>
      </c>
      <c r="E4791" s="689">
        <v>18.7</v>
      </c>
      <c r="F4791" s="689">
        <v>18.399999999999999</v>
      </c>
      <c r="G4791" s="689">
        <v>18.899999999999999</v>
      </c>
      <c r="H4791" s="689">
        <v>18.7</v>
      </c>
      <c r="I4791" s="689">
        <v>18.899999999999999</v>
      </c>
      <c r="J4791" s="689">
        <v>18.3</v>
      </c>
      <c r="K4791" s="689">
        <v>18.399999999999999</v>
      </c>
    </row>
    <row r="4792" spans="1:11">
      <c r="A4792" s="688" t="s">
        <v>12</v>
      </c>
      <c r="B4792" s="691">
        <v>15.5</v>
      </c>
      <c r="C4792" s="691">
        <v>15.5</v>
      </c>
      <c r="D4792" s="691">
        <v>15.5</v>
      </c>
      <c r="E4792" s="691">
        <v>15.6</v>
      </c>
      <c r="F4792" s="691">
        <v>15.6</v>
      </c>
      <c r="G4792" s="691">
        <v>15.7</v>
      </c>
      <c r="H4792" s="691">
        <v>15.9</v>
      </c>
      <c r="I4792" s="691">
        <v>15.7</v>
      </c>
      <c r="J4792" s="691">
        <v>14.4</v>
      </c>
      <c r="K4792" s="691">
        <v>15.3</v>
      </c>
    </row>
    <row r="4793" spans="1:11">
      <c r="A4793" s="688" t="s">
        <v>14</v>
      </c>
      <c r="B4793" s="689">
        <v>15.8</v>
      </c>
      <c r="C4793" s="689">
        <v>15.8</v>
      </c>
      <c r="D4793" s="689">
        <v>15.6</v>
      </c>
      <c r="E4793" s="689">
        <v>15.7</v>
      </c>
      <c r="F4793" s="689">
        <v>15.8</v>
      </c>
      <c r="G4793" s="689">
        <v>15.9</v>
      </c>
      <c r="H4793" s="689">
        <v>16.3</v>
      </c>
      <c r="I4793" s="689">
        <v>15.4</v>
      </c>
      <c r="J4793" s="689">
        <v>14.8</v>
      </c>
      <c r="K4793" s="689">
        <v>15.6</v>
      </c>
    </row>
    <row r="4794" spans="1:11">
      <c r="A4794" s="688" t="s">
        <v>15</v>
      </c>
      <c r="B4794" s="615">
        <v>19</v>
      </c>
      <c r="C4794" s="691">
        <v>18.600000000000001</v>
      </c>
      <c r="D4794" s="691">
        <v>18.399999999999999</v>
      </c>
      <c r="E4794" s="691">
        <v>18.899999999999999</v>
      </c>
      <c r="F4794" s="691">
        <v>18.399999999999999</v>
      </c>
      <c r="G4794" s="691">
        <v>18.600000000000001</v>
      </c>
      <c r="H4794" s="615">
        <v>19</v>
      </c>
      <c r="I4794" s="691">
        <v>18.5</v>
      </c>
      <c r="J4794" s="691">
        <v>18.8</v>
      </c>
      <c r="K4794" s="691">
        <v>19.100000000000001</v>
      </c>
    </row>
    <row r="4795" spans="1:11">
      <c r="A4795" s="688" t="s">
        <v>29</v>
      </c>
      <c r="B4795" s="689">
        <v>15.4</v>
      </c>
      <c r="C4795" s="689">
        <v>15.4</v>
      </c>
      <c r="D4795" s="689">
        <v>15.1</v>
      </c>
      <c r="E4795" s="689">
        <v>15.5</v>
      </c>
      <c r="F4795" s="689">
        <v>15.2</v>
      </c>
      <c r="G4795" s="689">
        <v>15.3</v>
      </c>
      <c r="H4795" s="689">
        <v>15.4</v>
      </c>
      <c r="I4795" s="689">
        <v>14.8</v>
      </c>
      <c r="J4795" s="689">
        <v>14.1</v>
      </c>
      <c r="K4795" s="693">
        <v>15</v>
      </c>
    </row>
    <row r="4796" spans="1:11">
      <c r="A4796" s="688" t="s">
        <v>16</v>
      </c>
      <c r="B4796" s="691">
        <v>18.3</v>
      </c>
      <c r="C4796" s="691">
        <v>18.3</v>
      </c>
      <c r="D4796" s="691">
        <v>18.399999999999999</v>
      </c>
      <c r="E4796" s="691">
        <v>18.899999999999999</v>
      </c>
      <c r="F4796" s="691">
        <v>18.7</v>
      </c>
      <c r="G4796" s="691">
        <v>18.600000000000001</v>
      </c>
      <c r="H4796" s="691">
        <v>18.8</v>
      </c>
      <c r="I4796" s="691">
        <v>18.3</v>
      </c>
      <c r="J4796" s="691">
        <v>18.399999999999999</v>
      </c>
      <c r="K4796" s="691">
        <v>18.5</v>
      </c>
    </row>
    <row r="4797" spans="1:11">
      <c r="A4797" s="688" t="s">
        <v>17</v>
      </c>
      <c r="B4797" s="689">
        <v>18.2</v>
      </c>
      <c r="C4797" s="689">
        <v>18.3</v>
      </c>
      <c r="D4797" s="689">
        <v>18.100000000000001</v>
      </c>
      <c r="E4797" s="689">
        <v>18.2</v>
      </c>
      <c r="F4797" s="689">
        <v>18.3</v>
      </c>
      <c r="G4797" s="689">
        <v>18.3</v>
      </c>
      <c r="H4797" s="689">
        <v>18.5</v>
      </c>
      <c r="I4797" s="689">
        <v>17.8</v>
      </c>
      <c r="J4797" s="689">
        <v>17.899999999999999</v>
      </c>
      <c r="K4797" s="689">
        <v>18.100000000000001</v>
      </c>
    </row>
    <row r="4798" spans="1:11">
      <c r="A4798" s="688" t="s">
        <v>19</v>
      </c>
      <c r="B4798" s="691">
        <v>18.399999999999999</v>
      </c>
      <c r="C4798" s="691">
        <v>18.5</v>
      </c>
      <c r="D4798" s="691">
        <v>18.100000000000001</v>
      </c>
      <c r="E4798" s="691">
        <v>18.5</v>
      </c>
      <c r="F4798" s="691">
        <v>18.399999999999999</v>
      </c>
      <c r="G4798" s="691">
        <v>18.5</v>
      </c>
      <c r="H4798" s="691">
        <v>18.600000000000001</v>
      </c>
      <c r="I4798" s="615">
        <v>18</v>
      </c>
      <c r="J4798" s="691">
        <v>18.100000000000001</v>
      </c>
      <c r="K4798" s="691">
        <v>18.100000000000001</v>
      </c>
    </row>
    <row r="4799" spans="1:11">
      <c r="A4799" s="688" t="s">
        <v>20</v>
      </c>
      <c r="B4799" s="689">
        <v>16.600000000000001</v>
      </c>
      <c r="C4799" s="689">
        <v>16.8</v>
      </c>
      <c r="D4799" s="689">
        <v>16.5</v>
      </c>
      <c r="E4799" s="689">
        <v>16.899999999999999</v>
      </c>
      <c r="F4799" s="689">
        <v>16.7</v>
      </c>
      <c r="G4799" s="689">
        <v>16.7</v>
      </c>
      <c r="H4799" s="689">
        <v>16.899999999999999</v>
      </c>
      <c r="I4799" s="689">
        <v>15.6</v>
      </c>
      <c r="J4799" s="693">
        <v>15</v>
      </c>
      <c r="K4799" s="689">
        <v>16.2</v>
      </c>
    </row>
    <row r="4800" spans="1:11">
      <c r="A4800" s="688" t="s">
        <v>21</v>
      </c>
      <c r="B4800" s="691">
        <v>18.3</v>
      </c>
      <c r="C4800" s="691">
        <v>18.5</v>
      </c>
      <c r="D4800" s="691">
        <v>18.5</v>
      </c>
      <c r="E4800" s="691">
        <v>18.5</v>
      </c>
      <c r="F4800" s="691">
        <v>18.8</v>
      </c>
      <c r="G4800" s="691">
        <v>18.7</v>
      </c>
      <c r="H4800" s="615">
        <v>19</v>
      </c>
      <c r="I4800" s="691">
        <v>18.5</v>
      </c>
      <c r="J4800" s="691">
        <v>18.5</v>
      </c>
      <c r="K4800" s="691">
        <v>18.8</v>
      </c>
    </row>
    <row r="4801" spans="1:11">
      <c r="A4801" s="688" t="s">
        <v>22</v>
      </c>
      <c r="B4801" s="689">
        <v>15.2</v>
      </c>
      <c r="C4801" s="689">
        <v>15.1</v>
      </c>
      <c r="D4801" s="693">
        <v>15</v>
      </c>
      <c r="E4801" s="689">
        <v>15.2</v>
      </c>
      <c r="F4801" s="689">
        <v>15.2</v>
      </c>
      <c r="G4801" s="689">
        <v>15.3</v>
      </c>
      <c r="H4801" s="689">
        <v>15.6</v>
      </c>
      <c r="I4801" s="689">
        <v>14.4</v>
      </c>
      <c r="J4801" s="689">
        <v>13.4</v>
      </c>
      <c r="K4801" s="689">
        <v>14.9</v>
      </c>
    </row>
    <row r="4802" spans="1:11">
      <c r="A4802" s="688" t="s">
        <v>26</v>
      </c>
      <c r="B4802" s="615">
        <v>18</v>
      </c>
      <c r="C4802" s="615">
        <v>18</v>
      </c>
      <c r="D4802" s="691">
        <v>17.8</v>
      </c>
      <c r="E4802" s="691">
        <v>18.100000000000001</v>
      </c>
      <c r="F4802" s="615">
        <v>18</v>
      </c>
      <c r="G4802" s="691">
        <v>18.2</v>
      </c>
      <c r="H4802" s="691">
        <v>18.3</v>
      </c>
      <c r="I4802" s="691">
        <v>17.3</v>
      </c>
      <c r="J4802" s="691">
        <v>17.600000000000001</v>
      </c>
      <c r="K4802" s="615">
        <v>18</v>
      </c>
    </row>
    <row r="4803" spans="1:11">
      <c r="A4803" s="688" t="s">
        <v>25</v>
      </c>
      <c r="B4803" s="689">
        <v>15.6</v>
      </c>
      <c r="C4803" s="689">
        <v>15.8</v>
      </c>
      <c r="D4803" s="689">
        <v>15.7</v>
      </c>
      <c r="E4803" s="693">
        <v>16</v>
      </c>
      <c r="F4803" s="689">
        <v>15.9</v>
      </c>
      <c r="G4803" s="689">
        <v>16.100000000000001</v>
      </c>
      <c r="H4803" s="689">
        <v>16.399999999999999</v>
      </c>
      <c r="I4803" s="689">
        <v>15.6</v>
      </c>
      <c r="J4803" s="693">
        <v>14</v>
      </c>
      <c r="K4803" s="689">
        <v>15.7</v>
      </c>
    </row>
    <row r="4804" spans="1:11">
      <c r="A4804" s="688" t="s">
        <v>5</v>
      </c>
      <c r="B4804" s="691">
        <v>18.5</v>
      </c>
      <c r="C4804" s="691">
        <v>18.3</v>
      </c>
      <c r="D4804" s="691">
        <v>18.399999999999999</v>
      </c>
      <c r="E4804" s="691">
        <v>18.399999999999999</v>
      </c>
      <c r="F4804" s="691">
        <v>18.600000000000001</v>
      </c>
      <c r="G4804" s="691">
        <v>18.600000000000001</v>
      </c>
      <c r="H4804" s="691">
        <v>18.8</v>
      </c>
      <c r="I4804" s="691">
        <v>18.8</v>
      </c>
      <c r="J4804" s="691">
        <v>18.7</v>
      </c>
      <c r="K4804" s="691">
        <v>18.100000000000001</v>
      </c>
    </row>
    <row r="4805" spans="1:11">
      <c r="A4805" s="688" t="s">
        <v>23</v>
      </c>
      <c r="B4805" s="689">
        <v>18.5</v>
      </c>
      <c r="C4805" s="689">
        <v>18.600000000000001</v>
      </c>
      <c r="D4805" s="689">
        <v>18.600000000000001</v>
      </c>
      <c r="E4805" s="689">
        <v>18.7</v>
      </c>
      <c r="F4805" s="689">
        <v>18.7</v>
      </c>
      <c r="G4805" s="689">
        <v>18.8</v>
      </c>
      <c r="H4805" s="689">
        <v>19.2</v>
      </c>
      <c r="I4805" s="689">
        <v>18.5</v>
      </c>
      <c r="J4805" s="689">
        <v>19.100000000000001</v>
      </c>
      <c r="K4805" s="693">
        <v>19</v>
      </c>
    </row>
    <row r="4806" spans="1:11">
      <c r="A4806" s="688" t="s">
        <v>4067</v>
      </c>
      <c r="B4806" s="691">
        <v>18.2</v>
      </c>
      <c r="C4806" s="691">
        <v>18.5</v>
      </c>
      <c r="D4806" s="691">
        <v>18.100000000000001</v>
      </c>
      <c r="E4806" s="691">
        <v>18.5</v>
      </c>
      <c r="F4806" s="691">
        <v>18.399999999999999</v>
      </c>
      <c r="G4806" s="691">
        <v>18.5</v>
      </c>
      <c r="H4806" s="692" t="s">
        <v>4060</v>
      </c>
      <c r="I4806" s="692" t="s">
        <v>4060</v>
      </c>
      <c r="J4806" s="692" t="s">
        <v>4060</v>
      </c>
      <c r="K4806" s="692" t="s">
        <v>4060</v>
      </c>
    </row>
    <row r="4807" spans="1:11">
      <c r="A4807" s="688" t="s">
        <v>4066</v>
      </c>
      <c r="B4807" s="689">
        <v>18.2</v>
      </c>
      <c r="C4807" s="689">
        <v>18.5</v>
      </c>
      <c r="D4807" s="689">
        <v>18.2</v>
      </c>
      <c r="E4807" s="689">
        <v>18.5</v>
      </c>
      <c r="F4807" s="689">
        <v>18.399999999999999</v>
      </c>
      <c r="G4807" s="689">
        <v>18.5</v>
      </c>
      <c r="H4807" s="690" t="s">
        <v>4060</v>
      </c>
      <c r="I4807" s="690" t="s">
        <v>4060</v>
      </c>
      <c r="J4807" s="690" t="s">
        <v>4060</v>
      </c>
      <c r="K4807" s="690" t="s">
        <v>4060</v>
      </c>
    </row>
    <row r="4808" spans="1:11">
      <c r="A4808" s="688" t="s">
        <v>4062</v>
      </c>
      <c r="B4808" s="615">
        <v>19</v>
      </c>
      <c r="C4808" s="691">
        <v>19.100000000000001</v>
      </c>
      <c r="D4808" s="615">
        <v>19</v>
      </c>
      <c r="E4808" s="691">
        <v>19.3</v>
      </c>
      <c r="F4808" s="691">
        <v>19.3</v>
      </c>
      <c r="G4808" s="691">
        <v>19.399999999999999</v>
      </c>
      <c r="H4808" s="691">
        <v>19.5</v>
      </c>
      <c r="I4808" s="691">
        <v>19.100000000000001</v>
      </c>
      <c r="J4808" s="691">
        <v>19.5</v>
      </c>
      <c r="K4808" s="691">
        <v>19.2</v>
      </c>
    </row>
    <row r="4809" spans="1:11">
      <c r="A4809" s="688" t="s">
        <v>9</v>
      </c>
      <c r="B4809" s="689">
        <v>18.399999999999999</v>
      </c>
      <c r="C4809" s="689">
        <v>18.899999999999999</v>
      </c>
      <c r="D4809" s="689">
        <v>18.7</v>
      </c>
      <c r="E4809" s="689">
        <v>18.2</v>
      </c>
      <c r="F4809" s="689">
        <v>18.7</v>
      </c>
      <c r="G4809" s="689">
        <v>18.899999999999999</v>
      </c>
      <c r="H4809" s="689">
        <v>19.2</v>
      </c>
      <c r="I4809" s="689">
        <v>19.2</v>
      </c>
      <c r="J4809" s="689">
        <v>19.399999999999999</v>
      </c>
      <c r="K4809" s="689">
        <v>18.5</v>
      </c>
    </row>
    <row r="4810" spans="1:11">
      <c r="A4810" s="688" t="s">
        <v>13</v>
      </c>
      <c r="B4810" s="691">
        <v>19.2</v>
      </c>
      <c r="C4810" s="691">
        <v>18.3</v>
      </c>
      <c r="D4810" s="691">
        <v>18.899999999999999</v>
      </c>
      <c r="E4810" s="691">
        <v>18.600000000000001</v>
      </c>
      <c r="F4810" s="691">
        <v>19.399999999999999</v>
      </c>
      <c r="G4810" s="691">
        <v>18.7</v>
      </c>
      <c r="H4810" s="691">
        <v>19.3</v>
      </c>
      <c r="I4810" s="691">
        <v>18.100000000000001</v>
      </c>
      <c r="J4810" s="691">
        <v>19.899999999999999</v>
      </c>
      <c r="K4810" s="691">
        <v>19.7</v>
      </c>
    </row>
    <row r="4811" spans="1:11">
      <c r="A4811" s="688" t="s">
        <v>18</v>
      </c>
      <c r="B4811" s="689">
        <v>18.399999999999999</v>
      </c>
      <c r="C4811" s="689">
        <v>18.600000000000001</v>
      </c>
      <c r="D4811" s="689">
        <v>18.600000000000001</v>
      </c>
      <c r="E4811" s="689">
        <v>18.8</v>
      </c>
      <c r="F4811" s="689">
        <v>18.8</v>
      </c>
      <c r="G4811" s="689">
        <v>18.899999999999999</v>
      </c>
      <c r="H4811" s="689">
        <v>19.100000000000001</v>
      </c>
      <c r="I4811" s="689">
        <v>19.3</v>
      </c>
      <c r="J4811" s="689">
        <v>19.2</v>
      </c>
      <c r="K4811" s="689">
        <v>18.7</v>
      </c>
    </row>
    <row r="4812" spans="1:11">
      <c r="A4812" s="688" t="s">
        <v>24</v>
      </c>
      <c r="B4812" s="691">
        <v>19.399999999999999</v>
      </c>
      <c r="C4812" s="691">
        <v>19.399999999999999</v>
      </c>
      <c r="D4812" s="691">
        <v>19.2</v>
      </c>
      <c r="E4812" s="691">
        <v>19.600000000000001</v>
      </c>
      <c r="F4812" s="691">
        <v>19.600000000000001</v>
      </c>
      <c r="G4812" s="691">
        <v>19.7</v>
      </c>
      <c r="H4812" s="691">
        <v>19.8</v>
      </c>
      <c r="I4812" s="691">
        <v>19.100000000000001</v>
      </c>
      <c r="J4812" s="691">
        <v>19.7</v>
      </c>
      <c r="K4812" s="691">
        <v>19.600000000000001</v>
      </c>
    </row>
    <row r="4813" spans="1:11">
      <c r="A4813" s="688" t="s">
        <v>4059</v>
      </c>
      <c r="B4813" s="689">
        <v>18.2</v>
      </c>
      <c r="C4813" s="689">
        <v>18.5</v>
      </c>
      <c r="D4813" s="689">
        <v>18.2</v>
      </c>
      <c r="E4813" s="689">
        <v>18.399999999999999</v>
      </c>
      <c r="F4813" s="689">
        <v>18.399999999999999</v>
      </c>
      <c r="G4813" s="689">
        <v>18.5</v>
      </c>
      <c r="H4813" s="690" t="s">
        <v>4060</v>
      </c>
      <c r="I4813" s="690" t="s">
        <v>4060</v>
      </c>
      <c r="J4813" s="690" t="s">
        <v>4060</v>
      </c>
      <c r="K4813" s="690" t="s">
        <v>4060</v>
      </c>
    </row>
    <row r="4814" spans="1:11">
      <c r="A4814" s="688" t="s">
        <v>2324</v>
      </c>
      <c r="B4814" s="691">
        <v>14.9</v>
      </c>
      <c r="C4814" s="691">
        <v>14.9</v>
      </c>
      <c r="D4814" s="691">
        <v>14.7</v>
      </c>
      <c r="E4814" s="691">
        <v>14.7</v>
      </c>
      <c r="F4814" s="615">
        <v>15</v>
      </c>
      <c r="G4814" s="615">
        <v>15</v>
      </c>
      <c r="H4814" s="691">
        <v>15.1</v>
      </c>
      <c r="I4814" s="691">
        <v>14.3</v>
      </c>
      <c r="J4814" s="691">
        <v>12.6</v>
      </c>
      <c r="K4814" s="692" t="s">
        <v>4060</v>
      </c>
    </row>
    <row r="4815" spans="1:11">
      <c r="A4815" s="688" t="s">
        <v>2322</v>
      </c>
      <c r="B4815" s="690" t="s">
        <v>4060</v>
      </c>
      <c r="C4815" s="690" t="s">
        <v>4060</v>
      </c>
      <c r="D4815" s="690" t="s">
        <v>4060</v>
      </c>
      <c r="E4815" s="690" t="s">
        <v>4060</v>
      </c>
      <c r="F4815" s="690" t="s">
        <v>4060</v>
      </c>
      <c r="G4815" s="690" t="s">
        <v>4060</v>
      </c>
      <c r="H4815" s="690" t="s">
        <v>4060</v>
      </c>
      <c r="I4815" s="690" t="s">
        <v>4060</v>
      </c>
      <c r="J4815" s="690" t="s">
        <v>4060</v>
      </c>
      <c r="K4815" s="690" t="s">
        <v>4060</v>
      </c>
    </row>
    <row r="4816" spans="1:11">
      <c r="A4816" s="688" t="s">
        <v>2328</v>
      </c>
      <c r="B4816" s="615">
        <v>14</v>
      </c>
      <c r="C4816" s="615">
        <v>14</v>
      </c>
      <c r="D4816" s="691">
        <v>13.8</v>
      </c>
      <c r="E4816" s="691">
        <v>14.1</v>
      </c>
      <c r="F4816" s="691">
        <v>14.2</v>
      </c>
      <c r="G4816" s="691">
        <v>14.6</v>
      </c>
      <c r="H4816" s="691">
        <v>14.5</v>
      </c>
      <c r="I4816" s="691">
        <v>13.1</v>
      </c>
      <c r="J4816" s="691">
        <v>12.5</v>
      </c>
      <c r="K4816" s="692" t="s">
        <v>4060</v>
      </c>
    </row>
    <row r="4817" spans="1:11">
      <c r="A4817" s="688" t="s">
        <v>2496</v>
      </c>
      <c r="B4817" s="690" t="s">
        <v>4060</v>
      </c>
      <c r="C4817" s="689">
        <v>14.7</v>
      </c>
      <c r="D4817" s="689">
        <v>13.9</v>
      </c>
      <c r="E4817" s="689">
        <v>13.6</v>
      </c>
      <c r="F4817" s="693">
        <v>14</v>
      </c>
      <c r="G4817" s="689">
        <v>14.3</v>
      </c>
      <c r="H4817" s="689">
        <v>14.3</v>
      </c>
      <c r="I4817" s="690" t="s">
        <v>4060</v>
      </c>
      <c r="J4817" s="690" t="s">
        <v>4060</v>
      </c>
      <c r="K4817" s="689">
        <v>13.9</v>
      </c>
    </row>
    <row r="4818" spans="1:11">
      <c r="A4818" s="688" t="s">
        <v>2269</v>
      </c>
      <c r="B4818" s="691">
        <v>15.9</v>
      </c>
      <c r="C4818" s="615">
        <v>16</v>
      </c>
      <c r="D4818" s="691">
        <v>15.4</v>
      </c>
      <c r="E4818" s="691">
        <v>15.9</v>
      </c>
      <c r="F4818" s="691">
        <v>15.9</v>
      </c>
      <c r="G4818" s="691">
        <v>16.2</v>
      </c>
      <c r="H4818" s="691">
        <v>16.399999999999999</v>
      </c>
      <c r="I4818" s="615">
        <v>15</v>
      </c>
      <c r="J4818" s="691">
        <v>13.3</v>
      </c>
      <c r="K4818" s="691">
        <v>16.100000000000001</v>
      </c>
    </row>
    <row r="4819" spans="1:11">
      <c r="A4819" s="688" t="s">
        <v>2349</v>
      </c>
      <c r="B4819" s="689">
        <v>14.3</v>
      </c>
      <c r="C4819" s="689">
        <v>14.4</v>
      </c>
      <c r="D4819" s="689">
        <v>14.3</v>
      </c>
      <c r="E4819" s="689">
        <v>14.6</v>
      </c>
      <c r="F4819" s="689">
        <v>14.5</v>
      </c>
      <c r="G4819" s="689">
        <v>14.7</v>
      </c>
      <c r="H4819" s="689">
        <v>14.8</v>
      </c>
      <c r="I4819" s="689">
        <v>13.7</v>
      </c>
      <c r="J4819" s="689">
        <v>12.5</v>
      </c>
      <c r="K4819" s="693">
        <v>14</v>
      </c>
    </row>
    <row r="4820" spans="1:11">
      <c r="A4820" s="688" t="s">
        <v>2355</v>
      </c>
      <c r="B4820" s="691">
        <v>16.7</v>
      </c>
      <c r="C4820" s="691">
        <v>16.5</v>
      </c>
      <c r="D4820" s="691">
        <v>16.399999999999999</v>
      </c>
      <c r="E4820" s="691">
        <v>16.399999999999999</v>
      </c>
      <c r="F4820" s="691">
        <v>16.5</v>
      </c>
      <c r="G4820" s="691">
        <v>16.8</v>
      </c>
      <c r="H4820" s="691">
        <v>16.899999999999999</v>
      </c>
      <c r="I4820" s="692" t="s">
        <v>4060</v>
      </c>
      <c r="J4820" s="692" t="s">
        <v>4060</v>
      </c>
      <c r="K4820" s="692" t="s">
        <v>4060</v>
      </c>
    </row>
    <row r="4821" spans="1:11">
      <c r="A4821" s="688" t="s">
        <v>2357</v>
      </c>
      <c r="B4821" s="690" t="s">
        <v>4060</v>
      </c>
      <c r="C4821" s="689">
        <v>14.2</v>
      </c>
      <c r="D4821" s="689">
        <v>14.5</v>
      </c>
      <c r="E4821" s="689">
        <v>14.6</v>
      </c>
      <c r="F4821" s="689">
        <v>14.8</v>
      </c>
      <c r="G4821" s="689">
        <v>14.7</v>
      </c>
      <c r="H4821" s="689">
        <v>14.8</v>
      </c>
      <c r="I4821" s="690" t="s">
        <v>4060</v>
      </c>
      <c r="J4821" s="690" t="s">
        <v>4060</v>
      </c>
      <c r="K4821" s="690" t="s">
        <v>4060</v>
      </c>
    </row>
    <row r="4822" spans="1:11">
      <c r="A4822" s="688" t="s">
        <v>4070</v>
      </c>
      <c r="B4822" s="692" t="s">
        <v>4060</v>
      </c>
      <c r="C4822" s="692" t="s">
        <v>4060</v>
      </c>
      <c r="D4822" s="692" t="s">
        <v>4060</v>
      </c>
      <c r="E4822" s="691">
        <v>16.2</v>
      </c>
      <c r="F4822" s="692" t="s">
        <v>4060</v>
      </c>
      <c r="G4822" s="692" t="s">
        <v>4060</v>
      </c>
      <c r="H4822" s="692" t="s">
        <v>4060</v>
      </c>
      <c r="I4822" s="692" t="s">
        <v>4060</v>
      </c>
      <c r="J4822" s="692" t="s">
        <v>4060</v>
      </c>
      <c r="K4822" s="692" t="s">
        <v>4060</v>
      </c>
    </row>
    <row r="4823" spans="1:11">
      <c r="A4823" s="688" t="s">
        <v>2491</v>
      </c>
      <c r="B4823" s="689">
        <v>14.3</v>
      </c>
      <c r="C4823" s="689">
        <v>14.6</v>
      </c>
      <c r="D4823" s="689">
        <v>14.7</v>
      </c>
      <c r="E4823" s="689">
        <v>14.8</v>
      </c>
      <c r="F4823" s="689">
        <v>14.8</v>
      </c>
      <c r="G4823" s="689">
        <v>14.9</v>
      </c>
      <c r="H4823" s="690" t="s">
        <v>4060</v>
      </c>
      <c r="I4823" s="690" t="s">
        <v>4060</v>
      </c>
      <c r="J4823" s="690" t="s">
        <v>4060</v>
      </c>
      <c r="K4823" s="690" t="s">
        <v>4060</v>
      </c>
    </row>
    <row r="4824" spans="1:11">
      <c r="A4824" s="688" t="s">
        <v>2343</v>
      </c>
      <c r="B4824" s="692" t="s">
        <v>4060</v>
      </c>
      <c r="C4824" s="692" t="s">
        <v>4060</v>
      </c>
      <c r="D4824" s="692" t="s">
        <v>4060</v>
      </c>
      <c r="E4824" s="692" t="s">
        <v>4060</v>
      </c>
      <c r="F4824" s="692" t="s">
        <v>4060</v>
      </c>
      <c r="G4824" s="692" t="s">
        <v>4060</v>
      </c>
      <c r="H4824" s="692" t="s">
        <v>4060</v>
      </c>
      <c r="I4824" s="692" t="s">
        <v>4060</v>
      </c>
      <c r="J4824" s="692" t="s">
        <v>4060</v>
      </c>
      <c r="K4824" s="692" t="s">
        <v>4060</v>
      </c>
    </row>
    <row r="4825" spans="1:11">
      <c r="A4825" s="688" t="s">
        <v>4071</v>
      </c>
      <c r="B4825" s="690" t="s">
        <v>4060</v>
      </c>
      <c r="C4825" s="690" t="s">
        <v>4060</v>
      </c>
      <c r="D4825" s="690" t="s">
        <v>4060</v>
      </c>
      <c r="E4825" s="690" t="s">
        <v>4060</v>
      </c>
      <c r="F4825" s="690" t="s">
        <v>4060</v>
      </c>
      <c r="G4825" s="690" t="s">
        <v>4060</v>
      </c>
      <c r="H4825" s="690" t="s">
        <v>4060</v>
      </c>
      <c r="I4825" s="690" t="s">
        <v>4060</v>
      </c>
      <c r="J4825" s="690" t="s">
        <v>4060</v>
      </c>
      <c r="K4825" s="690" t="s">
        <v>4060</v>
      </c>
    </row>
    <row r="4826" spans="1:11">
      <c r="A4826" s="688" t="s">
        <v>2489</v>
      </c>
      <c r="B4826" s="692" t="s">
        <v>4060</v>
      </c>
      <c r="C4826" s="692" t="s">
        <v>4060</v>
      </c>
      <c r="D4826" s="691">
        <v>14.6</v>
      </c>
      <c r="E4826" s="691">
        <v>14.6</v>
      </c>
      <c r="F4826" s="691">
        <v>14.9</v>
      </c>
      <c r="G4826" s="691">
        <v>15.4</v>
      </c>
      <c r="H4826" s="691">
        <v>15.5</v>
      </c>
      <c r="I4826" s="692" t="s">
        <v>4060</v>
      </c>
      <c r="J4826" s="692" t="s">
        <v>4060</v>
      </c>
      <c r="K4826" s="692" t="s">
        <v>4060</v>
      </c>
    </row>
    <row r="4827" spans="1:11">
      <c r="A4827" s="688" t="s">
        <v>2490</v>
      </c>
      <c r="B4827" s="689">
        <v>14.3</v>
      </c>
      <c r="C4827" s="689">
        <v>14.2</v>
      </c>
      <c r="D4827" s="689">
        <v>14.9</v>
      </c>
      <c r="E4827" s="690" t="s">
        <v>4060</v>
      </c>
      <c r="F4827" s="689">
        <v>15.1</v>
      </c>
      <c r="G4827" s="689">
        <v>15.2</v>
      </c>
      <c r="H4827" s="693">
        <v>16</v>
      </c>
      <c r="I4827" s="690" t="s">
        <v>4060</v>
      </c>
      <c r="J4827" s="690" t="s">
        <v>4060</v>
      </c>
      <c r="K4827" s="690" t="s">
        <v>4060</v>
      </c>
    </row>
    <row r="4829" spans="1:11">
      <c r="A4829" s="683" t="s">
        <v>4233</v>
      </c>
    </row>
    <row r="4830" spans="1:11">
      <c r="A4830" s="683" t="s">
        <v>4060</v>
      </c>
      <c r="B4830" s="682" t="s">
        <v>4234</v>
      </c>
    </row>
    <row r="4832" spans="1:11">
      <c r="A4832" s="682" t="s">
        <v>4248</v>
      </c>
    </row>
    <row r="4833" spans="1:11">
      <c r="A4833" s="682" t="s">
        <v>4210</v>
      </c>
      <c r="B4833" s="683" t="s">
        <v>4211</v>
      </c>
    </row>
    <row r="4834" spans="1:11">
      <c r="A4834" s="682" t="s">
        <v>4212</v>
      </c>
      <c r="B4834" s="682" t="s">
        <v>4213</v>
      </c>
    </row>
    <row r="4836" spans="1:11">
      <c r="A4836" s="683" t="s">
        <v>4214</v>
      </c>
      <c r="C4836" s="682" t="s">
        <v>4215</v>
      </c>
    </row>
    <row r="4837" spans="1:11">
      <c r="A4837" s="683" t="s">
        <v>4216</v>
      </c>
      <c r="C4837" s="682" t="s">
        <v>2967</v>
      </c>
    </row>
    <row r="4838" spans="1:11">
      <c r="A4838" s="683" t="s">
        <v>3893</v>
      </c>
      <c r="C4838" s="682" t="s">
        <v>4217</v>
      </c>
    </row>
    <row r="4839" spans="1:11">
      <c r="A4839" s="683" t="s">
        <v>4218</v>
      </c>
      <c r="C4839" s="682" t="s">
        <v>4302</v>
      </c>
    </row>
    <row r="4841" spans="1:11">
      <c r="A4841" s="684" t="s">
        <v>4220</v>
      </c>
      <c r="B4841" s="685" t="s">
        <v>4221</v>
      </c>
      <c r="C4841" s="685" t="s">
        <v>4222</v>
      </c>
      <c r="D4841" s="685" t="s">
        <v>4223</v>
      </c>
      <c r="E4841" s="685" t="s">
        <v>4224</v>
      </c>
      <c r="F4841" s="685" t="s">
        <v>4225</v>
      </c>
      <c r="G4841" s="685" t="s">
        <v>4226</v>
      </c>
      <c r="H4841" s="685" t="s">
        <v>4227</v>
      </c>
      <c r="I4841" s="685" t="s">
        <v>4228</v>
      </c>
      <c r="J4841" s="685" t="s">
        <v>4229</v>
      </c>
      <c r="K4841" s="685" t="s">
        <v>4230</v>
      </c>
    </row>
    <row r="4842" spans="1:11">
      <c r="A4842" s="686" t="s">
        <v>4231</v>
      </c>
      <c r="B4842" s="687" t="s">
        <v>4232</v>
      </c>
      <c r="C4842" s="687" t="s">
        <v>4232</v>
      </c>
      <c r="D4842" s="687" t="s">
        <v>4232</v>
      </c>
      <c r="E4842" s="687" t="s">
        <v>4232</v>
      </c>
      <c r="F4842" s="687" t="s">
        <v>4232</v>
      </c>
      <c r="G4842" s="687" t="s">
        <v>4232</v>
      </c>
      <c r="H4842" s="687" t="s">
        <v>4232</v>
      </c>
      <c r="I4842" s="687" t="s">
        <v>4232</v>
      </c>
      <c r="J4842" s="687" t="s">
        <v>4232</v>
      </c>
      <c r="K4842" s="687" t="s">
        <v>4232</v>
      </c>
    </row>
    <row r="4843" spans="1:11">
      <c r="A4843" s="688" t="s">
        <v>4064</v>
      </c>
      <c r="B4843" s="689">
        <v>17.399999999999999</v>
      </c>
      <c r="C4843" s="689">
        <v>17.399999999999999</v>
      </c>
      <c r="D4843" s="689">
        <v>17.399999999999999</v>
      </c>
      <c r="E4843" s="689">
        <v>17.5</v>
      </c>
      <c r="F4843" s="689">
        <v>17.399999999999999</v>
      </c>
      <c r="G4843" s="689">
        <v>17.5</v>
      </c>
      <c r="H4843" s="689">
        <v>17.7</v>
      </c>
      <c r="I4843" s="693">
        <v>17</v>
      </c>
      <c r="J4843" s="689">
        <v>16.899999999999999</v>
      </c>
      <c r="K4843" s="689">
        <v>17.2</v>
      </c>
    </row>
    <row r="4844" spans="1:11">
      <c r="A4844" s="688" t="s">
        <v>4065</v>
      </c>
      <c r="B4844" s="691">
        <v>17.399999999999999</v>
      </c>
      <c r="C4844" s="691">
        <v>17.7</v>
      </c>
      <c r="D4844" s="691">
        <v>17.399999999999999</v>
      </c>
      <c r="E4844" s="691">
        <v>17.7</v>
      </c>
      <c r="F4844" s="691">
        <v>17.600000000000001</v>
      </c>
      <c r="G4844" s="691">
        <v>17.7</v>
      </c>
      <c r="H4844" s="692" t="s">
        <v>4060</v>
      </c>
      <c r="I4844" s="692" t="s">
        <v>4060</v>
      </c>
      <c r="J4844" s="692" t="s">
        <v>4060</v>
      </c>
      <c r="K4844" s="692" t="s">
        <v>4060</v>
      </c>
    </row>
    <row r="4845" spans="1:11">
      <c r="A4845" s="688" t="s">
        <v>4063</v>
      </c>
      <c r="B4845" s="689">
        <v>17.5</v>
      </c>
      <c r="C4845" s="689">
        <v>17.8</v>
      </c>
      <c r="D4845" s="689">
        <v>17.399999999999999</v>
      </c>
      <c r="E4845" s="689">
        <v>17.8</v>
      </c>
      <c r="F4845" s="689">
        <v>17.600000000000001</v>
      </c>
      <c r="G4845" s="689">
        <v>17.7</v>
      </c>
      <c r="H4845" s="690" t="s">
        <v>4060</v>
      </c>
      <c r="I4845" s="690" t="s">
        <v>4060</v>
      </c>
      <c r="J4845" s="690" t="s">
        <v>4060</v>
      </c>
      <c r="K4845" s="690" t="s">
        <v>4060</v>
      </c>
    </row>
    <row r="4846" spans="1:11">
      <c r="A4846" s="688" t="s">
        <v>4069</v>
      </c>
      <c r="B4846" s="692" t="s">
        <v>4060</v>
      </c>
      <c r="C4846" s="691">
        <v>17.899999999999999</v>
      </c>
      <c r="D4846" s="691">
        <v>17.7</v>
      </c>
      <c r="E4846" s="615">
        <v>18</v>
      </c>
      <c r="F4846" s="691">
        <v>17.899999999999999</v>
      </c>
      <c r="G4846" s="615">
        <v>18</v>
      </c>
      <c r="H4846" s="691">
        <v>18.2</v>
      </c>
      <c r="I4846" s="691">
        <v>17.600000000000001</v>
      </c>
      <c r="J4846" s="691">
        <v>17.7</v>
      </c>
      <c r="K4846" s="691">
        <v>17.7</v>
      </c>
    </row>
    <row r="4847" spans="1:11">
      <c r="A4847" s="688" t="s">
        <v>4068</v>
      </c>
      <c r="B4847" s="693">
        <v>18</v>
      </c>
      <c r="C4847" s="690" t="s">
        <v>4060</v>
      </c>
      <c r="D4847" s="690" t="s">
        <v>4060</v>
      </c>
      <c r="E4847" s="690" t="s">
        <v>4060</v>
      </c>
      <c r="F4847" s="690" t="s">
        <v>4060</v>
      </c>
      <c r="G4847" s="690" t="s">
        <v>4060</v>
      </c>
      <c r="H4847" s="690" t="s">
        <v>4060</v>
      </c>
      <c r="I4847" s="690" t="s">
        <v>4060</v>
      </c>
      <c r="J4847" s="690" t="s">
        <v>4060</v>
      </c>
      <c r="K4847" s="690" t="s">
        <v>4060</v>
      </c>
    </row>
    <row r="4848" spans="1:11">
      <c r="A4848" s="688" t="s">
        <v>0</v>
      </c>
      <c r="B4848" s="691">
        <v>17.399999999999999</v>
      </c>
      <c r="C4848" s="691">
        <v>17.600000000000001</v>
      </c>
      <c r="D4848" s="691">
        <v>17.399999999999999</v>
      </c>
      <c r="E4848" s="691">
        <v>17.7</v>
      </c>
      <c r="F4848" s="691">
        <v>17.7</v>
      </c>
      <c r="G4848" s="691">
        <v>17.8</v>
      </c>
      <c r="H4848" s="615">
        <v>18</v>
      </c>
      <c r="I4848" s="691">
        <v>16.899999999999999</v>
      </c>
      <c r="J4848" s="691">
        <v>17.8</v>
      </c>
      <c r="K4848" s="691">
        <v>17.8</v>
      </c>
    </row>
    <row r="4849" spans="1:11">
      <c r="A4849" s="688" t="s">
        <v>1</v>
      </c>
      <c r="B4849" s="689">
        <v>14.2</v>
      </c>
      <c r="C4849" s="689">
        <v>13.9</v>
      </c>
      <c r="D4849" s="689">
        <v>13.8</v>
      </c>
      <c r="E4849" s="689">
        <v>14.1</v>
      </c>
      <c r="F4849" s="693">
        <v>14</v>
      </c>
      <c r="G4849" s="689">
        <v>14.1</v>
      </c>
      <c r="H4849" s="689">
        <v>14.2</v>
      </c>
      <c r="I4849" s="689">
        <v>13.2</v>
      </c>
      <c r="J4849" s="689">
        <v>11.9</v>
      </c>
      <c r="K4849" s="689">
        <v>13.5</v>
      </c>
    </row>
    <row r="4850" spans="1:11">
      <c r="A4850" s="688" t="s">
        <v>2240</v>
      </c>
      <c r="B4850" s="691">
        <v>15.5</v>
      </c>
      <c r="C4850" s="691">
        <v>15.7</v>
      </c>
      <c r="D4850" s="691">
        <v>15.5</v>
      </c>
      <c r="E4850" s="691">
        <v>15.9</v>
      </c>
      <c r="F4850" s="691">
        <v>15.8</v>
      </c>
      <c r="G4850" s="691">
        <v>15.9</v>
      </c>
      <c r="H4850" s="691">
        <v>16.100000000000001</v>
      </c>
      <c r="I4850" s="691">
        <v>15.1</v>
      </c>
      <c r="J4850" s="691">
        <v>14.6</v>
      </c>
      <c r="K4850" s="691">
        <v>15.8</v>
      </c>
    </row>
    <row r="4851" spans="1:11">
      <c r="A4851" s="688" t="s">
        <v>2</v>
      </c>
      <c r="B4851" s="689">
        <v>16.8</v>
      </c>
      <c r="C4851" s="693">
        <v>17</v>
      </c>
      <c r="D4851" s="693">
        <v>17</v>
      </c>
      <c r="E4851" s="689">
        <v>17.2</v>
      </c>
      <c r="F4851" s="689">
        <v>17.2</v>
      </c>
      <c r="G4851" s="689">
        <v>17.100000000000001</v>
      </c>
      <c r="H4851" s="689">
        <v>17.399999999999999</v>
      </c>
      <c r="I4851" s="689">
        <v>17.399999999999999</v>
      </c>
      <c r="J4851" s="689">
        <v>17.3</v>
      </c>
      <c r="K4851" s="689">
        <v>17.100000000000001</v>
      </c>
    </row>
    <row r="4852" spans="1:11">
      <c r="A4852" s="688" t="s">
        <v>3</v>
      </c>
      <c r="B4852" s="691">
        <v>17.100000000000001</v>
      </c>
      <c r="C4852" s="691">
        <v>17.3</v>
      </c>
      <c r="D4852" s="615">
        <v>17</v>
      </c>
      <c r="E4852" s="691">
        <v>17.3</v>
      </c>
      <c r="F4852" s="691">
        <v>17.3</v>
      </c>
      <c r="G4852" s="691">
        <v>17.2</v>
      </c>
      <c r="H4852" s="691">
        <v>17.5</v>
      </c>
      <c r="I4852" s="691">
        <v>17.2</v>
      </c>
      <c r="J4852" s="691">
        <v>17.100000000000001</v>
      </c>
      <c r="K4852" s="691">
        <v>16.8</v>
      </c>
    </row>
    <row r="4853" spans="1:11">
      <c r="A4853" s="688" t="s">
        <v>4061</v>
      </c>
      <c r="B4853" s="689">
        <v>17.100000000000001</v>
      </c>
      <c r="C4853" s="689">
        <v>17.3</v>
      </c>
      <c r="D4853" s="693">
        <v>17</v>
      </c>
      <c r="E4853" s="689">
        <v>17.3</v>
      </c>
      <c r="F4853" s="689">
        <v>17.3</v>
      </c>
      <c r="G4853" s="689">
        <v>17.2</v>
      </c>
      <c r="H4853" s="689">
        <v>17.5</v>
      </c>
      <c r="I4853" s="689">
        <v>17.2</v>
      </c>
      <c r="J4853" s="689">
        <v>17.100000000000001</v>
      </c>
      <c r="K4853" s="689">
        <v>16.8</v>
      </c>
    </row>
    <row r="4854" spans="1:11">
      <c r="A4854" s="688" t="s">
        <v>4</v>
      </c>
      <c r="B4854" s="691">
        <v>16.2</v>
      </c>
      <c r="C4854" s="615">
        <v>16</v>
      </c>
      <c r="D4854" s="691">
        <v>16.2</v>
      </c>
      <c r="E4854" s="691">
        <v>16.3</v>
      </c>
      <c r="F4854" s="691">
        <v>16.3</v>
      </c>
      <c r="G4854" s="691">
        <v>16.3</v>
      </c>
      <c r="H4854" s="691">
        <v>16.600000000000001</v>
      </c>
      <c r="I4854" s="691">
        <v>16.7</v>
      </c>
      <c r="J4854" s="691">
        <v>15.4</v>
      </c>
      <c r="K4854" s="691">
        <v>16.2</v>
      </c>
    </row>
    <row r="4855" spans="1:11">
      <c r="A4855" s="688" t="s">
        <v>8</v>
      </c>
      <c r="B4855" s="689">
        <v>17.100000000000001</v>
      </c>
      <c r="C4855" s="689">
        <v>17.3</v>
      </c>
      <c r="D4855" s="689">
        <v>17.2</v>
      </c>
      <c r="E4855" s="689">
        <v>17.3</v>
      </c>
      <c r="F4855" s="689">
        <v>17.600000000000001</v>
      </c>
      <c r="G4855" s="689">
        <v>17.7</v>
      </c>
      <c r="H4855" s="689">
        <v>17.899999999999999</v>
      </c>
      <c r="I4855" s="689">
        <v>17.8</v>
      </c>
      <c r="J4855" s="689">
        <v>17.7</v>
      </c>
      <c r="K4855" s="689">
        <v>17.8</v>
      </c>
    </row>
    <row r="4856" spans="1:11">
      <c r="A4856" s="688" t="s">
        <v>7</v>
      </c>
      <c r="B4856" s="691">
        <v>17.8</v>
      </c>
      <c r="C4856" s="691">
        <v>17.399999999999999</v>
      </c>
      <c r="D4856" s="691">
        <v>17.100000000000001</v>
      </c>
      <c r="E4856" s="691">
        <v>17.399999999999999</v>
      </c>
      <c r="F4856" s="691">
        <v>17.3</v>
      </c>
      <c r="G4856" s="691">
        <v>17.7</v>
      </c>
      <c r="H4856" s="691">
        <v>17.7</v>
      </c>
      <c r="I4856" s="691">
        <v>17.399999999999999</v>
      </c>
      <c r="J4856" s="691">
        <v>16.8</v>
      </c>
      <c r="K4856" s="615">
        <v>17</v>
      </c>
    </row>
    <row r="4857" spans="1:11">
      <c r="A4857" s="688" t="s">
        <v>27</v>
      </c>
      <c r="B4857" s="693">
        <v>19</v>
      </c>
      <c r="C4857" s="689">
        <v>18.600000000000001</v>
      </c>
      <c r="D4857" s="689">
        <v>18.3</v>
      </c>
      <c r="E4857" s="689">
        <v>18.7</v>
      </c>
      <c r="F4857" s="689">
        <v>18.7</v>
      </c>
      <c r="G4857" s="689">
        <v>18.8</v>
      </c>
      <c r="H4857" s="689">
        <v>19.100000000000001</v>
      </c>
      <c r="I4857" s="689">
        <v>17.899999999999999</v>
      </c>
      <c r="J4857" s="689">
        <v>18.7</v>
      </c>
      <c r="K4857" s="689">
        <v>18.7</v>
      </c>
    </row>
    <row r="4858" spans="1:11">
      <c r="A4858" s="688" t="s">
        <v>6</v>
      </c>
      <c r="B4858" s="691">
        <v>19.3</v>
      </c>
      <c r="C4858" s="691">
        <v>19.100000000000001</v>
      </c>
      <c r="D4858" s="691">
        <v>18.899999999999999</v>
      </c>
      <c r="E4858" s="691">
        <v>19.100000000000001</v>
      </c>
      <c r="F4858" s="691">
        <v>19.100000000000001</v>
      </c>
      <c r="G4858" s="691">
        <v>19.2</v>
      </c>
      <c r="H4858" s="691">
        <v>19.3</v>
      </c>
      <c r="I4858" s="691">
        <v>18.7</v>
      </c>
      <c r="J4858" s="691">
        <v>18.8</v>
      </c>
      <c r="K4858" s="691">
        <v>18.899999999999999</v>
      </c>
    </row>
    <row r="4859" spans="1:11">
      <c r="A4859" s="688" t="s">
        <v>4058</v>
      </c>
      <c r="B4859" s="690" t="s">
        <v>4060</v>
      </c>
      <c r="C4859" s="690" t="s">
        <v>4060</v>
      </c>
      <c r="D4859" s="690" t="s">
        <v>4060</v>
      </c>
      <c r="E4859" s="690" t="s">
        <v>4060</v>
      </c>
      <c r="F4859" s="690" t="s">
        <v>4060</v>
      </c>
      <c r="G4859" s="690" t="s">
        <v>4060</v>
      </c>
      <c r="H4859" s="690" t="s">
        <v>4060</v>
      </c>
      <c r="I4859" s="690" t="s">
        <v>4060</v>
      </c>
      <c r="J4859" s="690" t="s">
        <v>4060</v>
      </c>
      <c r="K4859" s="690" t="s">
        <v>4060</v>
      </c>
    </row>
    <row r="4860" spans="1:11">
      <c r="A4860" s="688" t="s">
        <v>11</v>
      </c>
      <c r="B4860" s="691">
        <v>15.2</v>
      </c>
      <c r="C4860" s="691">
        <v>15.1</v>
      </c>
      <c r="D4860" s="691">
        <v>14.8</v>
      </c>
      <c r="E4860" s="691">
        <v>15.2</v>
      </c>
      <c r="F4860" s="691">
        <v>15.1</v>
      </c>
      <c r="G4860" s="691">
        <v>15.3</v>
      </c>
      <c r="H4860" s="691">
        <v>15.5</v>
      </c>
      <c r="I4860" s="691">
        <v>14.8</v>
      </c>
      <c r="J4860" s="691">
        <v>14.2</v>
      </c>
      <c r="K4860" s="691">
        <v>14.9</v>
      </c>
    </row>
    <row r="4861" spans="1:11">
      <c r="A4861" s="688" t="s">
        <v>10</v>
      </c>
      <c r="B4861" s="689">
        <v>18.5</v>
      </c>
      <c r="C4861" s="689">
        <v>18.3</v>
      </c>
      <c r="D4861" s="689">
        <v>17.899999999999999</v>
      </c>
      <c r="E4861" s="689">
        <v>18.399999999999999</v>
      </c>
      <c r="F4861" s="689">
        <v>18.2</v>
      </c>
      <c r="G4861" s="689">
        <v>18.5</v>
      </c>
      <c r="H4861" s="689">
        <v>18.600000000000001</v>
      </c>
      <c r="I4861" s="689">
        <v>17.600000000000001</v>
      </c>
      <c r="J4861" s="693">
        <v>18</v>
      </c>
      <c r="K4861" s="689">
        <v>18.100000000000001</v>
      </c>
    </row>
    <row r="4862" spans="1:11">
      <c r="A4862" s="688" t="s">
        <v>30</v>
      </c>
      <c r="B4862" s="691">
        <v>17.7</v>
      </c>
      <c r="C4862" s="691">
        <v>17.5</v>
      </c>
      <c r="D4862" s="691">
        <v>17.2</v>
      </c>
      <c r="E4862" s="691">
        <v>17.8</v>
      </c>
      <c r="F4862" s="691">
        <v>17.600000000000001</v>
      </c>
      <c r="G4862" s="615">
        <v>18</v>
      </c>
      <c r="H4862" s="691">
        <v>17.899999999999999</v>
      </c>
      <c r="I4862" s="615">
        <v>18</v>
      </c>
      <c r="J4862" s="691">
        <v>17.5</v>
      </c>
      <c r="K4862" s="691">
        <v>17.600000000000001</v>
      </c>
    </row>
    <row r="4863" spans="1:11">
      <c r="A4863" s="688" t="s">
        <v>12</v>
      </c>
      <c r="B4863" s="689">
        <v>14.9</v>
      </c>
      <c r="C4863" s="689">
        <v>14.9</v>
      </c>
      <c r="D4863" s="689">
        <v>14.9</v>
      </c>
      <c r="E4863" s="689">
        <v>14.9</v>
      </c>
      <c r="F4863" s="689">
        <v>14.9</v>
      </c>
      <c r="G4863" s="693">
        <v>15</v>
      </c>
      <c r="H4863" s="689">
        <v>15.3</v>
      </c>
      <c r="I4863" s="693">
        <v>15</v>
      </c>
      <c r="J4863" s="689">
        <v>13.8</v>
      </c>
      <c r="K4863" s="689">
        <v>14.7</v>
      </c>
    </row>
    <row r="4864" spans="1:11">
      <c r="A4864" s="688" t="s">
        <v>14</v>
      </c>
      <c r="B4864" s="691">
        <v>15.2</v>
      </c>
      <c r="C4864" s="691">
        <v>15.1</v>
      </c>
      <c r="D4864" s="691">
        <v>14.9</v>
      </c>
      <c r="E4864" s="615">
        <v>15</v>
      </c>
      <c r="F4864" s="691">
        <v>15.1</v>
      </c>
      <c r="G4864" s="691">
        <v>15.3</v>
      </c>
      <c r="H4864" s="691">
        <v>15.6</v>
      </c>
      <c r="I4864" s="691">
        <v>14.7</v>
      </c>
      <c r="J4864" s="691">
        <v>14.2</v>
      </c>
      <c r="K4864" s="691">
        <v>14.9</v>
      </c>
    </row>
    <row r="4865" spans="1:11">
      <c r="A4865" s="688" t="s">
        <v>15</v>
      </c>
      <c r="B4865" s="689">
        <v>18.2</v>
      </c>
      <c r="C4865" s="689">
        <v>17.8</v>
      </c>
      <c r="D4865" s="689">
        <v>17.600000000000001</v>
      </c>
      <c r="E4865" s="689">
        <v>18.100000000000001</v>
      </c>
      <c r="F4865" s="689">
        <v>17.600000000000001</v>
      </c>
      <c r="G4865" s="689">
        <v>17.8</v>
      </c>
      <c r="H4865" s="689">
        <v>18.100000000000001</v>
      </c>
      <c r="I4865" s="689">
        <v>17.7</v>
      </c>
      <c r="J4865" s="693">
        <v>18</v>
      </c>
      <c r="K4865" s="689">
        <v>18.399999999999999</v>
      </c>
    </row>
    <row r="4866" spans="1:11">
      <c r="A4866" s="688" t="s">
        <v>29</v>
      </c>
      <c r="B4866" s="691">
        <v>14.8</v>
      </c>
      <c r="C4866" s="691">
        <v>14.8</v>
      </c>
      <c r="D4866" s="691">
        <v>14.5</v>
      </c>
      <c r="E4866" s="691">
        <v>14.8</v>
      </c>
      <c r="F4866" s="691">
        <v>14.6</v>
      </c>
      <c r="G4866" s="691">
        <v>14.7</v>
      </c>
      <c r="H4866" s="691">
        <v>14.8</v>
      </c>
      <c r="I4866" s="691">
        <v>14.2</v>
      </c>
      <c r="J4866" s="691">
        <v>13.6</v>
      </c>
      <c r="K4866" s="691">
        <v>14.4</v>
      </c>
    </row>
    <row r="4867" spans="1:11">
      <c r="A4867" s="688" t="s">
        <v>16</v>
      </c>
      <c r="B4867" s="689">
        <v>17.5</v>
      </c>
      <c r="C4867" s="689">
        <v>17.5</v>
      </c>
      <c r="D4867" s="689">
        <v>17.600000000000001</v>
      </c>
      <c r="E4867" s="689">
        <v>18.100000000000001</v>
      </c>
      <c r="F4867" s="689">
        <v>17.899999999999999</v>
      </c>
      <c r="G4867" s="689">
        <v>17.8</v>
      </c>
      <c r="H4867" s="693">
        <v>18</v>
      </c>
      <c r="I4867" s="689">
        <v>17.5</v>
      </c>
      <c r="J4867" s="689">
        <v>17.600000000000001</v>
      </c>
      <c r="K4867" s="689">
        <v>17.7</v>
      </c>
    </row>
    <row r="4868" spans="1:11">
      <c r="A4868" s="688" t="s">
        <v>17</v>
      </c>
      <c r="B4868" s="691">
        <v>17.399999999999999</v>
      </c>
      <c r="C4868" s="691">
        <v>17.5</v>
      </c>
      <c r="D4868" s="691">
        <v>17.3</v>
      </c>
      <c r="E4868" s="691">
        <v>17.399999999999999</v>
      </c>
      <c r="F4868" s="691">
        <v>17.5</v>
      </c>
      <c r="G4868" s="691">
        <v>17.5</v>
      </c>
      <c r="H4868" s="691">
        <v>17.7</v>
      </c>
      <c r="I4868" s="691">
        <v>17.100000000000001</v>
      </c>
      <c r="J4868" s="691">
        <v>17.100000000000001</v>
      </c>
      <c r="K4868" s="691">
        <v>17.3</v>
      </c>
    </row>
    <row r="4869" spans="1:11">
      <c r="A4869" s="688" t="s">
        <v>19</v>
      </c>
      <c r="B4869" s="689">
        <v>17.7</v>
      </c>
      <c r="C4869" s="689">
        <v>17.7</v>
      </c>
      <c r="D4869" s="689">
        <v>17.399999999999999</v>
      </c>
      <c r="E4869" s="689">
        <v>17.7</v>
      </c>
      <c r="F4869" s="689">
        <v>17.600000000000001</v>
      </c>
      <c r="G4869" s="689">
        <v>17.7</v>
      </c>
      <c r="H4869" s="689">
        <v>17.8</v>
      </c>
      <c r="I4869" s="689">
        <v>17.2</v>
      </c>
      <c r="J4869" s="689">
        <v>17.3</v>
      </c>
      <c r="K4869" s="689">
        <v>17.3</v>
      </c>
    </row>
    <row r="4870" spans="1:11">
      <c r="A4870" s="688" t="s">
        <v>20</v>
      </c>
      <c r="B4870" s="691">
        <v>15.9</v>
      </c>
      <c r="C4870" s="691">
        <v>16.100000000000001</v>
      </c>
      <c r="D4870" s="691">
        <v>15.9</v>
      </c>
      <c r="E4870" s="691">
        <v>16.2</v>
      </c>
      <c r="F4870" s="615">
        <v>16</v>
      </c>
      <c r="G4870" s="615">
        <v>16</v>
      </c>
      <c r="H4870" s="691">
        <v>16.2</v>
      </c>
      <c r="I4870" s="615">
        <v>15</v>
      </c>
      <c r="J4870" s="691">
        <v>14.4</v>
      </c>
      <c r="K4870" s="691">
        <v>15.6</v>
      </c>
    </row>
    <row r="4871" spans="1:11">
      <c r="A4871" s="688" t="s">
        <v>21</v>
      </c>
      <c r="B4871" s="689">
        <v>17.5</v>
      </c>
      <c r="C4871" s="689">
        <v>17.7</v>
      </c>
      <c r="D4871" s="689">
        <v>17.7</v>
      </c>
      <c r="E4871" s="689">
        <v>17.7</v>
      </c>
      <c r="F4871" s="693">
        <v>18</v>
      </c>
      <c r="G4871" s="689">
        <v>17.899999999999999</v>
      </c>
      <c r="H4871" s="689">
        <v>18.2</v>
      </c>
      <c r="I4871" s="689">
        <v>17.7</v>
      </c>
      <c r="J4871" s="689">
        <v>17.8</v>
      </c>
      <c r="K4871" s="693">
        <v>18</v>
      </c>
    </row>
    <row r="4872" spans="1:11">
      <c r="A4872" s="688" t="s">
        <v>22</v>
      </c>
      <c r="B4872" s="691">
        <v>14.5</v>
      </c>
      <c r="C4872" s="691">
        <v>14.4</v>
      </c>
      <c r="D4872" s="691">
        <v>14.3</v>
      </c>
      <c r="E4872" s="691">
        <v>14.6</v>
      </c>
      <c r="F4872" s="691">
        <v>14.6</v>
      </c>
      <c r="G4872" s="691">
        <v>14.7</v>
      </c>
      <c r="H4872" s="691">
        <v>14.9</v>
      </c>
      <c r="I4872" s="691">
        <v>13.8</v>
      </c>
      <c r="J4872" s="691">
        <v>12.8</v>
      </c>
      <c r="K4872" s="691">
        <v>14.2</v>
      </c>
    </row>
    <row r="4873" spans="1:11">
      <c r="A4873" s="688" t="s">
        <v>26</v>
      </c>
      <c r="B4873" s="689">
        <v>17.2</v>
      </c>
      <c r="C4873" s="689">
        <v>17.2</v>
      </c>
      <c r="D4873" s="689">
        <v>17.100000000000001</v>
      </c>
      <c r="E4873" s="689">
        <v>17.399999999999999</v>
      </c>
      <c r="F4873" s="689">
        <v>17.2</v>
      </c>
      <c r="G4873" s="689">
        <v>17.399999999999999</v>
      </c>
      <c r="H4873" s="689">
        <v>17.5</v>
      </c>
      <c r="I4873" s="689">
        <v>16.600000000000001</v>
      </c>
      <c r="J4873" s="689">
        <v>16.8</v>
      </c>
      <c r="K4873" s="689">
        <v>17.2</v>
      </c>
    </row>
    <row r="4874" spans="1:11">
      <c r="A4874" s="688" t="s">
        <v>25</v>
      </c>
      <c r="B4874" s="691">
        <v>14.9</v>
      </c>
      <c r="C4874" s="691">
        <v>15.2</v>
      </c>
      <c r="D4874" s="615">
        <v>15</v>
      </c>
      <c r="E4874" s="691">
        <v>15.3</v>
      </c>
      <c r="F4874" s="691">
        <v>15.2</v>
      </c>
      <c r="G4874" s="691">
        <v>15.4</v>
      </c>
      <c r="H4874" s="691">
        <v>15.7</v>
      </c>
      <c r="I4874" s="615">
        <v>15</v>
      </c>
      <c r="J4874" s="691">
        <v>13.4</v>
      </c>
      <c r="K4874" s="615">
        <v>15</v>
      </c>
    </row>
    <row r="4875" spans="1:11">
      <c r="A4875" s="688" t="s">
        <v>5</v>
      </c>
      <c r="B4875" s="689">
        <v>17.8</v>
      </c>
      <c r="C4875" s="689">
        <v>17.5</v>
      </c>
      <c r="D4875" s="689">
        <v>17.600000000000001</v>
      </c>
      <c r="E4875" s="689">
        <v>17.600000000000001</v>
      </c>
      <c r="F4875" s="689">
        <v>17.8</v>
      </c>
      <c r="G4875" s="689">
        <v>17.8</v>
      </c>
      <c r="H4875" s="693">
        <v>18</v>
      </c>
      <c r="I4875" s="693">
        <v>18</v>
      </c>
      <c r="J4875" s="689">
        <v>17.899999999999999</v>
      </c>
      <c r="K4875" s="689">
        <v>17.3</v>
      </c>
    </row>
    <row r="4876" spans="1:11">
      <c r="A4876" s="688" t="s">
        <v>23</v>
      </c>
      <c r="B4876" s="691">
        <v>17.7</v>
      </c>
      <c r="C4876" s="691">
        <v>17.8</v>
      </c>
      <c r="D4876" s="691">
        <v>17.8</v>
      </c>
      <c r="E4876" s="691">
        <v>17.899999999999999</v>
      </c>
      <c r="F4876" s="691">
        <v>17.899999999999999</v>
      </c>
      <c r="G4876" s="615">
        <v>18</v>
      </c>
      <c r="H4876" s="691">
        <v>18.3</v>
      </c>
      <c r="I4876" s="691">
        <v>17.7</v>
      </c>
      <c r="J4876" s="691">
        <v>18.3</v>
      </c>
      <c r="K4876" s="691">
        <v>18.2</v>
      </c>
    </row>
    <row r="4877" spans="1:11">
      <c r="A4877" s="688" t="s">
        <v>4067</v>
      </c>
      <c r="B4877" s="689">
        <v>17.399999999999999</v>
      </c>
      <c r="C4877" s="689">
        <v>17.7</v>
      </c>
      <c r="D4877" s="689">
        <v>17.399999999999999</v>
      </c>
      <c r="E4877" s="689">
        <v>17.7</v>
      </c>
      <c r="F4877" s="689">
        <v>17.600000000000001</v>
      </c>
      <c r="G4877" s="689">
        <v>17.7</v>
      </c>
      <c r="H4877" s="690" t="s">
        <v>4060</v>
      </c>
      <c r="I4877" s="690" t="s">
        <v>4060</v>
      </c>
      <c r="J4877" s="690" t="s">
        <v>4060</v>
      </c>
      <c r="K4877" s="690" t="s">
        <v>4060</v>
      </c>
    </row>
    <row r="4878" spans="1:11">
      <c r="A4878" s="688" t="s">
        <v>4066</v>
      </c>
      <c r="B4878" s="691">
        <v>17.5</v>
      </c>
      <c r="C4878" s="691">
        <v>17.8</v>
      </c>
      <c r="D4878" s="691">
        <v>17.399999999999999</v>
      </c>
      <c r="E4878" s="691">
        <v>17.8</v>
      </c>
      <c r="F4878" s="691">
        <v>17.600000000000001</v>
      </c>
      <c r="G4878" s="691">
        <v>17.7</v>
      </c>
      <c r="H4878" s="692" t="s">
        <v>4060</v>
      </c>
      <c r="I4878" s="692" t="s">
        <v>4060</v>
      </c>
      <c r="J4878" s="692" t="s">
        <v>4060</v>
      </c>
      <c r="K4878" s="692" t="s">
        <v>4060</v>
      </c>
    </row>
    <row r="4879" spans="1:11">
      <c r="A4879" s="688" t="s">
        <v>4062</v>
      </c>
      <c r="B4879" s="689">
        <v>18.2</v>
      </c>
      <c r="C4879" s="689">
        <v>18.3</v>
      </c>
      <c r="D4879" s="689">
        <v>18.100000000000001</v>
      </c>
      <c r="E4879" s="689">
        <v>18.5</v>
      </c>
      <c r="F4879" s="689">
        <v>18.5</v>
      </c>
      <c r="G4879" s="689">
        <v>18.600000000000001</v>
      </c>
      <c r="H4879" s="689">
        <v>18.7</v>
      </c>
      <c r="I4879" s="689">
        <v>18.3</v>
      </c>
      <c r="J4879" s="689">
        <v>18.7</v>
      </c>
      <c r="K4879" s="689">
        <v>18.399999999999999</v>
      </c>
    </row>
    <row r="4880" spans="1:11">
      <c r="A4880" s="688" t="s">
        <v>9</v>
      </c>
      <c r="B4880" s="691">
        <v>17.600000000000001</v>
      </c>
      <c r="C4880" s="691">
        <v>18.100000000000001</v>
      </c>
      <c r="D4880" s="691">
        <v>17.899999999999999</v>
      </c>
      <c r="E4880" s="691">
        <v>17.399999999999999</v>
      </c>
      <c r="F4880" s="691">
        <v>17.899999999999999</v>
      </c>
      <c r="G4880" s="691">
        <v>18.100000000000001</v>
      </c>
      <c r="H4880" s="691">
        <v>18.3</v>
      </c>
      <c r="I4880" s="691">
        <v>18.399999999999999</v>
      </c>
      <c r="J4880" s="691">
        <v>18.600000000000001</v>
      </c>
      <c r="K4880" s="691">
        <v>17.600000000000001</v>
      </c>
    </row>
    <row r="4881" spans="1:11">
      <c r="A4881" s="688" t="s">
        <v>13</v>
      </c>
      <c r="B4881" s="689">
        <v>18.399999999999999</v>
      </c>
      <c r="C4881" s="689">
        <v>17.5</v>
      </c>
      <c r="D4881" s="689">
        <v>18.100000000000001</v>
      </c>
      <c r="E4881" s="689">
        <v>17.8</v>
      </c>
      <c r="F4881" s="689">
        <v>18.899999999999999</v>
      </c>
      <c r="G4881" s="689">
        <v>17.899999999999999</v>
      </c>
      <c r="H4881" s="689">
        <v>18.600000000000001</v>
      </c>
      <c r="I4881" s="689">
        <v>17.3</v>
      </c>
      <c r="J4881" s="689">
        <v>19.3</v>
      </c>
      <c r="K4881" s="689">
        <v>18.899999999999999</v>
      </c>
    </row>
    <row r="4882" spans="1:11">
      <c r="A4882" s="688" t="s">
        <v>18</v>
      </c>
      <c r="B4882" s="691">
        <v>17.600000000000001</v>
      </c>
      <c r="C4882" s="691">
        <v>17.8</v>
      </c>
      <c r="D4882" s="691">
        <v>17.8</v>
      </c>
      <c r="E4882" s="615">
        <v>18</v>
      </c>
      <c r="F4882" s="615">
        <v>18</v>
      </c>
      <c r="G4882" s="691">
        <v>18.100000000000001</v>
      </c>
      <c r="H4882" s="691">
        <v>18.3</v>
      </c>
      <c r="I4882" s="691">
        <v>18.399999999999999</v>
      </c>
      <c r="J4882" s="691">
        <v>18.3</v>
      </c>
      <c r="K4882" s="691">
        <v>17.899999999999999</v>
      </c>
    </row>
    <row r="4883" spans="1:11">
      <c r="A4883" s="688" t="s">
        <v>24</v>
      </c>
      <c r="B4883" s="689">
        <v>18.5</v>
      </c>
      <c r="C4883" s="689">
        <v>18.600000000000001</v>
      </c>
      <c r="D4883" s="689">
        <v>18.3</v>
      </c>
      <c r="E4883" s="689">
        <v>18.8</v>
      </c>
      <c r="F4883" s="689">
        <v>18.7</v>
      </c>
      <c r="G4883" s="689">
        <v>18.899999999999999</v>
      </c>
      <c r="H4883" s="689">
        <v>18.899999999999999</v>
      </c>
      <c r="I4883" s="689">
        <v>18.3</v>
      </c>
      <c r="J4883" s="689">
        <v>18.899999999999999</v>
      </c>
      <c r="K4883" s="689">
        <v>18.7</v>
      </c>
    </row>
    <row r="4884" spans="1:11">
      <c r="A4884" s="688" t="s">
        <v>4059</v>
      </c>
      <c r="B4884" s="691">
        <v>17.399999999999999</v>
      </c>
      <c r="C4884" s="691">
        <v>17.7</v>
      </c>
      <c r="D4884" s="691">
        <v>17.399999999999999</v>
      </c>
      <c r="E4884" s="691">
        <v>17.600000000000001</v>
      </c>
      <c r="F4884" s="691">
        <v>17.600000000000001</v>
      </c>
      <c r="G4884" s="691">
        <v>17.7</v>
      </c>
      <c r="H4884" s="692" t="s">
        <v>4060</v>
      </c>
      <c r="I4884" s="692" t="s">
        <v>4060</v>
      </c>
      <c r="J4884" s="692" t="s">
        <v>4060</v>
      </c>
      <c r="K4884" s="692" t="s">
        <v>4060</v>
      </c>
    </row>
    <row r="4885" spans="1:11">
      <c r="A4885" s="688" t="s">
        <v>2324</v>
      </c>
      <c r="B4885" s="689">
        <v>14.2</v>
      </c>
      <c r="C4885" s="689">
        <v>14.3</v>
      </c>
      <c r="D4885" s="693">
        <v>14</v>
      </c>
      <c r="E4885" s="693">
        <v>14</v>
      </c>
      <c r="F4885" s="689">
        <v>14.2</v>
      </c>
      <c r="G4885" s="689">
        <v>14.3</v>
      </c>
      <c r="H4885" s="689">
        <v>14.5</v>
      </c>
      <c r="I4885" s="689">
        <v>13.6</v>
      </c>
      <c r="J4885" s="689">
        <v>11.9</v>
      </c>
      <c r="K4885" s="690" t="s">
        <v>4060</v>
      </c>
    </row>
    <row r="4886" spans="1:11">
      <c r="A4886" s="688" t="s">
        <v>2322</v>
      </c>
      <c r="B4886" s="692" t="s">
        <v>4060</v>
      </c>
      <c r="C4886" s="692" t="s">
        <v>4060</v>
      </c>
      <c r="D4886" s="692" t="s">
        <v>4060</v>
      </c>
      <c r="E4886" s="692" t="s">
        <v>4060</v>
      </c>
      <c r="F4886" s="692" t="s">
        <v>4060</v>
      </c>
      <c r="G4886" s="692" t="s">
        <v>4060</v>
      </c>
      <c r="H4886" s="692" t="s">
        <v>4060</v>
      </c>
      <c r="I4886" s="692" t="s">
        <v>4060</v>
      </c>
      <c r="J4886" s="692" t="s">
        <v>4060</v>
      </c>
      <c r="K4886" s="692" t="s">
        <v>4060</v>
      </c>
    </row>
    <row r="4887" spans="1:11">
      <c r="A4887" s="688" t="s">
        <v>2328</v>
      </c>
      <c r="B4887" s="689">
        <v>13.3</v>
      </c>
      <c r="C4887" s="689">
        <v>13.3</v>
      </c>
      <c r="D4887" s="689">
        <v>13.1</v>
      </c>
      <c r="E4887" s="689">
        <v>13.4</v>
      </c>
      <c r="F4887" s="689">
        <v>13.5</v>
      </c>
      <c r="G4887" s="689">
        <v>13.9</v>
      </c>
      <c r="H4887" s="689">
        <v>13.8</v>
      </c>
      <c r="I4887" s="689">
        <v>12.4</v>
      </c>
      <c r="J4887" s="689">
        <v>11.8</v>
      </c>
      <c r="K4887" s="690" t="s">
        <v>4060</v>
      </c>
    </row>
    <row r="4888" spans="1:11">
      <c r="A4888" s="688" t="s">
        <v>2496</v>
      </c>
      <c r="B4888" s="692" t="s">
        <v>4060</v>
      </c>
      <c r="C4888" s="691">
        <v>14.1</v>
      </c>
      <c r="D4888" s="691">
        <v>13.3</v>
      </c>
      <c r="E4888" s="615">
        <v>13</v>
      </c>
      <c r="F4888" s="691">
        <v>13.3</v>
      </c>
      <c r="G4888" s="691">
        <v>13.6</v>
      </c>
      <c r="H4888" s="691">
        <v>13.6</v>
      </c>
      <c r="I4888" s="692" t="s">
        <v>4060</v>
      </c>
      <c r="J4888" s="692" t="s">
        <v>4060</v>
      </c>
      <c r="K4888" s="691">
        <v>13.2</v>
      </c>
    </row>
    <row r="4889" spans="1:11">
      <c r="A4889" s="688" t="s">
        <v>2269</v>
      </c>
      <c r="B4889" s="693">
        <v>15</v>
      </c>
      <c r="C4889" s="689">
        <v>15.2</v>
      </c>
      <c r="D4889" s="689">
        <v>14.7</v>
      </c>
      <c r="E4889" s="689">
        <v>15.1</v>
      </c>
      <c r="F4889" s="689">
        <v>15.1</v>
      </c>
      <c r="G4889" s="689">
        <v>15.4</v>
      </c>
      <c r="H4889" s="689">
        <v>15.6</v>
      </c>
      <c r="I4889" s="689">
        <v>14.3</v>
      </c>
      <c r="J4889" s="689">
        <v>12.5</v>
      </c>
      <c r="K4889" s="689">
        <v>15.3</v>
      </c>
    </row>
    <row r="4890" spans="1:11">
      <c r="A4890" s="688" t="s">
        <v>2349</v>
      </c>
      <c r="B4890" s="691">
        <v>13.6</v>
      </c>
      <c r="C4890" s="691">
        <v>13.7</v>
      </c>
      <c r="D4890" s="691">
        <v>13.6</v>
      </c>
      <c r="E4890" s="691">
        <v>13.9</v>
      </c>
      <c r="F4890" s="691">
        <v>13.8</v>
      </c>
      <c r="G4890" s="615">
        <v>14</v>
      </c>
      <c r="H4890" s="691">
        <v>14.1</v>
      </c>
      <c r="I4890" s="691">
        <v>13.1</v>
      </c>
      <c r="J4890" s="691">
        <v>11.8</v>
      </c>
      <c r="K4890" s="691">
        <v>13.4</v>
      </c>
    </row>
    <row r="4891" spans="1:11">
      <c r="A4891" s="688" t="s">
        <v>2355</v>
      </c>
      <c r="B4891" s="689">
        <v>15.9</v>
      </c>
      <c r="C4891" s="689">
        <v>15.7</v>
      </c>
      <c r="D4891" s="689">
        <v>15.7</v>
      </c>
      <c r="E4891" s="689">
        <v>15.6</v>
      </c>
      <c r="F4891" s="689">
        <v>15.8</v>
      </c>
      <c r="G4891" s="689">
        <v>16.100000000000001</v>
      </c>
      <c r="H4891" s="689">
        <v>16.100000000000001</v>
      </c>
      <c r="I4891" s="690" t="s">
        <v>4060</v>
      </c>
      <c r="J4891" s="690" t="s">
        <v>4060</v>
      </c>
      <c r="K4891" s="690" t="s">
        <v>4060</v>
      </c>
    </row>
    <row r="4892" spans="1:11">
      <c r="A4892" s="688" t="s">
        <v>2357</v>
      </c>
      <c r="B4892" s="692" t="s">
        <v>4060</v>
      </c>
      <c r="C4892" s="691">
        <v>13.6</v>
      </c>
      <c r="D4892" s="691">
        <v>13.8</v>
      </c>
      <c r="E4892" s="615">
        <v>14</v>
      </c>
      <c r="F4892" s="691">
        <v>14.2</v>
      </c>
      <c r="G4892" s="691">
        <v>14.1</v>
      </c>
      <c r="H4892" s="691">
        <v>14.2</v>
      </c>
      <c r="I4892" s="692" t="s">
        <v>4060</v>
      </c>
      <c r="J4892" s="692" t="s">
        <v>4060</v>
      </c>
      <c r="K4892" s="692" t="s">
        <v>4060</v>
      </c>
    </row>
    <row r="4893" spans="1:11">
      <c r="A4893" s="688" t="s">
        <v>4070</v>
      </c>
      <c r="B4893" s="690" t="s">
        <v>4060</v>
      </c>
      <c r="C4893" s="690" t="s">
        <v>4060</v>
      </c>
      <c r="D4893" s="690" t="s">
        <v>4060</v>
      </c>
      <c r="E4893" s="689">
        <v>15.5</v>
      </c>
      <c r="F4893" s="690" t="s">
        <v>4060</v>
      </c>
      <c r="G4893" s="690" t="s">
        <v>4060</v>
      </c>
      <c r="H4893" s="690" t="s">
        <v>4060</v>
      </c>
      <c r="I4893" s="690" t="s">
        <v>4060</v>
      </c>
      <c r="J4893" s="690" t="s">
        <v>4060</v>
      </c>
      <c r="K4893" s="690" t="s">
        <v>4060</v>
      </c>
    </row>
    <row r="4894" spans="1:11">
      <c r="A4894" s="688" t="s">
        <v>2491</v>
      </c>
      <c r="B4894" s="691">
        <v>13.7</v>
      </c>
      <c r="C4894" s="691">
        <v>14.1</v>
      </c>
      <c r="D4894" s="691">
        <v>14.1</v>
      </c>
      <c r="E4894" s="691">
        <v>14.1</v>
      </c>
      <c r="F4894" s="691">
        <v>14.2</v>
      </c>
      <c r="G4894" s="691">
        <v>14.2</v>
      </c>
      <c r="H4894" s="692" t="s">
        <v>4060</v>
      </c>
      <c r="I4894" s="692" t="s">
        <v>4060</v>
      </c>
      <c r="J4894" s="692" t="s">
        <v>4060</v>
      </c>
      <c r="K4894" s="692" t="s">
        <v>4060</v>
      </c>
    </row>
    <row r="4895" spans="1:11">
      <c r="A4895" s="688" t="s">
        <v>2343</v>
      </c>
      <c r="B4895" s="690" t="s">
        <v>4060</v>
      </c>
      <c r="C4895" s="690" t="s">
        <v>4060</v>
      </c>
      <c r="D4895" s="690" t="s">
        <v>4060</v>
      </c>
      <c r="E4895" s="690" t="s">
        <v>4060</v>
      </c>
      <c r="F4895" s="690" t="s">
        <v>4060</v>
      </c>
      <c r="G4895" s="690" t="s">
        <v>4060</v>
      </c>
      <c r="H4895" s="690" t="s">
        <v>4060</v>
      </c>
      <c r="I4895" s="690" t="s">
        <v>4060</v>
      </c>
      <c r="J4895" s="690" t="s">
        <v>4060</v>
      </c>
      <c r="K4895" s="690" t="s">
        <v>4060</v>
      </c>
    </row>
    <row r="4896" spans="1:11">
      <c r="A4896" s="688" t="s">
        <v>4071</v>
      </c>
      <c r="B4896" s="692" t="s">
        <v>4060</v>
      </c>
      <c r="C4896" s="692" t="s">
        <v>4060</v>
      </c>
      <c r="D4896" s="692" t="s">
        <v>4060</v>
      </c>
      <c r="E4896" s="692" t="s">
        <v>4060</v>
      </c>
      <c r="F4896" s="692" t="s">
        <v>4060</v>
      </c>
      <c r="G4896" s="692" t="s">
        <v>4060</v>
      </c>
      <c r="H4896" s="692" t="s">
        <v>4060</v>
      </c>
      <c r="I4896" s="692" t="s">
        <v>4060</v>
      </c>
      <c r="J4896" s="692" t="s">
        <v>4060</v>
      </c>
      <c r="K4896" s="692" t="s">
        <v>4060</v>
      </c>
    </row>
    <row r="4897" spans="1:11">
      <c r="A4897" s="688" t="s">
        <v>2489</v>
      </c>
      <c r="B4897" s="690" t="s">
        <v>4060</v>
      </c>
      <c r="C4897" s="690" t="s">
        <v>4060</v>
      </c>
      <c r="D4897" s="693">
        <v>14</v>
      </c>
      <c r="E4897" s="689">
        <v>13.9</v>
      </c>
      <c r="F4897" s="689">
        <v>14.2</v>
      </c>
      <c r="G4897" s="689">
        <v>14.7</v>
      </c>
      <c r="H4897" s="689">
        <v>14.8</v>
      </c>
      <c r="I4897" s="690" t="s">
        <v>4060</v>
      </c>
      <c r="J4897" s="690" t="s">
        <v>4060</v>
      </c>
      <c r="K4897" s="690" t="s">
        <v>4060</v>
      </c>
    </row>
    <row r="4898" spans="1:11">
      <c r="A4898" s="688" t="s">
        <v>2490</v>
      </c>
      <c r="B4898" s="691">
        <v>13.6</v>
      </c>
      <c r="C4898" s="691">
        <v>13.6</v>
      </c>
      <c r="D4898" s="691">
        <v>14.2</v>
      </c>
      <c r="E4898" s="692" t="s">
        <v>4060</v>
      </c>
      <c r="F4898" s="691">
        <v>14.4</v>
      </c>
      <c r="G4898" s="691">
        <v>14.5</v>
      </c>
      <c r="H4898" s="691">
        <v>15.3</v>
      </c>
      <c r="I4898" s="692" t="s">
        <v>4060</v>
      </c>
      <c r="J4898" s="692" t="s">
        <v>4060</v>
      </c>
      <c r="K4898" s="692" t="s">
        <v>4060</v>
      </c>
    </row>
    <row r="4900" spans="1:11">
      <c r="A4900" s="683" t="s">
        <v>4233</v>
      </c>
    </row>
    <row r="4901" spans="1:11">
      <c r="A4901" s="683" t="s">
        <v>4060</v>
      </c>
      <c r="B4901" s="682" t="s">
        <v>4234</v>
      </c>
    </row>
    <row r="4903" spans="1:11">
      <c r="A4903" s="682" t="s">
        <v>4248</v>
      </c>
    </row>
    <row r="4904" spans="1:11">
      <c r="A4904" s="682" t="s">
        <v>4210</v>
      </c>
      <c r="B4904" s="683" t="s">
        <v>4211</v>
      </c>
    </row>
    <row r="4905" spans="1:11">
      <c r="A4905" s="682" t="s">
        <v>4212</v>
      </c>
      <c r="B4905" s="682" t="s">
        <v>4213</v>
      </c>
    </row>
    <row r="4907" spans="1:11">
      <c r="A4907" s="683" t="s">
        <v>4214</v>
      </c>
      <c r="C4907" s="682" t="s">
        <v>4215</v>
      </c>
    </row>
    <row r="4908" spans="1:11">
      <c r="A4908" s="683" t="s">
        <v>4216</v>
      </c>
      <c r="C4908" s="682" t="s">
        <v>2967</v>
      </c>
    </row>
    <row r="4909" spans="1:11">
      <c r="A4909" s="683" t="s">
        <v>3893</v>
      </c>
      <c r="C4909" s="682" t="s">
        <v>4217</v>
      </c>
    </row>
    <row r="4910" spans="1:11">
      <c r="A4910" s="683" t="s">
        <v>4218</v>
      </c>
      <c r="C4910" s="682" t="s">
        <v>4303</v>
      </c>
    </row>
    <row r="4912" spans="1:11">
      <c r="A4912" s="684" t="s">
        <v>4220</v>
      </c>
      <c r="B4912" s="685" t="s">
        <v>4221</v>
      </c>
      <c r="C4912" s="685" t="s">
        <v>4222</v>
      </c>
      <c r="D4912" s="685" t="s">
        <v>4223</v>
      </c>
      <c r="E4912" s="685" t="s">
        <v>4224</v>
      </c>
      <c r="F4912" s="685" t="s">
        <v>4225</v>
      </c>
      <c r="G4912" s="685" t="s">
        <v>4226</v>
      </c>
      <c r="H4912" s="685" t="s">
        <v>4227</v>
      </c>
      <c r="I4912" s="685" t="s">
        <v>4228</v>
      </c>
      <c r="J4912" s="685" t="s">
        <v>4229</v>
      </c>
      <c r="K4912" s="685" t="s">
        <v>4230</v>
      </c>
    </row>
    <row r="4913" spans="1:11">
      <c r="A4913" s="686" t="s">
        <v>4231</v>
      </c>
      <c r="B4913" s="687" t="s">
        <v>4232</v>
      </c>
      <c r="C4913" s="687" t="s">
        <v>4232</v>
      </c>
      <c r="D4913" s="687" t="s">
        <v>4232</v>
      </c>
      <c r="E4913" s="687" t="s">
        <v>4232</v>
      </c>
      <c r="F4913" s="687" t="s">
        <v>4232</v>
      </c>
      <c r="G4913" s="687" t="s">
        <v>4232</v>
      </c>
      <c r="H4913" s="687" t="s">
        <v>4232</v>
      </c>
      <c r="I4913" s="687" t="s">
        <v>4232</v>
      </c>
      <c r="J4913" s="687" t="s">
        <v>4232</v>
      </c>
      <c r="K4913" s="687" t="s">
        <v>4232</v>
      </c>
    </row>
    <row r="4914" spans="1:11">
      <c r="A4914" s="688" t="s">
        <v>4064</v>
      </c>
      <c r="B4914" s="691">
        <v>16.7</v>
      </c>
      <c r="C4914" s="691">
        <v>16.7</v>
      </c>
      <c r="D4914" s="691">
        <v>16.600000000000001</v>
      </c>
      <c r="E4914" s="691">
        <v>16.7</v>
      </c>
      <c r="F4914" s="691">
        <v>16.7</v>
      </c>
      <c r="G4914" s="691">
        <v>16.8</v>
      </c>
      <c r="H4914" s="691">
        <v>16.899999999999999</v>
      </c>
      <c r="I4914" s="691">
        <v>16.2</v>
      </c>
      <c r="J4914" s="691">
        <v>16.100000000000001</v>
      </c>
      <c r="K4914" s="691">
        <v>16.399999999999999</v>
      </c>
    </row>
    <row r="4915" spans="1:11">
      <c r="A4915" s="688" t="s">
        <v>4065</v>
      </c>
      <c r="B4915" s="689">
        <v>16.7</v>
      </c>
      <c r="C4915" s="693">
        <v>17</v>
      </c>
      <c r="D4915" s="689">
        <v>16.600000000000001</v>
      </c>
      <c r="E4915" s="693">
        <v>17</v>
      </c>
      <c r="F4915" s="689">
        <v>16.899999999999999</v>
      </c>
      <c r="G4915" s="693">
        <v>17</v>
      </c>
      <c r="H4915" s="690" t="s">
        <v>4060</v>
      </c>
      <c r="I4915" s="690" t="s">
        <v>4060</v>
      </c>
      <c r="J4915" s="690" t="s">
        <v>4060</v>
      </c>
      <c r="K4915" s="690" t="s">
        <v>4060</v>
      </c>
    </row>
    <row r="4916" spans="1:11">
      <c r="A4916" s="688" t="s">
        <v>4063</v>
      </c>
      <c r="B4916" s="691">
        <v>16.7</v>
      </c>
      <c r="C4916" s="615">
        <v>17</v>
      </c>
      <c r="D4916" s="691">
        <v>16.7</v>
      </c>
      <c r="E4916" s="615">
        <v>17</v>
      </c>
      <c r="F4916" s="691">
        <v>16.899999999999999</v>
      </c>
      <c r="G4916" s="615">
        <v>17</v>
      </c>
      <c r="H4916" s="692" t="s">
        <v>4060</v>
      </c>
      <c r="I4916" s="692" t="s">
        <v>4060</v>
      </c>
      <c r="J4916" s="692" t="s">
        <v>4060</v>
      </c>
      <c r="K4916" s="692" t="s">
        <v>4060</v>
      </c>
    </row>
    <row r="4917" spans="1:11">
      <c r="A4917" s="688" t="s">
        <v>4069</v>
      </c>
      <c r="B4917" s="690" t="s">
        <v>4060</v>
      </c>
      <c r="C4917" s="689">
        <v>17.2</v>
      </c>
      <c r="D4917" s="689">
        <v>16.899999999999999</v>
      </c>
      <c r="E4917" s="689">
        <v>17.2</v>
      </c>
      <c r="F4917" s="689">
        <v>17.100000000000001</v>
      </c>
      <c r="G4917" s="689">
        <v>17.3</v>
      </c>
      <c r="H4917" s="689">
        <v>17.399999999999999</v>
      </c>
      <c r="I4917" s="689">
        <v>16.8</v>
      </c>
      <c r="J4917" s="689">
        <v>16.899999999999999</v>
      </c>
      <c r="K4917" s="689">
        <v>16.899999999999999</v>
      </c>
    </row>
    <row r="4918" spans="1:11">
      <c r="A4918" s="688" t="s">
        <v>4068</v>
      </c>
      <c r="B4918" s="691">
        <v>17.2</v>
      </c>
      <c r="C4918" s="692" t="s">
        <v>4060</v>
      </c>
      <c r="D4918" s="692" t="s">
        <v>4060</v>
      </c>
      <c r="E4918" s="692" t="s">
        <v>4060</v>
      </c>
      <c r="F4918" s="692" t="s">
        <v>4060</v>
      </c>
      <c r="G4918" s="692" t="s">
        <v>4060</v>
      </c>
      <c r="H4918" s="692" t="s">
        <v>4060</v>
      </c>
      <c r="I4918" s="692" t="s">
        <v>4060</v>
      </c>
      <c r="J4918" s="692" t="s">
        <v>4060</v>
      </c>
      <c r="K4918" s="692" t="s">
        <v>4060</v>
      </c>
    </row>
    <row r="4919" spans="1:11">
      <c r="A4919" s="688" t="s">
        <v>0</v>
      </c>
      <c r="B4919" s="689">
        <v>16.7</v>
      </c>
      <c r="C4919" s="689">
        <v>16.899999999999999</v>
      </c>
      <c r="D4919" s="689">
        <v>16.600000000000001</v>
      </c>
      <c r="E4919" s="689">
        <v>16.899999999999999</v>
      </c>
      <c r="F4919" s="689">
        <v>16.899999999999999</v>
      </c>
      <c r="G4919" s="693">
        <v>17</v>
      </c>
      <c r="H4919" s="689">
        <v>17.2</v>
      </c>
      <c r="I4919" s="689">
        <v>16.2</v>
      </c>
      <c r="J4919" s="689">
        <v>17.100000000000001</v>
      </c>
      <c r="K4919" s="693">
        <v>17</v>
      </c>
    </row>
    <row r="4920" spans="1:11">
      <c r="A4920" s="688" t="s">
        <v>1</v>
      </c>
      <c r="B4920" s="691">
        <v>13.5</v>
      </c>
      <c r="C4920" s="691">
        <v>13.2</v>
      </c>
      <c r="D4920" s="691">
        <v>13.2</v>
      </c>
      <c r="E4920" s="691">
        <v>13.4</v>
      </c>
      <c r="F4920" s="691">
        <v>13.3</v>
      </c>
      <c r="G4920" s="691">
        <v>13.4</v>
      </c>
      <c r="H4920" s="691">
        <v>13.5</v>
      </c>
      <c r="I4920" s="691">
        <v>12.5</v>
      </c>
      <c r="J4920" s="691">
        <v>11.4</v>
      </c>
      <c r="K4920" s="691">
        <v>12.9</v>
      </c>
    </row>
    <row r="4921" spans="1:11">
      <c r="A4921" s="688" t="s">
        <v>2240</v>
      </c>
      <c r="B4921" s="689">
        <v>14.8</v>
      </c>
      <c r="C4921" s="689">
        <v>15.1</v>
      </c>
      <c r="D4921" s="689">
        <v>14.8</v>
      </c>
      <c r="E4921" s="689">
        <v>15.2</v>
      </c>
      <c r="F4921" s="689">
        <v>15.1</v>
      </c>
      <c r="G4921" s="689">
        <v>15.2</v>
      </c>
      <c r="H4921" s="689">
        <v>15.3</v>
      </c>
      <c r="I4921" s="689">
        <v>14.4</v>
      </c>
      <c r="J4921" s="689">
        <v>13.9</v>
      </c>
      <c r="K4921" s="689">
        <v>15.1</v>
      </c>
    </row>
    <row r="4922" spans="1:11">
      <c r="A4922" s="688" t="s">
        <v>2</v>
      </c>
      <c r="B4922" s="615">
        <v>16</v>
      </c>
      <c r="C4922" s="691">
        <v>16.3</v>
      </c>
      <c r="D4922" s="691">
        <v>16.3</v>
      </c>
      <c r="E4922" s="691">
        <v>16.399999999999999</v>
      </c>
      <c r="F4922" s="691">
        <v>16.399999999999999</v>
      </c>
      <c r="G4922" s="691">
        <v>16.3</v>
      </c>
      <c r="H4922" s="691">
        <v>16.600000000000001</v>
      </c>
      <c r="I4922" s="691">
        <v>16.7</v>
      </c>
      <c r="J4922" s="691">
        <v>16.5</v>
      </c>
      <c r="K4922" s="691">
        <v>16.3</v>
      </c>
    </row>
    <row r="4923" spans="1:11">
      <c r="A4923" s="688" t="s">
        <v>3</v>
      </c>
      <c r="B4923" s="689">
        <v>16.399999999999999</v>
      </c>
      <c r="C4923" s="689">
        <v>16.600000000000001</v>
      </c>
      <c r="D4923" s="689">
        <v>16.3</v>
      </c>
      <c r="E4923" s="689">
        <v>16.600000000000001</v>
      </c>
      <c r="F4923" s="689">
        <v>16.5</v>
      </c>
      <c r="G4923" s="689">
        <v>16.5</v>
      </c>
      <c r="H4923" s="689">
        <v>16.7</v>
      </c>
      <c r="I4923" s="689">
        <v>16.5</v>
      </c>
      <c r="J4923" s="689">
        <v>16.3</v>
      </c>
      <c r="K4923" s="689">
        <v>16.100000000000001</v>
      </c>
    </row>
    <row r="4924" spans="1:11">
      <c r="A4924" s="688" t="s">
        <v>4061</v>
      </c>
      <c r="B4924" s="691">
        <v>16.399999999999999</v>
      </c>
      <c r="C4924" s="691">
        <v>16.600000000000001</v>
      </c>
      <c r="D4924" s="691">
        <v>16.3</v>
      </c>
      <c r="E4924" s="691">
        <v>16.600000000000001</v>
      </c>
      <c r="F4924" s="691">
        <v>16.5</v>
      </c>
      <c r="G4924" s="691">
        <v>16.5</v>
      </c>
      <c r="H4924" s="691">
        <v>16.7</v>
      </c>
      <c r="I4924" s="691">
        <v>16.5</v>
      </c>
      <c r="J4924" s="691">
        <v>16.3</v>
      </c>
      <c r="K4924" s="691">
        <v>16.100000000000001</v>
      </c>
    </row>
    <row r="4925" spans="1:11">
      <c r="A4925" s="688" t="s">
        <v>4</v>
      </c>
      <c r="B4925" s="689">
        <v>15.5</v>
      </c>
      <c r="C4925" s="689">
        <v>15.3</v>
      </c>
      <c r="D4925" s="689">
        <v>15.5</v>
      </c>
      <c r="E4925" s="689">
        <v>15.6</v>
      </c>
      <c r="F4925" s="689">
        <v>15.6</v>
      </c>
      <c r="G4925" s="689">
        <v>15.6</v>
      </c>
      <c r="H4925" s="693">
        <v>16</v>
      </c>
      <c r="I4925" s="693">
        <v>16</v>
      </c>
      <c r="J4925" s="689">
        <v>14.8</v>
      </c>
      <c r="K4925" s="689">
        <v>15.5</v>
      </c>
    </row>
    <row r="4926" spans="1:11">
      <c r="A4926" s="688" t="s">
        <v>8</v>
      </c>
      <c r="B4926" s="691">
        <v>16.3</v>
      </c>
      <c r="C4926" s="691">
        <v>16.5</v>
      </c>
      <c r="D4926" s="691">
        <v>16.399999999999999</v>
      </c>
      <c r="E4926" s="691">
        <v>16.5</v>
      </c>
      <c r="F4926" s="691">
        <v>16.8</v>
      </c>
      <c r="G4926" s="691">
        <v>16.899999999999999</v>
      </c>
      <c r="H4926" s="691">
        <v>17.100000000000001</v>
      </c>
      <c r="I4926" s="615">
        <v>17</v>
      </c>
      <c r="J4926" s="691">
        <v>16.899999999999999</v>
      </c>
      <c r="K4926" s="615">
        <v>17</v>
      </c>
    </row>
    <row r="4927" spans="1:11">
      <c r="A4927" s="688" t="s">
        <v>7</v>
      </c>
      <c r="B4927" s="689">
        <v>17.100000000000001</v>
      </c>
      <c r="C4927" s="689">
        <v>16.600000000000001</v>
      </c>
      <c r="D4927" s="689">
        <v>16.3</v>
      </c>
      <c r="E4927" s="689">
        <v>16.7</v>
      </c>
      <c r="F4927" s="689">
        <v>16.5</v>
      </c>
      <c r="G4927" s="693">
        <v>17</v>
      </c>
      <c r="H4927" s="689">
        <v>16.899999999999999</v>
      </c>
      <c r="I4927" s="689">
        <v>16.600000000000001</v>
      </c>
      <c r="J4927" s="689">
        <v>16.100000000000001</v>
      </c>
      <c r="K4927" s="689">
        <v>16.3</v>
      </c>
    </row>
    <row r="4928" spans="1:11">
      <c r="A4928" s="688" t="s">
        <v>27</v>
      </c>
      <c r="B4928" s="691">
        <v>18.2</v>
      </c>
      <c r="C4928" s="691">
        <v>17.8</v>
      </c>
      <c r="D4928" s="691">
        <v>17.5</v>
      </c>
      <c r="E4928" s="691">
        <v>17.899999999999999</v>
      </c>
      <c r="F4928" s="691">
        <v>17.899999999999999</v>
      </c>
      <c r="G4928" s="691">
        <v>17.899999999999999</v>
      </c>
      <c r="H4928" s="691">
        <v>18.3</v>
      </c>
      <c r="I4928" s="691">
        <v>17.100000000000001</v>
      </c>
      <c r="J4928" s="691">
        <v>17.899999999999999</v>
      </c>
      <c r="K4928" s="691">
        <v>17.899999999999999</v>
      </c>
    </row>
    <row r="4929" spans="1:11">
      <c r="A4929" s="688" t="s">
        <v>6</v>
      </c>
      <c r="B4929" s="689">
        <v>18.5</v>
      </c>
      <c r="C4929" s="689">
        <v>18.3</v>
      </c>
      <c r="D4929" s="689">
        <v>18.100000000000001</v>
      </c>
      <c r="E4929" s="689">
        <v>18.3</v>
      </c>
      <c r="F4929" s="689">
        <v>18.3</v>
      </c>
      <c r="G4929" s="689">
        <v>18.399999999999999</v>
      </c>
      <c r="H4929" s="689">
        <v>18.5</v>
      </c>
      <c r="I4929" s="689">
        <v>17.899999999999999</v>
      </c>
      <c r="J4929" s="689">
        <v>18.100000000000001</v>
      </c>
      <c r="K4929" s="689">
        <v>18.100000000000001</v>
      </c>
    </row>
    <row r="4930" spans="1:11">
      <c r="A4930" s="688" t="s">
        <v>4058</v>
      </c>
      <c r="B4930" s="692" t="s">
        <v>4060</v>
      </c>
      <c r="C4930" s="692" t="s">
        <v>4060</v>
      </c>
      <c r="D4930" s="692" t="s">
        <v>4060</v>
      </c>
      <c r="E4930" s="692" t="s">
        <v>4060</v>
      </c>
      <c r="F4930" s="692" t="s">
        <v>4060</v>
      </c>
      <c r="G4930" s="692" t="s">
        <v>4060</v>
      </c>
      <c r="H4930" s="692" t="s">
        <v>4060</v>
      </c>
      <c r="I4930" s="692" t="s">
        <v>4060</v>
      </c>
      <c r="J4930" s="692" t="s">
        <v>4060</v>
      </c>
      <c r="K4930" s="692" t="s">
        <v>4060</v>
      </c>
    </row>
    <row r="4931" spans="1:11">
      <c r="A4931" s="688" t="s">
        <v>11</v>
      </c>
      <c r="B4931" s="689">
        <v>14.5</v>
      </c>
      <c r="C4931" s="689">
        <v>14.4</v>
      </c>
      <c r="D4931" s="689">
        <v>14.1</v>
      </c>
      <c r="E4931" s="689">
        <v>14.5</v>
      </c>
      <c r="F4931" s="689">
        <v>14.3</v>
      </c>
      <c r="G4931" s="689">
        <v>14.6</v>
      </c>
      <c r="H4931" s="689">
        <v>14.7</v>
      </c>
      <c r="I4931" s="689">
        <v>14.1</v>
      </c>
      <c r="J4931" s="689">
        <v>13.5</v>
      </c>
      <c r="K4931" s="689">
        <v>14.1</v>
      </c>
    </row>
    <row r="4932" spans="1:11">
      <c r="A4932" s="688" t="s">
        <v>10</v>
      </c>
      <c r="B4932" s="691">
        <v>17.7</v>
      </c>
      <c r="C4932" s="691">
        <v>17.5</v>
      </c>
      <c r="D4932" s="691">
        <v>17.100000000000001</v>
      </c>
      <c r="E4932" s="691">
        <v>17.600000000000001</v>
      </c>
      <c r="F4932" s="691">
        <v>17.399999999999999</v>
      </c>
      <c r="G4932" s="691">
        <v>17.7</v>
      </c>
      <c r="H4932" s="691">
        <v>17.8</v>
      </c>
      <c r="I4932" s="691">
        <v>16.8</v>
      </c>
      <c r="J4932" s="691">
        <v>17.3</v>
      </c>
      <c r="K4932" s="691">
        <v>17.2</v>
      </c>
    </row>
    <row r="4933" spans="1:11">
      <c r="A4933" s="688" t="s">
        <v>30</v>
      </c>
      <c r="B4933" s="689">
        <v>16.899999999999999</v>
      </c>
      <c r="C4933" s="689">
        <v>16.7</v>
      </c>
      <c r="D4933" s="689">
        <v>16.399999999999999</v>
      </c>
      <c r="E4933" s="693">
        <v>17</v>
      </c>
      <c r="F4933" s="689">
        <v>16.8</v>
      </c>
      <c r="G4933" s="689">
        <v>17.2</v>
      </c>
      <c r="H4933" s="693">
        <v>17</v>
      </c>
      <c r="I4933" s="689">
        <v>17.2</v>
      </c>
      <c r="J4933" s="689">
        <v>16.7</v>
      </c>
      <c r="K4933" s="689">
        <v>16.7</v>
      </c>
    </row>
    <row r="4934" spans="1:11">
      <c r="A4934" s="688" t="s">
        <v>12</v>
      </c>
      <c r="B4934" s="691">
        <v>14.2</v>
      </c>
      <c r="C4934" s="691">
        <v>14.2</v>
      </c>
      <c r="D4934" s="691">
        <v>14.2</v>
      </c>
      <c r="E4934" s="691">
        <v>14.2</v>
      </c>
      <c r="F4934" s="691">
        <v>14.3</v>
      </c>
      <c r="G4934" s="691">
        <v>14.4</v>
      </c>
      <c r="H4934" s="691">
        <v>14.6</v>
      </c>
      <c r="I4934" s="691">
        <v>14.4</v>
      </c>
      <c r="J4934" s="691">
        <v>13.1</v>
      </c>
      <c r="K4934" s="615">
        <v>14</v>
      </c>
    </row>
    <row r="4935" spans="1:11">
      <c r="A4935" s="688" t="s">
        <v>14</v>
      </c>
      <c r="B4935" s="689">
        <v>14.6</v>
      </c>
      <c r="C4935" s="689">
        <v>14.5</v>
      </c>
      <c r="D4935" s="689">
        <v>14.3</v>
      </c>
      <c r="E4935" s="689">
        <v>14.4</v>
      </c>
      <c r="F4935" s="689">
        <v>14.5</v>
      </c>
      <c r="G4935" s="689">
        <v>14.6</v>
      </c>
      <c r="H4935" s="689">
        <v>14.9</v>
      </c>
      <c r="I4935" s="689">
        <v>14.1</v>
      </c>
      <c r="J4935" s="689">
        <v>13.5</v>
      </c>
      <c r="K4935" s="689">
        <v>14.3</v>
      </c>
    </row>
    <row r="4936" spans="1:11">
      <c r="A4936" s="688" t="s">
        <v>15</v>
      </c>
      <c r="B4936" s="691">
        <v>17.399999999999999</v>
      </c>
      <c r="C4936" s="691">
        <v>17.100000000000001</v>
      </c>
      <c r="D4936" s="691">
        <v>16.899999999999999</v>
      </c>
      <c r="E4936" s="691">
        <v>17.3</v>
      </c>
      <c r="F4936" s="691">
        <v>16.899999999999999</v>
      </c>
      <c r="G4936" s="615">
        <v>17</v>
      </c>
      <c r="H4936" s="691">
        <v>17.399999999999999</v>
      </c>
      <c r="I4936" s="615">
        <v>17</v>
      </c>
      <c r="J4936" s="691">
        <v>17.3</v>
      </c>
      <c r="K4936" s="691">
        <v>17.600000000000001</v>
      </c>
    </row>
    <row r="4937" spans="1:11">
      <c r="A4937" s="688" t="s">
        <v>29</v>
      </c>
      <c r="B4937" s="689">
        <v>14.1</v>
      </c>
      <c r="C4937" s="689">
        <v>14.1</v>
      </c>
      <c r="D4937" s="689">
        <v>13.8</v>
      </c>
      <c r="E4937" s="689">
        <v>14.2</v>
      </c>
      <c r="F4937" s="689">
        <v>13.9</v>
      </c>
      <c r="G4937" s="693">
        <v>14</v>
      </c>
      <c r="H4937" s="689">
        <v>14.1</v>
      </c>
      <c r="I4937" s="689">
        <v>13.5</v>
      </c>
      <c r="J4937" s="693">
        <v>13</v>
      </c>
      <c r="K4937" s="689">
        <v>13.8</v>
      </c>
    </row>
    <row r="4938" spans="1:11">
      <c r="A4938" s="688" t="s">
        <v>16</v>
      </c>
      <c r="B4938" s="691">
        <v>16.7</v>
      </c>
      <c r="C4938" s="691">
        <v>16.7</v>
      </c>
      <c r="D4938" s="691">
        <v>16.8</v>
      </c>
      <c r="E4938" s="691">
        <v>17.3</v>
      </c>
      <c r="F4938" s="691">
        <v>17.100000000000001</v>
      </c>
      <c r="G4938" s="615">
        <v>17</v>
      </c>
      <c r="H4938" s="691">
        <v>17.2</v>
      </c>
      <c r="I4938" s="691">
        <v>16.7</v>
      </c>
      <c r="J4938" s="691">
        <v>16.8</v>
      </c>
      <c r="K4938" s="615">
        <v>17</v>
      </c>
    </row>
    <row r="4939" spans="1:11">
      <c r="A4939" s="688" t="s">
        <v>17</v>
      </c>
      <c r="B4939" s="689">
        <v>16.600000000000001</v>
      </c>
      <c r="C4939" s="689">
        <v>16.7</v>
      </c>
      <c r="D4939" s="689">
        <v>16.5</v>
      </c>
      <c r="E4939" s="689">
        <v>16.600000000000001</v>
      </c>
      <c r="F4939" s="689">
        <v>16.7</v>
      </c>
      <c r="G4939" s="689">
        <v>16.7</v>
      </c>
      <c r="H4939" s="689">
        <v>16.899999999999999</v>
      </c>
      <c r="I4939" s="689">
        <v>16.3</v>
      </c>
      <c r="J4939" s="689">
        <v>16.3</v>
      </c>
      <c r="K4939" s="689">
        <v>16.5</v>
      </c>
    </row>
    <row r="4940" spans="1:11">
      <c r="A4940" s="688" t="s">
        <v>19</v>
      </c>
      <c r="B4940" s="691">
        <v>16.899999999999999</v>
      </c>
      <c r="C4940" s="691">
        <v>16.899999999999999</v>
      </c>
      <c r="D4940" s="691">
        <v>16.600000000000001</v>
      </c>
      <c r="E4940" s="615">
        <v>17</v>
      </c>
      <c r="F4940" s="691">
        <v>16.899999999999999</v>
      </c>
      <c r="G4940" s="691">
        <v>16.899999999999999</v>
      </c>
      <c r="H4940" s="691">
        <v>17.100000000000001</v>
      </c>
      <c r="I4940" s="691">
        <v>16.5</v>
      </c>
      <c r="J4940" s="691">
        <v>16.5</v>
      </c>
      <c r="K4940" s="691">
        <v>16.600000000000001</v>
      </c>
    </row>
    <row r="4941" spans="1:11">
      <c r="A4941" s="688" t="s">
        <v>20</v>
      </c>
      <c r="B4941" s="689">
        <v>15.3</v>
      </c>
      <c r="C4941" s="689">
        <v>15.4</v>
      </c>
      <c r="D4941" s="689">
        <v>15.2</v>
      </c>
      <c r="E4941" s="689">
        <v>15.5</v>
      </c>
      <c r="F4941" s="689">
        <v>15.4</v>
      </c>
      <c r="G4941" s="689">
        <v>15.3</v>
      </c>
      <c r="H4941" s="689">
        <v>15.6</v>
      </c>
      <c r="I4941" s="689">
        <v>14.3</v>
      </c>
      <c r="J4941" s="689">
        <v>13.7</v>
      </c>
      <c r="K4941" s="689">
        <v>14.9</v>
      </c>
    </row>
    <row r="4942" spans="1:11">
      <c r="A4942" s="688" t="s">
        <v>21</v>
      </c>
      <c r="B4942" s="691">
        <v>16.7</v>
      </c>
      <c r="C4942" s="691">
        <v>16.899999999999999</v>
      </c>
      <c r="D4942" s="691">
        <v>16.899999999999999</v>
      </c>
      <c r="E4942" s="691">
        <v>16.899999999999999</v>
      </c>
      <c r="F4942" s="691">
        <v>17.2</v>
      </c>
      <c r="G4942" s="691">
        <v>17.100000000000001</v>
      </c>
      <c r="H4942" s="691">
        <v>17.399999999999999</v>
      </c>
      <c r="I4942" s="691">
        <v>16.899999999999999</v>
      </c>
      <c r="J4942" s="615">
        <v>17</v>
      </c>
      <c r="K4942" s="691">
        <v>17.2</v>
      </c>
    </row>
    <row r="4943" spans="1:11">
      <c r="A4943" s="688" t="s">
        <v>22</v>
      </c>
      <c r="B4943" s="689">
        <v>13.9</v>
      </c>
      <c r="C4943" s="689">
        <v>13.7</v>
      </c>
      <c r="D4943" s="689">
        <v>13.6</v>
      </c>
      <c r="E4943" s="689">
        <v>13.9</v>
      </c>
      <c r="F4943" s="689">
        <v>13.9</v>
      </c>
      <c r="G4943" s="693">
        <v>14</v>
      </c>
      <c r="H4943" s="689">
        <v>14.2</v>
      </c>
      <c r="I4943" s="689">
        <v>13.2</v>
      </c>
      <c r="J4943" s="689">
        <v>12.2</v>
      </c>
      <c r="K4943" s="689">
        <v>13.6</v>
      </c>
    </row>
    <row r="4944" spans="1:11">
      <c r="A4944" s="688" t="s">
        <v>26</v>
      </c>
      <c r="B4944" s="691">
        <v>16.5</v>
      </c>
      <c r="C4944" s="691">
        <v>16.399999999999999</v>
      </c>
      <c r="D4944" s="691">
        <v>16.3</v>
      </c>
      <c r="E4944" s="691">
        <v>16.600000000000001</v>
      </c>
      <c r="F4944" s="691">
        <v>16.5</v>
      </c>
      <c r="G4944" s="691">
        <v>16.7</v>
      </c>
      <c r="H4944" s="691">
        <v>16.8</v>
      </c>
      <c r="I4944" s="691">
        <v>15.8</v>
      </c>
      <c r="J4944" s="691">
        <v>16.100000000000001</v>
      </c>
      <c r="K4944" s="691">
        <v>16.5</v>
      </c>
    </row>
    <row r="4945" spans="1:11">
      <c r="A4945" s="688" t="s">
        <v>25</v>
      </c>
      <c r="B4945" s="689">
        <v>14.2</v>
      </c>
      <c r="C4945" s="689">
        <v>14.5</v>
      </c>
      <c r="D4945" s="689">
        <v>14.3</v>
      </c>
      <c r="E4945" s="689">
        <v>14.6</v>
      </c>
      <c r="F4945" s="689">
        <v>14.5</v>
      </c>
      <c r="G4945" s="689">
        <v>14.7</v>
      </c>
      <c r="H4945" s="689">
        <v>15.1</v>
      </c>
      <c r="I4945" s="689">
        <v>14.3</v>
      </c>
      <c r="J4945" s="689">
        <v>12.8</v>
      </c>
      <c r="K4945" s="689">
        <v>14.3</v>
      </c>
    </row>
    <row r="4946" spans="1:11">
      <c r="A4946" s="688" t="s">
        <v>5</v>
      </c>
      <c r="B4946" s="615">
        <v>17</v>
      </c>
      <c r="C4946" s="691">
        <v>16.8</v>
      </c>
      <c r="D4946" s="691">
        <v>16.899999999999999</v>
      </c>
      <c r="E4946" s="691">
        <v>16.8</v>
      </c>
      <c r="F4946" s="615">
        <v>17</v>
      </c>
      <c r="G4946" s="691">
        <v>17.100000000000001</v>
      </c>
      <c r="H4946" s="691">
        <v>17.3</v>
      </c>
      <c r="I4946" s="691">
        <v>17.3</v>
      </c>
      <c r="J4946" s="691">
        <v>17.100000000000001</v>
      </c>
      <c r="K4946" s="691">
        <v>16.600000000000001</v>
      </c>
    </row>
    <row r="4947" spans="1:11">
      <c r="A4947" s="688" t="s">
        <v>23</v>
      </c>
      <c r="B4947" s="689">
        <v>16.899999999999999</v>
      </c>
      <c r="C4947" s="693">
        <v>17</v>
      </c>
      <c r="D4947" s="693">
        <v>17</v>
      </c>
      <c r="E4947" s="689">
        <v>17.100000000000001</v>
      </c>
      <c r="F4947" s="689">
        <v>17.100000000000001</v>
      </c>
      <c r="G4947" s="689">
        <v>17.2</v>
      </c>
      <c r="H4947" s="689">
        <v>17.5</v>
      </c>
      <c r="I4947" s="689">
        <v>16.899999999999999</v>
      </c>
      <c r="J4947" s="689">
        <v>17.5</v>
      </c>
      <c r="K4947" s="689">
        <v>17.399999999999999</v>
      </c>
    </row>
    <row r="4948" spans="1:11">
      <c r="A4948" s="688" t="s">
        <v>4067</v>
      </c>
      <c r="B4948" s="691">
        <v>16.7</v>
      </c>
      <c r="C4948" s="615">
        <v>17</v>
      </c>
      <c r="D4948" s="691">
        <v>16.600000000000001</v>
      </c>
      <c r="E4948" s="615">
        <v>17</v>
      </c>
      <c r="F4948" s="691">
        <v>16.899999999999999</v>
      </c>
      <c r="G4948" s="615">
        <v>17</v>
      </c>
      <c r="H4948" s="692" t="s">
        <v>4060</v>
      </c>
      <c r="I4948" s="692" t="s">
        <v>4060</v>
      </c>
      <c r="J4948" s="692" t="s">
        <v>4060</v>
      </c>
      <c r="K4948" s="692" t="s">
        <v>4060</v>
      </c>
    </row>
    <row r="4949" spans="1:11">
      <c r="A4949" s="688" t="s">
        <v>4066</v>
      </c>
      <c r="B4949" s="689">
        <v>16.7</v>
      </c>
      <c r="C4949" s="693">
        <v>17</v>
      </c>
      <c r="D4949" s="689">
        <v>16.7</v>
      </c>
      <c r="E4949" s="693">
        <v>17</v>
      </c>
      <c r="F4949" s="689">
        <v>16.899999999999999</v>
      </c>
      <c r="G4949" s="693">
        <v>17</v>
      </c>
      <c r="H4949" s="690" t="s">
        <v>4060</v>
      </c>
      <c r="I4949" s="690" t="s">
        <v>4060</v>
      </c>
      <c r="J4949" s="690" t="s">
        <v>4060</v>
      </c>
      <c r="K4949" s="690" t="s">
        <v>4060</v>
      </c>
    </row>
    <row r="4950" spans="1:11">
      <c r="A4950" s="688" t="s">
        <v>4062</v>
      </c>
      <c r="B4950" s="691">
        <v>17.399999999999999</v>
      </c>
      <c r="C4950" s="691">
        <v>17.5</v>
      </c>
      <c r="D4950" s="691">
        <v>17.3</v>
      </c>
      <c r="E4950" s="691">
        <v>17.7</v>
      </c>
      <c r="F4950" s="691">
        <v>17.7</v>
      </c>
      <c r="G4950" s="691">
        <v>17.8</v>
      </c>
      <c r="H4950" s="691">
        <v>17.899999999999999</v>
      </c>
      <c r="I4950" s="691">
        <v>17.5</v>
      </c>
      <c r="J4950" s="691">
        <v>17.899999999999999</v>
      </c>
      <c r="K4950" s="691">
        <v>17.600000000000001</v>
      </c>
    </row>
    <row r="4951" spans="1:11">
      <c r="A4951" s="688" t="s">
        <v>9</v>
      </c>
      <c r="B4951" s="689">
        <v>16.8</v>
      </c>
      <c r="C4951" s="689">
        <v>17.3</v>
      </c>
      <c r="D4951" s="693">
        <v>17</v>
      </c>
      <c r="E4951" s="689">
        <v>16.600000000000001</v>
      </c>
      <c r="F4951" s="693">
        <v>17</v>
      </c>
      <c r="G4951" s="689">
        <v>17.3</v>
      </c>
      <c r="H4951" s="689">
        <v>17.5</v>
      </c>
      <c r="I4951" s="689">
        <v>17.7</v>
      </c>
      <c r="J4951" s="689">
        <v>17.8</v>
      </c>
      <c r="K4951" s="689">
        <v>16.8</v>
      </c>
    </row>
    <row r="4952" spans="1:11">
      <c r="A4952" s="688" t="s">
        <v>13</v>
      </c>
      <c r="B4952" s="691">
        <v>17.5</v>
      </c>
      <c r="C4952" s="691">
        <v>16.7</v>
      </c>
      <c r="D4952" s="691">
        <v>17.3</v>
      </c>
      <c r="E4952" s="691">
        <v>16.899999999999999</v>
      </c>
      <c r="F4952" s="691">
        <v>18.3</v>
      </c>
      <c r="G4952" s="691">
        <v>17.100000000000001</v>
      </c>
      <c r="H4952" s="691">
        <v>17.7</v>
      </c>
      <c r="I4952" s="691">
        <v>16.5</v>
      </c>
      <c r="J4952" s="691">
        <v>18.399999999999999</v>
      </c>
      <c r="K4952" s="691">
        <v>18.100000000000001</v>
      </c>
    </row>
    <row r="4953" spans="1:11">
      <c r="A4953" s="688" t="s">
        <v>18</v>
      </c>
      <c r="B4953" s="689">
        <v>16.899999999999999</v>
      </c>
      <c r="C4953" s="693">
        <v>17</v>
      </c>
      <c r="D4953" s="693">
        <v>17</v>
      </c>
      <c r="E4953" s="689">
        <v>17.2</v>
      </c>
      <c r="F4953" s="689">
        <v>17.2</v>
      </c>
      <c r="G4953" s="689">
        <v>17.3</v>
      </c>
      <c r="H4953" s="689">
        <v>17.5</v>
      </c>
      <c r="I4953" s="689">
        <v>17.600000000000001</v>
      </c>
      <c r="J4953" s="689">
        <v>17.5</v>
      </c>
      <c r="K4953" s="689">
        <v>17.100000000000001</v>
      </c>
    </row>
    <row r="4954" spans="1:11">
      <c r="A4954" s="688" t="s">
        <v>24</v>
      </c>
      <c r="B4954" s="691">
        <v>17.7</v>
      </c>
      <c r="C4954" s="691">
        <v>17.8</v>
      </c>
      <c r="D4954" s="691">
        <v>17.5</v>
      </c>
      <c r="E4954" s="615">
        <v>18</v>
      </c>
      <c r="F4954" s="691">
        <v>17.899999999999999</v>
      </c>
      <c r="G4954" s="691">
        <v>18.100000000000001</v>
      </c>
      <c r="H4954" s="691">
        <v>18.100000000000001</v>
      </c>
      <c r="I4954" s="691">
        <v>17.5</v>
      </c>
      <c r="J4954" s="691">
        <v>18.100000000000001</v>
      </c>
      <c r="K4954" s="691">
        <v>17.899999999999999</v>
      </c>
    </row>
    <row r="4955" spans="1:11">
      <c r="A4955" s="688" t="s">
        <v>4059</v>
      </c>
      <c r="B4955" s="689">
        <v>16.7</v>
      </c>
      <c r="C4955" s="689">
        <v>16.899999999999999</v>
      </c>
      <c r="D4955" s="689">
        <v>16.600000000000001</v>
      </c>
      <c r="E4955" s="689">
        <v>16.899999999999999</v>
      </c>
      <c r="F4955" s="689">
        <v>16.8</v>
      </c>
      <c r="G4955" s="689">
        <v>16.899999999999999</v>
      </c>
      <c r="H4955" s="690" t="s">
        <v>4060</v>
      </c>
      <c r="I4955" s="690" t="s">
        <v>4060</v>
      </c>
      <c r="J4955" s="690" t="s">
        <v>4060</v>
      </c>
      <c r="K4955" s="690" t="s">
        <v>4060</v>
      </c>
    </row>
    <row r="4956" spans="1:11">
      <c r="A4956" s="688" t="s">
        <v>2324</v>
      </c>
      <c r="B4956" s="691">
        <v>13.5</v>
      </c>
      <c r="C4956" s="691">
        <v>13.6</v>
      </c>
      <c r="D4956" s="691">
        <v>13.4</v>
      </c>
      <c r="E4956" s="691">
        <v>13.3</v>
      </c>
      <c r="F4956" s="691">
        <v>13.6</v>
      </c>
      <c r="G4956" s="691">
        <v>13.6</v>
      </c>
      <c r="H4956" s="691">
        <v>13.8</v>
      </c>
      <c r="I4956" s="691">
        <v>12.9</v>
      </c>
      <c r="J4956" s="691">
        <v>11.3</v>
      </c>
      <c r="K4956" s="692" t="s">
        <v>4060</v>
      </c>
    </row>
    <row r="4957" spans="1:11">
      <c r="A4957" s="688" t="s">
        <v>2322</v>
      </c>
      <c r="B4957" s="690" t="s">
        <v>4060</v>
      </c>
      <c r="C4957" s="690" t="s">
        <v>4060</v>
      </c>
      <c r="D4957" s="690" t="s">
        <v>4060</v>
      </c>
      <c r="E4957" s="690" t="s">
        <v>4060</v>
      </c>
      <c r="F4957" s="690" t="s">
        <v>4060</v>
      </c>
      <c r="G4957" s="690" t="s">
        <v>4060</v>
      </c>
      <c r="H4957" s="690" t="s">
        <v>4060</v>
      </c>
      <c r="I4957" s="690" t="s">
        <v>4060</v>
      </c>
      <c r="J4957" s="690" t="s">
        <v>4060</v>
      </c>
      <c r="K4957" s="690" t="s">
        <v>4060</v>
      </c>
    </row>
    <row r="4958" spans="1:11">
      <c r="A4958" s="688" t="s">
        <v>2328</v>
      </c>
      <c r="B4958" s="691">
        <v>12.6</v>
      </c>
      <c r="C4958" s="691">
        <v>12.6</v>
      </c>
      <c r="D4958" s="691">
        <v>12.5</v>
      </c>
      <c r="E4958" s="691">
        <v>12.7</v>
      </c>
      <c r="F4958" s="691">
        <v>12.8</v>
      </c>
      <c r="G4958" s="691">
        <v>13.2</v>
      </c>
      <c r="H4958" s="691">
        <v>13.1</v>
      </c>
      <c r="I4958" s="691">
        <v>11.8</v>
      </c>
      <c r="J4958" s="691">
        <v>11.2</v>
      </c>
      <c r="K4958" s="692" t="s">
        <v>4060</v>
      </c>
    </row>
    <row r="4959" spans="1:11">
      <c r="A4959" s="688" t="s">
        <v>2496</v>
      </c>
      <c r="B4959" s="690" t="s">
        <v>4060</v>
      </c>
      <c r="C4959" s="689">
        <v>13.5</v>
      </c>
      <c r="D4959" s="689">
        <v>12.7</v>
      </c>
      <c r="E4959" s="689">
        <v>12.3</v>
      </c>
      <c r="F4959" s="689">
        <v>12.7</v>
      </c>
      <c r="G4959" s="689">
        <v>12.9</v>
      </c>
      <c r="H4959" s="693">
        <v>13</v>
      </c>
      <c r="I4959" s="690" t="s">
        <v>4060</v>
      </c>
      <c r="J4959" s="690" t="s">
        <v>4060</v>
      </c>
      <c r="K4959" s="689">
        <v>12.5</v>
      </c>
    </row>
    <row r="4960" spans="1:11">
      <c r="A4960" s="688" t="s">
        <v>2269</v>
      </c>
      <c r="B4960" s="691">
        <v>14.3</v>
      </c>
      <c r="C4960" s="691">
        <v>14.4</v>
      </c>
      <c r="D4960" s="691">
        <v>13.9</v>
      </c>
      <c r="E4960" s="691">
        <v>14.3</v>
      </c>
      <c r="F4960" s="691">
        <v>14.3</v>
      </c>
      <c r="G4960" s="691">
        <v>14.6</v>
      </c>
      <c r="H4960" s="691">
        <v>14.8</v>
      </c>
      <c r="I4960" s="691">
        <v>13.5</v>
      </c>
      <c r="J4960" s="691">
        <v>11.7</v>
      </c>
      <c r="K4960" s="691">
        <v>14.5</v>
      </c>
    </row>
    <row r="4961" spans="1:11">
      <c r="A4961" s="688" t="s">
        <v>2349</v>
      </c>
      <c r="B4961" s="689">
        <v>12.9</v>
      </c>
      <c r="C4961" s="693">
        <v>13</v>
      </c>
      <c r="D4961" s="693">
        <v>13</v>
      </c>
      <c r="E4961" s="689">
        <v>13.2</v>
      </c>
      <c r="F4961" s="689">
        <v>13.1</v>
      </c>
      <c r="G4961" s="689">
        <v>13.3</v>
      </c>
      <c r="H4961" s="689">
        <v>13.5</v>
      </c>
      <c r="I4961" s="689">
        <v>12.5</v>
      </c>
      <c r="J4961" s="689">
        <v>11.3</v>
      </c>
      <c r="K4961" s="689">
        <v>12.7</v>
      </c>
    </row>
    <row r="4962" spans="1:11">
      <c r="A4962" s="688" t="s">
        <v>2355</v>
      </c>
      <c r="B4962" s="691">
        <v>15.2</v>
      </c>
      <c r="C4962" s="615">
        <v>15</v>
      </c>
      <c r="D4962" s="615">
        <v>15</v>
      </c>
      <c r="E4962" s="691">
        <v>14.9</v>
      </c>
      <c r="F4962" s="615">
        <v>15</v>
      </c>
      <c r="G4962" s="691">
        <v>15.4</v>
      </c>
      <c r="H4962" s="691">
        <v>15.4</v>
      </c>
      <c r="I4962" s="692" t="s">
        <v>4060</v>
      </c>
      <c r="J4962" s="692" t="s">
        <v>4060</v>
      </c>
      <c r="K4962" s="692" t="s">
        <v>4060</v>
      </c>
    </row>
    <row r="4963" spans="1:11">
      <c r="A4963" s="688" t="s">
        <v>2357</v>
      </c>
      <c r="B4963" s="690" t="s">
        <v>4060</v>
      </c>
      <c r="C4963" s="689">
        <v>12.9</v>
      </c>
      <c r="D4963" s="689">
        <v>13.2</v>
      </c>
      <c r="E4963" s="689">
        <v>13.4</v>
      </c>
      <c r="F4963" s="689">
        <v>13.6</v>
      </c>
      <c r="G4963" s="689">
        <v>13.4</v>
      </c>
      <c r="H4963" s="689">
        <v>13.6</v>
      </c>
      <c r="I4963" s="690" t="s">
        <v>4060</v>
      </c>
      <c r="J4963" s="690" t="s">
        <v>4060</v>
      </c>
      <c r="K4963" s="690" t="s">
        <v>4060</v>
      </c>
    </row>
    <row r="4964" spans="1:11">
      <c r="A4964" s="688" t="s">
        <v>4070</v>
      </c>
      <c r="B4964" s="692" t="s">
        <v>4060</v>
      </c>
      <c r="C4964" s="692" t="s">
        <v>4060</v>
      </c>
      <c r="D4964" s="692" t="s">
        <v>4060</v>
      </c>
      <c r="E4964" s="691">
        <v>14.8</v>
      </c>
      <c r="F4964" s="692" t="s">
        <v>4060</v>
      </c>
      <c r="G4964" s="692" t="s">
        <v>4060</v>
      </c>
      <c r="H4964" s="692" t="s">
        <v>4060</v>
      </c>
      <c r="I4964" s="692" t="s">
        <v>4060</v>
      </c>
      <c r="J4964" s="692" t="s">
        <v>4060</v>
      </c>
      <c r="K4964" s="692" t="s">
        <v>4060</v>
      </c>
    </row>
    <row r="4965" spans="1:11">
      <c r="A4965" s="688" t="s">
        <v>2491</v>
      </c>
      <c r="B4965" s="689">
        <v>13.1</v>
      </c>
      <c r="C4965" s="689">
        <v>13.4</v>
      </c>
      <c r="D4965" s="689">
        <v>13.5</v>
      </c>
      <c r="E4965" s="689">
        <v>13.5</v>
      </c>
      <c r="F4965" s="689">
        <v>13.5</v>
      </c>
      <c r="G4965" s="689">
        <v>13.6</v>
      </c>
      <c r="H4965" s="690" t="s">
        <v>4060</v>
      </c>
      <c r="I4965" s="690" t="s">
        <v>4060</v>
      </c>
      <c r="J4965" s="690" t="s">
        <v>4060</v>
      </c>
      <c r="K4965" s="690" t="s">
        <v>4060</v>
      </c>
    </row>
    <row r="4966" spans="1:11">
      <c r="A4966" s="688" t="s">
        <v>2343</v>
      </c>
      <c r="B4966" s="692" t="s">
        <v>4060</v>
      </c>
      <c r="C4966" s="692" t="s">
        <v>4060</v>
      </c>
      <c r="D4966" s="692" t="s">
        <v>4060</v>
      </c>
      <c r="E4966" s="692" t="s">
        <v>4060</v>
      </c>
      <c r="F4966" s="692" t="s">
        <v>4060</v>
      </c>
      <c r="G4966" s="692" t="s">
        <v>4060</v>
      </c>
      <c r="H4966" s="692" t="s">
        <v>4060</v>
      </c>
      <c r="I4966" s="692" t="s">
        <v>4060</v>
      </c>
      <c r="J4966" s="692" t="s">
        <v>4060</v>
      </c>
      <c r="K4966" s="692" t="s">
        <v>4060</v>
      </c>
    </row>
    <row r="4967" spans="1:11">
      <c r="A4967" s="688" t="s">
        <v>4071</v>
      </c>
      <c r="B4967" s="690" t="s">
        <v>4060</v>
      </c>
      <c r="C4967" s="690" t="s">
        <v>4060</v>
      </c>
      <c r="D4967" s="690" t="s">
        <v>4060</v>
      </c>
      <c r="E4967" s="690" t="s">
        <v>4060</v>
      </c>
      <c r="F4967" s="690" t="s">
        <v>4060</v>
      </c>
      <c r="G4967" s="690" t="s">
        <v>4060</v>
      </c>
      <c r="H4967" s="690" t="s">
        <v>4060</v>
      </c>
      <c r="I4967" s="690" t="s">
        <v>4060</v>
      </c>
      <c r="J4967" s="690" t="s">
        <v>4060</v>
      </c>
      <c r="K4967" s="690" t="s">
        <v>4060</v>
      </c>
    </row>
    <row r="4968" spans="1:11">
      <c r="A4968" s="688" t="s">
        <v>2489</v>
      </c>
      <c r="B4968" s="692" t="s">
        <v>4060</v>
      </c>
      <c r="C4968" s="692" t="s">
        <v>4060</v>
      </c>
      <c r="D4968" s="691">
        <v>13.3</v>
      </c>
      <c r="E4968" s="691">
        <v>13.3</v>
      </c>
      <c r="F4968" s="691">
        <v>13.5</v>
      </c>
      <c r="G4968" s="615">
        <v>14</v>
      </c>
      <c r="H4968" s="691">
        <v>14.1</v>
      </c>
      <c r="I4968" s="692" t="s">
        <v>4060</v>
      </c>
      <c r="J4968" s="692" t="s">
        <v>4060</v>
      </c>
      <c r="K4968" s="692" t="s">
        <v>4060</v>
      </c>
    </row>
    <row r="4969" spans="1:11">
      <c r="A4969" s="688" t="s">
        <v>2490</v>
      </c>
      <c r="B4969" s="689">
        <v>12.9</v>
      </c>
      <c r="C4969" s="689">
        <v>12.9</v>
      </c>
      <c r="D4969" s="689">
        <v>13.6</v>
      </c>
      <c r="E4969" s="690" t="s">
        <v>4060</v>
      </c>
      <c r="F4969" s="689">
        <v>13.8</v>
      </c>
      <c r="G4969" s="689">
        <v>13.9</v>
      </c>
      <c r="H4969" s="689">
        <v>14.7</v>
      </c>
      <c r="I4969" s="690" t="s">
        <v>4060</v>
      </c>
      <c r="J4969" s="690" t="s">
        <v>4060</v>
      </c>
      <c r="K4969" s="690" t="s">
        <v>4060</v>
      </c>
    </row>
    <row r="4971" spans="1:11">
      <c r="A4971" s="683" t="s">
        <v>4233</v>
      </c>
    </row>
    <row r="4972" spans="1:11">
      <c r="A4972" s="683" t="s">
        <v>4060</v>
      </c>
      <c r="B4972" s="682" t="s">
        <v>4234</v>
      </c>
    </row>
    <row r="4974" spans="1:11">
      <c r="A4974" s="682" t="s">
        <v>4248</v>
      </c>
    </row>
    <row r="4975" spans="1:11">
      <c r="A4975" s="682" t="s">
        <v>4210</v>
      </c>
      <c r="B4975" s="683" t="s">
        <v>4211</v>
      </c>
    </row>
    <row r="4976" spans="1:11">
      <c r="A4976" s="682" t="s">
        <v>4212</v>
      </c>
      <c r="B4976" s="682" t="s">
        <v>4213</v>
      </c>
    </row>
    <row r="4978" spans="1:11">
      <c r="A4978" s="683" t="s">
        <v>4214</v>
      </c>
      <c r="C4978" s="682" t="s">
        <v>4215</v>
      </c>
    </row>
    <row r="4979" spans="1:11">
      <c r="A4979" s="683" t="s">
        <v>4216</v>
      </c>
      <c r="C4979" s="682" t="s">
        <v>2967</v>
      </c>
    </row>
    <row r="4980" spans="1:11">
      <c r="A4980" s="683" t="s">
        <v>3893</v>
      </c>
      <c r="C4980" s="682" t="s">
        <v>4217</v>
      </c>
    </row>
    <row r="4981" spans="1:11">
      <c r="A4981" s="683" t="s">
        <v>4218</v>
      </c>
      <c r="C4981" s="682" t="s">
        <v>4304</v>
      </c>
    </row>
    <row r="4983" spans="1:11">
      <c r="A4983" s="684" t="s">
        <v>4220</v>
      </c>
      <c r="B4983" s="685" t="s">
        <v>4221</v>
      </c>
      <c r="C4983" s="685" t="s">
        <v>4222</v>
      </c>
      <c r="D4983" s="685" t="s">
        <v>4223</v>
      </c>
      <c r="E4983" s="685" t="s">
        <v>4224</v>
      </c>
      <c r="F4983" s="685" t="s">
        <v>4225</v>
      </c>
      <c r="G4983" s="685" t="s">
        <v>4226</v>
      </c>
      <c r="H4983" s="685" t="s">
        <v>4227</v>
      </c>
      <c r="I4983" s="685" t="s">
        <v>4228</v>
      </c>
      <c r="J4983" s="685" t="s">
        <v>4229</v>
      </c>
      <c r="K4983" s="685" t="s">
        <v>4230</v>
      </c>
    </row>
    <row r="4984" spans="1:11">
      <c r="A4984" s="686" t="s">
        <v>4231</v>
      </c>
      <c r="B4984" s="687" t="s">
        <v>4232</v>
      </c>
      <c r="C4984" s="687" t="s">
        <v>4232</v>
      </c>
      <c r="D4984" s="687" t="s">
        <v>4232</v>
      </c>
      <c r="E4984" s="687" t="s">
        <v>4232</v>
      </c>
      <c r="F4984" s="687" t="s">
        <v>4232</v>
      </c>
      <c r="G4984" s="687" t="s">
        <v>4232</v>
      </c>
      <c r="H4984" s="687" t="s">
        <v>4232</v>
      </c>
      <c r="I4984" s="687" t="s">
        <v>4232</v>
      </c>
      <c r="J4984" s="687" t="s">
        <v>4232</v>
      </c>
      <c r="K4984" s="687" t="s">
        <v>4232</v>
      </c>
    </row>
    <row r="4985" spans="1:11">
      <c r="A4985" s="688" t="s">
        <v>4064</v>
      </c>
      <c r="B4985" s="693">
        <v>16</v>
      </c>
      <c r="C4985" s="689">
        <v>15.9</v>
      </c>
      <c r="D4985" s="689">
        <v>15.9</v>
      </c>
      <c r="E4985" s="693">
        <v>16</v>
      </c>
      <c r="F4985" s="689">
        <v>15.9</v>
      </c>
      <c r="G4985" s="693">
        <v>16</v>
      </c>
      <c r="H4985" s="689">
        <v>16.2</v>
      </c>
      <c r="I4985" s="689">
        <v>15.5</v>
      </c>
      <c r="J4985" s="689">
        <v>15.4</v>
      </c>
      <c r="K4985" s="689">
        <v>15.7</v>
      </c>
    </row>
    <row r="4986" spans="1:11">
      <c r="A4986" s="688" t="s">
        <v>4065</v>
      </c>
      <c r="B4986" s="615">
        <v>16</v>
      </c>
      <c r="C4986" s="691">
        <v>16.2</v>
      </c>
      <c r="D4986" s="691">
        <v>15.9</v>
      </c>
      <c r="E4986" s="691">
        <v>16.2</v>
      </c>
      <c r="F4986" s="691">
        <v>16.100000000000001</v>
      </c>
      <c r="G4986" s="691">
        <v>16.2</v>
      </c>
      <c r="H4986" s="692" t="s">
        <v>4060</v>
      </c>
      <c r="I4986" s="692" t="s">
        <v>4060</v>
      </c>
      <c r="J4986" s="692" t="s">
        <v>4060</v>
      </c>
      <c r="K4986" s="692" t="s">
        <v>4060</v>
      </c>
    </row>
    <row r="4987" spans="1:11">
      <c r="A4987" s="688" t="s">
        <v>4063</v>
      </c>
      <c r="B4987" s="693">
        <v>16</v>
      </c>
      <c r="C4987" s="689">
        <v>16.3</v>
      </c>
      <c r="D4987" s="689">
        <v>15.9</v>
      </c>
      <c r="E4987" s="689">
        <v>16.3</v>
      </c>
      <c r="F4987" s="689">
        <v>16.100000000000001</v>
      </c>
      <c r="G4987" s="689">
        <v>16.2</v>
      </c>
      <c r="H4987" s="690" t="s">
        <v>4060</v>
      </c>
      <c r="I4987" s="690" t="s">
        <v>4060</v>
      </c>
      <c r="J4987" s="690" t="s">
        <v>4060</v>
      </c>
      <c r="K4987" s="690" t="s">
        <v>4060</v>
      </c>
    </row>
    <row r="4988" spans="1:11">
      <c r="A4988" s="688" t="s">
        <v>4069</v>
      </c>
      <c r="B4988" s="692" t="s">
        <v>4060</v>
      </c>
      <c r="C4988" s="691">
        <v>16.399999999999999</v>
      </c>
      <c r="D4988" s="691">
        <v>16.100000000000001</v>
      </c>
      <c r="E4988" s="691">
        <v>16.399999999999999</v>
      </c>
      <c r="F4988" s="691">
        <v>16.399999999999999</v>
      </c>
      <c r="G4988" s="691">
        <v>16.5</v>
      </c>
      <c r="H4988" s="691">
        <v>16.7</v>
      </c>
      <c r="I4988" s="615">
        <v>16</v>
      </c>
      <c r="J4988" s="691">
        <v>16.2</v>
      </c>
      <c r="K4988" s="691">
        <v>16.2</v>
      </c>
    </row>
    <row r="4989" spans="1:11">
      <c r="A4989" s="688" t="s">
        <v>4068</v>
      </c>
      <c r="B4989" s="689">
        <v>16.5</v>
      </c>
      <c r="C4989" s="690" t="s">
        <v>4060</v>
      </c>
      <c r="D4989" s="690" t="s">
        <v>4060</v>
      </c>
      <c r="E4989" s="690" t="s">
        <v>4060</v>
      </c>
      <c r="F4989" s="690" t="s">
        <v>4060</v>
      </c>
      <c r="G4989" s="690" t="s">
        <v>4060</v>
      </c>
      <c r="H4989" s="690" t="s">
        <v>4060</v>
      </c>
      <c r="I4989" s="690" t="s">
        <v>4060</v>
      </c>
      <c r="J4989" s="690" t="s">
        <v>4060</v>
      </c>
      <c r="K4989" s="690" t="s">
        <v>4060</v>
      </c>
    </row>
    <row r="4990" spans="1:11">
      <c r="A4990" s="688" t="s">
        <v>0</v>
      </c>
      <c r="B4990" s="691">
        <v>15.9</v>
      </c>
      <c r="C4990" s="691">
        <v>16.100000000000001</v>
      </c>
      <c r="D4990" s="691">
        <v>15.9</v>
      </c>
      <c r="E4990" s="691">
        <v>16.2</v>
      </c>
      <c r="F4990" s="691">
        <v>16.2</v>
      </c>
      <c r="G4990" s="691">
        <v>16.3</v>
      </c>
      <c r="H4990" s="691">
        <v>16.5</v>
      </c>
      <c r="I4990" s="691">
        <v>15.4</v>
      </c>
      <c r="J4990" s="691">
        <v>16.3</v>
      </c>
      <c r="K4990" s="691">
        <v>16.3</v>
      </c>
    </row>
    <row r="4991" spans="1:11">
      <c r="A4991" s="688" t="s">
        <v>1</v>
      </c>
      <c r="B4991" s="689">
        <v>12.9</v>
      </c>
      <c r="C4991" s="689">
        <v>12.6</v>
      </c>
      <c r="D4991" s="689">
        <v>12.5</v>
      </c>
      <c r="E4991" s="689">
        <v>12.8</v>
      </c>
      <c r="F4991" s="689">
        <v>12.7</v>
      </c>
      <c r="G4991" s="689">
        <v>12.8</v>
      </c>
      <c r="H4991" s="689">
        <v>12.9</v>
      </c>
      <c r="I4991" s="689">
        <v>11.9</v>
      </c>
      <c r="J4991" s="689">
        <v>10.8</v>
      </c>
      <c r="K4991" s="689">
        <v>12.3</v>
      </c>
    </row>
    <row r="4992" spans="1:11">
      <c r="A4992" s="688" t="s">
        <v>2240</v>
      </c>
      <c r="B4992" s="691">
        <v>14.2</v>
      </c>
      <c r="C4992" s="691">
        <v>14.4</v>
      </c>
      <c r="D4992" s="691">
        <v>14.1</v>
      </c>
      <c r="E4992" s="691">
        <v>14.5</v>
      </c>
      <c r="F4992" s="691">
        <v>14.4</v>
      </c>
      <c r="G4992" s="691">
        <v>14.5</v>
      </c>
      <c r="H4992" s="691">
        <v>14.6</v>
      </c>
      <c r="I4992" s="691">
        <v>13.7</v>
      </c>
      <c r="J4992" s="691">
        <v>13.2</v>
      </c>
      <c r="K4992" s="691">
        <v>14.3</v>
      </c>
    </row>
    <row r="4993" spans="1:11">
      <c r="A4993" s="688" t="s">
        <v>2</v>
      </c>
      <c r="B4993" s="689">
        <v>15.3</v>
      </c>
      <c r="C4993" s="689">
        <v>15.6</v>
      </c>
      <c r="D4993" s="689">
        <v>15.5</v>
      </c>
      <c r="E4993" s="689">
        <v>15.7</v>
      </c>
      <c r="F4993" s="689">
        <v>15.7</v>
      </c>
      <c r="G4993" s="689">
        <v>15.6</v>
      </c>
      <c r="H4993" s="689">
        <v>15.9</v>
      </c>
      <c r="I4993" s="689">
        <v>15.9</v>
      </c>
      <c r="J4993" s="689">
        <v>15.7</v>
      </c>
      <c r="K4993" s="689">
        <v>15.6</v>
      </c>
    </row>
    <row r="4994" spans="1:11">
      <c r="A4994" s="688" t="s">
        <v>3</v>
      </c>
      <c r="B4994" s="691">
        <v>15.7</v>
      </c>
      <c r="C4994" s="691">
        <v>15.8</v>
      </c>
      <c r="D4994" s="691">
        <v>15.5</v>
      </c>
      <c r="E4994" s="691">
        <v>15.8</v>
      </c>
      <c r="F4994" s="691">
        <v>15.8</v>
      </c>
      <c r="G4994" s="691">
        <v>15.8</v>
      </c>
      <c r="H4994" s="615">
        <v>16</v>
      </c>
      <c r="I4994" s="691">
        <v>15.8</v>
      </c>
      <c r="J4994" s="691">
        <v>15.6</v>
      </c>
      <c r="K4994" s="691">
        <v>15.4</v>
      </c>
    </row>
    <row r="4995" spans="1:11">
      <c r="A4995" s="688" t="s">
        <v>4061</v>
      </c>
      <c r="B4995" s="689">
        <v>15.7</v>
      </c>
      <c r="C4995" s="689">
        <v>15.8</v>
      </c>
      <c r="D4995" s="689">
        <v>15.5</v>
      </c>
      <c r="E4995" s="689">
        <v>15.8</v>
      </c>
      <c r="F4995" s="689">
        <v>15.8</v>
      </c>
      <c r="G4995" s="689">
        <v>15.8</v>
      </c>
      <c r="H4995" s="693">
        <v>16</v>
      </c>
      <c r="I4995" s="689">
        <v>15.8</v>
      </c>
      <c r="J4995" s="689">
        <v>15.6</v>
      </c>
      <c r="K4995" s="689">
        <v>15.4</v>
      </c>
    </row>
    <row r="4996" spans="1:11">
      <c r="A4996" s="688" t="s">
        <v>4</v>
      </c>
      <c r="B4996" s="691">
        <v>14.8</v>
      </c>
      <c r="C4996" s="691">
        <v>14.6</v>
      </c>
      <c r="D4996" s="691">
        <v>14.8</v>
      </c>
      <c r="E4996" s="691">
        <v>14.9</v>
      </c>
      <c r="F4996" s="691">
        <v>14.9</v>
      </c>
      <c r="G4996" s="615">
        <v>15</v>
      </c>
      <c r="H4996" s="691">
        <v>15.2</v>
      </c>
      <c r="I4996" s="691">
        <v>15.3</v>
      </c>
      <c r="J4996" s="691">
        <v>14.1</v>
      </c>
      <c r="K4996" s="691">
        <v>14.8</v>
      </c>
    </row>
    <row r="4997" spans="1:11">
      <c r="A4997" s="688" t="s">
        <v>8</v>
      </c>
      <c r="B4997" s="689">
        <v>15.6</v>
      </c>
      <c r="C4997" s="689">
        <v>15.7</v>
      </c>
      <c r="D4997" s="689">
        <v>15.6</v>
      </c>
      <c r="E4997" s="689">
        <v>15.7</v>
      </c>
      <c r="F4997" s="693">
        <v>16</v>
      </c>
      <c r="G4997" s="689">
        <v>16.100000000000001</v>
      </c>
      <c r="H4997" s="689">
        <v>16.3</v>
      </c>
      <c r="I4997" s="689">
        <v>16.2</v>
      </c>
      <c r="J4997" s="689">
        <v>16.100000000000001</v>
      </c>
      <c r="K4997" s="689">
        <v>16.2</v>
      </c>
    </row>
    <row r="4998" spans="1:11">
      <c r="A4998" s="688" t="s">
        <v>7</v>
      </c>
      <c r="B4998" s="691">
        <v>16.3</v>
      </c>
      <c r="C4998" s="691">
        <v>15.8</v>
      </c>
      <c r="D4998" s="691">
        <v>15.6</v>
      </c>
      <c r="E4998" s="691">
        <v>15.9</v>
      </c>
      <c r="F4998" s="691">
        <v>15.8</v>
      </c>
      <c r="G4998" s="691">
        <v>16.2</v>
      </c>
      <c r="H4998" s="691">
        <v>16.100000000000001</v>
      </c>
      <c r="I4998" s="691">
        <v>15.9</v>
      </c>
      <c r="J4998" s="691">
        <v>15.3</v>
      </c>
      <c r="K4998" s="691">
        <v>15.5</v>
      </c>
    </row>
    <row r="4999" spans="1:11">
      <c r="A4999" s="688" t="s">
        <v>27</v>
      </c>
      <c r="B4999" s="689">
        <v>17.399999999999999</v>
      </c>
      <c r="C4999" s="693">
        <v>17</v>
      </c>
      <c r="D4999" s="689">
        <v>16.7</v>
      </c>
      <c r="E4999" s="689">
        <v>17.100000000000001</v>
      </c>
      <c r="F4999" s="689">
        <v>17.100000000000001</v>
      </c>
      <c r="G4999" s="689">
        <v>17.2</v>
      </c>
      <c r="H4999" s="689">
        <v>17.5</v>
      </c>
      <c r="I4999" s="689">
        <v>16.3</v>
      </c>
      <c r="J4999" s="689">
        <v>17.100000000000001</v>
      </c>
      <c r="K4999" s="689">
        <v>17.100000000000001</v>
      </c>
    </row>
    <row r="5000" spans="1:11">
      <c r="A5000" s="688" t="s">
        <v>6</v>
      </c>
      <c r="B5000" s="691">
        <v>17.7</v>
      </c>
      <c r="C5000" s="691">
        <v>17.5</v>
      </c>
      <c r="D5000" s="691">
        <v>17.3</v>
      </c>
      <c r="E5000" s="691">
        <v>17.5</v>
      </c>
      <c r="F5000" s="691">
        <v>17.5</v>
      </c>
      <c r="G5000" s="691">
        <v>17.600000000000001</v>
      </c>
      <c r="H5000" s="691">
        <v>17.7</v>
      </c>
      <c r="I5000" s="691">
        <v>17.100000000000001</v>
      </c>
      <c r="J5000" s="691">
        <v>17.3</v>
      </c>
      <c r="K5000" s="691">
        <v>17.3</v>
      </c>
    </row>
    <row r="5001" spans="1:11">
      <c r="A5001" s="688" t="s">
        <v>4058</v>
      </c>
      <c r="B5001" s="690" t="s">
        <v>4060</v>
      </c>
      <c r="C5001" s="690" t="s">
        <v>4060</v>
      </c>
      <c r="D5001" s="690" t="s">
        <v>4060</v>
      </c>
      <c r="E5001" s="690" t="s">
        <v>4060</v>
      </c>
      <c r="F5001" s="690" t="s">
        <v>4060</v>
      </c>
      <c r="G5001" s="690" t="s">
        <v>4060</v>
      </c>
      <c r="H5001" s="690" t="s">
        <v>4060</v>
      </c>
      <c r="I5001" s="690" t="s">
        <v>4060</v>
      </c>
      <c r="J5001" s="690" t="s">
        <v>4060</v>
      </c>
      <c r="K5001" s="690" t="s">
        <v>4060</v>
      </c>
    </row>
    <row r="5002" spans="1:11">
      <c r="A5002" s="688" t="s">
        <v>11</v>
      </c>
      <c r="B5002" s="691">
        <v>13.8</v>
      </c>
      <c r="C5002" s="691">
        <v>13.7</v>
      </c>
      <c r="D5002" s="691">
        <v>13.4</v>
      </c>
      <c r="E5002" s="691">
        <v>13.8</v>
      </c>
      <c r="F5002" s="691">
        <v>13.6</v>
      </c>
      <c r="G5002" s="691">
        <v>13.9</v>
      </c>
      <c r="H5002" s="615">
        <v>14</v>
      </c>
      <c r="I5002" s="691">
        <v>13.4</v>
      </c>
      <c r="J5002" s="691">
        <v>12.8</v>
      </c>
      <c r="K5002" s="691">
        <v>13.5</v>
      </c>
    </row>
    <row r="5003" spans="1:11">
      <c r="A5003" s="688" t="s">
        <v>10</v>
      </c>
      <c r="B5003" s="689">
        <v>16.899999999999999</v>
      </c>
      <c r="C5003" s="689">
        <v>16.7</v>
      </c>
      <c r="D5003" s="689">
        <v>16.3</v>
      </c>
      <c r="E5003" s="689">
        <v>16.8</v>
      </c>
      <c r="F5003" s="689">
        <v>16.600000000000001</v>
      </c>
      <c r="G5003" s="689">
        <v>16.899999999999999</v>
      </c>
      <c r="H5003" s="693">
        <v>17</v>
      </c>
      <c r="I5003" s="693">
        <v>16</v>
      </c>
      <c r="J5003" s="689">
        <v>16.5</v>
      </c>
      <c r="K5003" s="689">
        <v>16.399999999999999</v>
      </c>
    </row>
    <row r="5004" spans="1:11">
      <c r="A5004" s="688" t="s">
        <v>30</v>
      </c>
      <c r="B5004" s="691">
        <v>16.2</v>
      </c>
      <c r="C5004" s="691">
        <v>15.9</v>
      </c>
      <c r="D5004" s="691">
        <v>15.6</v>
      </c>
      <c r="E5004" s="691">
        <v>16.2</v>
      </c>
      <c r="F5004" s="691">
        <v>15.9</v>
      </c>
      <c r="G5004" s="691">
        <v>16.399999999999999</v>
      </c>
      <c r="H5004" s="691">
        <v>16.2</v>
      </c>
      <c r="I5004" s="691">
        <v>16.399999999999999</v>
      </c>
      <c r="J5004" s="691">
        <v>15.8</v>
      </c>
      <c r="K5004" s="691">
        <v>15.9</v>
      </c>
    </row>
    <row r="5005" spans="1:11">
      <c r="A5005" s="688" t="s">
        <v>12</v>
      </c>
      <c r="B5005" s="689">
        <v>13.6</v>
      </c>
      <c r="C5005" s="689">
        <v>13.6</v>
      </c>
      <c r="D5005" s="689">
        <v>13.6</v>
      </c>
      <c r="E5005" s="689">
        <v>13.6</v>
      </c>
      <c r="F5005" s="689">
        <v>13.7</v>
      </c>
      <c r="G5005" s="689">
        <v>13.8</v>
      </c>
      <c r="H5005" s="693">
        <v>14</v>
      </c>
      <c r="I5005" s="689">
        <v>13.7</v>
      </c>
      <c r="J5005" s="689">
        <v>12.6</v>
      </c>
      <c r="K5005" s="689">
        <v>13.4</v>
      </c>
    </row>
    <row r="5006" spans="1:11">
      <c r="A5006" s="688" t="s">
        <v>14</v>
      </c>
      <c r="B5006" s="691">
        <v>13.9</v>
      </c>
      <c r="C5006" s="691">
        <v>13.8</v>
      </c>
      <c r="D5006" s="691">
        <v>13.6</v>
      </c>
      <c r="E5006" s="691">
        <v>13.7</v>
      </c>
      <c r="F5006" s="691">
        <v>13.8</v>
      </c>
      <c r="G5006" s="691">
        <v>13.9</v>
      </c>
      <c r="H5006" s="691">
        <v>14.3</v>
      </c>
      <c r="I5006" s="691">
        <v>13.5</v>
      </c>
      <c r="J5006" s="691">
        <v>12.9</v>
      </c>
      <c r="K5006" s="691">
        <v>13.6</v>
      </c>
    </row>
    <row r="5007" spans="1:11">
      <c r="A5007" s="688" t="s">
        <v>15</v>
      </c>
      <c r="B5007" s="689">
        <v>16.7</v>
      </c>
      <c r="C5007" s="689">
        <v>16.3</v>
      </c>
      <c r="D5007" s="689">
        <v>16.100000000000001</v>
      </c>
      <c r="E5007" s="689">
        <v>16.5</v>
      </c>
      <c r="F5007" s="689">
        <v>16.2</v>
      </c>
      <c r="G5007" s="689">
        <v>16.3</v>
      </c>
      <c r="H5007" s="689">
        <v>16.600000000000001</v>
      </c>
      <c r="I5007" s="689">
        <v>16.2</v>
      </c>
      <c r="J5007" s="689">
        <v>16.5</v>
      </c>
      <c r="K5007" s="689">
        <v>16.899999999999999</v>
      </c>
    </row>
    <row r="5008" spans="1:11">
      <c r="A5008" s="688" t="s">
        <v>29</v>
      </c>
      <c r="B5008" s="691">
        <v>13.5</v>
      </c>
      <c r="C5008" s="691">
        <v>13.4</v>
      </c>
      <c r="D5008" s="691">
        <v>13.2</v>
      </c>
      <c r="E5008" s="691">
        <v>13.5</v>
      </c>
      <c r="F5008" s="691">
        <v>13.3</v>
      </c>
      <c r="G5008" s="691">
        <v>13.4</v>
      </c>
      <c r="H5008" s="691">
        <v>13.5</v>
      </c>
      <c r="I5008" s="691">
        <v>12.9</v>
      </c>
      <c r="J5008" s="691">
        <v>12.4</v>
      </c>
      <c r="K5008" s="691">
        <v>13.2</v>
      </c>
    </row>
    <row r="5009" spans="1:11">
      <c r="A5009" s="688" t="s">
        <v>16</v>
      </c>
      <c r="B5009" s="693">
        <v>16</v>
      </c>
      <c r="C5009" s="689">
        <v>15.9</v>
      </c>
      <c r="D5009" s="693">
        <v>16</v>
      </c>
      <c r="E5009" s="689">
        <v>16.5</v>
      </c>
      <c r="F5009" s="689">
        <v>16.3</v>
      </c>
      <c r="G5009" s="689">
        <v>16.2</v>
      </c>
      <c r="H5009" s="689">
        <v>16.399999999999999</v>
      </c>
      <c r="I5009" s="689">
        <v>15.9</v>
      </c>
      <c r="J5009" s="693">
        <v>16</v>
      </c>
      <c r="K5009" s="689">
        <v>16.2</v>
      </c>
    </row>
    <row r="5010" spans="1:11">
      <c r="A5010" s="688" t="s">
        <v>17</v>
      </c>
      <c r="B5010" s="691">
        <v>15.9</v>
      </c>
      <c r="C5010" s="615">
        <v>16</v>
      </c>
      <c r="D5010" s="691">
        <v>15.7</v>
      </c>
      <c r="E5010" s="691">
        <v>15.8</v>
      </c>
      <c r="F5010" s="691">
        <v>15.9</v>
      </c>
      <c r="G5010" s="691">
        <v>15.9</v>
      </c>
      <c r="H5010" s="691">
        <v>16.100000000000001</v>
      </c>
      <c r="I5010" s="691">
        <v>15.5</v>
      </c>
      <c r="J5010" s="691">
        <v>15.6</v>
      </c>
      <c r="K5010" s="691">
        <v>15.8</v>
      </c>
    </row>
    <row r="5011" spans="1:11">
      <c r="A5011" s="688" t="s">
        <v>19</v>
      </c>
      <c r="B5011" s="689">
        <v>16.2</v>
      </c>
      <c r="C5011" s="689">
        <v>16.2</v>
      </c>
      <c r="D5011" s="689">
        <v>15.9</v>
      </c>
      <c r="E5011" s="689">
        <v>16.2</v>
      </c>
      <c r="F5011" s="689">
        <v>16.100000000000001</v>
      </c>
      <c r="G5011" s="689">
        <v>16.2</v>
      </c>
      <c r="H5011" s="689">
        <v>16.3</v>
      </c>
      <c r="I5011" s="689">
        <v>15.7</v>
      </c>
      <c r="J5011" s="689">
        <v>15.8</v>
      </c>
      <c r="K5011" s="689">
        <v>15.8</v>
      </c>
    </row>
    <row r="5012" spans="1:11">
      <c r="A5012" s="688" t="s">
        <v>20</v>
      </c>
      <c r="B5012" s="691">
        <v>14.6</v>
      </c>
      <c r="C5012" s="691">
        <v>14.7</v>
      </c>
      <c r="D5012" s="691">
        <v>14.5</v>
      </c>
      <c r="E5012" s="691">
        <v>14.9</v>
      </c>
      <c r="F5012" s="691">
        <v>14.7</v>
      </c>
      <c r="G5012" s="691">
        <v>14.7</v>
      </c>
      <c r="H5012" s="691">
        <v>14.9</v>
      </c>
      <c r="I5012" s="691">
        <v>13.7</v>
      </c>
      <c r="J5012" s="691">
        <v>13.1</v>
      </c>
      <c r="K5012" s="691">
        <v>14.2</v>
      </c>
    </row>
    <row r="5013" spans="1:11">
      <c r="A5013" s="688" t="s">
        <v>21</v>
      </c>
      <c r="B5013" s="689">
        <v>15.9</v>
      </c>
      <c r="C5013" s="689">
        <v>16.2</v>
      </c>
      <c r="D5013" s="689">
        <v>16.100000000000001</v>
      </c>
      <c r="E5013" s="689">
        <v>16.2</v>
      </c>
      <c r="F5013" s="689">
        <v>16.399999999999999</v>
      </c>
      <c r="G5013" s="689">
        <v>16.399999999999999</v>
      </c>
      <c r="H5013" s="689">
        <v>16.600000000000001</v>
      </c>
      <c r="I5013" s="689">
        <v>16.100000000000001</v>
      </c>
      <c r="J5013" s="689">
        <v>16.2</v>
      </c>
      <c r="K5013" s="689">
        <v>16.399999999999999</v>
      </c>
    </row>
    <row r="5014" spans="1:11">
      <c r="A5014" s="688" t="s">
        <v>22</v>
      </c>
      <c r="B5014" s="691">
        <v>13.2</v>
      </c>
      <c r="C5014" s="615">
        <v>13</v>
      </c>
      <c r="D5014" s="615">
        <v>13</v>
      </c>
      <c r="E5014" s="691">
        <v>13.3</v>
      </c>
      <c r="F5014" s="691">
        <v>13.3</v>
      </c>
      <c r="G5014" s="691">
        <v>13.4</v>
      </c>
      <c r="H5014" s="691">
        <v>13.6</v>
      </c>
      <c r="I5014" s="691">
        <v>12.6</v>
      </c>
      <c r="J5014" s="691">
        <v>11.6</v>
      </c>
      <c r="K5014" s="691">
        <v>12.9</v>
      </c>
    </row>
    <row r="5015" spans="1:11">
      <c r="A5015" s="688" t="s">
        <v>26</v>
      </c>
      <c r="B5015" s="689">
        <v>15.8</v>
      </c>
      <c r="C5015" s="689">
        <v>15.7</v>
      </c>
      <c r="D5015" s="689">
        <v>15.6</v>
      </c>
      <c r="E5015" s="689">
        <v>15.9</v>
      </c>
      <c r="F5015" s="689">
        <v>15.7</v>
      </c>
      <c r="G5015" s="689">
        <v>15.9</v>
      </c>
      <c r="H5015" s="693">
        <v>16</v>
      </c>
      <c r="I5015" s="693">
        <v>15</v>
      </c>
      <c r="J5015" s="689">
        <v>15.4</v>
      </c>
      <c r="K5015" s="689">
        <v>15.8</v>
      </c>
    </row>
    <row r="5016" spans="1:11">
      <c r="A5016" s="688" t="s">
        <v>25</v>
      </c>
      <c r="B5016" s="691">
        <v>13.6</v>
      </c>
      <c r="C5016" s="691">
        <v>13.8</v>
      </c>
      <c r="D5016" s="691">
        <v>13.6</v>
      </c>
      <c r="E5016" s="615">
        <v>14</v>
      </c>
      <c r="F5016" s="691">
        <v>13.9</v>
      </c>
      <c r="G5016" s="691">
        <v>14.1</v>
      </c>
      <c r="H5016" s="691">
        <v>14.4</v>
      </c>
      <c r="I5016" s="691">
        <v>13.6</v>
      </c>
      <c r="J5016" s="691">
        <v>12.2</v>
      </c>
      <c r="K5016" s="691">
        <v>13.6</v>
      </c>
    </row>
    <row r="5017" spans="1:11">
      <c r="A5017" s="688" t="s">
        <v>5</v>
      </c>
      <c r="B5017" s="689">
        <v>16.3</v>
      </c>
      <c r="C5017" s="693">
        <v>16</v>
      </c>
      <c r="D5017" s="689">
        <v>16.100000000000001</v>
      </c>
      <c r="E5017" s="689">
        <v>16.100000000000001</v>
      </c>
      <c r="F5017" s="689">
        <v>16.2</v>
      </c>
      <c r="G5017" s="689">
        <v>16.3</v>
      </c>
      <c r="H5017" s="689">
        <v>16.5</v>
      </c>
      <c r="I5017" s="689">
        <v>16.5</v>
      </c>
      <c r="J5017" s="689">
        <v>16.399999999999999</v>
      </c>
      <c r="K5017" s="689">
        <v>15.8</v>
      </c>
    </row>
    <row r="5018" spans="1:11">
      <c r="A5018" s="688" t="s">
        <v>23</v>
      </c>
      <c r="B5018" s="691">
        <v>16.100000000000001</v>
      </c>
      <c r="C5018" s="691">
        <v>16.2</v>
      </c>
      <c r="D5018" s="691">
        <v>16.2</v>
      </c>
      <c r="E5018" s="691">
        <v>16.3</v>
      </c>
      <c r="F5018" s="691">
        <v>16.3</v>
      </c>
      <c r="G5018" s="691">
        <v>16.399999999999999</v>
      </c>
      <c r="H5018" s="691">
        <v>16.7</v>
      </c>
      <c r="I5018" s="691">
        <v>16.100000000000001</v>
      </c>
      <c r="J5018" s="691">
        <v>16.7</v>
      </c>
      <c r="K5018" s="691">
        <v>16.600000000000001</v>
      </c>
    </row>
    <row r="5019" spans="1:11">
      <c r="A5019" s="688" t="s">
        <v>4067</v>
      </c>
      <c r="B5019" s="693">
        <v>16</v>
      </c>
      <c r="C5019" s="689">
        <v>16.2</v>
      </c>
      <c r="D5019" s="689">
        <v>15.9</v>
      </c>
      <c r="E5019" s="689">
        <v>16.2</v>
      </c>
      <c r="F5019" s="689">
        <v>16.100000000000001</v>
      </c>
      <c r="G5019" s="689">
        <v>16.2</v>
      </c>
      <c r="H5019" s="690" t="s">
        <v>4060</v>
      </c>
      <c r="I5019" s="690" t="s">
        <v>4060</v>
      </c>
      <c r="J5019" s="690" t="s">
        <v>4060</v>
      </c>
      <c r="K5019" s="690" t="s">
        <v>4060</v>
      </c>
    </row>
    <row r="5020" spans="1:11">
      <c r="A5020" s="688" t="s">
        <v>4066</v>
      </c>
      <c r="B5020" s="615">
        <v>16</v>
      </c>
      <c r="C5020" s="691">
        <v>16.3</v>
      </c>
      <c r="D5020" s="691">
        <v>15.9</v>
      </c>
      <c r="E5020" s="691">
        <v>16.3</v>
      </c>
      <c r="F5020" s="691">
        <v>16.100000000000001</v>
      </c>
      <c r="G5020" s="691">
        <v>16.2</v>
      </c>
      <c r="H5020" s="692" t="s">
        <v>4060</v>
      </c>
      <c r="I5020" s="692" t="s">
        <v>4060</v>
      </c>
      <c r="J5020" s="692" t="s">
        <v>4060</v>
      </c>
      <c r="K5020" s="692" t="s">
        <v>4060</v>
      </c>
    </row>
    <row r="5021" spans="1:11">
      <c r="A5021" s="688" t="s">
        <v>4062</v>
      </c>
      <c r="B5021" s="689">
        <v>16.600000000000001</v>
      </c>
      <c r="C5021" s="689">
        <v>16.7</v>
      </c>
      <c r="D5021" s="689">
        <v>16.5</v>
      </c>
      <c r="E5021" s="689">
        <v>16.899999999999999</v>
      </c>
      <c r="F5021" s="689">
        <v>16.899999999999999</v>
      </c>
      <c r="G5021" s="693">
        <v>17</v>
      </c>
      <c r="H5021" s="689">
        <v>17.100000000000001</v>
      </c>
      <c r="I5021" s="689">
        <v>16.7</v>
      </c>
      <c r="J5021" s="689">
        <v>17.100000000000001</v>
      </c>
      <c r="K5021" s="689">
        <v>16.8</v>
      </c>
    </row>
    <row r="5022" spans="1:11">
      <c r="A5022" s="688" t="s">
        <v>9</v>
      </c>
      <c r="B5022" s="691">
        <v>16.100000000000001</v>
      </c>
      <c r="C5022" s="691">
        <v>16.5</v>
      </c>
      <c r="D5022" s="691">
        <v>16.2</v>
      </c>
      <c r="E5022" s="691">
        <v>15.8</v>
      </c>
      <c r="F5022" s="691">
        <v>16.2</v>
      </c>
      <c r="G5022" s="691">
        <v>16.399999999999999</v>
      </c>
      <c r="H5022" s="691">
        <v>16.7</v>
      </c>
      <c r="I5022" s="691">
        <v>16.8</v>
      </c>
      <c r="J5022" s="691">
        <v>16.899999999999999</v>
      </c>
      <c r="K5022" s="615">
        <v>16</v>
      </c>
    </row>
    <row r="5023" spans="1:11">
      <c r="A5023" s="688" t="s">
        <v>13</v>
      </c>
      <c r="B5023" s="689">
        <v>16.7</v>
      </c>
      <c r="C5023" s="689">
        <v>15.9</v>
      </c>
      <c r="D5023" s="689">
        <v>16.600000000000001</v>
      </c>
      <c r="E5023" s="689">
        <v>16.399999999999999</v>
      </c>
      <c r="F5023" s="689">
        <v>17.5</v>
      </c>
      <c r="G5023" s="689">
        <v>16.2</v>
      </c>
      <c r="H5023" s="693">
        <v>17</v>
      </c>
      <c r="I5023" s="689">
        <v>15.6</v>
      </c>
      <c r="J5023" s="689">
        <v>17.399999999999999</v>
      </c>
      <c r="K5023" s="689">
        <v>17.3</v>
      </c>
    </row>
    <row r="5024" spans="1:11">
      <c r="A5024" s="688" t="s">
        <v>18</v>
      </c>
      <c r="B5024" s="691">
        <v>16.100000000000001</v>
      </c>
      <c r="C5024" s="691">
        <v>16.2</v>
      </c>
      <c r="D5024" s="691">
        <v>16.2</v>
      </c>
      <c r="E5024" s="691">
        <v>16.399999999999999</v>
      </c>
      <c r="F5024" s="691">
        <v>16.399999999999999</v>
      </c>
      <c r="G5024" s="691">
        <v>16.5</v>
      </c>
      <c r="H5024" s="691">
        <v>16.7</v>
      </c>
      <c r="I5024" s="691">
        <v>16.8</v>
      </c>
      <c r="J5024" s="691">
        <v>16.7</v>
      </c>
      <c r="K5024" s="691">
        <v>16.3</v>
      </c>
    </row>
    <row r="5025" spans="1:11">
      <c r="A5025" s="688" t="s">
        <v>24</v>
      </c>
      <c r="B5025" s="693">
        <v>17</v>
      </c>
      <c r="C5025" s="693">
        <v>17</v>
      </c>
      <c r="D5025" s="689">
        <v>16.7</v>
      </c>
      <c r="E5025" s="689">
        <v>17.2</v>
      </c>
      <c r="F5025" s="689">
        <v>17.100000000000001</v>
      </c>
      <c r="G5025" s="689">
        <v>17.3</v>
      </c>
      <c r="H5025" s="689">
        <v>17.3</v>
      </c>
      <c r="I5025" s="689">
        <v>16.600000000000001</v>
      </c>
      <c r="J5025" s="689">
        <v>17.3</v>
      </c>
      <c r="K5025" s="689">
        <v>17.100000000000001</v>
      </c>
    </row>
    <row r="5026" spans="1:11">
      <c r="A5026" s="688" t="s">
        <v>4059</v>
      </c>
      <c r="B5026" s="691">
        <v>15.9</v>
      </c>
      <c r="C5026" s="691">
        <v>16.2</v>
      </c>
      <c r="D5026" s="691">
        <v>15.8</v>
      </c>
      <c r="E5026" s="691">
        <v>16.100000000000001</v>
      </c>
      <c r="F5026" s="691">
        <v>16.100000000000001</v>
      </c>
      <c r="G5026" s="691">
        <v>16.100000000000001</v>
      </c>
      <c r="H5026" s="692" t="s">
        <v>4060</v>
      </c>
      <c r="I5026" s="692" t="s">
        <v>4060</v>
      </c>
      <c r="J5026" s="692" t="s">
        <v>4060</v>
      </c>
      <c r="K5026" s="692" t="s">
        <v>4060</v>
      </c>
    </row>
    <row r="5027" spans="1:11">
      <c r="A5027" s="688" t="s">
        <v>2324</v>
      </c>
      <c r="B5027" s="689">
        <v>12.8</v>
      </c>
      <c r="C5027" s="689">
        <v>12.9</v>
      </c>
      <c r="D5027" s="689">
        <v>12.7</v>
      </c>
      <c r="E5027" s="689">
        <v>12.7</v>
      </c>
      <c r="F5027" s="689">
        <v>12.9</v>
      </c>
      <c r="G5027" s="693">
        <v>13</v>
      </c>
      <c r="H5027" s="689">
        <v>13.1</v>
      </c>
      <c r="I5027" s="689">
        <v>12.3</v>
      </c>
      <c r="J5027" s="689">
        <v>10.7</v>
      </c>
      <c r="K5027" s="690" t="s">
        <v>4060</v>
      </c>
    </row>
    <row r="5028" spans="1:11">
      <c r="A5028" s="688" t="s">
        <v>2322</v>
      </c>
      <c r="B5028" s="692" t="s">
        <v>4060</v>
      </c>
      <c r="C5028" s="692" t="s">
        <v>4060</v>
      </c>
      <c r="D5028" s="692" t="s">
        <v>4060</v>
      </c>
      <c r="E5028" s="692" t="s">
        <v>4060</v>
      </c>
      <c r="F5028" s="692" t="s">
        <v>4060</v>
      </c>
      <c r="G5028" s="692" t="s">
        <v>4060</v>
      </c>
      <c r="H5028" s="692" t="s">
        <v>4060</v>
      </c>
      <c r="I5028" s="692" t="s">
        <v>4060</v>
      </c>
      <c r="J5028" s="692" t="s">
        <v>4060</v>
      </c>
      <c r="K5028" s="692" t="s">
        <v>4060</v>
      </c>
    </row>
    <row r="5029" spans="1:11">
      <c r="A5029" s="688" t="s">
        <v>2328</v>
      </c>
      <c r="B5029" s="689">
        <v>11.9</v>
      </c>
      <c r="C5029" s="689">
        <v>11.9</v>
      </c>
      <c r="D5029" s="689">
        <v>11.8</v>
      </c>
      <c r="E5029" s="693">
        <v>12</v>
      </c>
      <c r="F5029" s="689">
        <v>12.1</v>
      </c>
      <c r="G5029" s="689">
        <v>12.5</v>
      </c>
      <c r="H5029" s="689">
        <v>12.4</v>
      </c>
      <c r="I5029" s="689">
        <v>11.1</v>
      </c>
      <c r="J5029" s="689">
        <v>10.6</v>
      </c>
      <c r="K5029" s="690" t="s">
        <v>4060</v>
      </c>
    </row>
    <row r="5030" spans="1:11">
      <c r="A5030" s="688" t="s">
        <v>2496</v>
      </c>
      <c r="B5030" s="692" t="s">
        <v>4060</v>
      </c>
      <c r="C5030" s="691">
        <v>12.9</v>
      </c>
      <c r="D5030" s="691">
        <v>12.1</v>
      </c>
      <c r="E5030" s="691">
        <v>11.7</v>
      </c>
      <c r="F5030" s="615">
        <v>12</v>
      </c>
      <c r="G5030" s="691">
        <v>12.3</v>
      </c>
      <c r="H5030" s="691">
        <v>12.3</v>
      </c>
      <c r="I5030" s="692" t="s">
        <v>4060</v>
      </c>
      <c r="J5030" s="692" t="s">
        <v>4060</v>
      </c>
      <c r="K5030" s="691">
        <v>11.9</v>
      </c>
    </row>
    <row r="5031" spans="1:11">
      <c r="A5031" s="688" t="s">
        <v>2269</v>
      </c>
      <c r="B5031" s="689">
        <v>13.5</v>
      </c>
      <c r="C5031" s="689">
        <v>13.6</v>
      </c>
      <c r="D5031" s="689">
        <v>13.1</v>
      </c>
      <c r="E5031" s="689">
        <v>13.6</v>
      </c>
      <c r="F5031" s="689">
        <v>13.5</v>
      </c>
      <c r="G5031" s="689">
        <v>13.8</v>
      </c>
      <c r="H5031" s="693">
        <v>14</v>
      </c>
      <c r="I5031" s="689">
        <v>12.8</v>
      </c>
      <c r="J5031" s="693">
        <v>11</v>
      </c>
      <c r="K5031" s="689">
        <v>13.8</v>
      </c>
    </row>
    <row r="5032" spans="1:11">
      <c r="A5032" s="688" t="s">
        <v>2349</v>
      </c>
      <c r="B5032" s="691">
        <v>12.3</v>
      </c>
      <c r="C5032" s="691">
        <v>12.3</v>
      </c>
      <c r="D5032" s="691">
        <v>12.3</v>
      </c>
      <c r="E5032" s="691">
        <v>12.6</v>
      </c>
      <c r="F5032" s="691">
        <v>12.5</v>
      </c>
      <c r="G5032" s="691">
        <v>12.7</v>
      </c>
      <c r="H5032" s="691">
        <v>12.8</v>
      </c>
      <c r="I5032" s="691">
        <v>11.9</v>
      </c>
      <c r="J5032" s="691">
        <v>10.7</v>
      </c>
      <c r="K5032" s="691">
        <v>12.1</v>
      </c>
    </row>
    <row r="5033" spans="1:11">
      <c r="A5033" s="688" t="s">
        <v>2355</v>
      </c>
      <c r="B5033" s="689">
        <v>14.5</v>
      </c>
      <c r="C5033" s="689">
        <v>14.3</v>
      </c>
      <c r="D5033" s="689">
        <v>14.3</v>
      </c>
      <c r="E5033" s="689">
        <v>14.2</v>
      </c>
      <c r="F5033" s="689">
        <v>14.3</v>
      </c>
      <c r="G5033" s="689">
        <v>14.6</v>
      </c>
      <c r="H5033" s="689">
        <v>14.7</v>
      </c>
      <c r="I5033" s="690" t="s">
        <v>4060</v>
      </c>
      <c r="J5033" s="690" t="s">
        <v>4060</v>
      </c>
      <c r="K5033" s="690" t="s">
        <v>4060</v>
      </c>
    </row>
    <row r="5034" spans="1:11">
      <c r="A5034" s="688" t="s">
        <v>2357</v>
      </c>
      <c r="B5034" s="692" t="s">
        <v>4060</v>
      </c>
      <c r="C5034" s="691">
        <v>12.3</v>
      </c>
      <c r="D5034" s="691">
        <v>12.6</v>
      </c>
      <c r="E5034" s="691">
        <v>12.8</v>
      </c>
      <c r="F5034" s="615">
        <v>13</v>
      </c>
      <c r="G5034" s="691">
        <v>12.8</v>
      </c>
      <c r="H5034" s="691">
        <v>12.9</v>
      </c>
      <c r="I5034" s="692" t="s">
        <v>4060</v>
      </c>
      <c r="J5034" s="692" t="s">
        <v>4060</v>
      </c>
      <c r="K5034" s="692" t="s">
        <v>4060</v>
      </c>
    </row>
    <row r="5035" spans="1:11">
      <c r="A5035" s="688" t="s">
        <v>4070</v>
      </c>
      <c r="B5035" s="690" t="s">
        <v>4060</v>
      </c>
      <c r="C5035" s="690" t="s">
        <v>4060</v>
      </c>
      <c r="D5035" s="690" t="s">
        <v>4060</v>
      </c>
      <c r="E5035" s="689">
        <v>14.1</v>
      </c>
      <c r="F5035" s="690" t="s">
        <v>4060</v>
      </c>
      <c r="G5035" s="690" t="s">
        <v>4060</v>
      </c>
      <c r="H5035" s="690" t="s">
        <v>4060</v>
      </c>
      <c r="I5035" s="690" t="s">
        <v>4060</v>
      </c>
      <c r="J5035" s="690" t="s">
        <v>4060</v>
      </c>
      <c r="K5035" s="690" t="s">
        <v>4060</v>
      </c>
    </row>
    <row r="5036" spans="1:11">
      <c r="A5036" s="688" t="s">
        <v>2491</v>
      </c>
      <c r="B5036" s="691">
        <v>12.5</v>
      </c>
      <c r="C5036" s="691">
        <v>12.8</v>
      </c>
      <c r="D5036" s="691">
        <v>12.8</v>
      </c>
      <c r="E5036" s="691">
        <v>12.9</v>
      </c>
      <c r="F5036" s="691">
        <v>12.9</v>
      </c>
      <c r="G5036" s="615">
        <v>13</v>
      </c>
      <c r="H5036" s="692" t="s">
        <v>4060</v>
      </c>
      <c r="I5036" s="692" t="s">
        <v>4060</v>
      </c>
      <c r="J5036" s="692" t="s">
        <v>4060</v>
      </c>
      <c r="K5036" s="692" t="s">
        <v>4060</v>
      </c>
    </row>
    <row r="5037" spans="1:11">
      <c r="A5037" s="688" t="s">
        <v>2343</v>
      </c>
      <c r="B5037" s="690" t="s">
        <v>4060</v>
      </c>
      <c r="C5037" s="690" t="s">
        <v>4060</v>
      </c>
      <c r="D5037" s="690" t="s">
        <v>4060</v>
      </c>
      <c r="E5037" s="690" t="s">
        <v>4060</v>
      </c>
      <c r="F5037" s="690" t="s">
        <v>4060</v>
      </c>
      <c r="G5037" s="690" t="s">
        <v>4060</v>
      </c>
      <c r="H5037" s="690" t="s">
        <v>4060</v>
      </c>
      <c r="I5037" s="690" t="s">
        <v>4060</v>
      </c>
      <c r="J5037" s="690" t="s">
        <v>4060</v>
      </c>
      <c r="K5037" s="690" t="s">
        <v>4060</v>
      </c>
    </row>
    <row r="5038" spans="1:11">
      <c r="A5038" s="688" t="s">
        <v>4071</v>
      </c>
      <c r="B5038" s="692" t="s">
        <v>4060</v>
      </c>
      <c r="C5038" s="692" t="s">
        <v>4060</v>
      </c>
      <c r="D5038" s="692" t="s">
        <v>4060</v>
      </c>
      <c r="E5038" s="692" t="s">
        <v>4060</v>
      </c>
      <c r="F5038" s="692" t="s">
        <v>4060</v>
      </c>
      <c r="G5038" s="692" t="s">
        <v>4060</v>
      </c>
      <c r="H5038" s="692" t="s">
        <v>4060</v>
      </c>
      <c r="I5038" s="692" t="s">
        <v>4060</v>
      </c>
      <c r="J5038" s="692" t="s">
        <v>4060</v>
      </c>
      <c r="K5038" s="692" t="s">
        <v>4060</v>
      </c>
    </row>
    <row r="5039" spans="1:11">
      <c r="A5039" s="688" t="s">
        <v>2489</v>
      </c>
      <c r="B5039" s="690" t="s">
        <v>4060</v>
      </c>
      <c r="C5039" s="690" t="s">
        <v>4060</v>
      </c>
      <c r="D5039" s="689">
        <v>12.6</v>
      </c>
      <c r="E5039" s="689">
        <v>12.6</v>
      </c>
      <c r="F5039" s="689">
        <v>12.9</v>
      </c>
      <c r="G5039" s="689">
        <v>13.4</v>
      </c>
      <c r="H5039" s="689">
        <v>13.4</v>
      </c>
      <c r="I5039" s="690" t="s">
        <v>4060</v>
      </c>
      <c r="J5039" s="690" t="s">
        <v>4060</v>
      </c>
      <c r="K5039" s="690" t="s">
        <v>4060</v>
      </c>
    </row>
    <row r="5040" spans="1:11">
      <c r="A5040" s="688" t="s">
        <v>2490</v>
      </c>
      <c r="B5040" s="691">
        <v>12.2</v>
      </c>
      <c r="C5040" s="691">
        <v>12.2</v>
      </c>
      <c r="D5040" s="691">
        <v>12.9</v>
      </c>
      <c r="E5040" s="692" t="s">
        <v>4060</v>
      </c>
      <c r="F5040" s="691">
        <v>13.1</v>
      </c>
      <c r="G5040" s="691">
        <v>13.2</v>
      </c>
      <c r="H5040" s="615">
        <v>14</v>
      </c>
      <c r="I5040" s="692" t="s">
        <v>4060</v>
      </c>
      <c r="J5040" s="692" t="s">
        <v>4060</v>
      </c>
      <c r="K5040" s="692" t="s">
        <v>4060</v>
      </c>
    </row>
    <row r="5042" spans="1:11">
      <c r="A5042" s="683" t="s">
        <v>4233</v>
      </c>
    </row>
    <row r="5043" spans="1:11">
      <c r="A5043" s="683" t="s">
        <v>4060</v>
      </c>
      <c r="B5043" s="682" t="s">
        <v>4234</v>
      </c>
    </row>
    <row r="5045" spans="1:11">
      <c r="A5045" s="682" t="s">
        <v>4248</v>
      </c>
    </row>
    <row r="5046" spans="1:11">
      <c r="A5046" s="682" t="s">
        <v>4210</v>
      </c>
      <c r="B5046" s="683" t="s">
        <v>4211</v>
      </c>
    </row>
    <row r="5047" spans="1:11">
      <c r="A5047" s="682" t="s">
        <v>4212</v>
      </c>
      <c r="B5047" s="682" t="s">
        <v>4213</v>
      </c>
    </row>
    <row r="5049" spans="1:11">
      <c r="A5049" s="683" t="s">
        <v>4214</v>
      </c>
      <c r="C5049" s="682" t="s">
        <v>4215</v>
      </c>
    </row>
    <row r="5050" spans="1:11">
      <c r="A5050" s="683" t="s">
        <v>4216</v>
      </c>
      <c r="C5050" s="682" t="s">
        <v>2967</v>
      </c>
    </row>
    <row r="5051" spans="1:11">
      <c r="A5051" s="683" t="s">
        <v>3893</v>
      </c>
      <c r="C5051" s="682" t="s">
        <v>4217</v>
      </c>
    </row>
    <row r="5052" spans="1:11">
      <c r="A5052" s="683" t="s">
        <v>4218</v>
      </c>
      <c r="C5052" s="682" t="s">
        <v>4305</v>
      </c>
    </row>
    <row r="5054" spans="1:11">
      <c r="A5054" s="684" t="s">
        <v>4220</v>
      </c>
      <c r="B5054" s="685" t="s">
        <v>4221</v>
      </c>
      <c r="C5054" s="685" t="s">
        <v>4222</v>
      </c>
      <c r="D5054" s="685" t="s">
        <v>4223</v>
      </c>
      <c r="E5054" s="685" t="s">
        <v>4224</v>
      </c>
      <c r="F5054" s="685" t="s">
        <v>4225</v>
      </c>
      <c r="G5054" s="685" t="s">
        <v>4226</v>
      </c>
      <c r="H5054" s="685" t="s">
        <v>4227</v>
      </c>
      <c r="I5054" s="685" t="s">
        <v>4228</v>
      </c>
      <c r="J5054" s="685" t="s">
        <v>4229</v>
      </c>
      <c r="K5054" s="685" t="s">
        <v>4230</v>
      </c>
    </row>
    <row r="5055" spans="1:11">
      <c r="A5055" s="686" t="s">
        <v>4231</v>
      </c>
      <c r="B5055" s="687" t="s">
        <v>4232</v>
      </c>
      <c r="C5055" s="687" t="s">
        <v>4232</v>
      </c>
      <c r="D5055" s="687" t="s">
        <v>4232</v>
      </c>
      <c r="E5055" s="687" t="s">
        <v>4232</v>
      </c>
      <c r="F5055" s="687" t="s">
        <v>4232</v>
      </c>
      <c r="G5055" s="687" t="s">
        <v>4232</v>
      </c>
      <c r="H5055" s="687" t="s">
        <v>4232</v>
      </c>
      <c r="I5055" s="687" t="s">
        <v>4232</v>
      </c>
      <c r="J5055" s="687" t="s">
        <v>4232</v>
      </c>
      <c r="K5055" s="687" t="s">
        <v>4232</v>
      </c>
    </row>
    <row r="5056" spans="1:11">
      <c r="A5056" s="688" t="s">
        <v>4064</v>
      </c>
      <c r="B5056" s="691">
        <v>15.2</v>
      </c>
      <c r="C5056" s="691">
        <v>15.2</v>
      </c>
      <c r="D5056" s="691">
        <v>15.2</v>
      </c>
      <c r="E5056" s="691">
        <v>15.2</v>
      </c>
      <c r="F5056" s="691">
        <v>15.2</v>
      </c>
      <c r="G5056" s="691">
        <v>15.3</v>
      </c>
      <c r="H5056" s="691">
        <v>15.5</v>
      </c>
      <c r="I5056" s="691">
        <v>14.8</v>
      </c>
      <c r="J5056" s="691">
        <v>14.7</v>
      </c>
      <c r="K5056" s="615">
        <v>15</v>
      </c>
    </row>
    <row r="5057" spans="1:11">
      <c r="A5057" s="688" t="s">
        <v>4065</v>
      </c>
      <c r="B5057" s="689">
        <v>15.2</v>
      </c>
      <c r="C5057" s="689">
        <v>15.5</v>
      </c>
      <c r="D5057" s="689">
        <v>15.2</v>
      </c>
      <c r="E5057" s="689">
        <v>15.5</v>
      </c>
      <c r="F5057" s="689">
        <v>15.4</v>
      </c>
      <c r="G5057" s="689">
        <v>15.5</v>
      </c>
      <c r="H5057" s="690" t="s">
        <v>4060</v>
      </c>
      <c r="I5057" s="690" t="s">
        <v>4060</v>
      </c>
      <c r="J5057" s="690" t="s">
        <v>4060</v>
      </c>
      <c r="K5057" s="690" t="s">
        <v>4060</v>
      </c>
    </row>
    <row r="5058" spans="1:11">
      <c r="A5058" s="688" t="s">
        <v>4063</v>
      </c>
      <c r="B5058" s="691">
        <v>15.2</v>
      </c>
      <c r="C5058" s="691">
        <v>15.5</v>
      </c>
      <c r="D5058" s="691">
        <v>15.2</v>
      </c>
      <c r="E5058" s="691">
        <v>15.5</v>
      </c>
      <c r="F5058" s="691">
        <v>15.4</v>
      </c>
      <c r="G5058" s="691">
        <v>15.5</v>
      </c>
      <c r="H5058" s="692" t="s">
        <v>4060</v>
      </c>
      <c r="I5058" s="692" t="s">
        <v>4060</v>
      </c>
      <c r="J5058" s="692" t="s">
        <v>4060</v>
      </c>
      <c r="K5058" s="692" t="s">
        <v>4060</v>
      </c>
    </row>
    <row r="5059" spans="1:11">
      <c r="A5059" s="688" t="s">
        <v>4069</v>
      </c>
      <c r="B5059" s="690" t="s">
        <v>4060</v>
      </c>
      <c r="C5059" s="689">
        <v>15.6</v>
      </c>
      <c r="D5059" s="689">
        <v>15.4</v>
      </c>
      <c r="E5059" s="689">
        <v>15.7</v>
      </c>
      <c r="F5059" s="689">
        <v>15.6</v>
      </c>
      <c r="G5059" s="689">
        <v>15.7</v>
      </c>
      <c r="H5059" s="689">
        <v>15.9</v>
      </c>
      <c r="I5059" s="689">
        <v>15.3</v>
      </c>
      <c r="J5059" s="689">
        <v>15.4</v>
      </c>
      <c r="K5059" s="689">
        <v>15.4</v>
      </c>
    </row>
    <row r="5060" spans="1:11">
      <c r="A5060" s="688" t="s">
        <v>4068</v>
      </c>
      <c r="B5060" s="691">
        <v>15.7</v>
      </c>
      <c r="C5060" s="692" t="s">
        <v>4060</v>
      </c>
      <c r="D5060" s="692" t="s">
        <v>4060</v>
      </c>
      <c r="E5060" s="692" t="s">
        <v>4060</v>
      </c>
      <c r="F5060" s="692" t="s">
        <v>4060</v>
      </c>
      <c r="G5060" s="692" t="s">
        <v>4060</v>
      </c>
      <c r="H5060" s="692" t="s">
        <v>4060</v>
      </c>
      <c r="I5060" s="692" t="s">
        <v>4060</v>
      </c>
      <c r="J5060" s="692" t="s">
        <v>4060</v>
      </c>
      <c r="K5060" s="692" t="s">
        <v>4060</v>
      </c>
    </row>
    <row r="5061" spans="1:11">
      <c r="A5061" s="688" t="s">
        <v>0</v>
      </c>
      <c r="B5061" s="689">
        <v>15.2</v>
      </c>
      <c r="C5061" s="689">
        <v>15.4</v>
      </c>
      <c r="D5061" s="689">
        <v>15.1</v>
      </c>
      <c r="E5061" s="689">
        <v>15.4</v>
      </c>
      <c r="F5061" s="689">
        <v>15.4</v>
      </c>
      <c r="G5061" s="689">
        <v>15.5</v>
      </c>
      <c r="H5061" s="689">
        <v>15.7</v>
      </c>
      <c r="I5061" s="689">
        <v>14.7</v>
      </c>
      <c r="J5061" s="689">
        <v>15.6</v>
      </c>
      <c r="K5061" s="689">
        <v>15.5</v>
      </c>
    </row>
    <row r="5062" spans="1:11">
      <c r="A5062" s="688" t="s">
        <v>1</v>
      </c>
      <c r="B5062" s="691">
        <v>12.2</v>
      </c>
      <c r="C5062" s="615">
        <v>12</v>
      </c>
      <c r="D5062" s="691">
        <v>11.9</v>
      </c>
      <c r="E5062" s="691">
        <v>12.1</v>
      </c>
      <c r="F5062" s="615">
        <v>12</v>
      </c>
      <c r="G5062" s="691">
        <v>12.1</v>
      </c>
      <c r="H5062" s="691">
        <v>12.2</v>
      </c>
      <c r="I5062" s="691">
        <v>11.3</v>
      </c>
      <c r="J5062" s="691">
        <v>10.199999999999999</v>
      </c>
      <c r="K5062" s="691">
        <v>11.7</v>
      </c>
    </row>
    <row r="5063" spans="1:11">
      <c r="A5063" s="688" t="s">
        <v>2240</v>
      </c>
      <c r="B5063" s="689">
        <v>13.5</v>
      </c>
      <c r="C5063" s="689">
        <v>13.7</v>
      </c>
      <c r="D5063" s="689">
        <v>13.4</v>
      </c>
      <c r="E5063" s="689">
        <v>13.8</v>
      </c>
      <c r="F5063" s="689">
        <v>13.7</v>
      </c>
      <c r="G5063" s="689">
        <v>13.8</v>
      </c>
      <c r="H5063" s="689">
        <v>13.9</v>
      </c>
      <c r="I5063" s="693">
        <v>13</v>
      </c>
      <c r="J5063" s="689">
        <v>12.6</v>
      </c>
      <c r="K5063" s="689">
        <v>13.7</v>
      </c>
    </row>
    <row r="5064" spans="1:11">
      <c r="A5064" s="688" t="s">
        <v>2</v>
      </c>
      <c r="B5064" s="691">
        <v>14.6</v>
      </c>
      <c r="C5064" s="691">
        <v>14.9</v>
      </c>
      <c r="D5064" s="691">
        <v>14.8</v>
      </c>
      <c r="E5064" s="691">
        <v>14.9</v>
      </c>
      <c r="F5064" s="691">
        <v>14.9</v>
      </c>
      <c r="G5064" s="691">
        <v>14.8</v>
      </c>
      <c r="H5064" s="691">
        <v>15.2</v>
      </c>
      <c r="I5064" s="691">
        <v>15.2</v>
      </c>
      <c r="J5064" s="615">
        <v>15</v>
      </c>
      <c r="K5064" s="691">
        <v>14.9</v>
      </c>
    </row>
    <row r="5065" spans="1:11">
      <c r="A5065" s="688" t="s">
        <v>3</v>
      </c>
      <c r="B5065" s="689">
        <v>14.9</v>
      </c>
      <c r="C5065" s="689">
        <v>15.1</v>
      </c>
      <c r="D5065" s="689">
        <v>14.8</v>
      </c>
      <c r="E5065" s="689">
        <v>15.1</v>
      </c>
      <c r="F5065" s="689">
        <v>15.1</v>
      </c>
      <c r="G5065" s="693">
        <v>15</v>
      </c>
      <c r="H5065" s="689">
        <v>15.2</v>
      </c>
      <c r="I5065" s="693">
        <v>15</v>
      </c>
      <c r="J5065" s="689">
        <v>14.9</v>
      </c>
      <c r="K5065" s="689">
        <v>14.7</v>
      </c>
    </row>
    <row r="5066" spans="1:11">
      <c r="A5066" s="688" t="s">
        <v>4061</v>
      </c>
      <c r="B5066" s="691">
        <v>14.9</v>
      </c>
      <c r="C5066" s="691">
        <v>15.1</v>
      </c>
      <c r="D5066" s="691">
        <v>14.8</v>
      </c>
      <c r="E5066" s="691">
        <v>15.1</v>
      </c>
      <c r="F5066" s="691">
        <v>15.1</v>
      </c>
      <c r="G5066" s="615">
        <v>15</v>
      </c>
      <c r="H5066" s="691">
        <v>15.2</v>
      </c>
      <c r="I5066" s="615">
        <v>15</v>
      </c>
      <c r="J5066" s="691">
        <v>14.9</v>
      </c>
      <c r="K5066" s="691">
        <v>14.7</v>
      </c>
    </row>
    <row r="5067" spans="1:11">
      <c r="A5067" s="688" t="s">
        <v>4</v>
      </c>
      <c r="B5067" s="689">
        <v>14.1</v>
      </c>
      <c r="C5067" s="693">
        <v>14</v>
      </c>
      <c r="D5067" s="689">
        <v>14.1</v>
      </c>
      <c r="E5067" s="689">
        <v>14.3</v>
      </c>
      <c r="F5067" s="689">
        <v>14.3</v>
      </c>
      <c r="G5067" s="689">
        <v>14.3</v>
      </c>
      <c r="H5067" s="689">
        <v>14.6</v>
      </c>
      <c r="I5067" s="689">
        <v>14.7</v>
      </c>
      <c r="J5067" s="689">
        <v>13.5</v>
      </c>
      <c r="K5067" s="689">
        <v>14.1</v>
      </c>
    </row>
    <row r="5068" spans="1:11">
      <c r="A5068" s="688" t="s">
        <v>8</v>
      </c>
      <c r="B5068" s="691">
        <v>14.8</v>
      </c>
      <c r="C5068" s="691">
        <v>14.9</v>
      </c>
      <c r="D5068" s="691">
        <v>14.9</v>
      </c>
      <c r="E5068" s="691">
        <v>14.9</v>
      </c>
      <c r="F5068" s="691">
        <v>15.2</v>
      </c>
      <c r="G5068" s="691">
        <v>15.4</v>
      </c>
      <c r="H5068" s="691">
        <v>15.6</v>
      </c>
      <c r="I5068" s="691">
        <v>15.5</v>
      </c>
      <c r="J5068" s="691">
        <v>15.3</v>
      </c>
      <c r="K5068" s="691">
        <v>15.4</v>
      </c>
    </row>
    <row r="5069" spans="1:11">
      <c r="A5069" s="688" t="s">
        <v>7</v>
      </c>
      <c r="B5069" s="689">
        <v>15.5</v>
      </c>
      <c r="C5069" s="689">
        <v>15.1</v>
      </c>
      <c r="D5069" s="689">
        <v>14.8</v>
      </c>
      <c r="E5069" s="689">
        <v>15.1</v>
      </c>
      <c r="F5069" s="693">
        <v>15</v>
      </c>
      <c r="G5069" s="689">
        <v>15.4</v>
      </c>
      <c r="H5069" s="689">
        <v>15.3</v>
      </c>
      <c r="I5069" s="689">
        <v>15.1</v>
      </c>
      <c r="J5069" s="689">
        <v>14.6</v>
      </c>
      <c r="K5069" s="689">
        <v>14.8</v>
      </c>
    </row>
    <row r="5070" spans="1:11">
      <c r="A5070" s="688" t="s">
        <v>27</v>
      </c>
      <c r="B5070" s="691">
        <v>16.7</v>
      </c>
      <c r="C5070" s="691">
        <v>16.3</v>
      </c>
      <c r="D5070" s="615">
        <v>16</v>
      </c>
      <c r="E5070" s="691">
        <v>16.3</v>
      </c>
      <c r="F5070" s="691">
        <v>16.3</v>
      </c>
      <c r="G5070" s="691">
        <v>16.399999999999999</v>
      </c>
      <c r="H5070" s="691">
        <v>16.7</v>
      </c>
      <c r="I5070" s="691">
        <v>15.6</v>
      </c>
      <c r="J5070" s="691">
        <v>16.3</v>
      </c>
      <c r="K5070" s="691">
        <v>16.3</v>
      </c>
    </row>
    <row r="5071" spans="1:11">
      <c r="A5071" s="688" t="s">
        <v>6</v>
      </c>
      <c r="B5071" s="693">
        <v>17</v>
      </c>
      <c r="C5071" s="689">
        <v>16.8</v>
      </c>
      <c r="D5071" s="689">
        <v>16.5</v>
      </c>
      <c r="E5071" s="689">
        <v>16.7</v>
      </c>
      <c r="F5071" s="689">
        <v>16.8</v>
      </c>
      <c r="G5071" s="689">
        <v>16.899999999999999</v>
      </c>
      <c r="H5071" s="693">
        <v>17</v>
      </c>
      <c r="I5071" s="689">
        <v>16.399999999999999</v>
      </c>
      <c r="J5071" s="689">
        <v>16.600000000000001</v>
      </c>
      <c r="K5071" s="689">
        <v>16.600000000000001</v>
      </c>
    </row>
    <row r="5072" spans="1:11">
      <c r="A5072" s="688" t="s">
        <v>4058</v>
      </c>
      <c r="B5072" s="692" t="s">
        <v>4060</v>
      </c>
      <c r="C5072" s="692" t="s">
        <v>4060</v>
      </c>
      <c r="D5072" s="692" t="s">
        <v>4060</v>
      </c>
      <c r="E5072" s="692" t="s">
        <v>4060</v>
      </c>
      <c r="F5072" s="692" t="s">
        <v>4060</v>
      </c>
      <c r="G5072" s="692" t="s">
        <v>4060</v>
      </c>
      <c r="H5072" s="692" t="s">
        <v>4060</v>
      </c>
      <c r="I5072" s="692" t="s">
        <v>4060</v>
      </c>
      <c r="J5072" s="692" t="s">
        <v>4060</v>
      </c>
      <c r="K5072" s="692" t="s">
        <v>4060</v>
      </c>
    </row>
    <row r="5073" spans="1:11">
      <c r="A5073" s="688" t="s">
        <v>11</v>
      </c>
      <c r="B5073" s="689">
        <v>13.1</v>
      </c>
      <c r="C5073" s="693">
        <v>13</v>
      </c>
      <c r="D5073" s="689">
        <v>12.7</v>
      </c>
      <c r="E5073" s="689">
        <v>13.1</v>
      </c>
      <c r="F5073" s="689">
        <v>12.9</v>
      </c>
      <c r="G5073" s="689">
        <v>13.2</v>
      </c>
      <c r="H5073" s="689">
        <v>13.3</v>
      </c>
      <c r="I5073" s="689">
        <v>12.7</v>
      </c>
      <c r="J5073" s="689">
        <v>12.1</v>
      </c>
      <c r="K5073" s="689">
        <v>12.8</v>
      </c>
    </row>
    <row r="5074" spans="1:11">
      <c r="A5074" s="688" t="s">
        <v>10</v>
      </c>
      <c r="B5074" s="691">
        <v>16.100000000000001</v>
      </c>
      <c r="C5074" s="691">
        <v>15.9</v>
      </c>
      <c r="D5074" s="691">
        <v>15.6</v>
      </c>
      <c r="E5074" s="615">
        <v>16</v>
      </c>
      <c r="F5074" s="691">
        <v>15.8</v>
      </c>
      <c r="G5074" s="691">
        <v>16.100000000000001</v>
      </c>
      <c r="H5074" s="691">
        <v>16.2</v>
      </c>
      <c r="I5074" s="691">
        <v>15.2</v>
      </c>
      <c r="J5074" s="691">
        <v>15.7</v>
      </c>
      <c r="K5074" s="691">
        <v>15.7</v>
      </c>
    </row>
    <row r="5075" spans="1:11">
      <c r="A5075" s="688" t="s">
        <v>30</v>
      </c>
      <c r="B5075" s="689">
        <v>15.4</v>
      </c>
      <c r="C5075" s="689">
        <v>15.1</v>
      </c>
      <c r="D5075" s="689">
        <v>14.8</v>
      </c>
      <c r="E5075" s="689">
        <v>15.4</v>
      </c>
      <c r="F5075" s="689">
        <v>15.1</v>
      </c>
      <c r="G5075" s="689">
        <v>15.6</v>
      </c>
      <c r="H5075" s="689">
        <v>15.4</v>
      </c>
      <c r="I5075" s="689">
        <v>15.6</v>
      </c>
      <c r="J5075" s="689">
        <v>15.1</v>
      </c>
      <c r="K5075" s="689">
        <v>15.1</v>
      </c>
    </row>
    <row r="5076" spans="1:11">
      <c r="A5076" s="688" t="s">
        <v>12</v>
      </c>
      <c r="B5076" s="615">
        <v>13</v>
      </c>
      <c r="C5076" s="615">
        <v>13</v>
      </c>
      <c r="D5076" s="615">
        <v>13</v>
      </c>
      <c r="E5076" s="615">
        <v>13</v>
      </c>
      <c r="F5076" s="691">
        <v>13.1</v>
      </c>
      <c r="G5076" s="691">
        <v>13.2</v>
      </c>
      <c r="H5076" s="691">
        <v>13.4</v>
      </c>
      <c r="I5076" s="691">
        <v>13.1</v>
      </c>
      <c r="J5076" s="615">
        <v>12</v>
      </c>
      <c r="K5076" s="691">
        <v>12.8</v>
      </c>
    </row>
    <row r="5077" spans="1:11">
      <c r="A5077" s="688" t="s">
        <v>14</v>
      </c>
      <c r="B5077" s="689">
        <v>13.3</v>
      </c>
      <c r="C5077" s="689">
        <v>13.2</v>
      </c>
      <c r="D5077" s="693">
        <v>13</v>
      </c>
      <c r="E5077" s="689">
        <v>13.1</v>
      </c>
      <c r="F5077" s="689">
        <v>13.1</v>
      </c>
      <c r="G5077" s="689">
        <v>13.3</v>
      </c>
      <c r="H5077" s="689">
        <v>13.6</v>
      </c>
      <c r="I5077" s="689">
        <v>12.8</v>
      </c>
      <c r="J5077" s="689">
        <v>12.3</v>
      </c>
      <c r="K5077" s="693">
        <v>13</v>
      </c>
    </row>
    <row r="5078" spans="1:11">
      <c r="A5078" s="688" t="s">
        <v>15</v>
      </c>
      <c r="B5078" s="615">
        <v>16</v>
      </c>
      <c r="C5078" s="691">
        <v>15.5</v>
      </c>
      <c r="D5078" s="691">
        <v>15.3</v>
      </c>
      <c r="E5078" s="691">
        <v>15.8</v>
      </c>
      <c r="F5078" s="691">
        <v>15.5</v>
      </c>
      <c r="G5078" s="691">
        <v>15.5</v>
      </c>
      <c r="H5078" s="691">
        <v>15.8</v>
      </c>
      <c r="I5078" s="691">
        <v>15.4</v>
      </c>
      <c r="J5078" s="691">
        <v>15.7</v>
      </c>
      <c r="K5078" s="691">
        <v>16.100000000000001</v>
      </c>
    </row>
    <row r="5079" spans="1:11">
      <c r="A5079" s="688" t="s">
        <v>29</v>
      </c>
      <c r="B5079" s="689">
        <v>12.8</v>
      </c>
      <c r="C5079" s="689">
        <v>12.8</v>
      </c>
      <c r="D5079" s="689">
        <v>12.5</v>
      </c>
      <c r="E5079" s="689">
        <v>12.9</v>
      </c>
      <c r="F5079" s="689">
        <v>12.7</v>
      </c>
      <c r="G5079" s="689">
        <v>12.8</v>
      </c>
      <c r="H5079" s="689">
        <v>12.9</v>
      </c>
      <c r="I5079" s="689">
        <v>12.3</v>
      </c>
      <c r="J5079" s="689">
        <v>11.8</v>
      </c>
      <c r="K5079" s="689">
        <v>12.6</v>
      </c>
    </row>
    <row r="5080" spans="1:11">
      <c r="A5080" s="688" t="s">
        <v>16</v>
      </c>
      <c r="B5080" s="691">
        <v>15.2</v>
      </c>
      <c r="C5080" s="691">
        <v>15.1</v>
      </c>
      <c r="D5080" s="691">
        <v>15.3</v>
      </c>
      <c r="E5080" s="691">
        <v>15.7</v>
      </c>
      <c r="F5080" s="691">
        <v>15.5</v>
      </c>
      <c r="G5080" s="691">
        <v>15.5</v>
      </c>
      <c r="H5080" s="691">
        <v>15.7</v>
      </c>
      <c r="I5080" s="691">
        <v>15.2</v>
      </c>
      <c r="J5080" s="691">
        <v>15.2</v>
      </c>
      <c r="K5080" s="691">
        <v>15.4</v>
      </c>
    </row>
    <row r="5081" spans="1:11">
      <c r="A5081" s="688" t="s">
        <v>17</v>
      </c>
      <c r="B5081" s="689">
        <v>15.1</v>
      </c>
      <c r="C5081" s="689">
        <v>15.2</v>
      </c>
      <c r="D5081" s="693">
        <v>15</v>
      </c>
      <c r="E5081" s="689">
        <v>15.1</v>
      </c>
      <c r="F5081" s="689">
        <v>15.1</v>
      </c>
      <c r="G5081" s="689">
        <v>15.1</v>
      </c>
      <c r="H5081" s="689">
        <v>15.3</v>
      </c>
      <c r="I5081" s="689">
        <v>14.7</v>
      </c>
      <c r="J5081" s="689">
        <v>14.8</v>
      </c>
      <c r="K5081" s="693">
        <v>15</v>
      </c>
    </row>
    <row r="5082" spans="1:11">
      <c r="A5082" s="688" t="s">
        <v>19</v>
      </c>
      <c r="B5082" s="691">
        <v>15.4</v>
      </c>
      <c r="C5082" s="691">
        <v>15.5</v>
      </c>
      <c r="D5082" s="691">
        <v>15.1</v>
      </c>
      <c r="E5082" s="691">
        <v>15.5</v>
      </c>
      <c r="F5082" s="691">
        <v>15.4</v>
      </c>
      <c r="G5082" s="691">
        <v>15.4</v>
      </c>
      <c r="H5082" s="691">
        <v>15.6</v>
      </c>
      <c r="I5082" s="615">
        <v>15</v>
      </c>
      <c r="J5082" s="691">
        <v>15.1</v>
      </c>
      <c r="K5082" s="615">
        <v>15</v>
      </c>
    </row>
    <row r="5083" spans="1:11">
      <c r="A5083" s="688" t="s">
        <v>20</v>
      </c>
      <c r="B5083" s="693">
        <v>14</v>
      </c>
      <c r="C5083" s="689">
        <v>14.1</v>
      </c>
      <c r="D5083" s="689">
        <v>13.9</v>
      </c>
      <c r="E5083" s="689">
        <v>14.2</v>
      </c>
      <c r="F5083" s="689">
        <v>14.1</v>
      </c>
      <c r="G5083" s="693">
        <v>14</v>
      </c>
      <c r="H5083" s="689">
        <v>14.3</v>
      </c>
      <c r="I5083" s="689">
        <v>13.1</v>
      </c>
      <c r="J5083" s="689">
        <v>12.5</v>
      </c>
      <c r="K5083" s="689">
        <v>13.6</v>
      </c>
    </row>
    <row r="5084" spans="1:11">
      <c r="A5084" s="688" t="s">
        <v>21</v>
      </c>
      <c r="B5084" s="691">
        <v>15.1</v>
      </c>
      <c r="C5084" s="691">
        <v>15.4</v>
      </c>
      <c r="D5084" s="691">
        <v>15.3</v>
      </c>
      <c r="E5084" s="691">
        <v>15.4</v>
      </c>
      <c r="F5084" s="691">
        <v>15.6</v>
      </c>
      <c r="G5084" s="691">
        <v>15.6</v>
      </c>
      <c r="H5084" s="691">
        <v>15.9</v>
      </c>
      <c r="I5084" s="691">
        <v>15.3</v>
      </c>
      <c r="J5084" s="691">
        <v>15.4</v>
      </c>
      <c r="K5084" s="691">
        <v>15.6</v>
      </c>
    </row>
    <row r="5085" spans="1:11">
      <c r="A5085" s="688" t="s">
        <v>22</v>
      </c>
      <c r="B5085" s="689">
        <v>12.6</v>
      </c>
      <c r="C5085" s="689">
        <v>12.4</v>
      </c>
      <c r="D5085" s="689">
        <v>12.3</v>
      </c>
      <c r="E5085" s="689">
        <v>12.6</v>
      </c>
      <c r="F5085" s="689">
        <v>12.6</v>
      </c>
      <c r="G5085" s="689">
        <v>12.7</v>
      </c>
      <c r="H5085" s="693">
        <v>13</v>
      </c>
      <c r="I5085" s="693">
        <v>12</v>
      </c>
      <c r="J5085" s="693">
        <v>11</v>
      </c>
      <c r="K5085" s="689">
        <v>12.3</v>
      </c>
    </row>
    <row r="5086" spans="1:11">
      <c r="A5086" s="688" t="s">
        <v>26</v>
      </c>
      <c r="B5086" s="615">
        <v>15</v>
      </c>
      <c r="C5086" s="691">
        <v>14.9</v>
      </c>
      <c r="D5086" s="691">
        <v>14.8</v>
      </c>
      <c r="E5086" s="691">
        <v>15.1</v>
      </c>
      <c r="F5086" s="615">
        <v>15</v>
      </c>
      <c r="G5086" s="691">
        <v>15.2</v>
      </c>
      <c r="H5086" s="691">
        <v>15.3</v>
      </c>
      <c r="I5086" s="691">
        <v>14.3</v>
      </c>
      <c r="J5086" s="691">
        <v>14.7</v>
      </c>
      <c r="K5086" s="615">
        <v>15</v>
      </c>
    </row>
    <row r="5087" spans="1:11">
      <c r="A5087" s="688" t="s">
        <v>25</v>
      </c>
      <c r="B5087" s="689">
        <v>12.9</v>
      </c>
      <c r="C5087" s="689">
        <v>13.1</v>
      </c>
      <c r="D5087" s="693">
        <v>13</v>
      </c>
      <c r="E5087" s="689">
        <v>13.3</v>
      </c>
      <c r="F5087" s="689">
        <v>13.2</v>
      </c>
      <c r="G5087" s="689">
        <v>13.4</v>
      </c>
      <c r="H5087" s="689">
        <v>13.7</v>
      </c>
      <c r="I5087" s="693">
        <v>13</v>
      </c>
      <c r="J5087" s="689">
        <v>11.6</v>
      </c>
      <c r="K5087" s="693">
        <v>13</v>
      </c>
    </row>
    <row r="5088" spans="1:11">
      <c r="A5088" s="688" t="s">
        <v>5</v>
      </c>
      <c r="B5088" s="691">
        <v>15.5</v>
      </c>
      <c r="C5088" s="691">
        <v>15.2</v>
      </c>
      <c r="D5088" s="691">
        <v>15.3</v>
      </c>
      <c r="E5088" s="691">
        <v>15.3</v>
      </c>
      <c r="F5088" s="691">
        <v>15.5</v>
      </c>
      <c r="G5088" s="691">
        <v>15.5</v>
      </c>
      <c r="H5088" s="691">
        <v>15.7</v>
      </c>
      <c r="I5088" s="691">
        <v>15.7</v>
      </c>
      <c r="J5088" s="691">
        <v>15.6</v>
      </c>
      <c r="K5088" s="691">
        <v>15.1</v>
      </c>
    </row>
    <row r="5089" spans="1:11">
      <c r="A5089" s="688" t="s">
        <v>23</v>
      </c>
      <c r="B5089" s="689">
        <v>15.3</v>
      </c>
      <c r="C5089" s="689">
        <v>15.5</v>
      </c>
      <c r="D5089" s="689">
        <v>15.4</v>
      </c>
      <c r="E5089" s="689">
        <v>15.5</v>
      </c>
      <c r="F5089" s="689">
        <v>15.5</v>
      </c>
      <c r="G5089" s="689">
        <v>15.6</v>
      </c>
      <c r="H5089" s="693">
        <v>16</v>
      </c>
      <c r="I5089" s="689">
        <v>15.4</v>
      </c>
      <c r="J5089" s="689">
        <v>15.9</v>
      </c>
      <c r="K5089" s="689">
        <v>15.8</v>
      </c>
    </row>
    <row r="5090" spans="1:11">
      <c r="A5090" s="688" t="s">
        <v>4067</v>
      </c>
      <c r="B5090" s="691">
        <v>15.2</v>
      </c>
      <c r="C5090" s="691">
        <v>15.5</v>
      </c>
      <c r="D5090" s="691">
        <v>15.2</v>
      </c>
      <c r="E5090" s="691">
        <v>15.5</v>
      </c>
      <c r="F5090" s="691">
        <v>15.4</v>
      </c>
      <c r="G5090" s="691">
        <v>15.5</v>
      </c>
      <c r="H5090" s="692" t="s">
        <v>4060</v>
      </c>
      <c r="I5090" s="692" t="s">
        <v>4060</v>
      </c>
      <c r="J5090" s="692" t="s">
        <v>4060</v>
      </c>
      <c r="K5090" s="692" t="s">
        <v>4060</v>
      </c>
    </row>
    <row r="5091" spans="1:11">
      <c r="A5091" s="688" t="s">
        <v>4066</v>
      </c>
      <c r="B5091" s="689">
        <v>15.2</v>
      </c>
      <c r="C5091" s="689">
        <v>15.5</v>
      </c>
      <c r="D5091" s="689">
        <v>15.2</v>
      </c>
      <c r="E5091" s="689">
        <v>15.5</v>
      </c>
      <c r="F5091" s="689">
        <v>15.4</v>
      </c>
      <c r="G5091" s="689">
        <v>15.5</v>
      </c>
      <c r="H5091" s="690" t="s">
        <v>4060</v>
      </c>
      <c r="I5091" s="690" t="s">
        <v>4060</v>
      </c>
      <c r="J5091" s="690" t="s">
        <v>4060</v>
      </c>
      <c r="K5091" s="690" t="s">
        <v>4060</v>
      </c>
    </row>
    <row r="5092" spans="1:11">
      <c r="A5092" s="688" t="s">
        <v>4062</v>
      </c>
      <c r="B5092" s="691">
        <v>15.9</v>
      </c>
      <c r="C5092" s="691">
        <v>15.9</v>
      </c>
      <c r="D5092" s="691">
        <v>15.8</v>
      </c>
      <c r="E5092" s="691">
        <v>16.100000000000001</v>
      </c>
      <c r="F5092" s="691">
        <v>16.100000000000001</v>
      </c>
      <c r="G5092" s="691">
        <v>16.2</v>
      </c>
      <c r="H5092" s="691">
        <v>16.3</v>
      </c>
      <c r="I5092" s="691">
        <v>15.9</v>
      </c>
      <c r="J5092" s="691">
        <v>16.3</v>
      </c>
      <c r="K5092" s="615">
        <v>16</v>
      </c>
    </row>
    <row r="5093" spans="1:11">
      <c r="A5093" s="688" t="s">
        <v>9</v>
      </c>
      <c r="B5093" s="689">
        <v>15.3</v>
      </c>
      <c r="C5093" s="689">
        <v>15.7</v>
      </c>
      <c r="D5093" s="689">
        <v>15.4</v>
      </c>
      <c r="E5093" s="693">
        <v>15</v>
      </c>
      <c r="F5093" s="689">
        <v>15.4</v>
      </c>
      <c r="G5093" s="689">
        <v>15.6</v>
      </c>
      <c r="H5093" s="689">
        <v>15.9</v>
      </c>
      <c r="I5093" s="693">
        <v>16</v>
      </c>
      <c r="J5093" s="689">
        <v>16.100000000000001</v>
      </c>
      <c r="K5093" s="689">
        <v>15.2</v>
      </c>
    </row>
    <row r="5094" spans="1:11">
      <c r="A5094" s="688" t="s">
        <v>13</v>
      </c>
      <c r="B5094" s="691">
        <v>15.9</v>
      </c>
      <c r="C5094" s="691">
        <v>15.3</v>
      </c>
      <c r="D5094" s="691">
        <v>15.8</v>
      </c>
      <c r="E5094" s="691">
        <v>15.6</v>
      </c>
      <c r="F5094" s="691">
        <v>16.8</v>
      </c>
      <c r="G5094" s="691">
        <v>15.4</v>
      </c>
      <c r="H5094" s="691">
        <v>16.2</v>
      </c>
      <c r="I5094" s="691">
        <v>14.9</v>
      </c>
      <c r="J5094" s="691">
        <v>16.7</v>
      </c>
      <c r="K5094" s="691">
        <v>16.7</v>
      </c>
    </row>
    <row r="5095" spans="1:11">
      <c r="A5095" s="688" t="s">
        <v>18</v>
      </c>
      <c r="B5095" s="689">
        <v>15.3</v>
      </c>
      <c r="C5095" s="689">
        <v>15.4</v>
      </c>
      <c r="D5095" s="689">
        <v>15.4</v>
      </c>
      <c r="E5095" s="689">
        <v>15.6</v>
      </c>
      <c r="F5095" s="689">
        <v>15.6</v>
      </c>
      <c r="G5095" s="689">
        <v>15.8</v>
      </c>
      <c r="H5095" s="689">
        <v>15.9</v>
      </c>
      <c r="I5095" s="693">
        <v>16</v>
      </c>
      <c r="J5095" s="689">
        <v>15.9</v>
      </c>
      <c r="K5095" s="689">
        <v>15.5</v>
      </c>
    </row>
    <row r="5096" spans="1:11">
      <c r="A5096" s="688" t="s">
        <v>24</v>
      </c>
      <c r="B5096" s="691">
        <v>16.2</v>
      </c>
      <c r="C5096" s="691">
        <v>16.2</v>
      </c>
      <c r="D5096" s="615">
        <v>16</v>
      </c>
      <c r="E5096" s="691">
        <v>16.399999999999999</v>
      </c>
      <c r="F5096" s="691">
        <v>16.3</v>
      </c>
      <c r="G5096" s="691">
        <v>16.5</v>
      </c>
      <c r="H5096" s="691">
        <v>16.5</v>
      </c>
      <c r="I5096" s="691">
        <v>15.8</v>
      </c>
      <c r="J5096" s="691">
        <v>16.5</v>
      </c>
      <c r="K5096" s="691">
        <v>16.3</v>
      </c>
    </row>
    <row r="5097" spans="1:11">
      <c r="A5097" s="688" t="s">
        <v>4059</v>
      </c>
      <c r="B5097" s="689">
        <v>15.2</v>
      </c>
      <c r="C5097" s="689">
        <v>15.4</v>
      </c>
      <c r="D5097" s="689">
        <v>15.1</v>
      </c>
      <c r="E5097" s="689">
        <v>15.4</v>
      </c>
      <c r="F5097" s="689">
        <v>15.3</v>
      </c>
      <c r="G5097" s="689">
        <v>15.4</v>
      </c>
      <c r="H5097" s="690" t="s">
        <v>4060</v>
      </c>
      <c r="I5097" s="690" t="s">
        <v>4060</v>
      </c>
      <c r="J5097" s="690" t="s">
        <v>4060</v>
      </c>
      <c r="K5097" s="690" t="s">
        <v>4060</v>
      </c>
    </row>
    <row r="5098" spans="1:11">
      <c r="A5098" s="688" t="s">
        <v>2324</v>
      </c>
      <c r="B5098" s="691">
        <v>12.2</v>
      </c>
      <c r="C5098" s="691">
        <v>12.2</v>
      </c>
      <c r="D5098" s="615">
        <v>12</v>
      </c>
      <c r="E5098" s="615">
        <v>12</v>
      </c>
      <c r="F5098" s="691">
        <v>12.2</v>
      </c>
      <c r="G5098" s="691">
        <v>12.3</v>
      </c>
      <c r="H5098" s="691">
        <v>12.4</v>
      </c>
      <c r="I5098" s="691">
        <v>11.7</v>
      </c>
      <c r="J5098" s="691">
        <v>10.1</v>
      </c>
      <c r="K5098" s="692" t="s">
        <v>4060</v>
      </c>
    </row>
    <row r="5099" spans="1:11">
      <c r="A5099" s="688" t="s">
        <v>2322</v>
      </c>
      <c r="B5099" s="690" t="s">
        <v>4060</v>
      </c>
      <c r="C5099" s="690" t="s">
        <v>4060</v>
      </c>
      <c r="D5099" s="690" t="s">
        <v>4060</v>
      </c>
      <c r="E5099" s="690" t="s">
        <v>4060</v>
      </c>
      <c r="F5099" s="690" t="s">
        <v>4060</v>
      </c>
      <c r="G5099" s="690" t="s">
        <v>4060</v>
      </c>
      <c r="H5099" s="690" t="s">
        <v>4060</v>
      </c>
      <c r="I5099" s="690" t="s">
        <v>4060</v>
      </c>
      <c r="J5099" s="690" t="s">
        <v>4060</v>
      </c>
      <c r="K5099" s="690" t="s">
        <v>4060</v>
      </c>
    </row>
    <row r="5100" spans="1:11">
      <c r="A5100" s="688" t="s">
        <v>2328</v>
      </c>
      <c r="B5100" s="691">
        <v>11.2</v>
      </c>
      <c r="C5100" s="691">
        <v>11.2</v>
      </c>
      <c r="D5100" s="691">
        <v>11.1</v>
      </c>
      <c r="E5100" s="691">
        <v>11.4</v>
      </c>
      <c r="F5100" s="691">
        <v>11.4</v>
      </c>
      <c r="G5100" s="691">
        <v>11.9</v>
      </c>
      <c r="H5100" s="691">
        <v>11.7</v>
      </c>
      <c r="I5100" s="691">
        <v>10.5</v>
      </c>
      <c r="J5100" s="615">
        <v>10</v>
      </c>
      <c r="K5100" s="692" t="s">
        <v>4060</v>
      </c>
    </row>
    <row r="5101" spans="1:11">
      <c r="A5101" s="688" t="s">
        <v>2496</v>
      </c>
      <c r="B5101" s="690" t="s">
        <v>4060</v>
      </c>
      <c r="C5101" s="689">
        <v>12.5</v>
      </c>
      <c r="D5101" s="689">
        <v>11.5</v>
      </c>
      <c r="E5101" s="693">
        <v>11</v>
      </c>
      <c r="F5101" s="689">
        <v>11.4</v>
      </c>
      <c r="G5101" s="689">
        <v>11.6</v>
      </c>
      <c r="H5101" s="689">
        <v>11.6</v>
      </c>
      <c r="I5101" s="690" t="s">
        <v>4060</v>
      </c>
      <c r="J5101" s="690" t="s">
        <v>4060</v>
      </c>
      <c r="K5101" s="689">
        <v>11.2</v>
      </c>
    </row>
    <row r="5102" spans="1:11">
      <c r="A5102" s="688" t="s">
        <v>2269</v>
      </c>
      <c r="B5102" s="691">
        <v>12.8</v>
      </c>
      <c r="C5102" s="691">
        <v>12.8</v>
      </c>
      <c r="D5102" s="691">
        <v>12.3</v>
      </c>
      <c r="E5102" s="691">
        <v>12.7</v>
      </c>
      <c r="F5102" s="691">
        <v>12.7</v>
      </c>
      <c r="G5102" s="691">
        <v>13.1</v>
      </c>
      <c r="H5102" s="691">
        <v>13.3</v>
      </c>
      <c r="I5102" s="691">
        <v>12.1</v>
      </c>
      <c r="J5102" s="691">
        <v>10.3</v>
      </c>
      <c r="K5102" s="615">
        <v>13</v>
      </c>
    </row>
    <row r="5103" spans="1:11">
      <c r="A5103" s="688" t="s">
        <v>2349</v>
      </c>
      <c r="B5103" s="689">
        <v>11.6</v>
      </c>
      <c r="C5103" s="689">
        <v>11.7</v>
      </c>
      <c r="D5103" s="689">
        <v>11.7</v>
      </c>
      <c r="E5103" s="689">
        <v>11.9</v>
      </c>
      <c r="F5103" s="689">
        <v>11.8</v>
      </c>
      <c r="G5103" s="693">
        <v>12</v>
      </c>
      <c r="H5103" s="689">
        <v>12.2</v>
      </c>
      <c r="I5103" s="689">
        <v>11.3</v>
      </c>
      <c r="J5103" s="689">
        <v>10.1</v>
      </c>
      <c r="K5103" s="689">
        <v>11.4</v>
      </c>
    </row>
    <row r="5104" spans="1:11">
      <c r="A5104" s="688" t="s">
        <v>2355</v>
      </c>
      <c r="B5104" s="691">
        <v>13.9</v>
      </c>
      <c r="C5104" s="691">
        <v>13.6</v>
      </c>
      <c r="D5104" s="691">
        <v>13.6</v>
      </c>
      <c r="E5104" s="691">
        <v>13.5</v>
      </c>
      <c r="F5104" s="691">
        <v>13.6</v>
      </c>
      <c r="G5104" s="691">
        <v>13.9</v>
      </c>
      <c r="H5104" s="615">
        <v>14</v>
      </c>
      <c r="I5104" s="692" t="s">
        <v>4060</v>
      </c>
      <c r="J5104" s="692" t="s">
        <v>4060</v>
      </c>
      <c r="K5104" s="692" t="s">
        <v>4060</v>
      </c>
    </row>
    <row r="5105" spans="1:11">
      <c r="A5105" s="688" t="s">
        <v>2357</v>
      </c>
      <c r="B5105" s="690" t="s">
        <v>4060</v>
      </c>
      <c r="C5105" s="689">
        <v>11.8</v>
      </c>
      <c r="D5105" s="693">
        <v>12</v>
      </c>
      <c r="E5105" s="689">
        <v>12.2</v>
      </c>
      <c r="F5105" s="689">
        <v>12.4</v>
      </c>
      <c r="G5105" s="689">
        <v>12.3</v>
      </c>
      <c r="H5105" s="689">
        <v>12.4</v>
      </c>
      <c r="I5105" s="690" t="s">
        <v>4060</v>
      </c>
      <c r="J5105" s="690" t="s">
        <v>4060</v>
      </c>
      <c r="K5105" s="690" t="s">
        <v>4060</v>
      </c>
    </row>
    <row r="5106" spans="1:11">
      <c r="A5106" s="688" t="s">
        <v>4070</v>
      </c>
      <c r="B5106" s="692" t="s">
        <v>4060</v>
      </c>
      <c r="C5106" s="692" t="s">
        <v>4060</v>
      </c>
      <c r="D5106" s="692" t="s">
        <v>4060</v>
      </c>
      <c r="E5106" s="691">
        <v>13.4</v>
      </c>
      <c r="F5106" s="692" t="s">
        <v>4060</v>
      </c>
      <c r="G5106" s="692" t="s">
        <v>4060</v>
      </c>
      <c r="H5106" s="692" t="s">
        <v>4060</v>
      </c>
      <c r="I5106" s="692" t="s">
        <v>4060</v>
      </c>
      <c r="J5106" s="692" t="s">
        <v>4060</v>
      </c>
      <c r="K5106" s="692" t="s">
        <v>4060</v>
      </c>
    </row>
    <row r="5107" spans="1:11">
      <c r="A5107" s="688" t="s">
        <v>2491</v>
      </c>
      <c r="B5107" s="689">
        <v>11.9</v>
      </c>
      <c r="C5107" s="689">
        <v>12.2</v>
      </c>
      <c r="D5107" s="689">
        <v>12.3</v>
      </c>
      <c r="E5107" s="689">
        <v>12.3</v>
      </c>
      <c r="F5107" s="689">
        <v>12.4</v>
      </c>
      <c r="G5107" s="689">
        <v>12.4</v>
      </c>
      <c r="H5107" s="690" t="s">
        <v>4060</v>
      </c>
      <c r="I5107" s="690" t="s">
        <v>4060</v>
      </c>
      <c r="J5107" s="690" t="s">
        <v>4060</v>
      </c>
      <c r="K5107" s="690" t="s">
        <v>4060</v>
      </c>
    </row>
    <row r="5108" spans="1:11">
      <c r="A5108" s="688" t="s">
        <v>2343</v>
      </c>
      <c r="B5108" s="692" t="s">
        <v>4060</v>
      </c>
      <c r="C5108" s="692" t="s">
        <v>4060</v>
      </c>
      <c r="D5108" s="692" t="s">
        <v>4060</v>
      </c>
      <c r="E5108" s="692" t="s">
        <v>4060</v>
      </c>
      <c r="F5108" s="692" t="s">
        <v>4060</v>
      </c>
      <c r="G5108" s="692" t="s">
        <v>4060</v>
      </c>
      <c r="H5108" s="692" t="s">
        <v>4060</v>
      </c>
      <c r="I5108" s="692" t="s">
        <v>4060</v>
      </c>
      <c r="J5108" s="692" t="s">
        <v>4060</v>
      </c>
      <c r="K5108" s="692" t="s">
        <v>4060</v>
      </c>
    </row>
    <row r="5109" spans="1:11">
      <c r="A5109" s="688" t="s">
        <v>4071</v>
      </c>
      <c r="B5109" s="690" t="s">
        <v>4060</v>
      </c>
      <c r="C5109" s="690" t="s">
        <v>4060</v>
      </c>
      <c r="D5109" s="690" t="s">
        <v>4060</v>
      </c>
      <c r="E5109" s="690" t="s">
        <v>4060</v>
      </c>
      <c r="F5109" s="690" t="s">
        <v>4060</v>
      </c>
      <c r="G5109" s="690" t="s">
        <v>4060</v>
      </c>
      <c r="H5109" s="690" t="s">
        <v>4060</v>
      </c>
      <c r="I5109" s="690" t="s">
        <v>4060</v>
      </c>
      <c r="J5109" s="690" t="s">
        <v>4060</v>
      </c>
      <c r="K5109" s="690" t="s">
        <v>4060</v>
      </c>
    </row>
    <row r="5110" spans="1:11">
      <c r="A5110" s="688" t="s">
        <v>2489</v>
      </c>
      <c r="B5110" s="692" t="s">
        <v>4060</v>
      </c>
      <c r="C5110" s="692" t="s">
        <v>4060</v>
      </c>
      <c r="D5110" s="691">
        <v>11.9</v>
      </c>
      <c r="E5110" s="691">
        <v>11.9</v>
      </c>
      <c r="F5110" s="691">
        <v>12.2</v>
      </c>
      <c r="G5110" s="691">
        <v>12.7</v>
      </c>
      <c r="H5110" s="691">
        <v>12.8</v>
      </c>
      <c r="I5110" s="692" t="s">
        <v>4060</v>
      </c>
      <c r="J5110" s="692" t="s">
        <v>4060</v>
      </c>
      <c r="K5110" s="692" t="s">
        <v>4060</v>
      </c>
    </row>
    <row r="5111" spans="1:11">
      <c r="A5111" s="688" t="s">
        <v>2490</v>
      </c>
      <c r="B5111" s="689">
        <v>11.6</v>
      </c>
      <c r="C5111" s="689">
        <v>11.5</v>
      </c>
      <c r="D5111" s="689">
        <v>12.2</v>
      </c>
      <c r="E5111" s="690" t="s">
        <v>4060</v>
      </c>
      <c r="F5111" s="689">
        <v>12.6</v>
      </c>
      <c r="G5111" s="689">
        <v>12.6</v>
      </c>
      <c r="H5111" s="689">
        <v>13.4</v>
      </c>
      <c r="I5111" s="690" t="s">
        <v>4060</v>
      </c>
      <c r="J5111" s="690" t="s">
        <v>4060</v>
      </c>
      <c r="K5111" s="690" t="s">
        <v>4060</v>
      </c>
    </row>
    <row r="5113" spans="1:11">
      <c r="A5113" s="683" t="s">
        <v>4233</v>
      </c>
    </row>
    <row r="5114" spans="1:11">
      <c r="A5114" s="683" t="s">
        <v>4060</v>
      </c>
      <c r="B5114" s="682" t="s">
        <v>4234</v>
      </c>
    </row>
    <row r="5116" spans="1:11">
      <c r="A5116" s="682" t="s">
        <v>4248</v>
      </c>
    </row>
    <row r="5117" spans="1:11">
      <c r="A5117" s="682" t="s">
        <v>4210</v>
      </c>
      <c r="B5117" s="683" t="s">
        <v>4211</v>
      </c>
    </row>
    <row r="5118" spans="1:11">
      <c r="A5118" s="682" t="s">
        <v>4212</v>
      </c>
      <c r="B5118" s="682" t="s">
        <v>4213</v>
      </c>
    </row>
    <row r="5120" spans="1:11">
      <c r="A5120" s="683" t="s">
        <v>4214</v>
      </c>
      <c r="C5120" s="682" t="s">
        <v>4215</v>
      </c>
    </row>
    <row r="5121" spans="1:11">
      <c r="A5121" s="683" t="s">
        <v>4216</v>
      </c>
      <c r="C5121" s="682" t="s">
        <v>2967</v>
      </c>
    </row>
    <row r="5122" spans="1:11">
      <c r="A5122" s="683" t="s">
        <v>3893</v>
      </c>
      <c r="C5122" s="682" t="s">
        <v>4217</v>
      </c>
    </row>
    <row r="5123" spans="1:11">
      <c r="A5123" s="683" t="s">
        <v>4218</v>
      </c>
      <c r="C5123" s="682" t="s">
        <v>4306</v>
      </c>
    </row>
    <row r="5125" spans="1:11">
      <c r="A5125" s="684" t="s">
        <v>4220</v>
      </c>
      <c r="B5125" s="685" t="s">
        <v>4221</v>
      </c>
      <c r="C5125" s="685" t="s">
        <v>4222</v>
      </c>
      <c r="D5125" s="685" t="s">
        <v>4223</v>
      </c>
      <c r="E5125" s="685" t="s">
        <v>4224</v>
      </c>
      <c r="F5125" s="685" t="s">
        <v>4225</v>
      </c>
      <c r="G5125" s="685" t="s">
        <v>4226</v>
      </c>
      <c r="H5125" s="685" t="s">
        <v>4227</v>
      </c>
      <c r="I5125" s="685" t="s">
        <v>4228</v>
      </c>
      <c r="J5125" s="685" t="s">
        <v>4229</v>
      </c>
      <c r="K5125" s="685" t="s">
        <v>4230</v>
      </c>
    </row>
    <row r="5126" spans="1:11">
      <c r="A5126" s="686" t="s">
        <v>4231</v>
      </c>
      <c r="B5126" s="687" t="s">
        <v>4232</v>
      </c>
      <c r="C5126" s="687" t="s">
        <v>4232</v>
      </c>
      <c r="D5126" s="687" t="s">
        <v>4232</v>
      </c>
      <c r="E5126" s="687" t="s">
        <v>4232</v>
      </c>
      <c r="F5126" s="687" t="s">
        <v>4232</v>
      </c>
      <c r="G5126" s="687" t="s">
        <v>4232</v>
      </c>
      <c r="H5126" s="687" t="s">
        <v>4232</v>
      </c>
      <c r="I5126" s="687" t="s">
        <v>4232</v>
      </c>
      <c r="J5126" s="687" t="s">
        <v>4232</v>
      </c>
      <c r="K5126" s="687" t="s">
        <v>4232</v>
      </c>
    </row>
    <row r="5127" spans="1:11">
      <c r="A5127" s="688" t="s">
        <v>4064</v>
      </c>
      <c r="B5127" s="689">
        <v>14.5</v>
      </c>
      <c r="C5127" s="689">
        <v>14.5</v>
      </c>
      <c r="D5127" s="689">
        <v>14.5</v>
      </c>
      <c r="E5127" s="689">
        <v>14.5</v>
      </c>
      <c r="F5127" s="689">
        <v>14.5</v>
      </c>
      <c r="G5127" s="689">
        <v>14.6</v>
      </c>
      <c r="H5127" s="689">
        <v>14.7</v>
      </c>
      <c r="I5127" s="689">
        <v>14.1</v>
      </c>
      <c r="J5127" s="693">
        <v>14</v>
      </c>
      <c r="K5127" s="689">
        <v>14.3</v>
      </c>
    </row>
    <row r="5128" spans="1:11">
      <c r="A5128" s="688" t="s">
        <v>4065</v>
      </c>
      <c r="B5128" s="691">
        <v>14.5</v>
      </c>
      <c r="C5128" s="691">
        <v>14.8</v>
      </c>
      <c r="D5128" s="691">
        <v>14.4</v>
      </c>
      <c r="E5128" s="691">
        <v>14.8</v>
      </c>
      <c r="F5128" s="691">
        <v>14.7</v>
      </c>
      <c r="G5128" s="691">
        <v>14.8</v>
      </c>
      <c r="H5128" s="692" t="s">
        <v>4060</v>
      </c>
      <c r="I5128" s="692" t="s">
        <v>4060</v>
      </c>
      <c r="J5128" s="692" t="s">
        <v>4060</v>
      </c>
      <c r="K5128" s="692" t="s">
        <v>4060</v>
      </c>
    </row>
    <row r="5129" spans="1:11">
      <c r="A5129" s="688" t="s">
        <v>4063</v>
      </c>
      <c r="B5129" s="689">
        <v>14.5</v>
      </c>
      <c r="C5129" s="689">
        <v>14.8</v>
      </c>
      <c r="D5129" s="689">
        <v>14.5</v>
      </c>
      <c r="E5129" s="689">
        <v>14.8</v>
      </c>
      <c r="F5129" s="689">
        <v>14.7</v>
      </c>
      <c r="G5129" s="689">
        <v>14.8</v>
      </c>
      <c r="H5129" s="690" t="s">
        <v>4060</v>
      </c>
      <c r="I5129" s="690" t="s">
        <v>4060</v>
      </c>
      <c r="J5129" s="690" t="s">
        <v>4060</v>
      </c>
      <c r="K5129" s="690" t="s">
        <v>4060</v>
      </c>
    </row>
    <row r="5130" spans="1:11">
      <c r="A5130" s="688" t="s">
        <v>4069</v>
      </c>
      <c r="B5130" s="692" t="s">
        <v>4060</v>
      </c>
      <c r="C5130" s="691">
        <v>14.9</v>
      </c>
      <c r="D5130" s="691">
        <v>14.6</v>
      </c>
      <c r="E5130" s="691">
        <v>14.9</v>
      </c>
      <c r="F5130" s="691">
        <v>14.9</v>
      </c>
      <c r="G5130" s="615">
        <v>15</v>
      </c>
      <c r="H5130" s="691">
        <v>15.2</v>
      </c>
      <c r="I5130" s="691">
        <v>14.6</v>
      </c>
      <c r="J5130" s="691">
        <v>14.7</v>
      </c>
      <c r="K5130" s="691">
        <v>14.7</v>
      </c>
    </row>
    <row r="5131" spans="1:11">
      <c r="A5131" s="688" t="s">
        <v>4068</v>
      </c>
      <c r="B5131" s="693">
        <v>15</v>
      </c>
      <c r="C5131" s="690" t="s">
        <v>4060</v>
      </c>
      <c r="D5131" s="690" t="s">
        <v>4060</v>
      </c>
      <c r="E5131" s="690" t="s">
        <v>4060</v>
      </c>
      <c r="F5131" s="690" t="s">
        <v>4060</v>
      </c>
      <c r="G5131" s="690" t="s">
        <v>4060</v>
      </c>
      <c r="H5131" s="690" t="s">
        <v>4060</v>
      </c>
      <c r="I5131" s="690" t="s">
        <v>4060</v>
      </c>
      <c r="J5131" s="690" t="s">
        <v>4060</v>
      </c>
      <c r="K5131" s="690" t="s">
        <v>4060</v>
      </c>
    </row>
    <row r="5132" spans="1:11">
      <c r="A5132" s="688" t="s">
        <v>0</v>
      </c>
      <c r="B5132" s="691">
        <v>14.5</v>
      </c>
      <c r="C5132" s="691">
        <v>14.7</v>
      </c>
      <c r="D5132" s="691">
        <v>14.4</v>
      </c>
      <c r="E5132" s="691">
        <v>14.7</v>
      </c>
      <c r="F5132" s="691">
        <v>14.7</v>
      </c>
      <c r="G5132" s="691">
        <v>14.8</v>
      </c>
      <c r="H5132" s="615">
        <v>15</v>
      </c>
      <c r="I5132" s="615">
        <v>14</v>
      </c>
      <c r="J5132" s="691">
        <v>14.9</v>
      </c>
      <c r="K5132" s="691">
        <v>14.8</v>
      </c>
    </row>
    <row r="5133" spans="1:11">
      <c r="A5133" s="688" t="s">
        <v>1</v>
      </c>
      <c r="B5133" s="689">
        <v>11.6</v>
      </c>
      <c r="C5133" s="689">
        <v>11.3</v>
      </c>
      <c r="D5133" s="689">
        <v>11.2</v>
      </c>
      <c r="E5133" s="689">
        <v>11.5</v>
      </c>
      <c r="F5133" s="689">
        <v>11.4</v>
      </c>
      <c r="G5133" s="689">
        <v>11.5</v>
      </c>
      <c r="H5133" s="689">
        <v>11.6</v>
      </c>
      <c r="I5133" s="689">
        <v>10.7</v>
      </c>
      <c r="J5133" s="689">
        <v>9.6999999999999993</v>
      </c>
      <c r="K5133" s="689">
        <v>11.1</v>
      </c>
    </row>
    <row r="5134" spans="1:11">
      <c r="A5134" s="688" t="s">
        <v>2240</v>
      </c>
      <c r="B5134" s="691">
        <v>12.8</v>
      </c>
      <c r="C5134" s="615">
        <v>13</v>
      </c>
      <c r="D5134" s="691">
        <v>12.8</v>
      </c>
      <c r="E5134" s="691">
        <v>13.1</v>
      </c>
      <c r="F5134" s="615">
        <v>13</v>
      </c>
      <c r="G5134" s="691">
        <v>13.1</v>
      </c>
      <c r="H5134" s="691">
        <v>13.3</v>
      </c>
      <c r="I5134" s="691">
        <v>12.3</v>
      </c>
      <c r="J5134" s="615">
        <v>12</v>
      </c>
      <c r="K5134" s="615">
        <v>13</v>
      </c>
    </row>
    <row r="5135" spans="1:11">
      <c r="A5135" s="688" t="s">
        <v>2</v>
      </c>
      <c r="B5135" s="689">
        <v>13.9</v>
      </c>
      <c r="C5135" s="689">
        <v>14.1</v>
      </c>
      <c r="D5135" s="689">
        <v>14.1</v>
      </c>
      <c r="E5135" s="689">
        <v>14.2</v>
      </c>
      <c r="F5135" s="689">
        <v>14.2</v>
      </c>
      <c r="G5135" s="689">
        <v>14.1</v>
      </c>
      <c r="H5135" s="689">
        <v>14.4</v>
      </c>
      <c r="I5135" s="689">
        <v>14.5</v>
      </c>
      <c r="J5135" s="689">
        <v>14.3</v>
      </c>
      <c r="K5135" s="689">
        <v>14.2</v>
      </c>
    </row>
    <row r="5136" spans="1:11">
      <c r="A5136" s="688" t="s">
        <v>3</v>
      </c>
      <c r="B5136" s="691">
        <v>14.2</v>
      </c>
      <c r="C5136" s="691">
        <v>14.3</v>
      </c>
      <c r="D5136" s="691">
        <v>14.1</v>
      </c>
      <c r="E5136" s="691">
        <v>14.4</v>
      </c>
      <c r="F5136" s="691">
        <v>14.3</v>
      </c>
      <c r="G5136" s="691">
        <v>14.3</v>
      </c>
      <c r="H5136" s="691">
        <v>14.5</v>
      </c>
      <c r="I5136" s="691">
        <v>14.3</v>
      </c>
      <c r="J5136" s="691">
        <v>14.2</v>
      </c>
      <c r="K5136" s="691">
        <v>13.9</v>
      </c>
    </row>
    <row r="5137" spans="1:11">
      <c r="A5137" s="688" t="s">
        <v>4061</v>
      </c>
      <c r="B5137" s="689">
        <v>14.2</v>
      </c>
      <c r="C5137" s="689">
        <v>14.3</v>
      </c>
      <c r="D5137" s="689">
        <v>14.1</v>
      </c>
      <c r="E5137" s="689">
        <v>14.4</v>
      </c>
      <c r="F5137" s="689">
        <v>14.3</v>
      </c>
      <c r="G5137" s="689">
        <v>14.3</v>
      </c>
      <c r="H5137" s="689">
        <v>14.5</v>
      </c>
      <c r="I5137" s="689">
        <v>14.3</v>
      </c>
      <c r="J5137" s="689">
        <v>14.2</v>
      </c>
      <c r="K5137" s="689">
        <v>13.9</v>
      </c>
    </row>
    <row r="5138" spans="1:11">
      <c r="A5138" s="688" t="s">
        <v>4</v>
      </c>
      <c r="B5138" s="691">
        <v>13.5</v>
      </c>
      <c r="C5138" s="691">
        <v>13.3</v>
      </c>
      <c r="D5138" s="691">
        <v>13.5</v>
      </c>
      <c r="E5138" s="691">
        <v>13.6</v>
      </c>
      <c r="F5138" s="691">
        <v>13.6</v>
      </c>
      <c r="G5138" s="691">
        <v>13.7</v>
      </c>
      <c r="H5138" s="691">
        <v>13.9</v>
      </c>
      <c r="I5138" s="615">
        <v>14</v>
      </c>
      <c r="J5138" s="691">
        <v>12.9</v>
      </c>
      <c r="K5138" s="691">
        <v>13.4</v>
      </c>
    </row>
    <row r="5139" spans="1:11">
      <c r="A5139" s="688" t="s">
        <v>8</v>
      </c>
      <c r="B5139" s="689">
        <v>14.1</v>
      </c>
      <c r="C5139" s="689">
        <v>14.2</v>
      </c>
      <c r="D5139" s="689">
        <v>14.1</v>
      </c>
      <c r="E5139" s="689">
        <v>14.2</v>
      </c>
      <c r="F5139" s="689">
        <v>14.5</v>
      </c>
      <c r="G5139" s="689">
        <v>14.6</v>
      </c>
      <c r="H5139" s="689">
        <v>14.8</v>
      </c>
      <c r="I5139" s="689">
        <v>14.7</v>
      </c>
      <c r="J5139" s="689">
        <v>14.6</v>
      </c>
      <c r="K5139" s="689">
        <v>14.7</v>
      </c>
    </row>
    <row r="5140" spans="1:11">
      <c r="A5140" s="688" t="s">
        <v>7</v>
      </c>
      <c r="B5140" s="691">
        <v>14.7</v>
      </c>
      <c r="C5140" s="691">
        <v>14.3</v>
      </c>
      <c r="D5140" s="691">
        <v>14.1</v>
      </c>
      <c r="E5140" s="691">
        <v>14.4</v>
      </c>
      <c r="F5140" s="691">
        <v>14.3</v>
      </c>
      <c r="G5140" s="691">
        <v>14.7</v>
      </c>
      <c r="H5140" s="691">
        <v>14.6</v>
      </c>
      <c r="I5140" s="691">
        <v>14.4</v>
      </c>
      <c r="J5140" s="691">
        <v>13.9</v>
      </c>
      <c r="K5140" s="691">
        <v>14.1</v>
      </c>
    </row>
    <row r="5141" spans="1:11">
      <c r="A5141" s="688" t="s">
        <v>27</v>
      </c>
      <c r="B5141" s="689">
        <v>15.9</v>
      </c>
      <c r="C5141" s="689">
        <v>15.5</v>
      </c>
      <c r="D5141" s="689">
        <v>15.2</v>
      </c>
      <c r="E5141" s="689">
        <v>15.6</v>
      </c>
      <c r="F5141" s="689">
        <v>15.5</v>
      </c>
      <c r="G5141" s="689">
        <v>15.6</v>
      </c>
      <c r="H5141" s="689">
        <v>15.9</v>
      </c>
      <c r="I5141" s="689">
        <v>14.8</v>
      </c>
      <c r="J5141" s="689">
        <v>15.6</v>
      </c>
      <c r="K5141" s="689">
        <v>15.5</v>
      </c>
    </row>
    <row r="5142" spans="1:11">
      <c r="A5142" s="688" t="s">
        <v>6</v>
      </c>
      <c r="B5142" s="691">
        <v>16.2</v>
      </c>
      <c r="C5142" s="615">
        <v>16</v>
      </c>
      <c r="D5142" s="691">
        <v>15.8</v>
      </c>
      <c r="E5142" s="615">
        <v>16</v>
      </c>
      <c r="F5142" s="615">
        <v>16</v>
      </c>
      <c r="G5142" s="691">
        <v>16.100000000000001</v>
      </c>
      <c r="H5142" s="691">
        <v>16.2</v>
      </c>
      <c r="I5142" s="691">
        <v>15.6</v>
      </c>
      <c r="J5142" s="691">
        <v>15.8</v>
      </c>
      <c r="K5142" s="691">
        <v>15.8</v>
      </c>
    </row>
    <row r="5143" spans="1:11">
      <c r="A5143" s="688" t="s">
        <v>4058</v>
      </c>
      <c r="B5143" s="690" t="s">
        <v>4060</v>
      </c>
      <c r="C5143" s="690" t="s">
        <v>4060</v>
      </c>
      <c r="D5143" s="690" t="s">
        <v>4060</v>
      </c>
      <c r="E5143" s="690" t="s">
        <v>4060</v>
      </c>
      <c r="F5143" s="690" t="s">
        <v>4060</v>
      </c>
      <c r="G5143" s="690" t="s">
        <v>4060</v>
      </c>
      <c r="H5143" s="690" t="s">
        <v>4060</v>
      </c>
      <c r="I5143" s="690" t="s">
        <v>4060</v>
      </c>
      <c r="J5143" s="690" t="s">
        <v>4060</v>
      </c>
      <c r="K5143" s="690" t="s">
        <v>4060</v>
      </c>
    </row>
    <row r="5144" spans="1:11">
      <c r="A5144" s="688" t="s">
        <v>11</v>
      </c>
      <c r="B5144" s="691">
        <v>12.4</v>
      </c>
      <c r="C5144" s="691">
        <v>12.3</v>
      </c>
      <c r="D5144" s="615">
        <v>12</v>
      </c>
      <c r="E5144" s="691">
        <v>12.4</v>
      </c>
      <c r="F5144" s="691">
        <v>12.2</v>
      </c>
      <c r="G5144" s="691">
        <v>12.5</v>
      </c>
      <c r="H5144" s="691">
        <v>12.6</v>
      </c>
      <c r="I5144" s="615">
        <v>12</v>
      </c>
      <c r="J5144" s="691">
        <v>11.5</v>
      </c>
      <c r="K5144" s="691">
        <v>12.1</v>
      </c>
    </row>
    <row r="5145" spans="1:11">
      <c r="A5145" s="688" t="s">
        <v>10</v>
      </c>
      <c r="B5145" s="689">
        <v>15.4</v>
      </c>
      <c r="C5145" s="689">
        <v>15.2</v>
      </c>
      <c r="D5145" s="689">
        <v>14.8</v>
      </c>
      <c r="E5145" s="689">
        <v>15.3</v>
      </c>
      <c r="F5145" s="693">
        <v>15</v>
      </c>
      <c r="G5145" s="689">
        <v>15.4</v>
      </c>
      <c r="H5145" s="689">
        <v>15.5</v>
      </c>
      <c r="I5145" s="689">
        <v>14.5</v>
      </c>
      <c r="J5145" s="689">
        <v>14.9</v>
      </c>
      <c r="K5145" s="689">
        <v>14.9</v>
      </c>
    </row>
    <row r="5146" spans="1:11">
      <c r="A5146" s="688" t="s">
        <v>30</v>
      </c>
      <c r="B5146" s="691">
        <v>14.6</v>
      </c>
      <c r="C5146" s="691">
        <v>14.3</v>
      </c>
      <c r="D5146" s="691">
        <v>14.1</v>
      </c>
      <c r="E5146" s="691">
        <v>14.6</v>
      </c>
      <c r="F5146" s="691">
        <v>14.4</v>
      </c>
      <c r="G5146" s="691">
        <v>14.8</v>
      </c>
      <c r="H5146" s="691">
        <v>14.6</v>
      </c>
      <c r="I5146" s="691">
        <v>14.8</v>
      </c>
      <c r="J5146" s="691">
        <v>14.4</v>
      </c>
      <c r="K5146" s="691">
        <v>14.3</v>
      </c>
    </row>
    <row r="5147" spans="1:11">
      <c r="A5147" s="688" t="s">
        <v>12</v>
      </c>
      <c r="B5147" s="689">
        <v>12.4</v>
      </c>
      <c r="C5147" s="689">
        <v>12.4</v>
      </c>
      <c r="D5147" s="689">
        <v>12.4</v>
      </c>
      <c r="E5147" s="689">
        <v>12.4</v>
      </c>
      <c r="F5147" s="689">
        <v>12.4</v>
      </c>
      <c r="G5147" s="689">
        <v>12.5</v>
      </c>
      <c r="H5147" s="689">
        <v>12.8</v>
      </c>
      <c r="I5147" s="689">
        <v>12.5</v>
      </c>
      <c r="J5147" s="689">
        <v>11.4</v>
      </c>
      <c r="K5147" s="689">
        <v>12.2</v>
      </c>
    </row>
    <row r="5148" spans="1:11">
      <c r="A5148" s="688" t="s">
        <v>14</v>
      </c>
      <c r="B5148" s="691">
        <v>12.7</v>
      </c>
      <c r="C5148" s="691">
        <v>12.6</v>
      </c>
      <c r="D5148" s="691">
        <v>12.4</v>
      </c>
      <c r="E5148" s="691">
        <v>12.5</v>
      </c>
      <c r="F5148" s="691">
        <v>12.5</v>
      </c>
      <c r="G5148" s="691">
        <v>12.6</v>
      </c>
      <c r="H5148" s="691">
        <v>12.9</v>
      </c>
      <c r="I5148" s="691">
        <v>12.2</v>
      </c>
      <c r="J5148" s="691">
        <v>11.7</v>
      </c>
      <c r="K5148" s="691">
        <v>12.4</v>
      </c>
    </row>
    <row r="5149" spans="1:11">
      <c r="A5149" s="688" t="s">
        <v>15</v>
      </c>
      <c r="B5149" s="689">
        <v>15.2</v>
      </c>
      <c r="C5149" s="689">
        <v>14.8</v>
      </c>
      <c r="D5149" s="689">
        <v>14.6</v>
      </c>
      <c r="E5149" s="693">
        <v>15</v>
      </c>
      <c r="F5149" s="689">
        <v>14.7</v>
      </c>
      <c r="G5149" s="689">
        <v>14.8</v>
      </c>
      <c r="H5149" s="689">
        <v>15.1</v>
      </c>
      <c r="I5149" s="689">
        <v>14.6</v>
      </c>
      <c r="J5149" s="693">
        <v>15</v>
      </c>
      <c r="K5149" s="689">
        <v>15.3</v>
      </c>
    </row>
    <row r="5150" spans="1:11">
      <c r="A5150" s="688" t="s">
        <v>29</v>
      </c>
      <c r="B5150" s="691">
        <v>12.2</v>
      </c>
      <c r="C5150" s="691">
        <v>12.2</v>
      </c>
      <c r="D5150" s="691">
        <v>11.9</v>
      </c>
      <c r="E5150" s="691">
        <v>12.3</v>
      </c>
      <c r="F5150" s="691">
        <v>12.1</v>
      </c>
      <c r="G5150" s="691">
        <v>12.2</v>
      </c>
      <c r="H5150" s="691">
        <v>12.3</v>
      </c>
      <c r="I5150" s="691">
        <v>11.7</v>
      </c>
      <c r="J5150" s="691">
        <v>11.3</v>
      </c>
      <c r="K5150" s="615">
        <v>12</v>
      </c>
    </row>
    <row r="5151" spans="1:11">
      <c r="A5151" s="688" t="s">
        <v>16</v>
      </c>
      <c r="B5151" s="689">
        <v>14.4</v>
      </c>
      <c r="C5151" s="689">
        <v>14.4</v>
      </c>
      <c r="D5151" s="689">
        <v>14.5</v>
      </c>
      <c r="E5151" s="693">
        <v>15</v>
      </c>
      <c r="F5151" s="689">
        <v>14.7</v>
      </c>
      <c r="G5151" s="689">
        <v>14.7</v>
      </c>
      <c r="H5151" s="689">
        <v>14.9</v>
      </c>
      <c r="I5151" s="689">
        <v>14.4</v>
      </c>
      <c r="J5151" s="689">
        <v>14.5</v>
      </c>
      <c r="K5151" s="689">
        <v>14.6</v>
      </c>
    </row>
    <row r="5152" spans="1:11">
      <c r="A5152" s="688" t="s">
        <v>17</v>
      </c>
      <c r="B5152" s="691">
        <v>14.4</v>
      </c>
      <c r="C5152" s="691">
        <v>14.5</v>
      </c>
      <c r="D5152" s="691">
        <v>14.3</v>
      </c>
      <c r="E5152" s="691">
        <v>14.3</v>
      </c>
      <c r="F5152" s="691">
        <v>14.4</v>
      </c>
      <c r="G5152" s="691">
        <v>14.4</v>
      </c>
      <c r="H5152" s="691">
        <v>14.6</v>
      </c>
      <c r="I5152" s="615">
        <v>14</v>
      </c>
      <c r="J5152" s="691">
        <v>14.1</v>
      </c>
      <c r="K5152" s="691">
        <v>14.2</v>
      </c>
    </row>
    <row r="5153" spans="1:11">
      <c r="A5153" s="688" t="s">
        <v>19</v>
      </c>
      <c r="B5153" s="689">
        <v>14.7</v>
      </c>
      <c r="C5153" s="689">
        <v>14.7</v>
      </c>
      <c r="D5153" s="689">
        <v>14.4</v>
      </c>
      <c r="E5153" s="689">
        <v>14.8</v>
      </c>
      <c r="F5153" s="689">
        <v>14.6</v>
      </c>
      <c r="G5153" s="689">
        <v>14.7</v>
      </c>
      <c r="H5153" s="689">
        <v>14.8</v>
      </c>
      <c r="I5153" s="689">
        <v>14.2</v>
      </c>
      <c r="J5153" s="689">
        <v>14.3</v>
      </c>
      <c r="K5153" s="689">
        <v>14.3</v>
      </c>
    </row>
    <row r="5154" spans="1:11">
      <c r="A5154" s="688" t="s">
        <v>20</v>
      </c>
      <c r="B5154" s="691">
        <v>13.3</v>
      </c>
      <c r="C5154" s="691">
        <v>13.4</v>
      </c>
      <c r="D5154" s="691">
        <v>13.2</v>
      </c>
      <c r="E5154" s="691">
        <v>13.6</v>
      </c>
      <c r="F5154" s="691">
        <v>13.4</v>
      </c>
      <c r="G5154" s="691">
        <v>13.4</v>
      </c>
      <c r="H5154" s="691">
        <v>13.6</v>
      </c>
      <c r="I5154" s="691">
        <v>12.5</v>
      </c>
      <c r="J5154" s="691">
        <v>11.9</v>
      </c>
      <c r="K5154" s="615">
        <v>13</v>
      </c>
    </row>
    <row r="5155" spans="1:11">
      <c r="A5155" s="688" t="s">
        <v>21</v>
      </c>
      <c r="B5155" s="689">
        <v>14.4</v>
      </c>
      <c r="C5155" s="689">
        <v>14.7</v>
      </c>
      <c r="D5155" s="689">
        <v>14.6</v>
      </c>
      <c r="E5155" s="689">
        <v>14.6</v>
      </c>
      <c r="F5155" s="689">
        <v>14.9</v>
      </c>
      <c r="G5155" s="689">
        <v>14.8</v>
      </c>
      <c r="H5155" s="689">
        <v>15.1</v>
      </c>
      <c r="I5155" s="689">
        <v>14.6</v>
      </c>
      <c r="J5155" s="689">
        <v>14.7</v>
      </c>
      <c r="K5155" s="689">
        <v>14.9</v>
      </c>
    </row>
    <row r="5156" spans="1:11">
      <c r="A5156" s="688" t="s">
        <v>22</v>
      </c>
      <c r="B5156" s="615">
        <v>12</v>
      </c>
      <c r="C5156" s="691">
        <v>11.8</v>
      </c>
      <c r="D5156" s="691">
        <v>11.7</v>
      </c>
      <c r="E5156" s="615">
        <v>12</v>
      </c>
      <c r="F5156" s="615">
        <v>12</v>
      </c>
      <c r="G5156" s="691">
        <v>12.1</v>
      </c>
      <c r="H5156" s="691">
        <v>12.3</v>
      </c>
      <c r="I5156" s="691">
        <v>11.4</v>
      </c>
      <c r="J5156" s="691">
        <v>10.5</v>
      </c>
      <c r="K5156" s="691">
        <v>11.7</v>
      </c>
    </row>
    <row r="5157" spans="1:11">
      <c r="A5157" s="688" t="s">
        <v>26</v>
      </c>
      <c r="B5157" s="689">
        <v>14.3</v>
      </c>
      <c r="C5157" s="689">
        <v>14.2</v>
      </c>
      <c r="D5157" s="689">
        <v>14.1</v>
      </c>
      <c r="E5157" s="689">
        <v>14.3</v>
      </c>
      <c r="F5157" s="689">
        <v>14.2</v>
      </c>
      <c r="G5157" s="689">
        <v>14.4</v>
      </c>
      <c r="H5157" s="689">
        <v>14.6</v>
      </c>
      <c r="I5157" s="689">
        <v>13.6</v>
      </c>
      <c r="J5157" s="693">
        <v>14</v>
      </c>
      <c r="K5157" s="689">
        <v>14.3</v>
      </c>
    </row>
    <row r="5158" spans="1:11">
      <c r="A5158" s="688" t="s">
        <v>25</v>
      </c>
      <c r="B5158" s="691">
        <v>12.2</v>
      </c>
      <c r="C5158" s="691">
        <v>12.5</v>
      </c>
      <c r="D5158" s="691">
        <v>12.3</v>
      </c>
      <c r="E5158" s="691">
        <v>12.7</v>
      </c>
      <c r="F5158" s="691">
        <v>12.5</v>
      </c>
      <c r="G5158" s="691">
        <v>12.7</v>
      </c>
      <c r="H5158" s="691">
        <v>13.1</v>
      </c>
      <c r="I5158" s="691">
        <v>12.3</v>
      </c>
      <c r="J5158" s="615">
        <v>11</v>
      </c>
      <c r="K5158" s="691">
        <v>12.3</v>
      </c>
    </row>
    <row r="5159" spans="1:11">
      <c r="A5159" s="688" t="s">
        <v>5</v>
      </c>
      <c r="B5159" s="689">
        <v>14.8</v>
      </c>
      <c r="C5159" s="689">
        <v>14.5</v>
      </c>
      <c r="D5159" s="689">
        <v>14.6</v>
      </c>
      <c r="E5159" s="689">
        <v>14.6</v>
      </c>
      <c r="F5159" s="689">
        <v>14.8</v>
      </c>
      <c r="G5159" s="689">
        <v>14.8</v>
      </c>
      <c r="H5159" s="693">
        <v>15</v>
      </c>
      <c r="I5159" s="693">
        <v>15</v>
      </c>
      <c r="J5159" s="689">
        <v>14.9</v>
      </c>
      <c r="K5159" s="689">
        <v>14.3</v>
      </c>
    </row>
    <row r="5160" spans="1:11">
      <c r="A5160" s="688" t="s">
        <v>23</v>
      </c>
      <c r="B5160" s="691">
        <v>14.6</v>
      </c>
      <c r="C5160" s="691">
        <v>14.7</v>
      </c>
      <c r="D5160" s="691">
        <v>14.7</v>
      </c>
      <c r="E5160" s="691">
        <v>14.7</v>
      </c>
      <c r="F5160" s="691">
        <v>14.8</v>
      </c>
      <c r="G5160" s="691">
        <v>14.8</v>
      </c>
      <c r="H5160" s="691">
        <v>15.2</v>
      </c>
      <c r="I5160" s="691">
        <v>14.6</v>
      </c>
      <c r="J5160" s="691">
        <v>15.2</v>
      </c>
      <c r="K5160" s="691">
        <v>15.1</v>
      </c>
    </row>
    <row r="5161" spans="1:11">
      <c r="A5161" s="688" t="s">
        <v>4067</v>
      </c>
      <c r="B5161" s="689">
        <v>14.5</v>
      </c>
      <c r="C5161" s="689">
        <v>14.8</v>
      </c>
      <c r="D5161" s="689">
        <v>14.4</v>
      </c>
      <c r="E5161" s="689">
        <v>14.8</v>
      </c>
      <c r="F5161" s="689">
        <v>14.7</v>
      </c>
      <c r="G5161" s="689">
        <v>14.8</v>
      </c>
      <c r="H5161" s="690" t="s">
        <v>4060</v>
      </c>
      <c r="I5161" s="690" t="s">
        <v>4060</v>
      </c>
      <c r="J5161" s="690" t="s">
        <v>4060</v>
      </c>
      <c r="K5161" s="690" t="s">
        <v>4060</v>
      </c>
    </row>
    <row r="5162" spans="1:11">
      <c r="A5162" s="688" t="s">
        <v>4066</v>
      </c>
      <c r="B5162" s="691">
        <v>14.5</v>
      </c>
      <c r="C5162" s="691">
        <v>14.8</v>
      </c>
      <c r="D5162" s="691">
        <v>14.5</v>
      </c>
      <c r="E5162" s="691">
        <v>14.8</v>
      </c>
      <c r="F5162" s="691">
        <v>14.7</v>
      </c>
      <c r="G5162" s="691">
        <v>14.8</v>
      </c>
      <c r="H5162" s="692" t="s">
        <v>4060</v>
      </c>
      <c r="I5162" s="692" t="s">
        <v>4060</v>
      </c>
      <c r="J5162" s="692" t="s">
        <v>4060</v>
      </c>
      <c r="K5162" s="692" t="s">
        <v>4060</v>
      </c>
    </row>
    <row r="5163" spans="1:11">
      <c r="A5163" s="688" t="s">
        <v>4062</v>
      </c>
      <c r="B5163" s="689">
        <v>15.1</v>
      </c>
      <c r="C5163" s="689">
        <v>15.2</v>
      </c>
      <c r="D5163" s="693">
        <v>15</v>
      </c>
      <c r="E5163" s="689">
        <v>15.3</v>
      </c>
      <c r="F5163" s="689">
        <v>15.3</v>
      </c>
      <c r="G5163" s="689">
        <v>15.4</v>
      </c>
      <c r="H5163" s="689">
        <v>15.5</v>
      </c>
      <c r="I5163" s="689">
        <v>15.1</v>
      </c>
      <c r="J5163" s="689">
        <v>15.5</v>
      </c>
      <c r="K5163" s="689">
        <v>15.2</v>
      </c>
    </row>
    <row r="5164" spans="1:11">
      <c r="A5164" s="688" t="s">
        <v>9</v>
      </c>
      <c r="B5164" s="691">
        <v>14.5</v>
      </c>
      <c r="C5164" s="691">
        <v>14.9</v>
      </c>
      <c r="D5164" s="691">
        <v>14.7</v>
      </c>
      <c r="E5164" s="691">
        <v>14.2</v>
      </c>
      <c r="F5164" s="691">
        <v>14.6</v>
      </c>
      <c r="G5164" s="691">
        <v>14.8</v>
      </c>
      <c r="H5164" s="691">
        <v>15.1</v>
      </c>
      <c r="I5164" s="691">
        <v>15.2</v>
      </c>
      <c r="J5164" s="691">
        <v>15.3</v>
      </c>
      <c r="K5164" s="691">
        <v>14.4</v>
      </c>
    </row>
    <row r="5165" spans="1:11">
      <c r="A5165" s="688" t="s">
        <v>13</v>
      </c>
      <c r="B5165" s="689">
        <v>15.1</v>
      </c>
      <c r="C5165" s="689">
        <v>14.4</v>
      </c>
      <c r="D5165" s="689">
        <v>14.8</v>
      </c>
      <c r="E5165" s="689">
        <v>14.9</v>
      </c>
      <c r="F5165" s="693">
        <v>16</v>
      </c>
      <c r="G5165" s="689">
        <v>14.8</v>
      </c>
      <c r="H5165" s="689">
        <v>15.5</v>
      </c>
      <c r="I5165" s="693">
        <v>14</v>
      </c>
      <c r="J5165" s="689">
        <v>15.9</v>
      </c>
      <c r="K5165" s="689">
        <v>15.9</v>
      </c>
    </row>
    <row r="5166" spans="1:11">
      <c r="A5166" s="688" t="s">
        <v>18</v>
      </c>
      <c r="B5166" s="691">
        <v>14.6</v>
      </c>
      <c r="C5166" s="691">
        <v>14.7</v>
      </c>
      <c r="D5166" s="691">
        <v>14.7</v>
      </c>
      <c r="E5166" s="691">
        <v>14.9</v>
      </c>
      <c r="F5166" s="691">
        <v>14.9</v>
      </c>
      <c r="G5166" s="615">
        <v>15</v>
      </c>
      <c r="H5166" s="691">
        <v>15.1</v>
      </c>
      <c r="I5166" s="691">
        <v>15.3</v>
      </c>
      <c r="J5166" s="691">
        <v>15.1</v>
      </c>
      <c r="K5166" s="691">
        <v>14.7</v>
      </c>
    </row>
    <row r="5167" spans="1:11">
      <c r="A5167" s="688" t="s">
        <v>24</v>
      </c>
      <c r="B5167" s="689">
        <v>15.4</v>
      </c>
      <c r="C5167" s="689">
        <v>15.4</v>
      </c>
      <c r="D5167" s="689">
        <v>15.2</v>
      </c>
      <c r="E5167" s="689">
        <v>15.6</v>
      </c>
      <c r="F5167" s="689">
        <v>15.5</v>
      </c>
      <c r="G5167" s="689">
        <v>15.7</v>
      </c>
      <c r="H5167" s="689">
        <v>15.7</v>
      </c>
      <c r="I5167" s="689">
        <v>15.1</v>
      </c>
      <c r="J5167" s="689">
        <v>15.7</v>
      </c>
      <c r="K5167" s="689">
        <v>15.5</v>
      </c>
    </row>
    <row r="5168" spans="1:11">
      <c r="A5168" s="688" t="s">
        <v>4059</v>
      </c>
      <c r="B5168" s="691">
        <v>14.4</v>
      </c>
      <c r="C5168" s="691">
        <v>14.7</v>
      </c>
      <c r="D5168" s="691">
        <v>14.3</v>
      </c>
      <c r="E5168" s="691">
        <v>14.6</v>
      </c>
      <c r="F5168" s="691">
        <v>14.6</v>
      </c>
      <c r="G5168" s="691">
        <v>14.7</v>
      </c>
      <c r="H5168" s="692" t="s">
        <v>4060</v>
      </c>
      <c r="I5168" s="692" t="s">
        <v>4060</v>
      </c>
      <c r="J5168" s="692" t="s">
        <v>4060</v>
      </c>
      <c r="K5168" s="692" t="s">
        <v>4060</v>
      </c>
    </row>
    <row r="5169" spans="1:11">
      <c r="A5169" s="688" t="s">
        <v>2324</v>
      </c>
      <c r="B5169" s="689">
        <v>11.5</v>
      </c>
      <c r="C5169" s="689">
        <v>11.6</v>
      </c>
      <c r="D5169" s="689">
        <v>11.3</v>
      </c>
      <c r="E5169" s="689">
        <v>11.4</v>
      </c>
      <c r="F5169" s="689">
        <v>11.5</v>
      </c>
      <c r="G5169" s="689">
        <v>11.6</v>
      </c>
      <c r="H5169" s="689">
        <v>11.8</v>
      </c>
      <c r="I5169" s="693">
        <v>11</v>
      </c>
      <c r="J5169" s="689">
        <v>9.5</v>
      </c>
      <c r="K5169" s="690" t="s">
        <v>4060</v>
      </c>
    </row>
    <row r="5170" spans="1:11">
      <c r="A5170" s="688" t="s">
        <v>2322</v>
      </c>
      <c r="B5170" s="692" t="s">
        <v>4060</v>
      </c>
      <c r="C5170" s="692" t="s">
        <v>4060</v>
      </c>
      <c r="D5170" s="692" t="s">
        <v>4060</v>
      </c>
      <c r="E5170" s="692" t="s">
        <v>4060</v>
      </c>
      <c r="F5170" s="692" t="s">
        <v>4060</v>
      </c>
      <c r="G5170" s="692" t="s">
        <v>4060</v>
      </c>
      <c r="H5170" s="692" t="s">
        <v>4060</v>
      </c>
      <c r="I5170" s="692" t="s">
        <v>4060</v>
      </c>
      <c r="J5170" s="692" t="s">
        <v>4060</v>
      </c>
      <c r="K5170" s="692" t="s">
        <v>4060</v>
      </c>
    </row>
    <row r="5171" spans="1:11">
      <c r="A5171" s="688" t="s">
        <v>2328</v>
      </c>
      <c r="B5171" s="689">
        <v>10.6</v>
      </c>
      <c r="C5171" s="689">
        <v>10.6</v>
      </c>
      <c r="D5171" s="689">
        <v>10.5</v>
      </c>
      <c r="E5171" s="689">
        <v>10.7</v>
      </c>
      <c r="F5171" s="689">
        <v>10.7</v>
      </c>
      <c r="G5171" s="689">
        <v>11.2</v>
      </c>
      <c r="H5171" s="693">
        <v>11</v>
      </c>
      <c r="I5171" s="689">
        <v>9.9</v>
      </c>
      <c r="J5171" s="689">
        <v>9.5</v>
      </c>
      <c r="K5171" s="690" t="s">
        <v>4060</v>
      </c>
    </row>
    <row r="5172" spans="1:11">
      <c r="A5172" s="688" t="s">
        <v>2496</v>
      </c>
      <c r="B5172" s="692" t="s">
        <v>4060</v>
      </c>
      <c r="C5172" s="691">
        <v>11.8</v>
      </c>
      <c r="D5172" s="691">
        <v>10.9</v>
      </c>
      <c r="E5172" s="691">
        <v>10.4</v>
      </c>
      <c r="F5172" s="691">
        <v>10.7</v>
      </c>
      <c r="G5172" s="615">
        <v>11</v>
      </c>
      <c r="H5172" s="615">
        <v>11</v>
      </c>
      <c r="I5172" s="692" t="s">
        <v>4060</v>
      </c>
      <c r="J5172" s="692" t="s">
        <v>4060</v>
      </c>
      <c r="K5172" s="691">
        <v>10.6</v>
      </c>
    </row>
    <row r="5173" spans="1:11">
      <c r="A5173" s="688" t="s">
        <v>2269</v>
      </c>
      <c r="B5173" s="689">
        <v>12.1</v>
      </c>
      <c r="C5173" s="689">
        <v>12.1</v>
      </c>
      <c r="D5173" s="689">
        <v>11.6</v>
      </c>
      <c r="E5173" s="693">
        <v>12</v>
      </c>
      <c r="F5173" s="689">
        <v>11.9</v>
      </c>
      <c r="G5173" s="689">
        <v>12.3</v>
      </c>
      <c r="H5173" s="689">
        <v>12.5</v>
      </c>
      <c r="I5173" s="689">
        <v>11.4</v>
      </c>
      <c r="J5173" s="689">
        <v>9.6</v>
      </c>
      <c r="K5173" s="689">
        <v>12.3</v>
      </c>
    </row>
    <row r="5174" spans="1:11">
      <c r="A5174" s="688" t="s">
        <v>2349</v>
      </c>
      <c r="B5174" s="615">
        <v>11</v>
      </c>
      <c r="C5174" s="615">
        <v>11</v>
      </c>
      <c r="D5174" s="615">
        <v>11</v>
      </c>
      <c r="E5174" s="691">
        <v>11.3</v>
      </c>
      <c r="F5174" s="691">
        <v>11.1</v>
      </c>
      <c r="G5174" s="691">
        <v>11.4</v>
      </c>
      <c r="H5174" s="691">
        <v>11.6</v>
      </c>
      <c r="I5174" s="691">
        <v>10.7</v>
      </c>
      <c r="J5174" s="691">
        <v>9.5</v>
      </c>
      <c r="K5174" s="691">
        <v>10.8</v>
      </c>
    </row>
    <row r="5175" spans="1:11">
      <c r="A5175" s="688" t="s">
        <v>2355</v>
      </c>
      <c r="B5175" s="689">
        <v>13.2</v>
      </c>
      <c r="C5175" s="693">
        <v>13</v>
      </c>
      <c r="D5175" s="689">
        <v>12.9</v>
      </c>
      <c r="E5175" s="689">
        <v>12.8</v>
      </c>
      <c r="F5175" s="689">
        <v>12.9</v>
      </c>
      <c r="G5175" s="689">
        <v>13.3</v>
      </c>
      <c r="H5175" s="689">
        <v>13.3</v>
      </c>
      <c r="I5175" s="690" t="s">
        <v>4060</v>
      </c>
      <c r="J5175" s="690" t="s">
        <v>4060</v>
      </c>
      <c r="K5175" s="690" t="s">
        <v>4060</v>
      </c>
    </row>
    <row r="5176" spans="1:11">
      <c r="A5176" s="688" t="s">
        <v>2357</v>
      </c>
      <c r="B5176" s="692" t="s">
        <v>4060</v>
      </c>
      <c r="C5176" s="691">
        <v>11.2</v>
      </c>
      <c r="D5176" s="691">
        <v>11.4</v>
      </c>
      <c r="E5176" s="691">
        <v>11.6</v>
      </c>
      <c r="F5176" s="691">
        <v>11.8</v>
      </c>
      <c r="G5176" s="691">
        <v>11.7</v>
      </c>
      <c r="H5176" s="691">
        <v>11.8</v>
      </c>
      <c r="I5176" s="692" t="s">
        <v>4060</v>
      </c>
      <c r="J5176" s="692" t="s">
        <v>4060</v>
      </c>
      <c r="K5176" s="692" t="s">
        <v>4060</v>
      </c>
    </row>
    <row r="5177" spans="1:11">
      <c r="A5177" s="688" t="s">
        <v>4070</v>
      </c>
      <c r="B5177" s="690" t="s">
        <v>4060</v>
      </c>
      <c r="C5177" s="690" t="s">
        <v>4060</v>
      </c>
      <c r="D5177" s="690" t="s">
        <v>4060</v>
      </c>
      <c r="E5177" s="689">
        <v>12.9</v>
      </c>
      <c r="F5177" s="690" t="s">
        <v>4060</v>
      </c>
      <c r="G5177" s="690" t="s">
        <v>4060</v>
      </c>
      <c r="H5177" s="690" t="s">
        <v>4060</v>
      </c>
      <c r="I5177" s="690" t="s">
        <v>4060</v>
      </c>
      <c r="J5177" s="690" t="s">
        <v>4060</v>
      </c>
      <c r="K5177" s="690" t="s">
        <v>4060</v>
      </c>
    </row>
    <row r="5178" spans="1:11">
      <c r="A5178" s="688" t="s">
        <v>2491</v>
      </c>
      <c r="B5178" s="691">
        <v>11.3</v>
      </c>
      <c r="C5178" s="691">
        <v>11.6</v>
      </c>
      <c r="D5178" s="691">
        <v>11.7</v>
      </c>
      <c r="E5178" s="691">
        <v>11.7</v>
      </c>
      <c r="F5178" s="691">
        <v>11.7</v>
      </c>
      <c r="G5178" s="691">
        <v>11.9</v>
      </c>
      <c r="H5178" s="692" t="s">
        <v>4060</v>
      </c>
      <c r="I5178" s="692" t="s">
        <v>4060</v>
      </c>
      <c r="J5178" s="692" t="s">
        <v>4060</v>
      </c>
      <c r="K5178" s="692" t="s">
        <v>4060</v>
      </c>
    </row>
    <row r="5179" spans="1:11">
      <c r="A5179" s="688" t="s">
        <v>2343</v>
      </c>
      <c r="B5179" s="690" t="s">
        <v>4060</v>
      </c>
      <c r="C5179" s="690" t="s">
        <v>4060</v>
      </c>
      <c r="D5179" s="690" t="s">
        <v>4060</v>
      </c>
      <c r="E5179" s="690" t="s">
        <v>4060</v>
      </c>
      <c r="F5179" s="690" t="s">
        <v>4060</v>
      </c>
      <c r="G5179" s="690" t="s">
        <v>4060</v>
      </c>
      <c r="H5179" s="690" t="s">
        <v>4060</v>
      </c>
      <c r="I5179" s="690" t="s">
        <v>4060</v>
      </c>
      <c r="J5179" s="690" t="s">
        <v>4060</v>
      </c>
      <c r="K5179" s="690" t="s">
        <v>4060</v>
      </c>
    </row>
    <row r="5180" spans="1:11">
      <c r="A5180" s="688" t="s">
        <v>4071</v>
      </c>
      <c r="B5180" s="692" t="s">
        <v>4060</v>
      </c>
      <c r="C5180" s="692" t="s">
        <v>4060</v>
      </c>
      <c r="D5180" s="692" t="s">
        <v>4060</v>
      </c>
      <c r="E5180" s="692" t="s">
        <v>4060</v>
      </c>
      <c r="F5180" s="692" t="s">
        <v>4060</v>
      </c>
      <c r="G5180" s="692" t="s">
        <v>4060</v>
      </c>
      <c r="H5180" s="692" t="s">
        <v>4060</v>
      </c>
      <c r="I5180" s="692" t="s">
        <v>4060</v>
      </c>
      <c r="J5180" s="692" t="s">
        <v>4060</v>
      </c>
      <c r="K5180" s="692" t="s">
        <v>4060</v>
      </c>
    </row>
    <row r="5181" spans="1:11">
      <c r="A5181" s="688" t="s">
        <v>2489</v>
      </c>
      <c r="B5181" s="690" t="s">
        <v>4060</v>
      </c>
      <c r="C5181" s="690" t="s">
        <v>4060</v>
      </c>
      <c r="D5181" s="689">
        <v>11.3</v>
      </c>
      <c r="E5181" s="689">
        <v>11.3</v>
      </c>
      <c r="F5181" s="689">
        <v>11.5</v>
      </c>
      <c r="G5181" s="689">
        <v>12.1</v>
      </c>
      <c r="H5181" s="689">
        <v>12.2</v>
      </c>
      <c r="I5181" s="690" t="s">
        <v>4060</v>
      </c>
      <c r="J5181" s="690" t="s">
        <v>4060</v>
      </c>
      <c r="K5181" s="690" t="s">
        <v>4060</v>
      </c>
    </row>
    <row r="5182" spans="1:11">
      <c r="A5182" s="688" t="s">
        <v>2490</v>
      </c>
      <c r="B5182" s="691">
        <v>11.1</v>
      </c>
      <c r="C5182" s="691">
        <v>10.9</v>
      </c>
      <c r="D5182" s="691">
        <v>11.6</v>
      </c>
      <c r="E5182" s="692" t="s">
        <v>4060</v>
      </c>
      <c r="F5182" s="691">
        <v>11.9</v>
      </c>
      <c r="G5182" s="615">
        <v>12</v>
      </c>
      <c r="H5182" s="691">
        <v>12.8</v>
      </c>
      <c r="I5182" s="692" t="s">
        <v>4060</v>
      </c>
      <c r="J5182" s="692" t="s">
        <v>4060</v>
      </c>
      <c r="K5182" s="692" t="s">
        <v>4060</v>
      </c>
    </row>
    <row r="5184" spans="1:11">
      <c r="A5184" s="683" t="s">
        <v>4233</v>
      </c>
    </row>
    <row r="5185" spans="1:11">
      <c r="A5185" s="683" t="s">
        <v>4060</v>
      </c>
      <c r="B5185" s="682" t="s">
        <v>4234</v>
      </c>
    </row>
    <row r="5187" spans="1:11">
      <c r="A5187" s="682" t="s">
        <v>4248</v>
      </c>
    </row>
    <row r="5188" spans="1:11">
      <c r="A5188" s="682" t="s">
        <v>4210</v>
      </c>
      <c r="B5188" s="683" t="s">
        <v>4211</v>
      </c>
    </row>
    <row r="5189" spans="1:11">
      <c r="A5189" s="682" t="s">
        <v>4212</v>
      </c>
      <c r="B5189" s="682" t="s">
        <v>4213</v>
      </c>
    </row>
    <row r="5191" spans="1:11">
      <c r="A5191" s="683" t="s">
        <v>4214</v>
      </c>
      <c r="C5191" s="682" t="s">
        <v>4215</v>
      </c>
    </row>
    <row r="5192" spans="1:11">
      <c r="A5192" s="683" t="s">
        <v>4216</v>
      </c>
      <c r="C5192" s="682" t="s">
        <v>2967</v>
      </c>
    </row>
    <row r="5193" spans="1:11">
      <c r="A5193" s="683" t="s">
        <v>3893</v>
      </c>
      <c r="C5193" s="682" t="s">
        <v>4217</v>
      </c>
    </row>
    <row r="5194" spans="1:11">
      <c r="A5194" s="683" t="s">
        <v>4218</v>
      </c>
      <c r="C5194" s="682" t="s">
        <v>4307</v>
      </c>
    </row>
    <row r="5196" spans="1:11">
      <c r="A5196" s="684" t="s">
        <v>4220</v>
      </c>
      <c r="B5196" s="685" t="s">
        <v>4221</v>
      </c>
      <c r="C5196" s="685" t="s">
        <v>4222</v>
      </c>
      <c r="D5196" s="685" t="s">
        <v>4223</v>
      </c>
      <c r="E5196" s="685" t="s">
        <v>4224</v>
      </c>
      <c r="F5196" s="685" t="s">
        <v>4225</v>
      </c>
      <c r="G5196" s="685" t="s">
        <v>4226</v>
      </c>
      <c r="H5196" s="685" t="s">
        <v>4227</v>
      </c>
      <c r="I5196" s="685" t="s">
        <v>4228</v>
      </c>
      <c r="J5196" s="685" t="s">
        <v>4229</v>
      </c>
      <c r="K5196" s="685" t="s">
        <v>4230</v>
      </c>
    </row>
    <row r="5197" spans="1:11">
      <c r="A5197" s="686" t="s">
        <v>4231</v>
      </c>
      <c r="B5197" s="687" t="s">
        <v>4232</v>
      </c>
      <c r="C5197" s="687" t="s">
        <v>4232</v>
      </c>
      <c r="D5197" s="687" t="s">
        <v>4232</v>
      </c>
      <c r="E5197" s="687" t="s">
        <v>4232</v>
      </c>
      <c r="F5197" s="687" t="s">
        <v>4232</v>
      </c>
      <c r="G5197" s="687" t="s">
        <v>4232</v>
      </c>
      <c r="H5197" s="687" t="s">
        <v>4232</v>
      </c>
      <c r="I5197" s="687" t="s">
        <v>4232</v>
      </c>
      <c r="J5197" s="687" t="s">
        <v>4232</v>
      </c>
      <c r="K5197" s="687" t="s">
        <v>4232</v>
      </c>
    </row>
    <row r="5198" spans="1:11">
      <c r="A5198" s="688" t="s">
        <v>4064</v>
      </c>
      <c r="B5198" s="691">
        <v>13.8</v>
      </c>
      <c r="C5198" s="691">
        <v>13.7</v>
      </c>
      <c r="D5198" s="691">
        <v>13.7</v>
      </c>
      <c r="E5198" s="691">
        <v>13.8</v>
      </c>
      <c r="F5198" s="691">
        <v>13.7</v>
      </c>
      <c r="G5198" s="691">
        <v>13.8</v>
      </c>
      <c r="H5198" s="615">
        <v>14</v>
      </c>
      <c r="I5198" s="691">
        <v>13.4</v>
      </c>
      <c r="J5198" s="691">
        <v>13.4</v>
      </c>
      <c r="K5198" s="691">
        <v>13.6</v>
      </c>
    </row>
    <row r="5199" spans="1:11">
      <c r="A5199" s="688" t="s">
        <v>4065</v>
      </c>
      <c r="B5199" s="689">
        <v>13.8</v>
      </c>
      <c r="C5199" s="689">
        <v>14.1</v>
      </c>
      <c r="D5199" s="689">
        <v>13.7</v>
      </c>
      <c r="E5199" s="689">
        <v>14.1</v>
      </c>
      <c r="F5199" s="693">
        <v>14</v>
      </c>
      <c r="G5199" s="693">
        <v>14</v>
      </c>
      <c r="H5199" s="690" t="s">
        <v>4060</v>
      </c>
      <c r="I5199" s="690" t="s">
        <v>4060</v>
      </c>
      <c r="J5199" s="690" t="s">
        <v>4060</v>
      </c>
      <c r="K5199" s="690" t="s">
        <v>4060</v>
      </c>
    </row>
    <row r="5200" spans="1:11">
      <c r="A5200" s="688" t="s">
        <v>4063</v>
      </c>
      <c r="B5200" s="691">
        <v>13.8</v>
      </c>
      <c r="C5200" s="691">
        <v>14.1</v>
      </c>
      <c r="D5200" s="691">
        <v>13.7</v>
      </c>
      <c r="E5200" s="691">
        <v>14.1</v>
      </c>
      <c r="F5200" s="615">
        <v>14</v>
      </c>
      <c r="G5200" s="691">
        <v>14.1</v>
      </c>
      <c r="H5200" s="692" t="s">
        <v>4060</v>
      </c>
      <c r="I5200" s="692" t="s">
        <v>4060</v>
      </c>
      <c r="J5200" s="692" t="s">
        <v>4060</v>
      </c>
      <c r="K5200" s="692" t="s">
        <v>4060</v>
      </c>
    </row>
    <row r="5201" spans="1:11">
      <c r="A5201" s="688" t="s">
        <v>4069</v>
      </c>
      <c r="B5201" s="690" t="s">
        <v>4060</v>
      </c>
      <c r="C5201" s="689">
        <v>14.2</v>
      </c>
      <c r="D5201" s="689">
        <v>13.9</v>
      </c>
      <c r="E5201" s="689">
        <v>14.2</v>
      </c>
      <c r="F5201" s="689">
        <v>14.1</v>
      </c>
      <c r="G5201" s="689">
        <v>14.2</v>
      </c>
      <c r="H5201" s="689">
        <v>14.4</v>
      </c>
      <c r="I5201" s="689">
        <v>13.8</v>
      </c>
      <c r="J5201" s="693">
        <v>14</v>
      </c>
      <c r="K5201" s="689">
        <v>13.9</v>
      </c>
    </row>
    <row r="5202" spans="1:11">
      <c r="A5202" s="688" t="s">
        <v>4068</v>
      </c>
      <c r="B5202" s="691">
        <v>14.3</v>
      </c>
      <c r="C5202" s="692" t="s">
        <v>4060</v>
      </c>
      <c r="D5202" s="692" t="s">
        <v>4060</v>
      </c>
      <c r="E5202" s="692" t="s">
        <v>4060</v>
      </c>
      <c r="F5202" s="692" t="s">
        <v>4060</v>
      </c>
      <c r="G5202" s="692" t="s">
        <v>4060</v>
      </c>
      <c r="H5202" s="692" t="s">
        <v>4060</v>
      </c>
      <c r="I5202" s="692" t="s">
        <v>4060</v>
      </c>
      <c r="J5202" s="692" t="s">
        <v>4060</v>
      </c>
      <c r="K5202" s="692" t="s">
        <v>4060</v>
      </c>
    </row>
    <row r="5203" spans="1:11">
      <c r="A5203" s="688" t="s">
        <v>0</v>
      </c>
      <c r="B5203" s="689">
        <v>13.8</v>
      </c>
      <c r="C5203" s="693">
        <v>14</v>
      </c>
      <c r="D5203" s="689">
        <v>13.7</v>
      </c>
      <c r="E5203" s="693">
        <v>14</v>
      </c>
      <c r="F5203" s="693">
        <v>14</v>
      </c>
      <c r="G5203" s="693">
        <v>14</v>
      </c>
      <c r="H5203" s="689">
        <v>14.3</v>
      </c>
      <c r="I5203" s="689">
        <v>13.3</v>
      </c>
      <c r="J5203" s="689">
        <v>14.2</v>
      </c>
      <c r="K5203" s="689">
        <v>14.1</v>
      </c>
    </row>
    <row r="5204" spans="1:11">
      <c r="A5204" s="688" t="s">
        <v>1</v>
      </c>
      <c r="B5204" s="615">
        <v>11</v>
      </c>
      <c r="C5204" s="691">
        <v>10.7</v>
      </c>
      <c r="D5204" s="691">
        <v>10.7</v>
      </c>
      <c r="E5204" s="691">
        <v>10.9</v>
      </c>
      <c r="F5204" s="691">
        <v>10.8</v>
      </c>
      <c r="G5204" s="691">
        <v>10.9</v>
      </c>
      <c r="H5204" s="615">
        <v>11</v>
      </c>
      <c r="I5204" s="691">
        <v>10.199999999999999</v>
      </c>
      <c r="J5204" s="691">
        <v>9.1999999999999993</v>
      </c>
      <c r="K5204" s="691">
        <v>10.5</v>
      </c>
    </row>
    <row r="5205" spans="1:11">
      <c r="A5205" s="688" t="s">
        <v>2240</v>
      </c>
      <c r="B5205" s="689">
        <v>12.2</v>
      </c>
      <c r="C5205" s="689">
        <v>12.3</v>
      </c>
      <c r="D5205" s="689">
        <v>12.1</v>
      </c>
      <c r="E5205" s="689">
        <v>12.5</v>
      </c>
      <c r="F5205" s="689">
        <v>12.4</v>
      </c>
      <c r="G5205" s="689">
        <v>12.4</v>
      </c>
      <c r="H5205" s="689">
        <v>12.6</v>
      </c>
      <c r="I5205" s="689">
        <v>11.7</v>
      </c>
      <c r="J5205" s="689">
        <v>11.4</v>
      </c>
      <c r="K5205" s="689">
        <v>12.3</v>
      </c>
    </row>
    <row r="5206" spans="1:11">
      <c r="A5206" s="688" t="s">
        <v>2</v>
      </c>
      <c r="B5206" s="691">
        <v>13.2</v>
      </c>
      <c r="C5206" s="691">
        <v>13.4</v>
      </c>
      <c r="D5206" s="691">
        <v>13.4</v>
      </c>
      <c r="E5206" s="691">
        <v>13.5</v>
      </c>
      <c r="F5206" s="691">
        <v>13.5</v>
      </c>
      <c r="G5206" s="691">
        <v>13.4</v>
      </c>
      <c r="H5206" s="691">
        <v>13.7</v>
      </c>
      <c r="I5206" s="691">
        <v>13.7</v>
      </c>
      <c r="J5206" s="691">
        <v>13.6</v>
      </c>
      <c r="K5206" s="691">
        <v>13.4</v>
      </c>
    </row>
    <row r="5207" spans="1:11">
      <c r="A5207" s="688" t="s">
        <v>3</v>
      </c>
      <c r="B5207" s="689">
        <v>13.5</v>
      </c>
      <c r="C5207" s="689">
        <v>13.6</v>
      </c>
      <c r="D5207" s="689">
        <v>13.4</v>
      </c>
      <c r="E5207" s="689">
        <v>13.6</v>
      </c>
      <c r="F5207" s="689">
        <v>13.6</v>
      </c>
      <c r="G5207" s="689">
        <v>13.6</v>
      </c>
      <c r="H5207" s="689">
        <v>13.8</v>
      </c>
      <c r="I5207" s="689">
        <v>13.6</v>
      </c>
      <c r="J5207" s="689">
        <v>13.5</v>
      </c>
      <c r="K5207" s="689">
        <v>13.3</v>
      </c>
    </row>
    <row r="5208" spans="1:11">
      <c r="A5208" s="688" t="s">
        <v>4061</v>
      </c>
      <c r="B5208" s="691">
        <v>13.5</v>
      </c>
      <c r="C5208" s="691">
        <v>13.6</v>
      </c>
      <c r="D5208" s="691">
        <v>13.4</v>
      </c>
      <c r="E5208" s="691">
        <v>13.6</v>
      </c>
      <c r="F5208" s="691">
        <v>13.6</v>
      </c>
      <c r="G5208" s="691">
        <v>13.6</v>
      </c>
      <c r="H5208" s="691">
        <v>13.8</v>
      </c>
      <c r="I5208" s="691">
        <v>13.6</v>
      </c>
      <c r="J5208" s="691">
        <v>13.5</v>
      </c>
      <c r="K5208" s="691">
        <v>13.3</v>
      </c>
    </row>
    <row r="5209" spans="1:11">
      <c r="A5209" s="688" t="s">
        <v>4</v>
      </c>
      <c r="B5209" s="689">
        <v>12.9</v>
      </c>
      <c r="C5209" s="689">
        <v>12.7</v>
      </c>
      <c r="D5209" s="689">
        <v>12.8</v>
      </c>
      <c r="E5209" s="693">
        <v>13</v>
      </c>
      <c r="F5209" s="693">
        <v>13</v>
      </c>
      <c r="G5209" s="689">
        <v>13.1</v>
      </c>
      <c r="H5209" s="689">
        <v>13.2</v>
      </c>
      <c r="I5209" s="689">
        <v>13.3</v>
      </c>
      <c r="J5209" s="689">
        <v>12.3</v>
      </c>
      <c r="K5209" s="689">
        <v>12.8</v>
      </c>
    </row>
    <row r="5210" spans="1:11">
      <c r="A5210" s="688" t="s">
        <v>8</v>
      </c>
      <c r="B5210" s="691">
        <v>13.4</v>
      </c>
      <c r="C5210" s="691">
        <v>13.5</v>
      </c>
      <c r="D5210" s="691">
        <v>13.4</v>
      </c>
      <c r="E5210" s="691">
        <v>13.5</v>
      </c>
      <c r="F5210" s="691">
        <v>13.7</v>
      </c>
      <c r="G5210" s="691">
        <v>13.9</v>
      </c>
      <c r="H5210" s="691">
        <v>14.1</v>
      </c>
      <c r="I5210" s="615">
        <v>14</v>
      </c>
      <c r="J5210" s="691">
        <v>13.8</v>
      </c>
      <c r="K5210" s="691">
        <v>13.9</v>
      </c>
    </row>
    <row r="5211" spans="1:11">
      <c r="A5211" s="688" t="s">
        <v>7</v>
      </c>
      <c r="B5211" s="693">
        <v>14</v>
      </c>
      <c r="C5211" s="689">
        <v>13.5</v>
      </c>
      <c r="D5211" s="689">
        <v>13.3</v>
      </c>
      <c r="E5211" s="689">
        <v>13.7</v>
      </c>
      <c r="F5211" s="689">
        <v>13.6</v>
      </c>
      <c r="G5211" s="693">
        <v>14</v>
      </c>
      <c r="H5211" s="689">
        <v>13.9</v>
      </c>
      <c r="I5211" s="689">
        <v>13.6</v>
      </c>
      <c r="J5211" s="689">
        <v>13.2</v>
      </c>
      <c r="K5211" s="689">
        <v>13.3</v>
      </c>
    </row>
    <row r="5212" spans="1:11">
      <c r="A5212" s="688" t="s">
        <v>27</v>
      </c>
      <c r="B5212" s="691">
        <v>15.1</v>
      </c>
      <c r="C5212" s="691">
        <v>14.7</v>
      </c>
      <c r="D5212" s="691">
        <v>14.4</v>
      </c>
      <c r="E5212" s="691">
        <v>14.8</v>
      </c>
      <c r="F5212" s="691">
        <v>14.7</v>
      </c>
      <c r="G5212" s="691">
        <v>14.8</v>
      </c>
      <c r="H5212" s="691">
        <v>15.1</v>
      </c>
      <c r="I5212" s="691">
        <v>14.1</v>
      </c>
      <c r="J5212" s="691">
        <v>14.8</v>
      </c>
      <c r="K5212" s="691">
        <v>14.8</v>
      </c>
    </row>
    <row r="5213" spans="1:11">
      <c r="A5213" s="688" t="s">
        <v>6</v>
      </c>
      <c r="B5213" s="689">
        <v>15.5</v>
      </c>
      <c r="C5213" s="689">
        <v>15.3</v>
      </c>
      <c r="D5213" s="693">
        <v>15</v>
      </c>
      <c r="E5213" s="689">
        <v>15.2</v>
      </c>
      <c r="F5213" s="689">
        <v>15.3</v>
      </c>
      <c r="G5213" s="689">
        <v>15.4</v>
      </c>
      <c r="H5213" s="689">
        <v>15.5</v>
      </c>
      <c r="I5213" s="689">
        <v>14.9</v>
      </c>
      <c r="J5213" s="689">
        <v>15.1</v>
      </c>
      <c r="K5213" s="689">
        <v>15.1</v>
      </c>
    </row>
    <row r="5214" spans="1:11">
      <c r="A5214" s="688" t="s">
        <v>4058</v>
      </c>
      <c r="B5214" s="692" t="s">
        <v>4060</v>
      </c>
      <c r="C5214" s="692" t="s">
        <v>4060</v>
      </c>
      <c r="D5214" s="692" t="s">
        <v>4060</v>
      </c>
      <c r="E5214" s="692" t="s">
        <v>4060</v>
      </c>
      <c r="F5214" s="692" t="s">
        <v>4060</v>
      </c>
      <c r="G5214" s="692" t="s">
        <v>4060</v>
      </c>
      <c r="H5214" s="692" t="s">
        <v>4060</v>
      </c>
      <c r="I5214" s="692" t="s">
        <v>4060</v>
      </c>
      <c r="J5214" s="692" t="s">
        <v>4060</v>
      </c>
      <c r="K5214" s="692" t="s">
        <v>4060</v>
      </c>
    </row>
    <row r="5215" spans="1:11">
      <c r="A5215" s="688" t="s">
        <v>11</v>
      </c>
      <c r="B5215" s="689">
        <v>11.7</v>
      </c>
      <c r="C5215" s="689">
        <v>11.6</v>
      </c>
      <c r="D5215" s="689">
        <v>11.3</v>
      </c>
      <c r="E5215" s="689">
        <v>11.7</v>
      </c>
      <c r="F5215" s="689">
        <v>11.6</v>
      </c>
      <c r="G5215" s="689">
        <v>11.8</v>
      </c>
      <c r="H5215" s="693">
        <v>12</v>
      </c>
      <c r="I5215" s="689">
        <v>11.4</v>
      </c>
      <c r="J5215" s="689">
        <v>10.9</v>
      </c>
      <c r="K5215" s="689">
        <v>11.4</v>
      </c>
    </row>
    <row r="5216" spans="1:11">
      <c r="A5216" s="688" t="s">
        <v>10</v>
      </c>
      <c r="B5216" s="691">
        <v>14.6</v>
      </c>
      <c r="C5216" s="691">
        <v>14.4</v>
      </c>
      <c r="D5216" s="615">
        <v>14</v>
      </c>
      <c r="E5216" s="691">
        <v>14.5</v>
      </c>
      <c r="F5216" s="691">
        <v>14.3</v>
      </c>
      <c r="G5216" s="691">
        <v>14.6</v>
      </c>
      <c r="H5216" s="691">
        <v>14.7</v>
      </c>
      <c r="I5216" s="691">
        <v>13.8</v>
      </c>
      <c r="J5216" s="691">
        <v>14.2</v>
      </c>
      <c r="K5216" s="691">
        <v>14.1</v>
      </c>
    </row>
    <row r="5217" spans="1:11">
      <c r="A5217" s="688" t="s">
        <v>30</v>
      </c>
      <c r="B5217" s="689">
        <v>13.8</v>
      </c>
      <c r="C5217" s="689">
        <v>13.5</v>
      </c>
      <c r="D5217" s="689">
        <v>13.3</v>
      </c>
      <c r="E5217" s="689">
        <v>13.9</v>
      </c>
      <c r="F5217" s="689">
        <v>13.6</v>
      </c>
      <c r="G5217" s="689">
        <v>14.1</v>
      </c>
      <c r="H5217" s="689">
        <v>13.8</v>
      </c>
      <c r="I5217" s="693">
        <v>14</v>
      </c>
      <c r="J5217" s="689">
        <v>13.6</v>
      </c>
      <c r="K5217" s="689">
        <v>13.5</v>
      </c>
    </row>
    <row r="5218" spans="1:11">
      <c r="A5218" s="688" t="s">
        <v>12</v>
      </c>
      <c r="B5218" s="691">
        <v>11.8</v>
      </c>
      <c r="C5218" s="691">
        <v>11.8</v>
      </c>
      <c r="D5218" s="691">
        <v>11.8</v>
      </c>
      <c r="E5218" s="691">
        <v>11.8</v>
      </c>
      <c r="F5218" s="691">
        <v>11.8</v>
      </c>
      <c r="G5218" s="691">
        <v>11.9</v>
      </c>
      <c r="H5218" s="691">
        <v>12.2</v>
      </c>
      <c r="I5218" s="691">
        <v>11.9</v>
      </c>
      <c r="J5218" s="691">
        <v>10.9</v>
      </c>
      <c r="K5218" s="691">
        <v>11.7</v>
      </c>
    </row>
    <row r="5219" spans="1:11">
      <c r="A5219" s="688" t="s">
        <v>14</v>
      </c>
      <c r="B5219" s="689">
        <v>12.1</v>
      </c>
      <c r="C5219" s="693">
        <v>12</v>
      </c>
      <c r="D5219" s="689">
        <v>11.7</v>
      </c>
      <c r="E5219" s="689">
        <v>11.9</v>
      </c>
      <c r="F5219" s="689">
        <v>11.9</v>
      </c>
      <c r="G5219" s="693">
        <v>12</v>
      </c>
      <c r="H5219" s="689">
        <v>12.3</v>
      </c>
      <c r="I5219" s="689">
        <v>11.6</v>
      </c>
      <c r="J5219" s="689">
        <v>11.1</v>
      </c>
      <c r="K5219" s="689">
        <v>11.8</v>
      </c>
    </row>
    <row r="5220" spans="1:11">
      <c r="A5220" s="688" t="s">
        <v>15</v>
      </c>
      <c r="B5220" s="691">
        <v>14.5</v>
      </c>
      <c r="C5220" s="691">
        <v>14.1</v>
      </c>
      <c r="D5220" s="691">
        <v>13.9</v>
      </c>
      <c r="E5220" s="691">
        <v>14.3</v>
      </c>
      <c r="F5220" s="615">
        <v>14</v>
      </c>
      <c r="G5220" s="691">
        <v>14.1</v>
      </c>
      <c r="H5220" s="691">
        <v>14.3</v>
      </c>
      <c r="I5220" s="691">
        <v>13.9</v>
      </c>
      <c r="J5220" s="691">
        <v>14.3</v>
      </c>
      <c r="K5220" s="691">
        <v>14.6</v>
      </c>
    </row>
    <row r="5221" spans="1:11">
      <c r="A5221" s="688" t="s">
        <v>29</v>
      </c>
      <c r="B5221" s="689">
        <v>11.6</v>
      </c>
      <c r="C5221" s="689">
        <v>11.6</v>
      </c>
      <c r="D5221" s="689">
        <v>11.3</v>
      </c>
      <c r="E5221" s="689">
        <v>11.7</v>
      </c>
      <c r="F5221" s="689">
        <v>11.4</v>
      </c>
      <c r="G5221" s="689">
        <v>11.5</v>
      </c>
      <c r="H5221" s="689">
        <v>11.6</v>
      </c>
      <c r="I5221" s="689">
        <v>11.1</v>
      </c>
      <c r="J5221" s="689">
        <v>10.7</v>
      </c>
      <c r="K5221" s="689">
        <v>11.4</v>
      </c>
    </row>
    <row r="5222" spans="1:11">
      <c r="A5222" s="688" t="s">
        <v>16</v>
      </c>
      <c r="B5222" s="691">
        <v>13.7</v>
      </c>
      <c r="C5222" s="691">
        <v>13.7</v>
      </c>
      <c r="D5222" s="691">
        <v>13.7</v>
      </c>
      <c r="E5222" s="691">
        <v>14.2</v>
      </c>
      <c r="F5222" s="615">
        <v>14</v>
      </c>
      <c r="G5222" s="691">
        <v>13.9</v>
      </c>
      <c r="H5222" s="691">
        <v>14.1</v>
      </c>
      <c r="I5222" s="691">
        <v>13.7</v>
      </c>
      <c r="J5222" s="691">
        <v>13.7</v>
      </c>
      <c r="K5222" s="691">
        <v>13.9</v>
      </c>
    </row>
    <row r="5223" spans="1:11">
      <c r="A5223" s="688" t="s">
        <v>17</v>
      </c>
      <c r="B5223" s="689">
        <v>13.7</v>
      </c>
      <c r="C5223" s="689">
        <v>13.7</v>
      </c>
      <c r="D5223" s="689">
        <v>13.5</v>
      </c>
      <c r="E5223" s="689">
        <v>13.6</v>
      </c>
      <c r="F5223" s="689">
        <v>13.7</v>
      </c>
      <c r="G5223" s="689">
        <v>13.7</v>
      </c>
      <c r="H5223" s="689">
        <v>13.8</v>
      </c>
      <c r="I5223" s="689">
        <v>13.2</v>
      </c>
      <c r="J5223" s="689">
        <v>13.4</v>
      </c>
      <c r="K5223" s="689">
        <v>13.5</v>
      </c>
    </row>
    <row r="5224" spans="1:11">
      <c r="A5224" s="688" t="s">
        <v>19</v>
      </c>
      <c r="B5224" s="691">
        <v>13.9</v>
      </c>
      <c r="C5224" s="615">
        <v>14</v>
      </c>
      <c r="D5224" s="691">
        <v>13.7</v>
      </c>
      <c r="E5224" s="615">
        <v>14</v>
      </c>
      <c r="F5224" s="691">
        <v>13.9</v>
      </c>
      <c r="G5224" s="615">
        <v>14</v>
      </c>
      <c r="H5224" s="691">
        <v>14.1</v>
      </c>
      <c r="I5224" s="691">
        <v>13.5</v>
      </c>
      <c r="J5224" s="691">
        <v>13.6</v>
      </c>
      <c r="K5224" s="691">
        <v>13.6</v>
      </c>
    </row>
    <row r="5225" spans="1:11">
      <c r="A5225" s="688" t="s">
        <v>20</v>
      </c>
      <c r="B5225" s="689">
        <v>12.7</v>
      </c>
      <c r="C5225" s="689">
        <v>12.8</v>
      </c>
      <c r="D5225" s="689">
        <v>12.6</v>
      </c>
      <c r="E5225" s="689">
        <v>12.9</v>
      </c>
      <c r="F5225" s="689">
        <v>12.8</v>
      </c>
      <c r="G5225" s="689">
        <v>12.7</v>
      </c>
      <c r="H5225" s="693">
        <v>13</v>
      </c>
      <c r="I5225" s="689">
        <v>11.9</v>
      </c>
      <c r="J5225" s="689">
        <v>11.3</v>
      </c>
      <c r="K5225" s="689">
        <v>12.3</v>
      </c>
    </row>
    <row r="5226" spans="1:11">
      <c r="A5226" s="688" t="s">
        <v>21</v>
      </c>
      <c r="B5226" s="691">
        <v>13.6</v>
      </c>
      <c r="C5226" s="691">
        <v>13.9</v>
      </c>
      <c r="D5226" s="691">
        <v>13.8</v>
      </c>
      <c r="E5226" s="691">
        <v>13.9</v>
      </c>
      <c r="F5226" s="691">
        <v>14.1</v>
      </c>
      <c r="G5226" s="691">
        <v>14.1</v>
      </c>
      <c r="H5226" s="691">
        <v>14.4</v>
      </c>
      <c r="I5226" s="691">
        <v>13.8</v>
      </c>
      <c r="J5226" s="691">
        <v>13.9</v>
      </c>
      <c r="K5226" s="691">
        <v>14.1</v>
      </c>
    </row>
    <row r="5227" spans="1:11">
      <c r="A5227" s="688" t="s">
        <v>22</v>
      </c>
      <c r="B5227" s="689">
        <v>11.3</v>
      </c>
      <c r="C5227" s="689">
        <v>11.2</v>
      </c>
      <c r="D5227" s="689">
        <v>11.1</v>
      </c>
      <c r="E5227" s="689">
        <v>11.4</v>
      </c>
      <c r="F5227" s="689">
        <v>11.4</v>
      </c>
      <c r="G5227" s="689">
        <v>11.5</v>
      </c>
      <c r="H5227" s="689">
        <v>11.7</v>
      </c>
      <c r="I5227" s="689">
        <v>10.8</v>
      </c>
      <c r="J5227" s="689">
        <v>9.9</v>
      </c>
      <c r="K5227" s="689">
        <v>11.1</v>
      </c>
    </row>
    <row r="5228" spans="1:11">
      <c r="A5228" s="688" t="s">
        <v>26</v>
      </c>
      <c r="B5228" s="691">
        <v>13.6</v>
      </c>
      <c r="C5228" s="691">
        <v>13.5</v>
      </c>
      <c r="D5228" s="691">
        <v>13.4</v>
      </c>
      <c r="E5228" s="691">
        <v>13.6</v>
      </c>
      <c r="F5228" s="691">
        <v>13.5</v>
      </c>
      <c r="G5228" s="691">
        <v>13.7</v>
      </c>
      <c r="H5228" s="691">
        <v>13.9</v>
      </c>
      <c r="I5228" s="691">
        <v>12.9</v>
      </c>
      <c r="J5228" s="691">
        <v>13.3</v>
      </c>
      <c r="K5228" s="691">
        <v>13.6</v>
      </c>
    </row>
    <row r="5229" spans="1:11">
      <c r="A5229" s="688" t="s">
        <v>25</v>
      </c>
      <c r="B5229" s="689">
        <v>11.6</v>
      </c>
      <c r="C5229" s="689">
        <v>11.8</v>
      </c>
      <c r="D5229" s="689">
        <v>11.6</v>
      </c>
      <c r="E5229" s="693">
        <v>12</v>
      </c>
      <c r="F5229" s="689">
        <v>11.9</v>
      </c>
      <c r="G5229" s="689">
        <v>12.1</v>
      </c>
      <c r="H5229" s="689">
        <v>12.4</v>
      </c>
      <c r="I5229" s="689">
        <v>11.7</v>
      </c>
      <c r="J5229" s="689">
        <v>10.4</v>
      </c>
      <c r="K5229" s="689">
        <v>11.7</v>
      </c>
    </row>
    <row r="5230" spans="1:11">
      <c r="A5230" s="688" t="s">
        <v>5</v>
      </c>
      <c r="B5230" s="615">
        <v>14</v>
      </c>
      <c r="C5230" s="691">
        <v>13.8</v>
      </c>
      <c r="D5230" s="691">
        <v>13.9</v>
      </c>
      <c r="E5230" s="691">
        <v>13.8</v>
      </c>
      <c r="F5230" s="615">
        <v>14</v>
      </c>
      <c r="G5230" s="691">
        <v>14.1</v>
      </c>
      <c r="H5230" s="691">
        <v>14.3</v>
      </c>
      <c r="I5230" s="691">
        <v>14.2</v>
      </c>
      <c r="J5230" s="691">
        <v>14.1</v>
      </c>
      <c r="K5230" s="691">
        <v>13.6</v>
      </c>
    </row>
    <row r="5231" spans="1:11">
      <c r="A5231" s="688" t="s">
        <v>23</v>
      </c>
      <c r="B5231" s="689">
        <v>13.8</v>
      </c>
      <c r="C5231" s="693">
        <v>14</v>
      </c>
      <c r="D5231" s="689">
        <v>13.9</v>
      </c>
      <c r="E5231" s="693">
        <v>14</v>
      </c>
      <c r="F5231" s="693">
        <v>14</v>
      </c>
      <c r="G5231" s="689">
        <v>14.1</v>
      </c>
      <c r="H5231" s="689">
        <v>14.4</v>
      </c>
      <c r="I5231" s="689">
        <v>13.8</v>
      </c>
      <c r="J5231" s="689">
        <v>14.4</v>
      </c>
      <c r="K5231" s="689">
        <v>14.3</v>
      </c>
    </row>
    <row r="5232" spans="1:11">
      <c r="A5232" s="688" t="s">
        <v>4067</v>
      </c>
      <c r="B5232" s="691">
        <v>13.8</v>
      </c>
      <c r="C5232" s="691">
        <v>14.1</v>
      </c>
      <c r="D5232" s="691">
        <v>13.7</v>
      </c>
      <c r="E5232" s="691">
        <v>14.1</v>
      </c>
      <c r="F5232" s="615">
        <v>14</v>
      </c>
      <c r="G5232" s="615">
        <v>14</v>
      </c>
      <c r="H5232" s="692" t="s">
        <v>4060</v>
      </c>
      <c r="I5232" s="692" t="s">
        <v>4060</v>
      </c>
      <c r="J5232" s="692" t="s">
        <v>4060</v>
      </c>
      <c r="K5232" s="692" t="s">
        <v>4060</v>
      </c>
    </row>
    <row r="5233" spans="1:11">
      <c r="A5233" s="688" t="s">
        <v>4066</v>
      </c>
      <c r="B5233" s="689">
        <v>13.8</v>
      </c>
      <c r="C5233" s="689">
        <v>14.1</v>
      </c>
      <c r="D5233" s="689">
        <v>13.8</v>
      </c>
      <c r="E5233" s="689">
        <v>14.1</v>
      </c>
      <c r="F5233" s="693">
        <v>14</v>
      </c>
      <c r="G5233" s="689">
        <v>14.1</v>
      </c>
      <c r="H5233" s="690" t="s">
        <v>4060</v>
      </c>
      <c r="I5233" s="690" t="s">
        <v>4060</v>
      </c>
      <c r="J5233" s="690" t="s">
        <v>4060</v>
      </c>
      <c r="K5233" s="690" t="s">
        <v>4060</v>
      </c>
    </row>
    <row r="5234" spans="1:11">
      <c r="A5234" s="688" t="s">
        <v>4062</v>
      </c>
      <c r="B5234" s="691">
        <v>14.3</v>
      </c>
      <c r="C5234" s="691">
        <v>14.4</v>
      </c>
      <c r="D5234" s="691">
        <v>14.2</v>
      </c>
      <c r="E5234" s="691">
        <v>14.6</v>
      </c>
      <c r="F5234" s="691">
        <v>14.5</v>
      </c>
      <c r="G5234" s="691">
        <v>14.7</v>
      </c>
      <c r="H5234" s="691">
        <v>14.8</v>
      </c>
      <c r="I5234" s="691">
        <v>14.4</v>
      </c>
      <c r="J5234" s="691">
        <v>14.7</v>
      </c>
      <c r="K5234" s="691">
        <v>14.4</v>
      </c>
    </row>
    <row r="5235" spans="1:11">
      <c r="A5235" s="688" t="s">
        <v>9</v>
      </c>
      <c r="B5235" s="689">
        <v>13.7</v>
      </c>
      <c r="C5235" s="689">
        <v>14.2</v>
      </c>
      <c r="D5235" s="693">
        <v>14</v>
      </c>
      <c r="E5235" s="689">
        <v>13.6</v>
      </c>
      <c r="F5235" s="689">
        <v>13.9</v>
      </c>
      <c r="G5235" s="693">
        <v>14</v>
      </c>
      <c r="H5235" s="689">
        <v>14.3</v>
      </c>
      <c r="I5235" s="689">
        <v>14.4</v>
      </c>
      <c r="J5235" s="689">
        <v>14.5</v>
      </c>
      <c r="K5235" s="689">
        <v>13.6</v>
      </c>
    </row>
    <row r="5236" spans="1:11">
      <c r="A5236" s="688" t="s">
        <v>13</v>
      </c>
      <c r="B5236" s="691">
        <v>14.5</v>
      </c>
      <c r="C5236" s="691">
        <v>13.8</v>
      </c>
      <c r="D5236" s="691">
        <v>14.2</v>
      </c>
      <c r="E5236" s="691">
        <v>14.3</v>
      </c>
      <c r="F5236" s="691">
        <v>15.1</v>
      </c>
      <c r="G5236" s="615">
        <v>14</v>
      </c>
      <c r="H5236" s="691">
        <v>14.6</v>
      </c>
      <c r="I5236" s="691">
        <v>13.4</v>
      </c>
      <c r="J5236" s="691">
        <v>15.1</v>
      </c>
      <c r="K5236" s="691">
        <v>15.1</v>
      </c>
    </row>
    <row r="5237" spans="1:11">
      <c r="A5237" s="688" t="s">
        <v>18</v>
      </c>
      <c r="B5237" s="689">
        <v>13.8</v>
      </c>
      <c r="C5237" s="689">
        <v>13.9</v>
      </c>
      <c r="D5237" s="689">
        <v>13.9</v>
      </c>
      <c r="E5237" s="689">
        <v>14.1</v>
      </c>
      <c r="F5237" s="689">
        <v>14.1</v>
      </c>
      <c r="G5237" s="689">
        <v>14.2</v>
      </c>
      <c r="H5237" s="689">
        <v>14.4</v>
      </c>
      <c r="I5237" s="689">
        <v>14.5</v>
      </c>
      <c r="J5237" s="689">
        <v>14.4</v>
      </c>
      <c r="K5237" s="693">
        <v>14</v>
      </c>
    </row>
    <row r="5238" spans="1:11">
      <c r="A5238" s="688" t="s">
        <v>24</v>
      </c>
      <c r="B5238" s="691">
        <v>14.6</v>
      </c>
      <c r="C5238" s="691">
        <v>14.7</v>
      </c>
      <c r="D5238" s="691">
        <v>14.4</v>
      </c>
      <c r="E5238" s="691">
        <v>14.8</v>
      </c>
      <c r="F5238" s="691">
        <v>14.8</v>
      </c>
      <c r="G5238" s="691">
        <v>14.9</v>
      </c>
      <c r="H5238" s="615">
        <v>15</v>
      </c>
      <c r="I5238" s="691">
        <v>14.3</v>
      </c>
      <c r="J5238" s="691">
        <v>14.9</v>
      </c>
      <c r="K5238" s="691">
        <v>14.7</v>
      </c>
    </row>
    <row r="5239" spans="1:11">
      <c r="A5239" s="688" t="s">
        <v>4059</v>
      </c>
      <c r="B5239" s="689">
        <v>13.7</v>
      </c>
      <c r="C5239" s="693">
        <v>14</v>
      </c>
      <c r="D5239" s="689">
        <v>13.6</v>
      </c>
      <c r="E5239" s="689">
        <v>13.9</v>
      </c>
      <c r="F5239" s="689">
        <v>13.9</v>
      </c>
      <c r="G5239" s="689">
        <v>13.9</v>
      </c>
      <c r="H5239" s="690" t="s">
        <v>4060</v>
      </c>
      <c r="I5239" s="690" t="s">
        <v>4060</v>
      </c>
      <c r="J5239" s="690" t="s">
        <v>4060</v>
      </c>
      <c r="K5239" s="690" t="s">
        <v>4060</v>
      </c>
    </row>
    <row r="5240" spans="1:11">
      <c r="A5240" s="688" t="s">
        <v>2324</v>
      </c>
      <c r="B5240" s="691">
        <v>10.9</v>
      </c>
      <c r="C5240" s="615">
        <v>11</v>
      </c>
      <c r="D5240" s="691">
        <v>10.7</v>
      </c>
      <c r="E5240" s="691">
        <v>10.8</v>
      </c>
      <c r="F5240" s="691">
        <v>10.9</v>
      </c>
      <c r="G5240" s="615">
        <v>11</v>
      </c>
      <c r="H5240" s="691">
        <v>11.2</v>
      </c>
      <c r="I5240" s="691">
        <v>10.4</v>
      </c>
      <c r="J5240" s="691">
        <v>8.9</v>
      </c>
      <c r="K5240" s="692" t="s">
        <v>4060</v>
      </c>
    </row>
    <row r="5241" spans="1:11">
      <c r="A5241" s="688" t="s">
        <v>2322</v>
      </c>
      <c r="B5241" s="690" t="s">
        <v>4060</v>
      </c>
      <c r="C5241" s="690" t="s">
        <v>4060</v>
      </c>
      <c r="D5241" s="690" t="s">
        <v>4060</v>
      </c>
      <c r="E5241" s="690" t="s">
        <v>4060</v>
      </c>
      <c r="F5241" s="690" t="s">
        <v>4060</v>
      </c>
      <c r="G5241" s="690" t="s">
        <v>4060</v>
      </c>
      <c r="H5241" s="690" t="s">
        <v>4060</v>
      </c>
      <c r="I5241" s="690" t="s">
        <v>4060</v>
      </c>
      <c r="J5241" s="690" t="s">
        <v>4060</v>
      </c>
      <c r="K5241" s="690" t="s">
        <v>4060</v>
      </c>
    </row>
    <row r="5242" spans="1:11">
      <c r="A5242" s="688" t="s">
        <v>2328</v>
      </c>
      <c r="B5242" s="615">
        <v>10</v>
      </c>
      <c r="C5242" s="615">
        <v>10</v>
      </c>
      <c r="D5242" s="691">
        <v>9.8000000000000007</v>
      </c>
      <c r="E5242" s="615">
        <v>10</v>
      </c>
      <c r="F5242" s="691">
        <v>10.1</v>
      </c>
      <c r="G5242" s="691">
        <v>10.5</v>
      </c>
      <c r="H5242" s="691">
        <v>10.4</v>
      </c>
      <c r="I5242" s="691">
        <v>9.3000000000000007</v>
      </c>
      <c r="J5242" s="691">
        <v>8.9</v>
      </c>
      <c r="K5242" s="692" t="s">
        <v>4060</v>
      </c>
    </row>
    <row r="5243" spans="1:11">
      <c r="A5243" s="688" t="s">
        <v>2496</v>
      </c>
      <c r="B5243" s="690" t="s">
        <v>4060</v>
      </c>
      <c r="C5243" s="689">
        <v>11.2</v>
      </c>
      <c r="D5243" s="689">
        <v>10.199999999999999</v>
      </c>
      <c r="E5243" s="689">
        <v>9.8000000000000007</v>
      </c>
      <c r="F5243" s="689">
        <v>10.1</v>
      </c>
      <c r="G5243" s="689">
        <v>10.4</v>
      </c>
      <c r="H5243" s="689">
        <v>10.4</v>
      </c>
      <c r="I5243" s="690" t="s">
        <v>4060</v>
      </c>
      <c r="J5243" s="690" t="s">
        <v>4060</v>
      </c>
      <c r="K5243" s="693">
        <v>10</v>
      </c>
    </row>
    <row r="5244" spans="1:11">
      <c r="A5244" s="688" t="s">
        <v>2269</v>
      </c>
      <c r="B5244" s="691">
        <v>11.4</v>
      </c>
      <c r="C5244" s="691">
        <v>11.4</v>
      </c>
      <c r="D5244" s="691">
        <v>10.9</v>
      </c>
      <c r="E5244" s="691">
        <v>11.3</v>
      </c>
      <c r="F5244" s="691">
        <v>11.2</v>
      </c>
      <c r="G5244" s="691">
        <v>11.5</v>
      </c>
      <c r="H5244" s="691">
        <v>11.8</v>
      </c>
      <c r="I5244" s="691">
        <v>10.7</v>
      </c>
      <c r="J5244" s="691">
        <v>8.8000000000000007</v>
      </c>
      <c r="K5244" s="691">
        <v>11.5</v>
      </c>
    </row>
    <row r="5245" spans="1:11">
      <c r="A5245" s="688" t="s">
        <v>2349</v>
      </c>
      <c r="B5245" s="689">
        <v>10.4</v>
      </c>
      <c r="C5245" s="689">
        <v>10.4</v>
      </c>
      <c r="D5245" s="689">
        <v>10.4</v>
      </c>
      <c r="E5245" s="689">
        <v>10.7</v>
      </c>
      <c r="F5245" s="689">
        <v>10.6</v>
      </c>
      <c r="G5245" s="689">
        <v>10.7</v>
      </c>
      <c r="H5245" s="689">
        <v>10.9</v>
      </c>
      <c r="I5245" s="689">
        <v>10.1</v>
      </c>
      <c r="J5245" s="693">
        <v>9</v>
      </c>
      <c r="K5245" s="689">
        <v>10.199999999999999</v>
      </c>
    </row>
    <row r="5246" spans="1:11">
      <c r="A5246" s="688" t="s">
        <v>2355</v>
      </c>
      <c r="B5246" s="691">
        <v>12.6</v>
      </c>
      <c r="C5246" s="691">
        <v>12.3</v>
      </c>
      <c r="D5246" s="691">
        <v>12.3</v>
      </c>
      <c r="E5246" s="691">
        <v>12.2</v>
      </c>
      <c r="F5246" s="691">
        <v>12.3</v>
      </c>
      <c r="G5246" s="691">
        <v>12.6</v>
      </c>
      <c r="H5246" s="691">
        <v>12.6</v>
      </c>
      <c r="I5246" s="692" t="s">
        <v>4060</v>
      </c>
      <c r="J5246" s="692" t="s">
        <v>4060</v>
      </c>
      <c r="K5246" s="692" t="s">
        <v>4060</v>
      </c>
    </row>
    <row r="5247" spans="1:11">
      <c r="A5247" s="688" t="s">
        <v>2357</v>
      </c>
      <c r="B5247" s="690" t="s">
        <v>4060</v>
      </c>
      <c r="C5247" s="689">
        <v>10.6</v>
      </c>
      <c r="D5247" s="689">
        <v>10.9</v>
      </c>
      <c r="E5247" s="689">
        <v>11.1</v>
      </c>
      <c r="F5247" s="689">
        <v>11.2</v>
      </c>
      <c r="G5247" s="689">
        <v>11.2</v>
      </c>
      <c r="H5247" s="689">
        <v>11.2</v>
      </c>
      <c r="I5247" s="690" t="s">
        <v>4060</v>
      </c>
      <c r="J5247" s="690" t="s">
        <v>4060</v>
      </c>
      <c r="K5247" s="690" t="s">
        <v>4060</v>
      </c>
    </row>
    <row r="5248" spans="1:11">
      <c r="A5248" s="688" t="s">
        <v>4070</v>
      </c>
      <c r="B5248" s="692" t="s">
        <v>4060</v>
      </c>
      <c r="C5248" s="692" t="s">
        <v>4060</v>
      </c>
      <c r="D5248" s="692" t="s">
        <v>4060</v>
      </c>
      <c r="E5248" s="691">
        <v>12.3</v>
      </c>
      <c r="F5248" s="692" t="s">
        <v>4060</v>
      </c>
      <c r="G5248" s="692" t="s">
        <v>4060</v>
      </c>
      <c r="H5248" s="692" t="s">
        <v>4060</v>
      </c>
      <c r="I5248" s="692" t="s">
        <v>4060</v>
      </c>
      <c r="J5248" s="692" t="s">
        <v>4060</v>
      </c>
      <c r="K5248" s="692" t="s">
        <v>4060</v>
      </c>
    </row>
    <row r="5249" spans="1:11">
      <c r="A5249" s="688" t="s">
        <v>2491</v>
      </c>
      <c r="B5249" s="689">
        <v>10.7</v>
      </c>
      <c r="C5249" s="689">
        <v>11.1</v>
      </c>
      <c r="D5249" s="689">
        <v>11.1</v>
      </c>
      <c r="E5249" s="689">
        <v>11.2</v>
      </c>
      <c r="F5249" s="689">
        <v>11.1</v>
      </c>
      <c r="G5249" s="689">
        <v>11.2</v>
      </c>
      <c r="H5249" s="690" t="s">
        <v>4060</v>
      </c>
      <c r="I5249" s="690" t="s">
        <v>4060</v>
      </c>
      <c r="J5249" s="690" t="s">
        <v>4060</v>
      </c>
      <c r="K5249" s="690" t="s">
        <v>4060</v>
      </c>
    </row>
    <row r="5250" spans="1:11">
      <c r="A5250" s="688" t="s">
        <v>2343</v>
      </c>
      <c r="B5250" s="692" t="s">
        <v>4060</v>
      </c>
      <c r="C5250" s="692" t="s">
        <v>4060</v>
      </c>
      <c r="D5250" s="692" t="s">
        <v>4060</v>
      </c>
      <c r="E5250" s="692" t="s">
        <v>4060</v>
      </c>
      <c r="F5250" s="692" t="s">
        <v>4060</v>
      </c>
      <c r="G5250" s="692" t="s">
        <v>4060</v>
      </c>
      <c r="H5250" s="692" t="s">
        <v>4060</v>
      </c>
      <c r="I5250" s="692" t="s">
        <v>4060</v>
      </c>
      <c r="J5250" s="692" t="s">
        <v>4060</v>
      </c>
      <c r="K5250" s="692" t="s">
        <v>4060</v>
      </c>
    </row>
    <row r="5251" spans="1:11">
      <c r="A5251" s="688" t="s">
        <v>4071</v>
      </c>
      <c r="B5251" s="690" t="s">
        <v>4060</v>
      </c>
      <c r="C5251" s="690" t="s">
        <v>4060</v>
      </c>
      <c r="D5251" s="690" t="s">
        <v>4060</v>
      </c>
      <c r="E5251" s="690" t="s">
        <v>4060</v>
      </c>
      <c r="F5251" s="690" t="s">
        <v>4060</v>
      </c>
      <c r="G5251" s="690" t="s">
        <v>4060</v>
      </c>
      <c r="H5251" s="690" t="s">
        <v>4060</v>
      </c>
      <c r="I5251" s="690" t="s">
        <v>4060</v>
      </c>
      <c r="J5251" s="690" t="s">
        <v>4060</v>
      </c>
      <c r="K5251" s="690" t="s">
        <v>4060</v>
      </c>
    </row>
    <row r="5252" spans="1:11">
      <c r="A5252" s="688" t="s">
        <v>2489</v>
      </c>
      <c r="B5252" s="692" t="s">
        <v>4060</v>
      </c>
      <c r="C5252" s="692" t="s">
        <v>4060</v>
      </c>
      <c r="D5252" s="691">
        <v>10.7</v>
      </c>
      <c r="E5252" s="691">
        <v>10.6</v>
      </c>
      <c r="F5252" s="691">
        <v>10.9</v>
      </c>
      <c r="G5252" s="691">
        <v>11.5</v>
      </c>
      <c r="H5252" s="691">
        <v>11.6</v>
      </c>
      <c r="I5252" s="692" t="s">
        <v>4060</v>
      </c>
      <c r="J5252" s="692" t="s">
        <v>4060</v>
      </c>
      <c r="K5252" s="692" t="s">
        <v>4060</v>
      </c>
    </row>
    <row r="5253" spans="1:11">
      <c r="A5253" s="688" t="s">
        <v>2490</v>
      </c>
      <c r="B5253" s="689">
        <v>10.5</v>
      </c>
      <c r="C5253" s="689">
        <v>10.4</v>
      </c>
      <c r="D5253" s="693">
        <v>11</v>
      </c>
      <c r="E5253" s="690" t="s">
        <v>4060</v>
      </c>
      <c r="F5253" s="689">
        <v>11.3</v>
      </c>
      <c r="G5253" s="689">
        <v>11.4</v>
      </c>
      <c r="H5253" s="689">
        <v>12.2</v>
      </c>
      <c r="I5253" s="690" t="s">
        <v>4060</v>
      </c>
      <c r="J5253" s="690" t="s">
        <v>4060</v>
      </c>
      <c r="K5253" s="690" t="s">
        <v>4060</v>
      </c>
    </row>
    <row r="5255" spans="1:11">
      <c r="A5255" s="683" t="s">
        <v>4233</v>
      </c>
    </row>
    <row r="5256" spans="1:11">
      <c r="A5256" s="683" t="s">
        <v>4060</v>
      </c>
      <c r="B5256" s="682" t="s">
        <v>4234</v>
      </c>
    </row>
    <row r="5258" spans="1:11">
      <c r="A5258" s="682" t="s">
        <v>4248</v>
      </c>
    </row>
    <row r="5259" spans="1:11">
      <c r="A5259" s="682" t="s">
        <v>4210</v>
      </c>
      <c r="B5259" s="683" t="s">
        <v>4211</v>
      </c>
    </row>
    <row r="5260" spans="1:11">
      <c r="A5260" s="682" t="s">
        <v>4212</v>
      </c>
      <c r="B5260" s="682" t="s">
        <v>4213</v>
      </c>
    </row>
    <row r="5262" spans="1:11">
      <c r="A5262" s="683" t="s">
        <v>4214</v>
      </c>
      <c r="C5262" s="682" t="s">
        <v>4215</v>
      </c>
    </row>
    <row r="5263" spans="1:11">
      <c r="A5263" s="683" t="s">
        <v>4216</v>
      </c>
      <c r="C5263" s="682" t="s">
        <v>2967</v>
      </c>
    </row>
    <row r="5264" spans="1:11">
      <c r="A5264" s="683" t="s">
        <v>3893</v>
      </c>
      <c r="C5264" s="682" t="s">
        <v>4217</v>
      </c>
    </row>
    <row r="5265" spans="1:11">
      <c r="A5265" s="683" t="s">
        <v>4218</v>
      </c>
      <c r="C5265" s="682" t="s">
        <v>4308</v>
      </c>
    </row>
    <row r="5267" spans="1:11">
      <c r="A5267" s="684" t="s">
        <v>4220</v>
      </c>
      <c r="B5267" s="685" t="s">
        <v>4221</v>
      </c>
      <c r="C5267" s="685" t="s">
        <v>4222</v>
      </c>
      <c r="D5267" s="685" t="s">
        <v>4223</v>
      </c>
      <c r="E5267" s="685" t="s">
        <v>4224</v>
      </c>
      <c r="F5267" s="685" t="s">
        <v>4225</v>
      </c>
      <c r="G5267" s="685" t="s">
        <v>4226</v>
      </c>
      <c r="H5267" s="685" t="s">
        <v>4227</v>
      </c>
      <c r="I5267" s="685" t="s">
        <v>4228</v>
      </c>
      <c r="J5267" s="685" t="s">
        <v>4229</v>
      </c>
      <c r="K5267" s="685" t="s">
        <v>4230</v>
      </c>
    </row>
    <row r="5268" spans="1:11">
      <c r="A5268" s="686" t="s">
        <v>4231</v>
      </c>
      <c r="B5268" s="687" t="s">
        <v>4232</v>
      </c>
      <c r="C5268" s="687" t="s">
        <v>4232</v>
      </c>
      <c r="D5268" s="687" t="s">
        <v>4232</v>
      </c>
      <c r="E5268" s="687" t="s">
        <v>4232</v>
      </c>
      <c r="F5268" s="687" t="s">
        <v>4232</v>
      </c>
      <c r="G5268" s="687" t="s">
        <v>4232</v>
      </c>
      <c r="H5268" s="687" t="s">
        <v>4232</v>
      </c>
      <c r="I5268" s="687" t="s">
        <v>4232</v>
      </c>
      <c r="J5268" s="687" t="s">
        <v>4232</v>
      </c>
      <c r="K5268" s="687" t="s">
        <v>4232</v>
      </c>
    </row>
    <row r="5269" spans="1:11">
      <c r="A5269" s="688" t="s">
        <v>4064</v>
      </c>
      <c r="B5269" s="689">
        <v>13.1</v>
      </c>
      <c r="C5269" s="693">
        <v>13</v>
      </c>
      <c r="D5269" s="693">
        <v>13</v>
      </c>
      <c r="E5269" s="689">
        <v>13.1</v>
      </c>
      <c r="F5269" s="693">
        <v>13</v>
      </c>
      <c r="G5269" s="689">
        <v>13.1</v>
      </c>
      <c r="H5269" s="689">
        <v>13.3</v>
      </c>
      <c r="I5269" s="689">
        <v>12.7</v>
      </c>
      <c r="J5269" s="689">
        <v>12.7</v>
      </c>
      <c r="K5269" s="689">
        <v>12.9</v>
      </c>
    </row>
    <row r="5270" spans="1:11">
      <c r="A5270" s="688" t="s">
        <v>4065</v>
      </c>
      <c r="B5270" s="691">
        <v>13.1</v>
      </c>
      <c r="C5270" s="691">
        <v>13.4</v>
      </c>
      <c r="D5270" s="615">
        <v>13</v>
      </c>
      <c r="E5270" s="691">
        <v>13.4</v>
      </c>
      <c r="F5270" s="691">
        <v>13.3</v>
      </c>
      <c r="G5270" s="691">
        <v>13.3</v>
      </c>
      <c r="H5270" s="692" t="s">
        <v>4060</v>
      </c>
      <c r="I5270" s="692" t="s">
        <v>4060</v>
      </c>
      <c r="J5270" s="692" t="s">
        <v>4060</v>
      </c>
      <c r="K5270" s="692" t="s">
        <v>4060</v>
      </c>
    </row>
    <row r="5271" spans="1:11">
      <c r="A5271" s="688" t="s">
        <v>4063</v>
      </c>
      <c r="B5271" s="689">
        <v>13.1</v>
      </c>
      <c r="C5271" s="689">
        <v>13.4</v>
      </c>
      <c r="D5271" s="689">
        <v>13.1</v>
      </c>
      <c r="E5271" s="689">
        <v>13.4</v>
      </c>
      <c r="F5271" s="689">
        <v>13.3</v>
      </c>
      <c r="G5271" s="689">
        <v>13.4</v>
      </c>
      <c r="H5271" s="690" t="s">
        <v>4060</v>
      </c>
      <c r="I5271" s="690" t="s">
        <v>4060</v>
      </c>
      <c r="J5271" s="690" t="s">
        <v>4060</v>
      </c>
      <c r="K5271" s="690" t="s">
        <v>4060</v>
      </c>
    </row>
    <row r="5272" spans="1:11">
      <c r="A5272" s="688" t="s">
        <v>4069</v>
      </c>
      <c r="B5272" s="692" t="s">
        <v>4060</v>
      </c>
      <c r="C5272" s="691">
        <v>13.4</v>
      </c>
      <c r="D5272" s="691">
        <v>13.2</v>
      </c>
      <c r="E5272" s="691">
        <v>13.5</v>
      </c>
      <c r="F5272" s="691">
        <v>13.4</v>
      </c>
      <c r="G5272" s="691">
        <v>13.5</v>
      </c>
      <c r="H5272" s="691">
        <v>13.7</v>
      </c>
      <c r="I5272" s="691">
        <v>13.1</v>
      </c>
      <c r="J5272" s="691">
        <v>13.3</v>
      </c>
      <c r="K5272" s="691">
        <v>13.2</v>
      </c>
    </row>
    <row r="5273" spans="1:11">
      <c r="A5273" s="688" t="s">
        <v>4068</v>
      </c>
      <c r="B5273" s="689">
        <v>13.6</v>
      </c>
      <c r="C5273" s="690" t="s">
        <v>4060</v>
      </c>
      <c r="D5273" s="690" t="s">
        <v>4060</v>
      </c>
      <c r="E5273" s="690" t="s">
        <v>4060</v>
      </c>
      <c r="F5273" s="690" t="s">
        <v>4060</v>
      </c>
      <c r="G5273" s="690" t="s">
        <v>4060</v>
      </c>
      <c r="H5273" s="690" t="s">
        <v>4060</v>
      </c>
      <c r="I5273" s="690" t="s">
        <v>4060</v>
      </c>
      <c r="J5273" s="690" t="s">
        <v>4060</v>
      </c>
      <c r="K5273" s="690" t="s">
        <v>4060</v>
      </c>
    </row>
    <row r="5274" spans="1:11">
      <c r="A5274" s="688" t="s">
        <v>0</v>
      </c>
      <c r="B5274" s="691">
        <v>13.1</v>
      </c>
      <c r="C5274" s="691">
        <v>13.2</v>
      </c>
      <c r="D5274" s="615">
        <v>13</v>
      </c>
      <c r="E5274" s="691">
        <v>13.3</v>
      </c>
      <c r="F5274" s="691">
        <v>13.3</v>
      </c>
      <c r="G5274" s="691">
        <v>13.3</v>
      </c>
      <c r="H5274" s="691">
        <v>13.5</v>
      </c>
      <c r="I5274" s="691">
        <v>12.6</v>
      </c>
      <c r="J5274" s="691">
        <v>13.5</v>
      </c>
      <c r="K5274" s="691">
        <v>13.3</v>
      </c>
    </row>
    <row r="5275" spans="1:11">
      <c r="A5275" s="688" t="s">
        <v>1</v>
      </c>
      <c r="B5275" s="689">
        <v>10.4</v>
      </c>
      <c r="C5275" s="689">
        <v>10.1</v>
      </c>
      <c r="D5275" s="689">
        <v>10.1</v>
      </c>
      <c r="E5275" s="689">
        <v>10.3</v>
      </c>
      <c r="F5275" s="689">
        <v>10.199999999999999</v>
      </c>
      <c r="G5275" s="689">
        <v>10.3</v>
      </c>
      <c r="H5275" s="689">
        <v>10.4</v>
      </c>
      <c r="I5275" s="689">
        <v>9.6</v>
      </c>
      <c r="J5275" s="689">
        <v>8.6999999999999993</v>
      </c>
      <c r="K5275" s="689">
        <v>9.9</v>
      </c>
    </row>
    <row r="5276" spans="1:11">
      <c r="A5276" s="688" t="s">
        <v>2240</v>
      </c>
      <c r="B5276" s="691">
        <v>11.5</v>
      </c>
      <c r="C5276" s="691">
        <v>11.7</v>
      </c>
      <c r="D5276" s="691">
        <v>11.5</v>
      </c>
      <c r="E5276" s="691">
        <v>11.8</v>
      </c>
      <c r="F5276" s="691">
        <v>11.7</v>
      </c>
      <c r="G5276" s="691">
        <v>11.8</v>
      </c>
      <c r="H5276" s="691">
        <v>11.9</v>
      </c>
      <c r="I5276" s="615">
        <v>11</v>
      </c>
      <c r="J5276" s="691">
        <v>10.8</v>
      </c>
      <c r="K5276" s="691">
        <v>11.7</v>
      </c>
    </row>
    <row r="5277" spans="1:11">
      <c r="A5277" s="688" t="s">
        <v>2</v>
      </c>
      <c r="B5277" s="689">
        <v>12.5</v>
      </c>
      <c r="C5277" s="689">
        <v>12.7</v>
      </c>
      <c r="D5277" s="689">
        <v>12.7</v>
      </c>
      <c r="E5277" s="689">
        <v>12.8</v>
      </c>
      <c r="F5277" s="689">
        <v>12.8</v>
      </c>
      <c r="G5277" s="689">
        <v>12.7</v>
      </c>
      <c r="H5277" s="693">
        <v>13</v>
      </c>
      <c r="I5277" s="693">
        <v>13</v>
      </c>
      <c r="J5277" s="689">
        <v>12.9</v>
      </c>
      <c r="K5277" s="689">
        <v>12.7</v>
      </c>
    </row>
    <row r="5278" spans="1:11">
      <c r="A5278" s="688" t="s">
        <v>3</v>
      </c>
      <c r="B5278" s="691">
        <v>12.8</v>
      </c>
      <c r="C5278" s="691">
        <v>12.9</v>
      </c>
      <c r="D5278" s="691">
        <v>12.7</v>
      </c>
      <c r="E5278" s="691">
        <v>12.9</v>
      </c>
      <c r="F5278" s="691">
        <v>12.9</v>
      </c>
      <c r="G5278" s="691">
        <v>12.9</v>
      </c>
      <c r="H5278" s="691">
        <v>13.1</v>
      </c>
      <c r="I5278" s="691">
        <v>12.9</v>
      </c>
      <c r="J5278" s="691">
        <v>12.8</v>
      </c>
      <c r="K5278" s="691">
        <v>12.6</v>
      </c>
    </row>
    <row r="5279" spans="1:11">
      <c r="A5279" s="688" t="s">
        <v>4061</v>
      </c>
      <c r="B5279" s="689">
        <v>12.8</v>
      </c>
      <c r="C5279" s="689">
        <v>12.9</v>
      </c>
      <c r="D5279" s="689">
        <v>12.7</v>
      </c>
      <c r="E5279" s="689">
        <v>12.9</v>
      </c>
      <c r="F5279" s="689">
        <v>12.9</v>
      </c>
      <c r="G5279" s="689">
        <v>12.9</v>
      </c>
      <c r="H5279" s="689">
        <v>13.1</v>
      </c>
      <c r="I5279" s="689">
        <v>12.9</v>
      </c>
      <c r="J5279" s="689">
        <v>12.8</v>
      </c>
      <c r="K5279" s="689">
        <v>12.6</v>
      </c>
    </row>
    <row r="5280" spans="1:11">
      <c r="A5280" s="688" t="s">
        <v>4</v>
      </c>
      <c r="B5280" s="691">
        <v>12.3</v>
      </c>
      <c r="C5280" s="615">
        <v>12</v>
      </c>
      <c r="D5280" s="691">
        <v>12.2</v>
      </c>
      <c r="E5280" s="691">
        <v>12.3</v>
      </c>
      <c r="F5280" s="691">
        <v>12.3</v>
      </c>
      <c r="G5280" s="691">
        <v>12.5</v>
      </c>
      <c r="H5280" s="691">
        <v>12.6</v>
      </c>
      <c r="I5280" s="691">
        <v>12.7</v>
      </c>
      <c r="J5280" s="691">
        <v>11.7</v>
      </c>
      <c r="K5280" s="691">
        <v>12.2</v>
      </c>
    </row>
    <row r="5281" spans="1:11">
      <c r="A5281" s="688" t="s">
        <v>8</v>
      </c>
      <c r="B5281" s="689">
        <v>12.7</v>
      </c>
      <c r="C5281" s="689">
        <v>12.8</v>
      </c>
      <c r="D5281" s="689">
        <v>12.7</v>
      </c>
      <c r="E5281" s="689">
        <v>12.7</v>
      </c>
      <c r="F5281" s="693">
        <v>13</v>
      </c>
      <c r="G5281" s="689">
        <v>13.1</v>
      </c>
      <c r="H5281" s="689">
        <v>13.4</v>
      </c>
      <c r="I5281" s="689">
        <v>13.3</v>
      </c>
      <c r="J5281" s="689">
        <v>13.1</v>
      </c>
      <c r="K5281" s="689">
        <v>13.2</v>
      </c>
    </row>
    <row r="5282" spans="1:11">
      <c r="A5282" s="688" t="s">
        <v>7</v>
      </c>
      <c r="B5282" s="691">
        <v>13.3</v>
      </c>
      <c r="C5282" s="691">
        <v>12.8</v>
      </c>
      <c r="D5282" s="691">
        <v>12.6</v>
      </c>
      <c r="E5282" s="691">
        <v>12.9</v>
      </c>
      <c r="F5282" s="691">
        <v>12.9</v>
      </c>
      <c r="G5282" s="691">
        <v>13.2</v>
      </c>
      <c r="H5282" s="691">
        <v>13.1</v>
      </c>
      <c r="I5282" s="691">
        <v>12.9</v>
      </c>
      <c r="J5282" s="691">
        <v>12.5</v>
      </c>
      <c r="K5282" s="691">
        <v>12.6</v>
      </c>
    </row>
    <row r="5283" spans="1:11">
      <c r="A5283" s="688" t="s">
        <v>27</v>
      </c>
      <c r="B5283" s="689">
        <v>14.4</v>
      </c>
      <c r="C5283" s="693">
        <v>14</v>
      </c>
      <c r="D5283" s="689">
        <v>13.7</v>
      </c>
      <c r="E5283" s="689">
        <v>14.1</v>
      </c>
      <c r="F5283" s="693">
        <v>14</v>
      </c>
      <c r="G5283" s="689">
        <v>14.1</v>
      </c>
      <c r="H5283" s="689">
        <v>14.4</v>
      </c>
      <c r="I5283" s="689">
        <v>13.3</v>
      </c>
      <c r="J5283" s="689">
        <v>14.1</v>
      </c>
      <c r="K5283" s="693">
        <v>14</v>
      </c>
    </row>
    <row r="5284" spans="1:11">
      <c r="A5284" s="688" t="s">
        <v>6</v>
      </c>
      <c r="B5284" s="691">
        <v>14.7</v>
      </c>
      <c r="C5284" s="691">
        <v>14.5</v>
      </c>
      <c r="D5284" s="691">
        <v>14.3</v>
      </c>
      <c r="E5284" s="691">
        <v>14.5</v>
      </c>
      <c r="F5284" s="691">
        <v>14.5</v>
      </c>
      <c r="G5284" s="691">
        <v>14.6</v>
      </c>
      <c r="H5284" s="691">
        <v>14.7</v>
      </c>
      <c r="I5284" s="691">
        <v>14.1</v>
      </c>
      <c r="J5284" s="691">
        <v>14.3</v>
      </c>
      <c r="K5284" s="691">
        <v>14.3</v>
      </c>
    </row>
    <row r="5285" spans="1:11">
      <c r="A5285" s="688" t="s">
        <v>4058</v>
      </c>
      <c r="B5285" s="690" t="s">
        <v>4060</v>
      </c>
      <c r="C5285" s="690" t="s">
        <v>4060</v>
      </c>
      <c r="D5285" s="690" t="s">
        <v>4060</v>
      </c>
      <c r="E5285" s="690" t="s">
        <v>4060</v>
      </c>
      <c r="F5285" s="690" t="s">
        <v>4060</v>
      </c>
      <c r="G5285" s="690" t="s">
        <v>4060</v>
      </c>
      <c r="H5285" s="690" t="s">
        <v>4060</v>
      </c>
      <c r="I5285" s="690" t="s">
        <v>4060</v>
      </c>
      <c r="J5285" s="690" t="s">
        <v>4060</v>
      </c>
      <c r="K5285" s="690" t="s">
        <v>4060</v>
      </c>
    </row>
    <row r="5286" spans="1:11">
      <c r="A5286" s="688" t="s">
        <v>11</v>
      </c>
      <c r="B5286" s="691">
        <v>11.1</v>
      </c>
      <c r="C5286" s="615">
        <v>11</v>
      </c>
      <c r="D5286" s="691">
        <v>10.7</v>
      </c>
      <c r="E5286" s="691">
        <v>11.1</v>
      </c>
      <c r="F5286" s="691">
        <v>10.9</v>
      </c>
      <c r="G5286" s="691">
        <v>11.1</v>
      </c>
      <c r="H5286" s="691">
        <v>11.3</v>
      </c>
      <c r="I5286" s="691">
        <v>10.8</v>
      </c>
      <c r="J5286" s="691">
        <v>10.199999999999999</v>
      </c>
      <c r="K5286" s="691">
        <v>10.8</v>
      </c>
    </row>
    <row r="5287" spans="1:11">
      <c r="A5287" s="688" t="s">
        <v>10</v>
      </c>
      <c r="B5287" s="689">
        <v>13.9</v>
      </c>
      <c r="C5287" s="689">
        <v>13.7</v>
      </c>
      <c r="D5287" s="689">
        <v>13.3</v>
      </c>
      <c r="E5287" s="689">
        <v>13.8</v>
      </c>
      <c r="F5287" s="689">
        <v>13.5</v>
      </c>
      <c r="G5287" s="689">
        <v>13.8</v>
      </c>
      <c r="H5287" s="689">
        <v>13.9</v>
      </c>
      <c r="I5287" s="693">
        <v>13</v>
      </c>
      <c r="J5287" s="689">
        <v>13.5</v>
      </c>
      <c r="K5287" s="689">
        <v>13.4</v>
      </c>
    </row>
    <row r="5288" spans="1:11">
      <c r="A5288" s="688" t="s">
        <v>30</v>
      </c>
      <c r="B5288" s="691">
        <v>13.1</v>
      </c>
      <c r="C5288" s="691">
        <v>12.7</v>
      </c>
      <c r="D5288" s="691">
        <v>12.5</v>
      </c>
      <c r="E5288" s="691">
        <v>13.1</v>
      </c>
      <c r="F5288" s="691">
        <v>12.9</v>
      </c>
      <c r="G5288" s="691">
        <v>13.4</v>
      </c>
      <c r="H5288" s="691">
        <v>13.1</v>
      </c>
      <c r="I5288" s="691">
        <v>13.2</v>
      </c>
      <c r="J5288" s="691">
        <v>12.9</v>
      </c>
      <c r="K5288" s="691">
        <v>12.8</v>
      </c>
    </row>
    <row r="5289" spans="1:11">
      <c r="A5289" s="688" t="s">
        <v>12</v>
      </c>
      <c r="B5289" s="689">
        <v>11.2</v>
      </c>
      <c r="C5289" s="689">
        <v>11.2</v>
      </c>
      <c r="D5289" s="689">
        <v>11.2</v>
      </c>
      <c r="E5289" s="689">
        <v>11.2</v>
      </c>
      <c r="F5289" s="689">
        <v>11.3</v>
      </c>
      <c r="G5289" s="689">
        <v>11.3</v>
      </c>
      <c r="H5289" s="689">
        <v>11.5</v>
      </c>
      <c r="I5289" s="689">
        <v>11.3</v>
      </c>
      <c r="J5289" s="689">
        <v>10.3</v>
      </c>
      <c r="K5289" s="689">
        <v>11.1</v>
      </c>
    </row>
    <row r="5290" spans="1:11">
      <c r="A5290" s="688" t="s">
        <v>14</v>
      </c>
      <c r="B5290" s="691">
        <v>11.5</v>
      </c>
      <c r="C5290" s="691">
        <v>11.3</v>
      </c>
      <c r="D5290" s="691">
        <v>11.1</v>
      </c>
      <c r="E5290" s="691">
        <v>11.2</v>
      </c>
      <c r="F5290" s="691">
        <v>11.2</v>
      </c>
      <c r="G5290" s="691">
        <v>11.4</v>
      </c>
      <c r="H5290" s="691">
        <v>11.7</v>
      </c>
      <c r="I5290" s="691">
        <v>11.1</v>
      </c>
      <c r="J5290" s="691">
        <v>10.5</v>
      </c>
      <c r="K5290" s="691">
        <v>11.2</v>
      </c>
    </row>
    <row r="5291" spans="1:11">
      <c r="A5291" s="688" t="s">
        <v>15</v>
      </c>
      <c r="B5291" s="689">
        <v>13.7</v>
      </c>
      <c r="C5291" s="689">
        <v>13.3</v>
      </c>
      <c r="D5291" s="689">
        <v>13.2</v>
      </c>
      <c r="E5291" s="689">
        <v>13.6</v>
      </c>
      <c r="F5291" s="689">
        <v>13.3</v>
      </c>
      <c r="G5291" s="689">
        <v>13.3</v>
      </c>
      <c r="H5291" s="689">
        <v>13.5</v>
      </c>
      <c r="I5291" s="689">
        <v>13.2</v>
      </c>
      <c r="J5291" s="689">
        <v>13.6</v>
      </c>
      <c r="K5291" s="689">
        <v>13.8</v>
      </c>
    </row>
    <row r="5292" spans="1:11">
      <c r="A5292" s="688" t="s">
        <v>29</v>
      </c>
      <c r="B5292" s="615">
        <v>11</v>
      </c>
      <c r="C5292" s="615">
        <v>11</v>
      </c>
      <c r="D5292" s="691">
        <v>10.7</v>
      </c>
      <c r="E5292" s="615">
        <v>11</v>
      </c>
      <c r="F5292" s="691">
        <v>10.8</v>
      </c>
      <c r="G5292" s="691">
        <v>10.9</v>
      </c>
      <c r="H5292" s="615">
        <v>11</v>
      </c>
      <c r="I5292" s="691">
        <v>10.6</v>
      </c>
      <c r="J5292" s="691">
        <v>10.199999999999999</v>
      </c>
      <c r="K5292" s="691">
        <v>10.8</v>
      </c>
    </row>
    <row r="5293" spans="1:11">
      <c r="A5293" s="688" t="s">
        <v>16</v>
      </c>
      <c r="B5293" s="689">
        <v>12.9</v>
      </c>
      <c r="C5293" s="693">
        <v>13</v>
      </c>
      <c r="D5293" s="689">
        <v>12.9</v>
      </c>
      <c r="E5293" s="689">
        <v>13.5</v>
      </c>
      <c r="F5293" s="689">
        <v>13.3</v>
      </c>
      <c r="G5293" s="689">
        <v>13.2</v>
      </c>
      <c r="H5293" s="689">
        <v>13.4</v>
      </c>
      <c r="I5293" s="689">
        <v>12.9</v>
      </c>
      <c r="J5293" s="693">
        <v>13</v>
      </c>
      <c r="K5293" s="689">
        <v>13.1</v>
      </c>
    </row>
    <row r="5294" spans="1:11">
      <c r="A5294" s="688" t="s">
        <v>17</v>
      </c>
      <c r="B5294" s="615">
        <v>13</v>
      </c>
      <c r="C5294" s="615">
        <v>13</v>
      </c>
      <c r="D5294" s="691">
        <v>12.8</v>
      </c>
      <c r="E5294" s="691">
        <v>12.9</v>
      </c>
      <c r="F5294" s="691">
        <v>12.9</v>
      </c>
      <c r="G5294" s="691">
        <v>12.9</v>
      </c>
      <c r="H5294" s="691">
        <v>13.1</v>
      </c>
      <c r="I5294" s="691">
        <v>12.5</v>
      </c>
      <c r="J5294" s="691">
        <v>12.6</v>
      </c>
      <c r="K5294" s="691">
        <v>12.8</v>
      </c>
    </row>
    <row r="5295" spans="1:11">
      <c r="A5295" s="688" t="s">
        <v>19</v>
      </c>
      <c r="B5295" s="689">
        <v>13.2</v>
      </c>
      <c r="C5295" s="689">
        <v>13.3</v>
      </c>
      <c r="D5295" s="693">
        <v>13</v>
      </c>
      <c r="E5295" s="689">
        <v>13.3</v>
      </c>
      <c r="F5295" s="689">
        <v>13.2</v>
      </c>
      <c r="G5295" s="689">
        <v>13.3</v>
      </c>
      <c r="H5295" s="689">
        <v>13.4</v>
      </c>
      <c r="I5295" s="689">
        <v>12.9</v>
      </c>
      <c r="J5295" s="693">
        <v>13</v>
      </c>
      <c r="K5295" s="689">
        <v>12.9</v>
      </c>
    </row>
    <row r="5296" spans="1:11">
      <c r="A5296" s="688" t="s">
        <v>20</v>
      </c>
      <c r="B5296" s="691">
        <v>12.1</v>
      </c>
      <c r="C5296" s="691">
        <v>12.1</v>
      </c>
      <c r="D5296" s="691">
        <v>11.9</v>
      </c>
      <c r="E5296" s="691">
        <v>12.3</v>
      </c>
      <c r="F5296" s="691">
        <v>12.2</v>
      </c>
      <c r="G5296" s="691">
        <v>12.1</v>
      </c>
      <c r="H5296" s="691">
        <v>12.4</v>
      </c>
      <c r="I5296" s="691">
        <v>11.3</v>
      </c>
      <c r="J5296" s="691">
        <v>10.8</v>
      </c>
      <c r="K5296" s="691">
        <v>11.7</v>
      </c>
    </row>
    <row r="5297" spans="1:11">
      <c r="A5297" s="688" t="s">
        <v>21</v>
      </c>
      <c r="B5297" s="689">
        <v>12.9</v>
      </c>
      <c r="C5297" s="689">
        <v>13.2</v>
      </c>
      <c r="D5297" s="689">
        <v>13.1</v>
      </c>
      <c r="E5297" s="689">
        <v>13.2</v>
      </c>
      <c r="F5297" s="689">
        <v>13.4</v>
      </c>
      <c r="G5297" s="689">
        <v>13.3</v>
      </c>
      <c r="H5297" s="689">
        <v>13.6</v>
      </c>
      <c r="I5297" s="689">
        <v>13.1</v>
      </c>
      <c r="J5297" s="689">
        <v>13.2</v>
      </c>
      <c r="K5297" s="689">
        <v>13.4</v>
      </c>
    </row>
    <row r="5298" spans="1:11">
      <c r="A5298" s="688" t="s">
        <v>22</v>
      </c>
      <c r="B5298" s="691">
        <v>10.8</v>
      </c>
      <c r="C5298" s="691">
        <v>10.6</v>
      </c>
      <c r="D5298" s="691">
        <v>10.5</v>
      </c>
      <c r="E5298" s="691">
        <v>10.8</v>
      </c>
      <c r="F5298" s="691">
        <v>10.8</v>
      </c>
      <c r="G5298" s="691">
        <v>10.9</v>
      </c>
      <c r="H5298" s="691">
        <v>11.1</v>
      </c>
      <c r="I5298" s="691">
        <v>10.3</v>
      </c>
      <c r="J5298" s="691">
        <v>9.4</v>
      </c>
      <c r="K5298" s="691">
        <v>10.5</v>
      </c>
    </row>
    <row r="5299" spans="1:11">
      <c r="A5299" s="688" t="s">
        <v>26</v>
      </c>
      <c r="B5299" s="689">
        <v>12.9</v>
      </c>
      <c r="C5299" s="689">
        <v>12.8</v>
      </c>
      <c r="D5299" s="689">
        <v>12.7</v>
      </c>
      <c r="E5299" s="689">
        <v>12.9</v>
      </c>
      <c r="F5299" s="689">
        <v>12.8</v>
      </c>
      <c r="G5299" s="693">
        <v>13</v>
      </c>
      <c r="H5299" s="689">
        <v>13.2</v>
      </c>
      <c r="I5299" s="689">
        <v>12.2</v>
      </c>
      <c r="J5299" s="689">
        <v>12.6</v>
      </c>
      <c r="K5299" s="689">
        <v>12.9</v>
      </c>
    </row>
    <row r="5300" spans="1:11">
      <c r="A5300" s="688" t="s">
        <v>25</v>
      </c>
      <c r="B5300" s="615">
        <v>11</v>
      </c>
      <c r="C5300" s="691">
        <v>11.2</v>
      </c>
      <c r="D5300" s="615">
        <v>11</v>
      </c>
      <c r="E5300" s="691">
        <v>11.4</v>
      </c>
      <c r="F5300" s="691">
        <v>11.3</v>
      </c>
      <c r="G5300" s="691">
        <v>11.4</v>
      </c>
      <c r="H5300" s="691">
        <v>11.8</v>
      </c>
      <c r="I5300" s="691">
        <v>11.1</v>
      </c>
      <c r="J5300" s="691">
        <v>9.9</v>
      </c>
      <c r="K5300" s="691">
        <v>11.1</v>
      </c>
    </row>
    <row r="5301" spans="1:11">
      <c r="A5301" s="688" t="s">
        <v>5</v>
      </c>
      <c r="B5301" s="689">
        <v>13.3</v>
      </c>
      <c r="C5301" s="693">
        <v>13</v>
      </c>
      <c r="D5301" s="689">
        <v>13.1</v>
      </c>
      <c r="E5301" s="689">
        <v>13.1</v>
      </c>
      <c r="F5301" s="689">
        <v>13.3</v>
      </c>
      <c r="G5301" s="689">
        <v>13.3</v>
      </c>
      <c r="H5301" s="689">
        <v>13.6</v>
      </c>
      <c r="I5301" s="689">
        <v>13.5</v>
      </c>
      <c r="J5301" s="689">
        <v>13.4</v>
      </c>
      <c r="K5301" s="689">
        <v>12.9</v>
      </c>
    </row>
    <row r="5302" spans="1:11">
      <c r="A5302" s="688" t="s">
        <v>23</v>
      </c>
      <c r="B5302" s="691">
        <v>13.1</v>
      </c>
      <c r="C5302" s="691">
        <v>13.2</v>
      </c>
      <c r="D5302" s="691">
        <v>13.2</v>
      </c>
      <c r="E5302" s="691">
        <v>13.3</v>
      </c>
      <c r="F5302" s="691">
        <v>13.3</v>
      </c>
      <c r="G5302" s="691">
        <v>13.3</v>
      </c>
      <c r="H5302" s="691">
        <v>13.7</v>
      </c>
      <c r="I5302" s="691">
        <v>13.1</v>
      </c>
      <c r="J5302" s="691">
        <v>13.7</v>
      </c>
      <c r="K5302" s="691">
        <v>13.6</v>
      </c>
    </row>
    <row r="5303" spans="1:11">
      <c r="A5303" s="688" t="s">
        <v>4067</v>
      </c>
      <c r="B5303" s="689">
        <v>13.1</v>
      </c>
      <c r="C5303" s="689">
        <v>13.4</v>
      </c>
      <c r="D5303" s="693">
        <v>13</v>
      </c>
      <c r="E5303" s="689">
        <v>13.4</v>
      </c>
      <c r="F5303" s="689">
        <v>13.3</v>
      </c>
      <c r="G5303" s="689">
        <v>13.3</v>
      </c>
      <c r="H5303" s="690" t="s">
        <v>4060</v>
      </c>
      <c r="I5303" s="690" t="s">
        <v>4060</v>
      </c>
      <c r="J5303" s="690" t="s">
        <v>4060</v>
      </c>
      <c r="K5303" s="690" t="s">
        <v>4060</v>
      </c>
    </row>
    <row r="5304" spans="1:11">
      <c r="A5304" s="688" t="s">
        <v>4066</v>
      </c>
      <c r="B5304" s="691">
        <v>13.1</v>
      </c>
      <c r="C5304" s="691">
        <v>13.4</v>
      </c>
      <c r="D5304" s="691">
        <v>13.1</v>
      </c>
      <c r="E5304" s="691">
        <v>13.4</v>
      </c>
      <c r="F5304" s="691">
        <v>13.3</v>
      </c>
      <c r="G5304" s="691">
        <v>13.4</v>
      </c>
      <c r="H5304" s="692" t="s">
        <v>4060</v>
      </c>
      <c r="I5304" s="692" t="s">
        <v>4060</v>
      </c>
      <c r="J5304" s="692" t="s">
        <v>4060</v>
      </c>
      <c r="K5304" s="692" t="s">
        <v>4060</v>
      </c>
    </row>
    <row r="5305" spans="1:11">
      <c r="A5305" s="688" t="s">
        <v>4062</v>
      </c>
      <c r="B5305" s="689">
        <v>13.6</v>
      </c>
      <c r="C5305" s="689">
        <v>13.6</v>
      </c>
      <c r="D5305" s="689">
        <v>13.5</v>
      </c>
      <c r="E5305" s="689">
        <v>13.8</v>
      </c>
      <c r="F5305" s="689">
        <v>13.8</v>
      </c>
      <c r="G5305" s="689">
        <v>13.9</v>
      </c>
      <c r="H5305" s="693">
        <v>14</v>
      </c>
      <c r="I5305" s="689">
        <v>13.6</v>
      </c>
      <c r="J5305" s="693">
        <v>14</v>
      </c>
      <c r="K5305" s="689">
        <v>13.7</v>
      </c>
    </row>
    <row r="5306" spans="1:11">
      <c r="A5306" s="688" t="s">
        <v>9</v>
      </c>
      <c r="B5306" s="615">
        <v>13</v>
      </c>
      <c r="C5306" s="691">
        <v>13.4</v>
      </c>
      <c r="D5306" s="691">
        <v>13.3</v>
      </c>
      <c r="E5306" s="691">
        <v>12.9</v>
      </c>
      <c r="F5306" s="691">
        <v>13.1</v>
      </c>
      <c r="G5306" s="691">
        <v>13.3</v>
      </c>
      <c r="H5306" s="691">
        <v>13.5</v>
      </c>
      <c r="I5306" s="691">
        <v>13.7</v>
      </c>
      <c r="J5306" s="691">
        <v>13.8</v>
      </c>
      <c r="K5306" s="691">
        <v>12.9</v>
      </c>
    </row>
    <row r="5307" spans="1:11">
      <c r="A5307" s="688" t="s">
        <v>13</v>
      </c>
      <c r="B5307" s="689">
        <v>13.8</v>
      </c>
      <c r="C5307" s="689">
        <v>12.9</v>
      </c>
      <c r="D5307" s="689">
        <v>13.6</v>
      </c>
      <c r="E5307" s="689">
        <v>13.5</v>
      </c>
      <c r="F5307" s="689">
        <v>14.3</v>
      </c>
      <c r="G5307" s="689">
        <v>13.3</v>
      </c>
      <c r="H5307" s="689">
        <v>13.9</v>
      </c>
      <c r="I5307" s="689">
        <v>12.6</v>
      </c>
      <c r="J5307" s="689">
        <v>14.2</v>
      </c>
      <c r="K5307" s="689">
        <v>14.4</v>
      </c>
    </row>
    <row r="5308" spans="1:11">
      <c r="A5308" s="688" t="s">
        <v>18</v>
      </c>
      <c r="B5308" s="691">
        <v>13.1</v>
      </c>
      <c r="C5308" s="691">
        <v>13.2</v>
      </c>
      <c r="D5308" s="691">
        <v>13.2</v>
      </c>
      <c r="E5308" s="691">
        <v>13.4</v>
      </c>
      <c r="F5308" s="691">
        <v>13.4</v>
      </c>
      <c r="G5308" s="691">
        <v>13.5</v>
      </c>
      <c r="H5308" s="691">
        <v>13.6</v>
      </c>
      <c r="I5308" s="691">
        <v>13.8</v>
      </c>
      <c r="J5308" s="691">
        <v>13.6</v>
      </c>
      <c r="K5308" s="691">
        <v>13.2</v>
      </c>
    </row>
    <row r="5309" spans="1:11">
      <c r="A5309" s="688" t="s">
        <v>24</v>
      </c>
      <c r="B5309" s="689">
        <v>13.9</v>
      </c>
      <c r="C5309" s="689">
        <v>13.9</v>
      </c>
      <c r="D5309" s="689">
        <v>13.7</v>
      </c>
      <c r="E5309" s="689">
        <v>14.1</v>
      </c>
      <c r="F5309" s="693">
        <v>14</v>
      </c>
      <c r="G5309" s="689">
        <v>14.2</v>
      </c>
      <c r="H5309" s="689">
        <v>14.2</v>
      </c>
      <c r="I5309" s="689">
        <v>13.5</v>
      </c>
      <c r="J5309" s="689">
        <v>14.2</v>
      </c>
      <c r="K5309" s="693">
        <v>14</v>
      </c>
    </row>
    <row r="5310" spans="1:11">
      <c r="A5310" s="688" t="s">
        <v>4059</v>
      </c>
      <c r="B5310" s="615">
        <v>13</v>
      </c>
      <c r="C5310" s="691">
        <v>13.3</v>
      </c>
      <c r="D5310" s="691">
        <v>12.9</v>
      </c>
      <c r="E5310" s="691">
        <v>13.2</v>
      </c>
      <c r="F5310" s="691">
        <v>13.2</v>
      </c>
      <c r="G5310" s="691">
        <v>13.2</v>
      </c>
      <c r="H5310" s="692" t="s">
        <v>4060</v>
      </c>
      <c r="I5310" s="692" t="s">
        <v>4060</v>
      </c>
      <c r="J5310" s="692" t="s">
        <v>4060</v>
      </c>
      <c r="K5310" s="692" t="s">
        <v>4060</v>
      </c>
    </row>
    <row r="5311" spans="1:11">
      <c r="A5311" s="688" t="s">
        <v>2324</v>
      </c>
      <c r="B5311" s="689">
        <v>10.4</v>
      </c>
      <c r="C5311" s="689">
        <v>10.4</v>
      </c>
      <c r="D5311" s="689">
        <v>10.1</v>
      </c>
      <c r="E5311" s="689">
        <v>10.199999999999999</v>
      </c>
      <c r="F5311" s="689">
        <v>10.4</v>
      </c>
      <c r="G5311" s="689">
        <v>10.5</v>
      </c>
      <c r="H5311" s="689">
        <v>10.5</v>
      </c>
      <c r="I5311" s="689">
        <v>9.8000000000000007</v>
      </c>
      <c r="J5311" s="689">
        <v>8.3000000000000007</v>
      </c>
      <c r="K5311" s="690" t="s">
        <v>4060</v>
      </c>
    </row>
    <row r="5312" spans="1:11">
      <c r="A5312" s="688" t="s">
        <v>2322</v>
      </c>
      <c r="B5312" s="692" t="s">
        <v>4060</v>
      </c>
      <c r="C5312" s="692" t="s">
        <v>4060</v>
      </c>
      <c r="D5312" s="692" t="s">
        <v>4060</v>
      </c>
      <c r="E5312" s="692" t="s">
        <v>4060</v>
      </c>
      <c r="F5312" s="692" t="s">
        <v>4060</v>
      </c>
      <c r="G5312" s="692" t="s">
        <v>4060</v>
      </c>
      <c r="H5312" s="692" t="s">
        <v>4060</v>
      </c>
      <c r="I5312" s="692" t="s">
        <v>4060</v>
      </c>
      <c r="J5312" s="692" t="s">
        <v>4060</v>
      </c>
      <c r="K5312" s="692" t="s">
        <v>4060</v>
      </c>
    </row>
    <row r="5313" spans="1:11">
      <c r="A5313" s="688" t="s">
        <v>2328</v>
      </c>
      <c r="B5313" s="689">
        <v>9.4</v>
      </c>
      <c r="C5313" s="689">
        <v>9.4</v>
      </c>
      <c r="D5313" s="689">
        <v>9.1999999999999993</v>
      </c>
      <c r="E5313" s="689">
        <v>9.4</v>
      </c>
      <c r="F5313" s="689">
        <v>9.5</v>
      </c>
      <c r="G5313" s="689">
        <v>9.9</v>
      </c>
      <c r="H5313" s="689">
        <v>9.6999999999999993</v>
      </c>
      <c r="I5313" s="689">
        <v>8.8000000000000007</v>
      </c>
      <c r="J5313" s="689">
        <v>8.4</v>
      </c>
      <c r="K5313" s="690" t="s">
        <v>4060</v>
      </c>
    </row>
    <row r="5314" spans="1:11">
      <c r="A5314" s="688" t="s">
        <v>2496</v>
      </c>
      <c r="B5314" s="692" t="s">
        <v>4060</v>
      </c>
      <c r="C5314" s="691">
        <v>10.6</v>
      </c>
      <c r="D5314" s="691">
        <v>9.6</v>
      </c>
      <c r="E5314" s="691">
        <v>9.1999999999999993</v>
      </c>
      <c r="F5314" s="691">
        <v>9.5</v>
      </c>
      <c r="G5314" s="691">
        <v>9.6999999999999993</v>
      </c>
      <c r="H5314" s="691">
        <v>9.6999999999999993</v>
      </c>
      <c r="I5314" s="692" t="s">
        <v>4060</v>
      </c>
      <c r="J5314" s="692" t="s">
        <v>4060</v>
      </c>
      <c r="K5314" s="691">
        <v>9.4</v>
      </c>
    </row>
    <row r="5315" spans="1:11">
      <c r="A5315" s="688" t="s">
        <v>2269</v>
      </c>
      <c r="B5315" s="689">
        <v>10.7</v>
      </c>
      <c r="C5315" s="689">
        <v>10.7</v>
      </c>
      <c r="D5315" s="689">
        <v>10.199999999999999</v>
      </c>
      <c r="E5315" s="689">
        <v>10.6</v>
      </c>
      <c r="F5315" s="689">
        <v>10.4</v>
      </c>
      <c r="G5315" s="689">
        <v>10.8</v>
      </c>
      <c r="H5315" s="693">
        <v>11</v>
      </c>
      <c r="I5315" s="693">
        <v>10</v>
      </c>
      <c r="J5315" s="689">
        <v>8.1</v>
      </c>
      <c r="K5315" s="689">
        <v>10.8</v>
      </c>
    </row>
    <row r="5316" spans="1:11">
      <c r="A5316" s="688" t="s">
        <v>2349</v>
      </c>
      <c r="B5316" s="691">
        <v>9.8000000000000007</v>
      </c>
      <c r="C5316" s="691">
        <v>9.8000000000000007</v>
      </c>
      <c r="D5316" s="691">
        <v>9.8000000000000007</v>
      </c>
      <c r="E5316" s="691">
        <v>10.1</v>
      </c>
      <c r="F5316" s="615">
        <v>10</v>
      </c>
      <c r="G5316" s="691">
        <v>10.199999999999999</v>
      </c>
      <c r="H5316" s="691">
        <v>10.3</v>
      </c>
      <c r="I5316" s="691">
        <v>9.6</v>
      </c>
      <c r="J5316" s="691">
        <v>8.5</v>
      </c>
      <c r="K5316" s="691">
        <v>9.6</v>
      </c>
    </row>
    <row r="5317" spans="1:11">
      <c r="A5317" s="688" t="s">
        <v>2355</v>
      </c>
      <c r="B5317" s="693">
        <v>12</v>
      </c>
      <c r="C5317" s="689">
        <v>11.7</v>
      </c>
      <c r="D5317" s="689">
        <v>11.6</v>
      </c>
      <c r="E5317" s="689">
        <v>11.6</v>
      </c>
      <c r="F5317" s="689">
        <v>11.6</v>
      </c>
      <c r="G5317" s="689">
        <v>11.9</v>
      </c>
      <c r="H5317" s="689">
        <v>11.9</v>
      </c>
      <c r="I5317" s="690" t="s">
        <v>4060</v>
      </c>
      <c r="J5317" s="690" t="s">
        <v>4060</v>
      </c>
      <c r="K5317" s="690" t="s">
        <v>4060</v>
      </c>
    </row>
    <row r="5318" spans="1:11">
      <c r="A5318" s="688" t="s">
        <v>2357</v>
      </c>
      <c r="B5318" s="692" t="s">
        <v>4060</v>
      </c>
      <c r="C5318" s="691">
        <v>10.1</v>
      </c>
      <c r="D5318" s="691">
        <v>10.3</v>
      </c>
      <c r="E5318" s="691">
        <v>10.5</v>
      </c>
      <c r="F5318" s="691">
        <v>10.7</v>
      </c>
      <c r="G5318" s="691">
        <v>10.6</v>
      </c>
      <c r="H5318" s="691">
        <v>10.8</v>
      </c>
      <c r="I5318" s="692" t="s">
        <v>4060</v>
      </c>
      <c r="J5318" s="692" t="s">
        <v>4060</v>
      </c>
      <c r="K5318" s="692" t="s">
        <v>4060</v>
      </c>
    </row>
    <row r="5319" spans="1:11">
      <c r="A5319" s="688" t="s">
        <v>4070</v>
      </c>
      <c r="B5319" s="690" t="s">
        <v>4060</v>
      </c>
      <c r="C5319" s="690" t="s">
        <v>4060</v>
      </c>
      <c r="D5319" s="690" t="s">
        <v>4060</v>
      </c>
      <c r="E5319" s="689">
        <v>11.8</v>
      </c>
      <c r="F5319" s="690" t="s">
        <v>4060</v>
      </c>
      <c r="G5319" s="690" t="s">
        <v>4060</v>
      </c>
      <c r="H5319" s="690" t="s">
        <v>4060</v>
      </c>
      <c r="I5319" s="690" t="s">
        <v>4060</v>
      </c>
      <c r="J5319" s="690" t="s">
        <v>4060</v>
      </c>
      <c r="K5319" s="690" t="s">
        <v>4060</v>
      </c>
    </row>
    <row r="5320" spans="1:11">
      <c r="A5320" s="688" t="s">
        <v>2491</v>
      </c>
      <c r="B5320" s="691">
        <v>10.199999999999999</v>
      </c>
      <c r="C5320" s="691">
        <v>10.5</v>
      </c>
      <c r="D5320" s="691">
        <v>10.5</v>
      </c>
      <c r="E5320" s="691">
        <v>10.6</v>
      </c>
      <c r="F5320" s="691">
        <v>10.6</v>
      </c>
      <c r="G5320" s="691">
        <v>10.7</v>
      </c>
      <c r="H5320" s="692" t="s">
        <v>4060</v>
      </c>
      <c r="I5320" s="692" t="s">
        <v>4060</v>
      </c>
      <c r="J5320" s="692" t="s">
        <v>4060</v>
      </c>
      <c r="K5320" s="692" t="s">
        <v>4060</v>
      </c>
    </row>
    <row r="5321" spans="1:11">
      <c r="A5321" s="688" t="s">
        <v>2343</v>
      </c>
      <c r="B5321" s="690" t="s">
        <v>4060</v>
      </c>
      <c r="C5321" s="690" t="s">
        <v>4060</v>
      </c>
      <c r="D5321" s="690" t="s">
        <v>4060</v>
      </c>
      <c r="E5321" s="690" t="s">
        <v>4060</v>
      </c>
      <c r="F5321" s="690" t="s">
        <v>4060</v>
      </c>
      <c r="G5321" s="690" t="s">
        <v>4060</v>
      </c>
      <c r="H5321" s="690" t="s">
        <v>4060</v>
      </c>
      <c r="I5321" s="690" t="s">
        <v>4060</v>
      </c>
      <c r="J5321" s="690" t="s">
        <v>4060</v>
      </c>
      <c r="K5321" s="690" t="s">
        <v>4060</v>
      </c>
    </row>
    <row r="5322" spans="1:11">
      <c r="A5322" s="688" t="s">
        <v>4071</v>
      </c>
      <c r="B5322" s="692" t="s">
        <v>4060</v>
      </c>
      <c r="C5322" s="692" t="s">
        <v>4060</v>
      </c>
      <c r="D5322" s="692" t="s">
        <v>4060</v>
      </c>
      <c r="E5322" s="692" t="s">
        <v>4060</v>
      </c>
      <c r="F5322" s="692" t="s">
        <v>4060</v>
      </c>
      <c r="G5322" s="692" t="s">
        <v>4060</v>
      </c>
      <c r="H5322" s="692" t="s">
        <v>4060</v>
      </c>
      <c r="I5322" s="692" t="s">
        <v>4060</v>
      </c>
      <c r="J5322" s="692" t="s">
        <v>4060</v>
      </c>
      <c r="K5322" s="692" t="s">
        <v>4060</v>
      </c>
    </row>
    <row r="5323" spans="1:11">
      <c r="A5323" s="688" t="s">
        <v>2489</v>
      </c>
      <c r="B5323" s="690" t="s">
        <v>4060</v>
      </c>
      <c r="C5323" s="690" t="s">
        <v>4060</v>
      </c>
      <c r="D5323" s="689">
        <v>10.199999999999999</v>
      </c>
      <c r="E5323" s="689">
        <v>10.1</v>
      </c>
      <c r="F5323" s="689">
        <v>10.3</v>
      </c>
      <c r="G5323" s="693">
        <v>11</v>
      </c>
      <c r="H5323" s="689">
        <v>10.9</v>
      </c>
      <c r="I5323" s="690" t="s">
        <v>4060</v>
      </c>
      <c r="J5323" s="690" t="s">
        <v>4060</v>
      </c>
      <c r="K5323" s="690" t="s">
        <v>4060</v>
      </c>
    </row>
    <row r="5324" spans="1:11">
      <c r="A5324" s="688" t="s">
        <v>2490</v>
      </c>
      <c r="B5324" s="691">
        <v>9.9</v>
      </c>
      <c r="C5324" s="691">
        <v>9.8000000000000007</v>
      </c>
      <c r="D5324" s="691">
        <v>10.5</v>
      </c>
      <c r="E5324" s="692" t="s">
        <v>4060</v>
      </c>
      <c r="F5324" s="691">
        <v>10.7</v>
      </c>
      <c r="G5324" s="691">
        <v>10.8</v>
      </c>
      <c r="H5324" s="691">
        <v>11.5</v>
      </c>
      <c r="I5324" s="692" t="s">
        <v>4060</v>
      </c>
      <c r="J5324" s="692" t="s">
        <v>4060</v>
      </c>
      <c r="K5324" s="692" t="s">
        <v>4060</v>
      </c>
    </row>
    <row r="5326" spans="1:11">
      <c r="A5326" s="683" t="s">
        <v>4233</v>
      </c>
    </row>
    <row r="5327" spans="1:11">
      <c r="A5327" s="683" t="s">
        <v>4060</v>
      </c>
      <c r="B5327" s="682" t="s">
        <v>4234</v>
      </c>
    </row>
    <row r="5329" spans="1:11">
      <c r="A5329" s="682" t="s">
        <v>4248</v>
      </c>
    </row>
    <row r="5330" spans="1:11">
      <c r="A5330" s="682" t="s">
        <v>4210</v>
      </c>
      <c r="B5330" s="683" t="s">
        <v>4211</v>
      </c>
    </row>
    <row r="5331" spans="1:11">
      <c r="A5331" s="682" t="s">
        <v>4212</v>
      </c>
      <c r="B5331" s="682" t="s">
        <v>4213</v>
      </c>
    </row>
    <row r="5333" spans="1:11">
      <c r="A5333" s="683" t="s">
        <v>4214</v>
      </c>
      <c r="C5333" s="682" t="s">
        <v>4215</v>
      </c>
    </row>
    <row r="5334" spans="1:11">
      <c r="A5334" s="683" t="s">
        <v>4216</v>
      </c>
      <c r="C5334" s="682" t="s">
        <v>2967</v>
      </c>
    </row>
    <row r="5335" spans="1:11">
      <c r="A5335" s="683" t="s">
        <v>3893</v>
      </c>
      <c r="C5335" s="682" t="s">
        <v>4217</v>
      </c>
    </row>
    <row r="5336" spans="1:11">
      <c r="A5336" s="683" t="s">
        <v>4218</v>
      </c>
      <c r="C5336" s="682" t="s">
        <v>4309</v>
      </c>
    </row>
    <row r="5338" spans="1:11">
      <c r="A5338" s="684" t="s">
        <v>4220</v>
      </c>
      <c r="B5338" s="685" t="s">
        <v>4221</v>
      </c>
      <c r="C5338" s="685" t="s">
        <v>4222</v>
      </c>
      <c r="D5338" s="685" t="s">
        <v>4223</v>
      </c>
      <c r="E5338" s="685" t="s">
        <v>4224</v>
      </c>
      <c r="F5338" s="685" t="s">
        <v>4225</v>
      </c>
      <c r="G5338" s="685" t="s">
        <v>4226</v>
      </c>
      <c r="H5338" s="685" t="s">
        <v>4227</v>
      </c>
      <c r="I5338" s="685" t="s">
        <v>4228</v>
      </c>
      <c r="J5338" s="685" t="s">
        <v>4229</v>
      </c>
      <c r="K5338" s="685" t="s">
        <v>4230</v>
      </c>
    </row>
    <row r="5339" spans="1:11">
      <c r="A5339" s="686" t="s">
        <v>4231</v>
      </c>
      <c r="B5339" s="687" t="s">
        <v>4232</v>
      </c>
      <c r="C5339" s="687" t="s">
        <v>4232</v>
      </c>
      <c r="D5339" s="687" t="s">
        <v>4232</v>
      </c>
      <c r="E5339" s="687" t="s">
        <v>4232</v>
      </c>
      <c r="F5339" s="687" t="s">
        <v>4232</v>
      </c>
      <c r="G5339" s="687" t="s">
        <v>4232</v>
      </c>
      <c r="H5339" s="687" t="s">
        <v>4232</v>
      </c>
      <c r="I5339" s="687" t="s">
        <v>4232</v>
      </c>
      <c r="J5339" s="687" t="s">
        <v>4232</v>
      </c>
      <c r="K5339" s="687" t="s">
        <v>4232</v>
      </c>
    </row>
    <row r="5340" spans="1:11">
      <c r="A5340" s="688" t="s">
        <v>4064</v>
      </c>
      <c r="B5340" s="691">
        <v>12.4</v>
      </c>
      <c r="C5340" s="691">
        <v>12.3</v>
      </c>
      <c r="D5340" s="691">
        <v>12.4</v>
      </c>
      <c r="E5340" s="691">
        <v>12.4</v>
      </c>
      <c r="F5340" s="691">
        <v>12.3</v>
      </c>
      <c r="G5340" s="691">
        <v>12.4</v>
      </c>
      <c r="H5340" s="691">
        <v>12.6</v>
      </c>
      <c r="I5340" s="615">
        <v>12</v>
      </c>
      <c r="J5340" s="615">
        <v>12</v>
      </c>
      <c r="K5340" s="691">
        <v>12.2</v>
      </c>
    </row>
    <row r="5341" spans="1:11">
      <c r="A5341" s="688" t="s">
        <v>4065</v>
      </c>
      <c r="B5341" s="689">
        <v>12.4</v>
      </c>
      <c r="C5341" s="689">
        <v>12.7</v>
      </c>
      <c r="D5341" s="689">
        <v>12.3</v>
      </c>
      <c r="E5341" s="689">
        <v>12.7</v>
      </c>
      <c r="F5341" s="689">
        <v>12.6</v>
      </c>
      <c r="G5341" s="689">
        <v>12.7</v>
      </c>
      <c r="H5341" s="690" t="s">
        <v>4060</v>
      </c>
      <c r="I5341" s="690" t="s">
        <v>4060</v>
      </c>
      <c r="J5341" s="690" t="s">
        <v>4060</v>
      </c>
      <c r="K5341" s="690" t="s">
        <v>4060</v>
      </c>
    </row>
    <row r="5342" spans="1:11">
      <c r="A5342" s="688" t="s">
        <v>4063</v>
      </c>
      <c r="B5342" s="691">
        <v>12.4</v>
      </c>
      <c r="C5342" s="691">
        <v>12.7</v>
      </c>
      <c r="D5342" s="691">
        <v>12.4</v>
      </c>
      <c r="E5342" s="691">
        <v>12.7</v>
      </c>
      <c r="F5342" s="691">
        <v>12.6</v>
      </c>
      <c r="G5342" s="691">
        <v>12.7</v>
      </c>
      <c r="H5342" s="692" t="s">
        <v>4060</v>
      </c>
      <c r="I5342" s="692" t="s">
        <v>4060</v>
      </c>
      <c r="J5342" s="692" t="s">
        <v>4060</v>
      </c>
      <c r="K5342" s="692" t="s">
        <v>4060</v>
      </c>
    </row>
    <row r="5343" spans="1:11">
      <c r="A5343" s="688" t="s">
        <v>4069</v>
      </c>
      <c r="B5343" s="690" t="s">
        <v>4060</v>
      </c>
      <c r="C5343" s="689">
        <v>12.7</v>
      </c>
      <c r="D5343" s="689">
        <v>12.4</v>
      </c>
      <c r="E5343" s="689">
        <v>12.8</v>
      </c>
      <c r="F5343" s="689">
        <v>12.7</v>
      </c>
      <c r="G5343" s="689">
        <v>12.8</v>
      </c>
      <c r="H5343" s="693">
        <v>13</v>
      </c>
      <c r="I5343" s="689">
        <v>12.4</v>
      </c>
      <c r="J5343" s="689">
        <v>12.6</v>
      </c>
      <c r="K5343" s="689">
        <v>12.5</v>
      </c>
    </row>
    <row r="5344" spans="1:11">
      <c r="A5344" s="688" t="s">
        <v>4068</v>
      </c>
      <c r="B5344" s="691">
        <v>12.9</v>
      </c>
      <c r="C5344" s="692" t="s">
        <v>4060</v>
      </c>
      <c r="D5344" s="692" t="s">
        <v>4060</v>
      </c>
      <c r="E5344" s="692" t="s">
        <v>4060</v>
      </c>
      <c r="F5344" s="692" t="s">
        <v>4060</v>
      </c>
      <c r="G5344" s="692" t="s">
        <v>4060</v>
      </c>
      <c r="H5344" s="692" t="s">
        <v>4060</v>
      </c>
      <c r="I5344" s="692" t="s">
        <v>4060</v>
      </c>
      <c r="J5344" s="692" t="s">
        <v>4060</v>
      </c>
      <c r="K5344" s="692" t="s">
        <v>4060</v>
      </c>
    </row>
    <row r="5345" spans="1:11">
      <c r="A5345" s="688" t="s">
        <v>0</v>
      </c>
      <c r="B5345" s="689">
        <v>12.4</v>
      </c>
      <c r="C5345" s="689">
        <v>12.5</v>
      </c>
      <c r="D5345" s="689">
        <v>12.3</v>
      </c>
      <c r="E5345" s="689">
        <v>12.6</v>
      </c>
      <c r="F5345" s="689">
        <v>12.6</v>
      </c>
      <c r="G5345" s="689">
        <v>12.6</v>
      </c>
      <c r="H5345" s="689">
        <v>12.9</v>
      </c>
      <c r="I5345" s="689">
        <v>11.9</v>
      </c>
      <c r="J5345" s="689">
        <v>12.8</v>
      </c>
      <c r="K5345" s="689">
        <v>12.6</v>
      </c>
    </row>
    <row r="5346" spans="1:11">
      <c r="A5346" s="688" t="s">
        <v>1</v>
      </c>
      <c r="B5346" s="691">
        <v>9.8000000000000007</v>
      </c>
      <c r="C5346" s="691">
        <v>9.5</v>
      </c>
      <c r="D5346" s="691">
        <v>9.5</v>
      </c>
      <c r="E5346" s="691">
        <v>9.6999999999999993</v>
      </c>
      <c r="F5346" s="691">
        <v>9.6</v>
      </c>
      <c r="G5346" s="691">
        <v>9.6999999999999993</v>
      </c>
      <c r="H5346" s="691">
        <v>9.8000000000000007</v>
      </c>
      <c r="I5346" s="691">
        <v>9.1</v>
      </c>
      <c r="J5346" s="691">
        <v>8.1999999999999993</v>
      </c>
      <c r="K5346" s="691">
        <v>9.4</v>
      </c>
    </row>
    <row r="5347" spans="1:11">
      <c r="A5347" s="688" t="s">
        <v>2240</v>
      </c>
      <c r="B5347" s="689">
        <v>10.9</v>
      </c>
      <c r="C5347" s="693">
        <v>11</v>
      </c>
      <c r="D5347" s="689">
        <v>10.8</v>
      </c>
      <c r="E5347" s="689">
        <v>11.2</v>
      </c>
      <c r="F5347" s="689">
        <v>11.1</v>
      </c>
      <c r="G5347" s="689">
        <v>11.2</v>
      </c>
      <c r="H5347" s="689">
        <v>11.3</v>
      </c>
      <c r="I5347" s="689">
        <v>10.4</v>
      </c>
      <c r="J5347" s="689">
        <v>10.199999999999999</v>
      </c>
      <c r="K5347" s="693">
        <v>11</v>
      </c>
    </row>
    <row r="5348" spans="1:11">
      <c r="A5348" s="688" t="s">
        <v>2</v>
      </c>
      <c r="B5348" s="691">
        <v>11.8</v>
      </c>
      <c r="C5348" s="615">
        <v>12</v>
      </c>
      <c r="D5348" s="615">
        <v>12</v>
      </c>
      <c r="E5348" s="691">
        <v>12.1</v>
      </c>
      <c r="F5348" s="691">
        <v>12.1</v>
      </c>
      <c r="G5348" s="615">
        <v>12</v>
      </c>
      <c r="H5348" s="691">
        <v>12.3</v>
      </c>
      <c r="I5348" s="691">
        <v>12.3</v>
      </c>
      <c r="J5348" s="691">
        <v>12.2</v>
      </c>
      <c r="K5348" s="615">
        <v>12</v>
      </c>
    </row>
    <row r="5349" spans="1:11">
      <c r="A5349" s="688" t="s">
        <v>3</v>
      </c>
      <c r="B5349" s="689">
        <v>12.1</v>
      </c>
      <c r="C5349" s="689">
        <v>12.2</v>
      </c>
      <c r="D5349" s="693">
        <v>12</v>
      </c>
      <c r="E5349" s="689">
        <v>12.2</v>
      </c>
      <c r="F5349" s="689">
        <v>12.2</v>
      </c>
      <c r="G5349" s="689">
        <v>12.2</v>
      </c>
      <c r="H5349" s="689">
        <v>12.4</v>
      </c>
      <c r="I5349" s="689">
        <v>12.2</v>
      </c>
      <c r="J5349" s="689">
        <v>12.1</v>
      </c>
      <c r="K5349" s="689">
        <v>11.9</v>
      </c>
    </row>
    <row r="5350" spans="1:11">
      <c r="A5350" s="688" t="s">
        <v>4061</v>
      </c>
      <c r="B5350" s="691">
        <v>12.1</v>
      </c>
      <c r="C5350" s="691">
        <v>12.2</v>
      </c>
      <c r="D5350" s="615">
        <v>12</v>
      </c>
      <c r="E5350" s="691">
        <v>12.2</v>
      </c>
      <c r="F5350" s="691">
        <v>12.2</v>
      </c>
      <c r="G5350" s="691">
        <v>12.2</v>
      </c>
      <c r="H5350" s="691">
        <v>12.4</v>
      </c>
      <c r="I5350" s="691">
        <v>12.2</v>
      </c>
      <c r="J5350" s="691">
        <v>12.1</v>
      </c>
      <c r="K5350" s="691">
        <v>11.9</v>
      </c>
    </row>
    <row r="5351" spans="1:11">
      <c r="A5351" s="688" t="s">
        <v>4</v>
      </c>
      <c r="B5351" s="689">
        <v>11.6</v>
      </c>
      <c r="C5351" s="689">
        <v>11.4</v>
      </c>
      <c r="D5351" s="689">
        <v>11.6</v>
      </c>
      <c r="E5351" s="689">
        <v>11.7</v>
      </c>
      <c r="F5351" s="689">
        <v>11.7</v>
      </c>
      <c r="G5351" s="689">
        <v>11.8</v>
      </c>
      <c r="H5351" s="693">
        <v>12</v>
      </c>
      <c r="I5351" s="693">
        <v>12</v>
      </c>
      <c r="J5351" s="689">
        <v>11.1</v>
      </c>
      <c r="K5351" s="689">
        <v>11.5</v>
      </c>
    </row>
    <row r="5352" spans="1:11">
      <c r="A5352" s="688" t="s">
        <v>8</v>
      </c>
      <c r="B5352" s="615">
        <v>12</v>
      </c>
      <c r="C5352" s="691">
        <v>12.1</v>
      </c>
      <c r="D5352" s="615">
        <v>12</v>
      </c>
      <c r="E5352" s="615">
        <v>12</v>
      </c>
      <c r="F5352" s="691">
        <v>12.3</v>
      </c>
      <c r="G5352" s="691">
        <v>12.4</v>
      </c>
      <c r="H5352" s="691">
        <v>12.6</v>
      </c>
      <c r="I5352" s="691">
        <v>12.5</v>
      </c>
      <c r="J5352" s="691">
        <v>12.4</v>
      </c>
      <c r="K5352" s="691">
        <v>12.5</v>
      </c>
    </row>
    <row r="5353" spans="1:11">
      <c r="A5353" s="688" t="s">
        <v>7</v>
      </c>
      <c r="B5353" s="689">
        <v>12.6</v>
      </c>
      <c r="C5353" s="689">
        <v>12.1</v>
      </c>
      <c r="D5353" s="689">
        <v>11.9</v>
      </c>
      <c r="E5353" s="689">
        <v>12.2</v>
      </c>
      <c r="F5353" s="689">
        <v>12.1</v>
      </c>
      <c r="G5353" s="689">
        <v>12.5</v>
      </c>
      <c r="H5353" s="689">
        <v>12.4</v>
      </c>
      <c r="I5353" s="689">
        <v>12.2</v>
      </c>
      <c r="J5353" s="689">
        <v>11.8</v>
      </c>
      <c r="K5353" s="689">
        <v>11.9</v>
      </c>
    </row>
    <row r="5354" spans="1:11">
      <c r="A5354" s="688" t="s">
        <v>27</v>
      </c>
      <c r="B5354" s="691">
        <v>13.7</v>
      </c>
      <c r="C5354" s="691">
        <v>13.2</v>
      </c>
      <c r="D5354" s="691">
        <v>12.9</v>
      </c>
      <c r="E5354" s="691">
        <v>13.3</v>
      </c>
      <c r="F5354" s="691">
        <v>13.2</v>
      </c>
      <c r="G5354" s="691">
        <v>13.3</v>
      </c>
      <c r="H5354" s="691">
        <v>13.6</v>
      </c>
      <c r="I5354" s="691">
        <v>12.6</v>
      </c>
      <c r="J5354" s="691">
        <v>13.3</v>
      </c>
      <c r="K5354" s="691">
        <v>13.3</v>
      </c>
    </row>
    <row r="5355" spans="1:11">
      <c r="A5355" s="688" t="s">
        <v>6</v>
      </c>
      <c r="B5355" s="693">
        <v>14</v>
      </c>
      <c r="C5355" s="689">
        <v>13.8</v>
      </c>
      <c r="D5355" s="689">
        <v>13.5</v>
      </c>
      <c r="E5355" s="689">
        <v>13.8</v>
      </c>
      <c r="F5355" s="689">
        <v>13.8</v>
      </c>
      <c r="G5355" s="689">
        <v>13.9</v>
      </c>
      <c r="H5355" s="693">
        <v>14</v>
      </c>
      <c r="I5355" s="689">
        <v>13.4</v>
      </c>
      <c r="J5355" s="689">
        <v>13.6</v>
      </c>
      <c r="K5355" s="689">
        <v>13.6</v>
      </c>
    </row>
    <row r="5356" spans="1:11">
      <c r="A5356" s="688" t="s">
        <v>4058</v>
      </c>
      <c r="B5356" s="692" t="s">
        <v>4060</v>
      </c>
      <c r="C5356" s="692" t="s">
        <v>4060</v>
      </c>
      <c r="D5356" s="692" t="s">
        <v>4060</v>
      </c>
      <c r="E5356" s="692" t="s">
        <v>4060</v>
      </c>
      <c r="F5356" s="692" t="s">
        <v>4060</v>
      </c>
      <c r="G5356" s="692" t="s">
        <v>4060</v>
      </c>
      <c r="H5356" s="692" t="s">
        <v>4060</v>
      </c>
      <c r="I5356" s="692" t="s">
        <v>4060</v>
      </c>
      <c r="J5356" s="692" t="s">
        <v>4060</v>
      </c>
      <c r="K5356" s="692" t="s">
        <v>4060</v>
      </c>
    </row>
    <row r="5357" spans="1:11">
      <c r="A5357" s="688" t="s">
        <v>11</v>
      </c>
      <c r="B5357" s="689">
        <v>10.5</v>
      </c>
      <c r="C5357" s="689">
        <v>10.3</v>
      </c>
      <c r="D5357" s="689">
        <v>10.1</v>
      </c>
      <c r="E5357" s="689">
        <v>10.4</v>
      </c>
      <c r="F5357" s="689">
        <v>10.3</v>
      </c>
      <c r="G5357" s="689">
        <v>10.5</v>
      </c>
      <c r="H5357" s="689">
        <v>10.6</v>
      </c>
      <c r="I5357" s="689">
        <v>10.1</v>
      </c>
      <c r="J5357" s="689">
        <v>9.6999999999999993</v>
      </c>
      <c r="K5357" s="689">
        <v>10.1</v>
      </c>
    </row>
    <row r="5358" spans="1:11">
      <c r="A5358" s="688" t="s">
        <v>10</v>
      </c>
      <c r="B5358" s="691">
        <v>13.2</v>
      </c>
      <c r="C5358" s="691">
        <v>12.9</v>
      </c>
      <c r="D5358" s="691">
        <v>12.6</v>
      </c>
      <c r="E5358" s="615">
        <v>13</v>
      </c>
      <c r="F5358" s="691">
        <v>12.8</v>
      </c>
      <c r="G5358" s="691">
        <v>13.1</v>
      </c>
      <c r="H5358" s="691">
        <v>13.2</v>
      </c>
      <c r="I5358" s="691">
        <v>12.3</v>
      </c>
      <c r="J5358" s="691">
        <v>12.7</v>
      </c>
      <c r="K5358" s="691">
        <v>12.7</v>
      </c>
    </row>
    <row r="5359" spans="1:11">
      <c r="A5359" s="688" t="s">
        <v>30</v>
      </c>
      <c r="B5359" s="689">
        <v>12.4</v>
      </c>
      <c r="C5359" s="693">
        <v>12</v>
      </c>
      <c r="D5359" s="689">
        <v>11.8</v>
      </c>
      <c r="E5359" s="689">
        <v>12.3</v>
      </c>
      <c r="F5359" s="689">
        <v>12.1</v>
      </c>
      <c r="G5359" s="689">
        <v>12.7</v>
      </c>
      <c r="H5359" s="689">
        <v>12.3</v>
      </c>
      <c r="I5359" s="689">
        <v>12.5</v>
      </c>
      <c r="J5359" s="689">
        <v>12.2</v>
      </c>
      <c r="K5359" s="689">
        <v>12.1</v>
      </c>
    </row>
    <row r="5360" spans="1:11">
      <c r="A5360" s="688" t="s">
        <v>12</v>
      </c>
      <c r="B5360" s="691">
        <v>10.7</v>
      </c>
      <c r="C5360" s="691">
        <v>10.6</v>
      </c>
      <c r="D5360" s="691">
        <v>10.6</v>
      </c>
      <c r="E5360" s="691">
        <v>10.7</v>
      </c>
      <c r="F5360" s="691">
        <v>10.7</v>
      </c>
      <c r="G5360" s="691">
        <v>10.7</v>
      </c>
      <c r="H5360" s="615">
        <v>11</v>
      </c>
      <c r="I5360" s="691">
        <v>10.7</v>
      </c>
      <c r="J5360" s="691">
        <v>9.8000000000000007</v>
      </c>
      <c r="K5360" s="691">
        <v>10.5</v>
      </c>
    </row>
    <row r="5361" spans="1:11">
      <c r="A5361" s="688" t="s">
        <v>14</v>
      </c>
      <c r="B5361" s="689">
        <v>10.8</v>
      </c>
      <c r="C5361" s="689">
        <v>10.7</v>
      </c>
      <c r="D5361" s="689">
        <v>10.5</v>
      </c>
      <c r="E5361" s="689">
        <v>10.6</v>
      </c>
      <c r="F5361" s="689">
        <v>10.6</v>
      </c>
      <c r="G5361" s="689">
        <v>10.7</v>
      </c>
      <c r="H5361" s="693">
        <v>11</v>
      </c>
      <c r="I5361" s="689">
        <v>10.5</v>
      </c>
      <c r="J5361" s="693">
        <v>10</v>
      </c>
      <c r="K5361" s="689">
        <v>10.6</v>
      </c>
    </row>
    <row r="5362" spans="1:11">
      <c r="A5362" s="688" t="s">
        <v>15</v>
      </c>
      <c r="B5362" s="691">
        <v>13.1</v>
      </c>
      <c r="C5362" s="691">
        <v>12.7</v>
      </c>
      <c r="D5362" s="691">
        <v>12.5</v>
      </c>
      <c r="E5362" s="691">
        <v>12.9</v>
      </c>
      <c r="F5362" s="691">
        <v>12.7</v>
      </c>
      <c r="G5362" s="691">
        <v>12.6</v>
      </c>
      <c r="H5362" s="691">
        <v>12.9</v>
      </c>
      <c r="I5362" s="691">
        <v>12.5</v>
      </c>
      <c r="J5362" s="691">
        <v>12.8</v>
      </c>
      <c r="K5362" s="615">
        <v>13</v>
      </c>
    </row>
    <row r="5363" spans="1:11">
      <c r="A5363" s="688" t="s">
        <v>29</v>
      </c>
      <c r="B5363" s="689">
        <v>10.4</v>
      </c>
      <c r="C5363" s="689">
        <v>10.4</v>
      </c>
      <c r="D5363" s="689">
        <v>10.1</v>
      </c>
      <c r="E5363" s="689">
        <v>10.4</v>
      </c>
      <c r="F5363" s="689">
        <v>10.199999999999999</v>
      </c>
      <c r="G5363" s="689">
        <v>10.3</v>
      </c>
      <c r="H5363" s="689">
        <v>10.4</v>
      </c>
      <c r="I5363" s="693">
        <v>10</v>
      </c>
      <c r="J5363" s="689">
        <v>9.6</v>
      </c>
      <c r="K5363" s="689">
        <v>10.199999999999999</v>
      </c>
    </row>
    <row r="5364" spans="1:11">
      <c r="A5364" s="688" t="s">
        <v>16</v>
      </c>
      <c r="B5364" s="691">
        <v>12.2</v>
      </c>
      <c r="C5364" s="691">
        <v>12.3</v>
      </c>
      <c r="D5364" s="691">
        <v>12.1</v>
      </c>
      <c r="E5364" s="691">
        <v>12.8</v>
      </c>
      <c r="F5364" s="691">
        <v>12.5</v>
      </c>
      <c r="G5364" s="691">
        <v>12.5</v>
      </c>
      <c r="H5364" s="691">
        <v>12.6</v>
      </c>
      <c r="I5364" s="691">
        <v>12.2</v>
      </c>
      <c r="J5364" s="691">
        <v>12.3</v>
      </c>
      <c r="K5364" s="691">
        <v>12.4</v>
      </c>
    </row>
    <row r="5365" spans="1:11">
      <c r="A5365" s="688" t="s">
        <v>17</v>
      </c>
      <c r="B5365" s="689">
        <v>12.2</v>
      </c>
      <c r="C5365" s="689">
        <v>12.3</v>
      </c>
      <c r="D5365" s="689">
        <v>12.1</v>
      </c>
      <c r="E5365" s="689">
        <v>12.2</v>
      </c>
      <c r="F5365" s="689">
        <v>12.2</v>
      </c>
      <c r="G5365" s="689">
        <v>12.2</v>
      </c>
      <c r="H5365" s="689">
        <v>12.4</v>
      </c>
      <c r="I5365" s="689">
        <v>11.8</v>
      </c>
      <c r="J5365" s="689">
        <v>11.9</v>
      </c>
      <c r="K5365" s="689">
        <v>12.1</v>
      </c>
    </row>
    <row r="5366" spans="1:11">
      <c r="A5366" s="688" t="s">
        <v>19</v>
      </c>
      <c r="B5366" s="691">
        <v>12.5</v>
      </c>
      <c r="C5366" s="691">
        <v>12.6</v>
      </c>
      <c r="D5366" s="691">
        <v>12.3</v>
      </c>
      <c r="E5366" s="691">
        <v>12.6</v>
      </c>
      <c r="F5366" s="691">
        <v>12.5</v>
      </c>
      <c r="G5366" s="691">
        <v>12.6</v>
      </c>
      <c r="H5366" s="691">
        <v>12.7</v>
      </c>
      <c r="I5366" s="691">
        <v>12.1</v>
      </c>
      <c r="J5366" s="691">
        <v>12.3</v>
      </c>
      <c r="K5366" s="691">
        <v>12.2</v>
      </c>
    </row>
    <row r="5367" spans="1:11">
      <c r="A5367" s="688" t="s">
        <v>20</v>
      </c>
      <c r="B5367" s="689">
        <v>11.5</v>
      </c>
      <c r="C5367" s="689">
        <v>11.5</v>
      </c>
      <c r="D5367" s="689">
        <v>11.3</v>
      </c>
      <c r="E5367" s="689">
        <v>11.7</v>
      </c>
      <c r="F5367" s="689">
        <v>11.5</v>
      </c>
      <c r="G5367" s="689">
        <v>11.5</v>
      </c>
      <c r="H5367" s="689">
        <v>11.7</v>
      </c>
      <c r="I5367" s="689">
        <v>10.7</v>
      </c>
      <c r="J5367" s="689">
        <v>10.199999999999999</v>
      </c>
      <c r="K5367" s="689">
        <v>11.1</v>
      </c>
    </row>
    <row r="5368" spans="1:11">
      <c r="A5368" s="688" t="s">
        <v>21</v>
      </c>
      <c r="B5368" s="691">
        <v>12.2</v>
      </c>
      <c r="C5368" s="691">
        <v>12.5</v>
      </c>
      <c r="D5368" s="691">
        <v>12.4</v>
      </c>
      <c r="E5368" s="691">
        <v>12.4</v>
      </c>
      <c r="F5368" s="691">
        <v>12.7</v>
      </c>
      <c r="G5368" s="691">
        <v>12.6</v>
      </c>
      <c r="H5368" s="691">
        <v>12.9</v>
      </c>
      <c r="I5368" s="691">
        <v>12.4</v>
      </c>
      <c r="J5368" s="691">
        <v>12.5</v>
      </c>
      <c r="K5368" s="691">
        <v>12.6</v>
      </c>
    </row>
    <row r="5369" spans="1:11">
      <c r="A5369" s="688" t="s">
        <v>22</v>
      </c>
      <c r="B5369" s="689">
        <v>10.199999999999999</v>
      </c>
      <c r="C5369" s="693">
        <v>10</v>
      </c>
      <c r="D5369" s="689">
        <v>9.9</v>
      </c>
      <c r="E5369" s="689">
        <v>10.199999999999999</v>
      </c>
      <c r="F5369" s="689">
        <v>10.199999999999999</v>
      </c>
      <c r="G5369" s="689">
        <v>10.3</v>
      </c>
      <c r="H5369" s="689">
        <v>10.6</v>
      </c>
      <c r="I5369" s="689">
        <v>9.6999999999999993</v>
      </c>
      <c r="J5369" s="689">
        <v>8.9</v>
      </c>
      <c r="K5369" s="689">
        <v>9.9</v>
      </c>
    </row>
    <row r="5370" spans="1:11">
      <c r="A5370" s="688" t="s">
        <v>26</v>
      </c>
      <c r="B5370" s="691">
        <v>12.2</v>
      </c>
      <c r="C5370" s="691">
        <v>12.1</v>
      </c>
      <c r="D5370" s="691">
        <v>12.1</v>
      </c>
      <c r="E5370" s="691">
        <v>12.3</v>
      </c>
      <c r="F5370" s="691">
        <v>12.1</v>
      </c>
      <c r="G5370" s="691">
        <v>12.3</v>
      </c>
      <c r="H5370" s="691">
        <v>12.5</v>
      </c>
      <c r="I5370" s="691">
        <v>11.5</v>
      </c>
      <c r="J5370" s="691">
        <v>11.9</v>
      </c>
      <c r="K5370" s="691">
        <v>12.2</v>
      </c>
    </row>
    <row r="5371" spans="1:11">
      <c r="A5371" s="688" t="s">
        <v>25</v>
      </c>
      <c r="B5371" s="689">
        <v>10.4</v>
      </c>
      <c r="C5371" s="689">
        <v>10.6</v>
      </c>
      <c r="D5371" s="689">
        <v>10.4</v>
      </c>
      <c r="E5371" s="689">
        <v>10.7</v>
      </c>
      <c r="F5371" s="689">
        <v>10.7</v>
      </c>
      <c r="G5371" s="689">
        <v>10.8</v>
      </c>
      <c r="H5371" s="689">
        <v>11.2</v>
      </c>
      <c r="I5371" s="689">
        <v>10.5</v>
      </c>
      <c r="J5371" s="689">
        <v>9.3000000000000007</v>
      </c>
      <c r="K5371" s="689">
        <v>10.4</v>
      </c>
    </row>
    <row r="5372" spans="1:11">
      <c r="A5372" s="688" t="s">
        <v>5</v>
      </c>
      <c r="B5372" s="691">
        <v>12.7</v>
      </c>
      <c r="C5372" s="691">
        <v>12.3</v>
      </c>
      <c r="D5372" s="691">
        <v>12.4</v>
      </c>
      <c r="E5372" s="691">
        <v>12.4</v>
      </c>
      <c r="F5372" s="691">
        <v>12.6</v>
      </c>
      <c r="G5372" s="691">
        <v>12.6</v>
      </c>
      <c r="H5372" s="691">
        <v>12.8</v>
      </c>
      <c r="I5372" s="691">
        <v>12.8</v>
      </c>
      <c r="J5372" s="691">
        <v>12.7</v>
      </c>
      <c r="K5372" s="691">
        <v>12.2</v>
      </c>
    </row>
    <row r="5373" spans="1:11">
      <c r="A5373" s="688" t="s">
        <v>23</v>
      </c>
      <c r="B5373" s="689">
        <v>12.4</v>
      </c>
      <c r="C5373" s="689">
        <v>12.5</v>
      </c>
      <c r="D5373" s="689">
        <v>12.4</v>
      </c>
      <c r="E5373" s="689">
        <v>12.5</v>
      </c>
      <c r="F5373" s="689">
        <v>12.5</v>
      </c>
      <c r="G5373" s="689">
        <v>12.6</v>
      </c>
      <c r="H5373" s="689">
        <v>12.9</v>
      </c>
      <c r="I5373" s="689">
        <v>12.4</v>
      </c>
      <c r="J5373" s="689">
        <v>12.9</v>
      </c>
      <c r="K5373" s="689">
        <v>12.8</v>
      </c>
    </row>
    <row r="5374" spans="1:11">
      <c r="A5374" s="688" t="s">
        <v>4067</v>
      </c>
      <c r="B5374" s="691">
        <v>12.4</v>
      </c>
      <c r="C5374" s="691">
        <v>12.7</v>
      </c>
      <c r="D5374" s="691">
        <v>12.3</v>
      </c>
      <c r="E5374" s="691">
        <v>12.7</v>
      </c>
      <c r="F5374" s="691">
        <v>12.6</v>
      </c>
      <c r="G5374" s="691">
        <v>12.7</v>
      </c>
      <c r="H5374" s="692" t="s">
        <v>4060</v>
      </c>
      <c r="I5374" s="692" t="s">
        <v>4060</v>
      </c>
      <c r="J5374" s="692" t="s">
        <v>4060</v>
      </c>
      <c r="K5374" s="692" t="s">
        <v>4060</v>
      </c>
    </row>
    <row r="5375" spans="1:11">
      <c r="A5375" s="688" t="s">
        <v>4066</v>
      </c>
      <c r="B5375" s="689">
        <v>12.4</v>
      </c>
      <c r="C5375" s="689">
        <v>12.7</v>
      </c>
      <c r="D5375" s="689">
        <v>12.4</v>
      </c>
      <c r="E5375" s="689">
        <v>12.7</v>
      </c>
      <c r="F5375" s="689">
        <v>12.6</v>
      </c>
      <c r="G5375" s="689">
        <v>12.7</v>
      </c>
      <c r="H5375" s="690" t="s">
        <v>4060</v>
      </c>
      <c r="I5375" s="690" t="s">
        <v>4060</v>
      </c>
      <c r="J5375" s="690" t="s">
        <v>4060</v>
      </c>
      <c r="K5375" s="690" t="s">
        <v>4060</v>
      </c>
    </row>
    <row r="5376" spans="1:11">
      <c r="A5376" s="688" t="s">
        <v>4062</v>
      </c>
      <c r="B5376" s="691">
        <v>12.9</v>
      </c>
      <c r="C5376" s="691">
        <v>12.9</v>
      </c>
      <c r="D5376" s="691">
        <v>12.8</v>
      </c>
      <c r="E5376" s="691">
        <v>13.1</v>
      </c>
      <c r="F5376" s="615">
        <v>13</v>
      </c>
      <c r="G5376" s="691">
        <v>13.2</v>
      </c>
      <c r="H5376" s="691">
        <v>13.3</v>
      </c>
      <c r="I5376" s="691">
        <v>12.9</v>
      </c>
      <c r="J5376" s="691">
        <v>13.2</v>
      </c>
      <c r="K5376" s="691">
        <v>12.9</v>
      </c>
    </row>
    <row r="5377" spans="1:11">
      <c r="A5377" s="688" t="s">
        <v>9</v>
      </c>
      <c r="B5377" s="689">
        <v>12.4</v>
      </c>
      <c r="C5377" s="689">
        <v>12.7</v>
      </c>
      <c r="D5377" s="689">
        <v>12.5</v>
      </c>
      <c r="E5377" s="689">
        <v>12.3</v>
      </c>
      <c r="F5377" s="689">
        <v>12.4</v>
      </c>
      <c r="G5377" s="689">
        <v>12.5</v>
      </c>
      <c r="H5377" s="689">
        <v>12.8</v>
      </c>
      <c r="I5377" s="689">
        <v>12.9</v>
      </c>
      <c r="J5377" s="693">
        <v>13</v>
      </c>
      <c r="K5377" s="689">
        <v>12.2</v>
      </c>
    </row>
    <row r="5378" spans="1:11">
      <c r="A5378" s="688" t="s">
        <v>13</v>
      </c>
      <c r="B5378" s="691">
        <v>13.2</v>
      </c>
      <c r="C5378" s="691">
        <v>12.1</v>
      </c>
      <c r="D5378" s="691">
        <v>12.8</v>
      </c>
      <c r="E5378" s="615">
        <v>13</v>
      </c>
      <c r="F5378" s="691">
        <v>13.5</v>
      </c>
      <c r="G5378" s="691">
        <v>12.5</v>
      </c>
      <c r="H5378" s="691">
        <v>13.1</v>
      </c>
      <c r="I5378" s="691">
        <v>11.9</v>
      </c>
      <c r="J5378" s="691">
        <v>13.4</v>
      </c>
      <c r="K5378" s="691">
        <v>13.5</v>
      </c>
    </row>
    <row r="5379" spans="1:11">
      <c r="A5379" s="688" t="s">
        <v>18</v>
      </c>
      <c r="B5379" s="689">
        <v>12.4</v>
      </c>
      <c r="C5379" s="689">
        <v>12.5</v>
      </c>
      <c r="D5379" s="689">
        <v>12.5</v>
      </c>
      <c r="E5379" s="689">
        <v>12.7</v>
      </c>
      <c r="F5379" s="689">
        <v>12.7</v>
      </c>
      <c r="G5379" s="689">
        <v>12.7</v>
      </c>
      <c r="H5379" s="689">
        <v>12.9</v>
      </c>
      <c r="I5379" s="693">
        <v>13</v>
      </c>
      <c r="J5379" s="689">
        <v>12.9</v>
      </c>
      <c r="K5379" s="689">
        <v>12.5</v>
      </c>
    </row>
    <row r="5380" spans="1:11">
      <c r="A5380" s="688" t="s">
        <v>24</v>
      </c>
      <c r="B5380" s="691">
        <v>13.1</v>
      </c>
      <c r="C5380" s="691">
        <v>13.1</v>
      </c>
      <c r="D5380" s="691">
        <v>12.9</v>
      </c>
      <c r="E5380" s="691">
        <v>13.3</v>
      </c>
      <c r="F5380" s="691">
        <v>13.3</v>
      </c>
      <c r="G5380" s="691">
        <v>13.4</v>
      </c>
      <c r="H5380" s="691">
        <v>13.5</v>
      </c>
      <c r="I5380" s="691">
        <v>12.8</v>
      </c>
      <c r="J5380" s="691">
        <v>13.4</v>
      </c>
      <c r="K5380" s="691">
        <v>13.2</v>
      </c>
    </row>
    <row r="5381" spans="1:11">
      <c r="A5381" s="688" t="s">
        <v>4059</v>
      </c>
      <c r="B5381" s="689">
        <v>12.3</v>
      </c>
      <c r="C5381" s="689">
        <v>12.6</v>
      </c>
      <c r="D5381" s="689">
        <v>12.2</v>
      </c>
      <c r="E5381" s="689">
        <v>12.5</v>
      </c>
      <c r="F5381" s="689">
        <v>12.5</v>
      </c>
      <c r="G5381" s="689">
        <v>12.5</v>
      </c>
      <c r="H5381" s="690" t="s">
        <v>4060</v>
      </c>
      <c r="I5381" s="690" t="s">
        <v>4060</v>
      </c>
      <c r="J5381" s="690" t="s">
        <v>4060</v>
      </c>
      <c r="K5381" s="690" t="s">
        <v>4060</v>
      </c>
    </row>
    <row r="5382" spans="1:11">
      <c r="A5382" s="688" t="s">
        <v>2324</v>
      </c>
      <c r="B5382" s="691">
        <v>9.8000000000000007</v>
      </c>
      <c r="C5382" s="691">
        <v>9.8000000000000007</v>
      </c>
      <c r="D5382" s="691">
        <v>9.5</v>
      </c>
      <c r="E5382" s="691">
        <v>9.6</v>
      </c>
      <c r="F5382" s="691">
        <v>9.6999999999999993</v>
      </c>
      <c r="G5382" s="691">
        <v>9.8000000000000007</v>
      </c>
      <c r="H5382" s="615">
        <v>10</v>
      </c>
      <c r="I5382" s="691">
        <v>9.1999999999999993</v>
      </c>
      <c r="J5382" s="691">
        <v>7.7</v>
      </c>
      <c r="K5382" s="692" t="s">
        <v>4060</v>
      </c>
    </row>
    <row r="5383" spans="1:11">
      <c r="A5383" s="688" t="s">
        <v>2322</v>
      </c>
      <c r="B5383" s="690" t="s">
        <v>4060</v>
      </c>
      <c r="C5383" s="690" t="s">
        <v>4060</v>
      </c>
      <c r="D5383" s="690" t="s">
        <v>4060</v>
      </c>
      <c r="E5383" s="690" t="s">
        <v>4060</v>
      </c>
      <c r="F5383" s="690" t="s">
        <v>4060</v>
      </c>
      <c r="G5383" s="690" t="s">
        <v>4060</v>
      </c>
      <c r="H5383" s="690" t="s">
        <v>4060</v>
      </c>
      <c r="I5383" s="690" t="s">
        <v>4060</v>
      </c>
      <c r="J5383" s="690" t="s">
        <v>4060</v>
      </c>
      <c r="K5383" s="690" t="s">
        <v>4060</v>
      </c>
    </row>
    <row r="5384" spans="1:11">
      <c r="A5384" s="688" t="s">
        <v>2328</v>
      </c>
      <c r="B5384" s="691">
        <v>8.8000000000000007</v>
      </c>
      <c r="C5384" s="691">
        <v>8.8000000000000007</v>
      </c>
      <c r="D5384" s="691">
        <v>8.6</v>
      </c>
      <c r="E5384" s="691">
        <v>8.9</v>
      </c>
      <c r="F5384" s="691">
        <v>8.9</v>
      </c>
      <c r="G5384" s="691">
        <v>9.3000000000000007</v>
      </c>
      <c r="H5384" s="691">
        <v>9.1</v>
      </c>
      <c r="I5384" s="691">
        <v>8.1999999999999993</v>
      </c>
      <c r="J5384" s="691">
        <v>7.9</v>
      </c>
      <c r="K5384" s="692" t="s">
        <v>4060</v>
      </c>
    </row>
    <row r="5385" spans="1:11">
      <c r="A5385" s="688" t="s">
        <v>2496</v>
      </c>
      <c r="B5385" s="690" t="s">
        <v>4060</v>
      </c>
      <c r="C5385" s="689">
        <v>10.1</v>
      </c>
      <c r="D5385" s="689">
        <v>9.1</v>
      </c>
      <c r="E5385" s="689">
        <v>8.6</v>
      </c>
      <c r="F5385" s="689">
        <v>8.9</v>
      </c>
      <c r="G5385" s="689">
        <v>9.1</v>
      </c>
      <c r="H5385" s="689">
        <v>9.1</v>
      </c>
      <c r="I5385" s="690" t="s">
        <v>4060</v>
      </c>
      <c r="J5385" s="690" t="s">
        <v>4060</v>
      </c>
      <c r="K5385" s="689">
        <v>8.8000000000000007</v>
      </c>
    </row>
    <row r="5386" spans="1:11">
      <c r="A5386" s="688" t="s">
        <v>2269</v>
      </c>
      <c r="B5386" s="615">
        <v>10</v>
      </c>
      <c r="C5386" s="615">
        <v>10</v>
      </c>
      <c r="D5386" s="691">
        <v>9.6</v>
      </c>
      <c r="E5386" s="691">
        <v>9.9</v>
      </c>
      <c r="F5386" s="691">
        <v>9.8000000000000007</v>
      </c>
      <c r="G5386" s="691">
        <v>10.1</v>
      </c>
      <c r="H5386" s="691">
        <v>10.3</v>
      </c>
      <c r="I5386" s="691">
        <v>9.3000000000000007</v>
      </c>
      <c r="J5386" s="691">
        <v>7.4</v>
      </c>
      <c r="K5386" s="691">
        <v>10.1</v>
      </c>
    </row>
    <row r="5387" spans="1:11">
      <c r="A5387" s="688" t="s">
        <v>2349</v>
      </c>
      <c r="B5387" s="689">
        <v>9.1999999999999993</v>
      </c>
      <c r="C5387" s="689">
        <v>9.3000000000000007</v>
      </c>
      <c r="D5387" s="689">
        <v>9.1999999999999993</v>
      </c>
      <c r="E5387" s="689">
        <v>9.5</v>
      </c>
      <c r="F5387" s="689">
        <v>9.4</v>
      </c>
      <c r="G5387" s="689">
        <v>9.6</v>
      </c>
      <c r="H5387" s="689">
        <v>9.8000000000000007</v>
      </c>
      <c r="I5387" s="693">
        <v>9</v>
      </c>
      <c r="J5387" s="693">
        <v>8</v>
      </c>
      <c r="K5387" s="693">
        <v>9</v>
      </c>
    </row>
    <row r="5388" spans="1:11">
      <c r="A5388" s="688" t="s">
        <v>2355</v>
      </c>
      <c r="B5388" s="691">
        <v>11.4</v>
      </c>
      <c r="C5388" s="691">
        <v>11.1</v>
      </c>
      <c r="D5388" s="615">
        <v>11</v>
      </c>
      <c r="E5388" s="615">
        <v>11</v>
      </c>
      <c r="F5388" s="615">
        <v>11</v>
      </c>
      <c r="G5388" s="691">
        <v>11.3</v>
      </c>
      <c r="H5388" s="691">
        <v>11.3</v>
      </c>
      <c r="I5388" s="692" t="s">
        <v>4060</v>
      </c>
      <c r="J5388" s="692" t="s">
        <v>4060</v>
      </c>
      <c r="K5388" s="692" t="s">
        <v>4060</v>
      </c>
    </row>
    <row r="5389" spans="1:11">
      <c r="A5389" s="688" t="s">
        <v>2357</v>
      </c>
      <c r="B5389" s="690" t="s">
        <v>4060</v>
      </c>
      <c r="C5389" s="689">
        <v>9.5</v>
      </c>
      <c r="D5389" s="689">
        <v>9.8000000000000007</v>
      </c>
      <c r="E5389" s="693">
        <v>10</v>
      </c>
      <c r="F5389" s="689">
        <v>10.199999999999999</v>
      </c>
      <c r="G5389" s="689">
        <v>10.1</v>
      </c>
      <c r="H5389" s="689">
        <v>10.199999999999999</v>
      </c>
      <c r="I5389" s="690" t="s">
        <v>4060</v>
      </c>
      <c r="J5389" s="690" t="s">
        <v>4060</v>
      </c>
      <c r="K5389" s="690" t="s">
        <v>4060</v>
      </c>
    </row>
    <row r="5390" spans="1:11">
      <c r="A5390" s="688" t="s">
        <v>4070</v>
      </c>
      <c r="B5390" s="692" t="s">
        <v>4060</v>
      </c>
      <c r="C5390" s="692" t="s">
        <v>4060</v>
      </c>
      <c r="D5390" s="692" t="s">
        <v>4060</v>
      </c>
      <c r="E5390" s="691">
        <v>11.2</v>
      </c>
      <c r="F5390" s="692" t="s">
        <v>4060</v>
      </c>
      <c r="G5390" s="692" t="s">
        <v>4060</v>
      </c>
      <c r="H5390" s="692" t="s">
        <v>4060</v>
      </c>
      <c r="I5390" s="692" t="s">
        <v>4060</v>
      </c>
      <c r="J5390" s="692" t="s">
        <v>4060</v>
      </c>
      <c r="K5390" s="692" t="s">
        <v>4060</v>
      </c>
    </row>
    <row r="5391" spans="1:11">
      <c r="A5391" s="688" t="s">
        <v>2491</v>
      </c>
      <c r="B5391" s="689">
        <v>9.6</v>
      </c>
      <c r="C5391" s="693">
        <v>10</v>
      </c>
      <c r="D5391" s="693">
        <v>10</v>
      </c>
      <c r="E5391" s="693">
        <v>10</v>
      </c>
      <c r="F5391" s="693">
        <v>10</v>
      </c>
      <c r="G5391" s="689">
        <v>10.1</v>
      </c>
      <c r="H5391" s="690" t="s">
        <v>4060</v>
      </c>
      <c r="I5391" s="690" t="s">
        <v>4060</v>
      </c>
      <c r="J5391" s="690" t="s">
        <v>4060</v>
      </c>
      <c r="K5391" s="690" t="s">
        <v>4060</v>
      </c>
    </row>
    <row r="5392" spans="1:11">
      <c r="A5392" s="688" t="s">
        <v>2343</v>
      </c>
      <c r="B5392" s="692" t="s">
        <v>4060</v>
      </c>
      <c r="C5392" s="692" t="s">
        <v>4060</v>
      </c>
      <c r="D5392" s="692" t="s">
        <v>4060</v>
      </c>
      <c r="E5392" s="692" t="s">
        <v>4060</v>
      </c>
      <c r="F5392" s="692" t="s">
        <v>4060</v>
      </c>
      <c r="G5392" s="692" t="s">
        <v>4060</v>
      </c>
      <c r="H5392" s="692" t="s">
        <v>4060</v>
      </c>
      <c r="I5392" s="692" t="s">
        <v>4060</v>
      </c>
      <c r="J5392" s="692" t="s">
        <v>4060</v>
      </c>
      <c r="K5392" s="692" t="s">
        <v>4060</v>
      </c>
    </row>
    <row r="5393" spans="1:11">
      <c r="A5393" s="688" t="s">
        <v>4071</v>
      </c>
      <c r="B5393" s="690" t="s">
        <v>4060</v>
      </c>
      <c r="C5393" s="690" t="s">
        <v>4060</v>
      </c>
      <c r="D5393" s="690" t="s">
        <v>4060</v>
      </c>
      <c r="E5393" s="690" t="s">
        <v>4060</v>
      </c>
      <c r="F5393" s="690" t="s">
        <v>4060</v>
      </c>
      <c r="G5393" s="690" t="s">
        <v>4060</v>
      </c>
      <c r="H5393" s="690" t="s">
        <v>4060</v>
      </c>
      <c r="I5393" s="690" t="s">
        <v>4060</v>
      </c>
      <c r="J5393" s="690" t="s">
        <v>4060</v>
      </c>
      <c r="K5393" s="690" t="s">
        <v>4060</v>
      </c>
    </row>
    <row r="5394" spans="1:11">
      <c r="A5394" s="688" t="s">
        <v>2489</v>
      </c>
      <c r="B5394" s="692" t="s">
        <v>4060</v>
      </c>
      <c r="C5394" s="692" t="s">
        <v>4060</v>
      </c>
      <c r="D5394" s="691">
        <v>9.6999999999999993</v>
      </c>
      <c r="E5394" s="691">
        <v>9.6</v>
      </c>
      <c r="F5394" s="691">
        <v>9.8000000000000007</v>
      </c>
      <c r="G5394" s="691">
        <v>10.4</v>
      </c>
      <c r="H5394" s="691">
        <v>10.199999999999999</v>
      </c>
      <c r="I5394" s="692" t="s">
        <v>4060</v>
      </c>
      <c r="J5394" s="692" t="s">
        <v>4060</v>
      </c>
      <c r="K5394" s="692" t="s">
        <v>4060</v>
      </c>
    </row>
    <row r="5395" spans="1:11">
      <c r="A5395" s="688" t="s">
        <v>2490</v>
      </c>
      <c r="B5395" s="689">
        <v>9.4</v>
      </c>
      <c r="C5395" s="689">
        <v>9.3000000000000007</v>
      </c>
      <c r="D5395" s="693">
        <v>10</v>
      </c>
      <c r="E5395" s="690" t="s">
        <v>4060</v>
      </c>
      <c r="F5395" s="689">
        <v>10.1</v>
      </c>
      <c r="G5395" s="689">
        <v>10.199999999999999</v>
      </c>
      <c r="H5395" s="689">
        <v>10.9</v>
      </c>
      <c r="I5395" s="690" t="s">
        <v>4060</v>
      </c>
      <c r="J5395" s="690" t="s">
        <v>4060</v>
      </c>
      <c r="K5395" s="690" t="s">
        <v>4060</v>
      </c>
    </row>
    <row r="5397" spans="1:11">
      <c r="A5397" s="683" t="s">
        <v>4233</v>
      </c>
    </row>
    <row r="5398" spans="1:11">
      <c r="A5398" s="683" t="s">
        <v>4060</v>
      </c>
      <c r="B5398" s="682" t="s">
        <v>4234</v>
      </c>
    </row>
    <row r="5400" spans="1:11">
      <c r="A5400" s="682" t="s">
        <v>4248</v>
      </c>
    </row>
    <row r="5401" spans="1:11">
      <c r="A5401" s="682" t="s">
        <v>4210</v>
      </c>
      <c r="B5401" s="683" t="s">
        <v>4211</v>
      </c>
    </row>
    <row r="5402" spans="1:11">
      <c r="A5402" s="682" t="s">
        <v>4212</v>
      </c>
      <c r="B5402" s="682" t="s">
        <v>4213</v>
      </c>
    </row>
    <row r="5404" spans="1:11">
      <c r="A5404" s="683" t="s">
        <v>4214</v>
      </c>
      <c r="C5404" s="682" t="s">
        <v>4215</v>
      </c>
    </row>
    <row r="5405" spans="1:11">
      <c r="A5405" s="683" t="s">
        <v>4216</v>
      </c>
      <c r="C5405" s="682" t="s">
        <v>2967</v>
      </c>
    </row>
    <row r="5406" spans="1:11">
      <c r="A5406" s="683" t="s">
        <v>3893</v>
      </c>
      <c r="C5406" s="682" t="s">
        <v>4217</v>
      </c>
    </row>
    <row r="5407" spans="1:11">
      <c r="A5407" s="683" t="s">
        <v>4218</v>
      </c>
      <c r="C5407" s="682" t="s">
        <v>4310</v>
      </c>
    </row>
    <row r="5409" spans="1:11">
      <c r="A5409" s="684" t="s">
        <v>4220</v>
      </c>
      <c r="B5409" s="685" t="s">
        <v>4221</v>
      </c>
      <c r="C5409" s="685" t="s">
        <v>4222</v>
      </c>
      <c r="D5409" s="685" t="s">
        <v>4223</v>
      </c>
      <c r="E5409" s="685" t="s">
        <v>4224</v>
      </c>
      <c r="F5409" s="685" t="s">
        <v>4225</v>
      </c>
      <c r="G5409" s="685" t="s">
        <v>4226</v>
      </c>
      <c r="H5409" s="685" t="s">
        <v>4227</v>
      </c>
      <c r="I5409" s="685" t="s">
        <v>4228</v>
      </c>
      <c r="J5409" s="685" t="s">
        <v>4229</v>
      </c>
      <c r="K5409" s="685" t="s">
        <v>4230</v>
      </c>
    </row>
    <row r="5410" spans="1:11">
      <c r="A5410" s="686" t="s">
        <v>4231</v>
      </c>
      <c r="B5410" s="687" t="s">
        <v>4232</v>
      </c>
      <c r="C5410" s="687" t="s">
        <v>4232</v>
      </c>
      <c r="D5410" s="687" t="s">
        <v>4232</v>
      </c>
      <c r="E5410" s="687" t="s">
        <v>4232</v>
      </c>
      <c r="F5410" s="687" t="s">
        <v>4232</v>
      </c>
      <c r="G5410" s="687" t="s">
        <v>4232</v>
      </c>
      <c r="H5410" s="687" t="s">
        <v>4232</v>
      </c>
      <c r="I5410" s="687" t="s">
        <v>4232</v>
      </c>
      <c r="J5410" s="687" t="s">
        <v>4232</v>
      </c>
      <c r="K5410" s="687" t="s">
        <v>4232</v>
      </c>
    </row>
    <row r="5411" spans="1:11">
      <c r="A5411" s="688" t="s">
        <v>4064</v>
      </c>
      <c r="B5411" s="689">
        <v>11.8</v>
      </c>
      <c r="C5411" s="689">
        <v>11.7</v>
      </c>
      <c r="D5411" s="689">
        <v>11.7</v>
      </c>
      <c r="E5411" s="689">
        <v>11.7</v>
      </c>
      <c r="F5411" s="689">
        <v>11.7</v>
      </c>
      <c r="G5411" s="689">
        <v>11.8</v>
      </c>
      <c r="H5411" s="693">
        <v>12</v>
      </c>
      <c r="I5411" s="689">
        <v>11.3</v>
      </c>
      <c r="J5411" s="689">
        <v>11.4</v>
      </c>
      <c r="K5411" s="689">
        <v>11.5</v>
      </c>
    </row>
    <row r="5412" spans="1:11">
      <c r="A5412" s="688" t="s">
        <v>4065</v>
      </c>
      <c r="B5412" s="691">
        <v>11.8</v>
      </c>
      <c r="C5412" s="615">
        <v>12</v>
      </c>
      <c r="D5412" s="691">
        <v>11.7</v>
      </c>
      <c r="E5412" s="615">
        <v>12</v>
      </c>
      <c r="F5412" s="691">
        <v>11.9</v>
      </c>
      <c r="G5412" s="615">
        <v>12</v>
      </c>
      <c r="H5412" s="692" t="s">
        <v>4060</v>
      </c>
      <c r="I5412" s="692" t="s">
        <v>4060</v>
      </c>
      <c r="J5412" s="692" t="s">
        <v>4060</v>
      </c>
      <c r="K5412" s="692" t="s">
        <v>4060</v>
      </c>
    </row>
    <row r="5413" spans="1:11">
      <c r="A5413" s="688" t="s">
        <v>4063</v>
      </c>
      <c r="B5413" s="689">
        <v>11.8</v>
      </c>
      <c r="C5413" s="693">
        <v>12</v>
      </c>
      <c r="D5413" s="689">
        <v>11.7</v>
      </c>
      <c r="E5413" s="693">
        <v>12</v>
      </c>
      <c r="F5413" s="689">
        <v>11.9</v>
      </c>
      <c r="G5413" s="693">
        <v>12</v>
      </c>
      <c r="H5413" s="690" t="s">
        <v>4060</v>
      </c>
      <c r="I5413" s="690" t="s">
        <v>4060</v>
      </c>
      <c r="J5413" s="690" t="s">
        <v>4060</v>
      </c>
      <c r="K5413" s="690" t="s">
        <v>4060</v>
      </c>
    </row>
    <row r="5414" spans="1:11">
      <c r="A5414" s="688" t="s">
        <v>4069</v>
      </c>
      <c r="B5414" s="692" t="s">
        <v>4060</v>
      </c>
      <c r="C5414" s="615">
        <v>12</v>
      </c>
      <c r="D5414" s="691">
        <v>11.8</v>
      </c>
      <c r="E5414" s="615">
        <v>12</v>
      </c>
      <c r="F5414" s="615">
        <v>12</v>
      </c>
      <c r="G5414" s="691">
        <v>12.1</v>
      </c>
      <c r="H5414" s="691">
        <v>12.3</v>
      </c>
      <c r="I5414" s="691">
        <v>11.7</v>
      </c>
      <c r="J5414" s="691">
        <v>11.9</v>
      </c>
      <c r="K5414" s="691">
        <v>11.8</v>
      </c>
    </row>
    <row r="5415" spans="1:11">
      <c r="A5415" s="688" t="s">
        <v>4068</v>
      </c>
      <c r="B5415" s="689">
        <v>12.2</v>
      </c>
      <c r="C5415" s="690" t="s">
        <v>4060</v>
      </c>
      <c r="D5415" s="690" t="s">
        <v>4060</v>
      </c>
      <c r="E5415" s="690" t="s">
        <v>4060</v>
      </c>
      <c r="F5415" s="690" t="s">
        <v>4060</v>
      </c>
      <c r="G5415" s="690" t="s">
        <v>4060</v>
      </c>
      <c r="H5415" s="690" t="s">
        <v>4060</v>
      </c>
      <c r="I5415" s="690" t="s">
        <v>4060</v>
      </c>
      <c r="J5415" s="690" t="s">
        <v>4060</v>
      </c>
      <c r="K5415" s="690" t="s">
        <v>4060</v>
      </c>
    </row>
    <row r="5416" spans="1:11">
      <c r="A5416" s="688" t="s">
        <v>0</v>
      </c>
      <c r="B5416" s="691">
        <v>11.7</v>
      </c>
      <c r="C5416" s="691">
        <v>11.8</v>
      </c>
      <c r="D5416" s="691">
        <v>11.6</v>
      </c>
      <c r="E5416" s="691">
        <v>11.9</v>
      </c>
      <c r="F5416" s="691">
        <v>11.9</v>
      </c>
      <c r="G5416" s="691">
        <v>11.9</v>
      </c>
      <c r="H5416" s="691">
        <v>12.2</v>
      </c>
      <c r="I5416" s="691">
        <v>11.2</v>
      </c>
      <c r="J5416" s="691">
        <v>12.1</v>
      </c>
      <c r="K5416" s="615">
        <v>12</v>
      </c>
    </row>
    <row r="5417" spans="1:11">
      <c r="A5417" s="688" t="s">
        <v>1</v>
      </c>
      <c r="B5417" s="689">
        <v>9.1999999999999993</v>
      </c>
      <c r="C5417" s="689">
        <v>8.9</v>
      </c>
      <c r="D5417" s="689">
        <v>8.9</v>
      </c>
      <c r="E5417" s="689">
        <v>9.1</v>
      </c>
      <c r="F5417" s="693">
        <v>9</v>
      </c>
      <c r="G5417" s="689">
        <v>9.1</v>
      </c>
      <c r="H5417" s="689">
        <v>9.1999999999999993</v>
      </c>
      <c r="I5417" s="689">
        <v>8.6</v>
      </c>
      <c r="J5417" s="689">
        <v>7.7</v>
      </c>
      <c r="K5417" s="689">
        <v>8.8000000000000007</v>
      </c>
    </row>
    <row r="5418" spans="1:11">
      <c r="A5418" s="688" t="s">
        <v>2240</v>
      </c>
      <c r="B5418" s="691">
        <v>10.3</v>
      </c>
      <c r="C5418" s="691">
        <v>10.4</v>
      </c>
      <c r="D5418" s="691">
        <v>10.199999999999999</v>
      </c>
      <c r="E5418" s="691">
        <v>10.5</v>
      </c>
      <c r="F5418" s="691">
        <v>10.5</v>
      </c>
      <c r="G5418" s="691">
        <v>10.5</v>
      </c>
      <c r="H5418" s="691">
        <v>10.7</v>
      </c>
      <c r="I5418" s="691">
        <v>9.8000000000000007</v>
      </c>
      <c r="J5418" s="691">
        <v>9.6</v>
      </c>
      <c r="K5418" s="691">
        <v>10.4</v>
      </c>
    </row>
    <row r="5419" spans="1:11">
      <c r="A5419" s="688" t="s">
        <v>2</v>
      </c>
      <c r="B5419" s="689">
        <v>11.1</v>
      </c>
      <c r="C5419" s="689">
        <v>11.4</v>
      </c>
      <c r="D5419" s="689">
        <v>11.3</v>
      </c>
      <c r="E5419" s="689">
        <v>11.4</v>
      </c>
      <c r="F5419" s="689">
        <v>11.4</v>
      </c>
      <c r="G5419" s="689">
        <v>11.3</v>
      </c>
      <c r="H5419" s="689">
        <v>11.6</v>
      </c>
      <c r="I5419" s="689">
        <v>11.7</v>
      </c>
      <c r="J5419" s="689">
        <v>11.5</v>
      </c>
      <c r="K5419" s="689">
        <v>11.4</v>
      </c>
    </row>
    <row r="5420" spans="1:11">
      <c r="A5420" s="688" t="s">
        <v>3</v>
      </c>
      <c r="B5420" s="691">
        <v>11.4</v>
      </c>
      <c r="C5420" s="691">
        <v>11.5</v>
      </c>
      <c r="D5420" s="691">
        <v>11.3</v>
      </c>
      <c r="E5420" s="691">
        <v>11.5</v>
      </c>
      <c r="F5420" s="691">
        <v>11.5</v>
      </c>
      <c r="G5420" s="691">
        <v>11.5</v>
      </c>
      <c r="H5420" s="691">
        <v>11.7</v>
      </c>
      <c r="I5420" s="691">
        <v>11.5</v>
      </c>
      <c r="J5420" s="691">
        <v>11.5</v>
      </c>
      <c r="K5420" s="691">
        <v>11.2</v>
      </c>
    </row>
    <row r="5421" spans="1:11">
      <c r="A5421" s="688" t="s">
        <v>4061</v>
      </c>
      <c r="B5421" s="689">
        <v>11.4</v>
      </c>
      <c r="C5421" s="689">
        <v>11.5</v>
      </c>
      <c r="D5421" s="689">
        <v>11.3</v>
      </c>
      <c r="E5421" s="689">
        <v>11.5</v>
      </c>
      <c r="F5421" s="689">
        <v>11.5</v>
      </c>
      <c r="G5421" s="689">
        <v>11.5</v>
      </c>
      <c r="H5421" s="689">
        <v>11.7</v>
      </c>
      <c r="I5421" s="689">
        <v>11.5</v>
      </c>
      <c r="J5421" s="689">
        <v>11.5</v>
      </c>
      <c r="K5421" s="689">
        <v>11.2</v>
      </c>
    </row>
    <row r="5422" spans="1:11">
      <c r="A5422" s="688" t="s">
        <v>4</v>
      </c>
      <c r="B5422" s="615">
        <v>11</v>
      </c>
      <c r="C5422" s="691">
        <v>10.8</v>
      </c>
      <c r="D5422" s="615">
        <v>11</v>
      </c>
      <c r="E5422" s="691">
        <v>11.1</v>
      </c>
      <c r="F5422" s="691">
        <v>11.1</v>
      </c>
      <c r="G5422" s="691">
        <v>11.2</v>
      </c>
      <c r="H5422" s="691">
        <v>11.4</v>
      </c>
      <c r="I5422" s="691">
        <v>11.4</v>
      </c>
      <c r="J5422" s="691">
        <v>10.5</v>
      </c>
      <c r="K5422" s="691">
        <v>10.9</v>
      </c>
    </row>
    <row r="5423" spans="1:11">
      <c r="A5423" s="688" t="s">
        <v>8</v>
      </c>
      <c r="B5423" s="689">
        <v>11.3</v>
      </c>
      <c r="C5423" s="689">
        <v>11.4</v>
      </c>
      <c r="D5423" s="689">
        <v>11.3</v>
      </c>
      <c r="E5423" s="689">
        <v>11.3</v>
      </c>
      <c r="F5423" s="689">
        <v>11.6</v>
      </c>
      <c r="G5423" s="689">
        <v>11.7</v>
      </c>
      <c r="H5423" s="689">
        <v>11.9</v>
      </c>
      <c r="I5423" s="689">
        <v>11.8</v>
      </c>
      <c r="J5423" s="689">
        <v>11.7</v>
      </c>
      <c r="K5423" s="689">
        <v>11.8</v>
      </c>
    </row>
    <row r="5424" spans="1:11">
      <c r="A5424" s="688" t="s">
        <v>7</v>
      </c>
      <c r="B5424" s="691">
        <v>11.9</v>
      </c>
      <c r="C5424" s="691">
        <v>11.3</v>
      </c>
      <c r="D5424" s="691">
        <v>11.2</v>
      </c>
      <c r="E5424" s="691">
        <v>11.5</v>
      </c>
      <c r="F5424" s="691">
        <v>11.4</v>
      </c>
      <c r="G5424" s="691">
        <v>11.8</v>
      </c>
      <c r="H5424" s="691">
        <v>11.7</v>
      </c>
      <c r="I5424" s="691">
        <v>11.5</v>
      </c>
      <c r="J5424" s="691">
        <v>11.1</v>
      </c>
      <c r="K5424" s="691">
        <v>11.2</v>
      </c>
    </row>
    <row r="5425" spans="1:11">
      <c r="A5425" s="688" t="s">
        <v>27</v>
      </c>
      <c r="B5425" s="693">
        <v>13</v>
      </c>
      <c r="C5425" s="689">
        <v>12.5</v>
      </c>
      <c r="D5425" s="689">
        <v>12.2</v>
      </c>
      <c r="E5425" s="689">
        <v>12.6</v>
      </c>
      <c r="F5425" s="689">
        <v>12.5</v>
      </c>
      <c r="G5425" s="689">
        <v>12.6</v>
      </c>
      <c r="H5425" s="689">
        <v>12.9</v>
      </c>
      <c r="I5425" s="689">
        <v>11.9</v>
      </c>
      <c r="J5425" s="689">
        <v>12.6</v>
      </c>
      <c r="K5425" s="689">
        <v>12.6</v>
      </c>
    </row>
    <row r="5426" spans="1:11">
      <c r="A5426" s="688" t="s">
        <v>6</v>
      </c>
      <c r="B5426" s="691">
        <v>13.3</v>
      </c>
      <c r="C5426" s="691">
        <v>13.1</v>
      </c>
      <c r="D5426" s="691">
        <v>12.8</v>
      </c>
      <c r="E5426" s="615">
        <v>13</v>
      </c>
      <c r="F5426" s="691">
        <v>13.1</v>
      </c>
      <c r="G5426" s="691">
        <v>13.2</v>
      </c>
      <c r="H5426" s="691">
        <v>13.2</v>
      </c>
      <c r="I5426" s="691">
        <v>12.7</v>
      </c>
      <c r="J5426" s="691">
        <v>12.9</v>
      </c>
      <c r="K5426" s="691">
        <v>12.9</v>
      </c>
    </row>
    <row r="5427" spans="1:11">
      <c r="A5427" s="688" t="s">
        <v>4058</v>
      </c>
      <c r="B5427" s="690" t="s">
        <v>4060</v>
      </c>
      <c r="C5427" s="690" t="s">
        <v>4060</v>
      </c>
      <c r="D5427" s="690" t="s">
        <v>4060</v>
      </c>
      <c r="E5427" s="690" t="s">
        <v>4060</v>
      </c>
      <c r="F5427" s="690" t="s">
        <v>4060</v>
      </c>
      <c r="G5427" s="690" t="s">
        <v>4060</v>
      </c>
      <c r="H5427" s="690" t="s">
        <v>4060</v>
      </c>
      <c r="I5427" s="690" t="s">
        <v>4060</v>
      </c>
      <c r="J5427" s="690" t="s">
        <v>4060</v>
      </c>
      <c r="K5427" s="690" t="s">
        <v>4060</v>
      </c>
    </row>
    <row r="5428" spans="1:11">
      <c r="A5428" s="688" t="s">
        <v>11</v>
      </c>
      <c r="B5428" s="691">
        <v>9.9</v>
      </c>
      <c r="C5428" s="691">
        <v>9.6999999999999993</v>
      </c>
      <c r="D5428" s="691">
        <v>9.4</v>
      </c>
      <c r="E5428" s="691">
        <v>9.8000000000000007</v>
      </c>
      <c r="F5428" s="691">
        <v>9.6999999999999993</v>
      </c>
      <c r="G5428" s="691">
        <v>9.9</v>
      </c>
      <c r="H5428" s="615">
        <v>10</v>
      </c>
      <c r="I5428" s="691">
        <v>9.5</v>
      </c>
      <c r="J5428" s="615">
        <v>9</v>
      </c>
      <c r="K5428" s="691">
        <v>9.5</v>
      </c>
    </row>
    <row r="5429" spans="1:11">
      <c r="A5429" s="688" t="s">
        <v>10</v>
      </c>
      <c r="B5429" s="689">
        <v>12.5</v>
      </c>
      <c r="C5429" s="689">
        <v>12.2</v>
      </c>
      <c r="D5429" s="689">
        <v>11.9</v>
      </c>
      <c r="E5429" s="689">
        <v>12.3</v>
      </c>
      <c r="F5429" s="689">
        <v>12.1</v>
      </c>
      <c r="G5429" s="689">
        <v>12.4</v>
      </c>
      <c r="H5429" s="689">
        <v>12.5</v>
      </c>
      <c r="I5429" s="689">
        <v>11.6</v>
      </c>
      <c r="J5429" s="693">
        <v>12</v>
      </c>
      <c r="K5429" s="689">
        <v>11.9</v>
      </c>
    </row>
    <row r="5430" spans="1:11">
      <c r="A5430" s="688" t="s">
        <v>30</v>
      </c>
      <c r="B5430" s="691">
        <v>11.6</v>
      </c>
      <c r="C5430" s="691">
        <v>11.2</v>
      </c>
      <c r="D5430" s="615">
        <v>11</v>
      </c>
      <c r="E5430" s="691">
        <v>11.7</v>
      </c>
      <c r="F5430" s="691">
        <v>11.3</v>
      </c>
      <c r="G5430" s="691">
        <v>11.9</v>
      </c>
      <c r="H5430" s="691">
        <v>11.6</v>
      </c>
      <c r="I5430" s="691">
        <v>11.8</v>
      </c>
      <c r="J5430" s="691">
        <v>11.5</v>
      </c>
      <c r="K5430" s="691">
        <v>11.3</v>
      </c>
    </row>
    <row r="5431" spans="1:11">
      <c r="A5431" s="688" t="s">
        <v>12</v>
      </c>
      <c r="B5431" s="689">
        <v>10.1</v>
      </c>
      <c r="C5431" s="693">
        <v>10</v>
      </c>
      <c r="D5431" s="693">
        <v>10</v>
      </c>
      <c r="E5431" s="689">
        <v>10.1</v>
      </c>
      <c r="F5431" s="689">
        <v>10.1</v>
      </c>
      <c r="G5431" s="689">
        <v>10.1</v>
      </c>
      <c r="H5431" s="689">
        <v>10.4</v>
      </c>
      <c r="I5431" s="689">
        <v>10.199999999999999</v>
      </c>
      <c r="J5431" s="689">
        <v>9.3000000000000007</v>
      </c>
      <c r="K5431" s="689">
        <v>9.9</v>
      </c>
    </row>
    <row r="5432" spans="1:11">
      <c r="A5432" s="688" t="s">
        <v>14</v>
      </c>
      <c r="B5432" s="691">
        <v>10.3</v>
      </c>
      <c r="C5432" s="691">
        <v>10.1</v>
      </c>
      <c r="D5432" s="691">
        <v>9.9</v>
      </c>
      <c r="E5432" s="615">
        <v>10</v>
      </c>
      <c r="F5432" s="615">
        <v>10</v>
      </c>
      <c r="G5432" s="691">
        <v>10.1</v>
      </c>
      <c r="H5432" s="691">
        <v>10.4</v>
      </c>
      <c r="I5432" s="691">
        <v>9.9</v>
      </c>
      <c r="J5432" s="691">
        <v>9.4</v>
      </c>
      <c r="K5432" s="615">
        <v>10</v>
      </c>
    </row>
    <row r="5433" spans="1:11">
      <c r="A5433" s="688" t="s">
        <v>15</v>
      </c>
      <c r="B5433" s="689">
        <v>12.4</v>
      </c>
      <c r="C5433" s="693">
        <v>12</v>
      </c>
      <c r="D5433" s="689">
        <v>11.8</v>
      </c>
      <c r="E5433" s="689">
        <v>12.2</v>
      </c>
      <c r="F5433" s="689">
        <v>12.1</v>
      </c>
      <c r="G5433" s="693">
        <v>12</v>
      </c>
      <c r="H5433" s="689">
        <v>12.2</v>
      </c>
      <c r="I5433" s="689">
        <v>11.8</v>
      </c>
      <c r="J5433" s="689">
        <v>12.1</v>
      </c>
      <c r="K5433" s="689">
        <v>12.3</v>
      </c>
    </row>
    <row r="5434" spans="1:11">
      <c r="A5434" s="688" t="s">
        <v>29</v>
      </c>
      <c r="B5434" s="691">
        <v>9.8000000000000007</v>
      </c>
      <c r="C5434" s="691">
        <v>9.8000000000000007</v>
      </c>
      <c r="D5434" s="691">
        <v>9.5</v>
      </c>
      <c r="E5434" s="691">
        <v>9.8000000000000007</v>
      </c>
      <c r="F5434" s="691">
        <v>9.6999999999999993</v>
      </c>
      <c r="G5434" s="691">
        <v>9.6999999999999993</v>
      </c>
      <c r="H5434" s="691">
        <v>9.9</v>
      </c>
      <c r="I5434" s="691">
        <v>9.4</v>
      </c>
      <c r="J5434" s="691">
        <v>9.1</v>
      </c>
      <c r="K5434" s="691">
        <v>9.6</v>
      </c>
    </row>
    <row r="5435" spans="1:11">
      <c r="A5435" s="688" t="s">
        <v>16</v>
      </c>
      <c r="B5435" s="689">
        <v>11.5</v>
      </c>
      <c r="C5435" s="689">
        <v>11.6</v>
      </c>
      <c r="D5435" s="689">
        <v>11.4</v>
      </c>
      <c r="E5435" s="693">
        <v>12</v>
      </c>
      <c r="F5435" s="689">
        <v>11.7</v>
      </c>
      <c r="G5435" s="689">
        <v>11.8</v>
      </c>
      <c r="H5435" s="689">
        <v>11.9</v>
      </c>
      <c r="I5435" s="689">
        <v>11.5</v>
      </c>
      <c r="J5435" s="689">
        <v>11.6</v>
      </c>
      <c r="K5435" s="689">
        <v>11.7</v>
      </c>
    </row>
    <row r="5436" spans="1:11">
      <c r="A5436" s="688" t="s">
        <v>17</v>
      </c>
      <c r="B5436" s="691">
        <v>11.6</v>
      </c>
      <c r="C5436" s="691">
        <v>11.6</v>
      </c>
      <c r="D5436" s="691">
        <v>11.4</v>
      </c>
      <c r="E5436" s="691">
        <v>11.5</v>
      </c>
      <c r="F5436" s="691">
        <v>11.5</v>
      </c>
      <c r="G5436" s="691">
        <v>11.5</v>
      </c>
      <c r="H5436" s="691">
        <v>11.7</v>
      </c>
      <c r="I5436" s="691">
        <v>11.1</v>
      </c>
      <c r="J5436" s="691">
        <v>11.2</v>
      </c>
      <c r="K5436" s="691">
        <v>11.4</v>
      </c>
    </row>
    <row r="5437" spans="1:11">
      <c r="A5437" s="688" t="s">
        <v>19</v>
      </c>
      <c r="B5437" s="689">
        <v>11.8</v>
      </c>
      <c r="C5437" s="689">
        <v>11.8</v>
      </c>
      <c r="D5437" s="689">
        <v>11.6</v>
      </c>
      <c r="E5437" s="689">
        <v>11.9</v>
      </c>
      <c r="F5437" s="689">
        <v>11.8</v>
      </c>
      <c r="G5437" s="689">
        <v>11.9</v>
      </c>
      <c r="H5437" s="693">
        <v>12</v>
      </c>
      <c r="I5437" s="689">
        <v>11.5</v>
      </c>
      <c r="J5437" s="689">
        <v>11.6</v>
      </c>
      <c r="K5437" s="689">
        <v>11.5</v>
      </c>
    </row>
    <row r="5438" spans="1:11">
      <c r="A5438" s="688" t="s">
        <v>20</v>
      </c>
      <c r="B5438" s="691">
        <v>10.9</v>
      </c>
      <c r="C5438" s="691">
        <v>10.9</v>
      </c>
      <c r="D5438" s="691">
        <v>10.7</v>
      </c>
      <c r="E5438" s="615">
        <v>11</v>
      </c>
      <c r="F5438" s="691">
        <v>10.9</v>
      </c>
      <c r="G5438" s="691">
        <v>10.9</v>
      </c>
      <c r="H5438" s="691">
        <v>11.2</v>
      </c>
      <c r="I5438" s="691">
        <v>10.1</v>
      </c>
      <c r="J5438" s="691">
        <v>9.6999999999999993</v>
      </c>
      <c r="K5438" s="691">
        <v>10.5</v>
      </c>
    </row>
    <row r="5439" spans="1:11">
      <c r="A5439" s="688" t="s">
        <v>21</v>
      </c>
      <c r="B5439" s="689">
        <v>11.6</v>
      </c>
      <c r="C5439" s="689">
        <v>11.8</v>
      </c>
      <c r="D5439" s="689">
        <v>11.7</v>
      </c>
      <c r="E5439" s="689">
        <v>11.7</v>
      </c>
      <c r="F5439" s="693">
        <v>12</v>
      </c>
      <c r="G5439" s="689">
        <v>11.9</v>
      </c>
      <c r="H5439" s="689">
        <v>12.2</v>
      </c>
      <c r="I5439" s="689">
        <v>11.7</v>
      </c>
      <c r="J5439" s="689">
        <v>11.8</v>
      </c>
      <c r="K5439" s="689">
        <v>11.9</v>
      </c>
    </row>
    <row r="5440" spans="1:11">
      <c r="A5440" s="688" t="s">
        <v>22</v>
      </c>
      <c r="B5440" s="691">
        <v>9.6</v>
      </c>
      <c r="C5440" s="691">
        <v>9.4</v>
      </c>
      <c r="D5440" s="691">
        <v>9.3000000000000007</v>
      </c>
      <c r="E5440" s="691">
        <v>9.6</v>
      </c>
      <c r="F5440" s="691">
        <v>9.6</v>
      </c>
      <c r="G5440" s="691">
        <v>9.6999999999999993</v>
      </c>
      <c r="H5440" s="615">
        <v>10</v>
      </c>
      <c r="I5440" s="691">
        <v>9.1999999999999993</v>
      </c>
      <c r="J5440" s="691">
        <v>8.4</v>
      </c>
      <c r="K5440" s="691">
        <v>9.3000000000000007</v>
      </c>
    </row>
    <row r="5441" spans="1:11">
      <c r="A5441" s="688" t="s">
        <v>26</v>
      </c>
      <c r="B5441" s="689">
        <v>11.6</v>
      </c>
      <c r="C5441" s="689">
        <v>11.4</v>
      </c>
      <c r="D5441" s="689">
        <v>11.4</v>
      </c>
      <c r="E5441" s="689">
        <v>11.6</v>
      </c>
      <c r="F5441" s="689">
        <v>11.4</v>
      </c>
      <c r="G5441" s="689">
        <v>11.6</v>
      </c>
      <c r="H5441" s="689">
        <v>11.8</v>
      </c>
      <c r="I5441" s="689">
        <v>10.8</v>
      </c>
      <c r="J5441" s="689">
        <v>11.2</v>
      </c>
      <c r="K5441" s="689">
        <v>11.5</v>
      </c>
    </row>
    <row r="5442" spans="1:11">
      <c r="A5442" s="688" t="s">
        <v>25</v>
      </c>
      <c r="B5442" s="691">
        <v>9.8000000000000007</v>
      </c>
      <c r="C5442" s="615">
        <v>10</v>
      </c>
      <c r="D5442" s="691">
        <v>9.8000000000000007</v>
      </c>
      <c r="E5442" s="691">
        <v>10.199999999999999</v>
      </c>
      <c r="F5442" s="691">
        <v>10.1</v>
      </c>
      <c r="G5442" s="691">
        <v>10.199999999999999</v>
      </c>
      <c r="H5442" s="691">
        <v>10.6</v>
      </c>
      <c r="I5442" s="691">
        <v>9.9</v>
      </c>
      <c r="J5442" s="691">
        <v>8.8000000000000007</v>
      </c>
      <c r="K5442" s="691">
        <v>9.8000000000000007</v>
      </c>
    </row>
    <row r="5443" spans="1:11">
      <c r="A5443" s="688" t="s">
        <v>5</v>
      </c>
      <c r="B5443" s="693">
        <v>12</v>
      </c>
      <c r="C5443" s="689">
        <v>11.6</v>
      </c>
      <c r="D5443" s="689">
        <v>11.7</v>
      </c>
      <c r="E5443" s="689">
        <v>11.7</v>
      </c>
      <c r="F5443" s="689">
        <v>11.9</v>
      </c>
      <c r="G5443" s="689">
        <v>11.9</v>
      </c>
      <c r="H5443" s="689">
        <v>12.1</v>
      </c>
      <c r="I5443" s="689">
        <v>12.1</v>
      </c>
      <c r="J5443" s="693">
        <v>12</v>
      </c>
      <c r="K5443" s="689">
        <v>11.5</v>
      </c>
    </row>
    <row r="5444" spans="1:11">
      <c r="A5444" s="688" t="s">
        <v>23</v>
      </c>
      <c r="B5444" s="691">
        <v>11.7</v>
      </c>
      <c r="C5444" s="691">
        <v>11.8</v>
      </c>
      <c r="D5444" s="691">
        <v>11.8</v>
      </c>
      <c r="E5444" s="691">
        <v>11.8</v>
      </c>
      <c r="F5444" s="691">
        <v>11.8</v>
      </c>
      <c r="G5444" s="691">
        <v>11.9</v>
      </c>
      <c r="H5444" s="691">
        <v>12.2</v>
      </c>
      <c r="I5444" s="691">
        <v>11.7</v>
      </c>
      <c r="J5444" s="691">
        <v>12.2</v>
      </c>
      <c r="K5444" s="691">
        <v>12.1</v>
      </c>
    </row>
    <row r="5445" spans="1:11">
      <c r="A5445" s="688" t="s">
        <v>4067</v>
      </c>
      <c r="B5445" s="689">
        <v>11.8</v>
      </c>
      <c r="C5445" s="693">
        <v>12</v>
      </c>
      <c r="D5445" s="689">
        <v>11.7</v>
      </c>
      <c r="E5445" s="693">
        <v>12</v>
      </c>
      <c r="F5445" s="689">
        <v>11.9</v>
      </c>
      <c r="G5445" s="693">
        <v>12</v>
      </c>
      <c r="H5445" s="690" t="s">
        <v>4060</v>
      </c>
      <c r="I5445" s="690" t="s">
        <v>4060</v>
      </c>
      <c r="J5445" s="690" t="s">
        <v>4060</v>
      </c>
      <c r="K5445" s="690" t="s">
        <v>4060</v>
      </c>
    </row>
    <row r="5446" spans="1:11">
      <c r="A5446" s="688" t="s">
        <v>4066</v>
      </c>
      <c r="B5446" s="691">
        <v>11.8</v>
      </c>
      <c r="C5446" s="615">
        <v>12</v>
      </c>
      <c r="D5446" s="691">
        <v>11.7</v>
      </c>
      <c r="E5446" s="615">
        <v>12</v>
      </c>
      <c r="F5446" s="691">
        <v>11.9</v>
      </c>
      <c r="G5446" s="615">
        <v>12</v>
      </c>
      <c r="H5446" s="692" t="s">
        <v>4060</v>
      </c>
      <c r="I5446" s="692" t="s">
        <v>4060</v>
      </c>
      <c r="J5446" s="692" t="s">
        <v>4060</v>
      </c>
      <c r="K5446" s="692" t="s">
        <v>4060</v>
      </c>
    </row>
    <row r="5447" spans="1:11">
      <c r="A5447" s="688" t="s">
        <v>4062</v>
      </c>
      <c r="B5447" s="689">
        <v>12.2</v>
      </c>
      <c r="C5447" s="689">
        <v>12.2</v>
      </c>
      <c r="D5447" s="693">
        <v>12</v>
      </c>
      <c r="E5447" s="689">
        <v>12.3</v>
      </c>
      <c r="F5447" s="689">
        <v>12.3</v>
      </c>
      <c r="G5447" s="689">
        <v>12.4</v>
      </c>
      <c r="H5447" s="689">
        <v>12.5</v>
      </c>
      <c r="I5447" s="689">
        <v>12.2</v>
      </c>
      <c r="J5447" s="689">
        <v>12.5</v>
      </c>
      <c r="K5447" s="689">
        <v>12.2</v>
      </c>
    </row>
    <row r="5448" spans="1:11">
      <c r="A5448" s="688" t="s">
        <v>9</v>
      </c>
      <c r="B5448" s="691">
        <v>11.7</v>
      </c>
      <c r="C5448" s="691">
        <v>11.9</v>
      </c>
      <c r="D5448" s="691">
        <v>11.8</v>
      </c>
      <c r="E5448" s="691">
        <v>11.5</v>
      </c>
      <c r="F5448" s="691">
        <v>11.7</v>
      </c>
      <c r="G5448" s="691">
        <v>11.8</v>
      </c>
      <c r="H5448" s="691">
        <v>12.1</v>
      </c>
      <c r="I5448" s="691">
        <v>12.2</v>
      </c>
      <c r="J5448" s="691">
        <v>12.3</v>
      </c>
      <c r="K5448" s="691">
        <v>11.4</v>
      </c>
    </row>
    <row r="5449" spans="1:11">
      <c r="A5449" s="688" t="s">
        <v>13</v>
      </c>
      <c r="B5449" s="689">
        <v>12.3</v>
      </c>
      <c r="C5449" s="689">
        <v>11.1</v>
      </c>
      <c r="D5449" s="693">
        <v>12</v>
      </c>
      <c r="E5449" s="689">
        <v>12.2</v>
      </c>
      <c r="F5449" s="689">
        <v>12.7</v>
      </c>
      <c r="G5449" s="689">
        <v>11.7</v>
      </c>
      <c r="H5449" s="689">
        <v>12.4</v>
      </c>
      <c r="I5449" s="689">
        <v>11.1</v>
      </c>
      <c r="J5449" s="689">
        <v>12.8</v>
      </c>
      <c r="K5449" s="689">
        <v>12.7</v>
      </c>
    </row>
    <row r="5450" spans="1:11">
      <c r="A5450" s="688" t="s">
        <v>18</v>
      </c>
      <c r="B5450" s="691">
        <v>11.7</v>
      </c>
      <c r="C5450" s="691">
        <v>11.8</v>
      </c>
      <c r="D5450" s="691">
        <v>11.8</v>
      </c>
      <c r="E5450" s="691">
        <v>11.9</v>
      </c>
      <c r="F5450" s="615">
        <v>12</v>
      </c>
      <c r="G5450" s="615">
        <v>12</v>
      </c>
      <c r="H5450" s="691">
        <v>12.2</v>
      </c>
      <c r="I5450" s="691">
        <v>12.3</v>
      </c>
      <c r="J5450" s="691">
        <v>12.2</v>
      </c>
      <c r="K5450" s="691">
        <v>11.8</v>
      </c>
    </row>
    <row r="5451" spans="1:11">
      <c r="A5451" s="688" t="s">
        <v>24</v>
      </c>
      <c r="B5451" s="689">
        <v>12.4</v>
      </c>
      <c r="C5451" s="689">
        <v>12.4</v>
      </c>
      <c r="D5451" s="689">
        <v>12.2</v>
      </c>
      <c r="E5451" s="689">
        <v>12.6</v>
      </c>
      <c r="F5451" s="689">
        <v>12.5</v>
      </c>
      <c r="G5451" s="689">
        <v>12.7</v>
      </c>
      <c r="H5451" s="689">
        <v>12.7</v>
      </c>
      <c r="I5451" s="689">
        <v>12.1</v>
      </c>
      <c r="J5451" s="689">
        <v>12.7</v>
      </c>
      <c r="K5451" s="689">
        <v>12.5</v>
      </c>
    </row>
    <row r="5452" spans="1:11">
      <c r="A5452" s="688" t="s">
        <v>4059</v>
      </c>
      <c r="B5452" s="691">
        <v>11.7</v>
      </c>
      <c r="C5452" s="691">
        <v>11.9</v>
      </c>
      <c r="D5452" s="691">
        <v>11.6</v>
      </c>
      <c r="E5452" s="691">
        <v>11.8</v>
      </c>
      <c r="F5452" s="691">
        <v>11.8</v>
      </c>
      <c r="G5452" s="691">
        <v>11.8</v>
      </c>
      <c r="H5452" s="692" t="s">
        <v>4060</v>
      </c>
      <c r="I5452" s="692" t="s">
        <v>4060</v>
      </c>
      <c r="J5452" s="692" t="s">
        <v>4060</v>
      </c>
      <c r="K5452" s="692" t="s">
        <v>4060</v>
      </c>
    </row>
    <row r="5453" spans="1:11">
      <c r="A5453" s="688" t="s">
        <v>2324</v>
      </c>
      <c r="B5453" s="689">
        <v>9.1999999999999993</v>
      </c>
      <c r="C5453" s="689">
        <v>9.3000000000000007</v>
      </c>
      <c r="D5453" s="689">
        <v>8.9</v>
      </c>
      <c r="E5453" s="689">
        <v>9.1</v>
      </c>
      <c r="F5453" s="689">
        <v>9.3000000000000007</v>
      </c>
      <c r="G5453" s="689">
        <v>9.1999999999999993</v>
      </c>
      <c r="H5453" s="689">
        <v>9.4</v>
      </c>
      <c r="I5453" s="689">
        <v>8.6999999999999993</v>
      </c>
      <c r="J5453" s="689">
        <v>7.2</v>
      </c>
      <c r="K5453" s="690" t="s">
        <v>4060</v>
      </c>
    </row>
    <row r="5454" spans="1:11">
      <c r="A5454" s="688" t="s">
        <v>2322</v>
      </c>
      <c r="B5454" s="692" t="s">
        <v>4060</v>
      </c>
      <c r="C5454" s="692" t="s">
        <v>4060</v>
      </c>
      <c r="D5454" s="692" t="s">
        <v>4060</v>
      </c>
      <c r="E5454" s="692" t="s">
        <v>4060</v>
      </c>
      <c r="F5454" s="692" t="s">
        <v>4060</v>
      </c>
      <c r="G5454" s="692" t="s">
        <v>4060</v>
      </c>
      <c r="H5454" s="692" t="s">
        <v>4060</v>
      </c>
      <c r="I5454" s="692" t="s">
        <v>4060</v>
      </c>
      <c r="J5454" s="692" t="s">
        <v>4060</v>
      </c>
      <c r="K5454" s="692" t="s">
        <v>4060</v>
      </c>
    </row>
    <row r="5455" spans="1:11">
      <c r="A5455" s="688" t="s">
        <v>2328</v>
      </c>
      <c r="B5455" s="689">
        <v>8.1999999999999993</v>
      </c>
      <c r="C5455" s="689">
        <v>8.1999999999999993</v>
      </c>
      <c r="D5455" s="689">
        <v>8.1</v>
      </c>
      <c r="E5455" s="689">
        <v>8.3000000000000007</v>
      </c>
      <c r="F5455" s="689">
        <v>8.3000000000000007</v>
      </c>
      <c r="G5455" s="689">
        <v>8.6999999999999993</v>
      </c>
      <c r="H5455" s="689">
        <v>8.6</v>
      </c>
      <c r="I5455" s="689">
        <v>7.7</v>
      </c>
      <c r="J5455" s="689">
        <v>7.4</v>
      </c>
      <c r="K5455" s="690" t="s">
        <v>4060</v>
      </c>
    </row>
    <row r="5456" spans="1:11">
      <c r="A5456" s="688" t="s">
        <v>2496</v>
      </c>
      <c r="B5456" s="692" t="s">
        <v>4060</v>
      </c>
      <c r="C5456" s="691">
        <v>9.6</v>
      </c>
      <c r="D5456" s="691">
        <v>8.6</v>
      </c>
      <c r="E5456" s="615">
        <v>8</v>
      </c>
      <c r="F5456" s="691">
        <v>8.3000000000000007</v>
      </c>
      <c r="G5456" s="691">
        <v>8.5</v>
      </c>
      <c r="H5456" s="691">
        <v>8.5</v>
      </c>
      <c r="I5456" s="692" t="s">
        <v>4060</v>
      </c>
      <c r="J5456" s="692" t="s">
        <v>4060</v>
      </c>
      <c r="K5456" s="691">
        <v>8.1999999999999993</v>
      </c>
    </row>
    <row r="5457" spans="1:11">
      <c r="A5457" s="688" t="s">
        <v>2269</v>
      </c>
      <c r="B5457" s="689">
        <v>9.4</v>
      </c>
      <c r="C5457" s="689">
        <v>9.3000000000000007</v>
      </c>
      <c r="D5457" s="689">
        <v>8.9</v>
      </c>
      <c r="E5457" s="689">
        <v>9.1999999999999993</v>
      </c>
      <c r="F5457" s="689">
        <v>9.1</v>
      </c>
      <c r="G5457" s="689">
        <v>9.4</v>
      </c>
      <c r="H5457" s="689">
        <v>9.6</v>
      </c>
      <c r="I5457" s="689">
        <v>8.6</v>
      </c>
      <c r="J5457" s="689">
        <v>6.7</v>
      </c>
      <c r="K5457" s="689">
        <v>9.4</v>
      </c>
    </row>
    <row r="5458" spans="1:11">
      <c r="A5458" s="688" t="s">
        <v>2349</v>
      </c>
      <c r="B5458" s="691">
        <v>8.6</v>
      </c>
      <c r="C5458" s="691">
        <v>8.6999999999999993</v>
      </c>
      <c r="D5458" s="691">
        <v>8.6</v>
      </c>
      <c r="E5458" s="691">
        <v>8.9</v>
      </c>
      <c r="F5458" s="691">
        <v>8.8000000000000007</v>
      </c>
      <c r="G5458" s="615">
        <v>9</v>
      </c>
      <c r="H5458" s="691">
        <v>9.1999999999999993</v>
      </c>
      <c r="I5458" s="691">
        <v>8.5</v>
      </c>
      <c r="J5458" s="691">
        <v>7.4</v>
      </c>
      <c r="K5458" s="691">
        <v>8.5</v>
      </c>
    </row>
    <row r="5459" spans="1:11">
      <c r="A5459" s="688" t="s">
        <v>2355</v>
      </c>
      <c r="B5459" s="689">
        <v>10.8</v>
      </c>
      <c r="C5459" s="689">
        <v>10.5</v>
      </c>
      <c r="D5459" s="689">
        <v>10.5</v>
      </c>
      <c r="E5459" s="689">
        <v>10.4</v>
      </c>
      <c r="F5459" s="689">
        <v>10.4</v>
      </c>
      <c r="G5459" s="689">
        <v>10.7</v>
      </c>
      <c r="H5459" s="689">
        <v>10.7</v>
      </c>
      <c r="I5459" s="690" t="s">
        <v>4060</v>
      </c>
      <c r="J5459" s="690" t="s">
        <v>4060</v>
      </c>
      <c r="K5459" s="690" t="s">
        <v>4060</v>
      </c>
    </row>
    <row r="5460" spans="1:11">
      <c r="A5460" s="688" t="s">
        <v>2357</v>
      </c>
      <c r="B5460" s="692" t="s">
        <v>4060</v>
      </c>
      <c r="C5460" s="615">
        <v>9</v>
      </c>
      <c r="D5460" s="691">
        <v>9.3000000000000007</v>
      </c>
      <c r="E5460" s="691">
        <v>9.5</v>
      </c>
      <c r="F5460" s="691">
        <v>9.6999999999999993</v>
      </c>
      <c r="G5460" s="691">
        <v>9.5</v>
      </c>
      <c r="H5460" s="691">
        <v>9.6999999999999993</v>
      </c>
      <c r="I5460" s="692" t="s">
        <v>4060</v>
      </c>
      <c r="J5460" s="692" t="s">
        <v>4060</v>
      </c>
      <c r="K5460" s="692" t="s">
        <v>4060</v>
      </c>
    </row>
    <row r="5461" spans="1:11">
      <c r="A5461" s="688" t="s">
        <v>4070</v>
      </c>
      <c r="B5461" s="690" t="s">
        <v>4060</v>
      </c>
      <c r="C5461" s="690" t="s">
        <v>4060</v>
      </c>
      <c r="D5461" s="690" t="s">
        <v>4060</v>
      </c>
      <c r="E5461" s="689">
        <v>10.7</v>
      </c>
      <c r="F5461" s="690" t="s">
        <v>4060</v>
      </c>
      <c r="G5461" s="690" t="s">
        <v>4060</v>
      </c>
      <c r="H5461" s="690" t="s">
        <v>4060</v>
      </c>
      <c r="I5461" s="690" t="s">
        <v>4060</v>
      </c>
      <c r="J5461" s="690" t="s">
        <v>4060</v>
      </c>
      <c r="K5461" s="690" t="s">
        <v>4060</v>
      </c>
    </row>
    <row r="5462" spans="1:11">
      <c r="A5462" s="688" t="s">
        <v>2491</v>
      </c>
      <c r="B5462" s="691">
        <v>9.1</v>
      </c>
      <c r="C5462" s="691">
        <v>9.4</v>
      </c>
      <c r="D5462" s="691">
        <v>9.4</v>
      </c>
      <c r="E5462" s="691">
        <v>9.5</v>
      </c>
      <c r="F5462" s="691">
        <v>9.5</v>
      </c>
      <c r="G5462" s="691">
        <v>9.6</v>
      </c>
      <c r="H5462" s="692" t="s">
        <v>4060</v>
      </c>
      <c r="I5462" s="692" t="s">
        <v>4060</v>
      </c>
      <c r="J5462" s="692" t="s">
        <v>4060</v>
      </c>
      <c r="K5462" s="692" t="s">
        <v>4060</v>
      </c>
    </row>
    <row r="5463" spans="1:11">
      <c r="A5463" s="688" t="s">
        <v>2343</v>
      </c>
      <c r="B5463" s="690" t="s">
        <v>4060</v>
      </c>
      <c r="C5463" s="690" t="s">
        <v>4060</v>
      </c>
      <c r="D5463" s="690" t="s">
        <v>4060</v>
      </c>
      <c r="E5463" s="690" t="s">
        <v>4060</v>
      </c>
      <c r="F5463" s="690" t="s">
        <v>4060</v>
      </c>
      <c r="G5463" s="690" t="s">
        <v>4060</v>
      </c>
      <c r="H5463" s="690" t="s">
        <v>4060</v>
      </c>
      <c r="I5463" s="690" t="s">
        <v>4060</v>
      </c>
      <c r="J5463" s="690" t="s">
        <v>4060</v>
      </c>
      <c r="K5463" s="690" t="s">
        <v>4060</v>
      </c>
    </row>
    <row r="5464" spans="1:11">
      <c r="A5464" s="688" t="s">
        <v>4071</v>
      </c>
      <c r="B5464" s="692" t="s">
        <v>4060</v>
      </c>
      <c r="C5464" s="692" t="s">
        <v>4060</v>
      </c>
      <c r="D5464" s="692" t="s">
        <v>4060</v>
      </c>
      <c r="E5464" s="692" t="s">
        <v>4060</v>
      </c>
      <c r="F5464" s="692" t="s">
        <v>4060</v>
      </c>
      <c r="G5464" s="692" t="s">
        <v>4060</v>
      </c>
      <c r="H5464" s="692" t="s">
        <v>4060</v>
      </c>
      <c r="I5464" s="692" t="s">
        <v>4060</v>
      </c>
      <c r="J5464" s="692" t="s">
        <v>4060</v>
      </c>
      <c r="K5464" s="692" t="s">
        <v>4060</v>
      </c>
    </row>
    <row r="5465" spans="1:11">
      <c r="A5465" s="688" t="s">
        <v>2489</v>
      </c>
      <c r="B5465" s="690" t="s">
        <v>4060</v>
      </c>
      <c r="C5465" s="690" t="s">
        <v>4060</v>
      </c>
      <c r="D5465" s="689">
        <v>9.1</v>
      </c>
      <c r="E5465" s="689">
        <v>9.1</v>
      </c>
      <c r="F5465" s="689">
        <v>9.3000000000000007</v>
      </c>
      <c r="G5465" s="689">
        <v>9.6</v>
      </c>
      <c r="H5465" s="689">
        <v>9.6</v>
      </c>
      <c r="I5465" s="690" t="s">
        <v>4060</v>
      </c>
      <c r="J5465" s="690" t="s">
        <v>4060</v>
      </c>
      <c r="K5465" s="690" t="s">
        <v>4060</v>
      </c>
    </row>
    <row r="5466" spans="1:11">
      <c r="A5466" s="688" t="s">
        <v>2490</v>
      </c>
      <c r="B5466" s="691">
        <v>8.9</v>
      </c>
      <c r="C5466" s="691">
        <v>8.8000000000000007</v>
      </c>
      <c r="D5466" s="691">
        <v>9.5</v>
      </c>
      <c r="E5466" s="692" t="s">
        <v>4060</v>
      </c>
      <c r="F5466" s="691">
        <v>9.6999999999999993</v>
      </c>
      <c r="G5466" s="691">
        <v>9.6</v>
      </c>
      <c r="H5466" s="691">
        <v>10.3</v>
      </c>
      <c r="I5466" s="692" t="s">
        <v>4060</v>
      </c>
      <c r="J5466" s="692" t="s">
        <v>4060</v>
      </c>
      <c r="K5466" s="692" t="s">
        <v>4060</v>
      </c>
    </row>
    <row r="5468" spans="1:11">
      <c r="A5468" s="683" t="s">
        <v>4233</v>
      </c>
    </row>
    <row r="5469" spans="1:11">
      <c r="A5469" s="683" t="s">
        <v>4060</v>
      </c>
      <c r="B5469" s="682" t="s">
        <v>4234</v>
      </c>
    </row>
    <row r="5471" spans="1:11">
      <c r="A5471" s="682" t="s">
        <v>4248</v>
      </c>
    </row>
    <row r="5472" spans="1:11">
      <c r="A5472" s="682" t="s">
        <v>4210</v>
      </c>
      <c r="B5472" s="683" t="s">
        <v>4211</v>
      </c>
    </row>
    <row r="5473" spans="1:11">
      <c r="A5473" s="682" t="s">
        <v>4212</v>
      </c>
      <c r="B5473" s="682" t="s">
        <v>4213</v>
      </c>
    </row>
    <row r="5475" spans="1:11">
      <c r="A5475" s="683" t="s">
        <v>4214</v>
      </c>
      <c r="C5475" s="682" t="s">
        <v>4215</v>
      </c>
    </row>
    <row r="5476" spans="1:11">
      <c r="A5476" s="683" t="s">
        <v>4216</v>
      </c>
      <c r="C5476" s="682" t="s">
        <v>2967</v>
      </c>
    </row>
    <row r="5477" spans="1:11">
      <c r="A5477" s="683" t="s">
        <v>3893</v>
      </c>
      <c r="C5477" s="682" t="s">
        <v>4217</v>
      </c>
    </row>
    <row r="5478" spans="1:11">
      <c r="A5478" s="683" t="s">
        <v>4218</v>
      </c>
      <c r="C5478" s="682" t="s">
        <v>4311</v>
      </c>
    </row>
    <row r="5480" spans="1:11">
      <c r="A5480" s="684" t="s">
        <v>4220</v>
      </c>
      <c r="B5480" s="685" t="s">
        <v>4221</v>
      </c>
      <c r="C5480" s="685" t="s">
        <v>4222</v>
      </c>
      <c r="D5480" s="685" t="s">
        <v>4223</v>
      </c>
      <c r="E5480" s="685" t="s">
        <v>4224</v>
      </c>
      <c r="F5480" s="685" t="s">
        <v>4225</v>
      </c>
      <c r="G5480" s="685" t="s">
        <v>4226</v>
      </c>
      <c r="H5480" s="685" t="s">
        <v>4227</v>
      </c>
      <c r="I5480" s="685" t="s">
        <v>4228</v>
      </c>
      <c r="J5480" s="685" t="s">
        <v>4229</v>
      </c>
      <c r="K5480" s="685" t="s">
        <v>4230</v>
      </c>
    </row>
    <row r="5481" spans="1:11">
      <c r="A5481" s="686" t="s">
        <v>4231</v>
      </c>
      <c r="B5481" s="687" t="s">
        <v>4232</v>
      </c>
      <c r="C5481" s="687" t="s">
        <v>4232</v>
      </c>
      <c r="D5481" s="687" t="s">
        <v>4232</v>
      </c>
      <c r="E5481" s="687" t="s">
        <v>4232</v>
      </c>
      <c r="F5481" s="687" t="s">
        <v>4232</v>
      </c>
      <c r="G5481" s="687" t="s">
        <v>4232</v>
      </c>
      <c r="H5481" s="687" t="s">
        <v>4232</v>
      </c>
      <c r="I5481" s="687" t="s">
        <v>4232</v>
      </c>
      <c r="J5481" s="687" t="s">
        <v>4232</v>
      </c>
      <c r="K5481" s="687" t="s">
        <v>4232</v>
      </c>
    </row>
    <row r="5482" spans="1:11">
      <c r="A5482" s="688" t="s">
        <v>4064</v>
      </c>
      <c r="B5482" s="691">
        <v>11.1</v>
      </c>
      <c r="C5482" s="615">
        <v>11</v>
      </c>
      <c r="D5482" s="615">
        <v>11</v>
      </c>
      <c r="E5482" s="691">
        <v>11.1</v>
      </c>
      <c r="F5482" s="615">
        <v>11</v>
      </c>
      <c r="G5482" s="691">
        <v>11.1</v>
      </c>
      <c r="H5482" s="691">
        <v>11.3</v>
      </c>
      <c r="I5482" s="691">
        <v>10.7</v>
      </c>
      <c r="J5482" s="691">
        <v>10.7</v>
      </c>
      <c r="K5482" s="691">
        <v>10.8</v>
      </c>
    </row>
    <row r="5483" spans="1:11">
      <c r="A5483" s="688" t="s">
        <v>4065</v>
      </c>
      <c r="B5483" s="689">
        <v>11.1</v>
      </c>
      <c r="C5483" s="689">
        <v>11.4</v>
      </c>
      <c r="D5483" s="693">
        <v>11</v>
      </c>
      <c r="E5483" s="689">
        <v>11.4</v>
      </c>
      <c r="F5483" s="689">
        <v>11.2</v>
      </c>
      <c r="G5483" s="689">
        <v>11.3</v>
      </c>
      <c r="H5483" s="690" t="s">
        <v>4060</v>
      </c>
      <c r="I5483" s="690" t="s">
        <v>4060</v>
      </c>
      <c r="J5483" s="690" t="s">
        <v>4060</v>
      </c>
      <c r="K5483" s="690" t="s">
        <v>4060</v>
      </c>
    </row>
    <row r="5484" spans="1:11">
      <c r="A5484" s="688" t="s">
        <v>4063</v>
      </c>
      <c r="B5484" s="691">
        <v>11.1</v>
      </c>
      <c r="C5484" s="691">
        <v>11.4</v>
      </c>
      <c r="D5484" s="615">
        <v>11</v>
      </c>
      <c r="E5484" s="691">
        <v>11.4</v>
      </c>
      <c r="F5484" s="691">
        <v>11.2</v>
      </c>
      <c r="G5484" s="691">
        <v>11.3</v>
      </c>
      <c r="H5484" s="692" t="s">
        <v>4060</v>
      </c>
      <c r="I5484" s="692" t="s">
        <v>4060</v>
      </c>
      <c r="J5484" s="692" t="s">
        <v>4060</v>
      </c>
      <c r="K5484" s="692" t="s">
        <v>4060</v>
      </c>
    </row>
    <row r="5485" spans="1:11">
      <c r="A5485" s="688" t="s">
        <v>4069</v>
      </c>
      <c r="B5485" s="690" t="s">
        <v>4060</v>
      </c>
      <c r="C5485" s="689">
        <v>11.3</v>
      </c>
      <c r="D5485" s="689">
        <v>11.1</v>
      </c>
      <c r="E5485" s="689">
        <v>11.4</v>
      </c>
      <c r="F5485" s="689">
        <v>11.3</v>
      </c>
      <c r="G5485" s="689">
        <v>11.4</v>
      </c>
      <c r="H5485" s="689">
        <v>11.6</v>
      </c>
      <c r="I5485" s="693">
        <v>11</v>
      </c>
      <c r="J5485" s="689">
        <v>11.2</v>
      </c>
      <c r="K5485" s="689">
        <v>11.1</v>
      </c>
    </row>
    <row r="5486" spans="1:11">
      <c r="A5486" s="688" t="s">
        <v>4068</v>
      </c>
      <c r="B5486" s="691">
        <v>11.5</v>
      </c>
      <c r="C5486" s="692" t="s">
        <v>4060</v>
      </c>
      <c r="D5486" s="692" t="s">
        <v>4060</v>
      </c>
      <c r="E5486" s="692" t="s">
        <v>4060</v>
      </c>
      <c r="F5486" s="692" t="s">
        <v>4060</v>
      </c>
      <c r="G5486" s="692" t="s">
        <v>4060</v>
      </c>
      <c r="H5486" s="692" t="s">
        <v>4060</v>
      </c>
      <c r="I5486" s="692" t="s">
        <v>4060</v>
      </c>
      <c r="J5486" s="692" t="s">
        <v>4060</v>
      </c>
      <c r="K5486" s="692" t="s">
        <v>4060</v>
      </c>
    </row>
    <row r="5487" spans="1:11">
      <c r="A5487" s="688" t="s">
        <v>0</v>
      </c>
      <c r="B5487" s="689">
        <v>11.1</v>
      </c>
      <c r="C5487" s="689">
        <v>11.1</v>
      </c>
      <c r="D5487" s="689">
        <v>10.9</v>
      </c>
      <c r="E5487" s="689">
        <v>11.2</v>
      </c>
      <c r="F5487" s="689">
        <v>11.2</v>
      </c>
      <c r="G5487" s="689">
        <v>11.3</v>
      </c>
      <c r="H5487" s="689">
        <v>11.5</v>
      </c>
      <c r="I5487" s="689">
        <v>10.5</v>
      </c>
      <c r="J5487" s="689">
        <v>11.5</v>
      </c>
      <c r="K5487" s="689">
        <v>11.3</v>
      </c>
    </row>
    <row r="5488" spans="1:11">
      <c r="A5488" s="688" t="s">
        <v>1</v>
      </c>
      <c r="B5488" s="691">
        <v>8.6999999999999993</v>
      </c>
      <c r="C5488" s="691">
        <v>8.3000000000000007</v>
      </c>
      <c r="D5488" s="691">
        <v>8.3000000000000007</v>
      </c>
      <c r="E5488" s="691">
        <v>8.5</v>
      </c>
      <c r="F5488" s="691">
        <v>8.4</v>
      </c>
      <c r="G5488" s="691">
        <v>8.6</v>
      </c>
      <c r="H5488" s="691">
        <v>8.6</v>
      </c>
      <c r="I5488" s="691">
        <v>8.1</v>
      </c>
      <c r="J5488" s="691">
        <v>7.3</v>
      </c>
      <c r="K5488" s="691">
        <v>8.3000000000000007</v>
      </c>
    </row>
    <row r="5489" spans="1:11">
      <c r="A5489" s="688" t="s">
        <v>2240</v>
      </c>
      <c r="B5489" s="689">
        <v>9.6999999999999993</v>
      </c>
      <c r="C5489" s="689">
        <v>9.8000000000000007</v>
      </c>
      <c r="D5489" s="689">
        <v>9.6</v>
      </c>
      <c r="E5489" s="689">
        <v>9.9</v>
      </c>
      <c r="F5489" s="689">
        <v>9.9</v>
      </c>
      <c r="G5489" s="689">
        <v>9.9</v>
      </c>
      <c r="H5489" s="689">
        <v>10.1</v>
      </c>
      <c r="I5489" s="689">
        <v>9.1999999999999993</v>
      </c>
      <c r="J5489" s="689">
        <v>9.1</v>
      </c>
      <c r="K5489" s="689">
        <v>9.8000000000000007</v>
      </c>
    </row>
    <row r="5490" spans="1:11">
      <c r="A5490" s="688" t="s">
        <v>2</v>
      </c>
      <c r="B5490" s="691">
        <v>10.5</v>
      </c>
      <c r="C5490" s="691">
        <v>10.7</v>
      </c>
      <c r="D5490" s="691">
        <v>10.6</v>
      </c>
      <c r="E5490" s="691">
        <v>10.8</v>
      </c>
      <c r="F5490" s="691">
        <v>10.8</v>
      </c>
      <c r="G5490" s="691">
        <v>10.7</v>
      </c>
      <c r="H5490" s="615">
        <v>11</v>
      </c>
      <c r="I5490" s="615">
        <v>11</v>
      </c>
      <c r="J5490" s="691">
        <v>10.8</v>
      </c>
      <c r="K5490" s="691">
        <v>10.7</v>
      </c>
    </row>
    <row r="5491" spans="1:11">
      <c r="A5491" s="688" t="s">
        <v>3</v>
      </c>
      <c r="B5491" s="689">
        <v>10.7</v>
      </c>
      <c r="C5491" s="689">
        <v>10.8</v>
      </c>
      <c r="D5491" s="689">
        <v>10.6</v>
      </c>
      <c r="E5491" s="689">
        <v>10.9</v>
      </c>
      <c r="F5491" s="689">
        <v>10.8</v>
      </c>
      <c r="G5491" s="689">
        <v>10.8</v>
      </c>
      <c r="H5491" s="689">
        <v>11.1</v>
      </c>
      <c r="I5491" s="689">
        <v>10.9</v>
      </c>
      <c r="J5491" s="689">
        <v>10.8</v>
      </c>
      <c r="K5491" s="689">
        <v>10.6</v>
      </c>
    </row>
    <row r="5492" spans="1:11">
      <c r="A5492" s="688" t="s">
        <v>4061</v>
      </c>
      <c r="B5492" s="691">
        <v>10.7</v>
      </c>
      <c r="C5492" s="691">
        <v>10.8</v>
      </c>
      <c r="D5492" s="691">
        <v>10.6</v>
      </c>
      <c r="E5492" s="691">
        <v>10.9</v>
      </c>
      <c r="F5492" s="691">
        <v>10.8</v>
      </c>
      <c r="G5492" s="691">
        <v>10.8</v>
      </c>
      <c r="H5492" s="691">
        <v>11.1</v>
      </c>
      <c r="I5492" s="691">
        <v>10.9</v>
      </c>
      <c r="J5492" s="691">
        <v>10.8</v>
      </c>
      <c r="K5492" s="691">
        <v>10.6</v>
      </c>
    </row>
    <row r="5493" spans="1:11">
      <c r="A5493" s="688" t="s">
        <v>4</v>
      </c>
      <c r="B5493" s="689">
        <v>10.4</v>
      </c>
      <c r="C5493" s="689">
        <v>10.199999999999999</v>
      </c>
      <c r="D5493" s="689">
        <v>10.3</v>
      </c>
      <c r="E5493" s="689">
        <v>10.4</v>
      </c>
      <c r="F5493" s="689">
        <v>10.4</v>
      </c>
      <c r="G5493" s="689">
        <v>10.5</v>
      </c>
      <c r="H5493" s="689">
        <v>10.7</v>
      </c>
      <c r="I5493" s="689">
        <v>10.8</v>
      </c>
      <c r="J5493" s="689">
        <v>9.9</v>
      </c>
      <c r="K5493" s="689">
        <v>10.3</v>
      </c>
    </row>
    <row r="5494" spans="1:11">
      <c r="A5494" s="688" t="s">
        <v>8</v>
      </c>
      <c r="B5494" s="691">
        <v>10.6</v>
      </c>
      <c r="C5494" s="691">
        <v>10.7</v>
      </c>
      <c r="D5494" s="691">
        <v>10.6</v>
      </c>
      <c r="E5494" s="691">
        <v>10.7</v>
      </c>
      <c r="F5494" s="691">
        <v>10.9</v>
      </c>
      <c r="G5494" s="691">
        <v>11.1</v>
      </c>
      <c r="H5494" s="691">
        <v>11.2</v>
      </c>
      <c r="I5494" s="691">
        <v>11.1</v>
      </c>
      <c r="J5494" s="615">
        <v>11</v>
      </c>
      <c r="K5494" s="691">
        <v>11.1</v>
      </c>
    </row>
    <row r="5495" spans="1:11">
      <c r="A5495" s="688" t="s">
        <v>7</v>
      </c>
      <c r="B5495" s="689">
        <v>11.2</v>
      </c>
      <c r="C5495" s="689">
        <v>10.6</v>
      </c>
      <c r="D5495" s="689">
        <v>10.5</v>
      </c>
      <c r="E5495" s="689">
        <v>10.8</v>
      </c>
      <c r="F5495" s="689">
        <v>10.7</v>
      </c>
      <c r="G5495" s="689">
        <v>11.1</v>
      </c>
      <c r="H5495" s="693">
        <v>11</v>
      </c>
      <c r="I5495" s="689">
        <v>10.9</v>
      </c>
      <c r="J5495" s="689">
        <v>10.5</v>
      </c>
      <c r="K5495" s="689">
        <v>10.6</v>
      </c>
    </row>
    <row r="5496" spans="1:11">
      <c r="A5496" s="688" t="s">
        <v>27</v>
      </c>
      <c r="B5496" s="691">
        <v>12.3</v>
      </c>
      <c r="C5496" s="691">
        <v>11.8</v>
      </c>
      <c r="D5496" s="691">
        <v>11.5</v>
      </c>
      <c r="E5496" s="691">
        <v>11.9</v>
      </c>
      <c r="F5496" s="691">
        <v>11.8</v>
      </c>
      <c r="G5496" s="691">
        <v>11.9</v>
      </c>
      <c r="H5496" s="691">
        <v>12.2</v>
      </c>
      <c r="I5496" s="691">
        <v>11.2</v>
      </c>
      <c r="J5496" s="691">
        <v>11.9</v>
      </c>
      <c r="K5496" s="691">
        <v>11.8</v>
      </c>
    </row>
    <row r="5497" spans="1:11">
      <c r="A5497" s="688" t="s">
        <v>6</v>
      </c>
      <c r="B5497" s="689">
        <v>12.6</v>
      </c>
      <c r="C5497" s="689">
        <v>12.3</v>
      </c>
      <c r="D5497" s="689">
        <v>12.1</v>
      </c>
      <c r="E5497" s="689">
        <v>12.3</v>
      </c>
      <c r="F5497" s="689">
        <v>12.3</v>
      </c>
      <c r="G5497" s="689">
        <v>12.4</v>
      </c>
      <c r="H5497" s="689">
        <v>12.5</v>
      </c>
      <c r="I5497" s="693">
        <v>12</v>
      </c>
      <c r="J5497" s="689">
        <v>12.2</v>
      </c>
      <c r="K5497" s="689">
        <v>12.2</v>
      </c>
    </row>
    <row r="5498" spans="1:11">
      <c r="A5498" s="688" t="s">
        <v>4058</v>
      </c>
      <c r="B5498" s="692" t="s">
        <v>4060</v>
      </c>
      <c r="C5498" s="692" t="s">
        <v>4060</v>
      </c>
      <c r="D5498" s="692" t="s">
        <v>4060</v>
      </c>
      <c r="E5498" s="692" t="s">
        <v>4060</v>
      </c>
      <c r="F5498" s="692" t="s">
        <v>4060</v>
      </c>
      <c r="G5498" s="692" t="s">
        <v>4060</v>
      </c>
      <c r="H5498" s="692" t="s">
        <v>4060</v>
      </c>
      <c r="I5498" s="692" t="s">
        <v>4060</v>
      </c>
      <c r="J5498" s="692" t="s">
        <v>4060</v>
      </c>
      <c r="K5498" s="692" t="s">
        <v>4060</v>
      </c>
    </row>
    <row r="5499" spans="1:11">
      <c r="A5499" s="688" t="s">
        <v>11</v>
      </c>
      <c r="B5499" s="689">
        <v>9.3000000000000007</v>
      </c>
      <c r="C5499" s="689">
        <v>9.1</v>
      </c>
      <c r="D5499" s="689">
        <v>8.9</v>
      </c>
      <c r="E5499" s="689">
        <v>9.1999999999999993</v>
      </c>
      <c r="F5499" s="689">
        <v>9.1</v>
      </c>
      <c r="G5499" s="689">
        <v>9.1999999999999993</v>
      </c>
      <c r="H5499" s="689">
        <v>9.4</v>
      </c>
      <c r="I5499" s="689">
        <v>8.9</v>
      </c>
      <c r="J5499" s="689">
        <v>8.5</v>
      </c>
      <c r="K5499" s="689">
        <v>8.9</v>
      </c>
    </row>
    <row r="5500" spans="1:11">
      <c r="A5500" s="688" t="s">
        <v>10</v>
      </c>
      <c r="B5500" s="691">
        <v>11.8</v>
      </c>
      <c r="C5500" s="691">
        <v>11.5</v>
      </c>
      <c r="D5500" s="691">
        <v>11.2</v>
      </c>
      <c r="E5500" s="691">
        <v>11.6</v>
      </c>
      <c r="F5500" s="691">
        <v>11.4</v>
      </c>
      <c r="G5500" s="691">
        <v>11.7</v>
      </c>
      <c r="H5500" s="691">
        <v>11.8</v>
      </c>
      <c r="I5500" s="691">
        <v>10.9</v>
      </c>
      <c r="J5500" s="691">
        <v>11.3</v>
      </c>
      <c r="K5500" s="691">
        <v>11.2</v>
      </c>
    </row>
    <row r="5501" spans="1:11">
      <c r="A5501" s="688" t="s">
        <v>30</v>
      </c>
      <c r="B5501" s="689">
        <v>10.9</v>
      </c>
      <c r="C5501" s="689">
        <v>10.5</v>
      </c>
      <c r="D5501" s="689">
        <v>10.3</v>
      </c>
      <c r="E5501" s="689">
        <v>10.9</v>
      </c>
      <c r="F5501" s="689">
        <v>10.6</v>
      </c>
      <c r="G5501" s="689">
        <v>11.1</v>
      </c>
      <c r="H5501" s="689">
        <v>10.9</v>
      </c>
      <c r="I5501" s="689">
        <v>11.1</v>
      </c>
      <c r="J5501" s="689">
        <v>10.8</v>
      </c>
      <c r="K5501" s="689">
        <v>10.6</v>
      </c>
    </row>
    <row r="5502" spans="1:11">
      <c r="A5502" s="688" t="s">
        <v>12</v>
      </c>
      <c r="B5502" s="691">
        <v>9.6</v>
      </c>
      <c r="C5502" s="691">
        <v>9.4</v>
      </c>
      <c r="D5502" s="691">
        <v>9.4</v>
      </c>
      <c r="E5502" s="691">
        <v>9.5</v>
      </c>
      <c r="F5502" s="691">
        <v>9.5</v>
      </c>
      <c r="G5502" s="691">
        <v>9.6</v>
      </c>
      <c r="H5502" s="691">
        <v>9.8000000000000007</v>
      </c>
      <c r="I5502" s="691">
        <v>9.6</v>
      </c>
      <c r="J5502" s="691">
        <v>8.6999999999999993</v>
      </c>
      <c r="K5502" s="691">
        <v>9.3000000000000007</v>
      </c>
    </row>
    <row r="5503" spans="1:11">
      <c r="A5503" s="688" t="s">
        <v>14</v>
      </c>
      <c r="B5503" s="689">
        <v>9.6</v>
      </c>
      <c r="C5503" s="689">
        <v>9.5</v>
      </c>
      <c r="D5503" s="689">
        <v>9.3000000000000007</v>
      </c>
      <c r="E5503" s="689">
        <v>9.4</v>
      </c>
      <c r="F5503" s="689">
        <v>9.4</v>
      </c>
      <c r="G5503" s="689">
        <v>9.5</v>
      </c>
      <c r="H5503" s="689">
        <v>9.8000000000000007</v>
      </c>
      <c r="I5503" s="689">
        <v>9.3000000000000007</v>
      </c>
      <c r="J5503" s="689">
        <v>8.9</v>
      </c>
      <c r="K5503" s="689">
        <v>9.5</v>
      </c>
    </row>
    <row r="5504" spans="1:11">
      <c r="A5504" s="688" t="s">
        <v>15</v>
      </c>
      <c r="B5504" s="691">
        <v>11.7</v>
      </c>
      <c r="C5504" s="691">
        <v>11.4</v>
      </c>
      <c r="D5504" s="691">
        <v>11.2</v>
      </c>
      <c r="E5504" s="691">
        <v>11.5</v>
      </c>
      <c r="F5504" s="691">
        <v>11.4</v>
      </c>
      <c r="G5504" s="691">
        <v>11.3</v>
      </c>
      <c r="H5504" s="691">
        <v>11.5</v>
      </c>
      <c r="I5504" s="691">
        <v>11.1</v>
      </c>
      <c r="J5504" s="691">
        <v>11.4</v>
      </c>
      <c r="K5504" s="691">
        <v>11.6</v>
      </c>
    </row>
    <row r="5505" spans="1:11">
      <c r="A5505" s="688" t="s">
        <v>29</v>
      </c>
      <c r="B5505" s="689">
        <v>9.1999999999999993</v>
      </c>
      <c r="C5505" s="689">
        <v>9.1999999999999993</v>
      </c>
      <c r="D5505" s="693">
        <v>9</v>
      </c>
      <c r="E5505" s="689">
        <v>9.3000000000000007</v>
      </c>
      <c r="F5505" s="689">
        <v>9.1</v>
      </c>
      <c r="G5505" s="689">
        <v>9.1999999999999993</v>
      </c>
      <c r="H5505" s="689">
        <v>9.3000000000000007</v>
      </c>
      <c r="I5505" s="689">
        <v>8.9</v>
      </c>
      <c r="J5505" s="689">
        <v>8.6</v>
      </c>
      <c r="K5505" s="689">
        <v>9.1</v>
      </c>
    </row>
    <row r="5506" spans="1:11">
      <c r="A5506" s="688" t="s">
        <v>16</v>
      </c>
      <c r="B5506" s="691">
        <v>10.9</v>
      </c>
      <c r="C5506" s="615">
        <v>11</v>
      </c>
      <c r="D5506" s="691">
        <v>10.7</v>
      </c>
      <c r="E5506" s="691">
        <v>11.3</v>
      </c>
      <c r="F5506" s="691">
        <v>10.9</v>
      </c>
      <c r="G5506" s="691">
        <v>11.1</v>
      </c>
      <c r="H5506" s="691">
        <v>11.2</v>
      </c>
      <c r="I5506" s="691">
        <v>10.8</v>
      </c>
      <c r="J5506" s="691">
        <v>10.9</v>
      </c>
      <c r="K5506" s="615">
        <v>11</v>
      </c>
    </row>
    <row r="5507" spans="1:11">
      <c r="A5507" s="688" t="s">
        <v>17</v>
      </c>
      <c r="B5507" s="689">
        <v>10.9</v>
      </c>
      <c r="C5507" s="689">
        <v>10.9</v>
      </c>
      <c r="D5507" s="689">
        <v>10.7</v>
      </c>
      <c r="E5507" s="689">
        <v>10.8</v>
      </c>
      <c r="F5507" s="689">
        <v>10.8</v>
      </c>
      <c r="G5507" s="689">
        <v>10.9</v>
      </c>
      <c r="H5507" s="693">
        <v>11</v>
      </c>
      <c r="I5507" s="689">
        <v>10.5</v>
      </c>
      <c r="J5507" s="689">
        <v>10.6</v>
      </c>
      <c r="K5507" s="689">
        <v>10.7</v>
      </c>
    </row>
    <row r="5508" spans="1:11">
      <c r="A5508" s="688" t="s">
        <v>19</v>
      </c>
      <c r="B5508" s="691">
        <v>11.1</v>
      </c>
      <c r="C5508" s="691">
        <v>11.1</v>
      </c>
      <c r="D5508" s="691">
        <v>10.9</v>
      </c>
      <c r="E5508" s="691">
        <v>11.2</v>
      </c>
      <c r="F5508" s="691">
        <v>11.1</v>
      </c>
      <c r="G5508" s="691">
        <v>11.2</v>
      </c>
      <c r="H5508" s="691">
        <v>11.3</v>
      </c>
      <c r="I5508" s="691">
        <v>10.8</v>
      </c>
      <c r="J5508" s="691">
        <v>10.9</v>
      </c>
      <c r="K5508" s="691">
        <v>10.9</v>
      </c>
    </row>
    <row r="5509" spans="1:11">
      <c r="A5509" s="688" t="s">
        <v>20</v>
      </c>
      <c r="B5509" s="689">
        <v>10.3</v>
      </c>
      <c r="C5509" s="689">
        <v>10.3</v>
      </c>
      <c r="D5509" s="689">
        <v>10.1</v>
      </c>
      <c r="E5509" s="689">
        <v>10.4</v>
      </c>
      <c r="F5509" s="689">
        <v>10.3</v>
      </c>
      <c r="G5509" s="689">
        <v>10.3</v>
      </c>
      <c r="H5509" s="689">
        <v>10.5</v>
      </c>
      <c r="I5509" s="689">
        <v>9.6</v>
      </c>
      <c r="J5509" s="689">
        <v>9.1</v>
      </c>
      <c r="K5509" s="689">
        <v>9.9</v>
      </c>
    </row>
    <row r="5510" spans="1:11">
      <c r="A5510" s="688" t="s">
        <v>21</v>
      </c>
      <c r="B5510" s="691">
        <v>10.9</v>
      </c>
      <c r="C5510" s="691">
        <v>11.1</v>
      </c>
      <c r="D5510" s="615">
        <v>11</v>
      </c>
      <c r="E5510" s="691">
        <v>11.1</v>
      </c>
      <c r="F5510" s="691">
        <v>11.3</v>
      </c>
      <c r="G5510" s="691">
        <v>11.2</v>
      </c>
      <c r="H5510" s="691">
        <v>11.5</v>
      </c>
      <c r="I5510" s="615">
        <v>11</v>
      </c>
      <c r="J5510" s="691">
        <v>11.1</v>
      </c>
      <c r="K5510" s="691">
        <v>11.2</v>
      </c>
    </row>
    <row r="5511" spans="1:11">
      <c r="A5511" s="688" t="s">
        <v>22</v>
      </c>
      <c r="B5511" s="689">
        <v>9.1</v>
      </c>
      <c r="C5511" s="689">
        <v>8.9</v>
      </c>
      <c r="D5511" s="689">
        <v>8.8000000000000007</v>
      </c>
      <c r="E5511" s="689">
        <v>9.1</v>
      </c>
      <c r="F5511" s="689">
        <v>9.1</v>
      </c>
      <c r="G5511" s="689">
        <v>9.1999999999999993</v>
      </c>
      <c r="H5511" s="689">
        <v>9.5</v>
      </c>
      <c r="I5511" s="689">
        <v>8.6999999999999993</v>
      </c>
      <c r="J5511" s="689">
        <v>7.9</v>
      </c>
      <c r="K5511" s="689">
        <v>8.6999999999999993</v>
      </c>
    </row>
    <row r="5512" spans="1:11">
      <c r="A5512" s="688" t="s">
        <v>26</v>
      </c>
      <c r="B5512" s="615">
        <v>11</v>
      </c>
      <c r="C5512" s="691">
        <v>10.7</v>
      </c>
      <c r="D5512" s="691">
        <v>10.7</v>
      </c>
      <c r="E5512" s="691">
        <v>10.9</v>
      </c>
      <c r="F5512" s="691">
        <v>10.8</v>
      </c>
      <c r="G5512" s="615">
        <v>11</v>
      </c>
      <c r="H5512" s="691">
        <v>11.2</v>
      </c>
      <c r="I5512" s="691">
        <v>10.1</v>
      </c>
      <c r="J5512" s="691">
        <v>10.6</v>
      </c>
      <c r="K5512" s="691">
        <v>10.8</v>
      </c>
    </row>
    <row r="5513" spans="1:11">
      <c r="A5513" s="688" t="s">
        <v>25</v>
      </c>
      <c r="B5513" s="689">
        <v>9.1999999999999993</v>
      </c>
      <c r="C5513" s="689">
        <v>9.4</v>
      </c>
      <c r="D5513" s="689">
        <v>9.1999999999999993</v>
      </c>
      <c r="E5513" s="689">
        <v>9.6</v>
      </c>
      <c r="F5513" s="689">
        <v>9.4</v>
      </c>
      <c r="G5513" s="689">
        <v>9.6</v>
      </c>
      <c r="H5513" s="693">
        <v>10</v>
      </c>
      <c r="I5513" s="689">
        <v>9.4</v>
      </c>
      <c r="J5513" s="689">
        <v>8.3000000000000007</v>
      </c>
      <c r="K5513" s="689">
        <v>9.3000000000000007</v>
      </c>
    </row>
    <row r="5514" spans="1:11">
      <c r="A5514" s="688" t="s">
        <v>5</v>
      </c>
      <c r="B5514" s="691">
        <v>11.3</v>
      </c>
      <c r="C5514" s="615">
        <v>11</v>
      </c>
      <c r="D5514" s="615">
        <v>11</v>
      </c>
      <c r="E5514" s="615">
        <v>11</v>
      </c>
      <c r="F5514" s="691">
        <v>11.2</v>
      </c>
      <c r="G5514" s="691">
        <v>11.2</v>
      </c>
      <c r="H5514" s="691">
        <v>11.4</v>
      </c>
      <c r="I5514" s="691">
        <v>11.4</v>
      </c>
      <c r="J5514" s="691">
        <v>11.3</v>
      </c>
      <c r="K5514" s="691">
        <v>10.8</v>
      </c>
    </row>
    <row r="5515" spans="1:11">
      <c r="A5515" s="688" t="s">
        <v>23</v>
      </c>
      <c r="B5515" s="693">
        <v>11</v>
      </c>
      <c r="C5515" s="689">
        <v>11.1</v>
      </c>
      <c r="D5515" s="689">
        <v>11.1</v>
      </c>
      <c r="E5515" s="689">
        <v>11.1</v>
      </c>
      <c r="F5515" s="689">
        <v>11.1</v>
      </c>
      <c r="G5515" s="689">
        <v>11.2</v>
      </c>
      <c r="H5515" s="689">
        <v>11.5</v>
      </c>
      <c r="I5515" s="693">
        <v>11</v>
      </c>
      <c r="J5515" s="689">
        <v>11.5</v>
      </c>
      <c r="K5515" s="689">
        <v>11.4</v>
      </c>
    </row>
    <row r="5516" spans="1:11">
      <c r="A5516" s="688" t="s">
        <v>4067</v>
      </c>
      <c r="B5516" s="691">
        <v>11.1</v>
      </c>
      <c r="C5516" s="691">
        <v>11.4</v>
      </c>
      <c r="D5516" s="615">
        <v>11</v>
      </c>
      <c r="E5516" s="691">
        <v>11.4</v>
      </c>
      <c r="F5516" s="691">
        <v>11.2</v>
      </c>
      <c r="G5516" s="691">
        <v>11.3</v>
      </c>
      <c r="H5516" s="692" t="s">
        <v>4060</v>
      </c>
      <c r="I5516" s="692" t="s">
        <v>4060</v>
      </c>
      <c r="J5516" s="692" t="s">
        <v>4060</v>
      </c>
      <c r="K5516" s="692" t="s">
        <v>4060</v>
      </c>
    </row>
    <row r="5517" spans="1:11">
      <c r="A5517" s="688" t="s">
        <v>4066</v>
      </c>
      <c r="B5517" s="689">
        <v>11.1</v>
      </c>
      <c r="C5517" s="689">
        <v>11.4</v>
      </c>
      <c r="D5517" s="693">
        <v>11</v>
      </c>
      <c r="E5517" s="689">
        <v>11.4</v>
      </c>
      <c r="F5517" s="689">
        <v>11.2</v>
      </c>
      <c r="G5517" s="689">
        <v>11.3</v>
      </c>
      <c r="H5517" s="690" t="s">
        <v>4060</v>
      </c>
      <c r="I5517" s="690" t="s">
        <v>4060</v>
      </c>
      <c r="J5517" s="690" t="s">
        <v>4060</v>
      </c>
      <c r="K5517" s="690" t="s">
        <v>4060</v>
      </c>
    </row>
    <row r="5518" spans="1:11">
      <c r="A5518" s="688" t="s">
        <v>4062</v>
      </c>
      <c r="B5518" s="691">
        <v>11.5</v>
      </c>
      <c r="C5518" s="691">
        <v>11.5</v>
      </c>
      <c r="D5518" s="691">
        <v>11.3</v>
      </c>
      <c r="E5518" s="691">
        <v>11.6</v>
      </c>
      <c r="F5518" s="691">
        <v>11.6</v>
      </c>
      <c r="G5518" s="691">
        <v>11.7</v>
      </c>
      <c r="H5518" s="691">
        <v>11.8</v>
      </c>
      <c r="I5518" s="691">
        <v>11.4</v>
      </c>
      <c r="J5518" s="691">
        <v>11.8</v>
      </c>
      <c r="K5518" s="691">
        <v>11.5</v>
      </c>
    </row>
    <row r="5519" spans="1:11">
      <c r="A5519" s="688" t="s">
        <v>9</v>
      </c>
      <c r="B5519" s="693">
        <v>11</v>
      </c>
      <c r="C5519" s="689">
        <v>11.2</v>
      </c>
      <c r="D5519" s="693">
        <v>11</v>
      </c>
      <c r="E5519" s="689">
        <v>10.9</v>
      </c>
      <c r="F5519" s="693">
        <v>11</v>
      </c>
      <c r="G5519" s="689">
        <v>11.1</v>
      </c>
      <c r="H5519" s="689">
        <v>11.3</v>
      </c>
      <c r="I5519" s="689">
        <v>11.5</v>
      </c>
      <c r="J5519" s="689">
        <v>11.7</v>
      </c>
      <c r="K5519" s="689">
        <v>10.8</v>
      </c>
    </row>
    <row r="5520" spans="1:11">
      <c r="A5520" s="688" t="s">
        <v>13</v>
      </c>
      <c r="B5520" s="691">
        <v>11.5</v>
      </c>
      <c r="C5520" s="691">
        <v>10.5</v>
      </c>
      <c r="D5520" s="615">
        <v>11</v>
      </c>
      <c r="E5520" s="691">
        <v>11.5</v>
      </c>
      <c r="F5520" s="615">
        <v>12</v>
      </c>
      <c r="G5520" s="691">
        <v>11.1</v>
      </c>
      <c r="H5520" s="691">
        <v>11.7</v>
      </c>
      <c r="I5520" s="691">
        <v>10.199999999999999</v>
      </c>
      <c r="J5520" s="691">
        <v>12.1</v>
      </c>
      <c r="K5520" s="615">
        <v>12</v>
      </c>
    </row>
    <row r="5521" spans="1:11">
      <c r="A5521" s="688" t="s">
        <v>18</v>
      </c>
      <c r="B5521" s="689">
        <v>11.1</v>
      </c>
      <c r="C5521" s="689">
        <v>11.1</v>
      </c>
      <c r="D5521" s="689">
        <v>11.1</v>
      </c>
      <c r="E5521" s="689">
        <v>11.2</v>
      </c>
      <c r="F5521" s="689">
        <v>11.3</v>
      </c>
      <c r="G5521" s="689">
        <v>11.3</v>
      </c>
      <c r="H5521" s="689">
        <v>11.5</v>
      </c>
      <c r="I5521" s="689">
        <v>11.6</v>
      </c>
      <c r="J5521" s="689">
        <v>11.5</v>
      </c>
      <c r="K5521" s="689">
        <v>11.1</v>
      </c>
    </row>
    <row r="5522" spans="1:11">
      <c r="A5522" s="688" t="s">
        <v>24</v>
      </c>
      <c r="B5522" s="691">
        <v>11.7</v>
      </c>
      <c r="C5522" s="691">
        <v>11.7</v>
      </c>
      <c r="D5522" s="691">
        <v>11.5</v>
      </c>
      <c r="E5522" s="691">
        <v>11.9</v>
      </c>
      <c r="F5522" s="691">
        <v>11.8</v>
      </c>
      <c r="G5522" s="691">
        <v>11.9</v>
      </c>
      <c r="H5522" s="615">
        <v>12</v>
      </c>
      <c r="I5522" s="691">
        <v>11.4</v>
      </c>
      <c r="J5522" s="615">
        <v>12</v>
      </c>
      <c r="K5522" s="691">
        <v>11.8</v>
      </c>
    </row>
    <row r="5523" spans="1:11">
      <c r="A5523" s="688" t="s">
        <v>4059</v>
      </c>
      <c r="B5523" s="693">
        <v>11</v>
      </c>
      <c r="C5523" s="689">
        <v>11.3</v>
      </c>
      <c r="D5523" s="689">
        <v>10.9</v>
      </c>
      <c r="E5523" s="689">
        <v>11.2</v>
      </c>
      <c r="F5523" s="689">
        <v>11.1</v>
      </c>
      <c r="G5523" s="689">
        <v>11.2</v>
      </c>
      <c r="H5523" s="690" t="s">
        <v>4060</v>
      </c>
      <c r="I5523" s="690" t="s">
        <v>4060</v>
      </c>
      <c r="J5523" s="690" t="s">
        <v>4060</v>
      </c>
      <c r="K5523" s="690" t="s">
        <v>4060</v>
      </c>
    </row>
    <row r="5524" spans="1:11">
      <c r="A5524" s="688" t="s">
        <v>2324</v>
      </c>
      <c r="B5524" s="691">
        <v>8.6999999999999993</v>
      </c>
      <c r="C5524" s="691">
        <v>8.6999999999999993</v>
      </c>
      <c r="D5524" s="691">
        <v>8.3000000000000007</v>
      </c>
      <c r="E5524" s="691">
        <v>8.5</v>
      </c>
      <c r="F5524" s="691">
        <v>8.6999999999999993</v>
      </c>
      <c r="G5524" s="691">
        <v>8.6999999999999993</v>
      </c>
      <c r="H5524" s="691">
        <v>8.8000000000000007</v>
      </c>
      <c r="I5524" s="691">
        <v>8.1999999999999993</v>
      </c>
      <c r="J5524" s="691">
        <v>6.7</v>
      </c>
      <c r="K5524" s="692" t="s">
        <v>4060</v>
      </c>
    </row>
    <row r="5525" spans="1:11">
      <c r="A5525" s="688" t="s">
        <v>2322</v>
      </c>
      <c r="B5525" s="690" t="s">
        <v>4060</v>
      </c>
      <c r="C5525" s="690" t="s">
        <v>4060</v>
      </c>
      <c r="D5525" s="690" t="s">
        <v>4060</v>
      </c>
      <c r="E5525" s="690" t="s">
        <v>4060</v>
      </c>
      <c r="F5525" s="690" t="s">
        <v>4060</v>
      </c>
      <c r="G5525" s="690" t="s">
        <v>4060</v>
      </c>
      <c r="H5525" s="690" t="s">
        <v>4060</v>
      </c>
      <c r="I5525" s="690" t="s">
        <v>4060</v>
      </c>
      <c r="J5525" s="690" t="s">
        <v>4060</v>
      </c>
      <c r="K5525" s="690" t="s">
        <v>4060</v>
      </c>
    </row>
    <row r="5526" spans="1:11">
      <c r="A5526" s="688" t="s">
        <v>2328</v>
      </c>
      <c r="B5526" s="691">
        <v>7.7</v>
      </c>
      <c r="C5526" s="691">
        <v>7.7</v>
      </c>
      <c r="D5526" s="691">
        <v>7.5</v>
      </c>
      <c r="E5526" s="691">
        <v>7.8</v>
      </c>
      <c r="F5526" s="691">
        <v>7.8</v>
      </c>
      <c r="G5526" s="691">
        <v>8.1999999999999993</v>
      </c>
      <c r="H5526" s="615">
        <v>8</v>
      </c>
      <c r="I5526" s="691">
        <v>7.2</v>
      </c>
      <c r="J5526" s="691">
        <v>6.9</v>
      </c>
      <c r="K5526" s="692" t="s">
        <v>4060</v>
      </c>
    </row>
    <row r="5527" spans="1:11">
      <c r="A5527" s="688" t="s">
        <v>2496</v>
      </c>
      <c r="B5527" s="690" t="s">
        <v>4060</v>
      </c>
      <c r="C5527" s="689">
        <v>9.1</v>
      </c>
      <c r="D5527" s="693">
        <v>8</v>
      </c>
      <c r="E5527" s="689">
        <v>7.5</v>
      </c>
      <c r="F5527" s="689">
        <v>7.8</v>
      </c>
      <c r="G5527" s="693">
        <v>8</v>
      </c>
      <c r="H5527" s="689">
        <v>7.9</v>
      </c>
      <c r="I5527" s="690" t="s">
        <v>4060</v>
      </c>
      <c r="J5527" s="690" t="s">
        <v>4060</v>
      </c>
      <c r="K5527" s="689">
        <v>7.6</v>
      </c>
    </row>
    <row r="5528" spans="1:11">
      <c r="A5528" s="688" t="s">
        <v>2269</v>
      </c>
      <c r="B5528" s="691">
        <v>8.6999999999999993</v>
      </c>
      <c r="C5528" s="691">
        <v>8.6999999999999993</v>
      </c>
      <c r="D5528" s="691">
        <v>8.1999999999999993</v>
      </c>
      <c r="E5528" s="691">
        <v>8.5</v>
      </c>
      <c r="F5528" s="691">
        <v>8.4</v>
      </c>
      <c r="G5528" s="691">
        <v>8.8000000000000007</v>
      </c>
      <c r="H5528" s="615">
        <v>9</v>
      </c>
      <c r="I5528" s="615">
        <v>8</v>
      </c>
      <c r="J5528" s="615">
        <v>6</v>
      </c>
      <c r="K5528" s="691">
        <v>8.6999999999999993</v>
      </c>
    </row>
    <row r="5529" spans="1:11">
      <c r="A5529" s="688" t="s">
        <v>2349</v>
      </c>
      <c r="B5529" s="689">
        <v>8.1</v>
      </c>
      <c r="C5529" s="689">
        <v>8.1999999999999993</v>
      </c>
      <c r="D5529" s="689">
        <v>8.1</v>
      </c>
      <c r="E5529" s="689">
        <v>8.4</v>
      </c>
      <c r="F5529" s="689">
        <v>8.3000000000000007</v>
      </c>
      <c r="G5529" s="689">
        <v>8.5</v>
      </c>
      <c r="H5529" s="689">
        <v>8.6999999999999993</v>
      </c>
      <c r="I5529" s="693">
        <v>8</v>
      </c>
      <c r="J5529" s="693">
        <v>7</v>
      </c>
      <c r="K5529" s="689">
        <v>7.9</v>
      </c>
    </row>
    <row r="5530" spans="1:11">
      <c r="A5530" s="688" t="s">
        <v>2355</v>
      </c>
      <c r="B5530" s="691">
        <v>10.199999999999999</v>
      </c>
      <c r="C5530" s="615">
        <v>10</v>
      </c>
      <c r="D5530" s="691">
        <v>9.9</v>
      </c>
      <c r="E5530" s="691">
        <v>9.8000000000000007</v>
      </c>
      <c r="F5530" s="691">
        <v>9.9</v>
      </c>
      <c r="G5530" s="691">
        <v>10.1</v>
      </c>
      <c r="H5530" s="691">
        <v>10.1</v>
      </c>
      <c r="I5530" s="692" t="s">
        <v>4060</v>
      </c>
      <c r="J5530" s="692" t="s">
        <v>4060</v>
      </c>
      <c r="K5530" s="692" t="s">
        <v>4060</v>
      </c>
    </row>
    <row r="5531" spans="1:11">
      <c r="A5531" s="688" t="s">
        <v>2357</v>
      </c>
      <c r="B5531" s="690" t="s">
        <v>4060</v>
      </c>
      <c r="C5531" s="689">
        <v>8.5</v>
      </c>
      <c r="D5531" s="689">
        <v>8.8000000000000007</v>
      </c>
      <c r="E5531" s="693">
        <v>9</v>
      </c>
      <c r="F5531" s="689">
        <v>9.1999999999999993</v>
      </c>
      <c r="G5531" s="689">
        <v>8.9</v>
      </c>
      <c r="H5531" s="689">
        <v>9.1</v>
      </c>
      <c r="I5531" s="690" t="s">
        <v>4060</v>
      </c>
      <c r="J5531" s="690" t="s">
        <v>4060</v>
      </c>
      <c r="K5531" s="690" t="s">
        <v>4060</v>
      </c>
    </row>
    <row r="5532" spans="1:11">
      <c r="A5532" s="688" t="s">
        <v>4070</v>
      </c>
      <c r="B5532" s="692" t="s">
        <v>4060</v>
      </c>
      <c r="C5532" s="692" t="s">
        <v>4060</v>
      </c>
      <c r="D5532" s="692" t="s">
        <v>4060</v>
      </c>
      <c r="E5532" s="691">
        <v>10.199999999999999</v>
      </c>
      <c r="F5532" s="692" t="s">
        <v>4060</v>
      </c>
      <c r="G5532" s="692" t="s">
        <v>4060</v>
      </c>
      <c r="H5532" s="692" t="s">
        <v>4060</v>
      </c>
      <c r="I5532" s="692" t="s">
        <v>4060</v>
      </c>
      <c r="J5532" s="692" t="s">
        <v>4060</v>
      </c>
      <c r="K5532" s="692" t="s">
        <v>4060</v>
      </c>
    </row>
    <row r="5533" spans="1:11">
      <c r="A5533" s="688" t="s">
        <v>2491</v>
      </c>
      <c r="B5533" s="689">
        <v>8.6</v>
      </c>
      <c r="C5533" s="689">
        <v>8.9</v>
      </c>
      <c r="D5533" s="689">
        <v>8.9</v>
      </c>
      <c r="E5533" s="689">
        <v>8.9</v>
      </c>
      <c r="F5533" s="693">
        <v>9</v>
      </c>
      <c r="G5533" s="693">
        <v>9</v>
      </c>
      <c r="H5533" s="690" t="s">
        <v>4060</v>
      </c>
      <c r="I5533" s="690" t="s">
        <v>4060</v>
      </c>
      <c r="J5533" s="690" t="s">
        <v>4060</v>
      </c>
      <c r="K5533" s="690" t="s">
        <v>4060</v>
      </c>
    </row>
    <row r="5534" spans="1:11">
      <c r="A5534" s="688" t="s">
        <v>2343</v>
      </c>
      <c r="B5534" s="692" t="s">
        <v>4060</v>
      </c>
      <c r="C5534" s="692" t="s">
        <v>4060</v>
      </c>
      <c r="D5534" s="692" t="s">
        <v>4060</v>
      </c>
      <c r="E5534" s="692" t="s">
        <v>4060</v>
      </c>
      <c r="F5534" s="692" t="s">
        <v>4060</v>
      </c>
      <c r="G5534" s="692" t="s">
        <v>4060</v>
      </c>
      <c r="H5534" s="692" t="s">
        <v>4060</v>
      </c>
      <c r="I5534" s="692" t="s">
        <v>4060</v>
      </c>
      <c r="J5534" s="692" t="s">
        <v>4060</v>
      </c>
      <c r="K5534" s="692" t="s">
        <v>4060</v>
      </c>
    </row>
    <row r="5535" spans="1:11">
      <c r="A5535" s="688" t="s">
        <v>4071</v>
      </c>
      <c r="B5535" s="690" t="s">
        <v>4060</v>
      </c>
      <c r="C5535" s="690" t="s">
        <v>4060</v>
      </c>
      <c r="D5535" s="690" t="s">
        <v>4060</v>
      </c>
      <c r="E5535" s="690" t="s">
        <v>4060</v>
      </c>
      <c r="F5535" s="690" t="s">
        <v>4060</v>
      </c>
      <c r="G5535" s="690" t="s">
        <v>4060</v>
      </c>
      <c r="H5535" s="690" t="s">
        <v>4060</v>
      </c>
      <c r="I5535" s="690" t="s">
        <v>4060</v>
      </c>
      <c r="J5535" s="690" t="s">
        <v>4060</v>
      </c>
      <c r="K5535" s="690" t="s">
        <v>4060</v>
      </c>
    </row>
    <row r="5536" spans="1:11">
      <c r="A5536" s="688" t="s">
        <v>2489</v>
      </c>
      <c r="B5536" s="692" t="s">
        <v>4060</v>
      </c>
      <c r="C5536" s="692" t="s">
        <v>4060</v>
      </c>
      <c r="D5536" s="691">
        <v>8.6999999999999993</v>
      </c>
      <c r="E5536" s="691">
        <v>8.5</v>
      </c>
      <c r="F5536" s="691">
        <v>8.6999999999999993</v>
      </c>
      <c r="G5536" s="615">
        <v>9</v>
      </c>
      <c r="H5536" s="691">
        <v>9.1999999999999993</v>
      </c>
      <c r="I5536" s="692" t="s">
        <v>4060</v>
      </c>
      <c r="J5536" s="692" t="s">
        <v>4060</v>
      </c>
      <c r="K5536" s="692" t="s">
        <v>4060</v>
      </c>
    </row>
    <row r="5537" spans="1:11">
      <c r="A5537" s="688" t="s">
        <v>2490</v>
      </c>
      <c r="B5537" s="689">
        <v>8.5</v>
      </c>
      <c r="C5537" s="689">
        <v>8.3000000000000007</v>
      </c>
      <c r="D5537" s="693">
        <v>9</v>
      </c>
      <c r="E5537" s="690" t="s">
        <v>4060</v>
      </c>
      <c r="F5537" s="689">
        <v>9.1999999999999993</v>
      </c>
      <c r="G5537" s="689">
        <v>9.1</v>
      </c>
      <c r="H5537" s="689">
        <v>9.8000000000000007</v>
      </c>
      <c r="I5537" s="690" t="s">
        <v>4060</v>
      </c>
      <c r="J5537" s="690" t="s">
        <v>4060</v>
      </c>
      <c r="K5537" s="690" t="s">
        <v>4060</v>
      </c>
    </row>
    <row r="5539" spans="1:11">
      <c r="A5539" s="683" t="s">
        <v>4233</v>
      </c>
    </row>
    <row r="5540" spans="1:11">
      <c r="A5540" s="683" t="s">
        <v>4060</v>
      </c>
      <c r="B5540" s="682" t="s">
        <v>4234</v>
      </c>
    </row>
    <row r="5542" spans="1:11">
      <c r="A5542" s="682" t="s">
        <v>4248</v>
      </c>
    </row>
    <row r="5543" spans="1:11">
      <c r="A5543" s="682" t="s">
        <v>4210</v>
      </c>
      <c r="B5543" s="683" t="s">
        <v>4211</v>
      </c>
    </row>
    <row r="5544" spans="1:11">
      <c r="A5544" s="682" t="s">
        <v>4212</v>
      </c>
      <c r="B5544" s="682" t="s">
        <v>4213</v>
      </c>
    </row>
    <row r="5546" spans="1:11">
      <c r="A5546" s="683" t="s">
        <v>4214</v>
      </c>
      <c r="C5546" s="682" t="s">
        <v>4215</v>
      </c>
    </row>
    <row r="5547" spans="1:11">
      <c r="A5547" s="683" t="s">
        <v>4216</v>
      </c>
      <c r="C5547" s="682" t="s">
        <v>2967</v>
      </c>
    </row>
    <row r="5548" spans="1:11">
      <c r="A5548" s="683" t="s">
        <v>3893</v>
      </c>
      <c r="C5548" s="682" t="s">
        <v>4217</v>
      </c>
    </row>
    <row r="5549" spans="1:11">
      <c r="A5549" s="683" t="s">
        <v>4218</v>
      </c>
      <c r="C5549" s="682" t="s">
        <v>4312</v>
      </c>
    </row>
    <row r="5551" spans="1:11">
      <c r="A5551" s="684" t="s">
        <v>4220</v>
      </c>
      <c r="B5551" s="685" t="s">
        <v>4221</v>
      </c>
      <c r="C5551" s="685" t="s">
        <v>4222</v>
      </c>
      <c r="D5551" s="685" t="s">
        <v>4223</v>
      </c>
      <c r="E5551" s="685" t="s">
        <v>4224</v>
      </c>
      <c r="F5551" s="685" t="s">
        <v>4225</v>
      </c>
      <c r="G5551" s="685" t="s">
        <v>4226</v>
      </c>
      <c r="H5551" s="685" t="s">
        <v>4227</v>
      </c>
      <c r="I5551" s="685" t="s">
        <v>4228</v>
      </c>
      <c r="J5551" s="685" t="s">
        <v>4229</v>
      </c>
      <c r="K5551" s="685" t="s">
        <v>4230</v>
      </c>
    </row>
    <row r="5552" spans="1:11">
      <c r="A5552" s="686" t="s">
        <v>4231</v>
      </c>
      <c r="B5552" s="687" t="s">
        <v>4232</v>
      </c>
      <c r="C5552" s="687" t="s">
        <v>4232</v>
      </c>
      <c r="D5552" s="687" t="s">
        <v>4232</v>
      </c>
      <c r="E5552" s="687" t="s">
        <v>4232</v>
      </c>
      <c r="F5552" s="687" t="s">
        <v>4232</v>
      </c>
      <c r="G5552" s="687" t="s">
        <v>4232</v>
      </c>
      <c r="H5552" s="687" t="s">
        <v>4232</v>
      </c>
      <c r="I5552" s="687" t="s">
        <v>4232</v>
      </c>
      <c r="J5552" s="687" t="s">
        <v>4232</v>
      </c>
      <c r="K5552" s="687" t="s">
        <v>4232</v>
      </c>
    </row>
    <row r="5553" spans="1:11">
      <c r="A5553" s="688" t="s">
        <v>4064</v>
      </c>
      <c r="B5553" s="689">
        <v>10.5</v>
      </c>
      <c r="C5553" s="689">
        <v>10.4</v>
      </c>
      <c r="D5553" s="689">
        <v>10.4</v>
      </c>
      <c r="E5553" s="689">
        <v>10.4</v>
      </c>
      <c r="F5553" s="689">
        <v>10.3</v>
      </c>
      <c r="G5553" s="689">
        <v>10.4</v>
      </c>
      <c r="H5553" s="689">
        <v>10.6</v>
      </c>
      <c r="I5553" s="689">
        <v>10.1</v>
      </c>
      <c r="J5553" s="689">
        <v>10.1</v>
      </c>
      <c r="K5553" s="689">
        <v>10.199999999999999</v>
      </c>
    </row>
    <row r="5554" spans="1:11">
      <c r="A5554" s="688" t="s">
        <v>4065</v>
      </c>
      <c r="B5554" s="691">
        <v>10.5</v>
      </c>
      <c r="C5554" s="691">
        <v>10.7</v>
      </c>
      <c r="D5554" s="691">
        <v>10.4</v>
      </c>
      <c r="E5554" s="691">
        <v>10.7</v>
      </c>
      <c r="F5554" s="691">
        <v>10.6</v>
      </c>
      <c r="G5554" s="691">
        <v>10.7</v>
      </c>
      <c r="H5554" s="692" t="s">
        <v>4060</v>
      </c>
      <c r="I5554" s="692" t="s">
        <v>4060</v>
      </c>
      <c r="J5554" s="692" t="s">
        <v>4060</v>
      </c>
      <c r="K5554" s="692" t="s">
        <v>4060</v>
      </c>
    </row>
    <row r="5555" spans="1:11">
      <c r="A5555" s="688" t="s">
        <v>4063</v>
      </c>
      <c r="B5555" s="689">
        <v>10.5</v>
      </c>
      <c r="C5555" s="689">
        <v>10.8</v>
      </c>
      <c r="D5555" s="689">
        <v>10.4</v>
      </c>
      <c r="E5555" s="689">
        <v>10.7</v>
      </c>
      <c r="F5555" s="689">
        <v>10.6</v>
      </c>
      <c r="G5555" s="689">
        <v>10.7</v>
      </c>
      <c r="H5555" s="690" t="s">
        <v>4060</v>
      </c>
      <c r="I5555" s="690" t="s">
        <v>4060</v>
      </c>
      <c r="J5555" s="690" t="s">
        <v>4060</v>
      </c>
      <c r="K5555" s="690" t="s">
        <v>4060</v>
      </c>
    </row>
    <row r="5556" spans="1:11">
      <c r="A5556" s="688" t="s">
        <v>4069</v>
      </c>
      <c r="B5556" s="692" t="s">
        <v>4060</v>
      </c>
      <c r="C5556" s="691">
        <v>10.7</v>
      </c>
      <c r="D5556" s="691">
        <v>10.4</v>
      </c>
      <c r="E5556" s="691">
        <v>10.7</v>
      </c>
      <c r="F5556" s="691">
        <v>10.6</v>
      </c>
      <c r="G5556" s="691">
        <v>10.7</v>
      </c>
      <c r="H5556" s="691">
        <v>10.9</v>
      </c>
      <c r="I5556" s="691">
        <v>10.4</v>
      </c>
      <c r="J5556" s="691">
        <v>10.6</v>
      </c>
      <c r="K5556" s="691">
        <v>10.5</v>
      </c>
    </row>
    <row r="5557" spans="1:11">
      <c r="A5557" s="688" t="s">
        <v>4068</v>
      </c>
      <c r="B5557" s="689">
        <v>10.8</v>
      </c>
      <c r="C5557" s="690" t="s">
        <v>4060</v>
      </c>
      <c r="D5557" s="690" t="s">
        <v>4060</v>
      </c>
      <c r="E5557" s="690" t="s">
        <v>4060</v>
      </c>
      <c r="F5557" s="690" t="s">
        <v>4060</v>
      </c>
      <c r="G5557" s="690" t="s">
        <v>4060</v>
      </c>
      <c r="H5557" s="690" t="s">
        <v>4060</v>
      </c>
      <c r="I5557" s="690" t="s">
        <v>4060</v>
      </c>
      <c r="J5557" s="690" t="s">
        <v>4060</v>
      </c>
      <c r="K5557" s="690" t="s">
        <v>4060</v>
      </c>
    </row>
    <row r="5558" spans="1:11">
      <c r="A5558" s="688" t="s">
        <v>0</v>
      </c>
      <c r="B5558" s="691">
        <v>10.4</v>
      </c>
      <c r="C5558" s="691">
        <v>10.5</v>
      </c>
      <c r="D5558" s="691">
        <v>10.3</v>
      </c>
      <c r="E5558" s="691">
        <v>10.6</v>
      </c>
      <c r="F5558" s="691">
        <v>10.6</v>
      </c>
      <c r="G5558" s="691">
        <v>10.6</v>
      </c>
      <c r="H5558" s="691">
        <v>10.8</v>
      </c>
      <c r="I5558" s="691">
        <v>9.9</v>
      </c>
      <c r="J5558" s="691">
        <v>10.8</v>
      </c>
      <c r="K5558" s="691">
        <v>10.6</v>
      </c>
    </row>
    <row r="5559" spans="1:11">
      <c r="A5559" s="688" t="s">
        <v>1</v>
      </c>
      <c r="B5559" s="689">
        <v>8.1</v>
      </c>
      <c r="C5559" s="689">
        <v>7.8</v>
      </c>
      <c r="D5559" s="689">
        <v>7.8</v>
      </c>
      <c r="E5559" s="693">
        <v>8</v>
      </c>
      <c r="F5559" s="689">
        <v>7.9</v>
      </c>
      <c r="G5559" s="693">
        <v>8</v>
      </c>
      <c r="H5559" s="689">
        <v>8.1</v>
      </c>
      <c r="I5559" s="689">
        <v>7.5</v>
      </c>
      <c r="J5559" s="689">
        <v>6.8</v>
      </c>
      <c r="K5559" s="689">
        <v>7.8</v>
      </c>
    </row>
    <row r="5560" spans="1:11">
      <c r="A5560" s="688" t="s">
        <v>2240</v>
      </c>
      <c r="B5560" s="691">
        <v>9.1</v>
      </c>
      <c r="C5560" s="691">
        <v>9.1999999999999993</v>
      </c>
      <c r="D5560" s="615">
        <v>9</v>
      </c>
      <c r="E5560" s="691">
        <v>9.3000000000000007</v>
      </c>
      <c r="F5560" s="691">
        <v>9.3000000000000007</v>
      </c>
      <c r="G5560" s="691">
        <v>9.3000000000000007</v>
      </c>
      <c r="H5560" s="691">
        <v>9.4</v>
      </c>
      <c r="I5560" s="691">
        <v>8.6999999999999993</v>
      </c>
      <c r="J5560" s="691">
        <v>8.5</v>
      </c>
      <c r="K5560" s="691">
        <v>9.1999999999999993</v>
      </c>
    </row>
    <row r="5561" spans="1:11">
      <c r="A5561" s="688" t="s">
        <v>2</v>
      </c>
      <c r="B5561" s="689">
        <v>9.9</v>
      </c>
      <c r="C5561" s="689">
        <v>10.1</v>
      </c>
      <c r="D5561" s="693">
        <v>10</v>
      </c>
      <c r="E5561" s="689">
        <v>10.1</v>
      </c>
      <c r="F5561" s="689">
        <v>10.1</v>
      </c>
      <c r="G5561" s="693">
        <v>10</v>
      </c>
      <c r="H5561" s="689">
        <v>10.3</v>
      </c>
      <c r="I5561" s="689">
        <v>10.4</v>
      </c>
      <c r="J5561" s="689">
        <v>10.199999999999999</v>
      </c>
      <c r="K5561" s="689">
        <v>10.1</v>
      </c>
    </row>
    <row r="5562" spans="1:11">
      <c r="A5562" s="688" t="s">
        <v>3</v>
      </c>
      <c r="B5562" s="691">
        <v>10.1</v>
      </c>
      <c r="C5562" s="691">
        <v>10.199999999999999</v>
      </c>
      <c r="D5562" s="691">
        <v>9.9</v>
      </c>
      <c r="E5562" s="691">
        <v>10.199999999999999</v>
      </c>
      <c r="F5562" s="691">
        <v>10.199999999999999</v>
      </c>
      <c r="G5562" s="691">
        <v>10.199999999999999</v>
      </c>
      <c r="H5562" s="691">
        <v>10.4</v>
      </c>
      <c r="I5562" s="691">
        <v>10.199999999999999</v>
      </c>
      <c r="J5562" s="691">
        <v>10.199999999999999</v>
      </c>
      <c r="K5562" s="691">
        <v>9.9</v>
      </c>
    </row>
    <row r="5563" spans="1:11">
      <c r="A5563" s="688" t="s">
        <v>4061</v>
      </c>
      <c r="B5563" s="689">
        <v>10.1</v>
      </c>
      <c r="C5563" s="689">
        <v>10.199999999999999</v>
      </c>
      <c r="D5563" s="689">
        <v>9.9</v>
      </c>
      <c r="E5563" s="689">
        <v>10.199999999999999</v>
      </c>
      <c r="F5563" s="689">
        <v>10.199999999999999</v>
      </c>
      <c r="G5563" s="689">
        <v>10.199999999999999</v>
      </c>
      <c r="H5563" s="689">
        <v>10.4</v>
      </c>
      <c r="I5563" s="689">
        <v>10.199999999999999</v>
      </c>
      <c r="J5563" s="689">
        <v>10.199999999999999</v>
      </c>
      <c r="K5563" s="689">
        <v>9.9</v>
      </c>
    </row>
    <row r="5564" spans="1:11">
      <c r="A5564" s="688" t="s">
        <v>4</v>
      </c>
      <c r="B5564" s="691">
        <v>9.9</v>
      </c>
      <c r="C5564" s="691">
        <v>9.6</v>
      </c>
      <c r="D5564" s="691">
        <v>9.8000000000000007</v>
      </c>
      <c r="E5564" s="691">
        <v>9.9</v>
      </c>
      <c r="F5564" s="691">
        <v>9.8000000000000007</v>
      </c>
      <c r="G5564" s="691">
        <v>9.9</v>
      </c>
      <c r="H5564" s="691">
        <v>10.199999999999999</v>
      </c>
      <c r="I5564" s="691">
        <v>10.199999999999999</v>
      </c>
      <c r="J5564" s="691">
        <v>9.3000000000000007</v>
      </c>
      <c r="K5564" s="691">
        <v>9.6999999999999993</v>
      </c>
    </row>
    <row r="5565" spans="1:11">
      <c r="A5565" s="688" t="s">
        <v>8</v>
      </c>
      <c r="B5565" s="693">
        <v>10</v>
      </c>
      <c r="C5565" s="689">
        <v>10.1</v>
      </c>
      <c r="D5565" s="693">
        <v>10</v>
      </c>
      <c r="E5565" s="693">
        <v>10</v>
      </c>
      <c r="F5565" s="689">
        <v>10.3</v>
      </c>
      <c r="G5565" s="689">
        <v>10.4</v>
      </c>
      <c r="H5565" s="689">
        <v>10.5</v>
      </c>
      <c r="I5565" s="689">
        <v>10.4</v>
      </c>
      <c r="J5565" s="689">
        <v>10.4</v>
      </c>
      <c r="K5565" s="689">
        <v>10.4</v>
      </c>
    </row>
    <row r="5566" spans="1:11">
      <c r="A5566" s="688" t="s">
        <v>7</v>
      </c>
      <c r="B5566" s="691">
        <v>10.6</v>
      </c>
      <c r="C5566" s="615">
        <v>10</v>
      </c>
      <c r="D5566" s="691">
        <v>9.8000000000000007</v>
      </c>
      <c r="E5566" s="691">
        <v>10.1</v>
      </c>
      <c r="F5566" s="615">
        <v>10</v>
      </c>
      <c r="G5566" s="691">
        <v>10.4</v>
      </c>
      <c r="H5566" s="691">
        <v>10.3</v>
      </c>
      <c r="I5566" s="691">
        <v>10.199999999999999</v>
      </c>
      <c r="J5566" s="691">
        <v>9.9</v>
      </c>
      <c r="K5566" s="691">
        <v>9.9</v>
      </c>
    </row>
    <row r="5567" spans="1:11">
      <c r="A5567" s="688" t="s">
        <v>27</v>
      </c>
      <c r="B5567" s="689">
        <v>11.6</v>
      </c>
      <c r="C5567" s="689">
        <v>11.1</v>
      </c>
      <c r="D5567" s="689">
        <v>10.8</v>
      </c>
      <c r="E5567" s="689">
        <v>11.2</v>
      </c>
      <c r="F5567" s="689">
        <v>11.1</v>
      </c>
      <c r="G5567" s="689">
        <v>11.2</v>
      </c>
      <c r="H5567" s="689">
        <v>11.5</v>
      </c>
      <c r="I5567" s="689">
        <v>10.5</v>
      </c>
      <c r="J5567" s="689">
        <v>11.2</v>
      </c>
      <c r="K5567" s="689">
        <v>11.2</v>
      </c>
    </row>
    <row r="5568" spans="1:11">
      <c r="A5568" s="688" t="s">
        <v>6</v>
      </c>
      <c r="B5568" s="691">
        <v>11.9</v>
      </c>
      <c r="C5568" s="691">
        <v>11.6</v>
      </c>
      <c r="D5568" s="691">
        <v>11.4</v>
      </c>
      <c r="E5568" s="691">
        <v>11.6</v>
      </c>
      <c r="F5568" s="691">
        <v>11.6</v>
      </c>
      <c r="G5568" s="691">
        <v>11.7</v>
      </c>
      <c r="H5568" s="691">
        <v>11.8</v>
      </c>
      <c r="I5568" s="691">
        <v>11.3</v>
      </c>
      <c r="J5568" s="691">
        <v>11.5</v>
      </c>
      <c r="K5568" s="691">
        <v>11.5</v>
      </c>
    </row>
    <row r="5569" spans="1:11">
      <c r="A5569" s="688" t="s">
        <v>4058</v>
      </c>
      <c r="B5569" s="690" t="s">
        <v>4060</v>
      </c>
      <c r="C5569" s="690" t="s">
        <v>4060</v>
      </c>
      <c r="D5569" s="690" t="s">
        <v>4060</v>
      </c>
      <c r="E5569" s="690" t="s">
        <v>4060</v>
      </c>
      <c r="F5569" s="690" t="s">
        <v>4060</v>
      </c>
      <c r="G5569" s="690" t="s">
        <v>4060</v>
      </c>
      <c r="H5569" s="690" t="s">
        <v>4060</v>
      </c>
      <c r="I5569" s="690" t="s">
        <v>4060</v>
      </c>
      <c r="J5569" s="690" t="s">
        <v>4060</v>
      </c>
      <c r="K5569" s="690" t="s">
        <v>4060</v>
      </c>
    </row>
    <row r="5570" spans="1:11">
      <c r="A5570" s="688" t="s">
        <v>11</v>
      </c>
      <c r="B5570" s="691">
        <v>8.6999999999999993</v>
      </c>
      <c r="C5570" s="691">
        <v>8.5</v>
      </c>
      <c r="D5570" s="691">
        <v>8.3000000000000007</v>
      </c>
      <c r="E5570" s="691">
        <v>8.6</v>
      </c>
      <c r="F5570" s="691">
        <v>8.5</v>
      </c>
      <c r="G5570" s="691">
        <v>8.6</v>
      </c>
      <c r="H5570" s="691">
        <v>8.8000000000000007</v>
      </c>
      <c r="I5570" s="691">
        <v>8.4</v>
      </c>
      <c r="J5570" s="691">
        <v>7.9</v>
      </c>
      <c r="K5570" s="691">
        <v>8.3000000000000007</v>
      </c>
    </row>
    <row r="5571" spans="1:11">
      <c r="A5571" s="688" t="s">
        <v>10</v>
      </c>
      <c r="B5571" s="689">
        <v>11.1</v>
      </c>
      <c r="C5571" s="689">
        <v>10.8</v>
      </c>
      <c r="D5571" s="689">
        <v>10.5</v>
      </c>
      <c r="E5571" s="689">
        <v>10.9</v>
      </c>
      <c r="F5571" s="689">
        <v>10.7</v>
      </c>
      <c r="G5571" s="693">
        <v>11</v>
      </c>
      <c r="H5571" s="689">
        <v>11.1</v>
      </c>
      <c r="I5571" s="689">
        <v>10.3</v>
      </c>
      <c r="J5571" s="689">
        <v>10.7</v>
      </c>
      <c r="K5571" s="689">
        <v>10.6</v>
      </c>
    </row>
    <row r="5572" spans="1:11">
      <c r="A5572" s="688" t="s">
        <v>30</v>
      </c>
      <c r="B5572" s="691">
        <v>10.3</v>
      </c>
      <c r="C5572" s="691">
        <v>9.9</v>
      </c>
      <c r="D5572" s="691">
        <v>9.6</v>
      </c>
      <c r="E5572" s="691">
        <v>10.199999999999999</v>
      </c>
      <c r="F5572" s="691">
        <v>9.9</v>
      </c>
      <c r="G5572" s="691">
        <v>10.4</v>
      </c>
      <c r="H5572" s="691">
        <v>10.199999999999999</v>
      </c>
      <c r="I5572" s="691">
        <v>10.4</v>
      </c>
      <c r="J5572" s="691">
        <v>10.1</v>
      </c>
      <c r="K5572" s="615">
        <v>10</v>
      </c>
    </row>
    <row r="5573" spans="1:11">
      <c r="A5573" s="688" t="s">
        <v>12</v>
      </c>
      <c r="B5573" s="693">
        <v>9</v>
      </c>
      <c r="C5573" s="689">
        <v>8.9</v>
      </c>
      <c r="D5573" s="689">
        <v>8.9</v>
      </c>
      <c r="E5573" s="689">
        <v>8.9</v>
      </c>
      <c r="F5573" s="693">
        <v>9</v>
      </c>
      <c r="G5573" s="693">
        <v>9</v>
      </c>
      <c r="H5573" s="689">
        <v>9.3000000000000007</v>
      </c>
      <c r="I5573" s="689">
        <v>9.1</v>
      </c>
      <c r="J5573" s="689">
        <v>8.1999999999999993</v>
      </c>
      <c r="K5573" s="689">
        <v>8.8000000000000007</v>
      </c>
    </row>
    <row r="5574" spans="1:11">
      <c r="A5574" s="688" t="s">
        <v>14</v>
      </c>
      <c r="B5574" s="691">
        <v>9.1</v>
      </c>
      <c r="C5574" s="691">
        <v>8.9</v>
      </c>
      <c r="D5574" s="691">
        <v>8.6999999999999993</v>
      </c>
      <c r="E5574" s="691">
        <v>8.8000000000000007</v>
      </c>
      <c r="F5574" s="691">
        <v>8.8000000000000007</v>
      </c>
      <c r="G5574" s="691">
        <v>8.9</v>
      </c>
      <c r="H5574" s="691">
        <v>9.1999999999999993</v>
      </c>
      <c r="I5574" s="691">
        <v>8.6999999999999993</v>
      </c>
      <c r="J5574" s="691">
        <v>8.3000000000000007</v>
      </c>
      <c r="K5574" s="691">
        <v>8.9</v>
      </c>
    </row>
    <row r="5575" spans="1:11">
      <c r="A5575" s="688" t="s">
        <v>15</v>
      </c>
      <c r="B5575" s="693">
        <v>11</v>
      </c>
      <c r="C5575" s="689">
        <v>10.7</v>
      </c>
      <c r="D5575" s="689">
        <v>10.5</v>
      </c>
      <c r="E5575" s="689">
        <v>10.8</v>
      </c>
      <c r="F5575" s="689">
        <v>10.8</v>
      </c>
      <c r="G5575" s="689">
        <v>10.6</v>
      </c>
      <c r="H5575" s="689">
        <v>10.8</v>
      </c>
      <c r="I5575" s="689">
        <v>10.5</v>
      </c>
      <c r="J5575" s="689">
        <v>10.7</v>
      </c>
      <c r="K5575" s="689">
        <v>10.9</v>
      </c>
    </row>
    <row r="5576" spans="1:11">
      <c r="A5576" s="688" t="s">
        <v>29</v>
      </c>
      <c r="B5576" s="691">
        <v>8.6999999999999993</v>
      </c>
      <c r="C5576" s="691">
        <v>8.6</v>
      </c>
      <c r="D5576" s="691">
        <v>8.4</v>
      </c>
      <c r="E5576" s="691">
        <v>8.6999999999999993</v>
      </c>
      <c r="F5576" s="691">
        <v>8.5</v>
      </c>
      <c r="G5576" s="691">
        <v>8.6</v>
      </c>
      <c r="H5576" s="691">
        <v>8.6999999999999993</v>
      </c>
      <c r="I5576" s="691">
        <v>8.3000000000000007</v>
      </c>
      <c r="J5576" s="691">
        <v>8.1</v>
      </c>
      <c r="K5576" s="691">
        <v>8.5</v>
      </c>
    </row>
    <row r="5577" spans="1:11">
      <c r="A5577" s="688" t="s">
        <v>16</v>
      </c>
      <c r="B5577" s="689">
        <v>10.199999999999999</v>
      </c>
      <c r="C5577" s="689">
        <v>10.3</v>
      </c>
      <c r="D5577" s="689">
        <v>10.1</v>
      </c>
      <c r="E5577" s="689">
        <v>10.6</v>
      </c>
      <c r="F5577" s="689">
        <v>10.3</v>
      </c>
      <c r="G5577" s="689">
        <v>10.4</v>
      </c>
      <c r="H5577" s="689">
        <v>10.5</v>
      </c>
      <c r="I5577" s="689">
        <v>10.1</v>
      </c>
      <c r="J5577" s="689">
        <v>10.3</v>
      </c>
      <c r="K5577" s="689">
        <v>10.3</v>
      </c>
    </row>
    <row r="5578" spans="1:11">
      <c r="A5578" s="688" t="s">
        <v>17</v>
      </c>
      <c r="B5578" s="691">
        <v>10.3</v>
      </c>
      <c r="C5578" s="691">
        <v>10.3</v>
      </c>
      <c r="D5578" s="691">
        <v>10.1</v>
      </c>
      <c r="E5578" s="691">
        <v>10.1</v>
      </c>
      <c r="F5578" s="691">
        <v>10.199999999999999</v>
      </c>
      <c r="G5578" s="691">
        <v>10.199999999999999</v>
      </c>
      <c r="H5578" s="691">
        <v>10.4</v>
      </c>
      <c r="I5578" s="691">
        <v>9.8000000000000007</v>
      </c>
      <c r="J5578" s="615">
        <v>10</v>
      </c>
      <c r="K5578" s="691">
        <v>10.1</v>
      </c>
    </row>
    <row r="5579" spans="1:11">
      <c r="A5579" s="688" t="s">
        <v>19</v>
      </c>
      <c r="B5579" s="689">
        <v>10.5</v>
      </c>
      <c r="C5579" s="689">
        <v>10.5</v>
      </c>
      <c r="D5579" s="689">
        <v>10.199999999999999</v>
      </c>
      <c r="E5579" s="689">
        <v>10.6</v>
      </c>
      <c r="F5579" s="689">
        <v>10.4</v>
      </c>
      <c r="G5579" s="689">
        <v>10.5</v>
      </c>
      <c r="H5579" s="689">
        <v>10.7</v>
      </c>
      <c r="I5579" s="689">
        <v>10.199999999999999</v>
      </c>
      <c r="J5579" s="689">
        <v>10.3</v>
      </c>
      <c r="K5579" s="689">
        <v>10.199999999999999</v>
      </c>
    </row>
    <row r="5580" spans="1:11">
      <c r="A5580" s="688" t="s">
        <v>20</v>
      </c>
      <c r="B5580" s="691">
        <v>9.6999999999999993</v>
      </c>
      <c r="C5580" s="691">
        <v>9.6999999999999993</v>
      </c>
      <c r="D5580" s="691">
        <v>9.5</v>
      </c>
      <c r="E5580" s="691">
        <v>9.9</v>
      </c>
      <c r="F5580" s="691">
        <v>9.6999999999999993</v>
      </c>
      <c r="G5580" s="691">
        <v>9.6999999999999993</v>
      </c>
      <c r="H5580" s="615">
        <v>10</v>
      </c>
      <c r="I5580" s="615">
        <v>9</v>
      </c>
      <c r="J5580" s="691">
        <v>8.6</v>
      </c>
      <c r="K5580" s="691">
        <v>9.4</v>
      </c>
    </row>
    <row r="5581" spans="1:11">
      <c r="A5581" s="688" t="s">
        <v>21</v>
      </c>
      <c r="B5581" s="689">
        <v>10.199999999999999</v>
      </c>
      <c r="C5581" s="689">
        <v>10.4</v>
      </c>
      <c r="D5581" s="689">
        <v>10.3</v>
      </c>
      <c r="E5581" s="689">
        <v>10.4</v>
      </c>
      <c r="F5581" s="689">
        <v>10.6</v>
      </c>
      <c r="G5581" s="689">
        <v>10.6</v>
      </c>
      <c r="H5581" s="689">
        <v>10.8</v>
      </c>
      <c r="I5581" s="689">
        <v>10.3</v>
      </c>
      <c r="J5581" s="689">
        <v>10.4</v>
      </c>
      <c r="K5581" s="689">
        <v>10.5</v>
      </c>
    </row>
    <row r="5582" spans="1:11">
      <c r="A5582" s="688" t="s">
        <v>22</v>
      </c>
      <c r="B5582" s="691">
        <v>8.6</v>
      </c>
      <c r="C5582" s="691">
        <v>8.3000000000000007</v>
      </c>
      <c r="D5582" s="691">
        <v>8.1999999999999993</v>
      </c>
      <c r="E5582" s="691">
        <v>8.6</v>
      </c>
      <c r="F5582" s="691">
        <v>8.6</v>
      </c>
      <c r="G5582" s="691">
        <v>8.6999999999999993</v>
      </c>
      <c r="H5582" s="691">
        <v>8.9</v>
      </c>
      <c r="I5582" s="691">
        <v>8.1999999999999993</v>
      </c>
      <c r="J5582" s="691">
        <v>7.5</v>
      </c>
      <c r="K5582" s="691">
        <v>8.1999999999999993</v>
      </c>
    </row>
    <row r="5583" spans="1:11">
      <c r="A5583" s="688" t="s">
        <v>26</v>
      </c>
      <c r="B5583" s="689">
        <v>10.3</v>
      </c>
      <c r="C5583" s="689">
        <v>10.1</v>
      </c>
      <c r="D5583" s="693">
        <v>10</v>
      </c>
      <c r="E5583" s="689">
        <v>10.199999999999999</v>
      </c>
      <c r="F5583" s="689">
        <v>10.1</v>
      </c>
      <c r="G5583" s="689">
        <v>10.3</v>
      </c>
      <c r="H5583" s="689">
        <v>10.5</v>
      </c>
      <c r="I5583" s="689">
        <v>9.5</v>
      </c>
      <c r="J5583" s="693">
        <v>10</v>
      </c>
      <c r="K5583" s="689">
        <v>10.199999999999999</v>
      </c>
    </row>
    <row r="5584" spans="1:11">
      <c r="A5584" s="688" t="s">
        <v>25</v>
      </c>
      <c r="B5584" s="691">
        <v>8.6999999999999993</v>
      </c>
      <c r="C5584" s="691">
        <v>8.8000000000000007</v>
      </c>
      <c r="D5584" s="691">
        <v>8.6</v>
      </c>
      <c r="E5584" s="615">
        <v>9</v>
      </c>
      <c r="F5584" s="691">
        <v>8.9</v>
      </c>
      <c r="G5584" s="615">
        <v>9</v>
      </c>
      <c r="H5584" s="691">
        <v>9.4</v>
      </c>
      <c r="I5584" s="691">
        <v>8.8000000000000007</v>
      </c>
      <c r="J5584" s="691">
        <v>7.8</v>
      </c>
      <c r="K5584" s="691">
        <v>8.6999999999999993</v>
      </c>
    </row>
    <row r="5585" spans="1:11">
      <c r="A5585" s="688" t="s">
        <v>5</v>
      </c>
      <c r="B5585" s="689">
        <v>10.7</v>
      </c>
      <c r="C5585" s="689">
        <v>10.3</v>
      </c>
      <c r="D5585" s="689">
        <v>10.4</v>
      </c>
      <c r="E5585" s="689">
        <v>10.4</v>
      </c>
      <c r="F5585" s="689">
        <v>10.5</v>
      </c>
      <c r="G5585" s="689">
        <v>10.5</v>
      </c>
      <c r="H5585" s="689">
        <v>10.8</v>
      </c>
      <c r="I5585" s="689">
        <v>10.8</v>
      </c>
      <c r="J5585" s="689">
        <v>10.7</v>
      </c>
      <c r="K5585" s="689">
        <v>10.199999999999999</v>
      </c>
    </row>
    <row r="5586" spans="1:11">
      <c r="A5586" s="688" t="s">
        <v>23</v>
      </c>
      <c r="B5586" s="691">
        <v>10.4</v>
      </c>
      <c r="C5586" s="691">
        <v>10.5</v>
      </c>
      <c r="D5586" s="691">
        <v>10.4</v>
      </c>
      <c r="E5586" s="691">
        <v>10.5</v>
      </c>
      <c r="F5586" s="691">
        <v>10.4</v>
      </c>
      <c r="G5586" s="691">
        <v>10.5</v>
      </c>
      <c r="H5586" s="691">
        <v>10.8</v>
      </c>
      <c r="I5586" s="691">
        <v>10.3</v>
      </c>
      <c r="J5586" s="691">
        <v>10.9</v>
      </c>
      <c r="K5586" s="691">
        <v>10.7</v>
      </c>
    </row>
    <row r="5587" spans="1:11">
      <c r="A5587" s="688" t="s">
        <v>4067</v>
      </c>
      <c r="B5587" s="689">
        <v>10.5</v>
      </c>
      <c r="C5587" s="689">
        <v>10.7</v>
      </c>
      <c r="D5587" s="689">
        <v>10.4</v>
      </c>
      <c r="E5587" s="689">
        <v>10.7</v>
      </c>
      <c r="F5587" s="689">
        <v>10.6</v>
      </c>
      <c r="G5587" s="689">
        <v>10.7</v>
      </c>
      <c r="H5587" s="690" t="s">
        <v>4060</v>
      </c>
      <c r="I5587" s="690" t="s">
        <v>4060</v>
      </c>
      <c r="J5587" s="690" t="s">
        <v>4060</v>
      </c>
      <c r="K5587" s="690" t="s">
        <v>4060</v>
      </c>
    </row>
    <row r="5588" spans="1:11">
      <c r="A5588" s="688" t="s">
        <v>4066</v>
      </c>
      <c r="B5588" s="691">
        <v>10.5</v>
      </c>
      <c r="C5588" s="691">
        <v>10.8</v>
      </c>
      <c r="D5588" s="691">
        <v>10.4</v>
      </c>
      <c r="E5588" s="691">
        <v>10.7</v>
      </c>
      <c r="F5588" s="691">
        <v>10.6</v>
      </c>
      <c r="G5588" s="691">
        <v>10.7</v>
      </c>
      <c r="H5588" s="692" t="s">
        <v>4060</v>
      </c>
      <c r="I5588" s="692" t="s">
        <v>4060</v>
      </c>
      <c r="J5588" s="692" t="s">
        <v>4060</v>
      </c>
      <c r="K5588" s="692" t="s">
        <v>4060</v>
      </c>
    </row>
    <row r="5589" spans="1:11">
      <c r="A5589" s="688" t="s">
        <v>4062</v>
      </c>
      <c r="B5589" s="689">
        <v>10.8</v>
      </c>
      <c r="C5589" s="689">
        <v>10.8</v>
      </c>
      <c r="D5589" s="689">
        <v>10.7</v>
      </c>
      <c r="E5589" s="689">
        <v>10.9</v>
      </c>
      <c r="F5589" s="689">
        <v>10.9</v>
      </c>
      <c r="G5589" s="693">
        <v>11</v>
      </c>
      <c r="H5589" s="689">
        <v>11.1</v>
      </c>
      <c r="I5589" s="689">
        <v>10.7</v>
      </c>
      <c r="J5589" s="689">
        <v>11.1</v>
      </c>
      <c r="K5589" s="689">
        <v>10.8</v>
      </c>
    </row>
    <row r="5590" spans="1:11">
      <c r="A5590" s="688" t="s">
        <v>9</v>
      </c>
      <c r="B5590" s="691">
        <v>10.3</v>
      </c>
      <c r="C5590" s="691">
        <v>10.6</v>
      </c>
      <c r="D5590" s="691">
        <v>10.3</v>
      </c>
      <c r="E5590" s="691">
        <v>10.199999999999999</v>
      </c>
      <c r="F5590" s="691">
        <v>10.4</v>
      </c>
      <c r="G5590" s="691">
        <v>10.4</v>
      </c>
      <c r="H5590" s="691">
        <v>10.6</v>
      </c>
      <c r="I5590" s="691">
        <v>10.9</v>
      </c>
      <c r="J5590" s="615">
        <v>11</v>
      </c>
      <c r="K5590" s="691">
        <v>10.1</v>
      </c>
    </row>
    <row r="5591" spans="1:11">
      <c r="A5591" s="688" t="s">
        <v>13</v>
      </c>
      <c r="B5591" s="689">
        <v>10.7</v>
      </c>
      <c r="C5591" s="693">
        <v>10</v>
      </c>
      <c r="D5591" s="689">
        <v>10.1</v>
      </c>
      <c r="E5591" s="689">
        <v>10.8</v>
      </c>
      <c r="F5591" s="689">
        <v>11.3</v>
      </c>
      <c r="G5591" s="689">
        <v>10.5</v>
      </c>
      <c r="H5591" s="693">
        <v>11</v>
      </c>
      <c r="I5591" s="689">
        <v>9.6</v>
      </c>
      <c r="J5591" s="689">
        <v>11.2</v>
      </c>
      <c r="K5591" s="689">
        <v>11.2</v>
      </c>
    </row>
    <row r="5592" spans="1:11">
      <c r="A5592" s="688" t="s">
        <v>18</v>
      </c>
      <c r="B5592" s="691">
        <v>10.4</v>
      </c>
      <c r="C5592" s="691">
        <v>10.5</v>
      </c>
      <c r="D5592" s="691">
        <v>10.4</v>
      </c>
      <c r="E5592" s="691">
        <v>10.6</v>
      </c>
      <c r="F5592" s="691">
        <v>10.6</v>
      </c>
      <c r="G5592" s="691">
        <v>10.7</v>
      </c>
      <c r="H5592" s="691">
        <v>10.8</v>
      </c>
      <c r="I5592" s="691">
        <v>10.9</v>
      </c>
      <c r="J5592" s="691">
        <v>10.8</v>
      </c>
      <c r="K5592" s="691">
        <v>10.5</v>
      </c>
    </row>
    <row r="5593" spans="1:11">
      <c r="A5593" s="688" t="s">
        <v>24</v>
      </c>
      <c r="B5593" s="693">
        <v>11</v>
      </c>
      <c r="C5593" s="693">
        <v>11</v>
      </c>
      <c r="D5593" s="689">
        <v>10.8</v>
      </c>
      <c r="E5593" s="689">
        <v>11.1</v>
      </c>
      <c r="F5593" s="689">
        <v>11.1</v>
      </c>
      <c r="G5593" s="689">
        <v>11.2</v>
      </c>
      <c r="H5593" s="689">
        <v>11.3</v>
      </c>
      <c r="I5593" s="689">
        <v>10.7</v>
      </c>
      <c r="J5593" s="689">
        <v>11.3</v>
      </c>
      <c r="K5593" s="689">
        <v>11.1</v>
      </c>
    </row>
    <row r="5594" spans="1:11">
      <c r="A5594" s="688" t="s">
        <v>4059</v>
      </c>
      <c r="B5594" s="691">
        <v>10.4</v>
      </c>
      <c r="C5594" s="691">
        <v>10.7</v>
      </c>
      <c r="D5594" s="691">
        <v>10.3</v>
      </c>
      <c r="E5594" s="691">
        <v>10.6</v>
      </c>
      <c r="F5594" s="691">
        <v>10.5</v>
      </c>
      <c r="G5594" s="691">
        <v>10.5</v>
      </c>
      <c r="H5594" s="692" t="s">
        <v>4060</v>
      </c>
      <c r="I5594" s="692" t="s">
        <v>4060</v>
      </c>
      <c r="J5594" s="692" t="s">
        <v>4060</v>
      </c>
      <c r="K5594" s="692" t="s">
        <v>4060</v>
      </c>
    </row>
    <row r="5595" spans="1:11">
      <c r="A5595" s="688" t="s">
        <v>2324</v>
      </c>
      <c r="B5595" s="689">
        <v>8.1999999999999993</v>
      </c>
      <c r="C5595" s="689">
        <v>8.1999999999999993</v>
      </c>
      <c r="D5595" s="689">
        <v>7.8</v>
      </c>
      <c r="E5595" s="693">
        <v>8</v>
      </c>
      <c r="F5595" s="689">
        <v>8.1999999999999993</v>
      </c>
      <c r="G5595" s="689">
        <v>8.1999999999999993</v>
      </c>
      <c r="H5595" s="689">
        <v>8.1999999999999993</v>
      </c>
      <c r="I5595" s="689">
        <v>7.7</v>
      </c>
      <c r="J5595" s="689">
        <v>6.3</v>
      </c>
      <c r="K5595" s="690" t="s">
        <v>4060</v>
      </c>
    </row>
    <row r="5596" spans="1:11">
      <c r="A5596" s="688" t="s">
        <v>2322</v>
      </c>
      <c r="B5596" s="692" t="s">
        <v>4060</v>
      </c>
      <c r="C5596" s="692" t="s">
        <v>4060</v>
      </c>
      <c r="D5596" s="692" t="s">
        <v>4060</v>
      </c>
      <c r="E5596" s="692" t="s">
        <v>4060</v>
      </c>
      <c r="F5596" s="692" t="s">
        <v>4060</v>
      </c>
      <c r="G5596" s="692" t="s">
        <v>4060</v>
      </c>
      <c r="H5596" s="692" t="s">
        <v>4060</v>
      </c>
      <c r="I5596" s="692" t="s">
        <v>4060</v>
      </c>
      <c r="J5596" s="692" t="s">
        <v>4060</v>
      </c>
      <c r="K5596" s="692" t="s">
        <v>4060</v>
      </c>
    </row>
    <row r="5597" spans="1:11">
      <c r="A5597" s="688" t="s">
        <v>2328</v>
      </c>
      <c r="B5597" s="689">
        <v>7.2</v>
      </c>
      <c r="C5597" s="689">
        <v>7.1</v>
      </c>
      <c r="D5597" s="693">
        <v>7</v>
      </c>
      <c r="E5597" s="689">
        <v>7.2</v>
      </c>
      <c r="F5597" s="689">
        <v>7.3</v>
      </c>
      <c r="G5597" s="689">
        <v>7.6</v>
      </c>
      <c r="H5597" s="689">
        <v>7.5</v>
      </c>
      <c r="I5597" s="689">
        <v>6.7</v>
      </c>
      <c r="J5597" s="689">
        <v>6.4</v>
      </c>
      <c r="K5597" s="690" t="s">
        <v>4060</v>
      </c>
    </row>
    <row r="5598" spans="1:11">
      <c r="A5598" s="688" t="s">
        <v>2496</v>
      </c>
      <c r="B5598" s="692" t="s">
        <v>4060</v>
      </c>
      <c r="C5598" s="691">
        <v>8.6999999999999993</v>
      </c>
      <c r="D5598" s="691">
        <v>7.6</v>
      </c>
      <c r="E5598" s="615">
        <v>7</v>
      </c>
      <c r="F5598" s="691">
        <v>7.3</v>
      </c>
      <c r="G5598" s="691">
        <v>7.4</v>
      </c>
      <c r="H5598" s="691">
        <v>7.4</v>
      </c>
      <c r="I5598" s="692" t="s">
        <v>4060</v>
      </c>
      <c r="J5598" s="692" t="s">
        <v>4060</v>
      </c>
      <c r="K5598" s="691">
        <v>7.1</v>
      </c>
    </row>
    <row r="5599" spans="1:11">
      <c r="A5599" s="688" t="s">
        <v>2269</v>
      </c>
      <c r="B5599" s="689">
        <v>8.1</v>
      </c>
      <c r="C5599" s="689">
        <v>8.1</v>
      </c>
      <c r="D5599" s="689">
        <v>7.6</v>
      </c>
      <c r="E5599" s="689">
        <v>7.9</v>
      </c>
      <c r="F5599" s="689">
        <v>7.8</v>
      </c>
      <c r="G5599" s="689">
        <v>8.1</v>
      </c>
      <c r="H5599" s="689">
        <v>8.4</v>
      </c>
      <c r="I5599" s="689">
        <v>7.5</v>
      </c>
      <c r="J5599" s="689">
        <v>5.3</v>
      </c>
      <c r="K5599" s="693">
        <v>8</v>
      </c>
    </row>
    <row r="5600" spans="1:11">
      <c r="A5600" s="688" t="s">
        <v>2349</v>
      </c>
      <c r="B5600" s="691">
        <v>7.6</v>
      </c>
      <c r="C5600" s="691">
        <v>7.7</v>
      </c>
      <c r="D5600" s="691">
        <v>7.6</v>
      </c>
      <c r="E5600" s="691">
        <v>7.9</v>
      </c>
      <c r="F5600" s="691">
        <v>7.8</v>
      </c>
      <c r="G5600" s="615">
        <v>8</v>
      </c>
      <c r="H5600" s="691">
        <v>8.1999999999999993</v>
      </c>
      <c r="I5600" s="691">
        <v>7.5</v>
      </c>
      <c r="J5600" s="691">
        <v>6.6</v>
      </c>
      <c r="K5600" s="691">
        <v>7.4</v>
      </c>
    </row>
    <row r="5601" spans="1:11">
      <c r="A5601" s="688" t="s">
        <v>2355</v>
      </c>
      <c r="B5601" s="689">
        <v>9.6999999999999993</v>
      </c>
      <c r="C5601" s="689">
        <v>9.4</v>
      </c>
      <c r="D5601" s="689">
        <v>9.4</v>
      </c>
      <c r="E5601" s="689">
        <v>9.3000000000000007</v>
      </c>
      <c r="F5601" s="689">
        <v>9.4</v>
      </c>
      <c r="G5601" s="689">
        <v>9.6</v>
      </c>
      <c r="H5601" s="689">
        <v>9.6</v>
      </c>
      <c r="I5601" s="690" t="s">
        <v>4060</v>
      </c>
      <c r="J5601" s="690" t="s">
        <v>4060</v>
      </c>
      <c r="K5601" s="690" t="s">
        <v>4060</v>
      </c>
    </row>
    <row r="5602" spans="1:11">
      <c r="A5602" s="688" t="s">
        <v>2357</v>
      </c>
      <c r="B5602" s="692" t="s">
        <v>4060</v>
      </c>
      <c r="C5602" s="691">
        <v>8.1</v>
      </c>
      <c r="D5602" s="691">
        <v>8.3000000000000007</v>
      </c>
      <c r="E5602" s="691">
        <v>8.5</v>
      </c>
      <c r="F5602" s="691">
        <v>8.6999999999999993</v>
      </c>
      <c r="G5602" s="691">
        <v>8.4</v>
      </c>
      <c r="H5602" s="691">
        <v>8.6</v>
      </c>
      <c r="I5602" s="692" t="s">
        <v>4060</v>
      </c>
      <c r="J5602" s="692" t="s">
        <v>4060</v>
      </c>
      <c r="K5602" s="692" t="s">
        <v>4060</v>
      </c>
    </row>
    <row r="5603" spans="1:11">
      <c r="A5603" s="688" t="s">
        <v>4070</v>
      </c>
      <c r="B5603" s="690" t="s">
        <v>4060</v>
      </c>
      <c r="C5603" s="690" t="s">
        <v>4060</v>
      </c>
      <c r="D5603" s="690" t="s">
        <v>4060</v>
      </c>
      <c r="E5603" s="689">
        <v>9.6999999999999993</v>
      </c>
      <c r="F5603" s="690" t="s">
        <v>4060</v>
      </c>
      <c r="G5603" s="690" t="s">
        <v>4060</v>
      </c>
      <c r="H5603" s="690" t="s">
        <v>4060</v>
      </c>
      <c r="I5603" s="690" t="s">
        <v>4060</v>
      </c>
      <c r="J5603" s="690" t="s">
        <v>4060</v>
      </c>
      <c r="K5603" s="690" t="s">
        <v>4060</v>
      </c>
    </row>
    <row r="5604" spans="1:11">
      <c r="A5604" s="688" t="s">
        <v>2491</v>
      </c>
      <c r="B5604" s="691">
        <v>8.1</v>
      </c>
      <c r="C5604" s="691">
        <v>8.4</v>
      </c>
      <c r="D5604" s="691">
        <v>8.4</v>
      </c>
      <c r="E5604" s="691">
        <v>8.4</v>
      </c>
      <c r="F5604" s="691">
        <v>8.5</v>
      </c>
      <c r="G5604" s="691">
        <v>8.5</v>
      </c>
      <c r="H5604" s="692" t="s">
        <v>4060</v>
      </c>
      <c r="I5604" s="692" t="s">
        <v>4060</v>
      </c>
      <c r="J5604" s="692" t="s">
        <v>4060</v>
      </c>
      <c r="K5604" s="692" t="s">
        <v>4060</v>
      </c>
    </row>
    <row r="5605" spans="1:11">
      <c r="A5605" s="688" t="s">
        <v>2343</v>
      </c>
      <c r="B5605" s="690" t="s">
        <v>4060</v>
      </c>
      <c r="C5605" s="690" t="s">
        <v>4060</v>
      </c>
      <c r="D5605" s="690" t="s">
        <v>4060</v>
      </c>
      <c r="E5605" s="690" t="s">
        <v>4060</v>
      </c>
      <c r="F5605" s="690" t="s">
        <v>4060</v>
      </c>
      <c r="G5605" s="690" t="s">
        <v>4060</v>
      </c>
      <c r="H5605" s="690" t="s">
        <v>4060</v>
      </c>
      <c r="I5605" s="690" t="s">
        <v>4060</v>
      </c>
      <c r="J5605" s="690" t="s">
        <v>4060</v>
      </c>
      <c r="K5605" s="690" t="s">
        <v>4060</v>
      </c>
    </row>
    <row r="5606" spans="1:11">
      <c r="A5606" s="688" t="s">
        <v>4071</v>
      </c>
      <c r="B5606" s="692" t="s">
        <v>4060</v>
      </c>
      <c r="C5606" s="692" t="s">
        <v>4060</v>
      </c>
      <c r="D5606" s="692" t="s">
        <v>4060</v>
      </c>
      <c r="E5606" s="692" t="s">
        <v>4060</v>
      </c>
      <c r="F5606" s="692" t="s">
        <v>4060</v>
      </c>
      <c r="G5606" s="692" t="s">
        <v>4060</v>
      </c>
      <c r="H5606" s="692" t="s">
        <v>4060</v>
      </c>
      <c r="I5606" s="692" t="s">
        <v>4060</v>
      </c>
      <c r="J5606" s="692" t="s">
        <v>4060</v>
      </c>
      <c r="K5606" s="692" t="s">
        <v>4060</v>
      </c>
    </row>
    <row r="5607" spans="1:11">
      <c r="A5607" s="688" t="s">
        <v>2489</v>
      </c>
      <c r="B5607" s="690" t="s">
        <v>4060</v>
      </c>
      <c r="C5607" s="690" t="s">
        <v>4060</v>
      </c>
      <c r="D5607" s="689">
        <v>8.1999999999999993</v>
      </c>
      <c r="E5607" s="689">
        <v>8.1</v>
      </c>
      <c r="F5607" s="689">
        <v>8.1999999999999993</v>
      </c>
      <c r="G5607" s="689">
        <v>8.4</v>
      </c>
      <c r="H5607" s="689">
        <v>8.6999999999999993</v>
      </c>
      <c r="I5607" s="690" t="s">
        <v>4060</v>
      </c>
      <c r="J5607" s="690" t="s">
        <v>4060</v>
      </c>
      <c r="K5607" s="690" t="s">
        <v>4060</v>
      </c>
    </row>
    <row r="5608" spans="1:11">
      <c r="A5608" s="688" t="s">
        <v>2490</v>
      </c>
      <c r="B5608" s="615">
        <v>8</v>
      </c>
      <c r="C5608" s="691">
        <v>7.9</v>
      </c>
      <c r="D5608" s="691">
        <v>8.5</v>
      </c>
      <c r="E5608" s="692" t="s">
        <v>4060</v>
      </c>
      <c r="F5608" s="691">
        <v>8.6999999999999993</v>
      </c>
      <c r="G5608" s="691">
        <v>8.6</v>
      </c>
      <c r="H5608" s="691">
        <v>9.4</v>
      </c>
      <c r="I5608" s="692" t="s">
        <v>4060</v>
      </c>
      <c r="J5608" s="692" t="s">
        <v>4060</v>
      </c>
      <c r="K5608" s="692" t="s">
        <v>4060</v>
      </c>
    </row>
    <row r="5610" spans="1:11">
      <c r="A5610" s="683" t="s">
        <v>4233</v>
      </c>
    </row>
    <row r="5611" spans="1:11">
      <c r="A5611" s="683" t="s">
        <v>4060</v>
      </c>
      <c r="B5611" s="682" t="s">
        <v>4234</v>
      </c>
    </row>
    <row r="5613" spans="1:11">
      <c r="A5613" s="682" t="s">
        <v>4248</v>
      </c>
    </row>
    <row r="5614" spans="1:11">
      <c r="A5614" s="682" t="s">
        <v>4210</v>
      </c>
      <c r="B5614" s="683" t="s">
        <v>4211</v>
      </c>
    </row>
    <row r="5615" spans="1:11">
      <c r="A5615" s="682" t="s">
        <v>4212</v>
      </c>
      <c r="B5615" s="682" t="s">
        <v>4213</v>
      </c>
    </row>
    <row r="5617" spans="1:11">
      <c r="A5617" s="683" t="s">
        <v>4214</v>
      </c>
      <c r="C5617" s="682" t="s">
        <v>4215</v>
      </c>
    </row>
    <row r="5618" spans="1:11">
      <c r="A5618" s="683" t="s">
        <v>4216</v>
      </c>
      <c r="C5618" s="682" t="s">
        <v>2967</v>
      </c>
    </row>
    <row r="5619" spans="1:11">
      <c r="A5619" s="683" t="s">
        <v>3893</v>
      </c>
      <c r="C5619" s="682" t="s">
        <v>4217</v>
      </c>
    </row>
    <row r="5620" spans="1:11">
      <c r="A5620" s="683" t="s">
        <v>4218</v>
      </c>
      <c r="C5620" s="682" t="s">
        <v>4313</v>
      </c>
    </row>
    <row r="5622" spans="1:11">
      <c r="A5622" s="684" t="s">
        <v>4220</v>
      </c>
      <c r="B5622" s="685" t="s">
        <v>4221</v>
      </c>
      <c r="C5622" s="685" t="s">
        <v>4222</v>
      </c>
      <c r="D5622" s="685" t="s">
        <v>4223</v>
      </c>
      <c r="E5622" s="685" t="s">
        <v>4224</v>
      </c>
      <c r="F5622" s="685" t="s">
        <v>4225</v>
      </c>
      <c r="G5622" s="685" t="s">
        <v>4226</v>
      </c>
      <c r="H5622" s="685" t="s">
        <v>4227</v>
      </c>
      <c r="I5622" s="685" t="s">
        <v>4228</v>
      </c>
      <c r="J5622" s="685" t="s">
        <v>4229</v>
      </c>
      <c r="K5622" s="685" t="s">
        <v>4230</v>
      </c>
    </row>
    <row r="5623" spans="1:11">
      <c r="A5623" s="686" t="s">
        <v>4231</v>
      </c>
      <c r="B5623" s="687" t="s">
        <v>4232</v>
      </c>
      <c r="C5623" s="687" t="s">
        <v>4232</v>
      </c>
      <c r="D5623" s="687" t="s">
        <v>4232</v>
      </c>
      <c r="E5623" s="687" t="s">
        <v>4232</v>
      </c>
      <c r="F5623" s="687" t="s">
        <v>4232</v>
      </c>
      <c r="G5623" s="687" t="s">
        <v>4232</v>
      </c>
      <c r="H5623" s="687" t="s">
        <v>4232</v>
      </c>
      <c r="I5623" s="687" t="s">
        <v>4232</v>
      </c>
      <c r="J5623" s="687" t="s">
        <v>4232</v>
      </c>
      <c r="K5623" s="687" t="s">
        <v>4232</v>
      </c>
    </row>
    <row r="5624" spans="1:11">
      <c r="A5624" s="688" t="s">
        <v>4064</v>
      </c>
      <c r="B5624" s="691">
        <v>9.9</v>
      </c>
      <c r="C5624" s="691">
        <v>9.6999999999999993</v>
      </c>
      <c r="D5624" s="691">
        <v>9.8000000000000007</v>
      </c>
      <c r="E5624" s="691">
        <v>9.8000000000000007</v>
      </c>
      <c r="F5624" s="691">
        <v>9.6999999999999993</v>
      </c>
      <c r="G5624" s="691">
        <v>9.8000000000000007</v>
      </c>
      <c r="H5624" s="615">
        <v>10</v>
      </c>
      <c r="I5624" s="691">
        <v>9.5</v>
      </c>
      <c r="J5624" s="691">
        <v>9.5</v>
      </c>
      <c r="K5624" s="691">
        <v>9.6</v>
      </c>
    </row>
    <row r="5625" spans="1:11">
      <c r="A5625" s="688" t="s">
        <v>4065</v>
      </c>
      <c r="B5625" s="689">
        <v>9.9</v>
      </c>
      <c r="C5625" s="689">
        <v>10.1</v>
      </c>
      <c r="D5625" s="689">
        <v>9.8000000000000007</v>
      </c>
      <c r="E5625" s="689">
        <v>10.1</v>
      </c>
      <c r="F5625" s="693">
        <v>10</v>
      </c>
      <c r="G5625" s="689">
        <v>10.1</v>
      </c>
      <c r="H5625" s="690" t="s">
        <v>4060</v>
      </c>
      <c r="I5625" s="690" t="s">
        <v>4060</v>
      </c>
      <c r="J5625" s="690" t="s">
        <v>4060</v>
      </c>
      <c r="K5625" s="690" t="s">
        <v>4060</v>
      </c>
    </row>
    <row r="5626" spans="1:11">
      <c r="A5626" s="688" t="s">
        <v>4063</v>
      </c>
      <c r="B5626" s="691">
        <v>9.9</v>
      </c>
      <c r="C5626" s="691">
        <v>10.1</v>
      </c>
      <c r="D5626" s="691">
        <v>9.8000000000000007</v>
      </c>
      <c r="E5626" s="691">
        <v>10.1</v>
      </c>
      <c r="F5626" s="615">
        <v>10</v>
      </c>
      <c r="G5626" s="691">
        <v>10.1</v>
      </c>
      <c r="H5626" s="692" t="s">
        <v>4060</v>
      </c>
      <c r="I5626" s="692" t="s">
        <v>4060</v>
      </c>
      <c r="J5626" s="692" t="s">
        <v>4060</v>
      </c>
      <c r="K5626" s="692" t="s">
        <v>4060</v>
      </c>
    </row>
    <row r="5627" spans="1:11">
      <c r="A5627" s="688" t="s">
        <v>4069</v>
      </c>
      <c r="B5627" s="690" t="s">
        <v>4060</v>
      </c>
      <c r="C5627" s="693">
        <v>10</v>
      </c>
      <c r="D5627" s="689">
        <v>9.8000000000000007</v>
      </c>
      <c r="E5627" s="693">
        <v>10</v>
      </c>
      <c r="F5627" s="693">
        <v>10</v>
      </c>
      <c r="G5627" s="689">
        <v>10.1</v>
      </c>
      <c r="H5627" s="689">
        <v>10.199999999999999</v>
      </c>
      <c r="I5627" s="689">
        <v>9.6999999999999993</v>
      </c>
      <c r="J5627" s="689">
        <v>9.9</v>
      </c>
      <c r="K5627" s="689">
        <v>9.8000000000000007</v>
      </c>
    </row>
    <row r="5628" spans="1:11">
      <c r="A5628" s="688" t="s">
        <v>4068</v>
      </c>
      <c r="B5628" s="691">
        <v>10.199999999999999</v>
      </c>
      <c r="C5628" s="692" t="s">
        <v>4060</v>
      </c>
      <c r="D5628" s="692" t="s">
        <v>4060</v>
      </c>
      <c r="E5628" s="692" t="s">
        <v>4060</v>
      </c>
      <c r="F5628" s="692" t="s">
        <v>4060</v>
      </c>
      <c r="G5628" s="692" t="s">
        <v>4060</v>
      </c>
      <c r="H5628" s="692" t="s">
        <v>4060</v>
      </c>
      <c r="I5628" s="692" t="s">
        <v>4060</v>
      </c>
      <c r="J5628" s="692" t="s">
        <v>4060</v>
      </c>
      <c r="K5628" s="692" t="s">
        <v>4060</v>
      </c>
    </row>
    <row r="5629" spans="1:11">
      <c r="A5629" s="688" t="s">
        <v>0</v>
      </c>
      <c r="B5629" s="689">
        <v>9.8000000000000007</v>
      </c>
      <c r="C5629" s="689">
        <v>9.8000000000000007</v>
      </c>
      <c r="D5629" s="689">
        <v>9.6</v>
      </c>
      <c r="E5629" s="689">
        <v>9.9</v>
      </c>
      <c r="F5629" s="689">
        <v>9.9</v>
      </c>
      <c r="G5629" s="689">
        <v>9.9</v>
      </c>
      <c r="H5629" s="689">
        <v>10.199999999999999</v>
      </c>
      <c r="I5629" s="689">
        <v>9.3000000000000007</v>
      </c>
      <c r="J5629" s="689">
        <v>10.199999999999999</v>
      </c>
      <c r="K5629" s="693">
        <v>10</v>
      </c>
    </row>
    <row r="5630" spans="1:11">
      <c r="A5630" s="688" t="s">
        <v>1</v>
      </c>
      <c r="B5630" s="691">
        <v>7.6</v>
      </c>
      <c r="C5630" s="691">
        <v>7.3</v>
      </c>
      <c r="D5630" s="691">
        <v>7.2</v>
      </c>
      <c r="E5630" s="691">
        <v>7.5</v>
      </c>
      <c r="F5630" s="691">
        <v>7.4</v>
      </c>
      <c r="G5630" s="691">
        <v>7.5</v>
      </c>
      <c r="H5630" s="691">
        <v>7.5</v>
      </c>
      <c r="I5630" s="615">
        <v>7</v>
      </c>
      <c r="J5630" s="691">
        <v>6.4</v>
      </c>
      <c r="K5630" s="691">
        <v>7.2</v>
      </c>
    </row>
    <row r="5631" spans="1:11">
      <c r="A5631" s="688" t="s">
        <v>2240</v>
      </c>
      <c r="B5631" s="689">
        <v>8.6</v>
      </c>
      <c r="C5631" s="689">
        <v>8.6</v>
      </c>
      <c r="D5631" s="689">
        <v>8.4</v>
      </c>
      <c r="E5631" s="689">
        <v>8.8000000000000007</v>
      </c>
      <c r="F5631" s="689">
        <v>8.6999999999999993</v>
      </c>
      <c r="G5631" s="689">
        <v>8.6999999999999993</v>
      </c>
      <c r="H5631" s="689">
        <v>8.9</v>
      </c>
      <c r="I5631" s="689">
        <v>8.1</v>
      </c>
      <c r="J5631" s="693">
        <v>8</v>
      </c>
      <c r="K5631" s="689">
        <v>8.6</v>
      </c>
    </row>
    <row r="5632" spans="1:11">
      <c r="A5632" s="688" t="s">
        <v>2</v>
      </c>
      <c r="B5632" s="691">
        <v>9.3000000000000007</v>
      </c>
      <c r="C5632" s="691">
        <v>9.5</v>
      </c>
      <c r="D5632" s="691">
        <v>9.4</v>
      </c>
      <c r="E5632" s="691">
        <v>9.5</v>
      </c>
      <c r="F5632" s="691">
        <v>9.5</v>
      </c>
      <c r="G5632" s="691">
        <v>9.4</v>
      </c>
      <c r="H5632" s="691">
        <v>9.6999999999999993</v>
      </c>
      <c r="I5632" s="691">
        <v>9.6999999999999993</v>
      </c>
      <c r="J5632" s="691">
        <v>9.6</v>
      </c>
      <c r="K5632" s="691">
        <v>9.4</v>
      </c>
    </row>
    <row r="5633" spans="1:11">
      <c r="A5633" s="688" t="s">
        <v>3</v>
      </c>
      <c r="B5633" s="689">
        <v>9.5</v>
      </c>
      <c r="C5633" s="689">
        <v>9.5</v>
      </c>
      <c r="D5633" s="689">
        <v>9.3000000000000007</v>
      </c>
      <c r="E5633" s="689">
        <v>9.6</v>
      </c>
      <c r="F5633" s="689">
        <v>9.5</v>
      </c>
      <c r="G5633" s="689">
        <v>9.5</v>
      </c>
      <c r="H5633" s="689">
        <v>9.8000000000000007</v>
      </c>
      <c r="I5633" s="689">
        <v>9.6</v>
      </c>
      <c r="J5633" s="689">
        <v>9.5</v>
      </c>
      <c r="K5633" s="689">
        <v>9.3000000000000007</v>
      </c>
    </row>
    <row r="5634" spans="1:11">
      <c r="A5634" s="688" t="s">
        <v>4061</v>
      </c>
      <c r="B5634" s="691">
        <v>9.5</v>
      </c>
      <c r="C5634" s="691">
        <v>9.5</v>
      </c>
      <c r="D5634" s="691">
        <v>9.3000000000000007</v>
      </c>
      <c r="E5634" s="691">
        <v>9.6</v>
      </c>
      <c r="F5634" s="691">
        <v>9.5</v>
      </c>
      <c r="G5634" s="691">
        <v>9.5</v>
      </c>
      <c r="H5634" s="691">
        <v>9.8000000000000007</v>
      </c>
      <c r="I5634" s="691">
        <v>9.6</v>
      </c>
      <c r="J5634" s="691">
        <v>9.5</v>
      </c>
      <c r="K5634" s="691">
        <v>9.3000000000000007</v>
      </c>
    </row>
    <row r="5635" spans="1:11">
      <c r="A5635" s="688" t="s">
        <v>4</v>
      </c>
      <c r="B5635" s="689">
        <v>9.3000000000000007</v>
      </c>
      <c r="C5635" s="693">
        <v>9</v>
      </c>
      <c r="D5635" s="689">
        <v>9.1999999999999993</v>
      </c>
      <c r="E5635" s="689">
        <v>9.1999999999999993</v>
      </c>
      <c r="F5635" s="689">
        <v>9.1999999999999993</v>
      </c>
      <c r="G5635" s="689">
        <v>9.4</v>
      </c>
      <c r="H5635" s="689">
        <v>9.6</v>
      </c>
      <c r="I5635" s="689">
        <v>9.6</v>
      </c>
      <c r="J5635" s="689">
        <v>8.6999999999999993</v>
      </c>
      <c r="K5635" s="689">
        <v>9.1</v>
      </c>
    </row>
    <row r="5636" spans="1:11">
      <c r="A5636" s="688" t="s">
        <v>8</v>
      </c>
      <c r="B5636" s="691">
        <v>9.4</v>
      </c>
      <c r="C5636" s="691">
        <v>9.4</v>
      </c>
      <c r="D5636" s="691">
        <v>9.4</v>
      </c>
      <c r="E5636" s="691">
        <v>9.4</v>
      </c>
      <c r="F5636" s="691">
        <v>9.6</v>
      </c>
      <c r="G5636" s="691">
        <v>9.8000000000000007</v>
      </c>
      <c r="H5636" s="691">
        <v>9.9</v>
      </c>
      <c r="I5636" s="691">
        <v>9.8000000000000007</v>
      </c>
      <c r="J5636" s="691">
        <v>9.6999999999999993</v>
      </c>
      <c r="K5636" s="691">
        <v>9.8000000000000007</v>
      </c>
    </row>
    <row r="5637" spans="1:11">
      <c r="A5637" s="688" t="s">
        <v>7</v>
      </c>
      <c r="B5637" s="689">
        <v>9.9</v>
      </c>
      <c r="C5637" s="689">
        <v>9.3000000000000007</v>
      </c>
      <c r="D5637" s="689">
        <v>9.1</v>
      </c>
      <c r="E5637" s="689">
        <v>9.5</v>
      </c>
      <c r="F5637" s="689">
        <v>9.4</v>
      </c>
      <c r="G5637" s="689">
        <v>9.8000000000000007</v>
      </c>
      <c r="H5637" s="689">
        <v>9.6999999999999993</v>
      </c>
      <c r="I5637" s="689">
        <v>9.6</v>
      </c>
      <c r="J5637" s="689">
        <v>9.1999999999999993</v>
      </c>
      <c r="K5637" s="689">
        <v>9.3000000000000007</v>
      </c>
    </row>
    <row r="5638" spans="1:11">
      <c r="A5638" s="688" t="s">
        <v>27</v>
      </c>
      <c r="B5638" s="691">
        <v>10.9</v>
      </c>
      <c r="C5638" s="691">
        <v>10.5</v>
      </c>
      <c r="D5638" s="691">
        <v>10.199999999999999</v>
      </c>
      <c r="E5638" s="691">
        <v>10.5</v>
      </c>
      <c r="F5638" s="691">
        <v>10.4</v>
      </c>
      <c r="G5638" s="691">
        <v>10.5</v>
      </c>
      <c r="H5638" s="691">
        <v>10.8</v>
      </c>
      <c r="I5638" s="691">
        <v>9.9</v>
      </c>
      <c r="J5638" s="691">
        <v>10.6</v>
      </c>
      <c r="K5638" s="691">
        <v>10.5</v>
      </c>
    </row>
    <row r="5639" spans="1:11">
      <c r="A5639" s="688" t="s">
        <v>6</v>
      </c>
      <c r="B5639" s="689">
        <v>11.3</v>
      </c>
      <c r="C5639" s="689">
        <v>10.9</v>
      </c>
      <c r="D5639" s="689">
        <v>10.7</v>
      </c>
      <c r="E5639" s="689">
        <v>10.9</v>
      </c>
      <c r="F5639" s="693">
        <v>11</v>
      </c>
      <c r="G5639" s="689">
        <v>11.1</v>
      </c>
      <c r="H5639" s="689">
        <v>11.1</v>
      </c>
      <c r="I5639" s="689">
        <v>10.6</v>
      </c>
      <c r="J5639" s="689">
        <v>10.8</v>
      </c>
      <c r="K5639" s="689">
        <v>10.8</v>
      </c>
    </row>
    <row r="5640" spans="1:11">
      <c r="A5640" s="688" t="s">
        <v>4058</v>
      </c>
      <c r="B5640" s="692" t="s">
        <v>4060</v>
      </c>
      <c r="C5640" s="692" t="s">
        <v>4060</v>
      </c>
      <c r="D5640" s="692" t="s">
        <v>4060</v>
      </c>
      <c r="E5640" s="692" t="s">
        <v>4060</v>
      </c>
      <c r="F5640" s="692" t="s">
        <v>4060</v>
      </c>
      <c r="G5640" s="692" t="s">
        <v>4060</v>
      </c>
      <c r="H5640" s="692" t="s">
        <v>4060</v>
      </c>
      <c r="I5640" s="692" t="s">
        <v>4060</v>
      </c>
      <c r="J5640" s="692" t="s">
        <v>4060</v>
      </c>
      <c r="K5640" s="692" t="s">
        <v>4060</v>
      </c>
    </row>
    <row r="5641" spans="1:11">
      <c r="A5641" s="688" t="s">
        <v>11</v>
      </c>
      <c r="B5641" s="689">
        <v>8.1999999999999993</v>
      </c>
      <c r="C5641" s="693">
        <v>8</v>
      </c>
      <c r="D5641" s="689">
        <v>7.7</v>
      </c>
      <c r="E5641" s="693">
        <v>8</v>
      </c>
      <c r="F5641" s="689">
        <v>7.9</v>
      </c>
      <c r="G5641" s="689">
        <v>8.1</v>
      </c>
      <c r="H5641" s="689">
        <v>8.1999999999999993</v>
      </c>
      <c r="I5641" s="689">
        <v>7.8</v>
      </c>
      <c r="J5641" s="689">
        <v>7.4</v>
      </c>
      <c r="K5641" s="689">
        <v>7.7</v>
      </c>
    </row>
    <row r="5642" spans="1:11">
      <c r="A5642" s="688" t="s">
        <v>10</v>
      </c>
      <c r="B5642" s="691">
        <v>10.5</v>
      </c>
      <c r="C5642" s="691">
        <v>10.199999999999999</v>
      </c>
      <c r="D5642" s="691">
        <v>9.8000000000000007</v>
      </c>
      <c r="E5642" s="691">
        <v>10.199999999999999</v>
      </c>
      <c r="F5642" s="615">
        <v>10</v>
      </c>
      <c r="G5642" s="691">
        <v>10.3</v>
      </c>
      <c r="H5642" s="691">
        <v>10.4</v>
      </c>
      <c r="I5642" s="691">
        <v>9.6</v>
      </c>
      <c r="J5642" s="615">
        <v>10</v>
      </c>
      <c r="K5642" s="691">
        <v>9.9</v>
      </c>
    </row>
    <row r="5643" spans="1:11">
      <c r="A5643" s="688" t="s">
        <v>30</v>
      </c>
      <c r="B5643" s="689">
        <v>9.6999999999999993</v>
      </c>
      <c r="C5643" s="689">
        <v>9.1999999999999993</v>
      </c>
      <c r="D5643" s="689">
        <v>8.9</v>
      </c>
      <c r="E5643" s="689">
        <v>9.5</v>
      </c>
      <c r="F5643" s="689">
        <v>9.1999999999999993</v>
      </c>
      <c r="G5643" s="689">
        <v>9.6999999999999993</v>
      </c>
      <c r="H5643" s="689">
        <v>9.5</v>
      </c>
      <c r="I5643" s="689">
        <v>9.6</v>
      </c>
      <c r="J5643" s="689">
        <v>9.4</v>
      </c>
      <c r="K5643" s="689">
        <v>9.4</v>
      </c>
    </row>
    <row r="5644" spans="1:11">
      <c r="A5644" s="688" t="s">
        <v>12</v>
      </c>
      <c r="B5644" s="691">
        <v>8.5</v>
      </c>
      <c r="C5644" s="691">
        <v>8.3000000000000007</v>
      </c>
      <c r="D5644" s="691">
        <v>8.3000000000000007</v>
      </c>
      <c r="E5644" s="691">
        <v>8.4</v>
      </c>
      <c r="F5644" s="691">
        <v>8.4</v>
      </c>
      <c r="G5644" s="691">
        <v>8.4</v>
      </c>
      <c r="H5644" s="691">
        <v>8.6999999999999993</v>
      </c>
      <c r="I5644" s="691">
        <v>8.5</v>
      </c>
      <c r="J5644" s="691">
        <v>7.7</v>
      </c>
      <c r="K5644" s="691">
        <v>8.1999999999999993</v>
      </c>
    </row>
    <row r="5645" spans="1:11">
      <c r="A5645" s="688" t="s">
        <v>14</v>
      </c>
      <c r="B5645" s="689">
        <v>8.5</v>
      </c>
      <c r="C5645" s="689">
        <v>8.3000000000000007</v>
      </c>
      <c r="D5645" s="689">
        <v>8.1</v>
      </c>
      <c r="E5645" s="689">
        <v>8.3000000000000007</v>
      </c>
      <c r="F5645" s="689">
        <v>8.1999999999999993</v>
      </c>
      <c r="G5645" s="689">
        <v>8.4</v>
      </c>
      <c r="H5645" s="689">
        <v>8.6999999999999993</v>
      </c>
      <c r="I5645" s="689">
        <v>8.1999999999999993</v>
      </c>
      <c r="J5645" s="689">
        <v>7.8</v>
      </c>
      <c r="K5645" s="689">
        <v>8.3000000000000007</v>
      </c>
    </row>
    <row r="5646" spans="1:11">
      <c r="A5646" s="688" t="s">
        <v>15</v>
      </c>
      <c r="B5646" s="691">
        <v>10.4</v>
      </c>
      <c r="C5646" s="615">
        <v>10</v>
      </c>
      <c r="D5646" s="691">
        <v>9.9</v>
      </c>
      <c r="E5646" s="691">
        <v>10.1</v>
      </c>
      <c r="F5646" s="691">
        <v>10.199999999999999</v>
      </c>
      <c r="G5646" s="615">
        <v>10</v>
      </c>
      <c r="H5646" s="691">
        <v>10.1</v>
      </c>
      <c r="I5646" s="691">
        <v>9.8000000000000007</v>
      </c>
      <c r="J5646" s="691">
        <v>10.1</v>
      </c>
      <c r="K5646" s="691">
        <v>10.199999999999999</v>
      </c>
    </row>
    <row r="5647" spans="1:11">
      <c r="A5647" s="688" t="s">
        <v>29</v>
      </c>
      <c r="B5647" s="689">
        <v>8.1999999999999993</v>
      </c>
      <c r="C5647" s="689">
        <v>8.1</v>
      </c>
      <c r="D5647" s="689">
        <v>7.9</v>
      </c>
      <c r="E5647" s="689">
        <v>8.1999999999999993</v>
      </c>
      <c r="F5647" s="693">
        <v>8</v>
      </c>
      <c r="G5647" s="689">
        <v>8.1</v>
      </c>
      <c r="H5647" s="689">
        <v>8.1999999999999993</v>
      </c>
      <c r="I5647" s="689">
        <v>7.8</v>
      </c>
      <c r="J5647" s="689">
        <v>7.6</v>
      </c>
      <c r="K5647" s="693">
        <v>8</v>
      </c>
    </row>
    <row r="5648" spans="1:11">
      <c r="A5648" s="688" t="s">
        <v>16</v>
      </c>
      <c r="B5648" s="691">
        <v>9.6</v>
      </c>
      <c r="C5648" s="691">
        <v>9.6999999999999993</v>
      </c>
      <c r="D5648" s="691">
        <v>9.4</v>
      </c>
      <c r="E5648" s="691">
        <v>9.9</v>
      </c>
      <c r="F5648" s="691">
        <v>9.6999999999999993</v>
      </c>
      <c r="G5648" s="691">
        <v>9.6999999999999993</v>
      </c>
      <c r="H5648" s="691">
        <v>9.8000000000000007</v>
      </c>
      <c r="I5648" s="691">
        <v>9.5</v>
      </c>
      <c r="J5648" s="691">
        <v>9.6999999999999993</v>
      </c>
      <c r="K5648" s="691">
        <v>9.6999999999999993</v>
      </c>
    </row>
    <row r="5649" spans="1:11">
      <c r="A5649" s="688" t="s">
        <v>17</v>
      </c>
      <c r="B5649" s="689">
        <v>9.6</v>
      </c>
      <c r="C5649" s="689">
        <v>9.6</v>
      </c>
      <c r="D5649" s="689">
        <v>9.4</v>
      </c>
      <c r="E5649" s="689">
        <v>9.5</v>
      </c>
      <c r="F5649" s="689">
        <v>9.5</v>
      </c>
      <c r="G5649" s="689">
        <v>9.5</v>
      </c>
      <c r="H5649" s="689">
        <v>9.6999999999999993</v>
      </c>
      <c r="I5649" s="689">
        <v>9.1999999999999993</v>
      </c>
      <c r="J5649" s="689">
        <v>9.3000000000000007</v>
      </c>
      <c r="K5649" s="689">
        <v>9.4</v>
      </c>
    </row>
    <row r="5650" spans="1:11">
      <c r="A5650" s="688" t="s">
        <v>19</v>
      </c>
      <c r="B5650" s="691">
        <v>9.8000000000000007</v>
      </c>
      <c r="C5650" s="691">
        <v>9.8000000000000007</v>
      </c>
      <c r="D5650" s="691">
        <v>9.6</v>
      </c>
      <c r="E5650" s="691">
        <v>9.9</v>
      </c>
      <c r="F5650" s="691">
        <v>9.6999999999999993</v>
      </c>
      <c r="G5650" s="691">
        <v>9.9</v>
      </c>
      <c r="H5650" s="615">
        <v>10</v>
      </c>
      <c r="I5650" s="691">
        <v>9.5</v>
      </c>
      <c r="J5650" s="691">
        <v>9.6999999999999993</v>
      </c>
      <c r="K5650" s="691">
        <v>9.6</v>
      </c>
    </row>
    <row r="5651" spans="1:11">
      <c r="A5651" s="688" t="s">
        <v>20</v>
      </c>
      <c r="B5651" s="689">
        <v>9.1999999999999993</v>
      </c>
      <c r="C5651" s="689">
        <v>9.1</v>
      </c>
      <c r="D5651" s="693">
        <v>9</v>
      </c>
      <c r="E5651" s="689">
        <v>9.3000000000000007</v>
      </c>
      <c r="F5651" s="689">
        <v>9.1</v>
      </c>
      <c r="G5651" s="689">
        <v>9.1</v>
      </c>
      <c r="H5651" s="689">
        <v>9.4</v>
      </c>
      <c r="I5651" s="689">
        <v>8.5</v>
      </c>
      <c r="J5651" s="689">
        <v>8.1</v>
      </c>
      <c r="K5651" s="689">
        <v>8.8000000000000007</v>
      </c>
    </row>
    <row r="5652" spans="1:11">
      <c r="A5652" s="688" t="s">
        <v>21</v>
      </c>
      <c r="B5652" s="691">
        <v>9.6</v>
      </c>
      <c r="C5652" s="691">
        <v>9.8000000000000007</v>
      </c>
      <c r="D5652" s="691">
        <v>9.6999999999999993</v>
      </c>
      <c r="E5652" s="691">
        <v>9.8000000000000007</v>
      </c>
      <c r="F5652" s="615">
        <v>10</v>
      </c>
      <c r="G5652" s="691">
        <v>9.9</v>
      </c>
      <c r="H5652" s="691">
        <v>10.1</v>
      </c>
      <c r="I5652" s="691">
        <v>9.6999999999999993</v>
      </c>
      <c r="J5652" s="691">
        <v>9.8000000000000007</v>
      </c>
      <c r="K5652" s="691">
        <v>9.9</v>
      </c>
    </row>
    <row r="5653" spans="1:11">
      <c r="A5653" s="688" t="s">
        <v>22</v>
      </c>
      <c r="B5653" s="689">
        <v>8.1</v>
      </c>
      <c r="C5653" s="689">
        <v>7.8</v>
      </c>
      <c r="D5653" s="689">
        <v>7.7</v>
      </c>
      <c r="E5653" s="689">
        <v>8.1</v>
      </c>
      <c r="F5653" s="689">
        <v>8.1</v>
      </c>
      <c r="G5653" s="689">
        <v>8.1</v>
      </c>
      <c r="H5653" s="689">
        <v>8.4</v>
      </c>
      <c r="I5653" s="689">
        <v>7.8</v>
      </c>
      <c r="J5653" s="693">
        <v>7</v>
      </c>
      <c r="K5653" s="689">
        <v>7.7</v>
      </c>
    </row>
    <row r="5654" spans="1:11">
      <c r="A5654" s="688" t="s">
        <v>26</v>
      </c>
      <c r="B5654" s="691">
        <v>9.6999999999999993</v>
      </c>
      <c r="C5654" s="691">
        <v>9.4</v>
      </c>
      <c r="D5654" s="691">
        <v>9.4</v>
      </c>
      <c r="E5654" s="691">
        <v>9.5</v>
      </c>
      <c r="F5654" s="691">
        <v>9.5</v>
      </c>
      <c r="G5654" s="691">
        <v>9.6999999999999993</v>
      </c>
      <c r="H5654" s="691">
        <v>9.8000000000000007</v>
      </c>
      <c r="I5654" s="691">
        <v>8.9</v>
      </c>
      <c r="J5654" s="691">
        <v>9.4</v>
      </c>
      <c r="K5654" s="691">
        <v>9.5</v>
      </c>
    </row>
    <row r="5655" spans="1:11">
      <c r="A5655" s="688" t="s">
        <v>25</v>
      </c>
      <c r="B5655" s="689">
        <v>8.1</v>
      </c>
      <c r="C5655" s="689">
        <v>8.3000000000000007</v>
      </c>
      <c r="D5655" s="689">
        <v>8.1</v>
      </c>
      <c r="E5655" s="689">
        <v>8.4</v>
      </c>
      <c r="F5655" s="689">
        <v>8.3000000000000007</v>
      </c>
      <c r="G5655" s="689">
        <v>8.5</v>
      </c>
      <c r="H5655" s="689">
        <v>8.9</v>
      </c>
      <c r="I5655" s="689">
        <v>8.3000000000000007</v>
      </c>
      <c r="J5655" s="689">
        <v>7.3</v>
      </c>
      <c r="K5655" s="689">
        <v>8.1</v>
      </c>
    </row>
    <row r="5656" spans="1:11">
      <c r="A5656" s="688" t="s">
        <v>5</v>
      </c>
      <c r="B5656" s="691">
        <v>10.1</v>
      </c>
      <c r="C5656" s="691">
        <v>9.6999999999999993</v>
      </c>
      <c r="D5656" s="691">
        <v>9.6999999999999993</v>
      </c>
      <c r="E5656" s="691">
        <v>9.6999999999999993</v>
      </c>
      <c r="F5656" s="691">
        <v>9.9</v>
      </c>
      <c r="G5656" s="691">
        <v>9.9</v>
      </c>
      <c r="H5656" s="691">
        <v>10.1</v>
      </c>
      <c r="I5656" s="691">
        <v>10.1</v>
      </c>
      <c r="J5656" s="615">
        <v>10</v>
      </c>
      <c r="K5656" s="691">
        <v>9.5</v>
      </c>
    </row>
    <row r="5657" spans="1:11">
      <c r="A5657" s="688" t="s">
        <v>23</v>
      </c>
      <c r="B5657" s="689">
        <v>9.6999999999999993</v>
      </c>
      <c r="C5657" s="689">
        <v>9.8000000000000007</v>
      </c>
      <c r="D5657" s="689">
        <v>9.6999999999999993</v>
      </c>
      <c r="E5657" s="689">
        <v>9.8000000000000007</v>
      </c>
      <c r="F5657" s="689">
        <v>9.8000000000000007</v>
      </c>
      <c r="G5657" s="689">
        <v>9.9</v>
      </c>
      <c r="H5657" s="689">
        <v>10.199999999999999</v>
      </c>
      <c r="I5657" s="689">
        <v>9.6</v>
      </c>
      <c r="J5657" s="689">
        <v>10.199999999999999</v>
      </c>
      <c r="K5657" s="689">
        <v>10.1</v>
      </c>
    </row>
    <row r="5658" spans="1:11">
      <c r="A5658" s="688" t="s">
        <v>4067</v>
      </c>
      <c r="B5658" s="691">
        <v>9.9</v>
      </c>
      <c r="C5658" s="691">
        <v>10.1</v>
      </c>
      <c r="D5658" s="691">
        <v>9.8000000000000007</v>
      </c>
      <c r="E5658" s="691">
        <v>10.1</v>
      </c>
      <c r="F5658" s="615">
        <v>10</v>
      </c>
      <c r="G5658" s="691">
        <v>10.1</v>
      </c>
      <c r="H5658" s="692" t="s">
        <v>4060</v>
      </c>
      <c r="I5658" s="692" t="s">
        <v>4060</v>
      </c>
      <c r="J5658" s="692" t="s">
        <v>4060</v>
      </c>
      <c r="K5658" s="692" t="s">
        <v>4060</v>
      </c>
    </row>
    <row r="5659" spans="1:11">
      <c r="A5659" s="688" t="s">
        <v>4066</v>
      </c>
      <c r="B5659" s="689">
        <v>9.9</v>
      </c>
      <c r="C5659" s="689">
        <v>10.1</v>
      </c>
      <c r="D5659" s="689">
        <v>9.8000000000000007</v>
      </c>
      <c r="E5659" s="689">
        <v>10.1</v>
      </c>
      <c r="F5659" s="693">
        <v>10</v>
      </c>
      <c r="G5659" s="689">
        <v>10.1</v>
      </c>
      <c r="H5659" s="690" t="s">
        <v>4060</v>
      </c>
      <c r="I5659" s="690" t="s">
        <v>4060</v>
      </c>
      <c r="J5659" s="690" t="s">
        <v>4060</v>
      </c>
      <c r="K5659" s="690" t="s">
        <v>4060</v>
      </c>
    </row>
    <row r="5660" spans="1:11">
      <c r="A5660" s="688" t="s">
        <v>4062</v>
      </c>
      <c r="B5660" s="691">
        <v>10.1</v>
      </c>
      <c r="C5660" s="691">
        <v>10.1</v>
      </c>
      <c r="D5660" s="615">
        <v>10</v>
      </c>
      <c r="E5660" s="691">
        <v>10.199999999999999</v>
      </c>
      <c r="F5660" s="691">
        <v>10.199999999999999</v>
      </c>
      <c r="G5660" s="691">
        <v>10.3</v>
      </c>
      <c r="H5660" s="691">
        <v>10.4</v>
      </c>
      <c r="I5660" s="691">
        <v>10.1</v>
      </c>
      <c r="J5660" s="691">
        <v>10.4</v>
      </c>
      <c r="K5660" s="691">
        <v>10.199999999999999</v>
      </c>
    </row>
    <row r="5661" spans="1:11">
      <c r="A5661" s="688" t="s">
        <v>9</v>
      </c>
      <c r="B5661" s="689">
        <v>9.6999999999999993</v>
      </c>
      <c r="C5661" s="689">
        <v>9.9</v>
      </c>
      <c r="D5661" s="689">
        <v>9.6999999999999993</v>
      </c>
      <c r="E5661" s="689">
        <v>9.6</v>
      </c>
      <c r="F5661" s="689">
        <v>9.6999999999999993</v>
      </c>
      <c r="G5661" s="689">
        <v>9.6999999999999993</v>
      </c>
      <c r="H5661" s="689">
        <v>9.9</v>
      </c>
      <c r="I5661" s="689">
        <v>10.1</v>
      </c>
      <c r="J5661" s="689">
        <v>10.3</v>
      </c>
      <c r="K5661" s="689">
        <v>9.5</v>
      </c>
    </row>
    <row r="5662" spans="1:11">
      <c r="A5662" s="688" t="s">
        <v>13</v>
      </c>
      <c r="B5662" s="691">
        <v>10.1</v>
      </c>
      <c r="C5662" s="691">
        <v>9.1999999999999993</v>
      </c>
      <c r="D5662" s="691">
        <v>9.3000000000000007</v>
      </c>
      <c r="E5662" s="691">
        <v>10.1</v>
      </c>
      <c r="F5662" s="691">
        <v>10.6</v>
      </c>
      <c r="G5662" s="691">
        <v>9.6999999999999993</v>
      </c>
      <c r="H5662" s="691">
        <v>10.4</v>
      </c>
      <c r="I5662" s="615">
        <v>9</v>
      </c>
      <c r="J5662" s="691">
        <v>10.4</v>
      </c>
      <c r="K5662" s="691">
        <v>10.7</v>
      </c>
    </row>
    <row r="5663" spans="1:11">
      <c r="A5663" s="688" t="s">
        <v>18</v>
      </c>
      <c r="B5663" s="689">
        <v>9.8000000000000007</v>
      </c>
      <c r="C5663" s="689">
        <v>9.8000000000000007</v>
      </c>
      <c r="D5663" s="689">
        <v>9.8000000000000007</v>
      </c>
      <c r="E5663" s="689">
        <v>9.9</v>
      </c>
      <c r="F5663" s="689">
        <v>9.9</v>
      </c>
      <c r="G5663" s="693">
        <v>10</v>
      </c>
      <c r="H5663" s="689">
        <v>10.1</v>
      </c>
      <c r="I5663" s="689">
        <v>10.3</v>
      </c>
      <c r="J5663" s="689">
        <v>10.199999999999999</v>
      </c>
      <c r="K5663" s="689">
        <v>9.8000000000000007</v>
      </c>
    </row>
    <row r="5664" spans="1:11">
      <c r="A5664" s="688" t="s">
        <v>24</v>
      </c>
      <c r="B5664" s="691">
        <v>10.3</v>
      </c>
      <c r="C5664" s="691">
        <v>10.3</v>
      </c>
      <c r="D5664" s="691">
        <v>10.1</v>
      </c>
      <c r="E5664" s="691">
        <v>10.4</v>
      </c>
      <c r="F5664" s="691">
        <v>10.4</v>
      </c>
      <c r="G5664" s="691">
        <v>10.5</v>
      </c>
      <c r="H5664" s="691">
        <v>10.6</v>
      </c>
      <c r="I5664" s="615">
        <v>10</v>
      </c>
      <c r="J5664" s="691">
        <v>10.6</v>
      </c>
      <c r="K5664" s="691">
        <v>10.4</v>
      </c>
    </row>
    <row r="5665" spans="1:11">
      <c r="A5665" s="688" t="s">
        <v>4059</v>
      </c>
      <c r="B5665" s="689">
        <v>9.8000000000000007</v>
      </c>
      <c r="C5665" s="689">
        <v>10.1</v>
      </c>
      <c r="D5665" s="689">
        <v>9.6999999999999993</v>
      </c>
      <c r="E5665" s="693">
        <v>10</v>
      </c>
      <c r="F5665" s="689">
        <v>9.9</v>
      </c>
      <c r="G5665" s="689">
        <v>9.9</v>
      </c>
      <c r="H5665" s="690" t="s">
        <v>4060</v>
      </c>
      <c r="I5665" s="690" t="s">
        <v>4060</v>
      </c>
      <c r="J5665" s="690" t="s">
        <v>4060</v>
      </c>
      <c r="K5665" s="690" t="s">
        <v>4060</v>
      </c>
    </row>
    <row r="5666" spans="1:11">
      <c r="A5666" s="688" t="s">
        <v>2324</v>
      </c>
      <c r="B5666" s="691">
        <v>7.7</v>
      </c>
      <c r="C5666" s="691">
        <v>7.7</v>
      </c>
      <c r="D5666" s="691">
        <v>7.3</v>
      </c>
      <c r="E5666" s="691">
        <v>7.6</v>
      </c>
      <c r="F5666" s="691">
        <v>7.7</v>
      </c>
      <c r="G5666" s="691">
        <v>7.7</v>
      </c>
      <c r="H5666" s="691">
        <v>7.8</v>
      </c>
      <c r="I5666" s="691">
        <v>7.3</v>
      </c>
      <c r="J5666" s="691">
        <v>5.9</v>
      </c>
      <c r="K5666" s="692" t="s">
        <v>4060</v>
      </c>
    </row>
    <row r="5667" spans="1:11">
      <c r="A5667" s="688" t="s">
        <v>2322</v>
      </c>
      <c r="B5667" s="690" t="s">
        <v>4060</v>
      </c>
      <c r="C5667" s="690" t="s">
        <v>4060</v>
      </c>
      <c r="D5667" s="690" t="s">
        <v>4060</v>
      </c>
      <c r="E5667" s="690" t="s">
        <v>4060</v>
      </c>
      <c r="F5667" s="690" t="s">
        <v>4060</v>
      </c>
      <c r="G5667" s="690" t="s">
        <v>4060</v>
      </c>
      <c r="H5667" s="690" t="s">
        <v>4060</v>
      </c>
      <c r="I5667" s="690" t="s">
        <v>4060</v>
      </c>
      <c r="J5667" s="690" t="s">
        <v>4060</v>
      </c>
      <c r="K5667" s="690" t="s">
        <v>4060</v>
      </c>
    </row>
    <row r="5668" spans="1:11">
      <c r="A5668" s="688" t="s">
        <v>2328</v>
      </c>
      <c r="B5668" s="691">
        <v>6.7</v>
      </c>
      <c r="C5668" s="691">
        <v>6.6</v>
      </c>
      <c r="D5668" s="691">
        <v>6.5</v>
      </c>
      <c r="E5668" s="691">
        <v>6.7</v>
      </c>
      <c r="F5668" s="691">
        <v>6.8</v>
      </c>
      <c r="G5668" s="691">
        <v>7.1</v>
      </c>
      <c r="H5668" s="615">
        <v>7</v>
      </c>
      <c r="I5668" s="691">
        <v>6.2</v>
      </c>
      <c r="J5668" s="615">
        <v>6</v>
      </c>
      <c r="K5668" s="692" t="s">
        <v>4060</v>
      </c>
    </row>
    <row r="5669" spans="1:11">
      <c r="A5669" s="688" t="s">
        <v>2496</v>
      </c>
      <c r="B5669" s="690" t="s">
        <v>4060</v>
      </c>
      <c r="C5669" s="689">
        <v>8.3000000000000007</v>
      </c>
      <c r="D5669" s="689">
        <v>7.2</v>
      </c>
      <c r="E5669" s="689">
        <v>6.5</v>
      </c>
      <c r="F5669" s="689">
        <v>6.8</v>
      </c>
      <c r="G5669" s="689">
        <v>6.9</v>
      </c>
      <c r="H5669" s="689">
        <v>6.9</v>
      </c>
      <c r="I5669" s="690" t="s">
        <v>4060</v>
      </c>
      <c r="J5669" s="690" t="s">
        <v>4060</v>
      </c>
      <c r="K5669" s="689">
        <v>6.5</v>
      </c>
    </row>
    <row r="5670" spans="1:11">
      <c r="A5670" s="688" t="s">
        <v>2269</v>
      </c>
      <c r="B5670" s="691">
        <v>7.6</v>
      </c>
      <c r="C5670" s="691">
        <v>7.5</v>
      </c>
      <c r="D5670" s="615">
        <v>7</v>
      </c>
      <c r="E5670" s="691">
        <v>7.3</v>
      </c>
      <c r="F5670" s="691">
        <v>7.1</v>
      </c>
      <c r="G5670" s="691">
        <v>7.5</v>
      </c>
      <c r="H5670" s="691">
        <v>7.7</v>
      </c>
      <c r="I5670" s="691">
        <v>6.9</v>
      </c>
      <c r="J5670" s="691">
        <v>4.7</v>
      </c>
      <c r="K5670" s="691">
        <v>7.4</v>
      </c>
    </row>
    <row r="5671" spans="1:11">
      <c r="A5671" s="688" t="s">
        <v>2349</v>
      </c>
      <c r="B5671" s="689">
        <v>7.1</v>
      </c>
      <c r="C5671" s="689">
        <v>7.2</v>
      </c>
      <c r="D5671" s="689">
        <v>7.1</v>
      </c>
      <c r="E5671" s="689">
        <v>7.4</v>
      </c>
      <c r="F5671" s="689">
        <v>7.3</v>
      </c>
      <c r="G5671" s="689">
        <v>7.5</v>
      </c>
      <c r="H5671" s="689">
        <v>7.7</v>
      </c>
      <c r="I5671" s="693">
        <v>7</v>
      </c>
      <c r="J5671" s="689">
        <v>6.1</v>
      </c>
      <c r="K5671" s="689">
        <v>6.9</v>
      </c>
    </row>
    <row r="5672" spans="1:11">
      <c r="A5672" s="688" t="s">
        <v>2355</v>
      </c>
      <c r="B5672" s="691">
        <v>9.1999999999999993</v>
      </c>
      <c r="C5672" s="691">
        <v>8.9</v>
      </c>
      <c r="D5672" s="691">
        <v>8.9</v>
      </c>
      <c r="E5672" s="691">
        <v>8.8000000000000007</v>
      </c>
      <c r="F5672" s="691">
        <v>8.8000000000000007</v>
      </c>
      <c r="G5672" s="691">
        <v>9.1</v>
      </c>
      <c r="H5672" s="615">
        <v>9</v>
      </c>
      <c r="I5672" s="692" t="s">
        <v>4060</v>
      </c>
      <c r="J5672" s="692" t="s">
        <v>4060</v>
      </c>
      <c r="K5672" s="692" t="s">
        <v>4060</v>
      </c>
    </row>
    <row r="5673" spans="1:11">
      <c r="A5673" s="688" t="s">
        <v>2357</v>
      </c>
      <c r="B5673" s="690" t="s">
        <v>4060</v>
      </c>
      <c r="C5673" s="689">
        <v>7.7</v>
      </c>
      <c r="D5673" s="689">
        <v>7.9</v>
      </c>
      <c r="E5673" s="689">
        <v>8.1</v>
      </c>
      <c r="F5673" s="689">
        <v>8.1999999999999993</v>
      </c>
      <c r="G5673" s="689">
        <v>7.9</v>
      </c>
      <c r="H5673" s="689">
        <v>8.1</v>
      </c>
      <c r="I5673" s="690" t="s">
        <v>4060</v>
      </c>
      <c r="J5673" s="690" t="s">
        <v>4060</v>
      </c>
      <c r="K5673" s="690" t="s">
        <v>4060</v>
      </c>
    </row>
    <row r="5674" spans="1:11">
      <c r="A5674" s="688" t="s">
        <v>4070</v>
      </c>
      <c r="B5674" s="692" t="s">
        <v>4060</v>
      </c>
      <c r="C5674" s="692" t="s">
        <v>4060</v>
      </c>
      <c r="D5674" s="692" t="s">
        <v>4060</v>
      </c>
      <c r="E5674" s="691">
        <v>9.4</v>
      </c>
      <c r="F5674" s="692" t="s">
        <v>4060</v>
      </c>
      <c r="G5674" s="692" t="s">
        <v>4060</v>
      </c>
      <c r="H5674" s="692" t="s">
        <v>4060</v>
      </c>
      <c r="I5674" s="692" t="s">
        <v>4060</v>
      </c>
      <c r="J5674" s="692" t="s">
        <v>4060</v>
      </c>
      <c r="K5674" s="692" t="s">
        <v>4060</v>
      </c>
    </row>
    <row r="5675" spans="1:11">
      <c r="A5675" s="688" t="s">
        <v>2491</v>
      </c>
      <c r="B5675" s="689">
        <v>7.7</v>
      </c>
      <c r="C5675" s="689">
        <v>7.9</v>
      </c>
      <c r="D5675" s="689">
        <v>7.9</v>
      </c>
      <c r="E5675" s="689">
        <v>7.9</v>
      </c>
      <c r="F5675" s="693">
        <v>8</v>
      </c>
      <c r="G5675" s="693">
        <v>8</v>
      </c>
      <c r="H5675" s="690" t="s">
        <v>4060</v>
      </c>
      <c r="I5675" s="690" t="s">
        <v>4060</v>
      </c>
      <c r="J5675" s="690" t="s">
        <v>4060</v>
      </c>
      <c r="K5675" s="690" t="s">
        <v>4060</v>
      </c>
    </row>
    <row r="5676" spans="1:11">
      <c r="A5676" s="688" t="s">
        <v>2343</v>
      </c>
      <c r="B5676" s="692" t="s">
        <v>4060</v>
      </c>
      <c r="C5676" s="692" t="s">
        <v>4060</v>
      </c>
      <c r="D5676" s="692" t="s">
        <v>4060</v>
      </c>
      <c r="E5676" s="692" t="s">
        <v>4060</v>
      </c>
      <c r="F5676" s="692" t="s">
        <v>4060</v>
      </c>
      <c r="G5676" s="692" t="s">
        <v>4060</v>
      </c>
      <c r="H5676" s="692" t="s">
        <v>4060</v>
      </c>
      <c r="I5676" s="692" t="s">
        <v>4060</v>
      </c>
      <c r="J5676" s="692" t="s">
        <v>4060</v>
      </c>
      <c r="K5676" s="692" t="s">
        <v>4060</v>
      </c>
    </row>
    <row r="5677" spans="1:11">
      <c r="A5677" s="688" t="s">
        <v>4071</v>
      </c>
      <c r="B5677" s="690" t="s">
        <v>4060</v>
      </c>
      <c r="C5677" s="690" t="s">
        <v>4060</v>
      </c>
      <c r="D5677" s="690" t="s">
        <v>4060</v>
      </c>
      <c r="E5677" s="690" t="s">
        <v>4060</v>
      </c>
      <c r="F5677" s="690" t="s">
        <v>4060</v>
      </c>
      <c r="G5677" s="690" t="s">
        <v>4060</v>
      </c>
      <c r="H5677" s="690" t="s">
        <v>4060</v>
      </c>
      <c r="I5677" s="690" t="s">
        <v>4060</v>
      </c>
      <c r="J5677" s="690" t="s">
        <v>4060</v>
      </c>
      <c r="K5677" s="690" t="s">
        <v>4060</v>
      </c>
    </row>
    <row r="5678" spans="1:11">
      <c r="A5678" s="688" t="s">
        <v>2489</v>
      </c>
      <c r="B5678" s="692" t="s">
        <v>4060</v>
      </c>
      <c r="C5678" s="692" t="s">
        <v>4060</v>
      </c>
      <c r="D5678" s="691">
        <v>7.7</v>
      </c>
      <c r="E5678" s="691">
        <v>7.6</v>
      </c>
      <c r="F5678" s="691">
        <v>7.7</v>
      </c>
      <c r="G5678" s="691">
        <v>7.8</v>
      </c>
      <c r="H5678" s="691">
        <v>8.1999999999999993</v>
      </c>
      <c r="I5678" s="692" t="s">
        <v>4060</v>
      </c>
      <c r="J5678" s="692" t="s">
        <v>4060</v>
      </c>
      <c r="K5678" s="692" t="s">
        <v>4060</v>
      </c>
    </row>
    <row r="5679" spans="1:11">
      <c r="A5679" s="688" t="s">
        <v>2490</v>
      </c>
      <c r="B5679" s="689">
        <v>7.6</v>
      </c>
      <c r="C5679" s="689">
        <v>7.5</v>
      </c>
      <c r="D5679" s="689">
        <v>8.1</v>
      </c>
      <c r="E5679" s="690" t="s">
        <v>4060</v>
      </c>
      <c r="F5679" s="689">
        <v>8.3000000000000007</v>
      </c>
      <c r="G5679" s="689">
        <v>8.1999999999999993</v>
      </c>
      <c r="H5679" s="689">
        <v>8.9</v>
      </c>
      <c r="I5679" s="690" t="s">
        <v>4060</v>
      </c>
      <c r="J5679" s="690" t="s">
        <v>4060</v>
      </c>
      <c r="K5679" s="690" t="s">
        <v>4060</v>
      </c>
    </row>
    <row r="5681" spans="1:11">
      <c r="A5681" s="683" t="s">
        <v>4233</v>
      </c>
    </row>
    <row r="5682" spans="1:11">
      <c r="A5682" s="683" t="s">
        <v>4060</v>
      </c>
      <c r="B5682" s="682" t="s">
        <v>4234</v>
      </c>
    </row>
    <row r="5684" spans="1:11">
      <c r="A5684" s="682" t="s">
        <v>4248</v>
      </c>
    </row>
    <row r="5685" spans="1:11">
      <c r="A5685" s="682" t="s">
        <v>4210</v>
      </c>
      <c r="B5685" s="683" t="s">
        <v>4211</v>
      </c>
    </row>
    <row r="5686" spans="1:11">
      <c r="A5686" s="682" t="s">
        <v>4212</v>
      </c>
      <c r="B5686" s="682" t="s">
        <v>4213</v>
      </c>
    </row>
    <row r="5688" spans="1:11">
      <c r="A5688" s="683" t="s">
        <v>4214</v>
      </c>
      <c r="C5688" s="682" t="s">
        <v>4215</v>
      </c>
    </row>
    <row r="5689" spans="1:11">
      <c r="A5689" s="683" t="s">
        <v>4216</v>
      </c>
      <c r="C5689" s="682" t="s">
        <v>2967</v>
      </c>
    </row>
    <row r="5690" spans="1:11">
      <c r="A5690" s="683" t="s">
        <v>3893</v>
      </c>
      <c r="C5690" s="682" t="s">
        <v>4217</v>
      </c>
    </row>
    <row r="5691" spans="1:11">
      <c r="A5691" s="683" t="s">
        <v>4218</v>
      </c>
      <c r="C5691" s="682" t="s">
        <v>4314</v>
      </c>
    </row>
    <row r="5693" spans="1:11">
      <c r="A5693" s="684" t="s">
        <v>4220</v>
      </c>
      <c r="B5693" s="685" t="s">
        <v>4221</v>
      </c>
      <c r="C5693" s="685" t="s">
        <v>4222</v>
      </c>
      <c r="D5693" s="685" t="s">
        <v>4223</v>
      </c>
      <c r="E5693" s="685" t="s">
        <v>4224</v>
      </c>
      <c r="F5693" s="685" t="s">
        <v>4225</v>
      </c>
      <c r="G5693" s="685" t="s">
        <v>4226</v>
      </c>
      <c r="H5693" s="685" t="s">
        <v>4227</v>
      </c>
      <c r="I5693" s="685" t="s">
        <v>4228</v>
      </c>
      <c r="J5693" s="685" t="s">
        <v>4229</v>
      </c>
      <c r="K5693" s="685" t="s">
        <v>4230</v>
      </c>
    </row>
    <row r="5694" spans="1:11">
      <c r="A5694" s="686" t="s">
        <v>4231</v>
      </c>
      <c r="B5694" s="687" t="s">
        <v>4232</v>
      </c>
      <c r="C5694" s="687" t="s">
        <v>4232</v>
      </c>
      <c r="D5694" s="687" t="s">
        <v>4232</v>
      </c>
      <c r="E5694" s="687" t="s">
        <v>4232</v>
      </c>
      <c r="F5694" s="687" t="s">
        <v>4232</v>
      </c>
      <c r="G5694" s="687" t="s">
        <v>4232</v>
      </c>
      <c r="H5694" s="687" t="s">
        <v>4232</v>
      </c>
      <c r="I5694" s="687" t="s">
        <v>4232</v>
      </c>
      <c r="J5694" s="687" t="s">
        <v>4232</v>
      </c>
      <c r="K5694" s="687" t="s">
        <v>4232</v>
      </c>
    </row>
    <row r="5695" spans="1:11">
      <c r="A5695" s="688" t="s">
        <v>4064</v>
      </c>
      <c r="B5695" s="689">
        <v>9.3000000000000007</v>
      </c>
      <c r="C5695" s="689">
        <v>9.1</v>
      </c>
      <c r="D5695" s="689">
        <v>9.1999999999999993</v>
      </c>
      <c r="E5695" s="689">
        <v>9.1999999999999993</v>
      </c>
      <c r="F5695" s="689">
        <v>9.1</v>
      </c>
      <c r="G5695" s="689">
        <v>9.1999999999999993</v>
      </c>
      <c r="H5695" s="689">
        <v>9.4</v>
      </c>
      <c r="I5695" s="689">
        <v>8.8000000000000007</v>
      </c>
      <c r="J5695" s="689">
        <v>8.9</v>
      </c>
      <c r="K5695" s="693">
        <v>9</v>
      </c>
    </row>
    <row r="5696" spans="1:11">
      <c r="A5696" s="688" t="s">
        <v>4065</v>
      </c>
      <c r="B5696" s="691">
        <v>9.3000000000000007</v>
      </c>
      <c r="C5696" s="691">
        <v>9.5</v>
      </c>
      <c r="D5696" s="691">
        <v>9.1999999999999993</v>
      </c>
      <c r="E5696" s="691">
        <v>9.5</v>
      </c>
      <c r="F5696" s="691">
        <v>9.4</v>
      </c>
      <c r="G5696" s="691">
        <v>9.5</v>
      </c>
      <c r="H5696" s="692" t="s">
        <v>4060</v>
      </c>
      <c r="I5696" s="692" t="s">
        <v>4060</v>
      </c>
      <c r="J5696" s="692" t="s">
        <v>4060</v>
      </c>
      <c r="K5696" s="692" t="s">
        <v>4060</v>
      </c>
    </row>
    <row r="5697" spans="1:11">
      <c r="A5697" s="688" t="s">
        <v>4063</v>
      </c>
      <c r="B5697" s="689">
        <v>9.3000000000000007</v>
      </c>
      <c r="C5697" s="689">
        <v>9.6</v>
      </c>
      <c r="D5697" s="689">
        <v>9.1999999999999993</v>
      </c>
      <c r="E5697" s="689">
        <v>9.5</v>
      </c>
      <c r="F5697" s="689">
        <v>9.4</v>
      </c>
      <c r="G5697" s="689">
        <v>9.5</v>
      </c>
      <c r="H5697" s="690" t="s">
        <v>4060</v>
      </c>
      <c r="I5697" s="690" t="s">
        <v>4060</v>
      </c>
      <c r="J5697" s="690" t="s">
        <v>4060</v>
      </c>
      <c r="K5697" s="690" t="s">
        <v>4060</v>
      </c>
    </row>
    <row r="5698" spans="1:11">
      <c r="A5698" s="688" t="s">
        <v>4069</v>
      </c>
      <c r="B5698" s="692" t="s">
        <v>4060</v>
      </c>
      <c r="C5698" s="691">
        <v>9.4</v>
      </c>
      <c r="D5698" s="691">
        <v>9.1</v>
      </c>
      <c r="E5698" s="691">
        <v>9.4</v>
      </c>
      <c r="F5698" s="691">
        <v>9.3000000000000007</v>
      </c>
      <c r="G5698" s="691">
        <v>9.4</v>
      </c>
      <c r="H5698" s="691">
        <v>9.6</v>
      </c>
      <c r="I5698" s="691">
        <v>9.1</v>
      </c>
      <c r="J5698" s="691">
        <v>9.3000000000000007</v>
      </c>
      <c r="K5698" s="691">
        <v>9.1999999999999993</v>
      </c>
    </row>
    <row r="5699" spans="1:11">
      <c r="A5699" s="688" t="s">
        <v>4068</v>
      </c>
      <c r="B5699" s="689">
        <v>9.6</v>
      </c>
      <c r="C5699" s="690" t="s">
        <v>4060</v>
      </c>
      <c r="D5699" s="690" t="s">
        <v>4060</v>
      </c>
      <c r="E5699" s="690" t="s">
        <v>4060</v>
      </c>
      <c r="F5699" s="690" t="s">
        <v>4060</v>
      </c>
      <c r="G5699" s="690" t="s">
        <v>4060</v>
      </c>
      <c r="H5699" s="690" t="s">
        <v>4060</v>
      </c>
      <c r="I5699" s="690" t="s">
        <v>4060</v>
      </c>
      <c r="J5699" s="690" t="s">
        <v>4060</v>
      </c>
      <c r="K5699" s="690" t="s">
        <v>4060</v>
      </c>
    </row>
    <row r="5700" spans="1:11">
      <c r="A5700" s="688" t="s">
        <v>0</v>
      </c>
      <c r="B5700" s="691">
        <v>9.1999999999999993</v>
      </c>
      <c r="C5700" s="691">
        <v>9.1999999999999993</v>
      </c>
      <c r="D5700" s="615">
        <v>9</v>
      </c>
      <c r="E5700" s="691">
        <v>9.3000000000000007</v>
      </c>
      <c r="F5700" s="691">
        <v>9.3000000000000007</v>
      </c>
      <c r="G5700" s="691">
        <v>9.3000000000000007</v>
      </c>
      <c r="H5700" s="691">
        <v>9.5</v>
      </c>
      <c r="I5700" s="691">
        <v>8.6999999999999993</v>
      </c>
      <c r="J5700" s="691">
        <v>9.6</v>
      </c>
      <c r="K5700" s="691">
        <v>9.4</v>
      </c>
    </row>
    <row r="5701" spans="1:11">
      <c r="A5701" s="688" t="s">
        <v>1</v>
      </c>
      <c r="B5701" s="689">
        <v>7.2</v>
      </c>
      <c r="C5701" s="689">
        <v>6.8</v>
      </c>
      <c r="D5701" s="689">
        <v>6.7</v>
      </c>
      <c r="E5701" s="693">
        <v>7</v>
      </c>
      <c r="F5701" s="689">
        <v>6.8</v>
      </c>
      <c r="G5701" s="693">
        <v>7</v>
      </c>
      <c r="H5701" s="693">
        <v>7</v>
      </c>
      <c r="I5701" s="689">
        <v>6.6</v>
      </c>
      <c r="J5701" s="693">
        <v>6</v>
      </c>
      <c r="K5701" s="689">
        <v>6.8</v>
      </c>
    </row>
    <row r="5702" spans="1:11">
      <c r="A5702" s="688" t="s">
        <v>2240</v>
      </c>
      <c r="B5702" s="615">
        <v>8</v>
      </c>
      <c r="C5702" s="615">
        <v>8</v>
      </c>
      <c r="D5702" s="691">
        <v>7.8</v>
      </c>
      <c r="E5702" s="691">
        <v>8.1999999999999993</v>
      </c>
      <c r="F5702" s="691">
        <v>8.1</v>
      </c>
      <c r="G5702" s="691">
        <v>8.1999999999999993</v>
      </c>
      <c r="H5702" s="691">
        <v>8.3000000000000007</v>
      </c>
      <c r="I5702" s="691">
        <v>7.6</v>
      </c>
      <c r="J5702" s="691">
        <v>7.5</v>
      </c>
      <c r="K5702" s="691">
        <v>8.1</v>
      </c>
    </row>
    <row r="5703" spans="1:11">
      <c r="A5703" s="688" t="s">
        <v>2</v>
      </c>
      <c r="B5703" s="689">
        <v>8.6999999999999993</v>
      </c>
      <c r="C5703" s="689">
        <v>8.9</v>
      </c>
      <c r="D5703" s="689">
        <v>8.8000000000000007</v>
      </c>
      <c r="E5703" s="689">
        <v>8.9</v>
      </c>
      <c r="F5703" s="689">
        <v>8.9</v>
      </c>
      <c r="G5703" s="689">
        <v>8.8000000000000007</v>
      </c>
      <c r="H5703" s="689">
        <v>9.1</v>
      </c>
      <c r="I5703" s="689">
        <v>9.1</v>
      </c>
      <c r="J5703" s="693">
        <v>9</v>
      </c>
      <c r="K5703" s="689">
        <v>8.8000000000000007</v>
      </c>
    </row>
    <row r="5704" spans="1:11">
      <c r="A5704" s="688" t="s">
        <v>3</v>
      </c>
      <c r="B5704" s="691">
        <v>8.9</v>
      </c>
      <c r="C5704" s="691">
        <v>8.9</v>
      </c>
      <c r="D5704" s="691">
        <v>8.6999999999999993</v>
      </c>
      <c r="E5704" s="691">
        <v>8.9</v>
      </c>
      <c r="F5704" s="691">
        <v>8.9</v>
      </c>
      <c r="G5704" s="691">
        <v>8.9</v>
      </c>
      <c r="H5704" s="691">
        <v>9.1</v>
      </c>
      <c r="I5704" s="615">
        <v>9</v>
      </c>
      <c r="J5704" s="691">
        <v>8.9</v>
      </c>
      <c r="K5704" s="691">
        <v>8.6999999999999993</v>
      </c>
    </row>
    <row r="5705" spans="1:11">
      <c r="A5705" s="688" t="s">
        <v>4061</v>
      </c>
      <c r="B5705" s="689">
        <v>8.9</v>
      </c>
      <c r="C5705" s="689">
        <v>8.9</v>
      </c>
      <c r="D5705" s="689">
        <v>8.6999999999999993</v>
      </c>
      <c r="E5705" s="689">
        <v>8.9</v>
      </c>
      <c r="F5705" s="689">
        <v>8.9</v>
      </c>
      <c r="G5705" s="689">
        <v>8.9</v>
      </c>
      <c r="H5705" s="689">
        <v>9.1</v>
      </c>
      <c r="I5705" s="693">
        <v>9</v>
      </c>
      <c r="J5705" s="689">
        <v>8.9</v>
      </c>
      <c r="K5705" s="689">
        <v>8.6999999999999993</v>
      </c>
    </row>
    <row r="5706" spans="1:11">
      <c r="A5706" s="688" t="s">
        <v>4</v>
      </c>
      <c r="B5706" s="691">
        <v>8.8000000000000007</v>
      </c>
      <c r="C5706" s="691">
        <v>8.4</v>
      </c>
      <c r="D5706" s="691">
        <v>8.6</v>
      </c>
      <c r="E5706" s="691">
        <v>8.6</v>
      </c>
      <c r="F5706" s="691">
        <v>8.6</v>
      </c>
      <c r="G5706" s="691">
        <v>8.8000000000000007</v>
      </c>
      <c r="H5706" s="615">
        <v>9</v>
      </c>
      <c r="I5706" s="615">
        <v>9</v>
      </c>
      <c r="J5706" s="691">
        <v>8.1999999999999993</v>
      </c>
      <c r="K5706" s="691">
        <v>8.5</v>
      </c>
    </row>
    <row r="5707" spans="1:11">
      <c r="A5707" s="688" t="s">
        <v>8</v>
      </c>
      <c r="B5707" s="689">
        <v>8.8000000000000007</v>
      </c>
      <c r="C5707" s="689">
        <v>8.8000000000000007</v>
      </c>
      <c r="D5707" s="689">
        <v>8.8000000000000007</v>
      </c>
      <c r="E5707" s="689">
        <v>8.8000000000000007</v>
      </c>
      <c r="F5707" s="693">
        <v>9</v>
      </c>
      <c r="G5707" s="689">
        <v>9.1</v>
      </c>
      <c r="H5707" s="689">
        <v>9.1999999999999993</v>
      </c>
      <c r="I5707" s="689">
        <v>9.1</v>
      </c>
      <c r="J5707" s="689">
        <v>9.1</v>
      </c>
      <c r="K5707" s="689">
        <v>9.1999999999999993</v>
      </c>
    </row>
    <row r="5708" spans="1:11">
      <c r="A5708" s="688" t="s">
        <v>7</v>
      </c>
      <c r="B5708" s="691">
        <v>9.4</v>
      </c>
      <c r="C5708" s="691">
        <v>8.6999999999999993</v>
      </c>
      <c r="D5708" s="691">
        <v>8.5</v>
      </c>
      <c r="E5708" s="691">
        <v>8.8000000000000007</v>
      </c>
      <c r="F5708" s="691">
        <v>8.6999999999999993</v>
      </c>
      <c r="G5708" s="691">
        <v>9.1</v>
      </c>
      <c r="H5708" s="615">
        <v>9</v>
      </c>
      <c r="I5708" s="691">
        <v>8.9</v>
      </c>
      <c r="J5708" s="691">
        <v>8.6</v>
      </c>
      <c r="K5708" s="691">
        <v>8.6999999999999993</v>
      </c>
    </row>
    <row r="5709" spans="1:11">
      <c r="A5709" s="688" t="s">
        <v>27</v>
      </c>
      <c r="B5709" s="689">
        <v>10.3</v>
      </c>
      <c r="C5709" s="689">
        <v>9.8000000000000007</v>
      </c>
      <c r="D5709" s="689">
        <v>9.5</v>
      </c>
      <c r="E5709" s="689">
        <v>9.9</v>
      </c>
      <c r="F5709" s="689">
        <v>9.8000000000000007</v>
      </c>
      <c r="G5709" s="689">
        <v>9.8000000000000007</v>
      </c>
      <c r="H5709" s="689">
        <v>10.1</v>
      </c>
      <c r="I5709" s="689">
        <v>9.1999999999999993</v>
      </c>
      <c r="J5709" s="689">
        <v>9.9</v>
      </c>
      <c r="K5709" s="689">
        <v>9.8000000000000007</v>
      </c>
    </row>
    <row r="5710" spans="1:11">
      <c r="A5710" s="688" t="s">
        <v>6</v>
      </c>
      <c r="B5710" s="691">
        <v>10.6</v>
      </c>
      <c r="C5710" s="691">
        <v>10.3</v>
      </c>
      <c r="D5710" s="615">
        <v>10</v>
      </c>
      <c r="E5710" s="691">
        <v>10.3</v>
      </c>
      <c r="F5710" s="691">
        <v>10.3</v>
      </c>
      <c r="G5710" s="691">
        <v>10.4</v>
      </c>
      <c r="H5710" s="691">
        <v>10.5</v>
      </c>
      <c r="I5710" s="615">
        <v>10</v>
      </c>
      <c r="J5710" s="691">
        <v>10.199999999999999</v>
      </c>
      <c r="K5710" s="691">
        <v>10.199999999999999</v>
      </c>
    </row>
    <row r="5711" spans="1:11">
      <c r="A5711" s="688" t="s">
        <v>4058</v>
      </c>
      <c r="B5711" s="690" t="s">
        <v>4060</v>
      </c>
      <c r="C5711" s="690" t="s">
        <v>4060</v>
      </c>
      <c r="D5711" s="690" t="s">
        <v>4060</v>
      </c>
      <c r="E5711" s="690" t="s">
        <v>4060</v>
      </c>
      <c r="F5711" s="690" t="s">
        <v>4060</v>
      </c>
      <c r="G5711" s="690" t="s">
        <v>4060</v>
      </c>
      <c r="H5711" s="690" t="s">
        <v>4060</v>
      </c>
      <c r="I5711" s="690" t="s">
        <v>4060</v>
      </c>
      <c r="J5711" s="690" t="s">
        <v>4060</v>
      </c>
      <c r="K5711" s="690" t="s">
        <v>4060</v>
      </c>
    </row>
    <row r="5712" spans="1:11">
      <c r="A5712" s="688" t="s">
        <v>11</v>
      </c>
      <c r="B5712" s="691">
        <v>7.7</v>
      </c>
      <c r="C5712" s="691">
        <v>7.4</v>
      </c>
      <c r="D5712" s="691">
        <v>7.2</v>
      </c>
      <c r="E5712" s="691">
        <v>7.5</v>
      </c>
      <c r="F5712" s="691">
        <v>7.4</v>
      </c>
      <c r="G5712" s="691">
        <v>7.5</v>
      </c>
      <c r="H5712" s="691">
        <v>7.7</v>
      </c>
      <c r="I5712" s="691">
        <v>7.3</v>
      </c>
      <c r="J5712" s="691">
        <v>6.9</v>
      </c>
      <c r="K5712" s="691">
        <v>7.2</v>
      </c>
    </row>
    <row r="5713" spans="1:11">
      <c r="A5713" s="688" t="s">
        <v>10</v>
      </c>
      <c r="B5713" s="689">
        <v>9.9</v>
      </c>
      <c r="C5713" s="689">
        <v>9.5</v>
      </c>
      <c r="D5713" s="689">
        <v>9.1999999999999993</v>
      </c>
      <c r="E5713" s="689">
        <v>9.6</v>
      </c>
      <c r="F5713" s="689">
        <v>9.4</v>
      </c>
      <c r="G5713" s="689">
        <v>9.6999999999999993</v>
      </c>
      <c r="H5713" s="689">
        <v>9.6999999999999993</v>
      </c>
      <c r="I5713" s="693">
        <v>9</v>
      </c>
      <c r="J5713" s="689">
        <v>9.4</v>
      </c>
      <c r="K5713" s="689">
        <v>9.3000000000000007</v>
      </c>
    </row>
    <row r="5714" spans="1:11">
      <c r="A5714" s="688" t="s">
        <v>30</v>
      </c>
      <c r="B5714" s="691">
        <v>9.1</v>
      </c>
      <c r="C5714" s="691">
        <v>8.6</v>
      </c>
      <c r="D5714" s="691">
        <v>8.3000000000000007</v>
      </c>
      <c r="E5714" s="691">
        <v>8.9</v>
      </c>
      <c r="F5714" s="691">
        <v>8.5</v>
      </c>
      <c r="G5714" s="691">
        <v>9.1</v>
      </c>
      <c r="H5714" s="691">
        <v>8.8000000000000007</v>
      </c>
      <c r="I5714" s="615">
        <v>9</v>
      </c>
      <c r="J5714" s="691">
        <v>8.6999999999999993</v>
      </c>
      <c r="K5714" s="691">
        <v>8.6999999999999993</v>
      </c>
    </row>
    <row r="5715" spans="1:11">
      <c r="A5715" s="688" t="s">
        <v>12</v>
      </c>
      <c r="B5715" s="693">
        <v>8</v>
      </c>
      <c r="C5715" s="689">
        <v>7.8</v>
      </c>
      <c r="D5715" s="689">
        <v>7.8</v>
      </c>
      <c r="E5715" s="689">
        <v>7.8</v>
      </c>
      <c r="F5715" s="689">
        <v>7.9</v>
      </c>
      <c r="G5715" s="689">
        <v>7.9</v>
      </c>
      <c r="H5715" s="689">
        <v>8.1999999999999993</v>
      </c>
      <c r="I5715" s="693">
        <v>8</v>
      </c>
      <c r="J5715" s="689">
        <v>7.2</v>
      </c>
      <c r="K5715" s="689">
        <v>7.7</v>
      </c>
    </row>
    <row r="5716" spans="1:11">
      <c r="A5716" s="688" t="s">
        <v>14</v>
      </c>
      <c r="B5716" s="615">
        <v>8</v>
      </c>
      <c r="C5716" s="691">
        <v>7.8</v>
      </c>
      <c r="D5716" s="691">
        <v>7.6</v>
      </c>
      <c r="E5716" s="691">
        <v>7.7</v>
      </c>
      <c r="F5716" s="691">
        <v>7.7</v>
      </c>
      <c r="G5716" s="691">
        <v>7.8</v>
      </c>
      <c r="H5716" s="691">
        <v>8.1</v>
      </c>
      <c r="I5716" s="691">
        <v>7.7</v>
      </c>
      <c r="J5716" s="691">
        <v>7.3</v>
      </c>
      <c r="K5716" s="691">
        <v>7.8</v>
      </c>
    </row>
    <row r="5717" spans="1:11">
      <c r="A5717" s="688" t="s">
        <v>15</v>
      </c>
      <c r="B5717" s="689">
        <v>9.8000000000000007</v>
      </c>
      <c r="C5717" s="689">
        <v>9.4</v>
      </c>
      <c r="D5717" s="689">
        <v>9.1999999999999993</v>
      </c>
      <c r="E5717" s="689">
        <v>9.4</v>
      </c>
      <c r="F5717" s="689">
        <v>9.5</v>
      </c>
      <c r="G5717" s="689">
        <v>9.3000000000000007</v>
      </c>
      <c r="H5717" s="689">
        <v>9.5</v>
      </c>
      <c r="I5717" s="689">
        <v>9.1999999999999993</v>
      </c>
      <c r="J5717" s="689">
        <v>9.5</v>
      </c>
      <c r="K5717" s="689">
        <v>9.5</v>
      </c>
    </row>
    <row r="5718" spans="1:11">
      <c r="A5718" s="688" t="s">
        <v>29</v>
      </c>
      <c r="B5718" s="691">
        <v>7.7</v>
      </c>
      <c r="C5718" s="691">
        <v>7.6</v>
      </c>
      <c r="D5718" s="691">
        <v>7.4</v>
      </c>
      <c r="E5718" s="691">
        <v>7.7</v>
      </c>
      <c r="F5718" s="691">
        <v>7.5</v>
      </c>
      <c r="G5718" s="691">
        <v>7.6</v>
      </c>
      <c r="H5718" s="691">
        <v>7.7</v>
      </c>
      <c r="I5718" s="691">
        <v>7.3</v>
      </c>
      <c r="J5718" s="691">
        <v>7.1</v>
      </c>
      <c r="K5718" s="691">
        <v>7.5</v>
      </c>
    </row>
    <row r="5719" spans="1:11">
      <c r="A5719" s="688" t="s">
        <v>16</v>
      </c>
      <c r="B5719" s="689">
        <v>9.1</v>
      </c>
      <c r="C5719" s="693">
        <v>9</v>
      </c>
      <c r="D5719" s="689">
        <v>8.8000000000000007</v>
      </c>
      <c r="E5719" s="689">
        <v>9.3000000000000007</v>
      </c>
      <c r="F5719" s="693">
        <v>9</v>
      </c>
      <c r="G5719" s="689">
        <v>9.1</v>
      </c>
      <c r="H5719" s="689">
        <v>9.1999999999999993</v>
      </c>
      <c r="I5719" s="689">
        <v>8.9</v>
      </c>
      <c r="J5719" s="693">
        <v>9</v>
      </c>
      <c r="K5719" s="689">
        <v>9.1</v>
      </c>
    </row>
    <row r="5720" spans="1:11">
      <c r="A5720" s="688" t="s">
        <v>17</v>
      </c>
      <c r="B5720" s="615">
        <v>9</v>
      </c>
      <c r="C5720" s="615">
        <v>9</v>
      </c>
      <c r="D5720" s="691">
        <v>8.8000000000000007</v>
      </c>
      <c r="E5720" s="691">
        <v>8.9</v>
      </c>
      <c r="F5720" s="691">
        <v>8.9</v>
      </c>
      <c r="G5720" s="691">
        <v>8.9</v>
      </c>
      <c r="H5720" s="691">
        <v>9.1</v>
      </c>
      <c r="I5720" s="691">
        <v>8.6</v>
      </c>
      <c r="J5720" s="691">
        <v>8.6999999999999993</v>
      </c>
      <c r="K5720" s="691">
        <v>8.8000000000000007</v>
      </c>
    </row>
    <row r="5721" spans="1:11">
      <c r="A5721" s="688" t="s">
        <v>19</v>
      </c>
      <c r="B5721" s="689">
        <v>9.1999999999999993</v>
      </c>
      <c r="C5721" s="689">
        <v>9.1999999999999993</v>
      </c>
      <c r="D5721" s="689">
        <v>8.9</v>
      </c>
      <c r="E5721" s="689">
        <v>9.3000000000000007</v>
      </c>
      <c r="F5721" s="689">
        <v>9.1</v>
      </c>
      <c r="G5721" s="689">
        <v>9.1999999999999993</v>
      </c>
      <c r="H5721" s="689">
        <v>9.3000000000000007</v>
      </c>
      <c r="I5721" s="689">
        <v>8.9</v>
      </c>
      <c r="J5721" s="693">
        <v>9</v>
      </c>
      <c r="K5721" s="693">
        <v>9</v>
      </c>
    </row>
    <row r="5722" spans="1:11">
      <c r="A5722" s="688" t="s">
        <v>20</v>
      </c>
      <c r="B5722" s="691">
        <v>8.6999999999999993</v>
      </c>
      <c r="C5722" s="691">
        <v>8.6</v>
      </c>
      <c r="D5722" s="691">
        <v>8.4</v>
      </c>
      <c r="E5722" s="691">
        <v>8.6999999999999993</v>
      </c>
      <c r="F5722" s="691">
        <v>8.6</v>
      </c>
      <c r="G5722" s="691">
        <v>8.6</v>
      </c>
      <c r="H5722" s="691">
        <v>8.8000000000000007</v>
      </c>
      <c r="I5722" s="615">
        <v>8</v>
      </c>
      <c r="J5722" s="691">
        <v>7.6</v>
      </c>
      <c r="K5722" s="691">
        <v>8.3000000000000007</v>
      </c>
    </row>
    <row r="5723" spans="1:11">
      <c r="A5723" s="688" t="s">
        <v>21</v>
      </c>
      <c r="B5723" s="693">
        <v>9</v>
      </c>
      <c r="C5723" s="689">
        <v>9.1999999999999993</v>
      </c>
      <c r="D5723" s="689">
        <v>9.1</v>
      </c>
      <c r="E5723" s="689">
        <v>9.1999999999999993</v>
      </c>
      <c r="F5723" s="689">
        <v>9.3000000000000007</v>
      </c>
      <c r="G5723" s="689">
        <v>9.3000000000000007</v>
      </c>
      <c r="H5723" s="689">
        <v>9.5</v>
      </c>
      <c r="I5723" s="689">
        <v>9.1</v>
      </c>
      <c r="J5723" s="689">
        <v>9.1</v>
      </c>
      <c r="K5723" s="689">
        <v>9.1999999999999993</v>
      </c>
    </row>
    <row r="5724" spans="1:11">
      <c r="A5724" s="688" t="s">
        <v>22</v>
      </c>
      <c r="B5724" s="691">
        <v>7.6</v>
      </c>
      <c r="C5724" s="691">
        <v>7.4</v>
      </c>
      <c r="D5724" s="691">
        <v>7.3</v>
      </c>
      <c r="E5724" s="691">
        <v>7.6</v>
      </c>
      <c r="F5724" s="691">
        <v>7.6</v>
      </c>
      <c r="G5724" s="691">
        <v>7.7</v>
      </c>
      <c r="H5724" s="691">
        <v>7.9</v>
      </c>
      <c r="I5724" s="691">
        <v>7.3</v>
      </c>
      <c r="J5724" s="691">
        <v>6.6</v>
      </c>
      <c r="K5724" s="691">
        <v>7.2</v>
      </c>
    </row>
    <row r="5725" spans="1:11">
      <c r="A5725" s="688" t="s">
        <v>26</v>
      </c>
      <c r="B5725" s="689">
        <v>9.1999999999999993</v>
      </c>
      <c r="C5725" s="689">
        <v>8.8000000000000007</v>
      </c>
      <c r="D5725" s="689">
        <v>8.8000000000000007</v>
      </c>
      <c r="E5725" s="689">
        <v>8.9</v>
      </c>
      <c r="F5725" s="689">
        <v>8.9</v>
      </c>
      <c r="G5725" s="689">
        <v>9.1</v>
      </c>
      <c r="H5725" s="689">
        <v>9.1999999999999993</v>
      </c>
      <c r="I5725" s="689">
        <v>8.3000000000000007</v>
      </c>
      <c r="J5725" s="689">
        <v>8.8000000000000007</v>
      </c>
      <c r="K5725" s="689">
        <v>8.9</v>
      </c>
    </row>
    <row r="5726" spans="1:11">
      <c r="A5726" s="688" t="s">
        <v>25</v>
      </c>
      <c r="B5726" s="691">
        <v>7.6</v>
      </c>
      <c r="C5726" s="691">
        <v>7.8</v>
      </c>
      <c r="D5726" s="691">
        <v>7.6</v>
      </c>
      <c r="E5726" s="691">
        <v>7.9</v>
      </c>
      <c r="F5726" s="691">
        <v>7.8</v>
      </c>
      <c r="G5726" s="615">
        <v>8</v>
      </c>
      <c r="H5726" s="691">
        <v>8.3000000000000007</v>
      </c>
      <c r="I5726" s="691">
        <v>7.8</v>
      </c>
      <c r="J5726" s="691">
        <v>6.9</v>
      </c>
      <c r="K5726" s="691">
        <v>7.6</v>
      </c>
    </row>
    <row r="5727" spans="1:11">
      <c r="A5727" s="688" t="s">
        <v>5</v>
      </c>
      <c r="B5727" s="689">
        <v>9.5</v>
      </c>
      <c r="C5727" s="689">
        <v>9.1</v>
      </c>
      <c r="D5727" s="689">
        <v>9.1</v>
      </c>
      <c r="E5727" s="689">
        <v>9.1</v>
      </c>
      <c r="F5727" s="689">
        <v>9.1999999999999993</v>
      </c>
      <c r="G5727" s="689">
        <v>9.3000000000000007</v>
      </c>
      <c r="H5727" s="689">
        <v>9.5</v>
      </c>
      <c r="I5727" s="689">
        <v>9.4</v>
      </c>
      <c r="J5727" s="689">
        <v>9.4</v>
      </c>
      <c r="K5727" s="689">
        <v>8.9</v>
      </c>
    </row>
    <row r="5728" spans="1:11">
      <c r="A5728" s="688" t="s">
        <v>23</v>
      </c>
      <c r="B5728" s="691">
        <v>9.1</v>
      </c>
      <c r="C5728" s="691">
        <v>9.1999999999999993</v>
      </c>
      <c r="D5728" s="691">
        <v>9.1</v>
      </c>
      <c r="E5728" s="691">
        <v>9.1999999999999993</v>
      </c>
      <c r="F5728" s="691">
        <v>9.1999999999999993</v>
      </c>
      <c r="G5728" s="691">
        <v>9.1999999999999993</v>
      </c>
      <c r="H5728" s="691">
        <v>9.5</v>
      </c>
      <c r="I5728" s="615">
        <v>9</v>
      </c>
      <c r="J5728" s="691">
        <v>9.6</v>
      </c>
      <c r="K5728" s="691">
        <v>9.4</v>
      </c>
    </row>
    <row r="5729" spans="1:11">
      <c r="A5729" s="688" t="s">
        <v>4067</v>
      </c>
      <c r="B5729" s="689">
        <v>9.3000000000000007</v>
      </c>
      <c r="C5729" s="689">
        <v>9.5</v>
      </c>
      <c r="D5729" s="689">
        <v>9.1999999999999993</v>
      </c>
      <c r="E5729" s="689">
        <v>9.5</v>
      </c>
      <c r="F5729" s="689">
        <v>9.4</v>
      </c>
      <c r="G5729" s="689">
        <v>9.5</v>
      </c>
      <c r="H5729" s="690" t="s">
        <v>4060</v>
      </c>
      <c r="I5729" s="690" t="s">
        <v>4060</v>
      </c>
      <c r="J5729" s="690" t="s">
        <v>4060</v>
      </c>
      <c r="K5729" s="690" t="s">
        <v>4060</v>
      </c>
    </row>
    <row r="5730" spans="1:11">
      <c r="A5730" s="688" t="s">
        <v>4066</v>
      </c>
      <c r="B5730" s="691">
        <v>9.3000000000000007</v>
      </c>
      <c r="C5730" s="691">
        <v>9.6</v>
      </c>
      <c r="D5730" s="691">
        <v>9.1999999999999993</v>
      </c>
      <c r="E5730" s="691">
        <v>9.5</v>
      </c>
      <c r="F5730" s="691">
        <v>9.4</v>
      </c>
      <c r="G5730" s="691">
        <v>9.5</v>
      </c>
      <c r="H5730" s="692" t="s">
        <v>4060</v>
      </c>
      <c r="I5730" s="692" t="s">
        <v>4060</v>
      </c>
      <c r="J5730" s="692" t="s">
        <v>4060</v>
      </c>
      <c r="K5730" s="692" t="s">
        <v>4060</v>
      </c>
    </row>
    <row r="5731" spans="1:11">
      <c r="A5731" s="688" t="s">
        <v>4062</v>
      </c>
      <c r="B5731" s="689">
        <v>9.5</v>
      </c>
      <c r="C5731" s="689">
        <v>9.5</v>
      </c>
      <c r="D5731" s="689">
        <v>9.3000000000000007</v>
      </c>
      <c r="E5731" s="689">
        <v>9.6</v>
      </c>
      <c r="F5731" s="689">
        <v>9.6</v>
      </c>
      <c r="G5731" s="689">
        <v>9.6999999999999993</v>
      </c>
      <c r="H5731" s="689">
        <v>9.8000000000000007</v>
      </c>
      <c r="I5731" s="689">
        <v>9.4</v>
      </c>
      <c r="J5731" s="689">
        <v>9.8000000000000007</v>
      </c>
      <c r="K5731" s="689">
        <v>9.5</v>
      </c>
    </row>
    <row r="5732" spans="1:11">
      <c r="A5732" s="688" t="s">
        <v>9</v>
      </c>
      <c r="B5732" s="691">
        <v>9.1</v>
      </c>
      <c r="C5732" s="691">
        <v>9.3000000000000007</v>
      </c>
      <c r="D5732" s="691">
        <v>8.9</v>
      </c>
      <c r="E5732" s="615">
        <v>9</v>
      </c>
      <c r="F5732" s="691">
        <v>9.1</v>
      </c>
      <c r="G5732" s="691">
        <v>9.1999999999999993</v>
      </c>
      <c r="H5732" s="691">
        <v>9.1999999999999993</v>
      </c>
      <c r="I5732" s="691">
        <v>9.5</v>
      </c>
      <c r="J5732" s="691">
        <v>9.6999999999999993</v>
      </c>
      <c r="K5732" s="691">
        <v>8.9</v>
      </c>
    </row>
    <row r="5733" spans="1:11">
      <c r="A5733" s="688" t="s">
        <v>13</v>
      </c>
      <c r="B5733" s="689">
        <v>9.4</v>
      </c>
      <c r="C5733" s="689">
        <v>8.6999999999999993</v>
      </c>
      <c r="D5733" s="689">
        <v>8.5</v>
      </c>
      <c r="E5733" s="689">
        <v>9.4</v>
      </c>
      <c r="F5733" s="693">
        <v>10</v>
      </c>
      <c r="G5733" s="689">
        <v>9.1999999999999993</v>
      </c>
      <c r="H5733" s="689">
        <v>9.6</v>
      </c>
      <c r="I5733" s="689">
        <v>8.5</v>
      </c>
      <c r="J5733" s="689">
        <v>9.6999999999999993</v>
      </c>
      <c r="K5733" s="689">
        <v>9.8000000000000007</v>
      </c>
    </row>
    <row r="5734" spans="1:11">
      <c r="A5734" s="688" t="s">
        <v>18</v>
      </c>
      <c r="B5734" s="691">
        <v>9.1999999999999993</v>
      </c>
      <c r="C5734" s="691">
        <v>9.1999999999999993</v>
      </c>
      <c r="D5734" s="691">
        <v>9.1999999999999993</v>
      </c>
      <c r="E5734" s="691">
        <v>9.3000000000000007</v>
      </c>
      <c r="F5734" s="691">
        <v>9.3000000000000007</v>
      </c>
      <c r="G5734" s="691">
        <v>9.4</v>
      </c>
      <c r="H5734" s="691">
        <v>9.5</v>
      </c>
      <c r="I5734" s="691">
        <v>9.6</v>
      </c>
      <c r="J5734" s="691">
        <v>9.5</v>
      </c>
      <c r="K5734" s="691">
        <v>9.1999999999999993</v>
      </c>
    </row>
    <row r="5735" spans="1:11">
      <c r="A5735" s="688" t="s">
        <v>24</v>
      </c>
      <c r="B5735" s="689">
        <v>9.6999999999999993</v>
      </c>
      <c r="C5735" s="689">
        <v>9.6</v>
      </c>
      <c r="D5735" s="689">
        <v>9.4</v>
      </c>
      <c r="E5735" s="689">
        <v>9.8000000000000007</v>
      </c>
      <c r="F5735" s="689">
        <v>9.6999999999999993</v>
      </c>
      <c r="G5735" s="689">
        <v>9.8000000000000007</v>
      </c>
      <c r="H5735" s="689">
        <v>9.9</v>
      </c>
      <c r="I5735" s="689">
        <v>9.3000000000000007</v>
      </c>
      <c r="J5735" s="689">
        <v>9.9</v>
      </c>
      <c r="K5735" s="689">
        <v>9.6999999999999993</v>
      </c>
    </row>
    <row r="5736" spans="1:11">
      <c r="A5736" s="688" t="s">
        <v>4059</v>
      </c>
      <c r="B5736" s="691">
        <v>9.1999999999999993</v>
      </c>
      <c r="C5736" s="691">
        <v>9.5</v>
      </c>
      <c r="D5736" s="691">
        <v>9.1</v>
      </c>
      <c r="E5736" s="691">
        <v>9.4</v>
      </c>
      <c r="F5736" s="691">
        <v>9.3000000000000007</v>
      </c>
      <c r="G5736" s="691">
        <v>9.3000000000000007</v>
      </c>
      <c r="H5736" s="692" t="s">
        <v>4060</v>
      </c>
      <c r="I5736" s="692" t="s">
        <v>4060</v>
      </c>
      <c r="J5736" s="692" t="s">
        <v>4060</v>
      </c>
      <c r="K5736" s="692" t="s">
        <v>4060</v>
      </c>
    </row>
    <row r="5737" spans="1:11">
      <c r="A5737" s="688" t="s">
        <v>2324</v>
      </c>
      <c r="B5737" s="689">
        <v>7.3</v>
      </c>
      <c r="C5737" s="689">
        <v>7.2</v>
      </c>
      <c r="D5737" s="689">
        <v>6.8</v>
      </c>
      <c r="E5737" s="689">
        <v>7.1</v>
      </c>
      <c r="F5737" s="689">
        <v>7.2</v>
      </c>
      <c r="G5737" s="689">
        <v>7.2</v>
      </c>
      <c r="H5737" s="689">
        <v>7.2</v>
      </c>
      <c r="I5737" s="689">
        <v>6.8</v>
      </c>
      <c r="J5737" s="689">
        <v>5.6</v>
      </c>
      <c r="K5737" s="690" t="s">
        <v>4060</v>
      </c>
    </row>
    <row r="5738" spans="1:11">
      <c r="A5738" s="688" t="s">
        <v>2322</v>
      </c>
      <c r="B5738" s="692" t="s">
        <v>4060</v>
      </c>
      <c r="C5738" s="692" t="s">
        <v>4060</v>
      </c>
      <c r="D5738" s="692" t="s">
        <v>4060</v>
      </c>
      <c r="E5738" s="692" t="s">
        <v>4060</v>
      </c>
      <c r="F5738" s="692" t="s">
        <v>4060</v>
      </c>
      <c r="G5738" s="692" t="s">
        <v>4060</v>
      </c>
      <c r="H5738" s="692" t="s">
        <v>4060</v>
      </c>
      <c r="I5738" s="692" t="s">
        <v>4060</v>
      </c>
      <c r="J5738" s="692" t="s">
        <v>4060</v>
      </c>
      <c r="K5738" s="692" t="s">
        <v>4060</v>
      </c>
    </row>
    <row r="5739" spans="1:11">
      <c r="A5739" s="688" t="s">
        <v>2328</v>
      </c>
      <c r="B5739" s="689">
        <v>6.2</v>
      </c>
      <c r="C5739" s="689">
        <v>6.2</v>
      </c>
      <c r="D5739" s="693">
        <v>6</v>
      </c>
      <c r="E5739" s="689">
        <v>6.2</v>
      </c>
      <c r="F5739" s="689">
        <v>6.3</v>
      </c>
      <c r="G5739" s="689">
        <v>6.6</v>
      </c>
      <c r="H5739" s="689">
        <v>6.5</v>
      </c>
      <c r="I5739" s="689">
        <v>5.8</v>
      </c>
      <c r="J5739" s="689">
        <v>5.6</v>
      </c>
      <c r="K5739" s="690" t="s">
        <v>4060</v>
      </c>
    </row>
    <row r="5740" spans="1:11">
      <c r="A5740" s="688" t="s">
        <v>2496</v>
      </c>
      <c r="B5740" s="692" t="s">
        <v>4060</v>
      </c>
      <c r="C5740" s="615">
        <v>8</v>
      </c>
      <c r="D5740" s="691">
        <v>6.8</v>
      </c>
      <c r="E5740" s="691">
        <v>6.1</v>
      </c>
      <c r="F5740" s="691">
        <v>6.3</v>
      </c>
      <c r="G5740" s="691">
        <v>6.4</v>
      </c>
      <c r="H5740" s="691">
        <v>6.4</v>
      </c>
      <c r="I5740" s="692" t="s">
        <v>4060</v>
      </c>
      <c r="J5740" s="692" t="s">
        <v>4060</v>
      </c>
      <c r="K5740" s="691">
        <v>5.9</v>
      </c>
    </row>
    <row r="5741" spans="1:11">
      <c r="A5741" s="688" t="s">
        <v>2269</v>
      </c>
      <c r="B5741" s="689">
        <v>7.1</v>
      </c>
      <c r="C5741" s="693">
        <v>7</v>
      </c>
      <c r="D5741" s="689">
        <v>6.5</v>
      </c>
      <c r="E5741" s="689">
        <v>6.7</v>
      </c>
      <c r="F5741" s="689">
        <v>6.6</v>
      </c>
      <c r="G5741" s="689">
        <v>6.9</v>
      </c>
      <c r="H5741" s="689">
        <v>7.1</v>
      </c>
      <c r="I5741" s="689">
        <v>6.3</v>
      </c>
      <c r="J5741" s="693">
        <v>4</v>
      </c>
      <c r="K5741" s="689">
        <v>6.9</v>
      </c>
    </row>
    <row r="5742" spans="1:11">
      <c r="A5742" s="688" t="s">
        <v>2349</v>
      </c>
      <c r="B5742" s="691">
        <v>6.7</v>
      </c>
      <c r="C5742" s="691">
        <v>6.7</v>
      </c>
      <c r="D5742" s="691">
        <v>6.6</v>
      </c>
      <c r="E5742" s="691">
        <v>6.9</v>
      </c>
      <c r="F5742" s="691">
        <v>6.8</v>
      </c>
      <c r="G5742" s="615">
        <v>7</v>
      </c>
      <c r="H5742" s="691">
        <v>7.2</v>
      </c>
      <c r="I5742" s="691">
        <v>6.6</v>
      </c>
      <c r="J5742" s="691">
        <v>5.8</v>
      </c>
      <c r="K5742" s="691">
        <v>6.5</v>
      </c>
    </row>
    <row r="5743" spans="1:11">
      <c r="A5743" s="688" t="s">
        <v>2355</v>
      </c>
      <c r="B5743" s="689">
        <v>8.6999999999999993</v>
      </c>
      <c r="C5743" s="689">
        <v>8.4</v>
      </c>
      <c r="D5743" s="689">
        <v>8.4</v>
      </c>
      <c r="E5743" s="689">
        <v>8.3000000000000007</v>
      </c>
      <c r="F5743" s="689">
        <v>8.3000000000000007</v>
      </c>
      <c r="G5743" s="689">
        <v>8.6</v>
      </c>
      <c r="H5743" s="689">
        <v>8.6</v>
      </c>
      <c r="I5743" s="690" t="s">
        <v>4060</v>
      </c>
      <c r="J5743" s="690" t="s">
        <v>4060</v>
      </c>
      <c r="K5743" s="690" t="s">
        <v>4060</v>
      </c>
    </row>
    <row r="5744" spans="1:11">
      <c r="A5744" s="688" t="s">
        <v>2357</v>
      </c>
      <c r="B5744" s="692" t="s">
        <v>4060</v>
      </c>
      <c r="C5744" s="691">
        <v>7.3</v>
      </c>
      <c r="D5744" s="691">
        <v>7.5</v>
      </c>
      <c r="E5744" s="691">
        <v>7.7</v>
      </c>
      <c r="F5744" s="691">
        <v>7.8</v>
      </c>
      <c r="G5744" s="691">
        <v>7.4</v>
      </c>
      <c r="H5744" s="691">
        <v>7.6</v>
      </c>
      <c r="I5744" s="692" t="s">
        <v>4060</v>
      </c>
      <c r="J5744" s="692" t="s">
        <v>4060</v>
      </c>
      <c r="K5744" s="692" t="s">
        <v>4060</v>
      </c>
    </row>
    <row r="5745" spans="1:11">
      <c r="A5745" s="688" t="s">
        <v>4070</v>
      </c>
      <c r="B5745" s="690" t="s">
        <v>4060</v>
      </c>
      <c r="C5745" s="690" t="s">
        <v>4060</v>
      </c>
      <c r="D5745" s="690" t="s">
        <v>4060</v>
      </c>
      <c r="E5745" s="693">
        <v>9</v>
      </c>
      <c r="F5745" s="690" t="s">
        <v>4060</v>
      </c>
      <c r="G5745" s="690" t="s">
        <v>4060</v>
      </c>
      <c r="H5745" s="690" t="s">
        <v>4060</v>
      </c>
      <c r="I5745" s="690" t="s">
        <v>4060</v>
      </c>
      <c r="J5745" s="690" t="s">
        <v>4060</v>
      </c>
      <c r="K5745" s="690" t="s">
        <v>4060</v>
      </c>
    </row>
    <row r="5746" spans="1:11">
      <c r="A5746" s="688" t="s">
        <v>2491</v>
      </c>
      <c r="B5746" s="691">
        <v>7.3</v>
      </c>
      <c r="C5746" s="691">
        <v>7.5</v>
      </c>
      <c r="D5746" s="691">
        <v>7.5</v>
      </c>
      <c r="E5746" s="691">
        <v>7.5</v>
      </c>
      <c r="F5746" s="691">
        <v>7.5</v>
      </c>
      <c r="G5746" s="691">
        <v>7.5</v>
      </c>
      <c r="H5746" s="692" t="s">
        <v>4060</v>
      </c>
      <c r="I5746" s="692" t="s">
        <v>4060</v>
      </c>
      <c r="J5746" s="692" t="s">
        <v>4060</v>
      </c>
      <c r="K5746" s="692" t="s">
        <v>4060</v>
      </c>
    </row>
    <row r="5747" spans="1:11">
      <c r="A5747" s="688" t="s">
        <v>2343</v>
      </c>
      <c r="B5747" s="690" t="s">
        <v>4060</v>
      </c>
      <c r="C5747" s="690" t="s">
        <v>4060</v>
      </c>
      <c r="D5747" s="690" t="s">
        <v>4060</v>
      </c>
      <c r="E5747" s="690" t="s">
        <v>4060</v>
      </c>
      <c r="F5747" s="690" t="s">
        <v>4060</v>
      </c>
      <c r="G5747" s="690" t="s">
        <v>4060</v>
      </c>
      <c r="H5747" s="690" t="s">
        <v>4060</v>
      </c>
      <c r="I5747" s="690" t="s">
        <v>4060</v>
      </c>
      <c r="J5747" s="690" t="s">
        <v>4060</v>
      </c>
      <c r="K5747" s="690" t="s">
        <v>4060</v>
      </c>
    </row>
    <row r="5748" spans="1:11">
      <c r="A5748" s="688" t="s">
        <v>4071</v>
      </c>
      <c r="B5748" s="692" t="s">
        <v>4060</v>
      </c>
      <c r="C5748" s="692" t="s">
        <v>4060</v>
      </c>
      <c r="D5748" s="692" t="s">
        <v>4060</v>
      </c>
      <c r="E5748" s="692" t="s">
        <v>4060</v>
      </c>
      <c r="F5748" s="692" t="s">
        <v>4060</v>
      </c>
      <c r="G5748" s="692" t="s">
        <v>4060</v>
      </c>
      <c r="H5748" s="692" t="s">
        <v>4060</v>
      </c>
      <c r="I5748" s="692" t="s">
        <v>4060</v>
      </c>
      <c r="J5748" s="692" t="s">
        <v>4060</v>
      </c>
      <c r="K5748" s="692" t="s">
        <v>4060</v>
      </c>
    </row>
    <row r="5749" spans="1:11">
      <c r="A5749" s="688" t="s">
        <v>2489</v>
      </c>
      <c r="B5749" s="690" t="s">
        <v>4060</v>
      </c>
      <c r="C5749" s="690" t="s">
        <v>4060</v>
      </c>
      <c r="D5749" s="689">
        <v>7.2</v>
      </c>
      <c r="E5749" s="689">
        <v>7.2</v>
      </c>
      <c r="F5749" s="689">
        <v>7.3</v>
      </c>
      <c r="G5749" s="689">
        <v>7.3</v>
      </c>
      <c r="H5749" s="689">
        <v>7.7</v>
      </c>
      <c r="I5749" s="690" t="s">
        <v>4060</v>
      </c>
      <c r="J5749" s="690" t="s">
        <v>4060</v>
      </c>
      <c r="K5749" s="690" t="s">
        <v>4060</v>
      </c>
    </row>
    <row r="5750" spans="1:11">
      <c r="A5750" s="688" t="s">
        <v>2490</v>
      </c>
      <c r="B5750" s="691">
        <v>7.3</v>
      </c>
      <c r="C5750" s="691">
        <v>7.1</v>
      </c>
      <c r="D5750" s="691">
        <v>7.7</v>
      </c>
      <c r="E5750" s="692" t="s">
        <v>4060</v>
      </c>
      <c r="F5750" s="691">
        <v>7.9</v>
      </c>
      <c r="G5750" s="691">
        <v>7.7</v>
      </c>
      <c r="H5750" s="691">
        <v>8.5</v>
      </c>
      <c r="I5750" s="692" t="s">
        <v>4060</v>
      </c>
      <c r="J5750" s="692" t="s">
        <v>4060</v>
      </c>
      <c r="K5750" s="692" t="s">
        <v>4060</v>
      </c>
    </row>
    <row r="5752" spans="1:11">
      <c r="A5752" s="683" t="s">
        <v>4233</v>
      </c>
    </row>
    <row r="5753" spans="1:11">
      <c r="A5753" s="683" t="s">
        <v>4060</v>
      </c>
      <c r="B5753" s="682" t="s">
        <v>4234</v>
      </c>
    </row>
    <row r="5755" spans="1:11">
      <c r="A5755" s="682" t="s">
        <v>4248</v>
      </c>
    </row>
    <row r="5756" spans="1:11">
      <c r="A5756" s="682" t="s">
        <v>4210</v>
      </c>
      <c r="B5756" s="683" t="s">
        <v>4211</v>
      </c>
    </row>
    <row r="5757" spans="1:11">
      <c r="A5757" s="682" t="s">
        <v>4212</v>
      </c>
      <c r="B5757" s="682" t="s">
        <v>4213</v>
      </c>
    </row>
    <row r="5759" spans="1:11">
      <c r="A5759" s="683" t="s">
        <v>4214</v>
      </c>
      <c r="C5759" s="682" t="s">
        <v>4215</v>
      </c>
    </row>
    <row r="5760" spans="1:11">
      <c r="A5760" s="683" t="s">
        <v>4216</v>
      </c>
      <c r="C5760" s="682" t="s">
        <v>2967</v>
      </c>
    </row>
    <row r="5761" spans="1:11">
      <c r="A5761" s="683" t="s">
        <v>3893</v>
      </c>
      <c r="C5761" s="682" t="s">
        <v>4217</v>
      </c>
    </row>
    <row r="5762" spans="1:11">
      <c r="A5762" s="683" t="s">
        <v>4218</v>
      </c>
      <c r="C5762" s="682" t="s">
        <v>4315</v>
      </c>
    </row>
    <row r="5764" spans="1:11">
      <c r="A5764" s="684" t="s">
        <v>4220</v>
      </c>
      <c r="B5764" s="685" t="s">
        <v>4221</v>
      </c>
      <c r="C5764" s="685" t="s">
        <v>4222</v>
      </c>
      <c r="D5764" s="685" t="s">
        <v>4223</v>
      </c>
      <c r="E5764" s="685" t="s">
        <v>4224</v>
      </c>
      <c r="F5764" s="685" t="s">
        <v>4225</v>
      </c>
      <c r="G5764" s="685" t="s">
        <v>4226</v>
      </c>
      <c r="H5764" s="685" t="s">
        <v>4227</v>
      </c>
      <c r="I5764" s="685" t="s">
        <v>4228</v>
      </c>
      <c r="J5764" s="685" t="s">
        <v>4229</v>
      </c>
      <c r="K5764" s="685" t="s">
        <v>4230</v>
      </c>
    </row>
    <row r="5765" spans="1:11">
      <c r="A5765" s="686" t="s">
        <v>4231</v>
      </c>
      <c r="B5765" s="687" t="s">
        <v>4232</v>
      </c>
      <c r="C5765" s="687" t="s">
        <v>4232</v>
      </c>
      <c r="D5765" s="687" t="s">
        <v>4232</v>
      </c>
      <c r="E5765" s="687" t="s">
        <v>4232</v>
      </c>
      <c r="F5765" s="687" t="s">
        <v>4232</v>
      </c>
      <c r="G5765" s="687" t="s">
        <v>4232</v>
      </c>
      <c r="H5765" s="687" t="s">
        <v>4232</v>
      </c>
      <c r="I5765" s="687" t="s">
        <v>4232</v>
      </c>
      <c r="J5765" s="687" t="s">
        <v>4232</v>
      </c>
      <c r="K5765" s="687" t="s">
        <v>4232</v>
      </c>
    </row>
    <row r="5766" spans="1:11">
      <c r="A5766" s="688" t="s">
        <v>4064</v>
      </c>
      <c r="B5766" s="691">
        <v>8.8000000000000007</v>
      </c>
      <c r="C5766" s="691">
        <v>8.5</v>
      </c>
      <c r="D5766" s="691">
        <v>8.6</v>
      </c>
      <c r="E5766" s="691">
        <v>8.6</v>
      </c>
      <c r="F5766" s="691">
        <v>8.5</v>
      </c>
      <c r="G5766" s="691">
        <v>8.6</v>
      </c>
      <c r="H5766" s="691">
        <v>8.8000000000000007</v>
      </c>
      <c r="I5766" s="691">
        <v>8.3000000000000007</v>
      </c>
      <c r="J5766" s="691">
        <v>8.3000000000000007</v>
      </c>
      <c r="K5766" s="691">
        <v>8.4</v>
      </c>
    </row>
    <row r="5767" spans="1:11">
      <c r="A5767" s="688" t="s">
        <v>4065</v>
      </c>
      <c r="B5767" s="689">
        <v>8.6999999999999993</v>
      </c>
      <c r="C5767" s="693">
        <v>9</v>
      </c>
      <c r="D5767" s="689">
        <v>8.6</v>
      </c>
      <c r="E5767" s="689">
        <v>8.9</v>
      </c>
      <c r="F5767" s="689">
        <v>8.8000000000000007</v>
      </c>
      <c r="G5767" s="689">
        <v>8.9</v>
      </c>
      <c r="H5767" s="690" t="s">
        <v>4060</v>
      </c>
      <c r="I5767" s="690" t="s">
        <v>4060</v>
      </c>
      <c r="J5767" s="690" t="s">
        <v>4060</v>
      </c>
      <c r="K5767" s="690" t="s">
        <v>4060</v>
      </c>
    </row>
    <row r="5768" spans="1:11">
      <c r="A5768" s="688" t="s">
        <v>4063</v>
      </c>
      <c r="B5768" s="691">
        <v>8.6999999999999993</v>
      </c>
      <c r="C5768" s="615">
        <v>9</v>
      </c>
      <c r="D5768" s="691">
        <v>8.6</v>
      </c>
      <c r="E5768" s="691">
        <v>8.9</v>
      </c>
      <c r="F5768" s="691">
        <v>8.8000000000000007</v>
      </c>
      <c r="G5768" s="691">
        <v>8.9</v>
      </c>
      <c r="H5768" s="692" t="s">
        <v>4060</v>
      </c>
      <c r="I5768" s="692" t="s">
        <v>4060</v>
      </c>
      <c r="J5768" s="692" t="s">
        <v>4060</v>
      </c>
      <c r="K5768" s="692" t="s">
        <v>4060</v>
      </c>
    </row>
    <row r="5769" spans="1:11">
      <c r="A5769" s="688" t="s">
        <v>4069</v>
      </c>
      <c r="B5769" s="690" t="s">
        <v>4060</v>
      </c>
      <c r="C5769" s="689">
        <v>8.8000000000000007</v>
      </c>
      <c r="D5769" s="689">
        <v>8.5</v>
      </c>
      <c r="E5769" s="689">
        <v>8.8000000000000007</v>
      </c>
      <c r="F5769" s="689">
        <v>8.6999999999999993</v>
      </c>
      <c r="G5769" s="689">
        <v>8.8000000000000007</v>
      </c>
      <c r="H5769" s="693">
        <v>9</v>
      </c>
      <c r="I5769" s="689">
        <v>8.5</v>
      </c>
      <c r="J5769" s="689">
        <v>8.6999999999999993</v>
      </c>
      <c r="K5769" s="689">
        <v>8.6</v>
      </c>
    </row>
    <row r="5770" spans="1:11">
      <c r="A5770" s="688" t="s">
        <v>4068</v>
      </c>
      <c r="B5770" s="615">
        <v>9</v>
      </c>
      <c r="C5770" s="692" t="s">
        <v>4060</v>
      </c>
      <c r="D5770" s="692" t="s">
        <v>4060</v>
      </c>
      <c r="E5770" s="692" t="s">
        <v>4060</v>
      </c>
      <c r="F5770" s="692" t="s">
        <v>4060</v>
      </c>
      <c r="G5770" s="692" t="s">
        <v>4060</v>
      </c>
      <c r="H5770" s="692" t="s">
        <v>4060</v>
      </c>
      <c r="I5770" s="692" t="s">
        <v>4060</v>
      </c>
      <c r="J5770" s="692" t="s">
        <v>4060</v>
      </c>
      <c r="K5770" s="692" t="s">
        <v>4060</v>
      </c>
    </row>
    <row r="5771" spans="1:11">
      <c r="A5771" s="688" t="s">
        <v>0</v>
      </c>
      <c r="B5771" s="689">
        <v>8.6</v>
      </c>
      <c r="C5771" s="689">
        <v>8.6</v>
      </c>
      <c r="D5771" s="689">
        <v>8.4</v>
      </c>
      <c r="E5771" s="689">
        <v>8.6999999999999993</v>
      </c>
      <c r="F5771" s="689">
        <v>8.6999999999999993</v>
      </c>
      <c r="G5771" s="689">
        <v>8.6999999999999993</v>
      </c>
      <c r="H5771" s="689">
        <v>8.9</v>
      </c>
      <c r="I5771" s="689">
        <v>8.1</v>
      </c>
      <c r="J5771" s="693">
        <v>9</v>
      </c>
      <c r="K5771" s="689">
        <v>8.8000000000000007</v>
      </c>
    </row>
    <row r="5772" spans="1:11">
      <c r="A5772" s="688" t="s">
        <v>1</v>
      </c>
      <c r="B5772" s="691">
        <v>6.7</v>
      </c>
      <c r="C5772" s="691">
        <v>6.4</v>
      </c>
      <c r="D5772" s="691">
        <v>6.2</v>
      </c>
      <c r="E5772" s="691">
        <v>6.5</v>
      </c>
      <c r="F5772" s="691">
        <v>6.4</v>
      </c>
      <c r="G5772" s="691">
        <v>6.5</v>
      </c>
      <c r="H5772" s="691">
        <v>6.5</v>
      </c>
      <c r="I5772" s="691">
        <v>6.1</v>
      </c>
      <c r="J5772" s="691">
        <v>5.6</v>
      </c>
      <c r="K5772" s="691">
        <v>6.3</v>
      </c>
    </row>
    <row r="5773" spans="1:11">
      <c r="A5773" s="688" t="s">
        <v>2240</v>
      </c>
      <c r="B5773" s="689">
        <v>7.5</v>
      </c>
      <c r="C5773" s="689">
        <v>7.5</v>
      </c>
      <c r="D5773" s="689">
        <v>7.3</v>
      </c>
      <c r="E5773" s="689">
        <v>7.7</v>
      </c>
      <c r="F5773" s="689">
        <v>7.5</v>
      </c>
      <c r="G5773" s="689">
        <v>7.6</v>
      </c>
      <c r="H5773" s="689">
        <v>7.7</v>
      </c>
      <c r="I5773" s="693">
        <v>7</v>
      </c>
      <c r="J5773" s="693">
        <v>7</v>
      </c>
      <c r="K5773" s="689">
        <v>7.5</v>
      </c>
    </row>
    <row r="5774" spans="1:11">
      <c r="A5774" s="688" t="s">
        <v>2</v>
      </c>
      <c r="B5774" s="691">
        <v>8.1999999999999993</v>
      </c>
      <c r="C5774" s="691">
        <v>8.4</v>
      </c>
      <c r="D5774" s="691">
        <v>8.3000000000000007</v>
      </c>
      <c r="E5774" s="691">
        <v>8.4</v>
      </c>
      <c r="F5774" s="691">
        <v>8.3000000000000007</v>
      </c>
      <c r="G5774" s="691">
        <v>8.1999999999999993</v>
      </c>
      <c r="H5774" s="691">
        <v>8.5</v>
      </c>
      <c r="I5774" s="691">
        <v>8.5</v>
      </c>
      <c r="J5774" s="691">
        <v>8.4</v>
      </c>
      <c r="K5774" s="691">
        <v>8.3000000000000007</v>
      </c>
    </row>
    <row r="5775" spans="1:11">
      <c r="A5775" s="688" t="s">
        <v>3</v>
      </c>
      <c r="B5775" s="689">
        <v>8.3000000000000007</v>
      </c>
      <c r="C5775" s="689">
        <v>8.3000000000000007</v>
      </c>
      <c r="D5775" s="689">
        <v>8.1</v>
      </c>
      <c r="E5775" s="689">
        <v>8.3000000000000007</v>
      </c>
      <c r="F5775" s="689">
        <v>8.3000000000000007</v>
      </c>
      <c r="G5775" s="689">
        <v>8.3000000000000007</v>
      </c>
      <c r="H5775" s="689">
        <v>8.5</v>
      </c>
      <c r="I5775" s="689">
        <v>8.4</v>
      </c>
      <c r="J5775" s="689">
        <v>8.3000000000000007</v>
      </c>
      <c r="K5775" s="689">
        <v>8.1</v>
      </c>
    </row>
    <row r="5776" spans="1:11">
      <c r="A5776" s="688" t="s">
        <v>4061</v>
      </c>
      <c r="B5776" s="691">
        <v>8.3000000000000007</v>
      </c>
      <c r="C5776" s="691">
        <v>8.3000000000000007</v>
      </c>
      <c r="D5776" s="691">
        <v>8.1</v>
      </c>
      <c r="E5776" s="691">
        <v>8.3000000000000007</v>
      </c>
      <c r="F5776" s="691">
        <v>8.3000000000000007</v>
      </c>
      <c r="G5776" s="691">
        <v>8.3000000000000007</v>
      </c>
      <c r="H5776" s="691">
        <v>8.5</v>
      </c>
      <c r="I5776" s="691">
        <v>8.4</v>
      </c>
      <c r="J5776" s="691">
        <v>8.3000000000000007</v>
      </c>
      <c r="K5776" s="691">
        <v>8.1</v>
      </c>
    </row>
    <row r="5777" spans="1:11">
      <c r="A5777" s="688" t="s">
        <v>4</v>
      </c>
      <c r="B5777" s="689">
        <v>8.4</v>
      </c>
      <c r="C5777" s="689">
        <v>7.9</v>
      </c>
      <c r="D5777" s="689">
        <v>8.1</v>
      </c>
      <c r="E5777" s="689">
        <v>8.1</v>
      </c>
      <c r="F5777" s="689">
        <v>8.1</v>
      </c>
      <c r="G5777" s="689">
        <v>8.1999999999999993</v>
      </c>
      <c r="H5777" s="689">
        <v>8.4</v>
      </c>
      <c r="I5777" s="689">
        <v>8.4</v>
      </c>
      <c r="J5777" s="689">
        <v>7.7</v>
      </c>
      <c r="K5777" s="693">
        <v>8</v>
      </c>
    </row>
    <row r="5778" spans="1:11">
      <c r="A5778" s="688" t="s">
        <v>8</v>
      </c>
      <c r="B5778" s="691">
        <v>8.1999999999999993</v>
      </c>
      <c r="C5778" s="691">
        <v>8.3000000000000007</v>
      </c>
      <c r="D5778" s="691">
        <v>8.1</v>
      </c>
      <c r="E5778" s="691">
        <v>8.1999999999999993</v>
      </c>
      <c r="F5778" s="691">
        <v>8.5</v>
      </c>
      <c r="G5778" s="691">
        <v>8.5</v>
      </c>
      <c r="H5778" s="691">
        <v>8.6</v>
      </c>
      <c r="I5778" s="691">
        <v>8.5</v>
      </c>
      <c r="J5778" s="691">
        <v>8.5</v>
      </c>
      <c r="K5778" s="691">
        <v>8.6</v>
      </c>
    </row>
    <row r="5779" spans="1:11">
      <c r="A5779" s="688" t="s">
        <v>7</v>
      </c>
      <c r="B5779" s="689">
        <v>8.8000000000000007</v>
      </c>
      <c r="C5779" s="689">
        <v>8.1</v>
      </c>
      <c r="D5779" s="689">
        <v>7.9</v>
      </c>
      <c r="E5779" s="689">
        <v>8.1999999999999993</v>
      </c>
      <c r="F5779" s="689">
        <v>8.1</v>
      </c>
      <c r="G5779" s="689">
        <v>8.5</v>
      </c>
      <c r="H5779" s="689">
        <v>8.4</v>
      </c>
      <c r="I5779" s="689">
        <v>8.3000000000000007</v>
      </c>
      <c r="J5779" s="693">
        <v>8</v>
      </c>
      <c r="K5779" s="693">
        <v>8</v>
      </c>
    </row>
    <row r="5780" spans="1:11">
      <c r="A5780" s="688" t="s">
        <v>27</v>
      </c>
      <c r="B5780" s="691">
        <v>9.6999999999999993</v>
      </c>
      <c r="C5780" s="691">
        <v>9.1999999999999993</v>
      </c>
      <c r="D5780" s="691">
        <v>8.9</v>
      </c>
      <c r="E5780" s="691">
        <v>9.1999999999999993</v>
      </c>
      <c r="F5780" s="691">
        <v>9.1</v>
      </c>
      <c r="G5780" s="691">
        <v>9.1999999999999993</v>
      </c>
      <c r="H5780" s="691">
        <v>9.5</v>
      </c>
      <c r="I5780" s="691">
        <v>8.6</v>
      </c>
      <c r="J5780" s="691">
        <v>9.3000000000000007</v>
      </c>
      <c r="K5780" s="691">
        <v>9.1999999999999993</v>
      </c>
    </row>
    <row r="5781" spans="1:11">
      <c r="A5781" s="688" t="s">
        <v>6</v>
      </c>
      <c r="B5781" s="693">
        <v>10</v>
      </c>
      <c r="C5781" s="689">
        <v>9.6</v>
      </c>
      <c r="D5781" s="689">
        <v>9.4</v>
      </c>
      <c r="E5781" s="689">
        <v>9.6</v>
      </c>
      <c r="F5781" s="689">
        <v>9.6</v>
      </c>
      <c r="G5781" s="689">
        <v>9.6999999999999993</v>
      </c>
      <c r="H5781" s="689">
        <v>9.8000000000000007</v>
      </c>
      <c r="I5781" s="689">
        <v>9.3000000000000007</v>
      </c>
      <c r="J5781" s="689">
        <v>9.5</v>
      </c>
      <c r="K5781" s="689">
        <v>9.5</v>
      </c>
    </row>
    <row r="5782" spans="1:11">
      <c r="A5782" s="688" t="s">
        <v>4058</v>
      </c>
      <c r="B5782" s="692" t="s">
        <v>4060</v>
      </c>
      <c r="C5782" s="692" t="s">
        <v>4060</v>
      </c>
      <c r="D5782" s="692" t="s">
        <v>4060</v>
      </c>
      <c r="E5782" s="692" t="s">
        <v>4060</v>
      </c>
      <c r="F5782" s="692" t="s">
        <v>4060</v>
      </c>
      <c r="G5782" s="692" t="s">
        <v>4060</v>
      </c>
      <c r="H5782" s="692" t="s">
        <v>4060</v>
      </c>
      <c r="I5782" s="692" t="s">
        <v>4060</v>
      </c>
      <c r="J5782" s="692" t="s">
        <v>4060</v>
      </c>
      <c r="K5782" s="692" t="s">
        <v>4060</v>
      </c>
    </row>
    <row r="5783" spans="1:11">
      <c r="A5783" s="688" t="s">
        <v>11</v>
      </c>
      <c r="B5783" s="689">
        <v>7.2</v>
      </c>
      <c r="C5783" s="693">
        <v>7</v>
      </c>
      <c r="D5783" s="689">
        <v>6.7</v>
      </c>
      <c r="E5783" s="693">
        <v>7</v>
      </c>
      <c r="F5783" s="689">
        <v>6.9</v>
      </c>
      <c r="G5783" s="693">
        <v>7</v>
      </c>
      <c r="H5783" s="689">
        <v>7.1</v>
      </c>
      <c r="I5783" s="689">
        <v>6.8</v>
      </c>
      <c r="J5783" s="689">
        <v>6.4</v>
      </c>
      <c r="K5783" s="689">
        <v>6.6</v>
      </c>
    </row>
    <row r="5784" spans="1:11">
      <c r="A5784" s="688" t="s">
        <v>10</v>
      </c>
      <c r="B5784" s="691">
        <v>9.3000000000000007</v>
      </c>
      <c r="C5784" s="691">
        <v>8.9</v>
      </c>
      <c r="D5784" s="691">
        <v>8.5</v>
      </c>
      <c r="E5784" s="615">
        <v>9</v>
      </c>
      <c r="F5784" s="691">
        <v>8.6999999999999993</v>
      </c>
      <c r="G5784" s="615">
        <v>9</v>
      </c>
      <c r="H5784" s="691">
        <v>9.1</v>
      </c>
      <c r="I5784" s="691">
        <v>8.4</v>
      </c>
      <c r="J5784" s="691">
        <v>8.8000000000000007</v>
      </c>
      <c r="K5784" s="691">
        <v>8.6</v>
      </c>
    </row>
    <row r="5785" spans="1:11">
      <c r="A5785" s="688" t="s">
        <v>30</v>
      </c>
      <c r="B5785" s="689">
        <v>8.4</v>
      </c>
      <c r="C5785" s="693">
        <v>8</v>
      </c>
      <c r="D5785" s="689">
        <v>7.6</v>
      </c>
      <c r="E5785" s="689">
        <v>8.3000000000000007</v>
      </c>
      <c r="F5785" s="689">
        <v>7.9</v>
      </c>
      <c r="G5785" s="689">
        <v>8.5</v>
      </c>
      <c r="H5785" s="689">
        <v>8.1999999999999993</v>
      </c>
      <c r="I5785" s="689">
        <v>8.3000000000000007</v>
      </c>
      <c r="J5785" s="689">
        <v>8.1</v>
      </c>
      <c r="K5785" s="693">
        <v>8</v>
      </c>
    </row>
    <row r="5786" spans="1:11">
      <c r="A5786" s="688" t="s">
        <v>12</v>
      </c>
      <c r="B5786" s="691">
        <v>7.6</v>
      </c>
      <c r="C5786" s="691">
        <v>7.3</v>
      </c>
      <c r="D5786" s="691">
        <v>7.3</v>
      </c>
      <c r="E5786" s="691">
        <v>7.3</v>
      </c>
      <c r="F5786" s="691">
        <v>7.4</v>
      </c>
      <c r="G5786" s="691">
        <v>7.4</v>
      </c>
      <c r="H5786" s="691">
        <v>7.6</v>
      </c>
      <c r="I5786" s="691">
        <v>7.5</v>
      </c>
      <c r="J5786" s="691">
        <v>6.7</v>
      </c>
      <c r="K5786" s="691">
        <v>7.2</v>
      </c>
    </row>
    <row r="5787" spans="1:11">
      <c r="A5787" s="688" t="s">
        <v>14</v>
      </c>
      <c r="B5787" s="689">
        <v>7.5</v>
      </c>
      <c r="C5787" s="689">
        <v>7.2</v>
      </c>
      <c r="D5787" s="693">
        <v>7</v>
      </c>
      <c r="E5787" s="689">
        <v>7.2</v>
      </c>
      <c r="F5787" s="689">
        <v>7.1</v>
      </c>
      <c r="G5787" s="689">
        <v>7.3</v>
      </c>
      <c r="H5787" s="689">
        <v>7.5</v>
      </c>
      <c r="I5787" s="689">
        <v>7.1</v>
      </c>
      <c r="J5787" s="689">
        <v>6.8</v>
      </c>
      <c r="K5787" s="689">
        <v>7.2</v>
      </c>
    </row>
    <row r="5788" spans="1:11">
      <c r="A5788" s="688" t="s">
        <v>15</v>
      </c>
      <c r="B5788" s="691">
        <v>9.1999999999999993</v>
      </c>
      <c r="C5788" s="691">
        <v>8.9</v>
      </c>
      <c r="D5788" s="691">
        <v>8.6999999999999993</v>
      </c>
      <c r="E5788" s="691">
        <v>8.6999999999999993</v>
      </c>
      <c r="F5788" s="691">
        <v>8.9</v>
      </c>
      <c r="G5788" s="691">
        <v>8.6999999999999993</v>
      </c>
      <c r="H5788" s="691">
        <v>8.9</v>
      </c>
      <c r="I5788" s="691">
        <v>8.6</v>
      </c>
      <c r="J5788" s="691">
        <v>8.9</v>
      </c>
      <c r="K5788" s="691">
        <v>8.9</v>
      </c>
    </row>
    <row r="5789" spans="1:11">
      <c r="A5789" s="688" t="s">
        <v>29</v>
      </c>
      <c r="B5789" s="689">
        <v>7.2</v>
      </c>
      <c r="C5789" s="689">
        <v>7.2</v>
      </c>
      <c r="D5789" s="689">
        <v>6.9</v>
      </c>
      <c r="E5789" s="689">
        <v>7.2</v>
      </c>
      <c r="F5789" s="693">
        <v>7</v>
      </c>
      <c r="G5789" s="689">
        <v>7.1</v>
      </c>
      <c r="H5789" s="689">
        <v>7.2</v>
      </c>
      <c r="I5789" s="689">
        <v>6.8</v>
      </c>
      <c r="J5789" s="689">
        <v>6.7</v>
      </c>
      <c r="K5789" s="693">
        <v>7</v>
      </c>
    </row>
    <row r="5790" spans="1:11">
      <c r="A5790" s="688" t="s">
        <v>16</v>
      </c>
      <c r="B5790" s="691">
        <v>8.5</v>
      </c>
      <c r="C5790" s="691">
        <v>8.4</v>
      </c>
      <c r="D5790" s="691">
        <v>8.1</v>
      </c>
      <c r="E5790" s="691">
        <v>8.6999999999999993</v>
      </c>
      <c r="F5790" s="691">
        <v>8.4</v>
      </c>
      <c r="G5790" s="691">
        <v>8.6</v>
      </c>
      <c r="H5790" s="691">
        <v>8.6</v>
      </c>
      <c r="I5790" s="691">
        <v>8.4</v>
      </c>
      <c r="J5790" s="691">
        <v>8.4</v>
      </c>
      <c r="K5790" s="691">
        <v>8.4</v>
      </c>
    </row>
    <row r="5791" spans="1:11">
      <c r="A5791" s="688" t="s">
        <v>17</v>
      </c>
      <c r="B5791" s="689">
        <v>8.5</v>
      </c>
      <c r="C5791" s="689">
        <v>8.4</v>
      </c>
      <c r="D5791" s="689">
        <v>8.1999999999999993</v>
      </c>
      <c r="E5791" s="689">
        <v>8.3000000000000007</v>
      </c>
      <c r="F5791" s="689">
        <v>8.3000000000000007</v>
      </c>
      <c r="G5791" s="689">
        <v>8.3000000000000007</v>
      </c>
      <c r="H5791" s="689">
        <v>8.5</v>
      </c>
      <c r="I5791" s="693">
        <v>8</v>
      </c>
      <c r="J5791" s="689">
        <v>8.1</v>
      </c>
      <c r="K5791" s="689">
        <v>8.1999999999999993</v>
      </c>
    </row>
    <row r="5792" spans="1:11">
      <c r="A5792" s="688" t="s">
        <v>19</v>
      </c>
      <c r="B5792" s="691">
        <v>8.6999999999999993</v>
      </c>
      <c r="C5792" s="691">
        <v>8.5</v>
      </c>
      <c r="D5792" s="691">
        <v>8.3000000000000007</v>
      </c>
      <c r="E5792" s="691">
        <v>8.6</v>
      </c>
      <c r="F5792" s="691">
        <v>8.5</v>
      </c>
      <c r="G5792" s="691">
        <v>8.6</v>
      </c>
      <c r="H5792" s="691">
        <v>8.6999999999999993</v>
      </c>
      <c r="I5792" s="691">
        <v>8.3000000000000007</v>
      </c>
      <c r="J5792" s="691">
        <v>8.4</v>
      </c>
      <c r="K5792" s="691">
        <v>8.3000000000000007</v>
      </c>
    </row>
    <row r="5793" spans="1:11">
      <c r="A5793" s="688" t="s">
        <v>20</v>
      </c>
      <c r="B5793" s="689">
        <v>8.1999999999999993</v>
      </c>
      <c r="C5793" s="689">
        <v>8.1</v>
      </c>
      <c r="D5793" s="689">
        <v>7.9</v>
      </c>
      <c r="E5793" s="689">
        <v>8.1999999999999993</v>
      </c>
      <c r="F5793" s="693">
        <v>8</v>
      </c>
      <c r="G5793" s="693">
        <v>8</v>
      </c>
      <c r="H5793" s="689">
        <v>8.3000000000000007</v>
      </c>
      <c r="I5793" s="689">
        <v>7.5</v>
      </c>
      <c r="J5793" s="689">
        <v>7.1</v>
      </c>
      <c r="K5793" s="689">
        <v>7.7</v>
      </c>
    </row>
    <row r="5794" spans="1:11">
      <c r="A5794" s="688" t="s">
        <v>21</v>
      </c>
      <c r="B5794" s="691">
        <v>8.4</v>
      </c>
      <c r="C5794" s="691">
        <v>8.6</v>
      </c>
      <c r="D5794" s="691">
        <v>8.5</v>
      </c>
      <c r="E5794" s="691">
        <v>8.6</v>
      </c>
      <c r="F5794" s="691">
        <v>8.6999999999999993</v>
      </c>
      <c r="G5794" s="691">
        <v>8.6999999999999993</v>
      </c>
      <c r="H5794" s="691">
        <v>8.9</v>
      </c>
      <c r="I5794" s="691">
        <v>8.5</v>
      </c>
      <c r="J5794" s="691">
        <v>8.5</v>
      </c>
      <c r="K5794" s="691">
        <v>8.6</v>
      </c>
    </row>
    <row r="5795" spans="1:11">
      <c r="A5795" s="688" t="s">
        <v>22</v>
      </c>
      <c r="B5795" s="689">
        <v>7.1</v>
      </c>
      <c r="C5795" s="689">
        <v>6.9</v>
      </c>
      <c r="D5795" s="689">
        <v>6.8</v>
      </c>
      <c r="E5795" s="689">
        <v>7.1</v>
      </c>
      <c r="F5795" s="689">
        <v>7.1</v>
      </c>
      <c r="G5795" s="689">
        <v>7.2</v>
      </c>
      <c r="H5795" s="689">
        <v>7.5</v>
      </c>
      <c r="I5795" s="689">
        <v>6.9</v>
      </c>
      <c r="J5795" s="689">
        <v>6.2</v>
      </c>
      <c r="K5795" s="689">
        <v>6.7</v>
      </c>
    </row>
    <row r="5796" spans="1:11">
      <c r="A5796" s="688" t="s">
        <v>26</v>
      </c>
      <c r="B5796" s="691">
        <v>8.6</v>
      </c>
      <c r="C5796" s="691">
        <v>8.1999999999999993</v>
      </c>
      <c r="D5796" s="691">
        <v>8.1999999999999993</v>
      </c>
      <c r="E5796" s="691">
        <v>8.3000000000000007</v>
      </c>
      <c r="F5796" s="691">
        <v>8.3000000000000007</v>
      </c>
      <c r="G5796" s="691">
        <v>8.5</v>
      </c>
      <c r="H5796" s="691">
        <v>8.6</v>
      </c>
      <c r="I5796" s="691">
        <v>7.7</v>
      </c>
      <c r="J5796" s="691">
        <v>8.1999999999999993</v>
      </c>
      <c r="K5796" s="691">
        <v>8.3000000000000007</v>
      </c>
    </row>
    <row r="5797" spans="1:11">
      <c r="A5797" s="688" t="s">
        <v>25</v>
      </c>
      <c r="B5797" s="689">
        <v>7.2</v>
      </c>
      <c r="C5797" s="689">
        <v>7.3</v>
      </c>
      <c r="D5797" s="689">
        <v>7.1</v>
      </c>
      <c r="E5797" s="689">
        <v>7.4</v>
      </c>
      <c r="F5797" s="689">
        <v>7.3</v>
      </c>
      <c r="G5797" s="689">
        <v>7.5</v>
      </c>
      <c r="H5797" s="689">
        <v>7.8</v>
      </c>
      <c r="I5797" s="689">
        <v>7.3</v>
      </c>
      <c r="J5797" s="689">
        <v>6.5</v>
      </c>
      <c r="K5797" s="689">
        <v>7.1</v>
      </c>
    </row>
    <row r="5798" spans="1:11">
      <c r="A5798" s="688" t="s">
        <v>5</v>
      </c>
      <c r="B5798" s="691">
        <v>8.9</v>
      </c>
      <c r="C5798" s="691">
        <v>8.5</v>
      </c>
      <c r="D5798" s="691">
        <v>8.5</v>
      </c>
      <c r="E5798" s="691">
        <v>8.5</v>
      </c>
      <c r="F5798" s="691">
        <v>8.6</v>
      </c>
      <c r="G5798" s="691">
        <v>8.6999999999999993</v>
      </c>
      <c r="H5798" s="691">
        <v>8.9</v>
      </c>
      <c r="I5798" s="691">
        <v>8.8000000000000007</v>
      </c>
      <c r="J5798" s="691">
        <v>8.6999999999999993</v>
      </c>
      <c r="K5798" s="691">
        <v>8.3000000000000007</v>
      </c>
    </row>
    <row r="5799" spans="1:11">
      <c r="A5799" s="688" t="s">
        <v>23</v>
      </c>
      <c r="B5799" s="689">
        <v>8.5</v>
      </c>
      <c r="C5799" s="689">
        <v>8.6</v>
      </c>
      <c r="D5799" s="689">
        <v>8.5</v>
      </c>
      <c r="E5799" s="689">
        <v>8.6</v>
      </c>
      <c r="F5799" s="689">
        <v>8.5</v>
      </c>
      <c r="G5799" s="689">
        <v>8.6</v>
      </c>
      <c r="H5799" s="689">
        <v>8.9</v>
      </c>
      <c r="I5799" s="689">
        <v>8.4</v>
      </c>
      <c r="J5799" s="689">
        <v>8.9</v>
      </c>
      <c r="K5799" s="689">
        <v>8.8000000000000007</v>
      </c>
    </row>
    <row r="5800" spans="1:11">
      <c r="A5800" s="688" t="s">
        <v>4067</v>
      </c>
      <c r="B5800" s="691">
        <v>8.6999999999999993</v>
      </c>
      <c r="C5800" s="615">
        <v>9</v>
      </c>
      <c r="D5800" s="691">
        <v>8.6</v>
      </c>
      <c r="E5800" s="691">
        <v>8.9</v>
      </c>
      <c r="F5800" s="691">
        <v>8.8000000000000007</v>
      </c>
      <c r="G5800" s="691">
        <v>8.9</v>
      </c>
      <c r="H5800" s="692" t="s">
        <v>4060</v>
      </c>
      <c r="I5800" s="692" t="s">
        <v>4060</v>
      </c>
      <c r="J5800" s="692" t="s">
        <v>4060</v>
      </c>
      <c r="K5800" s="692" t="s">
        <v>4060</v>
      </c>
    </row>
    <row r="5801" spans="1:11">
      <c r="A5801" s="688" t="s">
        <v>4066</v>
      </c>
      <c r="B5801" s="689">
        <v>8.6999999999999993</v>
      </c>
      <c r="C5801" s="693">
        <v>9</v>
      </c>
      <c r="D5801" s="689">
        <v>8.6</v>
      </c>
      <c r="E5801" s="689">
        <v>8.9</v>
      </c>
      <c r="F5801" s="689">
        <v>8.8000000000000007</v>
      </c>
      <c r="G5801" s="689">
        <v>8.9</v>
      </c>
      <c r="H5801" s="690" t="s">
        <v>4060</v>
      </c>
      <c r="I5801" s="690" t="s">
        <v>4060</v>
      </c>
      <c r="J5801" s="690" t="s">
        <v>4060</v>
      </c>
      <c r="K5801" s="690" t="s">
        <v>4060</v>
      </c>
    </row>
    <row r="5802" spans="1:11">
      <c r="A5802" s="688" t="s">
        <v>4062</v>
      </c>
      <c r="B5802" s="691">
        <v>8.9</v>
      </c>
      <c r="C5802" s="691">
        <v>8.8000000000000007</v>
      </c>
      <c r="D5802" s="691">
        <v>8.6999999999999993</v>
      </c>
      <c r="E5802" s="691">
        <v>8.9</v>
      </c>
      <c r="F5802" s="691">
        <v>8.9</v>
      </c>
      <c r="G5802" s="615">
        <v>9</v>
      </c>
      <c r="H5802" s="691">
        <v>9.1</v>
      </c>
      <c r="I5802" s="691">
        <v>8.8000000000000007</v>
      </c>
      <c r="J5802" s="691">
        <v>9.1</v>
      </c>
      <c r="K5802" s="691">
        <v>8.9</v>
      </c>
    </row>
    <row r="5803" spans="1:11">
      <c r="A5803" s="688" t="s">
        <v>9</v>
      </c>
      <c r="B5803" s="689">
        <v>8.6</v>
      </c>
      <c r="C5803" s="689">
        <v>8.8000000000000007</v>
      </c>
      <c r="D5803" s="689">
        <v>8.3000000000000007</v>
      </c>
      <c r="E5803" s="689">
        <v>8.3000000000000007</v>
      </c>
      <c r="F5803" s="689">
        <v>8.5</v>
      </c>
      <c r="G5803" s="689">
        <v>8.5</v>
      </c>
      <c r="H5803" s="689">
        <v>8.6</v>
      </c>
      <c r="I5803" s="689">
        <v>8.9</v>
      </c>
      <c r="J5803" s="689">
        <v>9.1</v>
      </c>
      <c r="K5803" s="689">
        <v>8.3000000000000007</v>
      </c>
    </row>
    <row r="5804" spans="1:11">
      <c r="A5804" s="688" t="s">
        <v>13</v>
      </c>
      <c r="B5804" s="691">
        <v>8.8000000000000007</v>
      </c>
      <c r="C5804" s="615">
        <v>8</v>
      </c>
      <c r="D5804" s="615">
        <v>8</v>
      </c>
      <c r="E5804" s="691">
        <v>8.8000000000000007</v>
      </c>
      <c r="F5804" s="691">
        <v>9.4</v>
      </c>
      <c r="G5804" s="691">
        <v>8.6</v>
      </c>
      <c r="H5804" s="615">
        <v>9</v>
      </c>
      <c r="I5804" s="691">
        <v>7.9</v>
      </c>
      <c r="J5804" s="691">
        <v>8.8000000000000007</v>
      </c>
      <c r="K5804" s="615">
        <v>9</v>
      </c>
    </row>
    <row r="5805" spans="1:11">
      <c r="A5805" s="688" t="s">
        <v>18</v>
      </c>
      <c r="B5805" s="689">
        <v>8.6</v>
      </c>
      <c r="C5805" s="689">
        <v>8.6</v>
      </c>
      <c r="D5805" s="689">
        <v>8.6</v>
      </c>
      <c r="E5805" s="689">
        <v>8.6999999999999993</v>
      </c>
      <c r="F5805" s="689">
        <v>8.6999999999999993</v>
      </c>
      <c r="G5805" s="689">
        <v>8.8000000000000007</v>
      </c>
      <c r="H5805" s="689">
        <v>8.9</v>
      </c>
      <c r="I5805" s="693">
        <v>9</v>
      </c>
      <c r="J5805" s="689">
        <v>8.9</v>
      </c>
      <c r="K5805" s="689">
        <v>8.5</v>
      </c>
    </row>
    <row r="5806" spans="1:11">
      <c r="A5806" s="688" t="s">
        <v>24</v>
      </c>
      <c r="B5806" s="615">
        <v>9</v>
      </c>
      <c r="C5806" s="615">
        <v>9</v>
      </c>
      <c r="D5806" s="691">
        <v>8.8000000000000007</v>
      </c>
      <c r="E5806" s="691">
        <v>9.1</v>
      </c>
      <c r="F5806" s="691">
        <v>9.1</v>
      </c>
      <c r="G5806" s="691">
        <v>9.1999999999999993</v>
      </c>
      <c r="H5806" s="691">
        <v>9.3000000000000007</v>
      </c>
      <c r="I5806" s="691">
        <v>8.6</v>
      </c>
      <c r="J5806" s="691">
        <v>9.3000000000000007</v>
      </c>
      <c r="K5806" s="615">
        <v>9</v>
      </c>
    </row>
    <row r="5807" spans="1:11">
      <c r="A5807" s="688" t="s">
        <v>4059</v>
      </c>
      <c r="B5807" s="689">
        <v>8.6</v>
      </c>
      <c r="C5807" s="689">
        <v>8.9</v>
      </c>
      <c r="D5807" s="689">
        <v>8.5</v>
      </c>
      <c r="E5807" s="689">
        <v>8.8000000000000007</v>
      </c>
      <c r="F5807" s="689">
        <v>8.6999999999999993</v>
      </c>
      <c r="G5807" s="689">
        <v>8.6999999999999993</v>
      </c>
      <c r="H5807" s="690" t="s">
        <v>4060</v>
      </c>
      <c r="I5807" s="690" t="s">
        <v>4060</v>
      </c>
      <c r="J5807" s="690" t="s">
        <v>4060</v>
      </c>
      <c r="K5807" s="690" t="s">
        <v>4060</v>
      </c>
    </row>
    <row r="5808" spans="1:11">
      <c r="A5808" s="688" t="s">
        <v>2324</v>
      </c>
      <c r="B5808" s="691">
        <v>6.8</v>
      </c>
      <c r="C5808" s="691">
        <v>6.7</v>
      </c>
      <c r="D5808" s="691">
        <v>6.3</v>
      </c>
      <c r="E5808" s="691">
        <v>6.6</v>
      </c>
      <c r="F5808" s="691">
        <v>6.9</v>
      </c>
      <c r="G5808" s="691">
        <v>6.8</v>
      </c>
      <c r="H5808" s="691">
        <v>6.8</v>
      </c>
      <c r="I5808" s="691">
        <v>6.4</v>
      </c>
      <c r="J5808" s="691">
        <v>5.3</v>
      </c>
      <c r="K5808" s="692" t="s">
        <v>4060</v>
      </c>
    </row>
    <row r="5809" spans="1:11">
      <c r="A5809" s="688" t="s">
        <v>2322</v>
      </c>
      <c r="B5809" s="690" t="s">
        <v>4060</v>
      </c>
      <c r="C5809" s="690" t="s">
        <v>4060</v>
      </c>
      <c r="D5809" s="690" t="s">
        <v>4060</v>
      </c>
      <c r="E5809" s="690" t="s">
        <v>4060</v>
      </c>
      <c r="F5809" s="690" t="s">
        <v>4060</v>
      </c>
      <c r="G5809" s="690" t="s">
        <v>4060</v>
      </c>
      <c r="H5809" s="690" t="s">
        <v>4060</v>
      </c>
      <c r="I5809" s="690" t="s">
        <v>4060</v>
      </c>
      <c r="J5809" s="690" t="s">
        <v>4060</v>
      </c>
      <c r="K5809" s="690" t="s">
        <v>4060</v>
      </c>
    </row>
    <row r="5810" spans="1:11">
      <c r="A5810" s="688" t="s">
        <v>2328</v>
      </c>
      <c r="B5810" s="691">
        <v>5.8</v>
      </c>
      <c r="C5810" s="691">
        <v>5.8</v>
      </c>
      <c r="D5810" s="691">
        <v>5.6</v>
      </c>
      <c r="E5810" s="691">
        <v>5.8</v>
      </c>
      <c r="F5810" s="691">
        <v>5.9</v>
      </c>
      <c r="G5810" s="691">
        <v>6.2</v>
      </c>
      <c r="H5810" s="615">
        <v>6</v>
      </c>
      <c r="I5810" s="691">
        <v>5.4</v>
      </c>
      <c r="J5810" s="691">
        <v>5.2</v>
      </c>
      <c r="K5810" s="692" t="s">
        <v>4060</v>
      </c>
    </row>
    <row r="5811" spans="1:11">
      <c r="A5811" s="688" t="s">
        <v>2496</v>
      </c>
      <c r="B5811" s="690" t="s">
        <v>4060</v>
      </c>
      <c r="C5811" s="689">
        <v>7.8</v>
      </c>
      <c r="D5811" s="689">
        <v>6.5</v>
      </c>
      <c r="E5811" s="689">
        <v>5.7</v>
      </c>
      <c r="F5811" s="689">
        <v>5.8</v>
      </c>
      <c r="G5811" s="693">
        <v>6</v>
      </c>
      <c r="H5811" s="689">
        <v>5.9</v>
      </c>
      <c r="I5811" s="690" t="s">
        <v>4060</v>
      </c>
      <c r="J5811" s="690" t="s">
        <v>4060</v>
      </c>
      <c r="K5811" s="689">
        <v>5.5</v>
      </c>
    </row>
    <row r="5812" spans="1:11">
      <c r="A5812" s="688" t="s">
        <v>2269</v>
      </c>
      <c r="B5812" s="691">
        <v>6.5</v>
      </c>
      <c r="C5812" s="691">
        <v>6.5</v>
      </c>
      <c r="D5812" s="615">
        <v>6</v>
      </c>
      <c r="E5812" s="691">
        <v>6.2</v>
      </c>
      <c r="F5812" s="615">
        <v>6</v>
      </c>
      <c r="G5812" s="691">
        <v>6.3</v>
      </c>
      <c r="H5812" s="691">
        <v>6.5</v>
      </c>
      <c r="I5812" s="691">
        <v>5.7</v>
      </c>
      <c r="J5812" s="691">
        <v>3.3</v>
      </c>
      <c r="K5812" s="691">
        <v>6.3</v>
      </c>
    </row>
    <row r="5813" spans="1:11">
      <c r="A5813" s="688" t="s">
        <v>2349</v>
      </c>
      <c r="B5813" s="689">
        <v>6.3</v>
      </c>
      <c r="C5813" s="689">
        <v>6.3</v>
      </c>
      <c r="D5813" s="689">
        <v>6.2</v>
      </c>
      <c r="E5813" s="689">
        <v>6.5</v>
      </c>
      <c r="F5813" s="689">
        <v>6.3</v>
      </c>
      <c r="G5813" s="689">
        <v>6.6</v>
      </c>
      <c r="H5813" s="689">
        <v>6.8</v>
      </c>
      <c r="I5813" s="689">
        <v>6.2</v>
      </c>
      <c r="J5813" s="689">
        <v>5.4</v>
      </c>
      <c r="K5813" s="693">
        <v>6</v>
      </c>
    </row>
    <row r="5814" spans="1:11">
      <c r="A5814" s="688" t="s">
        <v>2355</v>
      </c>
      <c r="B5814" s="691">
        <v>8.3000000000000007</v>
      </c>
      <c r="C5814" s="615">
        <v>8</v>
      </c>
      <c r="D5814" s="691">
        <v>7.9</v>
      </c>
      <c r="E5814" s="691">
        <v>7.8</v>
      </c>
      <c r="F5814" s="691">
        <v>7.9</v>
      </c>
      <c r="G5814" s="691">
        <v>8.1</v>
      </c>
      <c r="H5814" s="691">
        <v>8.1</v>
      </c>
      <c r="I5814" s="692" t="s">
        <v>4060</v>
      </c>
      <c r="J5814" s="692" t="s">
        <v>4060</v>
      </c>
      <c r="K5814" s="692" t="s">
        <v>4060</v>
      </c>
    </row>
    <row r="5815" spans="1:11">
      <c r="A5815" s="688" t="s">
        <v>2357</v>
      </c>
      <c r="B5815" s="690" t="s">
        <v>4060</v>
      </c>
      <c r="C5815" s="689">
        <v>6.9</v>
      </c>
      <c r="D5815" s="689">
        <v>7.1</v>
      </c>
      <c r="E5815" s="689">
        <v>7.3</v>
      </c>
      <c r="F5815" s="689">
        <v>7.4</v>
      </c>
      <c r="G5815" s="693">
        <v>7</v>
      </c>
      <c r="H5815" s="689">
        <v>7.1</v>
      </c>
      <c r="I5815" s="690" t="s">
        <v>4060</v>
      </c>
      <c r="J5815" s="690" t="s">
        <v>4060</v>
      </c>
      <c r="K5815" s="690" t="s">
        <v>4060</v>
      </c>
    </row>
    <row r="5816" spans="1:11">
      <c r="A5816" s="688" t="s">
        <v>4070</v>
      </c>
      <c r="B5816" s="692" t="s">
        <v>4060</v>
      </c>
      <c r="C5816" s="692" t="s">
        <v>4060</v>
      </c>
      <c r="D5816" s="692" t="s">
        <v>4060</v>
      </c>
      <c r="E5816" s="691">
        <v>8.6999999999999993</v>
      </c>
      <c r="F5816" s="692" t="s">
        <v>4060</v>
      </c>
      <c r="G5816" s="692" t="s">
        <v>4060</v>
      </c>
      <c r="H5816" s="692" t="s">
        <v>4060</v>
      </c>
      <c r="I5816" s="692" t="s">
        <v>4060</v>
      </c>
      <c r="J5816" s="692" t="s">
        <v>4060</v>
      </c>
      <c r="K5816" s="692" t="s">
        <v>4060</v>
      </c>
    </row>
    <row r="5817" spans="1:11">
      <c r="A5817" s="688" t="s">
        <v>2491</v>
      </c>
      <c r="B5817" s="689">
        <v>6.9</v>
      </c>
      <c r="C5817" s="689">
        <v>7.1</v>
      </c>
      <c r="D5817" s="693">
        <v>7</v>
      </c>
      <c r="E5817" s="693">
        <v>7</v>
      </c>
      <c r="F5817" s="693">
        <v>7</v>
      </c>
      <c r="G5817" s="689">
        <v>7.1</v>
      </c>
      <c r="H5817" s="690" t="s">
        <v>4060</v>
      </c>
      <c r="I5817" s="690" t="s">
        <v>4060</v>
      </c>
      <c r="J5817" s="690" t="s">
        <v>4060</v>
      </c>
      <c r="K5817" s="690" t="s">
        <v>4060</v>
      </c>
    </row>
    <row r="5818" spans="1:11">
      <c r="A5818" s="688" t="s">
        <v>2343</v>
      </c>
      <c r="B5818" s="692" t="s">
        <v>4060</v>
      </c>
      <c r="C5818" s="692" t="s">
        <v>4060</v>
      </c>
      <c r="D5818" s="692" t="s">
        <v>4060</v>
      </c>
      <c r="E5818" s="692" t="s">
        <v>4060</v>
      </c>
      <c r="F5818" s="692" t="s">
        <v>4060</v>
      </c>
      <c r="G5818" s="692" t="s">
        <v>4060</v>
      </c>
      <c r="H5818" s="692" t="s">
        <v>4060</v>
      </c>
      <c r="I5818" s="692" t="s">
        <v>4060</v>
      </c>
      <c r="J5818" s="692" t="s">
        <v>4060</v>
      </c>
      <c r="K5818" s="692" t="s">
        <v>4060</v>
      </c>
    </row>
    <row r="5819" spans="1:11">
      <c r="A5819" s="688" t="s">
        <v>4071</v>
      </c>
      <c r="B5819" s="690" t="s">
        <v>4060</v>
      </c>
      <c r="C5819" s="690" t="s">
        <v>4060</v>
      </c>
      <c r="D5819" s="690" t="s">
        <v>4060</v>
      </c>
      <c r="E5819" s="690" t="s">
        <v>4060</v>
      </c>
      <c r="F5819" s="690" t="s">
        <v>4060</v>
      </c>
      <c r="G5819" s="690" t="s">
        <v>4060</v>
      </c>
      <c r="H5819" s="690" t="s">
        <v>4060</v>
      </c>
      <c r="I5819" s="690" t="s">
        <v>4060</v>
      </c>
      <c r="J5819" s="690" t="s">
        <v>4060</v>
      </c>
      <c r="K5819" s="690" t="s">
        <v>4060</v>
      </c>
    </row>
    <row r="5820" spans="1:11">
      <c r="A5820" s="688" t="s">
        <v>2489</v>
      </c>
      <c r="B5820" s="692" t="s">
        <v>4060</v>
      </c>
      <c r="C5820" s="692" t="s">
        <v>4060</v>
      </c>
      <c r="D5820" s="691">
        <v>6.7</v>
      </c>
      <c r="E5820" s="691">
        <v>6.7</v>
      </c>
      <c r="F5820" s="691">
        <v>6.8</v>
      </c>
      <c r="G5820" s="691">
        <v>6.8</v>
      </c>
      <c r="H5820" s="691">
        <v>7.2</v>
      </c>
      <c r="I5820" s="692" t="s">
        <v>4060</v>
      </c>
      <c r="J5820" s="692" t="s">
        <v>4060</v>
      </c>
      <c r="K5820" s="692" t="s">
        <v>4060</v>
      </c>
    </row>
    <row r="5821" spans="1:11">
      <c r="A5821" s="688" t="s">
        <v>2490</v>
      </c>
      <c r="B5821" s="689">
        <v>6.9</v>
      </c>
      <c r="C5821" s="689">
        <v>6.7</v>
      </c>
      <c r="D5821" s="689">
        <v>7.3</v>
      </c>
      <c r="E5821" s="690" t="s">
        <v>4060</v>
      </c>
      <c r="F5821" s="689">
        <v>7.5</v>
      </c>
      <c r="G5821" s="689">
        <v>7.4</v>
      </c>
      <c r="H5821" s="689">
        <v>8.1</v>
      </c>
      <c r="I5821" s="690" t="s">
        <v>4060</v>
      </c>
      <c r="J5821" s="690" t="s">
        <v>4060</v>
      </c>
      <c r="K5821" s="690" t="s">
        <v>4060</v>
      </c>
    </row>
    <row r="5823" spans="1:11">
      <c r="A5823" s="683" t="s">
        <v>4233</v>
      </c>
    </row>
    <row r="5824" spans="1:11">
      <c r="A5824" s="683" t="s">
        <v>4060</v>
      </c>
      <c r="B5824" s="682" t="s">
        <v>4234</v>
      </c>
    </row>
    <row r="5826" spans="1:11">
      <c r="A5826" s="682" t="s">
        <v>4248</v>
      </c>
    </row>
    <row r="5827" spans="1:11">
      <c r="A5827" s="682" t="s">
        <v>4210</v>
      </c>
      <c r="B5827" s="683" t="s">
        <v>4211</v>
      </c>
    </row>
    <row r="5828" spans="1:11">
      <c r="A5828" s="682" t="s">
        <v>4212</v>
      </c>
      <c r="B5828" s="682" t="s">
        <v>4213</v>
      </c>
    </row>
    <row r="5830" spans="1:11">
      <c r="A5830" s="683" t="s">
        <v>4214</v>
      </c>
      <c r="C5830" s="682" t="s">
        <v>4215</v>
      </c>
    </row>
    <row r="5831" spans="1:11">
      <c r="A5831" s="683" t="s">
        <v>4216</v>
      </c>
      <c r="C5831" s="682" t="s">
        <v>2967</v>
      </c>
    </row>
    <row r="5832" spans="1:11">
      <c r="A5832" s="683" t="s">
        <v>3893</v>
      </c>
      <c r="C5832" s="682" t="s">
        <v>4217</v>
      </c>
    </row>
    <row r="5833" spans="1:11">
      <c r="A5833" s="683" t="s">
        <v>4218</v>
      </c>
      <c r="C5833" s="682" t="s">
        <v>4316</v>
      </c>
    </row>
    <row r="5835" spans="1:11">
      <c r="A5835" s="684" t="s">
        <v>4220</v>
      </c>
      <c r="B5835" s="685" t="s">
        <v>4221</v>
      </c>
      <c r="C5835" s="685" t="s">
        <v>4222</v>
      </c>
      <c r="D5835" s="685" t="s">
        <v>4223</v>
      </c>
      <c r="E5835" s="685" t="s">
        <v>4224</v>
      </c>
      <c r="F5835" s="685" t="s">
        <v>4225</v>
      </c>
      <c r="G5835" s="685" t="s">
        <v>4226</v>
      </c>
      <c r="H5835" s="685" t="s">
        <v>4227</v>
      </c>
      <c r="I5835" s="685" t="s">
        <v>4228</v>
      </c>
      <c r="J5835" s="685" t="s">
        <v>4229</v>
      </c>
      <c r="K5835" s="685" t="s">
        <v>4230</v>
      </c>
    </row>
    <row r="5836" spans="1:11">
      <c r="A5836" s="686" t="s">
        <v>4231</v>
      </c>
      <c r="B5836" s="687" t="s">
        <v>4232</v>
      </c>
      <c r="C5836" s="687" t="s">
        <v>4232</v>
      </c>
      <c r="D5836" s="687" t="s">
        <v>4232</v>
      </c>
      <c r="E5836" s="687" t="s">
        <v>4232</v>
      </c>
      <c r="F5836" s="687" t="s">
        <v>4232</v>
      </c>
      <c r="G5836" s="687" t="s">
        <v>4232</v>
      </c>
      <c r="H5836" s="687" t="s">
        <v>4232</v>
      </c>
      <c r="I5836" s="687" t="s">
        <v>4232</v>
      </c>
      <c r="J5836" s="687" t="s">
        <v>4232</v>
      </c>
      <c r="K5836" s="687" t="s">
        <v>4232</v>
      </c>
    </row>
    <row r="5837" spans="1:11">
      <c r="A5837" s="688" t="s">
        <v>4064</v>
      </c>
      <c r="B5837" s="689">
        <v>8.1999999999999993</v>
      </c>
      <c r="C5837" s="693">
        <v>8</v>
      </c>
      <c r="D5837" s="689">
        <v>8.1</v>
      </c>
      <c r="E5837" s="693">
        <v>8</v>
      </c>
      <c r="F5837" s="689">
        <v>7.9</v>
      </c>
      <c r="G5837" s="693">
        <v>8</v>
      </c>
      <c r="H5837" s="689">
        <v>8.1999999999999993</v>
      </c>
      <c r="I5837" s="689">
        <v>7.7</v>
      </c>
      <c r="J5837" s="689">
        <v>7.8</v>
      </c>
      <c r="K5837" s="689">
        <v>7.8</v>
      </c>
    </row>
    <row r="5838" spans="1:11">
      <c r="A5838" s="688" t="s">
        <v>4065</v>
      </c>
      <c r="B5838" s="691">
        <v>8.1999999999999993</v>
      </c>
      <c r="C5838" s="691">
        <v>8.5</v>
      </c>
      <c r="D5838" s="691">
        <v>8.1</v>
      </c>
      <c r="E5838" s="691">
        <v>8.4</v>
      </c>
      <c r="F5838" s="691">
        <v>8.1999999999999993</v>
      </c>
      <c r="G5838" s="691">
        <v>8.3000000000000007</v>
      </c>
      <c r="H5838" s="692" t="s">
        <v>4060</v>
      </c>
      <c r="I5838" s="692" t="s">
        <v>4060</v>
      </c>
      <c r="J5838" s="692" t="s">
        <v>4060</v>
      </c>
      <c r="K5838" s="692" t="s">
        <v>4060</v>
      </c>
    </row>
    <row r="5839" spans="1:11">
      <c r="A5839" s="688" t="s">
        <v>4063</v>
      </c>
      <c r="B5839" s="689">
        <v>8.1999999999999993</v>
      </c>
      <c r="C5839" s="689">
        <v>8.5</v>
      </c>
      <c r="D5839" s="689">
        <v>8.1</v>
      </c>
      <c r="E5839" s="689">
        <v>8.4</v>
      </c>
      <c r="F5839" s="689">
        <v>8.1999999999999993</v>
      </c>
      <c r="G5839" s="689">
        <v>8.3000000000000007</v>
      </c>
      <c r="H5839" s="690" t="s">
        <v>4060</v>
      </c>
      <c r="I5839" s="690" t="s">
        <v>4060</v>
      </c>
      <c r="J5839" s="690" t="s">
        <v>4060</v>
      </c>
      <c r="K5839" s="690" t="s">
        <v>4060</v>
      </c>
    </row>
    <row r="5840" spans="1:11">
      <c r="A5840" s="688" t="s">
        <v>4069</v>
      </c>
      <c r="B5840" s="692" t="s">
        <v>4060</v>
      </c>
      <c r="C5840" s="691">
        <v>8.1999999999999993</v>
      </c>
      <c r="D5840" s="615">
        <v>8</v>
      </c>
      <c r="E5840" s="691">
        <v>8.1999999999999993</v>
      </c>
      <c r="F5840" s="691">
        <v>8.1</v>
      </c>
      <c r="G5840" s="691">
        <v>8.1999999999999993</v>
      </c>
      <c r="H5840" s="691">
        <v>8.4</v>
      </c>
      <c r="I5840" s="691">
        <v>7.9</v>
      </c>
      <c r="J5840" s="691">
        <v>8.1</v>
      </c>
      <c r="K5840" s="615">
        <v>8</v>
      </c>
    </row>
    <row r="5841" spans="1:11">
      <c r="A5841" s="688" t="s">
        <v>4068</v>
      </c>
      <c r="B5841" s="689">
        <v>8.5</v>
      </c>
      <c r="C5841" s="690" t="s">
        <v>4060</v>
      </c>
      <c r="D5841" s="690" t="s">
        <v>4060</v>
      </c>
      <c r="E5841" s="690" t="s">
        <v>4060</v>
      </c>
      <c r="F5841" s="690" t="s">
        <v>4060</v>
      </c>
      <c r="G5841" s="690" t="s">
        <v>4060</v>
      </c>
      <c r="H5841" s="690" t="s">
        <v>4060</v>
      </c>
      <c r="I5841" s="690" t="s">
        <v>4060</v>
      </c>
      <c r="J5841" s="690" t="s">
        <v>4060</v>
      </c>
      <c r="K5841" s="690" t="s">
        <v>4060</v>
      </c>
    </row>
    <row r="5842" spans="1:11">
      <c r="A5842" s="688" t="s">
        <v>0</v>
      </c>
      <c r="B5842" s="691">
        <v>8.1</v>
      </c>
      <c r="C5842" s="615">
        <v>8</v>
      </c>
      <c r="D5842" s="691">
        <v>7.8</v>
      </c>
      <c r="E5842" s="691">
        <v>8.1</v>
      </c>
      <c r="F5842" s="691">
        <v>8.1</v>
      </c>
      <c r="G5842" s="691">
        <v>8.1</v>
      </c>
      <c r="H5842" s="691">
        <v>8.3000000000000007</v>
      </c>
      <c r="I5842" s="691">
        <v>7.5</v>
      </c>
      <c r="J5842" s="691">
        <v>8.4</v>
      </c>
      <c r="K5842" s="691">
        <v>8.1999999999999993</v>
      </c>
    </row>
    <row r="5843" spans="1:11">
      <c r="A5843" s="688" t="s">
        <v>1</v>
      </c>
      <c r="B5843" s="689">
        <v>6.3</v>
      </c>
      <c r="C5843" s="689">
        <v>5.9</v>
      </c>
      <c r="D5843" s="689">
        <v>5.8</v>
      </c>
      <c r="E5843" s="693">
        <v>6</v>
      </c>
      <c r="F5843" s="689">
        <v>5.9</v>
      </c>
      <c r="G5843" s="693">
        <v>6</v>
      </c>
      <c r="H5843" s="689">
        <v>6.1</v>
      </c>
      <c r="I5843" s="689">
        <v>5.7</v>
      </c>
      <c r="J5843" s="689">
        <v>5.2</v>
      </c>
      <c r="K5843" s="689">
        <v>5.8</v>
      </c>
    </row>
    <row r="5844" spans="1:11">
      <c r="A5844" s="688" t="s">
        <v>2240</v>
      </c>
      <c r="B5844" s="615">
        <v>7</v>
      </c>
      <c r="C5844" s="615">
        <v>7</v>
      </c>
      <c r="D5844" s="691">
        <v>6.8</v>
      </c>
      <c r="E5844" s="691">
        <v>7.1</v>
      </c>
      <c r="F5844" s="615">
        <v>7</v>
      </c>
      <c r="G5844" s="691">
        <v>7.1</v>
      </c>
      <c r="H5844" s="691">
        <v>7.2</v>
      </c>
      <c r="I5844" s="691">
        <v>6.5</v>
      </c>
      <c r="J5844" s="691">
        <v>6.5</v>
      </c>
      <c r="K5844" s="615">
        <v>7</v>
      </c>
    </row>
    <row r="5845" spans="1:11">
      <c r="A5845" s="688" t="s">
        <v>2</v>
      </c>
      <c r="B5845" s="689">
        <v>7.7</v>
      </c>
      <c r="C5845" s="689">
        <v>7.8</v>
      </c>
      <c r="D5845" s="689">
        <v>7.7</v>
      </c>
      <c r="E5845" s="689">
        <v>7.8</v>
      </c>
      <c r="F5845" s="689">
        <v>7.8</v>
      </c>
      <c r="G5845" s="689">
        <v>7.7</v>
      </c>
      <c r="H5845" s="689">
        <v>7.9</v>
      </c>
      <c r="I5845" s="689">
        <v>7.9</v>
      </c>
      <c r="J5845" s="689">
        <v>7.8</v>
      </c>
      <c r="K5845" s="689">
        <v>7.7</v>
      </c>
    </row>
    <row r="5846" spans="1:11">
      <c r="A5846" s="688" t="s">
        <v>3</v>
      </c>
      <c r="B5846" s="691">
        <v>7.8</v>
      </c>
      <c r="C5846" s="691">
        <v>7.8</v>
      </c>
      <c r="D5846" s="691">
        <v>7.5</v>
      </c>
      <c r="E5846" s="691">
        <v>7.8</v>
      </c>
      <c r="F5846" s="691">
        <v>7.7</v>
      </c>
      <c r="G5846" s="691">
        <v>7.7</v>
      </c>
      <c r="H5846" s="691">
        <v>7.9</v>
      </c>
      <c r="I5846" s="691">
        <v>7.8</v>
      </c>
      <c r="J5846" s="691">
        <v>7.7</v>
      </c>
      <c r="K5846" s="691">
        <v>7.5</v>
      </c>
    </row>
    <row r="5847" spans="1:11">
      <c r="A5847" s="688" t="s">
        <v>4061</v>
      </c>
      <c r="B5847" s="689">
        <v>7.8</v>
      </c>
      <c r="C5847" s="689">
        <v>7.8</v>
      </c>
      <c r="D5847" s="689">
        <v>7.5</v>
      </c>
      <c r="E5847" s="689">
        <v>7.8</v>
      </c>
      <c r="F5847" s="689">
        <v>7.7</v>
      </c>
      <c r="G5847" s="689">
        <v>7.7</v>
      </c>
      <c r="H5847" s="689">
        <v>7.9</v>
      </c>
      <c r="I5847" s="689">
        <v>7.8</v>
      </c>
      <c r="J5847" s="689">
        <v>7.7</v>
      </c>
      <c r="K5847" s="689">
        <v>7.5</v>
      </c>
    </row>
    <row r="5848" spans="1:11">
      <c r="A5848" s="688" t="s">
        <v>4</v>
      </c>
      <c r="B5848" s="691">
        <v>7.9</v>
      </c>
      <c r="C5848" s="691">
        <v>7.4</v>
      </c>
      <c r="D5848" s="691">
        <v>7.6</v>
      </c>
      <c r="E5848" s="691">
        <v>7.6</v>
      </c>
      <c r="F5848" s="691">
        <v>7.6</v>
      </c>
      <c r="G5848" s="691">
        <v>7.7</v>
      </c>
      <c r="H5848" s="691">
        <v>7.9</v>
      </c>
      <c r="I5848" s="691">
        <v>7.9</v>
      </c>
      <c r="J5848" s="691">
        <v>7.2</v>
      </c>
      <c r="K5848" s="691">
        <v>7.4</v>
      </c>
    </row>
    <row r="5849" spans="1:11">
      <c r="A5849" s="688" t="s">
        <v>8</v>
      </c>
      <c r="B5849" s="689">
        <v>7.6</v>
      </c>
      <c r="C5849" s="689">
        <v>7.7</v>
      </c>
      <c r="D5849" s="689">
        <v>7.6</v>
      </c>
      <c r="E5849" s="689">
        <v>7.7</v>
      </c>
      <c r="F5849" s="689">
        <v>7.9</v>
      </c>
      <c r="G5849" s="693">
        <v>8</v>
      </c>
      <c r="H5849" s="689">
        <v>8.1</v>
      </c>
      <c r="I5849" s="693">
        <v>8</v>
      </c>
      <c r="J5849" s="689">
        <v>7.9</v>
      </c>
      <c r="K5849" s="693">
        <v>8</v>
      </c>
    </row>
    <row r="5850" spans="1:11">
      <c r="A5850" s="688" t="s">
        <v>7</v>
      </c>
      <c r="B5850" s="691">
        <v>8.3000000000000007</v>
      </c>
      <c r="C5850" s="691">
        <v>7.5</v>
      </c>
      <c r="D5850" s="691">
        <v>7.3</v>
      </c>
      <c r="E5850" s="691">
        <v>7.6</v>
      </c>
      <c r="F5850" s="691">
        <v>7.5</v>
      </c>
      <c r="G5850" s="691">
        <v>7.9</v>
      </c>
      <c r="H5850" s="691">
        <v>7.8</v>
      </c>
      <c r="I5850" s="691">
        <v>7.8</v>
      </c>
      <c r="J5850" s="691">
        <v>7.5</v>
      </c>
      <c r="K5850" s="691">
        <v>7.5</v>
      </c>
    </row>
    <row r="5851" spans="1:11">
      <c r="A5851" s="688" t="s">
        <v>27</v>
      </c>
      <c r="B5851" s="689">
        <v>9.1999999999999993</v>
      </c>
      <c r="C5851" s="689">
        <v>8.6</v>
      </c>
      <c r="D5851" s="689">
        <v>8.3000000000000007</v>
      </c>
      <c r="E5851" s="689">
        <v>8.6</v>
      </c>
      <c r="F5851" s="689">
        <v>8.5</v>
      </c>
      <c r="G5851" s="689">
        <v>8.6</v>
      </c>
      <c r="H5851" s="689">
        <v>8.9</v>
      </c>
      <c r="I5851" s="693">
        <v>8</v>
      </c>
      <c r="J5851" s="689">
        <v>8.6999999999999993</v>
      </c>
      <c r="K5851" s="689">
        <v>8.5</v>
      </c>
    </row>
    <row r="5852" spans="1:11">
      <c r="A5852" s="688" t="s">
        <v>6</v>
      </c>
      <c r="B5852" s="691">
        <v>9.4</v>
      </c>
      <c r="C5852" s="615">
        <v>9</v>
      </c>
      <c r="D5852" s="691">
        <v>8.8000000000000007</v>
      </c>
      <c r="E5852" s="615">
        <v>9</v>
      </c>
      <c r="F5852" s="615">
        <v>9</v>
      </c>
      <c r="G5852" s="691">
        <v>9.1</v>
      </c>
      <c r="H5852" s="691">
        <v>9.1999999999999993</v>
      </c>
      <c r="I5852" s="691">
        <v>8.6999999999999993</v>
      </c>
      <c r="J5852" s="691">
        <v>8.9</v>
      </c>
      <c r="K5852" s="691">
        <v>8.9</v>
      </c>
    </row>
    <row r="5853" spans="1:11">
      <c r="A5853" s="688" t="s">
        <v>4058</v>
      </c>
      <c r="B5853" s="690" t="s">
        <v>4060</v>
      </c>
      <c r="C5853" s="690" t="s">
        <v>4060</v>
      </c>
      <c r="D5853" s="690" t="s">
        <v>4060</v>
      </c>
      <c r="E5853" s="690" t="s">
        <v>4060</v>
      </c>
      <c r="F5853" s="690" t="s">
        <v>4060</v>
      </c>
      <c r="G5853" s="690" t="s">
        <v>4060</v>
      </c>
      <c r="H5853" s="690" t="s">
        <v>4060</v>
      </c>
      <c r="I5853" s="690" t="s">
        <v>4060</v>
      </c>
      <c r="J5853" s="690" t="s">
        <v>4060</v>
      </c>
      <c r="K5853" s="690" t="s">
        <v>4060</v>
      </c>
    </row>
    <row r="5854" spans="1:11">
      <c r="A5854" s="688" t="s">
        <v>11</v>
      </c>
      <c r="B5854" s="691">
        <v>6.7</v>
      </c>
      <c r="C5854" s="691">
        <v>6.5</v>
      </c>
      <c r="D5854" s="691">
        <v>6.2</v>
      </c>
      <c r="E5854" s="691">
        <v>6.5</v>
      </c>
      <c r="F5854" s="691">
        <v>6.4</v>
      </c>
      <c r="G5854" s="691">
        <v>6.5</v>
      </c>
      <c r="H5854" s="691">
        <v>6.6</v>
      </c>
      <c r="I5854" s="691">
        <v>6.3</v>
      </c>
      <c r="J5854" s="691">
        <v>5.9</v>
      </c>
      <c r="K5854" s="691">
        <v>6.2</v>
      </c>
    </row>
    <row r="5855" spans="1:11">
      <c r="A5855" s="688" t="s">
        <v>10</v>
      </c>
      <c r="B5855" s="689">
        <v>8.6999999999999993</v>
      </c>
      <c r="C5855" s="689">
        <v>8.3000000000000007</v>
      </c>
      <c r="D5855" s="693">
        <v>8</v>
      </c>
      <c r="E5855" s="689">
        <v>8.4</v>
      </c>
      <c r="F5855" s="689">
        <v>8.1</v>
      </c>
      <c r="G5855" s="689">
        <v>8.4</v>
      </c>
      <c r="H5855" s="689">
        <v>8.5</v>
      </c>
      <c r="I5855" s="689">
        <v>7.8</v>
      </c>
      <c r="J5855" s="689">
        <v>8.1999999999999993</v>
      </c>
      <c r="K5855" s="693">
        <v>8</v>
      </c>
    </row>
    <row r="5856" spans="1:11">
      <c r="A5856" s="688" t="s">
        <v>30</v>
      </c>
      <c r="B5856" s="691">
        <v>7.8</v>
      </c>
      <c r="C5856" s="691">
        <v>7.4</v>
      </c>
      <c r="D5856" s="615">
        <v>7</v>
      </c>
      <c r="E5856" s="691">
        <v>7.7</v>
      </c>
      <c r="F5856" s="691">
        <v>7.3</v>
      </c>
      <c r="G5856" s="691">
        <v>7.9</v>
      </c>
      <c r="H5856" s="691">
        <v>7.6</v>
      </c>
      <c r="I5856" s="691">
        <v>7.7</v>
      </c>
      <c r="J5856" s="691">
        <v>7.5</v>
      </c>
      <c r="K5856" s="691">
        <v>7.4</v>
      </c>
    </row>
    <row r="5857" spans="1:11">
      <c r="A5857" s="688" t="s">
        <v>12</v>
      </c>
      <c r="B5857" s="689">
        <v>7.1</v>
      </c>
      <c r="C5857" s="689">
        <v>6.8</v>
      </c>
      <c r="D5857" s="689">
        <v>6.8</v>
      </c>
      <c r="E5857" s="689">
        <v>6.8</v>
      </c>
      <c r="F5857" s="689">
        <v>6.9</v>
      </c>
      <c r="G5857" s="689">
        <v>6.9</v>
      </c>
      <c r="H5857" s="689">
        <v>7.1</v>
      </c>
      <c r="I5857" s="693">
        <v>7</v>
      </c>
      <c r="J5857" s="689">
        <v>6.2</v>
      </c>
      <c r="K5857" s="689">
        <v>6.8</v>
      </c>
    </row>
    <row r="5858" spans="1:11">
      <c r="A5858" s="688" t="s">
        <v>14</v>
      </c>
      <c r="B5858" s="691">
        <v>7.1</v>
      </c>
      <c r="C5858" s="691">
        <v>6.7</v>
      </c>
      <c r="D5858" s="691">
        <v>6.5</v>
      </c>
      <c r="E5858" s="691">
        <v>6.7</v>
      </c>
      <c r="F5858" s="691">
        <v>6.6</v>
      </c>
      <c r="G5858" s="691">
        <v>6.7</v>
      </c>
      <c r="H5858" s="691">
        <v>6.9</v>
      </c>
      <c r="I5858" s="691">
        <v>6.6</v>
      </c>
      <c r="J5858" s="691">
        <v>6.3</v>
      </c>
      <c r="K5858" s="691">
        <v>6.7</v>
      </c>
    </row>
    <row r="5859" spans="1:11">
      <c r="A5859" s="688" t="s">
        <v>15</v>
      </c>
      <c r="B5859" s="689">
        <v>8.6</v>
      </c>
      <c r="C5859" s="689">
        <v>8.3000000000000007</v>
      </c>
      <c r="D5859" s="689">
        <v>8.1</v>
      </c>
      <c r="E5859" s="689">
        <v>8.1</v>
      </c>
      <c r="F5859" s="689">
        <v>8.1999999999999993</v>
      </c>
      <c r="G5859" s="689">
        <v>8.1</v>
      </c>
      <c r="H5859" s="689">
        <v>8.3000000000000007</v>
      </c>
      <c r="I5859" s="693">
        <v>8</v>
      </c>
      <c r="J5859" s="689">
        <v>8.1999999999999993</v>
      </c>
      <c r="K5859" s="689">
        <v>8.4</v>
      </c>
    </row>
    <row r="5860" spans="1:11">
      <c r="A5860" s="688" t="s">
        <v>29</v>
      </c>
      <c r="B5860" s="691">
        <v>6.8</v>
      </c>
      <c r="C5860" s="691">
        <v>6.7</v>
      </c>
      <c r="D5860" s="691">
        <v>6.5</v>
      </c>
      <c r="E5860" s="691">
        <v>6.8</v>
      </c>
      <c r="F5860" s="691">
        <v>6.5</v>
      </c>
      <c r="G5860" s="691">
        <v>6.6</v>
      </c>
      <c r="H5860" s="691">
        <v>6.7</v>
      </c>
      <c r="I5860" s="691">
        <v>6.4</v>
      </c>
      <c r="J5860" s="691">
        <v>6.2</v>
      </c>
      <c r="K5860" s="691">
        <v>6.5</v>
      </c>
    </row>
    <row r="5861" spans="1:11">
      <c r="A5861" s="688" t="s">
        <v>16</v>
      </c>
      <c r="B5861" s="693">
        <v>8</v>
      </c>
      <c r="C5861" s="689">
        <v>7.9</v>
      </c>
      <c r="D5861" s="689">
        <v>7.5</v>
      </c>
      <c r="E5861" s="693">
        <v>8</v>
      </c>
      <c r="F5861" s="689">
        <v>7.8</v>
      </c>
      <c r="G5861" s="693">
        <v>8</v>
      </c>
      <c r="H5861" s="689">
        <v>8.1</v>
      </c>
      <c r="I5861" s="689">
        <v>7.8</v>
      </c>
      <c r="J5861" s="689">
        <v>7.8</v>
      </c>
      <c r="K5861" s="689">
        <v>7.9</v>
      </c>
    </row>
    <row r="5862" spans="1:11">
      <c r="A5862" s="688" t="s">
        <v>17</v>
      </c>
      <c r="B5862" s="615">
        <v>8</v>
      </c>
      <c r="C5862" s="691">
        <v>7.9</v>
      </c>
      <c r="D5862" s="691">
        <v>7.7</v>
      </c>
      <c r="E5862" s="691">
        <v>7.7</v>
      </c>
      <c r="F5862" s="691">
        <v>7.7</v>
      </c>
      <c r="G5862" s="691">
        <v>7.7</v>
      </c>
      <c r="H5862" s="691">
        <v>7.9</v>
      </c>
      <c r="I5862" s="691">
        <v>7.4</v>
      </c>
      <c r="J5862" s="691">
        <v>7.6</v>
      </c>
      <c r="K5862" s="691">
        <v>7.6</v>
      </c>
    </row>
    <row r="5863" spans="1:11">
      <c r="A5863" s="688" t="s">
        <v>19</v>
      </c>
      <c r="B5863" s="689">
        <v>8.1</v>
      </c>
      <c r="C5863" s="693">
        <v>8</v>
      </c>
      <c r="D5863" s="689">
        <v>7.7</v>
      </c>
      <c r="E5863" s="693">
        <v>8</v>
      </c>
      <c r="F5863" s="689">
        <v>7.9</v>
      </c>
      <c r="G5863" s="693">
        <v>8</v>
      </c>
      <c r="H5863" s="693">
        <v>8</v>
      </c>
      <c r="I5863" s="689">
        <v>7.7</v>
      </c>
      <c r="J5863" s="689">
        <v>7.8</v>
      </c>
      <c r="K5863" s="689">
        <v>7.7</v>
      </c>
    </row>
    <row r="5864" spans="1:11">
      <c r="A5864" s="688" t="s">
        <v>20</v>
      </c>
      <c r="B5864" s="691">
        <v>7.7</v>
      </c>
      <c r="C5864" s="691">
        <v>7.6</v>
      </c>
      <c r="D5864" s="691">
        <v>7.4</v>
      </c>
      <c r="E5864" s="691">
        <v>7.7</v>
      </c>
      <c r="F5864" s="691">
        <v>7.5</v>
      </c>
      <c r="G5864" s="691">
        <v>7.5</v>
      </c>
      <c r="H5864" s="691">
        <v>7.8</v>
      </c>
      <c r="I5864" s="615">
        <v>7</v>
      </c>
      <c r="J5864" s="691">
        <v>6.7</v>
      </c>
      <c r="K5864" s="691">
        <v>7.2</v>
      </c>
    </row>
    <row r="5865" spans="1:11">
      <c r="A5865" s="688" t="s">
        <v>21</v>
      </c>
      <c r="B5865" s="689">
        <v>7.8</v>
      </c>
      <c r="C5865" s="693">
        <v>8</v>
      </c>
      <c r="D5865" s="689">
        <v>7.9</v>
      </c>
      <c r="E5865" s="693">
        <v>8</v>
      </c>
      <c r="F5865" s="689">
        <v>8.1</v>
      </c>
      <c r="G5865" s="689">
        <v>8.1</v>
      </c>
      <c r="H5865" s="689">
        <v>8.3000000000000007</v>
      </c>
      <c r="I5865" s="689">
        <v>7.9</v>
      </c>
      <c r="J5865" s="689">
        <v>7.9</v>
      </c>
      <c r="K5865" s="693">
        <v>8</v>
      </c>
    </row>
    <row r="5866" spans="1:11">
      <c r="A5866" s="688" t="s">
        <v>22</v>
      </c>
      <c r="B5866" s="691">
        <v>6.7</v>
      </c>
      <c r="C5866" s="691">
        <v>6.5</v>
      </c>
      <c r="D5866" s="691">
        <v>6.4</v>
      </c>
      <c r="E5866" s="691">
        <v>6.7</v>
      </c>
      <c r="F5866" s="691">
        <v>6.7</v>
      </c>
      <c r="G5866" s="691">
        <v>6.8</v>
      </c>
      <c r="H5866" s="691">
        <v>7.1</v>
      </c>
      <c r="I5866" s="691">
        <v>6.5</v>
      </c>
      <c r="J5866" s="691">
        <v>5.8</v>
      </c>
      <c r="K5866" s="691">
        <v>6.2</v>
      </c>
    </row>
    <row r="5867" spans="1:11">
      <c r="A5867" s="688" t="s">
        <v>26</v>
      </c>
      <c r="B5867" s="689">
        <v>8.1</v>
      </c>
      <c r="C5867" s="689">
        <v>7.7</v>
      </c>
      <c r="D5867" s="689">
        <v>7.6</v>
      </c>
      <c r="E5867" s="689">
        <v>7.8</v>
      </c>
      <c r="F5867" s="689">
        <v>7.7</v>
      </c>
      <c r="G5867" s="689">
        <v>7.9</v>
      </c>
      <c r="H5867" s="693">
        <v>8</v>
      </c>
      <c r="I5867" s="689">
        <v>7.2</v>
      </c>
      <c r="J5867" s="689">
        <v>7.6</v>
      </c>
      <c r="K5867" s="689">
        <v>7.8</v>
      </c>
    </row>
    <row r="5868" spans="1:11">
      <c r="A5868" s="688" t="s">
        <v>25</v>
      </c>
      <c r="B5868" s="691">
        <v>6.8</v>
      </c>
      <c r="C5868" s="691">
        <v>6.9</v>
      </c>
      <c r="D5868" s="691">
        <v>6.7</v>
      </c>
      <c r="E5868" s="691">
        <v>6.9</v>
      </c>
      <c r="F5868" s="691">
        <v>6.8</v>
      </c>
      <c r="G5868" s="615">
        <v>7</v>
      </c>
      <c r="H5868" s="691">
        <v>7.4</v>
      </c>
      <c r="I5868" s="691">
        <v>6.9</v>
      </c>
      <c r="J5868" s="691">
        <v>6.1</v>
      </c>
      <c r="K5868" s="691">
        <v>6.6</v>
      </c>
    </row>
    <row r="5869" spans="1:11">
      <c r="A5869" s="688" t="s">
        <v>5</v>
      </c>
      <c r="B5869" s="689">
        <v>8.3000000000000007</v>
      </c>
      <c r="C5869" s="689">
        <v>7.9</v>
      </c>
      <c r="D5869" s="689">
        <v>7.9</v>
      </c>
      <c r="E5869" s="689">
        <v>7.9</v>
      </c>
      <c r="F5869" s="689">
        <v>8.1</v>
      </c>
      <c r="G5869" s="689">
        <v>8.1</v>
      </c>
      <c r="H5869" s="689">
        <v>8.3000000000000007</v>
      </c>
      <c r="I5869" s="689">
        <v>8.3000000000000007</v>
      </c>
      <c r="J5869" s="689">
        <v>8.1999999999999993</v>
      </c>
      <c r="K5869" s="689">
        <v>7.7</v>
      </c>
    </row>
    <row r="5870" spans="1:11">
      <c r="A5870" s="688" t="s">
        <v>23</v>
      </c>
      <c r="B5870" s="615">
        <v>8</v>
      </c>
      <c r="C5870" s="615">
        <v>8</v>
      </c>
      <c r="D5870" s="691">
        <v>7.9</v>
      </c>
      <c r="E5870" s="615">
        <v>8</v>
      </c>
      <c r="F5870" s="691">
        <v>7.9</v>
      </c>
      <c r="G5870" s="615">
        <v>8</v>
      </c>
      <c r="H5870" s="691">
        <v>8.3000000000000007</v>
      </c>
      <c r="I5870" s="691">
        <v>7.8</v>
      </c>
      <c r="J5870" s="691">
        <v>8.3000000000000007</v>
      </c>
      <c r="K5870" s="691">
        <v>8.1999999999999993</v>
      </c>
    </row>
    <row r="5871" spans="1:11">
      <c r="A5871" s="688" t="s">
        <v>4067</v>
      </c>
      <c r="B5871" s="689">
        <v>8.1999999999999993</v>
      </c>
      <c r="C5871" s="689">
        <v>8.4</v>
      </c>
      <c r="D5871" s="689">
        <v>8.1</v>
      </c>
      <c r="E5871" s="689">
        <v>8.4</v>
      </c>
      <c r="F5871" s="689">
        <v>8.1999999999999993</v>
      </c>
      <c r="G5871" s="689">
        <v>8.3000000000000007</v>
      </c>
      <c r="H5871" s="690" t="s">
        <v>4060</v>
      </c>
      <c r="I5871" s="690" t="s">
        <v>4060</v>
      </c>
      <c r="J5871" s="690" t="s">
        <v>4060</v>
      </c>
      <c r="K5871" s="690" t="s">
        <v>4060</v>
      </c>
    </row>
    <row r="5872" spans="1:11">
      <c r="A5872" s="688" t="s">
        <v>4066</v>
      </c>
      <c r="B5872" s="691">
        <v>8.1999999999999993</v>
      </c>
      <c r="C5872" s="691">
        <v>8.5</v>
      </c>
      <c r="D5872" s="691">
        <v>8.1</v>
      </c>
      <c r="E5872" s="691">
        <v>8.4</v>
      </c>
      <c r="F5872" s="691">
        <v>8.1999999999999993</v>
      </c>
      <c r="G5872" s="691">
        <v>8.3000000000000007</v>
      </c>
      <c r="H5872" s="692" t="s">
        <v>4060</v>
      </c>
      <c r="I5872" s="692" t="s">
        <v>4060</v>
      </c>
      <c r="J5872" s="692" t="s">
        <v>4060</v>
      </c>
      <c r="K5872" s="692" t="s">
        <v>4060</v>
      </c>
    </row>
    <row r="5873" spans="1:11">
      <c r="A5873" s="688" t="s">
        <v>4062</v>
      </c>
      <c r="B5873" s="689">
        <v>8.3000000000000007</v>
      </c>
      <c r="C5873" s="689">
        <v>8.1999999999999993</v>
      </c>
      <c r="D5873" s="689">
        <v>8.1</v>
      </c>
      <c r="E5873" s="689">
        <v>8.3000000000000007</v>
      </c>
      <c r="F5873" s="689">
        <v>8.3000000000000007</v>
      </c>
      <c r="G5873" s="689">
        <v>8.4</v>
      </c>
      <c r="H5873" s="689">
        <v>8.5</v>
      </c>
      <c r="I5873" s="689">
        <v>8.1</v>
      </c>
      <c r="J5873" s="689">
        <v>8.5</v>
      </c>
      <c r="K5873" s="689">
        <v>8.1999999999999993</v>
      </c>
    </row>
    <row r="5874" spans="1:11">
      <c r="A5874" s="688" t="s">
        <v>9</v>
      </c>
      <c r="B5874" s="691">
        <v>8.1</v>
      </c>
      <c r="C5874" s="691">
        <v>8.1999999999999993</v>
      </c>
      <c r="D5874" s="691">
        <v>7.8</v>
      </c>
      <c r="E5874" s="691">
        <v>7.7</v>
      </c>
      <c r="F5874" s="691">
        <v>7.9</v>
      </c>
      <c r="G5874" s="615">
        <v>8</v>
      </c>
      <c r="H5874" s="615">
        <v>8</v>
      </c>
      <c r="I5874" s="691">
        <v>8.1999999999999993</v>
      </c>
      <c r="J5874" s="691">
        <v>8.4</v>
      </c>
      <c r="K5874" s="691">
        <v>7.7</v>
      </c>
    </row>
    <row r="5875" spans="1:11">
      <c r="A5875" s="688" t="s">
        <v>13</v>
      </c>
      <c r="B5875" s="689">
        <v>8.3000000000000007</v>
      </c>
      <c r="C5875" s="689">
        <v>7.5</v>
      </c>
      <c r="D5875" s="689">
        <v>7.6</v>
      </c>
      <c r="E5875" s="689">
        <v>8.1</v>
      </c>
      <c r="F5875" s="689">
        <v>8.9</v>
      </c>
      <c r="G5875" s="689">
        <v>8.1</v>
      </c>
      <c r="H5875" s="689">
        <v>8.1999999999999993</v>
      </c>
      <c r="I5875" s="689">
        <v>7.5</v>
      </c>
      <c r="J5875" s="689">
        <v>8.1999999999999993</v>
      </c>
      <c r="K5875" s="689">
        <v>8.3000000000000007</v>
      </c>
    </row>
    <row r="5876" spans="1:11">
      <c r="A5876" s="688" t="s">
        <v>18</v>
      </c>
      <c r="B5876" s="691">
        <v>8.1</v>
      </c>
      <c r="C5876" s="615">
        <v>8</v>
      </c>
      <c r="D5876" s="615">
        <v>8</v>
      </c>
      <c r="E5876" s="691">
        <v>8.1</v>
      </c>
      <c r="F5876" s="691">
        <v>8.1</v>
      </c>
      <c r="G5876" s="691">
        <v>8.1999999999999993</v>
      </c>
      <c r="H5876" s="691">
        <v>8.3000000000000007</v>
      </c>
      <c r="I5876" s="691">
        <v>8.4</v>
      </c>
      <c r="J5876" s="691">
        <v>8.3000000000000007</v>
      </c>
      <c r="K5876" s="691">
        <v>7.9</v>
      </c>
    </row>
    <row r="5877" spans="1:11">
      <c r="A5877" s="688" t="s">
        <v>24</v>
      </c>
      <c r="B5877" s="689">
        <v>8.4</v>
      </c>
      <c r="C5877" s="689">
        <v>8.4</v>
      </c>
      <c r="D5877" s="689">
        <v>8.1999999999999993</v>
      </c>
      <c r="E5877" s="689">
        <v>8.5</v>
      </c>
      <c r="F5877" s="689">
        <v>8.4</v>
      </c>
      <c r="G5877" s="689">
        <v>8.6</v>
      </c>
      <c r="H5877" s="689">
        <v>8.6</v>
      </c>
      <c r="I5877" s="693">
        <v>8</v>
      </c>
      <c r="J5877" s="689">
        <v>8.6</v>
      </c>
      <c r="K5877" s="689">
        <v>8.4</v>
      </c>
    </row>
    <row r="5878" spans="1:11">
      <c r="A5878" s="688" t="s">
        <v>4059</v>
      </c>
      <c r="B5878" s="691">
        <v>8.1</v>
      </c>
      <c r="C5878" s="691">
        <v>8.4</v>
      </c>
      <c r="D5878" s="691">
        <v>7.9</v>
      </c>
      <c r="E5878" s="691">
        <v>8.1999999999999993</v>
      </c>
      <c r="F5878" s="691">
        <v>8.1</v>
      </c>
      <c r="G5878" s="691">
        <v>8.1999999999999993</v>
      </c>
      <c r="H5878" s="692" t="s">
        <v>4060</v>
      </c>
      <c r="I5878" s="692" t="s">
        <v>4060</v>
      </c>
      <c r="J5878" s="692" t="s">
        <v>4060</v>
      </c>
      <c r="K5878" s="692" t="s">
        <v>4060</v>
      </c>
    </row>
    <row r="5879" spans="1:11">
      <c r="A5879" s="688" t="s">
        <v>2324</v>
      </c>
      <c r="B5879" s="689">
        <v>6.4</v>
      </c>
      <c r="C5879" s="689">
        <v>6.3</v>
      </c>
      <c r="D5879" s="689">
        <v>5.9</v>
      </c>
      <c r="E5879" s="689">
        <v>6.2</v>
      </c>
      <c r="F5879" s="689">
        <v>6.5</v>
      </c>
      <c r="G5879" s="689">
        <v>6.4</v>
      </c>
      <c r="H5879" s="689">
        <v>6.3</v>
      </c>
      <c r="I5879" s="689">
        <v>6.1</v>
      </c>
      <c r="J5879" s="693">
        <v>5</v>
      </c>
      <c r="K5879" s="690" t="s">
        <v>4060</v>
      </c>
    </row>
    <row r="5880" spans="1:11">
      <c r="A5880" s="688" t="s">
        <v>2322</v>
      </c>
      <c r="B5880" s="692" t="s">
        <v>4060</v>
      </c>
      <c r="C5880" s="692" t="s">
        <v>4060</v>
      </c>
      <c r="D5880" s="692" t="s">
        <v>4060</v>
      </c>
      <c r="E5880" s="692" t="s">
        <v>4060</v>
      </c>
      <c r="F5880" s="692" t="s">
        <v>4060</v>
      </c>
      <c r="G5880" s="692" t="s">
        <v>4060</v>
      </c>
      <c r="H5880" s="692" t="s">
        <v>4060</v>
      </c>
      <c r="I5880" s="692" t="s">
        <v>4060</v>
      </c>
      <c r="J5880" s="692" t="s">
        <v>4060</v>
      </c>
      <c r="K5880" s="692" t="s">
        <v>4060</v>
      </c>
    </row>
    <row r="5881" spans="1:11">
      <c r="A5881" s="688" t="s">
        <v>2328</v>
      </c>
      <c r="B5881" s="689">
        <v>5.4</v>
      </c>
      <c r="C5881" s="689">
        <v>5.4</v>
      </c>
      <c r="D5881" s="689">
        <v>5.2</v>
      </c>
      <c r="E5881" s="689">
        <v>5.4</v>
      </c>
      <c r="F5881" s="689">
        <v>5.5</v>
      </c>
      <c r="G5881" s="689">
        <v>5.7</v>
      </c>
      <c r="H5881" s="689">
        <v>5.6</v>
      </c>
      <c r="I5881" s="693">
        <v>5</v>
      </c>
      <c r="J5881" s="689">
        <v>4.8</v>
      </c>
      <c r="K5881" s="690" t="s">
        <v>4060</v>
      </c>
    </row>
    <row r="5882" spans="1:11">
      <c r="A5882" s="688" t="s">
        <v>2496</v>
      </c>
      <c r="B5882" s="692" t="s">
        <v>4060</v>
      </c>
      <c r="C5882" s="691">
        <v>7.5</v>
      </c>
      <c r="D5882" s="691">
        <v>6.1</v>
      </c>
      <c r="E5882" s="691">
        <v>5.3</v>
      </c>
      <c r="F5882" s="691">
        <v>5.4</v>
      </c>
      <c r="G5882" s="691">
        <v>5.5</v>
      </c>
      <c r="H5882" s="691">
        <v>5.5</v>
      </c>
      <c r="I5882" s="692" t="s">
        <v>4060</v>
      </c>
      <c r="J5882" s="692" t="s">
        <v>4060</v>
      </c>
      <c r="K5882" s="615">
        <v>5</v>
      </c>
    </row>
    <row r="5883" spans="1:11">
      <c r="A5883" s="688" t="s">
        <v>2269</v>
      </c>
      <c r="B5883" s="689">
        <v>6.1</v>
      </c>
      <c r="C5883" s="693">
        <v>6</v>
      </c>
      <c r="D5883" s="689">
        <v>5.5</v>
      </c>
      <c r="E5883" s="689">
        <v>5.7</v>
      </c>
      <c r="F5883" s="689">
        <v>5.5</v>
      </c>
      <c r="G5883" s="689">
        <v>5.8</v>
      </c>
      <c r="H5883" s="693">
        <v>6</v>
      </c>
      <c r="I5883" s="689">
        <v>5.2</v>
      </c>
      <c r="J5883" s="689">
        <v>2.6</v>
      </c>
      <c r="K5883" s="689">
        <v>5.7</v>
      </c>
    </row>
    <row r="5884" spans="1:11">
      <c r="A5884" s="688" t="s">
        <v>2349</v>
      </c>
      <c r="B5884" s="691">
        <v>5.9</v>
      </c>
      <c r="C5884" s="615">
        <v>6</v>
      </c>
      <c r="D5884" s="691">
        <v>5.8</v>
      </c>
      <c r="E5884" s="691">
        <v>6.1</v>
      </c>
      <c r="F5884" s="691">
        <v>5.9</v>
      </c>
      <c r="G5884" s="691">
        <v>6.2</v>
      </c>
      <c r="H5884" s="691">
        <v>6.4</v>
      </c>
      <c r="I5884" s="691">
        <v>5.8</v>
      </c>
      <c r="J5884" s="691">
        <v>5.0999999999999996</v>
      </c>
      <c r="K5884" s="691">
        <v>5.6</v>
      </c>
    </row>
    <row r="5885" spans="1:11">
      <c r="A5885" s="688" t="s">
        <v>2355</v>
      </c>
      <c r="B5885" s="689">
        <v>7.9</v>
      </c>
      <c r="C5885" s="689">
        <v>7.5</v>
      </c>
      <c r="D5885" s="689">
        <v>7.5</v>
      </c>
      <c r="E5885" s="689">
        <v>7.4</v>
      </c>
      <c r="F5885" s="689">
        <v>7.4</v>
      </c>
      <c r="G5885" s="689">
        <v>7.7</v>
      </c>
      <c r="H5885" s="689">
        <v>7.6</v>
      </c>
      <c r="I5885" s="690" t="s">
        <v>4060</v>
      </c>
      <c r="J5885" s="690" t="s">
        <v>4060</v>
      </c>
      <c r="K5885" s="690" t="s">
        <v>4060</v>
      </c>
    </row>
    <row r="5886" spans="1:11">
      <c r="A5886" s="688" t="s">
        <v>2357</v>
      </c>
      <c r="B5886" s="692" t="s">
        <v>4060</v>
      </c>
      <c r="C5886" s="691">
        <v>6.5</v>
      </c>
      <c r="D5886" s="691">
        <v>6.7</v>
      </c>
      <c r="E5886" s="691">
        <v>6.9</v>
      </c>
      <c r="F5886" s="615">
        <v>7</v>
      </c>
      <c r="G5886" s="691">
        <v>6.6</v>
      </c>
      <c r="H5886" s="691">
        <v>6.7</v>
      </c>
      <c r="I5886" s="692" t="s">
        <v>4060</v>
      </c>
      <c r="J5886" s="692" t="s">
        <v>4060</v>
      </c>
      <c r="K5886" s="692" t="s">
        <v>4060</v>
      </c>
    </row>
    <row r="5887" spans="1:11">
      <c r="A5887" s="688" t="s">
        <v>4070</v>
      </c>
      <c r="B5887" s="690" t="s">
        <v>4060</v>
      </c>
      <c r="C5887" s="690" t="s">
        <v>4060</v>
      </c>
      <c r="D5887" s="690" t="s">
        <v>4060</v>
      </c>
      <c r="E5887" s="689">
        <v>8.5</v>
      </c>
      <c r="F5887" s="690" t="s">
        <v>4060</v>
      </c>
      <c r="G5887" s="690" t="s">
        <v>4060</v>
      </c>
      <c r="H5887" s="690" t="s">
        <v>4060</v>
      </c>
      <c r="I5887" s="690" t="s">
        <v>4060</v>
      </c>
      <c r="J5887" s="690" t="s">
        <v>4060</v>
      </c>
      <c r="K5887" s="690" t="s">
        <v>4060</v>
      </c>
    </row>
    <row r="5888" spans="1:11">
      <c r="A5888" s="688" t="s">
        <v>2491</v>
      </c>
      <c r="B5888" s="691">
        <v>6.5</v>
      </c>
      <c r="C5888" s="691">
        <v>6.7</v>
      </c>
      <c r="D5888" s="691">
        <v>6.6</v>
      </c>
      <c r="E5888" s="691">
        <v>6.6</v>
      </c>
      <c r="F5888" s="691">
        <v>6.6</v>
      </c>
      <c r="G5888" s="691">
        <v>6.6</v>
      </c>
      <c r="H5888" s="692" t="s">
        <v>4060</v>
      </c>
      <c r="I5888" s="692" t="s">
        <v>4060</v>
      </c>
      <c r="J5888" s="692" t="s">
        <v>4060</v>
      </c>
      <c r="K5888" s="692" t="s">
        <v>4060</v>
      </c>
    </row>
    <row r="5889" spans="1:11">
      <c r="A5889" s="688" t="s">
        <v>2343</v>
      </c>
      <c r="B5889" s="690" t="s">
        <v>4060</v>
      </c>
      <c r="C5889" s="690" t="s">
        <v>4060</v>
      </c>
      <c r="D5889" s="690" t="s">
        <v>4060</v>
      </c>
      <c r="E5889" s="690" t="s">
        <v>4060</v>
      </c>
      <c r="F5889" s="690" t="s">
        <v>4060</v>
      </c>
      <c r="G5889" s="690" t="s">
        <v>4060</v>
      </c>
      <c r="H5889" s="690" t="s">
        <v>4060</v>
      </c>
      <c r="I5889" s="690" t="s">
        <v>4060</v>
      </c>
      <c r="J5889" s="690" t="s">
        <v>4060</v>
      </c>
      <c r="K5889" s="690" t="s">
        <v>4060</v>
      </c>
    </row>
    <row r="5890" spans="1:11">
      <c r="A5890" s="688" t="s">
        <v>4071</v>
      </c>
      <c r="B5890" s="692" t="s">
        <v>4060</v>
      </c>
      <c r="C5890" s="692" t="s">
        <v>4060</v>
      </c>
      <c r="D5890" s="692" t="s">
        <v>4060</v>
      </c>
      <c r="E5890" s="692" t="s">
        <v>4060</v>
      </c>
      <c r="F5890" s="692" t="s">
        <v>4060</v>
      </c>
      <c r="G5890" s="692" t="s">
        <v>4060</v>
      </c>
      <c r="H5890" s="692" t="s">
        <v>4060</v>
      </c>
      <c r="I5890" s="692" t="s">
        <v>4060</v>
      </c>
      <c r="J5890" s="692" t="s">
        <v>4060</v>
      </c>
      <c r="K5890" s="692" t="s">
        <v>4060</v>
      </c>
    </row>
    <row r="5891" spans="1:11">
      <c r="A5891" s="688" t="s">
        <v>2489</v>
      </c>
      <c r="B5891" s="690" t="s">
        <v>4060</v>
      </c>
      <c r="C5891" s="690" t="s">
        <v>4060</v>
      </c>
      <c r="D5891" s="689">
        <v>6.3</v>
      </c>
      <c r="E5891" s="689">
        <v>6.2</v>
      </c>
      <c r="F5891" s="689">
        <v>6.4</v>
      </c>
      <c r="G5891" s="689">
        <v>6.4</v>
      </c>
      <c r="H5891" s="689">
        <v>6.8</v>
      </c>
      <c r="I5891" s="690" t="s">
        <v>4060</v>
      </c>
      <c r="J5891" s="690" t="s">
        <v>4060</v>
      </c>
      <c r="K5891" s="690" t="s">
        <v>4060</v>
      </c>
    </row>
    <row r="5892" spans="1:11">
      <c r="A5892" s="688" t="s">
        <v>2490</v>
      </c>
      <c r="B5892" s="691">
        <v>6.6</v>
      </c>
      <c r="C5892" s="691">
        <v>6.3</v>
      </c>
      <c r="D5892" s="615">
        <v>7</v>
      </c>
      <c r="E5892" s="692" t="s">
        <v>4060</v>
      </c>
      <c r="F5892" s="691">
        <v>7.2</v>
      </c>
      <c r="G5892" s="615">
        <v>7</v>
      </c>
      <c r="H5892" s="691">
        <v>7.7</v>
      </c>
      <c r="I5892" s="692" t="s">
        <v>4060</v>
      </c>
      <c r="J5892" s="692" t="s">
        <v>4060</v>
      </c>
      <c r="K5892" s="692" t="s">
        <v>4060</v>
      </c>
    </row>
    <row r="5894" spans="1:11">
      <c r="A5894" s="683" t="s">
        <v>4233</v>
      </c>
    </row>
    <row r="5895" spans="1:11">
      <c r="A5895" s="683" t="s">
        <v>4060</v>
      </c>
      <c r="B5895" s="682" t="s">
        <v>4234</v>
      </c>
    </row>
    <row r="5897" spans="1:11">
      <c r="A5897" s="682" t="s">
        <v>4248</v>
      </c>
    </row>
    <row r="5898" spans="1:11">
      <c r="A5898" s="682" t="s">
        <v>4210</v>
      </c>
      <c r="B5898" s="683" t="s">
        <v>4211</v>
      </c>
    </row>
    <row r="5899" spans="1:11">
      <c r="A5899" s="682" t="s">
        <v>4212</v>
      </c>
      <c r="B5899" s="682" t="s">
        <v>4213</v>
      </c>
    </row>
    <row r="5901" spans="1:11">
      <c r="A5901" s="683" t="s">
        <v>4214</v>
      </c>
      <c r="C5901" s="682" t="s">
        <v>4215</v>
      </c>
    </row>
    <row r="5902" spans="1:11">
      <c r="A5902" s="683" t="s">
        <v>4216</v>
      </c>
      <c r="C5902" s="682" t="s">
        <v>2967</v>
      </c>
    </row>
    <row r="5903" spans="1:11">
      <c r="A5903" s="683" t="s">
        <v>3893</v>
      </c>
      <c r="C5903" s="682" t="s">
        <v>4217</v>
      </c>
    </row>
    <row r="5904" spans="1:11">
      <c r="A5904" s="683" t="s">
        <v>4218</v>
      </c>
      <c r="C5904" s="682" t="s">
        <v>4317</v>
      </c>
    </row>
    <row r="5906" spans="1:11">
      <c r="A5906" s="684" t="s">
        <v>4220</v>
      </c>
      <c r="B5906" s="685" t="s">
        <v>4221</v>
      </c>
      <c r="C5906" s="685" t="s">
        <v>4222</v>
      </c>
      <c r="D5906" s="685" t="s">
        <v>4223</v>
      </c>
      <c r="E5906" s="685" t="s">
        <v>4224</v>
      </c>
      <c r="F5906" s="685" t="s">
        <v>4225</v>
      </c>
      <c r="G5906" s="685" t="s">
        <v>4226</v>
      </c>
      <c r="H5906" s="685" t="s">
        <v>4227</v>
      </c>
      <c r="I5906" s="685" t="s">
        <v>4228</v>
      </c>
      <c r="J5906" s="685" t="s">
        <v>4229</v>
      </c>
      <c r="K5906" s="685" t="s">
        <v>4230</v>
      </c>
    </row>
    <row r="5907" spans="1:11">
      <c r="A5907" s="686" t="s">
        <v>4231</v>
      </c>
      <c r="B5907" s="687" t="s">
        <v>4232</v>
      </c>
      <c r="C5907" s="687" t="s">
        <v>4232</v>
      </c>
      <c r="D5907" s="687" t="s">
        <v>4232</v>
      </c>
      <c r="E5907" s="687" t="s">
        <v>4232</v>
      </c>
      <c r="F5907" s="687" t="s">
        <v>4232</v>
      </c>
      <c r="G5907" s="687" t="s">
        <v>4232</v>
      </c>
      <c r="H5907" s="687" t="s">
        <v>4232</v>
      </c>
      <c r="I5907" s="687" t="s">
        <v>4232</v>
      </c>
      <c r="J5907" s="687" t="s">
        <v>4232</v>
      </c>
      <c r="K5907" s="687" t="s">
        <v>4232</v>
      </c>
    </row>
    <row r="5908" spans="1:11">
      <c r="A5908" s="688" t="s">
        <v>4064</v>
      </c>
      <c r="B5908" s="691">
        <v>7.7</v>
      </c>
      <c r="C5908" s="691">
        <v>7.5</v>
      </c>
      <c r="D5908" s="691">
        <v>7.6</v>
      </c>
      <c r="E5908" s="691">
        <v>7.5</v>
      </c>
      <c r="F5908" s="691">
        <v>7.4</v>
      </c>
      <c r="G5908" s="691">
        <v>7.5</v>
      </c>
      <c r="H5908" s="691">
        <v>7.6</v>
      </c>
      <c r="I5908" s="691">
        <v>7.2</v>
      </c>
      <c r="J5908" s="691">
        <v>7.3</v>
      </c>
      <c r="K5908" s="691">
        <v>7.3</v>
      </c>
    </row>
    <row r="5909" spans="1:11">
      <c r="A5909" s="688" t="s">
        <v>4065</v>
      </c>
      <c r="B5909" s="689">
        <v>7.7</v>
      </c>
      <c r="C5909" s="689">
        <v>7.9</v>
      </c>
      <c r="D5909" s="689">
        <v>7.5</v>
      </c>
      <c r="E5909" s="689">
        <v>7.9</v>
      </c>
      <c r="F5909" s="689">
        <v>7.7</v>
      </c>
      <c r="G5909" s="689">
        <v>7.8</v>
      </c>
      <c r="H5909" s="690" t="s">
        <v>4060</v>
      </c>
      <c r="I5909" s="690" t="s">
        <v>4060</v>
      </c>
      <c r="J5909" s="690" t="s">
        <v>4060</v>
      </c>
      <c r="K5909" s="690" t="s">
        <v>4060</v>
      </c>
    </row>
    <row r="5910" spans="1:11">
      <c r="A5910" s="688" t="s">
        <v>4063</v>
      </c>
      <c r="B5910" s="691">
        <v>7.7</v>
      </c>
      <c r="C5910" s="615">
        <v>8</v>
      </c>
      <c r="D5910" s="691">
        <v>7.6</v>
      </c>
      <c r="E5910" s="691">
        <v>7.9</v>
      </c>
      <c r="F5910" s="691">
        <v>7.7</v>
      </c>
      <c r="G5910" s="691">
        <v>7.8</v>
      </c>
      <c r="H5910" s="692" t="s">
        <v>4060</v>
      </c>
      <c r="I5910" s="692" t="s">
        <v>4060</v>
      </c>
      <c r="J5910" s="692" t="s">
        <v>4060</v>
      </c>
      <c r="K5910" s="692" t="s">
        <v>4060</v>
      </c>
    </row>
    <row r="5911" spans="1:11">
      <c r="A5911" s="688" t="s">
        <v>4069</v>
      </c>
      <c r="B5911" s="690" t="s">
        <v>4060</v>
      </c>
      <c r="C5911" s="689">
        <v>7.6</v>
      </c>
      <c r="D5911" s="689">
        <v>7.4</v>
      </c>
      <c r="E5911" s="689">
        <v>7.7</v>
      </c>
      <c r="F5911" s="689">
        <v>7.6</v>
      </c>
      <c r="G5911" s="689">
        <v>7.7</v>
      </c>
      <c r="H5911" s="689">
        <v>7.8</v>
      </c>
      <c r="I5911" s="689">
        <v>7.4</v>
      </c>
      <c r="J5911" s="689">
        <v>7.6</v>
      </c>
      <c r="K5911" s="689">
        <v>7.4</v>
      </c>
    </row>
    <row r="5912" spans="1:11">
      <c r="A5912" s="688" t="s">
        <v>4068</v>
      </c>
      <c r="B5912" s="615">
        <v>8</v>
      </c>
      <c r="C5912" s="692" t="s">
        <v>4060</v>
      </c>
      <c r="D5912" s="692" t="s">
        <v>4060</v>
      </c>
      <c r="E5912" s="692" t="s">
        <v>4060</v>
      </c>
      <c r="F5912" s="692" t="s">
        <v>4060</v>
      </c>
      <c r="G5912" s="692" t="s">
        <v>4060</v>
      </c>
      <c r="H5912" s="692" t="s">
        <v>4060</v>
      </c>
      <c r="I5912" s="692" t="s">
        <v>4060</v>
      </c>
      <c r="J5912" s="692" t="s">
        <v>4060</v>
      </c>
      <c r="K5912" s="692" t="s">
        <v>4060</v>
      </c>
    </row>
    <row r="5913" spans="1:11">
      <c r="A5913" s="688" t="s">
        <v>0</v>
      </c>
      <c r="B5913" s="689">
        <v>7.6</v>
      </c>
      <c r="C5913" s="689">
        <v>7.5</v>
      </c>
      <c r="D5913" s="689">
        <v>7.3</v>
      </c>
      <c r="E5913" s="689">
        <v>7.5</v>
      </c>
      <c r="F5913" s="689">
        <v>7.5</v>
      </c>
      <c r="G5913" s="689">
        <v>7.6</v>
      </c>
      <c r="H5913" s="689">
        <v>7.7</v>
      </c>
      <c r="I5913" s="693">
        <v>7</v>
      </c>
      <c r="J5913" s="689">
        <v>7.9</v>
      </c>
      <c r="K5913" s="689">
        <v>7.6</v>
      </c>
    </row>
    <row r="5914" spans="1:11">
      <c r="A5914" s="688" t="s">
        <v>1</v>
      </c>
      <c r="B5914" s="691">
        <v>5.9</v>
      </c>
      <c r="C5914" s="691">
        <v>5.5</v>
      </c>
      <c r="D5914" s="691">
        <v>5.4</v>
      </c>
      <c r="E5914" s="691">
        <v>5.6</v>
      </c>
      <c r="F5914" s="691">
        <v>5.5</v>
      </c>
      <c r="G5914" s="691">
        <v>5.6</v>
      </c>
      <c r="H5914" s="691">
        <v>5.6</v>
      </c>
      <c r="I5914" s="691">
        <v>5.3</v>
      </c>
      <c r="J5914" s="691">
        <v>4.8</v>
      </c>
      <c r="K5914" s="691">
        <v>5.4</v>
      </c>
    </row>
    <row r="5915" spans="1:11">
      <c r="A5915" s="688" t="s">
        <v>2240</v>
      </c>
      <c r="B5915" s="689">
        <v>6.6</v>
      </c>
      <c r="C5915" s="689">
        <v>6.5</v>
      </c>
      <c r="D5915" s="689">
        <v>6.3</v>
      </c>
      <c r="E5915" s="689">
        <v>6.6</v>
      </c>
      <c r="F5915" s="689">
        <v>6.5</v>
      </c>
      <c r="G5915" s="689">
        <v>6.6</v>
      </c>
      <c r="H5915" s="689">
        <v>6.7</v>
      </c>
      <c r="I5915" s="689">
        <v>6.1</v>
      </c>
      <c r="J5915" s="689">
        <v>6.1</v>
      </c>
      <c r="K5915" s="689">
        <v>6.5</v>
      </c>
    </row>
    <row r="5916" spans="1:11">
      <c r="A5916" s="688" t="s">
        <v>2</v>
      </c>
      <c r="B5916" s="691">
        <v>7.2</v>
      </c>
      <c r="C5916" s="691">
        <v>7.3</v>
      </c>
      <c r="D5916" s="691">
        <v>7.2</v>
      </c>
      <c r="E5916" s="691">
        <v>7.3</v>
      </c>
      <c r="F5916" s="691">
        <v>7.2</v>
      </c>
      <c r="G5916" s="691">
        <v>7.1</v>
      </c>
      <c r="H5916" s="691">
        <v>7.4</v>
      </c>
      <c r="I5916" s="691">
        <v>7.4</v>
      </c>
      <c r="J5916" s="691">
        <v>7.2</v>
      </c>
      <c r="K5916" s="691">
        <v>7.1</v>
      </c>
    </row>
    <row r="5917" spans="1:11">
      <c r="A5917" s="688" t="s">
        <v>3</v>
      </c>
      <c r="B5917" s="689">
        <v>7.3</v>
      </c>
      <c r="C5917" s="689">
        <v>7.2</v>
      </c>
      <c r="D5917" s="693">
        <v>7</v>
      </c>
      <c r="E5917" s="689">
        <v>7.2</v>
      </c>
      <c r="F5917" s="689">
        <v>7.2</v>
      </c>
      <c r="G5917" s="689">
        <v>7.2</v>
      </c>
      <c r="H5917" s="689">
        <v>7.4</v>
      </c>
      <c r="I5917" s="689">
        <v>7.2</v>
      </c>
      <c r="J5917" s="689">
        <v>7.2</v>
      </c>
      <c r="K5917" s="693">
        <v>7</v>
      </c>
    </row>
    <row r="5918" spans="1:11">
      <c r="A5918" s="688" t="s">
        <v>4061</v>
      </c>
      <c r="B5918" s="691">
        <v>7.3</v>
      </c>
      <c r="C5918" s="691">
        <v>7.2</v>
      </c>
      <c r="D5918" s="615">
        <v>7</v>
      </c>
      <c r="E5918" s="691">
        <v>7.2</v>
      </c>
      <c r="F5918" s="691">
        <v>7.2</v>
      </c>
      <c r="G5918" s="691">
        <v>7.2</v>
      </c>
      <c r="H5918" s="691">
        <v>7.4</v>
      </c>
      <c r="I5918" s="691">
        <v>7.2</v>
      </c>
      <c r="J5918" s="691">
        <v>7.2</v>
      </c>
      <c r="K5918" s="615">
        <v>7</v>
      </c>
    </row>
    <row r="5919" spans="1:11">
      <c r="A5919" s="688" t="s">
        <v>4</v>
      </c>
      <c r="B5919" s="689">
        <v>7.4</v>
      </c>
      <c r="C5919" s="689">
        <v>6.9</v>
      </c>
      <c r="D5919" s="693">
        <v>7</v>
      </c>
      <c r="E5919" s="693">
        <v>7</v>
      </c>
      <c r="F5919" s="689">
        <v>7.1</v>
      </c>
      <c r="G5919" s="689">
        <v>7.2</v>
      </c>
      <c r="H5919" s="689">
        <v>7.4</v>
      </c>
      <c r="I5919" s="689">
        <v>7.4</v>
      </c>
      <c r="J5919" s="689">
        <v>6.7</v>
      </c>
      <c r="K5919" s="689">
        <v>6.9</v>
      </c>
    </row>
    <row r="5920" spans="1:11">
      <c r="A5920" s="688" t="s">
        <v>8</v>
      </c>
      <c r="B5920" s="691">
        <v>7.2</v>
      </c>
      <c r="C5920" s="691">
        <v>7.2</v>
      </c>
      <c r="D5920" s="615">
        <v>7</v>
      </c>
      <c r="E5920" s="691">
        <v>7.1</v>
      </c>
      <c r="F5920" s="691">
        <v>7.4</v>
      </c>
      <c r="G5920" s="691">
        <v>7.4</v>
      </c>
      <c r="H5920" s="691">
        <v>7.5</v>
      </c>
      <c r="I5920" s="691">
        <v>7.4</v>
      </c>
      <c r="J5920" s="691">
        <v>7.3</v>
      </c>
      <c r="K5920" s="691">
        <v>7.4</v>
      </c>
    </row>
    <row r="5921" spans="1:11">
      <c r="A5921" s="688" t="s">
        <v>7</v>
      </c>
      <c r="B5921" s="689">
        <v>7.8</v>
      </c>
      <c r="C5921" s="689">
        <v>6.9</v>
      </c>
      <c r="D5921" s="689">
        <v>6.8</v>
      </c>
      <c r="E5921" s="689">
        <v>7.1</v>
      </c>
      <c r="F5921" s="693">
        <v>7</v>
      </c>
      <c r="G5921" s="689">
        <v>7.3</v>
      </c>
      <c r="H5921" s="689">
        <v>7.3</v>
      </c>
      <c r="I5921" s="689">
        <v>7.2</v>
      </c>
      <c r="J5921" s="693">
        <v>7</v>
      </c>
      <c r="K5921" s="689">
        <v>6.9</v>
      </c>
    </row>
    <row r="5922" spans="1:11">
      <c r="A5922" s="688" t="s">
        <v>27</v>
      </c>
      <c r="B5922" s="691">
        <v>8.6</v>
      </c>
      <c r="C5922" s="615">
        <v>8</v>
      </c>
      <c r="D5922" s="691">
        <v>7.7</v>
      </c>
      <c r="E5922" s="615">
        <v>8</v>
      </c>
      <c r="F5922" s="691">
        <v>7.9</v>
      </c>
      <c r="G5922" s="615">
        <v>8</v>
      </c>
      <c r="H5922" s="691">
        <v>8.3000000000000007</v>
      </c>
      <c r="I5922" s="691">
        <v>7.5</v>
      </c>
      <c r="J5922" s="691">
        <v>8.1</v>
      </c>
      <c r="K5922" s="691">
        <v>7.9</v>
      </c>
    </row>
    <row r="5923" spans="1:11">
      <c r="A5923" s="688" t="s">
        <v>6</v>
      </c>
      <c r="B5923" s="689">
        <v>8.9</v>
      </c>
      <c r="C5923" s="689">
        <v>8.4</v>
      </c>
      <c r="D5923" s="689">
        <v>8.1999999999999993</v>
      </c>
      <c r="E5923" s="689">
        <v>8.4</v>
      </c>
      <c r="F5923" s="689">
        <v>8.4</v>
      </c>
      <c r="G5923" s="689">
        <v>8.5</v>
      </c>
      <c r="H5923" s="689">
        <v>8.5</v>
      </c>
      <c r="I5923" s="689">
        <v>8.1</v>
      </c>
      <c r="J5923" s="689">
        <v>8.3000000000000007</v>
      </c>
      <c r="K5923" s="689">
        <v>8.3000000000000007</v>
      </c>
    </row>
    <row r="5924" spans="1:11">
      <c r="A5924" s="688" t="s">
        <v>4058</v>
      </c>
      <c r="B5924" s="692" t="s">
        <v>4060</v>
      </c>
      <c r="C5924" s="692" t="s">
        <v>4060</v>
      </c>
      <c r="D5924" s="692" t="s">
        <v>4060</v>
      </c>
      <c r="E5924" s="692" t="s">
        <v>4060</v>
      </c>
      <c r="F5924" s="692" t="s">
        <v>4060</v>
      </c>
      <c r="G5924" s="692" t="s">
        <v>4060</v>
      </c>
      <c r="H5924" s="692" t="s">
        <v>4060</v>
      </c>
      <c r="I5924" s="692" t="s">
        <v>4060</v>
      </c>
      <c r="J5924" s="692" t="s">
        <v>4060</v>
      </c>
      <c r="K5924" s="692" t="s">
        <v>4060</v>
      </c>
    </row>
    <row r="5925" spans="1:11">
      <c r="A5925" s="688" t="s">
        <v>11</v>
      </c>
      <c r="B5925" s="689">
        <v>6.3</v>
      </c>
      <c r="C5925" s="689">
        <v>6.1</v>
      </c>
      <c r="D5925" s="689">
        <v>5.7</v>
      </c>
      <c r="E5925" s="693">
        <v>6</v>
      </c>
      <c r="F5925" s="689">
        <v>5.9</v>
      </c>
      <c r="G5925" s="693">
        <v>6</v>
      </c>
      <c r="H5925" s="689">
        <v>6.2</v>
      </c>
      <c r="I5925" s="689">
        <v>5.8</v>
      </c>
      <c r="J5925" s="689">
        <v>5.5</v>
      </c>
      <c r="K5925" s="689">
        <v>5.7</v>
      </c>
    </row>
    <row r="5926" spans="1:11">
      <c r="A5926" s="688" t="s">
        <v>10</v>
      </c>
      <c r="B5926" s="691">
        <v>8.1999999999999993</v>
      </c>
      <c r="C5926" s="691">
        <v>7.7</v>
      </c>
      <c r="D5926" s="691">
        <v>7.4</v>
      </c>
      <c r="E5926" s="691">
        <v>7.8</v>
      </c>
      <c r="F5926" s="691">
        <v>7.6</v>
      </c>
      <c r="G5926" s="691">
        <v>7.8</v>
      </c>
      <c r="H5926" s="691">
        <v>7.9</v>
      </c>
      <c r="I5926" s="691">
        <v>7.2</v>
      </c>
      <c r="J5926" s="691">
        <v>7.6</v>
      </c>
      <c r="K5926" s="691">
        <v>7.4</v>
      </c>
    </row>
    <row r="5927" spans="1:11">
      <c r="A5927" s="688" t="s">
        <v>30</v>
      </c>
      <c r="B5927" s="689">
        <v>7.3</v>
      </c>
      <c r="C5927" s="689">
        <v>6.8</v>
      </c>
      <c r="D5927" s="689">
        <v>6.4</v>
      </c>
      <c r="E5927" s="689">
        <v>7.1</v>
      </c>
      <c r="F5927" s="689">
        <v>6.8</v>
      </c>
      <c r="G5927" s="689">
        <v>7.3</v>
      </c>
      <c r="H5927" s="689">
        <v>7.1</v>
      </c>
      <c r="I5927" s="689">
        <v>7.1</v>
      </c>
      <c r="J5927" s="693">
        <v>7</v>
      </c>
      <c r="K5927" s="689">
        <v>6.8</v>
      </c>
    </row>
    <row r="5928" spans="1:11">
      <c r="A5928" s="688" t="s">
        <v>12</v>
      </c>
      <c r="B5928" s="691">
        <v>6.7</v>
      </c>
      <c r="C5928" s="691">
        <v>6.4</v>
      </c>
      <c r="D5928" s="691">
        <v>6.4</v>
      </c>
      <c r="E5928" s="691">
        <v>6.4</v>
      </c>
      <c r="F5928" s="691">
        <v>6.5</v>
      </c>
      <c r="G5928" s="691">
        <v>6.5</v>
      </c>
      <c r="H5928" s="691">
        <v>6.6</v>
      </c>
      <c r="I5928" s="691">
        <v>6.5</v>
      </c>
      <c r="J5928" s="691">
        <v>5.8</v>
      </c>
      <c r="K5928" s="691">
        <v>6.3</v>
      </c>
    </row>
    <row r="5929" spans="1:11">
      <c r="A5929" s="688" t="s">
        <v>14</v>
      </c>
      <c r="B5929" s="689">
        <v>6.7</v>
      </c>
      <c r="C5929" s="689">
        <v>6.2</v>
      </c>
      <c r="D5929" s="693">
        <v>6</v>
      </c>
      <c r="E5929" s="689">
        <v>6.1</v>
      </c>
      <c r="F5929" s="689">
        <v>6.1</v>
      </c>
      <c r="G5929" s="689">
        <v>6.2</v>
      </c>
      <c r="H5929" s="689">
        <v>6.4</v>
      </c>
      <c r="I5929" s="689">
        <v>6.2</v>
      </c>
      <c r="J5929" s="689">
        <v>5.8</v>
      </c>
      <c r="K5929" s="689">
        <v>6.2</v>
      </c>
    </row>
    <row r="5930" spans="1:11">
      <c r="A5930" s="688" t="s">
        <v>15</v>
      </c>
      <c r="B5930" s="691">
        <v>8.1999999999999993</v>
      </c>
      <c r="C5930" s="691">
        <v>7.7</v>
      </c>
      <c r="D5930" s="691">
        <v>7.5</v>
      </c>
      <c r="E5930" s="691">
        <v>7.6</v>
      </c>
      <c r="F5930" s="691">
        <v>7.7</v>
      </c>
      <c r="G5930" s="691">
        <v>7.5</v>
      </c>
      <c r="H5930" s="691">
        <v>7.7</v>
      </c>
      <c r="I5930" s="691">
        <v>7.4</v>
      </c>
      <c r="J5930" s="691">
        <v>7.7</v>
      </c>
      <c r="K5930" s="691">
        <v>7.8</v>
      </c>
    </row>
    <row r="5931" spans="1:11">
      <c r="A5931" s="688" t="s">
        <v>29</v>
      </c>
      <c r="B5931" s="689">
        <v>6.4</v>
      </c>
      <c r="C5931" s="689">
        <v>6.3</v>
      </c>
      <c r="D5931" s="693">
        <v>6</v>
      </c>
      <c r="E5931" s="689">
        <v>6.3</v>
      </c>
      <c r="F5931" s="689">
        <v>6.1</v>
      </c>
      <c r="G5931" s="689">
        <v>6.2</v>
      </c>
      <c r="H5931" s="689">
        <v>6.3</v>
      </c>
      <c r="I5931" s="689">
        <v>5.9</v>
      </c>
      <c r="J5931" s="689">
        <v>5.8</v>
      </c>
      <c r="K5931" s="689">
        <v>6.1</v>
      </c>
    </row>
    <row r="5932" spans="1:11">
      <c r="A5932" s="688" t="s">
        <v>16</v>
      </c>
      <c r="B5932" s="691">
        <v>7.5</v>
      </c>
      <c r="C5932" s="691">
        <v>7.4</v>
      </c>
      <c r="D5932" s="615">
        <v>7</v>
      </c>
      <c r="E5932" s="691">
        <v>7.5</v>
      </c>
      <c r="F5932" s="691">
        <v>7.3</v>
      </c>
      <c r="G5932" s="691">
        <v>7.5</v>
      </c>
      <c r="H5932" s="691">
        <v>7.5</v>
      </c>
      <c r="I5932" s="691">
        <v>7.2</v>
      </c>
      <c r="J5932" s="691">
        <v>7.3</v>
      </c>
      <c r="K5932" s="691">
        <v>7.3</v>
      </c>
    </row>
    <row r="5933" spans="1:11">
      <c r="A5933" s="688" t="s">
        <v>17</v>
      </c>
      <c r="B5933" s="689">
        <v>7.4</v>
      </c>
      <c r="C5933" s="689">
        <v>7.3</v>
      </c>
      <c r="D5933" s="689">
        <v>7.1</v>
      </c>
      <c r="E5933" s="689">
        <v>7.2</v>
      </c>
      <c r="F5933" s="689">
        <v>7.2</v>
      </c>
      <c r="G5933" s="689">
        <v>7.2</v>
      </c>
      <c r="H5933" s="689">
        <v>7.3</v>
      </c>
      <c r="I5933" s="689">
        <v>6.9</v>
      </c>
      <c r="J5933" s="693">
        <v>7</v>
      </c>
      <c r="K5933" s="689">
        <v>7.1</v>
      </c>
    </row>
    <row r="5934" spans="1:11">
      <c r="A5934" s="688" t="s">
        <v>19</v>
      </c>
      <c r="B5934" s="691">
        <v>7.6</v>
      </c>
      <c r="C5934" s="691">
        <v>7.4</v>
      </c>
      <c r="D5934" s="691">
        <v>7.2</v>
      </c>
      <c r="E5934" s="691">
        <v>7.5</v>
      </c>
      <c r="F5934" s="691">
        <v>7.3</v>
      </c>
      <c r="G5934" s="691">
        <v>7.4</v>
      </c>
      <c r="H5934" s="691">
        <v>7.5</v>
      </c>
      <c r="I5934" s="691">
        <v>7.1</v>
      </c>
      <c r="J5934" s="691">
        <v>7.3</v>
      </c>
      <c r="K5934" s="691">
        <v>7.2</v>
      </c>
    </row>
    <row r="5935" spans="1:11">
      <c r="A5935" s="688" t="s">
        <v>20</v>
      </c>
      <c r="B5935" s="689">
        <v>7.3</v>
      </c>
      <c r="C5935" s="689">
        <v>7.1</v>
      </c>
      <c r="D5935" s="689">
        <v>6.9</v>
      </c>
      <c r="E5935" s="689">
        <v>7.2</v>
      </c>
      <c r="F5935" s="693">
        <v>7</v>
      </c>
      <c r="G5935" s="693">
        <v>7</v>
      </c>
      <c r="H5935" s="689">
        <v>7.3</v>
      </c>
      <c r="I5935" s="689">
        <v>6.5</v>
      </c>
      <c r="J5935" s="689">
        <v>6.2</v>
      </c>
      <c r="K5935" s="689">
        <v>6.7</v>
      </c>
    </row>
    <row r="5936" spans="1:11">
      <c r="A5936" s="688" t="s">
        <v>21</v>
      </c>
      <c r="B5936" s="691">
        <v>7.3</v>
      </c>
      <c r="C5936" s="691">
        <v>7.5</v>
      </c>
      <c r="D5936" s="691">
        <v>7.4</v>
      </c>
      <c r="E5936" s="691">
        <v>7.5</v>
      </c>
      <c r="F5936" s="691">
        <v>7.6</v>
      </c>
      <c r="G5936" s="691">
        <v>7.6</v>
      </c>
      <c r="H5936" s="691">
        <v>7.7</v>
      </c>
      <c r="I5936" s="691">
        <v>7.3</v>
      </c>
      <c r="J5936" s="691">
        <v>7.4</v>
      </c>
      <c r="K5936" s="691">
        <v>7.4</v>
      </c>
    </row>
    <row r="5937" spans="1:11">
      <c r="A5937" s="688" t="s">
        <v>22</v>
      </c>
      <c r="B5937" s="689">
        <v>6.3</v>
      </c>
      <c r="C5937" s="689">
        <v>6.1</v>
      </c>
      <c r="D5937" s="693">
        <v>6</v>
      </c>
      <c r="E5937" s="689">
        <v>6.3</v>
      </c>
      <c r="F5937" s="689">
        <v>6.3</v>
      </c>
      <c r="G5937" s="689">
        <v>6.4</v>
      </c>
      <c r="H5937" s="689">
        <v>6.7</v>
      </c>
      <c r="I5937" s="689">
        <v>6.1</v>
      </c>
      <c r="J5937" s="689">
        <v>5.4</v>
      </c>
      <c r="K5937" s="689">
        <v>5.8</v>
      </c>
    </row>
    <row r="5938" spans="1:11">
      <c r="A5938" s="688" t="s">
        <v>26</v>
      </c>
      <c r="B5938" s="691">
        <v>7.7</v>
      </c>
      <c r="C5938" s="691">
        <v>7.1</v>
      </c>
      <c r="D5938" s="691">
        <v>7.1</v>
      </c>
      <c r="E5938" s="691">
        <v>7.2</v>
      </c>
      <c r="F5938" s="691">
        <v>7.2</v>
      </c>
      <c r="G5938" s="691">
        <v>7.3</v>
      </c>
      <c r="H5938" s="691">
        <v>7.5</v>
      </c>
      <c r="I5938" s="691">
        <v>6.6</v>
      </c>
      <c r="J5938" s="691">
        <v>7.1</v>
      </c>
      <c r="K5938" s="691">
        <v>7.2</v>
      </c>
    </row>
    <row r="5939" spans="1:11">
      <c r="A5939" s="688" t="s">
        <v>25</v>
      </c>
      <c r="B5939" s="689">
        <v>6.4</v>
      </c>
      <c r="C5939" s="689">
        <v>6.4</v>
      </c>
      <c r="D5939" s="689">
        <v>6.2</v>
      </c>
      <c r="E5939" s="689">
        <v>6.5</v>
      </c>
      <c r="F5939" s="689">
        <v>6.4</v>
      </c>
      <c r="G5939" s="689">
        <v>6.6</v>
      </c>
      <c r="H5939" s="689">
        <v>6.9</v>
      </c>
      <c r="I5939" s="689">
        <v>6.5</v>
      </c>
      <c r="J5939" s="689">
        <v>5.7</v>
      </c>
      <c r="K5939" s="689">
        <v>6.2</v>
      </c>
    </row>
    <row r="5940" spans="1:11">
      <c r="A5940" s="688" t="s">
        <v>5</v>
      </c>
      <c r="B5940" s="691">
        <v>7.8</v>
      </c>
      <c r="C5940" s="691">
        <v>7.3</v>
      </c>
      <c r="D5940" s="691">
        <v>7.3</v>
      </c>
      <c r="E5940" s="691">
        <v>7.3</v>
      </c>
      <c r="F5940" s="691">
        <v>7.5</v>
      </c>
      <c r="G5940" s="691">
        <v>7.5</v>
      </c>
      <c r="H5940" s="691">
        <v>7.7</v>
      </c>
      <c r="I5940" s="691">
        <v>7.7</v>
      </c>
      <c r="J5940" s="691">
        <v>7.6</v>
      </c>
      <c r="K5940" s="691">
        <v>7.2</v>
      </c>
    </row>
    <row r="5941" spans="1:11">
      <c r="A5941" s="688" t="s">
        <v>23</v>
      </c>
      <c r="B5941" s="689">
        <v>7.4</v>
      </c>
      <c r="C5941" s="689">
        <v>7.4</v>
      </c>
      <c r="D5941" s="689">
        <v>7.4</v>
      </c>
      <c r="E5941" s="689">
        <v>7.4</v>
      </c>
      <c r="F5941" s="689">
        <v>7.4</v>
      </c>
      <c r="G5941" s="689">
        <v>7.5</v>
      </c>
      <c r="H5941" s="689">
        <v>7.7</v>
      </c>
      <c r="I5941" s="689">
        <v>7.3</v>
      </c>
      <c r="J5941" s="689">
        <v>7.7</v>
      </c>
      <c r="K5941" s="689">
        <v>7.7</v>
      </c>
    </row>
    <row r="5942" spans="1:11">
      <c r="A5942" s="688" t="s">
        <v>4067</v>
      </c>
      <c r="B5942" s="691">
        <v>7.7</v>
      </c>
      <c r="C5942" s="691">
        <v>7.9</v>
      </c>
      <c r="D5942" s="691">
        <v>7.5</v>
      </c>
      <c r="E5942" s="691">
        <v>7.9</v>
      </c>
      <c r="F5942" s="691">
        <v>7.7</v>
      </c>
      <c r="G5942" s="691">
        <v>7.8</v>
      </c>
      <c r="H5942" s="692" t="s">
        <v>4060</v>
      </c>
      <c r="I5942" s="692" t="s">
        <v>4060</v>
      </c>
      <c r="J5942" s="692" t="s">
        <v>4060</v>
      </c>
      <c r="K5942" s="692" t="s">
        <v>4060</v>
      </c>
    </row>
    <row r="5943" spans="1:11">
      <c r="A5943" s="688" t="s">
        <v>4066</v>
      </c>
      <c r="B5943" s="689">
        <v>7.7</v>
      </c>
      <c r="C5943" s="693">
        <v>8</v>
      </c>
      <c r="D5943" s="689">
        <v>7.6</v>
      </c>
      <c r="E5943" s="689">
        <v>7.9</v>
      </c>
      <c r="F5943" s="689">
        <v>7.7</v>
      </c>
      <c r="G5943" s="689">
        <v>7.8</v>
      </c>
      <c r="H5943" s="690" t="s">
        <v>4060</v>
      </c>
      <c r="I5943" s="690" t="s">
        <v>4060</v>
      </c>
      <c r="J5943" s="690" t="s">
        <v>4060</v>
      </c>
      <c r="K5943" s="690" t="s">
        <v>4060</v>
      </c>
    </row>
    <row r="5944" spans="1:11">
      <c r="A5944" s="688" t="s">
        <v>4062</v>
      </c>
      <c r="B5944" s="691">
        <v>7.7</v>
      </c>
      <c r="C5944" s="691">
        <v>7.7</v>
      </c>
      <c r="D5944" s="691">
        <v>7.5</v>
      </c>
      <c r="E5944" s="691">
        <v>7.7</v>
      </c>
      <c r="F5944" s="691">
        <v>7.7</v>
      </c>
      <c r="G5944" s="691">
        <v>7.8</v>
      </c>
      <c r="H5944" s="691">
        <v>7.9</v>
      </c>
      <c r="I5944" s="691">
        <v>7.5</v>
      </c>
      <c r="J5944" s="691">
        <v>7.9</v>
      </c>
      <c r="K5944" s="691">
        <v>7.6</v>
      </c>
    </row>
    <row r="5945" spans="1:11">
      <c r="A5945" s="688" t="s">
        <v>9</v>
      </c>
      <c r="B5945" s="689">
        <v>7.5</v>
      </c>
      <c r="C5945" s="689">
        <v>7.6</v>
      </c>
      <c r="D5945" s="689">
        <v>7.3</v>
      </c>
      <c r="E5945" s="689">
        <v>7.3</v>
      </c>
      <c r="F5945" s="689">
        <v>7.4</v>
      </c>
      <c r="G5945" s="689">
        <v>7.4</v>
      </c>
      <c r="H5945" s="689">
        <v>7.4</v>
      </c>
      <c r="I5945" s="689">
        <v>7.6</v>
      </c>
      <c r="J5945" s="689">
        <v>7.8</v>
      </c>
      <c r="K5945" s="689">
        <v>7.1</v>
      </c>
    </row>
    <row r="5946" spans="1:11">
      <c r="A5946" s="688" t="s">
        <v>13</v>
      </c>
      <c r="B5946" s="691">
        <v>7.6</v>
      </c>
      <c r="C5946" s="691">
        <v>6.8</v>
      </c>
      <c r="D5946" s="691">
        <v>7.1</v>
      </c>
      <c r="E5946" s="691">
        <v>7.6</v>
      </c>
      <c r="F5946" s="691">
        <v>8.1999999999999993</v>
      </c>
      <c r="G5946" s="691">
        <v>7.5</v>
      </c>
      <c r="H5946" s="691">
        <v>7.9</v>
      </c>
      <c r="I5946" s="615">
        <v>7</v>
      </c>
      <c r="J5946" s="691">
        <v>7.5</v>
      </c>
      <c r="K5946" s="691">
        <v>7.7</v>
      </c>
    </row>
    <row r="5947" spans="1:11">
      <c r="A5947" s="688" t="s">
        <v>18</v>
      </c>
      <c r="B5947" s="689">
        <v>7.5</v>
      </c>
      <c r="C5947" s="689">
        <v>7.5</v>
      </c>
      <c r="D5947" s="689">
        <v>7.4</v>
      </c>
      <c r="E5947" s="689">
        <v>7.5</v>
      </c>
      <c r="F5947" s="689">
        <v>7.6</v>
      </c>
      <c r="G5947" s="689">
        <v>7.6</v>
      </c>
      <c r="H5947" s="689">
        <v>7.7</v>
      </c>
      <c r="I5947" s="689">
        <v>7.8</v>
      </c>
      <c r="J5947" s="689">
        <v>7.7</v>
      </c>
      <c r="K5947" s="689">
        <v>7.3</v>
      </c>
    </row>
    <row r="5948" spans="1:11">
      <c r="A5948" s="688" t="s">
        <v>24</v>
      </c>
      <c r="B5948" s="691">
        <v>7.9</v>
      </c>
      <c r="C5948" s="691">
        <v>7.8</v>
      </c>
      <c r="D5948" s="691">
        <v>7.6</v>
      </c>
      <c r="E5948" s="691">
        <v>7.9</v>
      </c>
      <c r="F5948" s="691">
        <v>7.8</v>
      </c>
      <c r="G5948" s="615">
        <v>8</v>
      </c>
      <c r="H5948" s="615">
        <v>8</v>
      </c>
      <c r="I5948" s="691">
        <v>7.4</v>
      </c>
      <c r="J5948" s="615">
        <v>8</v>
      </c>
      <c r="K5948" s="691">
        <v>7.8</v>
      </c>
    </row>
    <row r="5949" spans="1:11">
      <c r="A5949" s="688" t="s">
        <v>4059</v>
      </c>
      <c r="B5949" s="689">
        <v>7.6</v>
      </c>
      <c r="C5949" s="689">
        <v>7.8</v>
      </c>
      <c r="D5949" s="689">
        <v>7.4</v>
      </c>
      <c r="E5949" s="689">
        <v>7.7</v>
      </c>
      <c r="F5949" s="689">
        <v>7.6</v>
      </c>
      <c r="G5949" s="689">
        <v>7.7</v>
      </c>
      <c r="H5949" s="690" t="s">
        <v>4060</v>
      </c>
      <c r="I5949" s="690" t="s">
        <v>4060</v>
      </c>
      <c r="J5949" s="690" t="s">
        <v>4060</v>
      </c>
      <c r="K5949" s="690" t="s">
        <v>4060</v>
      </c>
    </row>
    <row r="5950" spans="1:11">
      <c r="A5950" s="688" t="s">
        <v>2324</v>
      </c>
      <c r="B5950" s="615">
        <v>6</v>
      </c>
      <c r="C5950" s="615">
        <v>6</v>
      </c>
      <c r="D5950" s="691">
        <v>5.5</v>
      </c>
      <c r="E5950" s="691">
        <v>5.9</v>
      </c>
      <c r="F5950" s="691">
        <v>6.1</v>
      </c>
      <c r="G5950" s="615">
        <v>6</v>
      </c>
      <c r="H5950" s="615">
        <v>6</v>
      </c>
      <c r="I5950" s="691">
        <v>5.7</v>
      </c>
      <c r="J5950" s="691">
        <v>4.5999999999999996</v>
      </c>
      <c r="K5950" s="692" t="s">
        <v>4060</v>
      </c>
    </row>
    <row r="5951" spans="1:11">
      <c r="A5951" s="688" t="s">
        <v>2322</v>
      </c>
      <c r="B5951" s="690" t="s">
        <v>4060</v>
      </c>
      <c r="C5951" s="690" t="s">
        <v>4060</v>
      </c>
      <c r="D5951" s="690" t="s">
        <v>4060</v>
      </c>
      <c r="E5951" s="690" t="s">
        <v>4060</v>
      </c>
      <c r="F5951" s="690" t="s">
        <v>4060</v>
      </c>
      <c r="G5951" s="690" t="s">
        <v>4060</v>
      </c>
      <c r="H5951" s="690" t="s">
        <v>4060</v>
      </c>
      <c r="I5951" s="690" t="s">
        <v>4060</v>
      </c>
      <c r="J5951" s="690" t="s">
        <v>4060</v>
      </c>
      <c r="K5951" s="690" t="s">
        <v>4060</v>
      </c>
    </row>
    <row r="5952" spans="1:11">
      <c r="A5952" s="688" t="s">
        <v>2328</v>
      </c>
      <c r="B5952" s="615">
        <v>5</v>
      </c>
      <c r="C5952" s="615">
        <v>5</v>
      </c>
      <c r="D5952" s="691">
        <v>4.8</v>
      </c>
      <c r="E5952" s="615">
        <v>5</v>
      </c>
      <c r="F5952" s="691">
        <v>5.0999999999999996</v>
      </c>
      <c r="G5952" s="691">
        <v>5.3</v>
      </c>
      <c r="H5952" s="691">
        <v>5.2</v>
      </c>
      <c r="I5952" s="691">
        <v>4.7</v>
      </c>
      <c r="J5952" s="691">
        <v>4.5</v>
      </c>
      <c r="K5952" s="692" t="s">
        <v>4060</v>
      </c>
    </row>
    <row r="5953" spans="1:11">
      <c r="A5953" s="688" t="s">
        <v>2496</v>
      </c>
      <c r="B5953" s="690" t="s">
        <v>4060</v>
      </c>
      <c r="C5953" s="689">
        <v>7.5</v>
      </c>
      <c r="D5953" s="689">
        <v>5.9</v>
      </c>
      <c r="E5953" s="689">
        <v>4.9000000000000004</v>
      </c>
      <c r="F5953" s="693">
        <v>5</v>
      </c>
      <c r="G5953" s="689">
        <v>5.0999999999999996</v>
      </c>
      <c r="H5953" s="693">
        <v>5</v>
      </c>
      <c r="I5953" s="690" t="s">
        <v>4060</v>
      </c>
      <c r="J5953" s="690" t="s">
        <v>4060</v>
      </c>
      <c r="K5953" s="689">
        <v>4.5999999999999996</v>
      </c>
    </row>
    <row r="5954" spans="1:11">
      <c r="A5954" s="688" t="s">
        <v>2269</v>
      </c>
      <c r="B5954" s="691">
        <v>5.7</v>
      </c>
      <c r="C5954" s="691">
        <v>5.5</v>
      </c>
      <c r="D5954" s="615">
        <v>5</v>
      </c>
      <c r="E5954" s="691">
        <v>5.2</v>
      </c>
      <c r="F5954" s="615">
        <v>5</v>
      </c>
      <c r="G5954" s="691">
        <v>5.3</v>
      </c>
      <c r="H5954" s="691">
        <v>5.4</v>
      </c>
      <c r="I5954" s="691">
        <v>4.7</v>
      </c>
      <c r="J5954" s="691">
        <v>1.8</v>
      </c>
      <c r="K5954" s="691">
        <v>5.0999999999999996</v>
      </c>
    </row>
    <row r="5955" spans="1:11">
      <c r="A5955" s="688" t="s">
        <v>2349</v>
      </c>
      <c r="B5955" s="689">
        <v>5.6</v>
      </c>
      <c r="C5955" s="689">
        <v>5.6</v>
      </c>
      <c r="D5955" s="689">
        <v>5.5</v>
      </c>
      <c r="E5955" s="689">
        <v>5.7</v>
      </c>
      <c r="F5955" s="689">
        <v>5.6</v>
      </c>
      <c r="G5955" s="689">
        <v>5.8</v>
      </c>
      <c r="H5955" s="693">
        <v>6</v>
      </c>
      <c r="I5955" s="689">
        <v>5.5</v>
      </c>
      <c r="J5955" s="689">
        <v>4.8</v>
      </c>
      <c r="K5955" s="689">
        <v>5.2</v>
      </c>
    </row>
    <row r="5956" spans="1:11">
      <c r="A5956" s="688" t="s">
        <v>2355</v>
      </c>
      <c r="B5956" s="691">
        <v>7.5</v>
      </c>
      <c r="C5956" s="691">
        <v>7.2</v>
      </c>
      <c r="D5956" s="691">
        <v>7.1</v>
      </c>
      <c r="E5956" s="615">
        <v>7</v>
      </c>
      <c r="F5956" s="615">
        <v>7</v>
      </c>
      <c r="G5956" s="691">
        <v>7.3</v>
      </c>
      <c r="H5956" s="691">
        <v>7.2</v>
      </c>
      <c r="I5956" s="692" t="s">
        <v>4060</v>
      </c>
      <c r="J5956" s="692" t="s">
        <v>4060</v>
      </c>
      <c r="K5956" s="692" t="s">
        <v>4060</v>
      </c>
    </row>
    <row r="5957" spans="1:11">
      <c r="A5957" s="688" t="s">
        <v>2357</v>
      </c>
      <c r="B5957" s="690" t="s">
        <v>4060</v>
      </c>
      <c r="C5957" s="689">
        <v>6.2</v>
      </c>
      <c r="D5957" s="689">
        <v>6.3</v>
      </c>
      <c r="E5957" s="689">
        <v>6.6</v>
      </c>
      <c r="F5957" s="689">
        <v>6.7</v>
      </c>
      <c r="G5957" s="689">
        <v>6.3</v>
      </c>
      <c r="H5957" s="689">
        <v>6.4</v>
      </c>
      <c r="I5957" s="690" t="s">
        <v>4060</v>
      </c>
      <c r="J5957" s="690" t="s">
        <v>4060</v>
      </c>
      <c r="K5957" s="690" t="s">
        <v>4060</v>
      </c>
    </row>
    <row r="5958" spans="1:11">
      <c r="A5958" s="688" t="s">
        <v>4070</v>
      </c>
      <c r="B5958" s="692" t="s">
        <v>4060</v>
      </c>
      <c r="C5958" s="692" t="s">
        <v>4060</v>
      </c>
      <c r="D5958" s="692" t="s">
        <v>4060</v>
      </c>
      <c r="E5958" s="691">
        <v>8.3000000000000007</v>
      </c>
      <c r="F5958" s="692" t="s">
        <v>4060</v>
      </c>
      <c r="G5958" s="692" t="s">
        <v>4060</v>
      </c>
      <c r="H5958" s="692" t="s">
        <v>4060</v>
      </c>
      <c r="I5958" s="692" t="s">
        <v>4060</v>
      </c>
      <c r="J5958" s="692" t="s">
        <v>4060</v>
      </c>
      <c r="K5958" s="692" t="s">
        <v>4060</v>
      </c>
    </row>
    <row r="5959" spans="1:11">
      <c r="A5959" s="688" t="s">
        <v>2491</v>
      </c>
      <c r="B5959" s="689">
        <v>6.1</v>
      </c>
      <c r="C5959" s="689">
        <v>6.3</v>
      </c>
      <c r="D5959" s="689">
        <v>6.3</v>
      </c>
      <c r="E5959" s="689">
        <v>6.2</v>
      </c>
      <c r="F5959" s="689">
        <v>6.2</v>
      </c>
      <c r="G5959" s="689">
        <v>6.3</v>
      </c>
      <c r="H5959" s="690" t="s">
        <v>4060</v>
      </c>
      <c r="I5959" s="690" t="s">
        <v>4060</v>
      </c>
      <c r="J5959" s="690" t="s">
        <v>4060</v>
      </c>
      <c r="K5959" s="690" t="s">
        <v>4060</v>
      </c>
    </row>
    <row r="5960" spans="1:11">
      <c r="A5960" s="688" t="s">
        <v>2343</v>
      </c>
      <c r="B5960" s="692" t="s">
        <v>4060</v>
      </c>
      <c r="C5960" s="692" t="s">
        <v>4060</v>
      </c>
      <c r="D5960" s="692" t="s">
        <v>4060</v>
      </c>
      <c r="E5960" s="692" t="s">
        <v>4060</v>
      </c>
      <c r="F5960" s="692" t="s">
        <v>4060</v>
      </c>
      <c r="G5960" s="692" t="s">
        <v>4060</v>
      </c>
      <c r="H5960" s="692" t="s">
        <v>4060</v>
      </c>
      <c r="I5960" s="692" t="s">
        <v>4060</v>
      </c>
      <c r="J5960" s="692" t="s">
        <v>4060</v>
      </c>
      <c r="K5960" s="692" t="s">
        <v>4060</v>
      </c>
    </row>
    <row r="5961" spans="1:11">
      <c r="A5961" s="688" t="s">
        <v>4071</v>
      </c>
      <c r="B5961" s="690" t="s">
        <v>4060</v>
      </c>
      <c r="C5961" s="690" t="s">
        <v>4060</v>
      </c>
      <c r="D5961" s="690" t="s">
        <v>4060</v>
      </c>
      <c r="E5961" s="690" t="s">
        <v>4060</v>
      </c>
      <c r="F5961" s="690" t="s">
        <v>4060</v>
      </c>
      <c r="G5961" s="690" t="s">
        <v>4060</v>
      </c>
      <c r="H5961" s="690" t="s">
        <v>4060</v>
      </c>
      <c r="I5961" s="690" t="s">
        <v>4060</v>
      </c>
      <c r="J5961" s="690" t="s">
        <v>4060</v>
      </c>
      <c r="K5961" s="690" t="s">
        <v>4060</v>
      </c>
    </row>
    <row r="5962" spans="1:11">
      <c r="A5962" s="688" t="s">
        <v>2489</v>
      </c>
      <c r="B5962" s="692" t="s">
        <v>4060</v>
      </c>
      <c r="C5962" s="692" t="s">
        <v>4060</v>
      </c>
      <c r="D5962" s="615">
        <v>6</v>
      </c>
      <c r="E5962" s="691">
        <v>5.9</v>
      </c>
      <c r="F5962" s="691">
        <v>5.9</v>
      </c>
      <c r="G5962" s="691">
        <v>5.9</v>
      </c>
      <c r="H5962" s="691">
        <v>6.4</v>
      </c>
      <c r="I5962" s="692" t="s">
        <v>4060</v>
      </c>
      <c r="J5962" s="692" t="s">
        <v>4060</v>
      </c>
      <c r="K5962" s="692" t="s">
        <v>4060</v>
      </c>
    </row>
    <row r="5963" spans="1:11">
      <c r="A5963" s="688" t="s">
        <v>2490</v>
      </c>
      <c r="B5963" s="689">
        <v>6.3</v>
      </c>
      <c r="C5963" s="689">
        <v>6.1</v>
      </c>
      <c r="D5963" s="689">
        <v>6.7</v>
      </c>
      <c r="E5963" s="690" t="s">
        <v>4060</v>
      </c>
      <c r="F5963" s="689">
        <v>6.9</v>
      </c>
      <c r="G5963" s="689">
        <v>6.7</v>
      </c>
      <c r="H5963" s="689">
        <v>7.4</v>
      </c>
      <c r="I5963" s="690" t="s">
        <v>4060</v>
      </c>
      <c r="J5963" s="690" t="s">
        <v>4060</v>
      </c>
      <c r="K5963" s="690" t="s">
        <v>4060</v>
      </c>
    </row>
    <row r="5965" spans="1:11">
      <c r="A5965" s="683" t="s">
        <v>4233</v>
      </c>
    </row>
    <row r="5966" spans="1:11">
      <c r="A5966" s="683" t="s">
        <v>4060</v>
      </c>
      <c r="B5966" s="682" t="s">
        <v>4234</v>
      </c>
    </row>
    <row r="5968" spans="1:11">
      <c r="A5968" s="682" t="s">
        <v>4248</v>
      </c>
    </row>
    <row r="5969" spans="1:11">
      <c r="A5969" s="682" t="s">
        <v>4210</v>
      </c>
      <c r="B5969" s="683" t="s">
        <v>4211</v>
      </c>
    </row>
    <row r="5970" spans="1:11">
      <c r="A5970" s="682" t="s">
        <v>4212</v>
      </c>
      <c r="B5970" s="682" t="s">
        <v>4213</v>
      </c>
    </row>
    <row r="5972" spans="1:11">
      <c r="A5972" s="683" t="s">
        <v>4214</v>
      </c>
      <c r="C5972" s="682" t="s">
        <v>4215</v>
      </c>
    </row>
    <row r="5973" spans="1:11">
      <c r="A5973" s="683" t="s">
        <v>4216</v>
      </c>
      <c r="C5973" s="682" t="s">
        <v>2967</v>
      </c>
    </row>
    <row r="5974" spans="1:11">
      <c r="A5974" s="683" t="s">
        <v>3893</v>
      </c>
      <c r="C5974" s="682" t="s">
        <v>4217</v>
      </c>
    </row>
    <row r="5975" spans="1:11">
      <c r="A5975" s="683" t="s">
        <v>4218</v>
      </c>
      <c r="C5975" s="682" t="s">
        <v>4318</v>
      </c>
    </row>
    <row r="5977" spans="1:11">
      <c r="A5977" s="684" t="s">
        <v>4220</v>
      </c>
      <c r="B5977" s="685" t="s">
        <v>4221</v>
      </c>
      <c r="C5977" s="685" t="s">
        <v>4222</v>
      </c>
      <c r="D5977" s="685" t="s">
        <v>4223</v>
      </c>
      <c r="E5977" s="685" t="s">
        <v>4224</v>
      </c>
      <c r="F5977" s="685" t="s">
        <v>4225</v>
      </c>
      <c r="G5977" s="685" t="s">
        <v>4226</v>
      </c>
      <c r="H5977" s="685" t="s">
        <v>4227</v>
      </c>
      <c r="I5977" s="685" t="s">
        <v>4228</v>
      </c>
      <c r="J5977" s="685" t="s">
        <v>4229</v>
      </c>
      <c r="K5977" s="685" t="s">
        <v>4230</v>
      </c>
    </row>
    <row r="5978" spans="1:11">
      <c r="A5978" s="686" t="s">
        <v>4231</v>
      </c>
      <c r="B5978" s="687" t="s">
        <v>4232</v>
      </c>
      <c r="C5978" s="687" t="s">
        <v>4232</v>
      </c>
      <c r="D5978" s="687" t="s">
        <v>4232</v>
      </c>
      <c r="E5978" s="687" t="s">
        <v>4232</v>
      </c>
      <c r="F5978" s="687" t="s">
        <v>4232</v>
      </c>
      <c r="G5978" s="687" t="s">
        <v>4232</v>
      </c>
      <c r="H5978" s="687" t="s">
        <v>4232</v>
      </c>
      <c r="I5978" s="687" t="s">
        <v>4232</v>
      </c>
      <c r="J5978" s="687" t="s">
        <v>4232</v>
      </c>
      <c r="K5978" s="687" t="s">
        <v>4232</v>
      </c>
    </row>
    <row r="5979" spans="1:11">
      <c r="A5979" s="688" t="s">
        <v>4064</v>
      </c>
      <c r="B5979" s="689">
        <v>7.3</v>
      </c>
      <c r="C5979" s="689">
        <v>6.9</v>
      </c>
      <c r="D5979" s="689">
        <v>7.1</v>
      </c>
      <c r="E5979" s="693">
        <v>7</v>
      </c>
      <c r="F5979" s="689">
        <v>6.9</v>
      </c>
      <c r="G5979" s="693">
        <v>7</v>
      </c>
      <c r="H5979" s="689">
        <v>7.1</v>
      </c>
      <c r="I5979" s="689">
        <v>6.7</v>
      </c>
      <c r="J5979" s="689">
        <v>6.8</v>
      </c>
      <c r="K5979" s="689">
        <v>6.7</v>
      </c>
    </row>
    <row r="5980" spans="1:11">
      <c r="A5980" s="688" t="s">
        <v>4065</v>
      </c>
      <c r="B5980" s="691">
        <v>7.2</v>
      </c>
      <c r="C5980" s="691">
        <v>7.5</v>
      </c>
      <c r="D5980" s="691">
        <v>7.1</v>
      </c>
      <c r="E5980" s="691">
        <v>7.4</v>
      </c>
      <c r="F5980" s="691">
        <v>7.2</v>
      </c>
      <c r="G5980" s="691">
        <v>7.3</v>
      </c>
      <c r="H5980" s="692" t="s">
        <v>4060</v>
      </c>
      <c r="I5980" s="692" t="s">
        <v>4060</v>
      </c>
      <c r="J5980" s="692" t="s">
        <v>4060</v>
      </c>
      <c r="K5980" s="692" t="s">
        <v>4060</v>
      </c>
    </row>
    <row r="5981" spans="1:11">
      <c r="A5981" s="688" t="s">
        <v>4063</v>
      </c>
      <c r="B5981" s="689">
        <v>7.3</v>
      </c>
      <c r="C5981" s="689">
        <v>7.5</v>
      </c>
      <c r="D5981" s="689">
        <v>7.1</v>
      </c>
      <c r="E5981" s="689">
        <v>7.4</v>
      </c>
      <c r="F5981" s="689">
        <v>7.2</v>
      </c>
      <c r="G5981" s="689">
        <v>7.3</v>
      </c>
      <c r="H5981" s="690" t="s">
        <v>4060</v>
      </c>
      <c r="I5981" s="690" t="s">
        <v>4060</v>
      </c>
      <c r="J5981" s="690" t="s">
        <v>4060</v>
      </c>
      <c r="K5981" s="690" t="s">
        <v>4060</v>
      </c>
    </row>
    <row r="5982" spans="1:11">
      <c r="A5982" s="688" t="s">
        <v>4069</v>
      </c>
      <c r="B5982" s="692" t="s">
        <v>4060</v>
      </c>
      <c r="C5982" s="691">
        <v>7.1</v>
      </c>
      <c r="D5982" s="691">
        <v>6.9</v>
      </c>
      <c r="E5982" s="691">
        <v>7.1</v>
      </c>
      <c r="F5982" s="615">
        <v>7</v>
      </c>
      <c r="G5982" s="691">
        <v>7.1</v>
      </c>
      <c r="H5982" s="691">
        <v>7.3</v>
      </c>
      <c r="I5982" s="691">
        <v>6.8</v>
      </c>
      <c r="J5982" s="615">
        <v>7</v>
      </c>
      <c r="K5982" s="691">
        <v>6.9</v>
      </c>
    </row>
    <row r="5983" spans="1:11">
      <c r="A5983" s="688" t="s">
        <v>4068</v>
      </c>
      <c r="B5983" s="689">
        <v>7.5</v>
      </c>
      <c r="C5983" s="690" t="s">
        <v>4060</v>
      </c>
      <c r="D5983" s="690" t="s">
        <v>4060</v>
      </c>
      <c r="E5983" s="690" t="s">
        <v>4060</v>
      </c>
      <c r="F5983" s="690" t="s">
        <v>4060</v>
      </c>
      <c r="G5983" s="690" t="s">
        <v>4060</v>
      </c>
      <c r="H5983" s="690" t="s">
        <v>4060</v>
      </c>
      <c r="I5983" s="690" t="s">
        <v>4060</v>
      </c>
      <c r="J5983" s="690" t="s">
        <v>4060</v>
      </c>
      <c r="K5983" s="690" t="s">
        <v>4060</v>
      </c>
    </row>
    <row r="5984" spans="1:11">
      <c r="A5984" s="688" t="s">
        <v>0</v>
      </c>
      <c r="B5984" s="691">
        <v>7.1</v>
      </c>
      <c r="C5984" s="615">
        <v>7</v>
      </c>
      <c r="D5984" s="691">
        <v>6.8</v>
      </c>
      <c r="E5984" s="615">
        <v>7</v>
      </c>
      <c r="F5984" s="615">
        <v>7</v>
      </c>
      <c r="G5984" s="615">
        <v>7</v>
      </c>
      <c r="H5984" s="691">
        <v>7.2</v>
      </c>
      <c r="I5984" s="691">
        <v>6.5</v>
      </c>
      <c r="J5984" s="691">
        <v>7.3</v>
      </c>
      <c r="K5984" s="691">
        <v>7.1</v>
      </c>
    </row>
    <row r="5985" spans="1:11">
      <c r="A5985" s="688" t="s">
        <v>1</v>
      </c>
      <c r="B5985" s="689">
        <v>5.5</v>
      </c>
      <c r="C5985" s="689">
        <v>5.0999999999999996</v>
      </c>
      <c r="D5985" s="693">
        <v>5</v>
      </c>
      <c r="E5985" s="689">
        <v>5.2</v>
      </c>
      <c r="F5985" s="689">
        <v>5.0999999999999996</v>
      </c>
      <c r="G5985" s="689">
        <v>5.2</v>
      </c>
      <c r="H5985" s="689">
        <v>5.2</v>
      </c>
      <c r="I5985" s="689">
        <v>4.9000000000000004</v>
      </c>
      <c r="J5985" s="689">
        <v>4.5</v>
      </c>
      <c r="K5985" s="693">
        <v>5</v>
      </c>
    </row>
    <row r="5986" spans="1:11">
      <c r="A5986" s="688" t="s">
        <v>2240</v>
      </c>
      <c r="B5986" s="691">
        <v>6.1</v>
      </c>
      <c r="C5986" s="615">
        <v>6</v>
      </c>
      <c r="D5986" s="691">
        <v>5.8</v>
      </c>
      <c r="E5986" s="691">
        <v>6.1</v>
      </c>
      <c r="F5986" s="615">
        <v>6</v>
      </c>
      <c r="G5986" s="691">
        <v>6.1</v>
      </c>
      <c r="H5986" s="691">
        <v>6.2</v>
      </c>
      <c r="I5986" s="691">
        <v>5.6</v>
      </c>
      <c r="J5986" s="691">
        <v>5.6</v>
      </c>
      <c r="K5986" s="615">
        <v>6</v>
      </c>
    </row>
    <row r="5987" spans="1:11">
      <c r="A5987" s="688" t="s">
        <v>2</v>
      </c>
      <c r="B5987" s="689">
        <v>6.8</v>
      </c>
      <c r="C5987" s="689">
        <v>6.9</v>
      </c>
      <c r="D5987" s="689">
        <v>6.7</v>
      </c>
      <c r="E5987" s="689">
        <v>6.8</v>
      </c>
      <c r="F5987" s="689">
        <v>6.8</v>
      </c>
      <c r="G5987" s="689">
        <v>6.6</v>
      </c>
      <c r="H5987" s="689">
        <v>6.8</v>
      </c>
      <c r="I5987" s="689">
        <v>6.9</v>
      </c>
      <c r="J5987" s="689">
        <v>6.7</v>
      </c>
      <c r="K5987" s="689">
        <v>6.6</v>
      </c>
    </row>
    <row r="5988" spans="1:11">
      <c r="A5988" s="688" t="s">
        <v>3</v>
      </c>
      <c r="B5988" s="691">
        <v>6.8</v>
      </c>
      <c r="C5988" s="691">
        <v>6.7</v>
      </c>
      <c r="D5988" s="691">
        <v>6.5</v>
      </c>
      <c r="E5988" s="691">
        <v>6.7</v>
      </c>
      <c r="F5988" s="691">
        <v>6.7</v>
      </c>
      <c r="G5988" s="691">
        <v>6.6</v>
      </c>
      <c r="H5988" s="691">
        <v>6.8</v>
      </c>
      <c r="I5988" s="691">
        <v>6.7</v>
      </c>
      <c r="J5988" s="691">
        <v>6.6</v>
      </c>
      <c r="K5988" s="691">
        <v>6.4</v>
      </c>
    </row>
    <row r="5989" spans="1:11">
      <c r="A5989" s="688" t="s">
        <v>4061</v>
      </c>
      <c r="B5989" s="689">
        <v>6.8</v>
      </c>
      <c r="C5989" s="689">
        <v>6.7</v>
      </c>
      <c r="D5989" s="689">
        <v>6.5</v>
      </c>
      <c r="E5989" s="689">
        <v>6.7</v>
      </c>
      <c r="F5989" s="689">
        <v>6.7</v>
      </c>
      <c r="G5989" s="689">
        <v>6.6</v>
      </c>
      <c r="H5989" s="689">
        <v>6.8</v>
      </c>
      <c r="I5989" s="689">
        <v>6.7</v>
      </c>
      <c r="J5989" s="689">
        <v>6.6</v>
      </c>
      <c r="K5989" s="689">
        <v>6.4</v>
      </c>
    </row>
    <row r="5990" spans="1:11">
      <c r="A5990" s="688" t="s">
        <v>4</v>
      </c>
      <c r="B5990" s="615">
        <v>7</v>
      </c>
      <c r="C5990" s="691">
        <v>6.4</v>
      </c>
      <c r="D5990" s="691">
        <v>6.6</v>
      </c>
      <c r="E5990" s="691">
        <v>6.6</v>
      </c>
      <c r="F5990" s="691">
        <v>6.6</v>
      </c>
      <c r="G5990" s="691">
        <v>6.6</v>
      </c>
      <c r="H5990" s="691">
        <v>6.9</v>
      </c>
      <c r="I5990" s="691">
        <v>6.8</v>
      </c>
      <c r="J5990" s="691">
        <v>6.2</v>
      </c>
      <c r="K5990" s="691">
        <v>6.5</v>
      </c>
    </row>
    <row r="5991" spans="1:11">
      <c r="A5991" s="688" t="s">
        <v>8</v>
      </c>
      <c r="B5991" s="689">
        <v>6.7</v>
      </c>
      <c r="C5991" s="689">
        <v>6.7</v>
      </c>
      <c r="D5991" s="689">
        <v>6.5</v>
      </c>
      <c r="E5991" s="689">
        <v>6.6</v>
      </c>
      <c r="F5991" s="689">
        <v>6.8</v>
      </c>
      <c r="G5991" s="689">
        <v>6.9</v>
      </c>
      <c r="H5991" s="693">
        <v>7</v>
      </c>
      <c r="I5991" s="689">
        <v>6.9</v>
      </c>
      <c r="J5991" s="689">
        <v>6.8</v>
      </c>
      <c r="K5991" s="689">
        <v>6.9</v>
      </c>
    </row>
    <row r="5992" spans="1:11">
      <c r="A5992" s="688" t="s">
        <v>7</v>
      </c>
      <c r="B5992" s="691">
        <v>7.3</v>
      </c>
      <c r="C5992" s="691">
        <v>6.4</v>
      </c>
      <c r="D5992" s="691">
        <v>6.2</v>
      </c>
      <c r="E5992" s="691">
        <v>6.5</v>
      </c>
      <c r="F5992" s="691">
        <v>6.4</v>
      </c>
      <c r="G5992" s="691">
        <v>6.8</v>
      </c>
      <c r="H5992" s="691">
        <v>6.7</v>
      </c>
      <c r="I5992" s="691">
        <v>6.7</v>
      </c>
      <c r="J5992" s="691">
        <v>6.4</v>
      </c>
      <c r="K5992" s="691">
        <v>6.4</v>
      </c>
    </row>
    <row r="5993" spans="1:11">
      <c r="A5993" s="688" t="s">
        <v>27</v>
      </c>
      <c r="B5993" s="689">
        <v>8.1</v>
      </c>
      <c r="C5993" s="689">
        <v>7.5</v>
      </c>
      <c r="D5993" s="689">
        <v>7.2</v>
      </c>
      <c r="E5993" s="689">
        <v>7.5</v>
      </c>
      <c r="F5993" s="689">
        <v>7.4</v>
      </c>
      <c r="G5993" s="689">
        <v>7.4</v>
      </c>
      <c r="H5993" s="689">
        <v>7.7</v>
      </c>
      <c r="I5993" s="689">
        <v>6.9</v>
      </c>
      <c r="J5993" s="689">
        <v>7.5</v>
      </c>
      <c r="K5993" s="689">
        <v>7.4</v>
      </c>
    </row>
    <row r="5994" spans="1:11">
      <c r="A5994" s="688" t="s">
        <v>6</v>
      </c>
      <c r="B5994" s="691">
        <v>8.3000000000000007</v>
      </c>
      <c r="C5994" s="691">
        <v>7.8</v>
      </c>
      <c r="D5994" s="691">
        <v>7.6</v>
      </c>
      <c r="E5994" s="691">
        <v>7.8</v>
      </c>
      <c r="F5994" s="691">
        <v>7.8</v>
      </c>
      <c r="G5994" s="691">
        <v>7.9</v>
      </c>
      <c r="H5994" s="615">
        <v>8</v>
      </c>
      <c r="I5994" s="691">
        <v>7.5</v>
      </c>
      <c r="J5994" s="691">
        <v>7.8</v>
      </c>
      <c r="K5994" s="691">
        <v>7.7</v>
      </c>
    </row>
    <row r="5995" spans="1:11">
      <c r="A5995" s="688" t="s">
        <v>4058</v>
      </c>
      <c r="B5995" s="690" t="s">
        <v>4060</v>
      </c>
      <c r="C5995" s="690" t="s">
        <v>4060</v>
      </c>
      <c r="D5995" s="690" t="s">
        <v>4060</v>
      </c>
      <c r="E5995" s="690" t="s">
        <v>4060</v>
      </c>
      <c r="F5995" s="690" t="s">
        <v>4060</v>
      </c>
      <c r="G5995" s="690" t="s">
        <v>4060</v>
      </c>
      <c r="H5995" s="690" t="s">
        <v>4060</v>
      </c>
      <c r="I5995" s="690" t="s">
        <v>4060</v>
      </c>
      <c r="J5995" s="690" t="s">
        <v>4060</v>
      </c>
      <c r="K5995" s="690" t="s">
        <v>4060</v>
      </c>
    </row>
    <row r="5996" spans="1:11">
      <c r="A5996" s="688" t="s">
        <v>11</v>
      </c>
      <c r="B5996" s="691">
        <v>5.9</v>
      </c>
      <c r="C5996" s="691">
        <v>5.7</v>
      </c>
      <c r="D5996" s="691">
        <v>5.3</v>
      </c>
      <c r="E5996" s="691">
        <v>5.6</v>
      </c>
      <c r="F5996" s="691">
        <v>5.5</v>
      </c>
      <c r="G5996" s="691">
        <v>5.6</v>
      </c>
      <c r="H5996" s="691">
        <v>5.7</v>
      </c>
      <c r="I5996" s="691">
        <v>5.4</v>
      </c>
      <c r="J5996" s="691">
        <v>5.0999999999999996</v>
      </c>
      <c r="K5996" s="691">
        <v>5.2</v>
      </c>
    </row>
    <row r="5997" spans="1:11">
      <c r="A5997" s="688" t="s">
        <v>10</v>
      </c>
      <c r="B5997" s="689">
        <v>7.7</v>
      </c>
      <c r="C5997" s="689">
        <v>7.2</v>
      </c>
      <c r="D5997" s="689">
        <v>6.9</v>
      </c>
      <c r="E5997" s="689">
        <v>7.2</v>
      </c>
      <c r="F5997" s="693">
        <v>7</v>
      </c>
      <c r="G5997" s="689">
        <v>7.3</v>
      </c>
      <c r="H5997" s="689">
        <v>7.3</v>
      </c>
      <c r="I5997" s="689">
        <v>6.7</v>
      </c>
      <c r="J5997" s="693">
        <v>7</v>
      </c>
      <c r="K5997" s="689">
        <v>6.9</v>
      </c>
    </row>
    <row r="5998" spans="1:11">
      <c r="A5998" s="688" t="s">
        <v>30</v>
      </c>
      <c r="B5998" s="691">
        <v>6.8</v>
      </c>
      <c r="C5998" s="691">
        <v>6.4</v>
      </c>
      <c r="D5998" s="691">
        <v>5.9</v>
      </c>
      <c r="E5998" s="691">
        <v>6.6</v>
      </c>
      <c r="F5998" s="691">
        <v>6.2</v>
      </c>
      <c r="G5998" s="691">
        <v>6.8</v>
      </c>
      <c r="H5998" s="691">
        <v>6.6</v>
      </c>
      <c r="I5998" s="691">
        <v>6.6</v>
      </c>
      <c r="J5998" s="691">
        <v>6.4</v>
      </c>
      <c r="K5998" s="691">
        <v>6.3</v>
      </c>
    </row>
    <row r="5999" spans="1:11">
      <c r="A5999" s="688" t="s">
        <v>12</v>
      </c>
      <c r="B5999" s="689">
        <v>6.3</v>
      </c>
      <c r="C5999" s="693">
        <v>6</v>
      </c>
      <c r="D5999" s="693">
        <v>6</v>
      </c>
      <c r="E5999" s="689">
        <v>5.9</v>
      </c>
      <c r="F5999" s="693">
        <v>6</v>
      </c>
      <c r="G5999" s="693">
        <v>6</v>
      </c>
      <c r="H5999" s="689">
        <v>6.1</v>
      </c>
      <c r="I5999" s="693">
        <v>6</v>
      </c>
      <c r="J5999" s="689">
        <v>5.4</v>
      </c>
      <c r="K5999" s="689">
        <v>5.8</v>
      </c>
    </row>
    <row r="6000" spans="1:11">
      <c r="A6000" s="688" t="s">
        <v>14</v>
      </c>
      <c r="B6000" s="691">
        <v>6.3</v>
      </c>
      <c r="C6000" s="691">
        <v>5.7</v>
      </c>
      <c r="D6000" s="691">
        <v>5.5</v>
      </c>
      <c r="E6000" s="691">
        <v>5.6</v>
      </c>
      <c r="F6000" s="691">
        <v>5.6</v>
      </c>
      <c r="G6000" s="691">
        <v>5.7</v>
      </c>
      <c r="H6000" s="691">
        <v>5.9</v>
      </c>
      <c r="I6000" s="691">
        <v>5.7</v>
      </c>
      <c r="J6000" s="691">
        <v>5.4</v>
      </c>
      <c r="K6000" s="691">
        <v>5.7</v>
      </c>
    </row>
    <row r="6001" spans="1:11">
      <c r="A6001" s="688" t="s">
        <v>15</v>
      </c>
      <c r="B6001" s="689">
        <v>7.8</v>
      </c>
      <c r="C6001" s="689">
        <v>7.2</v>
      </c>
      <c r="D6001" s="689">
        <v>6.9</v>
      </c>
      <c r="E6001" s="689">
        <v>7.1</v>
      </c>
      <c r="F6001" s="689">
        <v>7.1</v>
      </c>
      <c r="G6001" s="693">
        <v>7</v>
      </c>
      <c r="H6001" s="689">
        <v>7.2</v>
      </c>
      <c r="I6001" s="689">
        <v>6.9</v>
      </c>
      <c r="J6001" s="689">
        <v>7.1</v>
      </c>
      <c r="K6001" s="689">
        <v>7.3</v>
      </c>
    </row>
    <row r="6002" spans="1:11">
      <c r="A6002" s="688" t="s">
        <v>29</v>
      </c>
      <c r="B6002" s="615">
        <v>6</v>
      </c>
      <c r="C6002" s="691">
        <v>5.9</v>
      </c>
      <c r="D6002" s="691">
        <v>5.6</v>
      </c>
      <c r="E6002" s="691">
        <v>5.9</v>
      </c>
      <c r="F6002" s="691">
        <v>5.7</v>
      </c>
      <c r="G6002" s="691">
        <v>5.8</v>
      </c>
      <c r="H6002" s="691">
        <v>5.8</v>
      </c>
      <c r="I6002" s="691">
        <v>5.6</v>
      </c>
      <c r="J6002" s="691">
        <v>5.4</v>
      </c>
      <c r="K6002" s="691">
        <v>5.7</v>
      </c>
    </row>
    <row r="6003" spans="1:11">
      <c r="A6003" s="688" t="s">
        <v>16</v>
      </c>
      <c r="B6003" s="689">
        <v>7.1</v>
      </c>
      <c r="C6003" s="689">
        <v>6.8</v>
      </c>
      <c r="D6003" s="689">
        <v>6.5</v>
      </c>
      <c r="E6003" s="693">
        <v>7</v>
      </c>
      <c r="F6003" s="689">
        <v>6.7</v>
      </c>
      <c r="G6003" s="689">
        <v>6.9</v>
      </c>
      <c r="H6003" s="693">
        <v>7</v>
      </c>
      <c r="I6003" s="689">
        <v>6.7</v>
      </c>
      <c r="J6003" s="689">
        <v>6.8</v>
      </c>
      <c r="K6003" s="689">
        <v>6.8</v>
      </c>
    </row>
    <row r="6004" spans="1:11">
      <c r="A6004" s="688" t="s">
        <v>17</v>
      </c>
      <c r="B6004" s="691">
        <v>6.9</v>
      </c>
      <c r="C6004" s="691">
        <v>6.8</v>
      </c>
      <c r="D6004" s="691">
        <v>6.6</v>
      </c>
      <c r="E6004" s="691">
        <v>6.6</v>
      </c>
      <c r="F6004" s="691">
        <v>6.6</v>
      </c>
      <c r="G6004" s="691">
        <v>6.6</v>
      </c>
      <c r="H6004" s="691">
        <v>6.8</v>
      </c>
      <c r="I6004" s="691">
        <v>6.4</v>
      </c>
      <c r="J6004" s="691">
        <v>6.5</v>
      </c>
      <c r="K6004" s="691">
        <v>6.5</v>
      </c>
    </row>
    <row r="6005" spans="1:11">
      <c r="A6005" s="688" t="s">
        <v>19</v>
      </c>
      <c r="B6005" s="689">
        <v>7.1</v>
      </c>
      <c r="C6005" s="689">
        <v>6.9</v>
      </c>
      <c r="D6005" s="689">
        <v>6.6</v>
      </c>
      <c r="E6005" s="689">
        <v>6.9</v>
      </c>
      <c r="F6005" s="689">
        <v>6.8</v>
      </c>
      <c r="G6005" s="689">
        <v>6.8</v>
      </c>
      <c r="H6005" s="689">
        <v>6.9</v>
      </c>
      <c r="I6005" s="689">
        <v>6.6</v>
      </c>
      <c r="J6005" s="689">
        <v>6.7</v>
      </c>
      <c r="K6005" s="689">
        <v>6.6</v>
      </c>
    </row>
    <row r="6006" spans="1:11">
      <c r="A6006" s="688" t="s">
        <v>20</v>
      </c>
      <c r="B6006" s="691">
        <v>6.9</v>
      </c>
      <c r="C6006" s="691">
        <v>6.6</v>
      </c>
      <c r="D6006" s="691">
        <v>6.4</v>
      </c>
      <c r="E6006" s="691">
        <v>6.7</v>
      </c>
      <c r="F6006" s="691">
        <v>6.6</v>
      </c>
      <c r="G6006" s="691">
        <v>6.6</v>
      </c>
      <c r="H6006" s="691">
        <v>6.8</v>
      </c>
      <c r="I6006" s="691">
        <v>6.1</v>
      </c>
      <c r="J6006" s="691">
        <v>5.8</v>
      </c>
      <c r="K6006" s="691">
        <v>6.3</v>
      </c>
    </row>
    <row r="6007" spans="1:11">
      <c r="A6007" s="688" t="s">
        <v>21</v>
      </c>
      <c r="B6007" s="689">
        <v>6.8</v>
      </c>
      <c r="C6007" s="693">
        <v>7</v>
      </c>
      <c r="D6007" s="689">
        <v>6.9</v>
      </c>
      <c r="E6007" s="693">
        <v>7</v>
      </c>
      <c r="F6007" s="689">
        <v>7.1</v>
      </c>
      <c r="G6007" s="693">
        <v>7</v>
      </c>
      <c r="H6007" s="689">
        <v>7.2</v>
      </c>
      <c r="I6007" s="689">
        <v>6.8</v>
      </c>
      <c r="J6007" s="689">
        <v>6.9</v>
      </c>
      <c r="K6007" s="689">
        <v>6.9</v>
      </c>
    </row>
    <row r="6008" spans="1:11">
      <c r="A6008" s="688" t="s">
        <v>22</v>
      </c>
      <c r="B6008" s="615">
        <v>6</v>
      </c>
      <c r="C6008" s="691">
        <v>5.7</v>
      </c>
      <c r="D6008" s="691">
        <v>5.6</v>
      </c>
      <c r="E6008" s="615">
        <v>6</v>
      </c>
      <c r="F6008" s="615">
        <v>6</v>
      </c>
      <c r="G6008" s="615">
        <v>6</v>
      </c>
      <c r="H6008" s="691">
        <v>6.3</v>
      </c>
      <c r="I6008" s="691">
        <v>5.8</v>
      </c>
      <c r="J6008" s="691">
        <v>5.0999999999999996</v>
      </c>
      <c r="K6008" s="691">
        <v>5.4</v>
      </c>
    </row>
    <row r="6009" spans="1:11">
      <c r="A6009" s="688" t="s">
        <v>26</v>
      </c>
      <c r="B6009" s="689">
        <v>7.2</v>
      </c>
      <c r="C6009" s="689">
        <v>6.7</v>
      </c>
      <c r="D6009" s="689">
        <v>6.6</v>
      </c>
      <c r="E6009" s="689">
        <v>6.7</v>
      </c>
      <c r="F6009" s="689">
        <v>6.7</v>
      </c>
      <c r="G6009" s="689">
        <v>6.8</v>
      </c>
      <c r="H6009" s="689">
        <v>6.9</v>
      </c>
      <c r="I6009" s="689">
        <v>6.1</v>
      </c>
      <c r="J6009" s="689">
        <v>6.6</v>
      </c>
      <c r="K6009" s="689">
        <v>6.7</v>
      </c>
    </row>
    <row r="6010" spans="1:11">
      <c r="A6010" s="688" t="s">
        <v>25</v>
      </c>
      <c r="B6010" s="615">
        <v>6</v>
      </c>
      <c r="C6010" s="691">
        <v>6.1</v>
      </c>
      <c r="D6010" s="691">
        <v>5.8</v>
      </c>
      <c r="E6010" s="691">
        <v>6.1</v>
      </c>
      <c r="F6010" s="615">
        <v>6</v>
      </c>
      <c r="G6010" s="691">
        <v>6.2</v>
      </c>
      <c r="H6010" s="691">
        <v>6.5</v>
      </c>
      <c r="I6010" s="691">
        <v>6.1</v>
      </c>
      <c r="J6010" s="691">
        <v>5.3</v>
      </c>
      <c r="K6010" s="691">
        <v>5.8</v>
      </c>
    </row>
    <row r="6011" spans="1:11">
      <c r="A6011" s="688" t="s">
        <v>5</v>
      </c>
      <c r="B6011" s="689">
        <v>7.3</v>
      </c>
      <c r="C6011" s="689">
        <v>6.8</v>
      </c>
      <c r="D6011" s="689">
        <v>6.8</v>
      </c>
      <c r="E6011" s="689">
        <v>6.8</v>
      </c>
      <c r="F6011" s="693">
        <v>7</v>
      </c>
      <c r="G6011" s="689">
        <v>6.9</v>
      </c>
      <c r="H6011" s="689">
        <v>7.2</v>
      </c>
      <c r="I6011" s="689">
        <v>7.1</v>
      </c>
      <c r="J6011" s="689">
        <v>7.1</v>
      </c>
      <c r="K6011" s="689">
        <v>6.6</v>
      </c>
    </row>
    <row r="6012" spans="1:11">
      <c r="A6012" s="688" t="s">
        <v>23</v>
      </c>
      <c r="B6012" s="691">
        <v>6.9</v>
      </c>
      <c r="C6012" s="691">
        <v>6.9</v>
      </c>
      <c r="D6012" s="691">
        <v>6.8</v>
      </c>
      <c r="E6012" s="691">
        <v>6.9</v>
      </c>
      <c r="F6012" s="691">
        <v>6.8</v>
      </c>
      <c r="G6012" s="691">
        <v>6.9</v>
      </c>
      <c r="H6012" s="691">
        <v>7.2</v>
      </c>
      <c r="I6012" s="691">
        <v>6.7</v>
      </c>
      <c r="J6012" s="691">
        <v>7.2</v>
      </c>
      <c r="K6012" s="691">
        <v>7.1</v>
      </c>
    </row>
    <row r="6013" spans="1:11">
      <c r="A6013" s="688" t="s">
        <v>4067</v>
      </c>
      <c r="B6013" s="689">
        <v>7.2</v>
      </c>
      <c r="C6013" s="689">
        <v>7.5</v>
      </c>
      <c r="D6013" s="689">
        <v>7.1</v>
      </c>
      <c r="E6013" s="689">
        <v>7.4</v>
      </c>
      <c r="F6013" s="689">
        <v>7.2</v>
      </c>
      <c r="G6013" s="689">
        <v>7.3</v>
      </c>
      <c r="H6013" s="690" t="s">
        <v>4060</v>
      </c>
      <c r="I6013" s="690" t="s">
        <v>4060</v>
      </c>
      <c r="J6013" s="690" t="s">
        <v>4060</v>
      </c>
      <c r="K6013" s="690" t="s">
        <v>4060</v>
      </c>
    </row>
    <row r="6014" spans="1:11">
      <c r="A6014" s="688" t="s">
        <v>4066</v>
      </c>
      <c r="B6014" s="691">
        <v>7.3</v>
      </c>
      <c r="C6014" s="691">
        <v>7.5</v>
      </c>
      <c r="D6014" s="691">
        <v>7.1</v>
      </c>
      <c r="E6014" s="691">
        <v>7.4</v>
      </c>
      <c r="F6014" s="691">
        <v>7.2</v>
      </c>
      <c r="G6014" s="691">
        <v>7.3</v>
      </c>
      <c r="H6014" s="692" t="s">
        <v>4060</v>
      </c>
      <c r="I6014" s="692" t="s">
        <v>4060</v>
      </c>
      <c r="J6014" s="692" t="s">
        <v>4060</v>
      </c>
      <c r="K6014" s="692" t="s">
        <v>4060</v>
      </c>
    </row>
    <row r="6015" spans="1:11">
      <c r="A6015" s="688" t="s">
        <v>4062</v>
      </c>
      <c r="B6015" s="689">
        <v>7.2</v>
      </c>
      <c r="C6015" s="689">
        <v>7.1</v>
      </c>
      <c r="D6015" s="693">
        <v>7</v>
      </c>
      <c r="E6015" s="689">
        <v>7.2</v>
      </c>
      <c r="F6015" s="689">
        <v>7.2</v>
      </c>
      <c r="G6015" s="689">
        <v>7.3</v>
      </c>
      <c r="H6015" s="689">
        <v>7.3</v>
      </c>
      <c r="I6015" s="693">
        <v>7</v>
      </c>
      <c r="J6015" s="689">
        <v>7.3</v>
      </c>
      <c r="K6015" s="689">
        <v>7.1</v>
      </c>
    </row>
    <row r="6016" spans="1:11">
      <c r="A6016" s="688" t="s">
        <v>9</v>
      </c>
      <c r="B6016" s="615">
        <v>7</v>
      </c>
      <c r="C6016" s="615">
        <v>7</v>
      </c>
      <c r="D6016" s="691">
        <v>6.8</v>
      </c>
      <c r="E6016" s="691">
        <v>6.6</v>
      </c>
      <c r="F6016" s="615">
        <v>7</v>
      </c>
      <c r="G6016" s="615">
        <v>7</v>
      </c>
      <c r="H6016" s="691">
        <v>6.9</v>
      </c>
      <c r="I6016" s="691">
        <v>7.2</v>
      </c>
      <c r="J6016" s="691">
        <v>7.3</v>
      </c>
      <c r="K6016" s="691">
        <v>6.7</v>
      </c>
    </row>
    <row r="6017" spans="1:11">
      <c r="A6017" s="688" t="s">
        <v>13</v>
      </c>
      <c r="B6017" s="689">
        <v>7.1</v>
      </c>
      <c r="C6017" s="689">
        <v>6.3</v>
      </c>
      <c r="D6017" s="689">
        <v>6.7</v>
      </c>
      <c r="E6017" s="689">
        <v>6.9</v>
      </c>
      <c r="F6017" s="689">
        <v>7.7</v>
      </c>
      <c r="G6017" s="693">
        <v>7</v>
      </c>
      <c r="H6017" s="689">
        <v>7.3</v>
      </c>
      <c r="I6017" s="689">
        <v>6.4</v>
      </c>
      <c r="J6017" s="689">
        <v>6.9</v>
      </c>
      <c r="K6017" s="693">
        <v>7</v>
      </c>
    </row>
    <row r="6018" spans="1:11">
      <c r="A6018" s="688" t="s">
        <v>18</v>
      </c>
      <c r="B6018" s="615">
        <v>7</v>
      </c>
      <c r="C6018" s="691">
        <v>6.9</v>
      </c>
      <c r="D6018" s="691">
        <v>6.9</v>
      </c>
      <c r="E6018" s="615">
        <v>7</v>
      </c>
      <c r="F6018" s="615">
        <v>7</v>
      </c>
      <c r="G6018" s="691">
        <v>7.1</v>
      </c>
      <c r="H6018" s="691">
        <v>7.2</v>
      </c>
      <c r="I6018" s="691">
        <v>7.2</v>
      </c>
      <c r="J6018" s="691">
        <v>7.1</v>
      </c>
      <c r="K6018" s="691">
        <v>6.8</v>
      </c>
    </row>
    <row r="6019" spans="1:11">
      <c r="A6019" s="688" t="s">
        <v>24</v>
      </c>
      <c r="B6019" s="689">
        <v>7.3</v>
      </c>
      <c r="C6019" s="689">
        <v>7.2</v>
      </c>
      <c r="D6019" s="693">
        <v>7</v>
      </c>
      <c r="E6019" s="689">
        <v>7.3</v>
      </c>
      <c r="F6019" s="689">
        <v>7.2</v>
      </c>
      <c r="G6019" s="689">
        <v>7.4</v>
      </c>
      <c r="H6019" s="689">
        <v>7.4</v>
      </c>
      <c r="I6019" s="689">
        <v>6.8</v>
      </c>
      <c r="J6019" s="689">
        <v>7.4</v>
      </c>
      <c r="K6019" s="689">
        <v>7.2</v>
      </c>
    </row>
    <row r="6020" spans="1:11">
      <c r="A6020" s="688" t="s">
        <v>4059</v>
      </c>
      <c r="B6020" s="691">
        <v>7.1</v>
      </c>
      <c r="C6020" s="691">
        <v>7.4</v>
      </c>
      <c r="D6020" s="691">
        <v>6.9</v>
      </c>
      <c r="E6020" s="691">
        <v>7.2</v>
      </c>
      <c r="F6020" s="691">
        <v>7.1</v>
      </c>
      <c r="G6020" s="691">
        <v>7.2</v>
      </c>
      <c r="H6020" s="692" t="s">
        <v>4060</v>
      </c>
      <c r="I6020" s="692" t="s">
        <v>4060</v>
      </c>
      <c r="J6020" s="692" t="s">
        <v>4060</v>
      </c>
      <c r="K6020" s="692" t="s">
        <v>4060</v>
      </c>
    </row>
    <row r="6021" spans="1:11">
      <c r="A6021" s="688" t="s">
        <v>2324</v>
      </c>
      <c r="B6021" s="689">
        <v>5.7</v>
      </c>
      <c r="C6021" s="689">
        <v>5.6</v>
      </c>
      <c r="D6021" s="689">
        <v>5.0999999999999996</v>
      </c>
      <c r="E6021" s="689">
        <v>5.4</v>
      </c>
      <c r="F6021" s="689">
        <v>5.8</v>
      </c>
      <c r="G6021" s="689">
        <v>5.7</v>
      </c>
      <c r="H6021" s="689">
        <v>5.7</v>
      </c>
      <c r="I6021" s="689">
        <v>5.4</v>
      </c>
      <c r="J6021" s="689">
        <v>4.3</v>
      </c>
      <c r="K6021" s="690" t="s">
        <v>4060</v>
      </c>
    </row>
    <row r="6022" spans="1:11">
      <c r="A6022" s="688" t="s">
        <v>2322</v>
      </c>
      <c r="B6022" s="692" t="s">
        <v>4060</v>
      </c>
      <c r="C6022" s="692" t="s">
        <v>4060</v>
      </c>
      <c r="D6022" s="692" t="s">
        <v>4060</v>
      </c>
      <c r="E6022" s="692" t="s">
        <v>4060</v>
      </c>
      <c r="F6022" s="692" t="s">
        <v>4060</v>
      </c>
      <c r="G6022" s="692" t="s">
        <v>4060</v>
      </c>
      <c r="H6022" s="692" t="s">
        <v>4060</v>
      </c>
      <c r="I6022" s="692" t="s">
        <v>4060</v>
      </c>
      <c r="J6022" s="692" t="s">
        <v>4060</v>
      </c>
      <c r="K6022" s="692" t="s">
        <v>4060</v>
      </c>
    </row>
    <row r="6023" spans="1:11">
      <c r="A6023" s="688" t="s">
        <v>2328</v>
      </c>
      <c r="B6023" s="689">
        <v>4.7</v>
      </c>
      <c r="C6023" s="689">
        <v>4.7</v>
      </c>
      <c r="D6023" s="689">
        <v>4.5</v>
      </c>
      <c r="E6023" s="689">
        <v>4.7</v>
      </c>
      <c r="F6023" s="689">
        <v>4.8</v>
      </c>
      <c r="G6023" s="689">
        <v>4.9000000000000004</v>
      </c>
      <c r="H6023" s="689">
        <v>4.8</v>
      </c>
      <c r="I6023" s="689">
        <v>4.4000000000000004</v>
      </c>
      <c r="J6023" s="689">
        <v>4.2</v>
      </c>
      <c r="K6023" s="690" t="s">
        <v>4060</v>
      </c>
    </row>
    <row r="6024" spans="1:11">
      <c r="A6024" s="688" t="s">
        <v>2496</v>
      </c>
      <c r="B6024" s="692" t="s">
        <v>4060</v>
      </c>
      <c r="C6024" s="691">
        <v>7.2</v>
      </c>
      <c r="D6024" s="691">
        <v>5.5</v>
      </c>
      <c r="E6024" s="691">
        <v>4.5</v>
      </c>
      <c r="F6024" s="691">
        <v>4.7</v>
      </c>
      <c r="G6024" s="691">
        <v>4.7</v>
      </c>
      <c r="H6024" s="691">
        <v>4.5999999999999996</v>
      </c>
      <c r="I6024" s="692" t="s">
        <v>4060</v>
      </c>
      <c r="J6024" s="692" t="s">
        <v>4060</v>
      </c>
      <c r="K6024" s="691">
        <v>4.0999999999999996</v>
      </c>
    </row>
    <row r="6025" spans="1:11">
      <c r="A6025" s="688" t="s">
        <v>2269</v>
      </c>
      <c r="B6025" s="689">
        <v>5.3</v>
      </c>
      <c r="C6025" s="689">
        <v>5.0999999999999996</v>
      </c>
      <c r="D6025" s="689">
        <v>4.5</v>
      </c>
      <c r="E6025" s="689">
        <v>4.7</v>
      </c>
      <c r="F6025" s="689">
        <v>4.5</v>
      </c>
      <c r="G6025" s="689">
        <v>4.8</v>
      </c>
      <c r="H6025" s="689">
        <v>4.9000000000000004</v>
      </c>
      <c r="I6025" s="689">
        <v>4.2</v>
      </c>
      <c r="J6025" s="689">
        <v>0.9</v>
      </c>
      <c r="K6025" s="689">
        <v>4.5999999999999996</v>
      </c>
    </row>
    <row r="6026" spans="1:11">
      <c r="A6026" s="688" t="s">
        <v>2349</v>
      </c>
      <c r="B6026" s="691">
        <v>5.2</v>
      </c>
      <c r="C6026" s="691">
        <v>5.3</v>
      </c>
      <c r="D6026" s="691">
        <v>5.2</v>
      </c>
      <c r="E6026" s="691">
        <v>5.4</v>
      </c>
      <c r="F6026" s="691">
        <v>5.3</v>
      </c>
      <c r="G6026" s="691">
        <v>5.5</v>
      </c>
      <c r="H6026" s="691">
        <v>5.7</v>
      </c>
      <c r="I6026" s="691">
        <v>5.2</v>
      </c>
      <c r="J6026" s="691">
        <v>4.5</v>
      </c>
      <c r="K6026" s="691">
        <v>4.9000000000000004</v>
      </c>
    </row>
    <row r="6027" spans="1:11">
      <c r="A6027" s="688" t="s">
        <v>2355</v>
      </c>
      <c r="B6027" s="689">
        <v>7.1</v>
      </c>
      <c r="C6027" s="689">
        <v>6.8</v>
      </c>
      <c r="D6027" s="689">
        <v>6.7</v>
      </c>
      <c r="E6027" s="689">
        <v>6.6</v>
      </c>
      <c r="F6027" s="689">
        <v>6.6</v>
      </c>
      <c r="G6027" s="689">
        <v>6.9</v>
      </c>
      <c r="H6027" s="689">
        <v>6.8</v>
      </c>
      <c r="I6027" s="690" t="s">
        <v>4060</v>
      </c>
      <c r="J6027" s="690" t="s">
        <v>4060</v>
      </c>
      <c r="K6027" s="690" t="s">
        <v>4060</v>
      </c>
    </row>
    <row r="6028" spans="1:11">
      <c r="A6028" s="688" t="s">
        <v>2357</v>
      </c>
      <c r="B6028" s="692" t="s">
        <v>4060</v>
      </c>
      <c r="C6028" s="691">
        <v>5.8</v>
      </c>
      <c r="D6028" s="615">
        <v>6</v>
      </c>
      <c r="E6028" s="691">
        <v>6.2</v>
      </c>
      <c r="F6028" s="691">
        <v>6.4</v>
      </c>
      <c r="G6028" s="615">
        <v>6</v>
      </c>
      <c r="H6028" s="691">
        <v>6.1</v>
      </c>
      <c r="I6028" s="692" t="s">
        <v>4060</v>
      </c>
      <c r="J6028" s="692" t="s">
        <v>4060</v>
      </c>
      <c r="K6028" s="692" t="s">
        <v>4060</v>
      </c>
    </row>
    <row r="6029" spans="1:11">
      <c r="A6029" s="688" t="s">
        <v>4070</v>
      </c>
      <c r="B6029" s="690" t="s">
        <v>4060</v>
      </c>
      <c r="C6029" s="690" t="s">
        <v>4060</v>
      </c>
      <c r="D6029" s="690" t="s">
        <v>4060</v>
      </c>
      <c r="E6029" s="693">
        <v>8</v>
      </c>
      <c r="F6029" s="690" t="s">
        <v>4060</v>
      </c>
      <c r="G6029" s="690" t="s">
        <v>4060</v>
      </c>
      <c r="H6029" s="690" t="s">
        <v>4060</v>
      </c>
      <c r="I6029" s="690" t="s">
        <v>4060</v>
      </c>
      <c r="J6029" s="690" t="s">
        <v>4060</v>
      </c>
      <c r="K6029" s="690" t="s">
        <v>4060</v>
      </c>
    </row>
    <row r="6030" spans="1:11">
      <c r="A6030" s="688" t="s">
        <v>2491</v>
      </c>
      <c r="B6030" s="691">
        <v>5.8</v>
      </c>
      <c r="C6030" s="615">
        <v>6</v>
      </c>
      <c r="D6030" s="691">
        <v>5.9</v>
      </c>
      <c r="E6030" s="691">
        <v>5.9</v>
      </c>
      <c r="F6030" s="691">
        <v>5.8</v>
      </c>
      <c r="G6030" s="691">
        <v>5.9</v>
      </c>
      <c r="H6030" s="692" t="s">
        <v>4060</v>
      </c>
      <c r="I6030" s="692" t="s">
        <v>4060</v>
      </c>
      <c r="J6030" s="692" t="s">
        <v>4060</v>
      </c>
      <c r="K6030" s="692" t="s">
        <v>4060</v>
      </c>
    </row>
    <row r="6031" spans="1:11">
      <c r="A6031" s="688" t="s">
        <v>2343</v>
      </c>
      <c r="B6031" s="690" t="s">
        <v>4060</v>
      </c>
      <c r="C6031" s="690" t="s">
        <v>4060</v>
      </c>
      <c r="D6031" s="690" t="s">
        <v>4060</v>
      </c>
      <c r="E6031" s="690" t="s">
        <v>4060</v>
      </c>
      <c r="F6031" s="690" t="s">
        <v>4060</v>
      </c>
      <c r="G6031" s="690" t="s">
        <v>4060</v>
      </c>
      <c r="H6031" s="690" t="s">
        <v>4060</v>
      </c>
      <c r="I6031" s="690" t="s">
        <v>4060</v>
      </c>
      <c r="J6031" s="690" t="s">
        <v>4060</v>
      </c>
      <c r="K6031" s="690" t="s">
        <v>4060</v>
      </c>
    </row>
    <row r="6032" spans="1:11">
      <c r="A6032" s="688" t="s">
        <v>4071</v>
      </c>
      <c r="B6032" s="692" t="s">
        <v>4060</v>
      </c>
      <c r="C6032" s="692" t="s">
        <v>4060</v>
      </c>
      <c r="D6032" s="692" t="s">
        <v>4060</v>
      </c>
      <c r="E6032" s="692" t="s">
        <v>4060</v>
      </c>
      <c r="F6032" s="692" t="s">
        <v>4060</v>
      </c>
      <c r="G6032" s="692" t="s">
        <v>4060</v>
      </c>
      <c r="H6032" s="692" t="s">
        <v>4060</v>
      </c>
      <c r="I6032" s="692" t="s">
        <v>4060</v>
      </c>
      <c r="J6032" s="692" t="s">
        <v>4060</v>
      </c>
      <c r="K6032" s="692" t="s">
        <v>4060</v>
      </c>
    </row>
    <row r="6033" spans="1:11">
      <c r="A6033" s="688" t="s">
        <v>2489</v>
      </c>
      <c r="B6033" s="690" t="s">
        <v>4060</v>
      </c>
      <c r="C6033" s="690" t="s">
        <v>4060</v>
      </c>
      <c r="D6033" s="689">
        <v>5.6</v>
      </c>
      <c r="E6033" s="689">
        <v>5.5</v>
      </c>
      <c r="F6033" s="689">
        <v>5.5</v>
      </c>
      <c r="G6033" s="689">
        <v>5.5</v>
      </c>
      <c r="H6033" s="693">
        <v>6</v>
      </c>
      <c r="I6033" s="690" t="s">
        <v>4060</v>
      </c>
      <c r="J6033" s="690" t="s">
        <v>4060</v>
      </c>
      <c r="K6033" s="690" t="s">
        <v>4060</v>
      </c>
    </row>
    <row r="6034" spans="1:11">
      <c r="A6034" s="688" t="s">
        <v>2490</v>
      </c>
      <c r="B6034" s="615">
        <v>6</v>
      </c>
      <c r="C6034" s="691">
        <v>5.8</v>
      </c>
      <c r="D6034" s="691">
        <v>6.5</v>
      </c>
      <c r="E6034" s="692" t="s">
        <v>4060</v>
      </c>
      <c r="F6034" s="691">
        <v>6.7</v>
      </c>
      <c r="G6034" s="691">
        <v>6.4</v>
      </c>
      <c r="H6034" s="691">
        <v>7.1</v>
      </c>
      <c r="I6034" s="692" t="s">
        <v>4060</v>
      </c>
      <c r="J6034" s="692" t="s">
        <v>4060</v>
      </c>
      <c r="K6034" s="692" t="s">
        <v>4060</v>
      </c>
    </row>
    <row r="6036" spans="1:11">
      <c r="A6036" s="683" t="s">
        <v>4233</v>
      </c>
    </row>
    <row r="6037" spans="1:11">
      <c r="A6037" s="683" t="s">
        <v>4060</v>
      </c>
      <c r="B6037" s="682" t="s">
        <v>4234</v>
      </c>
    </row>
    <row r="6039" spans="1:11">
      <c r="A6039" s="682" t="s">
        <v>4248</v>
      </c>
    </row>
    <row r="6040" spans="1:11">
      <c r="A6040" s="682" t="s">
        <v>4210</v>
      </c>
      <c r="B6040" s="683" t="s">
        <v>4211</v>
      </c>
    </row>
    <row r="6041" spans="1:11">
      <c r="A6041" s="682" t="s">
        <v>4212</v>
      </c>
      <c r="B6041" s="682" t="s">
        <v>4213</v>
      </c>
    </row>
    <row r="6043" spans="1:11">
      <c r="A6043" s="683" t="s">
        <v>4214</v>
      </c>
      <c r="C6043" s="682" t="s">
        <v>4215</v>
      </c>
    </row>
    <row r="6044" spans="1:11">
      <c r="A6044" s="683" t="s">
        <v>4216</v>
      </c>
      <c r="C6044" s="682" t="s">
        <v>2967</v>
      </c>
    </row>
    <row r="6045" spans="1:11">
      <c r="A6045" s="683" t="s">
        <v>3893</v>
      </c>
      <c r="C6045" s="682" t="s">
        <v>4217</v>
      </c>
    </row>
    <row r="6046" spans="1:11">
      <c r="A6046" s="683" t="s">
        <v>4218</v>
      </c>
      <c r="C6046" s="682" t="s">
        <v>4319</v>
      </c>
    </row>
    <row r="6048" spans="1:11">
      <c r="A6048" s="684" t="s">
        <v>4220</v>
      </c>
      <c r="B6048" s="685" t="s">
        <v>4221</v>
      </c>
      <c r="C6048" s="685" t="s">
        <v>4222</v>
      </c>
      <c r="D6048" s="685" t="s">
        <v>4223</v>
      </c>
      <c r="E6048" s="685" t="s">
        <v>4224</v>
      </c>
      <c r="F6048" s="685" t="s">
        <v>4225</v>
      </c>
      <c r="G6048" s="685" t="s">
        <v>4226</v>
      </c>
      <c r="H6048" s="685" t="s">
        <v>4227</v>
      </c>
      <c r="I6048" s="685" t="s">
        <v>4228</v>
      </c>
      <c r="J6048" s="685" t="s">
        <v>4229</v>
      </c>
      <c r="K6048" s="685" t="s">
        <v>4230</v>
      </c>
    </row>
    <row r="6049" spans="1:11">
      <c r="A6049" s="686" t="s">
        <v>4231</v>
      </c>
      <c r="B6049" s="687" t="s">
        <v>4232</v>
      </c>
      <c r="C6049" s="687" t="s">
        <v>4232</v>
      </c>
      <c r="D6049" s="687" t="s">
        <v>4232</v>
      </c>
      <c r="E6049" s="687" t="s">
        <v>4232</v>
      </c>
      <c r="F6049" s="687" t="s">
        <v>4232</v>
      </c>
      <c r="G6049" s="687" t="s">
        <v>4232</v>
      </c>
      <c r="H6049" s="687" t="s">
        <v>4232</v>
      </c>
      <c r="I6049" s="687" t="s">
        <v>4232</v>
      </c>
      <c r="J6049" s="687" t="s">
        <v>4232</v>
      </c>
      <c r="K6049" s="687" t="s">
        <v>4232</v>
      </c>
    </row>
    <row r="6050" spans="1:11">
      <c r="A6050" s="688" t="s">
        <v>4064</v>
      </c>
      <c r="B6050" s="692" t="s">
        <v>4060</v>
      </c>
      <c r="C6050" s="691">
        <v>6.5</v>
      </c>
      <c r="D6050" s="692" t="s">
        <v>4060</v>
      </c>
      <c r="E6050" s="691">
        <v>6.5</v>
      </c>
      <c r="F6050" s="691">
        <v>6.4</v>
      </c>
      <c r="G6050" s="691">
        <v>6.5</v>
      </c>
      <c r="H6050" s="691">
        <v>6.6</v>
      </c>
      <c r="I6050" s="691">
        <v>6.2</v>
      </c>
      <c r="J6050" s="691">
        <v>6.3</v>
      </c>
      <c r="K6050" s="691">
        <v>6.2</v>
      </c>
    </row>
    <row r="6051" spans="1:11">
      <c r="A6051" s="688" t="s">
        <v>4065</v>
      </c>
      <c r="B6051" s="690" t="s">
        <v>4060</v>
      </c>
      <c r="C6051" s="690" t="s">
        <v>4060</v>
      </c>
      <c r="D6051" s="690" t="s">
        <v>4060</v>
      </c>
      <c r="E6051" s="690" t="s">
        <v>4060</v>
      </c>
      <c r="F6051" s="690" t="s">
        <v>4060</v>
      </c>
      <c r="G6051" s="690" t="s">
        <v>4060</v>
      </c>
      <c r="H6051" s="690" t="s">
        <v>4060</v>
      </c>
      <c r="I6051" s="690" t="s">
        <v>4060</v>
      </c>
      <c r="J6051" s="690" t="s">
        <v>4060</v>
      </c>
      <c r="K6051" s="690" t="s">
        <v>4060</v>
      </c>
    </row>
    <row r="6052" spans="1:11">
      <c r="A6052" s="688" t="s">
        <v>4063</v>
      </c>
      <c r="B6052" s="692" t="s">
        <v>4060</v>
      </c>
      <c r="C6052" s="692" t="s">
        <v>4060</v>
      </c>
      <c r="D6052" s="692" t="s">
        <v>4060</v>
      </c>
      <c r="E6052" s="692" t="s">
        <v>4060</v>
      </c>
      <c r="F6052" s="692" t="s">
        <v>4060</v>
      </c>
      <c r="G6052" s="692" t="s">
        <v>4060</v>
      </c>
      <c r="H6052" s="692" t="s">
        <v>4060</v>
      </c>
      <c r="I6052" s="692" t="s">
        <v>4060</v>
      </c>
      <c r="J6052" s="692" t="s">
        <v>4060</v>
      </c>
      <c r="K6052" s="692" t="s">
        <v>4060</v>
      </c>
    </row>
    <row r="6053" spans="1:11">
      <c r="A6053" s="688" t="s">
        <v>4069</v>
      </c>
      <c r="B6053" s="690" t="s">
        <v>4060</v>
      </c>
      <c r="C6053" s="689">
        <v>6.6</v>
      </c>
      <c r="D6053" s="689">
        <v>6.4</v>
      </c>
      <c r="E6053" s="689">
        <v>6.6</v>
      </c>
      <c r="F6053" s="689">
        <v>6.5</v>
      </c>
      <c r="G6053" s="689">
        <v>6.6</v>
      </c>
      <c r="H6053" s="689">
        <v>6.7</v>
      </c>
      <c r="I6053" s="689">
        <v>6.3</v>
      </c>
      <c r="J6053" s="689">
        <v>6.5</v>
      </c>
      <c r="K6053" s="689">
        <v>6.4</v>
      </c>
    </row>
    <row r="6054" spans="1:11">
      <c r="A6054" s="688" t="s">
        <v>4068</v>
      </c>
      <c r="B6054" s="692" t="s">
        <v>4060</v>
      </c>
      <c r="C6054" s="692" t="s">
        <v>4060</v>
      </c>
      <c r="D6054" s="692" t="s">
        <v>4060</v>
      </c>
      <c r="E6054" s="692" t="s">
        <v>4060</v>
      </c>
      <c r="F6054" s="692" t="s">
        <v>4060</v>
      </c>
      <c r="G6054" s="692" t="s">
        <v>4060</v>
      </c>
      <c r="H6054" s="692" t="s">
        <v>4060</v>
      </c>
      <c r="I6054" s="692" t="s">
        <v>4060</v>
      </c>
      <c r="J6054" s="692" t="s">
        <v>4060</v>
      </c>
      <c r="K6054" s="692" t="s">
        <v>4060</v>
      </c>
    </row>
    <row r="6055" spans="1:11">
      <c r="A6055" s="688" t="s">
        <v>0</v>
      </c>
      <c r="B6055" s="690" t="s">
        <v>4060</v>
      </c>
      <c r="C6055" s="689">
        <v>6.4</v>
      </c>
      <c r="D6055" s="689">
        <v>6.3</v>
      </c>
      <c r="E6055" s="689">
        <v>6.5</v>
      </c>
      <c r="F6055" s="689">
        <v>6.5</v>
      </c>
      <c r="G6055" s="689">
        <v>6.5</v>
      </c>
      <c r="H6055" s="689">
        <v>6.7</v>
      </c>
      <c r="I6055" s="693">
        <v>6</v>
      </c>
      <c r="J6055" s="689">
        <v>6.8</v>
      </c>
      <c r="K6055" s="689">
        <v>6.5</v>
      </c>
    </row>
    <row r="6056" spans="1:11">
      <c r="A6056" s="688" t="s">
        <v>1</v>
      </c>
      <c r="B6056" s="692" t="s">
        <v>4060</v>
      </c>
      <c r="C6056" s="691">
        <v>4.8</v>
      </c>
      <c r="D6056" s="691">
        <v>4.7</v>
      </c>
      <c r="E6056" s="691">
        <v>4.8</v>
      </c>
      <c r="F6056" s="691">
        <v>4.7</v>
      </c>
      <c r="G6056" s="691">
        <v>4.8</v>
      </c>
      <c r="H6056" s="691">
        <v>4.8</v>
      </c>
      <c r="I6056" s="691">
        <v>4.5</v>
      </c>
      <c r="J6056" s="691">
        <v>4.0999999999999996</v>
      </c>
      <c r="K6056" s="691">
        <v>4.5999999999999996</v>
      </c>
    </row>
    <row r="6057" spans="1:11">
      <c r="A6057" s="688" t="s">
        <v>2240</v>
      </c>
      <c r="B6057" s="690" t="s">
        <v>4060</v>
      </c>
      <c r="C6057" s="689">
        <v>5.6</v>
      </c>
      <c r="D6057" s="689">
        <v>5.4</v>
      </c>
      <c r="E6057" s="689">
        <v>5.7</v>
      </c>
      <c r="F6057" s="689">
        <v>5.6</v>
      </c>
      <c r="G6057" s="689">
        <v>5.6</v>
      </c>
      <c r="H6057" s="689">
        <v>5.7</v>
      </c>
      <c r="I6057" s="689">
        <v>5.2</v>
      </c>
      <c r="J6057" s="689">
        <v>5.2</v>
      </c>
      <c r="K6057" s="689">
        <v>5.5</v>
      </c>
    </row>
    <row r="6058" spans="1:11">
      <c r="A6058" s="688" t="s">
        <v>2</v>
      </c>
      <c r="B6058" s="692" t="s">
        <v>4060</v>
      </c>
      <c r="C6058" s="691">
        <v>6.4</v>
      </c>
      <c r="D6058" s="691">
        <v>6.3</v>
      </c>
      <c r="E6058" s="691">
        <v>6.3</v>
      </c>
      <c r="F6058" s="691">
        <v>6.3</v>
      </c>
      <c r="G6058" s="691">
        <v>6.2</v>
      </c>
      <c r="H6058" s="691">
        <v>6.4</v>
      </c>
      <c r="I6058" s="691">
        <v>6.3</v>
      </c>
      <c r="J6058" s="691">
        <v>6.2</v>
      </c>
      <c r="K6058" s="691">
        <v>6.1</v>
      </c>
    </row>
    <row r="6059" spans="1:11">
      <c r="A6059" s="688" t="s">
        <v>3</v>
      </c>
      <c r="B6059" s="690" t="s">
        <v>4060</v>
      </c>
      <c r="C6059" s="689">
        <v>6.2</v>
      </c>
      <c r="D6059" s="693">
        <v>6</v>
      </c>
      <c r="E6059" s="689">
        <v>6.2</v>
      </c>
      <c r="F6059" s="689">
        <v>6.2</v>
      </c>
      <c r="G6059" s="689">
        <v>6.1</v>
      </c>
      <c r="H6059" s="689">
        <v>6.3</v>
      </c>
      <c r="I6059" s="689">
        <v>6.1</v>
      </c>
      <c r="J6059" s="689">
        <v>6.1</v>
      </c>
      <c r="K6059" s="689">
        <v>5.9</v>
      </c>
    </row>
    <row r="6060" spans="1:11">
      <c r="A6060" s="688" t="s">
        <v>4061</v>
      </c>
      <c r="B6060" s="692" t="s">
        <v>4060</v>
      </c>
      <c r="C6060" s="691">
        <v>6.2</v>
      </c>
      <c r="D6060" s="615">
        <v>6</v>
      </c>
      <c r="E6060" s="691">
        <v>6.2</v>
      </c>
      <c r="F6060" s="691">
        <v>6.2</v>
      </c>
      <c r="G6060" s="691">
        <v>6.1</v>
      </c>
      <c r="H6060" s="691">
        <v>6.3</v>
      </c>
      <c r="I6060" s="691">
        <v>6.1</v>
      </c>
      <c r="J6060" s="691">
        <v>6.1</v>
      </c>
      <c r="K6060" s="691">
        <v>5.9</v>
      </c>
    </row>
    <row r="6061" spans="1:11">
      <c r="A6061" s="688" t="s">
        <v>4</v>
      </c>
      <c r="B6061" s="690" t="s">
        <v>4060</v>
      </c>
      <c r="C6061" s="693">
        <v>6</v>
      </c>
      <c r="D6061" s="689">
        <v>6.1</v>
      </c>
      <c r="E6061" s="689">
        <v>6.1</v>
      </c>
      <c r="F6061" s="689">
        <v>6.1</v>
      </c>
      <c r="G6061" s="689">
        <v>6.2</v>
      </c>
      <c r="H6061" s="689">
        <v>6.4</v>
      </c>
      <c r="I6061" s="689">
        <v>6.4</v>
      </c>
      <c r="J6061" s="689">
        <v>5.7</v>
      </c>
      <c r="K6061" s="693">
        <v>6</v>
      </c>
    </row>
    <row r="6062" spans="1:11">
      <c r="A6062" s="688" t="s">
        <v>8</v>
      </c>
      <c r="B6062" s="692" t="s">
        <v>4060</v>
      </c>
      <c r="C6062" s="691">
        <v>6.2</v>
      </c>
      <c r="D6062" s="615">
        <v>6</v>
      </c>
      <c r="E6062" s="691">
        <v>6.1</v>
      </c>
      <c r="F6062" s="691">
        <v>6.3</v>
      </c>
      <c r="G6062" s="691">
        <v>6.4</v>
      </c>
      <c r="H6062" s="691">
        <v>6.4</v>
      </c>
      <c r="I6062" s="691">
        <v>6.4</v>
      </c>
      <c r="J6062" s="691">
        <v>6.3</v>
      </c>
      <c r="K6062" s="691">
        <v>6.4</v>
      </c>
    </row>
    <row r="6063" spans="1:11">
      <c r="A6063" s="688" t="s">
        <v>7</v>
      </c>
      <c r="B6063" s="690" t="s">
        <v>4060</v>
      </c>
      <c r="C6063" s="689">
        <v>5.9</v>
      </c>
      <c r="D6063" s="689">
        <v>5.7</v>
      </c>
      <c r="E6063" s="693">
        <v>6</v>
      </c>
      <c r="F6063" s="689">
        <v>5.9</v>
      </c>
      <c r="G6063" s="689">
        <v>6.3</v>
      </c>
      <c r="H6063" s="689">
        <v>6.2</v>
      </c>
      <c r="I6063" s="689">
        <v>6.2</v>
      </c>
      <c r="J6063" s="689">
        <v>5.9</v>
      </c>
      <c r="K6063" s="689">
        <v>5.9</v>
      </c>
    </row>
    <row r="6064" spans="1:11">
      <c r="A6064" s="688" t="s">
        <v>27</v>
      </c>
      <c r="B6064" s="692" t="s">
        <v>4060</v>
      </c>
      <c r="C6064" s="615">
        <v>7</v>
      </c>
      <c r="D6064" s="691">
        <v>6.7</v>
      </c>
      <c r="E6064" s="691">
        <v>6.9</v>
      </c>
      <c r="F6064" s="691">
        <v>6.8</v>
      </c>
      <c r="G6064" s="691">
        <v>6.9</v>
      </c>
      <c r="H6064" s="691">
        <v>7.1</v>
      </c>
      <c r="I6064" s="691">
        <v>6.4</v>
      </c>
      <c r="J6064" s="615">
        <v>7</v>
      </c>
      <c r="K6064" s="691">
        <v>6.8</v>
      </c>
    </row>
    <row r="6065" spans="1:11">
      <c r="A6065" s="688" t="s">
        <v>6</v>
      </c>
      <c r="B6065" s="690" t="s">
        <v>4060</v>
      </c>
      <c r="C6065" s="689">
        <v>7.3</v>
      </c>
      <c r="D6065" s="689">
        <v>7.1</v>
      </c>
      <c r="E6065" s="689">
        <v>7.2</v>
      </c>
      <c r="F6065" s="689">
        <v>7.2</v>
      </c>
      <c r="G6065" s="689">
        <v>7.3</v>
      </c>
      <c r="H6065" s="689">
        <v>7.4</v>
      </c>
      <c r="I6065" s="693">
        <v>7</v>
      </c>
      <c r="J6065" s="689">
        <v>7.2</v>
      </c>
      <c r="K6065" s="689">
        <v>7.1</v>
      </c>
    </row>
    <row r="6066" spans="1:11">
      <c r="A6066" s="688" t="s">
        <v>4058</v>
      </c>
      <c r="B6066" s="692" t="s">
        <v>4060</v>
      </c>
      <c r="C6066" s="692" t="s">
        <v>4060</v>
      </c>
      <c r="D6066" s="692" t="s">
        <v>4060</v>
      </c>
      <c r="E6066" s="692" t="s">
        <v>4060</v>
      </c>
      <c r="F6066" s="692" t="s">
        <v>4060</v>
      </c>
      <c r="G6066" s="692" t="s">
        <v>4060</v>
      </c>
      <c r="H6066" s="692" t="s">
        <v>4060</v>
      </c>
      <c r="I6066" s="692" t="s">
        <v>4060</v>
      </c>
      <c r="J6066" s="692" t="s">
        <v>4060</v>
      </c>
      <c r="K6066" s="692" t="s">
        <v>4060</v>
      </c>
    </row>
    <row r="6067" spans="1:11">
      <c r="A6067" s="688" t="s">
        <v>11</v>
      </c>
      <c r="B6067" s="690" t="s">
        <v>4060</v>
      </c>
      <c r="C6067" s="689">
        <v>5.2</v>
      </c>
      <c r="D6067" s="689">
        <v>4.9000000000000004</v>
      </c>
      <c r="E6067" s="689">
        <v>5.2</v>
      </c>
      <c r="F6067" s="689">
        <v>5.0999999999999996</v>
      </c>
      <c r="G6067" s="689">
        <v>5.2</v>
      </c>
      <c r="H6067" s="689">
        <v>5.3</v>
      </c>
      <c r="I6067" s="693">
        <v>5</v>
      </c>
      <c r="J6067" s="689">
        <v>4.5999999999999996</v>
      </c>
      <c r="K6067" s="689">
        <v>4.8</v>
      </c>
    </row>
    <row r="6068" spans="1:11">
      <c r="A6068" s="688" t="s">
        <v>10</v>
      </c>
      <c r="B6068" s="692" t="s">
        <v>4060</v>
      </c>
      <c r="C6068" s="691">
        <v>6.7</v>
      </c>
      <c r="D6068" s="691">
        <v>6.3</v>
      </c>
      <c r="E6068" s="691">
        <v>6.7</v>
      </c>
      <c r="F6068" s="691">
        <v>6.5</v>
      </c>
      <c r="G6068" s="691">
        <v>6.7</v>
      </c>
      <c r="H6068" s="691">
        <v>6.8</v>
      </c>
      <c r="I6068" s="691">
        <v>6.2</v>
      </c>
      <c r="J6068" s="691">
        <v>6.5</v>
      </c>
      <c r="K6068" s="691">
        <v>6.3</v>
      </c>
    </row>
    <row r="6069" spans="1:11">
      <c r="A6069" s="688" t="s">
        <v>30</v>
      </c>
      <c r="B6069" s="690" t="s">
        <v>4060</v>
      </c>
      <c r="C6069" s="693">
        <v>6</v>
      </c>
      <c r="D6069" s="689">
        <v>5.4</v>
      </c>
      <c r="E6069" s="689">
        <v>6.1</v>
      </c>
      <c r="F6069" s="689">
        <v>5.6</v>
      </c>
      <c r="G6069" s="689">
        <v>6.3</v>
      </c>
      <c r="H6069" s="689">
        <v>6.1</v>
      </c>
      <c r="I6069" s="689">
        <v>6.1</v>
      </c>
      <c r="J6069" s="689">
        <v>5.9</v>
      </c>
      <c r="K6069" s="689">
        <v>5.7</v>
      </c>
    </row>
    <row r="6070" spans="1:11">
      <c r="A6070" s="688" t="s">
        <v>12</v>
      </c>
      <c r="B6070" s="692" t="s">
        <v>4060</v>
      </c>
      <c r="C6070" s="691">
        <v>5.6</v>
      </c>
      <c r="D6070" s="691">
        <v>5.6</v>
      </c>
      <c r="E6070" s="691">
        <v>5.5</v>
      </c>
      <c r="F6070" s="691">
        <v>5.5</v>
      </c>
      <c r="G6070" s="691">
        <v>5.6</v>
      </c>
      <c r="H6070" s="691">
        <v>5.7</v>
      </c>
      <c r="I6070" s="691">
        <v>5.6</v>
      </c>
      <c r="J6070" s="691">
        <v>5.0999999999999996</v>
      </c>
      <c r="K6070" s="691">
        <v>5.4</v>
      </c>
    </row>
    <row r="6071" spans="1:11">
      <c r="A6071" s="688" t="s">
        <v>14</v>
      </c>
      <c r="B6071" s="690" t="s">
        <v>4060</v>
      </c>
      <c r="C6071" s="689">
        <v>5.3</v>
      </c>
      <c r="D6071" s="689">
        <v>5.0999999999999996</v>
      </c>
      <c r="E6071" s="689">
        <v>5.0999999999999996</v>
      </c>
      <c r="F6071" s="689">
        <v>5.0999999999999996</v>
      </c>
      <c r="G6071" s="689">
        <v>5.2</v>
      </c>
      <c r="H6071" s="689">
        <v>5.4</v>
      </c>
      <c r="I6071" s="689">
        <v>5.2</v>
      </c>
      <c r="J6071" s="693">
        <v>5</v>
      </c>
      <c r="K6071" s="689">
        <v>5.3</v>
      </c>
    </row>
    <row r="6072" spans="1:11">
      <c r="A6072" s="688" t="s">
        <v>15</v>
      </c>
      <c r="B6072" s="692" t="s">
        <v>4060</v>
      </c>
      <c r="C6072" s="691">
        <v>6.6</v>
      </c>
      <c r="D6072" s="691">
        <v>6.4</v>
      </c>
      <c r="E6072" s="691">
        <v>6.6</v>
      </c>
      <c r="F6072" s="691">
        <v>6.6</v>
      </c>
      <c r="G6072" s="691">
        <v>6.6</v>
      </c>
      <c r="H6072" s="691">
        <v>6.6</v>
      </c>
      <c r="I6072" s="691">
        <v>6.4</v>
      </c>
      <c r="J6072" s="691">
        <v>6.6</v>
      </c>
      <c r="K6072" s="691">
        <v>6.7</v>
      </c>
    </row>
    <row r="6073" spans="1:11">
      <c r="A6073" s="688" t="s">
        <v>29</v>
      </c>
      <c r="B6073" s="690" t="s">
        <v>4060</v>
      </c>
      <c r="C6073" s="689">
        <v>5.5</v>
      </c>
      <c r="D6073" s="689">
        <v>5.2</v>
      </c>
      <c r="E6073" s="689">
        <v>5.5</v>
      </c>
      <c r="F6073" s="689">
        <v>5.3</v>
      </c>
      <c r="G6073" s="689">
        <v>5.4</v>
      </c>
      <c r="H6073" s="689">
        <v>5.4</v>
      </c>
      <c r="I6073" s="689">
        <v>5.2</v>
      </c>
      <c r="J6073" s="689">
        <v>5.0999999999999996</v>
      </c>
      <c r="K6073" s="689">
        <v>5.3</v>
      </c>
    </row>
    <row r="6074" spans="1:11">
      <c r="A6074" s="688" t="s">
        <v>16</v>
      </c>
      <c r="B6074" s="692" t="s">
        <v>4060</v>
      </c>
      <c r="C6074" s="691">
        <v>6.3</v>
      </c>
      <c r="D6074" s="615">
        <v>6</v>
      </c>
      <c r="E6074" s="691">
        <v>6.5</v>
      </c>
      <c r="F6074" s="691">
        <v>6.2</v>
      </c>
      <c r="G6074" s="691">
        <v>6.4</v>
      </c>
      <c r="H6074" s="691">
        <v>6.6</v>
      </c>
      <c r="I6074" s="691">
        <v>6.2</v>
      </c>
      <c r="J6074" s="691">
        <v>6.4</v>
      </c>
      <c r="K6074" s="691">
        <v>6.3</v>
      </c>
    </row>
    <row r="6075" spans="1:11">
      <c r="A6075" s="688" t="s">
        <v>17</v>
      </c>
      <c r="B6075" s="690" t="s">
        <v>4060</v>
      </c>
      <c r="C6075" s="689">
        <v>6.3</v>
      </c>
      <c r="D6075" s="689">
        <v>6.1</v>
      </c>
      <c r="E6075" s="689">
        <v>6.1</v>
      </c>
      <c r="F6075" s="689">
        <v>6.1</v>
      </c>
      <c r="G6075" s="689">
        <v>6.1</v>
      </c>
      <c r="H6075" s="689">
        <v>6.3</v>
      </c>
      <c r="I6075" s="689">
        <v>5.9</v>
      </c>
      <c r="J6075" s="693">
        <v>6</v>
      </c>
      <c r="K6075" s="693">
        <v>6</v>
      </c>
    </row>
    <row r="6076" spans="1:11">
      <c r="A6076" s="688" t="s">
        <v>19</v>
      </c>
      <c r="B6076" s="692" t="s">
        <v>4060</v>
      </c>
      <c r="C6076" s="691">
        <v>6.4</v>
      </c>
      <c r="D6076" s="691">
        <v>6.1</v>
      </c>
      <c r="E6076" s="691">
        <v>6.4</v>
      </c>
      <c r="F6076" s="691">
        <v>6.2</v>
      </c>
      <c r="G6076" s="691">
        <v>6.3</v>
      </c>
      <c r="H6076" s="691">
        <v>6.4</v>
      </c>
      <c r="I6076" s="691">
        <v>6.1</v>
      </c>
      <c r="J6076" s="691">
        <v>6.2</v>
      </c>
      <c r="K6076" s="691">
        <v>6.1</v>
      </c>
    </row>
    <row r="6077" spans="1:11">
      <c r="A6077" s="688" t="s">
        <v>20</v>
      </c>
      <c r="B6077" s="690" t="s">
        <v>4060</v>
      </c>
      <c r="C6077" s="689">
        <v>6.2</v>
      </c>
      <c r="D6077" s="693">
        <v>6</v>
      </c>
      <c r="E6077" s="689">
        <v>6.3</v>
      </c>
      <c r="F6077" s="689">
        <v>6.1</v>
      </c>
      <c r="G6077" s="689">
        <v>6.1</v>
      </c>
      <c r="H6077" s="689">
        <v>6.3</v>
      </c>
      <c r="I6077" s="689">
        <v>5.7</v>
      </c>
      <c r="J6077" s="689">
        <v>5.4</v>
      </c>
      <c r="K6077" s="689">
        <v>5.8</v>
      </c>
    </row>
    <row r="6078" spans="1:11">
      <c r="A6078" s="688" t="s">
        <v>21</v>
      </c>
      <c r="B6078" s="692" t="s">
        <v>4060</v>
      </c>
      <c r="C6078" s="691">
        <v>6.5</v>
      </c>
      <c r="D6078" s="691">
        <v>6.4</v>
      </c>
      <c r="E6078" s="691">
        <v>6.5</v>
      </c>
      <c r="F6078" s="691">
        <v>6.6</v>
      </c>
      <c r="G6078" s="691">
        <v>6.5</v>
      </c>
      <c r="H6078" s="691">
        <v>6.7</v>
      </c>
      <c r="I6078" s="691">
        <v>6.3</v>
      </c>
      <c r="J6078" s="691">
        <v>6.4</v>
      </c>
      <c r="K6078" s="691">
        <v>6.4</v>
      </c>
    </row>
    <row r="6079" spans="1:11">
      <c r="A6079" s="688" t="s">
        <v>22</v>
      </c>
      <c r="B6079" s="690" t="s">
        <v>4060</v>
      </c>
      <c r="C6079" s="689">
        <v>5.3</v>
      </c>
      <c r="D6079" s="689">
        <v>5.3</v>
      </c>
      <c r="E6079" s="689">
        <v>5.6</v>
      </c>
      <c r="F6079" s="689">
        <v>5.6</v>
      </c>
      <c r="G6079" s="689">
        <v>5.7</v>
      </c>
      <c r="H6079" s="693">
        <v>6</v>
      </c>
      <c r="I6079" s="689">
        <v>5.5</v>
      </c>
      <c r="J6079" s="689">
        <v>4.8</v>
      </c>
      <c r="K6079" s="693">
        <v>5</v>
      </c>
    </row>
    <row r="6080" spans="1:11">
      <c r="A6080" s="688" t="s">
        <v>26</v>
      </c>
      <c r="B6080" s="692" t="s">
        <v>4060</v>
      </c>
      <c r="C6080" s="691">
        <v>6.2</v>
      </c>
      <c r="D6080" s="691">
        <v>6.2</v>
      </c>
      <c r="E6080" s="691">
        <v>6.2</v>
      </c>
      <c r="F6080" s="691">
        <v>6.2</v>
      </c>
      <c r="G6080" s="691">
        <v>6.3</v>
      </c>
      <c r="H6080" s="691">
        <v>6.4</v>
      </c>
      <c r="I6080" s="691">
        <v>5.6</v>
      </c>
      <c r="J6080" s="691">
        <v>6.1</v>
      </c>
      <c r="K6080" s="691">
        <v>6.2</v>
      </c>
    </row>
    <row r="6081" spans="1:11">
      <c r="A6081" s="688" t="s">
        <v>25</v>
      </c>
      <c r="B6081" s="690" t="s">
        <v>4060</v>
      </c>
      <c r="C6081" s="689">
        <v>5.7</v>
      </c>
      <c r="D6081" s="689">
        <v>5.5</v>
      </c>
      <c r="E6081" s="689">
        <v>5.7</v>
      </c>
      <c r="F6081" s="689">
        <v>5.6</v>
      </c>
      <c r="G6081" s="689">
        <v>5.8</v>
      </c>
      <c r="H6081" s="689">
        <v>6.1</v>
      </c>
      <c r="I6081" s="689">
        <v>5.7</v>
      </c>
      <c r="J6081" s="693">
        <v>5</v>
      </c>
      <c r="K6081" s="689">
        <v>5.3</v>
      </c>
    </row>
    <row r="6082" spans="1:11">
      <c r="A6082" s="688" t="s">
        <v>5</v>
      </c>
      <c r="B6082" s="692" t="s">
        <v>4060</v>
      </c>
      <c r="C6082" s="691">
        <v>6.3</v>
      </c>
      <c r="D6082" s="691">
        <v>6.3</v>
      </c>
      <c r="E6082" s="691">
        <v>6.3</v>
      </c>
      <c r="F6082" s="691">
        <v>6.5</v>
      </c>
      <c r="G6082" s="691">
        <v>6.4</v>
      </c>
      <c r="H6082" s="691">
        <v>6.6</v>
      </c>
      <c r="I6082" s="691">
        <v>6.6</v>
      </c>
      <c r="J6082" s="691">
        <v>6.5</v>
      </c>
      <c r="K6082" s="691">
        <v>6.1</v>
      </c>
    </row>
    <row r="6083" spans="1:11">
      <c r="A6083" s="688" t="s">
        <v>23</v>
      </c>
      <c r="B6083" s="690" t="s">
        <v>4060</v>
      </c>
      <c r="C6083" s="689">
        <v>6.4</v>
      </c>
      <c r="D6083" s="689">
        <v>6.3</v>
      </c>
      <c r="E6083" s="689">
        <v>6.4</v>
      </c>
      <c r="F6083" s="689">
        <v>6.3</v>
      </c>
      <c r="G6083" s="689">
        <v>6.4</v>
      </c>
      <c r="H6083" s="689">
        <v>6.6</v>
      </c>
      <c r="I6083" s="689">
        <v>6.2</v>
      </c>
      <c r="J6083" s="689">
        <v>6.7</v>
      </c>
      <c r="K6083" s="689">
        <v>6.6</v>
      </c>
    </row>
    <row r="6084" spans="1:11">
      <c r="A6084" s="688" t="s">
        <v>4067</v>
      </c>
      <c r="B6084" s="692" t="s">
        <v>4060</v>
      </c>
      <c r="C6084" s="692" t="s">
        <v>4060</v>
      </c>
      <c r="D6084" s="692" t="s">
        <v>4060</v>
      </c>
      <c r="E6084" s="692" t="s">
        <v>4060</v>
      </c>
      <c r="F6084" s="692" t="s">
        <v>4060</v>
      </c>
      <c r="G6084" s="692" t="s">
        <v>4060</v>
      </c>
      <c r="H6084" s="692" t="s">
        <v>4060</v>
      </c>
      <c r="I6084" s="692" t="s">
        <v>4060</v>
      </c>
      <c r="J6084" s="692" t="s">
        <v>4060</v>
      </c>
      <c r="K6084" s="692" t="s">
        <v>4060</v>
      </c>
    </row>
    <row r="6085" spans="1:11">
      <c r="A6085" s="688" t="s">
        <v>4066</v>
      </c>
      <c r="B6085" s="690" t="s">
        <v>4060</v>
      </c>
      <c r="C6085" s="690" t="s">
        <v>4060</v>
      </c>
      <c r="D6085" s="690" t="s">
        <v>4060</v>
      </c>
      <c r="E6085" s="690" t="s">
        <v>4060</v>
      </c>
      <c r="F6085" s="690" t="s">
        <v>4060</v>
      </c>
      <c r="G6085" s="690" t="s">
        <v>4060</v>
      </c>
      <c r="H6085" s="690" t="s">
        <v>4060</v>
      </c>
      <c r="I6085" s="690" t="s">
        <v>4060</v>
      </c>
      <c r="J6085" s="690" t="s">
        <v>4060</v>
      </c>
      <c r="K6085" s="690" t="s">
        <v>4060</v>
      </c>
    </row>
    <row r="6086" spans="1:11">
      <c r="A6086" s="688" t="s">
        <v>4062</v>
      </c>
      <c r="B6086" s="692" t="s">
        <v>4060</v>
      </c>
      <c r="C6086" s="691">
        <v>6.6</v>
      </c>
      <c r="D6086" s="691">
        <v>6.4</v>
      </c>
      <c r="E6086" s="691">
        <v>6.7</v>
      </c>
      <c r="F6086" s="691">
        <v>6.6</v>
      </c>
      <c r="G6086" s="691">
        <v>6.7</v>
      </c>
      <c r="H6086" s="691">
        <v>6.8</v>
      </c>
      <c r="I6086" s="691">
        <v>6.5</v>
      </c>
      <c r="J6086" s="691">
        <v>6.8</v>
      </c>
      <c r="K6086" s="691">
        <v>6.5</v>
      </c>
    </row>
    <row r="6087" spans="1:11">
      <c r="A6087" s="688" t="s">
        <v>9</v>
      </c>
      <c r="B6087" s="690" t="s">
        <v>4060</v>
      </c>
      <c r="C6087" s="689">
        <v>6.6</v>
      </c>
      <c r="D6087" s="689">
        <v>6.3</v>
      </c>
      <c r="E6087" s="689">
        <v>6.1</v>
      </c>
      <c r="F6087" s="689">
        <v>6.5</v>
      </c>
      <c r="G6087" s="689">
        <v>6.5</v>
      </c>
      <c r="H6087" s="689">
        <v>6.5</v>
      </c>
      <c r="I6087" s="689">
        <v>6.7</v>
      </c>
      <c r="J6087" s="689">
        <v>6.6</v>
      </c>
      <c r="K6087" s="689">
        <v>6.2</v>
      </c>
    </row>
    <row r="6088" spans="1:11">
      <c r="A6088" s="688" t="s">
        <v>13</v>
      </c>
      <c r="B6088" s="692" t="s">
        <v>4060</v>
      </c>
      <c r="C6088" s="691">
        <v>5.4</v>
      </c>
      <c r="D6088" s="691">
        <v>6.1</v>
      </c>
      <c r="E6088" s="691">
        <v>6.2</v>
      </c>
      <c r="F6088" s="691">
        <v>7.3</v>
      </c>
      <c r="G6088" s="691">
        <v>6.4</v>
      </c>
      <c r="H6088" s="691">
        <v>6.8</v>
      </c>
      <c r="I6088" s="691">
        <v>5.8</v>
      </c>
      <c r="J6088" s="691">
        <v>6.5</v>
      </c>
      <c r="K6088" s="691">
        <v>6.6</v>
      </c>
    </row>
    <row r="6089" spans="1:11">
      <c r="A6089" s="688" t="s">
        <v>18</v>
      </c>
      <c r="B6089" s="690" t="s">
        <v>4060</v>
      </c>
      <c r="C6089" s="689">
        <v>6.5</v>
      </c>
      <c r="D6089" s="689">
        <v>6.4</v>
      </c>
      <c r="E6089" s="689">
        <v>6.5</v>
      </c>
      <c r="F6089" s="689">
        <v>6.5</v>
      </c>
      <c r="G6089" s="689">
        <v>6.6</v>
      </c>
      <c r="H6089" s="689">
        <v>6.7</v>
      </c>
      <c r="I6089" s="689">
        <v>6.7</v>
      </c>
      <c r="J6089" s="689">
        <v>6.6</v>
      </c>
      <c r="K6089" s="689">
        <v>6.3</v>
      </c>
    </row>
    <row r="6090" spans="1:11">
      <c r="A6090" s="688" t="s">
        <v>24</v>
      </c>
      <c r="B6090" s="692" t="s">
        <v>4060</v>
      </c>
      <c r="C6090" s="691">
        <v>6.6</v>
      </c>
      <c r="D6090" s="691">
        <v>6.5</v>
      </c>
      <c r="E6090" s="691">
        <v>6.8</v>
      </c>
      <c r="F6090" s="691">
        <v>6.7</v>
      </c>
      <c r="G6090" s="691">
        <v>6.8</v>
      </c>
      <c r="H6090" s="691">
        <v>6.9</v>
      </c>
      <c r="I6090" s="691">
        <v>6.3</v>
      </c>
      <c r="J6090" s="691">
        <v>6.9</v>
      </c>
      <c r="K6090" s="691">
        <v>6.7</v>
      </c>
    </row>
    <row r="6091" spans="1:11">
      <c r="A6091" s="688" t="s">
        <v>4059</v>
      </c>
      <c r="B6091" s="690" t="s">
        <v>4060</v>
      </c>
      <c r="C6091" s="690" t="s">
        <v>4060</v>
      </c>
      <c r="D6091" s="690" t="s">
        <v>4060</v>
      </c>
      <c r="E6091" s="690" t="s">
        <v>4060</v>
      </c>
      <c r="F6091" s="690" t="s">
        <v>4060</v>
      </c>
      <c r="G6091" s="690" t="s">
        <v>4060</v>
      </c>
      <c r="H6091" s="690" t="s">
        <v>4060</v>
      </c>
      <c r="I6091" s="690" t="s">
        <v>4060</v>
      </c>
      <c r="J6091" s="690" t="s">
        <v>4060</v>
      </c>
      <c r="K6091" s="690" t="s">
        <v>4060</v>
      </c>
    </row>
    <row r="6092" spans="1:11">
      <c r="A6092" s="688" t="s">
        <v>2324</v>
      </c>
      <c r="B6092" s="692" t="s">
        <v>4060</v>
      </c>
      <c r="C6092" s="692" t="s">
        <v>4060</v>
      </c>
      <c r="D6092" s="692" t="s">
        <v>4060</v>
      </c>
      <c r="E6092" s="692" t="s">
        <v>4060</v>
      </c>
      <c r="F6092" s="692" t="s">
        <v>4060</v>
      </c>
      <c r="G6092" s="692" t="s">
        <v>4060</v>
      </c>
      <c r="H6092" s="692" t="s">
        <v>4060</v>
      </c>
      <c r="I6092" s="692" t="s">
        <v>4060</v>
      </c>
      <c r="J6092" s="692" t="s">
        <v>4060</v>
      </c>
      <c r="K6092" s="692" t="s">
        <v>4060</v>
      </c>
    </row>
    <row r="6093" spans="1:11">
      <c r="A6093" s="688" t="s">
        <v>2322</v>
      </c>
      <c r="B6093" s="690" t="s">
        <v>4060</v>
      </c>
      <c r="C6093" s="690" t="s">
        <v>4060</v>
      </c>
      <c r="D6093" s="690" t="s">
        <v>4060</v>
      </c>
      <c r="E6093" s="690" t="s">
        <v>4060</v>
      </c>
      <c r="F6093" s="690" t="s">
        <v>4060</v>
      </c>
      <c r="G6093" s="690" t="s">
        <v>4060</v>
      </c>
      <c r="H6093" s="690" t="s">
        <v>4060</v>
      </c>
      <c r="I6093" s="690" t="s">
        <v>4060</v>
      </c>
      <c r="J6093" s="690" t="s">
        <v>4060</v>
      </c>
      <c r="K6093" s="690" t="s">
        <v>4060</v>
      </c>
    </row>
    <row r="6094" spans="1:11">
      <c r="A6094" s="688" t="s">
        <v>2328</v>
      </c>
      <c r="B6094" s="692" t="s">
        <v>4060</v>
      </c>
      <c r="C6094" s="692" t="s">
        <v>4060</v>
      </c>
      <c r="D6094" s="692" t="s">
        <v>4060</v>
      </c>
      <c r="E6094" s="692" t="s">
        <v>4060</v>
      </c>
      <c r="F6094" s="692" t="s">
        <v>4060</v>
      </c>
      <c r="G6094" s="692" t="s">
        <v>4060</v>
      </c>
      <c r="H6094" s="692" t="s">
        <v>4060</v>
      </c>
      <c r="I6094" s="692" t="s">
        <v>4060</v>
      </c>
      <c r="J6094" s="692" t="s">
        <v>4060</v>
      </c>
      <c r="K6094" s="692" t="s">
        <v>4060</v>
      </c>
    </row>
    <row r="6095" spans="1:11">
      <c r="A6095" s="688" t="s">
        <v>2496</v>
      </c>
      <c r="B6095" s="690" t="s">
        <v>4060</v>
      </c>
      <c r="C6095" s="690" t="s">
        <v>4060</v>
      </c>
      <c r="D6095" s="690" t="s">
        <v>4060</v>
      </c>
      <c r="E6095" s="690" t="s">
        <v>4060</v>
      </c>
      <c r="F6095" s="690" t="s">
        <v>4060</v>
      </c>
      <c r="G6095" s="690" t="s">
        <v>4060</v>
      </c>
      <c r="H6095" s="690" t="s">
        <v>4060</v>
      </c>
      <c r="I6095" s="690" t="s">
        <v>4060</v>
      </c>
      <c r="J6095" s="690" t="s">
        <v>4060</v>
      </c>
      <c r="K6095" s="690" t="s">
        <v>4060</v>
      </c>
    </row>
    <row r="6096" spans="1:11">
      <c r="A6096" s="688" t="s">
        <v>2269</v>
      </c>
      <c r="B6096" s="692" t="s">
        <v>4060</v>
      </c>
      <c r="C6096" s="692" t="s">
        <v>4060</v>
      </c>
      <c r="D6096" s="692" t="s">
        <v>4060</v>
      </c>
      <c r="E6096" s="692" t="s">
        <v>4060</v>
      </c>
      <c r="F6096" s="692" t="s">
        <v>4060</v>
      </c>
      <c r="G6096" s="692" t="s">
        <v>4060</v>
      </c>
      <c r="H6096" s="692" t="s">
        <v>4060</v>
      </c>
      <c r="I6096" s="692" t="s">
        <v>4060</v>
      </c>
      <c r="J6096" s="692" t="s">
        <v>4060</v>
      </c>
      <c r="K6096" s="692" t="s">
        <v>4060</v>
      </c>
    </row>
    <row r="6097" spans="1:11">
      <c r="A6097" s="688" t="s">
        <v>2349</v>
      </c>
      <c r="B6097" s="690" t="s">
        <v>4060</v>
      </c>
      <c r="C6097" s="690" t="s">
        <v>4060</v>
      </c>
      <c r="D6097" s="690" t="s">
        <v>4060</v>
      </c>
      <c r="E6097" s="690" t="s">
        <v>4060</v>
      </c>
      <c r="F6097" s="690" t="s">
        <v>4060</v>
      </c>
      <c r="G6097" s="690" t="s">
        <v>4060</v>
      </c>
      <c r="H6097" s="690" t="s">
        <v>4060</v>
      </c>
      <c r="I6097" s="690" t="s">
        <v>4060</v>
      </c>
      <c r="J6097" s="690" t="s">
        <v>4060</v>
      </c>
      <c r="K6097" s="690" t="s">
        <v>4060</v>
      </c>
    </row>
    <row r="6098" spans="1:11">
      <c r="A6098" s="688" t="s">
        <v>2355</v>
      </c>
      <c r="B6098" s="692" t="s">
        <v>4060</v>
      </c>
      <c r="C6098" s="692" t="s">
        <v>4060</v>
      </c>
      <c r="D6098" s="692" t="s">
        <v>4060</v>
      </c>
      <c r="E6098" s="692" t="s">
        <v>4060</v>
      </c>
      <c r="F6098" s="692" t="s">
        <v>4060</v>
      </c>
      <c r="G6098" s="692" t="s">
        <v>4060</v>
      </c>
      <c r="H6098" s="692" t="s">
        <v>4060</v>
      </c>
      <c r="I6098" s="692" t="s">
        <v>4060</v>
      </c>
      <c r="J6098" s="692" t="s">
        <v>4060</v>
      </c>
      <c r="K6098" s="692" t="s">
        <v>4060</v>
      </c>
    </row>
    <row r="6099" spans="1:11">
      <c r="A6099" s="688" t="s">
        <v>2357</v>
      </c>
      <c r="B6099" s="690" t="s">
        <v>4060</v>
      </c>
      <c r="C6099" s="690" t="s">
        <v>4060</v>
      </c>
      <c r="D6099" s="690" t="s">
        <v>4060</v>
      </c>
      <c r="E6099" s="690" t="s">
        <v>4060</v>
      </c>
      <c r="F6099" s="690" t="s">
        <v>4060</v>
      </c>
      <c r="G6099" s="690" t="s">
        <v>4060</v>
      </c>
      <c r="H6099" s="690" t="s">
        <v>4060</v>
      </c>
      <c r="I6099" s="690" t="s">
        <v>4060</v>
      </c>
      <c r="J6099" s="690" t="s">
        <v>4060</v>
      </c>
      <c r="K6099" s="690" t="s">
        <v>4060</v>
      </c>
    </row>
    <row r="6100" spans="1:11">
      <c r="A6100" s="688" t="s">
        <v>4070</v>
      </c>
      <c r="B6100" s="692" t="s">
        <v>4060</v>
      </c>
      <c r="C6100" s="692" t="s">
        <v>4060</v>
      </c>
      <c r="D6100" s="692" t="s">
        <v>4060</v>
      </c>
      <c r="E6100" s="692" t="s">
        <v>4060</v>
      </c>
      <c r="F6100" s="692" t="s">
        <v>4060</v>
      </c>
      <c r="G6100" s="692" t="s">
        <v>4060</v>
      </c>
      <c r="H6100" s="692" t="s">
        <v>4060</v>
      </c>
      <c r="I6100" s="692" t="s">
        <v>4060</v>
      </c>
      <c r="J6100" s="692" t="s">
        <v>4060</v>
      </c>
      <c r="K6100" s="692" t="s">
        <v>4060</v>
      </c>
    </row>
    <row r="6101" spans="1:11">
      <c r="A6101" s="688" t="s">
        <v>2491</v>
      </c>
      <c r="B6101" s="690" t="s">
        <v>4060</v>
      </c>
      <c r="C6101" s="690" t="s">
        <v>4060</v>
      </c>
      <c r="D6101" s="690" t="s">
        <v>4060</v>
      </c>
      <c r="E6101" s="690" t="s">
        <v>4060</v>
      </c>
      <c r="F6101" s="690" t="s">
        <v>4060</v>
      </c>
      <c r="G6101" s="690" t="s">
        <v>4060</v>
      </c>
      <c r="H6101" s="690" t="s">
        <v>4060</v>
      </c>
      <c r="I6101" s="690" t="s">
        <v>4060</v>
      </c>
      <c r="J6101" s="690" t="s">
        <v>4060</v>
      </c>
      <c r="K6101" s="690" t="s">
        <v>4060</v>
      </c>
    </row>
    <row r="6102" spans="1:11">
      <c r="A6102" s="688" t="s">
        <v>2343</v>
      </c>
      <c r="B6102" s="692" t="s">
        <v>4060</v>
      </c>
      <c r="C6102" s="692" t="s">
        <v>4060</v>
      </c>
      <c r="D6102" s="692" t="s">
        <v>4060</v>
      </c>
      <c r="E6102" s="692" t="s">
        <v>4060</v>
      </c>
      <c r="F6102" s="692" t="s">
        <v>4060</v>
      </c>
      <c r="G6102" s="692" t="s">
        <v>4060</v>
      </c>
      <c r="H6102" s="692" t="s">
        <v>4060</v>
      </c>
      <c r="I6102" s="692" t="s">
        <v>4060</v>
      </c>
      <c r="J6102" s="692" t="s">
        <v>4060</v>
      </c>
      <c r="K6102" s="692" t="s">
        <v>4060</v>
      </c>
    </row>
    <row r="6103" spans="1:11">
      <c r="A6103" s="688" t="s">
        <v>4071</v>
      </c>
      <c r="B6103" s="690" t="s">
        <v>4060</v>
      </c>
      <c r="C6103" s="690" t="s">
        <v>4060</v>
      </c>
      <c r="D6103" s="690" t="s">
        <v>4060</v>
      </c>
      <c r="E6103" s="690" t="s">
        <v>4060</v>
      </c>
      <c r="F6103" s="690" t="s">
        <v>4060</v>
      </c>
      <c r="G6103" s="690" t="s">
        <v>4060</v>
      </c>
      <c r="H6103" s="690" t="s">
        <v>4060</v>
      </c>
      <c r="I6103" s="690" t="s">
        <v>4060</v>
      </c>
      <c r="J6103" s="690" t="s">
        <v>4060</v>
      </c>
      <c r="K6103" s="690" t="s">
        <v>4060</v>
      </c>
    </row>
    <row r="6104" spans="1:11">
      <c r="A6104" s="688" t="s">
        <v>2489</v>
      </c>
      <c r="B6104" s="692" t="s">
        <v>4060</v>
      </c>
      <c r="C6104" s="692" t="s">
        <v>4060</v>
      </c>
      <c r="D6104" s="692" t="s">
        <v>4060</v>
      </c>
      <c r="E6104" s="692" t="s">
        <v>4060</v>
      </c>
      <c r="F6104" s="692" t="s">
        <v>4060</v>
      </c>
      <c r="G6104" s="692" t="s">
        <v>4060</v>
      </c>
      <c r="H6104" s="692" t="s">
        <v>4060</v>
      </c>
      <c r="I6104" s="692" t="s">
        <v>4060</v>
      </c>
      <c r="J6104" s="692" t="s">
        <v>4060</v>
      </c>
      <c r="K6104" s="692" t="s">
        <v>4060</v>
      </c>
    </row>
    <row r="6105" spans="1:11">
      <c r="A6105" s="688" t="s">
        <v>2490</v>
      </c>
      <c r="B6105" s="690" t="s">
        <v>4060</v>
      </c>
      <c r="C6105" s="690" t="s">
        <v>4060</v>
      </c>
      <c r="D6105" s="690" t="s">
        <v>4060</v>
      </c>
      <c r="E6105" s="690" t="s">
        <v>4060</v>
      </c>
      <c r="F6105" s="690" t="s">
        <v>4060</v>
      </c>
      <c r="G6105" s="690" t="s">
        <v>4060</v>
      </c>
      <c r="H6105" s="690" t="s">
        <v>4060</v>
      </c>
      <c r="I6105" s="690" t="s">
        <v>4060</v>
      </c>
      <c r="J6105" s="690" t="s">
        <v>4060</v>
      </c>
      <c r="K6105" s="690" t="s">
        <v>4060</v>
      </c>
    </row>
    <row r="6107" spans="1:11">
      <c r="A6107" s="683" t="s">
        <v>4233</v>
      </c>
    </row>
    <row r="6108" spans="1:11">
      <c r="A6108" s="683" t="s">
        <v>4060</v>
      </c>
      <c r="B6108" s="682" t="s">
        <v>4234</v>
      </c>
    </row>
    <row r="6110" spans="1:11">
      <c r="A6110" s="682" t="s">
        <v>4248</v>
      </c>
    </row>
    <row r="6111" spans="1:11">
      <c r="A6111" s="682" t="s">
        <v>4210</v>
      </c>
      <c r="B6111" s="683" t="s">
        <v>4211</v>
      </c>
    </row>
    <row r="6112" spans="1:11">
      <c r="A6112" s="682" t="s">
        <v>4212</v>
      </c>
      <c r="B6112" s="682" t="s">
        <v>4213</v>
      </c>
    </row>
    <row r="6114" spans="1:11">
      <c r="A6114" s="683" t="s">
        <v>4214</v>
      </c>
      <c r="C6114" s="682" t="s">
        <v>4215</v>
      </c>
    </row>
    <row r="6115" spans="1:11">
      <c r="A6115" s="683" t="s">
        <v>4216</v>
      </c>
      <c r="C6115" s="682" t="s">
        <v>2967</v>
      </c>
    </row>
    <row r="6116" spans="1:11">
      <c r="A6116" s="683" t="s">
        <v>3893</v>
      </c>
      <c r="C6116" s="682" t="s">
        <v>4217</v>
      </c>
    </row>
    <row r="6117" spans="1:11">
      <c r="A6117" s="683" t="s">
        <v>4218</v>
      </c>
      <c r="C6117" s="682" t="s">
        <v>4320</v>
      </c>
    </row>
    <row r="6119" spans="1:11">
      <c r="A6119" s="684" t="s">
        <v>4220</v>
      </c>
      <c r="B6119" s="685" t="s">
        <v>4221</v>
      </c>
      <c r="C6119" s="685" t="s">
        <v>4222</v>
      </c>
      <c r="D6119" s="685" t="s">
        <v>4223</v>
      </c>
      <c r="E6119" s="685" t="s">
        <v>4224</v>
      </c>
      <c r="F6119" s="685" t="s">
        <v>4225</v>
      </c>
      <c r="G6119" s="685" t="s">
        <v>4226</v>
      </c>
      <c r="H6119" s="685" t="s">
        <v>4227</v>
      </c>
      <c r="I6119" s="685" t="s">
        <v>4228</v>
      </c>
      <c r="J6119" s="685" t="s">
        <v>4229</v>
      </c>
      <c r="K6119" s="685" t="s">
        <v>4230</v>
      </c>
    </row>
    <row r="6120" spans="1:11">
      <c r="A6120" s="686" t="s">
        <v>4231</v>
      </c>
      <c r="B6120" s="687" t="s">
        <v>4232</v>
      </c>
      <c r="C6120" s="687" t="s">
        <v>4232</v>
      </c>
      <c r="D6120" s="687" t="s">
        <v>4232</v>
      </c>
      <c r="E6120" s="687" t="s">
        <v>4232</v>
      </c>
      <c r="F6120" s="687" t="s">
        <v>4232</v>
      </c>
      <c r="G6120" s="687" t="s">
        <v>4232</v>
      </c>
      <c r="H6120" s="687" t="s">
        <v>4232</v>
      </c>
      <c r="I6120" s="687" t="s">
        <v>4232</v>
      </c>
      <c r="J6120" s="687" t="s">
        <v>4232</v>
      </c>
      <c r="K6120" s="687" t="s">
        <v>4232</v>
      </c>
    </row>
    <row r="6121" spans="1:11">
      <c r="A6121" s="688" t="s">
        <v>4064</v>
      </c>
      <c r="B6121" s="689">
        <v>6.8</v>
      </c>
      <c r="C6121" s="690" t="s">
        <v>4060</v>
      </c>
      <c r="D6121" s="689">
        <v>6.6</v>
      </c>
      <c r="E6121" s="690" t="s">
        <v>4060</v>
      </c>
      <c r="F6121" s="690" t="s">
        <v>4060</v>
      </c>
      <c r="G6121" s="690" t="s">
        <v>4060</v>
      </c>
      <c r="H6121" s="690" t="s">
        <v>4060</v>
      </c>
      <c r="I6121" s="690" t="s">
        <v>4060</v>
      </c>
      <c r="J6121" s="690" t="s">
        <v>4060</v>
      </c>
      <c r="K6121" s="690" t="s">
        <v>4060</v>
      </c>
    </row>
    <row r="6122" spans="1:11">
      <c r="A6122" s="688" t="s">
        <v>4065</v>
      </c>
      <c r="B6122" s="691">
        <v>6.8</v>
      </c>
      <c r="C6122" s="615">
        <v>7</v>
      </c>
      <c r="D6122" s="691">
        <v>6.6</v>
      </c>
      <c r="E6122" s="691">
        <v>6.9</v>
      </c>
      <c r="F6122" s="691">
        <v>6.7</v>
      </c>
      <c r="G6122" s="691">
        <v>6.8</v>
      </c>
      <c r="H6122" s="692" t="s">
        <v>4060</v>
      </c>
      <c r="I6122" s="692" t="s">
        <v>4060</v>
      </c>
      <c r="J6122" s="692" t="s">
        <v>4060</v>
      </c>
      <c r="K6122" s="692" t="s">
        <v>4060</v>
      </c>
    </row>
    <row r="6123" spans="1:11">
      <c r="A6123" s="688" t="s">
        <v>4063</v>
      </c>
      <c r="B6123" s="689">
        <v>6.8</v>
      </c>
      <c r="C6123" s="693">
        <v>7</v>
      </c>
      <c r="D6123" s="689">
        <v>6.6</v>
      </c>
      <c r="E6123" s="689">
        <v>6.9</v>
      </c>
      <c r="F6123" s="689">
        <v>6.8</v>
      </c>
      <c r="G6123" s="689">
        <v>6.8</v>
      </c>
      <c r="H6123" s="690" t="s">
        <v>4060</v>
      </c>
      <c r="I6123" s="690" t="s">
        <v>4060</v>
      </c>
      <c r="J6123" s="690" t="s">
        <v>4060</v>
      </c>
      <c r="K6123" s="690" t="s">
        <v>4060</v>
      </c>
    </row>
    <row r="6124" spans="1:11">
      <c r="A6124" s="688" t="s">
        <v>4069</v>
      </c>
      <c r="B6124" s="692" t="s">
        <v>4060</v>
      </c>
      <c r="C6124" s="692" t="s">
        <v>4060</v>
      </c>
      <c r="D6124" s="692" t="s">
        <v>4060</v>
      </c>
      <c r="E6124" s="692" t="s">
        <v>4060</v>
      </c>
      <c r="F6124" s="692" t="s">
        <v>4060</v>
      </c>
      <c r="G6124" s="692" t="s">
        <v>4060</v>
      </c>
      <c r="H6124" s="692" t="s">
        <v>4060</v>
      </c>
      <c r="I6124" s="692" t="s">
        <v>4060</v>
      </c>
      <c r="J6124" s="692" t="s">
        <v>4060</v>
      </c>
      <c r="K6124" s="692" t="s">
        <v>4060</v>
      </c>
    </row>
    <row r="6125" spans="1:11">
      <c r="A6125" s="688" t="s">
        <v>4068</v>
      </c>
      <c r="B6125" s="693">
        <v>7</v>
      </c>
      <c r="C6125" s="690" t="s">
        <v>4060</v>
      </c>
      <c r="D6125" s="690" t="s">
        <v>4060</v>
      </c>
      <c r="E6125" s="690" t="s">
        <v>4060</v>
      </c>
      <c r="F6125" s="690" t="s">
        <v>4060</v>
      </c>
      <c r="G6125" s="690" t="s">
        <v>4060</v>
      </c>
      <c r="H6125" s="690" t="s">
        <v>4060</v>
      </c>
      <c r="I6125" s="690" t="s">
        <v>4060</v>
      </c>
      <c r="J6125" s="690" t="s">
        <v>4060</v>
      </c>
      <c r="K6125" s="690" t="s">
        <v>4060</v>
      </c>
    </row>
    <row r="6126" spans="1:11">
      <c r="A6126" s="688" t="s">
        <v>0</v>
      </c>
      <c r="B6126" s="691">
        <v>6.6</v>
      </c>
      <c r="C6126" s="692" t="s">
        <v>4060</v>
      </c>
      <c r="D6126" s="692" t="s">
        <v>4060</v>
      </c>
      <c r="E6126" s="692" t="s">
        <v>4060</v>
      </c>
      <c r="F6126" s="692" t="s">
        <v>4060</v>
      </c>
      <c r="G6126" s="692" t="s">
        <v>4060</v>
      </c>
      <c r="H6126" s="692" t="s">
        <v>4060</v>
      </c>
      <c r="I6126" s="692" t="s">
        <v>4060</v>
      </c>
      <c r="J6126" s="692" t="s">
        <v>4060</v>
      </c>
      <c r="K6126" s="692" t="s">
        <v>4060</v>
      </c>
    </row>
    <row r="6127" spans="1:11">
      <c r="A6127" s="688" t="s">
        <v>1</v>
      </c>
      <c r="B6127" s="689">
        <v>5.2</v>
      </c>
      <c r="C6127" s="690" t="s">
        <v>4060</v>
      </c>
      <c r="D6127" s="690" t="s">
        <v>4060</v>
      </c>
      <c r="E6127" s="690" t="s">
        <v>4060</v>
      </c>
      <c r="F6127" s="690" t="s">
        <v>4060</v>
      </c>
      <c r="G6127" s="690" t="s">
        <v>4060</v>
      </c>
      <c r="H6127" s="690" t="s">
        <v>4060</v>
      </c>
      <c r="I6127" s="690" t="s">
        <v>4060</v>
      </c>
      <c r="J6127" s="690" t="s">
        <v>4060</v>
      </c>
      <c r="K6127" s="690" t="s">
        <v>4060</v>
      </c>
    </row>
    <row r="6128" spans="1:11">
      <c r="A6128" s="688" t="s">
        <v>2240</v>
      </c>
      <c r="B6128" s="691">
        <v>5.8</v>
      </c>
      <c r="C6128" s="692" t="s">
        <v>4060</v>
      </c>
      <c r="D6128" s="692" t="s">
        <v>4060</v>
      </c>
      <c r="E6128" s="692" t="s">
        <v>4060</v>
      </c>
      <c r="F6128" s="692" t="s">
        <v>4060</v>
      </c>
      <c r="G6128" s="692" t="s">
        <v>4060</v>
      </c>
      <c r="H6128" s="692" t="s">
        <v>4060</v>
      </c>
      <c r="I6128" s="692" t="s">
        <v>4060</v>
      </c>
      <c r="J6128" s="692" t="s">
        <v>4060</v>
      </c>
      <c r="K6128" s="692" t="s">
        <v>4060</v>
      </c>
    </row>
    <row r="6129" spans="1:11">
      <c r="A6129" s="688" t="s">
        <v>2</v>
      </c>
      <c r="B6129" s="689">
        <v>6.4</v>
      </c>
      <c r="C6129" s="690" t="s">
        <v>4060</v>
      </c>
      <c r="D6129" s="690" t="s">
        <v>4060</v>
      </c>
      <c r="E6129" s="690" t="s">
        <v>4060</v>
      </c>
      <c r="F6129" s="690" t="s">
        <v>4060</v>
      </c>
      <c r="G6129" s="690" t="s">
        <v>4060</v>
      </c>
      <c r="H6129" s="690" t="s">
        <v>4060</v>
      </c>
      <c r="I6129" s="690" t="s">
        <v>4060</v>
      </c>
      <c r="J6129" s="690" t="s">
        <v>4060</v>
      </c>
      <c r="K6129" s="690" t="s">
        <v>4060</v>
      </c>
    </row>
    <row r="6130" spans="1:11">
      <c r="A6130" s="688" t="s">
        <v>3</v>
      </c>
      <c r="B6130" s="691">
        <v>6.4</v>
      </c>
      <c r="C6130" s="692" t="s">
        <v>4060</v>
      </c>
      <c r="D6130" s="692" t="s">
        <v>4060</v>
      </c>
      <c r="E6130" s="692" t="s">
        <v>4060</v>
      </c>
      <c r="F6130" s="692" t="s">
        <v>4060</v>
      </c>
      <c r="G6130" s="692" t="s">
        <v>4060</v>
      </c>
      <c r="H6130" s="692" t="s">
        <v>4060</v>
      </c>
      <c r="I6130" s="692" t="s">
        <v>4060</v>
      </c>
      <c r="J6130" s="692" t="s">
        <v>4060</v>
      </c>
      <c r="K6130" s="692" t="s">
        <v>4060</v>
      </c>
    </row>
    <row r="6131" spans="1:11">
      <c r="A6131" s="688" t="s">
        <v>4061</v>
      </c>
      <c r="B6131" s="689">
        <v>6.4</v>
      </c>
      <c r="C6131" s="690" t="s">
        <v>4060</v>
      </c>
      <c r="D6131" s="690" t="s">
        <v>4060</v>
      </c>
      <c r="E6131" s="690" t="s">
        <v>4060</v>
      </c>
      <c r="F6131" s="690" t="s">
        <v>4060</v>
      </c>
      <c r="G6131" s="690" t="s">
        <v>4060</v>
      </c>
      <c r="H6131" s="690" t="s">
        <v>4060</v>
      </c>
      <c r="I6131" s="690" t="s">
        <v>4060</v>
      </c>
      <c r="J6131" s="690" t="s">
        <v>4060</v>
      </c>
      <c r="K6131" s="690" t="s">
        <v>4060</v>
      </c>
    </row>
    <row r="6132" spans="1:11">
      <c r="A6132" s="688" t="s">
        <v>4</v>
      </c>
      <c r="B6132" s="691">
        <v>6.6</v>
      </c>
      <c r="C6132" s="692" t="s">
        <v>4060</v>
      </c>
      <c r="D6132" s="692" t="s">
        <v>4060</v>
      </c>
      <c r="E6132" s="692" t="s">
        <v>4060</v>
      </c>
      <c r="F6132" s="692" t="s">
        <v>4060</v>
      </c>
      <c r="G6132" s="692" t="s">
        <v>4060</v>
      </c>
      <c r="H6132" s="692" t="s">
        <v>4060</v>
      </c>
      <c r="I6132" s="692" t="s">
        <v>4060</v>
      </c>
      <c r="J6132" s="692" t="s">
        <v>4060</v>
      </c>
      <c r="K6132" s="692" t="s">
        <v>4060</v>
      </c>
    </row>
    <row r="6133" spans="1:11">
      <c r="A6133" s="688" t="s">
        <v>8</v>
      </c>
      <c r="B6133" s="689">
        <v>6.2</v>
      </c>
      <c r="C6133" s="690" t="s">
        <v>4060</v>
      </c>
      <c r="D6133" s="690" t="s">
        <v>4060</v>
      </c>
      <c r="E6133" s="690" t="s">
        <v>4060</v>
      </c>
      <c r="F6133" s="690" t="s">
        <v>4060</v>
      </c>
      <c r="G6133" s="690" t="s">
        <v>4060</v>
      </c>
      <c r="H6133" s="690" t="s">
        <v>4060</v>
      </c>
      <c r="I6133" s="690" t="s">
        <v>4060</v>
      </c>
      <c r="J6133" s="690" t="s">
        <v>4060</v>
      </c>
      <c r="K6133" s="690" t="s">
        <v>4060</v>
      </c>
    </row>
    <row r="6134" spans="1:11">
      <c r="A6134" s="688" t="s">
        <v>7</v>
      </c>
      <c r="B6134" s="691">
        <v>6.9</v>
      </c>
      <c r="C6134" s="692" t="s">
        <v>4060</v>
      </c>
      <c r="D6134" s="692" t="s">
        <v>4060</v>
      </c>
      <c r="E6134" s="692" t="s">
        <v>4060</v>
      </c>
      <c r="F6134" s="692" t="s">
        <v>4060</v>
      </c>
      <c r="G6134" s="692" t="s">
        <v>4060</v>
      </c>
      <c r="H6134" s="692" t="s">
        <v>4060</v>
      </c>
      <c r="I6134" s="692" t="s">
        <v>4060</v>
      </c>
      <c r="J6134" s="692" t="s">
        <v>4060</v>
      </c>
      <c r="K6134" s="692" t="s">
        <v>4060</v>
      </c>
    </row>
    <row r="6135" spans="1:11">
      <c r="A6135" s="688" t="s">
        <v>27</v>
      </c>
      <c r="B6135" s="689">
        <v>7.7</v>
      </c>
      <c r="C6135" s="690" t="s">
        <v>4060</v>
      </c>
      <c r="D6135" s="690" t="s">
        <v>4060</v>
      </c>
      <c r="E6135" s="690" t="s">
        <v>4060</v>
      </c>
      <c r="F6135" s="690" t="s">
        <v>4060</v>
      </c>
      <c r="G6135" s="690" t="s">
        <v>4060</v>
      </c>
      <c r="H6135" s="690" t="s">
        <v>4060</v>
      </c>
      <c r="I6135" s="690" t="s">
        <v>4060</v>
      </c>
      <c r="J6135" s="690" t="s">
        <v>4060</v>
      </c>
      <c r="K6135" s="690" t="s">
        <v>4060</v>
      </c>
    </row>
    <row r="6136" spans="1:11">
      <c r="A6136" s="688" t="s">
        <v>6</v>
      </c>
      <c r="B6136" s="691">
        <v>7.8</v>
      </c>
      <c r="C6136" s="692" t="s">
        <v>4060</v>
      </c>
      <c r="D6136" s="692" t="s">
        <v>4060</v>
      </c>
      <c r="E6136" s="692" t="s">
        <v>4060</v>
      </c>
      <c r="F6136" s="692" t="s">
        <v>4060</v>
      </c>
      <c r="G6136" s="692" t="s">
        <v>4060</v>
      </c>
      <c r="H6136" s="692" t="s">
        <v>4060</v>
      </c>
      <c r="I6136" s="692" t="s">
        <v>4060</v>
      </c>
      <c r="J6136" s="692" t="s">
        <v>4060</v>
      </c>
      <c r="K6136" s="692" t="s">
        <v>4060</v>
      </c>
    </row>
    <row r="6137" spans="1:11">
      <c r="A6137" s="688" t="s">
        <v>4058</v>
      </c>
      <c r="B6137" s="690" t="s">
        <v>4060</v>
      </c>
      <c r="C6137" s="690" t="s">
        <v>4060</v>
      </c>
      <c r="D6137" s="690" t="s">
        <v>4060</v>
      </c>
      <c r="E6137" s="690" t="s">
        <v>4060</v>
      </c>
      <c r="F6137" s="690" t="s">
        <v>4060</v>
      </c>
      <c r="G6137" s="690" t="s">
        <v>4060</v>
      </c>
      <c r="H6137" s="690" t="s">
        <v>4060</v>
      </c>
      <c r="I6137" s="690" t="s">
        <v>4060</v>
      </c>
      <c r="J6137" s="690" t="s">
        <v>4060</v>
      </c>
      <c r="K6137" s="690" t="s">
        <v>4060</v>
      </c>
    </row>
    <row r="6138" spans="1:11">
      <c r="A6138" s="688" t="s">
        <v>11</v>
      </c>
      <c r="B6138" s="691">
        <v>5.6</v>
      </c>
      <c r="C6138" s="692" t="s">
        <v>4060</v>
      </c>
      <c r="D6138" s="692" t="s">
        <v>4060</v>
      </c>
      <c r="E6138" s="692" t="s">
        <v>4060</v>
      </c>
      <c r="F6138" s="692" t="s">
        <v>4060</v>
      </c>
      <c r="G6138" s="692" t="s">
        <v>4060</v>
      </c>
      <c r="H6138" s="692" t="s">
        <v>4060</v>
      </c>
      <c r="I6138" s="692" t="s">
        <v>4060</v>
      </c>
      <c r="J6138" s="692" t="s">
        <v>4060</v>
      </c>
      <c r="K6138" s="692" t="s">
        <v>4060</v>
      </c>
    </row>
    <row r="6139" spans="1:11">
      <c r="A6139" s="688" t="s">
        <v>10</v>
      </c>
      <c r="B6139" s="689">
        <v>7.2</v>
      </c>
      <c r="C6139" s="690" t="s">
        <v>4060</v>
      </c>
      <c r="D6139" s="690" t="s">
        <v>4060</v>
      </c>
      <c r="E6139" s="690" t="s">
        <v>4060</v>
      </c>
      <c r="F6139" s="690" t="s">
        <v>4060</v>
      </c>
      <c r="G6139" s="690" t="s">
        <v>4060</v>
      </c>
      <c r="H6139" s="690" t="s">
        <v>4060</v>
      </c>
      <c r="I6139" s="690" t="s">
        <v>4060</v>
      </c>
      <c r="J6139" s="690" t="s">
        <v>4060</v>
      </c>
      <c r="K6139" s="690" t="s">
        <v>4060</v>
      </c>
    </row>
    <row r="6140" spans="1:11">
      <c r="A6140" s="688" t="s">
        <v>30</v>
      </c>
      <c r="B6140" s="691">
        <v>6.4</v>
      </c>
      <c r="C6140" s="692" t="s">
        <v>4060</v>
      </c>
      <c r="D6140" s="692" t="s">
        <v>4060</v>
      </c>
      <c r="E6140" s="692" t="s">
        <v>4060</v>
      </c>
      <c r="F6140" s="692" t="s">
        <v>4060</v>
      </c>
      <c r="G6140" s="692" t="s">
        <v>4060</v>
      </c>
      <c r="H6140" s="692" t="s">
        <v>4060</v>
      </c>
      <c r="I6140" s="692" t="s">
        <v>4060</v>
      </c>
      <c r="J6140" s="692" t="s">
        <v>4060</v>
      </c>
      <c r="K6140" s="692" t="s">
        <v>4060</v>
      </c>
    </row>
    <row r="6141" spans="1:11">
      <c r="A6141" s="688" t="s">
        <v>12</v>
      </c>
      <c r="B6141" s="693">
        <v>6</v>
      </c>
      <c r="C6141" s="690" t="s">
        <v>4060</v>
      </c>
      <c r="D6141" s="690" t="s">
        <v>4060</v>
      </c>
      <c r="E6141" s="690" t="s">
        <v>4060</v>
      </c>
      <c r="F6141" s="690" t="s">
        <v>4060</v>
      </c>
      <c r="G6141" s="690" t="s">
        <v>4060</v>
      </c>
      <c r="H6141" s="690" t="s">
        <v>4060</v>
      </c>
      <c r="I6141" s="690" t="s">
        <v>4060</v>
      </c>
      <c r="J6141" s="690" t="s">
        <v>4060</v>
      </c>
      <c r="K6141" s="690" t="s">
        <v>4060</v>
      </c>
    </row>
    <row r="6142" spans="1:11">
      <c r="A6142" s="688" t="s">
        <v>14</v>
      </c>
      <c r="B6142" s="691">
        <v>5.9</v>
      </c>
      <c r="C6142" s="692" t="s">
        <v>4060</v>
      </c>
      <c r="D6142" s="692" t="s">
        <v>4060</v>
      </c>
      <c r="E6142" s="692" t="s">
        <v>4060</v>
      </c>
      <c r="F6142" s="692" t="s">
        <v>4060</v>
      </c>
      <c r="G6142" s="692" t="s">
        <v>4060</v>
      </c>
      <c r="H6142" s="692" t="s">
        <v>4060</v>
      </c>
      <c r="I6142" s="692" t="s">
        <v>4060</v>
      </c>
      <c r="J6142" s="692" t="s">
        <v>4060</v>
      </c>
      <c r="K6142" s="692" t="s">
        <v>4060</v>
      </c>
    </row>
    <row r="6143" spans="1:11">
      <c r="A6143" s="688" t="s">
        <v>15</v>
      </c>
      <c r="B6143" s="689">
        <v>7.3</v>
      </c>
      <c r="C6143" s="690" t="s">
        <v>4060</v>
      </c>
      <c r="D6143" s="690" t="s">
        <v>4060</v>
      </c>
      <c r="E6143" s="690" t="s">
        <v>4060</v>
      </c>
      <c r="F6143" s="690" t="s">
        <v>4060</v>
      </c>
      <c r="G6143" s="690" t="s">
        <v>4060</v>
      </c>
      <c r="H6143" s="690" t="s">
        <v>4060</v>
      </c>
      <c r="I6143" s="690" t="s">
        <v>4060</v>
      </c>
      <c r="J6143" s="690" t="s">
        <v>4060</v>
      </c>
      <c r="K6143" s="690" t="s">
        <v>4060</v>
      </c>
    </row>
    <row r="6144" spans="1:11">
      <c r="A6144" s="688" t="s">
        <v>29</v>
      </c>
      <c r="B6144" s="691">
        <v>5.7</v>
      </c>
      <c r="C6144" s="692" t="s">
        <v>4060</v>
      </c>
      <c r="D6144" s="692" t="s">
        <v>4060</v>
      </c>
      <c r="E6144" s="692" t="s">
        <v>4060</v>
      </c>
      <c r="F6144" s="692" t="s">
        <v>4060</v>
      </c>
      <c r="G6144" s="692" t="s">
        <v>4060</v>
      </c>
      <c r="H6144" s="692" t="s">
        <v>4060</v>
      </c>
      <c r="I6144" s="692" t="s">
        <v>4060</v>
      </c>
      <c r="J6144" s="692" t="s">
        <v>4060</v>
      </c>
      <c r="K6144" s="692" t="s">
        <v>4060</v>
      </c>
    </row>
    <row r="6145" spans="1:11">
      <c r="A6145" s="688" t="s">
        <v>16</v>
      </c>
      <c r="B6145" s="689">
        <v>6.7</v>
      </c>
      <c r="C6145" s="690" t="s">
        <v>4060</v>
      </c>
      <c r="D6145" s="690" t="s">
        <v>4060</v>
      </c>
      <c r="E6145" s="690" t="s">
        <v>4060</v>
      </c>
      <c r="F6145" s="690" t="s">
        <v>4060</v>
      </c>
      <c r="G6145" s="690" t="s">
        <v>4060</v>
      </c>
      <c r="H6145" s="690" t="s">
        <v>4060</v>
      </c>
      <c r="I6145" s="690" t="s">
        <v>4060</v>
      </c>
      <c r="J6145" s="690" t="s">
        <v>4060</v>
      </c>
      <c r="K6145" s="690" t="s">
        <v>4060</v>
      </c>
    </row>
    <row r="6146" spans="1:11">
      <c r="A6146" s="688" t="s">
        <v>17</v>
      </c>
      <c r="B6146" s="691">
        <v>6.5</v>
      </c>
      <c r="C6146" s="692" t="s">
        <v>4060</v>
      </c>
      <c r="D6146" s="692" t="s">
        <v>4060</v>
      </c>
      <c r="E6146" s="692" t="s">
        <v>4060</v>
      </c>
      <c r="F6146" s="692" t="s">
        <v>4060</v>
      </c>
      <c r="G6146" s="692" t="s">
        <v>4060</v>
      </c>
      <c r="H6146" s="692" t="s">
        <v>4060</v>
      </c>
      <c r="I6146" s="692" t="s">
        <v>4060</v>
      </c>
      <c r="J6146" s="692" t="s">
        <v>4060</v>
      </c>
      <c r="K6146" s="692" t="s">
        <v>4060</v>
      </c>
    </row>
    <row r="6147" spans="1:11">
      <c r="A6147" s="688" t="s">
        <v>19</v>
      </c>
      <c r="B6147" s="689">
        <v>6.6</v>
      </c>
      <c r="C6147" s="690" t="s">
        <v>4060</v>
      </c>
      <c r="D6147" s="690" t="s">
        <v>4060</v>
      </c>
      <c r="E6147" s="690" t="s">
        <v>4060</v>
      </c>
      <c r="F6147" s="690" t="s">
        <v>4060</v>
      </c>
      <c r="G6147" s="690" t="s">
        <v>4060</v>
      </c>
      <c r="H6147" s="690" t="s">
        <v>4060</v>
      </c>
      <c r="I6147" s="690" t="s">
        <v>4060</v>
      </c>
      <c r="J6147" s="690" t="s">
        <v>4060</v>
      </c>
      <c r="K6147" s="690" t="s">
        <v>4060</v>
      </c>
    </row>
    <row r="6148" spans="1:11">
      <c r="A6148" s="688" t="s">
        <v>20</v>
      </c>
      <c r="B6148" s="691">
        <v>6.5</v>
      </c>
      <c r="C6148" s="692" t="s">
        <v>4060</v>
      </c>
      <c r="D6148" s="692" t="s">
        <v>4060</v>
      </c>
      <c r="E6148" s="692" t="s">
        <v>4060</v>
      </c>
      <c r="F6148" s="692" t="s">
        <v>4060</v>
      </c>
      <c r="G6148" s="692" t="s">
        <v>4060</v>
      </c>
      <c r="H6148" s="692" t="s">
        <v>4060</v>
      </c>
      <c r="I6148" s="692" t="s">
        <v>4060</v>
      </c>
      <c r="J6148" s="692" t="s">
        <v>4060</v>
      </c>
      <c r="K6148" s="692" t="s">
        <v>4060</v>
      </c>
    </row>
    <row r="6149" spans="1:11">
      <c r="A6149" s="688" t="s">
        <v>21</v>
      </c>
      <c r="B6149" s="689">
        <v>6.4</v>
      </c>
      <c r="C6149" s="690" t="s">
        <v>4060</v>
      </c>
      <c r="D6149" s="690" t="s">
        <v>4060</v>
      </c>
      <c r="E6149" s="690" t="s">
        <v>4060</v>
      </c>
      <c r="F6149" s="690" t="s">
        <v>4060</v>
      </c>
      <c r="G6149" s="690" t="s">
        <v>4060</v>
      </c>
      <c r="H6149" s="690" t="s">
        <v>4060</v>
      </c>
      <c r="I6149" s="690" t="s">
        <v>4060</v>
      </c>
      <c r="J6149" s="690" t="s">
        <v>4060</v>
      </c>
      <c r="K6149" s="690" t="s">
        <v>4060</v>
      </c>
    </row>
    <row r="6150" spans="1:11">
      <c r="A6150" s="688" t="s">
        <v>22</v>
      </c>
      <c r="B6150" s="691">
        <v>5.7</v>
      </c>
      <c r="C6150" s="692" t="s">
        <v>4060</v>
      </c>
      <c r="D6150" s="692" t="s">
        <v>4060</v>
      </c>
      <c r="E6150" s="692" t="s">
        <v>4060</v>
      </c>
      <c r="F6150" s="692" t="s">
        <v>4060</v>
      </c>
      <c r="G6150" s="692" t="s">
        <v>4060</v>
      </c>
      <c r="H6150" s="692" t="s">
        <v>4060</v>
      </c>
      <c r="I6150" s="692" t="s">
        <v>4060</v>
      </c>
      <c r="J6150" s="692" t="s">
        <v>4060</v>
      </c>
      <c r="K6150" s="692" t="s">
        <v>4060</v>
      </c>
    </row>
    <row r="6151" spans="1:11">
      <c r="A6151" s="688" t="s">
        <v>26</v>
      </c>
      <c r="B6151" s="689">
        <v>6.9</v>
      </c>
      <c r="C6151" s="690" t="s">
        <v>4060</v>
      </c>
      <c r="D6151" s="690" t="s">
        <v>4060</v>
      </c>
      <c r="E6151" s="690" t="s">
        <v>4060</v>
      </c>
      <c r="F6151" s="690" t="s">
        <v>4060</v>
      </c>
      <c r="G6151" s="690" t="s">
        <v>4060</v>
      </c>
      <c r="H6151" s="690" t="s">
        <v>4060</v>
      </c>
      <c r="I6151" s="690" t="s">
        <v>4060</v>
      </c>
      <c r="J6151" s="690" t="s">
        <v>4060</v>
      </c>
      <c r="K6151" s="690" t="s">
        <v>4060</v>
      </c>
    </row>
    <row r="6152" spans="1:11">
      <c r="A6152" s="688" t="s">
        <v>25</v>
      </c>
      <c r="B6152" s="691">
        <v>5.7</v>
      </c>
      <c r="C6152" s="692" t="s">
        <v>4060</v>
      </c>
      <c r="D6152" s="692" t="s">
        <v>4060</v>
      </c>
      <c r="E6152" s="692" t="s">
        <v>4060</v>
      </c>
      <c r="F6152" s="692" t="s">
        <v>4060</v>
      </c>
      <c r="G6152" s="692" t="s">
        <v>4060</v>
      </c>
      <c r="H6152" s="692" t="s">
        <v>4060</v>
      </c>
      <c r="I6152" s="692" t="s">
        <v>4060</v>
      </c>
      <c r="J6152" s="692" t="s">
        <v>4060</v>
      </c>
      <c r="K6152" s="692" t="s">
        <v>4060</v>
      </c>
    </row>
    <row r="6153" spans="1:11">
      <c r="A6153" s="688" t="s">
        <v>5</v>
      </c>
      <c r="B6153" s="689">
        <v>6.8</v>
      </c>
      <c r="C6153" s="690" t="s">
        <v>4060</v>
      </c>
      <c r="D6153" s="690" t="s">
        <v>4060</v>
      </c>
      <c r="E6153" s="690" t="s">
        <v>4060</v>
      </c>
      <c r="F6153" s="690" t="s">
        <v>4060</v>
      </c>
      <c r="G6153" s="690" t="s">
        <v>4060</v>
      </c>
      <c r="H6153" s="690" t="s">
        <v>4060</v>
      </c>
      <c r="I6153" s="690" t="s">
        <v>4060</v>
      </c>
      <c r="J6153" s="690" t="s">
        <v>4060</v>
      </c>
      <c r="K6153" s="690" t="s">
        <v>4060</v>
      </c>
    </row>
    <row r="6154" spans="1:11">
      <c r="A6154" s="688" t="s">
        <v>23</v>
      </c>
      <c r="B6154" s="691">
        <v>6.4</v>
      </c>
      <c r="C6154" s="692" t="s">
        <v>4060</v>
      </c>
      <c r="D6154" s="692" t="s">
        <v>4060</v>
      </c>
      <c r="E6154" s="692" t="s">
        <v>4060</v>
      </c>
      <c r="F6154" s="692" t="s">
        <v>4060</v>
      </c>
      <c r="G6154" s="692" t="s">
        <v>4060</v>
      </c>
      <c r="H6154" s="692" t="s">
        <v>4060</v>
      </c>
      <c r="I6154" s="692" t="s">
        <v>4060</v>
      </c>
      <c r="J6154" s="692" t="s">
        <v>4060</v>
      </c>
      <c r="K6154" s="692" t="s">
        <v>4060</v>
      </c>
    </row>
    <row r="6155" spans="1:11">
      <c r="A6155" s="688" t="s">
        <v>4067</v>
      </c>
      <c r="B6155" s="689">
        <v>6.8</v>
      </c>
      <c r="C6155" s="693">
        <v>7</v>
      </c>
      <c r="D6155" s="689">
        <v>6.6</v>
      </c>
      <c r="E6155" s="689">
        <v>6.9</v>
      </c>
      <c r="F6155" s="689">
        <v>6.7</v>
      </c>
      <c r="G6155" s="689">
        <v>6.8</v>
      </c>
      <c r="H6155" s="690" t="s">
        <v>4060</v>
      </c>
      <c r="I6155" s="690" t="s">
        <v>4060</v>
      </c>
      <c r="J6155" s="690" t="s">
        <v>4060</v>
      </c>
      <c r="K6155" s="690" t="s">
        <v>4060</v>
      </c>
    </row>
    <row r="6156" spans="1:11">
      <c r="A6156" s="688" t="s">
        <v>4066</v>
      </c>
      <c r="B6156" s="691">
        <v>6.8</v>
      </c>
      <c r="C6156" s="615">
        <v>7</v>
      </c>
      <c r="D6156" s="691">
        <v>6.6</v>
      </c>
      <c r="E6156" s="691">
        <v>6.9</v>
      </c>
      <c r="F6156" s="691">
        <v>6.7</v>
      </c>
      <c r="G6156" s="691">
        <v>6.8</v>
      </c>
      <c r="H6156" s="692" t="s">
        <v>4060</v>
      </c>
      <c r="I6156" s="692" t="s">
        <v>4060</v>
      </c>
      <c r="J6156" s="692" t="s">
        <v>4060</v>
      </c>
      <c r="K6156" s="692" t="s">
        <v>4060</v>
      </c>
    </row>
    <row r="6157" spans="1:11">
      <c r="A6157" s="688" t="s">
        <v>4062</v>
      </c>
      <c r="B6157" s="689">
        <v>6.7</v>
      </c>
      <c r="C6157" s="690" t="s">
        <v>4060</v>
      </c>
      <c r="D6157" s="690" t="s">
        <v>4060</v>
      </c>
      <c r="E6157" s="690" t="s">
        <v>4060</v>
      </c>
      <c r="F6157" s="690" t="s">
        <v>4060</v>
      </c>
      <c r="G6157" s="690" t="s">
        <v>4060</v>
      </c>
      <c r="H6157" s="690" t="s">
        <v>4060</v>
      </c>
      <c r="I6157" s="690" t="s">
        <v>4060</v>
      </c>
      <c r="J6157" s="690" t="s">
        <v>4060</v>
      </c>
      <c r="K6157" s="690" t="s">
        <v>4060</v>
      </c>
    </row>
    <row r="6158" spans="1:11">
      <c r="A6158" s="688" t="s">
        <v>9</v>
      </c>
      <c r="B6158" s="691">
        <v>6.5</v>
      </c>
      <c r="C6158" s="692" t="s">
        <v>4060</v>
      </c>
      <c r="D6158" s="692" t="s">
        <v>4060</v>
      </c>
      <c r="E6158" s="692" t="s">
        <v>4060</v>
      </c>
      <c r="F6158" s="692" t="s">
        <v>4060</v>
      </c>
      <c r="G6158" s="692" t="s">
        <v>4060</v>
      </c>
      <c r="H6158" s="692" t="s">
        <v>4060</v>
      </c>
      <c r="I6158" s="692" t="s">
        <v>4060</v>
      </c>
      <c r="J6158" s="692" t="s">
        <v>4060</v>
      </c>
      <c r="K6158" s="692" t="s">
        <v>4060</v>
      </c>
    </row>
    <row r="6159" spans="1:11">
      <c r="A6159" s="688" t="s">
        <v>13</v>
      </c>
      <c r="B6159" s="689">
        <v>6.6</v>
      </c>
      <c r="C6159" s="690" t="s">
        <v>4060</v>
      </c>
      <c r="D6159" s="690" t="s">
        <v>4060</v>
      </c>
      <c r="E6159" s="690" t="s">
        <v>4060</v>
      </c>
      <c r="F6159" s="690" t="s">
        <v>4060</v>
      </c>
      <c r="G6159" s="690" t="s">
        <v>4060</v>
      </c>
      <c r="H6159" s="690" t="s">
        <v>4060</v>
      </c>
      <c r="I6159" s="690" t="s">
        <v>4060</v>
      </c>
      <c r="J6159" s="690" t="s">
        <v>4060</v>
      </c>
      <c r="K6159" s="690" t="s">
        <v>4060</v>
      </c>
    </row>
    <row r="6160" spans="1:11">
      <c r="A6160" s="688" t="s">
        <v>18</v>
      </c>
      <c r="B6160" s="691">
        <v>6.5</v>
      </c>
      <c r="C6160" s="692" t="s">
        <v>4060</v>
      </c>
      <c r="D6160" s="692" t="s">
        <v>4060</v>
      </c>
      <c r="E6160" s="692" t="s">
        <v>4060</v>
      </c>
      <c r="F6160" s="692" t="s">
        <v>4060</v>
      </c>
      <c r="G6160" s="692" t="s">
        <v>4060</v>
      </c>
      <c r="H6160" s="692" t="s">
        <v>4060</v>
      </c>
      <c r="I6160" s="692" t="s">
        <v>4060</v>
      </c>
      <c r="J6160" s="692" t="s">
        <v>4060</v>
      </c>
      <c r="K6160" s="692" t="s">
        <v>4060</v>
      </c>
    </row>
    <row r="6161" spans="1:11">
      <c r="A6161" s="688" t="s">
        <v>24</v>
      </c>
      <c r="B6161" s="689">
        <v>6.8</v>
      </c>
      <c r="C6161" s="690" t="s">
        <v>4060</v>
      </c>
      <c r="D6161" s="690" t="s">
        <v>4060</v>
      </c>
      <c r="E6161" s="690" t="s">
        <v>4060</v>
      </c>
      <c r="F6161" s="690" t="s">
        <v>4060</v>
      </c>
      <c r="G6161" s="690" t="s">
        <v>4060</v>
      </c>
      <c r="H6161" s="690" t="s">
        <v>4060</v>
      </c>
      <c r="I6161" s="690" t="s">
        <v>4060</v>
      </c>
      <c r="J6161" s="690" t="s">
        <v>4060</v>
      </c>
      <c r="K6161" s="690" t="s">
        <v>4060</v>
      </c>
    </row>
    <row r="6162" spans="1:11">
      <c r="A6162" s="688" t="s">
        <v>4059</v>
      </c>
      <c r="B6162" s="691">
        <v>6.7</v>
      </c>
      <c r="C6162" s="691">
        <v>6.9</v>
      </c>
      <c r="D6162" s="691">
        <v>6.5</v>
      </c>
      <c r="E6162" s="691">
        <v>6.8</v>
      </c>
      <c r="F6162" s="691">
        <v>6.6</v>
      </c>
      <c r="G6162" s="691">
        <v>6.7</v>
      </c>
      <c r="H6162" s="692" t="s">
        <v>4060</v>
      </c>
      <c r="I6162" s="692" t="s">
        <v>4060</v>
      </c>
      <c r="J6162" s="692" t="s">
        <v>4060</v>
      </c>
      <c r="K6162" s="692" t="s">
        <v>4060</v>
      </c>
    </row>
    <row r="6163" spans="1:11">
      <c r="A6163" s="688" t="s">
        <v>2324</v>
      </c>
      <c r="B6163" s="689">
        <v>5.3</v>
      </c>
      <c r="C6163" s="689">
        <v>5.2</v>
      </c>
      <c r="D6163" s="689">
        <v>4.8</v>
      </c>
      <c r="E6163" s="689">
        <v>5.0999999999999996</v>
      </c>
      <c r="F6163" s="689">
        <v>5.5</v>
      </c>
      <c r="G6163" s="689">
        <v>5.3</v>
      </c>
      <c r="H6163" s="689">
        <v>5.5</v>
      </c>
      <c r="I6163" s="689">
        <v>5.2</v>
      </c>
      <c r="J6163" s="693">
        <v>4</v>
      </c>
      <c r="K6163" s="690" t="s">
        <v>4060</v>
      </c>
    </row>
    <row r="6164" spans="1:11">
      <c r="A6164" s="688" t="s">
        <v>2322</v>
      </c>
      <c r="B6164" s="692" t="s">
        <v>4060</v>
      </c>
      <c r="C6164" s="692" t="s">
        <v>4060</v>
      </c>
      <c r="D6164" s="692" t="s">
        <v>4060</v>
      </c>
      <c r="E6164" s="692" t="s">
        <v>4060</v>
      </c>
      <c r="F6164" s="692" t="s">
        <v>4060</v>
      </c>
      <c r="G6164" s="692" t="s">
        <v>4060</v>
      </c>
      <c r="H6164" s="692" t="s">
        <v>4060</v>
      </c>
      <c r="I6164" s="692" t="s">
        <v>4060</v>
      </c>
      <c r="J6164" s="692" t="s">
        <v>4060</v>
      </c>
      <c r="K6164" s="692" t="s">
        <v>4060</v>
      </c>
    </row>
    <row r="6165" spans="1:11">
      <c r="A6165" s="688" t="s">
        <v>2328</v>
      </c>
      <c r="B6165" s="689">
        <v>4.4000000000000004</v>
      </c>
      <c r="C6165" s="689">
        <v>4.3</v>
      </c>
      <c r="D6165" s="689">
        <v>4.2</v>
      </c>
      <c r="E6165" s="689">
        <v>4.4000000000000004</v>
      </c>
      <c r="F6165" s="689">
        <v>4.5</v>
      </c>
      <c r="G6165" s="689">
        <v>4.5999999999999996</v>
      </c>
      <c r="H6165" s="689">
        <v>4.5</v>
      </c>
      <c r="I6165" s="689">
        <v>4.0999999999999996</v>
      </c>
      <c r="J6165" s="689">
        <v>3.9</v>
      </c>
      <c r="K6165" s="690" t="s">
        <v>4060</v>
      </c>
    </row>
    <row r="6166" spans="1:11">
      <c r="A6166" s="688" t="s">
        <v>2496</v>
      </c>
      <c r="B6166" s="692" t="s">
        <v>4060</v>
      </c>
      <c r="C6166" s="691">
        <v>7.3</v>
      </c>
      <c r="D6166" s="691">
        <v>5.4</v>
      </c>
      <c r="E6166" s="691">
        <v>4.2</v>
      </c>
      <c r="F6166" s="691">
        <v>4.3</v>
      </c>
      <c r="G6166" s="691">
        <v>4.3</v>
      </c>
      <c r="H6166" s="691">
        <v>4.3</v>
      </c>
      <c r="I6166" s="692" t="s">
        <v>4060</v>
      </c>
      <c r="J6166" s="692" t="s">
        <v>4060</v>
      </c>
      <c r="K6166" s="691">
        <v>3.7</v>
      </c>
    </row>
    <row r="6167" spans="1:11">
      <c r="A6167" s="688" t="s">
        <v>2269</v>
      </c>
      <c r="B6167" s="689">
        <v>4.8</v>
      </c>
      <c r="C6167" s="689">
        <v>4.7</v>
      </c>
      <c r="D6167" s="689">
        <v>4.2</v>
      </c>
      <c r="E6167" s="689">
        <v>4.2</v>
      </c>
      <c r="F6167" s="693">
        <v>4</v>
      </c>
      <c r="G6167" s="689">
        <v>4.3</v>
      </c>
      <c r="H6167" s="689">
        <v>4.5</v>
      </c>
      <c r="I6167" s="689">
        <v>3.8</v>
      </c>
      <c r="J6167" s="690" t="s">
        <v>4060</v>
      </c>
      <c r="K6167" s="689">
        <v>4.0999999999999996</v>
      </c>
    </row>
    <row r="6168" spans="1:11">
      <c r="A6168" s="688" t="s">
        <v>2349</v>
      </c>
      <c r="B6168" s="615">
        <v>5</v>
      </c>
      <c r="C6168" s="615">
        <v>5</v>
      </c>
      <c r="D6168" s="691">
        <v>4.9000000000000004</v>
      </c>
      <c r="E6168" s="691">
        <v>5.0999999999999996</v>
      </c>
      <c r="F6168" s="615">
        <v>5</v>
      </c>
      <c r="G6168" s="691">
        <v>5.3</v>
      </c>
      <c r="H6168" s="691">
        <v>5.5</v>
      </c>
      <c r="I6168" s="691">
        <v>4.9000000000000004</v>
      </c>
      <c r="J6168" s="691">
        <v>4.3</v>
      </c>
      <c r="K6168" s="691">
        <v>4.5</v>
      </c>
    </row>
    <row r="6169" spans="1:11">
      <c r="A6169" s="688" t="s">
        <v>2355</v>
      </c>
      <c r="B6169" s="689">
        <v>6.8</v>
      </c>
      <c r="C6169" s="689">
        <v>6.5</v>
      </c>
      <c r="D6169" s="689">
        <v>6.4</v>
      </c>
      <c r="E6169" s="689">
        <v>6.3</v>
      </c>
      <c r="F6169" s="689">
        <v>6.3</v>
      </c>
      <c r="G6169" s="689">
        <v>6.5</v>
      </c>
      <c r="H6169" s="689">
        <v>6.4</v>
      </c>
      <c r="I6169" s="690" t="s">
        <v>4060</v>
      </c>
      <c r="J6169" s="690" t="s">
        <v>4060</v>
      </c>
      <c r="K6169" s="690" t="s">
        <v>4060</v>
      </c>
    </row>
    <row r="6170" spans="1:11">
      <c r="A6170" s="688" t="s">
        <v>2357</v>
      </c>
      <c r="B6170" s="692" t="s">
        <v>4060</v>
      </c>
      <c r="C6170" s="691">
        <v>5.5</v>
      </c>
      <c r="D6170" s="691">
        <v>5.7</v>
      </c>
      <c r="E6170" s="691">
        <v>5.9</v>
      </c>
      <c r="F6170" s="691">
        <v>6.1</v>
      </c>
      <c r="G6170" s="691">
        <v>5.8</v>
      </c>
      <c r="H6170" s="691">
        <v>5.9</v>
      </c>
      <c r="I6170" s="692" t="s">
        <v>4060</v>
      </c>
      <c r="J6170" s="692" t="s">
        <v>4060</v>
      </c>
      <c r="K6170" s="692" t="s">
        <v>4060</v>
      </c>
    </row>
    <row r="6171" spans="1:11">
      <c r="A6171" s="688" t="s">
        <v>4070</v>
      </c>
      <c r="B6171" s="690" t="s">
        <v>4060</v>
      </c>
      <c r="C6171" s="690" t="s">
        <v>4060</v>
      </c>
      <c r="D6171" s="690" t="s">
        <v>4060</v>
      </c>
      <c r="E6171" s="689">
        <v>7.9</v>
      </c>
      <c r="F6171" s="690" t="s">
        <v>4060</v>
      </c>
      <c r="G6171" s="690" t="s">
        <v>4060</v>
      </c>
      <c r="H6171" s="690" t="s">
        <v>4060</v>
      </c>
      <c r="I6171" s="690" t="s">
        <v>4060</v>
      </c>
      <c r="J6171" s="690" t="s">
        <v>4060</v>
      </c>
      <c r="K6171" s="690" t="s">
        <v>4060</v>
      </c>
    </row>
    <row r="6172" spans="1:11">
      <c r="A6172" s="688" t="s">
        <v>2491</v>
      </c>
      <c r="B6172" s="691">
        <v>5.5</v>
      </c>
      <c r="C6172" s="691">
        <v>5.7</v>
      </c>
      <c r="D6172" s="691">
        <v>5.6</v>
      </c>
      <c r="E6172" s="691">
        <v>5.6</v>
      </c>
      <c r="F6172" s="691">
        <v>5.5</v>
      </c>
      <c r="G6172" s="691">
        <v>5.5</v>
      </c>
      <c r="H6172" s="692" t="s">
        <v>4060</v>
      </c>
      <c r="I6172" s="692" t="s">
        <v>4060</v>
      </c>
      <c r="J6172" s="692" t="s">
        <v>4060</v>
      </c>
      <c r="K6172" s="692" t="s">
        <v>4060</v>
      </c>
    </row>
    <row r="6173" spans="1:11">
      <c r="A6173" s="688" t="s">
        <v>2343</v>
      </c>
      <c r="B6173" s="690" t="s">
        <v>4060</v>
      </c>
      <c r="C6173" s="690" t="s">
        <v>4060</v>
      </c>
      <c r="D6173" s="690" t="s">
        <v>4060</v>
      </c>
      <c r="E6173" s="690" t="s">
        <v>4060</v>
      </c>
      <c r="F6173" s="690" t="s">
        <v>4060</v>
      </c>
      <c r="G6173" s="690" t="s">
        <v>4060</v>
      </c>
      <c r="H6173" s="690" t="s">
        <v>4060</v>
      </c>
      <c r="I6173" s="690" t="s">
        <v>4060</v>
      </c>
      <c r="J6173" s="690" t="s">
        <v>4060</v>
      </c>
      <c r="K6173" s="690" t="s">
        <v>4060</v>
      </c>
    </row>
    <row r="6174" spans="1:11">
      <c r="A6174" s="688" t="s">
        <v>4071</v>
      </c>
      <c r="B6174" s="692" t="s">
        <v>4060</v>
      </c>
      <c r="C6174" s="692" t="s">
        <v>4060</v>
      </c>
      <c r="D6174" s="692" t="s">
        <v>4060</v>
      </c>
      <c r="E6174" s="692" t="s">
        <v>4060</v>
      </c>
      <c r="F6174" s="692" t="s">
        <v>4060</v>
      </c>
      <c r="G6174" s="692" t="s">
        <v>4060</v>
      </c>
      <c r="H6174" s="692" t="s">
        <v>4060</v>
      </c>
      <c r="I6174" s="692" t="s">
        <v>4060</v>
      </c>
      <c r="J6174" s="692" t="s">
        <v>4060</v>
      </c>
      <c r="K6174" s="692" t="s">
        <v>4060</v>
      </c>
    </row>
    <row r="6175" spans="1:11">
      <c r="A6175" s="688" t="s">
        <v>2489</v>
      </c>
      <c r="B6175" s="690" t="s">
        <v>4060</v>
      </c>
      <c r="C6175" s="690" t="s">
        <v>4060</v>
      </c>
      <c r="D6175" s="689">
        <v>5.3</v>
      </c>
      <c r="E6175" s="689">
        <v>5.0999999999999996</v>
      </c>
      <c r="F6175" s="689">
        <v>5.2</v>
      </c>
      <c r="G6175" s="693">
        <v>5</v>
      </c>
      <c r="H6175" s="689">
        <v>5.5</v>
      </c>
      <c r="I6175" s="690" t="s">
        <v>4060</v>
      </c>
      <c r="J6175" s="690" t="s">
        <v>4060</v>
      </c>
      <c r="K6175" s="690" t="s">
        <v>4060</v>
      </c>
    </row>
    <row r="6176" spans="1:11">
      <c r="A6176" s="688" t="s">
        <v>2490</v>
      </c>
      <c r="B6176" s="691">
        <v>5.8</v>
      </c>
      <c r="C6176" s="691">
        <v>5.5</v>
      </c>
      <c r="D6176" s="691">
        <v>6.2</v>
      </c>
      <c r="E6176" s="692" t="s">
        <v>4060</v>
      </c>
      <c r="F6176" s="691">
        <v>6.5</v>
      </c>
      <c r="G6176" s="691">
        <v>6.2</v>
      </c>
      <c r="H6176" s="691">
        <v>6.9</v>
      </c>
      <c r="I6176" s="692" t="s">
        <v>4060</v>
      </c>
      <c r="J6176" s="692" t="s">
        <v>4060</v>
      </c>
      <c r="K6176" s="692" t="s">
        <v>4060</v>
      </c>
    </row>
    <row r="6178" spans="1:11">
      <c r="A6178" s="683" t="s">
        <v>4233</v>
      </c>
    </row>
    <row r="6179" spans="1:11">
      <c r="A6179" s="683" t="s">
        <v>4060</v>
      </c>
      <c r="B6179" s="682" t="s">
        <v>4234</v>
      </c>
    </row>
    <row r="6181" spans="1:11">
      <c r="A6181" s="682" t="s">
        <v>4248</v>
      </c>
    </row>
    <row r="6182" spans="1:11">
      <c r="A6182" s="682" t="s">
        <v>4210</v>
      </c>
      <c r="B6182" s="683" t="s">
        <v>4211</v>
      </c>
    </row>
    <row r="6183" spans="1:11">
      <c r="A6183" s="682" t="s">
        <v>4212</v>
      </c>
      <c r="B6183" s="682" t="s">
        <v>4213</v>
      </c>
    </row>
    <row r="6185" spans="1:11">
      <c r="A6185" s="683" t="s">
        <v>4214</v>
      </c>
      <c r="C6185" s="682" t="s">
        <v>4215</v>
      </c>
    </row>
    <row r="6186" spans="1:11">
      <c r="A6186" s="683" t="s">
        <v>4216</v>
      </c>
      <c r="C6186" s="682" t="s">
        <v>2967</v>
      </c>
    </row>
    <row r="6187" spans="1:11">
      <c r="A6187" s="683" t="s">
        <v>3893</v>
      </c>
      <c r="C6187" s="682" t="s">
        <v>4217</v>
      </c>
    </row>
    <row r="6188" spans="1:11">
      <c r="A6188" s="683" t="s">
        <v>4218</v>
      </c>
      <c r="C6188" s="682" t="s">
        <v>4321</v>
      </c>
    </row>
    <row r="6190" spans="1:11">
      <c r="A6190" s="684" t="s">
        <v>4220</v>
      </c>
      <c r="B6190" s="685" t="s">
        <v>4221</v>
      </c>
      <c r="C6190" s="685" t="s">
        <v>4222</v>
      </c>
      <c r="D6190" s="685" t="s">
        <v>4223</v>
      </c>
      <c r="E6190" s="685" t="s">
        <v>4224</v>
      </c>
      <c r="F6190" s="685" t="s">
        <v>4225</v>
      </c>
      <c r="G6190" s="685" t="s">
        <v>4226</v>
      </c>
      <c r="H6190" s="685" t="s">
        <v>4227</v>
      </c>
      <c r="I6190" s="685" t="s">
        <v>4228</v>
      </c>
      <c r="J6190" s="685" t="s">
        <v>4229</v>
      </c>
      <c r="K6190" s="685" t="s">
        <v>4230</v>
      </c>
    </row>
    <row r="6191" spans="1:11">
      <c r="A6191" s="686" t="s">
        <v>4231</v>
      </c>
      <c r="B6191" s="687" t="s">
        <v>4232</v>
      </c>
      <c r="C6191" s="687" t="s">
        <v>4232</v>
      </c>
      <c r="D6191" s="687" t="s">
        <v>4232</v>
      </c>
      <c r="E6191" s="687" t="s">
        <v>4232</v>
      </c>
      <c r="F6191" s="687" t="s">
        <v>4232</v>
      </c>
      <c r="G6191" s="687" t="s">
        <v>4232</v>
      </c>
      <c r="H6191" s="687" t="s">
        <v>4232</v>
      </c>
      <c r="I6191" s="687" t="s">
        <v>4232</v>
      </c>
      <c r="J6191" s="687" t="s">
        <v>4232</v>
      </c>
      <c r="K6191" s="687" t="s">
        <v>4232</v>
      </c>
    </row>
    <row r="6192" spans="1:11">
      <c r="A6192" s="688" t="s">
        <v>4064</v>
      </c>
      <c r="B6192" s="692" t="s">
        <v>4060</v>
      </c>
      <c r="C6192" s="615">
        <v>6</v>
      </c>
      <c r="D6192" s="692" t="s">
        <v>4060</v>
      </c>
      <c r="E6192" s="615">
        <v>6</v>
      </c>
      <c r="F6192" s="691">
        <v>5.9</v>
      </c>
      <c r="G6192" s="615">
        <v>6</v>
      </c>
      <c r="H6192" s="691">
        <v>6.1</v>
      </c>
      <c r="I6192" s="691">
        <v>5.7</v>
      </c>
      <c r="J6192" s="691">
        <v>5.8</v>
      </c>
      <c r="K6192" s="691">
        <v>5.8</v>
      </c>
    </row>
    <row r="6193" spans="1:11">
      <c r="A6193" s="688" t="s">
        <v>4065</v>
      </c>
      <c r="B6193" s="690" t="s">
        <v>4060</v>
      </c>
      <c r="C6193" s="690" t="s">
        <v>4060</v>
      </c>
      <c r="D6193" s="690" t="s">
        <v>4060</v>
      </c>
      <c r="E6193" s="690" t="s">
        <v>4060</v>
      </c>
      <c r="F6193" s="690" t="s">
        <v>4060</v>
      </c>
      <c r="G6193" s="690" t="s">
        <v>4060</v>
      </c>
      <c r="H6193" s="690" t="s">
        <v>4060</v>
      </c>
      <c r="I6193" s="690" t="s">
        <v>4060</v>
      </c>
      <c r="J6193" s="690" t="s">
        <v>4060</v>
      </c>
      <c r="K6193" s="690" t="s">
        <v>4060</v>
      </c>
    </row>
    <row r="6194" spans="1:11">
      <c r="A6194" s="688" t="s">
        <v>4063</v>
      </c>
      <c r="B6194" s="692" t="s">
        <v>4060</v>
      </c>
      <c r="C6194" s="692" t="s">
        <v>4060</v>
      </c>
      <c r="D6194" s="692" t="s">
        <v>4060</v>
      </c>
      <c r="E6194" s="692" t="s">
        <v>4060</v>
      </c>
      <c r="F6194" s="692" t="s">
        <v>4060</v>
      </c>
      <c r="G6194" s="692" t="s">
        <v>4060</v>
      </c>
      <c r="H6194" s="692" t="s">
        <v>4060</v>
      </c>
      <c r="I6194" s="692" t="s">
        <v>4060</v>
      </c>
      <c r="J6194" s="692" t="s">
        <v>4060</v>
      </c>
      <c r="K6194" s="692" t="s">
        <v>4060</v>
      </c>
    </row>
    <row r="6195" spans="1:11">
      <c r="A6195" s="688" t="s">
        <v>4069</v>
      </c>
      <c r="B6195" s="690" t="s">
        <v>4060</v>
      </c>
      <c r="C6195" s="689">
        <v>6.1</v>
      </c>
      <c r="D6195" s="689">
        <v>5.9</v>
      </c>
      <c r="E6195" s="689">
        <v>6.1</v>
      </c>
      <c r="F6195" s="693">
        <v>6</v>
      </c>
      <c r="G6195" s="689">
        <v>6.1</v>
      </c>
      <c r="H6195" s="689">
        <v>6.2</v>
      </c>
      <c r="I6195" s="689">
        <v>5.8</v>
      </c>
      <c r="J6195" s="693">
        <v>6</v>
      </c>
      <c r="K6195" s="689">
        <v>5.9</v>
      </c>
    </row>
    <row r="6196" spans="1:11">
      <c r="A6196" s="688" t="s">
        <v>4068</v>
      </c>
      <c r="B6196" s="692" t="s">
        <v>4060</v>
      </c>
      <c r="C6196" s="692" t="s">
        <v>4060</v>
      </c>
      <c r="D6196" s="692" t="s">
        <v>4060</v>
      </c>
      <c r="E6196" s="692" t="s">
        <v>4060</v>
      </c>
      <c r="F6196" s="692" t="s">
        <v>4060</v>
      </c>
      <c r="G6196" s="692" t="s">
        <v>4060</v>
      </c>
      <c r="H6196" s="692" t="s">
        <v>4060</v>
      </c>
      <c r="I6196" s="692" t="s">
        <v>4060</v>
      </c>
      <c r="J6196" s="692" t="s">
        <v>4060</v>
      </c>
      <c r="K6196" s="692" t="s">
        <v>4060</v>
      </c>
    </row>
    <row r="6197" spans="1:11">
      <c r="A6197" s="688" t="s">
        <v>0</v>
      </c>
      <c r="B6197" s="690" t="s">
        <v>4060</v>
      </c>
      <c r="C6197" s="693">
        <v>6</v>
      </c>
      <c r="D6197" s="689">
        <v>5.8</v>
      </c>
      <c r="E6197" s="693">
        <v>6</v>
      </c>
      <c r="F6197" s="693">
        <v>6</v>
      </c>
      <c r="G6197" s="693">
        <v>6</v>
      </c>
      <c r="H6197" s="689">
        <v>6.2</v>
      </c>
      <c r="I6197" s="689">
        <v>5.5</v>
      </c>
      <c r="J6197" s="689">
        <v>6.3</v>
      </c>
      <c r="K6197" s="693">
        <v>6</v>
      </c>
    </row>
    <row r="6198" spans="1:11">
      <c r="A6198" s="688" t="s">
        <v>1</v>
      </c>
      <c r="B6198" s="692" t="s">
        <v>4060</v>
      </c>
      <c r="C6198" s="691">
        <v>4.4000000000000004</v>
      </c>
      <c r="D6198" s="691">
        <v>4.3</v>
      </c>
      <c r="E6198" s="691">
        <v>4.5</v>
      </c>
      <c r="F6198" s="691">
        <v>4.4000000000000004</v>
      </c>
      <c r="G6198" s="691">
        <v>4.4000000000000004</v>
      </c>
      <c r="H6198" s="691">
        <v>4.5</v>
      </c>
      <c r="I6198" s="691">
        <v>4.0999999999999996</v>
      </c>
      <c r="J6198" s="691">
        <v>3.8</v>
      </c>
      <c r="K6198" s="691">
        <v>4.3</v>
      </c>
    </row>
    <row r="6199" spans="1:11">
      <c r="A6199" s="688" t="s">
        <v>2240</v>
      </c>
      <c r="B6199" s="690" t="s">
        <v>4060</v>
      </c>
      <c r="C6199" s="689">
        <v>5.2</v>
      </c>
      <c r="D6199" s="693">
        <v>5</v>
      </c>
      <c r="E6199" s="689">
        <v>5.3</v>
      </c>
      <c r="F6199" s="689">
        <v>5.2</v>
      </c>
      <c r="G6199" s="689">
        <v>5.2</v>
      </c>
      <c r="H6199" s="689">
        <v>5.3</v>
      </c>
      <c r="I6199" s="689">
        <v>4.8</v>
      </c>
      <c r="J6199" s="689">
        <v>4.8</v>
      </c>
      <c r="K6199" s="689">
        <v>5.0999999999999996</v>
      </c>
    </row>
    <row r="6200" spans="1:11">
      <c r="A6200" s="688" t="s">
        <v>2</v>
      </c>
      <c r="B6200" s="692" t="s">
        <v>4060</v>
      </c>
      <c r="C6200" s="615">
        <v>6</v>
      </c>
      <c r="D6200" s="691">
        <v>5.8</v>
      </c>
      <c r="E6200" s="691">
        <v>5.9</v>
      </c>
      <c r="F6200" s="691">
        <v>5.8</v>
      </c>
      <c r="G6200" s="691">
        <v>5.7</v>
      </c>
      <c r="H6200" s="691">
        <v>5.9</v>
      </c>
      <c r="I6200" s="691">
        <v>5.9</v>
      </c>
      <c r="J6200" s="691">
        <v>5.7</v>
      </c>
      <c r="K6200" s="691">
        <v>5.7</v>
      </c>
    </row>
    <row r="6201" spans="1:11">
      <c r="A6201" s="688" t="s">
        <v>3</v>
      </c>
      <c r="B6201" s="690" t="s">
        <v>4060</v>
      </c>
      <c r="C6201" s="689">
        <v>5.8</v>
      </c>
      <c r="D6201" s="689">
        <v>5.6</v>
      </c>
      <c r="E6201" s="689">
        <v>5.8</v>
      </c>
      <c r="F6201" s="689">
        <v>5.7</v>
      </c>
      <c r="G6201" s="689">
        <v>5.7</v>
      </c>
      <c r="H6201" s="689">
        <v>5.8</v>
      </c>
      <c r="I6201" s="689">
        <v>5.7</v>
      </c>
      <c r="J6201" s="689">
        <v>5.7</v>
      </c>
      <c r="K6201" s="689">
        <v>5.4</v>
      </c>
    </row>
    <row r="6202" spans="1:11">
      <c r="A6202" s="688" t="s">
        <v>4061</v>
      </c>
      <c r="B6202" s="692" t="s">
        <v>4060</v>
      </c>
      <c r="C6202" s="691">
        <v>5.8</v>
      </c>
      <c r="D6202" s="691">
        <v>5.6</v>
      </c>
      <c r="E6202" s="691">
        <v>5.8</v>
      </c>
      <c r="F6202" s="691">
        <v>5.7</v>
      </c>
      <c r="G6202" s="691">
        <v>5.7</v>
      </c>
      <c r="H6202" s="691">
        <v>5.8</v>
      </c>
      <c r="I6202" s="691">
        <v>5.7</v>
      </c>
      <c r="J6202" s="691">
        <v>5.7</v>
      </c>
      <c r="K6202" s="691">
        <v>5.4</v>
      </c>
    </row>
    <row r="6203" spans="1:11">
      <c r="A6203" s="688" t="s">
        <v>4</v>
      </c>
      <c r="B6203" s="690" t="s">
        <v>4060</v>
      </c>
      <c r="C6203" s="689">
        <v>5.5</v>
      </c>
      <c r="D6203" s="689">
        <v>5.7</v>
      </c>
      <c r="E6203" s="689">
        <v>5.7</v>
      </c>
      <c r="F6203" s="689">
        <v>5.7</v>
      </c>
      <c r="G6203" s="689">
        <v>5.7</v>
      </c>
      <c r="H6203" s="689">
        <v>5.9</v>
      </c>
      <c r="I6203" s="689">
        <v>5.9</v>
      </c>
      <c r="J6203" s="689">
        <v>5.3</v>
      </c>
      <c r="K6203" s="689">
        <v>5.5</v>
      </c>
    </row>
    <row r="6204" spans="1:11">
      <c r="A6204" s="688" t="s">
        <v>8</v>
      </c>
      <c r="B6204" s="692" t="s">
        <v>4060</v>
      </c>
      <c r="C6204" s="691">
        <v>5.7</v>
      </c>
      <c r="D6204" s="691">
        <v>5.6</v>
      </c>
      <c r="E6204" s="691">
        <v>5.6</v>
      </c>
      <c r="F6204" s="691">
        <v>5.9</v>
      </c>
      <c r="G6204" s="691">
        <v>5.9</v>
      </c>
      <c r="H6204" s="691">
        <v>5.9</v>
      </c>
      <c r="I6204" s="691">
        <v>5.9</v>
      </c>
      <c r="J6204" s="691">
        <v>5.9</v>
      </c>
      <c r="K6204" s="615">
        <v>6</v>
      </c>
    </row>
    <row r="6205" spans="1:11">
      <c r="A6205" s="688" t="s">
        <v>7</v>
      </c>
      <c r="B6205" s="690" t="s">
        <v>4060</v>
      </c>
      <c r="C6205" s="689">
        <v>5.4</v>
      </c>
      <c r="D6205" s="689">
        <v>5.2</v>
      </c>
      <c r="E6205" s="689">
        <v>5.6</v>
      </c>
      <c r="F6205" s="689">
        <v>5.5</v>
      </c>
      <c r="G6205" s="689">
        <v>5.8</v>
      </c>
      <c r="H6205" s="689">
        <v>5.8</v>
      </c>
      <c r="I6205" s="689">
        <v>5.7</v>
      </c>
      <c r="J6205" s="689">
        <v>5.5</v>
      </c>
      <c r="K6205" s="689">
        <v>5.5</v>
      </c>
    </row>
    <row r="6206" spans="1:11">
      <c r="A6206" s="688" t="s">
        <v>27</v>
      </c>
      <c r="B6206" s="692" t="s">
        <v>4060</v>
      </c>
      <c r="C6206" s="691">
        <v>6.5</v>
      </c>
      <c r="D6206" s="691">
        <v>6.2</v>
      </c>
      <c r="E6206" s="691">
        <v>6.5</v>
      </c>
      <c r="F6206" s="691">
        <v>6.3</v>
      </c>
      <c r="G6206" s="691">
        <v>6.4</v>
      </c>
      <c r="H6206" s="691">
        <v>6.6</v>
      </c>
      <c r="I6206" s="691">
        <v>5.9</v>
      </c>
      <c r="J6206" s="691">
        <v>6.5</v>
      </c>
      <c r="K6206" s="691">
        <v>6.3</v>
      </c>
    </row>
    <row r="6207" spans="1:11">
      <c r="A6207" s="688" t="s">
        <v>6</v>
      </c>
      <c r="B6207" s="690" t="s">
        <v>4060</v>
      </c>
      <c r="C6207" s="689">
        <v>6.8</v>
      </c>
      <c r="D6207" s="689">
        <v>6.5</v>
      </c>
      <c r="E6207" s="689">
        <v>6.7</v>
      </c>
      <c r="F6207" s="689">
        <v>6.7</v>
      </c>
      <c r="G6207" s="689">
        <v>6.8</v>
      </c>
      <c r="H6207" s="689">
        <v>6.8</v>
      </c>
      <c r="I6207" s="689">
        <v>6.5</v>
      </c>
      <c r="J6207" s="689">
        <v>6.7</v>
      </c>
      <c r="K6207" s="689">
        <v>6.6</v>
      </c>
    </row>
    <row r="6208" spans="1:11">
      <c r="A6208" s="688" t="s">
        <v>4058</v>
      </c>
      <c r="B6208" s="692" t="s">
        <v>4060</v>
      </c>
      <c r="C6208" s="692" t="s">
        <v>4060</v>
      </c>
      <c r="D6208" s="692" t="s">
        <v>4060</v>
      </c>
      <c r="E6208" s="692" t="s">
        <v>4060</v>
      </c>
      <c r="F6208" s="692" t="s">
        <v>4060</v>
      </c>
      <c r="G6208" s="692" t="s">
        <v>4060</v>
      </c>
      <c r="H6208" s="692" t="s">
        <v>4060</v>
      </c>
      <c r="I6208" s="692" t="s">
        <v>4060</v>
      </c>
      <c r="J6208" s="692" t="s">
        <v>4060</v>
      </c>
      <c r="K6208" s="692" t="s">
        <v>4060</v>
      </c>
    </row>
    <row r="6209" spans="1:11">
      <c r="A6209" s="688" t="s">
        <v>11</v>
      </c>
      <c r="B6209" s="690" t="s">
        <v>4060</v>
      </c>
      <c r="C6209" s="689">
        <v>4.9000000000000004</v>
      </c>
      <c r="D6209" s="689">
        <v>4.5999999999999996</v>
      </c>
      <c r="E6209" s="689">
        <v>4.9000000000000004</v>
      </c>
      <c r="F6209" s="689">
        <v>4.7</v>
      </c>
      <c r="G6209" s="689">
        <v>4.8</v>
      </c>
      <c r="H6209" s="689">
        <v>4.9000000000000004</v>
      </c>
      <c r="I6209" s="689">
        <v>4.5999999999999996</v>
      </c>
      <c r="J6209" s="689">
        <v>4.3</v>
      </c>
      <c r="K6209" s="689">
        <v>4.4000000000000004</v>
      </c>
    </row>
    <row r="6210" spans="1:11">
      <c r="A6210" s="688" t="s">
        <v>10</v>
      </c>
      <c r="B6210" s="692" t="s">
        <v>4060</v>
      </c>
      <c r="C6210" s="691">
        <v>6.2</v>
      </c>
      <c r="D6210" s="691">
        <v>5.9</v>
      </c>
      <c r="E6210" s="691">
        <v>6.2</v>
      </c>
      <c r="F6210" s="615">
        <v>6</v>
      </c>
      <c r="G6210" s="691">
        <v>6.2</v>
      </c>
      <c r="H6210" s="691">
        <v>6.3</v>
      </c>
      <c r="I6210" s="691">
        <v>5.7</v>
      </c>
      <c r="J6210" s="615">
        <v>6</v>
      </c>
      <c r="K6210" s="691">
        <v>5.8</v>
      </c>
    </row>
    <row r="6211" spans="1:11">
      <c r="A6211" s="688" t="s">
        <v>30</v>
      </c>
      <c r="B6211" s="690" t="s">
        <v>4060</v>
      </c>
      <c r="C6211" s="689">
        <v>5.5</v>
      </c>
      <c r="D6211" s="693">
        <v>5</v>
      </c>
      <c r="E6211" s="689">
        <v>5.6</v>
      </c>
      <c r="F6211" s="689">
        <v>5.2</v>
      </c>
      <c r="G6211" s="689">
        <v>5.8</v>
      </c>
      <c r="H6211" s="689">
        <v>5.6</v>
      </c>
      <c r="I6211" s="689">
        <v>5.6</v>
      </c>
      <c r="J6211" s="689">
        <v>5.5</v>
      </c>
      <c r="K6211" s="689">
        <v>5.3</v>
      </c>
    </row>
    <row r="6212" spans="1:11">
      <c r="A6212" s="688" t="s">
        <v>12</v>
      </c>
      <c r="B6212" s="692" t="s">
        <v>4060</v>
      </c>
      <c r="C6212" s="691">
        <v>5.2</v>
      </c>
      <c r="D6212" s="691">
        <v>5.2</v>
      </c>
      <c r="E6212" s="691">
        <v>5.2</v>
      </c>
      <c r="F6212" s="691">
        <v>5.0999999999999996</v>
      </c>
      <c r="G6212" s="691">
        <v>5.2</v>
      </c>
      <c r="H6212" s="691">
        <v>5.3</v>
      </c>
      <c r="I6212" s="691">
        <v>5.2</v>
      </c>
      <c r="J6212" s="691">
        <v>4.7</v>
      </c>
      <c r="K6212" s="615">
        <v>5</v>
      </c>
    </row>
    <row r="6213" spans="1:11">
      <c r="A6213" s="688" t="s">
        <v>14</v>
      </c>
      <c r="B6213" s="690" t="s">
        <v>4060</v>
      </c>
      <c r="C6213" s="689">
        <v>4.9000000000000004</v>
      </c>
      <c r="D6213" s="689">
        <v>4.5999999999999996</v>
      </c>
      <c r="E6213" s="689">
        <v>4.7</v>
      </c>
      <c r="F6213" s="689">
        <v>4.7</v>
      </c>
      <c r="G6213" s="689">
        <v>4.8</v>
      </c>
      <c r="H6213" s="689">
        <v>4.9000000000000004</v>
      </c>
      <c r="I6213" s="689">
        <v>4.8</v>
      </c>
      <c r="J6213" s="689">
        <v>4.5999999999999996</v>
      </c>
      <c r="K6213" s="689">
        <v>4.8</v>
      </c>
    </row>
    <row r="6214" spans="1:11">
      <c r="A6214" s="688" t="s">
        <v>15</v>
      </c>
      <c r="B6214" s="692" t="s">
        <v>4060</v>
      </c>
      <c r="C6214" s="691">
        <v>6.2</v>
      </c>
      <c r="D6214" s="691">
        <v>5.9</v>
      </c>
      <c r="E6214" s="691">
        <v>6.1</v>
      </c>
      <c r="F6214" s="691">
        <v>6.1</v>
      </c>
      <c r="G6214" s="691">
        <v>6.1</v>
      </c>
      <c r="H6214" s="691">
        <v>6.2</v>
      </c>
      <c r="I6214" s="691">
        <v>5.8</v>
      </c>
      <c r="J6214" s="691">
        <v>6.1</v>
      </c>
      <c r="K6214" s="691">
        <v>6.2</v>
      </c>
    </row>
    <row r="6215" spans="1:11">
      <c r="A6215" s="688" t="s">
        <v>29</v>
      </c>
      <c r="B6215" s="690" t="s">
        <v>4060</v>
      </c>
      <c r="C6215" s="689">
        <v>5.0999999999999996</v>
      </c>
      <c r="D6215" s="689">
        <v>4.9000000000000004</v>
      </c>
      <c r="E6215" s="689">
        <v>5.0999999999999996</v>
      </c>
      <c r="F6215" s="693">
        <v>5</v>
      </c>
      <c r="G6215" s="693">
        <v>5</v>
      </c>
      <c r="H6215" s="689">
        <v>5.0999999999999996</v>
      </c>
      <c r="I6215" s="689">
        <v>4.8</v>
      </c>
      <c r="J6215" s="689">
        <v>4.8</v>
      </c>
      <c r="K6215" s="689">
        <v>4.9000000000000004</v>
      </c>
    </row>
    <row r="6216" spans="1:11">
      <c r="A6216" s="688" t="s">
        <v>16</v>
      </c>
      <c r="B6216" s="692" t="s">
        <v>4060</v>
      </c>
      <c r="C6216" s="691">
        <v>5.9</v>
      </c>
      <c r="D6216" s="691">
        <v>5.5</v>
      </c>
      <c r="E6216" s="615">
        <v>6</v>
      </c>
      <c r="F6216" s="691">
        <v>5.8</v>
      </c>
      <c r="G6216" s="691">
        <v>5.9</v>
      </c>
      <c r="H6216" s="691">
        <v>6.1</v>
      </c>
      <c r="I6216" s="691">
        <v>5.7</v>
      </c>
      <c r="J6216" s="691">
        <v>5.9</v>
      </c>
      <c r="K6216" s="691">
        <v>5.8</v>
      </c>
    </row>
    <row r="6217" spans="1:11">
      <c r="A6217" s="688" t="s">
        <v>17</v>
      </c>
      <c r="B6217" s="690" t="s">
        <v>4060</v>
      </c>
      <c r="C6217" s="689">
        <v>5.9</v>
      </c>
      <c r="D6217" s="689">
        <v>5.7</v>
      </c>
      <c r="E6217" s="689">
        <v>5.7</v>
      </c>
      <c r="F6217" s="689">
        <v>5.7</v>
      </c>
      <c r="G6217" s="689">
        <v>5.6</v>
      </c>
      <c r="H6217" s="689">
        <v>5.8</v>
      </c>
      <c r="I6217" s="689">
        <v>5.4</v>
      </c>
      <c r="J6217" s="689">
        <v>5.5</v>
      </c>
      <c r="K6217" s="689">
        <v>5.5</v>
      </c>
    </row>
    <row r="6218" spans="1:11">
      <c r="A6218" s="688" t="s">
        <v>19</v>
      </c>
      <c r="B6218" s="692" t="s">
        <v>4060</v>
      </c>
      <c r="C6218" s="691">
        <v>5.9</v>
      </c>
      <c r="D6218" s="691">
        <v>5.7</v>
      </c>
      <c r="E6218" s="691">
        <v>5.9</v>
      </c>
      <c r="F6218" s="691">
        <v>5.8</v>
      </c>
      <c r="G6218" s="691">
        <v>5.8</v>
      </c>
      <c r="H6218" s="691">
        <v>5.9</v>
      </c>
      <c r="I6218" s="691">
        <v>5.6</v>
      </c>
      <c r="J6218" s="691">
        <v>5.7</v>
      </c>
      <c r="K6218" s="691">
        <v>5.6</v>
      </c>
    </row>
    <row r="6219" spans="1:11">
      <c r="A6219" s="688" t="s">
        <v>20</v>
      </c>
      <c r="B6219" s="690" t="s">
        <v>4060</v>
      </c>
      <c r="C6219" s="689">
        <v>5.8</v>
      </c>
      <c r="D6219" s="689">
        <v>5.6</v>
      </c>
      <c r="E6219" s="689">
        <v>5.8</v>
      </c>
      <c r="F6219" s="689">
        <v>5.7</v>
      </c>
      <c r="G6219" s="689">
        <v>5.7</v>
      </c>
      <c r="H6219" s="689">
        <v>5.9</v>
      </c>
      <c r="I6219" s="689">
        <v>5.3</v>
      </c>
      <c r="J6219" s="693">
        <v>5</v>
      </c>
      <c r="K6219" s="689">
        <v>5.4</v>
      </c>
    </row>
    <row r="6220" spans="1:11">
      <c r="A6220" s="688" t="s">
        <v>21</v>
      </c>
      <c r="B6220" s="692" t="s">
        <v>4060</v>
      </c>
      <c r="C6220" s="691">
        <v>6.1</v>
      </c>
      <c r="D6220" s="615">
        <v>6</v>
      </c>
      <c r="E6220" s="615">
        <v>6</v>
      </c>
      <c r="F6220" s="691">
        <v>6.1</v>
      </c>
      <c r="G6220" s="691">
        <v>6.1</v>
      </c>
      <c r="H6220" s="691">
        <v>6.2</v>
      </c>
      <c r="I6220" s="691">
        <v>5.8</v>
      </c>
      <c r="J6220" s="691">
        <v>5.9</v>
      </c>
      <c r="K6220" s="691">
        <v>5.9</v>
      </c>
    </row>
    <row r="6221" spans="1:11">
      <c r="A6221" s="688" t="s">
        <v>22</v>
      </c>
      <c r="B6221" s="690" t="s">
        <v>4060</v>
      </c>
      <c r="C6221" s="693">
        <v>5</v>
      </c>
      <c r="D6221" s="693">
        <v>5</v>
      </c>
      <c r="E6221" s="689">
        <v>5.3</v>
      </c>
      <c r="F6221" s="689">
        <v>5.3</v>
      </c>
      <c r="G6221" s="689">
        <v>5.4</v>
      </c>
      <c r="H6221" s="689">
        <v>5.7</v>
      </c>
      <c r="I6221" s="689">
        <v>5.3</v>
      </c>
      <c r="J6221" s="689">
        <v>4.5</v>
      </c>
      <c r="K6221" s="689">
        <v>4.5999999999999996</v>
      </c>
    </row>
    <row r="6222" spans="1:11">
      <c r="A6222" s="688" t="s">
        <v>26</v>
      </c>
      <c r="B6222" s="692" t="s">
        <v>4060</v>
      </c>
      <c r="C6222" s="691">
        <v>5.8</v>
      </c>
      <c r="D6222" s="691">
        <v>5.7</v>
      </c>
      <c r="E6222" s="691">
        <v>5.8</v>
      </c>
      <c r="F6222" s="691">
        <v>5.8</v>
      </c>
      <c r="G6222" s="691">
        <v>5.9</v>
      </c>
      <c r="H6222" s="691">
        <v>5.9</v>
      </c>
      <c r="I6222" s="691">
        <v>5.2</v>
      </c>
      <c r="J6222" s="691">
        <v>5.7</v>
      </c>
      <c r="K6222" s="691">
        <v>5.7</v>
      </c>
    </row>
    <row r="6223" spans="1:11">
      <c r="A6223" s="688" t="s">
        <v>25</v>
      </c>
      <c r="B6223" s="690" t="s">
        <v>4060</v>
      </c>
      <c r="C6223" s="689">
        <v>5.3</v>
      </c>
      <c r="D6223" s="689">
        <v>5.0999999999999996</v>
      </c>
      <c r="E6223" s="689">
        <v>5.3</v>
      </c>
      <c r="F6223" s="689">
        <v>5.2</v>
      </c>
      <c r="G6223" s="689">
        <v>5.5</v>
      </c>
      <c r="H6223" s="689">
        <v>5.7</v>
      </c>
      <c r="I6223" s="689">
        <v>5.4</v>
      </c>
      <c r="J6223" s="689">
        <v>4.7</v>
      </c>
      <c r="K6223" s="693">
        <v>5</v>
      </c>
    </row>
    <row r="6224" spans="1:11">
      <c r="A6224" s="688" t="s">
        <v>5</v>
      </c>
      <c r="B6224" s="692" t="s">
        <v>4060</v>
      </c>
      <c r="C6224" s="691">
        <v>5.8</v>
      </c>
      <c r="D6224" s="691">
        <v>5.8</v>
      </c>
      <c r="E6224" s="691">
        <v>5.8</v>
      </c>
      <c r="F6224" s="615">
        <v>6</v>
      </c>
      <c r="G6224" s="615">
        <v>6</v>
      </c>
      <c r="H6224" s="691">
        <v>6.1</v>
      </c>
      <c r="I6224" s="691">
        <v>6.1</v>
      </c>
      <c r="J6224" s="615">
        <v>6</v>
      </c>
      <c r="K6224" s="691">
        <v>5.7</v>
      </c>
    </row>
    <row r="6225" spans="1:11">
      <c r="A6225" s="688" t="s">
        <v>23</v>
      </c>
      <c r="B6225" s="690" t="s">
        <v>4060</v>
      </c>
      <c r="C6225" s="689">
        <v>5.9</v>
      </c>
      <c r="D6225" s="689">
        <v>5.9</v>
      </c>
      <c r="E6225" s="689">
        <v>5.9</v>
      </c>
      <c r="F6225" s="689">
        <v>5.8</v>
      </c>
      <c r="G6225" s="689">
        <v>5.9</v>
      </c>
      <c r="H6225" s="689">
        <v>6.2</v>
      </c>
      <c r="I6225" s="689">
        <v>5.7</v>
      </c>
      <c r="J6225" s="689">
        <v>6.2</v>
      </c>
      <c r="K6225" s="689">
        <v>6.1</v>
      </c>
    </row>
    <row r="6226" spans="1:11">
      <c r="A6226" s="688" t="s">
        <v>4067</v>
      </c>
      <c r="B6226" s="692" t="s">
        <v>4060</v>
      </c>
      <c r="C6226" s="692" t="s">
        <v>4060</v>
      </c>
      <c r="D6226" s="692" t="s">
        <v>4060</v>
      </c>
      <c r="E6226" s="692" t="s">
        <v>4060</v>
      </c>
      <c r="F6226" s="692" t="s">
        <v>4060</v>
      </c>
      <c r="G6226" s="692" t="s">
        <v>4060</v>
      </c>
      <c r="H6226" s="692" t="s">
        <v>4060</v>
      </c>
      <c r="I6226" s="692" t="s">
        <v>4060</v>
      </c>
      <c r="J6226" s="692" t="s">
        <v>4060</v>
      </c>
      <c r="K6226" s="692" t="s">
        <v>4060</v>
      </c>
    </row>
    <row r="6227" spans="1:11">
      <c r="A6227" s="688" t="s">
        <v>4066</v>
      </c>
      <c r="B6227" s="690" t="s">
        <v>4060</v>
      </c>
      <c r="C6227" s="690" t="s">
        <v>4060</v>
      </c>
      <c r="D6227" s="690" t="s">
        <v>4060</v>
      </c>
      <c r="E6227" s="690" t="s">
        <v>4060</v>
      </c>
      <c r="F6227" s="690" t="s">
        <v>4060</v>
      </c>
      <c r="G6227" s="690" t="s">
        <v>4060</v>
      </c>
      <c r="H6227" s="690" t="s">
        <v>4060</v>
      </c>
      <c r="I6227" s="690" t="s">
        <v>4060</v>
      </c>
      <c r="J6227" s="690" t="s">
        <v>4060</v>
      </c>
      <c r="K6227" s="690" t="s">
        <v>4060</v>
      </c>
    </row>
    <row r="6228" spans="1:11">
      <c r="A6228" s="688" t="s">
        <v>4062</v>
      </c>
      <c r="B6228" s="692" t="s">
        <v>4060</v>
      </c>
      <c r="C6228" s="691">
        <v>6.1</v>
      </c>
      <c r="D6228" s="691">
        <v>5.9</v>
      </c>
      <c r="E6228" s="691">
        <v>6.1</v>
      </c>
      <c r="F6228" s="691">
        <v>6.1</v>
      </c>
      <c r="G6228" s="691">
        <v>6.2</v>
      </c>
      <c r="H6228" s="691">
        <v>6.3</v>
      </c>
      <c r="I6228" s="615">
        <v>6</v>
      </c>
      <c r="J6228" s="691">
        <v>6.2</v>
      </c>
      <c r="K6228" s="615">
        <v>6</v>
      </c>
    </row>
    <row r="6229" spans="1:11">
      <c r="A6229" s="688" t="s">
        <v>9</v>
      </c>
      <c r="B6229" s="690" t="s">
        <v>4060</v>
      </c>
      <c r="C6229" s="693">
        <v>6</v>
      </c>
      <c r="D6229" s="689">
        <v>5.7</v>
      </c>
      <c r="E6229" s="689">
        <v>5.7</v>
      </c>
      <c r="F6229" s="693">
        <v>6</v>
      </c>
      <c r="G6229" s="693">
        <v>6</v>
      </c>
      <c r="H6229" s="693">
        <v>6</v>
      </c>
      <c r="I6229" s="689">
        <v>6.2</v>
      </c>
      <c r="J6229" s="689">
        <v>6.2</v>
      </c>
      <c r="K6229" s="689">
        <v>5.7</v>
      </c>
    </row>
    <row r="6230" spans="1:11">
      <c r="A6230" s="688" t="s">
        <v>13</v>
      </c>
      <c r="B6230" s="692" t="s">
        <v>4060</v>
      </c>
      <c r="C6230" s="691">
        <v>5.0999999999999996</v>
      </c>
      <c r="D6230" s="691">
        <v>5.6</v>
      </c>
      <c r="E6230" s="691">
        <v>5.9</v>
      </c>
      <c r="F6230" s="691">
        <v>6.4</v>
      </c>
      <c r="G6230" s="691">
        <v>5.9</v>
      </c>
      <c r="H6230" s="691">
        <v>6.1</v>
      </c>
      <c r="I6230" s="691">
        <v>5.4</v>
      </c>
      <c r="J6230" s="615">
        <v>6</v>
      </c>
      <c r="K6230" s="691">
        <v>5.8</v>
      </c>
    </row>
    <row r="6231" spans="1:11">
      <c r="A6231" s="688" t="s">
        <v>18</v>
      </c>
      <c r="B6231" s="690" t="s">
        <v>4060</v>
      </c>
      <c r="C6231" s="693">
        <v>6</v>
      </c>
      <c r="D6231" s="689">
        <v>5.9</v>
      </c>
      <c r="E6231" s="693">
        <v>6</v>
      </c>
      <c r="F6231" s="693">
        <v>6</v>
      </c>
      <c r="G6231" s="693">
        <v>6</v>
      </c>
      <c r="H6231" s="689">
        <v>6.2</v>
      </c>
      <c r="I6231" s="689">
        <v>6.3</v>
      </c>
      <c r="J6231" s="689">
        <v>6.1</v>
      </c>
      <c r="K6231" s="689">
        <v>5.8</v>
      </c>
    </row>
    <row r="6232" spans="1:11">
      <c r="A6232" s="688" t="s">
        <v>24</v>
      </c>
      <c r="B6232" s="692" t="s">
        <v>4060</v>
      </c>
      <c r="C6232" s="691">
        <v>6.1</v>
      </c>
      <c r="D6232" s="615">
        <v>6</v>
      </c>
      <c r="E6232" s="691">
        <v>6.3</v>
      </c>
      <c r="F6232" s="691">
        <v>6.2</v>
      </c>
      <c r="G6232" s="691">
        <v>6.3</v>
      </c>
      <c r="H6232" s="691">
        <v>6.3</v>
      </c>
      <c r="I6232" s="691">
        <v>5.8</v>
      </c>
      <c r="J6232" s="691">
        <v>6.3</v>
      </c>
      <c r="K6232" s="691">
        <v>6.1</v>
      </c>
    </row>
    <row r="6233" spans="1:11">
      <c r="A6233" s="688" t="s">
        <v>4059</v>
      </c>
      <c r="B6233" s="690" t="s">
        <v>4060</v>
      </c>
      <c r="C6233" s="690" t="s">
        <v>4060</v>
      </c>
      <c r="D6233" s="690" t="s">
        <v>4060</v>
      </c>
      <c r="E6233" s="690" t="s">
        <v>4060</v>
      </c>
      <c r="F6233" s="690" t="s">
        <v>4060</v>
      </c>
      <c r="G6233" s="690" t="s">
        <v>4060</v>
      </c>
      <c r="H6233" s="690" t="s">
        <v>4060</v>
      </c>
      <c r="I6233" s="690" t="s">
        <v>4060</v>
      </c>
      <c r="J6233" s="690" t="s">
        <v>4060</v>
      </c>
      <c r="K6233" s="690" t="s">
        <v>4060</v>
      </c>
    </row>
    <row r="6234" spans="1:11">
      <c r="A6234" s="688" t="s">
        <v>2324</v>
      </c>
      <c r="B6234" s="692" t="s">
        <v>4060</v>
      </c>
      <c r="C6234" s="692" t="s">
        <v>4060</v>
      </c>
      <c r="D6234" s="692" t="s">
        <v>4060</v>
      </c>
      <c r="E6234" s="692" t="s">
        <v>4060</v>
      </c>
      <c r="F6234" s="692" t="s">
        <v>4060</v>
      </c>
      <c r="G6234" s="692" t="s">
        <v>4060</v>
      </c>
      <c r="H6234" s="692" t="s">
        <v>4060</v>
      </c>
      <c r="I6234" s="692" t="s">
        <v>4060</v>
      </c>
      <c r="J6234" s="692" t="s">
        <v>4060</v>
      </c>
      <c r="K6234" s="692" t="s">
        <v>4060</v>
      </c>
    </row>
    <row r="6235" spans="1:11">
      <c r="A6235" s="688" t="s">
        <v>2322</v>
      </c>
      <c r="B6235" s="690" t="s">
        <v>4060</v>
      </c>
      <c r="C6235" s="690" t="s">
        <v>4060</v>
      </c>
      <c r="D6235" s="690" t="s">
        <v>4060</v>
      </c>
      <c r="E6235" s="690" t="s">
        <v>4060</v>
      </c>
      <c r="F6235" s="690" t="s">
        <v>4060</v>
      </c>
      <c r="G6235" s="690" t="s">
        <v>4060</v>
      </c>
      <c r="H6235" s="690" t="s">
        <v>4060</v>
      </c>
      <c r="I6235" s="690" t="s">
        <v>4060</v>
      </c>
      <c r="J6235" s="690" t="s">
        <v>4060</v>
      </c>
      <c r="K6235" s="690" t="s">
        <v>4060</v>
      </c>
    </row>
    <row r="6236" spans="1:11">
      <c r="A6236" s="688" t="s">
        <v>2328</v>
      </c>
      <c r="B6236" s="692" t="s">
        <v>4060</v>
      </c>
      <c r="C6236" s="692" t="s">
        <v>4060</v>
      </c>
      <c r="D6236" s="692" t="s">
        <v>4060</v>
      </c>
      <c r="E6236" s="692" t="s">
        <v>4060</v>
      </c>
      <c r="F6236" s="692" t="s">
        <v>4060</v>
      </c>
      <c r="G6236" s="692" t="s">
        <v>4060</v>
      </c>
      <c r="H6236" s="692" t="s">
        <v>4060</v>
      </c>
      <c r="I6236" s="692" t="s">
        <v>4060</v>
      </c>
      <c r="J6236" s="692" t="s">
        <v>4060</v>
      </c>
      <c r="K6236" s="692" t="s">
        <v>4060</v>
      </c>
    </row>
    <row r="6237" spans="1:11">
      <c r="A6237" s="688" t="s">
        <v>2496</v>
      </c>
      <c r="B6237" s="690" t="s">
        <v>4060</v>
      </c>
      <c r="C6237" s="690" t="s">
        <v>4060</v>
      </c>
      <c r="D6237" s="690" t="s">
        <v>4060</v>
      </c>
      <c r="E6237" s="690" t="s">
        <v>4060</v>
      </c>
      <c r="F6237" s="690" t="s">
        <v>4060</v>
      </c>
      <c r="G6237" s="690" t="s">
        <v>4060</v>
      </c>
      <c r="H6237" s="690" t="s">
        <v>4060</v>
      </c>
      <c r="I6237" s="690" t="s">
        <v>4060</v>
      </c>
      <c r="J6237" s="690" t="s">
        <v>4060</v>
      </c>
      <c r="K6237" s="690" t="s">
        <v>4060</v>
      </c>
    </row>
    <row r="6238" spans="1:11">
      <c r="A6238" s="688" t="s">
        <v>2269</v>
      </c>
      <c r="B6238" s="692" t="s">
        <v>4060</v>
      </c>
      <c r="C6238" s="692" t="s">
        <v>4060</v>
      </c>
      <c r="D6238" s="692" t="s">
        <v>4060</v>
      </c>
      <c r="E6238" s="692" t="s">
        <v>4060</v>
      </c>
      <c r="F6238" s="692" t="s">
        <v>4060</v>
      </c>
      <c r="G6238" s="692" t="s">
        <v>4060</v>
      </c>
      <c r="H6238" s="692" t="s">
        <v>4060</v>
      </c>
      <c r="I6238" s="692" t="s">
        <v>4060</v>
      </c>
      <c r="J6238" s="692" t="s">
        <v>4060</v>
      </c>
      <c r="K6238" s="692" t="s">
        <v>4060</v>
      </c>
    </row>
    <row r="6239" spans="1:11">
      <c r="A6239" s="688" t="s">
        <v>2349</v>
      </c>
      <c r="B6239" s="690" t="s">
        <v>4060</v>
      </c>
      <c r="C6239" s="690" t="s">
        <v>4060</v>
      </c>
      <c r="D6239" s="690" t="s">
        <v>4060</v>
      </c>
      <c r="E6239" s="690" t="s">
        <v>4060</v>
      </c>
      <c r="F6239" s="690" t="s">
        <v>4060</v>
      </c>
      <c r="G6239" s="690" t="s">
        <v>4060</v>
      </c>
      <c r="H6239" s="690" t="s">
        <v>4060</v>
      </c>
      <c r="I6239" s="690" t="s">
        <v>4060</v>
      </c>
      <c r="J6239" s="690" t="s">
        <v>4060</v>
      </c>
      <c r="K6239" s="690" t="s">
        <v>4060</v>
      </c>
    </row>
    <row r="6240" spans="1:11">
      <c r="A6240" s="688" t="s">
        <v>2355</v>
      </c>
      <c r="B6240" s="692" t="s">
        <v>4060</v>
      </c>
      <c r="C6240" s="692" t="s">
        <v>4060</v>
      </c>
      <c r="D6240" s="692" t="s">
        <v>4060</v>
      </c>
      <c r="E6240" s="692" t="s">
        <v>4060</v>
      </c>
      <c r="F6240" s="692" t="s">
        <v>4060</v>
      </c>
      <c r="G6240" s="692" t="s">
        <v>4060</v>
      </c>
      <c r="H6240" s="692" t="s">
        <v>4060</v>
      </c>
      <c r="I6240" s="692" t="s">
        <v>4060</v>
      </c>
      <c r="J6240" s="692" t="s">
        <v>4060</v>
      </c>
      <c r="K6240" s="692" t="s">
        <v>4060</v>
      </c>
    </row>
    <row r="6241" spans="1:11">
      <c r="A6241" s="688" t="s">
        <v>2357</v>
      </c>
      <c r="B6241" s="690" t="s">
        <v>4060</v>
      </c>
      <c r="C6241" s="690" t="s">
        <v>4060</v>
      </c>
      <c r="D6241" s="690" t="s">
        <v>4060</v>
      </c>
      <c r="E6241" s="690" t="s">
        <v>4060</v>
      </c>
      <c r="F6241" s="690" t="s">
        <v>4060</v>
      </c>
      <c r="G6241" s="690" t="s">
        <v>4060</v>
      </c>
      <c r="H6241" s="690" t="s">
        <v>4060</v>
      </c>
      <c r="I6241" s="690" t="s">
        <v>4060</v>
      </c>
      <c r="J6241" s="690" t="s">
        <v>4060</v>
      </c>
      <c r="K6241" s="690" t="s">
        <v>4060</v>
      </c>
    </row>
    <row r="6242" spans="1:11">
      <c r="A6242" s="688" t="s">
        <v>4070</v>
      </c>
      <c r="B6242" s="692" t="s">
        <v>4060</v>
      </c>
      <c r="C6242" s="692" t="s">
        <v>4060</v>
      </c>
      <c r="D6242" s="692" t="s">
        <v>4060</v>
      </c>
      <c r="E6242" s="692" t="s">
        <v>4060</v>
      </c>
      <c r="F6242" s="692" t="s">
        <v>4060</v>
      </c>
      <c r="G6242" s="692" t="s">
        <v>4060</v>
      </c>
      <c r="H6242" s="692" t="s">
        <v>4060</v>
      </c>
      <c r="I6242" s="692" t="s">
        <v>4060</v>
      </c>
      <c r="J6242" s="692" t="s">
        <v>4060</v>
      </c>
      <c r="K6242" s="692" t="s">
        <v>4060</v>
      </c>
    </row>
    <row r="6243" spans="1:11">
      <c r="A6243" s="688" t="s">
        <v>2491</v>
      </c>
      <c r="B6243" s="690" t="s">
        <v>4060</v>
      </c>
      <c r="C6243" s="690" t="s">
        <v>4060</v>
      </c>
      <c r="D6243" s="690" t="s">
        <v>4060</v>
      </c>
      <c r="E6243" s="690" t="s">
        <v>4060</v>
      </c>
      <c r="F6243" s="690" t="s">
        <v>4060</v>
      </c>
      <c r="G6243" s="690" t="s">
        <v>4060</v>
      </c>
      <c r="H6243" s="690" t="s">
        <v>4060</v>
      </c>
      <c r="I6243" s="690" t="s">
        <v>4060</v>
      </c>
      <c r="J6243" s="690" t="s">
        <v>4060</v>
      </c>
      <c r="K6243" s="690" t="s">
        <v>4060</v>
      </c>
    </row>
    <row r="6244" spans="1:11">
      <c r="A6244" s="688" t="s">
        <v>2343</v>
      </c>
      <c r="B6244" s="692" t="s">
        <v>4060</v>
      </c>
      <c r="C6244" s="692" t="s">
        <v>4060</v>
      </c>
      <c r="D6244" s="692" t="s">
        <v>4060</v>
      </c>
      <c r="E6244" s="692" t="s">
        <v>4060</v>
      </c>
      <c r="F6244" s="692" t="s">
        <v>4060</v>
      </c>
      <c r="G6244" s="692" t="s">
        <v>4060</v>
      </c>
      <c r="H6244" s="692" t="s">
        <v>4060</v>
      </c>
      <c r="I6244" s="692" t="s">
        <v>4060</v>
      </c>
      <c r="J6244" s="692" t="s">
        <v>4060</v>
      </c>
      <c r="K6244" s="692" t="s">
        <v>4060</v>
      </c>
    </row>
    <row r="6245" spans="1:11">
      <c r="A6245" s="688" t="s">
        <v>4071</v>
      </c>
      <c r="B6245" s="690" t="s">
        <v>4060</v>
      </c>
      <c r="C6245" s="690" t="s">
        <v>4060</v>
      </c>
      <c r="D6245" s="690" t="s">
        <v>4060</v>
      </c>
      <c r="E6245" s="690" t="s">
        <v>4060</v>
      </c>
      <c r="F6245" s="690" t="s">
        <v>4060</v>
      </c>
      <c r="G6245" s="690" t="s">
        <v>4060</v>
      </c>
      <c r="H6245" s="690" t="s">
        <v>4060</v>
      </c>
      <c r="I6245" s="690" t="s">
        <v>4060</v>
      </c>
      <c r="J6245" s="690" t="s">
        <v>4060</v>
      </c>
      <c r="K6245" s="690" t="s">
        <v>4060</v>
      </c>
    </row>
    <row r="6246" spans="1:11">
      <c r="A6246" s="688" t="s">
        <v>2489</v>
      </c>
      <c r="B6246" s="692" t="s">
        <v>4060</v>
      </c>
      <c r="C6246" s="692" t="s">
        <v>4060</v>
      </c>
      <c r="D6246" s="692" t="s">
        <v>4060</v>
      </c>
      <c r="E6246" s="692" t="s">
        <v>4060</v>
      </c>
      <c r="F6246" s="692" t="s">
        <v>4060</v>
      </c>
      <c r="G6246" s="692" t="s">
        <v>4060</v>
      </c>
      <c r="H6246" s="692" t="s">
        <v>4060</v>
      </c>
      <c r="I6246" s="692" t="s">
        <v>4060</v>
      </c>
      <c r="J6246" s="692" t="s">
        <v>4060</v>
      </c>
      <c r="K6246" s="692" t="s">
        <v>4060</v>
      </c>
    </row>
    <row r="6247" spans="1:11">
      <c r="A6247" s="688" t="s">
        <v>2490</v>
      </c>
      <c r="B6247" s="690" t="s">
        <v>4060</v>
      </c>
      <c r="C6247" s="690" t="s">
        <v>4060</v>
      </c>
      <c r="D6247" s="690" t="s">
        <v>4060</v>
      </c>
      <c r="E6247" s="690" t="s">
        <v>4060</v>
      </c>
      <c r="F6247" s="690" t="s">
        <v>4060</v>
      </c>
      <c r="G6247" s="690" t="s">
        <v>4060</v>
      </c>
      <c r="H6247" s="690" t="s">
        <v>4060</v>
      </c>
      <c r="I6247" s="690" t="s">
        <v>4060</v>
      </c>
      <c r="J6247" s="690" t="s">
        <v>4060</v>
      </c>
      <c r="K6247" s="690" t="s">
        <v>4060</v>
      </c>
    </row>
    <row r="6249" spans="1:11">
      <c r="A6249" s="683" t="s">
        <v>4233</v>
      </c>
    </row>
    <row r="6250" spans="1:11">
      <c r="A6250" s="683" t="s">
        <v>4060</v>
      </c>
      <c r="B6250" s="682" t="s">
        <v>4234</v>
      </c>
    </row>
    <row r="6252" spans="1:11">
      <c r="A6252" s="682" t="s">
        <v>4248</v>
      </c>
    </row>
    <row r="6253" spans="1:11">
      <c r="A6253" s="682" t="s">
        <v>4210</v>
      </c>
      <c r="B6253" s="683" t="s">
        <v>4211</v>
      </c>
    </row>
    <row r="6254" spans="1:11">
      <c r="A6254" s="682" t="s">
        <v>4212</v>
      </c>
      <c r="B6254" s="682" t="s">
        <v>4213</v>
      </c>
    </row>
    <row r="6256" spans="1:11">
      <c r="A6256" s="683" t="s">
        <v>4214</v>
      </c>
      <c r="C6256" s="682" t="s">
        <v>4215</v>
      </c>
    </row>
    <row r="6257" spans="1:11">
      <c r="A6257" s="683" t="s">
        <v>4216</v>
      </c>
      <c r="C6257" s="682" t="s">
        <v>2967</v>
      </c>
    </row>
    <row r="6258" spans="1:11">
      <c r="A6258" s="683" t="s">
        <v>3893</v>
      </c>
      <c r="C6258" s="682" t="s">
        <v>4217</v>
      </c>
    </row>
    <row r="6259" spans="1:11">
      <c r="A6259" s="683" t="s">
        <v>4218</v>
      </c>
      <c r="C6259" s="682" t="s">
        <v>4322</v>
      </c>
    </row>
    <row r="6261" spans="1:11">
      <c r="A6261" s="684" t="s">
        <v>4220</v>
      </c>
      <c r="B6261" s="685" t="s">
        <v>4221</v>
      </c>
      <c r="C6261" s="685" t="s">
        <v>4222</v>
      </c>
      <c r="D6261" s="685" t="s">
        <v>4223</v>
      </c>
      <c r="E6261" s="685" t="s">
        <v>4224</v>
      </c>
      <c r="F6261" s="685" t="s">
        <v>4225</v>
      </c>
      <c r="G6261" s="685" t="s">
        <v>4226</v>
      </c>
      <c r="H6261" s="685" t="s">
        <v>4227</v>
      </c>
      <c r="I6261" s="685" t="s">
        <v>4228</v>
      </c>
      <c r="J6261" s="685" t="s">
        <v>4229</v>
      </c>
      <c r="K6261" s="685" t="s">
        <v>4230</v>
      </c>
    </row>
    <row r="6262" spans="1:11">
      <c r="A6262" s="686" t="s">
        <v>4231</v>
      </c>
      <c r="B6262" s="687" t="s">
        <v>4232</v>
      </c>
      <c r="C6262" s="687" t="s">
        <v>4232</v>
      </c>
      <c r="D6262" s="687" t="s">
        <v>4232</v>
      </c>
      <c r="E6262" s="687" t="s">
        <v>4232</v>
      </c>
      <c r="F6262" s="687" t="s">
        <v>4232</v>
      </c>
      <c r="G6262" s="687" t="s">
        <v>4232</v>
      </c>
      <c r="H6262" s="687" t="s">
        <v>4232</v>
      </c>
      <c r="I6262" s="687" t="s">
        <v>4232</v>
      </c>
      <c r="J6262" s="687" t="s">
        <v>4232</v>
      </c>
      <c r="K6262" s="687" t="s">
        <v>4232</v>
      </c>
    </row>
    <row r="6263" spans="1:11">
      <c r="A6263" s="688" t="s">
        <v>4064</v>
      </c>
      <c r="B6263" s="690" t="s">
        <v>4060</v>
      </c>
      <c r="C6263" s="689">
        <v>5.6</v>
      </c>
      <c r="D6263" s="690" t="s">
        <v>4060</v>
      </c>
      <c r="E6263" s="689">
        <v>5.6</v>
      </c>
      <c r="F6263" s="689">
        <v>5.5</v>
      </c>
      <c r="G6263" s="689">
        <v>5.6</v>
      </c>
      <c r="H6263" s="689">
        <v>5.7</v>
      </c>
      <c r="I6263" s="689">
        <v>5.3</v>
      </c>
      <c r="J6263" s="689">
        <v>5.4</v>
      </c>
      <c r="K6263" s="689">
        <v>5.3</v>
      </c>
    </row>
    <row r="6264" spans="1:11">
      <c r="A6264" s="688" t="s">
        <v>4065</v>
      </c>
      <c r="B6264" s="692" t="s">
        <v>4060</v>
      </c>
      <c r="C6264" s="692" t="s">
        <v>4060</v>
      </c>
      <c r="D6264" s="692" t="s">
        <v>4060</v>
      </c>
      <c r="E6264" s="692" t="s">
        <v>4060</v>
      </c>
      <c r="F6264" s="692" t="s">
        <v>4060</v>
      </c>
      <c r="G6264" s="692" t="s">
        <v>4060</v>
      </c>
      <c r="H6264" s="692" t="s">
        <v>4060</v>
      </c>
      <c r="I6264" s="692" t="s">
        <v>4060</v>
      </c>
      <c r="J6264" s="692" t="s">
        <v>4060</v>
      </c>
      <c r="K6264" s="692" t="s">
        <v>4060</v>
      </c>
    </row>
    <row r="6265" spans="1:11">
      <c r="A6265" s="688" t="s">
        <v>4063</v>
      </c>
      <c r="B6265" s="690" t="s">
        <v>4060</v>
      </c>
      <c r="C6265" s="690" t="s">
        <v>4060</v>
      </c>
      <c r="D6265" s="690" t="s">
        <v>4060</v>
      </c>
      <c r="E6265" s="690" t="s">
        <v>4060</v>
      </c>
      <c r="F6265" s="690" t="s">
        <v>4060</v>
      </c>
      <c r="G6265" s="690" t="s">
        <v>4060</v>
      </c>
      <c r="H6265" s="690" t="s">
        <v>4060</v>
      </c>
      <c r="I6265" s="690" t="s">
        <v>4060</v>
      </c>
      <c r="J6265" s="690" t="s">
        <v>4060</v>
      </c>
      <c r="K6265" s="690" t="s">
        <v>4060</v>
      </c>
    </row>
    <row r="6266" spans="1:11">
      <c r="A6266" s="688" t="s">
        <v>4069</v>
      </c>
      <c r="B6266" s="692" t="s">
        <v>4060</v>
      </c>
      <c r="C6266" s="691">
        <v>5.7</v>
      </c>
      <c r="D6266" s="691">
        <v>5.5</v>
      </c>
      <c r="E6266" s="691">
        <v>5.7</v>
      </c>
      <c r="F6266" s="691">
        <v>5.6</v>
      </c>
      <c r="G6266" s="691">
        <v>5.7</v>
      </c>
      <c r="H6266" s="691">
        <v>5.8</v>
      </c>
      <c r="I6266" s="691">
        <v>5.4</v>
      </c>
      <c r="J6266" s="691">
        <v>5.6</v>
      </c>
      <c r="K6266" s="691">
        <v>5.4</v>
      </c>
    </row>
    <row r="6267" spans="1:11">
      <c r="A6267" s="688" t="s">
        <v>4068</v>
      </c>
      <c r="B6267" s="690" t="s">
        <v>4060</v>
      </c>
      <c r="C6267" s="690" t="s">
        <v>4060</v>
      </c>
      <c r="D6267" s="690" t="s">
        <v>4060</v>
      </c>
      <c r="E6267" s="690" t="s">
        <v>4060</v>
      </c>
      <c r="F6267" s="690" t="s">
        <v>4060</v>
      </c>
      <c r="G6267" s="690" t="s">
        <v>4060</v>
      </c>
      <c r="H6267" s="690" t="s">
        <v>4060</v>
      </c>
      <c r="I6267" s="690" t="s">
        <v>4060</v>
      </c>
      <c r="J6267" s="690" t="s">
        <v>4060</v>
      </c>
      <c r="K6267" s="690" t="s">
        <v>4060</v>
      </c>
    </row>
    <row r="6268" spans="1:11">
      <c r="A6268" s="688" t="s">
        <v>0</v>
      </c>
      <c r="B6268" s="692" t="s">
        <v>4060</v>
      </c>
      <c r="C6268" s="691">
        <v>5.5</v>
      </c>
      <c r="D6268" s="691">
        <v>5.3</v>
      </c>
      <c r="E6268" s="691">
        <v>5.6</v>
      </c>
      <c r="F6268" s="691">
        <v>5.5</v>
      </c>
      <c r="G6268" s="691">
        <v>5.6</v>
      </c>
      <c r="H6268" s="691">
        <v>5.7</v>
      </c>
      <c r="I6268" s="691">
        <v>5.0999999999999996</v>
      </c>
      <c r="J6268" s="691">
        <v>5.9</v>
      </c>
      <c r="K6268" s="691">
        <v>5.6</v>
      </c>
    </row>
    <row r="6269" spans="1:11">
      <c r="A6269" s="688" t="s">
        <v>1</v>
      </c>
      <c r="B6269" s="690" t="s">
        <v>4060</v>
      </c>
      <c r="C6269" s="689">
        <v>4.0999999999999996</v>
      </c>
      <c r="D6269" s="693">
        <v>4</v>
      </c>
      <c r="E6269" s="689">
        <v>4.0999999999999996</v>
      </c>
      <c r="F6269" s="693">
        <v>4</v>
      </c>
      <c r="G6269" s="689">
        <v>4.0999999999999996</v>
      </c>
      <c r="H6269" s="689">
        <v>4.0999999999999996</v>
      </c>
      <c r="I6269" s="689">
        <v>3.8</v>
      </c>
      <c r="J6269" s="689">
        <v>3.5</v>
      </c>
      <c r="K6269" s="689">
        <v>3.9</v>
      </c>
    </row>
    <row r="6270" spans="1:11">
      <c r="A6270" s="688" t="s">
        <v>2240</v>
      </c>
      <c r="B6270" s="692" t="s">
        <v>4060</v>
      </c>
      <c r="C6270" s="691">
        <v>4.8</v>
      </c>
      <c r="D6270" s="691">
        <v>4.5999999999999996</v>
      </c>
      <c r="E6270" s="691">
        <v>4.9000000000000004</v>
      </c>
      <c r="F6270" s="691">
        <v>4.8</v>
      </c>
      <c r="G6270" s="691">
        <v>4.8</v>
      </c>
      <c r="H6270" s="691">
        <v>4.9000000000000004</v>
      </c>
      <c r="I6270" s="691">
        <v>4.4000000000000004</v>
      </c>
      <c r="J6270" s="691">
        <v>4.4000000000000004</v>
      </c>
      <c r="K6270" s="691">
        <v>4.7</v>
      </c>
    </row>
    <row r="6271" spans="1:11">
      <c r="A6271" s="688" t="s">
        <v>2</v>
      </c>
      <c r="B6271" s="690" t="s">
        <v>4060</v>
      </c>
      <c r="C6271" s="689">
        <v>5.5</v>
      </c>
      <c r="D6271" s="689">
        <v>5.4</v>
      </c>
      <c r="E6271" s="689">
        <v>5.5</v>
      </c>
      <c r="F6271" s="689">
        <v>5.4</v>
      </c>
      <c r="G6271" s="689">
        <v>5.2</v>
      </c>
      <c r="H6271" s="689">
        <v>5.5</v>
      </c>
      <c r="I6271" s="689">
        <v>5.5</v>
      </c>
      <c r="J6271" s="689">
        <v>5.3</v>
      </c>
      <c r="K6271" s="689">
        <v>5.2</v>
      </c>
    </row>
    <row r="6272" spans="1:11">
      <c r="A6272" s="688" t="s">
        <v>3</v>
      </c>
      <c r="B6272" s="692" t="s">
        <v>4060</v>
      </c>
      <c r="C6272" s="691">
        <v>5.4</v>
      </c>
      <c r="D6272" s="691">
        <v>5.2</v>
      </c>
      <c r="E6272" s="691">
        <v>5.4</v>
      </c>
      <c r="F6272" s="691">
        <v>5.3</v>
      </c>
      <c r="G6272" s="691">
        <v>5.2</v>
      </c>
      <c r="H6272" s="691">
        <v>5.4</v>
      </c>
      <c r="I6272" s="691">
        <v>5.2</v>
      </c>
      <c r="J6272" s="691">
        <v>5.2</v>
      </c>
      <c r="K6272" s="615">
        <v>5</v>
      </c>
    </row>
    <row r="6273" spans="1:11">
      <c r="A6273" s="688" t="s">
        <v>4061</v>
      </c>
      <c r="B6273" s="690" t="s">
        <v>4060</v>
      </c>
      <c r="C6273" s="689">
        <v>5.4</v>
      </c>
      <c r="D6273" s="689">
        <v>5.2</v>
      </c>
      <c r="E6273" s="689">
        <v>5.4</v>
      </c>
      <c r="F6273" s="689">
        <v>5.3</v>
      </c>
      <c r="G6273" s="689">
        <v>5.2</v>
      </c>
      <c r="H6273" s="689">
        <v>5.4</v>
      </c>
      <c r="I6273" s="689">
        <v>5.2</v>
      </c>
      <c r="J6273" s="689">
        <v>5.2</v>
      </c>
      <c r="K6273" s="693">
        <v>5</v>
      </c>
    </row>
    <row r="6274" spans="1:11">
      <c r="A6274" s="688" t="s">
        <v>4</v>
      </c>
      <c r="B6274" s="692" t="s">
        <v>4060</v>
      </c>
      <c r="C6274" s="691">
        <v>5.0999999999999996</v>
      </c>
      <c r="D6274" s="691">
        <v>5.3</v>
      </c>
      <c r="E6274" s="691">
        <v>5.3</v>
      </c>
      <c r="F6274" s="691">
        <v>5.3</v>
      </c>
      <c r="G6274" s="691">
        <v>5.3</v>
      </c>
      <c r="H6274" s="691">
        <v>5.5</v>
      </c>
      <c r="I6274" s="691">
        <v>5.5</v>
      </c>
      <c r="J6274" s="691">
        <v>4.9000000000000004</v>
      </c>
      <c r="K6274" s="691">
        <v>5.0999999999999996</v>
      </c>
    </row>
    <row r="6275" spans="1:11">
      <c r="A6275" s="688" t="s">
        <v>8</v>
      </c>
      <c r="B6275" s="690" t="s">
        <v>4060</v>
      </c>
      <c r="C6275" s="689">
        <v>5.3</v>
      </c>
      <c r="D6275" s="689">
        <v>5.2</v>
      </c>
      <c r="E6275" s="689">
        <v>5.2</v>
      </c>
      <c r="F6275" s="689">
        <v>5.4</v>
      </c>
      <c r="G6275" s="689">
        <v>5.5</v>
      </c>
      <c r="H6275" s="689">
        <v>5.5</v>
      </c>
      <c r="I6275" s="689">
        <v>5.5</v>
      </c>
      <c r="J6275" s="689">
        <v>5.5</v>
      </c>
      <c r="K6275" s="689">
        <v>5.5</v>
      </c>
    </row>
    <row r="6276" spans="1:11">
      <c r="A6276" s="688" t="s">
        <v>7</v>
      </c>
      <c r="B6276" s="692" t="s">
        <v>4060</v>
      </c>
      <c r="C6276" s="691">
        <v>4.9000000000000004</v>
      </c>
      <c r="D6276" s="691">
        <v>4.8</v>
      </c>
      <c r="E6276" s="691">
        <v>5.0999999999999996</v>
      </c>
      <c r="F6276" s="615">
        <v>5</v>
      </c>
      <c r="G6276" s="691">
        <v>5.3</v>
      </c>
      <c r="H6276" s="691">
        <v>5.3</v>
      </c>
      <c r="I6276" s="691">
        <v>5.3</v>
      </c>
      <c r="J6276" s="691">
        <v>5.0999999999999996</v>
      </c>
      <c r="K6276" s="615">
        <v>5</v>
      </c>
    </row>
    <row r="6277" spans="1:11">
      <c r="A6277" s="688" t="s">
        <v>27</v>
      </c>
      <c r="B6277" s="690" t="s">
        <v>4060</v>
      </c>
      <c r="C6277" s="693">
        <v>6</v>
      </c>
      <c r="D6277" s="689">
        <v>5.7</v>
      </c>
      <c r="E6277" s="693">
        <v>6</v>
      </c>
      <c r="F6277" s="689">
        <v>5.9</v>
      </c>
      <c r="G6277" s="689">
        <v>5.9</v>
      </c>
      <c r="H6277" s="689">
        <v>6.1</v>
      </c>
      <c r="I6277" s="689">
        <v>5.5</v>
      </c>
      <c r="J6277" s="693">
        <v>6</v>
      </c>
      <c r="K6277" s="689">
        <v>5.8</v>
      </c>
    </row>
    <row r="6278" spans="1:11">
      <c r="A6278" s="688" t="s">
        <v>6</v>
      </c>
      <c r="B6278" s="692" t="s">
        <v>4060</v>
      </c>
      <c r="C6278" s="691">
        <v>6.3</v>
      </c>
      <c r="D6278" s="615">
        <v>6</v>
      </c>
      <c r="E6278" s="691">
        <v>6.2</v>
      </c>
      <c r="F6278" s="691">
        <v>6.2</v>
      </c>
      <c r="G6278" s="691">
        <v>6.3</v>
      </c>
      <c r="H6278" s="691">
        <v>6.3</v>
      </c>
      <c r="I6278" s="615">
        <v>6</v>
      </c>
      <c r="J6278" s="691">
        <v>6.2</v>
      </c>
      <c r="K6278" s="691">
        <v>6.1</v>
      </c>
    </row>
    <row r="6279" spans="1:11">
      <c r="A6279" s="688" t="s">
        <v>4058</v>
      </c>
      <c r="B6279" s="690" t="s">
        <v>4060</v>
      </c>
      <c r="C6279" s="690" t="s">
        <v>4060</v>
      </c>
      <c r="D6279" s="690" t="s">
        <v>4060</v>
      </c>
      <c r="E6279" s="690" t="s">
        <v>4060</v>
      </c>
      <c r="F6279" s="690" t="s">
        <v>4060</v>
      </c>
      <c r="G6279" s="690" t="s">
        <v>4060</v>
      </c>
      <c r="H6279" s="690" t="s">
        <v>4060</v>
      </c>
      <c r="I6279" s="690" t="s">
        <v>4060</v>
      </c>
      <c r="J6279" s="690" t="s">
        <v>4060</v>
      </c>
      <c r="K6279" s="690" t="s">
        <v>4060</v>
      </c>
    </row>
    <row r="6280" spans="1:11">
      <c r="A6280" s="688" t="s">
        <v>11</v>
      </c>
      <c r="B6280" s="692" t="s">
        <v>4060</v>
      </c>
      <c r="C6280" s="691">
        <v>4.5</v>
      </c>
      <c r="D6280" s="691">
        <v>4.2</v>
      </c>
      <c r="E6280" s="691">
        <v>4.5</v>
      </c>
      <c r="F6280" s="691">
        <v>4.4000000000000004</v>
      </c>
      <c r="G6280" s="691">
        <v>4.5</v>
      </c>
      <c r="H6280" s="691">
        <v>4.5</v>
      </c>
      <c r="I6280" s="691">
        <v>4.2</v>
      </c>
      <c r="J6280" s="691">
        <v>3.9</v>
      </c>
      <c r="K6280" s="615">
        <v>4</v>
      </c>
    </row>
    <row r="6281" spans="1:11">
      <c r="A6281" s="688" t="s">
        <v>10</v>
      </c>
      <c r="B6281" s="690" t="s">
        <v>4060</v>
      </c>
      <c r="C6281" s="689">
        <v>5.7</v>
      </c>
      <c r="D6281" s="689">
        <v>5.4</v>
      </c>
      <c r="E6281" s="689">
        <v>5.7</v>
      </c>
      <c r="F6281" s="689">
        <v>5.6</v>
      </c>
      <c r="G6281" s="689">
        <v>5.8</v>
      </c>
      <c r="H6281" s="689">
        <v>5.8</v>
      </c>
      <c r="I6281" s="689">
        <v>5.3</v>
      </c>
      <c r="J6281" s="689">
        <v>5.6</v>
      </c>
      <c r="K6281" s="689">
        <v>5.4</v>
      </c>
    </row>
    <row r="6282" spans="1:11">
      <c r="A6282" s="688" t="s">
        <v>30</v>
      </c>
      <c r="B6282" s="692" t="s">
        <v>4060</v>
      </c>
      <c r="C6282" s="691">
        <v>5.0999999999999996</v>
      </c>
      <c r="D6282" s="691">
        <v>4.5999999999999996</v>
      </c>
      <c r="E6282" s="691">
        <v>5.2</v>
      </c>
      <c r="F6282" s="691">
        <v>4.8</v>
      </c>
      <c r="G6282" s="691">
        <v>5.3</v>
      </c>
      <c r="H6282" s="615">
        <v>5</v>
      </c>
      <c r="I6282" s="691">
        <v>5.0999999999999996</v>
      </c>
      <c r="J6282" s="615">
        <v>5</v>
      </c>
      <c r="K6282" s="691">
        <v>4.8</v>
      </c>
    </row>
    <row r="6283" spans="1:11">
      <c r="A6283" s="688" t="s">
        <v>12</v>
      </c>
      <c r="B6283" s="690" t="s">
        <v>4060</v>
      </c>
      <c r="C6283" s="689">
        <v>4.8</v>
      </c>
      <c r="D6283" s="689">
        <v>4.8</v>
      </c>
      <c r="E6283" s="689">
        <v>4.8</v>
      </c>
      <c r="F6283" s="689">
        <v>4.8</v>
      </c>
      <c r="G6283" s="689">
        <v>4.8</v>
      </c>
      <c r="H6283" s="689">
        <v>4.9000000000000004</v>
      </c>
      <c r="I6283" s="689">
        <v>4.8</v>
      </c>
      <c r="J6283" s="689">
        <v>4.4000000000000004</v>
      </c>
      <c r="K6283" s="689">
        <v>4.5999999999999996</v>
      </c>
    </row>
    <row r="6284" spans="1:11">
      <c r="A6284" s="688" t="s">
        <v>14</v>
      </c>
      <c r="B6284" s="692" t="s">
        <v>4060</v>
      </c>
      <c r="C6284" s="691">
        <v>4.4000000000000004</v>
      </c>
      <c r="D6284" s="691">
        <v>4.2</v>
      </c>
      <c r="E6284" s="691">
        <v>4.2</v>
      </c>
      <c r="F6284" s="691">
        <v>4.3</v>
      </c>
      <c r="G6284" s="691">
        <v>4.3</v>
      </c>
      <c r="H6284" s="691">
        <v>4.5</v>
      </c>
      <c r="I6284" s="691">
        <v>4.4000000000000004</v>
      </c>
      <c r="J6284" s="691">
        <v>4.3</v>
      </c>
      <c r="K6284" s="691">
        <v>4.5</v>
      </c>
    </row>
    <row r="6285" spans="1:11">
      <c r="A6285" s="688" t="s">
        <v>15</v>
      </c>
      <c r="B6285" s="690" t="s">
        <v>4060</v>
      </c>
      <c r="C6285" s="689">
        <v>5.8</v>
      </c>
      <c r="D6285" s="689">
        <v>5.5</v>
      </c>
      <c r="E6285" s="689">
        <v>5.6</v>
      </c>
      <c r="F6285" s="689">
        <v>5.6</v>
      </c>
      <c r="G6285" s="689">
        <v>5.7</v>
      </c>
      <c r="H6285" s="689">
        <v>5.7</v>
      </c>
      <c r="I6285" s="689">
        <v>5.4</v>
      </c>
      <c r="J6285" s="689">
        <v>5.7</v>
      </c>
      <c r="K6285" s="689">
        <v>5.7</v>
      </c>
    </row>
    <row r="6286" spans="1:11">
      <c r="A6286" s="688" t="s">
        <v>29</v>
      </c>
      <c r="B6286" s="692" t="s">
        <v>4060</v>
      </c>
      <c r="C6286" s="691">
        <v>4.8</v>
      </c>
      <c r="D6286" s="691">
        <v>4.5999999999999996</v>
      </c>
      <c r="E6286" s="691">
        <v>4.8</v>
      </c>
      <c r="F6286" s="691">
        <v>4.5999999999999996</v>
      </c>
      <c r="G6286" s="691">
        <v>4.7</v>
      </c>
      <c r="H6286" s="691">
        <v>4.8</v>
      </c>
      <c r="I6286" s="691">
        <v>4.5999999999999996</v>
      </c>
      <c r="J6286" s="691">
        <v>4.5</v>
      </c>
      <c r="K6286" s="691">
        <v>4.5999999999999996</v>
      </c>
    </row>
    <row r="6287" spans="1:11">
      <c r="A6287" s="688" t="s">
        <v>16</v>
      </c>
      <c r="B6287" s="690" t="s">
        <v>4060</v>
      </c>
      <c r="C6287" s="689">
        <v>5.4</v>
      </c>
      <c r="D6287" s="689">
        <v>5.0999999999999996</v>
      </c>
      <c r="E6287" s="689">
        <v>5.6</v>
      </c>
      <c r="F6287" s="689">
        <v>5.3</v>
      </c>
      <c r="G6287" s="689">
        <v>5.5</v>
      </c>
      <c r="H6287" s="689">
        <v>5.7</v>
      </c>
      <c r="I6287" s="689">
        <v>5.2</v>
      </c>
      <c r="J6287" s="689">
        <v>5.5</v>
      </c>
      <c r="K6287" s="689">
        <v>5.4</v>
      </c>
    </row>
    <row r="6288" spans="1:11">
      <c r="A6288" s="688" t="s">
        <v>17</v>
      </c>
      <c r="B6288" s="692" t="s">
        <v>4060</v>
      </c>
      <c r="C6288" s="691">
        <v>5.4</v>
      </c>
      <c r="D6288" s="691">
        <v>5.2</v>
      </c>
      <c r="E6288" s="691">
        <v>5.3</v>
      </c>
      <c r="F6288" s="691">
        <v>5.2</v>
      </c>
      <c r="G6288" s="691">
        <v>5.2</v>
      </c>
      <c r="H6288" s="691">
        <v>5.3</v>
      </c>
      <c r="I6288" s="615">
        <v>5</v>
      </c>
      <c r="J6288" s="691">
        <v>5.0999999999999996</v>
      </c>
      <c r="K6288" s="691">
        <v>5.0999999999999996</v>
      </c>
    </row>
    <row r="6289" spans="1:11">
      <c r="A6289" s="688" t="s">
        <v>19</v>
      </c>
      <c r="B6289" s="690" t="s">
        <v>4060</v>
      </c>
      <c r="C6289" s="689">
        <v>5.4</v>
      </c>
      <c r="D6289" s="689">
        <v>5.2</v>
      </c>
      <c r="E6289" s="689">
        <v>5.5</v>
      </c>
      <c r="F6289" s="689">
        <v>5.3</v>
      </c>
      <c r="G6289" s="689">
        <v>5.4</v>
      </c>
      <c r="H6289" s="689">
        <v>5.4</v>
      </c>
      <c r="I6289" s="689">
        <v>5.0999999999999996</v>
      </c>
      <c r="J6289" s="689">
        <v>5.3</v>
      </c>
      <c r="K6289" s="689">
        <v>5.0999999999999996</v>
      </c>
    </row>
    <row r="6290" spans="1:11">
      <c r="A6290" s="688" t="s">
        <v>20</v>
      </c>
      <c r="B6290" s="692" t="s">
        <v>4060</v>
      </c>
      <c r="C6290" s="691">
        <v>5.4</v>
      </c>
      <c r="D6290" s="691">
        <v>5.2</v>
      </c>
      <c r="E6290" s="691">
        <v>5.5</v>
      </c>
      <c r="F6290" s="691">
        <v>5.3</v>
      </c>
      <c r="G6290" s="691">
        <v>5.3</v>
      </c>
      <c r="H6290" s="691">
        <v>5.5</v>
      </c>
      <c r="I6290" s="691">
        <v>4.9000000000000004</v>
      </c>
      <c r="J6290" s="691">
        <v>4.5999999999999996</v>
      </c>
      <c r="K6290" s="615">
        <v>5</v>
      </c>
    </row>
    <row r="6291" spans="1:11">
      <c r="A6291" s="688" t="s">
        <v>21</v>
      </c>
      <c r="B6291" s="690" t="s">
        <v>4060</v>
      </c>
      <c r="C6291" s="689">
        <v>5.6</v>
      </c>
      <c r="D6291" s="689">
        <v>5.5</v>
      </c>
      <c r="E6291" s="689">
        <v>5.6</v>
      </c>
      <c r="F6291" s="689">
        <v>5.7</v>
      </c>
      <c r="G6291" s="689">
        <v>5.6</v>
      </c>
      <c r="H6291" s="689">
        <v>5.8</v>
      </c>
      <c r="I6291" s="689">
        <v>5.4</v>
      </c>
      <c r="J6291" s="689">
        <v>5.4</v>
      </c>
      <c r="K6291" s="689">
        <v>5.4</v>
      </c>
    </row>
    <row r="6292" spans="1:11">
      <c r="A6292" s="688" t="s">
        <v>22</v>
      </c>
      <c r="B6292" s="692" t="s">
        <v>4060</v>
      </c>
      <c r="C6292" s="691">
        <v>4.7</v>
      </c>
      <c r="D6292" s="691">
        <v>4.7</v>
      </c>
      <c r="E6292" s="615">
        <v>5</v>
      </c>
      <c r="F6292" s="691">
        <v>5.0999999999999996</v>
      </c>
      <c r="G6292" s="691">
        <v>5.0999999999999996</v>
      </c>
      <c r="H6292" s="691">
        <v>5.5</v>
      </c>
      <c r="I6292" s="691">
        <v>5.0999999999999996</v>
      </c>
      <c r="J6292" s="691">
        <v>4.2</v>
      </c>
      <c r="K6292" s="691">
        <v>4.3</v>
      </c>
    </row>
    <row r="6293" spans="1:11">
      <c r="A6293" s="688" t="s">
        <v>26</v>
      </c>
      <c r="B6293" s="690" t="s">
        <v>4060</v>
      </c>
      <c r="C6293" s="689">
        <v>5.3</v>
      </c>
      <c r="D6293" s="689">
        <v>5.3</v>
      </c>
      <c r="E6293" s="689">
        <v>5.4</v>
      </c>
      <c r="F6293" s="689">
        <v>5.3</v>
      </c>
      <c r="G6293" s="689">
        <v>5.5</v>
      </c>
      <c r="H6293" s="689">
        <v>5.5</v>
      </c>
      <c r="I6293" s="689">
        <v>4.8</v>
      </c>
      <c r="J6293" s="689">
        <v>5.2</v>
      </c>
      <c r="K6293" s="689">
        <v>5.3</v>
      </c>
    </row>
    <row r="6294" spans="1:11">
      <c r="A6294" s="688" t="s">
        <v>25</v>
      </c>
      <c r="B6294" s="692" t="s">
        <v>4060</v>
      </c>
      <c r="C6294" s="615">
        <v>5</v>
      </c>
      <c r="D6294" s="691">
        <v>4.9000000000000004</v>
      </c>
      <c r="E6294" s="615">
        <v>5</v>
      </c>
      <c r="F6294" s="691">
        <v>4.9000000000000004</v>
      </c>
      <c r="G6294" s="691">
        <v>5.0999999999999996</v>
      </c>
      <c r="H6294" s="691">
        <v>5.4</v>
      </c>
      <c r="I6294" s="691">
        <v>5.0999999999999996</v>
      </c>
      <c r="J6294" s="691">
        <v>4.4000000000000004</v>
      </c>
      <c r="K6294" s="691">
        <v>4.5999999999999996</v>
      </c>
    </row>
    <row r="6295" spans="1:11">
      <c r="A6295" s="688" t="s">
        <v>5</v>
      </c>
      <c r="B6295" s="690" t="s">
        <v>4060</v>
      </c>
      <c r="C6295" s="689">
        <v>5.4</v>
      </c>
      <c r="D6295" s="689">
        <v>5.4</v>
      </c>
      <c r="E6295" s="689">
        <v>5.3</v>
      </c>
      <c r="F6295" s="689">
        <v>5.5</v>
      </c>
      <c r="G6295" s="689">
        <v>5.5</v>
      </c>
      <c r="H6295" s="689">
        <v>5.6</v>
      </c>
      <c r="I6295" s="689">
        <v>5.7</v>
      </c>
      <c r="J6295" s="689">
        <v>5.6</v>
      </c>
      <c r="K6295" s="689">
        <v>5.2</v>
      </c>
    </row>
    <row r="6296" spans="1:11">
      <c r="A6296" s="688" t="s">
        <v>23</v>
      </c>
      <c r="B6296" s="692" t="s">
        <v>4060</v>
      </c>
      <c r="C6296" s="691">
        <v>5.5</v>
      </c>
      <c r="D6296" s="691">
        <v>5.4</v>
      </c>
      <c r="E6296" s="691">
        <v>5.5</v>
      </c>
      <c r="F6296" s="691">
        <v>5.4</v>
      </c>
      <c r="G6296" s="691">
        <v>5.5</v>
      </c>
      <c r="H6296" s="691">
        <v>5.7</v>
      </c>
      <c r="I6296" s="691">
        <v>5.3</v>
      </c>
      <c r="J6296" s="691">
        <v>5.7</v>
      </c>
      <c r="K6296" s="691">
        <v>5.6</v>
      </c>
    </row>
    <row r="6297" spans="1:11">
      <c r="A6297" s="688" t="s">
        <v>4067</v>
      </c>
      <c r="B6297" s="690" t="s">
        <v>4060</v>
      </c>
      <c r="C6297" s="690" t="s">
        <v>4060</v>
      </c>
      <c r="D6297" s="690" t="s">
        <v>4060</v>
      </c>
      <c r="E6297" s="690" t="s">
        <v>4060</v>
      </c>
      <c r="F6297" s="690" t="s">
        <v>4060</v>
      </c>
      <c r="G6297" s="690" t="s">
        <v>4060</v>
      </c>
      <c r="H6297" s="690" t="s">
        <v>4060</v>
      </c>
      <c r="I6297" s="690" t="s">
        <v>4060</v>
      </c>
      <c r="J6297" s="690" t="s">
        <v>4060</v>
      </c>
      <c r="K6297" s="690" t="s">
        <v>4060</v>
      </c>
    </row>
    <row r="6298" spans="1:11">
      <c r="A6298" s="688" t="s">
        <v>4066</v>
      </c>
      <c r="B6298" s="692" t="s">
        <v>4060</v>
      </c>
      <c r="C6298" s="692" t="s">
        <v>4060</v>
      </c>
      <c r="D6298" s="692" t="s">
        <v>4060</v>
      </c>
      <c r="E6298" s="692" t="s">
        <v>4060</v>
      </c>
      <c r="F6298" s="692" t="s">
        <v>4060</v>
      </c>
      <c r="G6298" s="692" t="s">
        <v>4060</v>
      </c>
      <c r="H6298" s="692" t="s">
        <v>4060</v>
      </c>
      <c r="I6298" s="692" t="s">
        <v>4060</v>
      </c>
      <c r="J6298" s="692" t="s">
        <v>4060</v>
      </c>
      <c r="K6298" s="692" t="s">
        <v>4060</v>
      </c>
    </row>
    <row r="6299" spans="1:11">
      <c r="A6299" s="688" t="s">
        <v>4062</v>
      </c>
      <c r="B6299" s="690" t="s">
        <v>4060</v>
      </c>
      <c r="C6299" s="689">
        <v>5.6</v>
      </c>
      <c r="D6299" s="689">
        <v>5.5</v>
      </c>
      <c r="E6299" s="689">
        <v>5.7</v>
      </c>
      <c r="F6299" s="689">
        <v>5.6</v>
      </c>
      <c r="G6299" s="689">
        <v>5.7</v>
      </c>
      <c r="H6299" s="689">
        <v>5.8</v>
      </c>
      <c r="I6299" s="689">
        <v>5.5</v>
      </c>
      <c r="J6299" s="689">
        <v>5.8</v>
      </c>
      <c r="K6299" s="689">
        <v>5.5</v>
      </c>
    </row>
    <row r="6300" spans="1:11">
      <c r="A6300" s="688" t="s">
        <v>9</v>
      </c>
      <c r="B6300" s="692" t="s">
        <v>4060</v>
      </c>
      <c r="C6300" s="691">
        <v>5.6</v>
      </c>
      <c r="D6300" s="691">
        <v>5.2</v>
      </c>
      <c r="E6300" s="691">
        <v>5.2</v>
      </c>
      <c r="F6300" s="691">
        <v>5.6</v>
      </c>
      <c r="G6300" s="691">
        <v>5.6</v>
      </c>
      <c r="H6300" s="691">
        <v>5.6</v>
      </c>
      <c r="I6300" s="691">
        <v>5.7</v>
      </c>
      <c r="J6300" s="691">
        <v>5.6</v>
      </c>
      <c r="K6300" s="691">
        <v>5.2</v>
      </c>
    </row>
    <row r="6301" spans="1:11">
      <c r="A6301" s="688" t="s">
        <v>13</v>
      </c>
      <c r="B6301" s="690" t="s">
        <v>4060</v>
      </c>
      <c r="C6301" s="689">
        <v>4.8</v>
      </c>
      <c r="D6301" s="689">
        <v>5.3</v>
      </c>
      <c r="E6301" s="689">
        <v>5.5</v>
      </c>
      <c r="F6301" s="689">
        <v>5.9</v>
      </c>
      <c r="G6301" s="689">
        <v>5.3</v>
      </c>
      <c r="H6301" s="689">
        <v>5.5</v>
      </c>
      <c r="I6301" s="689">
        <v>4.9000000000000004</v>
      </c>
      <c r="J6301" s="689">
        <v>5.9</v>
      </c>
      <c r="K6301" s="689">
        <v>5.3</v>
      </c>
    </row>
    <row r="6302" spans="1:11">
      <c r="A6302" s="688" t="s">
        <v>18</v>
      </c>
      <c r="B6302" s="692" t="s">
        <v>4060</v>
      </c>
      <c r="C6302" s="691">
        <v>5.5</v>
      </c>
      <c r="D6302" s="691">
        <v>5.5</v>
      </c>
      <c r="E6302" s="691">
        <v>5.5</v>
      </c>
      <c r="F6302" s="691">
        <v>5.5</v>
      </c>
      <c r="G6302" s="691">
        <v>5.6</v>
      </c>
      <c r="H6302" s="691">
        <v>5.7</v>
      </c>
      <c r="I6302" s="691">
        <v>5.7</v>
      </c>
      <c r="J6302" s="691">
        <v>5.6</v>
      </c>
      <c r="K6302" s="691">
        <v>5.3</v>
      </c>
    </row>
    <row r="6303" spans="1:11">
      <c r="A6303" s="688" t="s">
        <v>24</v>
      </c>
      <c r="B6303" s="690" t="s">
        <v>4060</v>
      </c>
      <c r="C6303" s="689">
        <v>5.7</v>
      </c>
      <c r="D6303" s="689">
        <v>5.5</v>
      </c>
      <c r="E6303" s="689">
        <v>5.8</v>
      </c>
      <c r="F6303" s="689">
        <v>5.7</v>
      </c>
      <c r="G6303" s="689">
        <v>5.8</v>
      </c>
      <c r="H6303" s="689">
        <v>5.9</v>
      </c>
      <c r="I6303" s="689">
        <v>5.4</v>
      </c>
      <c r="J6303" s="689">
        <v>5.8</v>
      </c>
      <c r="K6303" s="689">
        <v>5.6</v>
      </c>
    </row>
    <row r="6304" spans="1:11">
      <c r="A6304" s="688" t="s">
        <v>4059</v>
      </c>
      <c r="B6304" s="692" t="s">
        <v>4060</v>
      </c>
      <c r="C6304" s="692" t="s">
        <v>4060</v>
      </c>
      <c r="D6304" s="692" t="s">
        <v>4060</v>
      </c>
      <c r="E6304" s="692" t="s">
        <v>4060</v>
      </c>
      <c r="F6304" s="692" t="s">
        <v>4060</v>
      </c>
      <c r="G6304" s="692" t="s">
        <v>4060</v>
      </c>
      <c r="H6304" s="692" t="s">
        <v>4060</v>
      </c>
      <c r="I6304" s="692" t="s">
        <v>4060</v>
      </c>
      <c r="J6304" s="692" t="s">
        <v>4060</v>
      </c>
      <c r="K6304" s="692" t="s">
        <v>4060</v>
      </c>
    </row>
    <row r="6305" spans="1:11">
      <c r="A6305" s="688" t="s">
        <v>2324</v>
      </c>
      <c r="B6305" s="690" t="s">
        <v>4060</v>
      </c>
      <c r="C6305" s="690" t="s">
        <v>4060</v>
      </c>
      <c r="D6305" s="690" t="s">
        <v>4060</v>
      </c>
      <c r="E6305" s="690" t="s">
        <v>4060</v>
      </c>
      <c r="F6305" s="690" t="s">
        <v>4060</v>
      </c>
      <c r="G6305" s="690" t="s">
        <v>4060</v>
      </c>
      <c r="H6305" s="690" t="s">
        <v>4060</v>
      </c>
      <c r="I6305" s="690" t="s">
        <v>4060</v>
      </c>
      <c r="J6305" s="690" t="s">
        <v>4060</v>
      </c>
      <c r="K6305" s="690" t="s">
        <v>4060</v>
      </c>
    </row>
    <row r="6306" spans="1:11">
      <c r="A6306" s="688" t="s">
        <v>2322</v>
      </c>
      <c r="B6306" s="692" t="s">
        <v>4060</v>
      </c>
      <c r="C6306" s="692" t="s">
        <v>4060</v>
      </c>
      <c r="D6306" s="692" t="s">
        <v>4060</v>
      </c>
      <c r="E6306" s="692" t="s">
        <v>4060</v>
      </c>
      <c r="F6306" s="692" t="s">
        <v>4060</v>
      </c>
      <c r="G6306" s="692" t="s">
        <v>4060</v>
      </c>
      <c r="H6306" s="692" t="s">
        <v>4060</v>
      </c>
      <c r="I6306" s="692" t="s">
        <v>4060</v>
      </c>
      <c r="J6306" s="692" t="s">
        <v>4060</v>
      </c>
      <c r="K6306" s="692" t="s">
        <v>4060</v>
      </c>
    </row>
    <row r="6307" spans="1:11">
      <c r="A6307" s="688" t="s">
        <v>2328</v>
      </c>
      <c r="B6307" s="690" t="s">
        <v>4060</v>
      </c>
      <c r="C6307" s="690" t="s">
        <v>4060</v>
      </c>
      <c r="D6307" s="690" t="s">
        <v>4060</v>
      </c>
      <c r="E6307" s="690" t="s">
        <v>4060</v>
      </c>
      <c r="F6307" s="690" t="s">
        <v>4060</v>
      </c>
      <c r="G6307" s="690" t="s">
        <v>4060</v>
      </c>
      <c r="H6307" s="690" t="s">
        <v>4060</v>
      </c>
      <c r="I6307" s="690" t="s">
        <v>4060</v>
      </c>
      <c r="J6307" s="690" t="s">
        <v>4060</v>
      </c>
      <c r="K6307" s="690" t="s">
        <v>4060</v>
      </c>
    </row>
    <row r="6308" spans="1:11">
      <c r="A6308" s="688" t="s">
        <v>2496</v>
      </c>
      <c r="B6308" s="692" t="s">
        <v>4060</v>
      </c>
      <c r="C6308" s="692" t="s">
        <v>4060</v>
      </c>
      <c r="D6308" s="692" t="s">
        <v>4060</v>
      </c>
      <c r="E6308" s="692" t="s">
        <v>4060</v>
      </c>
      <c r="F6308" s="692" t="s">
        <v>4060</v>
      </c>
      <c r="G6308" s="692" t="s">
        <v>4060</v>
      </c>
      <c r="H6308" s="692" t="s">
        <v>4060</v>
      </c>
      <c r="I6308" s="692" t="s">
        <v>4060</v>
      </c>
      <c r="J6308" s="692" t="s">
        <v>4060</v>
      </c>
      <c r="K6308" s="692" t="s">
        <v>4060</v>
      </c>
    </row>
    <row r="6309" spans="1:11">
      <c r="A6309" s="688" t="s">
        <v>2269</v>
      </c>
      <c r="B6309" s="690" t="s">
        <v>4060</v>
      </c>
      <c r="C6309" s="690" t="s">
        <v>4060</v>
      </c>
      <c r="D6309" s="690" t="s">
        <v>4060</v>
      </c>
      <c r="E6309" s="690" t="s">
        <v>4060</v>
      </c>
      <c r="F6309" s="690" t="s">
        <v>4060</v>
      </c>
      <c r="G6309" s="690" t="s">
        <v>4060</v>
      </c>
      <c r="H6309" s="690" t="s">
        <v>4060</v>
      </c>
      <c r="I6309" s="690" t="s">
        <v>4060</v>
      </c>
      <c r="J6309" s="690" t="s">
        <v>4060</v>
      </c>
      <c r="K6309" s="690" t="s">
        <v>4060</v>
      </c>
    </row>
    <row r="6310" spans="1:11">
      <c r="A6310" s="688" t="s">
        <v>2349</v>
      </c>
      <c r="B6310" s="692" t="s">
        <v>4060</v>
      </c>
      <c r="C6310" s="692" t="s">
        <v>4060</v>
      </c>
      <c r="D6310" s="692" t="s">
        <v>4060</v>
      </c>
      <c r="E6310" s="692" t="s">
        <v>4060</v>
      </c>
      <c r="F6310" s="692" t="s">
        <v>4060</v>
      </c>
      <c r="G6310" s="692" t="s">
        <v>4060</v>
      </c>
      <c r="H6310" s="692" t="s">
        <v>4060</v>
      </c>
      <c r="I6310" s="692" t="s">
        <v>4060</v>
      </c>
      <c r="J6310" s="692" t="s">
        <v>4060</v>
      </c>
      <c r="K6310" s="692" t="s">
        <v>4060</v>
      </c>
    </row>
    <row r="6311" spans="1:11">
      <c r="A6311" s="688" t="s">
        <v>2355</v>
      </c>
      <c r="B6311" s="690" t="s">
        <v>4060</v>
      </c>
      <c r="C6311" s="690" t="s">
        <v>4060</v>
      </c>
      <c r="D6311" s="690" t="s">
        <v>4060</v>
      </c>
      <c r="E6311" s="690" t="s">
        <v>4060</v>
      </c>
      <c r="F6311" s="690" t="s">
        <v>4060</v>
      </c>
      <c r="G6311" s="690" t="s">
        <v>4060</v>
      </c>
      <c r="H6311" s="690" t="s">
        <v>4060</v>
      </c>
      <c r="I6311" s="690" t="s">
        <v>4060</v>
      </c>
      <c r="J6311" s="690" t="s">
        <v>4060</v>
      </c>
      <c r="K6311" s="690" t="s">
        <v>4060</v>
      </c>
    </row>
    <row r="6312" spans="1:11">
      <c r="A6312" s="688" t="s">
        <v>2357</v>
      </c>
      <c r="B6312" s="692" t="s">
        <v>4060</v>
      </c>
      <c r="C6312" s="692" t="s">
        <v>4060</v>
      </c>
      <c r="D6312" s="692" t="s">
        <v>4060</v>
      </c>
      <c r="E6312" s="692" t="s">
        <v>4060</v>
      </c>
      <c r="F6312" s="692" t="s">
        <v>4060</v>
      </c>
      <c r="G6312" s="692" t="s">
        <v>4060</v>
      </c>
      <c r="H6312" s="692" t="s">
        <v>4060</v>
      </c>
      <c r="I6312" s="692" t="s">
        <v>4060</v>
      </c>
      <c r="J6312" s="692" t="s">
        <v>4060</v>
      </c>
      <c r="K6312" s="692" t="s">
        <v>4060</v>
      </c>
    </row>
    <row r="6313" spans="1:11">
      <c r="A6313" s="688" t="s">
        <v>4070</v>
      </c>
      <c r="B6313" s="690" t="s">
        <v>4060</v>
      </c>
      <c r="C6313" s="690" t="s">
        <v>4060</v>
      </c>
      <c r="D6313" s="690" t="s">
        <v>4060</v>
      </c>
      <c r="E6313" s="690" t="s">
        <v>4060</v>
      </c>
      <c r="F6313" s="690" t="s">
        <v>4060</v>
      </c>
      <c r="G6313" s="690" t="s">
        <v>4060</v>
      </c>
      <c r="H6313" s="690" t="s">
        <v>4060</v>
      </c>
      <c r="I6313" s="690" t="s">
        <v>4060</v>
      </c>
      <c r="J6313" s="690" t="s">
        <v>4060</v>
      </c>
      <c r="K6313" s="690" t="s">
        <v>4060</v>
      </c>
    </row>
    <row r="6314" spans="1:11">
      <c r="A6314" s="688" t="s">
        <v>2491</v>
      </c>
      <c r="B6314" s="692" t="s">
        <v>4060</v>
      </c>
      <c r="C6314" s="692" t="s">
        <v>4060</v>
      </c>
      <c r="D6314" s="692" t="s">
        <v>4060</v>
      </c>
      <c r="E6314" s="692" t="s">
        <v>4060</v>
      </c>
      <c r="F6314" s="692" t="s">
        <v>4060</v>
      </c>
      <c r="G6314" s="692" t="s">
        <v>4060</v>
      </c>
      <c r="H6314" s="692" t="s">
        <v>4060</v>
      </c>
      <c r="I6314" s="692" t="s">
        <v>4060</v>
      </c>
      <c r="J6314" s="692" t="s">
        <v>4060</v>
      </c>
      <c r="K6314" s="692" t="s">
        <v>4060</v>
      </c>
    </row>
    <row r="6315" spans="1:11">
      <c r="A6315" s="688" t="s">
        <v>2343</v>
      </c>
      <c r="B6315" s="690" t="s">
        <v>4060</v>
      </c>
      <c r="C6315" s="690" t="s">
        <v>4060</v>
      </c>
      <c r="D6315" s="690" t="s">
        <v>4060</v>
      </c>
      <c r="E6315" s="690" t="s">
        <v>4060</v>
      </c>
      <c r="F6315" s="690" t="s">
        <v>4060</v>
      </c>
      <c r="G6315" s="690" t="s">
        <v>4060</v>
      </c>
      <c r="H6315" s="690" t="s">
        <v>4060</v>
      </c>
      <c r="I6315" s="690" t="s">
        <v>4060</v>
      </c>
      <c r="J6315" s="690" t="s">
        <v>4060</v>
      </c>
      <c r="K6315" s="690" t="s">
        <v>4060</v>
      </c>
    </row>
    <row r="6316" spans="1:11">
      <c r="A6316" s="688" t="s">
        <v>4071</v>
      </c>
      <c r="B6316" s="692" t="s">
        <v>4060</v>
      </c>
      <c r="C6316" s="692" t="s">
        <v>4060</v>
      </c>
      <c r="D6316" s="692" t="s">
        <v>4060</v>
      </c>
      <c r="E6316" s="692" t="s">
        <v>4060</v>
      </c>
      <c r="F6316" s="692" t="s">
        <v>4060</v>
      </c>
      <c r="G6316" s="692" t="s">
        <v>4060</v>
      </c>
      <c r="H6316" s="692" t="s">
        <v>4060</v>
      </c>
      <c r="I6316" s="692" t="s">
        <v>4060</v>
      </c>
      <c r="J6316" s="692" t="s">
        <v>4060</v>
      </c>
      <c r="K6316" s="692" t="s">
        <v>4060</v>
      </c>
    </row>
    <row r="6317" spans="1:11">
      <c r="A6317" s="688" t="s">
        <v>2489</v>
      </c>
      <c r="B6317" s="690" t="s">
        <v>4060</v>
      </c>
      <c r="C6317" s="690" t="s">
        <v>4060</v>
      </c>
      <c r="D6317" s="690" t="s">
        <v>4060</v>
      </c>
      <c r="E6317" s="690" t="s">
        <v>4060</v>
      </c>
      <c r="F6317" s="690" t="s">
        <v>4060</v>
      </c>
      <c r="G6317" s="690" t="s">
        <v>4060</v>
      </c>
      <c r="H6317" s="690" t="s">
        <v>4060</v>
      </c>
      <c r="I6317" s="690" t="s">
        <v>4060</v>
      </c>
      <c r="J6317" s="690" t="s">
        <v>4060</v>
      </c>
      <c r="K6317" s="690" t="s">
        <v>4060</v>
      </c>
    </row>
    <row r="6318" spans="1:11">
      <c r="A6318" s="688" t="s">
        <v>2490</v>
      </c>
      <c r="B6318" s="692" t="s">
        <v>4060</v>
      </c>
      <c r="C6318" s="692" t="s">
        <v>4060</v>
      </c>
      <c r="D6318" s="692" t="s">
        <v>4060</v>
      </c>
      <c r="E6318" s="692" t="s">
        <v>4060</v>
      </c>
      <c r="F6318" s="692" t="s">
        <v>4060</v>
      </c>
      <c r="G6318" s="692" t="s">
        <v>4060</v>
      </c>
      <c r="H6318" s="692" t="s">
        <v>4060</v>
      </c>
      <c r="I6318" s="692" t="s">
        <v>4060</v>
      </c>
      <c r="J6318" s="692" t="s">
        <v>4060</v>
      </c>
      <c r="K6318" s="692" t="s">
        <v>4060</v>
      </c>
    </row>
    <row r="6320" spans="1:11">
      <c r="A6320" s="683" t="s">
        <v>4233</v>
      </c>
    </row>
    <row r="6321" spans="1:11">
      <c r="A6321" s="683" t="s">
        <v>4060</v>
      </c>
      <c r="B6321" s="682" t="s">
        <v>4234</v>
      </c>
    </row>
    <row r="6323" spans="1:11">
      <c r="A6323" s="682" t="s">
        <v>4248</v>
      </c>
    </row>
    <row r="6324" spans="1:11">
      <c r="A6324" s="682" t="s">
        <v>4210</v>
      </c>
      <c r="B6324" s="683" t="s">
        <v>4211</v>
      </c>
    </row>
    <row r="6325" spans="1:11">
      <c r="A6325" s="682" t="s">
        <v>4212</v>
      </c>
      <c r="B6325" s="682" t="s">
        <v>4213</v>
      </c>
    </row>
    <row r="6327" spans="1:11">
      <c r="A6327" s="683" t="s">
        <v>4214</v>
      </c>
      <c r="C6327" s="682" t="s">
        <v>4215</v>
      </c>
    </row>
    <row r="6328" spans="1:11">
      <c r="A6328" s="683" t="s">
        <v>4216</v>
      </c>
      <c r="C6328" s="682" t="s">
        <v>2967</v>
      </c>
    </row>
    <row r="6329" spans="1:11">
      <c r="A6329" s="683" t="s">
        <v>3893</v>
      </c>
      <c r="C6329" s="682" t="s">
        <v>4217</v>
      </c>
    </row>
    <row r="6330" spans="1:11">
      <c r="A6330" s="683" t="s">
        <v>4218</v>
      </c>
      <c r="C6330" s="682" t="s">
        <v>4323</v>
      </c>
    </row>
    <row r="6332" spans="1:11">
      <c r="A6332" s="684" t="s">
        <v>4220</v>
      </c>
      <c r="B6332" s="685" t="s">
        <v>4221</v>
      </c>
      <c r="C6332" s="685" t="s">
        <v>4222</v>
      </c>
      <c r="D6332" s="685" t="s">
        <v>4223</v>
      </c>
      <c r="E6332" s="685" t="s">
        <v>4224</v>
      </c>
      <c r="F6332" s="685" t="s">
        <v>4225</v>
      </c>
      <c r="G6332" s="685" t="s">
        <v>4226</v>
      </c>
      <c r="H6332" s="685" t="s">
        <v>4227</v>
      </c>
      <c r="I6332" s="685" t="s">
        <v>4228</v>
      </c>
      <c r="J6332" s="685" t="s">
        <v>4229</v>
      </c>
      <c r="K6332" s="685" t="s">
        <v>4230</v>
      </c>
    </row>
    <row r="6333" spans="1:11">
      <c r="A6333" s="686" t="s">
        <v>4231</v>
      </c>
      <c r="B6333" s="687" t="s">
        <v>4232</v>
      </c>
      <c r="C6333" s="687" t="s">
        <v>4232</v>
      </c>
      <c r="D6333" s="687" t="s">
        <v>4232</v>
      </c>
      <c r="E6333" s="687" t="s">
        <v>4232</v>
      </c>
      <c r="F6333" s="687" t="s">
        <v>4232</v>
      </c>
      <c r="G6333" s="687" t="s">
        <v>4232</v>
      </c>
      <c r="H6333" s="687" t="s">
        <v>4232</v>
      </c>
      <c r="I6333" s="687" t="s">
        <v>4232</v>
      </c>
      <c r="J6333" s="687" t="s">
        <v>4232</v>
      </c>
      <c r="K6333" s="687" t="s">
        <v>4232</v>
      </c>
    </row>
    <row r="6334" spans="1:11">
      <c r="A6334" s="688" t="s">
        <v>4064</v>
      </c>
      <c r="B6334" s="692" t="s">
        <v>4060</v>
      </c>
      <c r="C6334" s="691">
        <v>5.2</v>
      </c>
      <c r="D6334" s="692" t="s">
        <v>4060</v>
      </c>
      <c r="E6334" s="691">
        <v>5.2</v>
      </c>
      <c r="F6334" s="691">
        <v>5.0999999999999996</v>
      </c>
      <c r="G6334" s="691">
        <v>5.2</v>
      </c>
      <c r="H6334" s="691">
        <v>5.3</v>
      </c>
      <c r="I6334" s="691">
        <v>4.9000000000000004</v>
      </c>
      <c r="J6334" s="615">
        <v>5</v>
      </c>
      <c r="K6334" s="691">
        <v>4.9000000000000004</v>
      </c>
    </row>
    <row r="6335" spans="1:11">
      <c r="A6335" s="688" t="s">
        <v>4065</v>
      </c>
      <c r="B6335" s="690" t="s">
        <v>4060</v>
      </c>
      <c r="C6335" s="690" t="s">
        <v>4060</v>
      </c>
      <c r="D6335" s="690" t="s">
        <v>4060</v>
      </c>
      <c r="E6335" s="690" t="s">
        <v>4060</v>
      </c>
      <c r="F6335" s="690" t="s">
        <v>4060</v>
      </c>
      <c r="G6335" s="690" t="s">
        <v>4060</v>
      </c>
      <c r="H6335" s="690" t="s">
        <v>4060</v>
      </c>
      <c r="I6335" s="690" t="s">
        <v>4060</v>
      </c>
      <c r="J6335" s="690" t="s">
        <v>4060</v>
      </c>
      <c r="K6335" s="690" t="s">
        <v>4060</v>
      </c>
    </row>
    <row r="6336" spans="1:11">
      <c r="A6336" s="688" t="s">
        <v>4063</v>
      </c>
      <c r="B6336" s="692" t="s">
        <v>4060</v>
      </c>
      <c r="C6336" s="692" t="s">
        <v>4060</v>
      </c>
      <c r="D6336" s="692" t="s">
        <v>4060</v>
      </c>
      <c r="E6336" s="692" t="s">
        <v>4060</v>
      </c>
      <c r="F6336" s="692" t="s">
        <v>4060</v>
      </c>
      <c r="G6336" s="692" t="s">
        <v>4060</v>
      </c>
      <c r="H6336" s="692" t="s">
        <v>4060</v>
      </c>
      <c r="I6336" s="692" t="s">
        <v>4060</v>
      </c>
      <c r="J6336" s="692" t="s">
        <v>4060</v>
      </c>
      <c r="K6336" s="692" t="s">
        <v>4060</v>
      </c>
    </row>
    <row r="6337" spans="1:11">
      <c r="A6337" s="688" t="s">
        <v>4069</v>
      </c>
      <c r="B6337" s="690" t="s">
        <v>4060</v>
      </c>
      <c r="C6337" s="689">
        <v>5.3</v>
      </c>
      <c r="D6337" s="693">
        <v>5</v>
      </c>
      <c r="E6337" s="689">
        <v>5.3</v>
      </c>
      <c r="F6337" s="689">
        <v>5.2</v>
      </c>
      <c r="G6337" s="689">
        <v>5.2</v>
      </c>
      <c r="H6337" s="689">
        <v>5.3</v>
      </c>
      <c r="I6337" s="693">
        <v>5</v>
      </c>
      <c r="J6337" s="689">
        <v>5.2</v>
      </c>
      <c r="K6337" s="693">
        <v>5</v>
      </c>
    </row>
    <row r="6338" spans="1:11">
      <c r="A6338" s="688" t="s">
        <v>4068</v>
      </c>
      <c r="B6338" s="692" t="s">
        <v>4060</v>
      </c>
      <c r="C6338" s="692" t="s">
        <v>4060</v>
      </c>
      <c r="D6338" s="692" t="s">
        <v>4060</v>
      </c>
      <c r="E6338" s="692" t="s">
        <v>4060</v>
      </c>
      <c r="F6338" s="692" t="s">
        <v>4060</v>
      </c>
      <c r="G6338" s="692" t="s">
        <v>4060</v>
      </c>
      <c r="H6338" s="692" t="s">
        <v>4060</v>
      </c>
      <c r="I6338" s="692" t="s">
        <v>4060</v>
      </c>
      <c r="J6338" s="692" t="s">
        <v>4060</v>
      </c>
      <c r="K6338" s="692" t="s">
        <v>4060</v>
      </c>
    </row>
    <row r="6339" spans="1:11">
      <c r="A6339" s="688" t="s">
        <v>0</v>
      </c>
      <c r="B6339" s="690" t="s">
        <v>4060</v>
      </c>
      <c r="C6339" s="689">
        <v>5.0999999999999996</v>
      </c>
      <c r="D6339" s="689">
        <v>4.9000000000000004</v>
      </c>
      <c r="E6339" s="689">
        <v>5.0999999999999996</v>
      </c>
      <c r="F6339" s="689">
        <v>5.0999999999999996</v>
      </c>
      <c r="G6339" s="689">
        <v>5.0999999999999996</v>
      </c>
      <c r="H6339" s="689">
        <v>5.3</v>
      </c>
      <c r="I6339" s="689">
        <v>4.5999999999999996</v>
      </c>
      <c r="J6339" s="689">
        <v>5.4</v>
      </c>
      <c r="K6339" s="689">
        <v>5.0999999999999996</v>
      </c>
    </row>
    <row r="6340" spans="1:11">
      <c r="A6340" s="688" t="s">
        <v>1</v>
      </c>
      <c r="B6340" s="692" t="s">
        <v>4060</v>
      </c>
      <c r="C6340" s="691">
        <v>3.8</v>
      </c>
      <c r="D6340" s="691">
        <v>3.7</v>
      </c>
      <c r="E6340" s="691">
        <v>3.8</v>
      </c>
      <c r="F6340" s="691">
        <v>3.7</v>
      </c>
      <c r="G6340" s="691">
        <v>3.8</v>
      </c>
      <c r="H6340" s="691">
        <v>3.8</v>
      </c>
      <c r="I6340" s="691">
        <v>3.5</v>
      </c>
      <c r="J6340" s="691">
        <v>3.3</v>
      </c>
      <c r="K6340" s="691">
        <v>3.6</v>
      </c>
    </row>
    <row r="6341" spans="1:11">
      <c r="A6341" s="688" t="s">
        <v>2240</v>
      </c>
      <c r="B6341" s="690" t="s">
        <v>4060</v>
      </c>
      <c r="C6341" s="689">
        <v>4.4000000000000004</v>
      </c>
      <c r="D6341" s="689">
        <v>4.3</v>
      </c>
      <c r="E6341" s="689">
        <v>4.5</v>
      </c>
      <c r="F6341" s="689">
        <v>4.4000000000000004</v>
      </c>
      <c r="G6341" s="689">
        <v>4.5</v>
      </c>
      <c r="H6341" s="689">
        <v>4.5999999999999996</v>
      </c>
      <c r="I6341" s="689">
        <v>4.0999999999999996</v>
      </c>
      <c r="J6341" s="689">
        <v>4.0999999999999996</v>
      </c>
      <c r="K6341" s="689">
        <v>4.3</v>
      </c>
    </row>
    <row r="6342" spans="1:11">
      <c r="A6342" s="688" t="s">
        <v>2</v>
      </c>
      <c r="B6342" s="692" t="s">
        <v>4060</v>
      </c>
      <c r="C6342" s="691">
        <v>5.0999999999999996</v>
      </c>
      <c r="D6342" s="615">
        <v>5</v>
      </c>
      <c r="E6342" s="691">
        <v>5.0999999999999996</v>
      </c>
      <c r="F6342" s="615">
        <v>5</v>
      </c>
      <c r="G6342" s="691">
        <v>4.9000000000000004</v>
      </c>
      <c r="H6342" s="615">
        <v>5</v>
      </c>
      <c r="I6342" s="691">
        <v>5.0999999999999996</v>
      </c>
      <c r="J6342" s="691">
        <v>4.9000000000000004</v>
      </c>
      <c r="K6342" s="691">
        <v>4.8</v>
      </c>
    </row>
    <row r="6343" spans="1:11">
      <c r="A6343" s="688" t="s">
        <v>3</v>
      </c>
      <c r="B6343" s="690" t="s">
        <v>4060</v>
      </c>
      <c r="C6343" s="693">
        <v>5</v>
      </c>
      <c r="D6343" s="689">
        <v>4.8</v>
      </c>
      <c r="E6343" s="693">
        <v>5</v>
      </c>
      <c r="F6343" s="689">
        <v>4.9000000000000004</v>
      </c>
      <c r="G6343" s="689">
        <v>4.8</v>
      </c>
      <c r="H6343" s="693">
        <v>5</v>
      </c>
      <c r="I6343" s="689">
        <v>4.8</v>
      </c>
      <c r="J6343" s="689">
        <v>4.8</v>
      </c>
      <c r="K6343" s="689">
        <v>4.5999999999999996</v>
      </c>
    </row>
    <row r="6344" spans="1:11">
      <c r="A6344" s="688" t="s">
        <v>4061</v>
      </c>
      <c r="B6344" s="692" t="s">
        <v>4060</v>
      </c>
      <c r="C6344" s="615">
        <v>5</v>
      </c>
      <c r="D6344" s="691">
        <v>4.8</v>
      </c>
      <c r="E6344" s="615">
        <v>5</v>
      </c>
      <c r="F6344" s="691">
        <v>4.9000000000000004</v>
      </c>
      <c r="G6344" s="691">
        <v>4.8</v>
      </c>
      <c r="H6344" s="615">
        <v>5</v>
      </c>
      <c r="I6344" s="691">
        <v>4.8</v>
      </c>
      <c r="J6344" s="691">
        <v>4.8</v>
      </c>
      <c r="K6344" s="691">
        <v>4.5999999999999996</v>
      </c>
    </row>
    <row r="6345" spans="1:11">
      <c r="A6345" s="688" t="s">
        <v>4</v>
      </c>
      <c r="B6345" s="690" t="s">
        <v>4060</v>
      </c>
      <c r="C6345" s="689">
        <v>4.8</v>
      </c>
      <c r="D6345" s="689">
        <v>4.9000000000000004</v>
      </c>
      <c r="E6345" s="693">
        <v>5</v>
      </c>
      <c r="F6345" s="693">
        <v>5</v>
      </c>
      <c r="G6345" s="689">
        <v>4.9000000000000004</v>
      </c>
      <c r="H6345" s="689">
        <v>5.0999999999999996</v>
      </c>
      <c r="I6345" s="689">
        <v>5.0999999999999996</v>
      </c>
      <c r="J6345" s="689">
        <v>4.5</v>
      </c>
      <c r="K6345" s="689">
        <v>4.7</v>
      </c>
    </row>
    <row r="6346" spans="1:11">
      <c r="A6346" s="688" t="s">
        <v>8</v>
      </c>
      <c r="B6346" s="692" t="s">
        <v>4060</v>
      </c>
      <c r="C6346" s="615">
        <v>5</v>
      </c>
      <c r="D6346" s="691">
        <v>4.7</v>
      </c>
      <c r="E6346" s="691">
        <v>4.8</v>
      </c>
      <c r="F6346" s="615">
        <v>5</v>
      </c>
      <c r="G6346" s="691">
        <v>5.0999999999999996</v>
      </c>
      <c r="H6346" s="691">
        <v>5.0999999999999996</v>
      </c>
      <c r="I6346" s="691">
        <v>5.2</v>
      </c>
      <c r="J6346" s="691">
        <v>5.0999999999999996</v>
      </c>
      <c r="K6346" s="691">
        <v>5.0999999999999996</v>
      </c>
    </row>
    <row r="6347" spans="1:11">
      <c r="A6347" s="688" t="s">
        <v>7</v>
      </c>
      <c r="B6347" s="690" t="s">
        <v>4060</v>
      </c>
      <c r="C6347" s="689">
        <v>4.4000000000000004</v>
      </c>
      <c r="D6347" s="689">
        <v>4.3</v>
      </c>
      <c r="E6347" s="689">
        <v>4.7</v>
      </c>
      <c r="F6347" s="689">
        <v>4.5999999999999996</v>
      </c>
      <c r="G6347" s="689">
        <v>4.9000000000000004</v>
      </c>
      <c r="H6347" s="689">
        <v>4.9000000000000004</v>
      </c>
      <c r="I6347" s="689">
        <v>4.9000000000000004</v>
      </c>
      <c r="J6347" s="689">
        <v>4.7</v>
      </c>
      <c r="K6347" s="689">
        <v>4.5999999999999996</v>
      </c>
    </row>
    <row r="6348" spans="1:11">
      <c r="A6348" s="688" t="s">
        <v>27</v>
      </c>
      <c r="B6348" s="692" t="s">
        <v>4060</v>
      </c>
      <c r="C6348" s="691">
        <v>5.6</v>
      </c>
      <c r="D6348" s="691">
        <v>5.3</v>
      </c>
      <c r="E6348" s="691">
        <v>5.6</v>
      </c>
      <c r="F6348" s="691">
        <v>5.4</v>
      </c>
      <c r="G6348" s="691">
        <v>5.5</v>
      </c>
      <c r="H6348" s="691">
        <v>5.7</v>
      </c>
      <c r="I6348" s="691">
        <v>5.0999999999999996</v>
      </c>
      <c r="J6348" s="691">
        <v>5.6</v>
      </c>
      <c r="K6348" s="691">
        <v>5.4</v>
      </c>
    </row>
    <row r="6349" spans="1:11">
      <c r="A6349" s="688" t="s">
        <v>6</v>
      </c>
      <c r="B6349" s="690" t="s">
        <v>4060</v>
      </c>
      <c r="C6349" s="689">
        <v>5.8</v>
      </c>
      <c r="D6349" s="689">
        <v>5.6</v>
      </c>
      <c r="E6349" s="689">
        <v>5.8</v>
      </c>
      <c r="F6349" s="689">
        <v>5.7</v>
      </c>
      <c r="G6349" s="689">
        <v>5.8</v>
      </c>
      <c r="H6349" s="689">
        <v>5.8</v>
      </c>
      <c r="I6349" s="689">
        <v>5.5</v>
      </c>
      <c r="J6349" s="689">
        <v>5.7</v>
      </c>
      <c r="K6349" s="689">
        <v>5.6</v>
      </c>
    </row>
    <row r="6350" spans="1:11">
      <c r="A6350" s="688" t="s">
        <v>4058</v>
      </c>
      <c r="B6350" s="692" t="s">
        <v>4060</v>
      </c>
      <c r="C6350" s="692" t="s">
        <v>4060</v>
      </c>
      <c r="D6350" s="692" t="s">
        <v>4060</v>
      </c>
      <c r="E6350" s="692" t="s">
        <v>4060</v>
      </c>
      <c r="F6350" s="692" t="s">
        <v>4060</v>
      </c>
      <c r="G6350" s="692" t="s">
        <v>4060</v>
      </c>
      <c r="H6350" s="692" t="s">
        <v>4060</v>
      </c>
      <c r="I6350" s="692" t="s">
        <v>4060</v>
      </c>
      <c r="J6350" s="692" t="s">
        <v>4060</v>
      </c>
      <c r="K6350" s="692" t="s">
        <v>4060</v>
      </c>
    </row>
    <row r="6351" spans="1:11">
      <c r="A6351" s="688" t="s">
        <v>11</v>
      </c>
      <c r="B6351" s="690" t="s">
        <v>4060</v>
      </c>
      <c r="C6351" s="689">
        <v>4.2</v>
      </c>
      <c r="D6351" s="689">
        <v>3.9</v>
      </c>
      <c r="E6351" s="689">
        <v>4.2</v>
      </c>
      <c r="F6351" s="693">
        <v>4</v>
      </c>
      <c r="G6351" s="689">
        <v>4.0999999999999996</v>
      </c>
      <c r="H6351" s="689">
        <v>4.2</v>
      </c>
      <c r="I6351" s="689">
        <v>3.9</v>
      </c>
      <c r="J6351" s="689">
        <v>3.6</v>
      </c>
      <c r="K6351" s="689">
        <v>3.7</v>
      </c>
    </row>
    <row r="6352" spans="1:11">
      <c r="A6352" s="688" t="s">
        <v>10</v>
      </c>
      <c r="B6352" s="692" t="s">
        <v>4060</v>
      </c>
      <c r="C6352" s="691">
        <v>5.3</v>
      </c>
      <c r="D6352" s="615">
        <v>5</v>
      </c>
      <c r="E6352" s="691">
        <v>5.3</v>
      </c>
      <c r="F6352" s="691">
        <v>5.0999999999999996</v>
      </c>
      <c r="G6352" s="691">
        <v>5.3</v>
      </c>
      <c r="H6352" s="691">
        <v>5.4</v>
      </c>
      <c r="I6352" s="691">
        <v>4.9000000000000004</v>
      </c>
      <c r="J6352" s="691">
        <v>5.0999999999999996</v>
      </c>
      <c r="K6352" s="691">
        <v>4.9000000000000004</v>
      </c>
    </row>
    <row r="6353" spans="1:11">
      <c r="A6353" s="688" t="s">
        <v>30</v>
      </c>
      <c r="B6353" s="690" t="s">
        <v>4060</v>
      </c>
      <c r="C6353" s="689">
        <v>4.8</v>
      </c>
      <c r="D6353" s="689">
        <v>4.2</v>
      </c>
      <c r="E6353" s="689">
        <v>4.8</v>
      </c>
      <c r="F6353" s="689">
        <v>4.4000000000000004</v>
      </c>
      <c r="G6353" s="689">
        <v>4.9000000000000004</v>
      </c>
      <c r="H6353" s="689">
        <v>4.5999999999999996</v>
      </c>
      <c r="I6353" s="689">
        <v>4.7</v>
      </c>
      <c r="J6353" s="689">
        <v>4.5999999999999996</v>
      </c>
      <c r="K6353" s="689">
        <v>4.4000000000000004</v>
      </c>
    </row>
    <row r="6354" spans="1:11">
      <c r="A6354" s="688" t="s">
        <v>12</v>
      </c>
      <c r="B6354" s="692" t="s">
        <v>4060</v>
      </c>
      <c r="C6354" s="691">
        <v>4.5</v>
      </c>
      <c r="D6354" s="691">
        <v>4.4000000000000004</v>
      </c>
      <c r="E6354" s="691">
        <v>4.5</v>
      </c>
      <c r="F6354" s="691">
        <v>4.4000000000000004</v>
      </c>
      <c r="G6354" s="691">
        <v>4.4000000000000004</v>
      </c>
      <c r="H6354" s="691">
        <v>4.5999999999999996</v>
      </c>
      <c r="I6354" s="691">
        <v>4.5</v>
      </c>
      <c r="J6354" s="615">
        <v>4</v>
      </c>
      <c r="K6354" s="691">
        <v>4.2</v>
      </c>
    </row>
    <row r="6355" spans="1:11">
      <c r="A6355" s="688" t="s">
        <v>14</v>
      </c>
      <c r="B6355" s="690" t="s">
        <v>4060</v>
      </c>
      <c r="C6355" s="689">
        <v>4.0999999999999996</v>
      </c>
      <c r="D6355" s="689">
        <v>3.8</v>
      </c>
      <c r="E6355" s="689">
        <v>3.8</v>
      </c>
      <c r="F6355" s="689">
        <v>3.9</v>
      </c>
      <c r="G6355" s="689">
        <v>3.9</v>
      </c>
      <c r="H6355" s="693">
        <v>4</v>
      </c>
      <c r="I6355" s="693">
        <v>4</v>
      </c>
      <c r="J6355" s="693">
        <v>4</v>
      </c>
      <c r="K6355" s="689">
        <v>4.0999999999999996</v>
      </c>
    </row>
    <row r="6356" spans="1:11">
      <c r="A6356" s="688" t="s">
        <v>15</v>
      </c>
      <c r="B6356" s="692" t="s">
        <v>4060</v>
      </c>
      <c r="C6356" s="691">
        <v>5.4</v>
      </c>
      <c r="D6356" s="615">
        <v>5</v>
      </c>
      <c r="E6356" s="691">
        <v>5.2</v>
      </c>
      <c r="F6356" s="691">
        <v>5.2</v>
      </c>
      <c r="G6356" s="691">
        <v>5.2</v>
      </c>
      <c r="H6356" s="691">
        <v>5.4</v>
      </c>
      <c r="I6356" s="615">
        <v>5</v>
      </c>
      <c r="J6356" s="691">
        <v>5.3</v>
      </c>
      <c r="K6356" s="691">
        <v>5.3</v>
      </c>
    </row>
    <row r="6357" spans="1:11">
      <c r="A6357" s="688" t="s">
        <v>29</v>
      </c>
      <c r="B6357" s="690" t="s">
        <v>4060</v>
      </c>
      <c r="C6357" s="689">
        <v>4.5</v>
      </c>
      <c r="D6357" s="689">
        <v>4.3</v>
      </c>
      <c r="E6357" s="689">
        <v>4.5</v>
      </c>
      <c r="F6357" s="689">
        <v>4.4000000000000004</v>
      </c>
      <c r="G6357" s="689">
        <v>4.4000000000000004</v>
      </c>
      <c r="H6357" s="689">
        <v>4.5</v>
      </c>
      <c r="I6357" s="689">
        <v>4.3</v>
      </c>
      <c r="J6357" s="689">
        <v>4.3</v>
      </c>
      <c r="K6357" s="689">
        <v>4.3</v>
      </c>
    </row>
    <row r="6358" spans="1:11">
      <c r="A6358" s="688" t="s">
        <v>16</v>
      </c>
      <c r="B6358" s="692" t="s">
        <v>4060</v>
      </c>
      <c r="C6358" s="691">
        <v>5.0999999999999996</v>
      </c>
      <c r="D6358" s="691">
        <v>4.8</v>
      </c>
      <c r="E6358" s="691">
        <v>5.0999999999999996</v>
      </c>
      <c r="F6358" s="691">
        <v>4.9000000000000004</v>
      </c>
      <c r="G6358" s="691">
        <v>5.0999999999999996</v>
      </c>
      <c r="H6358" s="691">
        <v>5.2</v>
      </c>
      <c r="I6358" s="691">
        <v>4.8</v>
      </c>
      <c r="J6358" s="691">
        <v>5.0999999999999996</v>
      </c>
      <c r="K6358" s="615">
        <v>5</v>
      </c>
    </row>
    <row r="6359" spans="1:11">
      <c r="A6359" s="688" t="s">
        <v>17</v>
      </c>
      <c r="B6359" s="690" t="s">
        <v>4060</v>
      </c>
      <c r="C6359" s="693">
        <v>5</v>
      </c>
      <c r="D6359" s="689">
        <v>4.8</v>
      </c>
      <c r="E6359" s="689">
        <v>4.8</v>
      </c>
      <c r="F6359" s="689">
        <v>4.8</v>
      </c>
      <c r="G6359" s="689">
        <v>4.8</v>
      </c>
      <c r="H6359" s="689">
        <v>4.9000000000000004</v>
      </c>
      <c r="I6359" s="689">
        <v>4.5999999999999996</v>
      </c>
      <c r="J6359" s="689">
        <v>4.7</v>
      </c>
      <c r="K6359" s="689">
        <v>4.5999999999999996</v>
      </c>
    </row>
    <row r="6360" spans="1:11">
      <c r="A6360" s="688" t="s">
        <v>19</v>
      </c>
      <c r="B6360" s="692" t="s">
        <v>4060</v>
      </c>
      <c r="C6360" s="615">
        <v>5</v>
      </c>
      <c r="D6360" s="691">
        <v>4.8</v>
      </c>
      <c r="E6360" s="691">
        <v>5.0999999999999996</v>
      </c>
      <c r="F6360" s="691">
        <v>4.9000000000000004</v>
      </c>
      <c r="G6360" s="615">
        <v>5</v>
      </c>
      <c r="H6360" s="615">
        <v>5</v>
      </c>
      <c r="I6360" s="691">
        <v>4.7</v>
      </c>
      <c r="J6360" s="691">
        <v>4.8</v>
      </c>
      <c r="K6360" s="691">
        <v>4.7</v>
      </c>
    </row>
    <row r="6361" spans="1:11">
      <c r="A6361" s="688" t="s">
        <v>20</v>
      </c>
      <c r="B6361" s="690" t="s">
        <v>4060</v>
      </c>
      <c r="C6361" s="693">
        <v>5</v>
      </c>
      <c r="D6361" s="689">
        <v>4.8</v>
      </c>
      <c r="E6361" s="689">
        <v>5.0999999999999996</v>
      </c>
      <c r="F6361" s="693">
        <v>5</v>
      </c>
      <c r="G6361" s="693">
        <v>5</v>
      </c>
      <c r="H6361" s="689">
        <v>5.2</v>
      </c>
      <c r="I6361" s="689">
        <v>4.5999999999999996</v>
      </c>
      <c r="J6361" s="689">
        <v>4.3</v>
      </c>
      <c r="K6361" s="689">
        <v>4.5999999999999996</v>
      </c>
    </row>
    <row r="6362" spans="1:11">
      <c r="A6362" s="688" t="s">
        <v>21</v>
      </c>
      <c r="B6362" s="692" t="s">
        <v>4060</v>
      </c>
      <c r="C6362" s="691">
        <v>5.2</v>
      </c>
      <c r="D6362" s="691">
        <v>5.0999999999999996</v>
      </c>
      <c r="E6362" s="691">
        <v>5.2</v>
      </c>
      <c r="F6362" s="691">
        <v>5.3</v>
      </c>
      <c r="G6362" s="691">
        <v>5.2</v>
      </c>
      <c r="H6362" s="691">
        <v>5.4</v>
      </c>
      <c r="I6362" s="615">
        <v>5</v>
      </c>
      <c r="J6362" s="615">
        <v>5</v>
      </c>
      <c r="K6362" s="615">
        <v>5</v>
      </c>
    </row>
    <row r="6363" spans="1:11">
      <c r="A6363" s="688" t="s">
        <v>22</v>
      </c>
      <c r="B6363" s="690" t="s">
        <v>4060</v>
      </c>
      <c r="C6363" s="689">
        <v>4.4000000000000004</v>
      </c>
      <c r="D6363" s="689">
        <v>4.4000000000000004</v>
      </c>
      <c r="E6363" s="689">
        <v>4.8</v>
      </c>
      <c r="F6363" s="689">
        <v>4.8</v>
      </c>
      <c r="G6363" s="689">
        <v>4.9000000000000004</v>
      </c>
      <c r="H6363" s="689">
        <v>5.2</v>
      </c>
      <c r="I6363" s="689">
        <v>4.9000000000000004</v>
      </c>
      <c r="J6363" s="693">
        <v>4</v>
      </c>
      <c r="K6363" s="693">
        <v>4</v>
      </c>
    </row>
    <row r="6364" spans="1:11">
      <c r="A6364" s="688" t="s">
        <v>26</v>
      </c>
      <c r="B6364" s="692" t="s">
        <v>4060</v>
      </c>
      <c r="C6364" s="691">
        <v>4.9000000000000004</v>
      </c>
      <c r="D6364" s="691">
        <v>4.9000000000000004</v>
      </c>
      <c r="E6364" s="615">
        <v>5</v>
      </c>
      <c r="F6364" s="691">
        <v>4.9000000000000004</v>
      </c>
      <c r="G6364" s="691">
        <v>5.0999999999999996</v>
      </c>
      <c r="H6364" s="691">
        <v>5.0999999999999996</v>
      </c>
      <c r="I6364" s="691">
        <v>4.4000000000000004</v>
      </c>
      <c r="J6364" s="691">
        <v>4.8</v>
      </c>
      <c r="K6364" s="691">
        <v>4.9000000000000004</v>
      </c>
    </row>
    <row r="6365" spans="1:11">
      <c r="A6365" s="688" t="s">
        <v>25</v>
      </c>
      <c r="B6365" s="690" t="s">
        <v>4060</v>
      </c>
      <c r="C6365" s="689">
        <v>4.8</v>
      </c>
      <c r="D6365" s="689">
        <v>4.5999999999999996</v>
      </c>
      <c r="E6365" s="689">
        <v>4.7</v>
      </c>
      <c r="F6365" s="689">
        <v>4.5999999999999996</v>
      </c>
      <c r="G6365" s="689">
        <v>4.9000000000000004</v>
      </c>
      <c r="H6365" s="689">
        <v>5.0999999999999996</v>
      </c>
      <c r="I6365" s="689">
        <v>4.8</v>
      </c>
      <c r="J6365" s="689">
        <v>4.2</v>
      </c>
      <c r="K6365" s="689">
        <v>4.3</v>
      </c>
    </row>
    <row r="6366" spans="1:11">
      <c r="A6366" s="688" t="s">
        <v>5</v>
      </c>
      <c r="B6366" s="692" t="s">
        <v>4060</v>
      </c>
      <c r="C6366" s="691">
        <v>4.9000000000000004</v>
      </c>
      <c r="D6366" s="615">
        <v>5</v>
      </c>
      <c r="E6366" s="691">
        <v>4.9000000000000004</v>
      </c>
      <c r="F6366" s="691">
        <v>5.0999999999999996</v>
      </c>
      <c r="G6366" s="691">
        <v>5.0999999999999996</v>
      </c>
      <c r="H6366" s="691">
        <v>5.2</v>
      </c>
      <c r="I6366" s="691">
        <v>5.2</v>
      </c>
      <c r="J6366" s="691">
        <v>5.0999999999999996</v>
      </c>
      <c r="K6366" s="691">
        <v>4.8</v>
      </c>
    </row>
    <row r="6367" spans="1:11">
      <c r="A6367" s="688" t="s">
        <v>23</v>
      </c>
      <c r="B6367" s="690" t="s">
        <v>4060</v>
      </c>
      <c r="C6367" s="689">
        <v>5.0999999999999996</v>
      </c>
      <c r="D6367" s="693">
        <v>5</v>
      </c>
      <c r="E6367" s="693">
        <v>5</v>
      </c>
      <c r="F6367" s="693">
        <v>5</v>
      </c>
      <c r="G6367" s="693">
        <v>5</v>
      </c>
      <c r="H6367" s="689">
        <v>5.3</v>
      </c>
      <c r="I6367" s="689">
        <v>4.9000000000000004</v>
      </c>
      <c r="J6367" s="689">
        <v>5.3</v>
      </c>
      <c r="K6367" s="689">
        <v>5.0999999999999996</v>
      </c>
    </row>
    <row r="6368" spans="1:11">
      <c r="A6368" s="688" t="s">
        <v>4067</v>
      </c>
      <c r="B6368" s="692" t="s">
        <v>4060</v>
      </c>
      <c r="C6368" s="692" t="s">
        <v>4060</v>
      </c>
      <c r="D6368" s="692" t="s">
        <v>4060</v>
      </c>
      <c r="E6368" s="692" t="s">
        <v>4060</v>
      </c>
      <c r="F6368" s="692" t="s">
        <v>4060</v>
      </c>
      <c r="G6368" s="692" t="s">
        <v>4060</v>
      </c>
      <c r="H6368" s="692" t="s">
        <v>4060</v>
      </c>
      <c r="I6368" s="692" t="s">
        <v>4060</v>
      </c>
      <c r="J6368" s="692" t="s">
        <v>4060</v>
      </c>
      <c r="K6368" s="692" t="s">
        <v>4060</v>
      </c>
    </row>
    <row r="6369" spans="1:11">
      <c r="A6369" s="688" t="s">
        <v>4066</v>
      </c>
      <c r="B6369" s="690" t="s">
        <v>4060</v>
      </c>
      <c r="C6369" s="690" t="s">
        <v>4060</v>
      </c>
      <c r="D6369" s="690" t="s">
        <v>4060</v>
      </c>
      <c r="E6369" s="690" t="s">
        <v>4060</v>
      </c>
      <c r="F6369" s="690" t="s">
        <v>4060</v>
      </c>
      <c r="G6369" s="690" t="s">
        <v>4060</v>
      </c>
      <c r="H6369" s="690" t="s">
        <v>4060</v>
      </c>
      <c r="I6369" s="690" t="s">
        <v>4060</v>
      </c>
      <c r="J6369" s="690" t="s">
        <v>4060</v>
      </c>
      <c r="K6369" s="690" t="s">
        <v>4060</v>
      </c>
    </row>
    <row r="6370" spans="1:11">
      <c r="A6370" s="688" t="s">
        <v>4062</v>
      </c>
      <c r="B6370" s="692" t="s">
        <v>4060</v>
      </c>
      <c r="C6370" s="691">
        <v>5.2</v>
      </c>
      <c r="D6370" s="615">
        <v>5</v>
      </c>
      <c r="E6370" s="691">
        <v>5.2</v>
      </c>
      <c r="F6370" s="691">
        <v>5.2</v>
      </c>
      <c r="G6370" s="691">
        <v>5.3</v>
      </c>
      <c r="H6370" s="691">
        <v>5.3</v>
      </c>
      <c r="I6370" s="615">
        <v>5</v>
      </c>
      <c r="J6370" s="691">
        <v>5.3</v>
      </c>
      <c r="K6370" s="691">
        <v>5.0999999999999996</v>
      </c>
    </row>
    <row r="6371" spans="1:11">
      <c r="A6371" s="688" t="s">
        <v>9</v>
      </c>
      <c r="B6371" s="690" t="s">
        <v>4060</v>
      </c>
      <c r="C6371" s="689">
        <v>5.0999999999999996</v>
      </c>
      <c r="D6371" s="689">
        <v>4.8</v>
      </c>
      <c r="E6371" s="689">
        <v>4.8</v>
      </c>
      <c r="F6371" s="689">
        <v>5.0999999999999996</v>
      </c>
      <c r="G6371" s="689">
        <v>5.3</v>
      </c>
      <c r="H6371" s="689">
        <v>5.2</v>
      </c>
      <c r="I6371" s="689">
        <v>5.2</v>
      </c>
      <c r="J6371" s="689">
        <v>5.2</v>
      </c>
      <c r="K6371" s="689">
        <v>4.8</v>
      </c>
    </row>
    <row r="6372" spans="1:11">
      <c r="A6372" s="688" t="s">
        <v>13</v>
      </c>
      <c r="B6372" s="692" t="s">
        <v>4060</v>
      </c>
      <c r="C6372" s="691">
        <v>4.3</v>
      </c>
      <c r="D6372" s="691">
        <v>4.9000000000000004</v>
      </c>
      <c r="E6372" s="691">
        <v>4.9000000000000004</v>
      </c>
      <c r="F6372" s="691">
        <v>5.9</v>
      </c>
      <c r="G6372" s="691">
        <v>4.8</v>
      </c>
      <c r="H6372" s="615">
        <v>5</v>
      </c>
      <c r="I6372" s="691">
        <v>4.5</v>
      </c>
      <c r="J6372" s="691">
        <v>5.2</v>
      </c>
      <c r="K6372" s="691">
        <v>4.9000000000000004</v>
      </c>
    </row>
    <row r="6373" spans="1:11">
      <c r="A6373" s="688" t="s">
        <v>18</v>
      </c>
      <c r="B6373" s="690" t="s">
        <v>4060</v>
      </c>
      <c r="C6373" s="689">
        <v>5.0999999999999996</v>
      </c>
      <c r="D6373" s="689">
        <v>5.0999999999999996</v>
      </c>
      <c r="E6373" s="689">
        <v>5.0999999999999996</v>
      </c>
      <c r="F6373" s="689">
        <v>5.0999999999999996</v>
      </c>
      <c r="G6373" s="689">
        <v>5.0999999999999996</v>
      </c>
      <c r="H6373" s="689">
        <v>5.2</v>
      </c>
      <c r="I6373" s="689">
        <v>5.3</v>
      </c>
      <c r="J6373" s="689">
        <v>5.2</v>
      </c>
      <c r="K6373" s="689">
        <v>4.9000000000000004</v>
      </c>
    </row>
    <row r="6374" spans="1:11">
      <c r="A6374" s="688" t="s">
        <v>24</v>
      </c>
      <c r="B6374" s="692" t="s">
        <v>4060</v>
      </c>
      <c r="C6374" s="691">
        <v>5.2</v>
      </c>
      <c r="D6374" s="615">
        <v>5</v>
      </c>
      <c r="E6374" s="691">
        <v>5.3</v>
      </c>
      <c r="F6374" s="691">
        <v>5.3</v>
      </c>
      <c r="G6374" s="691">
        <v>5.4</v>
      </c>
      <c r="H6374" s="691">
        <v>5.4</v>
      </c>
      <c r="I6374" s="691">
        <v>4.9000000000000004</v>
      </c>
      <c r="J6374" s="691">
        <v>5.4</v>
      </c>
      <c r="K6374" s="691">
        <v>5.2</v>
      </c>
    </row>
    <row r="6375" spans="1:11">
      <c r="A6375" s="688" t="s">
        <v>4059</v>
      </c>
      <c r="B6375" s="690" t="s">
        <v>4060</v>
      </c>
      <c r="C6375" s="690" t="s">
        <v>4060</v>
      </c>
      <c r="D6375" s="690" t="s">
        <v>4060</v>
      </c>
      <c r="E6375" s="690" t="s">
        <v>4060</v>
      </c>
      <c r="F6375" s="690" t="s">
        <v>4060</v>
      </c>
      <c r="G6375" s="690" t="s">
        <v>4060</v>
      </c>
      <c r="H6375" s="690" t="s">
        <v>4060</v>
      </c>
      <c r="I6375" s="690" t="s">
        <v>4060</v>
      </c>
      <c r="J6375" s="690" t="s">
        <v>4060</v>
      </c>
      <c r="K6375" s="690" t="s">
        <v>4060</v>
      </c>
    </row>
    <row r="6376" spans="1:11">
      <c r="A6376" s="688" t="s">
        <v>2324</v>
      </c>
      <c r="B6376" s="692" t="s">
        <v>4060</v>
      </c>
      <c r="C6376" s="692" t="s">
        <v>4060</v>
      </c>
      <c r="D6376" s="692" t="s">
        <v>4060</v>
      </c>
      <c r="E6376" s="692" t="s">
        <v>4060</v>
      </c>
      <c r="F6376" s="692" t="s">
        <v>4060</v>
      </c>
      <c r="G6376" s="692" t="s">
        <v>4060</v>
      </c>
      <c r="H6376" s="692" t="s">
        <v>4060</v>
      </c>
      <c r="I6376" s="692" t="s">
        <v>4060</v>
      </c>
      <c r="J6376" s="692" t="s">
        <v>4060</v>
      </c>
      <c r="K6376" s="692" t="s">
        <v>4060</v>
      </c>
    </row>
    <row r="6377" spans="1:11">
      <c r="A6377" s="688" t="s">
        <v>2322</v>
      </c>
      <c r="B6377" s="690" t="s">
        <v>4060</v>
      </c>
      <c r="C6377" s="690" t="s">
        <v>4060</v>
      </c>
      <c r="D6377" s="690" t="s">
        <v>4060</v>
      </c>
      <c r="E6377" s="690" t="s">
        <v>4060</v>
      </c>
      <c r="F6377" s="690" t="s">
        <v>4060</v>
      </c>
      <c r="G6377" s="690" t="s">
        <v>4060</v>
      </c>
      <c r="H6377" s="690" t="s">
        <v>4060</v>
      </c>
      <c r="I6377" s="690" t="s">
        <v>4060</v>
      </c>
      <c r="J6377" s="690" t="s">
        <v>4060</v>
      </c>
      <c r="K6377" s="690" t="s">
        <v>4060</v>
      </c>
    </row>
    <row r="6378" spans="1:11">
      <c r="A6378" s="688" t="s">
        <v>2328</v>
      </c>
      <c r="B6378" s="692" t="s">
        <v>4060</v>
      </c>
      <c r="C6378" s="692" t="s">
        <v>4060</v>
      </c>
      <c r="D6378" s="692" t="s">
        <v>4060</v>
      </c>
      <c r="E6378" s="692" t="s">
        <v>4060</v>
      </c>
      <c r="F6378" s="692" t="s">
        <v>4060</v>
      </c>
      <c r="G6378" s="692" t="s">
        <v>4060</v>
      </c>
      <c r="H6378" s="692" t="s">
        <v>4060</v>
      </c>
      <c r="I6378" s="692" t="s">
        <v>4060</v>
      </c>
      <c r="J6378" s="692" t="s">
        <v>4060</v>
      </c>
      <c r="K6378" s="692" t="s">
        <v>4060</v>
      </c>
    </row>
    <row r="6379" spans="1:11">
      <c r="A6379" s="688" t="s">
        <v>2496</v>
      </c>
      <c r="B6379" s="690" t="s">
        <v>4060</v>
      </c>
      <c r="C6379" s="690" t="s">
        <v>4060</v>
      </c>
      <c r="D6379" s="690" t="s">
        <v>4060</v>
      </c>
      <c r="E6379" s="690" t="s">
        <v>4060</v>
      </c>
      <c r="F6379" s="690" t="s">
        <v>4060</v>
      </c>
      <c r="G6379" s="690" t="s">
        <v>4060</v>
      </c>
      <c r="H6379" s="690" t="s">
        <v>4060</v>
      </c>
      <c r="I6379" s="690" t="s">
        <v>4060</v>
      </c>
      <c r="J6379" s="690" t="s">
        <v>4060</v>
      </c>
      <c r="K6379" s="690" t="s">
        <v>4060</v>
      </c>
    </row>
    <row r="6380" spans="1:11">
      <c r="A6380" s="688" t="s">
        <v>2269</v>
      </c>
      <c r="B6380" s="692" t="s">
        <v>4060</v>
      </c>
      <c r="C6380" s="692" t="s">
        <v>4060</v>
      </c>
      <c r="D6380" s="692" t="s">
        <v>4060</v>
      </c>
      <c r="E6380" s="692" t="s">
        <v>4060</v>
      </c>
      <c r="F6380" s="692" t="s">
        <v>4060</v>
      </c>
      <c r="G6380" s="692" t="s">
        <v>4060</v>
      </c>
      <c r="H6380" s="692" t="s">
        <v>4060</v>
      </c>
      <c r="I6380" s="692" t="s">
        <v>4060</v>
      </c>
      <c r="J6380" s="692" t="s">
        <v>4060</v>
      </c>
      <c r="K6380" s="692" t="s">
        <v>4060</v>
      </c>
    </row>
    <row r="6381" spans="1:11">
      <c r="A6381" s="688" t="s">
        <v>2349</v>
      </c>
      <c r="B6381" s="690" t="s">
        <v>4060</v>
      </c>
      <c r="C6381" s="690" t="s">
        <v>4060</v>
      </c>
      <c r="D6381" s="690" t="s">
        <v>4060</v>
      </c>
      <c r="E6381" s="690" t="s">
        <v>4060</v>
      </c>
      <c r="F6381" s="690" t="s">
        <v>4060</v>
      </c>
      <c r="G6381" s="690" t="s">
        <v>4060</v>
      </c>
      <c r="H6381" s="690" t="s">
        <v>4060</v>
      </c>
      <c r="I6381" s="690" t="s">
        <v>4060</v>
      </c>
      <c r="J6381" s="690" t="s">
        <v>4060</v>
      </c>
      <c r="K6381" s="690" t="s">
        <v>4060</v>
      </c>
    </row>
    <row r="6382" spans="1:11">
      <c r="A6382" s="688" t="s">
        <v>2355</v>
      </c>
      <c r="B6382" s="692" t="s">
        <v>4060</v>
      </c>
      <c r="C6382" s="692" t="s">
        <v>4060</v>
      </c>
      <c r="D6382" s="692" t="s">
        <v>4060</v>
      </c>
      <c r="E6382" s="692" t="s">
        <v>4060</v>
      </c>
      <c r="F6382" s="692" t="s">
        <v>4060</v>
      </c>
      <c r="G6382" s="692" t="s">
        <v>4060</v>
      </c>
      <c r="H6382" s="692" t="s">
        <v>4060</v>
      </c>
      <c r="I6382" s="692" t="s">
        <v>4060</v>
      </c>
      <c r="J6382" s="692" t="s">
        <v>4060</v>
      </c>
      <c r="K6382" s="692" t="s">
        <v>4060</v>
      </c>
    </row>
    <row r="6383" spans="1:11">
      <c r="A6383" s="688" t="s">
        <v>2357</v>
      </c>
      <c r="B6383" s="690" t="s">
        <v>4060</v>
      </c>
      <c r="C6383" s="690" t="s">
        <v>4060</v>
      </c>
      <c r="D6383" s="690" t="s">
        <v>4060</v>
      </c>
      <c r="E6383" s="690" t="s">
        <v>4060</v>
      </c>
      <c r="F6383" s="690" t="s">
        <v>4060</v>
      </c>
      <c r="G6383" s="690" t="s">
        <v>4060</v>
      </c>
      <c r="H6383" s="690" t="s">
        <v>4060</v>
      </c>
      <c r="I6383" s="690" t="s">
        <v>4060</v>
      </c>
      <c r="J6383" s="690" t="s">
        <v>4060</v>
      </c>
      <c r="K6383" s="690" t="s">
        <v>4060</v>
      </c>
    </row>
    <row r="6384" spans="1:11">
      <c r="A6384" s="688" t="s">
        <v>4070</v>
      </c>
      <c r="B6384" s="692" t="s">
        <v>4060</v>
      </c>
      <c r="C6384" s="692" t="s">
        <v>4060</v>
      </c>
      <c r="D6384" s="692" t="s">
        <v>4060</v>
      </c>
      <c r="E6384" s="692" t="s">
        <v>4060</v>
      </c>
      <c r="F6384" s="692" t="s">
        <v>4060</v>
      </c>
      <c r="G6384" s="692" t="s">
        <v>4060</v>
      </c>
      <c r="H6384" s="692" t="s">
        <v>4060</v>
      </c>
      <c r="I6384" s="692" t="s">
        <v>4060</v>
      </c>
      <c r="J6384" s="692" t="s">
        <v>4060</v>
      </c>
      <c r="K6384" s="692" t="s">
        <v>4060</v>
      </c>
    </row>
    <row r="6385" spans="1:11">
      <c r="A6385" s="688" t="s">
        <v>2491</v>
      </c>
      <c r="B6385" s="690" t="s">
        <v>4060</v>
      </c>
      <c r="C6385" s="690" t="s">
        <v>4060</v>
      </c>
      <c r="D6385" s="690" t="s">
        <v>4060</v>
      </c>
      <c r="E6385" s="690" t="s">
        <v>4060</v>
      </c>
      <c r="F6385" s="690" t="s">
        <v>4060</v>
      </c>
      <c r="G6385" s="690" t="s">
        <v>4060</v>
      </c>
      <c r="H6385" s="690" t="s">
        <v>4060</v>
      </c>
      <c r="I6385" s="690" t="s">
        <v>4060</v>
      </c>
      <c r="J6385" s="690" t="s">
        <v>4060</v>
      </c>
      <c r="K6385" s="690" t="s">
        <v>4060</v>
      </c>
    </row>
    <row r="6386" spans="1:11">
      <c r="A6386" s="688" t="s">
        <v>2343</v>
      </c>
      <c r="B6386" s="692" t="s">
        <v>4060</v>
      </c>
      <c r="C6386" s="692" t="s">
        <v>4060</v>
      </c>
      <c r="D6386" s="692" t="s">
        <v>4060</v>
      </c>
      <c r="E6386" s="692" t="s">
        <v>4060</v>
      </c>
      <c r="F6386" s="692" t="s">
        <v>4060</v>
      </c>
      <c r="G6386" s="692" t="s">
        <v>4060</v>
      </c>
      <c r="H6386" s="692" t="s">
        <v>4060</v>
      </c>
      <c r="I6386" s="692" t="s">
        <v>4060</v>
      </c>
      <c r="J6386" s="692" t="s">
        <v>4060</v>
      </c>
      <c r="K6386" s="692" t="s">
        <v>4060</v>
      </c>
    </row>
    <row r="6387" spans="1:11">
      <c r="A6387" s="688" t="s">
        <v>4071</v>
      </c>
      <c r="B6387" s="690" t="s">
        <v>4060</v>
      </c>
      <c r="C6387" s="690" t="s">
        <v>4060</v>
      </c>
      <c r="D6387" s="690" t="s">
        <v>4060</v>
      </c>
      <c r="E6387" s="690" t="s">
        <v>4060</v>
      </c>
      <c r="F6387" s="690" t="s">
        <v>4060</v>
      </c>
      <c r="G6387" s="690" t="s">
        <v>4060</v>
      </c>
      <c r="H6387" s="690" t="s">
        <v>4060</v>
      </c>
      <c r="I6387" s="690" t="s">
        <v>4060</v>
      </c>
      <c r="J6387" s="690" t="s">
        <v>4060</v>
      </c>
      <c r="K6387" s="690" t="s">
        <v>4060</v>
      </c>
    </row>
    <row r="6388" spans="1:11">
      <c r="A6388" s="688" t="s">
        <v>2489</v>
      </c>
      <c r="B6388" s="692" t="s">
        <v>4060</v>
      </c>
      <c r="C6388" s="692" t="s">
        <v>4060</v>
      </c>
      <c r="D6388" s="692" t="s">
        <v>4060</v>
      </c>
      <c r="E6388" s="692" t="s">
        <v>4060</v>
      </c>
      <c r="F6388" s="692" t="s">
        <v>4060</v>
      </c>
      <c r="G6388" s="692" t="s">
        <v>4060</v>
      </c>
      <c r="H6388" s="692" t="s">
        <v>4060</v>
      </c>
      <c r="I6388" s="692" t="s">
        <v>4060</v>
      </c>
      <c r="J6388" s="692" t="s">
        <v>4060</v>
      </c>
      <c r="K6388" s="692" t="s">
        <v>4060</v>
      </c>
    </row>
    <row r="6389" spans="1:11">
      <c r="A6389" s="688" t="s">
        <v>2490</v>
      </c>
      <c r="B6389" s="690" t="s">
        <v>4060</v>
      </c>
      <c r="C6389" s="690" t="s">
        <v>4060</v>
      </c>
      <c r="D6389" s="690" t="s">
        <v>4060</v>
      </c>
      <c r="E6389" s="690" t="s">
        <v>4060</v>
      </c>
      <c r="F6389" s="690" t="s">
        <v>4060</v>
      </c>
      <c r="G6389" s="690" t="s">
        <v>4060</v>
      </c>
      <c r="H6389" s="690" t="s">
        <v>4060</v>
      </c>
      <c r="I6389" s="690" t="s">
        <v>4060</v>
      </c>
      <c r="J6389" s="690" t="s">
        <v>4060</v>
      </c>
      <c r="K6389" s="690" t="s">
        <v>4060</v>
      </c>
    </row>
    <row r="6391" spans="1:11">
      <c r="A6391" s="683" t="s">
        <v>4233</v>
      </c>
    </row>
    <row r="6392" spans="1:11">
      <c r="A6392" s="683" t="s">
        <v>4060</v>
      </c>
      <c r="B6392" s="682" t="s">
        <v>4234</v>
      </c>
    </row>
    <row r="6394" spans="1:11">
      <c r="A6394" s="682" t="s">
        <v>4248</v>
      </c>
    </row>
    <row r="6395" spans="1:11">
      <c r="A6395" s="682" t="s">
        <v>4210</v>
      </c>
      <c r="B6395" s="683" t="s">
        <v>4211</v>
      </c>
    </row>
    <row r="6396" spans="1:11">
      <c r="A6396" s="682" t="s">
        <v>4212</v>
      </c>
      <c r="B6396" s="682" t="s">
        <v>4213</v>
      </c>
    </row>
    <row r="6398" spans="1:11">
      <c r="A6398" s="683" t="s">
        <v>4214</v>
      </c>
      <c r="C6398" s="682" t="s">
        <v>4215</v>
      </c>
    </row>
    <row r="6399" spans="1:11">
      <c r="A6399" s="683" t="s">
        <v>4216</v>
      </c>
      <c r="C6399" s="682" t="s">
        <v>2967</v>
      </c>
    </row>
    <row r="6400" spans="1:11">
      <c r="A6400" s="683" t="s">
        <v>3893</v>
      </c>
      <c r="C6400" s="682" t="s">
        <v>4217</v>
      </c>
    </row>
    <row r="6401" spans="1:11">
      <c r="A6401" s="683" t="s">
        <v>4218</v>
      </c>
      <c r="C6401" s="682" t="s">
        <v>4324</v>
      </c>
    </row>
    <row r="6403" spans="1:11">
      <c r="A6403" s="684" t="s">
        <v>4220</v>
      </c>
      <c r="B6403" s="685" t="s">
        <v>4221</v>
      </c>
      <c r="C6403" s="685" t="s">
        <v>4222</v>
      </c>
      <c r="D6403" s="685" t="s">
        <v>4223</v>
      </c>
      <c r="E6403" s="685" t="s">
        <v>4224</v>
      </c>
      <c r="F6403" s="685" t="s">
        <v>4225</v>
      </c>
      <c r="G6403" s="685" t="s">
        <v>4226</v>
      </c>
      <c r="H6403" s="685" t="s">
        <v>4227</v>
      </c>
      <c r="I6403" s="685" t="s">
        <v>4228</v>
      </c>
      <c r="J6403" s="685" t="s">
        <v>4229</v>
      </c>
      <c r="K6403" s="685" t="s">
        <v>4230</v>
      </c>
    </row>
    <row r="6404" spans="1:11">
      <c r="A6404" s="686" t="s">
        <v>4231</v>
      </c>
      <c r="B6404" s="687" t="s">
        <v>4232</v>
      </c>
      <c r="C6404" s="687" t="s">
        <v>4232</v>
      </c>
      <c r="D6404" s="687" t="s">
        <v>4232</v>
      </c>
      <c r="E6404" s="687" t="s">
        <v>4232</v>
      </c>
      <c r="F6404" s="687" t="s">
        <v>4232</v>
      </c>
      <c r="G6404" s="687" t="s">
        <v>4232</v>
      </c>
      <c r="H6404" s="687" t="s">
        <v>4232</v>
      </c>
      <c r="I6404" s="687" t="s">
        <v>4232</v>
      </c>
      <c r="J6404" s="687" t="s">
        <v>4232</v>
      </c>
      <c r="K6404" s="687" t="s">
        <v>4232</v>
      </c>
    </row>
    <row r="6405" spans="1:11">
      <c r="A6405" s="688" t="s">
        <v>4064</v>
      </c>
      <c r="B6405" s="690" t="s">
        <v>4060</v>
      </c>
      <c r="C6405" s="689">
        <v>4.8</v>
      </c>
      <c r="D6405" s="690" t="s">
        <v>4060</v>
      </c>
      <c r="E6405" s="689">
        <v>4.8</v>
      </c>
      <c r="F6405" s="689">
        <v>4.7</v>
      </c>
      <c r="G6405" s="689">
        <v>4.8</v>
      </c>
      <c r="H6405" s="689">
        <v>4.9000000000000004</v>
      </c>
      <c r="I6405" s="689">
        <v>4.5</v>
      </c>
      <c r="J6405" s="689">
        <v>4.5999999999999996</v>
      </c>
      <c r="K6405" s="689">
        <v>4.5</v>
      </c>
    </row>
    <row r="6406" spans="1:11">
      <c r="A6406" s="688" t="s">
        <v>4065</v>
      </c>
      <c r="B6406" s="692" t="s">
        <v>4060</v>
      </c>
      <c r="C6406" s="692" t="s">
        <v>4060</v>
      </c>
      <c r="D6406" s="692" t="s">
        <v>4060</v>
      </c>
      <c r="E6406" s="692" t="s">
        <v>4060</v>
      </c>
      <c r="F6406" s="692" t="s">
        <v>4060</v>
      </c>
      <c r="G6406" s="692" t="s">
        <v>4060</v>
      </c>
      <c r="H6406" s="692" t="s">
        <v>4060</v>
      </c>
      <c r="I6406" s="692" t="s">
        <v>4060</v>
      </c>
      <c r="J6406" s="692" t="s">
        <v>4060</v>
      </c>
      <c r="K6406" s="692" t="s">
        <v>4060</v>
      </c>
    </row>
    <row r="6407" spans="1:11">
      <c r="A6407" s="688" t="s">
        <v>4063</v>
      </c>
      <c r="B6407" s="690" t="s">
        <v>4060</v>
      </c>
      <c r="C6407" s="690" t="s">
        <v>4060</v>
      </c>
      <c r="D6407" s="690" t="s">
        <v>4060</v>
      </c>
      <c r="E6407" s="690" t="s">
        <v>4060</v>
      </c>
      <c r="F6407" s="690" t="s">
        <v>4060</v>
      </c>
      <c r="G6407" s="690" t="s">
        <v>4060</v>
      </c>
      <c r="H6407" s="690" t="s">
        <v>4060</v>
      </c>
      <c r="I6407" s="690" t="s">
        <v>4060</v>
      </c>
      <c r="J6407" s="690" t="s">
        <v>4060</v>
      </c>
      <c r="K6407" s="690" t="s">
        <v>4060</v>
      </c>
    </row>
    <row r="6408" spans="1:11">
      <c r="A6408" s="688" t="s">
        <v>4069</v>
      </c>
      <c r="B6408" s="692" t="s">
        <v>4060</v>
      </c>
      <c r="C6408" s="691">
        <v>4.9000000000000004</v>
      </c>
      <c r="D6408" s="691">
        <v>4.7</v>
      </c>
      <c r="E6408" s="691">
        <v>4.9000000000000004</v>
      </c>
      <c r="F6408" s="691">
        <v>4.8</v>
      </c>
      <c r="G6408" s="691">
        <v>4.8</v>
      </c>
      <c r="H6408" s="691">
        <v>4.9000000000000004</v>
      </c>
      <c r="I6408" s="691">
        <v>4.5999999999999996</v>
      </c>
      <c r="J6408" s="691">
        <v>4.8</v>
      </c>
      <c r="K6408" s="691">
        <v>4.5999999999999996</v>
      </c>
    </row>
    <row r="6409" spans="1:11">
      <c r="A6409" s="688" t="s">
        <v>4068</v>
      </c>
      <c r="B6409" s="690" t="s">
        <v>4060</v>
      </c>
      <c r="C6409" s="690" t="s">
        <v>4060</v>
      </c>
      <c r="D6409" s="690" t="s">
        <v>4060</v>
      </c>
      <c r="E6409" s="690" t="s">
        <v>4060</v>
      </c>
      <c r="F6409" s="690" t="s">
        <v>4060</v>
      </c>
      <c r="G6409" s="690" t="s">
        <v>4060</v>
      </c>
      <c r="H6409" s="690" t="s">
        <v>4060</v>
      </c>
      <c r="I6409" s="690" t="s">
        <v>4060</v>
      </c>
      <c r="J6409" s="690" t="s">
        <v>4060</v>
      </c>
      <c r="K6409" s="690" t="s">
        <v>4060</v>
      </c>
    </row>
    <row r="6410" spans="1:11">
      <c r="A6410" s="688" t="s">
        <v>0</v>
      </c>
      <c r="B6410" s="692" t="s">
        <v>4060</v>
      </c>
      <c r="C6410" s="691">
        <v>4.7</v>
      </c>
      <c r="D6410" s="691">
        <v>4.5999999999999996</v>
      </c>
      <c r="E6410" s="691">
        <v>4.8</v>
      </c>
      <c r="F6410" s="691">
        <v>4.7</v>
      </c>
      <c r="G6410" s="691">
        <v>4.7</v>
      </c>
      <c r="H6410" s="691">
        <v>4.9000000000000004</v>
      </c>
      <c r="I6410" s="691">
        <v>4.3</v>
      </c>
      <c r="J6410" s="615">
        <v>5</v>
      </c>
      <c r="K6410" s="691">
        <v>4.7</v>
      </c>
    </row>
    <row r="6411" spans="1:11">
      <c r="A6411" s="688" t="s">
        <v>1</v>
      </c>
      <c r="B6411" s="690" t="s">
        <v>4060</v>
      </c>
      <c r="C6411" s="689">
        <v>3.6</v>
      </c>
      <c r="D6411" s="689">
        <v>3.4</v>
      </c>
      <c r="E6411" s="689">
        <v>3.5</v>
      </c>
      <c r="F6411" s="689">
        <v>3.5</v>
      </c>
      <c r="G6411" s="689">
        <v>3.5</v>
      </c>
      <c r="H6411" s="689">
        <v>3.5</v>
      </c>
      <c r="I6411" s="689">
        <v>3.3</v>
      </c>
      <c r="J6411" s="689">
        <v>3.1</v>
      </c>
      <c r="K6411" s="689">
        <v>3.4</v>
      </c>
    </row>
    <row r="6412" spans="1:11">
      <c r="A6412" s="688" t="s">
        <v>2240</v>
      </c>
      <c r="B6412" s="692" t="s">
        <v>4060</v>
      </c>
      <c r="C6412" s="691">
        <v>4.0999999999999996</v>
      </c>
      <c r="D6412" s="691">
        <v>3.9</v>
      </c>
      <c r="E6412" s="691">
        <v>4.2</v>
      </c>
      <c r="F6412" s="691">
        <v>4.0999999999999996</v>
      </c>
      <c r="G6412" s="691">
        <v>4.0999999999999996</v>
      </c>
      <c r="H6412" s="691">
        <v>4.2</v>
      </c>
      <c r="I6412" s="691">
        <v>3.7</v>
      </c>
      <c r="J6412" s="691">
        <v>3.8</v>
      </c>
      <c r="K6412" s="691">
        <v>3.9</v>
      </c>
    </row>
    <row r="6413" spans="1:11">
      <c r="A6413" s="688" t="s">
        <v>2</v>
      </c>
      <c r="B6413" s="690" t="s">
        <v>4060</v>
      </c>
      <c r="C6413" s="689">
        <v>4.8</v>
      </c>
      <c r="D6413" s="689">
        <v>4.5999999999999996</v>
      </c>
      <c r="E6413" s="689">
        <v>4.7</v>
      </c>
      <c r="F6413" s="689">
        <v>4.5999999999999996</v>
      </c>
      <c r="G6413" s="689">
        <v>4.5</v>
      </c>
      <c r="H6413" s="689">
        <v>4.7</v>
      </c>
      <c r="I6413" s="689">
        <v>4.7</v>
      </c>
      <c r="J6413" s="689">
        <v>4.5</v>
      </c>
      <c r="K6413" s="689">
        <v>4.4000000000000004</v>
      </c>
    </row>
    <row r="6414" spans="1:11">
      <c r="A6414" s="688" t="s">
        <v>3</v>
      </c>
      <c r="B6414" s="692" t="s">
        <v>4060</v>
      </c>
      <c r="C6414" s="691">
        <v>4.5999999999999996</v>
      </c>
      <c r="D6414" s="691">
        <v>4.4000000000000004</v>
      </c>
      <c r="E6414" s="691">
        <v>4.5999999999999996</v>
      </c>
      <c r="F6414" s="691">
        <v>4.5</v>
      </c>
      <c r="G6414" s="691">
        <v>4.5</v>
      </c>
      <c r="H6414" s="691">
        <v>4.5999999999999996</v>
      </c>
      <c r="I6414" s="691">
        <v>4.4000000000000004</v>
      </c>
      <c r="J6414" s="691">
        <v>4.4000000000000004</v>
      </c>
      <c r="K6414" s="691">
        <v>4.2</v>
      </c>
    </row>
    <row r="6415" spans="1:11">
      <c r="A6415" s="688" t="s">
        <v>4061</v>
      </c>
      <c r="B6415" s="690" t="s">
        <v>4060</v>
      </c>
      <c r="C6415" s="689">
        <v>4.5999999999999996</v>
      </c>
      <c r="D6415" s="689">
        <v>4.4000000000000004</v>
      </c>
      <c r="E6415" s="689">
        <v>4.5999999999999996</v>
      </c>
      <c r="F6415" s="689">
        <v>4.5</v>
      </c>
      <c r="G6415" s="689">
        <v>4.5</v>
      </c>
      <c r="H6415" s="689">
        <v>4.5999999999999996</v>
      </c>
      <c r="I6415" s="689">
        <v>4.4000000000000004</v>
      </c>
      <c r="J6415" s="689">
        <v>4.4000000000000004</v>
      </c>
      <c r="K6415" s="689">
        <v>4.2</v>
      </c>
    </row>
    <row r="6416" spans="1:11">
      <c r="A6416" s="688" t="s">
        <v>4</v>
      </c>
      <c r="B6416" s="692" t="s">
        <v>4060</v>
      </c>
      <c r="C6416" s="691">
        <v>4.5</v>
      </c>
      <c r="D6416" s="691">
        <v>4.5</v>
      </c>
      <c r="E6416" s="691">
        <v>4.5999999999999996</v>
      </c>
      <c r="F6416" s="691">
        <v>4.5999999999999996</v>
      </c>
      <c r="G6416" s="691">
        <v>4.5</v>
      </c>
      <c r="H6416" s="691">
        <v>4.8</v>
      </c>
      <c r="I6416" s="691">
        <v>4.7</v>
      </c>
      <c r="J6416" s="691">
        <v>4.2</v>
      </c>
      <c r="K6416" s="691">
        <v>4.3</v>
      </c>
    </row>
    <row r="6417" spans="1:11">
      <c r="A6417" s="688" t="s">
        <v>8</v>
      </c>
      <c r="B6417" s="690" t="s">
        <v>4060</v>
      </c>
      <c r="C6417" s="689">
        <v>4.5999999999999996</v>
      </c>
      <c r="D6417" s="689">
        <v>4.4000000000000004</v>
      </c>
      <c r="E6417" s="689">
        <v>4.5</v>
      </c>
      <c r="F6417" s="689">
        <v>4.7</v>
      </c>
      <c r="G6417" s="689">
        <v>4.7</v>
      </c>
      <c r="H6417" s="689">
        <v>4.7</v>
      </c>
      <c r="I6417" s="689">
        <v>4.8</v>
      </c>
      <c r="J6417" s="689">
        <v>4.7</v>
      </c>
      <c r="K6417" s="689">
        <v>4.8</v>
      </c>
    </row>
    <row r="6418" spans="1:11">
      <c r="A6418" s="688" t="s">
        <v>7</v>
      </c>
      <c r="B6418" s="692" t="s">
        <v>4060</v>
      </c>
      <c r="C6418" s="615">
        <v>4</v>
      </c>
      <c r="D6418" s="691">
        <v>3.9</v>
      </c>
      <c r="E6418" s="691">
        <v>4.2</v>
      </c>
      <c r="F6418" s="691">
        <v>4.2</v>
      </c>
      <c r="G6418" s="691">
        <v>4.5</v>
      </c>
      <c r="H6418" s="691">
        <v>4.5</v>
      </c>
      <c r="I6418" s="691">
        <v>4.5</v>
      </c>
      <c r="J6418" s="691">
        <v>4.3</v>
      </c>
      <c r="K6418" s="691">
        <v>4.3</v>
      </c>
    </row>
    <row r="6419" spans="1:11">
      <c r="A6419" s="688" t="s">
        <v>27</v>
      </c>
      <c r="B6419" s="690" t="s">
        <v>4060</v>
      </c>
      <c r="C6419" s="689">
        <v>5.2</v>
      </c>
      <c r="D6419" s="689">
        <v>4.9000000000000004</v>
      </c>
      <c r="E6419" s="689">
        <v>5.0999999999999996</v>
      </c>
      <c r="F6419" s="693">
        <v>5</v>
      </c>
      <c r="G6419" s="689">
        <v>5.0999999999999996</v>
      </c>
      <c r="H6419" s="689">
        <v>5.3</v>
      </c>
      <c r="I6419" s="689">
        <v>4.7</v>
      </c>
      <c r="J6419" s="689">
        <v>5.2</v>
      </c>
      <c r="K6419" s="689">
        <v>4.9000000000000004</v>
      </c>
    </row>
    <row r="6420" spans="1:11">
      <c r="A6420" s="688" t="s">
        <v>6</v>
      </c>
      <c r="B6420" s="692" t="s">
        <v>4060</v>
      </c>
      <c r="C6420" s="691">
        <v>5.4</v>
      </c>
      <c r="D6420" s="691">
        <v>5.0999999999999996</v>
      </c>
      <c r="E6420" s="691">
        <v>5.3</v>
      </c>
      <c r="F6420" s="691">
        <v>5.3</v>
      </c>
      <c r="G6420" s="691">
        <v>5.4</v>
      </c>
      <c r="H6420" s="691">
        <v>5.4</v>
      </c>
      <c r="I6420" s="691">
        <v>5.0999999999999996</v>
      </c>
      <c r="J6420" s="691">
        <v>5.3</v>
      </c>
      <c r="K6420" s="691">
        <v>5.0999999999999996</v>
      </c>
    </row>
    <row r="6421" spans="1:11">
      <c r="A6421" s="688" t="s">
        <v>4058</v>
      </c>
      <c r="B6421" s="690" t="s">
        <v>4060</v>
      </c>
      <c r="C6421" s="690" t="s">
        <v>4060</v>
      </c>
      <c r="D6421" s="690" t="s">
        <v>4060</v>
      </c>
      <c r="E6421" s="690" t="s">
        <v>4060</v>
      </c>
      <c r="F6421" s="690" t="s">
        <v>4060</v>
      </c>
      <c r="G6421" s="690" t="s">
        <v>4060</v>
      </c>
      <c r="H6421" s="690" t="s">
        <v>4060</v>
      </c>
      <c r="I6421" s="690" t="s">
        <v>4060</v>
      </c>
      <c r="J6421" s="690" t="s">
        <v>4060</v>
      </c>
      <c r="K6421" s="690" t="s">
        <v>4060</v>
      </c>
    </row>
    <row r="6422" spans="1:11">
      <c r="A6422" s="688" t="s">
        <v>11</v>
      </c>
      <c r="B6422" s="692" t="s">
        <v>4060</v>
      </c>
      <c r="C6422" s="691">
        <v>3.9</v>
      </c>
      <c r="D6422" s="691">
        <v>3.6</v>
      </c>
      <c r="E6422" s="691">
        <v>3.9</v>
      </c>
      <c r="F6422" s="691">
        <v>3.7</v>
      </c>
      <c r="G6422" s="691">
        <v>3.8</v>
      </c>
      <c r="H6422" s="691">
        <v>3.9</v>
      </c>
      <c r="I6422" s="691">
        <v>3.6</v>
      </c>
      <c r="J6422" s="691">
        <v>3.4</v>
      </c>
      <c r="K6422" s="691">
        <v>3.4</v>
      </c>
    </row>
    <row r="6423" spans="1:11">
      <c r="A6423" s="688" t="s">
        <v>10</v>
      </c>
      <c r="B6423" s="690" t="s">
        <v>4060</v>
      </c>
      <c r="C6423" s="689">
        <v>4.9000000000000004</v>
      </c>
      <c r="D6423" s="689">
        <v>4.5999999999999996</v>
      </c>
      <c r="E6423" s="689">
        <v>4.9000000000000004</v>
      </c>
      <c r="F6423" s="689">
        <v>4.7</v>
      </c>
      <c r="G6423" s="689">
        <v>4.9000000000000004</v>
      </c>
      <c r="H6423" s="693">
        <v>5</v>
      </c>
      <c r="I6423" s="689">
        <v>4.5</v>
      </c>
      <c r="J6423" s="689">
        <v>4.7</v>
      </c>
      <c r="K6423" s="689">
        <v>4.5</v>
      </c>
    </row>
    <row r="6424" spans="1:11">
      <c r="A6424" s="688" t="s">
        <v>30</v>
      </c>
      <c r="B6424" s="692" t="s">
        <v>4060</v>
      </c>
      <c r="C6424" s="691">
        <v>4.5</v>
      </c>
      <c r="D6424" s="691">
        <v>3.9</v>
      </c>
      <c r="E6424" s="691">
        <v>4.3</v>
      </c>
      <c r="F6424" s="691">
        <v>4.0999999999999996</v>
      </c>
      <c r="G6424" s="691">
        <v>4.5999999999999996</v>
      </c>
      <c r="H6424" s="691">
        <v>4.3</v>
      </c>
      <c r="I6424" s="691">
        <v>4.4000000000000004</v>
      </c>
      <c r="J6424" s="691">
        <v>4.2</v>
      </c>
      <c r="K6424" s="615">
        <v>4</v>
      </c>
    </row>
    <row r="6425" spans="1:11">
      <c r="A6425" s="688" t="s">
        <v>12</v>
      </c>
      <c r="B6425" s="690" t="s">
        <v>4060</v>
      </c>
      <c r="C6425" s="689">
        <v>4.2</v>
      </c>
      <c r="D6425" s="689">
        <v>4.0999999999999996</v>
      </c>
      <c r="E6425" s="689">
        <v>4.2</v>
      </c>
      <c r="F6425" s="689">
        <v>4.0999999999999996</v>
      </c>
      <c r="G6425" s="689">
        <v>4.0999999999999996</v>
      </c>
      <c r="H6425" s="689">
        <v>4.2</v>
      </c>
      <c r="I6425" s="689">
        <v>4.0999999999999996</v>
      </c>
      <c r="J6425" s="689">
        <v>3.7</v>
      </c>
      <c r="K6425" s="689">
        <v>3.9</v>
      </c>
    </row>
    <row r="6426" spans="1:11">
      <c r="A6426" s="688" t="s">
        <v>14</v>
      </c>
      <c r="B6426" s="692" t="s">
        <v>4060</v>
      </c>
      <c r="C6426" s="691">
        <v>3.7</v>
      </c>
      <c r="D6426" s="691">
        <v>3.4</v>
      </c>
      <c r="E6426" s="691">
        <v>3.4</v>
      </c>
      <c r="F6426" s="691">
        <v>3.4</v>
      </c>
      <c r="G6426" s="691">
        <v>3.5</v>
      </c>
      <c r="H6426" s="691">
        <v>3.6</v>
      </c>
      <c r="I6426" s="691">
        <v>3.7</v>
      </c>
      <c r="J6426" s="691">
        <v>3.6</v>
      </c>
      <c r="K6426" s="691">
        <v>3.8</v>
      </c>
    </row>
    <row r="6427" spans="1:11">
      <c r="A6427" s="688" t="s">
        <v>15</v>
      </c>
      <c r="B6427" s="690" t="s">
        <v>4060</v>
      </c>
      <c r="C6427" s="693">
        <v>5</v>
      </c>
      <c r="D6427" s="689">
        <v>4.7</v>
      </c>
      <c r="E6427" s="689">
        <v>4.8</v>
      </c>
      <c r="F6427" s="693">
        <v>5</v>
      </c>
      <c r="G6427" s="689">
        <v>4.8</v>
      </c>
      <c r="H6427" s="693">
        <v>5</v>
      </c>
      <c r="I6427" s="689">
        <v>4.5999999999999996</v>
      </c>
      <c r="J6427" s="689">
        <v>4.9000000000000004</v>
      </c>
      <c r="K6427" s="689">
        <v>4.9000000000000004</v>
      </c>
    </row>
    <row r="6428" spans="1:11">
      <c r="A6428" s="688" t="s">
        <v>29</v>
      </c>
      <c r="B6428" s="692" t="s">
        <v>4060</v>
      </c>
      <c r="C6428" s="691">
        <v>4.3</v>
      </c>
      <c r="D6428" s="615">
        <v>4</v>
      </c>
      <c r="E6428" s="691">
        <v>4.2</v>
      </c>
      <c r="F6428" s="691">
        <v>4.0999999999999996</v>
      </c>
      <c r="G6428" s="691">
        <v>4.0999999999999996</v>
      </c>
      <c r="H6428" s="691">
        <v>4.2</v>
      </c>
      <c r="I6428" s="691">
        <v>4.0999999999999996</v>
      </c>
      <c r="J6428" s="691">
        <v>4.0999999999999996</v>
      </c>
      <c r="K6428" s="615">
        <v>4</v>
      </c>
    </row>
    <row r="6429" spans="1:11">
      <c r="A6429" s="688" t="s">
        <v>16</v>
      </c>
      <c r="B6429" s="690" t="s">
        <v>4060</v>
      </c>
      <c r="C6429" s="689">
        <v>4.7</v>
      </c>
      <c r="D6429" s="689">
        <v>4.5</v>
      </c>
      <c r="E6429" s="689">
        <v>4.7</v>
      </c>
      <c r="F6429" s="689">
        <v>4.5</v>
      </c>
      <c r="G6429" s="689">
        <v>4.5999999999999996</v>
      </c>
      <c r="H6429" s="689">
        <v>4.8</v>
      </c>
      <c r="I6429" s="689">
        <v>4.4000000000000004</v>
      </c>
      <c r="J6429" s="689">
        <v>4.8</v>
      </c>
      <c r="K6429" s="689">
        <v>4.5999999999999996</v>
      </c>
    </row>
    <row r="6430" spans="1:11">
      <c r="A6430" s="688" t="s">
        <v>17</v>
      </c>
      <c r="B6430" s="692" t="s">
        <v>4060</v>
      </c>
      <c r="C6430" s="691">
        <v>4.5999999999999996</v>
      </c>
      <c r="D6430" s="691">
        <v>4.5</v>
      </c>
      <c r="E6430" s="691">
        <v>4.5</v>
      </c>
      <c r="F6430" s="691">
        <v>4.4000000000000004</v>
      </c>
      <c r="G6430" s="691">
        <v>4.4000000000000004</v>
      </c>
      <c r="H6430" s="691">
        <v>4.5</v>
      </c>
      <c r="I6430" s="691">
        <v>4.2</v>
      </c>
      <c r="J6430" s="691">
        <v>4.3</v>
      </c>
      <c r="K6430" s="691">
        <v>4.3</v>
      </c>
    </row>
    <row r="6431" spans="1:11">
      <c r="A6431" s="688" t="s">
        <v>19</v>
      </c>
      <c r="B6431" s="690" t="s">
        <v>4060</v>
      </c>
      <c r="C6431" s="689">
        <v>4.5999999999999996</v>
      </c>
      <c r="D6431" s="689">
        <v>4.5</v>
      </c>
      <c r="E6431" s="689">
        <v>4.7</v>
      </c>
      <c r="F6431" s="689">
        <v>4.5</v>
      </c>
      <c r="G6431" s="689">
        <v>4.5999999999999996</v>
      </c>
      <c r="H6431" s="689">
        <v>4.5999999999999996</v>
      </c>
      <c r="I6431" s="689">
        <v>4.3</v>
      </c>
      <c r="J6431" s="689">
        <v>4.4000000000000004</v>
      </c>
      <c r="K6431" s="689">
        <v>4.3</v>
      </c>
    </row>
    <row r="6432" spans="1:11">
      <c r="A6432" s="688" t="s">
        <v>20</v>
      </c>
      <c r="B6432" s="692" t="s">
        <v>4060</v>
      </c>
      <c r="C6432" s="691">
        <v>4.7</v>
      </c>
      <c r="D6432" s="691">
        <v>4.5</v>
      </c>
      <c r="E6432" s="691">
        <v>4.8</v>
      </c>
      <c r="F6432" s="691">
        <v>4.5999999999999996</v>
      </c>
      <c r="G6432" s="691">
        <v>4.5999999999999996</v>
      </c>
      <c r="H6432" s="691">
        <v>4.8</v>
      </c>
      <c r="I6432" s="691">
        <v>4.2</v>
      </c>
      <c r="J6432" s="615">
        <v>4</v>
      </c>
      <c r="K6432" s="691">
        <v>4.3</v>
      </c>
    </row>
    <row r="6433" spans="1:11">
      <c r="A6433" s="688" t="s">
        <v>21</v>
      </c>
      <c r="B6433" s="690" t="s">
        <v>4060</v>
      </c>
      <c r="C6433" s="689">
        <v>4.9000000000000004</v>
      </c>
      <c r="D6433" s="689">
        <v>4.8</v>
      </c>
      <c r="E6433" s="689">
        <v>4.8</v>
      </c>
      <c r="F6433" s="689">
        <v>4.9000000000000004</v>
      </c>
      <c r="G6433" s="689">
        <v>4.8</v>
      </c>
      <c r="H6433" s="693">
        <v>5</v>
      </c>
      <c r="I6433" s="689">
        <v>4.5999999999999996</v>
      </c>
      <c r="J6433" s="689">
        <v>4.7</v>
      </c>
      <c r="K6433" s="689">
        <v>4.5999999999999996</v>
      </c>
    </row>
    <row r="6434" spans="1:11">
      <c r="A6434" s="688" t="s">
        <v>22</v>
      </c>
      <c r="B6434" s="692" t="s">
        <v>4060</v>
      </c>
      <c r="C6434" s="691">
        <v>4.2</v>
      </c>
      <c r="D6434" s="691">
        <v>4.2</v>
      </c>
      <c r="E6434" s="691">
        <v>4.5999999999999996</v>
      </c>
      <c r="F6434" s="691">
        <v>4.5999999999999996</v>
      </c>
      <c r="G6434" s="691">
        <v>4.7</v>
      </c>
      <c r="H6434" s="691">
        <v>5.0999999999999996</v>
      </c>
      <c r="I6434" s="691">
        <v>4.7</v>
      </c>
      <c r="J6434" s="691">
        <v>3.8</v>
      </c>
      <c r="K6434" s="691">
        <v>3.7</v>
      </c>
    </row>
    <row r="6435" spans="1:11">
      <c r="A6435" s="688" t="s">
        <v>26</v>
      </c>
      <c r="B6435" s="690" t="s">
        <v>4060</v>
      </c>
      <c r="C6435" s="689">
        <v>4.5999999999999996</v>
      </c>
      <c r="D6435" s="689">
        <v>4.5999999999999996</v>
      </c>
      <c r="E6435" s="689">
        <v>4.7</v>
      </c>
      <c r="F6435" s="689">
        <v>4.5999999999999996</v>
      </c>
      <c r="G6435" s="689">
        <v>4.8</v>
      </c>
      <c r="H6435" s="689">
        <v>4.7</v>
      </c>
      <c r="I6435" s="693">
        <v>4</v>
      </c>
      <c r="J6435" s="689">
        <v>4.5</v>
      </c>
      <c r="K6435" s="689">
        <v>4.5</v>
      </c>
    </row>
    <row r="6436" spans="1:11">
      <c r="A6436" s="688" t="s">
        <v>25</v>
      </c>
      <c r="B6436" s="692" t="s">
        <v>4060</v>
      </c>
      <c r="C6436" s="691">
        <v>4.5999999999999996</v>
      </c>
      <c r="D6436" s="691">
        <v>4.4000000000000004</v>
      </c>
      <c r="E6436" s="691">
        <v>4.5</v>
      </c>
      <c r="F6436" s="691">
        <v>4.4000000000000004</v>
      </c>
      <c r="G6436" s="691">
        <v>4.7</v>
      </c>
      <c r="H6436" s="691">
        <v>4.9000000000000004</v>
      </c>
      <c r="I6436" s="691">
        <v>4.7</v>
      </c>
      <c r="J6436" s="615">
        <v>4</v>
      </c>
      <c r="K6436" s="615">
        <v>4</v>
      </c>
    </row>
    <row r="6437" spans="1:11">
      <c r="A6437" s="688" t="s">
        <v>5</v>
      </c>
      <c r="B6437" s="690" t="s">
        <v>4060</v>
      </c>
      <c r="C6437" s="689">
        <v>4.5999999999999996</v>
      </c>
      <c r="D6437" s="689">
        <v>4.5999999999999996</v>
      </c>
      <c r="E6437" s="689">
        <v>4.5999999999999996</v>
      </c>
      <c r="F6437" s="689">
        <v>4.7</v>
      </c>
      <c r="G6437" s="689">
        <v>4.7</v>
      </c>
      <c r="H6437" s="689">
        <v>4.8</v>
      </c>
      <c r="I6437" s="689">
        <v>4.8</v>
      </c>
      <c r="J6437" s="689">
        <v>4.7</v>
      </c>
      <c r="K6437" s="689">
        <v>4.4000000000000004</v>
      </c>
    </row>
    <row r="6438" spans="1:11">
      <c r="A6438" s="688" t="s">
        <v>23</v>
      </c>
      <c r="B6438" s="692" t="s">
        <v>4060</v>
      </c>
      <c r="C6438" s="691">
        <v>4.5999999999999996</v>
      </c>
      <c r="D6438" s="691">
        <v>4.5999999999999996</v>
      </c>
      <c r="E6438" s="691">
        <v>4.5999999999999996</v>
      </c>
      <c r="F6438" s="691">
        <v>4.5999999999999996</v>
      </c>
      <c r="G6438" s="691">
        <v>4.5999999999999996</v>
      </c>
      <c r="H6438" s="691">
        <v>4.9000000000000004</v>
      </c>
      <c r="I6438" s="691">
        <v>4.5</v>
      </c>
      <c r="J6438" s="691">
        <v>4.9000000000000004</v>
      </c>
      <c r="K6438" s="691">
        <v>4.7</v>
      </c>
    </row>
    <row r="6439" spans="1:11">
      <c r="A6439" s="688" t="s">
        <v>4067</v>
      </c>
      <c r="B6439" s="690" t="s">
        <v>4060</v>
      </c>
      <c r="C6439" s="690" t="s">
        <v>4060</v>
      </c>
      <c r="D6439" s="690" t="s">
        <v>4060</v>
      </c>
      <c r="E6439" s="690" t="s">
        <v>4060</v>
      </c>
      <c r="F6439" s="690" t="s">
        <v>4060</v>
      </c>
      <c r="G6439" s="690" t="s">
        <v>4060</v>
      </c>
      <c r="H6439" s="690" t="s">
        <v>4060</v>
      </c>
      <c r="I6439" s="690" t="s">
        <v>4060</v>
      </c>
      <c r="J6439" s="690" t="s">
        <v>4060</v>
      </c>
      <c r="K6439" s="690" t="s">
        <v>4060</v>
      </c>
    </row>
    <row r="6440" spans="1:11">
      <c r="A6440" s="688" t="s">
        <v>4066</v>
      </c>
      <c r="B6440" s="692" t="s">
        <v>4060</v>
      </c>
      <c r="C6440" s="692" t="s">
        <v>4060</v>
      </c>
      <c r="D6440" s="692" t="s">
        <v>4060</v>
      </c>
      <c r="E6440" s="692" t="s">
        <v>4060</v>
      </c>
      <c r="F6440" s="692" t="s">
        <v>4060</v>
      </c>
      <c r="G6440" s="692" t="s">
        <v>4060</v>
      </c>
      <c r="H6440" s="692" t="s">
        <v>4060</v>
      </c>
      <c r="I6440" s="692" t="s">
        <v>4060</v>
      </c>
      <c r="J6440" s="692" t="s">
        <v>4060</v>
      </c>
      <c r="K6440" s="692" t="s">
        <v>4060</v>
      </c>
    </row>
    <row r="6441" spans="1:11">
      <c r="A6441" s="688" t="s">
        <v>4062</v>
      </c>
      <c r="B6441" s="690" t="s">
        <v>4060</v>
      </c>
      <c r="C6441" s="689">
        <v>4.8</v>
      </c>
      <c r="D6441" s="689">
        <v>4.5999999999999996</v>
      </c>
      <c r="E6441" s="689">
        <v>4.8</v>
      </c>
      <c r="F6441" s="689">
        <v>4.8</v>
      </c>
      <c r="G6441" s="689">
        <v>4.9000000000000004</v>
      </c>
      <c r="H6441" s="689">
        <v>4.9000000000000004</v>
      </c>
      <c r="I6441" s="689">
        <v>4.5999999999999996</v>
      </c>
      <c r="J6441" s="689">
        <v>4.9000000000000004</v>
      </c>
      <c r="K6441" s="689">
        <v>4.5999999999999996</v>
      </c>
    </row>
    <row r="6442" spans="1:11">
      <c r="A6442" s="688" t="s">
        <v>9</v>
      </c>
      <c r="B6442" s="692" t="s">
        <v>4060</v>
      </c>
      <c r="C6442" s="691">
        <v>4.5999999999999996</v>
      </c>
      <c r="D6442" s="691">
        <v>4.4000000000000004</v>
      </c>
      <c r="E6442" s="691">
        <v>4.5</v>
      </c>
      <c r="F6442" s="691">
        <v>4.8</v>
      </c>
      <c r="G6442" s="691">
        <v>4.9000000000000004</v>
      </c>
      <c r="H6442" s="691">
        <v>4.7</v>
      </c>
      <c r="I6442" s="691">
        <v>4.9000000000000004</v>
      </c>
      <c r="J6442" s="691">
        <v>4.8</v>
      </c>
      <c r="K6442" s="691">
        <v>4.4000000000000004</v>
      </c>
    </row>
    <row r="6443" spans="1:11">
      <c r="A6443" s="688" t="s">
        <v>13</v>
      </c>
      <c r="B6443" s="690" t="s">
        <v>4060</v>
      </c>
      <c r="C6443" s="693">
        <v>4</v>
      </c>
      <c r="D6443" s="689">
        <v>4.5</v>
      </c>
      <c r="E6443" s="689">
        <v>4.7</v>
      </c>
      <c r="F6443" s="689">
        <v>5.2</v>
      </c>
      <c r="G6443" s="689">
        <v>4.4000000000000004</v>
      </c>
      <c r="H6443" s="689">
        <v>4.5</v>
      </c>
      <c r="I6443" s="693">
        <v>4</v>
      </c>
      <c r="J6443" s="689">
        <v>4.7</v>
      </c>
      <c r="K6443" s="689">
        <v>4.5999999999999996</v>
      </c>
    </row>
    <row r="6444" spans="1:11">
      <c r="A6444" s="688" t="s">
        <v>18</v>
      </c>
      <c r="B6444" s="692" t="s">
        <v>4060</v>
      </c>
      <c r="C6444" s="691">
        <v>4.7</v>
      </c>
      <c r="D6444" s="691">
        <v>4.7</v>
      </c>
      <c r="E6444" s="691">
        <v>4.7</v>
      </c>
      <c r="F6444" s="691">
        <v>4.7</v>
      </c>
      <c r="G6444" s="691">
        <v>4.7</v>
      </c>
      <c r="H6444" s="691">
        <v>4.9000000000000004</v>
      </c>
      <c r="I6444" s="691">
        <v>4.9000000000000004</v>
      </c>
      <c r="J6444" s="691">
        <v>4.8</v>
      </c>
      <c r="K6444" s="691">
        <v>4.5</v>
      </c>
    </row>
    <row r="6445" spans="1:11">
      <c r="A6445" s="688" t="s">
        <v>24</v>
      </c>
      <c r="B6445" s="690" t="s">
        <v>4060</v>
      </c>
      <c r="C6445" s="689">
        <v>4.8</v>
      </c>
      <c r="D6445" s="689">
        <v>4.5999999999999996</v>
      </c>
      <c r="E6445" s="689">
        <v>4.9000000000000004</v>
      </c>
      <c r="F6445" s="689">
        <v>4.8</v>
      </c>
      <c r="G6445" s="689">
        <v>4.9000000000000004</v>
      </c>
      <c r="H6445" s="693">
        <v>5</v>
      </c>
      <c r="I6445" s="689">
        <v>4.5</v>
      </c>
      <c r="J6445" s="689">
        <v>4.9000000000000004</v>
      </c>
      <c r="K6445" s="689">
        <v>4.7</v>
      </c>
    </row>
    <row r="6446" spans="1:11">
      <c r="A6446" s="688" t="s">
        <v>4059</v>
      </c>
      <c r="B6446" s="692" t="s">
        <v>4060</v>
      </c>
      <c r="C6446" s="692" t="s">
        <v>4060</v>
      </c>
      <c r="D6446" s="692" t="s">
        <v>4060</v>
      </c>
      <c r="E6446" s="692" t="s">
        <v>4060</v>
      </c>
      <c r="F6446" s="692" t="s">
        <v>4060</v>
      </c>
      <c r="G6446" s="692" t="s">
        <v>4060</v>
      </c>
      <c r="H6446" s="692" t="s">
        <v>4060</v>
      </c>
      <c r="I6446" s="692" t="s">
        <v>4060</v>
      </c>
      <c r="J6446" s="692" t="s">
        <v>4060</v>
      </c>
      <c r="K6446" s="692" t="s">
        <v>4060</v>
      </c>
    </row>
    <row r="6447" spans="1:11">
      <c r="A6447" s="688" t="s">
        <v>2324</v>
      </c>
      <c r="B6447" s="690" t="s">
        <v>4060</v>
      </c>
      <c r="C6447" s="690" t="s">
        <v>4060</v>
      </c>
      <c r="D6447" s="690" t="s">
        <v>4060</v>
      </c>
      <c r="E6447" s="690" t="s">
        <v>4060</v>
      </c>
      <c r="F6447" s="690" t="s">
        <v>4060</v>
      </c>
      <c r="G6447" s="690" t="s">
        <v>4060</v>
      </c>
      <c r="H6447" s="690" t="s">
        <v>4060</v>
      </c>
      <c r="I6447" s="690" t="s">
        <v>4060</v>
      </c>
      <c r="J6447" s="690" t="s">
        <v>4060</v>
      </c>
      <c r="K6447" s="690" t="s">
        <v>4060</v>
      </c>
    </row>
    <row r="6448" spans="1:11">
      <c r="A6448" s="688" t="s">
        <v>2322</v>
      </c>
      <c r="B6448" s="692" t="s">
        <v>4060</v>
      </c>
      <c r="C6448" s="692" t="s">
        <v>4060</v>
      </c>
      <c r="D6448" s="692" t="s">
        <v>4060</v>
      </c>
      <c r="E6448" s="692" t="s">
        <v>4060</v>
      </c>
      <c r="F6448" s="692" t="s">
        <v>4060</v>
      </c>
      <c r="G6448" s="692" t="s">
        <v>4060</v>
      </c>
      <c r="H6448" s="692" t="s">
        <v>4060</v>
      </c>
      <c r="I6448" s="692" t="s">
        <v>4060</v>
      </c>
      <c r="J6448" s="692" t="s">
        <v>4060</v>
      </c>
      <c r="K6448" s="692" t="s">
        <v>4060</v>
      </c>
    </row>
    <row r="6449" spans="1:11">
      <c r="A6449" s="688" t="s">
        <v>2328</v>
      </c>
      <c r="B6449" s="690" t="s">
        <v>4060</v>
      </c>
      <c r="C6449" s="690" t="s">
        <v>4060</v>
      </c>
      <c r="D6449" s="690" t="s">
        <v>4060</v>
      </c>
      <c r="E6449" s="690" t="s">
        <v>4060</v>
      </c>
      <c r="F6449" s="690" t="s">
        <v>4060</v>
      </c>
      <c r="G6449" s="690" t="s">
        <v>4060</v>
      </c>
      <c r="H6449" s="690" t="s">
        <v>4060</v>
      </c>
      <c r="I6449" s="690" t="s">
        <v>4060</v>
      </c>
      <c r="J6449" s="690" t="s">
        <v>4060</v>
      </c>
      <c r="K6449" s="690" t="s">
        <v>4060</v>
      </c>
    </row>
    <row r="6450" spans="1:11">
      <c r="A6450" s="688" t="s">
        <v>2496</v>
      </c>
      <c r="B6450" s="692" t="s">
        <v>4060</v>
      </c>
      <c r="C6450" s="692" t="s">
        <v>4060</v>
      </c>
      <c r="D6450" s="692" t="s">
        <v>4060</v>
      </c>
      <c r="E6450" s="692" t="s">
        <v>4060</v>
      </c>
      <c r="F6450" s="692" t="s">
        <v>4060</v>
      </c>
      <c r="G6450" s="692" t="s">
        <v>4060</v>
      </c>
      <c r="H6450" s="692" t="s">
        <v>4060</v>
      </c>
      <c r="I6450" s="692" t="s">
        <v>4060</v>
      </c>
      <c r="J6450" s="692" t="s">
        <v>4060</v>
      </c>
      <c r="K6450" s="692" t="s">
        <v>4060</v>
      </c>
    </row>
    <row r="6451" spans="1:11">
      <c r="A6451" s="688" t="s">
        <v>2269</v>
      </c>
      <c r="B6451" s="690" t="s">
        <v>4060</v>
      </c>
      <c r="C6451" s="690" t="s">
        <v>4060</v>
      </c>
      <c r="D6451" s="690" t="s">
        <v>4060</v>
      </c>
      <c r="E6451" s="690" t="s">
        <v>4060</v>
      </c>
      <c r="F6451" s="690" t="s">
        <v>4060</v>
      </c>
      <c r="G6451" s="690" t="s">
        <v>4060</v>
      </c>
      <c r="H6451" s="690" t="s">
        <v>4060</v>
      </c>
      <c r="I6451" s="690" t="s">
        <v>4060</v>
      </c>
      <c r="J6451" s="690" t="s">
        <v>4060</v>
      </c>
      <c r="K6451" s="690" t="s">
        <v>4060</v>
      </c>
    </row>
    <row r="6452" spans="1:11">
      <c r="A6452" s="688" t="s">
        <v>2349</v>
      </c>
      <c r="B6452" s="692" t="s">
        <v>4060</v>
      </c>
      <c r="C6452" s="692" t="s">
        <v>4060</v>
      </c>
      <c r="D6452" s="692" t="s">
        <v>4060</v>
      </c>
      <c r="E6452" s="692" t="s">
        <v>4060</v>
      </c>
      <c r="F6452" s="692" t="s">
        <v>4060</v>
      </c>
      <c r="G6452" s="692" t="s">
        <v>4060</v>
      </c>
      <c r="H6452" s="692" t="s">
        <v>4060</v>
      </c>
      <c r="I6452" s="692" t="s">
        <v>4060</v>
      </c>
      <c r="J6452" s="692" t="s">
        <v>4060</v>
      </c>
      <c r="K6452" s="692" t="s">
        <v>4060</v>
      </c>
    </row>
    <row r="6453" spans="1:11">
      <c r="A6453" s="688" t="s">
        <v>2355</v>
      </c>
      <c r="B6453" s="690" t="s">
        <v>4060</v>
      </c>
      <c r="C6453" s="690" t="s">
        <v>4060</v>
      </c>
      <c r="D6453" s="690" t="s">
        <v>4060</v>
      </c>
      <c r="E6453" s="690" t="s">
        <v>4060</v>
      </c>
      <c r="F6453" s="690" t="s">
        <v>4060</v>
      </c>
      <c r="G6453" s="690" t="s">
        <v>4060</v>
      </c>
      <c r="H6453" s="690" t="s">
        <v>4060</v>
      </c>
      <c r="I6453" s="690" t="s">
        <v>4060</v>
      </c>
      <c r="J6453" s="690" t="s">
        <v>4060</v>
      </c>
      <c r="K6453" s="690" t="s">
        <v>4060</v>
      </c>
    </row>
    <row r="6454" spans="1:11">
      <c r="A6454" s="688" t="s">
        <v>2357</v>
      </c>
      <c r="B6454" s="692" t="s">
        <v>4060</v>
      </c>
      <c r="C6454" s="692" t="s">
        <v>4060</v>
      </c>
      <c r="D6454" s="692" t="s">
        <v>4060</v>
      </c>
      <c r="E6454" s="692" t="s">
        <v>4060</v>
      </c>
      <c r="F6454" s="692" t="s">
        <v>4060</v>
      </c>
      <c r="G6454" s="692" t="s">
        <v>4060</v>
      </c>
      <c r="H6454" s="692" t="s">
        <v>4060</v>
      </c>
      <c r="I6454" s="692" t="s">
        <v>4060</v>
      </c>
      <c r="J6454" s="692" t="s">
        <v>4060</v>
      </c>
      <c r="K6454" s="692" t="s">
        <v>4060</v>
      </c>
    </row>
    <row r="6455" spans="1:11">
      <c r="A6455" s="688" t="s">
        <v>4070</v>
      </c>
      <c r="B6455" s="690" t="s">
        <v>4060</v>
      </c>
      <c r="C6455" s="690" t="s">
        <v>4060</v>
      </c>
      <c r="D6455" s="690" t="s">
        <v>4060</v>
      </c>
      <c r="E6455" s="690" t="s">
        <v>4060</v>
      </c>
      <c r="F6455" s="690" t="s">
        <v>4060</v>
      </c>
      <c r="G6455" s="690" t="s">
        <v>4060</v>
      </c>
      <c r="H6455" s="690" t="s">
        <v>4060</v>
      </c>
      <c r="I6455" s="690" t="s">
        <v>4060</v>
      </c>
      <c r="J6455" s="690" t="s">
        <v>4060</v>
      </c>
      <c r="K6455" s="690" t="s">
        <v>4060</v>
      </c>
    </row>
    <row r="6456" spans="1:11">
      <c r="A6456" s="688" t="s">
        <v>2491</v>
      </c>
      <c r="B6456" s="692" t="s">
        <v>4060</v>
      </c>
      <c r="C6456" s="692" t="s">
        <v>4060</v>
      </c>
      <c r="D6456" s="692" t="s">
        <v>4060</v>
      </c>
      <c r="E6456" s="692" t="s">
        <v>4060</v>
      </c>
      <c r="F6456" s="692" t="s">
        <v>4060</v>
      </c>
      <c r="G6456" s="692" t="s">
        <v>4060</v>
      </c>
      <c r="H6456" s="692" t="s">
        <v>4060</v>
      </c>
      <c r="I6456" s="692" t="s">
        <v>4060</v>
      </c>
      <c r="J6456" s="692" t="s">
        <v>4060</v>
      </c>
      <c r="K6456" s="692" t="s">
        <v>4060</v>
      </c>
    </row>
    <row r="6457" spans="1:11">
      <c r="A6457" s="688" t="s">
        <v>2343</v>
      </c>
      <c r="B6457" s="690" t="s">
        <v>4060</v>
      </c>
      <c r="C6457" s="690" t="s">
        <v>4060</v>
      </c>
      <c r="D6457" s="690" t="s">
        <v>4060</v>
      </c>
      <c r="E6457" s="690" t="s">
        <v>4060</v>
      </c>
      <c r="F6457" s="690" t="s">
        <v>4060</v>
      </c>
      <c r="G6457" s="690" t="s">
        <v>4060</v>
      </c>
      <c r="H6457" s="690" t="s">
        <v>4060</v>
      </c>
      <c r="I6457" s="690" t="s">
        <v>4060</v>
      </c>
      <c r="J6457" s="690" t="s">
        <v>4060</v>
      </c>
      <c r="K6457" s="690" t="s">
        <v>4060</v>
      </c>
    </row>
    <row r="6458" spans="1:11">
      <c r="A6458" s="688" t="s">
        <v>4071</v>
      </c>
      <c r="B6458" s="692" t="s">
        <v>4060</v>
      </c>
      <c r="C6458" s="692" t="s">
        <v>4060</v>
      </c>
      <c r="D6458" s="692" t="s">
        <v>4060</v>
      </c>
      <c r="E6458" s="692" t="s">
        <v>4060</v>
      </c>
      <c r="F6458" s="692" t="s">
        <v>4060</v>
      </c>
      <c r="G6458" s="692" t="s">
        <v>4060</v>
      </c>
      <c r="H6458" s="692" t="s">
        <v>4060</v>
      </c>
      <c r="I6458" s="692" t="s">
        <v>4060</v>
      </c>
      <c r="J6458" s="692" t="s">
        <v>4060</v>
      </c>
      <c r="K6458" s="692" t="s">
        <v>4060</v>
      </c>
    </row>
    <row r="6459" spans="1:11">
      <c r="A6459" s="688" t="s">
        <v>2489</v>
      </c>
      <c r="B6459" s="690" t="s">
        <v>4060</v>
      </c>
      <c r="C6459" s="690" t="s">
        <v>4060</v>
      </c>
      <c r="D6459" s="690" t="s">
        <v>4060</v>
      </c>
      <c r="E6459" s="690" t="s">
        <v>4060</v>
      </c>
      <c r="F6459" s="690" t="s">
        <v>4060</v>
      </c>
      <c r="G6459" s="690" t="s">
        <v>4060</v>
      </c>
      <c r="H6459" s="690" t="s">
        <v>4060</v>
      </c>
      <c r="I6459" s="690" t="s">
        <v>4060</v>
      </c>
      <c r="J6459" s="690" t="s">
        <v>4060</v>
      </c>
      <c r="K6459" s="690" t="s">
        <v>4060</v>
      </c>
    </row>
    <row r="6460" spans="1:11">
      <c r="A6460" s="688" t="s">
        <v>2490</v>
      </c>
      <c r="B6460" s="692" t="s">
        <v>4060</v>
      </c>
      <c r="C6460" s="692" t="s">
        <v>4060</v>
      </c>
      <c r="D6460" s="692" t="s">
        <v>4060</v>
      </c>
      <c r="E6460" s="692" t="s">
        <v>4060</v>
      </c>
      <c r="F6460" s="692" t="s">
        <v>4060</v>
      </c>
      <c r="G6460" s="692" t="s">
        <v>4060</v>
      </c>
      <c r="H6460" s="692" t="s">
        <v>4060</v>
      </c>
      <c r="I6460" s="692" t="s">
        <v>4060</v>
      </c>
      <c r="J6460" s="692" t="s">
        <v>4060</v>
      </c>
      <c r="K6460" s="692" t="s">
        <v>4060</v>
      </c>
    </row>
    <row r="6462" spans="1:11">
      <c r="A6462" s="683" t="s">
        <v>4233</v>
      </c>
    </row>
    <row r="6463" spans="1:11">
      <c r="A6463" s="683" t="s">
        <v>4060</v>
      </c>
      <c r="B6463" s="682" t="s">
        <v>4234</v>
      </c>
    </row>
    <row r="6465" spans="1:11">
      <c r="A6465" s="682" t="s">
        <v>4248</v>
      </c>
    </row>
    <row r="6466" spans="1:11">
      <c r="A6466" s="682" t="s">
        <v>4210</v>
      </c>
      <c r="B6466" s="683" t="s">
        <v>4211</v>
      </c>
    </row>
    <row r="6467" spans="1:11">
      <c r="A6467" s="682" t="s">
        <v>4212</v>
      </c>
      <c r="B6467" s="682" t="s">
        <v>4213</v>
      </c>
    </row>
    <row r="6469" spans="1:11">
      <c r="A6469" s="683" t="s">
        <v>4214</v>
      </c>
      <c r="C6469" s="682" t="s">
        <v>4215</v>
      </c>
    </row>
    <row r="6470" spans="1:11">
      <c r="A6470" s="683" t="s">
        <v>4216</v>
      </c>
      <c r="C6470" s="682" t="s">
        <v>2967</v>
      </c>
    </row>
    <row r="6471" spans="1:11">
      <c r="A6471" s="683" t="s">
        <v>3893</v>
      </c>
      <c r="C6471" s="682" t="s">
        <v>4217</v>
      </c>
    </row>
    <row r="6472" spans="1:11">
      <c r="A6472" s="683" t="s">
        <v>4218</v>
      </c>
      <c r="C6472" s="682" t="s">
        <v>4325</v>
      </c>
    </row>
    <row r="6474" spans="1:11">
      <c r="A6474" s="684" t="s">
        <v>4220</v>
      </c>
      <c r="B6474" s="685" t="s">
        <v>4221</v>
      </c>
      <c r="C6474" s="685" t="s">
        <v>4222</v>
      </c>
      <c r="D6474" s="685" t="s">
        <v>4223</v>
      </c>
      <c r="E6474" s="685" t="s">
        <v>4224</v>
      </c>
      <c r="F6474" s="685" t="s">
        <v>4225</v>
      </c>
      <c r="G6474" s="685" t="s">
        <v>4226</v>
      </c>
      <c r="H6474" s="685" t="s">
        <v>4227</v>
      </c>
      <c r="I6474" s="685" t="s">
        <v>4228</v>
      </c>
      <c r="J6474" s="685" t="s">
        <v>4229</v>
      </c>
      <c r="K6474" s="685" t="s">
        <v>4230</v>
      </c>
    </row>
    <row r="6475" spans="1:11">
      <c r="A6475" s="686" t="s">
        <v>4231</v>
      </c>
      <c r="B6475" s="687" t="s">
        <v>4232</v>
      </c>
      <c r="C6475" s="687" t="s">
        <v>4232</v>
      </c>
      <c r="D6475" s="687" t="s">
        <v>4232</v>
      </c>
      <c r="E6475" s="687" t="s">
        <v>4232</v>
      </c>
      <c r="F6475" s="687" t="s">
        <v>4232</v>
      </c>
      <c r="G6475" s="687" t="s">
        <v>4232</v>
      </c>
      <c r="H6475" s="687" t="s">
        <v>4232</v>
      </c>
      <c r="I6475" s="687" t="s">
        <v>4232</v>
      </c>
      <c r="J6475" s="687" t="s">
        <v>4232</v>
      </c>
      <c r="K6475" s="687" t="s">
        <v>4232</v>
      </c>
    </row>
    <row r="6476" spans="1:11">
      <c r="A6476" s="688" t="s">
        <v>4064</v>
      </c>
      <c r="B6476" s="692" t="s">
        <v>4060</v>
      </c>
      <c r="C6476" s="691">
        <v>4.5</v>
      </c>
      <c r="D6476" s="692" t="s">
        <v>4060</v>
      </c>
      <c r="E6476" s="691">
        <v>4.5</v>
      </c>
      <c r="F6476" s="691">
        <v>4.4000000000000004</v>
      </c>
      <c r="G6476" s="691">
        <v>4.4000000000000004</v>
      </c>
      <c r="H6476" s="691">
        <v>4.5</v>
      </c>
      <c r="I6476" s="691">
        <v>4.2</v>
      </c>
      <c r="J6476" s="691">
        <v>4.3</v>
      </c>
      <c r="K6476" s="691">
        <v>4.2</v>
      </c>
    </row>
    <row r="6477" spans="1:11">
      <c r="A6477" s="688" t="s">
        <v>4065</v>
      </c>
      <c r="B6477" s="690" t="s">
        <v>4060</v>
      </c>
      <c r="C6477" s="690" t="s">
        <v>4060</v>
      </c>
      <c r="D6477" s="690" t="s">
        <v>4060</v>
      </c>
      <c r="E6477" s="690" t="s">
        <v>4060</v>
      </c>
      <c r="F6477" s="690" t="s">
        <v>4060</v>
      </c>
      <c r="G6477" s="690" t="s">
        <v>4060</v>
      </c>
      <c r="H6477" s="690" t="s">
        <v>4060</v>
      </c>
      <c r="I6477" s="690" t="s">
        <v>4060</v>
      </c>
      <c r="J6477" s="690" t="s">
        <v>4060</v>
      </c>
      <c r="K6477" s="690" t="s">
        <v>4060</v>
      </c>
    </row>
    <row r="6478" spans="1:11">
      <c r="A6478" s="688" t="s">
        <v>4063</v>
      </c>
      <c r="B6478" s="692" t="s">
        <v>4060</v>
      </c>
      <c r="C6478" s="692" t="s">
        <v>4060</v>
      </c>
      <c r="D6478" s="692" t="s">
        <v>4060</v>
      </c>
      <c r="E6478" s="692" t="s">
        <v>4060</v>
      </c>
      <c r="F6478" s="692" t="s">
        <v>4060</v>
      </c>
      <c r="G6478" s="692" t="s">
        <v>4060</v>
      </c>
      <c r="H6478" s="692" t="s">
        <v>4060</v>
      </c>
      <c r="I6478" s="692" t="s">
        <v>4060</v>
      </c>
      <c r="J6478" s="692" t="s">
        <v>4060</v>
      </c>
      <c r="K6478" s="692" t="s">
        <v>4060</v>
      </c>
    </row>
    <row r="6479" spans="1:11">
      <c r="A6479" s="688" t="s">
        <v>4069</v>
      </c>
      <c r="B6479" s="690" t="s">
        <v>4060</v>
      </c>
      <c r="C6479" s="689">
        <v>4.5</v>
      </c>
      <c r="D6479" s="689">
        <v>4.3</v>
      </c>
      <c r="E6479" s="689">
        <v>4.5</v>
      </c>
      <c r="F6479" s="689">
        <v>4.4000000000000004</v>
      </c>
      <c r="G6479" s="689">
        <v>4.5</v>
      </c>
      <c r="H6479" s="689">
        <v>4.5999999999999996</v>
      </c>
      <c r="I6479" s="689">
        <v>4.2</v>
      </c>
      <c r="J6479" s="689">
        <v>4.4000000000000004</v>
      </c>
      <c r="K6479" s="689">
        <v>4.2</v>
      </c>
    </row>
    <row r="6480" spans="1:11">
      <c r="A6480" s="688" t="s">
        <v>4068</v>
      </c>
      <c r="B6480" s="692" t="s">
        <v>4060</v>
      </c>
      <c r="C6480" s="692" t="s">
        <v>4060</v>
      </c>
      <c r="D6480" s="692" t="s">
        <v>4060</v>
      </c>
      <c r="E6480" s="692" t="s">
        <v>4060</v>
      </c>
      <c r="F6480" s="692" t="s">
        <v>4060</v>
      </c>
      <c r="G6480" s="692" t="s">
        <v>4060</v>
      </c>
      <c r="H6480" s="692" t="s">
        <v>4060</v>
      </c>
      <c r="I6480" s="692" t="s">
        <v>4060</v>
      </c>
      <c r="J6480" s="692" t="s">
        <v>4060</v>
      </c>
      <c r="K6480" s="692" t="s">
        <v>4060</v>
      </c>
    </row>
    <row r="6481" spans="1:11">
      <c r="A6481" s="688" t="s">
        <v>0</v>
      </c>
      <c r="B6481" s="690" t="s">
        <v>4060</v>
      </c>
      <c r="C6481" s="689">
        <v>4.4000000000000004</v>
      </c>
      <c r="D6481" s="689">
        <v>4.2</v>
      </c>
      <c r="E6481" s="689">
        <v>4.4000000000000004</v>
      </c>
      <c r="F6481" s="689">
        <v>4.4000000000000004</v>
      </c>
      <c r="G6481" s="689">
        <v>4.4000000000000004</v>
      </c>
      <c r="H6481" s="689">
        <v>4.5</v>
      </c>
      <c r="I6481" s="689">
        <v>3.9</v>
      </c>
      <c r="J6481" s="689">
        <v>4.7</v>
      </c>
      <c r="K6481" s="689">
        <v>4.3</v>
      </c>
    </row>
    <row r="6482" spans="1:11">
      <c r="A6482" s="688" t="s">
        <v>1</v>
      </c>
      <c r="B6482" s="692" t="s">
        <v>4060</v>
      </c>
      <c r="C6482" s="691">
        <v>3.3</v>
      </c>
      <c r="D6482" s="691">
        <v>3.2</v>
      </c>
      <c r="E6482" s="691">
        <v>3.3</v>
      </c>
      <c r="F6482" s="691">
        <v>3.2</v>
      </c>
      <c r="G6482" s="691">
        <v>3.2</v>
      </c>
      <c r="H6482" s="691">
        <v>3.2</v>
      </c>
      <c r="I6482" s="615">
        <v>3</v>
      </c>
      <c r="J6482" s="691">
        <v>2.8</v>
      </c>
      <c r="K6482" s="691">
        <v>3.1</v>
      </c>
    </row>
    <row r="6483" spans="1:11">
      <c r="A6483" s="688" t="s">
        <v>2240</v>
      </c>
      <c r="B6483" s="690" t="s">
        <v>4060</v>
      </c>
      <c r="C6483" s="689">
        <v>3.8</v>
      </c>
      <c r="D6483" s="689">
        <v>3.7</v>
      </c>
      <c r="E6483" s="689">
        <v>3.9</v>
      </c>
      <c r="F6483" s="689">
        <v>3.8</v>
      </c>
      <c r="G6483" s="689">
        <v>3.8</v>
      </c>
      <c r="H6483" s="689">
        <v>3.9</v>
      </c>
      <c r="I6483" s="689">
        <v>3.4</v>
      </c>
      <c r="J6483" s="689">
        <v>3.5</v>
      </c>
      <c r="K6483" s="689">
        <v>3.6</v>
      </c>
    </row>
    <row r="6484" spans="1:11">
      <c r="A6484" s="688" t="s">
        <v>2</v>
      </c>
      <c r="B6484" s="692" t="s">
        <v>4060</v>
      </c>
      <c r="C6484" s="691">
        <v>4.4000000000000004</v>
      </c>
      <c r="D6484" s="691">
        <v>4.3</v>
      </c>
      <c r="E6484" s="691">
        <v>4.4000000000000004</v>
      </c>
      <c r="F6484" s="691">
        <v>4.3</v>
      </c>
      <c r="G6484" s="691">
        <v>4.2</v>
      </c>
      <c r="H6484" s="691">
        <v>4.3</v>
      </c>
      <c r="I6484" s="691">
        <v>4.3</v>
      </c>
      <c r="J6484" s="691">
        <v>4.2</v>
      </c>
      <c r="K6484" s="691">
        <v>4.0999999999999996</v>
      </c>
    </row>
    <row r="6485" spans="1:11">
      <c r="A6485" s="688" t="s">
        <v>3</v>
      </c>
      <c r="B6485" s="690" t="s">
        <v>4060</v>
      </c>
      <c r="C6485" s="689">
        <v>4.2</v>
      </c>
      <c r="D6485" s="689">
        <v>4.0999999999999996</v>
      </c>
      <c r="E6485" s="689">
        <v>4.3</v>
      </c>
      <c r="F6485" s="689">
        <v>4.2</v>
      </c>
      <c r="G6485" s="689">
        <v>4.0999999999999996</v>
      </c>
      <c r="H6485" s="689">
        <v>4.2</v>
      </c>
      <c r="I6485" s="689">
        <v>4.0999999999999996</v>
      </c>
      <c r="J6485" s="689">
        <v>4.0999999999999996</v>
      </c>
      <c r="K6485" s="689">
        <v>3.8</v>
      </c>
    </row>
    <row r="6486" spans="1:11">
      <c r="A6486" s="688" t="s">
        <v>4061</v>
      </c>
      <c r="B6486" s="692" t="s">
        <v>4060</v>
      </c>
      <c r="C6486" s="691">
        <v>4.2</v>
      </c>
      <c r="D6486" s="691">
        <v>4.0999999999999996</v>
      </c>
      <c r="E6486" s="691">
        <v>4.3</v>
      </c>
      <c r="F6486" s="691">
        <v>4.2</v>
      </c>
      <c r="G6486" s="691">
        <v>4.0999999999999996</v>
      </c>
      <c r="H6486" s="691">
        <v>4.2</v>
      </c>
      <c r="I6486" s="691">
        <v>4.0999999999999996</v>
      </c>
      <c r="J6486" s="691">
        <v>4.0999999999999996</v>
      </c>
      <c r="K6486" s="691">
        <v>3.8</v>
      </c>
    </row>
    <row r="6487" spans="1:11">
      <c r="A6487" s="688" t="s">
        <v>4</v>
      </c>
      <c r="B6487" s="690" t="s">
        <v>4060</v>
      </c>
      <c r="C6487" s="689">
        <v>4.0999999999999996</v>
      </c>
      <c r="D6487" s="689">
        <v>4.2</v>
      </c>
      <c r="E6487" s="689">
        <v>4.3</v>
      </c>
      <c r="F6487" s="689">
        <v>4.4000000000000004</v>
      </c>
      <c r="G6487" s="689">
        <v>4.2</v>
      </c>
      <c r="H6487" s="689">
        <v>4.5</v>
      </c>
      <c r="I6487" s="689">
        <v>4.4000000000000004</v>
      </c>
      <c r="J6487" s="689">
        <v>3.9</v>
      </c>
      <c r="K6487" s="693">
        <v>4</v>
      </c>
    </row>
    <row r="6488" spans="1:11">
      <c r="A6488" s="688" t="s">
        <v>8</v>
      </c>
      <c r="B6488" s="692" t="s">
        <v>4060</v>
      </c>
      <c r="C6488" s="691">
        <v>4.3</v>
      </c>
      <c r="D6488" s="615">
        <v>4</v>
      </c>
      <c r="E6488" s="691">
        <v>4.0999999999999996</v>
      </c>
      <c r="F6488" s="691">
        <v>4.3</v>
      </c>
      <c r="G6488" s="691">
        <v>4.3</v>
      </c>
      <c r="H6488" s="691">
        <v>4.4000000000000004</v>
      </c>
      <c r="I6488" s="691">
        <v>4.5</v>
      </c>
      <c r="J6488" s="691">
        <v>4.4000000000000004</v>
      </c>
      <c r="K6488" s="691">
        <v>4.4000000000000004</v>
      </c>
    </row>
    <row r="6489" spans="1:11">
      <c r="A6489" s="688" t="s">
        <v>7</v>
      </c>
      <c r="B6489" s="690" t="s">
        <v>4060</v>
      </c>
      <c r="C6489" s="689">
        <v>3.7</v>
      </c>
      <c r="D6489" s="689">
        <v>3.5</v>
      </c>
      <c r="E6489" s="689">
        <v>3.8</v>
      </c>
      <c r="F6489" s="689">
        <v>3.8</v>
      </c>
      <c r="G6489" s="689">
        <v>4.2</v>
      </c>
      <c r="H6489" s="689">
        <v>4.0999999999999996</v>
      </c>
      <c r="I6489" s="689">
        <v>4.2</v>
      </c>
      <c r="J6489" s="693">
        <v>4</v>
      </c>
      <c r="K6489" s="689">
        <v>3.9</v>
      </c>
    </row>
    <row r="6490" spans="1:11">
      <c r="A6490" s="688" t="s">
        <v>27</v>
      </c>
      <c r="B6490" s="692" t="s">
        <v>4060</v>
      </c>
      <c r="C6490" s="691">
        <v>4.8</v>
      </c>
      <c r="D6490" s="691">
        <v>4.5</v>
      </c>
      <c r="E6490" s="691">
        <v>4.8</v>
      </c>
      <c r="F6490" s="691">
        <v>4.5999999999999996</v>
      </c>
      <c r="G6490" s="691">
        <v>4.7</v>
      </c>
      <c r="H6490" s="691">
        <v>4.9000000000000004</v>
      </c>
      <c r="I6490" s="691">
        <v>4.3</v>
      </c>
      <c r="J6490" s="691">
        <v>4.8</v>
      </c>
      <c r="K6490" s="691">
        <v>4.5999999999999996</v>
      </c>
    </row>
    <row r="6491" spans="1:11">
      <c r="A6491" s="688" t="s">
        <v>6</v>
      </c>
      <c r="B6491" s="690" t="s">
        <v>4060</v>
      </c>
      <c r="C6491" s="693">
        <v>5</v>
      </c>
      <c r="D6491" s="689">
        <v>4.7</v>
      </c>
      <c r="E6491" s="689">
        <v>4.9000000000000004</v>
      </c>
      <c r="F6491" s="689">
        <v>4.9000000000000004</v>
      </c>
      <c r="G6491" s="693">
        <v>5</v>
      </c>
      <c r="H6491" s="693">
        <v>5</v>
      </c>
      <c r="I6491" s="689">
        <v>4.7</v>
      </c>
      <c r="J6491" s="689">
        <v>4.8</v>
      </c>
      <c r="K6491" s="689">
        <v>4.7</v>
      </c>
    </row>
    <row r="6492" spans="1:11">
      <c r="A6492" s="688" t="s">
        <v>4058</v>
      </c>
      <c r="B6492" s="692" t="s">
        <v>4060</v>
      </c>
      <c r="C6492" s="692" t="s">
        <v>4060</v>
      </c>
      <c r="D6492" s="692" t="s">
        <v>4060</v>
      </c>
      <c r="E6492" s="692" t="s">
        <v>4060</v>
      </c>
      <c r="F6492" s="692" t="s">
        <v>4060</v>
      </c>
      <c r="G6492" s="692" t="s">
        <v>4060</v>
      </c>
      <c r="H6492" s="692" t="s">
        <v>4060</v>
      </c>
      <c r="I6492" s="692" t="s">
        <v>4060</v>
      </c>
      <c r="J6492" s="692" t="s">
        <v>4060</v>
      </c>
      <c r="K6492" s="692" t="s">
        <v>4060</v>
      </c>
    </row>
    <row r="6493" spans="1:11">
      <c r="A6493" s="688" t="s">
        <v>11</v>
      </c>
      <c r="B6493" s="690" t="s">
        <v>4060</v>
      </c>
      <c r="C6493" s="689">
        <v>3.6</v>
      </c>
      <c r="D6493" s="689">
        <v>3.4</v>
      </c>
      <c r="E6493" s="689">
        <v>3.6</v>
      </c>
      <c r="F6493" s="689">
        <v>3.5</v>
      </c>
      <c r="G6493" s="689">
        <v>3.5</v>
      </c>
      <c r="H6493" s="689">
        <v>3.6</v>
      </c>
      <c r="I6493" s="689">
        <v>3.3</v>
      </c>
      <c r="J6493" s="689">
        <v>3.1</v>
      </c>
      <c r="K6493" s="689">
        <v>3.1</v>
      </c>
    </row>
    <row r="6494" spans="1:11">
      <c r="A6494" s="688" t="s">
        <v>10</v>
      </c>
      <c r="B6494" s="692" t="s">
        <v>4060</v>
      </c>
      <c r="C6494" s="691">
        <v>4.5</v>
      </c>
      <c r="D6494" s="691">
        <v>4.2</v>
      </c>
      <c r="E6494" s="691">
        <v>4.5</v>
      </c>
      <c r="F6494" s="691">
        <v>4.4000000000000004</v>
      </c>
      <c r="G6494" s="691">
        <v>4.5</v>
      </c>
      <c r="H6494" s="691">
        <v>4.5999999999999996</v>
      </c>
      <c r="I6494" s="691">
        <v>4.0999999999999996</v>
      </c>
      <c r="J6494" s="691">
        <v>4.4000000000000004</v>
      </c>
      <c r="K6494" s="691">
        <v>4.0999999999999996</v>
      </c>
    </row>
    <row r="6495" spans="1:11">
      <c r="A6495" s="688" t="s">
        <v>30</v>
      </c>
      <c r="B6495" s="690" t="s">
        <v>4060</v>
      </c>
      <c r="C6495" s="689">
        <v>4.0999999999999996</v>
      </c>
      <c r="D6495" s="689">
        <v>3.8</v>
      </c>
      <c r="E6495" s="689">
        <v>4.0999999999999996</v>
      </c>
      <c r="F6495" s="689">
        <v>3.8</v>
      </c>
      <c r="G6495" s="689">
        <v>4.3</v>
      </c>
      <c r="H6495" s="689">
        <v>4.0999999999999996</v>
      </c>
      <c r="I6495" s="689">
        <v>4.0999999999999996</v>
      </c>
      <c r="J6495" s="693">
        <v>4</v>
      </c>
      <c r="K6495" s="689">
        <v>3.5</v>
      </c>
    </row>
    <row r="6496" spans="1:11">
      <c r="A6496" s="688" t="s">
        <v>12</v>
      </c>
      <c r="B6496" s="692" t="s">
        <v>4060</v>
      </c>
      <c r="C6496" s="691">
        <v>3.8</v>
      </c>
      <c r="D6496" s="691">
        <v>3.8</v>
      </c>
      <c r="E6496" s="691">
        <v>3.9</v>
      </c>
      <c r="F6496" s="691">
        <v>3.8</v>
      </c>
      <c r="G6496" s="691">
        <v>3.8</v>
      </c>
      <c r="H6496" s="691">
        <v>3.9</v>
      </c>
      <c r="I6496" s="691">
        <v>3.8</v>
      </c>
      <c r="J6496" s="691">
        <v>3.4</v>
      </c>
      <c r="K6496" s="691">
        <v>3.6</v>
      </c>
    </row>
    <row r="6497" spans="1:11">
      <c r="A6497" s="688" t="s">
        <v>14</v>
      </c>
      <c r="B6497" s="690" t="s">
        <v>4060</v>
      </c>
      <c r="C6497" s="689">
        <v>3.3</v>
      </c>
      <c r="D6497" s="689">
        <v>3.1</v>
      </c>
      <c r="E6497" s="689">
        <v>3.1</v>
      </c>
      <c r="F6497" s="689">
        <v>3.1</v>
      </c>
      <c r="G6497" s="689">
        <v>3.1</v>
      </c>
      <c r="H6497" s="689">
        <v>3.2</v>
      </c>
      <c r="I6497" s="689">
        <v>3.3</v>
      </c>
      <c r="J6497" s="689">
        <v>3.3</v>
      </c>
      <c r="K6497" s="689">
        <v>3.4</v>
      </c>
    </row>
    <row r="6498" spans="1:11">
      <c r="A6498" s="688" t="s">
        <v>15</v>
      </c>
      <c r="B6498" s="692" t="s">
        <v>4060</v>
      </c>
      <c r="C6498" s="691">
        <v>4.7</v>
      </c>
      <c r="D6498" s="691">
        <v>4.3</v>
      </c>
      <c r="E6498" s="691">
        <v>4.4000000000000004</v>
      </c>
      <c r="F6498" s="691">
        <v>4.5999999999999996</v>
      </c>
      <c r="G6498" s="691">
        <v>4.4000000000000004</v>
      </c>
      <c r="H6498" s="691">
        <v>4.5</v>
      </c>
      <c r="I6498" s="691">
        <v>4.2</v>
      </c>
      <c r="J6498" s="691">
        <v>4.5</v>
      </c>
      <c r="K6498" s="691">
        <v>4.5999999999999996</v>
      </c>
    </row>
    <row r="6499" spans="1:11">
      <c r="A6499" s="688" t="s">
        <v>29</v>
      </c>
      <c r="B6499" s="690" t="s">
        <v>4060</v>
      </c>
      <c r="C6499" s="693">
        <v>4</v>
      </c>
      <c r="D6499" s="689">
        <v>3.8</v>
      </c>
      <c r="E6499" s="693">
        <v>4</v>
      </c>
      <c r="F6499" s="689">
        <v>3.9</v>
      </c>
      <c r="G6499" s="689">
        <v>3.9</v>
      </c>
      <c r="H6499" s="693">
        <v>4</v>
      </c>
      <c r="I6499" s="689">
        <v>3.9</v>
      </c>
      <c r="J6499" s="689">
        <v>3.9</v>
      </c>
      <c r="K6499" s="689">
        <v>3.8</v>
      </c>
    </row>
    <row r="6500" spans="1:11">
      <c r="A6500" s="688" t="s">
        <v>16</v>
      </c>
      <c r="B6500" s="692" t="s">
        <v>4060</v>
      </c>
      <c r="C6500" s="691">
        <v>4.5</v>
      </c>
      <c r="D6500" s="691">
        <v>4.2</v>
      </c>
      <c r="E6500" s="691">
        <v>4.4000000000000004</v>
      </c>
      <c r="F6500" s="691">
        <v>4.0999999999999996</v>
      </c>
      <c r="G6500" s="691">
        <v>4.3</v>
      </c>
      <c r="H6500" s="691">
        <v>4.5</v>
      </c>
      <c r="I6500" s="615">
        <v>4</v>
      </c>
      <c r="J6500" s="691">
        <v>4.5</v>
      </c>
      <c r="K6500" s="691">
        <v>4.3</v>
      </c>
    </row>
    <row r="6501" spans="1:11">
      <c r="A6501" s="688" t="s">
        <v>17</v>
      </c>
      <c r="B6501" s="690" t="s">
        <v>4060</v>
      </c>
      <c r="C6501" s="689">
        <v>4.3</v>
      </c>
      <c r="D6501" s="689">
        <v>4.0999999999999996</v>
      </c>
      <c r="E6501" s="689">
        <v>4.0999999999999996</v>
      </c>
      <c r="F6501" s="689">
        <v>4.0999999999999996</v>
      </c>
      <c r="G6501" s="689">
        <v>4.0999999999999996</v>
      </c>
      <c r="H6501" s="689">
        <v>4.2</v>
      </c>
      <c r="I6501" s="689">
        <v>3.9</v>
      </c>
      <c r="J6501" s="693">
        <v>4</v>
      </c>
      <c r="K6501" s="689">
        <v>3.9</v>
      </c>
    </row>
    <row r="6502" spans="1:11">
      <c r="A6502" s="688" t="s">
        <v>19</v>
      </c>
      <c r="B6502" s="692" t="s">
        <v>4060</v>
      </c>
      <c r="C6502" s="691">
        <v>4.3</v>
      </c>
      <c r="D6502" s="691">
        <v>4.0999999999999996</v>
      </c>
      <c r="E6502" s="691">
        <v>4.3</v>
      </c>
      <c r="F6502" s="691">
        <v>4.2</v>
      </c>
      <c r="G6502" s="691">
        <v>4.2</v>
      </c>
      <c r="H6502" s="691">
        <v>4.2</v>
      </c>
      <c r="I6502" s="615">
        <v>4</v>
      </c>
      <c r="J6502" s="691">
        <v>4.0999999999999996</v>
      </c>
      <c r="K6502" s="691">
        <v>3.9</v>
      </c>
    </row>
    <row r="6503" spans="1:11">
      <c r="A6503" s="688" t="s">
        <v>20</v>
      </c>
      <c r="B6503" s="690" t="s">
        <v>4060</v>
      </c>
      <c r="C6503" s="689">
        <v>4.4000000000000004</v>
      </c>
      <c r="D6503" s="689">
        <v>4.2</v>
      </c>
      <c r="E6503" s="689">
        <v>4.5</v>
      </c>
      <c r="F6503" s="689">
        <v>4.3</v>
      </c>
      <c r="G6503" s="689">
        <v>4.3</v>
      </c>
      <c r="H6503" s="689">
        <v>4.5</v>
      </c>
      <c r="I6503" s="693">
        <v>4</v>
      </c>
      <c r="J6503" s="689">
        <v>3.7</v>
      </c>
      <c r="K6503" s="693">
        <v>4</v>
      </c>
    </row>
    <row r="6504" spans="1:11">
      <c r="A6504" s="688" t="s">
        <v>21</v>
      </c>
      <c r="B6504" s="692" t="s">
        <v>4060</v>
      </c>
      <c r="C6504" s="691">
        <v>4.5999999999999996</v>
      </c>
      <c r="D6504" s="691">
        <v>4.4000000000000004</v>
      </c>
      <c r="E6504" s="691">
        <v>4.5</v>
      </c>
      <c r="F6504" s="691">
        <v>4.5</v>
      </c>
      <c r="G6504" s="691">
        <v>4.5</v>
      </c>
      <c r="H6504" s="691">
        <v>4.5999999999999996</v>
      </c>
      <c r="I6504" s="691">
        <v>4.3</v>
      </c>
      <c r="J6504" s="691">
        <v>4.3</v>
      </c>
      <c r="K6504" s="691">
        <v>4.2</v>
      </c>
    </row>
    <row r="6505" spans="1:11">
      <c r="A6505" s="688" t="s">
        <v>22</v>
      </c>
      <c r="B6505" s="690" t="s">
        <v>4060</v>
      </c>
      <c r="C6505" s="693">
        <v>4</v>
      </c>
      <c r="D6505" s="693">
        <v>4</v>
      </c>
      <c r="E6505" s="689">
        <v>4.4000000000000004</v>
      </c>
      <c r="F6505" s="689">
        <v>4.5</v>
      </c>
      <c r="G6505" s="689">
        <v>4.5999999999999996</v>
      </c>
      <c r="H6505" s="693">
        <v>5</v>
      </c>
      <c r="I6505" s="689">
        <v>4.5999999999999996</v>
      </c>
      <c r="J6505" s="689">
        <v>3.7</v>
      </c>
      <c r="K6505" s="689">
        <v>3.4</v>
      </c>
    </row>
    <row r="6506" spans="1:11">
      <c r="A6506" s="688" t="s">
        <v>26</v>
      </c>
      <c r="B6506" s="692" t="s">
        <v>4060</v>
      </c>
      <c r="C6506" s="691">
        <v>4.3</v>
      </c>
      <c r="D6506" s="691">
        <v>4.2</v>
      </c>
      <c r="E6506" s="691">
        <v>4.3</v>
      </c>
      <c r="F6506" s="691">
        <v>4.2</v>
      </c>
      <c r="G6506" s="691">
        <v>4.4000000000000004</v>
      </c>
      <c r="H6506" s="691">
        <v>4.3</v>
      </c>
      <c r="I6506" s="691">
        <v>3.7</v>
      </c>
      <c r="J6506" s="691">
        <v>4.0999999999999996</v>
      </c>
      <c r="K6506" s="691">
        <v>4.0999999999999996</v>
      </c>
    </row>
    <row r="6507" spans="1:11">
      <c r="A6507" s="688" t="s">
        <v>25</v>
      </c>
      <c r="B6507" s="690" t="s">
        <v>4060</v>
      </c>
      <c r="C6507" s="689">
        <v>4.4000000000000004</v>
      </c>
      <c r="D6507" s="689">
        <v>4.0999999999999996</v>
      </c>
      <c r="E6507" s="689">
        <v>4.3</v>
      </c>
      <c r="F6507" s="689">
        <v>4.2</v>
      </c>
      <c r="G6507" s="689">
        <v>4.5</v>
      </c>
      <c r="H6507" s="689">
        <v>4.8</v>
      </c>
      <c r="I6507" s="689">
        <v>4.5</v>
      </c>
      <c r="J6507" s="689">
        <v>3.8</v>
      </c>
      <c r="K6507" s="689">
        <v>3.8</v>
      </c>
    </row>
    <row r="6508" spans="1:11">
      <c r="A6508" s="688" t="s">
        <v>5</v>
      </c>
      <c r="B6508" s="692" t="s">
        <v>4060</v>
      </c>
      <c r="C6508" s="691">
        <v>4.2</v>
      </c>
      <c r="D6508" s="691">
        <v>4.2</v>
      </c>
      <c r="E6508" s="691">
        <v>4.2</v>
      </c>
      <c r="F6508" s="691">
        <v>4.3</v>
      </c>
      <c r="G6508" s="691">
        <v>4.3</v>
      </c>
      <c r="H6508" s="691">
        <v>4.4000000000000004</v>
      </c>
      <c r="I6508" s="691">
        <v>4.4000000000000004</v>
      </c>
      <c r="J6508" s="691">
        <v>4.3</v>
      </c>
      <c r="K6508" s="615">
        <v>4</v>
      </c>
    </row>
    <row r="6509" spans="1:11">
      <c r="A6509" s="688" t="s">
        <v>23</v>
      </c>
      <c r="B6509" s="690" t="s">
        <v>4060</v>
      </c>
      <c r="C6509" s="689">
        <v>4.3</v>
      </c>
      <c r="D6509" s="689">
        <v>4.2</v>
      </c>
      <c r="E6509" s="689">
        <v>4.2</v>
      </c>
      <c r="F6509" s="689">
        <v>4.2</v>
      </c>
      <c r="G6509" s="689">
        <v>4.3</v>
      </c>
      <c r="H6509" s="689">
        <v>4.5</v>
      </c>
      <c r="I6509" s="689">
        <v>4.0999999999999996</v>
      </c>
      <c r="J6509" s="689">
        <v>4.5</v>
      </c>
      <c r="K6509" s="689">
        <v>4.3</v>
      </c>
    </row>
    <row r="6510" spans="1:11">
      <c r="A6510" s="688" t="s">
        <v>4067</v>
      </c>
      <c r="B6510" s="692" t="s">
        <v>4060</v>
      </c>
      <c r="C6510" s="692" t="s">
        <v>4060</v>
      </c>
      <c r="D6510" s="692" t="s">
        <v>4060</v>
      </c>
      <c r="E6510" s="692" t="s">
        <v>4060</v>
      </c>
      <c r="F6510" s="692" t="s">
        <v>4060</v>
      </c>
      <c r="G6510" s="692" t="s">
        <v>4060</v>
      </c>
      <c r="H6510" s="692" t="s">
        <v>4060</v>
      </c>
      <c r="I6510" s="692" t="s">
        <v>4060</v>
      </c>
      <c r="J6510" s="692" t="s">
        <v>4060</v>
      </c>
      <c r="K6510" s="692" t="s">
        <v>4060</v>
      </c>
    </row>
    <row r="6511" spans="1:11">
      <c r="A6511" s="688" t="s">
        <v>4066</v>
      </c>
      <c r="B6511" s="690" t="s">
        <v>4060</v>
      </c>
      <c r="C6511" s="690" t="s">
        <v>4060</v>
      </c>
      <c r="D6511" s="690" t="s">
        <v>4060</v>
      </c>
      <c r="E6511" s="690" t="s">
        <v>4060</v>
      </c>
      <c r="F6511" s="690" t="s">
        <v>4060</v>
      </c>
      <c r="G6511" s="690" t="s">
        <v>4060</v>
      </c>
      <c r="H6511" s="690" t="s">
        <v>4060</v>
      </c>
      <c r="I6511" s="690" t="s">
        <v>4060</v>
      </c>
      <c r="J6511" s="690" t="s">
        <v>4060</v>
      </c>
      <c r="K6511" s="690" t="s">
        <v>4060</v>
      </c>
    </row>
    <row r="6512" spans="1:11">
      <c r="A6512" s="688" t="s">
        <v>4062</v>
      </c>
      <c r="B6512" s="692" t="s">
        <v>4060</v>
      </c>
      <c r="C6512" s="691">
        <v>4.4000000000000004</v>
      </c>
      <c r="D6512" s="691">
        <v>4.2</v>
      </c>
      <c r="E6512" s="691">
        <v>4.5</v>
      </c>
      <c r="F6512" s="691">
        <v>4.4000000000000004</v>
      </c>
      <c r="G6512" s="691">
        <v>4.5</v>
      </c>
      <c r="H6512" s="691">
        <v>4.5</v>
      </c>
      <c r="I6512" s="691">
        <v>4.3</v>
      </c>
      <c r="J6512" s="691">
        <v>4.5</v>
      </c>
      <c r="K6512" s="691">
        <v>4.2</v>
      </c>
    </row>
    <row r="6513" spans="1:11">
      <c r="A6513" s="688" t="s">
        <v>9</v>
      </c>
      <c r="B6513" s="690" t="s">
        <v>4060</v>
      </c>
      <c r="C6513" s="689">
        <v>4.0999999999999996</v>
      </c>
      <c r="D6513" s="689">
        <v>4.0999999999999996</v>
      </c>
      <c r="E6513" s="689">
        <v>4.0999999999999996</v>
      </c>
      <c r="F6513" s="689">
        <v>4.4000000000000004</v>
      </c>
      <c r="G6513" s="689">
        <v>4.5999999999999996</v>
      </c>
      <c r="H6513" s="689">
        <v>4.2</v>
      </c>
      <c r="I6513" s="689">
        <v>4.5</v>
      </c>
      <c r="J6513" s="689">
        <v>4.5</v>
      </c>
      <c r="K6513" s="693">
        <v>4</v>
      </c>
    </row>
    <row r="6514" spans="1:11">
      <c r="A6514" s="688" t="s">
        <v>13</v>
      </c>
      <c r="B6514" s="692" t="s">
        <v>4060</v>
      </c>
      <c r="C6514" s="691">
        <v>3.4</v>
      </c>
      <c r="D6514" s="691">
        <v>4.0999999999999996</v>
      </c>
      <c r="E6514" s="691">
        <v>4.3</v>
      </c>
      <c r="F6514" s="691">
        <v>4.5999999999999996</v>
      </c>
      <c r="G6514" s="615">
        <v>4</v>
      </c>
      <c r="H6514" s="691">
        <v>4.0999999999999996</v>
      </c>
      <c r="I6514" s="691">
        <v>3.6</v>
      </c>
      <c r="J6514" s="691">
        <v>4.4000000000000004</v>
      </c>
      <c r="K6514" s="691">
        <v>4.4000000000000004</v>
      </c>
    </row>
    <row r="6515" spans="1:11">
      <c r="A6515" s="688" t="s">
        <v>18</v>
      </c>
      <c r="B6515" s="690" t="s">
        <v>4060</v>
      </c>
      <c r="C6515" s="689">
        <v>4.3</v>
      </c>
      <c r="D6515" s="689">
        <v>4.3</v>
      </c>
      <c r="E6515" s="689">
        <v>4.3</v>
      </c>
      <c r="F6515" s="689">
        <v>4.3</v>
      </c>
      <c r="G6515" s="689">
        <v>4.4000000000000004</v>
      </c>
      <c r="H6515" s="689">
        <v>4.4000000000000004</v>
      </c>
      <c r="I6515" s="689">
        <v>4.5</v>
      </c>
      <c r="J6515" s="689">
        <v>4.5</v>
      </c>
      <c r="K6515" s="689">
        <v>4.0999999999999996</v>
      </c>
    </row>
    <row r="6516" spans="1:11">
      <c r="A6516" s="688" t="s">
        <v>24</v>
      </c>
      <c r="B6516" s="692" t="s">
        <v>4060</v>
      </c>
      <c r="C6516" s="691">
        <v>4.4000000000000004</v>
      </c>
      <c r="D6516" s="691">
        <v>4.2</v>
      </c>
      <c r="E6516" s="691">
        <v>4.5</v>
      </c>
      <c r="F6516" s="691">
        <v>4.4000000000000004</v>
      </c>
      <c r="G6516" s="691">
        <v>4.5</v>
      </c>
      <c r="H6516" s="691">
        <v>4.5999999999999996</v>
      </c>
      <c r="I6516" s="691">
        <v>4.0999999999999996</v>
      </c>
      <c r="J6516" s="691">
        <v>4.5</v>
      </c>
      <c r="K6516" s="691">
        <v>4.3</v>
      </c>
    </row>
    <row r="6517" spans="1:11">
      <c r="A6517" s="688" t="s">
        <v>4059</v>
      </c>
      <c r="B6517" s="690" t="s">
        <v>4060</v>
      </c>
      <c r="C6517" s="690" t="s">
        <v>4060</v>
      </c>
      <c r="D6517" s="690" t="s">
        <v>4060</v>
      </c>
      <c r="E6517" s="690" t="s">
        <v>4060</v>
      </c>
      <c r="F6517" s="690" t="s">
        <v>4060</v>
      </c>
      <c r="G6517" s="690" t="s">
        <v>4060</v>
      </c>
      <c r="H6517" s="690" t="s">
        <v>4060</v>
      </c>
      <c r="I6517" s="690" t="s">
        <v>4060</v>
      </c>
      <c r="J6517" s="690" t="s">
        <v>4060</v>
      </c>
      <c r="K6517" s="690" t="s">
        <v>4060</v>
      </c>
    </row>
    <row r="6518" spans="1:11">
      <c r="A6518" s="688" t="s">
        <v>2324</v>
      </c>
      <c r="B6518" s="692" t="s">
        <v>4060</v>
      </c>
      <c r="C6518" s="692" t="s">
        <v>4060</v>
      </c>
      <c r="D6518" s="692" t="s">
        <v>4060</v>
      </c>
      <c r="E6518" s="692" t="s">
        <v>4060</v>
      </c>
      <c r="F6518" s="692" t="s">
        <v>4060</v>
      </c>
      <c r="G6518" s="692" t="s">
        <v>4060</v>
      </c>
      <c r="H6518" s="692" t="s">
        <v>4060</v>
      </c>
      <c r="I6518" s="692" t="s">
        <v>4060</v>
      </c>
      <c r="J6518" s="692" t="s">
        <v>4060</v>
      </c>
      <c r="K6518" s="692" t="s">
        <v>4060</v>
      </c>
    </row>
    <row r="6519" spans="1:11">
      <c r="A6519" s="688" t="s">
        <v>2322</v>
      </c>
      <c r="B6519" s="690" t="s">
        <v>4060</v>
      </c>
      <c r="C6519" s="690" t="s">
        <v>4060</v>
      </c>
      <c r="D6519" s="690" t="s">
        <v>4060</v>
      </c>
      <c r="E6519" s="690" t="s">
        <v>4060</v>
      </c>
      <c r="F6519" s="690" t="s">
        <v>4060</v>
      </c>
      <c r="G6519" s="690" t="s">
        <v>4060</v>
      </c>
      <c r="H6519" s="690" t="s">
        <v>4060</v>
      </c>
      <c r="I6519" s="690" t="s">
        <v>4060</v>
      </c>
      <c r="J6519" s="690" t="s">
        <v>4060</v>
      </c>
      <c r="K6519" s="690" t="s">
        <v>4060</v>
      </c>
    </row>
    <row r="6520" spans="1:11">
      <c r="A6520" s="688" t="s">
        <v>2328</v>
      </c>
      <c r="B6520" s="692" t="s">
        <v>4060</v>
      </c>
      <c r="C6520" s="692" t="s">
        <v>4060</v>
      </c>
      <c r="D6520" s="692" t="s">
        <v>4060</v>
      </c>
      <c r="E6520" s="692" t="s">
        <v>4060</v>
      </c>
      <c r="F6520" s="692" t="s">
        <v>4060</v>
      </c>
      <c r="G6520" s="692" t="s">
        <v>4060</v>
      </c>
      <c r="H6520" s="692" t="s">
        <v>4060</v>
      </c>
      <c r="I6520" s="692" t="s">
        <v>4060</v>
      </c>
      <c r="J6520" s="692" t="s">
        <v>4060</v>
      </c>
      <c r="K6520" s="692" t="s">
        <v>4060</v>
      </c>
    </row>
    <row r="6521" spans="1:11">
      <c r="A6521" s="688" t="s">
        <v>2496</v>
      </c>
      <c r="B6521" s="690" t="s">
        <v>4060</v>
      </c>
      <c r="C6521" s="690" t="s">
        <v>4060</v>
      </c>
      <c r="D6521" s="690" t="s">
        <v>4060</v>
      </c>
      <c r="E6521" s="690" t="s">
        <v>4060</v>
      </c>
      <c r="F6521" s="690" t="s">
        <v>4060</v>
      </c>
      <c r="G6521" s="690" t="s">
        <v>4060</v>
      </c>
      <c r="H6521" s="690" t="s">
        <v>4060</v>
      </c>
      <c r="I6521" s="690" t="s">
        <v>4060</v>
      </c>
      <c r="J6521" s="690" t="s">
        <v>4060</v>
      </c>
      <c r="K6521" s="690" t="s">
        <v>4060</v>
      </c>
    </row>
    <row r="6522" spans="1:11">
      <c r="A6522" s="688" t="s">
        <v>2269</v>
      </c>
      <c r="B6522" s="692" t="s">
        <v>4060</v>
      </c>
      <c r="C6522" s="692" t="s">
        <v>4060</v>
      </c>
      <c r="D6522" s="692" t="s">
        <v>4060</v>
      </c>
      <c r="E6522" s="692" t="s">
        <v>4060</v>
      </c>
      <c r="F6522" s="692" t="s">
        <v>4060</v>
      </c>
      <c r="G6522" s="692" t="s">
        <v>4060</v>
      </c>
      <c r="H6522" s="692" t="s">
        <v>4060</v>
      </c>
      <c r="I6522" s="692" t="s">
        <v>4060</v>
      </c>
      <c r="J6522" s="692" t="s">
        <v>4060</v>
      </c>
      <c r="K6522" s="692" t="s">
        <v>4060</v>
      </c>
    </row>
    <row r="6523" spans="1:11">
      <c r="A6523" s="688" t="s">
        <v>2349</v>
      </c>
      <c r="B6523" s="690" t="s">
        <v>4060</v>
      </c>
      <c r="C6523" s="690" t="s">
        <v>4060</v>
      </c>
      <c r="D6523" s="690" t="s">
        <v>4060</v>
      </c>
      <c r="E6523" s="690" t="s">
        <v>4060</v>
      </c>
      <c r="F6523" s="690" t="s">
        <v>4060</v>
      </c>
      <c r="G6523" s="690" t="s">
        <v>4060</v>
      </c>
      <c r="H6523" s="690" t="s">
        <v>4060</v>
      </c>
      <c r="I6523" s="690" t="s">
        <v>4060</v>
      </c>
      <c r="J6523" s="690" t="s">
        <v>4060</v>
      </c>
      <c r="K6523" s="690" t="s">
        <v>4060</v>
      </c>
    </row>
    <row r="6524" spans="1:11">
      <c r="A6524" s="688" t="s">
        <v>2355</v>
      </c>
      <c r="B6524" s="692" t="s">
        <v>4060</v>
      </c>
      <c r="C6524" s="692" t="s">
        <v>4060</v>
      </c>
      <c r="D6524" s="692" t="s">
        <v>4060</v>
      </c>
      <c r="E6524" s="692" t="s">
        <v>4060</v>
      </c>
      <c r="F6524" s="692" t="s">
        <v>4060</v>
      </c>
      <c r="G6524" s="692" t="s">
        <v>4060</v>
      </c>
      <c r="H6524" s="692" t="s">
        <v>4060</v>
      </c>
      <c r="I6524" s="692" t="s">
        <v>4060</v>
      </c>
      <c r="J6524" s="692" t="s">
        <v>4060</v>
      </c>
      <c r="K6524" s="692" t="s">
        <v>4060</v>
      </c>
    </row>
    <row r="6525" spans="1:11">
      <c r="A6525" s="688" t="s">
        <v>2357</v>
      </c>
      <c r="B6525" s="690" t="s">
        <v>4060</v>
      </c>
      <c r="C6525" s="690" t="s">
        <v>4060</v>
      </c>
      <c r="D6525" s="690" t="s">
        <v>4060</v>
      </c>
      <c r="E6525" s="690" t="s">
        <v>4060</v>
      </c>
      <c r="F6525" s="690" t="s">
        <v>4060</v>
      </c>
      <c r="G6525" s="690" t="s">
        <v>4060</v>
      </c>
      <c r="H6525" s="690" t="s">
        <v>4060</v>
      </c>
      <c r="I6525" s="690" t="s">
        <v>4060</v>
      </c>
      <c r="J6525" s="690" t="s">
        <v>4060</v>
      </c>
      <c r="K6525" s="690" t="s">
        <v>4060</v>
      </c>
    </row>
    <row r="6526" spans="1:11">
      <c r="A6526" s="688" t="s">
        <v>4070</v>
      </c>
      <c r="B6526" s="692" t="s">
        <v>4060</v>
      </c>
      <c r="C6526" s="692" t="s">
        <v>4060</v>
      </c>
      <c r="D6526" s="692" t="s">
        <v>4060</v>
      </c>
      <c r="E6526" s="692" t="s">
        <v>4060</v>
      </c>
      <c r="F6526" s="692" t="s">
        <v>4060</v>
      </c>
      <c r="G6526" s="692" t="s">
        <v>4060</v>
      </c>
      <c r="H6526" s="692" t="s">
        <v>4060</v>
      </c>
      <c r="I6526" s="692" t="s">
        <v>4060</v>
      </c>
      <c r="J6526" s="692" t="s">
        <v>4060</v>
      </c>
      <c r="K6526" s="692" t="s">
        <v>4060</v>
      </c>
    </row>
    <row r="6527" spans="1:11">
      <c r="A6527" s="688" t="s">
        <v>2491</v>
      </c>
      <c r="B6527" s="690" t="s">
        <v>4060</v>
      </c>
      <c r="C6527" s="690" t="s">
        <v>4060</v>
      </c>
      <c r="D6527" s="690" t="s">
        <v>4060</v>
      </c>
      <c r="E6527" s="690" t="s">
        <v>4060</v>
      </c>
      <c r="F6527" s="690" t="s">
        <v>4060</v>
      </c>
      <c r="G6527" s="690" t="s">
        <v>4060</v>
      </c>
      <c r="H6527" s="690" t="s">
        <v>4060</v>
      </c>
      <c r="I6527" s="690" t="s">
        <v>4060</v>
      </c>
      <c r="J6527" s="690" t="s">
        <v>4060</v>
      </c>
      <c r="K6527" s="690" t="s">
        <v>4060</v>
      </c>
    </row>
    <row r="6528" spans="1:11">
      <c r="A6528" s="688" t="s">
        <v>2343</v>
      </c>
      <c r="B6528" s="692" t="s">
        <v>4060</v>
      </c>
      <c r="C6528" s="692" t="s">
        <v>4060</v>
      </c>
      <c r="D6528" s="692" t="s">
        <v>4060</v>
      </c>
      <c r="E6528" s="692" t="s">
        <v>4060</v>
      </c>
      <c r="F6528" s="692" t="s">
        <v>4060</v>
      </c>
      <c r="G6528" s="692" t="s">
        <v>4060</v>
      </c>
      <c r="H6528" s="692" t="s">
        <v>4060</v>
      </c>
      <c r="I6528" s="692" t="s">
        <v>4060</v>
      </c>
      <c r="J6528" s="692" t="s">
        <v>4060</v>
      </c>
      <c r="K6528" s="692" t="s">
        <v>4060</v>
      </c>
    </row>
    <row r="6529" spans="1:11">
      <c r="A6529" s="688" t="s">
        <v>4071</v>
      </c>
      <c r="B6529" s="690" t="s">
        <v>4060</v>
      </c>
      <c r="C6529" s="690" t="s">
        <v>4060</v>
      </c>
      <c r="D6529" s="690" t="s">
        <v>4060</v>
      </c>
      <c r="E6529" s="690" t="s">
        <v>4060</v>
      </c>
      <c r="F6529" s="690" t="s">
        <v>4060</v>
      </c>
      <c r="G6529" s="690" t="s">
        <v>4060</v>
      </c>
      <c r="H6529" s="690" t="s">
        <v>4060</v>
      </c>
      <c r="I6529" s="690" t="s">
        <v>4060</v>
      </c>
      <c r="J6529" s="690" t="s">
        <v>4060</v>
      </c>
      <c r="K6529" s="690" t="s">
        <v>4060</v>
      </c>
    </row>
    <row r="6530" spans="1:11">
      <c r="A6530" s="688" t="s">
        <v>2489</v>
      </c>
      <c r="B6530" s="692" t="s">
        <v>4060</v>
      </c>
      <c r="C6530" s="692" t="s">
        <v>4060</v>
      </c>
      <c r="D6530" s="692" t="s">
        <v>4060</v>
      </c>
      <c r="E6530" s="692" t="s">
        <v>4060</v>
      </c>
      <c r="F6530" s="692" t="s">
        <v>4060</v>
      </c>
      <c r="G6530" s="692" t="s">
        <v>4060</v>
      </c>
      <c r="H6530" s="692" t="s">
        <v>4060</v>
      </c>
      <c r="I6530" s="692" t="s">
        <v>4060</v>
      </c>
      <c r="J6530" s="692" t="s">
        <v>4060</v>
      </c>
      <c r="K6530" s="692" t="s">
        <v>4060</v>
      </c>
    </row>
    <row r="6531" spans="1:11">
      <c r="A6531" s="688" t="s">
        <v>2490</v>
      </c>
      <c r="B6531" s="690" t="s">
        <v>4060</v>
      </c>
      <c r="C6531" s="690" t="s">
        <v>4060</v>
      </c>
      <c r="D6531" s="690" t="s">
        <v>4060</v>
      </c>
      <c r="E6531" s="690" t="s">
        <v>4060</v>
      </c>
      <c r="F6531" s="690" t="s">
        <v>4060</v>
      </c>
      <c r="G6531" s="690" t="s">
        <v>4060</v>
      </c>
      <c r="H6531" s="690" t="s">
        <v>4060</v>
      </c>
      <c r="I6531" s="690" t="s">
        <v>4060</v>
      </c>
      <c r="J6531" s="690" t="s">
        <v>4060</v>
      </c>
      <c r="K6531" s="690" t="s">
        <v>4060</v>
      </c>
    </row>
    <row r="6533" spans="1:11">
      <c r="A6533" s="683" t="s">
        <v>4233</v>
      </c>
    </row>
    <row r="6534" spans="1:11">
      <c r="A6534" s="683" t="s">
        <v>4060</v>
      </c>
      <c r="B6534" s="682" t="s">
        <v>4234</v>
      </c>
    </row>
    <row r="6536" spans="1:11">
      <c r="A6536" s="682" t="s">
        <v>4248</v>
      </c>
    </row>
    <row r="6537" spans="1:11">
      <c r="A6537" s="682" t="s">
        <v>4210</v>
      </c>
      <c r="B6537" s="683" t="s">
        <v>4211</v>
      </c>
    </row>
    <row r="6538" spans="1:11">
      <c r="A6538" s="682" t="s">
        <v>4212</v>
      </c>
      <c r="B6538" s="682" t="s">
        <v>4213</v>
      </c>
    </row>
    <row r="6540" spans="1:11">
      <c r="A6540" s="683" t="s">
        <v>4214</v>
      </c>
      <c r="C6540" s="682" t="s">
        <v>4215</v>
      </c>
    </row>
    <row r="6541" spans="1:11">
      <c r="A6541" s="683" t="s">
        <v>4216</v>
      </c>
      <c r="C6541" s="682" t="s">
        <v>2967</v>
      </c>
    </row>
    <row r="6542" spans="1:11">
      <c r="A6542" s="683" t="s">
        <v>3893</v>
      </c>
      <c r="C6542" s="682" t="s">
        <v>4217</v>
      </c>
    </row>
    <row r="6543" spans="1:11">
      <c r="A6543" s="683" t="s">
        <v>4218</v>
      </c>
      <c r="C6543" s="682" t="s">
        <v>4326</v>
      </c>
    </row>
    <row r="6545" spans="1:11">
      <c r="A6545" s="684" t="s">
        <v>4220</v>
      </c>
      <c r="B6545" s="685" t="s">
        <v>4221</v>
      </c>
      <c r="C6545" s="685" t="s">
        <v>4222</v>
      </c>
      <c r="D6545" s="685" t="s">
        <v>4223</v>
      </c>
      <c r="E6545" s="685" t="s">
        <v>4224</v>
      </c>
      <c r="F6545" s="685" t="s">
        <v>4225</v>
      </c>
      <c r="G6545" s="685" t="s">
        <v>4226</v>
      </c>
      <c r="H6545" s="685" t="s">
        <v>4227</v>
      </c>
      <c r="I6545" s="685" t="s">
        <v>4228</v>
      </c>
      <c r="J6545" s="685" t="s">
        <v>4229</v>
      </c>
      <c r="K6545" s="685" t="s">
        <v>4230</v>
      </c>
    </row>
    <row r="6546" spans="1:11">
      <c r="A6546" s="686" t="s">
        <v>4231</v>
      </c>
      <c r="B6546" s="687" t="s">
        <v>4232</v>
      </c>
      <c r="C6546" s="687" t="s">
        <v>4232</v>
      </c>
      <c r="D6546" s="687" t="s">
        <v>4232</v>
      </c>
      <c r="E6546" s="687" t="s">
        <v>4232</v>
      </c>
      <c r="F6546" s="687" t="s">
        <v>4232</v>
      </c>
      <c r="G6546" s="687" t="s">
        <v>4232</v>
      </c>
      <c r="H6546" s="687" t="s">
        <v>4232</v>
      </c>
      <c r="I6546" s="687" t="s">
        <v>4232</v>
      </c>
      <c r="J6546" s="687" t="s">
        <v>4232</v>
      </c>
      <c r="K6546" s="687" t="s">
        <v>4232</v>
      </c>
    </row>
    <row r="6547" spans="1:11">
      <c r="A6547" s="688" t="s">
        <v>4064</v>
      </c>
      <c r="B6547" s="690" t="s">
        <v>4060</v>
      </c>
      <c r="C6547" s="689">
        <v>4.0999999999999996</v>
      </c>
      <c r="D6547" s="690" t="s">
        <v>4060</v>
      </c>
      <c r="E6547" s="689">
        <v>4.0999999999999996</v>
      </c>
      <c r="F6547" s="689">
        <v>4.0999999999999996</v>
      </c>
      <c r="G6547" s="689">
        <v>4.0999999999999996</v>
      </c>
      <c r="H6547" s="689">
        <v>4.2</v>
      </c>
      <c r="I6547" s="689">
        <v>3.9</v>
      </c>
      <c r="J6547" s="693">
        <v>4</v>
      </c>
      <c r="K6547" s="689">
        <v>3.8</v>
      </c>
    </row>
    <row r="6548" spans="1:11">
      <c r="A6548" s="688" t="s">
        <v>4065</v>
      </c>
      <c r="B6548" s="692" t="s">
        <v>4060</v>
      </c>
      <c r="C6548" s="692" t="s">
        <v>4060</v>
      </c>
      <c r="D6548" s="692" t="s">
        <v>4060</v>
      </c>
      <c r="E6548" s="692" t="s">
        <v>4060</v>
      </c>
      <c r="F6548" s="692" t="s">
        <v>4060</v>
      </c>
      <c r="G6548" s="692" t="s">
        <v>4060</v>
      </c>
      <c r="H6548" s="692" t="s">
        <v>4060</v>
      </c>
      <c r="I6548" s="692" t="s">
        <v>4060</v>
      </c>
      <c r="J6548" s="692" t="s">
        <v>4060</v>
      </c>
      <c r="K6548" s="692" t="s">
        <v>4060</v>
      </c>
    </row>
    <row r="6549" spans="1:11">
      <c r="A6549" s="688" t="s">
        <v>4063</v>
      </c>
      <c r="B6549" s="690" t="s">
        <v>4060</v>
      </c>
      <c r="C6549" s="690" t="s">
        <v>4060</v>
      </c>
      <c r="D6549" s="690" t="s">
        <v>4060</v>
      </c>
      <c r="E6549" s="690" t="s">
        <v>4060</v>
      </c>
      <c r="F6549" s="690" t="s">
        <v>4060</v>
      </c>
      <c r="G6549" s="690" t="s">
        <v>4060</v>
      </c>
      <c r="H6549" s="690" t="s">
        <v>4060</v>
      </c>
      <c r="I6549" s="690" t="s">
        <v>4060</v>
      </c>
      <c r="J6549" s="690" t="s">
        <v>4060</v>
      </c>
      <c r="K6549" s="690" t="s">
        <v>4060</v>
      </c>
    </row>
    <row r="6550" spans="1:11">
      <c r="A6550" s="688" t="s">
        <v>4069</v>
      </c>
      <c r="B6550" s="692" t="s">
        <v>4060</v>
      </c>
      <c r="C6550" s="691">
        <v>4.2</v>
      </c>
      <c r="D6550" s="615">
        <v>4</v>
      </c>
      <c r="E6550" s="691">
        <v>4.2</v>
      </c>
      <c r="F6550" s="691">
        <v>4.0999999999999996</v>
      </c>
      <c r="G6550" s="691">
        <v>4.0999999999999996</v>
      </c>
      <c r="H6550" s="691">
        <v>4.2</v>
      </c>
      <c r="I6550" s="691">
        <v>3.9</v>
      </c>
      <c r="J6550" s="691">
        <v>4.0999999999999996</v>
      </c>
      <c r="K6550" s="691">
        <v>3.9</v>
      </c>
    </row>
    <row r="6551" spans="1:11">
      <c r="A6551" s="688" t="s">
        <v>4068</v>
      </c>
      <c r="B6551" s="690" t="s">
        <v>4060</v>
      </c>
      <c r="C6551" s="690" t="s">
        <v>4060</v>
      </c>
      <c r="D6551" s="690" t="s">
        <v>4060</v>
      </c>
      <c r="E6551" s="690" t="s">
        <v>4060</v>
      </c>
      <c r="F6551" s="690" t="s">
        <v>4060</v>
      </c>
      <c r="G6551" s="690" t="s">
        <v>4060</v>
      </c>
      <c r="H6551" s="690" t="s">
        <v>4060</v>
      </c>
      <c r="I6551" s="690" t="s">
        <v>4060</v>
      </c>
      <c r="J6551" s="690" t="s">
        <v>4060</v>
      </c>
      <c r="K6551" s="690" t="s">
        <v>4060</v>
      </c>
    </row>
    <row r="6552" spans="1:11">
      <c r="A6552" s="688" t="s">
        <v>0</v>
      </c>
      <c r="B6552" s="692" t="s">
        <v>4060</v>
      </c>
      <c r="C6552" s="691">
        <v>4.0999999999999996</v>
      </c>
      <c r="D6552" s="691">
        <v>3.9</v>
      </c>
      <c r="E6552" s="691">
        <v>4.0999999999999996</v>
      </c>
      <c r="F6552" s="615">
        <v>4</v>
      </c>
      <c r="G6552" s="615">
        <v>4</v>
      </c>
      <c r="H6552" s="691">
        <v>4.2</v>
      </c>
      <c r="I6552" s="691">
        <v>3.6</v>
      </c>
      <c r="J6552" s="691">
        <v>4.3</v>
      </c>
      <c r="K6552" s="615">
        <v>4</v>
      </c>
    </row>
    <row r="6553" spans="1:11">
      <c r="A6553" s="688" t="s">
        <v>1</v>
      </c>
      <c r="B6553" s="690" t="s">
        <v>4060</v>
      </c>
      <c r="C6553" s="689">
        <v>3.1</v>
      </c>
      <c r="D6553" s="689">
        <v>2.9</v>
      </c>
      <c r="E6553" s="689">
        <v>3.1</v>
      </c>
      <c r="F6553" s="693">
        <v>3</v>
      </c>
      <c r="G6553" s="693">
        <v>3</v>
      </c>
      <c r="H6553" s="693">
        <v>3</v>
      </c>
      <c r="I6553" s="689">
        <v>2.8</v>
      </c>
      <c r="J6553" s="689">
        <v>2.6</v>
      </c>
      <c r="K6553" s="689">
        <v>2.9</v>
      </c>
    </row>
    <row r="6554" spans="1:11">
      <c r="A6554" s="688" t="s">
        <v>2240</v>
      </c>
      <c r="B6554" s="692" t="s">
        <v>4060</v>
      </c>
      <c r="C6554" s="691">
        <v>3.5</v>
      </c>
      <c r="D6554" s="691">
        <v>3.4</v>
      </c>
      <c r="E6554" s="691">
        <v>3.7</v>
      </c>
      <c r="F6554" s="691">
        <v>3.5</v>
      </c>
      <c r="G6554" s="691">
        <v>3.6</v>
      </c>
      <c r="H6554" s="691">
        <v>3.6</v>
      </c>
      <c r="I6554" s="691">
        <v>3.2</v>
      </c>
      <c r="J6554" s="691">
        <v>3.2</v>
      </c>
      <c r="K6554" s="691">
        <v>3.3</v>
      </c>
    </row>
    <row r="6555" spans="1:11">
      <c r="A6555" s="688" t="s">
        <v>2</v>
      </c>
      <c r="B6555" s="690" t="s">
        <v>4060</v>
      </c>
      <c r="C6555" s="689">
        <v>4.0999999999999996</v>
      </c>
      <c r="D6555" s="693">
        <v>4</v>
      </c>
      <c r="E6555" s="693">
        <v>4</v>
      </c>
      <c r="F6555" s="693">
        <v>4</v>
      </c>
      <c r="G6555" s="689">
        <v>3.9</v>
      </c>
      <c r="H6555" s="693">
        <v>4</v>
      </c>
      <c r="I6555" s="693">
        <v>4</v>
      </c>
      <c r="J6555" s="689">
        <v>3.9</v>
      </c>
      <c r="K6555" s="689">
        <v>3.8</v>
      </c>
    </row>
    <row r="6556" spans="1:11">
      <c r="A6556" s="688" t="s">
        <v>3</v>
      </c>
      <c r="B6556" s="692" t="s">
        <v>4060</v>
      </c>
      <c r="C6556" s="691">
        <v>3.9</v>
      </c>
      <c r="D6556" s="691">
        <v>3.8</v>
      </c>
      <c r="E6556" s="691">
        <v>3.9</v>
      </c>
      <c r="F6556" s="691">
        <v>3.8</v>
      </c>
      <c r="G6556" s="691">
        <v>3.8</v>
      </c>
      <c r="H6556" s="691">
        <v>3.9</v>
      </c>
      <c r="I6556" s="691">
        <v>3.8</v>
      </c>
      <c r="J6556" s="691">
        <v>3.8</v>
      </c>
      <c r="K6556" s="691">
        <v>3.5</v>
      </c>
    </row>
    <row r="6557" spans="1:11">
      <c r="A6557" s="688" t="s">
        <v>4061</v>
      </c>
      <c r="B6557" s="690" t="s">
        <v>4060</v>
      </c>
      <c r="C6557" s="689">
        <v>3.9</v>
      </c>
      <c r="D6557" s="689">
        <v>3.8</v>
      </c>
      <c r="E6557" s="689">
        <v>3.9</v>
      </c>
      <c r="F6557" s="689">
        <v>3.8</v>
      </c>
      <c r="G6557" s="689">
        <v>3.8</v>
      </c>
      <c r="H6557" s="689">
        <v>3.9</v>
      </c>
      <c r="I6557" s="689">
        <v>3.8</v>
      </c>
      <c r="J6557" s="689">
        <v>3.8</v>
      </c>
      <c r="K6557" s="689">
        <v>3.5</v>
      </c>
    </row>
    <row r="6558" spans="1:11">
      <c r="A6558" s="688" t="s">
        <v>4</v>
      </c>
      <c r="B6558" s="692" t="s">
        <v>4060</v>
      </c>
      <c r="C6558" s="691">
        <v>3.7</v>
      </c>
      <c r="D6558" s="691">
        <v>3.9</v>
      </c>
      <c r="E6558" s="615">
        <v>4</v>
      </c>
      <c r="F6558" s="691">
        <v>4.0999999999999996</v>
      </c>
      <c r="G6558" s="691">
        <v>3.9</v>
      </c>
      <c r="H6558" s="691">
        <v>4.0999999999999996</v>
      </c>
      <c r="I6558" s="615">
        <v>4</v>
      </c>
      <c r="J6558" s="691">
        <v>3.6</v>
      </c>
      <c r="K6558" s="691">
        <v>3.6</v>
      </c>
    </row>
    <row r="6559" spans="1:11">
      <c r="A6559" s="688" t="s">
        <v>8</v>
      </c>
      <c r="B6559" s="690" t="s">
        <v>4060</v>
      </c>
      <c r="C6559" s="693">
        <v>4</v>
      </c>
      <c r="D6559" s="689">
        <v>3.7</v>
      </c>
      <c r="E6559" s="689">
        <v>3.9</v>
      </c>
      <c r="F6559" s="693">
        <v>4</v>
      </c>
      <c r="G6559" s="689">
        <v>4.0999999999999996</v>
      </c>
      <c r="H6559" s="689">
        <v>4.0999999999999996</v>
      </c>
      <c r="I6559" s="689">
        <v>4.2</v>
      </c>
      <c r="J6559" s="689">
        <v>4.0999999999999996</v>
      </c>
      <c r="K6559" s="689">
        <v>4.0999999999999996</v>
      </c>
    </row>
    <row r="6560" spans="1:11">
      <c r="A6560" s="688" t="s">
        <v>7</v>
      </c>
      <c r="B6560" s="692" t="s">
        <v>4060</v>
      </c>
      <c r="C6560" s="691">
        <v>3.3</v>
      </c>
      <c r="D6560" s="691">
        <v>3.2</v>
      </c>
      <c r="E6560" s="691">
        <v>3.5</v>
      </c>
      <c r="F6560" s="691">
        <v>3.4</v>
      </c>
      <c r="G6560" s="691">
        <v>3.8</v>
      </c>
      <c r="H6560" s="691">
        <v>3.8</v>
      </c>
      <c r="I6560" s="691">
        <v>3.9</v>
      </c>
      <c r="J6560" s="691">
        <v>3.7</v>
      </c>
      <c r="K6560" s="691">
        <v>3.6</v>
      </c>
    </row>
    <row r="6561" spans="1:11">
      <c r="A6561" s="688" t="s">
        <v>27</v>
      </c>
      <c r="B6561" s="690" t="s">
        <v>4060</v>
      </c>
      <c r="C6561" s="689">
        <v>4.5</v>
      </c>
      <c r="D6561" s="689">
        <v>4.2</v>
      </c>
      <c r="E6561" s="689">
        <v>4.4000000000000004</v>
      </c>
      <c r="F6561" s="689">
        <v>4.3</v>
      </c>
      <c r="G6561" s="689">
        <v>4.4000000000000004</v>
      </c>
      <c r="H6561" s="689">
        <v>4.5</v>
      </c>
      <c r="I6561" s="693">
        <v>4</v>
      </c>
      <c r="J6561" s="689">
        <v>4.4000000000000004</v>
      </c>
      <c r="K6561" s="689">
        <v>4.2</v>
      </c>
    </row>
    <row r="6562" spans="1:11">
      <c r="A6562" s="688" t="s">
        <v>6</v>
      </c>
      <c r="B6562" s="692" t="s">
        <v>4060</v>
      </c>
      <c r="C6562" s="691">
        <v>4.5999999999999996</v>
      </c>
      <c r="D6562" s="691">
        <v>4.4000000000000004</v>
      </c>
      <c r="E6562" s="691">
        <v>4.5999999999999996</v>
      </c>
      <c r="F6562" s="691">
        <v>4.5999999999999996</v>
      </c>
      <c r="G6562" s="691">
        <v>4.5999999999999996</v>
      </c>
      <c r="H6562" s="691">
        <v>4.5999999999999996</v>
      </c>
      <c r="I6562" s="691">
        <v>4.3</v>
      </c>
      <c r="J6562" s="691">
        <v>4.5</v>
      </c>
      <c r="K6562" s="691">
        <v>4.3</v>
      </c>
    </row>
    <row r="6563" spans="1:11">
      <c r="A6563" s="688" t="s">
        <v>4058</v>
      </c>
      <c r="B6563" s="690" t="s">
        <v>4060</v>
      </c>
      <c r="C6563" s="690" t="s">
        <v>4060</v>
      </c>
      <c r="D6563" s="690" t="s">
        <v>4060</v>
      </c>
      <c r="E6563" s="690" t="s">
        <v>4060</v>
      </c>
      <c r="F6563" s="690" t="s">
        <v>4060</v>
      </c>
      <c r="G6563" s="690" t="s">
        <v>4060</v>
      </c>
      <c r="H6563" s="690" t="s">
        <v>4060</v>
      </c>
      <c r="I6563" s="690" t="s">
        <v>4060</v>
      </c>
      <c r="J6563" s="690" t="s">
        <v>4060</v>
      </c>
      <c r="K6563" s="690" t="s">
        <v>4060</v>
      </c>
    </row>
    <row r="6564" spans="1:11">
      <c r="A6564" s="688" t="s">
        <v>11</v>
      </c>
      <c r="B6564" s="692" t="s">
        <v>4060</v>
      </c>
      <c r="C6564" s="691">
        <v>3.3</v>
      </c>
      <c r="D6564" s="691">
        <v>3.2</v>
      </c>
      <c r="E6564" s="691">
        <v>3.4</v>
      </c>
      <c r="F6564" s="691">
        <v>3.3</v>
      </c>
      <c r="G6564" s="691">
        <v>3.3</v>
      </c>
      <c r="H6564" s="691">
        <v>3.4</v>
      </c>
      <c r="I6564" s="691">
        <v>3.1</v>
      </c>
      <c r="J6564" s="615">
        <v>3</v>
      </c>
      <c r="K6564" s="691">
        <v>2.8</v>
      </c>
    </row>
    <row r="6565" spans="1:11">
      <c r="A6565" s="688" t="s">
        <v>10</v>
      </c>
      <c r="B6565" s="690" t="s">
        <v>4060</v>
      </c>
      <c r="C6565" s="689">
        <v>4.2</v>
      </c>
      <c r="D6565" s="689">
        <v>3.9</v>
      </c>
      <c r="E6565" s="689">
        <v>4.2</v>
      </c>
      <c r="F6565" s="693">
        <v>4</v>
      </c>
      <c r="G6565" s="689">
        <v>4.2</v>
      </c>
      <c r="H6565" s="689">
        <v>4.2</v>
      </c>
      <c r="I6565" s="689">
        <v>3.8</v>
      </c>
      <c r="J6565" s="693">
        <v>4</v>
      </c>
      <c r="K6565" s="689">
        <v>3.8</v>
      </c>
    </row>
    <row r="6566" spans="1:11">
      <c r="A6566" s="688" t="s">
        <v>30</v>
      </c>
      <c r="B6566" s="692" t="s">
        <v>4060</v>
      </c>
      <c r="C6566" s="691">
        <v>3.8</v>
      </c>
      <c r="D6566" s="691">
        <v>3.5</v>
      </c>
      <c r="E6566" s="691">
        <v>3.8</v>
      </c>
      <c r="F6566" s="691">
        <v>3.6</v>
      </c>
      <c r="G6566" s="691">
        <v>3.9</v>
      </c>
      <c r="H6566" s="691">
        <v>3.7</v>
      </c>
      <c r="I6566" s="615">
        <v>4</v>
      </c>
      <c r="J6566" s="691">
        <v>3.7</v>
      </c>
      <c r="K6566" s="691">
        <v>3.3</v>
      </c>
    </row>
    <row r="6567" spans="1:11">
      <c r="A6567" s="688" t="s">
        <v>12</v>
      </c>
      <c r="B6567" s="690" t="s">
        <v>4060</v>
      </c>
      <c r="C6567" s="689">
        <v>3.6</v>
      </c>
      <c r="D6567" s="689">
        <v>3.5</v>
      </c>
      <c r="E6567" s="689">
        <v>3.6</v>
      </c>
      <c r="F6567" s="689">
        <v>3.6</v>
      </c>
      <c r="G6567" s="689">
        <v>3.6</v>
      </c>
      <c r="H6567" s="689">
        <v>3.7</v>
      </c>
      <c r="I6567" s="689">
        <v>3.5</v>
      </c>
      <c r="J6567" s="689">
        <v>3.2</v>
      </c>
      <c r="K6567" s="689">
        <v>3.3</v>
      </c>
    </row>
    <row r="6568" spans="1:11">
      <c r="A6568" s="688" t="s">
        <v>14</v>
      </c>
      <c r="B6568" s="692" t="s">
        <v>4060</v>
      </c>
      <c r="C6568" s="615">
        <v>3</v>
      </c>
      <c r="D6568" s="691">
        <v>2.7</v>
      </c>
      <c r="E6568" s="691">
        <v>2.7</v>
      </c>
      <c r="F6568" s="691">
        <v>2.7</v>
      </c>
      <c r="G6568" s="691">
        <v>2.7</v>
      </c>
      <c r="H6568" s="691">
        <v>2.8</v>
      </c>
      <c r="I6568" s="615">
        <v>3</v>
      </c>
      <c r="J6568" s="691">
        <v>3.1</v>
      </c>
      <c r="K6568" s="691">
        <v>3.1</v>
      </c>
    </row>
    <row r="6569" spans="1:11">
      <c r="A6569" s="688" t="s">
        <v>15</v>
      </c>
      <c r="B6569" s="690" t="s">
        <v>4060</v>
      </c>
      <c r="C6569" s="689">
        <v>4.4000000000000004</v>
      </c>
      <c r="D6569" s="689">
        <v>3.9</v>
      </c>
      <c r="E6569" s="693">
        <v>4</v>
      </c>
      <c r="F6569" s="689">
        <v>4.3</v>
      </c>
      <c r="G6569" s="689">
        <v>4.2</v>
      </c>
      <c r="H6569" s="689">
        <v>4.2</v>
      </c>
      <c r="I6569" s="689">
        <v>3.8</v>
      </c>
      <c r="J6569" s="689">
        <v>4.2</v>
      </c>
      <c r="K6569" s="689">
        <v>4.3</v>
      </c>
    </row>
    <row r="6570" spans="1:11">
      <c r="A6570" s="688" t="s">
        <v>29</v>
      </c>
      <c r="B6570" s="692" t="s">
        <v>4060</v>
      </c>
      <c r="C6570" s="691">
        <v>3.8</v>
      </c>
      <c r="D6570" s="691">
        <v>3.5</v>
      </c>
      <c r="E6570" s="691">
        <v>3.8</v>
      </c>
      <c r="F6570" s="691">
        <v>3.7</v>
      </c>
      <c r="G6570" s="691">
        <v>3.7</v>
      </c>
      <c r="H6570" s="691">
        <v>3.8</v>
      </c>
      <c r="I6570" s="691">
        <v>3.7</v>
      </c>
      <c r="J6570" s="691">
        <v>3.7</v>
      </c>
      <c r="K6570" s="691">
        <v>3.5</v>
      </c>
    </row>
    <row r="6571" spans="1:11">
      <c r="A6571" s="688" t="s">
        <v>16</v>
      </c>
      <c r="B6571" s="690" t="s">
        <v>4060</v>
      </c>
      <c r="C6571" s="689">
        <v>4.2</v>
      </c>
      <c r="D6571" s="689">
        <v>3.9</v>
      </c>
      <c r="E6571" s="693">
        <v>4</v>
      </c>
      <c r="F6571" s="689">
        <v>3.9</v>
      </c>
      <c r="G6571" s="693">
        <v>4</v>
      </c>
      <c r="H6571" s="689">
        <v>4.2</v>
      </c>
      <c r="I6571" s="689">
        <v>3.8</v>
      </c>
      <c r="J6571" s="689">
        <v>4.0999999999999996</v>
      </c>
      <c r="K6571" s="689">
        <v>3.9</v>
      </c>
    </row>
    <row r="6572" spans="1:11">
      <c r="A6572" s="688" t="s">
        <v>17</v>
      </c>
      <c r="B6572" s="692" t="s">
        <v>4060</v>
      </c>
      <c r="C6572" s="691">
        <v>3.9</v>
      </c>
      <c r="D6572" s="691">
        <v>3.8</v>
      </c>
      <c r="E6572" s="691">
        <v>3.8</v>
      </c>
      <c r="F6572" s="691">
        <v>3.8</v>
      </c>
      <c r="G6572" s="691">
        <v>3.8</v>
      </c>
      <c r="H6572" s="691">
        <v>3.9</v>
      </c>
      <c r="I6572" s="691">
        <v>3.6</v>
      </c>
      <c r="J6572" s="691">
        <v>3.6</v>
      </c>
      <c r="K6572" s="691">
        <v>3.6</v>
      </c>
    </row>
    <row r="6573" spans="1:11">
      <c r="A6573" s="688" t="s">
        <v>19</v>
      </c>
      <c r="B6573" s="690" t="s">
        <v>4060</v>
      </c>
      <c r="C6573" s="689">
        <v>3.9</v>
      </c>
      <c r="D6573" s="689">
        <v>3.8</v>
      </c>
      <c r="E6573" s="693">
        <v>4</v>
      </c>
      <c r="F6573" s="689">
        <v>3.9</v>
      </c>
      <c r="G6573" s="689">
        <v>3.9</v>
      </c>
      <c r="H6573" s="689">
        <v>3.9</v>
      </c>
      <c r="I6573" s="689">
        <v>3.7</v>
      </c>
      <c r="J6573" s="689">
        <v>3.7</v>
      </c>
      <c r="K6573" s="689">
        <v>3.6</v>
      </c>
    </row>
    <row r="6574" spans="1:11">
      <c r="A6574" s="688" t="s">
        <v>20</v>
      </c>
      <c r="B6574" s="692" t="s">
        <v>4060</v>
      </c>
      <c r="C6574" s="691">
        <v>4.0999999999999996</v>
      </c>
      <c r="D6574" s="691">
        <v>3.9</v>
      </c>
      <c r="E6574" s="691">
        <v>4.2</v>
      </c>
      <c r="F6574" s="691">
        <v>4.0999999999999996</v>
      </c>
      <c r="G6574" s="691">
        <v>4.0999999999999996</v>
      </c>
      <c r="H6574" s="691">
        <v>4.3</v>
      </c>
      <c r="I6574" s="691">
        <v>3.7</v>
      </c>
      <c r="J6574" s="691">
        <v>3.4</v>
      </c>
      <c r="K6574" s="691">
        <v>3.7</v>
      </c>
    </row>
    <row r="6575" spans="1:11">
      <c r="A6575" s="688" t="s">
        <v>21</v>
      </c>
      <c r="B6575" s="690" t="s">
        <v>4060</v>
      </c>
      <c r="C6575" s="689">
        <v>4.2</v>
      </c>
      <c r="D6575" s="689">
        <v>4.0999999999999996</v>
      </c>
      <c r="E6575" s="689">
        <v>4.2</v>
      </c>
      <c r="F6575" s="689">
        <v>4.3</v>
      </c>
      <c r="G6575" s="689">
        <v>4.2</v>
      </c>
      <c r="H6575" s="689">
        <v>4.3</v>
      </c>
      <c r="I6575" s="693">
        <v>4</v>
      </c>
      <c r="J6575" s="693">
        <v>4</v>
      </c>
      <c r="K6575" s="689">
        <v>3.9</v>
      </c>
    </row>
    <row r="6576" spans="1:11">
      <c r="A6576" s="688" t="s">
        <v>22</v>
      </c>
      <c r="B6576" s="692" t="s">
        <v>4060</v>
      </c>
      <c r="C6576" s="691">
        <v>3.8</v>
      </c>
      <c r="D6576" s="691">
        <v>3.9</v>
      </c>
      <c r="E6576" s="691">
        <v>4.3</v>
      </c>
      <c r="F6576" s="691">
        <v>4.4000000000000004</v>
      </c>
      <c r="G6576" s="691">
        <v>4.5</v>
      </c>
      <c r="H6576" s="691">
        <v>4.9000000000000004</v>
      </c>
      <c r="I6576" s="691">
        <v>4.5999999999999996</v>
      </c>
      <c r="J6576" s="691">
        <v>3.6</v>
      </c>
      <c r="K6576" s="691">
        <v>3.2</v>
      </c>
    </row>
    <row r="6577" spans="1:11">
      <c r="A6577" s="688" t="s">
        <v>26</v>
      </c>
      <c r="B6577" s="690" t="s">
        <v>4060</v>
      </c>
      <c r="C6577" s="693">
        <v>4</v>
      </c>
      <c r="D6577" s="689">
        <v>3.9</v>
      </c>
      <c r="E6577" s="693">
        <v>4</v>
      </c>
      <c r="F6577" s="689">
        <v>3.9</v>
      </c>
      <c r="G6577" s="689">
        <v>4.0999999999999996</v>
      </c>
      <c r="H6577" s="693">
        <v>4</v>
      </c>
      <c r="I6577" s="689">
        <v>3.4</v>
      </c>
      <c r="J6577" s="689">
        <v>3.8</v>
      </c>
      <c r="K6577" s="689">
        <v>3.8</v>
      </c>
    </row>
    <row r="6578" spans="1:11">
      <c r="A6578" s="688" t="s">
        <v>25</v>
      </c>
      <c r="B6578" s="692" t="s">
        <v>4060</v>
      </c>
      <c r="C6578" s="691">
        <v>4.3</v>
      </c>
      <c r="D6578" s="691">
        <v>3.9</v>
      </c>
      <c r="E6578" s="691">
        <v>4.0999999999999996</v>
      </c>
      <c r="F6578" s="691">
        <v>4.0999999999999996</v>
      </c>
      <c r="G6578" s="691">
        <v>4.4000000000000004</v>
      </c>
      <c r="H6578" s="691">
        <v>4.5999999999999996</v>
      </c>
      <c r="I6578" s="691">
        <v>4.4000000000000004</v>
      </c>
      <c r="J6578" s="691">
        <v>3.7</v>
      </c>
      <c r="K6578" s="691">
        <v>3.6</v>
      </c>
    </row>
    <row r="6579" spans="1:11">
      <c r="A6579" s="688" t="s">
        <v>5</v>
      </c>
      <c r="B6579" s="690" t="s">
        <v>4060</v>
      </c>
      <c r="C6579" s="689">
        <v>3.9</v>
      </c>
      <c r="D6579" s="689">
        <v>3.9</v>
      </c>
      <c r="E6579" s="689">
        <v>3.9</v>
      </c>
      <c r="F6579" s="693">
        <v>4</v>
      </c>
      <c r="G6579" s="689">
        <v>3.9</v>
      </c>
      <c r="H6579" s="689">
        <v>4.0999999999999996</v>
      </c>
      <c r="I6579" s="689">
        <v>4.0999999999999996</v>
      </c>
      <c r="J6579" s="689">
        <v>3.9</v>
      </c>
      <c r="K6579" s="689">
        <v>3.7</v>
      </c>
    </row>
    <row r="6580" spans="1:11">
      <c r="A6580" s="688" t="s">
        <v>23</v>
      </c>
      <c r="B6580" s="692" t="s">
        <v>4060</v>
      </c>
      <c r="C6580" s="615">
        <v>4</v>
      </c>
      <c r="D6580" s="691">
        <v>3.9</v>
      </c>
      <c r="E6580" s="691">
        <v>3.9</v>
      </c>
      <c r="F6580" s="691">
        <v>3.9</v>
      </c>
      <c r="G6580" s="615">
        <v>4</v>
      </c>
      <c r="H6580" s="691">
        <v>4.0999999999999996</v>
      </c>
      <c r="I6580" s="691">
        <v>3.8</v>
      </c>
      <c r="J6580" s="691">
        <v>4.2</v>
      </c>
      <c r="K6580" s="615">
        <v>4</v>
      </c>
    </row>
    <row r="6581" spans="1:11">
      <c r="A6581" s="688" t="s">
        <v>4067</v>
      </c>
      <c r="B6581" s="690" t="s">
        <v>4060</v>
      </c>
      <c r="C6581" s="690" t="s">
        <v>4060</v>
      </c>
      <c r="D6581" s="690" t="s">
        <v>4060</v>
      </c>
      <c r="E6581" s="690" t="s">
        <v>4060</v>
      </c>
      <c r="F6581" s="690" t="s">
        <v>4060</v>
      </c>
      <c r="G6581" s="690" t="s">
        <v>4060</v>
      </c>
      <c r="H6581" s="690" t="s">
        <v>4060</v>
      </c>
      <c r="I6581" s="690" t="s">
        <v>4060</v>
      </c>
      <c r="J6581" s="690" t="s">
        <v>4060</v>
      </c>
      <c r="K6581" s="690" t="s">
        <v>4060</v>
      </c>
    </row>
    <row r="6582" spans="1:11">
      <c r="A6582" s="688" t="s">
        <v>4066</v>
      </c>
      <c r="B6582" s="692" t="s">
        <v>4060</v>
      </c>
      <c r="C6582" s="692" t="s">
        <v>4060</v>
      </c>
      <c r="D6582" s="692" t="s">
        <v>4060</v>
      </c>
      <c r="E6582" s="692" t="s">
        <v>4060</v>
      </c>
      <c r="F6582" s="692" t="s">
        <v>4060</v>
      </c>
      <c r="G6582" s="692" t="s">
        <v>4060</v>
      </c>
      <c r="H6582" s="692" t="s">
        <v>4060</v>
      </c>
      <c r="I6582" s="692" t="s">
        <v>4060</v>
      </c>
      <c r="J6582" s="692" t="s">
        <v>4060</v>
      </c>
      <c r="K6582" s="692" t="s">
        <v>4060</v>
      </c>
    </row>
    <row r="6583" spans="1:11">
      <c r="A6583" s="688" t="s">
        <v>4062</v>
      </c>
      <c r="B6583" s="690" t="s">
        <v>4060</v>
      </c>
      <c r="C6583" s="693">
        <v>4</v>
      </c>
      <c r="D6583" s="689">
        <v>3.9</v>
      </c>
      <c r="E6583" s="689">
        <v>4.0999999999999996</v>
      </c>
      <c r="F6583" s="689">
        <v>4.0999999999999996</v>
      </c>
      <c r="G6583" s="689">
        <v>4.0999999999999996</v>
      </c>
      <c r="H6583" s="689">
        <v>4.2</v>
      </c>
      <c r="I6583" s="689">
        <v>3.9</v>
      </c>
      <c r="J6583" s="689">
        <v>4.0999999999999996</v>
      </c>
      <c r="K6583" s="689">
        <v>3.9</v>
      </c>
    </row>
    <row r="6584" spans="1:11">
      <c r="A6584" s="688" t="s">
        <v>9</v>
      </c>
      <c r="B6584" s="692" t="s">
        <v>4060</v>
      </c>
      <c r="C6584" s="691">
        <v>3.9</v>
      </c>
      <c r="D6584" s="691">
        <v>3.7</v>
      </c>
      <c r="E6584" s="691">
        <v>3.9</v>
      </c>
      <c r="F6584" s="615">
        <v>4</v>
      </c>
      <c r="G6584" s="691">
        <v>4.0999999999999996</v>
      </c>
      <c r="H6584" s="691">
        <v>3.9</v>
      </c>
      <c r="I6584" s="691">
        <v>4.0999999999999996</v>
      </c>
      <c r="J6584" s="691">
        <v>4.0999999999999996</v>
      </c>
      <c r="K6584" s="691">
        <v>3.8</v>
      </c>
    </row>
    <row r="6585" spans="1:11">
      <c r="A6585" s="688" t="s">
        <v>13</v>
      </c>
      <c r="B6585" s="690" t="s">
        <v>4060</v>
      </c>
      <c r="C6585" s="689">
        <v>3.2</v>
      </c>
      <c r="D6585" s="693">
        <v>4</v>
      </c>
      <c r="E6585" s="689">
        <v>3.9</v>
      </c>
      <c r="F6585" s="689">
        <v>4.2</v>
      </c>
      <c r="G6585" s="689">
        <v>3.6</v>
      </c>
      <c r="H6585" s="689">
        <v>3.7</v>
      </c>
      <c r="I6585" s="689">
        <v>3.4</v>
      </c>
      <c r="J6585" s="689">
        <v>4.4000000000000004</v>
      </c>
      <c r="K6585" s="693">
        <v>4</v>
      </c>
    </row>
    <row r="6586" spans="1:11">
      <c r="A6586" s="688" t="s">
        <v>18</v>
      </c>
      <c r="B6586" s="692" t="s">
        <v>4060</v>
      </c>
      <c r="C6586" s="615">
        <v>4</v>
      </c>
      <c r="D6586" s="615">
        <v>4</v>
      </c>
      <c r="E6586" s="615">
        <v>4</v>
      </c>
      <c r="F6586" s="615">
        <v>4</v>
      </c>
      <c r="G6586" s="615">
        <v>4</v>
      </c>
      <c r="H6586" s="691">
        <v>4.0999999999999996</v>
      </c>
      <c r="I6586" s="691">
        <v>4.2</v>
      </c>
      <c r="J6586" s="691">
        <v>4.0999999999999996</v>
      </c>
      <c r="K6586" s="691">
        <v>3.8</v>
      </c>
    </row>
    <row r="6587" spans="1:11">
      <c r="A6587" s="688" t="s">
        <v>24</v>
      </c>
      <c r="B6587" s="690" t="s">
        <v>4060</v>
      </c>
      <c r="C6587" s="689">
        <v>4.0999999999999996</v>
      </c>
      <c r="D6587" s="689">
        <v>3.9</v>
      </c>
      <c r="E6587" s="689">
        <v>4.2</v>
      </c>
      <c r="F6587" s="689">
        <v>4.0999999999999996</v>
      </c>
      <c r="G6587" s="689">
        <v>4.2</v>
      </c>
      <c r="H6587" s="689">
        <v>4.2</v>
      </c>
      <c r="I6587" s="689">
        <v>3.8</v>
      </c>
      <c r="J6587" s="689">
        <v>4.2</v>
      </c>
      <c r="K6587" s="693">
        <v>4</v>
      </c>
    </row>
    <row r="6588" spans="1:11">
      <c r="A6588" s="688" t="s">
        <v>4059</v>
      </c>
      <c r="B6588" s="692" t="s">
        <v>4060</v>
      </c>
      <c r="C6588" s="692" t="s">
        <v>4060</v>
      </c>
      <c r="D6588" s="692" t="s">
        <v>4060</v>
      </c>
      <c r="E6588" s="692" t="s">
        <v>4060</v>
      </c>
      <c r="F6588" s="692" t="s">
        <v>4060</v>
      </c>
      <c r="G6588" s="692" t="s">
        <v>4060</v>
      </c>
      <c r="H6588" s="692" t="s">
        <v>4060</v>
      </c>
      <c r="I6588" s="692" t="s">
        <v>4060</v>
      </c>
      <c r="J6588" s="692" t="s">
        <v>4060</v>
      </c>
      <c r="K6588" s="692" t="s">
        <v>4060</v>
      </c>
    </row>
    <row r="6589" spans="1:11">
      <c r="A6589" s="688" t="s">
        <v>2324</v>
      </c>
      <c r="B6589" s="690" t="s">
        <v>4060</v>
      </c>
      <c r="C6589" s="690" t="s">
        <v>4060</v>
      </c>
      <c r="D6589" s="690" t="s">
        <v>4060</v>
      </c>
      <c r="E6589" s="690" t="s">
        <v>4060</v>
      </c>
      <c r="F6589" s="690" t="s">
        <v>4060</v>
      </c>
      <c r="G6589" s="690" t="s">
        <v>4060</v>
      </c>
      <c r="H6589" s="690" t="s">
        <v>4060</v>
      </c>
      <c r="I6589" s="690" t="s">
        <v>4060</v>
      </c>
      <c r="J6589" s="690" t="s">
        <v>4060</v>
      </c>
      <c r="K6589" s="690" t="s">
        <v>4060</v>
      </c>
    </row>
    <row r="6590" spans="1:11">
      <c r="A6590" s="688" t="s">
        <v>2322</v>
      </c>
      <c r="B6590" s="692" t="s">
        <v>4060</v>
      </c>
      <c r="C6590" s="692" t="s">
        <v>4060</v>
      </c>
      <c r="D6590" s="692" t="s">
        <v>4060</v>
      </c>
      <c r="E6590" s="692" t="s">
        <v>4060</v>
      </c>
      <c r="F6590" s="692" t="s">
        <v>4060</v>
      </c>
      <c r="G6590" s="692" t="s">
        <v>4060</v>
      </c>
      <c r="H6590" s="692" t="s">
        <v>4060</v>
      </c>
      <c r="I6590" s="692" t="s">
        <v>4060</v>
      </c>
      <c r="J6590" s="692" t="s">
        <v>4060</v>
      </c>
      <c r="K6590" s="692" t="s">
        <v>4060</v>
      </c>
    </row>
    <row r="6591" spans="1:11">
      <c r="A6591" s="688" t="s">
        <v>2328</v>
      </c>
      <c r="B6591" s="690" t="s">
        <v>4060</v>
      </c>
      <c r="C6591" s="690" t="s">
        <v>4060</v>
      </c>
      <c r="D6591" s="690" t="s">
        <v>4060</v>
      </c>
      <c r="E6591" s="690" t="s">
        <v>4060</v>
      </c>
      <c r="F6591" s="690" t="s">
        <v>4060</v>
      </c>
      <c r="G6591" s="690" t="s">
        <v>4060</v>
      </c>
      <c r="H6591" s="690" t="s">
        <v>4060</v>
      </c>
      <c r="I6591" s="690" t="s">
        <v>4060</v>
      </c>
      <c r="J6591" s="690" t="s">
        <v>4060</v>
      </c>
      <c r="K6591" s="690" t="s">
        <v>4060</v>
      </c>
    </row>
    <row r="6592" spans="1:11">
      <c r="A6592" s="688" t="s">
        <v>2496</v>
      </c>
      <c r="B6592" s="692" t="s">
        <v>4060</v>
      </c>
      <c r="C6592" s="692" t="s">
        <v>4060</v>
      </c>
      <c r="D6592" s="692" t="s">
        <v>4060</v>
      </c>
      <c r="E6592" s="692" t="s">
        <v>4060</v>
      </c>
      <c r="F6592" s="692" t="s">
        <v>4060</v>
      </c>
      <c r="G6592" s="692" t="s">
        <v>4060</v>
      </c>
      <c r="H6592" s="692" t="s">
        <v>4060</v>
      </c>
      <c r="I6592" s="692" t="s">
        <v>4060</v>
      </c>
      <c r="J6592" s="692" t="s">
        <v>4060</v>
      </c>
      <c r="K6592" s="692" t="s">
        <v>4060</v>
      </c>
    </row>
    <row r="6593" spans="1:11">
      <c r="A6593" s="688" t="s">
        <v>2269</v>
      </c>
      <c r="B6593" s="690" t="s">
        <v>4060</v>
      </c>
      <c r="C6593" s="690" t="s">
        <v>4060</v>
      </c>
      <c r="D6593" s="690" t="s">
        <v>4060</v>
      </c>
      <c r="E6593" s="690" t="s">
        <v>4060</v>
      </c>
      <c r="F6593" s="690" t="s">
        <v>4060</v>
      </c>
      <c r="G6593" s="690" t="s">
        <v>4060</v>
      </c>
      <c r="H6593" s="690" t="s">
        <v>4060</v>
      </c>
      <c r="I6593" s="690" t="s">
        <v>4060</v>
      </c>
      <c r="J6593" s="690" t="s">
        <v>4060</v>
      </c>
      <c r="K6593" s="690" t="s">
        <v>4060</v>
      </c>
    </row>
    <row r="6594" spans="1:11">
      <c r="A6594" s="688" t="s">
        <v>2349</v>
      </c>
      <c r="B6594" s="692" t="s">
        <v>4060</v>
      </c>
      <c r="C6594" s="692" t="s">
        <v>4060</v>
      </c>
      <c r="D6594" s="692" t="s">
        <v>4060</v>
      </c>
      <c r="E6594" s="692" t="s">
        <v>4060</v>
      </c>
      <c r="F6594" s="692" t="s">
        <v>4060</v>
      </c>
      <c r="G6594" s="692" t="s">
        <v>4060</v>
      </c>
      <c r="H6594" s="692" t="s">
        <v>4060</v>
      </c>
      <c r="I6594" s="692" t="s">
        <v>4060</v>
      </c>
      <c r="J6594" s="692" t="s">
        <v>4060</v>
      </c>
      <c r="K6594" s="692" t="s">
        <v>4060</v>
      </c>
    </row>
    <row r="6595" spans="1:11">
      <c r="A6595" s="688" t="s">
        <v>2355</v>
      </c>
      <c r="B6595" s="690" t="s">
        <v>4060</v>
      </c>
      <c r="C6595" s="690" t="s">
        <v>4060</v>
      </c>
      <c r="D6595" s="690" t="s">
        <v>4060</v>
      </c>
      <c r="E6595" s="690" t="s">
        <v>4060</v>
      </c>
      <c r="F6595" s="690" t="s">
        <v>4060</v>
      </c>
      <c r="G6595" s="690" t="s">
        <v>4060</v>
      </c>
      <c r="H6595" s="690" t="s">
        <v>4060</v>
      </c>
      <c r="I6595" s="690" t="s">
        <v>4060</v>
      </c>
      <c r="J6595" s="690" t="s">
        <v>4060</v>
      </c>
      <c r="K6595" s="690" t="s">
        <v>4060</v>
      </c>
    </row>
    <row r="6596" spans="1:11">
      <c r="A6596" s="688" t="s">
        <v>2357</v>
      </c>
      <c r="B6596" s="692" t="s">
        <v>4060</v>
      </c>
      <c r="C6596" s="692" t="s">
        <v>4060</v>
      </c>
      <c r="D6596" s="692" t="s">
        <v>4060</v>
      </c>
      <c r="E6596" s="692" t="s">
        <v>4060</v>
      </c>
      <c r="F6596" s="692" t="s">
        <v>4060</v>
      </c>
      <c r="G6596" s="692" t="s">
        <v>4060</v>
      </c>
      <c r="H6596" s="692" t="s">
        <v>4060</v>
      </c>
      <c r="I6596" s="692" t="s">
        <v>4060</v>
      </c>
      <c r="J6596" s="692" t="s">
        <v>4060</v>
      </c>
      <c r="K6596" s="692" t="s">
        <v>4060</v>
      </c>
    </row>
    <row r="6597" spans="1:11">
      <c r="A6597" s="688" t="s">
        <v>4070</v>
      </c>
      <c r="B6597" s="690" t="s">
        <v>4060</v>
      </c>
      <c r="C6597" s="690" t="s">
        <v>4060</v>
      </c>
      <c r="D6597" s="690" t="s">
        <v>4060</v>
      </c>
      <c r="E6597" s="690" t="s">
        <v>4060</v>
      </c>
      <c r="F6597" s="690" t="s">
        <v>4060</v>
      </c>
      <c r="G6597" s="690" t="s">
        <v>4060</v>
      </c>
      <c r="H6597" s="690" t="s">
        <v>4060</v>
      </c>
      <c r="I6597" s="690" t="s">
        <v>4060</v>
      </c>
      <c r="J6597" s="690" t="s">
        <v>4060</v>
      </c>
      <c r="K6597" s="690" t="s">
        <v>4060</v>
      </c>
    </row>
    <row r="6598" spans="1:11">
      <c r="A6598" s="688" t="s">
        <v>2491</v>
      </c>
      <c r="B6598" s="692" t="s">
        <v>4060</v>
      </c>
      <c r="C6598" s="692" t="s">
        <v>4060</v>
      </c>
      <c r="D6598" s="692" t="s">
        <v>4060</v>
      </c>
      <c r="E6598" s="692" t="s">
        <v>4060</v>
      </c>
      <c r="F6598" s="692" t="s">
        <v>4060</v>
      </c>
      <c r="G6598" s="692" t="s">
        <v>4060</v>
      </c>
      <c r="H6598" s="692" t="s">
        <v>4060</v>
      </c>
      <c r="I6598" s="692" t="s">
        <v>4060</v>
      </c>
      <c r="J6598" s="692" t="s">
        <v>4060</v>
      </c>
      <c r="K6598" s="692" t="s">
        <v>4060</v>
      </c>
    </row>
    <row r="6599" spans="1:11">
      <c r="A6599" s="688" t="s">
        <v>2343</v>
      </c>
      <c r="B6599" s="690" t="s">
        <v>4060</v>
      </c>
      <c r="C6599" s="690" t="s">
        <v>4060</v>
      </c>
      <c r="D6599" s="690" t="s">
        <v>4060</v>
      </c>
      <c r="E6599" s="690" t="s">
        <v>4060</v>
      </c>
      <c r="F6599" s="690" t="s">
        <v>4060</v>
      </c>
      <c r="G6599" s="690" t="s">
        <v>4060</v>
      </c>
      <c r="H6599" s="690" t="s">
        <v>4060</v>
      </c>
      <c r="I6599" s="690" t="s">
        <v>4060</v>
      </c>
      <c r="J6599" s="690" t="s">
        <v>4060</v>
      </c>
      <c r="K6599" s="690" t="s">
        <v>4060</v>
      </c>
    </row>
    <row r="6600" spans="1:11">
      <c r="A6600" s="688" t="s">
        <v>4071</v>
      </c>
      <c r="B6600" s="692" t="s">
        <v>4060</v>
      </c>
      <c r="C6600" s="692" t="s">
        <v>4060</v>
      </c>
      <c r="D6600" s="692" t="s">
        <v>4060</v>
      </c>
      <c r="E6600" s="692" t="s">
        <v>4060</v>
      </c>
      <c r="F6600" s="692" t="s">
        <v>4060</v>
      </c>
      <c r="G6600" s="692" t="s">
        <v>4060</v>
      </c>
      <c r="H6600" s="692" t="s">
        <v>4060</v>
      </c>
      <c r="I6600" s="692" t="s">
        <v>4060</v>
      </c>
      <c r="J6600" s="692" t="s">
        <v>4060</v>
      </c>
      <c r="K6600" s="692" t="s">
        <v>4060</v>
      </c>
    </row>
    <row r="6601" spans="1:11">
      <c r="A6601" s="688" t="s">
        <v>2489</v>
      </c>
      <c r="B6601" s="690" t="s">
        <v>4060</v>
      </c>
      <c r="C6601" s="690" t="s">
        <v>4060</v>
      </c>
      <c r="D6601" s="690" t="s">
        <v>4060</v>
      </c>
      <c r="E6601" s="690" t="s">
        <v>4060</v>
      </c>
      <c r="F6601" s="690" t="s">
        <v>4060</v>
      </c>
      <c r="G6601" s="690" t="s">
        <v>4060</v>
      </c>
      <c r="H6601" s="690" t="s">
        <v>4060</v>
      </c>
      <c r="I6601" s="690" t="s">
        <v>4060</v>
      </c>
      <c r="J6601" s="690" t="s">
        <v>4060</v>
      </c>
      <c r="K6601" s="690" t="s">
        <v>4060</v>
      </c>
    </row>
    <row r="6602" spans="1:11">
      <c r="A6602" s="688" t="s">
        <v>2490</v>
      </c>
      <c r="B6602" s="692" t="s">
        <v>4060</v>
      </c>
      <c r="C6602" s="692" t="s">
        <v>4060</v>
      </c>
      <c r="D6602" s="692" t="s">
        <v>4060</v>
      </c>
      <c r="E6602" s="692" t="s">
        <v>4060</v>
      </c>
      <c r="F6602" s="692" t="s">
        <v>4060</v>
      </c>
      <c r="G6602" s="692" t="s">
        <v>4060</v>
      </c>
      <c r="H6602" s="692" t="s">
        <v>4060</v>
      </c>
      <c r="I6602" s="692" t="s">
        <v>4060</v>
      </c>
      <c r="J6602" s="692" t="s">
        <v>4060</v>
      </c>
      <c r="K6602" s="692" t="s">
        <v>4060</v>
      </c>
    </row>
    <row r="6604" spans="1:11">
      <c r="A6604" s="683" t="s">
        <v>4233</v>
      </c>
    </row>
    <row r="6605" spans="1:11">
      <c r="A6605" s="683" t="s">
        <v>4060</v>
      </c>
      <c r="B6605" s="682" t="s">
        <v>4234</v>
      </c>
    </row>
    <row r="6607" spans="1:11">
      <c r="A6607" s="682" t="s">
        <v>4248</v>
      </c>
    </row>
    <row r="6608" spans="1:11">
      <c r="A6608" s="682" t="s">
        <v>4210</v>
      </c>
      <c r="B6608" s="683" t="s">
        <v>4211</v>
      </c>
    </row>
    <row r="6609" spans="1:11">
      <c r="A6609" s="682" t="s">
        <v>4212</v>
      </c>
      <c r="B6609" s="682" t="s">
        <v>4213</v>
      </c>
    </row>
    <row r="6611" spans="1:11">
      <c r="A6611" s="683" t="s">
        <v>4214</v>
      </c>
      <c r="C6611" s="682" t="s">
        <v>4215</v>
      </c>
    </row>
    <row r="6612" spans="1:11">
      <c r="A6612" s="683" t="s">
        <v>4216</v>
      </c>
      <c r="C6612" s="682" t="s">
        <v>2967</v>
      </c>
    </row>
    <row r="6613" spans="1:11">
      <c r="A6613" s="683" t="s">
        <v>3893</v>
      </c>
      <c r="C6613" s="682" t="s">
        <v>4217</v>
      </c>
    </row>
    <row r="6614" spans="1:11">
      <c r="A6614" s="683" t="s">
        <v>4218</v>
      </c>
      <c r="C6614" s="682" t="s">
        <v>4327</v>
      </c>
    </row>
    <row r="6616" spans="1:11">
      <c r="A6616" s="684" t="s">
        <v>4220</v>
      </c>
      <c r="B6616" s="685" t="s">
        <v>4221</v>
      </c>
      <c r="C6616" s="685" t="s">
        <v>4222</v>
      </c>
      <c r="D6616" s="685" t="s">
        <v>4223</v>
      </c>
      <c r="E6616" s="685" t="s">
        <v>4224</v>
      </c>
      <c r="F6616" s="685" t="s">
        <v>4225</v>
      </c>
      <c r="G6616" s="685" t="s">
        <v>4226</v>
      </c>
      <c r="H6616" s="685" t="s">
        <v>4227</v>
      </c>
      <c r="I6616" s="685" t="s">
        <v>4228</v>
      </c>
      <c r="J6616" s="685" t="s">
        <v>4229</v>
      </c>
      <c r="K6616" s="685" t="s">
        <v>4230</v>
      </c>
    </row>
    <row r="6617" spans="1:11">
      <c r="A6617" s="686" t="s">
        <v>4231</v>
      </c>
      <c r="B6617" s="687" t="s">
        <v>4232</v>
      </c>
      <c r="C6617" s="687" t="s">
        <v>4232</v>
      </c>
      <c r="D6617" s="687" t="s">
        <v>4232</v>
      </c>
      <c r="E6617" s="687" t="s">
        <v>4232</v>
      </c>
      <c r="F6617" s="687" t="s">
        <v>4232</v>
      </c>
      <c r="G6617" s="687" t="s">
        <v>4232</v>
      </c>
      <c r="H6617" s="687" t="s">
        <v>4232</v>
      </c>
      <c r="I6617" s="687" t="s">
        <v>4232</v>
      </c>
      <c r="J6617" s="687" t="s">
        <v>4232</v>
      </c>
      <c r="K6617" s="687" t="s">
        <v>4232</v>
      </c>
    </row>
    <row r="6618" spans="1:11">
      <c r="A6618" s="688" t="s">
        <v>4064</v>
      </c>
      <c r="B6618" s="692" t="s">
        <v>4060</v>
      </c>
      <c r="C6618" s="691">
        <v>3.8</v>
      </c>
      <c r="D6618" s="692" t="s">
        <v>4060</v>
      </c>
      <c r="E6618" s="691">
        <v>3.9</v>
      </c>
      <c r="F6618" s="691">
        <v>3.8</v>
      </c>
      <c r="G6618" s="691">
        <v>3.8</v>
      </c>
      <c r="H6618" s="691">
        <v>3.9</v>
      </c>
      <c r="I6618" s="691">
        <v>3.6</v>
      </c>
      <c r="J6618" s="691">
        <v>3.7</v>
      </c>
      <c r="K6618" s="691">
        <v>3.5</v>
      </c>
    </row>
    <row r="6619" spans="1:11">
      <c r="A6619" s="688" t="s">
        <v>4065</v>
      </c>
      <c r="B6619" s="690" t="s">
        <v>4060</v>
      </c>
      <c r="C6619" s="690" t="s">
        <v>4060</v>
      </c>
      <c r="D6619" s="690" t="s">
        <v>4060</v>
      </c>
      <c r="E6619" s="690" t="s">
        <v>4060</v>
      </c>
      <c r="F6619" s="690" t="s">
        <v>4060</v>
      </c>
      <c r="G6619" s="690" t="s">
        <v>4060</v>
      </c>
      <c r="H6619" s="690" t="s">
        <v>4060</v>
      </c>
      <c r="I6619" s="690" t="s">
        <v>4060</v>
      </c>
      <c r="J6619" s="690" t="s">
        <v>4060</v>
      </c>
      <c r="K6619" s="690" t="s">
        <v>4060</v>
      </c>
    </row>
    <row r="6620" spans="1:11">
      <c r="A6620" s="688" t="s">
        <v>4063</v>
      </c>
      <c r="B6620" s="692" t="s">
        <v>4060</v>
      </c>
      <c r="C6620" s="692" t="s">
        <v>4060</v>
      </c>
      <c r="D6620" s="692" t="s">
        <v>4060</v>
      </c>
      <c r="E6620" s="692" t="s">
        <v>4060</v>
      </c>
      <c r="F6620" s="692" t="s">
        <v>4060</v>
      </c>
      <c r="G6620" s="692" t="s">
        <v>4060</v>
      </c>
      <c r="H6620" s="692" t="s">
        <v>4060</v>
      </c>
      <c r="I6620" s="692" t="s">
        <v>4060</v>
      </c>
      <c r="J6620" s="692" t="s">
        <v>4060</v>
      </c>
      <c r="K6620" s="692" t="s">
        <v>4060</v>
      </c>
    </row>
    <row r="6621" spans="1:11">
      <c r="A6621" s="688" t="s">
        <v>4069</v>
      </c>
      <c r="B6621" s="690" t="s">
        <v>4060</v>
      </c>
      <c r="C6621" s="689">
        <v>3.9</v>
      </c>
      <c r="D6621" s="689">
        <v>3.7</v>
      </c>
      <c r="E6621" s="689">
        <v>3.9</v>
      </c>
      <c r="F6621" s="689">
        <v>3.8</v>
      </c>
      <c r="G6621" s="689">
        <v>3.8</v>
      </c>
      <c r="H6621" s="689">
        <v>3.9</v>
      </c>
      <c r="I6621" s="689">
        <v>3.6</v>
      </c>
      <c r="J6621" s="689">
        <v>3.8</v>
      </c>
      <c r="K6621" s="689">
        <v>3.6</v>
      </c>
    </row>
    <row r="6622" spans="1:11">
      <c r="A6622" s="688" t="s">
        <v>4068</v>
      </c>
      <c r="B6622" s="692" t="s">
        <v>4060</v>
      </c>
      <c r="C6622" s="692" t="s">
        <v>4060</v>
      </c>
      <c r="D6622" s="692" t="s">
        <v>4060</v>
      </c>
      <c r="E6622" s="692" t="s">
        <v>4060</v>
      </c>
      <c r="F6622" s="692" t="s">
        <v>4060</v>
      </c>
      <c r="G6622" s="692" t="s">
        <v>4060</v>
      </c>
      <c r="H6622" s="692" t="s">
        <v>4060</v>
      </c>
      <c r="I6622" s="692" t="s">
        <v>4060</v>
      </c>
      <c r="J6622" s="692" t="s">
        <v>4060</v>
      </c>
      <c r="K6622" s="692" t="s">
        <v>4060</v>
      </c>
    </row>
    <row r="6623" spans="1:11">
      <c r="A6623" s="688" t="s">
        <v>0</v>
      </c>
      <c r="B6623" s="690" t="s">
        <v>4060</v>
      </c>
      <c r="C6623" s="689">
        <v>3.8</v>
      </c>
      <c r="D6623" s="689">
        <v>3.6</v>
      </c>
      <c r="E6623" s="689">
        <v>3.8</v>
      </c>
      <c r="F6623" s="689">
        <v>3.7</v>
      </c>
      <c r="G6623" s="689">
        <v>3.7</v>
      </c>
      <c r="H6623" s="689">
        <v>3.9</v>
      </c>
      <c r="I6623" s="689">
        <v>3.3</v>
      </c>
      <c r="J6623" s="693">
        <v>4</v>
      </c>
      <c r="K6623" s="689">
        <v>3.6</v>
      </c>
    </row>
    <row r="6624" spans="1:11">
      <c r="A6624" s="688" t="s">
        <v>1</v>
      </c>
      <c r="B6624" s="692" t="s">
        <v>4060</v>
      </c>
      <c r="C6624" s="691">
        <v>2.9</v>
      </c>
      <c r="D6624" s="691">
        <v>2.7</v>
      </c>
      <c r="E6624" s="691">
        <v>2.9</v>
      </c>
      <c r="F6624" s="691">
        <v>2.8</v>
      </c>
      <c r="G6624" s="691">
        <v>2.8</v>
      </c>
      <c r="H6624" s="691">
        <v>2.8</v>
      </c>
      <c r="I6624" s="691">
        <v>2.6</v>
      </c>
      <c r="J6624" s="691">
        <v>2.4</v>
      </c>
      <c r="K6624" s="691">
        <v>2.7</v>
      </c>
    </row>
    <row r="6625" spans="1:11">
      <c r="A6625" s="688" t="s">
        <v>2240</v>
      </c>
      <c r="B6625" s="690" t="s">
        <v>4060</v>
      </c>
      <c r="C6625" s="689">
        <v>3.3</v>
      </c>
      <c r="D6625" s="689">
        <v>3.1</v>
      </c>
      <c r="E6625" s="689">
        <v>3.4</v>
      </c>
      <c r="F6625" s="689">
        <v>3.3</v>
      </c>
      <c r="G6625" s="689">
        <v>3.3</v>
      </c>
      <c r="H6625" s="689">
        <v>3.3</v>
      </c>
      <c r="I6625" s="689">
        <v>2.9</v>
      </c>
      <c r="J6625" s="693">
        <v>3</v>
      </c>
      <c r="K6625" s="693">
        <v>3</v>
      </c>
    </row>
    <row r="6626" spans="1:11">
      <c r="A6626" s="688" t="s">
        <v>2</v>
      </c>
      <c r="B6626" s="692" t="s">
        <v>4060</v>
      </c>
      <c r="C6626" s="691">
        <v>3.8</v>
      </c>
      <c r="D6626" s="691">
        <v>3.7</v>
      </c>
      <c r="E6626" s="691">
        <v>3.7</v>
      </c>
      <c r="F6626" s="691">
        <v>3.6</v>
      </c>
      <c r="G6626" s="691">
        <v>3.6</v>
      </c>
      <c r="H6626" s="691">
        <v>3.7</v>
      </c>
      <c r="I6626" s="691">
        <v>3.7</v>
      </c>
      <c r="J6626" s="691">
        <v>3.5</v>
      </c>
      <c r="K6626" s="691">
        <v>3.5</v>
      </c>
    </row>
    <row r="6627" spans="1:11">
      <c r="A6627" s="688" t="s">
        <v>3</v>
      </c>
      <c r="B6627" s="690" t="s">
        <v>4060</v>
      </c>
      <c r="C6627" s="689">
        <v>3.6</v>
      </c>
      <c r="D6627" s="689">
        <v>3.5</v>
      </c>
      <c r="E6627" s="689">
        <v>3.7</v>
      </c>
      <c r="F6627" s="689">
        <v>3.6</v>
      </c>
      <c r="G6627" s="689">
        <v>3.5</v>
      </c>
      <c r="H6627" s="689">
        <v>3.6</v>
      </c>
      <c r="I6627" s="689">
        <v>3.5</v>
      </c>
      <c r="J6627" s="689">
        <v>3.5</v>
      </c>
      <c r="K6627" s="689">
        <v>3.2</v>
      </c>
    </row>
    <row r="6628" spans="1:11">
      <c r="A6628" s="688" t="s">
        <v>4061</v>
      </c>
      <c r="B6628" s="692" t="s">
        <v>4060</v>
      </c>
      <c r="C6628" s="691">
        <v>3.6</v>
      </c>
      <c r="D6628" s="691">
        <v>3.5</v>
      </c>
      <c r="E6628" s="691">
        <v>3.7</v>
      </c>
      <c r="F6628" s="691">
        <v>3.6</v>
      </c>
      <c r="G6628" s="691">
        <v>3.5</v>
      </c>
      <c r="H6628" s="691">
        <v>3.6</v>
      </c>
      <c r="I6628" s="691">
        <v>3.5</v>
      </c>
      <c r="J6628" s="691">
        <v>3.5</v>
      </c>
      <c r="K6628" s="691">
        <v>3.2</v>
      </c>
    </row>
    <row r="6629" spans="1:11">
      <c r="A6629" s="688" t="s">
        <v>4</v>
      </c>
      <c r="B6629" s="690" t="s">
        <v>4060</v>
      </c>
      <c r="C6629" s="689">
        <v>3.4</v>
      </c>
      <c r="D6629" s="689">
        <v>3.6</v>
      </c>
      <c r="E6629" s="689">
        <v>3.7</v>
      </c>
      <c r="F6629" s="689">
        <v>3.8</v>
      </c>
      <c r="G6629" s="689">
        <v>3.6</v>
      </c>
      <c r="H6629" s="689">
        <v>3.9</v>
      </c>
      <c r="I6629" s="689">
        <v>3.8</v>
      </c>
      <c r="J6629" s="689">
        <v>3.3</v>
      </c>
      <c r="K6629" s="689">
        <v>3.4</v>
      </c>
    </row>
    <row r="6630" spans="1:11">
      <c r="A6630" s="688" t="s">
        <v>8</v>
      </c>
      <c r="B6630" s="692" t="s">
        <v>4060</v>
      </c>
      <c r="C6630" s="691">
        <v>3.8</v>
      </c>
      <c r="D6630" s="691">
        <v>3.5</v>
      </c>
      <c r="E6630" s="691">
        <v>3.6</v>
      </c>
      <c r="F6630" s="691">
        <v>3.9</v>
      </c>
      <c r="G6630" s="691">
        <v>3.8</v>
      </c>
      <c r="H6630" s="691">
        <v>3.8</v>
      </c>
      <c r="I6630" s="691">
        <v>3.9</v>
      </c>
      <c r="J6630" s="691">
        <v>3.8</v>
      </c>
      <c r="K6630" s="691">
        <v>3.9</v>
      </c>
    </row>
    <row r="6631" spans="1:11">
      <c r="A6631" s="688" t="s">
        <v>7</v>
      </c>
      <c r="B6631" s="690" t="s">
        <v>4060</v>
      </c>
      <c r="C6631" s="689">
        <v>2.9</v>
      </c>
      <c r="D6631" s="689">
        <v>2.8</v>
      </c>
      <c r="E6631" s="689">
        <v>3.1</v>
      </c>
      <c r="F6631" s="689">
        <v>3.1</v>
      </c>
      <c r="G6631" s="689">
        <v>3.4</v>
      </c>
      <c r="H6631" s="689">
        <v>3.5</v>
      </c>
      <c r="I6631" s="689">
        <v>3.6</v>
      </c>
      <c r="J6631" s="689">
        <v>3.4</v>
      </c>
      <c r="K6631" s="689">
        <v>3.4</v>
      </c>
    </row>
    <row r="6632" spans="1:11">
      <c r="A6632" s="688" t="s">
        <v>27</v>
      </c>
      <c r="B6632" s="692" t="s">
        <v>4060</v>
      </c>
      <c r="C6632" s="691">
        <v>4.2</v>
      </c>
      <c r="D6632" s="691">
        <v>3.9</v>
      </c>
      <c r="E6632" s="691">
        <v>4.0999999999999996</v>
      </c>
      <c r="F6632" s="615">
        <v>4</v>
      </c>
      <c r="G6632" s="691">
        <v>4.0999999999999996</v>
      </c>
      <c r="H6632" s="691">
        <v>4.2</v>
      </c>
      <c r="I6632" s="691">
        <v>3.7</v>
      </c>
      <c r="J6632" s="691">
        <v>4.0999999999999996</v>
      </c>
      <c r="K6632" s="691">
        <v>3.9</v>
      </c>
    </row>
    <row r="6633" spans="1:11">
      <c r="A6633" s="688" t="s">
        <v>6</v>
      </c>
      <c r="B6633" s="690" t="s">
        <v>4060</v>
      </c>
      <c r="C6633" s="689">
        <v>4.2</v>
      </c>
      <c r="D6633" s="693">
        <v>4</v>
      </c>
      <c r="E6633" s="689">
        <v>4.2</v>
      </c>
      <c r="F6633" s="689">
        <v>4.2</v>
      </c>
      <c r="G6633" s="689">
        <v>4.3</v>
      </c>
      <c r="H6633" s="689">
        <v>4.3</v>
      </c>
      <c r="I6633" s="693">
        <v>4</v>
      </c>
      <c r="J6633" s="689">
        <v>4.0999999999999996</v>
      </c>
      <c r="K6633" s="693">
        <v>4</v>
      </c>
    </row>
    <row r="6634" spans="1:11">
      <c r="A6634" s="688" t="s">
        <v>4058</v>
      </c>
      <c r="B6634" s="692" t="s">
        <v>4060</v>
      </c>
      <c r="C6634" s="692" t="s">
        <v>4060</v>
      </c>
      <c r="D6634" s="692" t="s">
        <v>4060</v>
      </c>
      <c r="E6634" s="692" t="s">
        <v>4060</v>
      </c>
      <c r="F6634" s="692" t="s">
        <v>4060</v>
      </c>
      <c r="G6634" s="692" t="s">
        <v>4060</v>
      </c>
      <c r="H6634" s="692" t="s">
        <v>4060</v>
      </c>
      <c r="I6634" s="692" t="s">
        <v>4060</v>
      </c>
      <c r="J6634" s="692" t="s">
        <v>4060</v>
      </c>
      <c r="K6634" s="692" t="s">
        <v>4060</v>
      </c>
    </row>
    <row r="6635" spans="1:11">
      <c r="A6635" s="688" t="s">
        <v>11</v>
      </c>
      <c r="B6635" s="690" t="s">
        <v>4060</v>
      </c>
      <c r="C6635" s="689">
        <v>3.1</v>
      </c>
      <c r="D6635" s="693">
        <v>3</v>
      </c>
      <c r="E6635" s="689">
        <v>3.2</v>
      </c>
      <c r="F6635" s="689">
        <v>3.1</v>
      </c>
      <c r="G6635" s="689">
        <v>3.1</v>
      </c>
      <c r="H6635" s="689">
        <v>3.1</v>
      </c>
      <c r="I6635" s="689">
        <v>2.9</v>
      </c>
      <c r="J6635" s="689">
        <v>2.7</v>
      </c>
      <c r="K6635" s="689">
        <v>2.6</v>
      </c>
    </row>
    <row r="6636" spans="1:11">
      <c r="A6636" s="688" t="s">
        <v>10</v>
      </c>
      <c r="B6636" s="692" t="s">
        <v>4060</v>
      </c>
      <c r="C6636" s="691">
        <v>3.9</v>
      </c>
      <c r="D6636" s="691">
        <v>3.6</v>
      </c>
      <c r="E6636" s="691">
        <v>3.9</v>
      </c>
      <c r="F6636" s="691">
        <v>3.7</v>
      </c>
      <c r="G6636" s="691">
        <v>3.9</v>
      </c>
      <c r="H6636" s="691">
        <v>3.9</v>
      </c>
      <c r="I6636" s="691">
        <v>3.5</v>
      </c>
      <c r="J6636" s="691">
        <v>3.7</v>
      </c>
      <c r="K6636" s="691">
        <v>3.5</v>
      </c>
    </row>
    <row r="6637" spans="1:11">
      <c r="A6637" s="688" t="s">
        <v>30</v>
      </c>
      <c r="B6637" s="690" t="s">
        <v>4060</v>
      </c>
      <c r="C6637" s="689">
        <v>3.5</v>
      </c>
      <c r="D6637" s="689">
        <v>3.3</v>
      </c>
      <c r="E6637" s="689">
        <v>3.5</v>
      </c>
      <c r="F6637" s="689">
        <v>3.4</v>
      </c>
      <c r="G6637" s="689">
        <v>3.9</v>
      </c>
      <c r="H6637" s="689">
        <v>3.4</v>
      </c>
      <c r="I6637" s="689">
        <v>3.8</v>
      </c>
      <c r="J6637" s="689">
        <v>3.5</v>
      </c>
      <c r="K6637" s="689">
        <v>3.3</v>
      </c>
    </row>
    <row r="6638" spans="1:11">
      <c r="A6638" s="688" t="s">
        <v>12</v>
      </c>
      <c r="B6638" s="692" t="s">
        <v>4060</v>
      </c>
      <c r="C6638" s="691">
        <v>3.3</v>
      </c>
      <c r="D6638" s="691">
        <v>3.3</v>
      </c>
      <c r="E6638" s="691">
        <v>3.4</v>
      </c>
      <c r="F6638" s="691">
        <v>3.4</v>
      </c>
      <c r="G6638" s="691">
        <v>3.3</v>
      </c>
      <c r="H6638" s="691">
        <v>3.4</v>
      </c>
      <c r="I6638" s="691">
        <v>3.3</v>
      </c>
      <c r="J6638" s="615">
        <v>3</v>
      </c>
      <c r="K6638" s="615">
        <v>3</v>
      </c>
    </row>
    <row r="6639" spans="1:11">
      <c r="A6639" s="688" t="s">
        <v>14</v>
      </c>
      <c r="B6639" s="690" t="s">
        <v>4060</v>
      </c>
      <c r="C6639" s="689">
        <v>2.7</v>
      </c>
      <c r="D6639" s="689">
        <v>2.4</v>
      </c>
      <c r="E6639" s="689">
        <v>2.2999999999999998</v>
      </c>
      <c r="F6639" s="689">
        <v>2.4</v>
      </c>
      <c r="G6639" s="689">
        <v>2.4</v>
      </c>
      <c r="H6639" s="689">
        <v>2.4</v>
      </c>
      <c r="I6639" s="689">
        <v>2.7</v>
      </c>
      <c r="J6639" s="689">
        <v>2.9</v>
      </c>
      <c r="K6639" s="689">
        <v>2.9</v>
      </c>
    </row>
    <row r="6640" spans="1:11">
      <c r="A6640" s="688" t="s">
        <v>15</v>
      </c>
      <c r="B6640" s="692" t="s">
        <v>4060</v>
      </c>
      <c r="C6640" s="691">
        <v>4.0999999999999996</v>
      </c>
      <c r="D6640" s="691">
        <v>3.6</v>
      </c>
      <c r="E6640" s="691">
        <v>3.6</v>
      </c>
      <c r="F6640" s="615">
        <v>4</v>
      </c>
      <c r="G6640" s="615">
        <v>4</v>
      </c>
      <c r="H6640" s="615">
        <v>4</v>
      </c>
      <c r="I6640" s="691">
        <v>3.6</v>
      </c>
      <c r="J6640" s="691">
        <v>3.9</v>
      </c>
      <c r="K6640" s="615">
        <v>4</v>
      </c>
    </row>
    <row r="6641" spans="1:11">
      <c r="A6641" s="688" t="s">
        <v>29</v>
      </c>
      <c r="B6641" s="690" t="s">
        <v>4060</v>
      </c>
      <c r="C6641" s="689">
        <v>3.6</v>
      </c>
      <c r="D6641" s="689">
        <v>3.4</v>
      </c>
      <c r="E6641" s="689">
        <v>3.6</v>
      </c>
      <c r="F6641" s="689">
        <v>3.6</v>
      </c>
      <c r="G6641" s="689">
        <v>3.6</v>
      </c>
      <c r="H6641" s="689">
        <v>3.7</v>
      </c>
      <c r="I6641" s="689">
        <v>3.6</v>
      </c>
      <c r="J6641" s="689">
        <v>3.6</v>
      </c>
      <c r="K6641" s="689">
        <v>3.4</v>
      </c>
    </row>
    <row r="6642" spans="1:11">
      <c r="A6642" s="688" t="s">
        <v>16</v>
      </c>
      <c r="B6642" s="692" t="s">
        <v>4060</v>
      </c>
      <c r="C6642" s="691">
        <v>4.2</v>
      </c>
      <c r="D6642" s="691">
        <v>3.6</v>
      </c>
      <c r="E6642" s="691">
        <v>3.8</v>
      </c>
      <c r="F6642" s="691">
        <v>3.6</v>
      </c>
      <c r="G6642" s="691">
        <v>3.7</v>
      </c>
      <c r="H6642" s="691">
        <v>3.8</v>
      </c>
      <c r="I6642" s="691">
        <v>3.5</v>
      </c>
      <c r="J6642" s="691">
        <v>3.8</v>
      </c>
      <c r="K6642" s="691">
        <v>3.7</v>
      </c>
    </row>
    <row r="6643" spans="1:11">
      <c r="A6643" s="688" t="s">
        <v>17</v>
      </c>
      <c r="B6643" s="690" t="s">
        <v>4060</v>
      </c>
      <c r="C6643" s="689">
        <v>3.6</v>
      </c>
      <c r="D6643" s="689">
        <v>3.5</v>
      </c>
      <c r="E6643" s="689">
        <v>3.5</v>
      </c>
      <c r="F6643" s="689">
        <v>3.4</v>
      </c>
      <c r="G6643" s="689">
        <v>3.5</v>
      </c>
      <c r="H6643" s="689">
        <v>3.6</v>
      </c>
      <c r="I6643" s="689">
        <v>3.3</v>
      </c>
      <c r="J6643" s="689">
        <v>3.3</v>
      </c>
      <c r="K6643" s="689">
        <v>3.3</v>
      </c>
    </row>
    <row r="6644" spans="1:11">
      <c r="A6644" s="688" t="s">
        <v>19</v>
      </c>
      <c r="B6644" s="692" t="s">
        <v>4060</v>
      </c>
      <c r="C6644" s="691">
        <v>3.6</v>
      </c>
      <c r="D6644" s="691">
        <v>3.5</v>
      </c>
      <c r="E6644" s="691">
        <v>3.7</v>
      </c>
      <c r="F6644" s="691">
        <v>3.5</v>
      </c>
      <c r="G6644" s="691">
        <v>3.6</v>
      </c>
      <c r="H6644" s="691">
        <v>3.6</v>
      </c>
      <c r="I6644" s="691">
        <v>3.4</v>
      </c>
      <c r="J6644" s="691">
        <v>3.4</v>
      </c>
      <c r="K6644" s="691">
        <v>3.3</v>
      </c>
    </row>
    <row r="6645" spans="1:11">
      <c r="A6645" s="688" t="s">
        <v>20</v>
      </c>
      <c r="B6645" s="690" t="s">
        <v>4060</v>
      </c>
      <c r="C6645" s="689">
        <v>3.8</v>
      </c>
      <c r="D6645" s="689">
        <v>3.7</v>
      </c>
      <c r="E6645" s="693">
        <v>4</v>
      </c>
      <c r="F6645" s="689">
        <v>3.8</v>
      </c>
      <c r="G6645" s="689">
        <v>3.8</v>
      </c>
      <c r="H6645" s="693">
        <v>4</v>
      </c>
      <c r="I6645" s="689">
        <v>3.5</v>
      </c>
      <c r="J6645" s="689">
        <v>3.2</v>
      </c>
      <c r="K6645" s="689">
        <v>3.4</v>
      </c>
    </row>
    <row r="6646" spans="1:11">
      <c r="A6646" s="688" t="s">
        <v>21</v>
      </c>
      <c r="B6646" s="692" t="s">
        <v>4060</v>
      </c>
      <c r="C6646" s="615">
        <v>4</v>
      </c>
      <c r="D6646" s="691">
        <v>3.8</v>
      </c>
      <c r="E6646" s="691">
        <v>3.9</v>
      </c>
      <c r="F6646" s="615">
        <v>4</v>
      </c>
      <c r="G6646" s="691">
        <v>3.9</v>
      </c>
      <c r="H6646" s="691">
        <v>3.9</v>
      </c>
      <c r="I6646" s="691">
        <v>3.7</v>
      </c>
      <c r="J6646" s="691">
        <v>3.7</v>
      </c>
      <c r="K6646" s="691">
        <v>3.6</v>
      </c>
    </row>
    <row r="6647" spans="1:11">
      <c r="A6647" s="688" t="s">
        <v>22</v>
      </c>
      <c r="B6647" s="690" t="s">
        <v>4060</v>
      </c>
      <c r="C6647" s="689">
        <v>3.6</v>
      </c>
      <c r="D6647" s="689">
        <v>3.8</v>
      </c>
      <c r="E6647" s="689">
        <v>4.2</v>
      </c>
      <c r="F6647" s="689">
        <v>4.4000000000000004</v>
      </c>
      <c r="G6647" s="689">
        <v>4.5</v>
      </c>
      <c r="H6647" s="689">
        <v>4.9000000000000004</v>
      </c>
      <c r="I6647" s="689">
        <v>4.7</v>
      </c>
      <c r="J6647" s="689">
        <v>3.6</v>
      </c>
      <c r="K6647" s="693">
        <v>3</v>
      </c>
    </row>
    <row r="6648" spans="1:11">
      <c r="A6648" s="688" t="s">
        <v>26</v>
      </c>
      <c r="B6648" s="692" t="s">
        <v>4060</v>
      </c>
      <c r="C6648" s="691">
        <v>3.7</v>
      </c>
      <c r="D6648" s="691">
        <v>3.6</v>
      </c>
      <c r="E6648" s="691">
        <v>3.7</v>
      </c>
      <c r="F6648" s="691">
        <v>3.6</v>
      </c>
      <c r="G6648" s="691">
        <v>3.9</v>
      </c>
      <c r="H6648" s="691">
        <v>3.7</v>
      </c>
      <c r="I6648" s="691">
        <v>3.1</v>
      </c>
      <c r="J6648" s="691">
        <v>3.5</v>
      </c>
      <c r="K6648" s="691">
        <v>3.5</v>
      </c>
    </row>
    <row r="6649" spans="1:11">
      <c r="A6649" s="688" t="s">
        <v>25</v>
      </c>
      <c r="B6649" s="690" t="s">
        <v>4060</v>
      </c>
      <c r="C6649" s="689">
        <v>4.2</v>
      </c>
      <c r="D6649" s="689">
        <v>3.8</v>
      </c>
      <c r="E6649" s="693">
        <v>4</v>
      </c>
      <c r="F6649" s="693">
        <v>4</v>
      </c>
      <c r="G6649" s="689">
        <v>4.4000000000000004</v>
      </c>
      <c r="H6649" s="689">
        <v>4.5999999999999996</v>
      </c>
      <c r="I6649" s="689">
        <v>4.4000000000000004</v>
      </c>
      <c r="J6649" s="689">
        <v>3.6</v>
      </c>
      <c r="K6649" s="689">
        <v>3.4</v>
      </c>
    </row>
    <row r="6650" spans="1:11">
      <c r="A6650" s="688" t="s">
        <v>5</v>
      </c>
      <c r="B6650" s="692" t="s">
        <v>4060</v>
      </c>
      <c r="C6650" s="691">
        <v>3.6</v>
      </c>
      <c r="D6650" s="691">
        <v>3.6</v>
      </c>
      <c r="E6650" s="691">
        <v>3.6</v>
      </c>
      <c r="F6650" s="691">
        <v>3.7</v>
      </c>
      <c r="G6650" s="691">
        <v>3.6</v>
      </c>
      <c r="H6650" s="691">
        <v>3.8</v>
      </c>
      <c r="I6650" s="691">
        <v>3.8</v>
      </c>
      <c r="J6650" s="691">
        <v>3.6</v>
      </c>
      <c r="K6650" s="691">
        <v>3.4</v>
      </c>
    </row>
    <row r="6651" spans="1:11">
      <c r="A6651" s="688" t="s">
        <v>23</v>
      </c>
      <c r="B6651" s="690" t="s">
        <v>4060</v>
      </c>
      <c r="C6651" s="689">
        <v>3.6</v>
      </c>
      <c r="D6651" s="689">
        <v>3.6</v>
      </c>
      <c r="E6651" s="689">
        <v>3.6</v>
      </c>
      <c r="F6651" s="689">
        <v>3.6</v>
      </c>
      <c r="G6651" s="689">
        <v>3.6</v>
      </c>
      <c r="H6651" s="689">
        <v>3.8</v>
      </c>
      <c r="I6651" s="689">
        <v>3.5</v>
      </c>
      <c r="J6651" s="689">
        <v>3.8</v>
      </c>
      <c r="K6651" s="689">
        <v>3.7</v>
      </c>
    </row>
    <row r="6652" spans="1:11">
      <c r="A6652" s="688" t="s">
        <v>4067</v>
      </c>
      <c r="B6652" s="692" t="s">
        <v>4060</v>
      </c>
      <c r="C6652" s="692" t="s">
        <v>4060</v>
      </c>
      <c r="D6652" s="692" t="s">
        <v>4060</v>
      </c>
      <c r="E6652" s="692" t="s">
        <v>4060</v>
      </c>
      <c r="F6652" s="692" t="s">
        <v>4060</v>
      </c>
      <c r="G6652" s="692" t="s">
        <v>4060</v>
      </c>
      <c r="H6652" s="692" t="s">
        <v>4060</v>
      </c>
      <c r="I6652" s="692" t="s">
        <v>4060</v>
      </c>
      <c r="J6652" s="692" t="s">
        <v>4060</v>
      </c>
      <c r="K6652" s="692" t="s">
        <v>4060</v>
      </c>
    </row>
    <row r="6653" spans="1:11">
      <c r="A6653" s="688" t="s">
        <v>4066</v>
      </c>
      <c r="B6653" s="690" t="s">
        <v>4060</v>
      </c>
      <c r="C6653" s="690" t="s">
        <v>4060</v>
      </c>
      <c r="D6653" s="690" t="s">
        <v>4060</v>
      </c>
      <c r="E6653" s="690" t="s">
        <v>4060</v>
      </c>
      <c r="F6653" s="690" t="s">
        <v>4060</v>
      </c>
      <c r="G6653" s="690" t="s">
        <v>4060</v>
      </c>
      <c r="H6653" s="690" t="s">
        <v>4060</v>
      </c>
      <c r="I6653" s="690" t="s">
        <v>4060</v>
      </c>
      <c r="J6653" s="690" t="s">
        <v>4060</v>
      </c>
      <c r="K6653" s="690" t="s">
        <v>4060</v>
      </c>
    </row>
    <row r="6654" spans="1:11">
      <c r="A6654" s="688" t="s">
        <v>4062</v>
      </c>
      <c r="B6654" s="692" t="s">
        <v>4060</v>
      </c>
      <c r="C6654" s="691">
        <v>3.7</v>
      </c>
      <c r="D6654" s="691">
        <v>3.6</v>
      </c>
      <c r="E6654" s="691">
        <v>3.8</v>
      </c>
      <c r="F6654" s="691">
        <v>3.7</v>
      </c>
      <c r="G6654" s="691">
        <v>3.8</v>
      </c>
      <c r="H6654" s="691">
        <v>3.8</v>
      </c>
      <c r="I6654" s="691">
        <v>3.6</v>
      </c>
      <c r="J6654" s="691">
        <v>3.8</v>
      </c>
      <c r="K6654" s="691">
        <v>3.5</v>
      </c>
    </row>
    <row r="6655" spans="1:11">
      <c r="A6655" s="688" t="s">
        <v>9</v>
      </c>
      <c r="B6655" s="690" t="s">
        <v>4060</v>
      </c>
      <c r="C6655" s="689">
        <v>3.6</v>
      </c>
      <c r="D6655" s="689">
        <v>3.4</v>
      </c>
      <c r="E6655" s="689">
        <v>3.6</v>
      </c>
      <c r="F6655" s="689">
        <v>3.6</v>
      </c>
      <c r="G6655" s="689">
        <v>3.8</v>
      </c>
      <c r="H6655" s="689">
        <v>3.6</v>
      </c>
      <c r="I6655" s="689">
        <v>3.8</v>
      </c>
      <c r="J6655" s="689">
        <v>3.7</v>
      </c>
      <c r="K6655" s="689">
        <v>3.4</v>
      </c>
    </row>
    <row r="6656" spans="1:11">
      <c r="A6656" s="688" t="s">
        <v>13</v>
      </c>
      <c r="B6656" s="692" t="s">
        <v>4060</v>
      </c>
      <c r="C6656" s="691">
        <v>2.8</v>
      </c>
      <c r="D6656" s="691">
        <v>3.5</v>
      </c>
      <c r="E6656" s="615">
        <v>4</v>
      </c>
      <c r="F6656" s="691">
        <v>3.9</v>
      </c>
      <c r="G6656" s="691">
        <v>3.5</v>
      </c>
      <c r="H6656" s="691">
        <v>3.1</v>
      </c>
      <c r="I6656" s="691">
        <v>2.9</v>
      </c>
      <c r="J6656" s="691">
        <v>3.7</v>
      </c>
      <c r="K6656" s="691">
        <v>3.9</v>
      </c>
    </row>
    <row r="6657" spans="1:11">
      <c r="A6657" s="688" t="s">
        <v>18</v>
      </c>
      <c r="B6657" s="690" t="s">
        <v>4060</v>
      </c>
      <c r="C6657" s="689">
        <v>3.7</v>
      </c>
      <c r="D6657" s="689">
        <v>3.7</v>
      </c>
      <c r="E6657" s="689">
        <v>3.7</v>
      </c>
      <c r="F6657" s="689">
        <v>3.7</v>
      </c>
      <c r="G6657" s="689">
        <v>3.7</v>
      </c>
      <c r="H6657" s="689">
        <v>3.8</v>
      </c>
      <c r="I6657" s="689">
        <v>3.8</v>
      </c>
      <c r="J6657" s="689">
        <v>3.7</v>
      </c>
      <c r="K6657" s="689">
        <v>3.4</v>
      </c>
    </row>
    <row r="6658" spans="1:11">
      <c r="A6658" s="688" t="s">
        <v>24</v>
      </c>
      <c r="B6658" s="692" t="s">
        <v>4060</v>
      </c>
      <c r="C6658" s="691">
        <v>3.7</v>
      </c>
      <c r="D6658" s="691">
        <v>3.6</v>
      </c>
      <c r="E6658" s="691">
        <v>3.8</v>
      </c>
      <c r="F6658" s="691">
        <v>3.8</v>
      </c>
      <c r="G6658" s="691">
        <v>3.9</v>
      </c>
      <c r="H6658" s="691">
        <v>3.8</v>
      </c>
      <c r="I6658" s="691">
        <v>3.5</v>
      </c>
      <c r="J6658" s="691">
        <v>3.8</v>
      </c>
      <c r="K6658" s="691">
        <v>3.6</v>
      </c>
    </row>
    <row r="6659" spans="1:11">
      <c r="A6659" s="688" t="s">
        <v>4059</v>
      </c>
      <c r="B6659" s="690" t="s">
        <v>4060</v>
      </c>
      <c r="C6659" s="690" t="s">
        <v>4060</v>
      </c>
      <c r="D6659" s="690" t="s">
        <v>4060</v>
      </c>
      <c r="E6659" s="690" t="s">
        <v>4060</v>
      </c>
      <c r="F6659" s="690" t="s">
        <v>4060</v>
      </c>
      <c r="G6659" s="690" t="s">
        <v>4060</v>
      </c>
      <c r="H6659" s="690" t="s">
        <v>4060</v>
      </c>
      <c r="I6659" s="690" t="s">
        <v>4060</v>
      </c>
      <c r="J6659" s="690" t="s">
        <v>4060</v>
      </c>
      <c r="K6659" s="690" t="s">
        <v>4060</v>
      </c>
    </row>
    <row r="6660" spans="1:11">
      <c r="A6660" s="688" t="s">
        <v>2324</v>
      </c>
      <c r="B6660" s="692" t="s">
        <v>4060</v>
      </c>
      <c r="C6660" s="692" t="s">
        <v>4060</v>
      </c>
      <c r="D6660" s="692" t="s">
        <v>4060</v>
      </c>
      <c r="E6660" s="692" t="s">
        <v>4060</v>
      </c>
      <c r="F6660" s="692" t="s">
        <v>4060</v>
      </c>
      <c r="G6660" s="692" t="s">
        <v>4060</v>
      </c>
      <c r="H6660" s="692" t="s">
        <v>4060</v>
      </c>
      <c r="I6660" s="692" t="s">
        <v>4060</v>
      </c>
      <c r="J6660" s="692" t="s">
        <v>4060</v>
      </c>
      <c r="K6660" s="692" t="s">
        <v>4060</v>
      </c>
    </row>
    <row r="6661" spans="1:11">
      <c r="A6661" s="688" t="s">
        <v>2322</v>
      </c>
      <c r="B6661" s="690" t="s">
        <v>4060</v>
      </c>
      <c r="C6661" s="690" t="s">
        <v>4060</v>
      </c>
      <c r="D6661" s="690" t="s">
        <v>4060</v>
      </c>
      <c r="E6661" s="690" t="s">
        <v>4060</v>
      </c>
      <c r="F6661" s="690" t="s">
        <v>4060</v>
      </c>
      <c r="G6661" s="690" t="s">
        <v>4060</v>
      </c>
      <c r="H6661" s="690" t="s">
        <v>4060</v>
      </c>
      <c r="I6661" s="690" t="s">
        <v>4060</v>
      </c>
      <c r="J6661" s="690" t="s">
        <v>4060</v>
      </c>
      <c r="K6661" s="690" t="s">
        <v>4060</v>
      </c>
    </row>
    <row r="6662" spans="1:11">
      <c r="A6662" s="688" t="s">
        <v>2328</v>
      </c>
      <c r="B6662" s="692" t="s">
        <v>4060</v>
      </c>
      <c r="C6662" s="692" t="s">
        <v>4060</v>
      </c>
      <c r="D6662" s="692" t="s">
        <v>4060</v>
      </c>
      <c r="E6662" s="692" t="s">
        <v>4060</v>
      </c>
      <c r="F6662" s="692" t="s">
        <v>4060</v>
      </c>
      <c r="G6662" s="692" t="s">
        <v>4060</v>
      </c>
      <c r="H6662" s="692" t="s">
        <v>4060</v>
      </c>
      <c r="I6662" s="692" t="s">
        <v>4060</v>
      </c>
      <c r="J6662" s="692" t="s">
        <v>4060</v>
      </c>
      <c r="K6662" s="692" t="s">
        <v>4060</v>
      </c>
    </row>
    <row r="6663" spans="1:11">
      <c r="A6663" s="688" t="s">
        <v>2496</v>
      </c>
      <c r="B6663" s="690" t="s">
        <v>4060</v>
      </c>
      <c r="C6663" s="690" t="s">
        <v>4060</v>
      </c>
      <c r="D6663" s="690" t="s">
        <v>4060</v>
      </c>
      <c r="E6663" s="690" t="s">
        <v>4060</v>
      </c>
      <c r="F6663" s="690" t="s">
        <v>4060</v>
      </c>
      <c r="G6663" s="690" t="s">
        <v>4060</v>
      </c>
      <c r="H6663" s="690" t="s">
        <v>4060</v>
      </c>
      <c r="I6663" s="690" t="s">
        <v>4060</v>
      </c>
      <c r="J6663" s="690" t="s">
        <v>4060</v>
      </c>
      <c r="K6663" s="690" t="s">
        <v>4060</v>
      </c>
    </row>
    <row r="6664" spans="1:11">
      <c r="A6664" s="688" t="s">
        <v>2269</v>
      </c>
      <c r="B6664" s="692" t="s">
        <v>4060</v>
      </c>
      <c r="C6664" s="692" t="s">
        <v>4060</v>
      </c>
      <c r="D6664" s="692" t="s">
        <v>4060</v>
      </c>
      <c r="E6664" s="692" t="s">
        <v>4060</v>
      </c>
      <c r="F6664" s="692" t="s">
        <v>4060</v>
      </c>
      <c r="G6664" s="692" t="s">
        <v>4060</v>
      </c>
      <c r="H6664" s="692" t="s">
        <v>4060</v>
      </c>
      <c r="I6664" s="692" t="s">
        <v>4060</v>
      </c>
      <c r="J6664" s="692" t="s">
        <v>4060</v>
      </c>
      <c r="K6664" s="692" t="s">
        <v>4060</v>
      </c>
    </row>
    <row r="6665" spans="1:11">
      <c r="A6665" s="688" t="s">
        <v>2349</v>
      </c>
      <c r="B6665" s="690" t="s">
        <v>4060</v>
      </c>
      <c r="C6665" s="690" t="s">
        <v>4060</v>
      </c>
      <c r="D6665" s="690" t="s">
        <v>4060</v>
      </c>
      <c r="E6665" s="690" t="s">
        <v>4060</v>
      </c>
      <c r="F6665" s="690" t="s">
        <v>4060</v>
      </c>
      <c r="G6665" s="690" t="s">
        <v>4060</v>
      </c>
      <c r="H6665" s="690" t="s">
        <v>4060</v>
      </c>
      <c r="I6665" s="690" t="s">
        <v>4060</v>
      </c>
      <c r="J6665" s="690" t="s">
        <v>4060</v>
      </c>
      <c r="K6665" s="690" t="s">
        <v>4060</v>
      </c>
    </row>
    <row r="6666" spans="1:11">
      <c r="A6666" s="688" t="s">
        <v>2355</v>
      </c>
      <c r="B6666" s="692" t="s">
        <v>4060</v>
      </c>
      <c r="C6666" s="692" t="s">
        <v>4060</v>
      </c>
      <c r="D6666" s="692" t="s">
        <v>4060</v>
      </c>
      <c r="E6666" s="692" t="s">
        <v>4060</v>
      </c>
      <c r="F6666" s="692" t="s">
        <v>4060</v>
      </c>
      <c r="G6666" s="692" t="s">
        <v>4060</v>
      </c>
      <c r="H6666" s="692" t="s">
        <v>4060</v>
      </c>
      <c r="I6666" s="692" t="s">
        <v>4060</v>
      </c>
      <c r="J6666" s="692" t="s">
        <v>4060</v>
      </c>
      <c r="K6666" s="692" t="s">
        <v>4060</v>
      </c>
    </row>
    <row r="6667" spans="1:11">
      <c r="A6667" s="688" t="s">
        <v>2357</v>
      </c>
      <c r="B6667" s="690" t="s">
        <v>4060</v>
      </c>
      <c r="C6667" s="690" t="s">
        <v>4060</v>
      </c>
      <c r="D6667" s="690" t="s">
        <v>4060</v>
      </c>
      <c r="E6667" s="690" t="s">
        <v>4060</v>
      </c>
      <c r="F6667" s="690" t="s">
        <v>4060</v>
      </c>
      <c r="G6667" s="690" t="s">
        <v>4060</v>
      </c>
      <c r="H6667" s="690" t="s">
        <v>4060</v>
      </c>
      <c r="I6667" s="690" t="s">
        <v>4060</v>
      </c>
      <c r="J6667" s="690" t="s">
        <v>4060</v>
      </c>
      <c r="K6667" s="690" t="s">
        <v>4060</v>
      </c>
    </row>
    <row r="6668" spans="1:11">
      <c r="A6668" s="688" t="s">
        <v>4070</v>
      </c>
      <c r="B6668" s="692" t="s">
        <v>4060</v>
      </c>
      <c r="C6668" s="692" t="s">
        <v>4060</v>
      </c>
      <c r="D6668" s="692" t="s">
        <v>4060</v>
      </c>
      <c r="E6668" s="692" t="s">
        <v>4060</v>
      </c>
      <c r="F6668" s="692" t="s">
        <v>4060</v>
      </c>
      <c r="G6668" s="692" t="s">
        <v>4060</v>
      </c>
      <c r="H6668" s="692" t="s">
        <v>4060</v>
      </c>
      <c r="I6668" s="692" t="s">
        <v>4060</v>
      </c>
      <c r="J6668" s="692" t="s">
        <v>4060</v>
      </c>
      <c r="K6668" s="692" t="s">
        <v>4060</v>
      </c>
    </row>
    <row r="6669" spans="1:11">
      <c r="A6669" s="688" t="s">
        <v>2491</v>
      </c>
      <c r="B6669" s="690" t="s">
        <v>4060</v>
      </c>
      <c r="C6669" s="690" t="s">
        <v>4060</v>
      </c>
      <c r="D6669" s="690" t="s">
        <v>4060</v>
      </c>
      <c r="E6669" s="690" t="s">
        <v>4060</v>
      </c>
      <c r="F6669" s="690" t="s">
        <v>4060</v>
      </c>
      <c r="G6669" s="690" t="s">
        <v>4060</v>
      </c>
      <c r="H6669" s="690" t="s">
        <v>4060</v>
      </c>
      <c r="I6669" s="690" t="s">
        <v>4060</v>
      </c>
      <c r="J6669" s="690" t="s">
        <v>4060</v>
      </c>
      <c r="K6669" s="690" t="s">
        <v>4060</v>
      </c>
    </row>
    <row r="6670" spans="1:11">
      <c r="A6670" s="688" t="s">
        <v>2343</v>
      </c>
      <c r="B6670" s="692" t="s">
        <v>4060</v>
      </c>
      <c r="C6670" s="692" t="s">
        <v>4060</v>
      </c>
      <c r="D6670" s="692" t="s">
        <v>4060</v>
      </c>
      <c r="E6670" s="692" t="s">
        <v>4060</v>
      </c>
      <c r="F6670" s="692" t="s">
        <v>4060</v>
      </c>
      <c r="G6670" s="692" t="s">
        <v>4060</v>
      </c>
      <c r="H6670" s="692" t="s">
        <v>4060</v>
      </c>
      <c r="I6670" s="692" t="s">
        <v>4060</v>
      </c>
      <c r="J6670" s="692" t="s">
        <v>4060</v>
      </c>
      <c r="K6670" s="692" t="s">
        <v>4060</v>
      </c>
    </row>
    <row r="6671" spans="1:11">
      <c r="A6671" s="688" t="s">
        <v>4071</v>
      </c>
      <c r="B6671" s="690" t="s">
        <v>4060</v>
      </c>
      <c r="C6671" s="690" t="s">
        <v>4060</v>
      </c>
      <c r="D6671" s="690" t="s">
        <v>4060</v>
      </c>
      <c r="E6671" s="690" t="s">
        <v>4060</v>
      </c>
      <c r="F6671" s="690" t="s">
        <v>4060</v>
      </c>
      <c r="G6671" s="690" t="s">
        <v>4060</v>
      </c>
      <c r="H6671" s="690" t="s">
        <v>4060</v>
      </c>
      <c r="I6671" s="690" t="s">
        <v>4060</v>
      </c>
      <c r="J6671" s="690" t="s">
        <v>4060</v>
      </c>
      <c r="K6671" s="690" t="s">
        <v>4060</v>
      </c>
    </row>
    <row r="6672" spans="1:11">
      <c r="A6672" s="688" t="s">
        <v>2489</v>
      </c>
      <c r="B6672" s="692" t="s">
        <v>4060</v>
      </c>
      <c r="C6672" s="692" t="s">
        <v>4060</v>
      </c>
      <c r="D6672" s="692" t="s">
        <v>4060</v>
      </c>
      <c r="E6672" s="692" t="s">
        <v>4060</v>
      </c>
      <c r="F6672" s="692" t="s">
        <v>4060</v>
      </c>
      <c r="G6672" s="692" t="s">
        <v>4060</v>
      </c>
      <c r="H6672" s="692" t="s">
        <v>4060</v>
      </c>
      <c r="I6672" s="692" t="s">
        <v>4060</v>
      </c>
      <c r="J6672" s="692" t="s">
        <v>4060</v>
      </c>
      <c r="K6672" s="692" t="s">
        <v>4060</v>
      </c>
    </row>
    <row r="6673" spans="1:11">
      <c r="A6673" s="688" t="s">
        <v>2490</v>
      </c>
      <c r="B6673" s="690" t="s">
        <v>4060</v>
      </c>
      <c r="C6673" s="690" t="s">
        <v>4060</v>
      </c>
      <c r="D6673" s="690" t="s">
        <v>4060</v>
      </c>
      <c r="E6673" s="690" t="s">
        <v>4060</v>
      </c>
      <c r="F6673" s="690" t="s">
        <v>4060</v>
      </c>
      <c r="G6673" s="690" t="s">
        <v>4060</v>
      </c>
      <c r="H6673" s="690" t="s">
        <v>4060</v>
      </c>
      <c r="I6673" s="690" t="s">
        <v>4060</v>
      </c>
      <c r="J6673" s="690" t="s">
        <v>4060</v>
      </c>
      <c r="K6673" s="690" t="s">
        <v>4060</v>
      </c>
    </row>
    <row r="6675" spans="1:11">
      <c r="A6675" s="683" t="s">
        <v>4233</v>
      </c>
    </row>
    <row r="6676" spans="1:11">
      <c r="A6676" s="683" t="s">
        <v>4060</v>
      </c>
      <c r="B6676" s="682" t="s">
        <v>4234</v>
      </c>
    </row>
    <row r="6678" spans="1:11">
      <c r="A6678" s="682" t="s">
        <v>4248</v>
      </c>
    </row>
    <row r="6679" spans="1:11">
      <c r="A6679" s="682" t="s">
        <v>4210</v>
      </c>
      <c r="B6679" s="683" t="s">
        <v>4211</v>
      </c>
    </row>
    <row r="6680" spans="1:11">
      <c r="A6680" s="682" t="s">
        <v>4212</v>
      </c>
      <c r="B6680" s="682" t="s">
        <v>4213</v>
      </c>
    </row>
    <row r="6682" spans="1:11">
      <c r="A6682" s="683" t="s">
        <v>4214</v>
      </c>
      <c r="C6682" s="682" t="s">
        <v>4215</v>
      </c>
    </row>
    <row r="6683" spans="1:11">
      <c r="A6683" s="683" t="s">
        <v>4216</v>
      </c>
      <c r="C6683" s="682" t="s">
        <v>2967</v>
      </c>
    </row>
    <row r="6684" spans="1:11">
      <c r="A6684" s="683" t="s">
        <v>3893</v>
      </c>
      <c r="C6684" s="682" t="s">
        <v>4217</v>
      </c>
    </row>
    <row r="6685" spans="1:11">
      <c r="A6685" s="683" t="s">
        <v>4218</v>
      </c>
      <c r="C6685" s="682" t="s">
        <v>4328</v>
      </c>
    </row>
    <row r="6687" spans="1:11">
      <c r="A6687" s="684" t="s">
        <v>4220</v>
      </c>
      <c r="B6687" s="685" t="s">
        <v>4221</v>
      </c>
      <c r="C6687" s="685" t="s">
        <v>4222</v>
      </c>
      <c r="D6687" s="685" t="s">
        <v>4223</v>
      </c>
      <c r="E6687" s="685" t="s">
        <v>4224</v>
      </c>
      <c r="F6687" s="685" t="s">
        <v>4225</v>
      </c>
      <c r="G6687" s="685" t="s">
        <v>4226</v>
      </c>
      <c r="H6687" s="685" t="s">
        <v>4227</v>
      </c>
      <c r="I6687" s="685" t="s">
        <v>4228</v>
      </c>
      <c r="J6687" s="685" t="s">
        <v>4229</v>
      </c>
      <c r="K6687" s="685" t="s">
        <v>4230</v>
      </c>
    </row>
    <row r="6688" spans="1:11">
      <c r="A6688" s="686" t="s">
        <v>4231</v>
      </c>
      <c r="B6688" s="687" t="s">
        <v>4232</v>
      </c>
      <c r="C6688" s="687" t="s">
        <v>4232</v>
      </c>
      <c r="D6688" s="687" t="s">
        <v>4232</v>
      </c>
      <c r="E6688" s="687" t="s">
        <v>4232</v>
      </c>
      <c r="F6688" s="687" t="s">
        <v>4232</v>
      </c>
      <c r="G6688" s="687" t="s">
        <v>4232</v>
      </c>
      <c r="H6688" s="687" t="s">
        <v>4232</v>
      </c>
      <c r="I6688" s="687" t="s">
        <v>4232</v>
      </c>
      <c r="J6688" s="687" t="s">
        <v>4232</v>
      </c>
      <c r="K6688" s="687" t="s">
        <v>4232</v>
      </c>
    </row>
    <row r="6689" spans="1:11">
      <c r="A6689" s="688" t="s">
        <v>4064</v>
      </c>
      <c r="B6689" s="690" t="s">
        <v>4060</v>
      </c>
      <c r="C6689" s="689">
        <v>3.6</v>
      </c>
      <c r="D6689" s="690" t="s">
        <v>4060</v>
      </c>
      <c r="E6689" s="689">
        <v>3.6</v>
      </c>
      <c r="F6689" s="689">
        <v>3.5</v>
      </c>
      <c r="G6689" s="689">
        <v>3.6</v>
      </c>
      <c r="H6689" s="689">
        <v>3.7</v>
      </c>
      <c r="I6689" s="689">
        <v>3.4</v>
      </c>
      <c r="J6689" s="689">
        <v>3.5</v>
      </c>
      <c r="K6689" s="689">
        <v>3.3</v>
      </c>
    </row>
    <row r="6690" spans="1:11">
      <c r="A6690" s="688" t="s">
        <v>4065</v>
      </c>
      <c r="B6690" s="692" t="s">
        <v>4060</v>
      </c>
      <c r="C6690" s="692" t="s">
        <v>4060</v>
      </c>
      <c r="D6690" s="692" t="s">
        <v>4060</v>
      </c>
      <c r="E6690" s="692" t="s">
        <v>4060</v>
      </c>
      <c r="F6690" s="692" t="s">
        <v>4060</v>
      </c>
      <c r="G6690" s="692" t="s">
        <v>4060</v>
      </c>
      <c r="H6690" s="692" t="s">
        <v>4060</v>
      </c>
      <c r="I6690" s="692" t="s">
        <v>4060</v>
      </c>
      <c r="J6690" s="692" t="s">
        <v>4060</v>
      </c>
      <c r="K6690" s="692" t="s">
        <v>4060</v>
      </c>
    </row>
    <row r="6691" spans="1:11">
      <c r="A6691" s="688" t="s">
        <v>4063</v>
      </c>
      <c r="B6691" s="690" t="s">
        <v>4060</v>
      </c>
      <c r="C6691" s="690" t="s">
        <v>4060</v>
      </c>
      <c r="D6691" s="690" t="s">
        <v>4060</v>
      </c>
      <c r="E6691" s="690" t="s">
        <v>4060</v>
      </c>
      <c r="F6691" s="690" t="s">
        <v>4060</v>
      </c>
      <c r="G6691" s="690" t="s">
        <v>4060</v>
      </c>
      <c r="H6691" s="690" t="s">
        <v>4060</v>
      </c>
      <c r="I6691" s="690" t="s">
        <v>4060</v>
      </c>
      <c r="J6691" s="690" t="s">
        <v>4060</v>
      </c>
      <c r="K6691" s="690" t="s">
        <v>4060</v>
      </c>
    </row>
    <row r="6692" spans="1:11">
      <c r="A6692" s="688" t="s">
        <v>4069</v>
      </c>
      <c r="B6692" s="692" t="s">
        <v>4060</v>
      </c>
      <c r="C6692" s="691">
        <v>3.6</v>
      </c>
      <c r="D6692" s="691">
        <v>3.4</v>
      </c>
      <c r="E6692" s="691">
        <v>3.6</v>
      </c>
      <c r="F6692" s="691">
        <v>3.5</v>
      </c>
      <c r="G6692" s="691">
        <v>3.6</v>
      </c>
      <c r="H6692" s="691">
        <v>3.7</v>
      </c>
      <c r="I6692" s="691">
        <v>3.4</v>
      </c>
      <c r="J6692" s="691">
        <v>3.5</v>
      </c>
      <c r="K6692" s="691">
        <v>3.3</v>
      </c>
    </row>
    <row r="6693" spans="1:11">
      <c r="A6693" s="688" t="s">
        <v>4068</v>
      </c>
      <c r="B6693" s="690" t="s">
        <v>4060</v>
      </c>
      <c r="C6693" s="690" t="s">
        <v>4060</v>
      </c>
      <c r="D6693" s="690" t="s">
        <v>4060</v>
      </c>
      <c r="E6693" s="690" t="s">
        <v>4060</v>
      </c>
      <c r="F6693" s="690" t="s">
        <v>4060</v>
      </c>
      <c r="G6693" s="690" t="s">
        <v>4060</v>
      </c>
      <c r="H6693" s="690" t="s">
        <v>4060</v>
      </c>
      <c r="I6693" s="690" t="s">
        <v>4060</v>
      </c>
      <c r="J6693" s="690" t="s">
        <v>4060</v>
      </c>
      <c r="K6693" s="690" t="s">
        <v>4060</v>
      </c>
    </row>
    <row r="6694" spans="1:11">
      <c r="A6694" s="688" t="s">
        <v>0</v>
      </c>
      <c r="B6694" s="692" t="s">
        <v>4060</v>
      </c>
      <c r="C6694" s="691">
        <v>3.5</v>
      </c>
      <c r="D6694" s="691">
        <v>3.3</v>
      </c>
      <c r="E6694" s="691">
        <v>3.5</v>
      </c>
      <c r="F6694" s="691">
        <v>3.5</v>
      </c>
      <c r="G6694" s="691">
        <v>3.4</v>
      </c>
      <c r="H6694" s="691">
        <v>3.6</v>
      </c>
      <c r="I6694" s="691">
        <v>3.1</v>
      </c>
      <c r="J6694" s="691">
        <v>3.7</v>
      </c>
      <c r="K6694" s="691">
        <v>3.3</v>
      </c>
    </row>
    <row r="6695" spans="1:11">
      <c r="A6695" s="688" t="s">
        <v>1</v>
      </c>
      <c r="B6695" s="690" t="s">
        <v>4060</v>
      </c>
      <c r="C6695" s="689">
        <v>2.7</v>
      </c>
      <c r="D6695" s="689">
        <v>2.5</v>
      </c>
      <c r="E6695" s="689">
        <v>2.7</v>
      </c>
      <c r="F6695" s="689">
        <v>2.6</v>
      </c>
      <c r="G6695" s="689">
        <v>2.6</v>
      </c>
      <c r="H6695" s="689">
        <v>2.6</v>
      </c>
      <c r="I6695" s="689">
        <v>2.4</v>
      </c>
      <c r="J6695" s="689">
        <v>2.2999999999999998</v>
      </c>
      <c r="K6695" s="689">
        <v>2.5</v>
      </c>
    </row>
    <row r="6696" spans="1:11">
      <c r="A6696" s="688" t="s">
        <v>2240</v>
      </c>
      <c r="B6696" s="692" t="s">
        <v>4060</v>
      </c>
      <c r="C6696" s="691">
        <v>3.1</v>
      </c>
      <c r="D6696" s="691">
        <v>2.9</v>
      </c>
      <c r="E6696" s="691">
        <v>3.2</v>
      </c>
      <c r="F6696" s="691">
        <v>3.1</v>
      </c>
      <c r="G6696" s="691">
        <v>3.1</v>
      </c>
      <c r="H6696" s="691">
        <v>3.1</v>
      </c>
      <c r="I6696" s="691">
        <v>2.7</v>
      </c>
      <c r="J6696" s="691">
        <v>2.7</v>
      </c>
      <c r="K6696" s="691">
        <v>2.8</v>
      </c>
    </row>
    <row r="6697" spans="1:11">
      <c r="A6697" s="688" t="s">
        <v>2</v>
      </c>
      <c r="B6697" s="690" t="s">
        <v>4060</v>
      </c>
      <c r="C6697" s="689">
        <v>3.6</v>
      </c>
      <c r="D6697" s="689">
        <v>3.4</v>
      </c>
      <c r="E6697" s="689">
        <v>3.5</v>
      </c>
      <c r="F6697" s="689">
        <v>3.4</v>
      </c>
      <c r="G6697" s="689">
        <v>3.3</v>
      </c>
      <c r="H6697" s="689">
        <v>3.4</v>
      </c>
      <c r="I6697" s="689">
        <v>3.4</v>
      </c>
      <c r="J6697" s="689">
        <v>3.3</v>
      </c>
      <c r="K6697" s="689">
        <v>3.2</v>
      </c>
    </row>
    <row r="6698" spans="1:11">
      <c r="A6698" s="688" t="s">
        <v>3</v>
      </c>
      <c r="B6698" s="692" t="s">
        <v>4060</v>
      </c>
      <c r="C6698" s="691">
        <v>3.4</v>
      </c>
      <c r="D6698" s="691">
        <v>3.2</v>
      </c>
      <c r="E6698" s="691">
        <v>3.4</v>
      </c>
      <c r="F6698" s="691">
        <v>3.3</v>
      </c>
      <c r="G6698" s="691">
        <v>3.3</v>
      </c>
      <c r="H6698" s="691">
        <v>3.4</v>
      </c>
      <c r="I6698" s="691">
        <v>3.3</v>
      </c>
      <c r="J6698" s="691">
        <v>3.2</v>
      </c>
      <c r="K6698" s="615">
        <v>3</v>
      </c>
    </row>
    <row r="6699" spans="1:11">
      <c r="A6699" s="688" t="s">
        <v>4061</v>
      </c>
      <c r="B6699" s="690" t="s">
        <v>4060</v>
      </c>
      <c r="C6699" s="689">
        <v>3.4</v>
      </c>
      <c r="D6699" s="689">
        <v>3.2</v>
      </c>
      <c r="E6699" s="689">
        <v>3.4</v>
      </c>
      <c r="F6699" s="689">
        <v>3.3</v>
      </c>
      <c r="G6699" s="689">
        <v>3.3</v>
      </c>
      <c r="H6699" s="689">
        <v>3.4</v>
      </c>
      <c r="I6699" s="689">
        <v>3.3</v>
      </c>
      <c r="J6699" s="689">
        <v>3.2</v>
      </c>
      <c r="K6699" s="693">
        <v>3</v>
      </c>
    </row>
    <row r="6700" spans="1:11">
      <c r="A6700" s="688" t="s">
        <v>4</v>
      </c>
      <c r="B6700" s="692" t="s">
        <v>4060</v>
      </c>
      <c r="C6700" s="691">
        <v>3.2</v>
      </c>
      <c r="D6700" s="691">
        <v>3.3</v>
      </c>
      <c r="E6700" s="691">
        <v>3.4</v>
      </c>
      <c r="F6700" s="691">
        <v>3.6</v>
      </c>
      <c r="G6700" s="691">
        <v>3.3</v>
      </c>
      <c r="H6700" s="691">
        <v>3.6</v>
      </c>
      <c r="I6700" s="691">
        <v>3.5</v>
      </c>
      <c r="J6700" s="691">
        <v>3.2</v>
      </c>
      <c r="K6700" s="691">
        <v>3.1</v>
      </c>
    </row>
    <row r="6701" spans="1:11">
      <c r="A6701" s="688" t="s">
        <v>8</v>
      </c>
      <c r="B6701" s="690" t="s">
        <v>4060</v>
      </c>
      <c r="C6701" s="689">
        <v>3.6</v>
      </c>
      <c r="D6701" s="689">
        <v>3.3</v>
      </c>
      <c r="E6701" s="689">
        <v>3.4</v>
      </c>
      <c r="F6701" s="689">
        <v>3.6</v>
      </c>
      <c r="G6701" s="689">
        <v>3.6</v>
      </c>
      <c r="H6701" s="689">
        <v>3.5</v>
      </c>
      <c r="I6701" s="689">
        <v>3.6</v>
      </c>
      <c r="J6701" s="689">
        <v>3.6</v>
      </c>
      <c r="K6701" s="689">
        <v>3.6</v>
      </c>
    </row>
    <row r="6702" spans="1:11">
      <c r="A6702" s="688" t="s">
        <v>7</v>
      </c>
      <c r="B6702" s="692" t="s">
        <v>4060</v>
      </c>
      <c r="C6702" s="691">
        <v>2.6</v>
      </c>
      <c r="D6702" s="691">
        <v>2.5</v>
      </c>
      <c r="E6702" s="691">
        <v>2.8</v>
      </c>
      <c r="F6702" s="691">
        <v>2.8</v>
      </c>
      <c r="G6702" s="691">
        <v>3.2</v>
      </c>
      <c r="H6702" s="691">
        <v>3.2</v>
      </c>
      <c r="I6702" s="691">
        <v>3.3</v>
      </c>
      <c r="J6702" s="691">
        <v>3.1</v>
      </c>
      <c r="K6702" s="691">
        <v>3.1</v>
      </c>
    </row>
    <row r="6703" spans="1:11">
      <c r="A6703" s="688" t="s">
        <v>27</v>
      </c>
      <c r="B6703" s="690" t="s">
        <v>4060</v>
      </c>
      <c r="C6703" s="689">
        <v>3.9</v>
      </c>
      <c r="D6703" s="689">
        <v>3.6</v>
      </c>
      <c r="E6703" s="689">
        <v>3.9</v>
      </c>
      <c r="F6703" s="689">
        <v>3.7</v>
      </c>
      <c r="G6703" s="689">
        <v>3.8</v>
      </c>
      <c r="H6703" s="693">
        <v>4</v>
      </c>
      <c r="I6703" s="689">
        <v>3.4</v>
      </c>
      <c r="J6703" s="689">
        <v>3.8</v>
      </c>
      <c r="K6703" s="689">
        <v>3.6</v>
      </c>
    </row>
    <row r="6704" spans="1:11">
      <c r="A6704" s="688" t="s">
        <v>6</v>
      </c>
      <c r="B6704" s="692" t="s">
        <v>4060</v>
      </c>
      <c r="C6704" s="691">
        <v>3.9</v>
      </c>
      <c r="D6704" s="691">
        <v>3.7</v>
      </c>
      <c r="E6704" s="691">
        <v>3.9</v>
      </c>
      <c r="F6704" s="691">
        <v>3.9</v>
      </c>
      <c r="G6704" s="691">
        <v>3.9</v>
      </c>
      <c r="H6704" s="691">
        <v>3.9</v>
      </c>
      <c r="I6704" s="691">
        <v>3.7</v>
      </c>
      <c r="J6704" s="691">
        <v>3.8</v>
      </c>
      <c r="K6704" s="691">
        <v>3.6</v>
      </c>
    </row>
    <row r="6705" spans="1:11">
      <c r="A6705" s="688" t="s">
        <v>4058</v>
      </c>
      <c r="B6705" s="690" t="s">
        <v>4060</v>
      </c>
      <c r="C6705" s="690" t="s">
        <v>4060</v>
      </c>
      <c r="D6705" s="690" t="s">
        <v>4060</v>
      </c>
      <c r="E6705" s="690" t="s">
        <v>4060</v>
      </c>
      <c r="F6705" s="690" t="s">
        <v>4060</v>
      </c>
      <c r="G6705" s="690" t="s">
        <v>4060</v>
      </c>
      <c r="H6705" s="690" t="s">
        <v>4060</v>
      </c>
      <c r="I6705" s="690" t="s">
        <v>4060</v>
      </c>
      <c r="J6705" s="690" t="s">
        <v>4060</v>
      </c>
      <c r="K6705" s="690" t="s">
        <v>4060</v>
      </c>
    </row>
    <row r="6706" spans="1:11">
      <c r="A6706" s="688" t="s">
        <v>11</v>
      </c>
      <c r="B6706" s="692" t="s">
        <v>4060</v>
      </c>
      <c r="C6706" s="691">
        <v>2.9</v>
      </c>
      <c r="D6706" s="691">
        <v>2.7</v>
      </c>
      <c r="E6706" s="691">
        <v>2.9</v>
      </c>
      <c r="F6706" s="691">
        <v>2.8</v>
      </c>
      <c r="G6706" s="691">
        <v>2.9</v>
      </c>
      <c r="H6706" s="691">
        <v>2.9</v>
      </c>
      <c r="I6706" s="691">
        <v>2.7</v>
      </c>
      <c r="J6706" s="691">
        <v>2.6</v>
      </c>
      <c r="K6706" s="691">
        <v>2.4</v>
      </c>
    </row>
    <row r="6707" spans="1:11">
      <c r="A6707" s="688" t="s">
        <v>10</v>
      </c>
      <c r="B6707" s="690" t="s">
        <v>4060</v>
      </c>
      <c r="C6707" s="689">
        <v>3.6</v>
      </c>
      <c r="D6707" s="689">
        <v>3.3</v>
      </c>
      <c r="E6707" s="689">
        <v>3.6</v>
      </c>
      <c r="F6707" s="689">
        <v>3.5</v>
      </c>
      <c r="G6707" s="689">
        <v>3.6</v>
      </c>
      <c r="H6707" s="689">
        <v>3.6</v>
      </c>
      <c r="I6707" s="689">
        <v>3.2</v>
      </c>
      <c r="J6707" s="689">
        <v>3.5</v>
      </c>
      <c r="K6707" s="689">
        <v>3.2</v>
      </c>
    </row>
    <row r="6708" spans="1:11">
      <c r="A6708" s="688" t="s">
        <v>30</v>
      </c>
      <c r="B6708" s="692" t="s">
        <v>4060</v>
      </c>
      <c r="C6708" s="691">
        <v>3.2</v>
      </c>
      <c r="D6708" s="691">
        <v>2.9</v>
      </c>
      <c r="E6708" s="691">
        <v>3.5</v>
      </c>
      <c r="F6708" s="691">
        <v>3.3</v>
      </c>
      <c r="G6708" s="691">
        <v>3.9</v>
      </c>
      <c r="H6708" s="691">
        <v>3.4</v>
      </c>
      <c r="I6708" s="691">
        <v>3.5</v>
      </c>
      <c r="J6708" s="691">
        <v>3.3</v>
      </c>
      <c r="K6708" s="615">
        <v>3</v>
      </c>
    </row>
    <row r="6709" spans="1:11">
      <c r="A6709" s="688" t="s">
        <v>12</v>
      </c>
      <c r="B6709" s="690" t="s">
        <v>4060</v>
      </c>
      <c r="C6709" s="689">
        <v>3.1</v>
      </c>
      <c r="D6709" s="689">
        <v>2.9</v>
      </c>
      <c r="E6709" s="689">
        <v>3.1</v>
      </c>
      <c r="F6709" s="689">
        <v>3.1</v>
      </c>
      <c r="G6709" s="689">
        <v>3.1</v>
      </c>
      <c r="H6709" s="689">
        <v>3.2</v>
      </c>
      <c r="I6709" s="689">
        <v>3.1</v>
      </c>
      <c r="J6709" s="689">
        <v>2.8</v>
      </c>
      <c r="K6709" s="689">
        <v>2.8</v>
      </c>
    </row>
    <row r="6710" spans="1:11">
      <c r="A6710" s="688" t="s">
        <v>14</v>
      </c>
      <c r="B6710" s="692" t="s">
        <v>4060</v>
      </c>
      <c r="C6710" s="691">
        <v>2.4</v>
      </c>
      <c r="D6710" s="615">
        <v>2</v>
      </c>
      <c r="E6710" s="615">
        <v>2</v>
      </c>
      <c r="F6710" s="615">
        <v>2</v>
      </c>
      <c r="G6710" s="691">
        <v>2.1</v>
      </c>
      <c r="H6710" s="691">
        <v>2.1</v>
      </c>
      <c r="I6710" s="691">
        <v>2.5</v>
      </c>
      <c r="J6710" s="691">
        <v>2.7</v>
      </c>
      <c r="K6710" s="691">
        <v>2.6</v>
      </c>
    </row>
    <row r="6711" spans="1:11">
      <c r="A6711" s="688" t="s">
        <v>15</v>
      </c>
      <c r="B6711" s="690" t="s">
        <v>4060</v>
      </c>
      <c r="C6711" s="689">
        <v>3.9</v>
      </c>
      <c r="D6711" s="689">
        <v>3.3</v>
      </c>
      <c r="E6711" s="689">
        <v>3.3</v>
      </c>
      <c r="F6711" s="689">
        <v>3.7</v>
      </c>
      <c r="G6711" s="689">
        <v>3.8</v>
      </c>
      <c r="H6711" s="689">
        <v>3.9</v>
      </c>
      <c r="I6711" s="689">
        <v>3.5</v>
      </c>
      <c r="J6711" s="689">
        <v>3.6</v>
      </c>
      <c r="K6711" s="689">
        <v>3.7</v>
      </c>
    </row>
    <row r="6712" spans="1:11">
      <c r="A6712" s="688" t="s">
        <v>29</v>
      </c>
      <c r="B6712" s="692" t="s">
        <v>4060</v>
      </c>
      <c r="C6712" s="691">
        <v>3.4</v>
      </c>
      <c r="D6712" s="691">
        <v>3.3</v>
      </c>
      <c r="E6712" s="691">
        <v>3.5</v>
      </c>
      <c r="F6712" s="691">
        <v>3.5</v>
      </c>
      <c r="G6712" s="691">
        <v>3.6</v>
      </c>
      <c r="H6712" s="691">
        <v>3.6</v>
      </c>
      <c r="I6712" s="691">
        <v>3.5</v>
      </c>
      <c r="J6712" s="691">
        <v>3.6</v>
      </c>
      <c r="K6712" s="691">
        <v>3.3</v>
      </c>
    </row>
    <row r="6713" spans="1:11">
      <c r="A6713" s="688" t="s">
        <v>16</v>
      </c>
      <c r="B6713" s="690" t="s">
        <v>4060</v>
      </c>
      <c r="C6713" s="689">
        <v>3.8</v>
      </c>
      <c r="D6713" s="689">
        <v>3.3</v>
      </c>
      <c r="E6713" s="689">
        <v>3.5</v>
      </c>
      <c r="F6713" s="689">
        <v>3.3</v>
      </c>
      <c r="G6713" s="689">
        <v>3.3</v>
      </c>
      <c r="H6713" s="689">
        <v>3.6</v>
      </c>
      <c r="I6713" s="689">
        <v>3.2</v>
      </c>
      <c r="J6713" s="689">
        <v>3.5</v>
      </c>
      <c r="K6713" s="689">
        <v>3.4</v>
      </c>
    </row>
    <row r="6714" spans="1:11">
      <c r="A6714" s="688" t="s">
        <v>17</v>
      </c>
      <c r="B6714" s="692" t="s">
        <v>4060</v>
      </c>
      <c r="C6714" s="691">
        <v>3.3</v>
      </c>
      <c r="D6714" s="691">
        <v>3.2</v>
      </c>
      <c r="E6714" s="691">
        <v>3.3</v>
      </c>
      <c r="F6714" s="691">
        <v>3.2</v>
      </c>
      <c r="G6714" s="691">
        <v>3.2</v>
      </c>
      <c r="H6714" s="691">
        <v>3.3</v>
      </c>
      <c r="I6714" s="691">
        <v>3.1</v>
      </c>
      <c r="J6714" s="691">
        <v>3.1</v>
      </c>
      <c r="K6714" s="615">
        <v>3</v>
      </c>
    </row>
    <row r="6715" spans="1:11">
      <c r="A6715" s="688" t="s">
        <v>19</v>
      </c>
      <c r="B6715" s="690" t="s">
        <v>4060</v>
      </c>
      <c r="C6715" s="689">
        <v>3.3</v>
      </c>
      <c r="D6715" s="689">
        <v>3.2</v>
      </c>
      <c r="E6715" s="689">
        <v>3.4</v>
      </c>
      <c r="F6715" s="689">
        <v>3.3</v>
      </c>
      <c r="G6715" s="689">
        <v>3.3</v>
      </c>
      <c r="H6715" s="689">
        <v>3.3</v>
      </c>
      <c r="I6715" s="689">
        <v>3.1</v>
      </c>
      <c r="J6715" s="689">
        <v>3.2</v>
      </c>
      <c r="K6715" s="693">
        <v>3</v>
      </c>
    </row>
    <row r="6716" spans="1:11">
      <c r="A6716" s="688" t="s">
        <v>20</v>
      </c>
      <c r="B6716" s="692" t="s">
        <v>4060</v>
      </c>
      <c r="C6716" s="691">
        <v>3.6</v>
      </c>
      <c r="D6716" s="691">
        <v>3.5</v>
      </c>
      <c r="E6716" s="691">
        <v>3.8</v>
      </c>
      <c r="F6716" s="691">
        <v>3.6</v>
      </c>
      <c r="G6716" s="691">
        <v>3.6</v>
      </c>
      <c r="H6716" s="691">
        <v>3.8</v>
      </c>
      <c r="I6716" s="691">
        <v>3.3</v>
      </c>
      <c r="J6716" s="691">
        <v>3.1</v>
      </c>
      <c r="K6716" s="691">
        <v>3.2</v>
      </c>
    </row>
    <row r="6717" spans="1:11">
      <c r="A6717" s="688" t="s">
        <v>21</v>
      </c>
      <c r="B6717" s="690" t="s">
        <v>4060</v>
      </c>
      <c r="C6717" s="689">
        <v>3.7</v>
      </c>
      <c r="D6717" s="689">
        <v>3.6</v>
      </c>
      <c r="E6717" s="689">
        <v>3.6</v>
      </c>
      <c r="F6717" s="689">
        <v>3.8</v>
      </c>
      <c r="G6717" s="689">
        <v>3.6</v>
      </c>
      <c r="H6717" s="689">
        <v>3.7</v>
      </c>
      <c r="I6717" s="689">
        <v>3.4</v>
      </c>
      <c r="J6717" s="689">
        <v>3.4</v>
      </c>
      <c r="K6717" s="689">
        <v>3.3</v>
      </c>
    </row>
    <row r="6718" spans="1:11">
      <c r="A6718" s="688" t="s">
        <v>22</v>
      </c>
      <c r="B6718" s="692" t="s">
        <v>4060</v>
      </c>
      <c r="C6718" s="691">
        <v>3.5</v>
      </c>
      <c r="D6718" s="691">
        <v>3.7</v>
      </c>
      <c r="E6718" s="691">
        <v>4.2</v>
      </c>
      <c r="F6718" s="691">
        <v>4.3</v>
      </c>
      <c r="G6718" s="691">
        <v>4.5</v>
      </c>
      <c r="H6718" s="615">
        <v>5</v>
      </c>
      <c r="I6718" s="691">
        <v>4.8</v>
      </c>
      <c r="J6718" s="691">
        <v>3.5</v>
      </c>
      <c r="K6718" s="691">
        <v>2.8</v>
      </c>
    </row>
    <row r="6719" spans="1:11">
      <c r="A6719" s="688" t="s">
        <v>26</v>
      </c>
      <c r="B6719" s="690" t="s">
        <v>4060</v>
      </c>
      <c r="C6719" s="689">
        <v>3.5</v>
      </c>
      <c r="D6719" s="689">
        <v>3.4</v>
      </c>
      <c r="E6719" s="689">
        <v>3.5</v>
      </c>
      <c r="F6719" s="689">
        <v>3.4</v>
      </c>
      <c r="G6719" s="689">
        <v>3.7</v>
      </c>
      <c r="H6719" s="689">
        <v>3.4</v>
      </c>
      <c r="I6719" s="689">
        <v>2.8</v>
      </c>
      <c r="J6719" s="689">
        <v>3.2</v>
      </c>
      <c r="K6719" s="689">
        <v>3.3</v>
      </c>
    </row>
    <row r="6720" spans="1:11">
      <c r="A6720" s="688" t="s">
        <v>25</v>
      </c>
      <c r="B6720" s="692" t="s">
        <v>4060</v>
      </c>
      <c r="C6720" s="691">
        <v>4.3</v>
      </c>
      <c r="D6720" s="691">
        <v>3.8</v>
      </c>
      <c r="E6720" s="691">
        <v>3.9</v>
      </c>
      <c r="F6720" s="691">
        <v>3.9</v>
      </c>
      <c r="G6720" s="691">
        <v>4.4000000000000004</v>
      </c>
      <c r="H6720" s="691">
        <v>4.5999999999999996</v>
      </c>
      <c r="I6720" s="691">
        <v>4.5</v>
      </c>
      <c r="J6720" s="691">
        <v>3.6</v>
      </c>
      <c r="K6720" s="691">
        <v>3.3</v>
      </c>
    </row>
    <row r="6721" spans="1:11">
      <c r="A6721" s="688" t="s">
        <v>5</v>
      </c>
      <c r="B6721" s="690" t="s">
        <v>4060</v>
      </c>
      <c r="C6721" s="689">
        <v>3.3</v>
      </c>
      <c r="D6721" s="689">
        <v>3.3</v>
      </c>
      <c r="E6721" s="689">
        <v>3.3</v>
      </c>
      <c r="F6721" s="689">
        <v>3.4</v>
      </c>
      <c r="G6721" s="689">
        <v>3.3</v>
      </c>
      <c r="H6721" s="689">
        <v>3.5</v>
      </c>
      <c r="I6721" s="689">
        <v>3.4</v>
      </c>
      <c r="J6721" s="689">
        <v>3.4</v>
      </c>
      <c r="K6721" s="689">
        <v>3.1</v>
      </c>
    </row>
    <row r="6722" spans="1:11">
      <c r="A6722" s="688" t="s">
        <v>23</v>
      </c>
      <c r="B6722" s="692" t="s">
        <v>4060</v>
      </c>
      <c r="C6722" s="691">
        <v>3.4</v>
      </c>
      <c r="D6722" s="691">
        <v>3.3</v>
      </c>
      <c r="E6722" s="691">
        <v>3.3</v>
      </c>
      <c r="F6722" s="691">
        <v>3.3</v>
      </c>
      <c r="G6722" s="691">
        <v>3.4</v>
      </c>
      <c r="H6722" s="691">
        <v>3.5</v>
      </c>
      <c r="I6722" s="691">
        <v>3.2</v>
      </c>
      <c r="J6722" s="691">
        <v>3.5</v>
      </c>
      <c r="K6722" s="691">
        <v>3.4</v>
      </c>
    </row>
    <row r="6723" spans="1:11">
      <c r="A6723" s="688" t="s">
        <v>4067</v>
      </c>
      <c r="B6723" s="690" t="s">
        <v>4060</v>
      </c>
      <c r="C6723" s="690" t="s">
        <v>4060</v>
      </c>
      <c r="D6723" s="690" t="s">
        <v>4060</v>
      </c>
      <c r="E6723" s="690" t="s">
        <v>4060</v>
      </c>
      <c r="F6723" s="690" t="s">
        <v>4060</v>
      </c>
      <c r="G6723" s="690" t="s">
        <v>4060</v>
      </c>
      <c r="H6723" s="690" t="s">
        <v>4060</v>
      </c>
      <c r="I6723" s="690" t="s">
        <v>4060</v>
      </c>
      <c r="J6723" s="690" t="s">
        <v>4060</v>
      </c>
      <c r="K6723" s="690" t="s">
        <v>4060</v>
      </c>
    </row>
    <row r="6724" spans="1:11">
      <c r="A6724" s="688" t="s">
        <v>4066</v>
      </c>
      <c r="B6724" s="692" t="s">
        <v>4060</v>
      </c>
      <c r="C6724" s="692" t="s">
        <v>4060</v>
      </c>
      <c r="D6724" s="692" t="s">
        <v>4060</v>
      </c>
      <c r="E6724" s="692" t="s">
        <v>4060</v>
      </c>
      <c r="F6724" s="692" t="s">
        <v>4060</v>
      </c>
      <c r="G6724" s="692" t="s">
        <v>4060</v>
      </c>
      <c r="H6724" s="692" t="s">
        <v>4060</v>
      </c>
      <c r="I6724" s="692" t="s">
        <v>4060</v>
      </c>
      <c r="J6724" s="692" t="s">
        <v>4060</v>
      </c>
      <c r="K6724" s="692" t="s">
        <v>4060</v>
      </c>
    </row>
    <row r="6725" spans="1:11">
      <c r="A6725" s="688" t="s">
        <v>4062</v>
      </c>
      <c r="B6725" s="690" t="s">
        <v>4060</v>
      </c>
      <c r="C6725" s="689">
        <v>3.5</v>
      </c>
      <c r="D6725" s="689">
        <v>3.3</v>
      </c>
      <c r="E6725" s="689">
        <v>3.5</v>
      </c>
      <c r="F6725" s="689">
        <v>3.4</v>
      </c>
      <c r="G6725" s="689">
        <v>3.5</v>
      </c>
      <c r="H6725" s="689">
        <v>3.5</v>
      </c>
      <c r="I6725" s="689">
        <v>3.3</v>
      </c>
      <c r="J6725" s="689">
        <v>3.5</v>
      </c>
      <c r="K6725" s="689">
        <v>3.2</v>
      </c>
    </row>
    <row r="6726" spans="1:11">
      <c r="A6726" s="688" t="s">
        <v>9</v>
      </c>
      <c r="B6726" s="692" t="s">
        <v>4060</v>
      </c>
      <c r="C6726" s="691">
        <v>3.3</v>
      </c>
      <c r="D6726" s="691">
        <v>3.2</v>
      </c>
      <c r="E6726" s="691">
        <v>3.5</v>
      </c>
      <c r="F6726" s="691">
        <v>3.4</v>
      </c>
      <c r="G6726" s="691">
        <v>3.4</v>
      </c>
      <c r="H6726" s="691">
        <v>3.3</v>
      </c>
      <c r="I6726" s="691">
        <v>3.5</v>
      </c>
      <c r="J6726" s="691">
        <v>3.5</v>
      </c>
      <c r="K6726" s="691">
        <v>3.1</v>
      </c>
    </row>
    <row r="6727" spans="1:11">
      <c r="A6727" s="688" t="s">
        <v>13</v>
      </c>
      <c r="B6727" s="690" t="s">
        <v>4060</v>
      </c>
      <c r="C6727" s="689">
        <v>2.8</v>
      </c>
      <c r="D6727" s="689">
        <v>3.3</v>
      </c>
      <c r="E6727" s="689">
        <v>3.6</v>
      </c>
      <c r="F6727" s="689">
        <v>3.6</v>
      </c>
      <c r="G6727" s="689">
        <v>3.1</v>
      </c>
      <c r="H6727" s="689">
        <v>2.9</v>
      </c>
      <c r="I6727" s="689">
        <v>2.8</v>
      </c>
      <c r="J6727" s="689">
        <v>3.6</v>
      </c>
      <c r="K6727" s="689">
        <v>3.8</v>
      </c>
    </row>
    <row r="6728" spans="1:11">
      <c r="A6728" s="688" t="s">
        <v>18</v>
      </c>
      <c r="B6728" s="692" t="s">
        <v>4060</v>
      </c>
      <c r="C6728" s="691">
        <v>3.5</v>
      </c>
      <c r="D6728" s="691">
        <v>3.4</v>
      </c>
      <c r="E6728" s="691">
        <v>3.4</v>
      </c>
      <c r="F6728" s="691">
        <v>3.4</v>
      </c>
      <c r="G6728" s="691">
        <v>3.5</v>
      </c>
      <c r="H6728" s="691">
        <v>3.5</v>
      </c>
      <c r="I6728" s="691">
        <v>3.5</v>
      </c>
      <c r="J6728" s="691">
        <v>3.5</v>
      </c>
      <c r="K6728" s="691">
        <v>3.1</v>
      </c>
    </row>
    <row r="6729" spans="1:11">
      <c r="A6729" s="688" t="s">
        <v>24</v>
      </c>
      <c r="B6729" s="690" t="s">
        <v>4060</v>
      </c>
      <c r="C6729" s="689">
        <v>3.5</v>
      </c>
      <c r="D6729" s="689">
        <v>3.3</v>
      </c>
      <c r="E6729" s="689">
        <v>3.6</v>
      </c>
      <c r="F6729" s="689">
        <v>3.5</v>
      </c>
      <c r="G6729" s="689">
        <v>3.6</v>
      </c>
      <c r="H6729" s="689">
        <v>3.6</v>
      </c>
      <c r="I6729" s="689">
        <v>3.2</v>
      </c>
      <c r="J6729" s="689">
        <v>3.5</v>
      </c>
      <c r="K6729" s="689">
        <v>3.3</v>
      </c>
    </row>
    <row r="6730" spans="1:11">
      <c r="A6730" s="688" t="s">
        <v>4059</v>
      </c>
      <c r="B6730" s="692" t="s">
        <v>4060</v>
      </c>
      <c r="C6730" s="692" t="s">
        <v>4060</v>
      </c>
      <c r="D6730" s="692" t="s">
        <v>4060</v>
      </c>
      <c r="E6730" s="692" t="s">
        <v>4060</v>
      </c>
      <c r="F6730" s="692" t="s">
        <v>4060</v>
      </c>
      <c r="G6730" s="692" t="s">
        <v>4060</v>
      </c>
      <c r="H6730" s="692" t="s">
        <v>4060</v>
      </c>
      <c r="I6730" s="692" t="s">
        <v>4060</v>
      </c>
      <c r="J6730" s="692" t="s">
        <v>4060</v>
      </c>
      <c r="K6730" s="692" t="s">
        <v>4060</v>
      </c>
    </row>
    <row r="6731" spans="1:11">
      <c r="A6731" s="688" t="s">
        <v>2324</v>
      </c>
      <c r="B6731" s="690" t="s">
        <v>4060</v>
      </c>
      <c r="C6731" s="690" t="s">
        <v>4060</v>
      </c>
      <c r="D6731" s="690" t="s">
        <v>4060</v>
      </c>
      <c r="E6731" s="690" t="s">
        <v>4060</v>
      </c>
      <c r="F6731" s="690" t="s">
        <v>4060</v>
      </c>
      <c r="G6731" s="690" t="s">
        <v>4060</v>
      </c>
      <c r="H6731" s="690" t="s">
        <v>4060</v>
      </c>
      <c r="I6731" s="690" t="s">
        <v>4060</v>
      </c>
      <c r="J6731" s="690" t="s">
        <v>4060</v>
      </c>
      <c r="K6731" s="690" t="s">
        <v>4060</v>
      </c>
    </row>
    <row r="6732" spans="1:11">
      <c r="A6732" s="688" t="s">
        <v>2322</v>
      </c>
      <c r="B6732" s="692" t="s">
        <v>4060</v>
      </c>
      <c r="C6732" s="692" t="s">
        <v>4060</v>
      </c>
      <c r="D6732" s="692" t="s">
        <v>4060</v>
      </c>
      <c r="E6732" s="692" t="s">
        <v>4060</v>
      </c>
      <c r="F6732" s="692" t="s">
        <v>4060</v>
      </c>
      <c r="G6732" s="692" t="s">
        <v>4060</v>
      </c>
      <c r="H6732" s="692" t="s">
        <v>4060</v>
      </c>
      <c r="I6732" s="692" t="s">
        <v>4060</v>
      </c>
      <c r="J6732" s="692" t="s">
        <v>4060</v>
      </c>
      <c r="K6732" s="692" t="s">
        <v>4060</v>
      </c>
    </row>
    <row r="6733" spans="1:11">
      <c r="A6733" s="688" t="s">
        <v>2328</v>
      </c>
      <c r="B6733" s="690" t="s">
        <v>4060</v>
      </c>
      <c r="C6733" s="690" t="s">
        <v>4060</v>
      </c>
      <c r="D6733" s="690" t="s">
        <v>4060</v>
      </c>
      <c r="E6733" s="690" t="s">
        <v>4060</v>
      </c>
      <c r="F6733" s="690" t="s">
        <v>4060</v>
      </c>
      <c r="G6733" s="690" t="s">
        <v>4060</v>
      </c>
      <c r="H6733" s="690" t="s">
        <v>4060</v>
      </c>
      <c r="I6733" s="690" t="s">
        <v>4060</v>
      </c>
      <c r="J6733" s="690" t="s">
        <v>4060</v>
      </c>
      <c r="K6733" s="690" t="s">
        <v>4060</v>
      </c>
    </row>
    <row r="6734" spans="1:11">
      <c r="A6734" s="688" t="s">
        <v>2496</v>
      </c>
      <c r="B6734" s="692" t="s">
        <v>4060</v>
      </c>
      <c r="C6734" s="692" t="s">
        <v>4060</v>
      </c>
      <c r="D6734" s="692" t="s">
        <v>4060</v>
      </c>
      <c r="E6734" s="692" t="s">
        <v>4060</v>
      </c>
      <c r="F6734" s="692" t="s">
        <v>4060</v>
      </c>
      <c r="G6734" s="692" t="s">
        <v>4060</v>
      </c>
      <c r="H6734" s="692" t="s">
        <v>4060</v>
      </c>
      <c r="I6734" s="692" t="s">
        <v>4060</v>
      </c>
      <c r="J6734" s="692" t="s">
        <v>4060</v>
      </c>
      <c r="K6734" s="692" t="s">
        <v>4060</v>
      </c>
    </row>
    <row r="6735" spans="1:11">
      <c r="A6735" s="688" t="s">
        <v>2269</v>
      </c>
      <c r="B6735" s="690" t="s">
        <v>4060</v>
      </c>
      <c r="C6735" s="690" t="s">
        <v>4060</v>
      </c>
      <c r="D6735" s="690" t="s">
        <v>4060</v>
      </c>
      <c r="E6735" s="690" t="s">
        <v>4060</v>
      </c>
      <c r="F6735" s="690" t="s">
        <v>4060</v>
      </c>
      <c r="G6735" s="690" t="s">
        <v>4060</v>
      </c>
      <c r="H6735" s="690" t="s">
        <v>4060</v>
      </c>
      <c r="I6735" s="690" t="s">
        <v>4060</v>
      </c>
      <c r="J6735" s="690" t="s">
        <v>4060</v>
      </c>
      <c r="K6735" s="690" t="s">
        <v>4060</v>
      </c>
    </row>
    <row r="6736" spans="1:11">
      <c r="A6736" s="688" t="s">
        <v>2349</v>
      </c>
      <c r="B6736" s="692" t="s">
        <v>4060</v>
      </c>
      <c r="C6736" s="692" t="s">
        <v>4060</v>
      </c>
      <c r="D6736" s="692" t="s">
        <v>4060</v>
      </c>
      <c r="E6736" s="692" t="s">
        <v>4060</v>
      </c>
      <c r="F6736" s="692" t="s">
        <v>4060</v>
      </c>
      <c r="G6736" s="692" t="s">
        <v>4060</v>
      </c>
      <c r="H6736" s="692" t="s">
        <v>4060</v>
      </c>
      <c r="I6736" s="692" t="s">
        <v>4060</v>
      </c>
      <c r="J6736" s="692" t="s">
        <v>4060</v>
      </c>
      <c r="K6736" s="692" t="s">
        <v>4060</v>
      </c>
    </row>
    <row r="6737" spans="1:11">
      <c r="A6737" s="688" t="s">
        <v>2355</v>
      </c>
      <c r="B6737" s="690" t="s">
        <v>4060</v>
      </c>
      <c r="C6737" s="690" t="s">
        <v>4060</v>
      </c>
      <c r="D6737" s="690" t="s">
        <v>4060</v>
      </c>
      <c r="E6737" s="690" t="s">
        <v>4060</v>
      </c>
      <c r="F6737" s="690" t="s">
        <v>4060</v>
      </c>
      <c r="G6737" s="690" t="s">
        <v>4060</v>
      </c>
      <c r="H6737" s="690" t="s">
        <v>4060</v>
      </c>
      <c r="I6737" s="690" t="s">
        <v>4060</v>
      </c>
      <c r="J6737" s="690" t="s">
        <v>4060</v>
      </c>
      <c r="K6737" s="690" t="s">
        <v>4060</v>
      </c>
    </row>
    <row r="6738" spans="1:11">
      <c r="A6738" s="688" t="s">
        <v>2357</v>
      </c>
      <c r="B6738" s="692" t="s">
        <v>4060</v>
      </c>
      <c r="C6738" s="692" t="s">
        <v>4060</v>
      </c>
      <c r="D6738" s="692" t="s">
        <v>4060</v>
      </c>
      <c r="E6738" s="692" t="s">
        <v>4060</v>
      </c>
      <c r="F6738" s="692" t="s">
        <v>4060</v>
      </c>
      <c r="G6738" s="692" t="s">
        <v>4060</v>
      </c>
      <c r="H6738" s="692" t="s">
        <v>4060</v>
      </c>
      <c r="I6738" s="692" t="s">
        <v>4060</v>
      </c>
      <c r="J6738" s="692" t="s">
        <v>4060</v>
      </c>
      <c r="K6738" s="692" t="s">
        <v>4060</v>
      </c>
    </row>
    <row r="6739" spans="1:11">
      <c r="A6739" s="688" t="s">
        <v>4070</v>
      </c>
      <c r="B6739" s="690" t="s">
        <v>4060</v>
      </c>
      <c r="C6739" s="690" t="s">
        <v>4060</v>
      </c>
      <c r="D6739" s="690" t="s">
        <v>4060</v>
      </c>
      <c r="E6739" s="690" t="s">
        <v>4060</v>
      </c>
      <c r="F6739" s="690" t="s">
        <v>4060</v>
      </c>
      <c r="G6739" s="690" t="s">
        <v>4060</v>
      </c>
      <c r="H6739" s="690" t="s">
        <v>4060</v>
      </c>
      <c r="I6739" s="690" t="s">
        <v>4060</v>
      </c>
      <c r="J6739" s="690" t="s">
        <v>4060</v>
      </c>
      <c r="K6739" s="690" t="s">
        <v>4060</v>
      </c>
    </row>
    <row r="6740" spans="1:11">
      <c r="A6740" s="688" t="s">
        <v>2491</v>
      </c>
      <c r="B6740" s="692" t="s">
        <v>4060</v>
      </c>
      <c r="C6740" s="692" t="s">
        <v>4060</v>
      </c>
      <c r="D6740" s="692" t="s">
        <v>4060</v>
      </c>
      <c r="E6740" s="692" t="s">
        <v>4060</v>
      </c>
      <c r="F6740" s="692" t="s">
        <v>4060</v>
      </c>
      <c r="G6740" s="692" t="s">
        <v>4060</v>
      </c>
      <c r="H6740" s="692" t="s">
        <v>4060</v>
      </c>
      <c r="I6740" s="692" t="s">
        <v>4060</v>
      </c>
      <c r="J6740" s="692" t="s">
        <v>4060</v>
      </c>
      <c r="K6740" s="692" t="s">
        <v>4060</v>
      </c>
    </row>
    <row r="6741" spans="1:11">
      <c r="A6741" s="688" t="s">
        <v>2343</v>
      </c>
      <c r="B6741" s="690" t="s">
        <v>4060</v>
      </c>
      <c r="C6741" s="690" t="s">
        <v>4060</v>
      </c>
      <c r="D6741" s="690" t="s">
        <v>4060</v>
      </c>
      <c r="E6741" s="690" t="s">
        <v>4060</v>
      </c>
      <c r="F6741" s="690" t="s">
        <v>4060</v>
      </c>
      <c r="G6741" s="690" t="s">
        <v>4060</v>
      </c>
      <c r="H6741" s="690" t="s">
        <v>4060</v>
      </c>
      <c r="I6741" s="690" t="s">
        <v>4060</v>
      </c>
      <c r="J6741" s="690" t="s">
        <v>4060</v>
      </c>
      <c r="K6741" s="690" t="s">
        <v>4060</v>
      </c>
    </row>
    <row r="6742" spans="1:11">
      <c r="A6742" s="688" t="s">
        <v>4071</v>
      </c>
      <c r="B6742" s="692" t="s">
        <v>4060</v>
      </c>
      <c r="C6742" s="692" t="s">
        <v>4060</v>
      </c>
      <c r="D6742" s="692" t="s">
        <v>4060</v>
      </c>
      <c r="E6742" s="692" t="s">
        <v>4060</v>
      </c>
      <c r="F6742" s="692" t="s">
        <v>4060</v>
      </c>
      <c r="G6742" s="692" t="s">
        <v>4060</v>
      </c>
      <c r="H6742" s="692" t="s">
        <v>4060</v>
      </c>
      <c r="I6742" s="692" t="s">
        <v>4060</v>
      </c>
      <c r="J6742" s="692" t="s">
        <v>4060</v>
      </c>
      <c r="K6742" s="692" t="s">
        <v>4060</v>
      </c>
    </row>
    <row r="6743" spans="1:11">
      <c r="A6743" s="688" t="s">
        <v>2489</v>
      </c>
      <c r="B6743" s="690" t="s">
        <v>4060</v>
      </c>
      <c r="C6743" s="690" t="s">
        <v>4060</v>
      </c>
      <c r="D6743" s="690" t="s">
        <v>4060</v>
      </c>
      <c r="E6743" s="690" t="s">
        <v>4060</v>
      </c>
      <c r="F6743" s="690" t="s">
        <v>4060</v>
      </c>
      <c r="G6743" s="690" t="s">
        <v>4060</v>
      </c>
      <c r="H6743" s="690" t="s">
        <v>4060</v>
      </c>
      <c r="I6743" s="690" t="s">
        <v>4060</v>
      </c>
      <c r="J6743" s="690" t="s">
        <v>4060</v>
      </c>
      <c r="K6743" s="690" t="s">
        <v>4060</v>
      </c>
    </row>
    <row r="6744" spans="1:11">
      <c r="A6744" s="688" t="s">
        <v>2490</v>
      </c>
      <c r="B6744" s="692" t="s">
        <v>4060</v>
      </c>
      <c r="C6744" s="692" t="s">
        <v>4060</v>
      </c>
      <c r="D6744" s="692" t="s">
        <v>4060</v>
      </c>
      <c r="E6744" s="692" t="s">
        <v>4060</v>
      </c>
      <c r="F6744" s="692" t="s">
        <v>4060</v>
      </c>
      <c r="G6744" s="692" t="s">
        <v>4060</v>
      </c>
      <c r="H6744" s="692" t="s">
        <v>4060</v>
      </c>
      <c r="I6744" s="692" t="s">
        <v>4060</v>
      </c>
      <c r="J6744" s="692" t="s">
        <v>4060</v>
      </c>
      <c r="K6744" s="692" t="s">
        <v>4060</v>
      </c>
    </row>
    <row r="6746" spans="1:11">
      <c r="A6746" s="683" t="s">
        <v>4233</v>
      </c>
    </row>
    <row r="6747" spans="1:11">
      <c r="A6747" s="683" t="s">
        <v>4060</v>
      </c>
      <c r="B6747" s="682" t="s">
        <v>4234</v>
      </c>
    </row>
    <row r="6749" spans="1:11">
      <c r="A6749" s="682" t="s">
        <v>4248</v>
      </c>
    </row>
    <row r="6750" spans="1:11">
      <c r="A6750" s="682" t="s">
        <v>4210</v>
      </c>
      <c r="B6750" s="683" t="s">
        <v>4211</v>
      </c>
    </row>
    <row r="6751" spans="1:11">
      <c r="A6751" s="682" t="s">
        <v>4212</v>
      </c>
      <c r="B6751" s="682" t="s">
        <v>4213</v>
      </c>
    </row>
    <row r="6753" spans="1:11">
      <c r="A6753" s="683" t="s">
        <v>4214</v>
      </c>
      <c r="C6753" s="682" t="s">
        <v>4215</v>
      </c>
    </row>
    <row r="6754" spans="1:11">
      <c r="A6754" s="683" t="s">
        <v>4216</v>
      </c>
      <c r="C6754" s="682" t="s">
        <v>2967</v>
      </c>
    </row>
    <row r="6755" spans="1:11">
      <c r="A6755" s="683" t="s">
        <v>3893</v>
      </c>
      <c r="C6755" s="682" t="s">
        <v>4217</v>
      </c>
    </row>
    <row r="6756" spans="1:11">
      <c r="A6756" s="683" t="s">
        <v>4218</v>
      </c>
      <c r="C6756" s="682" t="s">
        <v>4329</v>
      </c>
    </row>
    <row r="6758" spans="1:11">
      <c r="A6758" s="684" t="s">
        <v>4220</v>
      </c>
      <c r="B6758" s="685" t="s">
        <v>4221</v>
      </c>
      <c r="C6758" s="685" t="s">
        <v>4222</v>
      </c>
      <c r="D6758" s="685" t="s">
        <v>4223</v>
      </c>
      <c r="E6758" s="685" t="s">
        <v>4224</v>
      </c>
      <c r="F6758" s="685" t="s">
        <v>4225</v>
      </c>
      <c r="G6758" s="685" t="s">
        <v>4226</v>
      </c>
      <c r="H6758" s="685" t="s">
        <v>4227</v>
      </c>
      <c r="I6758" s="685" t="s">
        <v>4228</v>
      </c>
      <c r="J6758" s="685" t="s">
        <v>4229</v>
      </c>
      <c r="K6758" s="685" t="s">
        <v>4230</v>
      </c>
    </row>
    <row r="6759" spans="1:11">
      <c r="A6759" s="686" t="s">
        <v>4231</v>
      </c>
      <c r="B6759" s="687" t="s">
        <v>4232</v>
      </c>
      <c r="C6759" s="687" t="s">
        <v>4232</v>
      </c>
      <c r="D6759" s="687" t="s">
        <v>4232</v>
      </c>
      <c r="E6759" s="687" t="s">
        <v>4232</v>
      </c>
      <c r="F6759" s="687" t="s">
        <v>4232</v>
      </c>
      <c r="G6759" s="687" t="s">
        <v>4232</v>
      </c>
      <c r="H6759" s="687" t="s">
        <v>4232</v>
      </c>
      <c r="I6759" s="687" t="s">
        <v>4232</v>
      </c>
      <c r="J6759" s="687" t="s">
        <v>4232</v>
      </c>
      <c r="K6759" s="687" t="s">
        <v>4232</v>
      </c>
    </row>
    <row r="6760" spans="1:11">
      <c r="A6760" s="688" t="s">
        <v>4064</v>
      </c>
      <c r="B6760" s="692" t="s">
        <v>4060</v>
      </c>
      <c r="C6760" s="691">
        <v>3.3</v>
      </c>
      <c r="D6760" s="692" t="s">
        <v>4060</v>
      </c>
      <c r="E6760" s="691">
        <v>3.4</v>
      </c>
      <c r="F6760" s="691">
        <v>3.3</v>
      </c>
      <c r="G6760" s="691">
        <v>3.3</v>
      </c>
      <c r="H6760" s="691">
        <v>3.4</v>
      </c>
      <c r="I6760" s="691">
        <v>3.1</v>
      </c>
      <c r="J6760" s="691">
        <v>3.2</v>
      </c>
      <c r="K6760" s="615">
        <v>3</v>
      </c>
    </row>
    <row r="6761" spans="1:11">
      <c r="A6761" s="688" t="s">
        <v>4065</v>
      </c>
      <c r="B6761" s="690" t="s">
        <v>4060</v>
      </c>
      <c r="C6761" s="690" t="s">
        <v>4060</v>
      </c>
      <c r="D6761" s="690" t="s">
        <v>4060</v>
      </c>
      <c r="E6761" s="690" t="s">
        <v>4060</v>
      </c>
      <c r="F6761" s="690" t="s">
        <v>4060</v>
      </c>
      <c r="G6761" s="690" t="s">
        <v>4060</v>
      </c>
      <c r="H6761" s="690" t="s">
        <v>4060</v>
      </c>
      <c r="I6761" s="690" t="s">
        <v>4060</v>
      </c>
      <c r="J6761" s="690" t="s">
        <v>4060</v>
      </c>
      <c r="K6761" s="690" t="s">
        <v>4060</v>
      </c>
    </row>
    <row r="6762" spans="1:11">
      <c r="A6762" s="688" t="s">
        <v>4063</v>
      </c>
      <c r="B6762" s="692" t="s">
        <v>4060</v>
      </c>
      <c r="C6762" s="692" t="s">
        <v>4060</v>
      </c>
      <c r="D6762" s="692" t="s">
        <v>4060</v>
      </c>
      <c r="E6762" s="692" t="s">
        <v>4060</v>
      </c>
      <c r="F6762" s="692" t="s">
        <v>4060</v>
      </c>
      <c r="G6762" s="692" t="s">
        <v>4060</v>
      </c>
      <c r="H6762" s="692" t="s">
        <v>4060</v>
      </c>
      <c r="I6762" s="692" t="s">
        <v>4060</v>
      </c>
      <c r="J6762" s="692" t="s">
        <v>4060</v>
      </c>
      <c r="K6762" s="692" t="s">
        <v>4060</v>
      </c>
    </row>
    <row r="6763" spans="1:11">
      <c r="A6763" s="688" t="s">
        <v>4069</v>
      </c>
      <c r="B6763" s="690" t="s">
        <v>4060</v>
      </c>
      <c r="C6763" s="689">
        <v>3.4</v>
      </c>
      <c r="D6763" s="689">
        <v>3.2</v>
      </c>
      <c r="E6763" s="689">
        <v>3.4</v>
      </c>
      <c r="F6763" s="689">
        <v>3.3</v>
      </c>
      <c r="G6763" s="689">
        <v>3.3</v>
      </c>
      <c r="H6763" s="689">
        <v>3.4</v>
      </c>
      <c r="I6763" s="689">
        <v>3.1</v>
      </c>
      <c r="J6763" s="689">
        <v>3.3</v>
      </c>
      <c r="K6763" s="693">
        <v>3</v>
      </c>
    </row>
    <row r="6764" spans="1:11">
      <c r="A6764" s="688" t="s">
        <v>4068</v>
      </c>
      <c r="B6764" s="692" t="s">
        <v>4060</v>
      </c>
      <c r="C6764" s="692" t="s">
        <v>4060</v>
      </c>
      <c r="D6764" s="692" t="s">
        <v>4060</v>
      </c>
      <c r="E6764" s="692" t="s">
        <v>4060</v>
      </c>
      <c r="F6764" s="692" t="s">
        <v>4060</v>
      </c>
      <c r="G6764" s="692" t="s">
        <v>4060</v>
      </c>
      <c r="H6764" s="692" t="s">
        <v>4060</v>
      </c>
      <c r="I6764" s="692" t="s">
        <v>4060</v>
      </c>
      <c r="J6764" s="692" t="s">
        <v>4060</v>
      </c>
      <c r="K6764" s="692" t="s">
        <v>4060</v>
      </c>
    </row>
    <row r="6765" spans="1:11">
      <c r="A6765" s="688" t="s">
        <v>0</v>
      </c>
      <c r="B6765" s="690" t="s">
        <v>4060</v>
      </c>
      <c r="C6765" s="689">
        <v>3.2</v>
      </c>
      <c r="D6765" s="689">
        <v>3.1</v>
      </c>
      <c r="E6765" s="689">
        <v>3.3</v>
      </c>
      <c r="F6765" s="689">
        <v>3.2</v>
      </c>
      <c r="G6765" s="689">
        <v>3.2</v>
      </c>
      <c r="H6765" s="689">
        <v>3.3</v>
      </c>
      <c r="I6765" s="689">
        <v>2.9</v>
      </c>
      <c r="J6765" s="689">
        <v>3.4</v>
      </c>
      <c r="K6765" s="689">
        <v>3.1</v>
      </c>
    </row>
    <row r="6766" spans="1:11">
      <c r="A6766" s="688" t="s">
        <v>1</v>
      </c>
      <c r="B6766" s="692" t="s">
        <v>4060</v>
      </c>
      <c r="C6766" s="691">
        <v>2.6</v>
      </c>
      <c r="D6766" s="691">
        <v>2.4</v>
      </c>
      <c r="E6766" s="691">
        <v>2.5</v>
      </c>
      <c r="F6766" s="691">
        <v>2.5</v>
      </c>
      <c r="G6766" s="691">
        <v>2.5</v>
      </c>
      <c r="H6766" s="691">
        <v>2.4</v>
      </c>
      <c r="I6766" s="691">
        <v>2.2000000000000002</v>
      </c>
      <c r="J6766" s="691">
        <v>2.1</v>
      </c>
      <c r="K6766" s="691">
        <v>2.2999999999999998</v>
      </c>
    </row>
    <row r="6767" spans="1:11">
      <c r="A6767" s="688" t="s">
        <v>2240</v>
      </c>
      <c r="B6767" s="690" t="s">
        <v>4060</v>
      </c>
      <c r="C6767" s="689">
        <v>2.9</v>
      </c>
      <c r="D6767" s="689">
        <v>2.7</v>
      </c>
      <c r="E6767" s="693">
        <v>3</v>
      </c>
      <c r="F6767" s="689">
        <v>2.9</v>
      </c>
      <c r="G6767" s="689">
        <v>2.9</v>
      </c>
      <c r="H6767" s="689">
        <v>2.9</v>
      </c>
      <c r="I6767" s="689">
        <v>2.6</v>
      </c>
      <c r="J6767" s="689">
        <v>2.5</v>
      </c>
      <c r="K6767" s="689">
        <v>2.6</v>
      </c>
    </row>
    <row r="6768" spans="1:11">
      <c r="A6768" s="688" t="s">
        <v>2</v>
      </c>
      <c r="B6768" s="692" t="s">
        <v>4060</v>
      </c>
      <c r="C6768" s="691">
        <v>3.3</v>
      </c>
      <c r="D6768" s="691">
        <v>3.2</v>
      </c>
      <c r="E6768" s="691">
        <v>3.2</v>
      </c>
      <c r="F6768" s="691">
        <v>3.2</v>
      </c>
      <c r="G6768" s="615">
        <v>3</v>
      </c>
      <c r="H6768" s="691">
        <v>3.2</v>
      </c>
      <c r="I6768" s="691">
        <v>3.2</v>
      </c>
      <c r="J6768" s="615">
        <v>3</v>
      </c>
      <c r="K6768" s="691">
        <v>2.9</v>
      </c>
    </row>
    <row r="6769" spans="1:11">
      <c r="A6769" s="688" t="s">
        <v>3</v>
      </c>
      <c r="B6769" s="690" t="s">
        <v>4060</v>
      </c>
      <c r="C6769" s="689">
        <v>3.1</v>
      </c>
      <c r="D6769" s="693">
        <v>3</v>
      </c>
      <c r="E6769" s="689">
        <v>3.2</v>
      </c>
      <c r="F6769" s="689">
        <v>3.1</v>
      </c>
      <c r="G6769" s="689">
        <v>3.1</v>
      </c>
      <c r="H6769" s="689">
        <v>3.2</v>
      </c>
      <c r="I6769" s="693">
        <v>3</v>
      </c>
      <c r="J6769" s="693">
        <v>3</v>
      </c>
      <c r="K6769" s="689">
        <v>2.7</v>
      </c>
    </row>
    <row r="6770" spans="1:11">
      <c r="A6770" s="688" t="s">
        <v>4061</v>
      </c>
      <c r="B6770" s="692" t="s">
        <v>4060</v>
      </c>
      <c r="C6770" s="691">
        <v>3.1</v>
      </c>
      <c r="D6770" s="615">
        <v>3</v>
      </c>
      <c r="E6770" s="691">
        <v>3.2</v>
      </c>
      <c r="F6770" s="691">
        <v>3.1</v>
      </c>
      <c r="G6770" s="691">
        <v>3.1</v>
      </c>
      <c r="H6770" s="691">
        <v>3.2</v>
      </c>
      <c r="I6770" s="615">
        <v>3</v>
      </c>
      <c r="J6770" s="615">
        <v>3</v>
      </c>
      <c r="K6770" s="691">
        <v>2.7</v>
      </c>
    </row>
    <row r="6771" spans="1:11">
      <c r="A6771" s="688" t="s">
        <v>4</v>
      </c>
      <c r="B6771" s="690" t="s">
        <v>4060</v>
      </c>
      <c r="C6771" s="689">
        <v>3.1</v>
      </c>
      <c r="D6771" s="689">
        <v>3.1</v>
      </c>
      <c r="E6771" s="689">
        <v>3.1</v>
      </c>
      <c r="F6771" s="689">
        <v>3.3</v>
      </c>
      <c r="G6771" s="689">
        <v>3.2</v>
      </c>
      <c r="H6771" s="689">
        <v>3.4</v>
      </c>
      <c r="I6771" s="689">
        <v>3.3</v>
      </c>
      <c r="J6771" s="689">
        <v>2.9</v>
      </c>
      <c r="K6771" s="689">
        <v>2.9</v>
      </c>
    </row>
    <row r="6772" spans="1:11">
      <c r="A6772" s="688" t="s">
        <v>8</v>
      </c>
      <c r="B6772" s="692" t="s">
        <v>4060</v>
      </c>
      <c r="C6772" s="691">
        <v>3.5</v>
      </c>
      <c r="D6772" s="691">
        <v>3.2</v>
      </c>
      <c r="E6772" s="691">
        <v>3.1</v>
      </c>
      <c r="F6772" s="691">
        <v>3.5</v>
      </c>
      <c r="G6772" s="691">
        <v>3.5</v>
      </c>
      <c r="H6772" s="691">
        <v>3.3</v>
      </c>
      <c r="I6772" s="691">
        <v>3.4</v>
      </c>
      <c r="J6772" s="691">
        <v>3.4</v>
      </c>
      <c r="K6772" s="691">
        <v>3.3</v>
      </c>
    </row>
    <row r="6773" spans="1:11">
      <c r="A6773" s="688" t="s">
        <v>7</v>
      </c>
      <c r="B6773" s="690" t="s">
        <v>4060</v>
      </c>
      <c r="C6773" s="689">
        <v>2.6</v>
      </c>
      <c r="D6773" s="689">
        <v>2.2000000000000002</v>
      </c>
      <c r="E6773" s="689">
        <v>2.4</v>
      </c>
      <c r="F6773" s="689">
        <v>2.5</v>
      </c>
      <c r="G6773" s="689">
        <v>2.9</v>
      </c>
      <c r="H6773" s="689">
        <v>2.9</v>
      </c>
      <c r="I6773" s="689">
        <v>3.1</v>
      </c>
      <c r="J6773" s="689">
        <v>2.9</v>
      </c>
      <c r="K6773" s="689">
        <v>2.9</v>
      </c>
    </row>
    <row r="6774" spans="1:11">
      <c r="A6774" s="688" t="s">
        <v>27</v>
      </c>
      <c r="B6774" s="692" t="s">
        <v>4060</v>
      </c>
      <c r="C6774" s="691">
        <v>3.7</v>
      </c>
      <c r="D6774" s="691">
        <v>3.4</v>
      </c>
      <c r="E6774" s="691">
        <v>3.6</v>
      </c>
      <c r="F6774" s="691">
        <v>3.5</v>
      </c>
      <c r="G6774" s="691">
        <v>3.5</v>
      </c>
      <c r="H6774" s="691">
        <v>3.7</v>
      </c>
      <c r="I6774" s="691">
        <v>3.2</v>
      </c>
      <c r="J6774" s="691">
        <v>3.6</v>
      </c>
      <c r="K6774" s="691">
        <v>3.3</v>
      </c>
    </row>
    <row r="6775" spans="1:11">
      <c r="A6775" s="688" t="s">
        <v>6</v>
      </c>
      <c r="B6775" s="690" t="s">
        <v>4060</v>
      </c>
      <c r="C6775" s="689">
        <v>3.6</v>
      </c>
      <c r="D6775" s="689">
        <v>3.4</v>
      </c>
      <c r="E6775" s="689">
        <v>3.6</v>
      </c>
      <c r="F6775" s="689">
        <v>3.7</v>
      </c>
      <c r="G6775" s="689">
        <v>3.7</v>
      </c>
      <c r="H6775" s="689">
        <v>3.7</v>
      </c>
      <c r="I6775" s="689">
        <v>3.4</v>
      </c>
      <c r="J6775" s="689">
        <v>3.5</v>
      </c>
      <c r="K6775" s="689">
        <v>3.3</v>
      </c>
    </row>
    <row r="6776" spans="1:11">
      <c r="A6776" s="688" t="s">
        <v>4058</v>
      </c>
      <c r="B6776" s="692" t="s">
        <v>4060</v>
      </c>
      <c r="C6776" s="692" t="s">
        <v>4060</v>
      </c>
      <c r="D6776" s="692" t="s">
        <v>4060</v>
      </c>
      <c r="E6776" s="692" t="s">
        <v>4060</v>
      </c>
      <c r="F6776" s="692" t="s">
        <v>4060</v>
      </c>
      <c r="G6776" s="692" t="s">
        <v>4060</v>
      </c>
      <c r="H6776" s="692" t="s">
        <v>4060</v>
      </c>
      <c r="I6776" s="692" t="s">
        <v>4060</v>
      </c>
      <c r="J6776" s="692" t="s">
        <v>4060</v>
      </c>
      <c r="K6776" s="692" t="s">
        <v>4060</v>
      </c>
    </row>
    <row r="6777" spans="1:11">
      <c r="A6777" s="688" t="s">
        <v>11</v>
      </c>
      <c r="B6777" s="690" t="s">
        <v>4060</v>
      </c>
      <c r="C6777" s="689">
        <v>2.7</v>
      </c>
      <c r="D6777" s="689">
        <v>2.6</v>
      </c>
      <c r="E6777" s="689">
        <v>2.8</v>
      </c>
      <c r="F6777" s="689">
        <v>2.6</v>
      </c>
      <c r="G6777" s="689">
        <v>2.8</v>
      </c>
      <c r="H6777" s="689">
        <v>2.7</v>
      </c>
      <c r="I6777" s="689">
        <v>2.5</v>
      </c>
      <c r="J6777" s="689">
        <v>2.4</v>
      </c>
      <c r="K6777" s="689">
        <v>2.2000000000000002</v>
      </c>
    </row>
    <row r="6778" spans="1:11">
      <c r="A6778" s="688" t="s">
        <v>10</v>
      </c>
      <c r="B6778" s="692" t="s">
        <v>4060</v>
      </c>
      <c r="C6778" s="691">
        <v>3.3</v>
      </c>
      <c r="D6778" s="691">
        <v>3.1</v>
      </c>
      <c r="E6778" s="691">
        <v>3.4</v>
      </c>
      <c r="F6778" s="691">
        <v>3.2</v>
      </c>
      <c r="G6778" s="691">
        <v>3.4</v>
      </c>
      <c r="H6778" s="691">
        <v>3.4</v>
      </c>
      <c r="I6778" s="615">
        <v>3</v>
      </c>
      <c r="J6778" s="691">
        <v>3.2</v>
      </c>
      <c r="K6778" s="691">
        <v>2.9</v>
      </c>
    </row>
    <row r="6779" spans="1:11">
      <c r="A6779" s="688" t="s">
        <v>30</v>
      </c>
      <c r="B6779" s="690" t="s">
        <v>4060</v>
      </c>
      <c r="C6779" s="689">
        <v>3.1</v>
      </c>
      <c r="D6779" s="689">
        <v>2.7</v>
      </c>
      <c r="E6779" s="689">
        <v>3.1</v>
      </c>
      <c r="F6779" s="689">
        <v>3.1</v>
      </c>
      <c r="G6779" s="689">
        <v>3.9</v>
      </c>
      <c r="H6779" s="689">
        <v>3.3</v>
      </c>
      <c r="I6779" s="689">
        <v>3.3</v>
      </c>
      <c r="J6779" s="693">
        <v>3</v>
      </c>
      <c r="K6779" s="689">
        <v>2.9</v>
      </c>
    </row>
    <row r="6780" spans="1:11">
      <c r="A6780" s="688" t="s">
        <v>12</v>
      </c>
      <c r="B6780" s="692" t="s">
        <v>4060</v>
      </c>
      <c r="C6780" s="615">
        <v>3</v>
      </c>
      <c r="D6780" s="691">
        <v>2.8</v>
      </c>
      <c r="E6780" s="691">
        <v>2.9</v>
      </c>
      <c r="F6780" s="691">
        <v>2.9</v>
      </c>
      <c r="G6780" s="691">
        <v>2.9</v>
      </c>
      <c r="H6780" s="615">
        <v>3</v>
      </c>
      <c r="I6780" s="691">
        <v>2.9</v>
      </c>
      <c r="J6780" s="691">
        <v>2.6</v>
      </c>
      <c r="K6780" s="691">
        <v>2.6</v>
      </c>
    </row>
    <row r="6781" spans="1:11">
      <c r="A6781" s="688" t="s">
        <v>14</v>
      </c>
      <c r="B6781" s="690" t="s">
        <v>4060</v>
      </c>
      <c r="C6781" s="689">
        <v>2.1</v>
      </c>
      <c r="D6781" s="689">
        <v>1.7</v>
      </c>
      <c r="E6781" s="689">
        <v>1.7</v>
      </c>
      <c r="F6781" s="689">
        <v>1.7</v>
      </c>
      <c r="G6781" s="689">
        <v>1.8</v>
      </c>
      <c r="H6781" s="689">
        <v>1.9</v>
      </c>
      <c r="I6781" s="689">
        <v>2.2000000000000002</v>
      </c>
      <c r="J6781" s="689">
        <v>2.5</v>
      </c>
      <c r="K6781" s="689">
        <v>2.4</v>
      </c>
    </row>
    <row r="6782" spans="1:11">
      <c r="A6782" s="688" t="s">
        <v>15</v>
      </c>
      <c r="B6782" s="692" t="s">
        <v>4060</v>
      </c>
      <c r="C6782" s="691">
        <v>3.5</v>
      </c>
      <c r="D6782" s="691">
        <v>2.9</v>
      </c>
      <c r="E6782" s="691">
        <v>3.1</v>
      </c>
      <c r="F6782" s="691">
        <v>3.5</v>
      </c>
      <c r="G6782" s="691">
        <v>3.7</v>
      </c>
      <c r="H6782" s="691">
        <v>3.8</v>
      </c>
      <c r="I6782" s="691">
        <v>3.3</v>
      </c>
      <c r="J6782" s="691">
        <v>3.3</v>
      </c>
      <c r="K6782" s="691">
        <v>3.4</v>
      </c>
    </row>
    <row r="6783" spans="1:11">
      <c r="A6783" s="688" t="s">
        <v>29</v>
      </c>
      <c r="B6783" s="690" t="s">
        <v>4060</v>
      </c>
      <c r="C6783" s="689">
        <v>3.3</v>
      </c>
      <c r="D6783" s="689">
        <v>3.2</v>
      </c>
      <c r="E6783" s="689">
        <v>3.4</v>
      </c>
      <c r="F6783" s="689">
        <v>3.5</v>
      </c>
      <c r="G6783" s="689">
        <v>3.5</v>
      </c>
      <c r="H6783" s="689">
        <v>3.6</v>
      </c>
      <c r="I6783" s="689">
        <v>3.6</v>
      </c>
      <c r="J6783" s="689">
        <v>3.6</v>
      </c>
      <c r="K6783" s="689">
        <v>3.2</v>
      </c>
    </row>
    <row r="6784" spans="1:11">
      <c r="A6784" s="688" t="s">
        <v>16</v>
      </c>
      <c r="B6784" s="692" t="s">
        <v>4060</v>
      </c>
      <c r="C6784" s="691">
        <v>3.6</v>
      </c>
      <c r="D6784" s="615">
        <v>3</v>
      </c>
      <c r="E6784" s="691">
        <v>3.4</v>
      </c>
      <c r="F6784" s="691">
        <v>3.1</v>
      </c>
      <c r="G6784" s="691">
        <v>3.1</v>
      </c>
      <c r="H6784" s="691">
        <v>3.3</v>
      </c>
      <c r="I6784" s="691">
        <v>2.9</v>
      </c>
      <c r="J6784" s="691">
        <v>3.3</v>
      </c>
      <c r="K6784" s="691">
        <v>3.2</v>
      </c>
    </row>
    <row r="6785" spans="1:11">
      <c r="A6785" s="688" t="s">
        <v>17</v>
      </c>
      <c r="B6785" s="690" t="s">
        <v>4060</v>
      </c>
      <c r="C6785" s="689">
        <v>3.1</v>
      </c>
      <c r="D6785" s="693">
        <v>3</v>
      </c>
      <c r="E6785" s="693">
        <v>3</v>
      </c>
      <c r="F6785" s="693">
        <v>3</v>
      </c>
      <c r="G6785" s="693">
        <v>3</v>
      </c>
      <c r="H6785" s="689">
        <v>3.1</v>
      </c>
      <c r="I6785" s="689">
        <v>2.8</v>
      </c>
      <c r="J6785" s="689">
        <v>2.8</v>
      </c>
      <c r="K6785" s="689">
        <v>2.7</v>
      </c>
    </row>
    <row r="6786" spans="1:11">
      <c r="A6786" s="688" t="s">
        <v>19</v>
      </c>
      <c r="B6786" s="692" t="s">
        <v>4060</v>
      </c>
      <c r="C6786" s="691">
        <v>3.1</v>
      </c>
      <c r="D6786" s="691">
        <v>3.1</v>
      </c>
      <c r="E6786" s="691">
        <v>3.2</v>
      </c>
      <c r="F6786" s="615">
        <v>3</v>
      </c>
      <c r="G6786" s="691">
        <v>3.1</v>
      </c>
      <c r="H6786" s="691">
        <v>3.1</v>
      </c>
      <c r="I6786" s="691">
        <v>2.8</v>
      </c>
      <c r="J6786" s="691">
        <v>2.9</v>
      </c>
      <c r="K6786" s="691">
        <v>2.7</v>
      </c>
    </row>
    <row r="6787" spans="1:11">
      <c r="A6787" s="688" t="s">
        <v>20</v>
      </c>
      <c r="B6787" s="690" t="s">
        <v>4060</v>
      </c>
      <c r="C6787" s="689">
        <v>3.4</v>
      </c>
      <c r="D6787" s="689">
        <v>3.3</v>
      </c>
      <c r="E6787" s="689">
        <v>3.6</v>
      </c>
      <c r="F6787" s="689">
        <v>3.5</v>
      </c>
      <c r="G6787" s="689">
        <v>3.5</v>
      </c>
      <c r="H6787" s="689">
        <v>3.7</v>
      </c>
      <c r="I6787" s="689">
        <v>3.2</v>
      </c>
      <c r="J6787" s="689">
        <v>2.9</v>
      </c>
      <c r="K6787" s="693">
        <v>3</v>
      </c>
    </row>
    <row r="6788" spans="1:11">
      <c r="A6788" s="688" t="s">
        <v>21</v>
      </c>
      <c r="B6788" s="692" t="s">
        <v>4060</v>
      </c>
      <c r="C6788" s="691">
        <v>3.4</v>
      </c>
      <c r="D6788" s="691">
        <v>3.3</v>
      </c>
      <c r="E6788" s="691">
        <v>3.4</v>
      </c>
      <c r="F6788" s="691">
        <v>3.5</v>
      </c>
      <c r="G6788" s="691">
        <v>3.4</v>
      </c>
      <c r="H6788" s="691">
        <v>3.4</v>
      </c>
      <c r="I6788" s="691">
        <v>3.2</v>
      </c>
      <c r="J6788" s="691">
        <v>3.2</v>
      </c>
      <c r="K6788" s="691">
        <v>3.1</v>
      </c>
    </row>
    <row r="6789" spans="1:11">
      <c r="A6789" s="688" t="s">
        <v>22</v>
      </c>
      <c r="B6789" s="690" t="s">
        <v>4060</v>
      </c>
      <c r="C6789" s="689">
        <v>3.3</v>
      </c>
      <c r="D6789" s="689">
        <v>3.7</v>
      </c>
      <c r="E6789" s="689">
        <v>4.2</v>
      </c>
      <c r="F6789" s="689">
        <v>4.4000000000000004</v>
      </c>
      <c r="G6789" s="689">
        <v>4.5999999999999996</v>
      </c>
      <c r="H6789" s="689">
        <v>5.2</v>
      </c>
      <c r="I6789" s="693">
        <v>5</v>
      </c>
      <c r="J6789" s="689">
        <v>3.6</v>
      </c>
      <c r="K6789" s="689">
        <v>2.6</v>
      </c>
    </row>
    <row r="6790" spans="1:11">
      <c r="A6790" s="688" t="s">
        <v>26</v>
      </c>
      <c r="B6790" s="692" t="s">
        <v>4060</v>
      </c>
      <c r="C6790" s="691">
        <v>3.3</v>
      </c>
      <c r="D6790" s="691">
        <v>3.2</v>
      </c>
      <c r="E6790" s="691">
        <v>3.2</v>
      </c>
      <c r="F6790" s="691">
        <v>3.1</v>
      </c>
      <c r="G6790" s="691">
        <v>3.5</v>
      </c>
      <c r="H6790" s="691">
        <v>3.2</v>
      </c>
      <c r="I6790" s="691">
        <v>2.6</v>
      </c>
      <c r="J6790" s="615">
        <v>3</v>
      </c>
      <c r="K6790" s="615">
        <v>3</v>
      </c>
    </row>
    <row r="6791" spans="1:11">
      <c r="A6791" s="688" t="s">
        <v>25</v>
      </c>
      <c r="B6791" s="690" t="s">
        <v>4060</v>
      </c>
      <c r="C6791" s="689">
        <v>4.3</v>
      </c>
      <c r="D6791" s="689">
        <v>3.9</v>
      </c>
      <c r="E6791" s="693">
        <v>4</v>
      </c>
      <c r="F6791" s="693">
        <v>4</v>
      </c>
      <c r="G6791" s="689">
        <v>4.5</v>
      </c>
      <c r="H6791" s="689">
        <v>4.8</v>
      </c>
      <c r="I6791" s="689">
        <v>4.8</v>
      </c>
      <c r="J6791" s="689">
        <v>3.7</v>
      </c>
      <c r="K6791" s="689">
        <v>3.2</v>
      </c>
    </row>
    <row r="6792" spans="1:11">
      <c r="A6792" s="688" t="s">
        <v>5</v>
      </c>
      <c r="B6792" s="692" t="s">
        <v>4060</v>
      </c>
      <c r="C6792" s="691">
        <v>3.1</v>
      </c>
      <c r="D6792" s="691">
        <v>3.1</v>
      </c>
      <c r="E6792" s="615">
        <v>3</v>
      </c>
      <c r="F6792" s="691">
        <v>3.2</v>
      </c>
      <c r="G6792" s="615">
        <v>3</v>
      </c>
      <c r="H6792" s="691">
        <v>3.3</v>
      </c>
      <c r="I6792" s="691">
        <v>3.2</v>
      </c>
      <c r="J6792" s="691">
        <v>3.2</v>
      </c>
      <c r="K6792" s="691">
        <v>2.8</v>
      </c>
    </row>
    <row r="6793" spans="1:11">
      <c r="A6793" s="688" t="s">
        <v>23</v>
      </c>
      <c r="B6793" s="690" t="s">
        <v>4060</v>
      </c>
      <c r="C6793" s="689">
        <v>3.1</v>
      </c>
      <c r="D6793" s="689">
        <v>3.1</v>
      </c>
      <c r="E6793" s="689">
        <v>3.1</v>
      </c>
      <c r="F6793" s="693">
        <v>3</v>
      </c>
      <c r="G6793" s="689">
        <v>3.1</v>
      </c>
      <c r="H6793" s="689">
        <v>3.3</v>
      </c>
      <c r="I6793" s="693">
        <v>3</v>
      </c>
      <c r="J6793" s="689">
        <v>3.3</v>
      </c>
      <c r="K6793" s="689">
        <v>3.1</v>
      </c>
    </row>
    <row r="6794" spans="1:11">
      <c r="A6794" s="688" t="s">
        <v>4067</v>
      </c>
      <c r="B6794" s="692" t="s">
        <v>4060</v>
      </c>
      <c r="C6794" s="692" t="s">
        <v>4060</v>
      </c>
      <c r="D6794" s="692" t="s">
        <v>4060</v>
      </c>
      <c r="E6794" s="692" t="s">
        <v>4060</v>
      </c>
      <c r="F6794" s="692" t="s">
        <v>4060</v>
      </c>
      <c r="G6794" s="692" t="s">
        <v>4060</v>
      </c>
      <c r="H6794" s="692" t="s">
        <v>4060</v>
      </c>
      <c r="I6794" s="692" t="s">
        <v>4060</v>
      </c>
      <c r="J6794" s="692" t="s">
        <v>4060</v>
      </c>
      <c r="K6794" s="692" t="s">
        <v>4060</v>
      </c>
    </row>
    <row r="6795" spans="1:11">
      <c r="A6795" s="688" t="s">
        <v>4066</v>
      </c>
      <c r="B6795" s="690" t="s">
        <v>4060</v>
      </c>
      <c r="C6795" s="690" t="s">
        <v>4060</v>
      </c>
      <c r="D6795" s="690" t="s">
        <v>4060</v>
      </c>
      <c r="E6795" s="690" t="s">
        <v>4060</v>
      </c>
      <c r="F6795" s="690" t="s">
        <v>4060</v>
      </c>
      <c r="G6795" s="690" t="s">
        <v>4060</v>
      </c>
      <c r="H6795" s="690" t="s">
        <v>4060</v>
      </c>
      <c r="I6795" s="690" t="s">
        <v>4060</v>
      </c>
      <c r="J6795" s="690" t="s">
        <v>4060</v>
      </c>
      <c r="K6795" s="690" t="s">
        <v>4060</v>
      </c>
    </row>
    <row r="6796" spans="1:11">
      <c r="A6796" s="688" t="s">
        <v>4062</v>
      </c>
      <c r="B6796" s="692" t="s">
        <v>4060</v>
      </c>
      <c r="C6796" s="691">
        <v>3.2</v>
      </c>
      <c r="D6796" s="691">
        <v>3.1</v>
      </c>
      <c r="E6796" s="691">
        <v>3.2</v>
      </c>
      <c r="F6796" s="691">
        <v>3.2</v>
      </c>
      <c r="G6796" s="691">
        <v>3.3</v>
      </c>
      <c r="H6796" s="691">
        <v>3.3</v>
      </c>
      <c r="I6796" s="691">
        <v>3.1</v>
      </c>
      <c r="J6796" s="691">
        <v>3.2</v>
      </c>
      <c r="K6796" s="615">
        <v>3</v>
      </c>
    </row>
    <row r="6797" spans="1:11">
      <c r="A6797" s="688" t="s">
        <v>9</v>
      </c>
      <c r="B6797" s="690" t="s">
        <v>4060</v>
      </c>
      <c r="C6797" s="693">
        <v>3</v>
      </c>
      <c r="D6797" s="689">
        <v>2.9</v>
      </c>
      <c r="E6797" s="689">
        <v>3.4</v>
      </c>
      <c r="F6797" s="689">
        <v>3.1</v>
      </c>
      <c r="G6797" s="689">
        <v>3.1</v>
      </c>
      <c r="H6797" s="689">
        <v>2.9</v>
      </c>
      <c r="I6797" s="689">
        <v>3.2</v>
      </c>
      <c r="J6797" s="689">
        <v>3.3</v>
      </c>
      <c r="K6797" s="689">
        <v>2.7</v>
      </c>
    </row>
    <row r="6798" spans="1:11">
      <c r="A6798" s="688" t="s">
        <v>13</v>
      </c>
      <c r="B6798" s="692" t="s">
        <v>4060</v>
      </c>
      <c r="C6798" s="691">
        <v>2.4</v>
      </c>
      <c r="D6798" s="615">
        <v>3</v>
      </c>
      <c r="E6798" s="691">
        <v>3.5</v>
      </c>
      <c r="F6798" s="615">
        <v>3</v>
      </c>
      <c r="G6798" s="691">
        <v>2.8</v>
      </c>
      <c r="H6798" s="691">
        <v>2.5</v>
      </c>
      <c r="I6798" s="691">
        <v>2.2000000000000002</v>
      </c>
      <c r="J6798" s="691">
        <v>3.8</v>
      </c>
      <c r="K6798" s="691">
        <v>3.1</v>
      </c>
    </row>
    <row r="6799" spans="1:11">
      <c r="A6799" s="688" t="s">
        <v>18</v>
      </c>
      <c r="B6799" s="690" t="s">
        <v>4060</v>
      </c>
      <c r="C6799" s="689">
        <v>3.2</v>
      </c>
      <c r="D6799" s="689">
        <v>3.2</v>
      </c>
      <c r="E6799" s="689">
        <v>3.1</v>
      </c>
      <c r="F6799" s="689">
        <v>3.2</v>
      </c>
      <c r="G6799" s="689">
        <v>3.1</v>
      </c>
      <c r="H6799" s="689">
        <v>3.2</v>
      </c>
      <c r="I6799" s="689">
        <v>3.3</v>
      </c>
      <c r="J6799" s="689">
        <v>3.2</v>
      </c>
      <c r="K6799" s="689">
        <v>2.9</v>
      </c>
    </row>
    <row r="6800" spans="1:11">
      <c r="A6800" s="688" t="s">
        <v>24</v>
      </c>
      <c r="B6800" s="692" t="s">
        <v>4060</v>
      </c>
      <c r="C6800" s="691">
        <v>3.2</v>
      </c>
      <c r="D6800" s="691">
        <v>3.1</v>
      </c>
      <c r="E6800" s="691">
        <v>3.3</v>
      </c>
      <c r="F6800" s="691">
        <v>3.2</v>
      </c>
      <c r="G6800" s="691">
        <v>3.3</v>
      </c>
      <c r="H6800" s="691">
        <v>3.3</v>
      </c>
      <c r="I6800" s="615">
        <v>3</v>
      </c>
      <c r="J6800" s="691">
        <v>3.2</v>
      </c>
      <c r="K6800" s="691">
        <v>3.1</v>
      </c>
    </row>
    <row r="6801" spans="1:11">
      <c r="A6801" s="688" t="s">
        <v>4059</v>
      </c>
      <c r="B6801" s="690" t="s">
        <v>4060</v>
      </c>
      <c r="C6801" s="690" t="s">
        <v>4060</v>
      </c>
      <c r="D6801" s="690" t="s">
        <v>4060</v>
      </c>
      <c r="E6801" s="690" t="s">
        <v>4060</v>
      </c>
      <c r="F6801" s="690" t="s">
        <v>4060</v>
      </c>
      <c r="G6801" s="690" t="s">
        <v>4060</v>
      </c>
      <c r="H6801" s="690" t="s">
        <v>4060</v>
      </c>
      <c r="I6801" s="690" t="s">
        <v>4060</v>
      </c>
      <c r="J6801" s="690" t="s">
        <v>4060</v>
      </c>
      <c r="K6801" s="690" t="s">
        <v>4060</v>
      </c>
    </row>
    <row r="6802" spans="1:11">
      <c r="A6802" s="688" t="s">
        <v>2324</v>
      </c>
      <c r="B6802" s="692" t="s">
        <v>4060</v>
      </c>
      <c r="C6802" s="692" t="s">
        <v>4060</v>
      </c>
      <c r="D6802" s="692" t="s">
        <v>4060</v>
      </c>
      <c r="E6802" s="692" t="s">
        <v>4060</v>
      </c>
      <c r="F6802" s="692" t="s">
        <v>4060</v>
      </c>
      <c r="G6802" s="692" t="s">
        <v>4060</v>
      </c>
      <c r="H6802" s="692" t="s">
        <v>4060</v>
      </c>
      <c r="I6802" s="692" t="s">
        <v>4060</v>
      </c>
      <c r="J6802" s="692" t="s">
        <v>4060</v>
      </c>
      <c r="K6802" s="692" t="s">
        <v>4060</v>
      </c>
    </row>
    <row r="6803" spans="1:11">
      <c r="A6803" s="688" t="s">
        <v>2322</v>
      </c>
      <c r="B6803" s="690" t="s">
        <v>4060</v>
      </c>
      <c r="C6803" s="690" t="s">
        <v>4060</v>
      </c>
      <c r="D6803" s="690" t="s">
        <v>4060</v>
      </c>
      <c r="E6803" s="690" t="s">
        <v>4060</v>
      </c>
      <c r="F6803" s="690" t="s">
        <v>4060</v>
      </c>
      <c r="G6803" s="690" t="s">
        <v>4060</v>
      </c>
      <c r="H6803" s="690" t="s">
        <v>4060</v>
      </c>
      <c r="I6803" s="690" t="s">
        <v>4060</v>
      </c>
      <c r="J6803" s="690" t="s">
        <v>4060</v>
      </c>
      <c r="K6803" s="690" t="s">
        <v>4060</v>
      </c>
    </row>
    <row r="6804" spans="1:11">
      <c r="A6804" s="688" t="s">
        <v>2328</v>
      </c>
      <c r="B6804" s="692" t="s">
        <v>4060</v>
      </c>
      <c r="C6804" s="692" t="s">
        <v>4060</v>
      </c>
      <c r="D6804" s="692" t="s">
        <v>4060</v>
      </c>
      <c r="E6804" s="692" t="s">
        <v>4060</v>
      </c>
      <c r="F6804" s="692" t="s">
        <v>4060</v>
      </c>
      <c r="G6804" s="692" t="s">
        <v>4060</v>
      </c>
      <c r="H6804" s="692" t="s">
        <v>4060</v>
      </c>
      <c r="I6804" s="692" t="s">
        <v>4060</v>
      </c>
      <c r="J6804" s="692" t="s">
        <v>4060</v>
      </c>
      <c r="K6804" s="692" t="s">
        <v>4060</v>
      </c>
    </row>
    <row r="6805" spans="1:11">
      <c r="A6805" s="688" t="s">
        <v>2496</v>
      </c>
      <c r="B6805" s="690" t="s">
        <v>4060</v>
      </c>
      <c r="C6805" s="690" t="s">
        <v>4060</v>
      </c>
      <c r="D6805" s="690" t="s">
        <v>4060</v>
      </c>
      <c r="E6805" s="690" t="s">
        <v>4060</v>
      </c>
      <c r="F6805" s="690" t="s">
        <v>4060</v>
      </c>
      <c r="G6805" s="690" t="s">
        <v>4060</v>
      </c>
      <c r="H6805" s="690" t="s">
        <v>4060</v>
      </c>
      <c r="I6805" s="690" t="s">
        <v>4060</v>
      </c>
      <c r="J6805" s="690" t="s">
        <v>4060</v>
      </c>
      <c r="K6805" s="690" t="s">
        <v>4060</v>
      </c>
    </row>
    <row r="6806" spans="1:11">
      <c r="A6806" s="688" t="s">
        <v>2269</v>
      </c>
      <c r="B6806" s="692" t="s">
        <v>4060</v>
      </c>
      <c r="C6806" s="692" t="s">
        <v>4060</v>
      </c>
      <c r="D6806" s="692" t="s">
        <v>4060</v>
      </c>
      <c r="E6806" s="692" t="s">
        <v>4060</v>
      </c>
      <c r="F6806" s="692" t="s">
        <v>4060</v>
      </c>
      <c r="G6806" s="692" t="s">
        <v>4060</v>
      </c>
      <c r="H6806" s="692" t="s">
        <v>4060</v>
      </c>
      <c r="I6806" s="692" t="s">
        <v>4060</v>
      </c>
      <c r="J6806" s="692" t="s">
        <v>4060</v>
      </c>
      <c r="K6806" s="692" t="s">
        <v>4060</v>
      </c>
    </row>
    <row r="6807" spans="1:11">
      <c r="A6807" s="688" t="s">
        <v>2349</v>
      </c>
      <c r="B6807" s="690" t="s">
        <v>4060</v>
      </c>
      <c r="C6807" s="690" t="s">
        <v>4060</v>
      </c>
      <c r="D6807" s="690" t="s">
        <v>4060</v>
      </c>
      <c r="E6807" s="690" t="s">
        <v>4060</v>
      </c>
      <c r="F6807" s="690" t="s">
        <v>4060</v>
      </c>
      <c r="G6807" s="690" t="s">
        <v>4060</v>
      </c>
      <c r="H6807" s="690" t="s">
        <v>4060</v>
      </c>
      <c r="I6807" s="690" t="s">
        <v>4060</v>
      </c>
      <c r="J6807" s="690" t="s">
        <v>4060</v>
      </c>
      <c r="K6807" s="690" t="s">
        <v>4060</v>
      </c>
    </row>
    <row r="6808" spans="1:11">
      <c r="A6808" s="688" t="s">
        <v>2355</v>
      </c>
      <c r="B6808" s="692" t="s">
        <v>4060</v>
      </c>
      <c r="C6808" s="692" t="s">
        <v>4060</v>
      </c>
      <c r="D6808" s="692" t="s">
        <v>4060</v>
      </c>
      <c r="E6808" s="692" t="s">
        <v>4060</v>
      </c>
      <c r="F6808" s="692" t="s">
        <v>4060</v>
      </c>
      <c r="G6808" s="692" t="s">
        <v>4060</v>
      </c>
      <c r="H6808" s="692" t="s">
        <v>4060</v>
      </c>
      <c r="I6808" s="692" t="s">
        <v>4060</v>
      </c>
      <c r="J6808" s="692" t="s">
        <v>4060</v>
      </c>
      <c r="K6808" s="692" t="s">
        <v>4060</v>
      </c>
    </row>
    <row r="6809" spans="1:11">
      <c r="A6809" s="688" t="s">
        <v>2357</v>
      </c>
      <c r="B6809" s="690" t="s">
        <v>4060</v>
      </c>
      <c r="C6809" s="690" t="s">
        <v>4060</v>
      </c>
      <c r="D6809" s="690" t="s">
        <v>4060</v>
      </c>
      <c r="E6809" s="690" t="s">
        <v>4060</v>
      </c>
      <c r="F6809" s="690" t="s">
        <v>4060</v>
      </c>
      <c r="G6809" s="690" t="s">
        <v>4060</v>
      </c>
      <c r="H6809" s="690" t="s">
        <v>4060</v>
      </c>
      <c r="I6809" s="690" t="s">
        <v>4060</v>
      </c>
      <c r="J6809" s="690" t="s">
        <v>4060</v>
      </c>
      <c r="K6809" s="690" t="s">
        <v>4060</v>
      </c>
    </row>
    <row r="6810" spans="1:11">
      <c r="A6810" s="688" t="s">
        <v>4070</v>
      </c>
      <c r="B6810" s="692" t="s">
        <v>4060</v>
      </c>
      <c r="C6810" s="692" t="s">
        <v>4060</v>
      </c>
      <c r="D6810" s="692" t="s">
        <v>4060</v>
      </c>
      <c r="E6810" s="692" t="s">
        <v>4060</v>
      </c>
      <c r="F6810" s="692" t="s">
        <v>4060</v>
      </c>
      <c r="G6810" s="692" t="s">
        <v>4060</v>
      </c>
      <c r="H6810" s="692" t="s">
        <v>4060</v>
      </c>
      <c r="I6810" s="692" t="s">
        <v>4060</v>
      </c>
      <c r="J6810" s="692" t="s">
        <v>4060</v>
      </c>
      <c r="K6810" s="692" t="s">
        <v>4060</v>
      </c>
    </row>
    <row r="6811" spans="1:11">
      <c r="A6811" s="688" t="s">
        <v>2491</v>
      </c>
      <c r="B6811" s="690" t="s">
        <v>4060</v>
      </c>
      <c r="C6811" s="690" t="s">
        <v>4060</v>
      </c>
      <c r="D6811" s="690" t="s">
        <v>4060</v>
      </c>
      <c r="E6811" s="690" t="s">
        <v>4060</v>
      </c>
      <c r="F6811" s="690" t="s">
        <v>4060</v>
      </c>
      <c r="G6811" s="690" t="s">
        <v>4060</v>
      </c>
      <c r="H6811" s="690" t="s">
        <v>4060</v>
      </c>
      <c r="I6811" s="690" t="s">
        <v>4060</v>
      </c>
      <c r="J6811" s="690" t="s">
        <v>4060</v>
      </c>
      <c r="K6811" s="690" t="s">
        <v>4060</v>
      </c>
    </row>
    <row r="6812" spans="1:11">
      <c r="A6812" s="688" t="s">
        <v>2343</v>
      </c>
      <c r="B6812" s="692" t="s">
        <v>4060</v>
      </c>
      <c r="C6812" s="692" t="s">
        <v>4060</v>
      </c>
      <c r="D6812" s="692" t="s">
        <v>4060</v>
      </c>
      <c r="E6812" s="692" t="s">
        <v>4060</v>
      </c>
      <c r="F6812" s="692" t="s">
        <v>4060</v>
      </c>
      <c r="G6812" s="692" t="s">
        <v>4060</v>
      </c>
      <c r="H6812" s="692" t="s">
        <v>4060</v>
      </c>
      <c r="I6812" s="692" t="s">
        <v>4060</v>
      </c>
      <c r="J6812" s="692" t="s">
        <v>4060</v>
      </c>
      <c r="K6812" s="692" t="s">
        <v>4060</v>
      </c>
    </row>
    <row r="6813" spans="1:11">
      <c r="A6813" s="688" t="s">
        <v>4071</v>
      </c>
      <c r="B6813" s="690" t="s">
        <v>4060</v>
      </c>
      <c r="C6813" s="690" t="s">
        <v>4060</v>
      </c>
      <c r="D6813" s="690" t="s">
        <v>4060</v>
      </c>
      <c r="E6813" s="690" t="s">
        <v>4060</v>
      </c>
      <c r="F6813" s="690" t="s">
        <v>4060</v>
      </c>
      <c r="G6813" s="690" t="s">
        <v>4060</v>
      </c>
      <c r="H6813" s="690" t="s">
        <v>4060</v>
      </c>
      <c r="I6813" s="690" t="s">
        <v>4060</v>
      </c>
      <c r="J6813" s="690" t="s">
        <v>4060</v>
      </c>
      <c r="K6813" s="690" t="s">
        <v>4060</v>
      </c>
    </row>
    <row r="6814" spans="1:11">
      <c r="A6814" s="688" t="s">
        <v>2489</v>
      </c>
      <c r="B6814" s="692" t="s">
        <v>4060</v>
      </c>
      <c r="C6814" s="692" t="s">
        <v>4060</v>
      </c>
      <c r="D6814" s="692" t="s">
        <v>4060</v>
      </c>
      <c r="E6814" s="692" t="s">
        <v>4060</v>
      </c>
      <c r="F6814" s="692" t="s">
        <v>4060</v>
      </c>
      <c r="G6814" s="692" t="s">
        <v>4060</v>
      </c>
      <c r="H6814" s="692" t="s">
        <v>4060</v>
      </c>
      <c r="I6814" s="692" t="s">
        <v>4060</v>
      </c>
      <c r="J6814" s="692" t="s">
        <v>4060</v>
      </c>
      <c r="K6814" s="692" t="s">
        <v>4060</v>
      </c>
    </row>
    <row r="6815" spans="1:11">
      <c r="A6815" s="688" t="s">
        <v>2490</v>
      </c>
      <c r="B6815" s="690" t="s">
        <v>4060</v>
      </c>
      <c r="C6815" s="690" t="s">
        <v>4060</v>
      </c>
      <c r="D6815" s="690" t="s">
        <v>4060</v>
      </c>
      <c r="E6815" s="690" t="s">
        <v>4060</v>
      </c>
      <c r="F6815" s="690" t="s">
        <v>4060</v>
      </c>
      <c r="G6815" s="690" t="s">
        <v>4060</v>
      </c>
      <c r="H6815" s="690" t="s">
        <v>4060</v>
      </c>
      <c r="I6815" s="690" t="s">
        <v>4060</v>
      </c>
      <c r="J6815" s="690" t="s">
        <v>4060</v>
      </c>
      <c r="K6815" s="690" t="s">
        <v>4060</v>
      </c>
    </row>
    <row r="6817" spans="1:11">
      <c r="A6817" s="683" t="s">
        <v>4233</v>
      </c>
    </row>
    <row r="6818" spans="1:11">
      <c r="A6818" s="683" t="s">
        <v>4060</v>
      </c>
      <c r="B6818" s="682" t="s">
        <v>4234</v>
      </c>
    </row>
    <row r="6820" spans="1:11">
      <c r="A6820" s="682" t="s">
        <v>4248</v>
      </c>
    </row>
    <row r="6821" spans="1:11">
      <c r="A6821" s="682" t="s">
        <v>4210</v>
      </c>
      <c r="B6821" s="683" t="s">
        <v>4211</v>
      </c>
    </row>
    <row r="6822" spans="1:11">
      <c r="A6822" s="682" t="s">
        <v>4212</v>
      </c>
      <c r="B6822" s="682" t="s">
        <v>4213</v>
      </c>
    </row>
    <row r="6824" spans="1:11">
      <c r="A6824" s="683" t="s">
        <v>4214</v>
      </c>
      <c r="C6824" s="682" t="s">
        <v>4215</v>
      </c>
    </row>
    <row r="6825" spans="1:11">
      <c r="A6825" s="683" t="s">
        <v>4216</v>
      </c>
      <c r="C6825" s="682" t="s">
        <v>2967</v>
      </c>
    </row>
    <row r="6826" spans="1:11">
      <c r="A6826" s="683" t="s">
        <v>3893</v>
      </c>
      <c r="C6826" s="682" t="s">
        <v>4217</v>
      </c>
    </row>
    <row r="6827" spans="1:11">
      <c r="A6827" s="683" t="s">
        <v>4218</v>
      </c>
      <c r="C6827" s="682" t="s">
        <v>4330</v>
      </c>
    </row>
    <row r="6829" spans="1:11">
      <c r="A6829" s="684" t="s">
        <v>4220</v>
      </c>
      <c r="B6829" s="685" t="s">
        <v>4221</v>
      </c>
      <c r="C6829" s="685" t="s">
        <v>4222</v>
      </c>
      <c r="D6829" s="685" t="s">
        <v>4223</v>
      </c>
      <c r="E6829" s="685" t="s">
        <v>4224</v>
      </c>
      <c r="F6829" s="685" t="s">
        <v>4225</v>
      </c>
      <c r="G6829" s="685" t="s">
        <v>4226</v>
      </c>
      <c r="H6829" s="685" t="s">
        <v>4227</v>
      </c>
      <c r="I6829" s="685" t="s">
        <v>4228</v>
      </c>
      <c r="J6829" s="685" t="s">
        <v>4229</v>
      </c>
      <c r="K6829" s="685" t="s">
        <v>4230</v>
      </c>
    </row>
    <row r="6830" spans="1:11">
      <c r="A6830" s="686" t="s">
        <v>4231</v>
      </c>
      <c r="B6830" s="687" t="s">
        <v>4232</v>
      </c>
      <c r="C6830" s="687" t="s">
        <v>4232</v>
      </c>
      <c r="D6830" s="687" t="s">
        <v>4232</v>
      </c>
      <c r="E6830" s="687" t="s">
        <v>4232</v>
      </c>
      <c r="F6830" s="687" t="s">
        <v>4232</v>
      </c>
      <c r="G6830" s="687" t="s">
        <v>4232</v>
      </c>
      <c r="H6830" s="687" t="s">
        <v>4232</v>
      </c>
      <c r="I6830" s="687" t="s">
        <v>4232</v>
      </c>
      <c r="J6830" s="687" t="s">
        <v>4232</v>
      </c>
      <c r="K6830" s="687" t="s">
        <v>4232</v>
      </c>
    </row>
    <row r="6831" spans="1:11">
      <c r="A6831" s="688" t="s">
        <v>4064</v>
      </c>
      <c r="B6831" s="690" t="s">
        <v>4060</v>
      </c>
      <c r="C6831" s="689">
        <v>3.2</v>
      </c>
      <c r="D6831" s="690" t="s">
        <v>4060</v>
      </c>
      <c r="E6831" s="689">
        <v>3.2</v>
      </c>
      <c r="F6831" s="689">
        <v>3.1</v>
      </c>
      <c r="G6831" s="689">
        <v>3.2</v>
      </c>
      <c r="H6831" s="689">
        <v>3.2</v>
      </c>
      <c r="I6831" s="693">
        <v>3</v>
      </c>
      <c r="J6831" s="693">
        <v>3</v>
      </c>
      <c r="K6831" s="689">
        <v>2.8</v>
      </c>
    </row>
    <row r="6832" spans="1:11">
      <c r="A6832" s="688" t="s">
        <v>4065</v>
      </c>
      <c r="B6832" s="692" t="s">
        <v>4060</v>
      </c>
      <c r="C6832" s="692" t="s">
        <v>4060</v>
      </c>
      <c r="D6832" s="692" t="s">
        <v>4060</v>
      </c>
      <c r="E6832" s="692" t="s">
        <v>4060</v>
      </c>
      <c r="F6832" s="692" t="s">
        <v>4060</v>
      </c>
      <c r="G6832" s="692" t="s">
        <v>4060</v>
      </c>
      <c r="H6832" s="692" t="s">
        <v>4060</v>
      </c>
      <c r="I6832" s="692" t="s">
        <v>4060</v>
      </c>
      <c r="J6832" s="692" t="s">
        <v>4060</v>
      </c>
      <c r="K6832" s="692" t="s">
        <v>4060</v>
      </c>
    </row>
    <row r="6833" spans="1:11">
      <c r="A6833" s="688" t="s">
        <v>4063</v>
      </c>
      <c r="B6833" s="690" t="s">
        <v>4060</v>
      </c>
      <c r="C6833" s="690" t="s">
        <v>4060</v>
      </c>
      <c r="D6833" s="690" t="s">
        <v>4060</v>
      </c>
      <c r="E6833" s="690" t="s">
        <v>4060</v>
      </c>
      <c r="F6833" s="690" t="s">
        <v>4060</v>
      </c>
      <c r="G6833" s="690" t="s">
        <v>4060</v>
      </c>
      <c r="H6833" s="690" t="s">
        <v>4060</v>
      </c>
      <c r="I6833" s="690" t="s">
        <v>4060</v>
      </c>
      <c r="J6833" s="690" t="s">
        <v>4060</v>
      </c>
      <c r="K6833" s="690" t="s">
        <v>4060</v>
      </c>
    </row>
    <row r="6834" spans="1:11">
      <c r="A6834" s="688" t="s">
        <v>4069</v>
      </c>
      <c r="B6834" s="692" t="s">
        <v>4060</v>
      </c>
      <c r="C6834" s="691">
        <v>3.2</v>
      </c>
      <c r="D6834" s="691">
        <v>2.9</v>
      </c>
      <c r="E6834" s="691">
        <v>3.2</v>
      </c>
      <c r="F6834" s="691">
        <v>3.1</v>
      </c>
      <c r="G6834" s="691">
        <v>3.1</v>
      </c>
      <c r="H6834" s="691">
        <v>3.2</v>
      </c>
      <c r="I6834" s="691">
        <v>2.9</v>
      </c>
      <c r="J6834" s="691">
        <v>3.1</v>
      </c>
      <c r="K6834" s="691">
        <v>2.8</v>
      </c>
    </row>
    <row r="6835" spans="1:11">
      <c r="A6835" s="688" t="s">
        <v>4068</v>
      </c>
      <c r="B6835" s="690" t="s">
        <v>4060</v>
      </c>
      <c r="C6835" s="690" t="s">
        <v>4060</v>
      </c>
      <c r="D6835" s="690" t="s">
        <v>4060</v>
      </c>
      <c r="E6835" s="690" t="s">
        <v>4060</v>
      </c>
      <c r="F6835" s="690" t="s">
        <v>4060</v>
      </c>
      <c r="G6835" s="690" t="s">
        <v>4060</v>
      </c>
      <c r="H6835" s="690" t="s">
        <v>4060</v>
      </c>
      <c r="I6835" s="690" t="s">
        <v>4060</v>
      </c>
      <c r="J6835" s="690" t="s">
        <v>4060</v>
      </c>
      <c r="K6835" s="690" t="s">
        <v>4060</v>
      </c>
    </row>
    <row r="6836" spans="1:11">
      <c r="A6836" s="688" t="s">
        <v>0</v>
      </c>
      <c r="B6836" s="692" t="s">
        <v>4060</v>
      </c>
      <c r="C6836" s="691">
        <v>3.1</v>
      </c>
      <c r="D6836" s="691">
        <v>2.9</v>
      </c>
      <c r="E6836" s="691">
        <v>3.1</v>
      </c>
      <c r="F6836" s="615">
        <v>3</v>
      </c>
      <c r="G6836" s="615">
        <v>3</v>
      </c>
      <c r="H6836" s="691">
        <v>3.1</v>
      </c>
      <c r="I6836" s="691">
        <v>2.7</v>
      </c>
      <c r="J6836" s="691">
        <v>3.2</v>
      </c>
      <c r="K6836" s="691">
        <v>2.8</v>
      </c>
    </row>
    <row r="6837" spans="1:11">
      <c r="A6837" s="688" t="s">
        <v>1</v>
      </c>
      <c r="B6837" s="690" t="s">
        <v>4060</v>
      </c>
      <c r="C6837" s="689">
        <v>2.5</v>
      </c>
      <c r="D6837" s="689">
        <v>2.2999999999999998</v>
      </c>
      <c r="E6837" s="689">
        <v>2.4</v>
      </c>
      <c r="F6837" s="689">
        <v>2.2999999999999998</v>
      </c>
      <c r="G6837" s="689">
        <v>2.2999999999999998</v>
      </c>
      <c r="H6837" s="689">
        <v>2.2999999999999998</v>
      </c>
      <c r="I6837" s="693">
        <v>2</v>
      </c>
      <c r="J6837" s="693">
        <v>2</v>
      </c>
      <c r="K6837" s="689">
        <v>2.2000000000000002</v>
      </c>
    </row>
    <row r="6838" spans="1:11">
      <c r="A6838" s="688" t="s">
        <v>2240</v>
      </c>
      <c r="B6838" s="692" t="s">
        <v>4060</v>
      </c>
      <c r="C6838" s="691">
        <v>2.8</v>
      </c>
      <c r="D6838" s="691">
        <v>2.6</v>
      </c>
      <c r="E6838" s="691">
        <v>2.9</v>
      </c>
      <c r="F6838" s="691">
        <v>2.8</v>
      </c>
      <c r="G6838" s="691">
        <v>2.7</v>
      </c>
      <c r="H6838" s="691">
        <v>2.8</v>
      </c>
      <c r="I6838" s="691">
        <v>2.4</v>
      </c>
      <c r="J6838" s="691">
        <v>2.4</v>
      </c>
      <c r="K6838" s="691">
        <v>2.4</v>
      </c>
    </row>
    <row r="6839" spans="1:11">
      <c r="A6839" s="688" t="s">
        <v>2</v>
      </c>
      <c r="B6839" s="690" t="s">
        <v>4060</v>
      </c>
      <c r="C6839" s="689">
        <v>3.1</v>
      </c>
      <c r="D6839" s="693">
        <v>3</v>
      </c>
      <c r="E6839" s="693">
        <v>3</v>
      </c>
      <c r="F6839" s="689">
        <v>2.9</v>
      </c>
      <c r="G6839" s="689">
        <v>2.8</v>
      </c>
      <c r="H6839" s="689">
        <v>2.9</v>
      </c>
      <c r="I6839" s="693">
        <v>3</v>
      </c>
      <c r="J6839" s="689">
        <v>2.8</v>
      </c>
      <c r="K6839" s="689">
        <v>2.7</v>
      </c>
    </row>
    <row r="6840" spans="1:11">
      <c r="A6840" s="688" t="s">
        <v>3</v>
      </c>
      <c r="B6840" s="692" t="s">
        <v>4060</v>
      </c>
      <c r="C6840" s="615">
        <v>3</v>
      </c>
      <c r="D6840" s="691">
        <v>2.8</v>
      </c>
      <c r="E6840" s="615">
        <v>3</v>
      </c>
      <c r="F6840" s="691">
        <v>2.9</v>
      </c>
      <c r="G6840" s="691">
        <v>2.9</v>
      </c>
      <c r="H6840" s="615">
        <v>3</v>
      </c>
      <c r="I6840" s="691">
        <v>2.9</v>
      </c>
      <c r="J6840" s="691">
        <v>2.8</v>
      </c>
      <c r="K6840" s="691">
        <v>2.5</v>
      </c>
    </row>
    <row r="6841" spans="1:11">
      <c r="A6841" s="688" t="s">
        <v>4061</v>
      </c>
      <c r="B6841" s="690" t="s">
        <v>4060</v>
      </c>
      <c r="C6841" s="693">
        <v>3</v>
      </c>
      <c r="D6841" s="689">
        <v>2.8</v>
      </c>
      <c r="E6841" s="693">
        <v>3</v>
      </c>
      <c r="F6841" s="689">
        <v>2.9</v>
      </c>
      <c r="G6841" s="689">
        <v>2.9</v>
      </c>
      <c r="H6841" s="693">
        <v>3</v>
      </c>
      <c r="I6841" s="689">
        <v>2.9</v>
      </c>
      <c r="J6841" s="689">
        <v>2.8</v>
      </c>
      <c r="K6841" s="689">
        <v>2.5</v>
      </c>
    </row>
    <row r="6842" spans="1:11">
      <c r="A6842" s="688" t="s">
        <v>4</v>
      </c>
      <c r="B6842" s="692" t="s">
        <v>4060</v>
      </c>
      <c r="C6842" s="691">
        <v>2.8</v>
      </c>
      <c r="D6842" s="691">
        <v>2.8</v>
      </c>
      <c r="E6842" s="691">
        <v>2.9</v>
      </c>
      <c r="F6842" s="691">
        <v>3.2</v>
      </c>
      <c r="G6842" s="615">
        <v>3</v>
      </c>
      <c r="H6842" s="691">
        <v>3.2</v>
      </c>
      <c r="I6842" s="691">
        <v>3.2</v>
      </c>
      <c r="J6842" s="691">
        <v>2.8</v>
      </c>
      <c r="K6842" s="691">
        <v>2.7</v>
      </c>
    </row>
    <row r="6843" spans="1:11">
      <c r="A6843" s="688" t="s">
        <v>8</v>
      </c>
      <c r="B6843" s="690" t="s">
        <v>4060</v>
      </c>
      <c r="C6843" s="689">
        <v>3.4</v>
      </c>
      <c r="D6843" s="689">
        <v>3.1</v>
      </c>
      <c r="E6843" s="693">
        <v>3</v>
      </c>
      <c r="F6843" s="689">
        <v>3.3</v>
      </c>
      <c r="G6843" s="689">
        <v>3.3</v>
      </c>
      <c r="H6843" s="693">
        <v>3</v>
      </c>
      <c r="I6843" s="689">
        <v>3.3</v>
      </c>
      <c r="J6843" s="689">
        <v>3.2</v>
      </c>
      <c r="K6843" s="689">
        <v>3.2</v>
      </c>
    </row>
    <row r="6844" spans="1:11">
      <c r="A6844" s="688" t="s">
        <v>7</v>
      </c>
      <c r="B6844" s="692" t="s">
        <v>4060</v>
      </c>
      <c r="C6844" s="691">
        <v>2.7</v>
      </c>
      <c r="D6844" s="691">
        <v>2.2999999999999998</v>
      </c>
      <c r="E6844" s="691">
        <v>2.2000000000000002</v>
      </c>
      <c r="F6844" s="691">
        <v>2.1</v>
      </c>
      <c r="G6844" s="691">
        <v>2.6</v>
      </c>
      <c r="H6844" s="691">
        <v>2.7</v>
      </c>
      <c r="I6844" s="691">
        <v>2.8</v>
      </c>
      <c r="J6844" s="691">
        <v>2.7</v>
      </c>
      <c r="K6844" s="691">
        <v>2.8</v>
      </c>
    </row>
    <row r="6845" spans="1:11">
      <c r="A6845" s="688" t="s">
        <v>27</v>
      </c>
      <c r="B6845" s="690" t="s">
        <v>4060</v>
      </c>
      <c r="C6845" s="689">
        <v>3.5</v>
      </c>
      <c r="D6845" s="689">
        <v>3.2</v>
      </c>
      <c r="E6845" s="689">
        <v>3.5</v>
      </c>
      <c r="F6845" s="689">
        <v>3.3</v>
      </c>
      <c r="G6845" s="689">
        <v>3.3</v>
      </c>
      <c r="H6845" s="689">
        <v>3.5</v>
      </c>
      <c r="I6845" s="693">
        <v>3</v>
      </c>
      <c r="J6845" s="689">
        <v>3.4</v>
      </c>
      <c r="K6845" s="689">
        <v>3.1</v>
      </c>
    </row>
    <row r="6846" spans="1:11">
      <c r="A6846" s="688" t="s">
        <v>6</v>
      </c>
      <c r="B6846" s="692" t="s">
        <v>4060</v>
      </c>
      <c r="C6846" s="691">
        <v>3.4</v>
      </c>
      <c r="D6846" s="691">
        <v>3.2</v>
      </c>
      <c r="E6846" s="691">
        <v>3.4</v>
      </c>
      <c r="F6846" s="691">
        <v>3.4</v>
      </c>
      <c r="G6846" s="691">
        <v>3.4</v>
      </c>
      <c r="H6846" s="691">
        <v>3.4</v>
      </c>
      <c r="I6846" s="691">
        <v>3.1</v>
      </c>
      <c r="J6846" s="691">
        <v>3.3</v>
      </c>
      <c r="K6846" s="691">
        <v>3.1</v>
      </c>
    </row>
    <row r="6847" spans="1:11">
      <c r="A6847" s="688" t="s">
        <v>4058</v>
      </c>
      <c r="B6847" s="690" t="s">
        <v>4060</v>
      </c>
      <c r="C6847" s="690" t="s">
        <v>4060</v>
      </c>
      <c r="D6847" s="690" t="s">
        <v>4060</v>
      </c>
      <c r="E6847" s="690" t="s">
        <v>4060</v>
      </c>
      <c r="F6847" s="690" t="s">
        <v>4060</v>
      </c>
      <c r="G6847" s="690" t="s">
        <v>4060</v>
      </c>
      <c r="H6847" s="690" t="s">
        <v>4060</v>
      </c>
      <c r="I6847" s="690" t="s">
        <v>4060</v>
      </c>
      <c r="J6847" s="690" t="s">
        <v>4060</v>
      </c>
      <c r="K6847" s="690" t="s">
        <v>4060</v>
      </c>
    </row>
    <row r="6848" spans="1:11">
      <c r="A6848" s="688" t="s">
        <v>11</v>
      </c>
      <c r="B6848" s="692" t="s">
        <v>4060</v>
      </c>
      <c r="C6848" s="691">
        <v>2.6</v>
      </c>
      <c r="D6848" s="691">
        <v>2.4</v>
      </c>
      <c r="E6848" s="691">
        <v>2.6</v>
      </c>
      <c r="F6848" s="691">
        <v>2.4</v>
      </c>
      <c r="G6848" s="691">
        <v>2.6</v>
      </c>
      <c r="H6848" s="691">
        <v>2.5</v>
      </c>
      <c r="I6848" s="691">
        <v>2.2999999999999998</v>
      </c>
      <c r="J6848" s="691">
        <v>2.2000000000000002</v>
      </c>
      <c r="K6848" s="615">
        <v>2</v>
      </c>
    </row>
    <row r="6849" spans="1:11">
      <c r="A6849" s="688" t="s">
        <v>10</v>
      </c>
      <c r="B6849" s="690" t="s">
        <v>4060</v>
      </c>
      <c r="C6849" s="689">
        <v>3.1</v>
      </c>
      <c r="D6849" s="689">
        <v>2.8</v>
      </c>
      <c r="E6849" s="689">
        <v>3.1</v>
      </c>
      <c r="F6849" s="693">
        <v>3</v>
      </c>
      <c r="G6849" s="689">
        <v>3.2</v>
      </c>
      <c r="H6849" s="689">
        <v>3.2</v>
      </c>
      <c r="I6849" s="689">
        <v>2.8</v>
      </c>
      <c r="J6849" s="693">
        <v>3</v>
      </c>
      <c r="K6849" s="689">
        <v>2.7</v>
      </c>
    </row>
    <row r="6850" spans="1:11">
      <c r="A6850" s="688" t="s">
        <v>30</v>
      </c>
      <c r="B6850" s="692" t="s">
        <v>4060</v>
      </c>
      <c r="C6850" s="691">
        <v>3.1</v>
      </c>
      <c r="D6850" s="691">
        <v>2.9</v>
      </c>
      <c r="E6850" s="615">
        <v>3</v>
      </c>
      <c r="F6850" s="691">
        <v>2.9</v>
      </c>
      <c r="G6850" s="691">
        <v>3.8</v>
      </c>
      <c r="H6850" s="691">
        <v>3.5</v>
      </c>
      <c r="I6850" s="691">
        <v>3.4</v>
      </c>
      <c r="J6850" s="691">
        <v>3.1</v>
      </c>
      <c r="K6850" s="691">
        <v>2.6</v>
      </c>
    </row>
    <row r="6851" spans="1:11">
      <c r="A6851" s="688" t="s">
        <v>12</v>
      </c>
      <c r="B6851" s="690" t="s">
        <v>4060</v>
      </c>
      <c r="C6851" s="689">
        <v>2.9</v>
      </c>
      <c r="D6851" s="689">
        <v>2.6</v>
      </c>
      <c r="E6851" s="689">
        <v>2.7</v>
      </c>
      <c r="F6851" s="689">
        <v>2.9</v>
      </c>
      <c r="G6851" s="689">
        <v>2.8</v>
      </c>
      <c r="H6851" s="689">
        <v>2.9</v>
      </c>
      <c r="I6851" s="689">
        <v>2.7</v>
      </c>
      <c r="J6851" s="689">
        <v>2.4</v>
      </c>
      <c r="K6851" s="689">
        <v>2.5</v>
      </c>
    </row>
    <row r="6852" spans="1:11">
      <c r="A6852" s="688" t="s">
        <v>14</v>
      </c>
      <c r="B6852" s="692" t="s">
        <v>4060</v>
      </c>
      <c r="C6852" s="615">
        <v>2</v>
      </c>
      <c r="D6852" s="691">
        <v>1.5</v>
      </c>
      <c r="E6852" s="691">
        <v>1.4</v>
      </c>
      <c r="F6852" s="691">
        <v>1.5</v>
      </c>
      <c r="G6852" s="691">
        <v>1.7</v>
      </c>
      <c r="H6852" s="691">
        <v>1.6</v>
      </c>
      <c r="I6852" s="615">
        <v>2</v>
      </c>
      <c r="J6852" s="691">
        <v>2.2999999999999998</v>
      </c>
      <c r="K6852" s="691">
        <v>2.2999999999999998</v>
      </c>
    </row>
    <row r="6853" spans="1:11">
      <c r="A6853" s="688" t="s">
        <v>15</v>
      </c>
      <c r="B6853" s="690" t="s">
        <v>4060</v>
      </c>
      <c r="C6853" s="689">
        <v>3.2</v>
      </c>
      <c r="D6853" s="689">
        <v>2.6</v>
      </c>
      <c r="E6853" s="689">
        <v>2.8</v>
      </c>
      <c r="F6853" s="689">
        <v>3.3</v>
      </c>
      <c r="G6853" s="689">
        <v>3.5</v>
      </c>
      <c r="H6853" s="689">
        <v>3.7</v>
      </c>
      <c r="I6853" s="689">
        <v>3.2</v>
      </c>
      <c r="J6853" s="689">
        <v>3.1</v>
      </c>
      <c r="K6853" s="689">
        <v>3.2</v>
      </c>
    </row>
    <row r="6854" spans="1:11">
      <c r="A6854" s="688" t="s">
        <v>29</v>
      </c>
      <c r="B6854" s="692" t="s">
        <v>4060</v>
      </c>
      <c r="C6854" s="691">
        <v>3.3</v>
      </c>
      <c r="D6854" s="691">
        <v>3.1</v>
      </c>
      <c r="E6854" s="691">
        <v>3.4</v>
      </c>
      <c r="F6854" s="691">
        <v>3.5</v>
      </c>
      <c r="G6854" s="691">
        <v>3.5</v>
      </c>
      <c r="H6854" s="691">
        <v>3.6</v>
      </c>
      <c r="I6854" s="691">
        <v>3.7</v>
      </c>
      <c r="J6854" s="691">
        <v>3.7</v>
      </c>
      <c r="K6854" s="691">
        <v>3.2</v>
      </c>
    </row>
    <row r="6855" spans="1:11">
      <c r="A6855" s="688" t="s">
        <v>16</v>
      </c>
      <c r="B6855" s="690" t="s">
        <v>4060</v>
      </c>
      <c r="C6855" s="689">
        <v>3.4</v>
      </c>
      <c r="D6855" s="689">
        <v>2.7</v>
      </c>
      <c r="E6855" s="689">
        <v>3.3</v>
      </c>
      <c r="F6855" s="689">
        <v>2.7</v>
      </c>
      <c r="G6855" s="693">
        <v>3</v>
      </c>
      <c r="H6855" s="689">
        <v>3.2</v>
      </c>
      <c r="I6855" s="689">
        <v>2.7</v>
      </c>
      <c r="J6855" s="693">
        <v>3</v>
      </c>
      <c r="K6855" s="693">
        <v>3</v>
      </c>
    </row>
    <row r="6856" spans="1:11">
      <c r="A6856" s="688" t="s">
        <v>17</v>
      </c>
      <c r="B6856" s="692" t="s">
        <v>4060</v>
      </c>
      <c r="C6856" s="691">
        <v>2.9</v>
      </c>
      <c r="D6856" s="691">
        <v>2.8</v>
      </c>
      <c r="E6856" s="691">
        <v>2.8</v>
      </c>
      <c r="F6856" s="691">
        <v>2.7</v>
      </c>
      <c r="G6856" s="691">
        <v>2.8</v>
      </c>
      <c r="H6856" s="691">
        <v>2.9</v>
      </c>
      <c r="I6856" s="691">
        <v>2.6</v>
      </c>
      <c r="J6856" s="691">
        <v>2.6</v>
      </c>
      <c r="K6856" s="691">
        <v>2.5</v>
      </c>
    </row>
    <row r="6857" spans="1:11">
      <c r="A6857" s="688" t="s">
        <v>19</v>
      </c>
      <c r="B6857" s="690" t="s">
        <v>4060</v>
      </c>
      <c r="C6857" s="689">
        <v>2.9</v>
      </c>
      <c r="D6857" s="689">
        <v>2.8</v>
      </c>
      <c r="E6857" s="693">
        <v>3</v>
      </c>
      <c r="F6857" s="689">
        <v>2.8</v>
      </c>
      <c r="G6857" s="689">
        <v>2.9</v>
      </c>
      <c r="H6857" s="689">
        <v>2.9</v>
      </c>
      <c r="I6857" s="689">
        <v>2.6</v>
      </c>
      <c r="J6857" s="689">
        <v>2.7</v>
      </c>
      <c r="K6857" s="689">
        <v>2.5</v>
      </c>
    </row>
    <row r="6858" spans="1:11">
      <c r="A6858" s="688" t="s">
        <v>20</v>
      </c>
      <c r="B6858" s="692" t="s">
        <v>4060</v>
      </c>
      <c r="C6858" s="691">
        <v>3.4</v>
      </c>
      <c r="D6858" s="691">
        <v>3.1</v>
      </c>
      <c r="E6858" s="691">
        <v>3.4</v>
      </c>
      <c r="F6858" s="691">
        <v>3.4</v>
      </c>
      <c r="G6858" s="691">
        <v>3.4</v>
      </c>
      <c r="H6858" s="691">
        <v>3.6</v>
      </c>
      <c r="I6858" s="691">
        <v>3.1</v>
      </c>
      <c r="J6858" s="691">
        <v>2.7</v>
      </c>
      <c r="K6858" s="691">
        <v>2.9</v>
      </c>
    </row>
    <row r="6859" spans="1:11">
      <c r="A6859" s="688" t="s">
        <v>21</v>
      </c>
      <c r="B6859" s="690" t="s">
        <v>4060</v>
      </c>
      <c r="C6859" s="689">
        <v>3.2</v>
      </c>
      <c r="D6859" s="689">
        <v>3.1</v>
      </c>
      <c r="E6859" s="689">
        <v>3.2</v>
      </c>
      <c r="F6859" s="689">
        <v>3.3</v>
      </c>
      <c r="G6859" s="689">
        <v>3.2</v>
      </c>
      <c r="H6859" s="689">
        <v>3.2</v>
      </c>
      <c r="I6859" s="693">
        <v>3</v>
      </c>
      <c r="J6859" s="693">
        <v>3</v>
      </c>
      <c r="K6859" s="689">
        <v>2.8</v>
      </c>
    </row>
    <row r="6860" spans="1:11">
      <c r="A6860" s="688" t="s">
        <v>22</v>
      </c>
      <c r="B6860" s="692" t="s">
        <v>4060</v>
      </c>
      <c r="C6860" s="691">
        <v>3.2</v>
      </c>
      <c r="D6860" s="691">
        <v>3.5</v>
      </c>
      <c r="E6860" s="691">
        <v>4.2</v>
      </c>
      <c r="F6860" s="691">
        <v>4.5</v>
      </c>
      <c r="G6860" s="691">
        <v>4.8</v>
      </c>
      <c r="H6860" s="691">
        <v>5.4</v>
      </c>
      <c r="I6860" s="691">
        <v>5.2</v>
      </c>
      <c r="J6860" s="691">
        <v>3.7</v>
      </c>
      <c r="K6860" s="691">
        <v>2.6</v>
      </c>
    </row>
    <row r="6861" spans="1:11">
      <c r="A6861" s="688" t="s">
        <v>26</v>
      </c>
      <c r="B6861" s="690" t="s">
        <v>4060</v>
      </c>
      <c r="C6861" s="689">
        <v>3.1</v>
      </c>
      <c r="D6861" s="689">
        <v>3.1</v>
      </c>
      <c r="E6861" s="693">
        <v>3</v>
      </c>
      <c r="F6861" s="693">
        <v>3</v>
      </c>
      <c r="G6861" s="689">
        <v>3.3</v>
      </c>
      <c r="H6861" s="689">
        <v>3.1</v>
      </c>
      <c r="I6861" s="689">
        <v>2.4</v>
      </c>
      <c r="J6861" s="689">
        <v>2.8</v>
      </c>
      <c r="K6861" s="689">
        <v>2.9</v>
      </c>
    </row>
    <row r="6862" spans="1:11">
      <c r="A6862" s="688" t="s">
        <v>25</v>
      </c>
      <c r="B6862" s="692" t="s">
        <v>4060</v>
      </c>
      <c r="C6862" s="691">
        <v>4.8</v>
      </c>
      <c r="D6862" s="691">
        <v>3.9</v>
      </c>
      <c r="E6862" s="691">
        <v>4.3</v>
      </c>
      <c r="F6862" s="691">
        <v>4.2</v>
      </c>
      <c r="G6862" s="691">
        <v>4.7</v>
      </c>
      <c r="H6862" s="691">
        <v>4.9000000000000004</v>
      </c>
      <c r="I6862" s="691">
        <v>5.0999999999999996</v>
      </c>
      <c r="J6862" s="691">
        <v>3.8</v>
      </c>
      <c r="K6862" s="691">
        <v>3.2</v>
      </c>
    </row>
    <row r="6863" spans="1:11">
      <c r="A6863" s="688" t="s">
        <v>5</v>
      </c>
      <c r="B6863" s="690" t="s">
        <v>4060</v>
      </c>
      <c r="C6863" s="689">
        <v>2.9</v>
      </c>
      <c r="D6863" s="689">
        <v>2.8</v>
      </c>
      <c r="E6863" s="689">
        <v>2.8</v>
      </c>
      <c r="F6863" s="693">
        <v>3</v>
      </c>
      <c r="G6863" s="689">
        <v>2.8</v>
      </c>
      <c r="H6863" s="689">
        <v>3.1</v>
      </c>
      <c r="I6863" s="693">
        <v>3</v>
      </c>
      <c r="J6863" s="689">
        <v>2.9</v>
      </c>
      <c r="K6863" s="689">
        <v>2.6</v>
      </c>
    </row>
    <row r="6864" spans="1:11">
      <c r="A6864" s="688" t="s">
        <v>23</v>
      </c>
      <c r="B6864" s="692" t="s">
        <v>4060</v>
      </c>
      <c r="C6864" s="691">
        <v>2.9</v>
      </c>
      <c r="D6864" s="691">
        <v>2.9</v>
      </c>
      <c r="E6864" s="691">
        <v>2.9</v>
      </c>
      <c r="F6864" s="691">
        <v>2.8</v>
      </c>
      <c r="G6864" s="691">
        <v>2.9</v>
      </c>
      <c r="H6864" s="615">
        <v>3</v>
      </c>
      <c r="I6864" s="691">
        <v>2.8</v>
      </c>
      <c r="J6864" s="691">
        <v>3.1</v>
      </c>
      <c r="K6864" s="691">
        <v>2.9</v>
      </c>
    </row>
    <row r="6865" spans="1:11">
      <c r="A6865" s="688" t="s">
        <v>4067</v>
      </c>
      <c r="B6865" s="690" t="s">
        <v>4060</v>
      </c>
      <c r="C6865" s="690" t="s">
        <v>4060</v>
      </c>
      <c r="D6865" s="690" t="s">
        <v>4060</v>
      </c>
      <c r="E6865" s="690" t="s">
        <v>4060</v>
      </c>
      <c r="F6865" s="690" t="s">
        <v>4060</v>
      </c>
      <c r="G6865" s="690" t="s">
        <v>4060</v>
      </c>
      <c r="H6865" s="690" t="s">
        <v>4060</v>
      </c>
      <c r="I6865" s="690" t="s">
        <v>4060</v>
      </c>
      <c r="J6865" s="690" t="s">
        <v>4060</v>
      </c>
      <c r="K6865" s="690" t="s">
        <v>4060</v>
      </c>
    </row>
    <row r="6866" spans="1:11">
      <c r="A6866" s="688" t="s">
        <v>4066</v>
      </c>
      <c r="B6866" s="692" t="s">
        <v>4060</v>
      </c>
      <c r="C6866" s="692" t="s">
        <v>4060</v>
      </c>
      <c r="D6866" s="692" t="s">
        <v>4060</v>
      </c>
      <c r="E6866" s="692" t="s">
        <v>4060</v>
      </c>
      <c r="F6866" s="692" t="s">
        <v>4060</v>
      </c>
      <c r="G6866" s="692" t="s">
        <v>4060</v>
      </c>
      <c r="H6866" s="692" t="s">
        <v>4060</v>
      </c>
      <c r="I6866" s="692" t="s">
        <v>4060</v>
      </c>
      <c r="J6866" s="692" t="s">
        <v>4060</v>
      </c>
      <c r="K6866" s="692" t="s">
        <v>4060</v>
      </c>
    </row>
    <row r="6867" spans="1:11">
      <c r="A6867" s="688" t="s">
        <v>4062</v>
      </c>
      <c r="B6867" s="690" t="s">
        <v>4060</v>
      </c>
      <c r="C6867" s="693">
        <v>3</v>
      </c>
      <c r="D6867" s="689">
        <v>2.8</v>
      </c>
      <c r="E6867" s="693">
        <v>3</v>
      </c>
      <c r="F6867" s="689">
        <v>2.9</v>
      </c>
      <c r="G6867" s="693">
        <v>3</v>
      </c>
      <c r="H6867" s="693">
        <v>3</v>
      </c>
      <c r="I6867" s="689">
        <v>2.8</v>
      </c>
      <c r="J6867" s="693">
        <v>3</v>
      </c>
      <c r="K6867" s="689">
        <v>2.7</v>
      </c>
    </row>
    <row r="6868" spans="1:11">
      <c r="A6868" s="688" t="s">
        <v>9</v>
      </c>
      <c r="B6868" s="692" t="s">
        <v>4060</v>
      </c>
      <c r="C6868" s="691">
        <v>2.9</v>
      </c>
      <c r="D6868" s="691">
        <v>2.6</v>
      </c>
      <c r="E6868" s="691">
        <v>3.4</v>
      </c>
      <c r="F6868" s="691">
        <v>2.8</v>
      </c>
      <c r="G6868" s="691">
        <v>2.8</v>
      </c>
      <c r="H6868" s="691">
        <v>2.6</v>
      </c>
      <c r="I6868" s="691">
        <v>2.9</v>
      </c>
      <c r="J6868" s="691">
        <v>3.1</v>
      </c>
      <c r="K6868" s="691">
        <v>2.2999999999999998</v>
      </c>
    </row>
    <row r="6869" spans="1:11">
      <c r="A6869" s="688" t="s">
        <v>13</v>
      </c>
      <c r="B6869" s="690" t="s">
        <v>4060</v>
      </c>
      <c r="C6869" s="689">
        <v>2.8</v>
      </c>
      <c r="D6869" s="689">
        <v>2.4</v>
      </c>
      <c r="E6869" s="693">
        <v>3</v>
      </c>
      <c r="F6869" s="689">
        <v>3.1</v>
      </c>
      <c r="G6869" s="689">
        <v>2.6</v>
      </c>
      <c r="H6869" s="689">
        <v>2.1</v>
      </c>
      <c r="I6869" s="689">
        <v>2.4</v>
      </c>
      <c r="J6869" s="689">
        <v>3.8</v>
      </c>
      <c r="K6869" s="689">
        <v>2.6</v>
      </c>
    </row>
    <row r="6870" spans="1:11">
      <c r="A6870" s="688" t="s">
        <v>18</v>
      </c>
      <c r="B6870" s="692" t="s">
        <v>4060</v>
      </c>
      <c r="C6870" s="615">
        <v>3</v>
      </c>
      <c r="D6870" s="615">
        <v>3</v>
      </c>
      <c r="E6870" s="691">
        <v>2.9</v>
      </c>
      <c r="F6870" s="691">
        <v>2.9</v>
      </c>
      <c r="G6870" s="691">
        <v>2.9</v>
      </c>
      <c r="H6870" s="615">
        <v>3</v>
      </c>
      <c r="I6870" s="615">
        <v>3</v>
      </c>
      <c r="J6870" s="615">
        <v>3</v>
      </c>
      <c r="K6870" s="691">
        <v>2.6</v>
      </c>
    </row>
    <row r="6871" spans="1:11">
      <c r="A6871" s="688" t="s">
        <v>24</v>
      </c>
      <c r="B6871" s="690" t="s">
        <v>4060</v>
      </c>
      <c r="C6871" s="689">
        <v>2.9</v>
      </c>
      <c r="D6871" s="689">
        <v>2.8</v>
      </c>
      <c r="E6871" s="689">
        <v>3.1</v>
      </c>
      <c r="F6871" s="693">
        <v>3</v>
      </c>
      <c r="G6871" s="689">
        <v>3.1</v>
      </c>
      <c r="H6871" s="693">
        <v>3</v>
      </c>
      <c r="I6871" s="689">
        <v>2.7</v>
      </c>
      <c r="J6871" s="693">
        <v>3</v>
      </c>
      <c r="K6871" s="689">
        <v>2.8</v>
      </c>
    </row>
    <row r="6872" spans="1:11">
      <c r="A6872" s="688" t="s">
        <v>4059</v>
      </c>
      <c r="B6872" s="692" t="s">
        <v>4060</v>
      </c>
      <c r="C6872" s="692" t="s">
        <v>4060</v>
      </c>
      <c r="D6872" s="692" t="s">
        <v>4060</v>
      </c>
      <c r="E6872" s="692" t="s">
        <v>4060</v>
      </c>
      <c r="F6872" s="692" t="s">
        <v>4060</v>
      </c>
      <c r="G6872" s="692" t="s">
        <v>4060</v>
      </c>
      <c r="H6872" s="692" t="s">
        <v>4060</v>
      </c>
      <c r="I6872" s="692" t="s">
        <v>4060</v>
      </c>
      <c r="J6872" s="692" t="s">
        <v>4060</v>
      </c>
      <c r="K6872" s="692" t="s">
        <v>4060</v>
      </c>
    </row>
    <row r="6873" spans="1:11">
      <c r="A6873" s="688" t="s">
        <v>2324</v>
      </c>
      <c r="B6873" s="690" t="s">
        <v>4060</v>
      </c>
      <c r="C6873" s="690" t="s">
        <v>4060</v>
      </c>
      <c r="D6873" s="690" t="s">
        <v>4060</v>
      </c>
      <c r="E6873" s="690" t="s">
        <v>4060</v>
      </c>
      <c r="F6873" s="690" t="s">
        <v>4060</v>
      </c>
      <c r="G6873" s="690" t="s">
        <v>4060</v>
      </c>
      <c r="H6873" s="690" t="s">
        <v>4060</v>
      </c>
      <c r="I6873" s="690" t="s">
        <v>4060</v>
      </c>
      <c r="J6873" s="690" t="s">
        <v>4060</v>
      </c>
      <c r="K6873" s="690" t="s">
        <v>4060</v>
      </c>
    </row>
    <row r="6874" spans="1:11">
      <c r="A6874" s="688" t="s">
        <v>2322</v>
      </c>
      <c r="B6874" s="692" t="s">
        <v>4060</v>
      </c>
      <c r="C6874" s="692" t="s">
        <v>4060</v>
      </c>
      <c r="D6874" s="692" t="s">
        <v>4060</v>
      </c>
      <c r="E6874" s="692" t="s">
        <v>4060</v>
      </c>
      <c r="F6874" s="692" t="s">
        <v>4060</v>
      </c>
      <c r="G6874" s="692" t="s">
        <v>4060</v>
      </c>
      <c r="H6874" s="692" t="s">
        <v>4060</v>
      </c>
      <c r="I6874" s="692" t="s">
        <v>4060</v>
      </c>
      <c r="J6874" s="692" t="s">
        <v>4060</v>
      </c>
      <c r="K6874" s="692" t="s">
        <v>4060</v>
      </c>
    </row>
    <row r="6875" spans="1:11">
      <c r="A6875" s="688" t="s">
        <v>2328</v>
      </c>
      <c r="B6875" s="690" t="s">
        <v>4060</v>
      </c>
      <c r="C6875" s="690" t="s">
        <v>4060</v>
      </c>
      <c r="D6875" s="690" t="s">
        <v>4060</v>
      </c>
      <c r="E6875" s="690" t="s">
        <v>4060</v>
      </c>
      <c r="F6875" s="690" t="s">
        <v>4060</v>
      </c>
      <c r="G6875" s="690" t="s">
        <v>4060</v>
      </c>
      <c r="H6875" s="690" t="s">
        <v>4060</v>
      </c>
      <c r="I6875" s="690" t="s">
        <v>4060</v>
      </c>
      <c r="J6875" s="690" t="s">
        <v>4060</v>
      </c>
      <c r="K6875" s="690" t="s">
        <v>4060</v>
      </c>
    </row>
    <row r="6876" spans="1:11">
      <c r="A6876" s="688" t="s">
        <v>2496</v>
      </c>
      <c r="B6876" s="692" t="s">
        <v>4060</v>
      </c>
      <c r="C6876" s="692" t="s">
        <v>4060</v>
      </c>
      <c r="D6876" s="692" t="s">
        <v>4060</v>
      </c>
      <c r="E6876" s="692" t="s">
        <v>4060</v>
      </c>
      <c r="F6876" s="692" t="s">
        <v>4060</v>
      </c>
      <c r="G6876" s="692" t="s">
        <v>4060</v>
      </c>
      <c r="H6876" s="692" t="s">
        <v>4060</v>
      </c>
      <c r="I6876" s="692" t="s">
        <v>4060</v>
      </c>
      <c r="J6876" s="692" t="s">
        <v>4060</v>
      </c>
      <c r="K6876" s="692" t="s">
        <v>4060</v>
      </c>
    </row>
    <row r="6877" spans="1:11">
      <c r="A6877" s="688" t="s">
        <v>2269</v>
      </c>
      <c r="B6877" s="690" t="s">
        <v>4060</v>
      </c>
      <c r="C6877" s="690" t="s">
        <v>4060</v>
      </c>
      <c r="D6877" s="690" t="s">
        <v>4060</v>
      </c>
      <c r="E6877" s="690" t="s">
        <v>4060</v>
      </c>
      <c r="F6877" s="690" t="s">
        <v>4060</v>
      </c>
      <c r="G6877" s="690" t="s">
        <v>4060</v>
      </c>
      <c r="H6877" s="690" t="s">
        <v>4060</v>
      </c>
      <c r="I6877" s="690" t="s">
        <v>4060</v>
      </c>
      <c r="J6877" s="690" t="s">
        <v>4060</v>
      </c>
      <c r="K6877" s="690" t="s">
        <v>4060</v>
      </c>
    </row>
    <row r="6878" spans="1:11">
      <c r="A6878" s="688" t="s">
        <v>2349</v>
      </c>
      <c r="B6878" s="692" t="s">
        <v>4060</v>
      </c>
      <c r="C6878" s="692" t="s">
        <v>4060</v>
      </c>
      <c r="D6878" s="692" t="s">
        <v>4060</v>
      </c>
      <c r="E6878" s="692" t="s">
        <v>4060</v>
      </c>
      <c r="F6878" s="692" t="s">
        <v>4060</v>
      </c>
      <c r="G6878" s="692" t="s">
        <v>4060</v>
      </c>
      <c r="H6878" s="692" t="s">
        <v>4060</v>
      </c>
      <c r="I6878" s="692" t="s">
        <v>4060</v>
      </c>
      <c r="J6878" s="692" t="s">
        <v>4060</v>
      </c>
      <c r="K6878" s="692" t="s">
        <v>4060</v>
      </c>
    </row>
    <row r="6879" spans="1:11">
      <c r="A6879" s="688" t="s">
        <v>2355</v>
      </c>
      <c r="B6879" s="690" t="s">
        <v>4060</v>
      </c>
      <c r="C6879" s="690" t="s">
        <v>4060</v>
      </c>
      <c r="D6879" s="690" t="s">
        <v>4060</v>
      </c>
      <c r="E6879" s="690" t="s">
        <v>4060</v>
      </c>
      <c r="F6879" s="690" t="s">
        <v>4060</v>
      </c>
      <c r="G6879" s="690" t="s">
        <v>4060</v>
      </c>
      <c r="H6879" s="690" t="s">
        <v>4060</v>
      </c>
      <c r="I6879" s="690" t="s">
        <v>4060</v>
      </c>
      <c r="J6879" s="690" t="s">
        <v>4060</v>
      </c>
      <c r="K6879" s="690" t="s">
        <v>4060</v>
      </c>
    </row>
    <row r="6880" spans="1:11">
      <c r="A6880" s="688" t="s">
        <v>2357</v>
      </c>
      <c r="B6880" s="692" t="s">
        <v>4060</v>
      </c>
      <c r="C6880" s="692" t="s">
        <v>4060</v>
      </c>
      <c r="D6880" s="692" t="s">
        <v>4060</v>
      </c>
      <c r="E6880" s="692" t="s">
        <v>4060</v>
      </c>
      <c r="F6880" s="692" t="s">
        <v>4060</v>
      </c>
      <c r="G6880" s="692" t="s">
        <v>4060</v>
      </c>
      <c r="H6880" s="692" t="s">
        <v>4060</v>
      </c>
      <c r="I6880" s="692" t="s">
        <v>4060</v>
      </c>
      <c r="J6880" s="692" t="s">
        <v>4060</v>
      </c>
      <c r="K6880" s="692" t="s">
        <v>4060</v>
      </c>
    </row>
    <row r="6881" spans="1:11">
      <c r="A6881" s="688" t="s">
        <v>4070</v>
      </c>
      <c r="B6881" s="690" t="s">
        <v>4060</v>
      </c>
      <c r="C6881" s="690" t="s">
        <v>4060</v>
      </c>
      <c r="D6881" s="690" t="s">
        <v>4060</v>
      </c>
      <c r="E6881" s="690" t="s">
        <v>4060</v>
      </c>
      <c r="F6881" s="690" t="s">
        <v>4060</v>
      </c>
      <c r="G6881" s="690" t="s">
        <v>4060</v>
      </c>
      <c r="H6881" s="690" t="s">
        <v>4060</v>
      </c>
      <c r="I6881" s="690" t="s">
        <v>4060</v>
      </c>
      <c r="J6881" s="690" t="s">
        <v>4060</v>
      </c>
      <c r="K6881" s="690" t="s">
        <v>4060</v>
      </c>
    </row>
    <row r="6882" spans="1:11">
      <c r="A6882" s="688" t="s">
        <v>2491</v>
      </c>
      <c r="B6882" s="692" t="s">
        <v>4060</v>
      </c>
      <c r="C6882" s="692" t="s">
        <v>4060</v>
      </c>
      <c r="D6882" s="692" t="s">
        <v>4060</v>
      </c>
      <c r="E6882" s="692" t="s">
        <v>4060</v>
      </c>
      <c r="F6882" s="692" t="s">
        <v>4060</v>
      </c>
      <c r="G6882" s="692" t="s">
        <v>4060</v>
      </c>
      <c r="H6882" s="692" t="s">
        <v>4060</v>
      </c>
      <c r="I6882" s="692" t="s">
        <v>4060</v>
      </c>
      <c r="J6882" s="692" t="s">
        <v>4060</v>
      </c>
      <c r="K6882" s="692" t="s">
        <v>4060</v>
      </c>
    </row>
    <row r="6883" spans="1:11">
      <c r="A6883" s="688" t="s">
        <v>2343</v>
      </c>
      <c r="B6883" s="690" t="s">
        <v>4060</v>
      </c>
      <c r="C6883" s="690" t="s">
        <v>4060</v>
      </c>
      <c r="D6883" s="690" t="s">
        <v>4060</v>
      </c>
      <c r="E6883" s="690" t="s">
        <v>4060</v>
      </c>
      <c r="F6883" s="690" t="s">
        <v>4060</v>
      </c>
      <c r="G6883" s="690" t="s">
        <v>4060</v>
      </c>
      <c r="H6883" s="690" t="s">
        <v>4060</v>
      </c>
      <c r="I6883" s="690" t="s">
        <v>4060</v>
      </c>
      <c r="J6883" s="690" t="s">
        <v>4060</v>
      </c>
      <c r="K6883" s="690" t="s">
        <v>4060</v>
      </c>
    </row>
    <row r="6884" spans="1:11">
      <c r="A6884" s="688" t="s">
        <v>4071</v>
      </c>
      <c r="B6884" s="692" t="s">
        <v>4060</v>
      </c>
      <c r="C6884" s="692" t="s">
        <v>4060</v>
      </c>
      <c r="D6884" s="692" t="s">
        <v>4060</v>
      </c>
      <c r="E6884" s="692" t="s">
        <v>4060</v>
      </c>
      <c r="F6884" s="692" t="s">
        <v>4060</v>
      </c>
      <c r="G6884" s="692" t="s">
        <v>4060</v>
      </c>
      <c r="H6884" s="692" t="s">
        <v>4060</v>
      </c>
      <c r="I6884" s="692" t="s">
        <v>4060</v>
      </c>
      <c r="J6884" s="692" t="s">
        <v>4060</v>
      </c>
      <c r="K6884" s="692" t="s">
        <v>4060</v>
      </c>
    </row>
    <row r="6885" spans="1:11">
      <c r="A6885" s="688" t="s">
        <v>2489</v>
      </c>
      <c r="B6885" s="690" t="s">
        <v>4060</v>
      </c>
      <c r="C6885" s="690" t="s">
        <v>4060</v>
      </c>
      <c r="D6885" s="690" t="s">
        <v>4060</v>
      </c>
      <c r="E6885" s="690" t="s">
        <v>4060</v>
      </c>
      <c r="F6885" s="690" t="s">
        <v>4060</v>
      </c>
      <c r="G6885" s="690" t="s">
        <v>4060</v>
      </c>
      <c r="H6885" s="690" t="s">
        <v>4060</v>
      </c>
      <c r="I6885" s="690" t="s">
        <v>4060</v>
      </c>
      <c r="J6885" s="690" t="s">
        <v>4060</v>
      </c>
      <c r="K6885" s="690" t="s">
        <v>4060</v>
      </c>
    </row>
    <row r="6886" spans="1:11">
      <c r="A6886" s="688" t="s">
        <v>2490</v>
      </c>
      <c r="B6886" s="692" t="s">
        <v>4060</v>
      </c>
      <c r="C6886" s="692" t="s">
        <v>4060</v>
      </c>
      <c r="D6886" s="692" t="s">
        <v>4060</v>
      </c>
      <c r="E6886" s="692" t="s">
        <v>4060</v>
      </c>
      <c r="F6886" s="692" t="s">
        <v>4060</v>
      </c>
      <c r="G6886" s="692" t="s">
        <v>4060</v>
      </c>
      <c r="H6886" s="692" t="s">
        <v>4060</v>
      </c>
      <c r="I6886" s="692" t="s">
        <v>4060</v>
      </c>
      <c r="J6886" s="692" t="s">
        <v>4060</v>
      </c>
      <c r="K6886" s="692" t="s">
        <v>4060</v>
      </c>
    </row>
    <row r="6888" spans="1:11">
      <c r="A6888" s="683" t="s">
        <v>4233</v>
      </c>
    </row>
    <row r="6889" spans="1:11">
      <c r="A6889" s="683" t="s">
        <v>4060</v>
      </c>
      <c r="B6889" s="682" t="s">
        <v>4234</v>
      </c>
    </row>
    <row r="6891" spans="1:11">
      <c r="A6891" s="682" t="s">
        <v>4331</v>
      </c>
    </row>
    <row r="6892" spans="1:11">
      <c r="A6892" s="682" t="s">
        <v>4210</v>
      </c>
      <c r="B6892" s="683" t="s">
        <v>4211</v>
      </c>
    </row>
    <row r="6893" spans="1:11">
      <c r="A6893" s="682" t="s">
        <v>4212</v>
      </c>
      <c r="B6893" s="682" t="s">
        <v>4213</v>
      </c>
    </row>
    <row r="6895" spans="1:11">
      <c r="A6895" s="683" t="s">
        <v>4214</v>
      </c>
      <c r="C6895" s="682" t="s">
        <v>4215</v>
      </c>
    </row>
    <row r="6896" spans="1:11">
      <c r="A6896" s="683" t="s">
        <v>4216</v>
      </c>
      <c r="C6896" s="682" t="s">
        <v>2967</v>
      </c>
    </row>
    <row r="6897" spans="1:11">
      <c r="A6897" s="683" t="s">
        <v>3893</v>
      </c>
      <c r="C6897" s="682" t="s">
        <v>2168</v>
      </c>
    </row>
    <row r="6898" spans="1:11">
      <c r="A6898" s="683" t="s">
        <v>4218</v>
      </c>
      <c r="C6898" s="682" t="s">
        <v>4219</v>
      </c>
    </row>
    <row r="6900" spans="1:11">
      <c r="A6900" s="684" t="s">
        <v>4220</v>
      </c>
      <c r="B6900" s="685" t="s">
        <v>4221</v>
      </c>
      <c r="C6900" s="685" t="s">
        <v>4222</v>
      </c>
      <c r="D6900" s="685" t="s">
        <v>4223</v>
      </c>
      <c r="E6900" s="685" t="s">
        <v>4224</v>
      </c>
      <c r="F6900" s="685" t="s">
        <v>4225</v>
      </c>
      <c r="G6900" s="685" t="s">
        <v>4226</v>
      </c>
      <c r="H6900" s="685" t="s">
        <v>4227</v>
      </c>
      <c r="I6900" s="685" t="s">
        <v>4228</v>
      </c>
      <c r="J6900" s="685" t="s">
        <v>4229</v>
      </c>
      <c r="K6900" s="685" t="s">
        <v>4230</v>
      </c>
    </row>
    <row r="6901" spans="1:11">
      <c r="A6901" s="686" t="s">
        <v>4231</v>
      </c>
      <c r="B6901" s="687" t="s">
        <v>4232</v>
      </c>
      <c r="C6901" s="687" t="s">
        <v>4232</v>
      </c>
      <c r="D6901" s="687" t="s">
        <v>4232</v>
      </c>
      <c r="E6901" s="687" t="s">
        <v>4232</v>
      </c>
      <c r="F6901" s="687" t="s">
        <v>4232</v>
      </c>
      <c r="G6901" s="687" t="s">
        <v>4232</v>
      </c>
      <c r="H6901" s="687" t="s">
        <v>4232</v>
      </c>
      <c r="I6901" s="687" t="s">
        <v>4232</v>
      </c>
      <c r="J6901" s="687" t="s">
        <v>4232</v>
      </c>
      <c r="K6901" s="687" t="s">
        <v>4232</v>
      </c>
    </row>
    <row r="6902" spans="1:11">
      <c r="A6902" s="688" t="s">
        <v>2269</v>
      </c>
      <c r="B6902" s="615">
        <v>76</v>
      </c>
      <c r="C6902" s="691">
        <v>76.400000000000006</v>
      </c>
      <c r="D6902" s="691">
        <v>76.3</v>
      </c>
      <c r="E6902" s="691">
        <v>77.099999999999994</v>
      </c>
      <c r="F6902" s="691">
        <v>77.099999999999994</v>
      </c>
      <c r="G6902" s="691">
        <v>77.400000000000006</v>
      </c>
      <c r="H6902" s="691">
        <v>77.599999999999994</v>
      </c>
      <c r="I6902" s="691">
        <v>75.2</v>
      </c>
      <c r="J6902" s="691">
        <v>73.599999999999994</v>
      </c>
      <c r="K6902" s="691">
        <v>77.400000000000006</v>
      </c>
    </row>
    <row r="6903" spans="1:11">
      <c r="A6903" s="688" t="s">
        <v>2489</v>
      </c>
      <c r="B6903" s="692" t="s">
        <v>4060</v>
      </c>
      <c r="C6903" s="692" t="s">
        <v>4060</v>
      </c>
      <c r="D6903" s="691">
        <v>71.7</v>
      </c>
      <c r="E6903" s="691">
        <v>71.5</v>
      </c>
      <c r="F6903" s="691">
        <v>72.5</v>
      </c>
      <c r="G6903" s="691">
        <v>73.400000000000006</v>
      </c>
      <c r="H6903" s="691">
        <v>73.099999999999994</v>
      </c>
      <c r="I6903" s="692" t="s">
        <v>4060</v>
      </c>
      <c r="J6903" s="692" t="s">
        <v>4060</v>
      </c>
      <c r="K6903" s="692" t="s">
        <v>4060</v>
      </c>
    </row>
    <row r="6904" spans="1:11">
      <c r="A6904" s="688" t="s">
        <v>2490</v>
      </c>
      <c r="B6904" s="689">
        <v>72.099999999999994</v>
      </c>
      <c r="C6904" s="689">
        <v>72.2</v>
      </c>
      <c r="D6904" s="689">
        <v>72.900000000000006</v>
      </c>
      <c r="E6904" s="690" t="s">
        <v>4060</v>
      </c>
      <c r="F6904" s="689">
        <v>73.2</v>
      </c>
      <c r="G6904" s="689">
        <v>73.5</v>
      </c>
      <c r="H6904" s="689">
        <v>74.3</v>
      </c>
      <c r="I6904" s="690" t="s">
        <v>4060</v>
      </c>
      <c r="J6904" s="690" t="s">
        <v>4060</v>
      </c>
      <c r="K6904" s="690" t="s">
        <v>4060</v>
      </c>
    </row>
    <row r="6905" spans="1:11">
      <c r="A6905" s="688" t="s">
        <v>2491</v>
      </c>
      <c r="B6905" s="689">
        <v>67.3</v>
      </c>
      <c r="C6905" s="689">
        <v>67.8</v>
      </c>
      <c r="D6905" s="689">
        <v>68.599999999999994</v>
      </c>
      <c r="E6905" s="693">
        <v>69</v>
      </c>
      <c r="F6905" s="689">
        <v>69.3</v>
      </c>
      <c r="G6905" s="689">
        <v>69.3</v>
      </c>
      <c r="H6905" s="690" t="s">
        <v>4060</v>
      </c>
      <c r="I6905" s="690" t="s">
        <v>4060</v>
      </c>
      <c r="J6905" s="690" t="s">
        <v>4060</v>
      </c>
      <c r="K6905" s="690" t="s">
        <v>4060</v>
      </c>
    </row>
    <row r="6906" spans="1:11">
      <c r="A6906" s="688" t="s">
        <v>0</v>
      </c>
      <c r="B6906" s="689">
        <v>78.099999999999994</v>
      </c>
      <c r="C6906" s="689">
        <v>78.599999999999994</v>
      </c>
      <c r="D6906" s="689">
        <v>78.599999999999994</v>
      </c>
      <c r="E6906" s="689">
        <v>78.8</v>
      </c>
      <c r="F6906" s="693">
        <v>79</v>
      </c>
      <c r="G6906" s="689">
        <v>79.2</v>
      </c>
      <c r="H6906" s="689">
        <v>79.599999999999994</v>
      </c>
      <c r="I6906" s="689">
        <v>78.5</v>
      </c>
      <c r="J6906" s="689">
        <v>79.3</v>
      </c>
      <c r="K6906" s="689">
        <v>79.599999999999994</v>
      </c>
    </row>
    <row r="6907" spans="1:11">
      <c r="A6907" s="688" t="s">
        <v>1</v>
      </c>
      <c r="B6907" s="691">
        <v>71.3</v>
      </c>
      <c r="C6907" s="691">
        <v>70.900000000000006</v>
      </c>
      <c r="D6907" s="691">
        <v>71.099999999999994</v>
      </c>
      <c r="E6907" s="691">
        <v>71.099999999999994</v>
      </c>
      <c r="F6907" s="691">
        <v>71.099999999999994</v>
      </c>
      <c r="G6907" s="691">
        <v>71.2</v>
      </c>
      <c r="H6907" s="691">
        <v>71.2</v>
      </c>
      <c r="I6907" s="691">
        <v>69.599999999999994</v>
      </c>
      <c r="J6907" s="691">
        <v>67.7</v>
      </c>
      <c r="K6907" s="691">
        <v>70.5</v>
      </c>
    </row>
    <row r="6908" spans="1:11">
      <c r="A6908" s="688" t="s">
        <v>2</v>
      </c>
      <c r="B6908" s="691">
        <v>78.3</v>
      </c>
      <c r="C6908" s="691">
        <v>78.599999999999994</v>
      </c>
      <c r="D6908" s="691">
        <v>78.8</v>
      </c>
      <c r="E6908" s="691">
        <v>78.900000000000006</v>
      </c>
      <c r="F6908" s="691">
        <v>79.099999999999994</v>
      </c>
      <c r="G6908" s="615">
        <v>79</v>
      </c>
      <c r="H6908" s="691">
        <v>79.400000000000006</v>
      </c>
      <c r="I6908" s="691">
        <v>79.599999999999994</v>
      </c>
      <c r="J6908" s="691">
        <v>79.599999999999994</v>
      </c>
      <c r="K6908" s="691">
        <v>79.400000000000006</v>
      </c>
    </row>
    <row r="6909" spans="1:11">
      <c r="A6909" s="688" t="s">
        <v>3</v>
      </c>
      <c r="B6909" s="689">
        <v>78.099999999999994</v>
      </c>
      <c r="C6909" s="689">
        <v>78.400000000000006</v>
      </c>
      <c r="D6909" s="689">
        <v>78.099999999999994</v>
      </c>
      <c r="E6909" s="689">
        <v>78.400000000000006</v>
      </c>
      <c r="F6909" s="689">
        <v>78.599999999999994</v>
      </c>
      <c r="G6909" s="689">
        <v>78.5</v>
      </c>
      <c r="H6909" s="689">
        <v>78.8</v>
      </c>
      <c r="I6909" s="689">
        <v>78.599999999999994</v>
      </c>
      <c r="J6909" s="689">
        <v>78.2</v>
      </c>
      <c r="K6909" s="689">
        <v>78.099999999999994</v>
      </c>
    </row>
    <row r="6910" spans="1:11">
      <c r="A6910" s="688" t="s">
        <v>4061</v>
      </c>
      <c r="B6910" s="691">
        <v>78.099999999999994</v>
      </c>
      <c r="C6910" s="691">
        <v>78.400000000000006</v>
      </c>
      <c r="D6910" s="691">
        <v>78.099999999999994</v>
      </c>
      <c r="E6910" s="691">
        <v>78.400000000000006</v>
      </c>
      <c r="F6910" s="691">
        <v>78.599999999999994</v>
      </c>
      <c r="G6910" s="691">
        <v>78.5</v>
      </c>
      <c r="H6910" s="691">
        <v>78.8</v>
      </c>
      <c r="I6910" s="691">
        <v>78.599999999999994</v>
      </c>
      <c r="J6910" s="691">
        <v>78.2</v>
      </c>
      <c r="K6910" s="691">
        <v>78.099999999999994</v>
      </c>
    </row>
    <row r="6911" spans="1:11">
      <c r="A6911" s="688" t="s">
        <v>4</v>
      </c>
      <c r="B6911" s="689">
        <v>72.8</v>
      </c>
      <c r="C6911" s="689">
        <v>72.3</v>
      </c>
      <c r="D6911" s="689">
        <v>73.099999999999994</v>
      </c>
      <c r="E6911" s="689">
        <v>73.2</v>
      </c>
      <c r="F6911" s="689">
        <v>73.7</v>
      </c>
      <c r="G6911" s="689">
        <v>73.900000000000006</v>
      </c>
      <c r="H6911" s="689">
        <v>74.400000000000006</v>
      </c>
      <c r="I6911" s="689">
        <v>74.400000000000006</v>
      </c>
      <c r="J6911" s="689">
        <v>72.7</v>
      </c>
      <c r="K6911" s="689">
        <v>73.599999999999994</v>
      </c>
    </row>
    <row r="6912" spans="1:11">
      <c r="A6912" s="688" t="s">
        <v>4062</v>
      </c>
      <c r="B6912" s="691">
        <v>80.400000000000006</v>
      </c>
      <c r="C6912" s="691">
        <v>80.599999999999994</v>
      </c>
      <c r="D6912" s="691">
        <v>80.599999999999994</v>
      </c>
      <c r="E6912" s="691">
        <v>81.099999999999994</v>
      </c>
      <c r="F6912" s="691">
        <v>81.2</v>
      </c>
      <c r="G6912" s="691">
        <v>81.400000000000006</v>
      </c>
      <c r="H6912" s="691">
        <v>81.599999999999994</v>
      </c>
      <c r="I6912" s="691">
        <v>81.099999999999994</v>
      </c>
      <c r="J6912" s="691">
        <v>81.599999999999994</v>
      </c>
      <c r="K6912" s="691">
        <v>81.3</v>
      </c>
    </row>
    <row r="6913" spans="1:11">
      <c r="A6913" s="688" t="s">
        <v>4063</v>
      </c>
      <c r="B6913" s="691">
        <v>77.7</v>
      </c>
      <c r="C6913" s="691">
        <v>78.099999999999994</v>
      </c>
      <c r="D6913" s="691">
        <v>77.900000000000006</v>
      </c>
      <c r="E6913" s="691">
        <v>78.2</v>
      </c>
      <c r="F6913" s="691">
        <v>78.3</v>
      </c>
      <c r="G6913" s="691">
        <v>78.400000000000006</v>
      </c>
      <c r="H6913" s="692" t="s">
        <v>4060</v>
      </c>
      <c r="I6913" s="692" t="s">
        <v>4060</v>
      </c>
      <c r="J6913" s="692" t="s">
        <v>4060</v>
      </c>
      <c r="K6913" s="692" t="s">
        <v>4060</v>
      </c>
    </row>
    <row r="6914" spans="1:11">
      <c r="A6914" s="688" t="s">
        <v>4064</v>
      </c>
      <c r="B6914" s="691">
        <v>77.5</v>
      </c>
      <c r="C6914" s="691">
        <v>77.7</v>
      </c>
      <c r="D6914" s="691">
        <v>77.7</v>
      </c>
      <c r="E6914" s="691">
        <v>77.8</v>
      </c>
      <c r="F6914" s="691">
        <v>77.900000000000006</v>
      </c>
      <c r="G6914" s="615">
        <v>78</v>
      </c>
      <c r="H6914" s="691">
        <v>78.3</v>
      </c>
      <c r="I6914" s="691">
        <v>77.400000000000006</v>
      </c>
      <c r="J6914" s="691">
        <v>77.099999999999994</v>
      </c>
      <c r="K6914" s="691">
        <v>77.8</v>
      </c>
    </row>
    <row r="6915" spans="1:11">
      <c r="A6915" s="688" t="s">
        <v>4065</v>
      </c>
      <c r="B6915" s="689">
        <v>77.7</v>
      </c>
      <c r="C6915" s="689">
        <v>78.099999999999994</v>
      </c>
      <c r="D6915" s="689">
        <v>77.900000000000006</v>
      </c>
      <c r="E6915" s="689">
        <v>78.2</v>
      </c>
      <c r="F6915" s="689">
        <v>78.3</v>
      </c>
      <c r="G6915" s="689">
        <v>78.3</v>
      </c>
      <c r="H6915" s="690" t="s">
        <v>4060</v>
      </c>
      <c r="I6915" s="690" t="s">
        <v>4060</v>
      </c>
      <c r="J6915" s="690" t="s">
        <v>4060</v>
      </c>
      <c r="K6915" s="690" t="s">
        <v>4060</v>
      </c>
    </row>
    <row r="6916" spans="1:11">
      <c r="A6916" s="688" t="s">
        <v>4066</v>
      </c>
      <c r="B6916" s="689">
        <v>77.8</v>
      </c>
      <c r="C6916" s="689">
        <v>78.099999999999994</v>
      </c>
      <c r="D6916" s="689">
        <v>77.900000000000006</v>
      </c>
      <c r="E6916" s="689">
        <v>78.3</v>
      </c>
      <c r="F6916" s="689">
        <v>78.3</v>
      </c>
      <c r="G6916" s="689">
        <v>78.400000000000006</v>
      </c>
      <c r="H6916" s="690" t="s">
        <v>4060</v>
      </c>
      <c r="I6916" s="690" t="s">
        <v>4060</v>
      </c>
      <c r="J6916" s="690" t="s">
        <v>4060</v>
      </c>
      <c r="K6916" s="690" t="s">
        <v>4060</v>
      </c>
    </row>
    <row r="6917" spans="1:11">
      <c r="A6917" s="688" t="s">
        <v>4067</v>
      </c>
      <c r="B6917" s="691">
        <v>77.7</v>
      </c>
      <c r="C6917" s="691">
        <v>78.099999999999994</v>
      </c>
      <c r="D6917" s="691">
        <v>77.900000000000006</v>
      </c>
      <c r="E6917" s="691">
        <v>78.2</v>
      </c>
      <c r="F6917" s="691">
        <v>78.3</v>
      </c>
      <c r="G6917" s="691">
        <v>78.400000000000006</v>
      </c>
      <c r="H6917" s="692" t="s">
        <v>4060</v>
      </c>
      <c r="I6917" s="692" t="s">
        <v>4060</v>
      </c>
      <c r="J6917" s="692" t="s">
        <v>4060</v>
      </c>
      <c r="K6917" s="692" t="s">
        <v>4060</v>
      </c>
    </row>
    <row r="6918" spans="1:11">
      <c r="A6918" s="688" t="s">
        <v>4068</v>
      </c>
      <c r="B6918" s="691">
        <v>78.8</v>
      </c>
      <c r="C6918" s="692" t="s">
        <v>4060</v>
      </c>
      <c r="D6918" s="692" t="s">
        <v>4060</v>
      </c>
      <c r="E6918" s="692" t="s">
        <v>4060</v>
      </c>
      <c r="F6918" s="692" t="s">
        <v>4060</v>
      </c>
      <c r="G6918" s="692" t="s">
        <v>4060</v>
      </c>
      <c r="H6918" s="692" t="s">
        <v>4060</v>
      </c>
      <c r="I6918" s="692" t="s">
        <v>4060</v>
      </c>
      <c r="J6918" s="692" t="s">
        <v>4060</v>
      </c>
      <c r="K6918" s="692" t="s">
        <v>4060</v>
      </c>
    </row>
    <row r="6919" spans="1:11">
      <c r="A6919" s="688" t="s">
        <v>4069</v>
      </c>
      <c r="B6919" s="690" t="s">
        <v>4060</v>
      </c>
      <c r="C6919" s="689">
        <v>78.900000000000006</v>
      </c>
      <c r="D6919" s="689">
        <v>78.7</v>
      </c>
      <c r="E6919" s="693">
        <v>79</v>
      </c>
      <c r="F6919" s="689">
        <v>79.099999999999994</v>
      </c>
      <c r="G6919" s="689">
        <v>79.3</v>
      </c>
      <c r="H6919" s="689">
        <v>79.5</v>
      </c>
      <c r="I6919" s="689">
        <v>78.8</v>
      </c>
      <c r="J6919" s="689">
        <v>78.8</v>
      </c>
      <c r="K6919" s="693">
        <v>79</v>
      </c>
    </row>
    <row r="6920" spans="1:11">
      <c r="A6920" s="688" t="s">
        <v>5</v>
      </c>
      <c r="B6920" s="615">
        <v>78</v>
      </c>
      <c r="C6920" s="691">
        <v>78.2</v>
      </c>
      <c r="D6920" s="691">
        <v>78.5</v>
      </c>
      <c r="E6920" s="691">
        <v>78.400000000000006</v>
      </c>
      <c r="F6920" s="691">
        <v>78.7</v>
      </c>
      <c r="G6920" s="691">
        <v>78.900000000000006</v>
      </c>
      <c r="H6920" s="691">
        <v>79.2</v>
      </c>
      <c r="I6920" s="615">
        <v>79</v>
      </c>
      <c r="J6920" s="691">
        <v>79.099999999999994</v>
      </c>
      <c r="K6920" s="691">
        <v>78.599999999999994</v>
      </c>
    </row>
    <row r="6921" spans="1:11">
      <c r="A6921" s="688" t="s">
        <v>6</v>
      </c>
      <c r="B6921" s="693">
        <v>79</v>
      </c>
      <c r="C6921" s="689">
        <v>79.2</v>
      </c>
      <c r="D6921" s="693">
        <v>79</v>
      </c>
      <c r="E6921" s="689">
        <v>79.3</v>
      </c>
      <c r="F6921" s="689">
        <v>79.400000000000006</v>
      </c>
      <c r="G6921" s="689">
        <v>79.5</v>
      </c>
      <c r="H6921" s="689">
        <v>79.7</v>
      </c>
      <c r="I6921" s="689">
        <v>79.099999999999994</v>
      </c>
      <c r="J6921" s="689">
        <v>79.2</v>
      </c>
      <c r="K6921" s="689">
        <v>79.3</v>
      </c>
    </row>
    <row r="6922" spans="1:11">
      <c r="A6922" s="688" t="s">
        <v>4058</v>
      </c>
      <c r="B6922" s="692" t="s">
        <v>4060</v>
      </c>
      <c r="C6922" s="692" t="s">
        <v>4060</v>
      </c>
      <c r="D6922" s="692" t="s">
        <v>4060</v>
      </c>
      <c r="E6922" s="692" t="s">
        <v>4060</v>
      </c>
      <c r="F6922" s="692" t="s">
        <v>4060</v>
      </c>
      <c r="G6922" s="692" t="s">
        <v>4060</v>
      </c>
      <c r="H6922" s="692" t="s">
        <v>4060</v>
      </c>
      <c r="I6922" s="692" t="s">
        <v>4060</v>
      </c>
      <c r="J6922" s="692" t="s">
        <v>4060</v>
      </c>
      <c r="K6922" s="692" t="s">
        <v>4060</v>
      </c>
    </row>
    <row r="6923" spans="1:11">
      <c r="A6923" s="688" t="s">
        <v>2496</v>
      </c>
      <c r="B6923" s="690" t="s">
        <v>4060</v>
      </c>
      <c r="C6923" s="689">
        <v>69.900000000000006</v>
      </c>
      <c r="D6923" s="689">
        <v>68.7</v>
      </c>
      <c r="E6923" s="689">
        <v>68.3</v>
      </c>
      <c r="F6923" s="689">
        <v>69.2</v>
      </c>
      <c r="G6923" s="689">
        <v>69.7</v>
      </c>
      <c r="H6923" s="689">
        <v>69.8</v>
      </c>
      <c r="I6923" s="690" t="s">
        <v>4060</v>
      </c>
      <c r="J6923" s="690" t="s">
        <v>4060</v>
      </c>
      <c r="K6923" s="689">
        <v>69.400000000000006</v>
      </c>
    </row>
    <row r="6924" spans="1:11">
      <c r="A6924" s="688" t="s">
        <v>7</v>
      </c>
      <c r="B6924" s="689">
        <v>78.7</v>
      </c>
      <c r="C6924" s="689">
        <v>78.2</v>
      </c>
      <c r="D6924" s="693">
        <v>78</v>
      </c>
      <c r="E6924" s="689">
        <v>78.3</v>
      </c>
      <c r="F6924" s="689">
        <v>78.3</v>
      </c>
      <c r="G6924" s="689">
        <v>78.7</v>
      </c>
      <c r="H6924" s="689">
        <v>78.7</v>
      </c>
      <c r="I6924" s="689">
        <v>78.400000000000006</v>
      </c>
      <c r="J6924" s="689">
        <v>77.3</v>
      </c>
      <c r="K6924" s="689">
        <v>78.2</v>
      </c>
    </row>
    <row r="6925" spans="1:11">
      <c r="A6925" s="688" t="s">
        <v>8</v>
      </c>
      <c r="B6925" s="691">
        <v>78.900000000000006</v>
      </c>
      <c r="C6925" s="691">
        <v>79.2</v>
      </c>
      <c r="D6925" s="691">
        <v>79.5</v>
      </c>
      <c r="E6925" s="691">
        <v>79.7</v>
      </c>
      <c r="F6925" s="691">
        <v>80.2</v>
      </c>
      <c r="G6925" s="691">
        <v>80.2</v>
      </c>
      <c r="H6925" s="691">
        <v>80.599999999999994</v>
      </c>
      <c r="I6925" s="691">
        <v>80.5</v>
      </c>
      <c r="J6925" s="691">
        <v>80.3</v>
      </c>
      <c r="K6925" s="691">
        <v>80.7</v>
      </c>
    </row>
    <row r="6926" spans="1:11">
      <c r="A6926" s="688" t="s">
        <v>9</v>
      </c>
      <c r="B6926" s="689">
        <v>80.5</v>
      </c>
      <c r="C6926" s="689">
        <v>81.099999999999994</v>
      </c>
      <c r="D6926" s="689">
        <v>81.099999999999994</v>
      </c>
      <c r="E6926" s="689">
        <v>80.3</v>
      </c>
      <c r="F6926" s="689">
        <v>80.8</v>
      </c>
      <c r="G6926" s="689">
        <v>81.099999999999994</v>
      </c>
      <c r="H6926" s="689">
        <v>81.5</v>
      </c>
      <c r="I6926" s="689">
        <v>81.400000000000006</v>
      </c>
      <c r="J6926" s="689">
        <v>81.599999999999994</v>
      </c>
      <c r="K6926" s="689">
        <v>80.900000000000006</v>
      </c>
    </row>
    <row r="6927" spans="1:11">
      <c r="A6927" s="688" t="s">
        <v>10</v>
      </c>
      <c r="B6927" s="691">
        <v>80.3</v>
      </c>
      <c r="C6927" s="691">
        <v>80.400000000000006</v>
      </c>
      <c r="D6927" s="691">
        <v>80.099999999999994</v>
      </c>
      <c r="E6927" s="691">
        <v>80.7</v>
      </c>
      <c r="F6927" s="691">
        <v>80.599999999999994</v>
      </c>
      <c r="G6927" s="691">
        <v>80.900000000000006</v>
      </c>
      <c r="H6927" s="691">
        <v>81.2</v>
      </c>
      <c r="I6927" s="691">
        <v>79.900000000000006</v>
      </c>
      <c r="J6927" s="691">
        <v>80.400000000000006</v>
      </c>
      <c r="K6927" s="691">
        <v>80.599999999999994</v>
      </c>
    </row>
    <row r="6928" spans="1:11">
      <c r="A6928" s="688" t="s">
        <v>4070</v>
      </c>
      <c r="B6928" s="692" t="s">
        <v>4060</v>
      </c>
      <c r="C6928" s="692" t="s">
        <v>4060</v>
      </c>
      <c r="D6928" s="692" t="s">
        <v>4060</v>
      </c>
      <c r="E6928" s="691">
        <v>75.900000000000006</v>
      </c>
      <c r="F6928" s="692" t="s">
        <v>4060</v>
      </c>
      <c r="G6928" s="692" t="s">
        <v>4060</v>
      </c>
      <c r="H6928" s="692" t="s">
        <v>4060</v>
      </c>
      <c r="I6928" s="692" t="s">
        <v>4060</v>
      </c>
      <c r="J6928" s="692" t="s">
        <v>4060</v>
      </c>
      <c r="K6928" s="692" t="s">
        <v>4060</v>
      </c>
    </row>
    <row r="6929" spans="1:11">
      <c r="A6929" s="688" t="s">
        <v>11</v>
      </c>
      <c r="B6929" s="689">
        <v>74.5</v>
      </c>
      <c r="C6929" s="689">
        <v>74.599999999999994</v>
      </c>
      <c r="D6929" s="689">
        <v>74.3</v>
      </c>
      <c r="E6929" s="689">
        <v>74.8</v>
      </c>
      <c r="F6929" s="689">
        <v>74.8</v>
      </c>
      <c r="G6929" s="689">
        <v>74.7</v>
      </c>
      <c r="H6929" s="689">
        <v>75.2</v>
      </c>
      <c r="I6929" s="689">
        <v>74.5</v>
      </c>
      <c r="J6929" s="689">
        <v>73.5</v>
      </c>
      <c r="K6929" s="689">
        <v>74.599999999999994</v>
      </c>
    </row>
    <row r="6930" spans="1:11">
      <c r="A6930" s="688" t="s">
        <v>12</v>
      </c>
      <c r="B6930" s="691">
        <v>69.3</v>
      </c>
      <c r="C6930" s="691">
        <v>69.099999999999994</v>
      </c>
      <c r="D6930" s="691">
        <v>69.7</v>
      </c>
      <c r="E6930" s="691">
        <v>69.8</v>
      </c>
      <c r="F6930" s="691">
        <v>69.8</v>
      </c>
      <c r="G6930" s="615">
        <v>70</v>
      </c>
      <c r="H6930" s="691">
        <v>70.900000000000006</v>
      </c>
      <c r="I6930" s="691">
        <v>70.599999999999994</v>
      </c>
      <c r="J6930" s="691">
        <v>68.3</v>
      </c>
      <c r="K6930" s="691">
        <v>69.5</v>
      </c>
    </row>
    <row r="6931" spans="1:11">
      <c r="A6931" s="688" t="s">
        <v>13</v>
      </c>
      <c r="B6931" s="691">
        <v>80.7</v>
      </c>
      <c r="C6931" s="615">
        <v>81</v>
      </c>
      <c r="D6931" s="691">
        <v>80.7</v>
      </c>
      <c r="E6931" s="691">
        <v>80.599999999999994</v>
      </c>
      <c r="F6931" s="615">
        <v>81</v>
      </c>
      <c r="G6931" s="691">
        <v>80.400000000000006</v>
      </c>
      <c r="H6931" s="691">
        <v>82.4</v>
      </c>
      <c r="I6931" s="615">
        <v>80</v>
      </c>
      <c r="J6931" s="691">
        <v>81.2</v>
      </c>
      <c r="K6931" s="615">
        <v>82</v>
      </c>
    </row>
    <row r="6932" spans="1:11">
      <c r="A6932" s="688" t="s">
        <v>14</v>
      </c>
      <c r="B6932" s="689">
        <v>68.5</v>
      </c>
      <c r="C6932" s="689">
        <v>69.099999999999994</v>
      </c>
      <c r="D6932" s="689">
        <v>69.099999999999994</v>
      </c>
      <c r="E6932" s="689">
        <v>69.5</v>
      </c>
      <c r="F6932" s="689">
        <v>70.7</v>
      </c>
      <c r="G6932" s="689">
        <v>70.900000000000006</v>
      </c>
      <c r="H6932" s="689">
        <v>71.400000000000006</v>
      </c>
      <c r="I6932" s="689">
        <v>70.2</v>
      </c>
      <c r="J6932" s="689">
        <v>69.599999999999994</v>
      </c>
      <c r="K6932" s="689">
        <v>71.400000000000006</v>
      </c>
    </row>
    <row r="6933" spans="1:11">
      <c r="A6933" s="688" t="s">
        <v>15</v>
      </c>
      <c r="B6933" s="691">
        <v>79.8</v>
      </c>
      <c r="C6933" s="691">
        <v>79.099999999999994</v>
      </c>
      <c r="D6933" s="691">
        <v>79.7</v>
      </c>
      <c r="E6933" s="691">
        <v>79.8</v>
      </c>
      <c r="F6933" s="691">
        <v>79.599999999999994</v>
      </c>
      <c r="G6933" s="691">
        <v>79.8</v>
      </c>
      <c r="H6933" s="615">
        <v>80</v>
      </c>
      <c r="I6933" s="691">
        <v>79.8</v>
      </c>
      <c r="J6933" s="691">
        <v>80.400000000000006</v>
      </c>
      <c r="K6933" s="691">
        <v>80.599999999999994</v>
      </c>
    </row>
    <row r="6934" spans="1:11">
      <c r="A6934" s="688" t="s">
        <v>16</v>
      </c>
      <c r="B6934" s="691">
        <v>79.5</v>
      </c>
      <c r="C6934" s="691">
        <v>79.5</v>
      </c>
      <c r="D6934" s="691">
        <v>79.599999999999994</v>
      </c>
      <c r="E6934" s="691">
        <v>80.2</v>
      </c>
      <c r="F6934" s="691">
        <v>79.900000000000006</v>
      </c>
      <c r="G6934" s="615">
        <v>80</v>
      </c>
      <c r="H6934" s="691">
        <v>80.7</v>
      </c>
      <c r="I6934" s="691">
        <v>79.8</v>
      </c>
      <c r="J6934" s="691">
        <v>80.3</v>
      </c>
      <c r="K6934" s="691">
        <v>80.099999999999994</v>
      </c>
    </row>
    <row r="6935" spans="1:11">
      <c r="A6935" s="688" t="s">
        <v>2322</v>
      </c>
      <c r="B6935" s="690" t="s">
        <v>4060</v>
      </c>
      <c r="C6935" s="690" t="s">
        <v>4060</v>
      </c>
      <c r="D6935" s="690" t="s">
        <v>4060</v>
      </c>
      <c r="E6935" s="690" t="s">
        <v>4060</v>
      </c>
      <c r="F6935" s="690" t="s">
        <v>4060</v>
      </c>
      <c r="G6935" s="690" t="s">
        <v>4060</v>
      </c>
      <c r="H6935" s="690" t="s">
        <v>4060</v>
      </c>
      <c r="I6935" s="690" t="s">
        <v>4060</v>
      </c>
      <c r="J6935" s="690" t="s">
        <v>4060</v>
      </c>
      <c r="K6935" s="690" t="s">
        <v>4060</v>
      </c>
    </row>
    <row r="6936" spans="1:11">
      <c r="A6936" s="688" t="s">
        <v>2324</v>
      </c>
      <c r="B6936" s="691">
        <v>74.099999999999994</v>
      </c>
      <c r="C6936" s="691">
        <v>74.099999999999994</v>
      </c>
      <c r="D6936" s="691">
        <v>74.400000000000006</v>
      </c>
      <c r="E6936" s="691">
        <v>74.099999999999994</v>
      </c>
      <c r="F6936" s="691">
        <v>73.900000000000006</v>
      </c>
      <c r="G6936" s="691">
        <v>74.5</v>
      </c>
      <c r="H6936" s="615">
        <v>74</v>
      </c>
      <c r="I6936" s="691">
        <v>73.2</v>
      </c>
      <c r="J6936" s="691">
        <v>70.8</v>
      </c>
      <c r="K6936" s="692" t="s">
        <v>4060</v>
      </c>
    </row>
    <row r="6937" spans="1:11">
      <c r="A6937" s="688" t="s">
        <v>17</v>
      </c>
      <c r="B6937" s="689">
        <v>79.5</v>
      </c>
      <c r="C6937" s="689">
        <v>79.900000000000006</v>
      </c>
      <c r="D6937" s="689">
        <v>79.7</v>
      </c>
      <c r="E6937" s="689">
        <v>79.900000000000006</v>
      </c>
      <c r="F6937" s="689">
        <v>80.099999999999994</v>
      </c>
      <c r="G6937" s="689">
        <v>80.2</v>
      </c>
      <c r="H6937" s="689">
        <v>80.5</v>
      </c>
      <c r="I6937" s="689">
        <v>79.7</v>
      </c>
      <c r="J6937" s="689">
        <v>79.7</v>
      </c>
      <c r="K6937" s="689">
        <v>80.099999999999994</v>
      </c>
    </row>
    <row r="6938" spans="1:11">
      <c r="A6938" s="688" t="s">
        <v>2328</v>
      </c>
      <c r="B6938" s="691">
        <v>73.400000000000006</v>
      </c>
      <c r="C6938" s="691">
        <v>73.5</v>
      </c>
      <c r="D6938" s="691">
        <v>73.5</v>
      </c>
      <c r="E6938" s="691">
        <v>73.400000000000006</v>
      </c>
      <c r="F6938" s="691">
        <v>74.099999999999994</v>
      </c>
      <c r="G6938" s="691">
        <v>74.599999999999994</v>
      </c>
      <c r="H6938" s="691">
        <v>74.7</v>
      </c>
      <c r="I6938" s="691">
        <v>72.2</v>
      </c>
      <c r="J6938" s="691">
        <v>71.099999999999994</v>
      </c>
      <c r="K6938" s="692" t="s">
        <v>4060</v>
      </c>
    </row>
    <row r="6939" spans="1:11">
      <c r="A6939" s="688" t="s">
        <v>18</v>
      </c>
      <c r="B6939" s="689">
        <v>79.8</v>
      </c>
      <c r="C6939" s="693">
        <v>80</v>
      </c>
      <c r="D6939" s="689">
        <v>80.400000000000006</v>
      </c>
      <c r="E6939" s="689">
        <v>80.599999999999994</v>
      </c>
      <c r="F6939" s="689">
        <v>80.900000000000006</v>
      </c>
      <c r="G6939" s="693">
        <v>81</v>
      </c>
      <c r="H6939" s="689">
        <v>81.2</v>
      </c>
      <c r="I6939" s="689">
        <v>81.5</v>
      </c>
      <c r="J6939" s="689">
        <v>81.599999999999994</v>
      </c>
      <c r="K6939" s="689">
        <v>80.900000000000006</v>
      </c>
    </row>
    <row r="6940" spans="1:11">
      <c r="A6940" s="688" t="s">
        <v>19</v>
      </c>
      <c r="B6940" s="691">
        <v>78.599999999999994</v>
      </c>
      <c r="C6940" s="691">
        <v>78.900000000000006</v>
      </c>
      <c r="D6940" s="691">
        <v>78.599999999999994</v>
      </c>
      <c r="E6940" s="691">
        <v>79.099999999999994</v>
      </c>
      <c r="F6940" s="691">
        <v>79.3</v>
      </c>
      <c r="G6940" s="691">
        <v>79.3</v>
      </c>
      <c r="H6940" s="691">
        <v>79.5</v>
      </c>
      <c r="I6940" s="691">
        <v>78.900000000000006</v>
      </c>
      <c r="J6940" s="691">
        <v>78.8</v>
      </c>
      <c r="K6940" s="615">
        <v>79</v>
      </c>
    </row>
    <row r="6941" spans="1:11">
      <c r="A6941" s="688" t="s">
        <v>20</v>
      </c>
      <c r="B6941" s="693">
        <v>73</v>
      </c>
      <c r="C6941" s="689">
        <v>73.599999999999994</v>
      </c>
      <c r="D6941" s="689">
        <v>73.400000000000006</v>
      </c>
      <c r="E6941" s="689">
        <v>73.8</v>
      </c>
      <c r="F6941" s="689">
        <v>73.8</v>
      </c>
      <c r="G6941" s="689">
        <v>73.7</v>
      </c>
      <c r="H6941" s="693">
        <v>74</v>
      </c>
      <c r="I6941" s="689">
        <v>72.400000000000006</v>
      </c>
      <c r="J6941" s="689">
        <v>71.5</v>
      </c>
      <c r="K6941" s="689">
        <v>73.2</v>
      </c>
    </row>
    <row r="6942" spans="1:11">
      <c r="A6942" s="688" t="s">
        <v>21</v>
      </c>
      <c r="B6942" s="691">
        <v>77.599999999999994</v>
      </c>
      <c r="C6942" s="691">
        <v>78.099999999999994</v>
      </c>
      <c r="D6942" s="691">
        <v>78.2</v>
      </c>
      <c r="E6942" s="691">
        <v>78.2</v>
      </c>
      <c r="F6942" s="691">
        <v>78.5</v>
      </c>
      <c r="G6942" s="691">
        <v>78.5</v>
      </c>
      <c r="H6942" s="615">
        <v>79</v>
      </c>
      <c r="I6942" s="691">
        <v>78.400000000000006</v>
      </c>
      <c r="J6942" s="691">
        <v>78.400000000000006</v>
      </c>
      <c r="K6942" s="691">
        <v>78.8</v>
      </c>
    </row>
    <row r="6943" spans="1:11">
      <c r="A6943" s="688" t="s">
        <v>22</v>
      </c>
      <c r="B6943" s="689">
        <v>71.599999999999994</v>
      </c>
      <c r="C6943" s="689">
        <v>71.3</v>
      </c>
      <c r="D6943" s="689">
        <v>71.3</v>
      </c>
      <c r="E6943" s="689">
        <v>71.599999999999994</v>
      </c>
      <c r="F6943" s="689">
        <v>71.599999999999994</v>
      </c>
      <c r="G6943" s="689">
        <v>71.599999999999994</v>
      </c>
      <c r="H6943" s="689">
        <v>71.900000000000006</v>
      </c>
      <c r="I6943" s="689">
        <v>70.3</v>
      </c>
      <c r="J6943" s="689">
        <v>69.2</v>
      </c>
      <c r="K6943" s="689">
        <v>71.3</v>
      </c>
    </row>
    <row r="6944" spans="1:11">
      <c r="A6944" s="688" t="s">
        <v>2343</v>
      </c>
      <c r="B6944" s="692" t="s">
        <v>4060</v>
      </c>
      <c r="C6944" s="692" t="s">
        <v>4060</v>
      </c>
      <c r="D6944" s="692" t="s">
        <v>4060</v>
      </c>
      <c r="E6944" s="692" t="s">
        <v>4060</v>
      </c>
      <c r="F6944" s="692" t="s">
        <v>4060</v>
      </c>
      <c r="G6944" s="692" t="s">
        <v>4060</v>
      </c>
      <c r="H6944" s="692" t="s">
        <v>4060</v>
      </c>
      <c r="I6944" s="692" t="s">
        <v>4060</v>
      </c>
      <c r="J6944" s="692" t="s">
        <v>4060</v>
      </c>
      <c r="K6944" s="692" t="s">
        <v>4060</v>
      </c>
    </row>
    <row r="6945" spans="1:11">
      <c r="A6945" s="688" t="s">
        <v>4071</v>
      </c>
      <c r="B6945" s="690" t="s">
        <v>4060</v>
      </c>
      <c r="C6945" s="690" t="s">
        <v>4060</v>
      </c>
      <c r="D6945" s="690" t="s">
        <v>4060</v>
      </c>
      <c r="E6945" s="690" t="s">
        <v>4060</v>
      </c>
      <c r="F6945" s="690" t="s">
        <v>4060</v>
      </c>
      <c r="G6945" s="690" t="s">
        <v>4060</v>
      </c>
      <c r="H6945" s="690" t="s">
        <v>4060</v>
      </c>
      <c r="I6945" s="690" t="s">
        <v>4060</v>
      </c>
      <c r="J6945" s="690" t="s">
        <v>4060</v>
      </c>
      <c r="K6945" s="690" t="s">
        <v>4060</v>
      </c>
    </row>
    <row r="6946" spans="1:11">
      <c r="A6946" s="688" t="s">
        <v>23</v>
      </c>
      <c r="B6946" s="689">
        <v>80.2</v>
      </c>
      <c r="C6946" s="689">
        <v>80.3</v>
      </c>
      <c r="D6946" s="689">
        <v>80.3</v>
      </c>
      <c r="E6946" s="689">
        <v>80.599999999999994</v>
      </c>
      <c r="F6946" s="689">
        <v>80.7</v>
      </c>
      <c r="G6946" s="689">
        <v>80.8</v>
      </c>
      <c r="H6946" s="689">
        <v>81.3</v>
      </c>
      <c r="I6946" s="689">
        <v>80.599999999999994</v>
      </c>
      <c r="J6946" s="689">
        <v>81.2</v>
      </c>
      <c r="K6946" s="689">
        <v>81.3</v>
      </c>
    </row>
    <row r="6947" spans="1:11">
      <c r="A6947" s="688" t="s">
        <v>24</v>
      </c>
      <c r="B6947" s="691">
        <v>80.7</v>
      </c>
      <c r="C6947" s="691">
        <v>80.900000000000006</v>
      </c>
      <c r="D6947" s="691">
        <v>80.7</v>
      </c>
      <c r="E6947" s="691">
        <v>81.5</v>
      </c>
      <c r="F6947" s="691">
        <v>81.400000000000006</v>
      </c>
      <c r="G6947" s="691">
        <v>81.599999999999994</v>
      </c>
      <c r="H6947" s="691">
        <v>81.900000000000006</v>
      </c>
      <c r="I6947" s="615">
        <v>81</v>
      </c>
      <c r="J6947" s="691">
        <v>81.599999999999994</v>
      </c>
      <c r="K6947" s="691">
        <v>81.599999999999994</v>
      </c>
    </row>
    <row r="6948" spans="1:11">
      <c r="A6948" s="688" t="s">
        <v>2349</v>
      </c>
      <c r="B6948" s="689">
        <v>72.599999999999994</v>
      </c>
      <c r="C6948" s="689">
        <v>72.8</v>
      </c>
      <c r="D6948" s="689">
        <v>72.8</v>
      </c>
      <c r="E6948" s="689">
        <v>73.2</v>
      </c>
      <c r="F6948" s="689">
        <v>73.099999999999994</v>
      </c>
      <c r="G6948" s="689">
        <v>73.5</v>
      </c>
      <c r="H6948" s="689">
        <v>73.400000000000006</v>
      </c>
      <c r="I6948" s="689">
        <v>71.599999999999994</v>
      </c>
      <c r="J6948" s="693">
        <v>70</v>
      </c>
      <c r="K6948" s="689">
        <v>72.7</v>
      </c>
    </row>
    <row r="6949" spans="1:11">
      <c r="A6949" s="688" t="s">
        <v>25</v>
      </c>
      <c r="B6949" s="689">
        <v>72.900000000000006</v>
      </c>
      <c r="C6949" s="689">
        <v>73.3</v>
      </c>
      <c r="D6949" s="689">
        <v>73.099999999999994</v>
      </c>
      <c r="E6949" s="689">
        <v>73.8</v>
      </c>
      <c r="F6949" s="689">
        <v>73.8</v>
      </c>
      <c r="G6949" s="689">
        <v>73.900000000000006</v>
      </c>
      <c r="H6949" s="689">
        <v>74.3</v>
      </c>
      <c r="I6949" s="689">
        <v>73.599999999999994</v>
      </c>
      <c r="J6949" s="689">
        <v>71.2</v>
      </c>
      <c r="K6949" s="689">
        <v>73.599999999999994</v>
      </c>
    </row>
    <row r="6950" spans="1:11">
      <c r="A6950" s="688" t="s">
        <v>26</v>
      </c>
      <c r="B6950" s="691">
        <v>77.2</v>
      </c>
      <c r="C6950" s="615">
        <v>78</v>
      </c>
      <c r="D6950" s="691">
        <v>77.599999999999994</v>
      </c>
      <c r="E6950" s="615">
        <v>78</v>
      </c>
      <c r="F6950" s="691">
        <v>78.099999999999994</v>
      </c>
      <c r="G6950" s="691">
        <v>78.3</v>
      </c>
      <c r="H6950" s="691">
        <v>78.5</v>
      </c>
      <c r="I6950" s="691">
        <v>77.8</v>
      </c>
      <c r="J6950" s="691">
        <v>77.599999999999994</v>
      </c>
      <c r="K6950" s="691">
        <v>78.400000000000006</v>
      </c>
    </row>
    <row r="6951" spans="1:11">
      <c r="A6951" s="688" t="s">
        <v>27</v>
      </c>
      <c r="B6951" s="691">
        <v>80.2</v>
      </c>
      <c r="C6951" s="691">
        <v>80.099999999999994</v>
      </c>
      <c r="D6951" s="691">
        <v>79.900000000000006</v>
      </c>
      <c r="E6951" s="691">
        <v>80.2</v>
      </c>
      <c r="F6951" s="691">
        <v>80.3</v>
      </c>
      <c r="G6951" s="691">
        <v>80.400000000000006</v>
      </c>
      <c r="H6951" s="691">
        <v>80.8</v>
      </c>
      <c r="I6951" s="691">
        <v>79.5</v>
      </c>
      <c r="J6951" s="691">
        <v>80.2</v>
      </c>
      <c r="K6951" s="691">
        <v>80.3</v>
      </c>
    </row>
    <row r="6952" spans="1:11">
      <c r="A6952" s="688" t="s">
        <v>2240</v>
      </c>
      <c r="B6952" s="689">
        <v>75.2</v>
      </c>
      <c r="C6952" s="689">
        <v>75.7</v>
      </c>
      <c r="D6952" s="689">
        <v>75.599999999999994</v>
      </c>
      <c r="E6952" s="693">
        <v>76</v>
      </c>
      <c r="F6952" s="693">
        <v>76</v>
      </c>
      <c r="G6952" s="689">
        <v>76.099999999999994</v>
      </c>
      <c r="H6952" s="689">
        <v>76.3</v>
      </c>
      <c r="I6952" s="689">
        <v>75.3</v>
      </c>
      <c r="J6952" s="689">
        <v>74.099999999999994</v>
      </c>
      <c r="K6952" s="689">
        <v>76.099999999999994</v>
      </c>
    </row>
    <row r="6953" spans="1:11">
      <c r="A6953" s="688" t="s">
        <v>2355</v>
      </c>
      <c r="B6953" s="691">
        <v>75.400000000000006</v>
      </c>
      <c r="C6953" s="691">
        <v>75.400000000000006</v>
      </c>
      <c r="D6953" s="691">
        <v>75.400000000000006</v>
      </c>
      <c r="E6953" s="691">
        <v>75.400000000000006</v>
      </c>
      <c r="F6953" s="691">
        <v>75.7</v>
      </c>
      <c r="G6953" s="691">
        <v>76.2</v>
      </c>
      <c r="H6953" s="691">
        <v>76.400000000000006</v>
      </c>
      <c r="I6953" s="692" t="s">
        <v>4060</v>
      </c>
      <c r="J6953" s="692" t="s">
        <v>4060</v>
      </c>
      <c r="K6953" s="691">
        <v>74.3</v>
      </c>
    </row>
    <row r="6954" spans="1:11">
      <c r="A6954" s="688" t="s">
        <v>2357</v>
      </c>
      <c r="B6954" s="690" t="s">
        <v>4060</v>
      </c>
      <c r="C6954" s="689">
        <v>66.599999999999994</v>
      </c>
      <c r="D6954" s="689">
        <v>67.5</v>
      </c>
      <c r="E6954" s="693">
        <v>68</v>
      </c>
      <c r="F6954" s="689">
        <v>68.3</v>
      </c>
      <c r="G6954" s="689">
        <v>68.099999999999994</v>
      </c>
      <c r="H6954" s="689">
        <v>68.400000000000006</v>
      </c>
      <c r="I6954" s="690" t="s">
        <v>4060</v>
      </c>
      <c r="J6954" s="690" t="s">
        <v>4060</v>
      </c>
      <c r="K6954" s="690" t="s">
        <v>4060</v>
      </c>
    </row>
    <row r="6955" spans="1:11">
      <c r="A6955" s="688" t="s">
        <v>29</v>
      </c>
      <c r="B6955" s="689">
        <v>72.2</v>
      </c>
      <c r="C6955" s="689">
        <v>72.2</v>
      </c>
      <c r="D6955" s="689">
        <v>72.2</v>
      </c>
      <c r="E6955" s="689">
        <v>72.5</v>
      </c>
      <c r="F6955" s="689">
        <v>72.400000000000006</v>
      </c>
      <c r="G6955" s="689">
        <v>72.599999999999994</v>
      </c>
      <c r="H6955" s="689">
        <v>72.900000000000006</v>
      </c>
      <c r="I6955" s="689">
        <v>72.2</v>
      </c>
      <c r="J6955" s="689">
        <v>70.7</v>
      </c>
      <c r="K6955" s="689">
        <v>72.599999999999994</v>
      </c>
    </row>
    <row r="6956" spans="1:11">
      <c r="A6956" s="688" t="s">
        <v>4059</v>
      </c>
      <c r="B6956" s="689">
        <v>79.2</v>
      </c>
      <c r="C6956" s="689">
        <v>79.5</v>
      </c>
      <c r="D6956" s="689">
        <v>79.2</v>
      </c>
      <c r="E6956" s="689">
        <v>79.400000000000006</v>
      </c>
      <c r="F6956" s="689">
        <v>79.5</v>
      </c>
      <c r="G6956" s="689">
        <v>79.5</v>
      </c>
      <c r="H6956" s="690" t="s">
        <v>4060</v>
      </c>
      <c r="I6956" s="690" t="s">
        <v>4060</v>
      </c>
      <c r="J6956" s="690" t="s">
        <v>4060</v>
      </c>
      <c r="K6956" s="690" t="s">
        <v>4060</v>
      </c>
    </row>
    <row r="6957" spans="1:11">
      <c r="A6957" s="688" t="s">
        <v>30</v>
      </c>
      <c r="B6957" s="689">
        <v>80.099999999999994</v>
      </c>
      <c r="C6957" s="689">
        <v>80.400000000000006</v>
      </c>
      <c r="D6957" s="693">
        <v>80</v>
      </c>
      <c r="E6957" s="689">
        <v>80.7</v>
      </c>
      <c r="F6957" s="689">
        <v>80.5</v>
      </c>
      <c r="G6957" s="689">
        <v>81.099999999999994</v>
      </c>
      <c r="H6957" s="689">
        <v>80.599999999999994</v>
      </c>
      <c r="I6957" s="689">
        <v>80.8</v>
      </c>
      <c r="J6957" s="689">
        <v>79.8</v>
      </c>
      <c r="K6957" s="689">
        <v>80.400000000000006</v>
      </c>
    </row>
    <row r="6959" spans="1:11">
      <c r="A6959" s="683" t="s">
        <v>4233</v>
      </c>
    </row>
    <row r="6960" spans="1:11">
      <c r="A6960" s="683" t="s">
        <v>4060</v>
      </c>
      <c r="B6960" s="682" t="s">
        <v>4234</v>
      </c>
    </row>
    <row r="6962" spans="1:11">
      <c r="A6962" s="682" t="s">
        <v>4331</v>
      </c>
    </row>
    <row r="6963" spans="1:11">
      <c r="A6963" s="682" t="s">
        <v>4210</v>
      </c>
      <c r="B6963" s="683" t="s">
        <v>4211</v>
      </c>
    </row>
    <row r="6964" spans="1:11">
      <c r="A6964" s="682" t="s">
        <v>4212</v>
      </c>
      <c r="B6964" s="682" t="s">
        <v>4213</v>
      </c>
    </row>
    <row r="6966" spans="1:11">
      <c r="A6966" s="683" t="s">
        <v>4214</v>
      </c>
      <c r="C6966" s="682" t="s">
        <v>4215</v>
      </c>
    </row>
    <row r="6967" spans="1:11">
      <c r="A6967" s="683" t="s">
        <v>4216</v>
      </c>
      <c r="C6967" s="682" t="s">
        <v>2967</v>
      </c>
    </row>
    <row r="6968" spans="1:11">
      <c r="A6968" s="683" t="s">
        <v>3893</v>
      </c>
      <c r="C6968" s="682" t="s">
        <v>2168</v>
      </c>
    </row>
    <row r="6969" spans="1:11">
      <c r="A6969" s="683" t="s">
        <v>4218</v>
      </c>
      <c r="C6969" s="682" t="s">
        <v>4235</v>
      </c>
    </row>
    <row r="6971" spans="1:11">
      <c r="A6971" s="684" t="s">
        <v>4220</v>
      </c>
      <c r="B6971" s="685" t="s">
        <v>4221</v>
      </c>
      <c r="C6971" s="685" t="s">
        <v>4222</v>
      </c>
      <c r="D6971" s="685" t="s">
        <v>4223</v>
      </c>
      <c r="E6971" s="685" t="s">
        <v>4224</v>
      </c>
      <c r="F6971" s="685" t="s">
        <v>4225</v>
      </c>
      <c r="G6971" s="685" t="s">
        <v>4226</v>
      </c>
      <c r="H6971" s="685" t="s">
        <v>4227</v>
      </c>
      <c r="I6971" s="685" t="s">
        <v>4228</v>
      </c>
      <c r="J6971" s="685" t="s">
        <v>4229</v>
      </c>
      <c r="K6971" s="685" t="s">
        <v>4230</v>
      </c>
    </row>
    <row r="6972" spans="1:11">
      <c r="A6972" s="686" t="s">
        <v>4231</v>
      </c>
      <c r="B6972" s="687" t="s">
        <v>4232</v>
      </c>
      <c r="C6972" s="687" t="s">
        <v>4232</v>
      </c>
      <c r="D6972" s="687" t="s">
        <v>4232</v>
      </c>
      <c r="E6972" s="687" t="s">
        <v>4232</v>
      </c>
      <c r="F6972" s="687" t="s">
        <v>4232</v>
      </c>
      <c r="G6972" s="687" t="s">
        <v>4232</v>
      </c>
      <c r="H6972" s="687" t="s">
        <v>4232</v>
      </c>
      <c r="I6972" s="687" t="s">
        <v>4232</v>
      </c>
      <c r="J6972" s="687" t="s">
        <v>4232</v>
      </c>
      <c r="K6972" s="687" t="s">
        <v>4232</v>
      </c>
    </row>
    <row r="6973" spans="1:11">
      <c r="A6973" s="688" t="s">
        <v>4064</v>
      </c>
      <c r="B6973" s="689">
        <v>76.8</v>
      </c>
      <c r="C6973" s="693">
        <v>77</v>
      </c>
      <c r="D6973" s="693">
        <v>77</v>
      </c>
      <c r="E6973" s="689">
        <v>77.2</v>
      </c>
      <c r="F6973" s="689">
        <v>77.2</v>
      </c>
      <c r="G6973" s="689">
        <v>77.3</v>
      </c>
      <c r="H6973" s="689">
        <v>77.599999999999994</v>
      </c>
      <c r="I6973" s="689">
        <v>76.7</v>
      </c>
      <c r="J6973" s="689">
        <v>76.400000000000006</v>
      </c>
      <c r="K6973" s="689">
        <v>77.099999999999994</v>
      </c>
    </row>
    <row r="6974" spans="1:11">
      <c r="A6974" s="688" t="s">
        <v>4065</v>
      </c>
      <c r="B6974" s="615">
        <v>77</v>
      </c>
      <c r="C6974" s="691">
        <v>77.400000000000006</v>
      </c>
      <c r="D6974" s="691">
        <v>77.2</v>
      </c>
      <c r="E6974" s="691">
        <v>77.5</v>
      </c>
      <c r="F6974" s="691">
        <v>77.599999999999994</v>
      </c>
      <c r="G6974" s="691">
        <v>77.599999999999994</v>
      </c>
      <c r="H6974" s="692" t="s">
        <v>4060</v>
      </c>
      <c r="I6974" s="692" t="s">
        <v>4060</v>
      </c>
      <c r="J6974" s="692" t="s">
        <v>4060</v>
      </c>
      <c r="K6974" s="692" t="s">
        <v>4060</v>
      </c>
    </row>
    <row r="6975" spans="1:11">
      <c r="A6975" s="688" t="s">
        <v>4063</v>
      </c>
      <c r="B6975" s="693">
        <v>77</v>
      </c>
      <c r="C6975" s="689">
        <v>77.400000000000006</v>
      </c>
      <c r="D6975" s="689">
        <v>77.2</v>
      </c>
      <c r="E6975" s="689">
        <v>77.5</v>
      </c>
      <c r="F6975" s="689">
        <v>77.599999999999994</v>
      </c>
      <c r="G6975" s="689">
        <v>77.7</v>
      </c>
      <c r="H6975" s="690" t="s">
        <v>4060</v>
      </c>
      <c r="I6975" s="690" t="s">
        <v>4060</v>
      </c>
      <c r="J6975" s="690" t="s">
        <v>4060</v>
      </c>
      <c r="K6975" s="690" t="s">
        <v>4060</v>
      </c>
    </row>
    <row r="6976" spans="1:11">
      <c r="A6976" s="688" t="s">
        <v>4069</v>
      </c>
      <c r="B6976" s="692" t="s">
        <v>4060</v>
      </c>
      <c r="C6976" s="691">
        <v>78.2</v>
      </c>
      <c r="D6976" s="615">
        <v>78</v>
      </c>
      <c r="E6976" s="691">
        <v>78.3</v>
      </c>
      <c r="F6976" s="691">
        <v>78.400000000000006</v>
      </c>
      <c r="G6976" s="691">
        <v>78.5</v>
      </c>
      <c r="H6976" s="691">
        <v>78.8</v>
      </c>
      <c r="I6976" s="691">
        <v>78.099999999999994</v>
      </c>
      <c r="J6976" s="691">
        <v>78.099999999999994</v>
      </c>
      <c r="K6976" s="691">
        <v>78.3</v>
      </c>
    </row>
    <row r="6977" spans="1:11">
      <c r="A6977" s="688" t="s">
        <v>4068</v>
      </c>
      <c r="B6977" s="689">
        <v>78.099999999999994</v>
      </c>
      <c r="C6977" s="690" t="s">
        <v>4060</v>
      </c>
      <c r="D6977" s="690" t="s">
        <v>4060</v>
      </c>
      <c r="E6977" s="690" t="s">
        <v>4060</v>
      </c>
      <c r="F6977" s="690" t="s">
        <v>4060</v>
      </c>
      <c r="G6977" s="690" t="s">
        <v>4060</v>
      </c>
      <c r="H6977" s="690" t="s">
        <v>4060</v>
      </c>
      <c r="I6977" s="690" t="s">
        <v>4060</v>
      </c>
      <c r="J6977" s="690" t="s">
        <v>4060</v>
      </c>
      <c r="K6977" s="690" t="s">
        <v>4060</v>
      </c>
    </row>
    <row r="6978" spans="1:11">
      <c r="A6978" s="688" t="s">
        <v>0</v>
      </c>
      <c r="B6978" s="691">
        <v>77.400000000000006</v>
      </c>
      <c r="C6978" s="691">
        <v>77.900000000000006</v>
      </c>
      <c r="D6978" s="691">
        <v>77.8</v>
      </c>
      <c r="E6978" s="691">
        <v>78.099999999999994</v>
      </c>
      <c r="F6978" s="691">
        <v>78.3</v>
      </c>
      <c r="G6978" s="691">
        <v>78.5</v>
      </c>
      <c r="H6978" s="691">
        <v>78.900000000000006</v>
      </c>
      <c r="I6978" s="691">
        <v>77.8</v>
      </c>
      <c r="J6978" s="691">
        <v>78.5</v>
      </c>
      <c r="K6978" s="691">
        <v>78.8</v>
      </c>
    </row>
    <row r="6979" spans="1:11">
      <c r="A6979" s="688" t="s">
        <v>1</v>
      </c>
      <c r="B6979" s="689">
        <v>70.900000000000006</v>
      </c>
      <c r="C6979" s="689">
        <v>70.599999999999994</v>
      </c>
      <c r="D6979" s="689">
        <v>70.599999999999994</v>
      </c>
      <c r="E6979" s="689">
        <v>70.7</v>
      </c>
      <c r="F6979" s="689">
        <v>70.599999999999994</v>
      </c>
      <c r="G6979" s="689">
        <v>70.7</v>
      </c>
      <c r="H6979" s="689">
        <v>70.7</v>
      </c>
      <c r="I6979" s="693">
        <v>69</v>
      </c>
      <c r="J6979" s="689">
        <v>67.099999999999994</v>
      </c>
      <c r="K6979" s="689">
        <v>69.900000000000006</v>
      </c>
    </row>
    <row r="6980" spans="1:11">
      <c r="A6980" s="688" t="s">
        <v>2240</v>
      </c>
      <c r="B6980" s="691">
        <v>74.400000000000006</v>
      </c>
      <c r="C6980" s="691">
        <v>74.900000000000006</v>
      </c>
      <c r="D6980" s="691">
        <v>74.900000000000006</v>
      </c>
      <c r="E6980" s="691">
        <v>75.3</v>
      </c>
      <c r="F6980" s="691">
        <v>75.2</v>
      </c>
      <c r="G6980" s="691">
        <v>75.3</v>
      </c>
      <c r="H6980" s="691">
        <v>75.599999999999994</v>
      </c>
      <c r="I6980" s="691">
        <v>74.5</v>
      </c>
      <c r="J6980" s="691">
        <v>73.3</v>
      </c>
      <c r="K6980" s="691">
        <v>75.3</v>
      </c>
    </row>
    <row r="6981" spans="1:11">
      <c r="A6981" s="688" t="s">
        <v>2</v>
      </c>
      <c r="B6981" s="689">
        <v>77.599999999999994</v>
      </c>
      <c r="C6981" s="689">
        <v>77.900000000000006</v>
      </c>
      <c r="D6981" s="689">
        <v>78.099999999999994</v>
      </c>
      <c r="E6981" s="689">
        <v>78.2</v>
      </c>
      <c r="F6981" s="689">
        <v>78.400000000000006</v>
      </c>
      <c r="G6981" s="689">
        <v>78.3</v>
      </c>
      <c r="H6981" s="689">
        <v>78.7</v>
      </c>
      <c r="I6981" s="689">
        <v>78.8</v>
      </c>
      <c r="J6981" s="689">
        <v>78.8</v>
      </c>
      <c r="K6981" s="689">
        <v>78.7</v>
      </c>
    </row>
    <row r="6982" spans="1:11">
      <c r="A6982" s="688" t="s">
        <v>3</v>
      </c>
      <c r="B6982" s="691">
        <v>77.400000000000006</v>
      </c>
      <c r="C6982" s="691">
        <v>77.7</v>
      </c>
      <c r="D6982" s="691">
        <v>77.400000000000006</v>
      </c>
      <c r="E6982" s="691">
        <v>77.7</v>
      </c>
      <c r="F6982" s="691">
        <v>77.8</v>
      </c>
      <c r="G6982" s="691">
        <v>77.8</v>
      </c>
      <c r="H6982" s="691">
        <v>78.099999999999994</v>
      </c>
      <c r="I6982" s="691">
        <v>77.8</v>
      </c>
      <c r="J6982" s="691">
        <v>77.5</v>
      </c>
      <c r="K6982" s="691">
        <v>77.400000000000006</v>
      </c>
    </row>
    <row r="6983" spans="1:11">
      <c r="A6983" s="688" t="s">
        <v>4061</v>
      </c>
      <c r="B6983" s="689">
        <v>77.400000000000006</v>
      </c>
      <c r="C6983" s="689">
        <v>77.7</v>
      </c>
      <c r="D6983" s="689">
        <v>77.400000000000006</v>
      </c>
      <c r="E6983" s="689">
        <v>77.7</v>
      </c>
      <c r="F6983" s="689">
        <v>77.8</v>
      </c>
      <c r="G6983" s="689">
        <v>77.8</v>
      </c>
      <c r="H6983" s="689">
        <v>78.099999999999994</v>
      </c>
      <c r="I6983" s="689">
        <v>77.8</v>
      </c>
      <c r="J6983" s="689">
        <v>77.5</v>
      </c>
      <c r="K6983" s="689">
        <v>77.400000000000006</v>
      </c>
    </row>
    <row r="6984" spans="1:11">
      <c r="A6984" s="688" t="s">
        <v>4</v>
      </c>
      <c r="B6984" s="615">
        <v>72</v>
      </c>
      <c r="C6984" s="691">
        <v>71.5</v>
      </c>
      <c r="D6984" s="691">
        <v>72.3</v>
      </c>
      <c r="E6984" s="691">
        <v>72.400000000000006</v>
      </c>
      <c r="F6984" s="691">
        <v>72.900000000000006</v>
      </c>
      <c r="G6984" s="615">
        <v>73</v>
      </c>
      <c r="H6984" s="691">
        <v>73.599999999999994</v>
      </c>
      <c r="I6984" s="691">
        <v>73.5</v>
      </c>
      <c r="J6984" s="691">
        <v>71.900000000000006</v>
      </c>
      <c r="K6984" s="691">
        <v>72.7</v>
      </c>
    </row>
    <row r="6985" spans="1:11">
      <c r="A6985" s="688" t="s">
        <v>8</v>
      </c>
      <c r="B6985" s="689">
        <v>78.3</v>
      </c>
      <c r="C6985" s="689">
        <v>78.5</v>
      </c>
      <c r="D6985" s="689">
        <v>78.8</v>
      </c>
      <c r="E6985" s="689">
        <v>78.900000000000006</v>
      </c>
      <c r="F6985" s="689">
        <v>79.400000000000006</v>
      </c>
      <c r="G6985" s="689">
        <v>79.5</v>
      </c>
      <c r="H6985" s="689">
        <v>79.8</v>
      </c>
      <c r="I6985" s="689">
        <v>79.8</v>
      </c>
      <c r="J6985" s="689">
        <v>79.5</v>
      </c>
      <c r="K6985" s="693">
        <v>80</v>
      </c>
    </row>
    <row r="6986" spans="1:11">
      <c r="A6986" s="688" t="s">
        <v>7</v>
      </c>
      <c r="B6986" s="615">
        <v>78</v>
      </c>
      <c r="C6986" s="691">
        <v>77.5</v>
      </c>
      <c r="D6986" s="691">
        <v>77.3</v>
      </c>
      <c r="E6986" s="691">
        <v>77.7</v>
      </c>
      <c r="F6986" s="691">
        <v>77.599999999999994</v>
      </c>
      <c r="G6986" s="615">
        <v>78</v>
      </c>
      <c r="H6986" s="615">
        <v>78</v>
      </c>
      <c r="I6986" s="691">
        <v>77.8</v>
      </c>
      <c r="J6986" s="691">
        <v>76.599999999999994</v>
      </c>
      <c r="K6986" s="691">
        <v>77.5</v>
      </c>
    </row>
    <row r="6987" spans="1:11">
      <c r="A6987" s="688" t="s">
        <v>27</v>
      </c>
      <c r="B6987" s="689">
        <v>79.400000000000006</v>
      </c>
      <c r="C6987" s="689">
        <v>79.3</v>
      </c>
      <c r="D6987" s="689">
        <v>79.099999999999994</v>
      </c>
      <c r="E6987" s="689">
        <v>79.5</v>
      </c>
      <c r="F6987" s="689">
        <v>79.5</v>
      </c>
      <c r="G6987" s="689">
        <v>79.599999999999994</v>
      </c>
      <c r="H6987" s="693">
        <v>80</v>
      </c>
      <c r="I6987" s="689">
        <v>78.7</v>
      </c>
      <c r="J6987" s="689">
        <v>79.400000000000006</v>
      </c>
      <c r="K6987" s="689">
        <v>79.599999999999994</v>
      </c>
    </row>
    <row r="6988" spans="1:11">
      <c r="A6988" s="688" t="s">
        <v>6</v>
      </c>
      <c r="B6988" s="691">
        <v>78.3</v>
      </c>
      <c r="C6988" s="691">
        <v>78.5</v>
      </c>
      <c r="D6988" s="691">
        <v>78.3</v>
      </c>
      <c r="E6988" s="691">
        <v>78.599999999999994</v>
      </c>
      <c r="F6988" s="691">
        <v>78.7</v>
      </c>
      <c r="G6988" s="691">
        <v>78.900000000000006</v>
      </c>
      <c r="H6988" s="615">
        <v>79</v>
      </c>
      <c r="I6988" s="691">
        <v>78.400000000000006</v>
      </c>
      <c r="J6988" s="691">
        <v>78.5</v>
      </c>
      <c r="K6988" s="691">
        <v>78.7</v>
      </c>
    </row>
    <row r="6989" spans="1:11">
      <c r="A6989" s="688" t="s">
        <v>4058</v>
      </c>
      <c r="B6989" s="690" t="s">
        <v>4060</v>
      </c>
      <c r="C6989" s="690" t="s">
        <v>4060</v>
      </c>
      <c r="D6989" s="690" t="s">
        <v>4060</v>
      </c>
      <c r="E6989" s="690" t="s">
        <v>4060</v>
      </c>
      <c r="F6989" s="690" t="s">
        <v>4060</v>
      </c>
      <c r="G6989" s="690" t="s">
        <v>4060</v>
      </c>
      <c r="H6989" s="690" t="s">
        <v>4060</v>
      </c>
      <c r="I6989" s="690" t="s">
        <v>4060</v>
      </c>
      <c r="J6989" s="690" t="s">
        <v>4060</v>
      </c>
      <c r="K6989" s="690" t="s">
        <v>4060</v>
      </c>
    </row>
    <row r="6990" spans="1:11">
      <c r="A6990" s="688" t="s">
        <v>11</v>
      </c>
      <c r="B6990" s="691">
        <v>73.8</v>
      </c>
      <c r="C6990" s="615">
        <v>74</v>
      </c>
      <c r="D6990" s="691">
        <v>73.599999999999994</v>
      </c>
      <c r="E6990" s="691">
        <v>74.2</v>
      </c>
      <c r="F6990" s="691">
        <v>74.099999999999994</v>
      </c>
      <c r="G6990" s="691">
        <v>74.099999999999994</v>
      </c>
      <c r="H6990" s="691">
        <v>74.5</v>
      </c>
      <c r="I6990" s="691">
        <v>73.8</v>
      </c>
      <c r="J6990" s="691">
        <v>72.8</v>
      </c>
      <c r="K6990" s="615">
        <v>74</v>
      </c>
    </row>
    <row r="6991" spans="1:11">
      <c r="A6991" s="688" t="s">
        <v>10</v>
      </c>
      <c r="B6991" s="689">
        <v>79.5</v>
      </c>
      <c r="C6991" s="689">
        <v>79.7</v>
      </c>
      <c r="D6991" s="689">
        <v>79.400000000000006</v>
      </c>
      <c r="E6991" s="689">
        <v>79.900000000000006</v>
      </c>
      <c r="F6991" s="689">
        <v>79.8</v>
      </c>
      <c r="G6991" s="689">
        <v>80.099999999999994</v>
      </c>
      <c r="H6991" s="689">
        <v>80.400000000000006</v>
      </c>
      <c r="I6991" s="689">
        <v>79.099999999999994</v>
      </c>
      <c r="J6991" s="689">
        <v>79.599999999999994</v>
      </c>
      <c r="K6991" s="689">
        <v>79.8</v>
      </c>
    </row>
    <row r="6992" spans="1:11">
      <c r="A6992" s="688" t="s">
        <v>30</v>
      </c>
      <c r="B6992" s="691">
        <v>79.3</v>
      </c>
      <c r="C6992" s="691">
        <v>79.5</v>
      </c>
      <c r="D6992" s="691">
        <v>79.2</v>
      </c>
      <c r="E6992" s="691">
        <v>79.900000000000006</v>
      </c>
      <c r="F6992" s="691">
        <v>79.599999999999994</v>
      </c>
      <c r="G6992" s="691">
        <v>80.400000000000006</v>
      </c>
      <c r="H6992" s="691">
        <v>79.900000000000006</v>
      </c>
      <c r="I6992" s="615">
        <v>80</v>
      </c>
      <c r="J6992" s="615">
        <v>79</v>
      </c>
      <c r="K6992" s="691">
        <v>79.599999999999994</v>
      </c>
    </row>
    <row r="6993" spans="1:11">
      <c r="A6993" s="688" t="s">
        <v>12</v>
      </c>
      <c r="B6993" s="689">
        <v>68.7</v>
      </c>
      <c r="C6993" s="689">
        <v>68.3</v>
      </c>
      <c r="D6993" s="693">
        <v>69</v>
      </c>
      <c r="E6993" s="693">
        <v>69</v>
      </c>
      <c r="F6993" s="689">
        <v>69.099999999999994</v>
      </c>
      <c r="G6993" s="689">
        <v>69.3</v>
      </c>
      <c r="H6993" s="689">
        <v>70.099999999999994</v>
      </c>
      <c r="I6993" s="689">
        <v>69.8</v>
      </c>
      <c r="J6993" s="689">
        <v>67.5</v>
      </c>
      <c r="K6993" s="689">
        <v>68.599999999999994</v>
      </c>
    </row>
    <row r="6994" spans="1:11">
      <c r="A6994" s="688" t="s">
        <v>14</v>
      </c>
      <c r="B6994" s="691">
        <v>67.8</v>
      </c>
      <c r="C6994" s="691">
        <v>68.3</v>
      </c>
      <c r="D6994" s="691">
        <v>68.5</v>
      </c>
      <c r="E6994" s="691">
        <v>68.8</v>
      </c>
      <c r="F6994" s="691">
        <v>69.900000000000006</v>
      </c>
      <c r="G6994" s="691">
        <v>70.2</v>
      </c>
      <c r="H6994" s="691">
        <v>70.7</v>
      </c>
      <c r="I6994" s="691">
        <v>69.400000000000006</v>
      </c>
      <c r="J6994" s="691">
        <v>68.900000000000006</v>
      </c>
      <c r="K6994" s="691">
        <v>70.599999999999994</v>
      </c>
    </row>
    <row r="6995" spans="1:11">
      <c r="A6995" s="688" t="s">
        <v>15</v>
      </c>
      <c r="B6995" s="689">
        <v>79.099999999999994</v>
      </c>
      <c r="C6995" s="689">
        <v>78.3</v>
      </c>
      <c r="D6995" s="689">
        <v>79.099999999999994</v>
      </c>
      <c r="E6995" s="689">
        <v>79.2</v>
      </c>
      <c r="F6995" s="693">
        <v>79</v>
      </c>
      <c r="G6995" s="689">
        <v>79.2</v>
      </c>
      <c r="H6995" s="689">
        <v>79.5</v>
      </c>
      <c r="I6995" s="689">
        <v>79.099999999999994</v>
      </c>
      <c r="J6995" s="689">
        <v>79.599999999999994</v>
      </c>
      <c r="K6995" s="693">
        <v>80</v>
      </c>
    </row>
    <row r="6996" spans="1:11">
      <c r="A6996" s="688" t="s">
        <v>29</v>
      </c>
      <c r="B6996" s="691">
        <v>71.599999999999994</v>
      </c>
      <c r="C6996" s="691">
        <v>71.599999999999994</v>
      </c>
      <c r="D6996" s="691">
        <v>71.5</v>
      </c>
      <c r="E6996" s="691">
        <v>71.8</v>
      </c>
      <c r="F6996" s="691">
        <v>71.7</v>
      </c>
      <c r="G6996" s="691">
        <v>71.900000000000006</v>
      </c>
      <c r="H6996" s="691">
        <v>72.2</v>
      </c>
      <c r="I6996" s="691">
        <v>71.5</v>
      </c>
      <c r="J6996" s="615">
        <v>70</v>
      </c>
      <c r="K6996" s="691">
        <v>71.900000000000006</v>
      </c>
    </row>
    <row r="6997" spans="1:11">
      <c r="A6997" s="688" t="s">
        <v>16</v>
      </c>
      <c r="B6997" s="689">
        <v>79.099999999999994</v>
      </c>
      <c r="C6997" s="689">
        <v>78.900000000000006</v>
      </c>
      <c r="D6997" s="689">
        <v>79.2</v>
      </c>
      <c r="E6997" s="689">
        <v>79.900000000000006</v>
      </c>
      <c r="F6997" s="689">
        <v>79.599999999999994</v>
      </c>
      <c r="G6997" s="689">
        <v>79.599999999999994</v>
      </c>
      <c r="H6997" s="689">
        <v>80.099999999999994</v>
      </c>
      <c r="I6997" s="689">
        <v>79.099999999999994</v>
      </c>
      <c r="J6997" s="689">
        <v>79.5</v>
      </c>
      <c r="K6997" s="689">
        <v>79.599999999999994</v>
      </c>
    </row>
    <row r="6998" spans="1:11">
      <c r="A6998" s="688" t="s">
        <v>17</v>
      </c>
      <c r="B6998" s="691">
        <v>78.900000000000006</v>
      </c>
      <c r="C6998" s="691">
        <v>79.2</v>
      </c>
      <c r="D6998" s="615">
        <v>79</v>
      </c>
      <c r="E6998" s="691">
        <v>79.2</v>
      </c>
      <c r="F6998" s="691">
        <v>79.400000000000006</v>
      </c>
      <c r="G6998" s="691">
        <v>79.5</v>
      </c>
      <c r="H6998" s="691">
        <v>79.8</v>
      </c>
      <c r="I6998" s="615">
        <v>79</v>
      </c>
      <c r="J6998" s="615">
        <v>79</v>
      </c>
      <c r="K6998" s="691">
        <v>79.400000000000006</v>
      </c>
    </row>
    <row r="6999" spans="1:11">
      <c r="A6999" s="688" t="s">
        <v>19</v>
      </c>
      <c r="B6999" s="689">
        <v>77.900000000000006</v>
      </c>
      <c r="C6999" s="689">
        <v>78.2</v>
      </c>
      <c r="D6999" s="689">
        <v>77.900000000000006</v>
      </c>
      <c r="E6999" s="689">
        <v>78.400000000000006</v>
      </c>
      <c r="F6999" s="689">
        <v>78.5</v>
      </c>
      <c r="G6999" s="689">
        <v>78.5</v>
      </c>
      <c r="H6999" s="689">
        <v>78.8</v>
      </c>
      <c r="I6999" s="689">
        <v>78.2</v>
      </c>
      <c r="J6999" s="693">
        <v>78</v>
      </c>
      <c r="K6999" s="689">
        <v>78.2</v>
      </c>
    </row>
    <row r="7000" spans="1:11">
      <c r="A7000" s="688" t="s">
        <v>20</v>
      </c>
      <c r="B7000" s="691">
        <v>72.400000000000006</v>
      </c>
      <c r="C7000" s="691">
        <v>72.900000000000006</v>
      </c>
      <c r="D7000" s="691">
        <v>72.7</v>
      </c>
      <c r="E7000" s="691">
        <v>73.099999999999994</v>
      </c>
      <c r="F7000" s="691">
        <v>73.099999999999994</v>
      </c>
      <c r="G7000" s="615">
        <v>73</v>
      </c>
      <c r="H7000" s="691">
        <v>73.3</v>
      </c>
      <c r="I7000" s="691">
        <v>71.599999999999994</v>
      </c>
      <c r="J7000" s="691">
        <v>70.8</v>
      </c>
      <c r="K7000" s="691">
        <v>72.5</v>
      </c>
    </row>
    <row r="7001" spans="1:11">
      <c r="A7001" s="688" t="s">
        <v>21</v>
      </c>
      <c r="B7001" s="689">
        <v>76.900000000000006</v>
      </c>
      <c r="C7001" s="689">
        <v>77.3</v>
      </c>
      <c r="D7001" s="689">
        <v>77.5</v>
      </c>
      <c r="E7001" s="689">
        <v>77.5</v>
      </c>
      <c r="F7001" s="689">
        <v>77.8</v>
      </c>
      <c r="G7001" s="689">
        <v>77.8</v>
      </c>
      <c r="H7001" s="689">
        <v>78.2</v>
      </c>
      <c r="I7001" s="689">
        <v>77.599999999999994</v>
      </c>
      <c r="J7001" s="689">
        <v>77.599999999999994</v>
      </c>
      <c r="K7001" s="693">
        <v>78</v>
      </c>
    </row>
    <row r="7002" spans="1:11">
      <c r="A7002" s="688" t="s">
        <v>22</v>
      </c>
      <c r="B7002" s="691">
        <v>71.3</v>
      </c>
      <c r="C7002" s="615">
        <v>71</v>
      </c>
      <c r="D7002" s="691">
        <v>70.900000000000006</v>
      </c>
      <c r="E7002" s="691">
        <v>71.099999999999994</v>
      </c>
      <c r="F7002" s="691">
        <v>71.099999999999994</v>
      </c>
      <c r="G7002" s="691">
        <v>71.099999999999994</v>
      </c>
      <c r="H7002" s="691">
        <v>71.3</v>
      </c>
      <c r="I7002" s="691">
        <v>69.7</v>
      </c>
      <c r="J7002" s="691">
        <v>68.599999999999994</v>
      </c>
      <c r="K7002" s="691">
        <v>70.7</v>
      </c>
    </row>
    <row r="7003" spans="1:11">
      <c r="A7003" s="688" t="s">
        <v>26</v>
      </c>
      <c r="B7003" s="689">
        <v>76.400000000000006</v>
      </c>
      <c r="C7003" s="689">
        <v>77.099999999999994</v>
      </c>
      <c r="D7003" s="689">
        <v>76.7</v>
      </c>
      <c r="E7003" s="689">
        <v>77.099999999999994</v>
      </c>
      <c r="F7003" s="689">
        <v>77.2</v>
      </c>
      <c r="G7003" s="689">
        <v>77.5</v>
      </c>
      <c r="H7003" s="689">
        <v>77.7</v>
      </c>
      <c r="I7003" s="693">
        <v>77</v>
      </c>
      <c r="J7003" s="689">
        <v>76.8</v>
      </c>
      <c r="K7003" s="689">
        <v>77.7</v>
      </c>
    </row>
    <row r="7004" spans="1:11">
      <c r="A7004" s="688" t="s">
        <v>25</v>
      </c>
      <c r="B7004" s="691">
        <v>72.400000000000006</v>
      </c>
      <c r="C7004" s="691">
        <v>72.7</v>
      </c>
      <c r="D7004" s="691">
        <v>72.5</v>
      </c>
      <c r="E7004" s="691">
        <v>73.2</v>
      </c>
      <c r="F7004" s="691">
        <v>73.2</v>
      </c>
      <c r="G7004" s="691">
        <v>73.3</v>
      </c>
      <c r="H7004" s="691">
        <v>73.7</v>
      </c>
      <c r="I7004" s="615">
        <v>73</v>
      </c>
      <c r="J7004" s="691">
        <v>70.599999999999994</v>
      </c>
      <c r="K7004" s="615">
        <v>73</v>
      </c>
    </row>
    <row r="7005" spans="1:11">
      <c r="A7005" s="688" t="s">
        <v>5</v>
      </c>
      <c r="B7005" s="689">
        <v>77.2</v>
      </c>
      <c r="C7005" s="689">
        <v>77.400000000000006</v>
      </c>
      <c r="D7005" s="689">
        <v>77.7</v>
      </c>
      <c r="E7005" s="689">
        <v>77.599999999999994</v>
      </c>
      <c r="F7005" s="689">
        <v>77.900000000000006</v>
      </c>
      <c r="G7005" s="689">
        <v>78.099999999999994</v>
      </c>
      <c r="H7005" s="689">
        <v>78.400000000000006</v>
      </c>
      <c r="I7005" s="689">
        <v>78.2</v>
      </c>
      <c r="J7005" s="689">
        <v>78.3</v>
      </c>
      <c r="K7005" s="689">
        <v>77.8</v>
      </c>
    </row>
    <row r="7006" spans="1:11">
      <c r="A7006" s="688" t="s">
        <v>23</v>
      </c>
      <c r="B7006" s="691">
        <v>79.400000000000006</v>
      </c>
      <c r="C7006" s="691">
        <v>79.599999999999994</v>
      </c>
      <c r="D7006" s="691">
        <v>79.5</v>
      </c>
      <c r="E7006" s="691">
        <v>79.8</v>
      </c>
      <c r="F7006" s="691">
        <v>79.900000000000006</v>
      </c>
      <c r="G7006" s="615">
        <v>80</v>
      </c>
      <c r="H7006" s="691">
        <v>80.5</v>
      </c>
      <c r="I7006" s="691">
        <v>79.8</v>
      </c>
      <c r="J7006" s="691">
        <v>80.400000000000006</v>
      </c>
      <c r="K7006" s="691">
        <v>80.5</v>
      </c>
    </row>
    <row r="7007" spans="1:11">
      <c r="A7007" s="688" t="s">
        <v>4067</v>
      </c>
      <c r="B7007" s="693">
        <v>77</v>
      </c>
      <c r="C7007" s="689">
        <v>77.400000000000006</v>
      </c>
      <c r="D7007" s="689">
        <v>77.2</v>
      </c>
      <c r="E7007" s="689">
        <v>77.5</v>
      </c>
      <c r="F7007" s="689">
        <v>77.599999999999994</v>
      </c>
      <c r="G7007" s="689">
        <v>77.7</v>
      </c>
      <c r="H7007" s="690" t="s">
        <v>4060</v>
      </c>
      <c r="I7007" s="690" t="s">
        <v>4060</v>
      </c>
      <c r="J7007" s="690" t="s">
        <v>4060</v>
      </c>
      <c r="K7007" s="690" t="s">
        <v>4060</v>
      </c>
    </row>
    <row r="7008" spans="1:11">
      <c r="A7008" s="688" t="s">
        <v>4066</v>
      </c>
      <c r="B7008" s="691">
        <v>77.099999999999994</v>
      </c>
      <c r="C7008" s="691">
        <v>77.400000000000006</v>
      </c>
      <c r="D7008" s="691">
        <v>77.2</v>
      </c>
      <c r="E7008" s="691">
        <v>77.599999999999994</v>
      </c>
      <c r="F7008" s="691">
        <v>77.599999999999994</v>
      </c>
      <c r="G7008" s="691">
        <v>77.7</v>
      </c>
      <c r="H7008" s="692" t="s">
        <v>4060</v>
      </c>
      <c r="I7008" s="692" t="s">
        <v>4060</v>
      </c>
      <c r="J7008" s="692" t="s">
        <v>4060</v>
      </c>
      <c r="K7008" s="692" t="s">
        <v>4060</v>
      </c>
    </row>
    <row r="7009" spans="1:11">
      <c r="A7009" s="688" t="s">
        <v>4062</v>
      </c>
      <c r="B7009" s="689">
        <v>79.599999999999994</v>
      </c>
      <c r="C7009" s="689">
        <v>79.900000000000006</v>
      </c>
      <c r="D7009" s="689">
        <v>79.900000000000006</v>
      </c>
      <c r="E7009" s="689">
        <v>80.400000000000006</v>
      </c>
      <c r="F7009" s="689">
        <v>80.5</v>
      </c>
      <c r="G7009" s="689">
        <v>80.599999999999994</v>
      </c>
      <c r="H7009" s="689">
        <v>80.900000000000006</v>
      </c>
      <c r="I7009" s="689">
        <v>80.400000000000006</v>
      </c>
      <c r="J7009" s="689">
        <v>80.8</v>
      </c>
      <c r="K7009" s="689">
        <v>80.599999999999994</v>
      </c>
    </row>
    <row r="7010" spans="1:11">
      <c r="A7010" s="688" t="s">
        <v>9</v>
      </c>
      <c r="B7010" s="691">
        <v>79.599999999999994</v>
      </c>
      <c r="C7010" s="691">
        <v>80.2</v>
      </c>
      <c r="D7010" s="691">
        <v>80.2</v>
      </c>
      <c r="E7010" s="691">
        <v>79.400000000000006</v>
      </c>
      <c r="F7010" s="615">
        <v>80</v>
      </c>
      <c r="G7010" s="691">
        <v>80.3</v>
      </c>
      <c r="H7010" s="691">
        <v>80.599999999999994</v>
      </c>
      <c r="I7010" s="691">
        <v>80.7</v>
      </c>
      <c r="J7010" s="691">
        <v>80.900000000000006</v>
      </c>
      <c r="K7010" s="691">
        <v>79.900000000000006</v>
      </c>
    </row>
    <row r="7011" spans="1:11">
      <c r="A7011" s="688" t="s">
        <v>13</v>
      </c>
      <c r="B7011" s="689">
        <v>79.7</v>
      </c>
      <c r="C7011" s="693">
        <v>80</v>
      </c>
      <c r="D7011" s="689">
        <v>80.599999999999994</v>
      </c>
      <c r="E7011" s="689">
        <v>79.599999999999994</v>
      </c>
      <c r="F7011" s="693">
        <v>80</v>
      </c>
      <c r="G7011" s="689">
        <v>79.400000000000006</v>
      </c>
      <c r="H7011" s="689">
        <v>81.400000000000006</v>
      </c>
      <c r="I7011" s="689">
        <v>79.5</v>
      </c>
      <c r="J7011" s="689">
        <v>81.099999999999994</v>
      </c>
      <c r="K7011" s="693">
        <v>81</v>
      </c>
    </row>
    <row r="7012" spans="1:11">
      <c r="A7012" s="688" t="s">
        <v>18</v>
      </c>
      <c r="B7012" s="615">
        <v>79</v>
      </c>
      <c r="C7012" s="691">
        <v>79.2</v>
      </c>
      <c r="D7012" s="691">
        <v>79.599999999999994</v>
      </c>
      <c r="E7012" s="691">
        <v>79.8</v>
      </c>
      <c r="F7012" s="691">
        <v>80.099999999999994</v>
      </c>
      <c r="G7012" s="691">
        <v>80.2</v>
      </c>
      <c r="H7012" s="691">
        <v>80.400000000000006</v>
      </c>
      <c r="I7012" s="691">
        <v>80.599999999999994</v>
      </c>
      <c r="J7012" s="691">
        <v>80.7</v>
      </c>
      <c r="K7012" s="691">
        <v>80.099999999999994</v>
      </c>
    </row>
    <row r="7013" spans="1:11">
      <c r="A7013" s="688" t="s">
        <v>24</v>
      </c>
      <c r="B7013" s="693">
        <v>80</v>
      </c>
      <c r="C7013" s="689">
        <v>80.3</v>
      </c>
      <c r="D7013" s="689">
        <v>80.099999999999994</v>
      </c>
      <c r="E7013" s="689">
        <v>80.8</v>
      </c>
      <c r="F7013" s="689">
        <v>80.7</v>
      </c>
      <c r="G7013" s="689">
        <v>80.900000000000006</v>
      </c>
      <c r="H7013" s="689">
        <v>81.2</v>
      </c>
      <c r="I7013" s="689">
        <v>80.3</v>
      </c>
      <c r="J7013" s="689">
        <v>80.900000000000006</v>
      </c>
      <c r="K7013" s="689">
        <v>80.900000000000006</v>
      </c>
    </row>
    <row r="7014" spans="1:11">
      <c r="A7014" s="688" t="s">
        <v>4059</v>
      </c>
      <c r="B7014" s="691">
        <v>78.5</v>
      </c>
      <c r="C7014" s="691">
        <v>78.8</v>
      </c>
      <c r="D7014" s="691">
        <v>78.599999999999994</v>
      </c>
      <c r="E7014" s="691">
        <v>78.7</v>
      </c>
      <c r="F7014" s="691">
        <v>78.8</v>
      </c>
      <c r="G7014" s="691">
        <v>78.8</v>
      </c>
      <c r="H7014" s="692" t="s">
        <v>4060</v>
      </c>
      <c r="I7014" s="692" t="s">
        <v>4060</v>
      </c>
      <c r="J7014" s="692" t="s">
        <v>4060</v>
      </c>
      <c r="K7014" s="692" t="s">
        <v>4060</v>
      </c>
    </row>
    <row r="7015" spans="1:11">
      <c r="A7015" s="688" t="s">
        <v>2324</v>
      </c>
      <c r="B7015" s="689">
        <v>73.5</v>
      </c>
      <c r="C7015" s="689">
        <v>73.5</v>
      </c>
      <c r="D7015" s="689">
        <v>73.5</v>
      </c>
      <c r="E7015" s="689">
        <v>73.3</v>
      </c>
      <c r="F7015" s="693">
        <v>73</v>
      </c>
      <c r="G7015" s="689">
        <v>73.7</v>
      </c>
      <c r="H7015" s="689">
        <v>73.2</v>
      </c>
      <c r="I7015" s="689">
        <v>72.400000000000006</v>
      </c>
      <c r="J7015" s="689">
        <v>69.900000000000006</v>
      </c>
      <c r="K7015" s="690" t="s">
        <v>4060</v>
      </c>
    </row>
    <row r="7016" spans="1:11">
      <c r="A7016" s="688" t="s">
        <v>2322</v>
      </c>
      <c r="B7016" s="692" t="s">
        <v>4060</v>
      </c>
      <c r="C7016" s="692" t="s">
        <v>4060</v>
      </c>
      <c r="D7016" s="692" t="s">
        <v>4060</v>
      </c>
      <c r="E7016" s="692" t="s">
        <v>4060</v>
      </c>
      <c r="F7016" s="692" t="s">
        <v>4060</v>
      </c>
      <c r="G7016" s="692" t="s">
        <v>4060</v>
      </c>
      <c r="H7016" s="692" t="s">
        <v>4060</v>
      </c>
      <c r="I7016" s="692" t="s">
        <v>4060</v>
      </c>
      <c r="J7016" s="692" t="s">
        <v>4060</v>
      </c>
      <c r="K7016" s="692" t="s">
        <v>4060</v>
      </c>
    </row>
    <row r="7017" spans="1:11">
      <c r="A7017" s="688" t="s">
        <v>2328</v>
      </c>
      <c r="B7017" s="689">
        <v>73.2</v>
      </c>
      <c r="C7017" s="689">
        <v>73.3</v>
      </c>
      <c r="D7017" s="689">
        <v>73.2</v>
      </c>
      <c r="E7017" s="689">
        <v>73.3</v>
      </c>
      <c r="F7017" s="689">
        <v>73.8</v>
      </c>
      <c r="G7017" s="689">
        <v>74.099999999999994</v>
      </c>
      <c r="H7017" s="689">
        <v>74.099999999999994</v>
      </c>
      <c r="I7017" s="689">
        <v>71.599999999999994</v>
      </c>
      <c r="J7017" s="689">
        <v>70.5</v>
      </c>
      <c r="K7017" s="690" t="s">
        <v>4060</v>
      </c>
    </row>
    <row r="7018" spans="1:11">
      <c r="A7018" s="688" t="s">
        <v>2496</v>
      </c>
      <c r="B7018" s="692" t="s">
        <v>4060</v>
      </c>
      <c r="C7018" s="691">
        <v>69.599999999999994</v>
      </c>
      <c r="D7018" s="691">
        <v>68.3</v>
      </c>
      <c r="E7018" s="615">
        <v>68</v>
      </c>
      <c r="F7018" s="691">
        <v>68.900000000000006</v>
      </c>
      <c r="G7018" s="691">
        <v>69.3</v>
      </c>
      <c r="H7018" s="691">
        <v>69.400000000000006</v>
      </c>
      <c r="I7018" s="692" t="s">
        <v>4060</v>
      </c>
      <c r="J7018" s="692" t="s">
        <v>4060</v>
      </c>
      <c r="K7018" s="691">
        <v>68.900000000000006</v>
      </c>
    </row>
    <row r="7019" spans="1:11">
      <c r="A7019" s="688" t="s">
        <v>2269</v>
      </c>
      <c r="B7019" s="689">
        <v>75.7</v>
      </c>
      <c r="C7019" s="693">
        <v>76</v>
      </c>
      <c r="D7019" s="689">
        <v>75.900000000000006</v>
      </c>
      <c r="E7019" s="689">
        <v>76.7</v>
      </c>
      <c r="F7019" s="689">
        <v>76.7</v>
      </c>
      <c r="G7019" s="689">
        <v>77.099999999999994</v>
      </c>
      <c r="H7019" s="689">
        <v>77.5</v>
      </c>
      <c r="I7019" s="693">
        <v>75</v>
      </c>
      <c r="J7019" s="689">
        <v>73.2</v>
      </c>
      <c r="K7019" s="693">
        <v>77</v>
      </c>
    </row>
    <row r="7020" spans="1:11">
      <c r="A7020" s="688" t="s">
        <v>2349</v>
      </c>
      <c r="B7020" s="691">
        <v>72.2</v>
      </c>
      <c r="C7020" s="691">
        <v>72.3</v>
      </c>
      <c r="D7020" s="691">
        <v>72.2</v>
      </c>
      <c r="E7020" s="691">
        <v>72.7</v>
      </c>
      <c r="F7020" s="691">
        <v>72.5</v>
      </c>
      <c r="G7020" s="691">
        <v>72.8</v>
      </c>
      <c r="H7020" s="691">
        <v>72.8</v>
      </c>
      <c r="I7020" s="615">
        <v>71</v>
      </c>
      <c r="J7020" s="691">
        <v>69.400000000000006</v>
      </c>
      <c r="K7020" s="615">
        <v>72</v>
      </c>
    </row>
    <row r="7021" spans="1:11">
      <c r="A7021" s="688" t="s">
        <v>2355</v>
      </c>
      <c r="B7021" s="689">
        <v>75.3</v>
      </c>
      <c r="C7021" s="689">
        <v>75.3</v>
      </c>
      <c r="D7021" s="689">
        <v>75.3</v>
      </c>
      <c r="E7021" s="689">
        <v>75.2</v>
      </c>
      <c r="F7021" s="689">
        <v>75.5</v>
      </c>
      <c r="G7021" s="693">
        <v>76</v>
      </c>
      <c r="H7021" s="689">
        <v>76.2</v>
      </c>
      <c r="I7021" s="690" t="s">
        <v>4060</v>
      </c>
      <c r="J7021" s="690" t="s">
        <v>4060</v>
      </c>
      <c r="K7021" s="690" t="s">
        <v>4060</v>
      </c>
    </row>
    <row r="7022" spans="1:11">
      <c r="A7022" s="688" t="s">
        <v>2357</v>
      </c>
      <c r="B7022" s="692" t="s">
        <v>4060</v>
      </c>
      <c r="C7022" s="691">
        <v>66.2</v>
      </c>
      <c r="D7022" s="691">
        <v>67.099999999999994</v>
      </c>
      <c r="E7022" s="691">
        <v>67.5</v>
      </c>
      <c r="F7022" s="691">
        <v>67.8</v>
      </c>
      <c r="G7022" s="691">
        <v>67.599999999999994</v>
      </c>
      <c r="H7022" s="691">
        <v>67.900000000000006</v>
      </c>
      <c r="I7022" s="692" t="s">
        <v>4060</v>
      </c>
      <c r="J7022" s="692" t="s">
        <v>4060</v>
      </c>
      <c r="K7022" s="692" t="s">
        <v>4060</v>
      </c>
    </row>
    <row r="7023" spans="1:11">
      <c r="A7023" s="688" t="s">
        <v>4070</v>
      </c>
      <c r="B7023" s="690" t="s">
        <v>4060</v>
      </c>
      <c r="C7023" s="690" t="s">
        <v>4060</v>
      </c>
      <c r="D7023" s="690" t="s">
        <v>4060</v>
      </c>
      <c r="E7023" s="689">
        <v>75.5</v>
      </c>
      <c r="F7023" s="690" t="s">
        <v>4060</v>
      </c>
      <c r="G7023" s="690" t="s">
        <v>4060</v>
      </c>
      <c r="H7023" s="690" t="s">
        <v>4060</v>
      </c>
      <c r="I7023" s="690" t="s">
        <v>4060</v>
      </c>
      <c r="J7023" s="690" t="s">
        <v>4060</v>
      </c>
      <c r="K7023" s="690" t="s">
        <v>4060</v>
      </c>
    </row>
    <row r="7024" spans="1:11">
      <c r="A7024" s="688" t="s">
        <v>2491</v>
      </c>
      <c r="B7024" s="691">
        <v>66.5</v>
      </c>
      <c r="C7024" s="691">
        <v>67.099999999999994</v>
      </c>
      <c r="D7024" s="691">
        <v>67.900000000000006</v>
      </c>
      <c r="E7024" s="691">
        <v>68.2</v>
      </c>
      <c r="F7024" s="691">
        <v>68.5</v>
      </c>
      <c r="G7024" s="691">
        <v>68.5</v>
      </c>
      <c r="H7024" s="692" t="s">
        <v>4060</v>
      </c>
      <c r="I7024" s="692" t="s">
        <v>4060</v>
      </c>
      <c r="J7024" s="692" t="s">
        <v>4060</v>
      </c>
      <c r="K7024" s="692" t="s">
        <v>4060</v>
      </c>
    </row>
    <row r="7025" spans="1:11">
      <c r="A7025" s="688" t="s">
        <v>2343</v>
      </c>
      <c r="B7025" s="690" t="s">
        <v>4060</v>
      </c>
      <c r="C7025" s="690" t="s">
        <v>4060</v>
      </c>
      <c r="D7025" s="690" t="s">
        <v>4060</v>
      </c>
      <c r="E7025" s="690" t="s">
        <v>4060</v>
      </c>
      <c r="F7025" s="690" t="s">
        <v>4060</v>
      </c>
      <c r="G7025" s="690" t="s">
        <v>4060</v>
      </c>
      <c r="H7025" s="690" t="s">
        <v>4060</v>
      </c>
      <c r="I7025" s="690" t="s">
        <v>4060</v>
      </c>
      <c r="J7025" s="690" t="s">
        <v>4060</v>
      </c>
      <c r="K7025" s="690" t="s">
        <v>4060</v>
      </c>
    </row>
    <row r="7026" spans="1:11">
      <c r="A7026" s="688" t="s">
        <v>4071</v>
      </c>
      <c r="B7026" s="692" t="s">
        <v>4060</v>
      </c>
      <c r="C7026" s="692" t="s">
        <v>4060</v>
      </c>
      <c r="D7026" s="692" t="s">
        <v>4060</v>
      </c>
      <c r="E7026" s="692" t="s">
        <v>4060</v>
      </c>
      <c r="F7026" s="692" t="s">
        <v>4060</v>
      </c>
      <c r="G7026" s="692" t="s">
        <v>4060</v>
      </c>
      <c r="H7026" s="692" t="s">
        <v>4060</v>
      </c>
      <c r="I7026" s="692" t="s">
        <v>4060</v>
      </c>
      <c r="J7026" s="692" t="s">
        <v>4060</v>
      </c>
      <c r="K7026" s="692" t="s">
        <v>4060</v>
      </c>
    </row>
    <row r="7027" spans="1:11">
      <c r="A7027" s="688" t="s">
        <v>2489</v>
      </c>
      <c r="B7027" s="690" t="s">
        <v>4060</v>
      </c>
      <c r="C7027" s="690" t="s">
        <v>4060</v>
      </c>
      <c r="D7027" s="689">
        <v>71.3</v>
      </c>
      <c r="E7027" s="689">
        <v>71.2</v>
      </c>
      <c r="F7027" s="689">
        <v>72.099999999999994</v>
      </c>
      <c r="G7027" s="689">
        <v>72.900000000000006</v>
      </c>
      <c r="H7027" s="689">
        <v>72.599999999999994</v>
      </c>
      <c r="I7027" s="690" t="s">
        <v>4060</v>
      </c>
      <c r="J7027" s="690" t="s">
        <v>4060</v>
      </c>
      <c r="K7027" s="690" t="s">
        <v>4060</v>
      </c>
    </row>
    <row r="7028" spans="1:11">
      <c r="A7028" s="688" t="s">
        <v>2490</v>
      </c>
      <c r="B7028" s="691">
        <v>71.900000000000006</v>
      </c>
      <c r="C7028" s="615">
        <v>72</v>
      </c>
      <c r="D7028" s="691">
        <v>72.900000000000006</v>
      </c>
      <c r="E7028" s="692" t="s">
        <v>4060</v>
      </c>
      <c r="F7028" s="691">
        <v>73.099999999999994</v>
      </c>
      <c r="G7028" s="691">
        <v>73.400000000000006</v>
      </c>
      <c r="H7028" s="691">
        <v>74.2</v>
      </c>
      <c r="I7028" s="692" t="s">
        <v>4060</v>
      </c>
      <c r="J7028" s="692" t="s">
        <v>4060</v>
      </c>
      <c r="K7028" s="692" t="s">
        <v>4060</v>
      </c>
    </row>
    <row r="7030" spans="1:11">
      <c r="A7030" s="683" t="s">
        <v>4233</v>
      </c>
    </row>
    <row r="7031" spans="1:11">
      <c r="A7031" s="683" t="s">
        <v>4060</v>
      </c>
      <c r="B7031" s="682" t="s">
        <v>4234</v>
      </c>
    </row>
    <row r="7033" spans="1:11">
      <c r="A7033" s="682" t="s">
        <v>4331</v>
      </c>
    </row>
    <row r="7034" spans="1:11">
      <c r="A7034" s="682" t="s">
        <v>4210</v>
      </c>
      <c r="B7034" s="683" t="s">
        <v>4211</v>
      </c>
    </row>
    <row r="7035" spans="1:11">
      <c r="A7035" s="682" t="s">
        <v>4212</v>
      </c>
      <c r="B7035" s="682" t="s">
        <v>4213</v>
      </c>
    </row>
    <row r="7037" spans="1:11">
      <c r="A7037" s="683" t="s">
        <v>4214</v>
      </c>
      <c r="C7037" s="682" t="s">
        <v>4215</v>
      </c>
    </row>
    <row r="7038" spans="1:11">
      <c r="A7038" s="683" t="s">
        <v>4216</v>
      </c>
      <c r="C7038" s="682" t="s">
        <v>2967</v>
      </c>
    </row>
    <row r="7039" spans="1:11">
      <c r="A7039" s="683" t="s">
        <v>3893</v>
      </c>
      <c r="C7039" s="682" t="s">
        <v>2168</v>
      </c>
    </row>
    <row r="7040" spans="1:11">
      <c r="A7040" s="683" t="s">
        <v>4218</v>
      </c>
      <c r="C7040" s="682" t="s">
        <v>4236</v>
      </c>
    </row>
    <row r="7042" spans="1:11">
      <c r="A7042" s="684" t="s">
        <v>4220</v>
      </c>
      <c r="B7042" s="685" t="s">
        <v>4221</v>
      </c>
      <c r="C7042" s="685" t="s">
        <v>4222</v>
      </c>
      <c r="D7042" s="685" t="s">
        <v>4223</v>
      </c>
      <c r="E7042" s="685" t="s">
        <v>4224</v>
      </c>
      <c r="F7042" s="685" t="s">
        <v>4225</v>
      </c>
      <c r="G7042" s="685" t="s">
        <v>4226</v>
      </c>
      <c r="H7042" s="685" t="s">
        <v>4227</v>
      </c>
      <c r="I7042" s="685" t="s">
        <v>4228</v>
      </c>
      <c r="J7042" s="685" t="s">
        <v>4229</v>
      </c>
      <c r="K7042" s="685" t="s">
        <v>4230</v>
      </c>
    </row>
    <row r="7043" spans="1:11">
      <c r="A7043" s="686" t="s">
        <v>4231</v>
      </c>
      <c r="B7043" s="687" t="s">
        <v>4232</v>
      </c>
      <c r="C7043" s="687" t="s">
        <v>4232</v>
      </c>
      <c r="D7043" s="687" t="s">
        <v>4232</v>
      </c>
      <c r="E7043" s="687" t="s">
        <v>4232</v>
      </c>
      <c r="F7043" s="687" t="s">
        <v>4232</v>
      </c>
      <c r="G7043" s="687" t="s">
        <v>4232</v>
      </c>
      <c r="H7043" s="687" t="s">
        <v>4232</v>
      </c>
      <c r="I7043" s="687" t="s">
        <v>4232</v>
      </c>
      <c r="J7043" s="687" t="s">
        <v>4232</v>
      </c>
      <c r="K7043" s="687" t="s">
        <v>4232</v>
      </c>
    </row>
    <row r="7044" spans="1:11">
      <c r="A7044" s="688" t="s">
        <v>4064</v>
      </c>
      <c r="B7044" s="691">
        <v>75.8</v>
      </c>
      <c r="C7044" s="615">
        <v>76</v>
      </c>
      <c r="D7044" s="615">
        <v>76</v>
      </c>
      <c r="E7044" s="691">
        <v>76.2</v>
      </c>
      <c r="F7044" s="691">
        <v>76.3</v>
      </c>
      <c r="G7044" s="691">
        <v>76.3</v>
      </c>
      <c r="H7044" s="691">
        <v>76.599999999999994</v>
      </c>
      <c r="I7044" s="691">
        <v>75.7</v>
      </c>
      <c r="J7044" s="691">
        <v>75.400000000000006</v>
      </c>
      <c r="K7044" s="691">
        <v>76.099999999999994</v>
      </c>
    </row>
    <row r="7045" spans="1:11">
      <c r="A7045" s="688" t="s">
        <v>4065</v>
      </c>
      <c r="B7045" s="693">
        <v>76</v>
      </c>
      <c r="C7045" s="689">
        <v>76.400000000000006</v>
      </c>
      <c r="D7045" s="689">
        <v>76.2</v>
      </c>
      <c r="E7045" s="689">
        <v>76.5</v>
      </c>
      <c r="F7045" s="689">
        <v>76.599999999999994</v>
      </c>
      <c r="G7045" s="689">
        <v>76.7</v>
      </c>
      <c r="H7045" s="690" t="s">
        <v>4060</v>
      </c>
      <c r="I7045" s="690" t="s">
        <v>4060</v>
      </c>
      <c r="J7045" s="690" t="s">
        <v>4060</v>
      </c>
      <c r="K7045" s="690" t="s">
        <v>4060</v>
      </c>
    </row>
    <row r="7046" spans="1:11">
      <c r="A7046" s="688" t="s">
        <v>4063</v>
      </c>
      <c r="B7046" s="691">
        <v>76.099999999999994</v>
      </c>
      <c r="C7046" s="691">
        <v>76.400000000000006</v>
      </c>
      <c r="D7046" s="691">
        <v>76.2</v>
      </c>
      <c r="E7046" s="691">
        <v>76.599999999999994</v>
      </c>
      <c r="F7046" s="691">
        <v>76.599999999999994</v>
      </c>
      <c r="G7046" s="691">
        <v>76.7</v>
      </c>
      <c r="H7046" s="692" t="s">
        <v>4060</v>
      </c>
      <c r="I7046" s="692" t="s">
        <v>4060</v>
      </c>
      <c r="J7046" s="692" t="s">
        <v>4060</v>
      </c>
      <c r="K7046" s="692" t="s">
        <v>4060</v>
      </c>
    </row>
    <row r="7047" spans="1:11">
      <c r="A7047" s="688" t="s">
        <v>4069</v>
      </c>
      <c r="B7047" s="690" t="s">
        <v>4060</v>
      </c>
      <c r="C7047" s="689">
        <v>77.2</v>
      </c>
      <c r="D7047" s="693">
        <v>77</v>
      </c>
      <c r="E7047" s="689">
        <v>77.3</v>
      </c>
      <c r="F7047" s="689">
        <v>77.400000000000006</v>
      </c>
      <c r="G7047" s="689">
        <v>77.599999999999994</v>
      </c>
      <c r="H7047" s="689">
        <v>77.900000000000006</v>
      </c>
      <c r="I7047" s="689">
        <v>77.099999999999994</v>
      </c>
      <c r="J7047" s="689">
        <v>77.099999999999994</v>
      </c>
      <c r="K7047" s="689">
        <v>77.3</v>
      </c>
    </row>
    <row r="7048" spans="1:11">
      <c r="A7048" s="688" t="s">
        <v>4068</v>
      </c>
      <c r="B7048" s="691">
        <v>77.099999999999994</v>
      </c>
      <c r="C7048" s="692" t="s">
        <v>4060</v>
      </c>
      <c r="D7048" s="692" t="s">
        <v>4060</v>
      </c>
      <c r="E7048" s="692" t="s">
        <v>4060</v>
      </c>
      <c r="F7048" s="692" t="s">
        <v>4060</v>
      </c>
      <c r="G7048" s="692" t="s">
        <v>4060</v>
      </c>
      <c r="H7048" s="692" t="s">
        <v>4060</v>
      </c>
      <c r="I7048" s="692" t="s">
        <v>4060</v>
      </c>
      <c r="J7048" s="692" t="s">
        <v>4060</v>
      </c>
      <c r="K7048" s="692" t="s">
        <v>4060</v>
      </c>
    </row>
    <row r="7049" spans="1:11">
      <c r="A7049" s="688" t="s">
        <v>0</v>
      </c>
      <c r="B7049" s="689">
        <v>76.400000000000006</v>
      </c>
      <c r="C7049" s="689">
        <v>76.900000000000006</v>
      </c>
      <c r="D7049" s="689">
        <v>76.900000000000006</v>
      </c>
      <c r="E7049" s="689">
        <v>77.099999999999994</v>
      </c>
      <c r="F7049" s="689">
        <v>77.3</v>
      </c>
      <c r="G7049" s="689">
        <v>77.5</v>
      </c>
      <c r="H7049" s="689">
        <v>77.900000000000006</v>
      </c>
      <c r="I7049" s="689">
        <v>76.8</v>
      </c>
      <c r="J7049" s="689">
        <v>77.5</v>
      </c>
      <c r="K7049" s="689">
        <v>77.900000000000006</v>
      </c>
    </row>
    <row r="7050" spans="1:11">
      <c r="A7050" s="688" t="s">
        <v>1</v>
      </c>
      <c r="B7050" s="615">
        <v>70</v>
      </c>
      <c r="C7050" s="691">
        <v>69.599999999999994</v>
      </c>
      <c r="D7050" s="691">
        <v>69.599999999999994</v>
      </c>
      <c r="E7050" s="691">
        <v>69.7</v>
      </c>
      <c r="F7050" s="691">
        <v>69.7</v>
      </c>
      <c r="G7050" s="691">
        <v>69.7</v>
      </c>
      <c r="H7050" s="691">
        <v>69.7</v>
      </c>
      <c r="I7050" s="615">
        <v>68</v>
      </c>
      <c r="J7050" s="691">
        <v>66.099999999999994</v>
      </c>
      <c r="K7050" s="691">
        <v>68.900000000000006</v>
      </c>
    </row>
    <row r="7051" spans="1:11">
      <c r="A7051" s="688" t="s">
        <v>2240</v>
      </c>
      <c r="B7051" s="689">
        <v>73.5</v>
      </c>
      <c r="C7051" s="689">
        <v>73.900000000000006</v>
      </c>
      <c r="D7051" s="689">
        <v>73.900000000000006</v>
      </c>
      <c r="E7051" s="689">
        <v>74.3</v>
      </c>
      <c r="F7051" s="689">
        <v>74.3</v>
      </c>
      <c r="G7051" s="689">
        <v>74.3</v>
      </c>
      <c r="H7051" s="689">
        <v>74.599999999999994</v>
      </c>
      <c r="I7051" s="689">
        <v>73.5</v>
      </c>
      <c r="J7051" s="689">
        <v>72.3</v>
      </c>
      <c r="K7051" s="689">
        <v>74.3</v>
      </c>
    </row>
    <row r="7052" spans="1:11">
      <c r="A7052" s="688" t="s">
        <v>2</v>
      </c>
      <c r="B7052" s="691">
        <v>76.599999999999994</v>
      </c>
      <c r="C7052" s="691">
        <v>76.900000000000006</v>
      </c>
      <c r="D7052" s="691">
        <v>77.099999999999994</v>
      </c>
      <c r="E7052" s="691">
        <v>77.3</v>
      </c>
      <c r="F7052" s="691">
        <v>77.5</v>
      </c>
      <c r="G7052" s="691">
        <v>77.3</v>
      </c>
      <c r="H7052" s="691">
        <v>77.7</v>
      </c>
      <c r="I7052" s="691">
        <v>77.900000000000006</v>
      </c>
      <c r="J7052" s="691">
        <v>77.8</v>
      </c>
      <c r="K7052" s="691">
        <v>77.7</v>
      </c>
    </row>
    <row r="7053" spans="1:11">
      <c r="A7053" s="688" t="s">
        <v>3</v>
      </c>
      <c r="B7053" s="689">
        <v>76.5</v>
      </c>
      <c r="C7053" s="689">
        <v>76.7</v>
      </c>
      <c r="D7053" s="689">
        <v>76.400000000000006</v>
      </c>
      <c r="E7053" s="689">
        <v>76.7</v>
      </c>
      <c r="F7053" s="689">
        <v>76.900000000000006</v>
      </c>
      <c r="G7053" s="689">
        <v>76.8</v>
      </c>
      <c r="H7053" s="689">
        <v>77.099999999999994</v>
      </c>
      <c r="I7053" s="689">
        <v>76.900000000000006</v>
      </c>
      <c r="J7053" s="689">
        <v>76.5</v>
      </c>
      <c r="K7053" s="689">
        <v>76.400000000000006</v>
      </c>
    </row>
    <row r="7054" spans="1:11">
      <c r="A7054" s="688" t="s">
        <v>4061</v>
      </c>
      <c r="B7054" s="691">
        <v>76.5</v>
      </c>
      <c r="C7054" s="691">
        <v>76.7</v>
      </c>
      <c r="D7054" s="691">
        <v>76.400000000000006</v>
      </c>
      <c r="E7054" s="691">
        <v>76.7</v>
      </c>
      <c r="F7054" s="691">
        <v>76.900000000000006</v>
      </c>
      <c r="G7054" s="691">
        <v>76.8</v>
      </c>
      <c r="H7054" s="691">
        <v>77.099999999999994</v>
      </c>
      <c r="I7054" s="691">
        <v>76.900000000000006</v>
      </c>
      <c r="J7054" s="691">
        <v>76.5</v>
      </c>
      <c r="K7054" s="691">
        <v>76.400000000000006</v>
      </c>
    </row>
    <row r="7055" spans="1:11">
      <c r="A7055" s="688" t="s">
        <v>4</v>
      </c>
      <c r="B7055" s="693">
        <v>71</v>
      </c>
      <c r="C7055" s="689">
        <v>70.599999999999994</v>
      </c>
      <c r="D7055" s="689">
        <v>71.3</v>
      </c>
      <c r="E7055" s="689">
        <v>71.400000000000006</v>
      </c>
      <c r="F7055" s="689">
        <v>71.900000000000006</v>
      </c>
      <c r="G7055" s="689">
        <v>72.099999999999994</v>
      </c>
      <c r="H7055" s="689">
        <v>72.599999999999994</v>
      </c>
      <c r="I7055" s="689">
        <v>72.5</v>
      </c>
      <c r="J7055" s="689">
        <v>70.900000000000006</v>
      </c>
      <c r="K7055" s="689">
        <v>71.8</v>
      </c>
    </row>
    <row r="7056" spans="1:11">
      <c r="A7056" s="688" t="s">
        <v>8</v>
      </c>
      <c r="B7056" s="691">
        <v>77.3</v>
      </c>
      <c r="C7056" s="691">
        <v>77.5</v>
      </c>
      <c r="D7056" s="691">
        <v>77.8</v>
      </c>
      <c r="E7056" s="691">
        <v>77.900000000000006</v>
      </c>
      <c r="F7056" s="691">
        <v>78.400000000000006</v>
      </c>
      <c r="G7056" s="691">
        <v>78.5</v>
      </c>
      <c r="H7056" s="691">
        <v>78.8</v>
      </c>
      <c r="I7056" s="691">
        <v>78.8</v>
      </c>
      <c r="J7056" s="691">
        <v>78.5</v>
      </c>
      <c r="K7056" s="615">
        <v>79</v>
      </c>
    </row>
    <row r="7057" spans="1:11">
      <c r="A7057" s="688" t="s">
        <v>7</v>
      </c>
      <c r="B7057" s="693">
        <v>77</v>
      </c>
      <c r="C7057" s="689">
        <v>76.5</v>
      </c>
      <c r="D7057" s="689">
        <v>76.3</v>
      </c>
      <c r="E7057" s="689">
        <v>76.7</v>
      </c>
      <c r="F7057" s="689">
        <v>76.599999999999994</v>
      </c>
      <c r="G7057" s="689">
        <v>77.099999999999994</v>
      </c>
      <c r="H7057" s="689">
        <v>77.099999999999994</v>
      </c>
      <c r="I7057" s="689">
        <v>76.8</v>
      </c>
      <c r="J7057" s="689">
        <v>75.599999999999994</v>
      </c>
      <c r="K7057" s="689">
        <v>76.5</v>
      </c>
    </row>
    <row r="7058" spans="1:11">
      <c r="A7058" s="688" t="s">
        <v>27</v>
      </c>
      <c r="B7058" s="691">
        <v>78.400000000000006</v>
      </c>
      <c r="C7058" s="691">
        <v>78.3</v>
      </c>
      <c r="D7058" s="691">
        <v>78.099999999999994</v>
      </c>
      <c r="E7058" s="691">
        <v>78.5</v>
      </c>
      <c r="F7058" s="691">
        <v>78.599999999999994</v>
      </c>
      <c r="G7058" s="691">
        <v>78.599999999999994</v>
      </c>
      <c r="H7058" s="615">
        <v>79</v>
      </c>
      <c r="I7058" s="691">
        <v>77.7</v>
      </c>
      <c r="J7058" s="691">
        <v>78.400000000000006</v>
      </c>
      <c r="K7058" s="691">
        <v>78.599999999999994</v>
      </c>
    </row>
    <row r="7059" spans="1:11">
      <c r="A7059" s="688" t="s">
        <v>6</v>
      </c>
      <c r="B7059" s="689">
        <v>77.3</v>
      </c>
      <c r="C7059" s="689">
        <v>77.599999999999994</v>
      </c>
      <c r="D7059" s="689">
        <v>77.3</v>
      </c>
      <c r="E7059" s="689">
        <v>77.599999999999994</v>
      </c>
      <c r="F7059" s="689">
        <v>77.8</v>
      </c>
      <c r="G7059" s="689">
        <v>77.900000000000006</v>
      </c>
      <c r="H7059" s="689">
        <v>78.099999999999994</v>
      </c>
      <c r="I7059" s="689">
        <v>77.5</v>
      </c>
      <c r="J7059" s="689">
        <v>77.5</v>
      </c>
      <c r="K7059" s="689">
        <v>77.7</v>
      </c>
    </row>
    <row r="7060" spans="1:11">
      <c r="A7060" s="688" t="s">
        <v>4058</v>
      </c>
      <c r="B7060" s="692" t="s">
        <v>4060</v>
      </c>
      <c r="C7060" s="692" t="s">
        <v>4060</v>
      </c>
      <c r="D7060" s="692" t="s">
        <v>4060</v>
      </c>
      <c r="E7060" s="692" t="s">
        <v>4060</v>
      </c>
      <c r="F7060" s="692" t="s">
        <v>4060</v>
      </c>
      <c r="G7060" s="692" t="s">
        <v>4060</v>
      </c>
      <c r="H7060" s="692" t="s">
        <v>4060</v>
      </c>
      <c r="I7060" s="692" t="s">
        <v>4060</v>
      </c>
      <c r="J7060" s="692" t="s">
        <v>4060</v>
      </c>
      <c r="K7060" s="692" t="s">
        <v>4060</v>
      </c>
    </row>
    <row r="7061" spans="1:11">
      <c r="A7061" s="688" t="s">
        <v>11</v>
      </c>
      <c r="B7061" s="689">
        <v>72.8</v>
      </c>
      <c r="C7061" s="693">
        <v>73</v>
      </c>
      <c r="D7061" s="689">
        <v>72.599999999999994</v>
      </c>
      <c r="E7061" s="689">
        <v>73.2</v>
      </c>
      <c r="F7061" s="689">
        <v>73.099999999999994</v>
      </c>
      <c r="G7061" s="689">
        <v>73.2</v>
      </c>
      <c r="H7061" s="689">
        <v>73.5</v>
      </c>
      <c r="I7061" s="689">
        <v>72.8</v>
      </c>
      <c r="J7061" s="689">
        <v>71.8</v>
      </c>
      <c r="K7061" s="693">
        <v>73</v>
      </c>
    </row>
    <row r="7062" spans="1:11">
      <c r="A7062" s="688" t="s">
        <v>10</v>
      </c>
      <c r="B7062" s="691">
        <v>78.599999999999994</v>
      </c>
      <c r="C7062" s="691">
        <v>78.7</v>
      </c>
      <c r="D7062" s="691">
        <v>78.400000000000006</v>
      </c>
      <c r="E7062" s="691">
        <v>78.900000000000006</v>
      </c>
      <c r="F7062" s="691">
        <v>78.8</v>
      </c>
      <c r="G7062" s="691">
        <v>79.099999999999994</v>
      </c>
      <c r="H7062" s="691">
        <v>79.400000000000006</v>
      </c>
      <c r="I7062" s="691">
        <v>78.099999999999994</v>
      </c>
      <c r="J7062" s="691">
        <v>78.599999999999994</v>
      </c>
      <c r="K7062" s="691">
        <v>78.8</v>
      </c>
    </row>
    <row r="7063" spans="1:11">
      <c r="A7063" s="688" t="s">
        <v>30</v>
      </c>
      <c r="B7063" s="689">
        <v>78.3</v>
      </c>
      <c r="C7063" s="689">
        <v>78.599999999999994</v>
      </c>
      <c r="D7063" s="689">
        <v>78.2</v>
      </c>
      <c r="E7063" s="689">
        <v>78.900000000000006</v>
      </c>
      <c r="F7063" s="689">
        <v>78.599999999999994</v>
      </c>
      <c r="G7063" s="689">
        <v>79.400000000000006</v>
      </c>
      <c r="H7063" s="689">
        <v>78.900000000000006</v>
      </c>
      <c r="I7063" s="693">
        <v>79</v>
      </c>
      <c r="J7063" s="693">
        <v>78</v>
      </c>
      <c r="K7063" s="689">
        <v>78.599999999999994</v>
      </c>
    </row>
    <row r="7064" spans="1:11">
      <c r="A7064" s="688" t="s">
        <v>12</v>
      </c>
      <c r="B7064" s="691">
        <v>67.7</v>
      </c>
      <c r="C7064" s="691">
        <v>67.400000000000006</v>
      </c>
      <c r="D7064" s="691">
        <v>68.099999999999994</v>
      </c>
      <c r="E7064" s="615">
        <v>68</v>
      </c>
      <c r="F7064" s="691">
        <v>68.099999999999994</v>
      </c>
      <c r="G7064" s="691">
        <v>68.3</v>
      </c>
      <c r="H7064" s="691">
        <v>69.099999999999994</v>
      </c>
      <c r="I7064" s="691">
        <v>68.900000000000006</v>
      </c>
      <c r="J7064" s="691">
        <v>66.5</v>
      </c>
      <c r="K7064" s="691">
        <v>67.599999999999994</v>
      </c>
    </row>
    <row r="7065" spans="1:11">
      <c r="A7065" s="688" t="s">
        <v>14</v>
      </c>
      <c r="B7065" s="689">
        <v>66.900000000000006</v>
      </c>
      <c r="C7065" s="689">
        <v>67.400000000000006</v>
      </c>
      <c r="D7065" s="689">
        <v>67.5</v>
      </c>
      <c r="E7065" s="689">
        <v>67.8</v>
      </c>
      <c r="F7065" s="689">
        <v>68.900000000000006</v>
      </c>
      <c r="G7065" s="689">
        <v>69.2</v>
      </c>
      <c r="H7065" s="689">
        <v>69.7</v>
      </c>
      <c r="I7065" s="689">
        <v>68.400000000000006</v>
      </c>
      <c r="J7065" s="689">
        <v>67.900000000000006</v>
      </c>
      <c r="K7065" s="689">
        <v>69.599999999999994</v>
      </c>
    </row>
    <row r="7066" spans="1:11">
      <c r="A7066" s="688" t="s">
        <v>15</v>
      </c>
      <c r="B7066" s="691">
        <v>78.099999999999994</v>
      </c>
      <c r="C7066" s="691">
        <v>77.400000000000006</v>
      </c>
      <c r="D7066" s="691">
        <v>78.099999999999994</v>
      </c>
      <c r="E7066" s="691">
        <v>78.2</v>
      </c>
      <c r="F7066" s="615">
        <v>78</v>
      </c>
      <c r="G7066" s="691">
        <v>78.2</v>
      </c>
      <c r="H7066" s="691">
        <v>78.599999999999994</v>
      </c>
      <c r="I7066" s="691">
        <v>78.099999999999994</v>
      </c>
      <c r="J7066" s="691">
        <v>78.599999999999994</v>
      </c>
      <c r="K7066" s="615">
        <v>79</v>
      </c>
    </row>
    <row r="7067" spans="1:11">
      <c r="A7067" s="688" t="s">
        <v>29</v>
      </c>
      <c r="B7067" s="689">
        <v>70.599999999999994</v>
      </c>
      <c r="C7067" s="689">
        <v>70.599999999999994</v>
      </c>
      <c r="D7067" s="689">
        <v>70.599999999999994</v>
      </c>
      <c r="E7067" s="689">
        <v>70.8</v>
      </c>
      <c r="F7067" s="689">
        <v>70.8</v>
      </c>
      <c r="G7067" s="689">
        <v>70.900000000000006</v>
      </c>
      <c r="H7067" s="689">
        <v>71.2</v>
      </c>
      <c r="I7067" s="689">
        <v>70.5</v>
      </c>
      <c r="J7067" s="693">
        <v>69</v>
      </c>
      <c r="K7067" s="689">
        <v>70.900000000000006</v>
      </c>
    </row>
    <row r="7068" spans="1:11">
      <c r="A7068" s="688" t="s">
        <v>16</v>
      </c>
      <c r="B7068" s="691">
        <v>78.099999999999994</v>
      </c>
      <c r="C7068" s="615">
        <v>78</v>
      </c>
      <c r="D7068" s="691">
        <v>78.2</v>
      </c>
      <c r="E7068" s="615">
        <v>79</v>
      </c>
      <c r="F7068" s="691">
        <v>78.599999999999994</v>
      </c>
      <c r="G7068" s="691">
        <v>78.599999999999994</v>
      </c>
      <c r="H7068" s="691">
        <v>79.2</v>
      </c>
      <c r="I7068" s="691">
        <v>78.099999999999994</v>
      </c>
      <c r="J7068" s="691">
        <v>78.5</v>
      </c>
      <c r="K7068" s="691">
        <v>78.599999999999994</v>
      </c>
    </row>
    <row r="7069" spans="1:11">
      <c r="A7069" s="688" t="s">
        <v>17</v>
      </c>
      <c r="B7069" s="689">
        <v>77.900000000000006</v>
      </c>
      <c r="C7069" s="689">
        <v>78.2</v>
      </c>
      <c r="D7069" s="693">
        <v>78</v>
      </c>
      <c r="E7069" s="689">
        <v>78.2</v>
      </c>
      <c r="F7069" s="689">
        <v>78.400000000000006</v>
      </c>
      <c r="G7069" s="689">
        <v>78.5</v>
      </c>
      <c r="H7069" s="689">
        <v>78.8</v>
      </c>
      <c r="I7069" s="693">
        <v>78</v>
      </c>
      <c r="J7069" s="693">
        <v>78</v>
      </c>
      <c r="K7069" s="689">
        <v>78.400000000000006</v>
      </c>
    </row>
    <row r="7070" spans="1:11">
      <c r="A7070" s="688" t="s">
        <v>19</v>
      </c>
      <c r="B7070" s="691">
        <v>76.900000000000006</v>
      </c>
      <c r="C7070" s="691">
        <v>77.2</v>
      </c>
      <c r="D7070" s="691">
        <v>76.900000000000006</v>
      </c>
      <c r="E7070" s="691">
        <v>77.400000000000006</v>
      </c>
      <c r="F7070" s="691">
        <v>77.5</v>
      </c>
      <c r="G7070" s="691">
        <v>77.5</v>
      </c>
      <c r="H7070" s="691">
        <v>77.8</v>
      </c>
      <c r="I7070" s="691">
        <v>77.2</v>
      </c>
      <c r="J7070" s="615">
        <v>77</v>
      </c>
      <c r="K7070" s="691">
        <v>77.3</v>
      </c>
    </row>
    <row r="7071" spans="1:11">
      <c r="A7071" s="688" t="s">
        <v>20</v>
      </c>
      <c r="B7071" s="689">
        <v>71.400000000000006</v>
      </c>
      <c r="C7071" s="689">
        <v>71.900000000000006</v>
      </c>
      <c r="D7071" s="689">
        <v>71.7</v>
      </c>
      <c r="E7071" s="689">
        <v>72.099999999999994</v>
      </c>
      <c r="F7071" s="689">
        <v>72.099999999999994</v>
      </c>
      <c r="G7071" s="693">
        <v>72</v>
      </c>
      <c r="H7071" s="689">
        <v>72.3</v>
      </c>
      <c r="I7071" s="689">
        <v>70.7</v>
      </c>
      <c r="J7071" s="689">
        <v>69.8</v>
      </c>
      <c r="K7071" s="689">
        <v>71.599999999999994</v>
      </c>
    </row>
    <row r="7072" spans="1:11">
      <c r="A7072" s="688" t="s">
        <v>21</v>
      </c>
      <c r="B7072" s="691">
        <v>75.900000000000006</v>
      </c>
      <c r="C7072" s="691">
        <v>76.3</v>
      </c>
      <c r="D7072" s="691">
        <v>76.5</v>
      </c>
      <c r="E7072" s="691">
        <v>76.5</v>
      </c>
      <c r="F7072" s="691">
        <v>76.8</v>
      </c>
      <c r="G7072" s="691">
        <v>76.8</v>
      </c>
      <c r="H7072" s="691">
        <v>77.2</v>
      </c>
      <c r="I7072" s="691">
        <v>76.599999999999994</v>
      </c>
      <c r="J7072" s="691">
        <v>76.599999999999994</v>
      </c>
      <c r="K7072" s="615">
        <v>77</v>
      </c>
    </row>
    <row r="7073" spans="1:11">
      <c r="A7073" s="688" t="s">
        <v>22</v>
      </c>
      <c r="B7073" s="689">
        <v>70.400000000000006</v>
      </c>
      <c r="C7073" s="689">
        <v>70.099999999999994</v>
      </c>
      <c r="D7073" s="693">
        <v>70</v>
      </c>
      <c r="E7073" s="689">
        <v>70.2</v>
      </c>
      <c r="F7073" s="689">
        <v>70.2</v>
      </c>
      <c r="G7073" s="689">
        <v>70.2</v>
      </c>
      <c r="H7073" s="689">
        <v>70.400000000000006</v>
      </c>
      <c r="I7073" s="689">
        <v>68.7</v>
      </c>
      <c r="J7073" s="689">
        <v>67.599999999999994</v>
      </c>
      <c r="K7073" s="689">
        <v>69.8</v>
      </c>
    </row>
    <row r="7074" spans="1:11">
      <c r="A7074" s="688" t="s">
        <v>26</v>
      </c>
      <c r="B7074" s="691">
        <v>75.400000000000006</v>
      </c>
      <c r="C7074" s="691">
        <v>76.099999999999994</v>
      </c>
      <c r="D7074" s="691">
        <v>75.8</v>
      </c>
      <c r="E7074" s="691">
        <v>76.099999999999994</v>
      </c>
      <c r="F7074" s="691">
        <v>76.3</v>
      </c>
      <c r="G7074" s="691">
        <v>76.5</v>
      </c>
      <c r="H7074" s="691">
        <v>76.7</v>
      </c>
      <c r="I7074" s="615">
        <v>76</v>
      </c>
      <c r="J7074" s="691">
        <v>75.8</v>
      </c>
      <c r="K7074" s="691">
        <v>76.7</v>
      </c>
    </row>
    <row r="7075" spans="1:11">
      <c r="A7075" s="688" t="s">
        <v>25</v>
      </c>
      <c r="B7075" s="689">
        <v>71.400000000000006</v>
      </c>
      <c r="C7075" s="689">
        <v>71.8</v>
      </c>
      <c r="D7075" s="689">
        <v>71.599999999999994</v>
      </c>
      <c r="E7075" s="689">
        <v>72.3</v>
      </c>
      <c r="F7075" s="689">
        <v>72.2</v>
      </c>
      <c r="G7075" s="689">
        <v>72.3</v>
      </c>
      <c r="H7075" s="689">
        <v>72.8</v>
      </c>
      <c r="I7075" s="693">
        <v>72</v>
      </c>
      <c r="J7075" s="689">
        <v>69.599999999999994</v>
      </c>
      <c r="K7075" s="689">
        <v>72.099999999999994</v>
      </c>
    </row>
    <row r="7076" spans="1:11">
      <c r="A7076" s="688" t="s">
        <v>5</v>
      </c>
      <c r="B7076" s="691">
        <v>76.2</v>
      </c>
      <c r="C7076" s="691">
        <v>76.400000000000006</v>
      </c>
      <c r="D7076" s="691">
        <v>76.7</v>
      </c>
      <c r="E7076" s="691">
        <v>76.599999999999994</v>
      </c>
      <c r="F7076" s="691">
        <v>76.900000000000006</v>
      </c>
      <c r="G7076" s="691">
        <v>77.099999999999994</v>
      </c>
      <c r="H7076" s="691">
        <v>77.400000000000006</v>
      </c>
      <c r="I7076" s="691">
        <v>77.2</v>
      </c>
      <c r="J7076" s="691">
        <v>77.3</v>
      </c>
      <c r="K7076" s="691">
        <v>76.8</v>
      </c>
    </row>
    <row r="7077" spans="1:11">
      <c r="A7077" s="688" t="s">
        <v>23</v>
      </c>
      <c r="B7077" s="689">
        <v>78.400000000000006</v>
      </c>
      <c r="C7077" s="689">
        <v>78.599999999999994</v>
      </c>
      <c r="D7077" s="689">
        <v>78.599999999999994</v>
      </c>
      <c r="E7077" s="689">
        <v>78.8</v>
      </c>
      <c r="F7077" s="689">
        <v>78.900000000000006</v>
      </c>
      <c r="G7077" s="693">
        <v>79</v>
      </c>
      <c r="H7077" s="689">
        <v>79.5</v>
      </c>
      <c r="I7077" s="689">
        <v>78.8</v>
      </c>
      <c r="J7077" s="689">
        <v>79.400000000000006</v>
      </c>
      <c r="K7077" s="689">
        <v>79.5</v>
      </c>
    </row>
    <row r="7078" spans="1:11">
      <c r="A7078" s="688" t="s">
        <v>4067</v>
      </c>
      <c r="B7078" s="691">
        <v>76.099999999999994</v>
      </c>
      <c r="C7078" s="691">
        <v>76.400000000000006</v>
      </c>
      <c r="D7078" s="691">
        <v>76.2</v>
      </c>
      <c r="E7078" s="691">
        <v>76.599999999999994</v>
      </c>
      <c r="F7078" s="691">
        <v>76.599999999999994</v>
      </c>
      <c r="G7078" s="691">
        <v>76.7</v>
      </c>
      <c r="H7078" s="692" t="s">
        <v>4060</v>
      </c>
      <c r="I7078" s="692" t="s">
        <v>4060</v>
      </c>
      <c r="J7078" s="692" t="s">
        <v>4060</v>
      </c>
      <c r="K7078" s="692" t="s">
        <v>4060</v>
      </c>
    </row>
    <row r="7079" spans="1:11">
      <c r="A7079" s="688" t="s">
        <v>4066</v>
      </c>
      <c r="B7079" s="689">
        <v>76.099999999999994</v>
      </c>
      <c r="C7079" s="689">
        <v>76.5</v>
      </c>
      <c r="D7079" s="689">
        <v>76.2</v>
      </c>
      <c r="E7079" s="689">
        <v>76.599999999999994</v>
      </c>
      <c r="F7079" s="689">
        <v>76.599999999999994</v>
      </c>
      <c r="G7079" s="689">
        <v>76.7</v>
      </c>
      <c r="H7079" s="690" t="s">
        <v>4060</v>
      </c>
      <c r="I7079" s="690" t="s">
        <v>4060</v>
      </c>
      <c r="J7079" s="690" t="s">
        <v>4060</v>
      </c>
      <c r="K7079" s="690" t="s">
        <v>4060</v>
      </c>
    </row>
    <row r="7080" spans="1:11">
      <c r="A7080" s="688" t="s">
        <v>4062</v>
      </c>
      <c r="B7080" s="691">
        <v>78.7</v>
      </c>
      <c r="C7080" s="691">
        <v>78.900000000000006</v>
      </c>
      <c r="D7080" s="691">
        <v>78.900000000000006</v>
      </c>
      <c r="E7080" s="691">
        <v>79.400000000000006</v>
      </c>
      <c r="F7080" s="691">
        <v>79.5</v>
      </c>
      <c r="G7080" s="691">
        <v>79.7</v>
      </c>
      <c r="H7080" s="691">
        <v>79.900000000000006</v>
      </c>
      <c r="I7080" s="691">
        <v>79.400000000000006</v>
      </c>
      <c r="J7080" s="691">
        <v>79.900000000000006</v>
      </c>
      <c r="K7080" s="691">
        <v>79.599999999999994</v>
      </c>
    </row>
    <row r="7081" spans="1:11">
      <c r="A7081" s="688" t="s">
        <v>9</v>
      </c>
      <c r="B7081" s="689">
        <v>78.599999999999994</v>
      </c>
      <c r="C7081" s="689">
        <v>79.2</v>
      </c>
      <c r="D7081" s="689">
        <v>79.2</v>
      </c>
      <c r="E7081" s="689">
        <v>78.400000000000006</v>
      </c>
      <c r="F7081" s="693">
        <v>79</v>
      </c>
      <c r="G7081" s="689">
        <v>79.3</v>
      </c>
      <c r="H7081" s="689">
        <v>79.599999999999994</v>
      </c>
      <c r="I7081" s="689">
        <v>79.7</v>
      </c>
      <c r="J7081" s="689">
        <v>79.900000000000006</v>
      </c>
      <c r="K7081" s="693">
        <v>79</v>
      </c>
    </row>
    <row r="7082" spans="1:11">
      <c r="A7082" s="688" t="s">
        <v>13</v>
      </c>
      <c r="B7082" s="691">
        <v>78.7</v>
      </c>
      <c r="C7082" s="615">
        <v>79</v>
      </c>
      <c r="D7082" s="691">
        <v>79.599999999999994</v>
      </c>
      <c r="E7082" s="691">
        <v>78.599999999999994</v>
      </c>
      <c r="F7082" s="615">
        <v>79</v>
      </c>
      <c r="G7082" s="691">
        <v>78.400000000000006</v>
      </c>
      <c r="H7082" s="691">
        <v>80.400000000000006</v>
      </c>
      <c r="I7082" s="691">
        <v>78.5</v>
      </c>
      <c r="J7082" s="691">
        <v>80.099999999999994</v>
      </c>
      <c r="K7082" s="615">
        <v>80</v>
      </c>
    </row>
    <row r="7083" spans="1:11">
      <c r="A7083" s="688" t="s">
        <v>18</v>
      </c>
      <c r="B7083" s="693">
        <v>78</v>
      </c>
      <c r="C7083" s="689">
        <v>78.3</v>
      </c>
      <c r="D7083" s="689">
        <v>78.599999999999994</v>
      </c>
      <c r="E7083" s="689">
        <v>78.8</v>
      </c>
      <c r="F7083" s="689">
        <v>79.099999999999994</v>
      </c>
      <c r="G7083" s="689">
        <v>79.2</v>
      </c>
      <c r="H7083" s="689">
        <v>79.400000000000006</v>
      </c>
      <c r="I7083" s="689">
        <v>79.7</v>
      </c>
      <c r="J7083" s="689">
        <v>79.8</v>
      </c>
      <c r="K7083" s="689">
        <v>79.099999999999994</v>
      </c>
    </row>
    <row r="7084" spans="1:11">
      <c r="A7084" s="688" t="s">
        <v>24</v>
      </c>
      <c r="B7084" s="615">
        <v>79</v>
      </c>
      <c r="C7084" s="691">
        <v>79.3</v>
      </c>
      <c r="D7084" s="691">
        <v>79.099999999999994</v>
      </c>
      <c r="E7084" s="691">
        <v>79.8</v>
      </c>
      <c r="F7084" s="691">
        <v>79.7</v>
      </c>
      <c r="G7084" s="615">
        <v>80</v>
      </c>
      <c r="H7084" s="691">
        <v>80.2</v>
      </c>
      <c r="I7084" s="691">
        <v>79.3</v>
      </c>
      <c r="J7084" s="691">
        <v>79.900000000000006</v>
      </c>
      <c r="K7084" s="615">
        <v>80</v>
      </c>
    </row>
    <row r="7085" spans="1:11">
      <c r="A7085" s="688" t="s">
        <v>4059</v>
      </c>
      <c r="B7085" s="689">
        <v>77.599999999999994</v>
      </c>
      <c r="C7085" s="689">
        <v>77.8</v>
      </c>
      <c r="D7085" s="689">
        <v>77.599999999999994</v>
      </c>
      <c r="E7085" s="689">
        <v>77.8</v>
      </c>
      <c r="F7085" s="689">
        <v>77.8</v>
      </c>
      <c r="G7085" s="689">
        <v>77.8</v>
      </c>
      <c r="H7085" s="690" t="s">
        <v>4060</v>
      </c>
      <c r="I7085" s="690" t="s">
        <v>4060</v>
      </c>
      <c r="J7085" s="690" t="s">
        <v>4060</v>
      </c>
      <c r="K7085" s="690" t="s">
        <v>4060</v>
      </c>
    </row>
    <row r="7086" spans="1:11">
      <c r="A7086" s="688" t="s">
        <v>2324</v>
      </c>
      <c r="B7086" s="691">
        <v>72.5</v>
      </c>
      <c r="C7086" s="691">
        <v>72.599999999999994</v>
      </c>
      <c r="D7086" s="691">
        <v>72.5</v>
      </c>
      <c r="E7086" s="691">
        <v>72.3</v>
      </c>
      <c r="F7086" s="691">
        <v>72.099999999999994</v>
      </c>
      <c r="G7086" s="691">
        <v>72.7</v>
      </c>
      <c r="H7086" s="691">
        <v>72.2</v>
      </c>
      <c r="I7086" s="691">
        <v>71.400000000000006</v>
      </c>
      <c r="J7086" s="691">
        <v>68.900000000000006</v>
      </c>
      <c r="K7086" s="692" t="s">
        <v>4060</v>
      </c>
    </row>
    <row r="7087" spans="1:11">
      <c r="A7087" s="688" t="s">
        <v>2322</v>
      </c>
      <c r="B7087" s="690" t="s">
        <v>4060</v>
      </c>
      <c r="C7087" s="690" t="s">
        <v>4060</v>
      </c>
      <c r="D7087" s="690" t="s">
        <v>4060</v>
      </c>
      <c r="E7087" s="690" t="s">
        <v>4060</v>
      </c>
      <c r="F7087" s="690" t="s">
        <v>4060</v>
      </c>
      <c r="G7087" s="690" t="s">
        <v>4060</v>
      </c>
      <c r="H7087" s="690" t="s">
        <v>4060</v>
      </c>
      <c r="I7087" s="690" t="s">
        <v>4060</v>
      </c>
      <c r="J7087" s="690" t="s">
        <v>4060</v>
      </c>
      <c r="K7087" s="690" t="s">
        <v>4060</v>
      </c>
    </row>
    <row r="7088" spans="1:11">
      <c r="A7088" s="688" t="s">
        <v>2328</v>
      </c>
      <c r="B7088" s="691">
        <v>72.2</v>
      </c>
      <c r="C7088" s="691">
        <v>72.3</v>
      </c>
      <c r="D7088" s="691">
        <v>72.2</v>
      </c>
      <c r="E7088" s="691">
        <v>72.3</v>
      </c>
      <c r="F7088" s="691">
        <v>72.8</v>
      </c>
      <c r="G7088" s="691">
        <v>73.099999999999994</v>
      </c>
      <c r="H7088" s="691">
        <v>73.2</v>
      </c>
      <c r="I7088" s="691">
        <v>70.599999999999994</v>
      </c>
      <c r="J7088" s="691">
        <v>69.5</v>
      </c>
      <c r="K7088" s="692" t="s">
        <v>4060</v>
      </c>
    </row>
    <row r="7089" spans="1:11">
      <c r="A7089" s="688" t="s">
        <v>2496</v>
      </c>
      <c r="B7089" s="690" t="s">
        <v>4060</v>
      </c>
      <c r="C7089" s="689">
        <v>68.7</v>
      </c>
      <c r="D7089" s="689">
        <v>67.400000000000006</v>
      </c>
      <c r="E7089" s="693">
        <v>67</v>
      </c>
      <c r="F7089" s="689">
        <v>67.900000000000006</v>
      </c>
      <c r="G7089" s="689">
        <v>68.3</v>
      </c>
      <c r="H7089" s="689">
        <v>68.400000000000006</v>
      </c>
      <c r="I7089" s="690" t="s">
        <v>4060</v>
      </c>
      <c r="J7089" s="690" t="s">
        <v>4060</v>
      </c>
      <c r="K7089" s="689">
        <v>67.900000000000006</v>
      </c>
    </row>
    <row r="7090" spans="1:11">
      <c r="A7090" s="688" t="s">
        <v>2269</v>
      </c>
      <c r="B7090" s="691">
        <v>74.7</v>
      </c>
      <c r="C7090" s="615">
        <v>75</v>
      </c>
      <c r="D7090" s="691">
        <v>74.900000000000006</v>
      </c>
      <c r="E7090" s="691">
        <v>75.8</v>
      </c>
      <c r="F7090" s="691">
        <v>75.8</v>
      </c>
      <c r="G7090" s="691">
        <v>76.099999999999994</v>
      </c>
      <c r="H7090" s="691">
        <v>76.5</v>
      </c>
      <c r="I7090" s="615">
        <v>74</v>
      </c>
      <c r="J7090" s="691">
        <v>72.3</v>
      </c>
      <c r="K7090" s="615">
        <v>76</v>
      </c>
    </row>
    <row r="7091" spans="1:11">
      <c r="A7091" s="688" t="s">
        <v>2349</v>
      </c>
      <c r="B7091" s="689">
        <v>71.2</v>
      </c>
      <c r="C7091" s="689">
        <v>71.3</v>
      </c>
      <c r="D7091" s="689">
        <v>71.2</v>
      </c>
      <c r="E7091" s="689">
        <v>71.7</v>
      </c>
      <c r="F7091" s="689">
        <v>71.599999999999994</v>
      </c>
      <c r="G7091" s="689">
        <v>71.900000000000006</v>
      </c>
      <c r="H7091" s="689">
        <v>71.8</v>
      </c>
      <c r="I7091" s="693">
        <v>70</v>
      </c>
      <c r="J7091" s="689">
        <v>68.400000000000006</v>
      </c>
      <c r="K7091" s="693">
        <v>71</v>
      </c>
    </row>
    <row r="7092" spans="1:11">
      <c r="A7092" s="688" t="s">
        <v>2355</v>
      </c>
      <c r="B7092" s="691">
        <v>74.400000000000006</v>
      </c>
      <c r="C7092" s="691">
        <v>74.400000000000006</v>
      </c>
      <c r="D7092" s="691">
        <v>74.400000000000006</v>
      </c>
      <c r="E7092" s="691">
        <v>74.2</v>
      </c>
      <c r="F7092" s="691">
        <v>74.599999999999994</v>
      </c>
      <c r="G7092" s="691">
        <v>75.099999999999994</v>
      </c>
      <c r="H7092" s="691">
        <v>75.3</v>
      </c>
      <c r="I7092" s="692" t="s">
        <v>4060</v>
      </c>
      <c r="J7092" s="692" t="s">
        <v>4060</v>
      </c>
      <c r="K7092" s="692" t="s">
        <v>4060</v>
      </c>
    </row>
    <row r="7093" spans="1:11">
      <c r="A7093" s="688" t="s">
        <v>2357</v>
      </c>
      <c r="B7093" s="690" t="s">
        <v>4060</v>
      </c>
      <c r="C7093" s="689">
        <v>65.2</v>
      </c>
      <c r="D7093" s="689">
        <v>66.099999999999994</v>
      </c>
      <c r="E7093" s="689">
        <v>66.5</v>
      </c>
      <c r="F7093" s="689">
        <v>66.900000000000006</v>
      </c>
      <c r="G7093" s="689">
        <v>66.599999999999994</v>
      </c>
      <c r="H7093" s="689">
        <v>66.900000000000006</v>
      </c>
      <c r="I7093" s="690" t="s">
        <v>4060</v>
      </c>
      <c r="J7093" s="690" t="s">
        <v>4060</v>
      </c>
      <c r="K7093" s="690" t="s">
        <v>4060</v>
      </c>
    </row>
    <row r="7094" spans="1:11">
      <c r="A7094" s="688" t="s">
        <v>4070</v>
      </c>
      <c r="B7094" s="692" t="s">
        <v>4060</v>
      </c>
      <c r="C7094" s="692" t="s">
        <v>4060</v>
      </c>
      <c r="D7094" s="692" t="s">
        <v>4060</v>
      </c>
      <c r="E7094" s="691">
        <v>74.5</v>
      </c>
      <c r="F7094" s="692" t="s">
        <v>4060</v>
      </c>
      <c r="G7094" s="692" t="s">
        <v>4060</v>
      </c>
      <c r="H7094" s="692" t="s">
        <v>4060</v>
      </c>
      <c r="I7094" s="692" t="s">
        <v>4060</v>
      </c>
      <c r="J7094" s="692" t="s">
        <v>4060</v>
      </c>
      <c r="K7094" s="692" t="s">
        <v>4060</v>
      </c>
    </row>
    <row r="7095" spans="1:11">
      <c r="A7095" s="688" t="s">
        <v>2491</v>
      </c>
      <c r="B7095" s="689">
        <v>65.599999999999994</v>
      </c>
      <c r="C7095" s="689">
        <v>66.099999999999994</v>
      </c>
      <c r="D7095" s="689">
        <v>66.900000000000006</v>
      </c>
      <c r="E7095" s="689">
        <v>67.2</v>
      </c>
      <c r="F7095" s="689">
        <v>67.5</v>
      </c>
      <c r="G7095" s="689">
        <v>67.5</v>
      </c>
      <c r="H7095" s="690" t="s">
        <v>4060</v>
      </c>
      <c r="I7095" s="690" t="s">
        <v>4060</v>
      </c>
      <c r="J7095" s="690" t="s">
        <v>4060</v>
      </c>
      <c r="K7095" s="690" t="s">
        <v>4060</v>
      </c>
    </row>
    <row r="7096" spans="1:11">
      <c r="A7096" s="688" t="s">
        <v>2343</v>
      </c>
      <c r="B7096" s="692" t="s">
        <v>4060</v>
      </c>
      <c r="C7096" s="692" t="s">
        <v>4060</v>
      </c>
      <c r="D7096" s="692" t="s">
        <v>4060</v>
      </c>
      <c r="E7096" s="692" t="s">
        <v>4060</v>
      </c>
      <c r="F7096" s="692" t="s">
        <v>4060</v>
      </c>
      <c r="G7096" s="692" t="s">
        <v>4060</v>
      </c>
      <c r="H7096" s="692" t="s">
        <v>4060</v>
      </c>
      <c r="I7096" s="692" t="s">
        <v>4060</v>
      </c>
      <c r="J7096" s="692" t="s">
        <v>4060</v>
      </c>
      <c r="K7096" s="692" t="s">
        <v>4060</v>
      </c>
    </row>
    <row r="7097" spans="1:11">
      <c r="A7097" s="688" t="s">
        <v>4071</v>
      </c>
      <c r="B7097" s="690" t="s">
        <v>4060</v>
      </c>
      <c r="C7097" s="690" t="s">
        <v>4060</v>
      </c>
      <c r="D7097" s="690" t="s">
        <v>4060</v>
      </c>
      <c r="E7097" s="690" t="s">
        <v>4060</v>
      </c>
      <c r="F7097" s="690" t="s">
        <v>4060</v>
      </c>
      <c r="G7097" s="690" t="s">
        <v>4060</v>
      </c>
      <c r="H7097" s="690" t="s">
        <v>4060</v>
      </c>
      <c r="I7097" s="690" t="s">
        <v>4060</v>
      </c>
      <c r="J7097" s="690" t="s">
        <v>4060</v>
      </c>
      <c r="K7097" s="690" t="s">
        <v>4060</v>
      </c>
    </row>
    <row r="7098" spans="1:11">
      <c r="A7098" s="688" t="s">
        <v>2489</v>
      </c>
      <c r="B7098" s="692" t="s">
        <v>4060</v>
      </c>
      <c r="C7098" s="692" t="s">
        <v>4060</v>
      </c>
      <c r="D7098" s="691">
        <v>70.400000000000006</v>
      </c>
      <c r="E7098" s="691">
        <v>70.3</v>
      </c>
      <c r="F7098" s="691">
        <v>71.099999999999994</v>
      </c>
      <c r="G7098" s="615">
        <v>72</v>
      </c>
      <c r="H7098" s="691">
        <v>71.599999999999994</v>
      </c>
      <c r="I7098" s="692" t="s">
        <v>4060</v>
      </c>
      <c r="J7098" s="692" t="s">
        <v>4060</v>
      </c>
      <c r="K7098" s="692" t="s">
        <v>4060</v>
      </c>
    </row>
    <row r="7099" spans="1:11">
      <c r="A7099" s="688" t="s">
        <v>2490</v>
      </c>
      <c r="B7099" s="693">
        <v>71</v>
      </c>
      <c r="C7099" s="689">
        <v>71.099999999999994</v>
      </c>
      <c r="D7099" s="689">
        <v>71.900000000000006</v>
      </c>
      <c r="E7099" s="690" t="s">
        <v>4060</v>
      </c>
      <c r="F7099" s="689">
        <v>72.2</v>
      </c>
      <c r="G7099" s="689">
        <v>72.400000000000006</v>
      </c>
      <c r="H7099" s="689">
        <v>73.3</v>
      </c>
      <c r="I7099" s="690" t="s">
        <v>4060</v>
      </c>
      <c r="J7099" s="690" t="s">
        <v>4060</v>
      </c>
      <c r="K7099" s="690" t="s">
        <v>4060</v>
      </c>
    </row>
    <row r="7101" spans="1:11">
      <c r="A7101" s="683" t="s">
        <v>4233</v>
      </c>
    </row>
    <row r="7102" spans="1:11">
      <c r="A7102" s="683" t="s">
        <v>4060</v>
      </c>
      <c r="B7102" s="682" t="s">
        <v>4234</v>
      </c>
    </row>
    <row r="7104" spans="1:11">
      <c r="A7104" s="682" t="s">
        <v>4331</v>
      </c>
    </row>
    <row r="7105" spans="1:11">
      <c r="A7105" s="682" t="s">
        <v>4210</v>
      </c>
      <c r="B7105" s="683" t="s">
        <v>4211</v>
      </c>
    </row>
    <row r="7106" spans="1:11">
      <c r="A7106" s="682" t="s">
        <v>4212</v>
      </c>
      <c r="B7106" s="682" t="s">
        <v>4213</v>
      </c>
    </row>
    <row r="7108" spans="1:11">
      <c r="A7108" s="683" t="s">
        <v>4214</v>
      </c>
      <c r="C7108" s="682" t="s">
        <v>4215</v>
      </c>
    </row>
    <row r="7109" spans="1:11">
      <c r="A7109" s="683" t="s">
        <v>4216</v>
      </c>
      <c r="C7109" s="682" t="s">
        <v>2967</v>
      </c>
    </row>
    <row r="7110" spans="1:11">
      <c r="A7110" s="683" t="s">
        <v>3893</v>
      </c>
      <c r="C7110" s="682" t="s">
        <v>2168</v>
      </c>
    </row>
    <row r="7111" spans="1:11">
      <c r="A7111" s="683" t="s">
        <v>4218</v>
      </c>
      <c r="C7111" s="682" t="s">
        <v>4237</v>
      </c>
    </row>
    <row r="7113" spans="1:11">
      <c r="A7113" s="684" t="s">
        <v>4220</v>
      </c>
      <c r="B7113" s="685" t="s">
        <v>4221</v>
      </c>
      <c r="C7113" s="685" t="s">
        <v>4222</v>
      </c>
      <c r="D7113" s="685" t="s">
        <v>4223</v>
      </c>
      <c r="E7113" s="685" t="s">
        <v>4224</v>
      </c>
      <c r="F7113" s="685" t="s">
        <v>4225</v>
      </c>
      <c r="G7113" s="685" t="s">
        <v>4226</v>
      </c>
      <c r="H7113" s="685" t="s">
        <v>4227</v>
      </c>
      <c r="I7113" s="685" t="s">
        <v>4228</v>
      </c>
      <c r="J7113" s="685" t="s">
        <v>4229</v>
      </c>
      <c r="K7113" s="685" t="s">
        <v>4230</v>
      </c>
    </row>
    <row r="7114" spans="1:11">
      <c r="A7114" s="686" t="s">
        <v>4231</v>
      </c>
      <c r="B7114" s="687" t="s">
        <v>4232</v>
      </c>
      <c r="C7114" s="687" t="s">
        <v>4232</v>
      </c>
      <c r="D7114" s="687" t="s">
        <v>4232</v>
      </c>
      <c r="E7114" s="687" t="s">
        <v>4232</v>
      </c>
      <c r="F7114" s="687" t="s">
        <v>4232</v>
      </c>
      <c r="G7114" s="687" t="s">
        <v>4232</v>
      </c>
      <c r="H7114" s="687" t="s">
        <v>4232</v>
      </c>
      <c r="I7114" s="687" t="s">
        <v>4232</v>
      </c>
      <c r="J7114" s="687" t="s">
        <v>4232</v>
      </c>
      <c r="K7114" s="687" t="s">
        <v>4232</v>
      </c>
    </row>
    <row r="7115" spans="1:11">
      <c r="A7115" s="688" t="s">
        <v>4064</v>
      </c>
      <c r="B7115" s="689">
        <v>74.900000000000006</v>
      </c>
      <c r="C7115" s="693">
        <v>75</v>
      </c>
      <c r="D7115" s="693">
        <v>75</v>
      </c>
      <c r="E7115" s="689">
        <v>75.2</v>
      </c>
      <c r="F7115" s="689">
        <v>75.3</v>
      </c>
      <c r="G7115" s="689">
        <v>75.400000000000006</v>
      </c>
      <c r="H7115" s="689">
        <v>75.7</v>
      </c>
      <c r="I7115" s="689">
        <v>74.7</v>
      </c>
      <c r="J7115" s="689">
        <v>74.400000000000006</v>
      </c>
      <c r="K7115" s="689">
        <v>75.099999999999994</v>
      </c>
    </row>
    <row r="7116" spans="1:11">
      <c r="A7116" s="688" t="s">
        <v>4065</v>
      </c>
      <c r="B7116" s="691">
        <v>75.099999999999994</v>
      </c>
      <c r="C7116" s="691">
        <v>75.400000000000006</v>
      </c>
      <c r="D7116" s="691">
        <v>75.2</v>
      </c>
      <c r="E7116" s="691">
        <v>75.5</v>
      </c>
      <c r="F7116" s="691">
        <v>75.599999999999994</v>
      </c>
      <c r="G7116" s="691">
        <v>75.7</v>
      </c>
      <c r="H7116" s="692" t="s">
        <v>4060</v>
      </c>
      <c r="I7116" s="692" t="s">
        <v>4060</v>
      </c>
      <c r="J7116" s="692" t="s">
        <v>4060</v>
      </c>
      <c r="K7116" s="692" t="s">
        <v>4060</v>
      </c>
    </row>
    <row r="7117" spans="1:11">
      <c r="A7117" s="688" t="s">
        <v>4063</v>
      </c>
      <c r="B7117" s="689">
        <v>75.099999999999994</v>
      </c>
      <c r="C7117" s="689">
        <v>75.5</v>
      </c>
      <c r="D7117" s="689">
        <v>75.2</v>
      </c>
      <c r="E7117" s="689">
        <v>75.599999999999994</v>
      </c>
      <c r="F7117" s="689">
        <v>75.599999999999994</v>
      </c>
      <c r="G7117" s="689">
        <v>75.7</v>
      </c>
      <c r="H7117" s="690" t="s">
        <v>4060</v>
      </c>
      <c r="I7117" s="690" t="s">
        <v>4060</v>
      </c>
      <c r="J7117" s="690" t="s">
        <v>4060</v>
      </c>
      <c r="K7117" s="690" t="s">
        <v>4060</v>
      </c>
    </row>
    <row r="7118" spans="1:11">
      <c r="A7118" s="688" t="s">
        <v>4069</v>
      </c>
      <c r="B7118" s="692" t="s">
        <v>4060</v>
      </c>
      <c r="C7118" s="691">
        <v>76.2</v>
      </c>
      <c r="D7118" s="615">
        <v>76</v>
      </c>
      <c r="E7118" s="691">
        <v>76.400000000000006</v>
      </c>
      <c r="F7118" s="691">
        <v>76.5</v>
      </c>
      <c r="G7118" s="691">
        <v>76.599999999999994</v>
      </c>
      <c r="H7118" s="691">
        <v>76.900000000000006</v>
      </c>
      <c r="I7118" s="691">
        <v>76.099999999999994</v>
      </c>
      <c r="J7118" s="691">
        <v>76.099999999999994</v>
      </c>
      <c r="K7118" s="691">
        <v>76.3</v>
      </c>
    </row>
    <row r="7119" spans="1:11">
      <c r="A7119" s="688" t="s">
        <v>4068</v>
      </c>
      <c r="B7119" s="689">
        <v>76.099999999999994</v>
      </c>
      <c r="C7119" s="690" t="s">
        <v>4060</v>
      </c>
      <c r="D7119" s="690" t="s">
        <v>4060</v>
      </c>
      <c r="E7119" s="690" t="s">
        <v>4060</v>
      </c>
      <c r="F7119" s="690" t="s">
        <v>4060</v>
      </c>
      <c r="G7119" s="690" t="s">
        <v>4060</v>
      </c>
      <c r="H7119" s="690" t="s">
        <v>4060</v>
      </c>
      <c r="I7119" s="690" t="s">
        <v>4060</v>
      </c>
      <c r="J7119" s="690" t="s">
        <v>4060</v>
      </c>
      <c r="K7119" s="690" t="s">
        <v>4060</v>
      </c>
    </row>
    <row r="7120" spans="1:11">
      <c r="A7120" s="688" t="s">
        <v>0</v>
      </c>
      <c r="B7120" s="691">
        <v>75.400000000000006</v>
      </c>
      <c r="C7120" s="691">
        <v>75.900000000000006</v>
      </c>
      <c r="D7120" s="691">
        <v>75.900000000000006</v>
      </c>
      <c r="E7120" s="691">
        <v>76.099999999999994</v>
      </c>
      <c r="F7120" s="691">
        <v>76.3</v>
      </c>
      <c r="G7120" s="691">
        <v>76.599999999999994</v>
      </c>
      <c r="H7120" s="691">
        <v>76.900000000000006</v>
      </c>
      <c r="I7120" s="691">
        <v>75.8</v>
      </c>
      <c r="J7120" s="691">
        <v>76.599999999999994</v>
      </c>
      <c r="K7120" s="691">
        <v>76.900000000000006</v>
      </c>
    </row>
    <row r="7121" spans="1:11">
      <c r="A7121" s="688" t="s">
        <v>1</v>
      </c>
      <c r="B7121" s="693">
        <v>69</v>
      </c>
      <c r="C7121" s="689">
        <v>68.599999999999994</v>
      </c>
      <c r="D7121" s="689">
        <v>68.7</v>
      </c>
      <c r="E7121" s="689">
        <v>68.7</v>
      </c>
      <c r="F7121" s="689">
        <v>68.7</v>
      </c>
      <c r="G7121" s="689">
        <v>68.7</v>
      </c>
      <c r="H7121" s="689">
        <v>68.7</v>
      </c>
      <c r="I7121" s="693">
        <v>67</v>
      </c>
      <c r="J7121" s="689">
        <v>65.099999999999994</v>
      </c>
      <c r="K7121" s="689">
        <v>67.900000000000006</v>
      </c>
    </row>
    <row r="7122" spans="1:11">
      <c r="A7122" s="688" t="s">
        <v>2240</v>
      </c>
      <c r="B7122" s="691">
        <v>72.5</v>
      </c>
      <c r="C7122" s="691">
        <v>72.900000000000006</v>
      </c>
      <c r="D7122" s="691">
        <v>72.900000000000006</v>
      </c>
      <c r="E7122" s="691">
        <v>73.3</v>
      </c>
      <c r="F7122" s="691">
        <v>73.3</v>
      </c>
      <c r="G7122" s="691">
        <v>73.3</v>
      </c>
      <c r="H7122" s="691">
        <v>73.599999999999994</v>
      </c>
      <c r="I7122" s="691">
        <v>72.5</v>
      </c>
      <c r="J7122" s="691">
        <v>71.3</v>
      </c>
      <c r="K7122" s="691">
        <v>73.3</v>
      </c>
    </row>
    <row r="7123" spans="1:11">
      <c r="A7123" s="688" t="s">
        <v>2</v>
      </c>
      <c r="B7123" s="689">
        <v>75.599999999999994</v>
      </c>
      <c r="C7123" s="693">
        <v>76</v>
      </c>
      <c r="D7123" s="689">
        <v>76.099999999999994</v>
      </c>
      <c r="E7123" s="689">
        <v>76.3</v>
      </c>
      <c r="F7123" s="689">
        <v>76.5</v>
      </c>
      <c r="G7123" s="689">
        <v>76.400000000000006</v>
      </c>
      <c r="H7123" s="689">
        <v>76.7</v>
      </c>
      <c r="I7123" s="689">
        <v>76.900000000000006</v>
      </c>
      <c r="J7123" s="689">
        <v>76.8</v>
      </c>
      <c r="K7123" s="689">
        <v>76.7</v>
      </c>
    </row>
    <row r="7124" spans="1:11">
      <c r="A7124" s="688" t="s">
        <v>3</v>
      </c>
      <c r="B7124" s="691">
        <v>75.5</v>
      </c>
      <c r="C7124" s="691">
        <v>75.7</v>
      </c>
      <c r="D7124" s="691">
        <v>75.400000000000006</v>
      </c>
      <c r="E7124" s="691">
        <v>75.7</v>
      </c>
      <c r="F7124" s="691">
        <v>75.900000000000006</v>
      </c>
      <c r="G7124" s="691">
        <v>75.8</v>
      </c>
      <c r="H7124" s="691">
        <v>76.099999999999994</v>
      </c>
      <c r="I7124" s="691">
        <v>75.900000000000006</v>
      </c>
      <c r="J7124" s="691">
        <v>75.5</v>
      </c>
      <c r="K7124" s="691">
        <v>75.400000000000006</v>
      </c>
    </row>
    <row r="7125" spans="1:11">
      <c r="A7125" s="688" t="s">
        <v>4061</v>
      </c>
      <c r="B7125" s="689">
        <v>75.5</v>
      </c>
      <c r="C7125" s="689">
        <v>75.7</v>
      </c>
      <c r="D7125" s="689">
        <v>75.400000000000006</v>
      </c>
      <c r="E7125" s="689">
        <v>75.7</v>
      </c>
      <c r="F7125" s="689">
        <v>75.900000000000006</v>
      </c>
      <c r="G7125" s="689">
        <v>75.8</v>
      </c>
      <c r="H7125" s="689">
        <v>76.099999999999994</v>
      </c>
      <c r="I7125" s="689">
        <v>75.900000000000006</v>
      </c>
      <c r="J7125" s="689">
        <v>75.5</v>
      </c>
      <c r="K7125" s="689">
        <v>75.400000000000006</v>
      </c>
    </row>
    <row r="7126" spans="1:11">
      <c r="A7126" s="688" t="s">
        <v>4</v>
      </c>
      <c r="B7126" s="615">
        <v>70</v>
      </c>
      <c r="C7126" s="691">
        <v>69.599999999999994</v>
      </c>
      <c r="D7126" s="691">
        <v>70.3</v>
      </c>
      <c r="E7126" s="691">
        <v>70.400000000000006</v>
      </c>
      <c r="F7126" s="691">
        <v>70.900000000000006</v>
      </c>
      <c r="G7126" s="691">
        <v>71.099999999999994</v>
      </c>
      <c r="H7126" s="691">
        <v>71.599999999999994</v>
      </c>
      <c r="I7126" s="691">
        <v>71.5</v>
      </c>
      <c r="J7126" s="615">
        <v>70</v>
      </c>
      <c r="K7126" s="691">
        <v>70.8</v>
      </c>
    </row>
    <row r="7127" spans="1:11">
      <c r="A7127" s="688" t="s">
        <v>8</v>
      </c>
      <c r="B7127" s="689">
        <v>76.3</v>
      </c>
      <c r="C7127" s="689">
        <v>76.5</v>
      </c>
      <c r="D7127" s="689">
        <v>76.8</v>
      </c>
      <c r="E7127" s="693">
        <v>77</v>
      </c>
      <c r="F7127" s="689">
        <v>77.400000000000006</v>
      </c>
      <c r="G7127" s="689">
        <v>77.5</v>
      </c>
      <c r="H7127" s="689">
        <v>77.8</v>
      </c>
      <c r="I7127" s="689">
        <v>77.8</v>
      </c>
      <c r="J7127" s="689">
        <v>77.5</v>
      </c>
      <c r="K7127" s="693">
        <v>78</v>
      </c>
    </row>
    <row r="7128" spans="1:11">
      <c r="A7128" s="688" t="s">
        <v>7</v>
      </c>
      <c r="B7128" s="615">
        <v>76</v>
      </c>
      <c r="C7128" s="691">
        <v>75.5</v>
      </c>
      <c r="D7128" s="691">
        <v>75.3</v>
      </c>
      <c r="E7128" s="691">
        <v>75.7</v>
      </c>
      <c r="F7128" s="691">
        <v>75.599999999999994</v>
      </c>
      <c r="G7128" s="691">
        <v>76.099999999999994</v>
      </c>
      <c r="H7128" s="691">
        <v>76.099999999999994</v>
      </c>
      <c r="I7128" s="691">
        <v>75.8</v>
      </c>
      <c r="J7128" s="691">
        <v>74.599999999999994</v>
      </c>
      <c r="K7128" s="691">
        <v>75.5</v>
      </c>
    </row>
    <row r="7129" spans="1:11">
      <c r="A7129" s="688" t="s">
        <v>27</v>
      </c>
      <c r="B7129" s="689">
        <v>77.400000000000006</v>
      </c>
      <c r="C7129" s="689">
        <v>77.3</v>
      </c>
      <c r="D7129" s="689">
        <v>77.099999999999994</v>
      </c>
      <c r="E7129" s="689">
        <v>77.5</v>
      </c>
      <c r="F7129" s="689">
        <v>77.599999999999994</v>
      </c>
      <c r="G7129" s="689">
        <v>77.599999999999994</v>
      </c>
      <c r="H7129" s="693">
        <v>78</v>
      </c>
      <c r="I7129" s="689">
        <v>76.7</v>
      </c>
      <c r="J7129" s="689">
        <v>77.400000000000006</v>
      </c>
      <c r="K7129" s="689">
        <v>77.599999999999994</v>
      </c>
    </row>
    <row r="7130" spans="1:11">
      <c r="A7130" s="688" t="s">
        <v>6</v>
      </c>
      <c r="B7130" s="691">
        <v>76.3</v>
      </c>
      <c r="C7130" s="691">
        <v>76.599999999999994</v>
      </c>
      <c r="D7130" s="691">
        <v>76.400000000000006</v>
      </c>
      <c r="E7130" s="691">
        <v>76.599999999999994</v>
      </c>
      <c r="F7130" s="691">
        <v>76.8</v>
      </c>
      <c r="G7130" s="691">
        <v>76.900000000000006</v>
      </c>
      <c r="H7130" s="691">
        <v>77.099999999999994</v>
      </c>
      <c r="I7130" s="691">
        <v>76.5</v>
      </c>
      <c r="J7130" s="691">
        <v>76.5</v>
      </c>
      <c r="K7130" s="691">
        <v>76.7</v>
      </c>
    </row>
    <row r="7131" spans="1:11">
      <c r="A7131" s="688" t="s">
        <v>4058</v>
      </c>
      <c r="B7131" s="690" t="s">
        <v>4060</v>
      </c>
      <c r="C7131" s="690" t="s">
        <v>4060</v>
      </c>
      <c r="D7131" s="690" t="s">
        <v>4060</v>
      </c>
      <c r="E7131" s="690" t="s">
        <v>4060</v>
      </c>
      <c r="F7131" s="690" t="s">
        <v>4060</v>
      </c>
      <c r="G7131" s="690" t="s">
        <v>4060</v>
      </c>
      <c r="H7131" s="690" t="s">
        <v>4060</v>
      </c>
      <c r="I7131" s="690" t="s">
        <v>4060</v>
      </c>
      <c r="J7131" s="690" t="s">
        <v>4060</v>
      </c>
      <c r="K7131" s="690" t="s">
        <v>4060</v>
      </c>
    </row>
    <row r="7132" spans="1:11">
      <c r="A7132" s="688" t="s">
        <v>11</v>
      </c>
      <c r="B7132" s="691">
        <v>71.8</v>
      </c>
      <c r="C7132" s="615">
        <v>72</v>
      </c>
      <c r="D7132" s="691">
        <v>71.599999999999994</v>
      </c>
      <c r="E7132" s="691">
        <v>72.2</v>
      </c>
      <c r="F7132" s="691">
        <v>72.2</v>
      </c>
      <c r="G7132" s="691">
        <v>72.2</v>
      </c>
      <c r="H7132" s="691">
        <v>72.599999999999994</v>
      </c>
      <c r="I7132" s="691">
        <v>71.8</v>
      </c>
      <c r="J7132" s="691">
        <v>70.8</v>
      </c>
      <c r="K7132" s="615">
        <v>72</v>
      </c>
    </row>
    <row r="7133" spans="1:11">
      <c r="A7133" s="688" t="s">
        <v>10</v>
      </c>
      <c r="B7133" s="689">
        <v>77.599999999999994</v>
      </c>
      <c r="C7133" s="689">
        <v>77.7</v>
      </c>
      <c r="D7133" s="689">
        <v>77.400000000000006</v>
      </c>
      <c r="E7133" s="693">
        <v>78</v>
      </c>
      <c r="F7133" s="689">
        <v>77.8</v>
      </c>
      <c r="G7133" s="689">
        <v>78.2</v>
      </c>
      <c r="H7133" s="689">
        <v>78.400000000000006</v>
      </c>
      <c r="I7133" s="689">
        <v>77.099999999999994</v>
      </c>
      <c r="J7133" s="689">
        <v>77.599999999999994</v>
      </c>
      <c r="K7133" s="689">
        <v>77.8</v>
      </c>
    </row>
    <row r="7134" spans="1:11">
      <c r="A7134" s="688" t="s">
        <v>30</v>
      </c>
      <c r="B7134" s="691">
        <v>77.3</v>
      </c>
      <c r="C7134" s="691">
        <v>77.599999999999994</v>
      </c>
      <c r="D7134" s="691">
        <v>77.2</v>
      </c>
      <c r="E7134" s="691">
        <v>77.900000000000006</v>
      </c>
      <c r="F7134" s="691">
        <v>77.599999999999994</v>
      </c>
      <c r="G7134" s="691">
        <v>78.400000000000006</v>
      </c>
      <c r="H7134" s="691">
        <v>77.900000000000006</v>
      </c>
      <c r="I7134" s="615">
        <v>78</v>
      </c>
      <c r="J7134" s="615">
        <v>77</v>
      </c>
      <c r="K7134" s="691">
        <v>77.599999999999994</v>
      </c>
    </row>
    <row r="7135" spans="1:11">
      <c r="A7135" s="688" t="s">
        <v>12</v>
      </c>
      <c r="B7135" s="689">
        <v>66.7</v>
      </c>
      <c r="C7135" s="689">
        <v>66.400000000000006</v>
      </c>
      <c r="D7135" s="689">
        <v>67.099999999999994</v>
      </c>
      <c r="E7135" s="689">
        <v>67.099999999999994</v>
      </c>
      <c r="F7135" s="689">
        <v>67.099999999999994</v>
      </c>
      <c r="G7135" s="689">
        <v>67.3</v>
      </c>
      <c r="H7135" s="689">
        <v>68.099999999999994</v>
      </c>
      <c r="I7135" s="689">
        <v>67.900000000000006</v>
      </c>
      <c r="J7135" s="689">
        <v>65.5</v>
      </c>
      <c r="K7135" s="689">
        <v>66.599999999999994</v>
      </c>
    </row>
    <row r="7136" spans="1:11">
      <c r="A7136" s="688" t="s">
        <v>14</v>
      </c>
      <c r="B7136" s="691">
        <v>65.900000000000006</v>
      </c>
      <c r="C7136" s="691">
        <v>66.400000000000006</v>
      </c>
      <c r="D7136" s="691">
        <v>66.5</v>
      </c>
      <c r="E7136" s="691">
        <v>66.8</v>
      </c>
      <c r="F7136" s="691">
        <v>67.900000000000006</v>
      </c>
      <c r="G7136" s="691">
        <v>68.2</v>
      </c>
      <c r="H7136" s="691">
        <v>68.7</v>
      </c>
      <c r="I7136" s="691">
        <v>67.400000000000006</v>
      </c>
      <c r="J7136" s="691">
        <v>66.900000000000006</v>
      </c>
      <c r="K7136" s="691">
        <v>68.599999999999994</v>
      </c>
    </row>
    <row r="7137" spans="1:11">
      <c r="A7137" s="688" t="s">
        <v>15</v>
      </c>
      <c r="B7137" s="689">
        <v>77.099999999999994</v>
      </c>
      <c r="C7137" s="689">
        <v>76.400000000000006</v>
      </c>
      <c r="D7137" s="689">
        <v>77.099999999999994</v>
      </c>
      <c r="E7137" s="689">
        <v>77.3</v>
      </c>
      <c r="F7137" s="693">
        <v>77</v>
      </c>
      <c r="G7137" s="689">
        <v>77.2</v>
      </c>
      <c r="H7137" s="689">
        <v>77.599999999999994</v>
      </c>
      <c r="I7137" s="689">
        <v>77.099999999999994</v>
      </c>
      <c r="J7137" s="689">
        <v>77.599999999999994</v>
      </c>
      <c r="K7137" s="693">
        <v>78</v>
      </c>
    </row>
    <row r="7138" spans="1:11">
      <c r="A7138" s="688" t="s">
        <v>29</v>
      </c>
      <c r="B7138" s="691">
        <v>69.599999999999994</v>
      </c>
      <c r="C7138" s="691">
        <v>69.599999999999994</v>
      </c>
      <c r="D7138" s="691">
        <v>69.599999999999994</v>
      </c>
      <c r="E7138" s="691">
        <v>69.900000000000006</v>
      </c>
      <c r="F7138" s="691">
        <v>69.8</v>
      </c>
      <c r="G7138" s="691">
        <v>69.900000000000006</v>
      </c>
      <c r="H7138" s="691">
        <v>70.3</v>
      </c>
      <c r="I7138" s="691">
        <v>69.5</v>
      </c>
      <c r="J7138" s="615">
        <v>68</v>
      </c>
      <c r="K7138" s="691">
        <v>69.900000000000006</v>
      </c>
    </row>
    <row r="7139" spans="1:11">
      <c r="A7139" s="688" t="s">
        <v>16</v>
      </c>
      <c r="B7139" s="689">
        <v>77.099999999999994</v>
      </c>
      <c r="C7139" s="693">
        <v>77</v>
      </c>
      <c r="D7139" s="689">
        <v>77.2</v>
      </c>
      <c r="E7139" s="693">
        <v>78</v>
      </c>
      <c r="F7139" s="689">
        <v>77.599999999999994</v>
      </c>
      <c r="G7139" s="689">
        <v>77.7</v>
      </c>
      <c r="H7139" s="689">
        <v>78.2</v>
      </c>
      <c r="I7139" s="689">
        <v>77.099999999999994</v>
      </c>
      <c r="J7139" s="689">
        <v>77.5</v>
      </c>
      <c r="K7139" s="689">
        <v>77.599999999999994</v>
      </c>
    </row>
    <row r="7140" spans="1:11">
      <c r="A7140" s="688" t="s">
        <v>17</v>
      </c>
      <c r="B7140" s="691">
        <v>76.900000000000006</v>
      </c>
      <c r="C7140" s="691">
        <v>77.2</v>
      </c>
      <c r="D7140" s="615">
        <v>77</v>
      </c>
      <c r="E7140" s="691">
        <v>77.2</v>
      </c>
      <c r="F7140" s="691">
        <v>77.400000000000006</v>
      </c>
      <c r="G7140" s="691">
        <v>77.5</v>
      </c>
      <c r="H7140" s="691">
        <v>77.8</v>
      </c>
      <c r="I7140" s="615">
        <v>77</v>
      </c>
      <c r="J7140" s="615">
        <v>77</v>
      </c>
      <c r="K7140" s="691">
        <v>77.400000000000006</v>
      </c>
    </row>
    <row r="7141" spans="1:11">
      <c r="A7141" s="688" t="s">
        <v>19</v>
      </c>
      <c r="B7141" s="693">
        <v>76</v>
      </c>
      <c r="C7141" s="689">
        <v>76.2</v>
      </c>
      <c r="D7141" s="689">
        <v>75.900000000000006</v>
      </c>
      <c r="E7141" s="689">
        <v>76.5</v>
      </c>
      <c r="F7141" s="689">
        <v>76.599999999999994</v>
      </c>
      <c r="G7141" s="689">
        <v>76.599999999999994</v>
      </c>
      <c r="H7141" s="689">
        <v>76.900000000000006</v>
      </c>
      <c r="I7141" s="689">
        <v>76.2</v>
      </c>
      <c r="J7141" s="693">
        <v>76</v>
      </c>
      <c r="K7141" s="689">
        <v>76.3</v>
      </c>
    </row>
    <row r="7142" spans="1:11">
      <c r="A7142" s="688" t="s">
        <v>20</v>
      </c>
      <c r="B7142" s="691">
        <v>70.400000000000006</v>
      </c>
      <c r="C7142" s="615">
        <v>71</v>
      </c>
      <c r="D7142" s="691">
        <v>70.8</v>
      </c>
      <c r="E7142" s="691">
        <v>71.099999999999994</v>
      </c>
      <c r="F7142" s="691">
        <v>71.099999999999994</v>
      </c>
      <c r="G7142" s="615">
        <v>71</v>
      </c>
      <c r="H7142" s="691">
        <v>71.3</v>
      </c>
      <c r="I7142" s="691">
        <v>69.7</v>
      </c>
      <c r="J7142" s="691">
        <v>68.8</v>
      </c>
      <c r="K7142" s="691">
        <v>70.599999999999994</v>
      </c>
    </row>
    <row r="7143" spans="1:11">
      <c r="A7143" s="688" t="s">
        <v>21</v>
      </c>
      <c r="B7143" s="689">
        <v>74.900000000000006</v>
      </c>
      <c r="C7143" s="689">
        <v>75.400000000000006</v>
      </c>
      <c r="D7143" s="689">
        <v>75.5</v>
      </c>
      <c r="E7143" s="689">
        <v>75.5</v>
      </c>
      <c r="F7143" s="689">
        <v>75.8</v>
      </c>
      <c r="G7143" s="689">
        <v>75.8</v>
      </c>
      <c r="H7143" s="689">
        <v>76.2</v>
      </c>
      <c r="I7143" s="689">
        <v>75.599999999999994</v>
      </c>
      <c r="J7143" s="689">
        <v>75.599999999999994</v>
      </c>
      <c r="K7143" s="689">
        <v>76.099999999999994</v>
      </c>
    </row>
    <row r="7144" spans="1:11">
      <c r="A7144" s="688" t="s">
        <v>22</v>
      </c>
      <c r="B7144" s="691">
        <v>69.400000000000006</v>
      </c>
      <c r="C7144" s="691">
        <v>69.099999999999994</v>
      </c>
      <c r="D7144" s="615">
        <v>69</v>
      </c>
      <c r="E7144" s="691">
        <v>69.2</v>
      </c>
      <c r="F7144" s="691">
        <v>69.2</v>
      </c>
      <c r="G7144" s="691">
        <v>69.2</v>
      </c>
      <c r="H7144" s="691">
        <v>69.400000000000006</v>
      </c>
      <c r="I7144" s="691">
        <v>67.7</v>
      </c>
      <c r="J7144" s="691">
        <v>66.599999999999994</v>
      </c>
      <c r="K7144" s="691">
        <v>68.8</v>
      </c>
    </row>
    <row r="7145" spans="1:11">
      <c r="A7145" s="688" t="s">
        <v>26</v>
      </c>
      <c r="B7145" s="689">
        <v>74.5</v>
      </c>
      <c r="C7145" s="689">
        <v>75.099999999999994</v>
      </c>
      <c r="D7145" s="689">
        <v>74.8</v>
      </c>
      <c r="E7145" s="689">
        <v>75.2</v>
      </c>
      <c r="F7145" s="689">
        <v>75.3</v>
      </c>
      <c r="G7145" s="689">
        <v>75.5</v>
      </c>
      <c r="H7145" s="689">
        <v>75.7</v>
      </c>
      <c r="I7145" s="693">
        <v>75</v>
      </c>
      <c r="J7145" s="689">
        <v>74.8</v>
      </c>
      <c r="K7145" s="689">
        <v>75.7</v>
      </c>
    </row>
    <row r="7146" spans="1:11">
      <c r="A7146" s="688" t="s">
        <v>25</v>
      </c>
      <c r="B7146" s="691">
        <v>70.400000000000006</v>
      </c>
      <c r="C7146" s="691">
        <v>70.8</v>
      </c>
      <c r="D7146" s="691">
        <v>70.599999999999994</v>
      </c>
      <c r="E7146" s="691">
        <v>71.3</v>
      </c>
      <c r="F7146" s="691">
        <v>71.2</v>
      </c>
      <c r="G7146" s="691">
        <v>71.3</v>
      </c>
      <c r="H7146" s="691">
        <v>71.8</v>
      </c>
      <c r="I7146" s="615">
        <v>71</v>
      </c>
      <c r="J7146" s="691">
        <v>68.599999999999994</v>
      </c>
      <c r="K7146" s="691">
        <v>71.099999999999994</v>
      </c>
    </row>
    <row r="7147" spans="1:11">
      <c r="A7147" s="688" t="s">
        <v>5</v>
      </c>
      <c r="B7147" s="689">
        <v>75.2</v>
      </c>
      <c r="C7147" s="689">
        <v>75.400000000000006</v>
      </c>
      <c r="D7147" s="689">
        <v>75.7</v>
      </c>
      <c r="E7147" s="689">
        <v>75.599999999999994</v>
      </c>
      <c r="F7147" s="689">
        <v>75.900000000000006</v>
      </c>
      <c r="G7147" s="689">
        <v>76.099999999999994</v>
      </c>
      <c r="H7147" s="689">
        <v>76.400000000000006</v>
      </c>
      <c r="I7147" s="689">
        <v>76.2</v>
      </c>
      <c r="J7147" s="689">
        <v>76.3</v>
      </c>
      <c r="K7147" s="689">
        <v>75.8</v>
      </c>
    </row>
    <row r="7148" spans="1:11">
      <c r="A7148" s="688" t="s">
        <v>23</v>
      </c>
      <c r="B7148" s="691">
        <v>77.400000000000006</v>
      </c>
      <c r="C7148" s="691">
        <v>77.599999999999994</v>
      </c>
      <c r="D7148" s="691">
        <v>77.599999999999994</v>
      </c>
      <c r="E7148" s="691">
        <v>77.8</v>
      </c>
      <c r="F7148" s="691">
        <v>77.900000000000006</v>
      </c>
      <c r="G7148" s="615">
        <v>78</v>
      </c>
      <c r="H7148" s="691">
        <v>78.5</v>
      </c>
      <c r="I7148" s="691">
        <v>77.8</v>
      </c>
      <c r="J7148" s="691">
        <v>78.400000000000006</v>
      </c>
      <c r="K7148" s="691">
        <v>78.5</v>
      </c>
    </row>
    <row r="7149" spans="1:11">
      <c r="A7149" s="688" t="s">
        <v>4067</v>
      </c>
      <c r="B7149" s="689">
        <v>75.099999999999994</v>
      </c>
      <c r="C7149" s="689">
        <v>75.400000000000006</v>
      </c>
      <c r="D7149" s="689">
        <v>75.2</v>
      </c>
      <c r="E7149" s="689">
        <v>75.599999999999994</v>
      </c>
      <c r="F7149" s="689">
        <v>75.599999999999994</v>
      </c>
      <c r="G7149" s="689">
        <v>75.7</v>
      </c>
      <c r="H7149" s="690" t="s">
        <v>4060</v>
      </c>
      <c r="I7149" s="690" t="s">
        <v>4060</v>
      </c>
      <c r="J7149" s="690" t="s">
        <v>4060</v>
      </c>
      <c r="K7149" s="690" t="s">
        <v>4060</v>
      </c>
    </row>
    <row r="7150" spans="1:11">
      <c r="A7150" s="688" t="s">
        <v>4066</v>
      </c>
      <c r="B7150" s="691">
        <v>75.099999999999994</v>
      </c>
      <c r="C7150" s="691">
        <v>75.5</v>
      </c>
      <c r="D7150" s="691">
        <v>75.3</v>
      </c>
      <c r="E7150" s="691">
        <v>75.599999999999994</v>
      </c>
      <c r="F7150" s="691">
        <v>75.7</v>
      </c>
      <c r="G7150" s="691">
        <v>75.7</v>
      </c>
      <c r="H7150" s="692" t="s">
        <v>4060</v>
      </c>
      <c r="I7150" s="692" t="s">
        <v>4060</v>
      </c>
      <c r="J7150" s="692" t="s">
        <v>4060</v>
      </c>
      <c r="K7150" s="692" t="s">
        <v>4060</v>
      </c>
    </row>
    <row r="7151" spans="1:11">
      <c r="A7151" s="688" t="s">
        <v>4062</v>
      </c>
      <c r="B7151" s="689">
        <v>77.7</v>
      </c>
      <c r="C7151" s="689">
        <v>77.900000000000006</v>
      </c>
      <c r="D7151" s="689">
        <v>77.900000000000006</v>
      </c>
      <c r="E7151" s="689">
        <v>78.400000000000006</v>
      </c>
      <c r="F7151" s="689">
        <v>78.5</v>
      </c>
      <c r="G7151" s="689">
        <v>78.7</v>
      </c>
      <c r="H7151" s="689">
        <v>78.900000000000006</v>
      </c>
      <c r="I7151" s="689">
        <v>78.400000000000006</v>
      </c>
      <c r="J7151" s="689">
        <v>78.900000000000006</v>
      </c>
      <c r="K7151" s="689">
        <v>78.599999999999994</v>
      </c>
    </row>
    <row r="7152" spans="1:11">
      <c r="A7152" s="688" t="s">
        <v>9</v>
      </c>
      <c r="B7152" s="691">
        <v>77.599999999999994</v>
      </c>
      <c r="C7152" s="691">
        <v>78.2</v>
      </c>
      <c r="D7152" s="691">
        <v>78.3</v>
      </c>
      <c r="E7152" s="691">
        <v>77.400000000000006</v>
      </c>
      <c r="F7152" s="615">
        <v>78</v>
      </c>
      <c r="G7152" s="691">
        <v>78.3</v>
      </c>
      <c r="H7152" s="691">
        <v>78.599999999999994</v>
      </c>
      <c r="I7152" s="691">
        <v>78.8</v>
      </c>
      <c r="J7152" s="691">
        <v>78.900000000000006</v>
      </c>
      <c r="K7152" s="615">
        <v>78</v>
      </c>
    </row>
    <row r="7153" spans="1:11">
      <c r="A7153" s="688" t="s">
        <v>13</v>
      </c>
      <c r="B7153" s="689">
        <v>77.7</v>
      </c>
      <c r="C7153" s="693">
        <v>78</v>
      </c>
      <c r="D7153" s="689">
        <v>78.599999999999994</v>
      </c>
      <c r="E7153" s="689">
        <v>77.599999999999994</v>
      </c>
      <c r="F7153" s="693">
        <v>78</v>
      </c>
      <c r="G7153" s="689">
        <v>77.400000000000006</v>
      </c>
      <c r="H7153" s="689">
        <v>79.400000000000006</v>
      </c>
      <c r="I7153" s="689">
        <v>77.5</v>
      </c>
      <c r="J7153" s="689">
        <v>79.099999999999994</v>
      </c>
      <c r="K7153" s="689">
        <v>79.400000000000006</v>
      </c>
    </row>
    <row r="7154" spans="1:11">
      <c r="A7154" s="688" t="s">
        <v>18</v>
      </c>
      <c r="B7154" s="615">
        <v>77</v>
      </c>
      <c r="C7154" s="691">
        <v>77.3</v>
      </c>
      <c r="D7154" s="691">
        <v>77.599999999999994</v>
      </c>
      <c r="E7154" s="691">
        <v>77.8</v>
      </c>
      <c r="F7154" s="691">
        <v>78.099999999999994</v>
      </c>
      <c r="G7154" s="691">
        <v>78.2</v>
      </c>
      <c r="H7154" s="691">
        <v>78.400000000000006</v>
      </c>
      <c r="I7154" s="691">
        <v>78.7</v>
      </c>
      <c r="J7154" s="691">
        <v>78.8</v>
      </c>
      <c r="K7154" s="691">
        <v>78.099999999999994</v>
      </c>
    </row>
    <row r="7155" spans="1:11">
      <c r="A7155" s="688" t="s">
        <v>24</v>
      </c>
      <c r="B7155" s="689">
        <v>78.099999999999994</v>
      </c>
      <c r="C7155" s="689">
        <v>78.3</v>
      </c>
      <c r="D7155" s="689">
        <v>78.099999999999994</v>
      </c>
      <c r="E7155" s="689">
        <v>78.8</v>
      </c>
      <c r="F7155" s="689">
        <v>78.7</v>
      </c>
      <c r="G7155" s="693">
        <v>79</v>
      </c>
      <c r="H7155" s="689">
        <v>79.2</v>
      </c>
      <c r="I7155" s="689">
        <v>78.3</v>
      </c>
      <c r="J7155" s="689">
        <v>78.900000000000006</v>
      </c>
      <c r="K7155" s="693">
        <v>79</v>
      </c>
    </row>
    <row r="7156" spans="1:11">
      <c r="A7156" s="688" t="s">
        <v>4059</v>
      </c>
      <c r="B7156" s="691">
        <v>76.599999999999994</v>
      </c>
      <c r="C7156" s="691">
        <v>76.8</v>
      </c>
      <c r="D7156" s="691">
        <v>76.599999999999994</v>
      </c>
      <c r="E7156" s="691">
        <v>76.8</v>
      </c>
      <c r="F7156" s="691">
        <v>76.8</v>
      </c>
      <c r="G7156" s="691">
        <v>76.8</v>
      </c>
      <c r="H7156" s="692" t="s">
        <v>4060</v>
      </c>
      <c r="I7156" s="692" t="s">
        <v>4060</v>
      </c>
      <c r="J7156" s="692" t="s">
        <v>4060</v>
      </c>
      <c r="K7156" s="692" t="s">
        <v>4060</v>
      </c>
    </row>
    <row r="7157" spans="1:11">
      <c r="A7157" s="688" t="s">
        <v>2324</v>
      </c>
      <c r="B7157" s="689">
        <v>71.5</v>
      </c>
      <c r="C7157" s="689">
        <v>71.599999999999994</v>
      </c>
      <c r="D7157" s="689">
        <v>71.5</v>
      </c>
      <c r="E7157" s="689">
        <v>71.3</v>
      </c>
      <c r="F7157" s="689">
        <v>71.2</v>
      </c>
      <c r="G7157" s="689">
        <v>71.7</v>
      </c>
      <c r="H7157" s="689">
        <v>71.2</v>
      </c>
      <c r="I7157" s="689">
        <v>70.400000000000006</v>
      </c>
      <c r="J7157" s="689">
        <v>67.900000000000006</v>
      </c>
      <c r="K7157" s="690" t="s">
        <v>4060</v>
      </c>
    </row>
    <row r="7158" spans="1:11">
      <c r="A7158" s="688" t="s">
        <v>2322</v>
      </c>
      <c r="B7158" s="692" t="s">
        <v>4060</v>
      </c>
      <c r="C7158" s="692" t="s">
        <v>4060</v>
      </c>
      <c r="D7158" s="692" t="s">
        <v>4060</v>
      </c>
      <c r="E7158" s="692" t="s">
        <v>4060</v>
      </c>
      <c r="F7158" s="692" t="s">
        <v>4060</v>
      </c>
      <c r="G7158" s="692" t="s">
        <v>4060</v>
      </c>
      <c r="H7158" s="692" t="s">
        <v>4060</v>
      </c>
      <c r="I7158" s="692" t="s">
        <v>4060</v>
      </c>
      <c r="J7158" s="692" t="s">
        <v>4060</v>
      </c>
      <c r="K7158" s="692" t="s">
        <v>4060</v>
      </c>
    </row>
    <row r="7159" spans="1:11">
      <c r="A7159" s="688" t="s">
        <v>2328</v>
      </c>
      <c r="B7159" s="689">
        <v>71.2</v>
      </c>
      <c r="C7159" s="689">
        <v>71.3</v>
      </c>
      <c r="D7159" s="689">
        <v>71.3</v>
      </c>
      <c r="E7159" s="689">
        <v>71.3</v>
      </c>
      <c r="F7159" s="689">
        <v>71.8</v>
      </c>
      <c r="G7159" s="689">
        <v>72.099999999999994</v>
      </c>
      <c r="H7159" s="689">
        <v>72.2</v>
      </c>
      <c r="I7159" s="689">
        <v>69.599999999999994</v>
      </c>
      <c r="J7159" s="689">
        <v>68.5</v>
      </c>
      <c r="K7159" s="690" t="s">
        <v>4060</v>
      </c>
    </row>
    <row r="7160" spans="1:11">
      <c r="A7160" s="688" t="s">
        <v>2496</v>
      </c>
      <c r="B7160" s="692" t="s">
        <v>4060</v>
      </c>
      <c r="C7160" s="691">
        <v>67.7</v>
      </c>
      <c r="D7160" s="691">
        <v>66.400000000000006</v>
      </c>
      <c r="E7160" s="691">
        <v>66.099999999999994</v>
      </c>
      <c r="F7160" s="615">
        <v>67</v>
      </c>
      <c r="G7160" s="691">
        <v>67.3</v>
      </c>
      <c r="H7160" s="691">
        <v>67.5</v>
      </c>
      <c r="I7160" s="692" t="s">
        <v>4060</v>
      </c>
      <c r="J7160" s="692" t="s">
        <v>4060</v>
      </c>
      <c r="K7160" s="691">
        <v>66.900000000000006</v>
      </c>
    </row>
    <row r="7161" spans="1:11">
      <c r="A7161" s="688" t="s">
        <v>2269</v>
      </c>
      <c r="B7161" s="689">
        <v>73.8</v>
      </c>
      <c r="C7161" s="689">
        <v>74.099999999999994</v>
      </c>
      <c r="D7161" s="693">
        <v>74</v>
      </c>
      <c r="E7161" s="689">
        <v>74.8</v>
      </c>
      <c r="F7161" s="689">
        <v>74.8</v>
      </c>
      <c r="G7161" s="689">
        <v>75.099999999999994</v>
      </c>
      <c r="H7161" s="689">
        <v>75.5</v>
      </c>
      <c r="I7161" s="689">
        <v>73.099999999999994</v>
      </c>
      <c r="J7161" s="689">
        <v>71.3</v>
      </c>
      <c r="K7161" s="693">
        <v>75</v>
      </c>
    </row>
    <row r="7162" spans="1:11">
      <c r="A7162" s="688" t="s">
        <v>2349</v>
      </c>
      <c r="B7162" s="691">
        <v>70.2</v>
      </c>
      <c r="C7162" s="691">
        <v>70.3</v>
      </c>
      <c r="D7162" s="691">
        <v>70.2</v>
      </c>
      <c r="E7162" s="691">
        <v>70.7</v>
      </c>
      <c r="F7162" s="691">
        <v>70.599999999999994</v>
      </c>
      <c r="G7162" s="691">
        <v>70.900000000000006</v>
      </c>
      <c r="H7162" s="691">
        <v>70.8</v>
      </c>
      <c r="I7162" s="615">
        <v>69</v>
      </c>
      <c r="J7162" s="691">
        <v>67.400000000000006</v>
      </c>
      <c r="K7162" s="691">
        <v>70.099999999999994</v>
      </c>
    </row>
    <row r="7163" spans="1:11">
      <c r="A7163" s="688" t="s">
        <v>2355</v>
      </c>
      <c r="B7163" s="689">
        <v>73.400000000000006</v>
      </c>
      <c r="C7163" s="689">
        <v>73.5</v>
      </c>
      <c r="D7163" s="689">
        <v>73.400000000000006</v>
      </c>
      <c r="E7163" s="689">
        <v>73.3</v>
      </c>
      <c r="F7163" s="689">
        <v>73.599999999999994</v>
      </c>
      <c r="G7163" s="689">
        <v>74.099999999999994</v>
      </c>
      <c r="H7163" s="689">
        <v>74.3</v>
      </c>
      <c r="I7163" s="690" t="s">
        <v>4060</v>
      </c>
      <c r="J7163" s="690" t="s">
        <v>4060</v>
      </c>
      <c r="K7163" s="690" t="s">
        <v>4060</v>
      </c>
    </row>
    <row r="7164" spans="1:11">
      <c r="A7164" s="688" t="s">
        <v>2357</v>
      </c>
      <c r="B7164" s="692" t="s">
        <v>4060</v>
      </c>
      <c r="C7164" s="691">
        <v>64.3</v>
      </c>
      <c r="D7164" s="691">
        <v>65.099999999999994</v>
      </c>
      <c r="E7164" s="691">
        <v>65.599999999999994</v>
      </c>
      <c r="F7164" s="691">
        <v>65.900000000000006</v>
      </c>
      <c r="G7164" s="691">
        <v>65.7</v>
      </c>
      <c r="H7164" s="691">
        <v>65.900000000000006</v>
      </c>
      <c r="I7164" s="692" t="s">
        <v>4060</v>
      </c>
      <c r="J7164" s="692" t="s">
        <v>4060</v>
      </c>
      <c r="K7164" s="692" t="s">
        <v>4060</v>
      </c>
    </row>
    <row r="7165" spans="1:11">
      <c r="A7165" s="688" t="s">
        <v>4070</v>
      </c>
      <c r="B7165" s="690" t="s">
        <v>4060</v>
      </c>
      <c r="C7165" s="690" t="s">
        <v>4060</v>
      </c>
      <c r="D7165" s="690" t="s">
        <v>4060</v>
      </c>
      <c r="E7165" s="689">
        <v>73.5</v>
      </c>
      <c r="F7165" s="690" t="s">
        <v>4060</v>
      </c>
      <c r="G7165" s="690" t="s">
        <v>4060</v>
      </c>
      <c r="H7165" s="690" t="s">
        <v>4060</v>
      </c>
      <c r="I7165" s="690" t="s">
        <v>4060</v>
      </c>
      <c r="J7165" s="690" t="s">
        <v>4060</v>
      </c>
      <c r="K7165" s="690" t="s">
        <v>4060</v>
      </c>
    </row>
    <row r="7166" spans="1:11">
      <c r="A7166" s="688" t="s">
        <v>2491</v>
      </c>
      <c r="B7166" s="691">
        <v>64.599999999999994</v>
      </c>
      <c r="C7166" s="691">
        <v>65.2</v>
      </c>
      <c r="D7166" s="691">
        <v>65.900000000000006</v>
      </c>
      <c r="E7166" s="691">
        <v>66.3</v>
      </c>
      <c r="F7166" s="691">
        <v>66.599999999999994</v>
      </c>
      <c r="G7166" s="691">
        <v>66.5</v>
      </c>
      <c r="H7166" s="692" t="s">
        <v>4060</v>
      </c>
      <c r="I7166" s="692" t="s">
        <v>4060</v>
      </c>
      <c r="J7166" s="692" t="s">
        <v>4060</v>
      </c>
      <c r="K7166" s="692" t="s">
        <v>4060</v>
      </c>
    </row>
    <row r="7167" spans="1:11">
      <c r="A7167" s="688" t="s">
        <v>2343</v>
      </c>
      <c r="B7167" s="690" t="s">
        <v>4060</v>
      </c>
      <c r="C7167" s="690" t="s">
        <v>4060</v>
      </c>
      <c r="D7167" s="690" t="s">
        <v>4060</v>
      </c>
      <c r="E7167" s="690" t="s">
        <v>4060</v>
      </c>
      <c r="F7167" s="690" t="s">
        <v>4060</v>
      </c>
      <c r="G7167" s="690" t="s">
        <v>4060</v>
      </c>
      <c r="H7167" s="690" t="s">
        <v>4060</v>
      </c>
      <c r="I7167" s="690" t="s">
        <v>4060</v>
      </c>
      <c r="J7167" s="690" t="s">
        <v>4060</v>
      </c>
      <c r="K7167" s="690" t="s">
        <v>4060</v>
      </c>
    </row>
    <row r="7168" spans="1:11">
      <c r="A7168" s="688" t="s">
        <v>4071</v>
      </c>
      <c r="B7168" s="692" t="s">
        <v>4060</v>
      </c>
      <c r="C7168" s="692" t="s">
        <v>4060</v>
      </c>
      <c r="D7168" s="692" t="s">
        <v>4060</v>
      </c>
      <c r="E7168" s="692" t="s">
        <v>4060</v>
      </c>
      <c r="F7168" s="692" t="s">
        <v>4060</v>
      </c>
      <c r="G7168" s="692" t="s">
        <v>4060</v>
      </c>
      <c r="H7168" s="692" t="s">
        <v>4060</v>
      </c>
      <c r="I7168" s="692" t="s">
        <v>4060</v>
      </c>
      <c r="J7168" s="692" t="s">
        <v>4060</v>
      </c>
      <c r="K7168" s="692" t="s">
        <v>4060</v>
      </c>
    </row>
    <row r="7169" spans="1:11">
      <c r="A7169" s="688" t="s">
        <v>2489</v>
      </c>
      <c r="B7169" s="690" t="s">
        <v>4060</v>
      </c>
      <c r="C7169" s="690" t="s">
        <v>4060</v>
      </c>
      <c r="D7169" s="689">
        <v>69.400000000000006</v>
      </c>
      <c r="E7169" s="689">
        <v>69.3</v>
      </c>
      <c r="F7169" s="689">
        <v>70.2</v>
      </c>
      <c r="G7169" s="693">
        <v>71</v>
      </c>
      <c r="H7169" s="689">
        <v>70.7</v>
      </c>
      <c r="I7169" s="690" t="s">
        <v>4060</v>
      </c>
      <c r="J7169" s="690" t="s">
        <v>4060</v>
      </c>
      <c r="K7169" s="690" t="s">
        <v>4060</v>
      </c>
    </row>
    <row r="7170" spans="1:11">
      <c r="A7170" s="688" t="s">
        <v>2490</v>
      </c>
      <c r="B7170" s="615">
        <v>70</v>
      </c>
      <c r="C7170" s="691">
        <v>70.099999999999994</v>
      </c>
      <c r="D7170" s="691">
        <v>70.900000000000006</v>
      </c>
      <c r="E7170" s="692" t="s">
        <v>4060</v>
      </c>
      <c r="F7170" s="691">
        <v>71.2</v>
      </c>
      <c r="G7170" s="691">
        <v>71.5</v>
      </c>
      <c r="H7170" s="691">
        <v>72.3</v>
      </c>
      <c r="I7170" s="692" t="s">
        <v>4060</v>
      </c>
      <c r="J7170" s="692" t="s">
        <v>4060</v>
      </c>
      <c r="K7170" s="692" t="s">
        <v>4060</v>
      </c>
    </row>
    <row r="7172" spans="1:11">
      <c r="A7172" s="683" t="s">
        <v>4233</v>
      </c>
    </row>
    <row r="7173" spans="1:11">
      <c r="A7173" s="683" t="s">
        <v>4060</v>
      </c>
      <c r="B7173" s="682" t="s">
        <v>4234</v>
      </c>
    </row>
    <row r="7175" spans="1:11">
      <c r="A7175" s="682" t="s">
        <v>4331</v>
      </c>
    </row>
    <row r="7176" spans="1:11">
      <c r="A7176" s="682" t="s">
        <v>4210</v>
      </c>
      <c r="B7176" s="683" t="s">
        <v>4211</v>
      </c>
    </row>
    <row r="7177" spans="1:11">
      <c r="A7177" s="682" t="s">
        <v>4212</v>
      </c>
      <c r="B7177" s="682" t="s">
        <v>4213</v>
      </c>
    </row>
    <row r="7179" spans="1:11">
      <c r="A7179" s="683" t="s">
        <v>4214</v>
      </c>
      <c r="C7179" s="682" t="s">
        <v>4215</v>
      </c>
    </row>
    <row r="7180" spans="1:11">
      <c r="A7180" s="683" t="s">
        <v>4216</v>
      </c>
      <c r="C7180" s="682" t="s">
        <v>2967</v>
      </c>
    </row>
    <row r="7181" spans="1:11">
      <c r="A7181" s="683" t="s">
        <v>3893</v>
      </c>
      <c r="C7181" s="682" t="s">
        <v>2168</v>
      </c>
    </row>
    <row r="7182" spans="1:11">
      <c r="A7182" s="683" t="s">
        <v>4218</v>
      </c>
      <c r="C7182" s="682" t="s">
        <v>4238</v>
      </c>
    </row>
    <row r="7184" spans="1:11">
      <c r="A7184" s="684" t="s">
        <v>4220</v>
      </c>
      <c r="B7184" s="685" t="s">
        <v>4221</v>
      </c>
      <c r="C7184" s="685" t="s">
        <v>4222</v>
      </c>
      <c r="D7184" s="685" t="s">
        <v>4223</v>
      </c>
      <c r="E7184" s="685" t="s">
        <v>4224</v>
      </c>
      <c r="F7184" s="685" t="s">
        <v>4225</v>
      </c>
      <c r="G7184" s="685" t="s">
        <v>4226</v>
      </c>
      <c r="H7184" s="685" t="s">
        <v>4227</v>
      </c>
      <c r="I7184" s="685" t="s">
        <v>4228</v>
      </c>
      <c r="J7184" s="685" t="s">
        <v>4229</v>
      </c>
      <c r="K7184" s="685" t="s">
        <v>4230</v>
      </c>
    </row>
    <row r="7185" spans="1:11">
      <c r="A7185" s="686" t="s">
        <v>4231</v>
      </c>
      <c r="B7185" s="687" t="s">
        <v>4232</v>
      </c>
      <c r="C7185" s="687" t="s">
        <v>4232</v>
      </c>
      <c r="D7185" s="687" t="s">
        <v>4232</v>
      </c>
      <c r="E7185" s="687" t="s">
        <v>4232</v>
      </c>
      <c r="F7185" s="687" t="s">
        <v>4232</v>
      </c>
      <c r="G7185" s="687" t="s">
        <v>4232</v>
      </c>
      <c r="H7185" s="687" t="s">
        <v>4232</v>
      </c>
      <c r="I7185" s="687" t="s">
        <v>4232</v>
      </c>
      <c r="J7185" s="687" t="s">
        <v>4232</v>
      </c>
      <c r="K7185" s="687" t="s">
        <v>4232</v>
      </c>
    </row>
    <row r="7186" spans="1:11">
      <c r="A7186" s="688" t="s">
        <v>4064</v>
      </c>
      <c r="B7186" s="691">
        <v>73.900000000000006</v>
      </c>
      <c r="C7186" s="615">
        <v>74</v>
      </c>
      <c r="D7186" s="615">
        <v>74</v>
      </c>
      <c r="E7186" s="691">
        <v>74.2</v>
      </c>
      <c r="F7186" s="691">
        <v>74.3</v>
      </c>
      <c r="G7186" s="691">
        <v>74.400000000000006</v>
      </c>
      <c r="H7186" s="691">
        <v>74.7</v>
      </c>
      <c r="I7186" s="691">
        <v>73.8</v>
      </c>
      <c r="J7186" s="691">
        <v>73.400000000000006</v>
      </c>
      <c r="K7186" s="691">
        <v>74.2</v>
      </c>
    </row>
    <row r="7187" spans="1:11">
      <c r="A7187" s="688" t="s">
        <v>4065</v>
      </c>
      <c r="B7187" s="689">
        <v>74.099999999999994</v>
      </c>
      <c r="C7187" s="689">
        <v>74.400000000000006</v>
      </c>
      <c r="D7187" s="689">
        <v>74.2</v>
      </c>
      <c r="E7187" s="689">
        <v>74.599999999999994</v>
      </c>
      <c r="F7187" s="689">
        <v>74.599999999999994</v>
      </c>
      <c r="G7187" s="689">
        <v>74.7</v>
      </c>
      <c r="H7187" s="690" t="s">
        <v>4060</v>
      </c>
      <c r="I7187" s="690" t="s">
        <v>4060</v>
      </c>
      <c r="J7187" s="690" t="s">
        <v>4060</v>
      </c>
      <c r="K7187" s="690" t="s">
        <v>4060</v>
      </c>
    </row>
    <row r="7188" spans="1:11">
      <c r="A7188" s="688" t="s">
        <v>4063</v>
      </c>
      <c r="B7188" s="691">
        <v>74.099999999999994</v>
      </c>
      <c r="C7188" s="691">
        <v>74.5</v>
      </c>
      <c r="D7188" s="691">
        <v>74.2</v>
      </c>
      <c r="E7188" s="691">
        <v>74.599999999999994</v>
      </c>
      <c r="F7188" s="691">
        <v>74.599999999999994</v>
      </c>
      <c r="G7188" s="691">
        <v>74.7</v>
      </c>
      <c r="H7188" s="692" t="s">
        <v>4060</v>
      </c>
      <c r="I7188" s="692" t="s">
        <v>4060</v>
      </c>
      <c r="J7188" s="692" t="s">
        <v>4060</v>
      </c>
      <c r="K7188" s="692" t="s">
        <v>4060</v>
      </c>
    </row>
    <row r="7189" spans="1:11">
      <c r="A7189" s="688" t="s">
        <v>4069</v>
      </c>
      <c r="B7189" s="690" t="s">
        <v>4060</v>
      </c>
      <c r="C7189" s="689">
        <v>75.2</v>
      </c>
      <c r="D7189" s="693">
        <v>75</v>
      </c>
      <c r="E7189" s="689">
        <v>75.400000000000006</v>
      </c>
      <c r="F7189" s="689">
        <v>75.5</v>
      </c>
      <c r="G7189" s="689">
        <v>75.599999999999994</v>
      </c>
      <c r="H7189" s="689">
        <v>75.900000000000006</v>
      </c>
      <c r="I7189" s="689">
        <v>75.099999999999994</v>
      </c>
      <c r="J7189" s="689">
        <v>75.099999999999994</v>
      </c>
      <c r="K7189" s="689">
        <v>75.400000000000006</v>
      </c>
    </row>
    <row r="7190" spans="1:11">
      <c r="A7190" s="688" t="s">
        <v>4068</v>
      </c>
      <c r="B7190" s="691">
        <v>75.099999999999994</v>
      </c>
      <c r="C7190" s="692" t="s">
        <v>4060</v>
      </c>
      <c r="D7190" s="692" t="s">
        <v>4060</v>
      </c>
      <c r="E7190" s="692" t="s">
        <v>4060</v>
      </c>
      <c r="F7190" s="692" t="s">
        <v>4060</v>
      </c>
      <c r="G7190" s="692" t="s">
        <v>4060</v>
      </c>
      <c r="H7190" s="692" t="s">
        <v>4060</v>
      </c>
      <c r="I7190" s="692" t="s">
        <v>4060</v>
      </c>
      <c r="J7190" s="692" t="s">
        <v>4060</v>
      </c>
      <c r="K7190" s="692" t="s">
        <v>4060</v>
      </c>
    </row>
    <row r="7191" spans="1:11">
      <c r="A7191" s="688" t="s">
        <v>0</v>
      </c>
      <c r="B7191" s="689">
        <v>74.400000000000006</v>
      </c>
      <c r="C7191" s="689">
        <v>74.900000000000006</v>
      </c>
      <c r="D7191" s="689">
        <v>74.900000000000006</v>
      </c>
      <c r="E7191" s="689">
        <v>75.099999999999994</v>
      </c>
      <c r="F7191" s="689">
        <v>75.400000000000006</v>
      </c>
      <c r="G7191" s="689">
        <v>75.599999999999994</v>
      </c>
      <c r="H7191" s="693">
        <v>76</v>
      </c>
      <c r="I7191" s="689">
        <v>74.8</v>
      </c>
      <c r="J7191" s="689">
        <v>75.599999999999994</v>
      </c>
      <c r="K7191" s="689">
        <v>75.900000000000006</v>
      </c>
    </row>
    <row r="7192" spans="1:11">
      <c r="A7192" s="688" t="s">
        <v>1</v>
      </c>
      <c r="B7192" s="691">
        <v>68.099999999999994</v>
      </c>
      <c r="C7192" s="691">
        <v>67.599999999999994</v>
      </c>
      <c r="D7192" s="691">
        <v>67.7</v>
      </c>
      <c r="E7192" s="691">
        <v>67.7</v>
      </c>
      <c r="F7192" s="691">
        <v>67.7</v>
      </c>
      <c r="G7192" s="691">
        <v>67.7</v>
      </c>
      <c r="H7192" s="691">
        <v>67.7</v>
      </c>
      <c r="I7192" s="691">
        <v>66.099999999999994</v>
      </c>
      <c r="J7192" s="691">
        <v>64.2</v>
      </c>
      <c r="K7192" s="615">
        <v>67</v>
      </c>
    </row>
    <row r="7193" spans="1:11">
      <c r="A7193" s="688" t="s">
        <v>2240</v>
      </c>
      <c r="B7193" s="689">
        <v>71.5</v>
      </c>
      <c r="C7193" s="693">
        <v>72</v>
      </c>
      <c r="D7193" s="689">
        <v>71.900000000000006</v>
      </c>
      <c r="E7193" s="689">
        <v>72.3</v>
      </c>
      <c r="F7193" s="689">
        <v>72.3</v>
      </c>
      <c r="G7193" s="689">
        <v>72.3</v>
      </c>
      <c r="H7193" s="689">
        <v>72.599999999999994</v>
      </c>
      <c r="I7193" s="689">
        <v>71.5</v>
      </c>
      <c r="J7193" s="689">
        <v>70.3</v>
      </c>
      <c r="K7193" s="689">
        <v>72.3</v>
      </c>
    </row>
    <row r="7194" spans="1:11">
      <c r="A7194" s="688" t="s">
        <v>2</v>
      </c>
      <c r="B7194" s="691">
        <v>74.7</v>
      </c>
      <c r="C7194" s="615">
        <v>75</v>
      </c>
      <c r="D7194" s="691">
        <v>75.099999999999994</v>
      </c>
      <c r="E7194" s="691">
        <v>75.3</v>
      </c>
      <c r="F7194" s="691">
        <v>75.5</v>
      </c>
      <c r="G7194" s="691">
        <v>75.400000000000006</v>
      </c>
      <c r="H7194" s="691">
        <v>75.7</v>
      </c>
      <c r="I7194" s="691">
        <v>75.900000000000006</v>
      </c>
      <c r="J7194" s="691">
        <v>75.8</v>
      </c>
      <c r="K7194" s="691">
        <v>75.7</v>
      </c>
    </row>
    <row r="7195" spans="1:11">
      <c r="A7195" s="688" t="s">
        <v>3</v>
      </c>
      <c r="B7195" s="689">
        <v>74.5</v>
      </c>
      <c r="C7195" s="689">
        <v>74.7</v>
      </c>
      <c r="D7195" s="689">
        <v>74.400000000000006</v>
      </c>
      <c r="E7195" s="689">
        <v>74.7</v>
      </c>
      <c r="F7195" s="689">
        <v>74.900000000000006</v>
      </c>
      <c r="G7195" s="689">
        <v>74.8</v>
      </c>
      <c r="H7195" s="689">
        <v>75.2</v>
      </c>
      <c r="I7195" s="689">
        <v>74.900000000000006</v>
      </c>
      <c r="J7195" s="689">
        <v>74.5</v>
      </c>
      <c r="K7195" s="689">
        <v>74.400000000000006</v>
      </c>
    </row>
    <row r="7196" spans="1:11">
      <c r="A7196" s="688" t="s">
        <v>4061</v>
      </c>
      <c r="B7196" s="691">
        <v>74.5</v>
      </c>
      <c r="C7196" s="691">
        <v>74.7</v>
      </c>
      <c r="D7196" s="691">
        <v>74.400000000000006</v>
      </c>
      <c r="E7196" s="691">
        <v>74.7</v>
      </c>
      <c r="F7196" s="691">
        <v>74.900000000000006</v>
      </c>
      <c r="G7196" s="691">
        <v>74.8</v>
      </c>
      <c r="H7196" s="691">
        <v>75.2</v>
      </c>
      <c r="I7196" s="691">
        <v>74.900000000000006</v>
      </c>
      <c r="J7196" s="691">
        <v>74.5</v>
      </c>
      <c r="K7196" s="691">
        <v>74.400000000000006</v>
      </c>
    </row>
    <row r="7197" spans="1:11">
      <c r="A7197" s="688" t="s">
        <v>4</v>
      </c>
      <c r="B7197" s="693">
        <v>69</v>
      </c>
      <c r="C7197" s="689">
        <v>68.599999999999994</v>
      </c>
      <c r="D7197" s="689">
        <v>69.3</v>
      </c>
      <c r="E7197" s="689">
        <v>69.400000000000006</v>
      </c>
      <c r="F7197" s="689">
        <v>69.900000000000006</v>
      </c>
      <c r="G7197" s="689">
        <v>70.099999999999994</v>
      </c>
      <c r="H7197" s="689">
        <v>70.599999999999994</v>
      </c>
      <c r="I7197" s="689">
        <v>70.5</v>
      </c>
      <c r="J7197" s="693">
        <v>69</v>
      </c>
      <c r="K7197" s="689">
        <v>69.8</v>
      </c>
    </row>
    <row r="7198" spans="1:11">
      <c r="A7198" s="688" t="s">
        <v>8</v>
      </c>
      <c r="B7198" s="691">
        <v>75.3</v>
      </c>
      <c r="C7198" s="691">
        <v>75.5</v>
      </c>
      <c r="D7198" s="691">
        <v>75.8</v>
      </c>
      <c r="E7198" s="615">
        <v>76</v>
      </c>
      <c r="F7198" s="691">
        <v>76.400000000000006</v>
      </c>
      <c r="G7198" s="691">
        <v>76.5</v>
      </c>
      <c r="H7198" s="691">
        <v>76.8</v>
      </c>
      <c r="I7198" s="691">
        <v>76.8</v>
      </c>
      <c r="J7198" s="691">
        <v>76.5</v>
      </c>
      <c r="K7198" s="615">
        <v>77</v>
      </c>
    </row>
    <row r="7199" spans="1:11">
      <c r="A7199" s="688" t="s">
        <v>7</v>
      </c>
      <c r="B7199" s="693">
        <v>75</v>
      </c>
      <c r="C7199" s="689">
        <v>74.5</v>
      </c>
      <c r="D7199" s="689">
        <v>74.3</v>
      </c>
      <c r="E7199" s="689">
        <v>74.7</v>
      </c>
      <c r="F7199" s="689">
        <v>74.599999999999994</v>
      </c>
      <c r="G7199" s="689">
        <v>75.099999999999994</v>
      </c>
      <c r="H7199" s="689">
        <v>75.099999999999994</v>
      </c>
      <c r="I7199" s="689">
        <v>74.8</v>
      </c>
      <c r="J7199" s="689">
        <v>73.599999999999994</v>
      </c>
      <c r="K7199" s="689">
        <v>74.5</v>
      </c>
    </row>
    <row r="7200" spans="1:11">
      <c r="A7200" s="688" t="s">
        <v>27</v>
      </c>
      <c r="B7200" s="691">
        <v>76.400000000000006</v>
      </c>
      <c r="C7200" s="691">
        <v>76.400000000000006</v>
      </c>
      <c r="D7200" s="691">
        <v>76.099999999999994</v>
      </c>
      <c r="E7200" s="691">
        <v>76.5</v>
      </c>
      <c r="F7200" s="691">
        <v>76.599999999999994</v>
      </c>
      <c r="G7200" s="691">
        <v>76.599999999999994</v>
      </c>
      <c r="H7200" s="615">
        <v>77</v>
      </c>
      <c r="I7200" s="691">
        <v>75.7</v>
      </c>
      <c r="J7200" s="691">
        <v>76.400000000000006</v>
      </c>
      <c r="K7200" s="691">
        <v>76.599999999999994</v>
      </c>
    </row>
    <row r="7201" spans="1:11">
      <c r="A7201" s="688" t="s">
        <v>6</v>
      </c>
      <c r="B7201" s="689">
        <v>75.400000000000006</v>
      </c>
      <c r="C7201" s="689">
        <v>75.599999999999994</v>
      </c>
      <c r="D7201" s="689">
        <v>75.400000000000006</v>
      </c>
      <c r="E7201" s="689">
        <v>75.599999999999994</v>
      </c>
      <c r="F7201" s="689">
        <v>75.8</v>
      </c>
      <c r="G7201" s="689">
        <v>75.900000000000006</v>
      </c>
      <c r="H7201" s="689">
        <v>76.099999999999994</v>
      </c>
      <c r="I7201" s="689">
        <v>75.5</v>
      </c>
      <c r="J7201" s="689">
        <v>75.5</v>
      </c>
      <c r="K7201" s="689">
        <v>75.7</v>
      </c>
    </row>
    <row r="7202" spans="1:11">
      <c r="A7202" s="688" t="s">
        <v>4058</v>
      </c>
      <c r="B7202" s="692" t="s">
        <v>4060</v>
      </c>
      <c r="C7202" s="692" t="s">
        <v>4060</v>
      </c>
      <c r="D7202" s="692" t="s">
        <v>4060</v>
      </c>
      <c r="E7202" s="692" t="s">
        <v>4060</v>
      </c>
      <c r="F7202" s="692" t="s">
        <v>4060</v>
      </c>
      <c r="G7202" s="692" t="s">
        <v>4060</v>
      </c>
      <c r="H7202" s="692" t="s">
        <v>4060</v>
      </c>
      <c r="I7202" s="692" t="s">
        <v>4060</v>
      </c>
      <c r="J7202" s="692" t="s">
        <v>4060</v>
      </c>
      <c r="K7202" s="692" t="s">
        <v>4060</v>
      </c>
    </row>
    <row r="7203" spans="1:11">
      <c r="A7203" s="688" t="s">
        <v>11</v>
      </c>
      <c r="B7203" s="689">
        <v>70.900000000000006</v>
      </c>
      <c r="C7203" s="693">
        <v>71</v>
      </c>
      <c r="D7203" s="689">
        <v>70.599999999999994</v>
      </c>
      <c r="E7203" s="689">
        <v>71.2</v>
      </c>
      <c r="F7203" s="689">
        <v>71.2</v>
      </c>
      <c r="G7203" s="689">
        <v>71.2</v>
      </c>
      <c r="H7203" s="689">
        <v>71.599999999999994</v>
      </c>
      <c r="I7203" s="689">
        <v>70.8</v>
      </c>
      <c r="J7203" s="689">
        <v>69.8</v>
      </c>
      <c r="K7203" s="693">
        <v>71</v>
      </c>
    </row>
    <row r="7204" spans="1:11">
      <c r="A7204" s="688" t="s">
        <v>10</v>
      </c>
      <c r="B7204" s="691">
        <v>76.599999999999994</v>
      </c>
      <c r="C7204" s="691">
        <v>76.7</v>
      </c>
      <c r="D7204" s="691">
        <v>76.400000000000006</v>
      </c>
      <c r="E7204" s="615">
        <v>77</v>
      </c>
      <c r="F7204" s="691">
        <v>76.900000000000006</v>
      </c>
      <c r="G7204" s="691">
        <v>77.2</v>
      </c>
      <c r="H7204" s="691">
        <v>77.400000000000006</v>
      </c>
      <c r="I7204" s="691">
        <v>76.099999999999994</v>
      </c>
      <c r="J7204" s="691">
        <v>76.599999999999994</v>
      </c>
      <c r="K7204" s="691">
        <v>76.8</v>
      </c>
    </row>
    <row r="7205" spans="1:11">
      <c r="A7205" s="688" t="s">
        <v>30</v>
      </c>
      <c r="B7205" s="689">
        <v>76.3</v>
      </c>
      <c r="C7205" s="689">
        <v>76.599999999999994</v>
      </c>
      <c r="D7205" s="689">
        <v>76.2</v>
      </c>
      <c r="E7205" s="689">
        <v>76.900000000000006</v>
      </c>
      <c r="F7205" s="689">
        <v>76.599999999999994</v>
      </c>
      <c r="G7205" s="689">
        <v>77.400000000000006</v>
      </c>
      <c r="H7205" s="693">
        <v>77</v>
      </c>
      <c r="I7205" s="693">
        <v>77</v>
      </c>
      <c r="J7205" s="689">
        <v>76.099999999999994</v>
      </c>
      <c r="K7205" s="689">
        <v>76.599999999999994</v>
      </c>
    </row>
    <row r="7206" spans="1:11">
      <c r="A7206" s="688" t="s">
        <v>12</v>
      </c>
      <c r="B7206" s="691">
        <v>65.7</v>
      </c>
      <c r="C7206" s="691">
        <v>65.400000000000006</v>
      </c>
      <c r="D7206" s="691">
        <v>66.099999999999994</v>
      </c>
      <c r="E7206" s="691">
        <v>66.099999999999994</v>
      </c>
      <c r="F7206" s="691">
        <v>66.099999999999994</v>
      </c>
      <c r="G7206" s="691">
        <v>66.3</v>
      </c>
      <c r="H7206" s="691">
        <v>67.2</v>
      </c>
      <c r="I7206" s="691">
        <v>66.900000000000006</v>
      </c>
      <c r="J7206" s="691">
        <v>64.599999999999994</v>
      </c>
      <c r="K7206" s="691">
        <v>65.599999999999994</v>
      </c>
    </row>
    <row r="7207" spans="1:11">
      <c r="A7207" s="688" t="s">
        <v>14</v>
      </c>
      <c r="B7207" s="689">
        <v>64.900000000000006</v>
      </c>
      <c r="C7207" s="689">
        <v>65.400000000000006</v>
      </c>
      <c r="D7207" s="689">
        <v>65.5</v>
      </c>
      <c r="E7207" s="689">
        <v>65.8</v>
      </c>
      <c r="F7207" s="693">
        <v>67</v>
      </c>
      <c r="G7207" s="689">
        <v>67.2</v>
      </c>
      <c r="H7207" s="689">
        <v>67.8</v>
      </c>
      <c r="I7207" s="689">
        <v>66.400000000000006</v>
      </c>
      <c r="J7207" s="689">
        <v>65.900000000000006</v>
      </c>
      <c r="K7207" s="689">
        <v>67.599999999999994</v>
      </c>
    </row>
    <row r="7208" spans="1:11">
      <c r="A7208" s="688" t="s">
        <v>15</v>
      </c>
      <c r="B7208" s="691">
        <v>76.2</v>
      </c>
      <c r="C7208" s="691">
        <v>75.400000000000006</v>
      </c>
      <c r="D7208" s="691">
        <v>76.099999999999994</v>
      </c>
      <c r="E7208" s="691">
        <v>76.3</v>
      </c>
      <c r="F7208" s="615">
        <v>76</v>
      </c>
      <c r="G7208" s="691">
        <v>76.2</v>
      </c>
      <c r="H7208" s="691">
        <v>76.599999999999994</v>
      </c>
      <c r="I7208" s="691">
        <v>76.099999999999994</v>
      </c>
      <c r="J7208" s="691">
        <v>76.599999999999994</v>
      </c>
      <c r="K7208" s="615">
        <v>77</v>
      </c>
    </row>
    <row r="7209" spans="1:11">
      <c r="A7209" s="688" t="s">
        <v>29</v>
      </c>
      <c r="B7209" s="689">
        <v>68.599999999999994</v>
      </c>
      <c r="C7209" s="689">
        <v>68.7</v>
      </c>
      <c r="D7209" s="689">
        <v>68.599999999999994</v>
      </c>
      <c r="E7209" s="689">
        <v>68.900000000000006</v>
      </c>
      <c r="F7209" s="689">
        <v>68.8</v>
      </c>
      <c r="G7209" s="689">
        <v>68.900000000000006</v>
      </c>
      <c r="H7209" s="689">
        <v>69.3</v>
      </c>
      <c r="I7209" s="689">
        <v>68.5</v>
      </c>
      <c r="J7209" s="693">
        <v>67</v>
      </c>
      <c r="K7209" s="689">
        <v>68.900000000000006</v>
      </c>
    </row>
    <row r="7210" spans="1:11">
      <c r="A7210" s="688" t="s">
        <v>16</v>
      </c>
      <c r="B7210" s="691">
        <v>76.099999999999994</v>
      </c>
      <c r="C7210" s="615">
        <v>76</v>
      </c>
      <c r="D7210" s="691">
        <v>76.3</v>
      </c>
      <c r="E7210" s="615">
        <v>77</v>
      </c>
      <c r="F7210" s="691">
        <v>76.599999999999994</v>
      </c>
      <c r="G7210" s="691">
        <v>76.7</v>
      </c>
      <c r="H7210" s="691">
        <v>77.2</v>
      </c>
      <c r="I7210" s="691">
        <v>76.099999999999994</v>
      </c>
      <c r="J7210" s="691">
        <v>76.5</v>
      </c>
      <c r="K7210" s="691">
        <v>76.599999999999994</v>
      </c>
    </row>
    <row r="7211" spans="1:11">
      <c r="A7211" s="688" t="s">
        <v>17</v>
      </c>
      <c r="B7211" s="689">
        <v>75.900000000000006</v>
      </c>
      <c r="C7211" s="689">
        <v>76.2</v>
      </c>
      <c r="D7211" s="689">
        <v>76.099999999999994</v>
      </c>
      <c r="E7211" s="689">
        <v>76.2</v>
      </c>
      <c r="F7211" s="689">
        <v>76.400000000000006</v>
      </c>
      <c r="G7211" s="689">
        <v>76.5</v>
      </c>
      <c r="H7211" s="689">
        <v>76.8</v>
      </c>
      <c r="I7211" s="693">
        <v>76</v>
      </c>
      <c r="J7211" s="693">
        <v>76</v>
      </c>
      <c r="K7211" s="689">
        <v>76.400000000000006</v>
      </c>
    </row>
    <row r="7212" spans="1:11">
      <c r="A7212" s="688" t="s">
        <v>19</v>
      </c>
      <c r="B7212" s="615">
        <v>75</v>
      </c>
      <c r="C7212" s="691">
        <v>75.2</v>
      </c>
      <c r="D7212" s="691">
        <v>74.900000000000006</v>
      </c>
      <c r="E7212" s="691">
        <v>75.5</v>
      </c>
      <c r="F7212" s="691">
        <v>75.599999999999994</v>
      </c>
      <c r="G7212" s="691">
        <v>75.599999999999994</v>
      </c>
      <c r="H7212" s="691">
        <v>75.900000000000006</v>
      </c>
      <c r="I7212" s="691">
        <v>75.2</v>
      </c>
      <c r="J7212" s="691">
        <v>75.099999999999994</v>
      </c>
      <c r="K7212" s="691">
        <v>75.3</v>
      </c>
    </row>
    <row r="7213" spans="1:11">
      <c r="A7213" s="688" t="s">
        <v>20</v>
      </c>
      <c r="B7213" s="689">
        <v>69.400000000000006</v>
      </c>
      <c r="C7213" s="693">
        <v>70</v>
      </c>
      <c r="D7213" s="689">
        <v>69.8</v>
      </c>
      <c r="E7213" s="689">
        <v>70.099999999999994</v>
      </c>
      <c r="F7213" s="689">
        <v>70.099999999999994</v>
      </c>
      <c r="G7213" s="693">
        <v>70</v>
      </c>
      <c r="H7213" s="689">
        <v>70.3</v>
      </c>
      <c r="I7213" s="689">
        <v>68.7</v>
      </c>
      <c r="J7213" s="689">
        <v>67.8</v>
      </c>
      <c r="K7213" s="689">
        <v>69.599999999999994</v>
      </c>
    </row>
    <row r="7214" spans="1:11">
      <c r="A7214" s="688" t="s">
        <v>21</v>
      </c>
      <c r="B7214" s="691">
        <v>73.900000000000006</v>
      </c>
      <c r="C7214" s="691">
        <v>74.400000000000006</v>
      </c>
      <c r="D7214" s="691">
        <v>74.5</v>
      </c>
      <c r="E7214" s="691">
        <v>74.5</v>
      </c>
      <c r="F7214" s="691">
        <v>74.8</v>
      </c>
      <c r="G7214" s="691">
        <v>74.8</v>
      </c>
      <c r="H7214" s="691">
        <v>75.2</v>
      </c>
      <c r="I7214" s="691">
        <v>74.599999999999994</v>
      </c>
      <c r="J7214" s="691">
        <v>74.599999999999994</v>
      </c>
      <c r="K7214" s="691">
        <v>75.099999999999994</v>
      </c>
    </row>
    <row r="7215" spans="1:11">
      <c r="A7215" s="688" t="s">
        <v>22</v>
      </c>
      <c r="B7215" s="689">
        <v>68.400000000000006</v>
      </c>
      <c r="C7215" s="689">
        <v>68.099999999999994</v>
      </c>
      <c r="D7215" s="693">
        <v>68</v>
      </c>
      <c r="E7215" s="689">
        <v>68.2</v>
      </c>
      <c r="F7215" s="689">
        <v>68.2</v>
      </c>
      <c r="G7215" s="689">
        <v>68.2</v>
      </c>
      <c r="H7215" s="689">
        <v>68.400000000000006</v>
      </c>
      <c r="I7215" s="689">
        <v>66.8</v>
      </c>
      <c r="J7215" s="689">
        <v>65.599999999999994</v>
      </c>
      <c r="K7215" s="689">
        <v>67.8</v>
      </c>
    </row>
    <row r="7216" spans="1:11">
      <c r="A7216" s="688" t="s">
        <v>26</v>
      </c>
      <c r="B7216" s="691">
        <v>73.5</v>
      </c>
      <c r="C7216" s="691">
        <v>74.2</v>
      </c>
      <c r="D7216" s="691">
        <v>73.8</v>
      </c>
      <c r="E7216" s="691">
        <v>74.2</v>
      </c>
      <c r="F7216" s="691">
        <v>74.3</v>
      </c>
      <c r="G7216" s="691">
        <v>74.599999999999994</v>
      </c>
      <c r="H7216" s="691">
        <v>74.7</v>
      </c>
      <c r="I7216" s="615">
        <v>74</v>
      </c>
      <c r="J7216" s="691">
        <v>73.8</v>
      </c>
      <c r="K7216" s="691">
        <v>74.7</v>
      </c>
    </row>
    <row r="7217" spans="1:11">
      <c r="A7217" s="688" t="s">
        <v>25</v>
      </c>
      <c r="B7217" s="689">
        <v>69.400000000000006</v>
      </c>
      <c r="C7217" s="689">
        <v>69.8</v>
      </c>
      <c r="D7217" s="689">
        <v>69.599999999999994</v>
      </c>
      <c r="E7217" s="689">
        <v>70.3</v>
      </c>
      <c r="F7217" s="689">
        <v>70.2</v>
      </c>
      <c r="G7217" s="689">
        <v>70.3</v>
      </c>
      <c r="H7217" s="689">
        <v>70.8</v>
      </c>
      <c r="I7217" s="693">
        <v>70</v>
      </c>
      <c r="J7217" s="689">
        <v>67.599999999999994</v>
      </c>
      <c r="K7217" s="689">
        <v>70.099999999999994</v>
      </c>
    </row>
    <row r="7218" spans="1:11">
      <c r="A7218" s="688" t="s">
        <v>5</v>
      </c>
      <c r="B7218" s="691">
        <v>74.2</v>
      </c>
      <c r="C7218" s="691">
        <v>74.400000000000006</v>
      </c>
      <c r="D7218" s="691">
        <v>74.7</v>
      </c>
      <c r="E7218" s="691">
        <v>74.599999999999994</v>
      </c>
      <c r="F7218" s="691">
        <v>74.900000000000006</v>
      </c>
      <c r="G7218" s="691">
        <v>75.099999999999994</v>
      </c>
      <c r="H7218" s="691">
        <v>75.400000000000006</v>
      </c>
      <c r="I7218" s="691">
        <v>75.2</v>
      </c>
      <c r="J7218" s="691">
        <v>75.3</v>
      </c>
      <c r="K7218" s="691">
        <v>74.900000000000006</v>
      </c>
    </row>
    <row r="7219" spans="1:11">
      <c r="A7219" s="688" t="s">
        <v>23</v>
      </c>
      <c r="B7219" s="689">
        <v>76.400000000000006</v>
      </c>
      <c r="C7219" s="689">
        <v>76.599999999999994</v>
      </c>
      <c r="D7219" s="689">
        <v>76.599999999999994</v>
      </c>
      <c r="E7219" s="689">
        <v>76.8</v>
      </c>
      <c r="F7219" s="689">
        <v>76.900000000000006</v>
      </c>
      <c r="G7219" s="693">
        <v>77</v>
      </c>
      <c r="H7219" s="689">
        <v>77.5</v>
      </c>
      <c r="I7219" s="689">
        <v>76.8</v>
      </c>
      <c r="J7219" s="689">
        <v>77.400000000000006</v>
      </c>
      <c r="K7219" s="689">
        <v>77.599999999999994</v>
      </c>
    </row>
    <row r="7220" spans="1:11">
      <c r="A7220" s="688" t="s">
        <v>4067</v>
      </c>
      <c r="B7220" s="691">
        <v>74.099999999999994</v>
      </c>
      <c r="C7220" s="691">
        <v>74.5</v>
      </c>
      <c r="D7220" s="691">
        <v>74.2</v>
      </c>
      <c r="E7220" s="691">
        <v>74.599999999999994</v>
      </c>
      <c r="F7220" s="691">
        <v>74.599999999999994</v>
      </c>
      <c r="G7220" s="691">
        <v>74.7</v>
      </c>
      <c r="H7220" s="692" t="s">
        <v>4060</v>
      </c>
      <c r="I7220" s="692" t="s">
        <v>4060</v>
      </c>
      <c r="J7220" s="692" t="s">
        <v>4060</v>
      </c>
      <c r="K7220" s="692" t="s">
        <v>4060</v>
      </c>
    </row>
    <row r="7221" spans="1:11">
      <c r="A7221" s="688" t="s">
        <v>4066</v>
      </c>
      <c r="B7221" s="689">
        <v>74.099999999999994</v>
      </c>
      <c r="C7221" s="689">
        <v>74.5</v>
      </c>
      <c r="D7221" s="689">
        <v>74.3</v>
      </c>
      <c r="E7221" s="689">
        <v>74.599999999999994</v>
      </c>
      <c r="F7221" s="689">
        <v>74.7</v>
      </c>
      <c r="G7221" s="689">
        <v>74.7</v>
      </c>
      <c r="H7221" s="690" t="s">
        <v>4060</v>
      </c>
      <c r="I7221" s="690" t="s">
        <v>4060</v>
      </c>
      <c r="J7221" s="690" t="s">
        <v>4060</v>
      </c>
      <c r="K7221" s="690" t="s">
        <v>4060</v>
      </c>
    </row>
    <row r="7222" spans="1:11">
      <c r="A7222" s="688" t="s">
        <v>4062</v>
      </c>
      <c r="B7222" s="691">
        <v>76.7</v>
      </c>
      <c r="C7222" s="691">
        <v>76.900000000000006</v>
      </c>
      <c r="D7222" s="691">
        <v>76.900000000000006</v>
      </c>
      <c r="E7222" s="691">
        <v>77.400000000000006</v>
      </c>
      <c r="F7222" s="691">
        <v>77.5</v>
      </c>
      <c r="G7222" s="691">
        <v>77.7</v>
      </c>
      <c r="H7222" s="691">
        <v>77.900000000000006</v>
      </c>
      <c r="I7222" s="691">
        <v>77.5</v>
      </c>
      <c r="J7222" s="691">
        <v>77.900000000000006</v>
      </c>
      <c r="K7222" s="691">
        <v>77.599999999999994</v>
      </c>
    </row>
    <row r="7223" spans="1:11">
      <c r="A7223" s="688" t="s">
        <v>9</v>
      </c>
      <c r="B7223" s="689">
        <v>76.599999999999994</v>
      </c>
      <c r="C7223" s="689">
        <v>77.2</v>
      </c>
      <c r="D7223" s="689">
        <v>77.3</v>
      </c>
      <c r="E7223" s="689">
        <v>76.400000000000006</v>
      </c>
      <c r="F7223" s="693">
        <v>77</v>
      </c>
      <c r="G7223" s="689">
        <v>77.3</v>
      </c>
      <c r="H7223" s="689">
        <v>77.599999999999994</v>
      </c>
      <c r="I7223" s="689">
        <v>77.8</v>
      </c>
      <c r="J7223" s="689">
        <v>77.900000000000006</v>
      </c>
      <c r="K7223" s="693">
        <v>77</v>
      </c>
    </row>
    <row r="7224" spans="1:11">
      <c r="A7224" s="688" t="s">
        <v>13</v>
      </c>
      <c r="B7224" s="691">
        <v>76.7</v>
      </c>
      <c r="C7224" s="615">
        <v>77</v>
      </c>
      <c r="D7224" s="691">
        <v>77.599999999999994</v>
      </c>
      <c r="E7224" s="691">
        <v>76.599999999999994</v>
      </c>
      <c r="F7224" s="615">
        <v>77</v>
      </c>
      <c r="G7224" s="691">
        <v>76.400000000000006</v>
      </c>
      <c r="H7224" s="691">
        <v>78.400000000000006</v>
      </c>
      <c r="I7224" s="691">
        <v>76.5</v>
      </c>
      <c r="J7224" s="691">
        <v>78.099999999999994</v>
      </c>
      <c r="K7224" s="691">
        <v>78.400000000000006</v>
      </c>
    </row>
    <row r="7225" spans="1:11">
      <c r="A7225" s="688" t="s">
        <v>18</v>
      </c>
      <c r="B7225" s="693">
        <v>76</v>
      </c>
      <c r="C7225" s="689">
        <v>76.3</v>
      </c>
      <c r="D7225" s="689">
        <v>76.599999999999994</v>
      </c>
      <c r="E7225" s="689">
        <v>76.8</v>
      </c>
      <c r="F7225" s="689">
        <v>77.099999999999994</v>
      </c>
      <c r="G7225" s="689">
        <v>77.2</v>
      </c>
      <c r="H7225" s="689">
        <v>77.400000000000006</v>
      </c>
      <c r="I7225" s="689">
        <v>77.7</v>
      </c>
      <c r="J7225" s="689">
        <v>77.8</v>
      </c>
      <c r="K7225" s="689">
        <v>77.099999999999994</v>
      </c>
    </row>
    <row r="7226" spans="1:11">
      <c r="A7226" s="688" t="s">
        <v>24</v>
      </c>
      <c r="B7226" s="691">
        <v>77.099999999999994</v>
      </c>
      <c r="C7226" s="691">
        <v>77.3</v>
      </c>
      <c r="D7226" s="691">
        <v>77.099999999999994</v>
      </c>
      <c r="E7226" s="691">
        <v>77.8</v>
      </c>
      <c r="F7226" s="691">
        <v>77.7</v>
      </c>
      <c r="G7226" s="615">
        <v>78</v>
      </c>
      <c r="H7226" s="691">
        <v>78.2</v>
      </c>
      <c r="I7226" s="691">
        <v>77.3</v>
      </c>
      <c r="J7226" s="691">
        <v>77.900000000000006</v>
      </c>
      <c r="K7226" s="615">
        <v>78</v>
      </c>
    </row>
    <row r="7227" spans="1:11">
      <c r="A7227" s="688" t="s">
        <v>4059</v>
      </c>
      <c r="B7227" s="689">
        <v>75.599999999999994</v>
      </c>
      <c r="C7227" s="689">
        <v>75.900000000000006</v>
      </c>
      <c r="D7227" s="689">
        <v>75.599999999999994</v>
      </c>
      <c r="E7227" s="689">
        <v>75.8</v>
      </c>
      <c r="F7227" s="689">
        <v>75.900000000000006</v>
      </c>
      <c r="G7227" s="689">
        <v>75.8</v>
      </c>
      <c r="H7227" s="690" t="s">
        <v>4060</v>
      </c>
      <c r="I7227" s="690" t="s">
        <v>4060</v>
      </c>
      <c r="J7227" s="690" t="s">
        <v>4060</v>
      </c>
      <c r="K7227" s="690" t="s">
        <v>4060</v>
      </c>
    </row>
    <row r="7228" spans="1:11">
      <c r="A7228" s="688" t="s">
        <v>2324</v>
      </c>
      <c r="B7228" s="691">
        <v>70.5</v>
      </c>
      <c r="C7228" s="691">
        <v>70.599999999999994</v>
      </c>
      <c r="D7228" s="691">
        <v>70.5</v>
      </c>
      <c r="E7228" s="691">
        <v>70.3</v>
      </c>
      <c r="F7228" s="691">
        <v>70.2</v>
      </c>
      <c r="G7228" s="691">
        <v>70.7</v>
      </c>
      <c r="H7228" s="691">
        <v>70.3</v>
      </c>
      <c r="I7228" s="691">
        <v>69.400000000000006</v>
      </c>
      <c r="J7228" s="691">
        <v>66.900000000000006</v>
      </c>
      <c r="K7228" s="692" t="s">
        <v>4060</v>
      </c>
    </row>
    <row r="7229" spans="1:11">
      <c r="A7229" s="688" t="s">
        <v>2322</v>
      </c>
      <c r="B7229" s="690" t="s">
        <v>4060</v>
      </c>
      <c r="C7229" s="690" t="s">
        <v>4060</v>
      </c>
      <c r="D7229" s="690" t="s">
        <v>4060</v>
      </c>
      <c r="E7229" s="690" t="s">
        <v>4060</v>
      </c>
      <c r="F7229" s="690" t="s">
        <v>4060</v>
      </c>
      <c r="G7229" s="690" t="s">
        <v>4060</v>
      </c>
      <c r="H7229" s="690" t="s">
        <v>4060</v>
      </c>
      <c r="I7229" s="690" t="s">
        <v>4060</v>
      </c>
      <c r="J7229" s="690" t="s">
        <v>4060</v>
      </c>
      <c r="K7229" s="690" t="s">
        <v>4060</v>
      </c>
    </row>
    <row r="7230" spans="1:11">
      <c r="A7230" s="688" t="s">
        <v>2328</v>
      </c>
      <c r="B7230" s="691">
        <v>70.2</v>
      </c>
      <c r="C7230" s="691">
        <v>70.400000000000006</v>
      </c>
      <c r="D7230" s="691">
        <v>70.3</v>
      </c>
      <c r="E7230" s="691">
        <v>70.400000000000006</v>
      </c>
      <c r="F7230" s="691">
        <v>70.8</v>
      </c>
      <c r="G7230" s="691">
        <v>71.099999999999994</v>
      </c>
      <c r="H7230" s="691">
        <v>71.2</v>
      </c>
      <c r="I7230" s="691">
        <v>68.599999999999994</v>
      </c>
      <c r="J7230" s="691">
        <v>67.5</v>
      </c>
      <c r="K7230" s="692" t="s">
        <v>4060</v>
      </c>
    </row>
    <row r="7231" spans="1:11">
      <c r="A7231" s="688" t="s">
        <v>2496</v>
      </c>
      <c r="B7231" s="690" t="s">
        <v>4060</v>
      </c>
      <c r="C7231" s="689">
        <v>66.7</v>
      </c>
      <c r="D7231" s="689">
        <v>65.400000000000006</v>
      </c>
      <c r="E7231" s="689">
        <v>65.099999999999994</v>
      </c>
      <c r="F7231" s="693">
        <v>66</v>
      </c>
      <c r="G7231" s="689">
        <v>66.400000000000006</v>
      </c>
      <c r="H7231" s="689">
        <v>66.5</v>
      </c>
      <c r="I7231" s="690" t="s">
        <v>4060</v>
      </c>
      <c r="J7231" s="690" t="s">
        <v>4060</v>
      </c>
      <c r="K7231" s="693">
        <v>66</v>
      </c>
    </row>
    <row r="7232" spans="1:11">
      <c r="A7232" s="688" t="s">
        <v>2269</v>
      </c>
      <c r="B7232" s="691">
        <v>72.8</v>
      </c>
      <c r="C7232" s="691">
        <v>73.099999999999994</v>
      </c>
      <c r="D7232" s="615">
        <v>73</v>
      </c>
      <c r="E7232" s="691">
        <v>73.8</v>
      </c>
      <c r="F7232" s="691">
        <v>73.8</v>
      </c>
      <c r="G7232" s="691">
        <v>74.2</v>
      </c>
      <c r="H7232" s="691">
        <v>74.5</v>
      </c>
      <c r="I7232" s="691">
        <v>72.099999999999994</v>
      </c>
      <c r="J7232" s="691">
        <v>70.3</v>
      </c>
      <c r="K7232" s="615">
        <v>74</v>
      </c>
    </row>
    <row r="7233" spans="1:11">
      <c r="A7233" s="688" t="s">
        <v>2349</v>
      </c>
      <c r="B7233" s="689">
        <v>69.2</v>
      </c>
      <c r="C7233" s="689">
        <v>69.3</v>
      </c>
      <c r="D7233" s="689">
        <v>69.2</v>
      </c>
      <c r="E7233" s="689">
        <v>69.7</v>
      </c>
      <c r="F7233" s="689">
        <v>69.599999999999994</v>
      </c>
      <c r="G7233" s="689">
        <v>69.900000000000006</v>
      </c>
      <c r="H7233" s="689">
        <v>69.8</v>
      </c>
      <c r="I7233" s="693">
        <v>68</v>
      </c>
      <c r="J7233" s="689">
        <v>66.400000000000006</v>
      </c>
      <c r="K7233" s="689">
        <v>69.099999999999994</v>
      </c>
    </row>
    <row r="7234" spans="1:11">
      <c r="A7234" s="688" t="s">
        <v>2355</v>
      </c>
      <c r="B7234" s="691">
        <v>72.5</v>
      </c>
      <c r="C7234" s="691">
        <v>72.5</v>
      </c>
      <c r="D7234" s="691">
        <v>72.400000000000006</v>
      </c>
      <c r="E7234" s="691">
        <v>72.3</v>
      </c>
      <c r="F7234" s="691">
        <v>72.599999999999994</v>
      </c>
      <c r="G7234" s="691">
        <v>73.099999999999994</v>
      </c>
      <c r="H7234" s="691">
        <v>73.3</v>
      </c>
      <c r="I7234" s="692" t="s">
        <v>4060</v>
      </c>
      <c r="J7234" s="692" t="s">
        <v>4060</v>
      </c>
      <c r="K7234" s="692" t="s">
        <v>4060</v>
      </c>
    </row>
    <row r="7235" spans="1:11">
      <c r="A7235" s="688" t="s">
        <v>2357</v>
      </c>
      <c r="B7235" s="690" t="s">
        <v>4060</v>
      </c>
      <c r="C7235" s="689">
        <v>63.3</v>
      </c>
      <c r="D7235" s="689">
        <v>64.099999999999994</v>
      </c>
      <c r="E7235" s="689">
        <v>64.599999999999994</v>
      </c>
      <c r="F7235" s="689">
        <v>64.900000000000006</v>
      </c>
      <c r="G7235" s="689">
        <v>64.7</v>
      </c>
      <c r="H7235" s="693">
        <v>65</v>
      </c>
      <c r="I7235" s="690" t="s">
        <v>4060</v>
      </c>
      <c r="J7235" s="690" t="s">
        <v>4060</v>
      </c>
      <c r="K7235" s="690" t="s">
        <v>4060</v>
      </c>
    </row>
    <row r="7236" spans="1:11">
      <c r="A7236" s="688" t="s">
        <v>4070</v>
      </c>
      <c r="B7236" s="692" t="s">
        <v>4060</v>
      </c>
      <c r="C7236" s="692" t="s">
        <v>4060</v>
      </c>
      <c r="D7236" s="692" t="s">
        <v>4060</v>
      </c>
      <c r="E7236" s="691">
        <v>72.5</v>
      </c>
      <c r="F7236" s="692" t="s">
        <v>4060</v>
      </c>
      <c r="G7236" s="692" t="s">
        <v>4060</v>
      </c>
      <c r="H7236" s="692" t="s">
        <v>4060</v>
      </c>
      <c r="I7236" s="692" t="s">
        <v>4060</v>
      </c>
      <c r="J7236" s="692" t="s">
        <v>4060</v>
      </c>
      <c r="K7236" s="692" t="s">
        <v>4060</v>
      </c>
    </row>
    <row r="7237" spans="1:11">
      <c r="A7237" s="688" t="s">
        <v>2491</v>
      </c>
      <c r="B7237" s="689">
        <v>63.6</v>
      </c>
      <c r="C7237" s="689">
        <v>64.2</v>
      </c>
      <c r="D7237" s="689">
        <v>64.900000000000006</v>
      </c>
      <c r="E7237" s="689">
        <v>65.3</v>
      </c>
      <c r="F7237" s="689">
        <v>65.599999999999994</v>
      </c>
      <c r="G7237" s="689">
        <v>65.5</v>
      </c>
      <c r="H7237" s="690" t="s">
        <v>4060</v>
      </c>
      <c r="I7237" s="690" t="s">
        <v>4060</v>
      </c>
      <c r="J7237" s="690" t="s">
        <v>4060</v>
      </c>
      <c r="K7237" s="690" t="s">
        <v>4060</v>
      </c>
    </row>
    <row r="7238" spans="1:11">
      <c r="A7238" s="688" t="s">
        <v>2343</v>
      </c>
      <c r="B7238" s="692" t="s">
        <v>4060</v>
      </c>
      <c r="C7238" s="692" t="s">
        <v>4060</v>
      </c>
      <c r="D7238" s="692" t="s">
        <v>4060</v>
      </c>
      <c r="E7238" s="692" t="s">
        <v>4060</v>
      </c>
      <c r="F7238" s="692" t="s">
        <v>4060</v>
      </c>
      <c r="G7238" s="692" t="s">
        <v>4060</v>
      </c>
      <c r="H7238" s="692" t="s">
        <v>4060</v>
      </c>
      <c r="I7238" s="692" t="s">
        <v>4060</v>
      </c>
      <c r="J7238" s="692" t="s">
        <v>4060</v>
      </c>
      <c r="K7238" s="692" t="s">
        <v>4060</v>
      </c>
    </row>
    <row r="7239" spans="1:11">
      <c r="A7239" s="688" t="s">
        <v>4071</v>
      </c>
      <c r="B7239" s="690" t="s">
        <v>4060</v>
      </c>
      <c r="C7239" s="690" t="s">
        <v>4060</v>
      </c>
      <c r="D7239" s="690" t="s">
        <v>4060</v>
      </c>
      <c r="E7239" s="690" t="s">
        <v>4060</v>
      </c>
      <c r="F7239" s="690" t="s">
        <v>4060</v>
      </c>
      <c r="G7239" s="690" t="s">
        <v>4060</v>
      </c>
      <c r="H7239" s="690" t="s">
        <v>4060</v>
      </c>
      <c r="I7239" s="690" t="s">
        <v>4060</v>
      </c>
      <c r="J7239" s="690" t="s">
        <v>4060</v>
      </c>
      <c r="K7239" s="690" t="s">
        <v>4060</v>
      </c>
    </row>
    <row r="7240" spans="1:11">
      <c r="A7240" s="688" t="s">
        <v>2489</v>
      </c>
      <c r="B7240" s="692" t="s">
        <v>4060</v>
      </c>
      <c r="C7240" s="692" t="s">
        <v>4060</v>
      </c>
      <c r="D7240" s="691">
        <v>68.400000000000006</v>
      </c>
      <c r="E7240" s="691">
        <v>68.3</v>
      </c>
      <c r="F7240" s="691">
        <v>69.2</v>
      </c>
      <c r="G7240" s="691">
        <v>70.099999999999994</v>
      </c>
      <c r="H7240" s="691">
        <v>69.7</v>
      </c>
      <c r="I7240" s="692" t="s">
        <v>4060</v>
      </c>
      <c r="J7240" s="692" t="s">
        <v>4060</v>
      </c>
      <c r="K7240" s="692" t="s">
        <v>4060</v>
      </c>
    </row>
    <row r="7241" spans="1:11">
      <c r="A7241" s="688" t="s">
        <v>2490</v>
      </c>
      <c r="B7241" s="689">
        <v>69.099999999999994</v>
      </c>
      <c r="C7241" s="689">
        <v>69.2</v>
      </c>
      <c r="D7241" s="693">
        <v>70</v>
      </c>
      <c r="E7241" s="690" t="s">
        <v>4060</v>
      </c>
      <c r="F7241" s="689">
        <v>70.3</v>
      </c>
      <c r="G7241" s="689">
        <v>70.5</v>
      </c>
      <c r="H7241" s="689">
        <v>71.3</v>
      </c>
      <c r="I7241" s="690" t="s">
        <v>4060</v>
      </c>
      <c r="J7241" s="690" t="s">
        <v>4060</v>
      </c>
      <c r="K7241" s="690" t="s">
        <v>4060</v>
      </c>
    </row>
    <row r="7243" spans="1:11">
      <c r="A7243" s="683" t="s">
        <v>4233</v>
      </c>
    </row>
    <row r="7244" spans="1:11">
      <c r="A7244" s="683" t="s">
        <v>4060</v>
      </c>
      <c r="B7244" s="682" t="s">
        <v>4234</v>
      </c>
    </row>
    <row r="7246" spans="1:11">
      <c r="A7246" s="682" t="s">
        <v>4331</v>
      </c>
    </row>
    <row r="7247" spans="1:11">
      <c r="A7247" s="682" t="s">
        <v>4210</v>
      </c>
      <c r="B7247" s="683" t="s">
        <v>4211</v>
      </c>
    </row>
    <row r="7248" spans="1:11">
      <c r="A7248" s="682" t="s">
        <v>4212</v>
      </c>
      <c r="B7248" s="682" t="s">
        <v>4213</v>
      </c>
    </row>
    <row r="7250" spans="1:11">
      <c r="A7250" s="683" t="s">
        <v>4214</v>
      </c>
      <c r="C7250" s="682" t="s">
        <v>4215</v>
      </c>
    </row>
    <row r="7251" spans="1:11">
      <c r="A7251" s="683" t="s">
        <v>4216</v>
      </c>
      <c r="C7251" s="682" t="s">
        <v>2967</v>
      </c>
    </row>
    <row r="7252" spans="1:11">
      <c r="A7252" s="683" t="s">
        <v>3893</v>
      </c>
      <c r="C7252" s="682" t="s">
        <v>2168</v>
      </c>
    </row>
    <row r="7253" spans="1:11">
      <c r="A7253" s="683" t="s">
        <v>4218</v>
      </c>
      <c r="C7253" s="682" t="s">
        <v>4239</v>
      </c>
    </row>
    <row r="7255" spans="1:11">
      <c r="A7255" s="684" t="s">
        <v>4220</v>
      </c>
      <c r="B7255" s="685" t="s">
        <v>4221</v>
      </c>
      <c r="C7255" s="685" t="s">
        <v>4222</v>
      </c>
      <c r="D7255" s="685" t="s">
        <v>4223</v>
      </c>
      <c r="E7255" s="685" t="s">
        <v>4224</v>
      </c>
      <c r="F7255" s="685" t="s">
        <v>4225</v>
      </c>
      <c r="G7255" s="685" t="s">
        <v>4226</v>
      </c>
      <c r="H7255" s="685" t="s">
        <v>4227</v>
      </c>
      <c r="I7255" s="685" t="s">
        <v>4228</v>
      </c>
      <c r="J7255" s="685" t="s">
        <v>4229</v>
      </c>
      <c r="K7255" s="685" t="s">
        <v>4230</v>
      </c>
    </row>
    <row r="7256" spans="1:11">
      <c r="A7256" s="686" t="s">
        <v>4231</v>
      </c>
      <c r="B7256" s="687" t="s">
        <v>4232</v>
      </c>
      <c r="C7256" s="687" t="s">
        <v>4232</v>
      </c>
      <c r="D7256" s="687" t="s">
        <v>4232</v>
      </c>
      <c r="E7256" s="687" t="s">
        <v>4232</v>
      </c>
      <c r="F7256" s="687" t="s">
        <v>4232</v>
      </c>
      <c r="G7256" s="687" t="s">
        <v>4232</v>
      </c>
      <c r="H7256" s="687" t="s">
        <v>4232</v>
      </c>
      <c r="I7256" s="687" t="s">
        <v>4232</v>
      </c>
      <c r="J7256" s="687" t="s">
        <v>4232</v>
      </c>
      <c r="K7256" s="687" t="s">
        <v>4232</v>
      </c>
    </row>
    <row r="7257" spans="1:11">
      <c r="A7257" s="688" t="s">
        <v>4064</v>
      </c>
      <c r="B7257" s="689">
        <v>72.900000000000006</v>
      </c>
      <c r="C7257" s="689">
        <v>73.099999999999994</v>
      </c>
      <c r="D7257" s="693">
        <v>73</v>
      </c>
      <c r="E7257" s="689">
        <v>73.2</v>
      </c>
      <c r="F7257" s="689">
        <v>73.3</v>
      </c>
      <c r="G7257" s="689">
        <v>73.400000000000006</v>
      </c>
      <c r="H7257" s="689">
        <v>73.7</v>
      </c>
      <c r="I7257" s="689">
        <v>72.8</v>
      </c>
      <c r="J7257" s="689">
        <v>72.5</v>
      </c>
      <c r="K7257" s="689">
        <v>73.2</v>
      </c>
    </row>
    <row r="7258" spans="1:11">
      <c r="A7258" s="688" t="s">
        <v>4065</v>
      </c>
      <c r="B7258" s="691">
        <v>73.099999999999994</v>
      </c>
      <c r="C7258" s="691">
        <v>73.400000000000006</v>
      </c>
      <c r="D7258" s="691">
        <v>73.2</v>
      </c>
      <c r="E7258" s="691">
        <v>73.599999999999994</v>
      </c>
      <c r="F7258" s="691">
        <v>73.599999999999994</v>
      </c>
      <c r="G7258" s="691">
        <v>73.7</v>
      </c>
      <c r="H7258" s="692" t="s">
        <v>4060</v>
      </c>
      <c r="I7258" s="692" t="s">
        <v>4060</v>
      </c>
      <c r="J7258" s="692" t="s">
        <v>4060</v>
      </c>
      <c r="K7258" s="692" t="s">
        <v>4060</v>
      </c>
    </row>
    <row r="7259" spans="1:11">
      <c r="A7259" s="688" t="s">
        <v>4063</v>
      </c>
      <c r="B7259" s="689">
        <v>73.099999999999994</v>
      </c>
      <c r="C7259" s="689">
        <v>73.5</v>
      </c>
      <c r="D7259" s="689">
        <v>73.3</v>
      </c>
      <c r="E7259" s="689">
        <v>73.599999999999994</v>
      </c>
      <c r="F7259" s="689">
        <v>73.7</v>
      </c>
      <c r="G7259" s="689">
        <v>73.7</v>
      </c>
      <c r="H7259" s="690" t="s">
        <v>4060</v>
      </c>
      <c r="I7259" s="690" t="s">
        <v>4060</v>
      </c>
      <c r="J7259" s="690" t="s">
        <v>4060</v>
      </c>
      <c r="K7259" s="690" t="s">
        <v>4060</v>
      </c>
    </row>
    <row r="7260" spans="1:11">
      <c r="A7260" s="688" t="s">
        <v>4069</v>
      </c>
      <c r="B7260" s="692" t="s">
        <v>4060</v>
      </c>
      <c r="C7260" s="691">
        <v>74.2</v>
      </c>
      <c r="D7260" s="615">
        <v>74</v>
      </c>
      <c r="E7260" s="691">
        <v>74.400000000000006</v>
      </c>
      <c r="F7260" s="691">
        <v>74.5</v>
      </c>
      <c r="G7260" s="691">
        <v>74.599999999999994</v>
      </c>
      <c r="H7260" s="691">
        <v>74.900000000000006</v>
      </c>
      <c r="I7260" s="691">
        <v>74.099999999999994</v>
      </c>
      <c r="J7260" s="691">
        <v>74.099999999999994</v>
      </c>
      <c r="K7260" s="691">
        <v>74.400000000000006</v>
      </c>
    </row>
    <row r="7261" spans="1:11">
      <c r="A7261" s="688" t="s">
        <v>4068</v>
      </c>
      <c r="B7261" s="689">
        <v>74.099999999999994</v>
      </c>
      <c r="C7261" s="690" t="s">
        <v>4060</v>
      </c>
      <c r="D7261" s="690" t="s">
        <v>4060</v>
      </c>
      <c r="E7261" s="690" t="s">
        <v>4060</v>
      </c>
      <c r="F7261" s="690" t="s">
        <v>4060</v>
      </c>
      <c r="G7261" s="690" t="s">
        <v>4060</v>
      </c>
      <c r="H7261" s="690" t="s">
        <v>4060</v>
      </c>
      <c r="I7261" s="690" t="s">
        <v>4060</v>
      </c>
      <c r="J7261" s="690" t="s">
        <v>4060</v>
      </c>
      <c r="K7261" s="690" t="s">
        <v>4060</v>
      </c>
    </row>
    <row r="7262" spans="1:11">
      <c r="A7262" s="688" t="s">
        <v>0</v>
      </c>
      <c r="B7262" s="691">
        <v>73.5</v>
      </c>
      <c r="C7262" s="691">
        <v>73.900000000000006</v>
      </c>
      <c r="D7262" s="691">
        <v>73.900000000000006</v>
      </c>
      <c r="E7262" s="691">
        <v>74.099999999999994</v>
      </c>
      <c r="F7262" s="691">
        <v>74.400000000000006</v>
      </c>
      <c r="G7262" s="691">
        <v>74.599999999999994</v>
      </c>
      <c r="H7262" s="615">
        <v>75</v>
      </c>
      <c r="I7262" s="691">
        <v>73.8</v>
      </c>
      <c r="J7262" s="691">
        <v>74.599999999999994</v>
      </c>
      <c r="K7262" s="691">
        <v>74.900000000000006</v>
      </c>
    </row>
    <row r="7263" spans="1:11">
      <c r="A7263" s="688" t="s">
        <v>1</v>
      </c>
      <c r="B7263" s="689">
        <v>67.099999999999994</v>
      </c>
      <c r="C7263" s="689">
        <v>66.7</v>
      </c>
      <c r="D7263" s="689">
        <v>66.7</v>
      </c>
      <c r="E7263" s="689">
        <v>66.8</v>
      </c>
      <c r="F7263" s="689">
        <v>66.8</v>
      </c>
      <c r="G7263" s="689">
        <v>66.8</v>
      </c>
      <c r="H7263" s="689">
        <v>66.8</v>
      </c>
      <c r="I7263" s="689">
        <v>65.099999999999994</v>
      </c>
      <c r="J7263" s="689">
        <v>63.2</v>
      </c>
      <c r="K7263" s="693">
        <v>66</v>
      </c>
    </row>
    <row r="7264" spans="1:11">
      <c r="A7264" s="688" t="s">
        <v>2240</v>
      </c>
      <c r="B7264" s="691">
        <v>70.5</v>
      </c>
      <c r="C7264" s="615">
        <v>71</v>
      </c>
      <c r="D7264" s="691">
        <v>70.900000000000006</v>
      </c>
      <c r="E7264" s="691">
        <v>71.3</v>
      </c>
      <c r="F7264" s="691">
        <v>71.3</v>
      </c>
      <c r="G7264" s="691">
        <v>71.3</v>
      </c>
      <c r="H7264" s="691">
        <v>71.599999999999994</v>
      </c>
      <c r="I7264" s="691">
        <v>70.5</v>
      </c>
      <c r="J7264" s="691">
        <v>69.3</v>
      </c>
      <c r="K7264" s="691">
        <v>71.3</v>
      </c>
    </row>
    <row r="7265" spans="1:11">
      <c r="A7265" s="688" t="s">
        <v>2</v>
      </c>
      <c r="B7265" s="689">
        <v>73.7</v>
      </c>
      <c r="C7265" s="693">
        <v>74</v>
      </c>
      <c r="D7265" s="689">
        <v>74.099999999999994</v>
      </c>
      <c r="E7265" s="689">
        <v>74.3</v>
      </c>
      <c r="F7265" s="689">
        <v>74.5</v>
      </c>
      <c r="G7265" s="689">
        <v>74.400000000000006</v>
      </c>
      <c r="H7265" s="689">
        <v>74.7</v>
      </c>
      <c r="I7265" s="689">
        <v>74.900000000000006</v>
      </c>
      <c r="J7265" s="689">
        <v>74.900000000000006</v>
      </c>
      <c r="K7265" s="689">
        <v>74.7</v>
      </c>
    </row>
    <row r="7266" spans="1:11">
      <c r="A7266" s="688" t="s">
        <v>3</v>
      </c>
      <c r="B7266" s="691">
        <v>73.5</v>
      </c>
      <c r="C7266" s="691">
        <v>73.8</v>
      </c>
      <c r="D7266" s="691">
        <v>73.5</v>
      </c>
      <c r="E7266" s="691">
        <v>73.7</v>
      </c>
      <c r="F7266" s="691">
        <v>73.900000000000006</v>
      </c>
      <c r="G7266" s="691">
        <v>73.8</v>
      </c>
      <c r="H7266" s="691">
        <v>74.2</v>
      </c>
      <c r="I7266" s="691">
        <v>73.900000000000006</v>
      </c>
      <c r="J7266" s="691">
        <v>73.5</v>
      </c>
      <c r="K7266" s="691">
        <v>73.400000000000006</v>
      </c>
    </row>
    <row r="7267" spans="1:11">
      <c r="A7267" s="688" t="s">
        <v>4061</v>
      </c>
      <c r="B7267" s="689">
        <v>73.5</v>
      </c>
      <c r="C7267" s="689">
        <v>73.8</v>
      </c>
      <c r="D7267" s="689">
        <v>73.5</v>
      </c>
      <c r="E7267" s="689">
        <v>73.7</v>
      </c>
      <c r="F7267" s="689">
        <v>73.900000000000006</v>
      </c>
      <c r="G7267" s="689">
        <v>73.8</v>
      </c>
      <c r="H7267" s="689">
        <v>74.2</v>
      </c>
      <c r="I7267" s="689">
        <v>73.900000000000006</v>
      </c>
      <c r="J7267" s="689">
        <v>73.5</v>
      </c>
      <c r="K7267" s="689">
        <v>73.400000000000006</v>
      </c>
    </row>
    <row r="7268" spans="1:11">
      <c r="A7268" s="688" t="s">
        <v>4</v>
      </c>
      <c r="B7268" s="615">
        <v>68</v>
      </c>
      <c r="C7268" s="691">
        <v>67.599999999999994</v>
      </c>
      <c r="D7268" s="691">
        <v>68.3</v>
      </c>
      <c r="E7268" s="691">
        <v>68.400000000000006</v>
      </c>
      <c r="F7268" s="691">
        <v>68.900000000000006</v>
      </c>
      <c r="G7268" s="691">
        <v>69.099999999999994</v>
      </c>
      <c r="H7268" s="691">
        <v>69.599999999999994</v>
      </c>
      <c r="I7268" s="691">
        <v>69.5</v>
      </c>
      <c r="J7268" s="615">
        <v>68</v>
      </c>
      <c r="K7268" s="691">
        <v>68.8</v>
      </c>
    </row>
    <row r="7269" spans="1:11">
      <c r="A7269" s="688" t="s">
        <v>8</v>
      </c>
      <c r="B7269" s="689">
        <v>74.3</v>
      </c>
      <c r="C7269" s="689">
        <v>74.5</v>
      </c>
      <c r="D7269" s="689">
        <v>74.8</v>
      </c>
      <c r="E7269" s="693">
        <v>75</v>
      </c>
      <c r="F7269" s="689">
        <v>75.5</v>
      </c>
      <c r="G7269" s="689">
        <v>75.5</v>
      </c>
      <c r="H7269" s="689">
        <v>75.8</v>
      </c>
      <c r="I7269" s="689">
        <v>75.8</v>
      </c>
      <c r="J7269" s="689">
        <v>75.5</v>
      </c>
      <c r="K7269" s="693">
        <v>76</v>
      </c>
    </row>
    <row r="7270" spans="1:11">
      <c r="A7270" s="688" t="s">
        <v>7</v>
      </c>
      <c r="B7270" s="615">
        <v>74</v>
      </c>
      <c r="C7270" s="691">
        <v>73.5</v>
      </c>
      <c r="D7270" s="691">
        <v>73.400000000000006</v>
      </c>
      <c r="E7270" s="691">
        <v>73.7</v>
      </c>
      <c r="F7270" s="691">
        <v>73.599999999999994</v>
      </c>
      <c r="G7270" s="691">
        <v>74.099999999999994</v>
      </c>
      <c r="H7270" s="691">
        <v>74.099999999999994</v>
      </c>
      <c r="I7270" s="691">
        <v>73.8</v>
      </c>
      <c r="J7270" s="691">
        <v>72.7</v>
      </c>
      <c r="K7270" s="691">
        <v>73.5</v>
      </c>
    </row>
    <row r="7271" spans="1:11">
      <c r="A7271" s="688" t="s">
        <v>27</v>
      </c>
      <c r="B7271" s="689">
        <v>75.400000000000006</v>
      </c>
      <c r="C7271" s="689">
        <v>75.400000000000006</v>
      </c>
      <c r="D7271" s="689">
        <v>75.099999999999994</v>
      </c>
      <c r="E7271" s="689">
        <v>75.5</v>
      </c>
      <c r="F7271" s="689">
        <v>75.599999999999994</v>
      </c>
      <c r="G7271" s="689">
        <v>75.7</v>
      </c>
      <c r="H7271" s="693">
        <v>76</v>
      </c>
      <c r="I7271" s="689">
        <v>74.7</v>
      </c>
      <c r="J7271" s="689">
        <v>75.400000000000006</v>
      </c>
      <c r="K7271" s="689">
        <v>75.599999999999994</v>
      </c>
    </row>
    <row r="7272" spans="1:11">
      <c r="A7272" s="688" t="s">
        <v>6</v>
      </c>
      <c r="B7272" s="691">
        <v>74.400000000000006</v>
      </c>
      <c r="C7272" s="691">
        <v>74.599999999999994</v>
      </c>
      <c r="D7272" s="691">
        <v>74.400000000000006</v>
      </c>
      <c r="E7272" s="691">
        <v>74.7</v>
      </c>
      <c r="F7272" s="691">
        <v>74.8</v>
      </c>
      <c r="G7272" s="691">
        <v>74.900000000000006</v>
      </c>
      <c r="H7272" s="691">
        <v>75.099999999999994</v>
      </c>
      <c r="I7272" s="691">
        <v>74.5</v>
      </c>
      <c r="J7272" s="691">
        <v>74.5</v>
      </c>
      <c r="K7272" s="691">
        <v>74.7</v>
      </c>
    </row>
    <row r="7273" spans="1:11">
      <c r="A7273" s="688" t="s">
        <v>4058</v>
      </c>
      <c r="B7273" s="690" t="s">
        <v>4060</v>
      </c>
      <c r="C7273" s="690" t="s">
        <v>4060</v>
      </c>
      <c r="D7273" s="690" t="s">
        <v>4060</v>
      </c>
      <c r="E7273" s="690" t="s">
        <v>4060</v>
      </c>
      <c r="F7273" s="690" t="s">
        <v>4060</v>
      </c>
      <c r="G7273" s="690" t="s">
        <v>4060</v>
      </c>
      <c r="H7273" s="690" t="s">
        <v>4060</v>
      </c>
      <c r="I7273" s="690" t="s">
        <v>4060</v>
      </c>
      <c r="J7273" s="690" t="s">
        <v>4060</v>
      </c>
      <c r="K7273" s="690" t="s">
        <v>4060</v>
      </c>
    </row>
    <row r="7274" spans="1:11">
      <c r="A7274" s="688" t="s">
        <v>11</v>
      </c>
      <c r="B7274" s="691">
        <v>69.900000000000006</v>
      </c>
      <c r="C7274" s="691">
        <v>70.099999999999994</v>
      </c>
      <c r="D7274" s="691">
        <v>69.599999999999994</v>
      </c>
      <c r="E7274" s="691">
        <v>70.2</v>
      </c>
      <c r="F7274" s="691">
        <v>70.2</v>
      </c>
      <c r="G7274" s="691">
        <v>70.2</v>
      </c>
      <c r="H7274" s="691">
        <v>70.599999999999994</v>
      </c>
      <c r="I7274" s="691">
        <v>69.900000000000006</v>
      </c>
      <c r="J7274" s="691">
        <v>68.8</v>
      </c>
      <c r="K7274" s="615">
        <v>70</v>
      </c>
    </row>
    <row r="7275" spans="1:11">
      <c r="A7275" s="688" t="s">
        <v>10</v>
      </c>
      <c r="B7275" s="689">
        <v>75.599999999999994</v>
      </c>
      <c r="C7275" s="689">
        <v>75.7</v>
      </c>
      <c r="D7275" s="689">
        <v>75.400000000000006</v>
      </c>
      <c r="E7275" s="693">
        <v>76</v>
      </c>
      <c r="F7275" s="689">
        <v>75.900000000000006</v>
      </c>
      <c r="G7275" s="689">
        <v>76.2</v>
      </c>
      <c r="H7275" s="689">
        <v>76.400000000000006</v>
      </c>
      <c r="I7275" s="689">
        <v>75.099999999999994</v>
      </c>
      <c r="J7275" s="689">
        <v>75.599999999999994</v>
      </c>
      <c r="K7275" s="689">
        <v>75.8</v>
      </c>
    </row>
    <row r="7276" spans="1:11">
      <c r="A7276" s="688" t="s">
        <v>30</v>
      </c>
      <c r="B7276" s="691">
        <v>75.3</v>
      </c>
      <c r="C7276" s="691">
        <v>75.599999999999994</v>
      </c>
      <c r="D7276" s="691">
        <v>75.2</v>
      </c>
      <c r="E7276" s="691">
        <v>75.900000000000006</v>
      </c>
      <c r="F7276" s="691">
        <v>75.599999999999994</v>
      </c>
      <c r="G7276" s="691">
        <v>76.400000000000006</v>
      </c>
      <c r="H7276" s="615">
        <v>76</v>
      </c>
      <c r="I7276" s="615">
        <v>76</v>
      </c>
      <c r="J7276" s="691">
        <v>75.099999999999994</v>
      </c>
      <c r="K7276" s="691">
        <v>75.7</v>
      </c>
    </row>
    <row r="7277" spans="1:11">
      <c r="A7277" s="688" t="s">
        <v>12</v>
      </c>
      <c r="B7277" s="689">
        <v>64.8</v>
      </c>
      <c r="C7277" s="689">
        <v>64.400000000000006</v>
      </c>
      <c r="D7277" s="689">
        <v>65.099999999999994</v>
      </c>
      <c r="E7277" s="689">
        <v>65.099999999999994</v>
      </c>
      <c r="F7277" s="689">
        <v>65.2</v>
      </c>
      <c r="G7277" s="689">
        <v>65.3</v>
      </c>
      <c r="H7277" s="689">
        <v>66.2</v>
      </c>
      <c r="I7277" s="689">
        <v>65.900000000000006</v>
      </c>
      <c r="J7277" s="689">
        <v>63.6</v>
      </c>
      <c r="K7277" s="689">
        <v>64.7</v>
      </c>
    </row>
    <row r="7278" spans="1:11">
      <c r="A7278" s="688" t="s">
        <v>14</v>
      </c>
      <c r="B7278" s="691">
        <v>63.9</v>
      </c>
      <c r="C7278" s="691">
        <v>64.5</v>
      </c>
      <c r="D7278" s="691">
        <v>64.5</v>
      </c>
      <c r="E7278" s="691">
        <v>64.900000000000006</v>
      </c>
      <c r="F7278" s="615">
        <v>66</v>
      </c>
      <c r="G7278" s="691">
        <v>66.2</v>
      </c>
      <c r="H7278" s="691">
        <v>66.8</v>
      </c>
      <c r="I7278" s="691">
        <v>65.400000000000006</v>
      </c>
      <c r="J7278" s="691">
        <v>64.900000000000006</v>
      </c>
      <c r="K7278" s="691">
        <v>66.599999999999994</v>
      </c>
    </row>
    <row r="7279" spans="1:11">
      <c r="A7279" s="688" t="s">
        <v>15</v>
      </c>
      <c r="B7279" s="689">
        <v>75.2</v>
      </c>
      <c r="C7279" s="689">
        <v>74.400000000000006</v>
      </c>
      <c r="D7279" s="689">
        <v>75.099999999999994</v>
      </c>
      <c r="E7279" s="689">
        <v>75.3</v>
      </c>
      <c r="F7279" s="693">
        <v>75</v>
      </c>
      <c r="G7279" s="689">
        <v>75.2</v>
      </c>
      <c r="H7279" s="689">
        <v>75.599999999999994</v>
      </c>
      <c r="I7279" s="689">
        <v>75.099999999999994</v>
      </c>
      <c r="J7279" s="689">
        <v>75.599999999999994</v>
      </c>
      <c r="K7279" s="693">
        <v>76</v>
      </c>
    </row>
    <row r="7280" spans="1:11">
      <c r="A7280" s="688" t="s">
        <v>29</v>
      </c>
      <c r="B7280" s="691">
        <v>67.7</v>
      </c>
      <c r="C7280" s="691">
        <v>67.7</v>
      </c>
      <c r="D7280" s="691">
        <v>67.599999999999994</v>
      </c>
      <c r="E7280" s="691">
        <v>67.900000000000006</v>
      </c>
      <c r="F7280" s="691">
        <v>67.8</v>
      </c>
      <c r="G7280" s="691">
        <v>67.900000000000006</v>
      </c>
      <c r="H7280" s="691">
        <v>68.3</v>
      </c>
      <c r="I7280" s="691">
        <v>67.5</v>
      </c>
      <c r="J7280" s="615">
        <v>66</v>
      </c>
      <c r="K7280" s="691">
        <v>67.900000000000006</v>
      </c>
    </row>
    <row r="7281" spans="1:11">
      <c r="A7281" s="688" t="s">
        <v>16</v>
      </c>
      <c r="B7281" s="689">
        <v>75.099999999999994</v>
      </c>
      <c r="C7281" s="693">
        <v>75</v>
      </c>
      <c r="D7281" s="689">
        <v>75.3</v>
      </c>
      <c r="E7281" s="693">
        <v>76</v>
      </c>
      <c r="F7281" s="689">
        <v>75.7</v>
      </c>
      <c r="G7281" s="689">
        <v>75.7</v>
      </c>
      <c r="H7281" s="689">
        <v>76.3</v>
      </c>
      <c r="I7281" s="689">
        <v>75.099999999999994</v>
      </c>
      <c r="J7281" s="689">
        <v>75.5</v>
      </c>
      <c r="K7281" s="689">
        <v>75.599999999999994</v>
      </c>
    </row>
    <row r="7282" spans="1:11">
      <c r="A7282" s="688" t="s">
        <v>17</v>
      </c>
      <c r="B7282" s="691">
        <v>74.900000000000006</v>
      </c>
      <c r="C7282" s="691">
        <v>75.2</v>
      </c>
      <c r="D7282" s="691">
        <v>75.099999999999994</v>
      </c>
      <c r="E7282" s="691">
        <v>75.2</v>
      </c>
      <c r="F7282" s="691">
        <v>75.400000000000006</v>
      </c>
      <c r="G7282" s="691">
        <v>75.5</v>
      </c>
      <c r="H7282" s="691">
        <v>75.8</v>
      </c>
      <c r="I7282" s="615">
        <v>75</v>
      </c>
      <c r="J7282" s="615">
        <v>75</v>
      </c>
      <c r="K7282" s="691">
        <v>75.400000000000006</v>
      </c>
    </row>
    <row r="7283" spans="1:11">
      <c r="A7283" s="688" t="s">
        <v>19</v>
      </c>
      <c r="B7283" s="693">
        <v>74</v>
      </c>
      <c r="C7283" s="689">
        <v>74.2</v>
      </c>
      <c r="D7283" s="693">
        <v>74</v>
      </c>
      <c r="E7283" s="689">
        <v>74.5</v>
      </c>
      <c r="F7283" s="689">
        <v>74.599999999999994</v>
      </c>
      <c r="G7283" s="689">
        <v>74.599999999999994</v>
      </c>
      <c r="H7283" s="689">
        <v>74.900000000000006</v>
      </c>
      <c r="I7283" s="689">
        <v>74.2</v>
      </c>
      <c r="J7283" s="689">
        <v>74.099999999999994</v>
      </c>
      <c r="K7283" s="689">
        <v>74.3</v>
      </c>
    </row>
    <row r="7284" spans="1:11">
      <c r="A7284" s="688" t="s">
        <v>20</v>
      </c>
      <c r="B7284" s="691">
        <v>68.400000000000006</v>
      </c>
      <c r="C7284" s="615">
        <v>69</v>
      </c>
      <c r="D7284" s="691">
        <v>68.8</v>
      </c>
      <c r="E7284" s="691">
        <v>69.099999999999994</v>
      </c>
      <c r="F7284" s="691">
        <v>69.2</v>
      </c>
      <c r="G7284" s="615">
        <v>69</v>
      </c>
      <c r="H7284" s="691">
        <v>69.3</v>
      </c>
      <c r="I7284" s="691">
        <v>67.7</v>
      </c>
      <c r="J7284" s="691">
        <v>66.8</v>
      </c>
      <c r="K7284" s="691">
        <v>68.599999999999994</v>
      </c>
    </row>
    <row r="7285" spans="1:11">
      <c r="A7285" s="688" t="s">
        <v>21</v>
      </c>
      <c r="B7285" s="689">
        <v>72.900000000000006</v>
      </c>
      <c r="C7285" s="689">
        <v>73.400000000000006</v>
      </c>
      <c r="D7285" s="689">
        <v>73.5</v>
      </c>
      <c r="E7285" s="689">
        <v>73.599999999999994</v>
      </c>
      <c r="F7285" s="689">
        <v>73.8</v>
      </c>
      <c r="G7285" s="689">
        <v>73.8</v>
      </c>
      <c r="H7285" s="689">
        <v>74.3</v>
      </c>
      <c r="I7285" s="689">
        <v>73.599999999999994</v>
      </c>
      <c r="J7285" s="689">
        <v>73.7</v>
      </c>
      <c r="K7285" s="689">
        <v>74.099999999999994</v>
      </c>
    </row>
    <row r="7286" spans="1:11">
      <c r="A7286" s="688" t="s">
        <v>22</v>
      </c>
      <c r="B7286" s="691">
        <v>67.400000000000006</v>
      </c>
      <c r="C7286" s="691">
        <v>67.099999999999994</v>
      </c>
      <c r="D7286" s="615">
        <v>67</v>
      </c>
      <c r="E7286" s="691">
        <v>67.2</v>
      </c>
      <c r="F7286" s="691">
        <v>67.2</v>
      </c>
      <c r="G7286" s="691">
        <v>67.2</v>
      </c>
      <c r="H7286" s="691">
        <v>67.400000000000006</v>
      </c>
      <c r="I7286" s="691">
        <v>65.8</v>
      </c>
      <c r="J7286" s="691">
        <v>64.599999999999994</v>
      </c>
      <c r="K7286" s="691">
        <v>66.8</v>
      </c>
    </row>
    <row r="7287" spans="1:11">
      <c r="A7287" s="688" t="s">
        <v>26</v>
      </c>
      <c r="B7287" s="689">
        <v>72.5</v>
      </c>
      <c r="C7287" s="689">
        <v>73.2</v>
      </c>
      <c r="D7287" s="689">
        <v>72.8</v>
      </c>
      <c r="E7287" s="689">
        <v>73.2</v>
      </c>
      <c r="F7287" s="689">
        <v>73.3</v>
      </c>
      <c r="G7287" s="689">
        <v>73.599999999999994</v>
      </c>
      <c r="H7287" s="689">
        <v>73.7</v>
      </c>
      <c r="I7287" s="693">
        <v>73</v>
      </c>
      <c r="J7287" s="689">
        <v>72.8</v>
      </c>
      <c r="K7287" s="689">
        <v>73.7</v>
      </c>
    </row>
    <row r="7288" spans="1:11">
      <c r="A7288" s="688" t="s">
        <v>25</v>
      </c>
      <c r="B7288" s="691">
        <v>68.400000000000006</v>
      </c>
      <c r="C7288" s="691">
        <v>68.8</v>
      </c>
      <c r="D7288" s="691">
        <v>68.599999999999994</v>
      </c>
      <c r="E7288" s="691">
        <v>69.3</v>
      </c>
      <c r="F7288" s="691">
        <v>69.3</v>
      </c>
      <c r="G7288" s="691">
        <v>69.400000000000006</v>
      </c>
      <c r="H7288" s="691">
        <v>69.8</v>
      </c>
      <c r="I7288" s="615">
        <v>69</v>
      </c>
      <c r="J7288" s="691">
        <v>66.599999999999994</v>
      </c>
      <c r="K7288" s="691">
        <v>69.099999999999994</v>
      </c>
    </row>
    <row r="7289" spans="1:11">
      <c r="A7289" s="688" t="s">
        <v>5</v>
      </c>
      <c r="B7289" s="689">
        <v>73.2</v>
      </c>
      <c r="C7289" s="689">
        <v>73.400000000000006</v>
      </c>
      <c r="D7289" s="689">
        <v>73.7</v>
      </c>
      <c r="E7289" s="689">
        <v>73.599999999999994</v>
      </c>
      <c r="F7289" s="689">
        <v>73.900000000000006</v>
      </c>
      <c r="G7289" s="689">
        <v>74.099999999999994</v>
      </c>
      <c r="H7289" s="689">
        <v>74.400000000000006</v>
      </c>
      <c r="I7289" s="689">
        <v>74.2</v>
      </c>
      <c r="J7289" s="689">
        <v>74.3</v>
      </c>
      <c r="K7289" s="689">
        <v>73.900000000000006</v>
      </c>
    </row>
    <row r="7290" spans="1:11">
      <c r="A7290" s="688" t="s">
        <v>23</v>
      </c>
      <c r="B7290" s="691">
        <v>75.400000000000006</v>
      </c>
      <c r="C7290" s="691">
        <v>75.599999999999994</v>
      </c>
      <c r="D7290" s="691">
        <v>75.599999999999994</v>
      </c>
      <c r="E7290" s="691">
        <v>75.8</v>
      </c>
      <c r="F7290" s="691">
        <v>75.900000000000006</v>
      </c>
      <c r="G7290" s="615">
        <v>76</v>
      </c>
      <c r="H7290" s="691">
        <v>76.599999999999994</v>
      </c>
      <c r="I7290" s="691">
        <v>75.8</v>
      </c>
      <c r="J7290" s="691">
        <v>76.400000000000006</v>
      </c>
      <c r="K7290" s="691">
        <v>76.599999999999994</v>
      </c>
    </row>
    <row r="7291" spans="1:11">
      <c r="A7291" s="688" t="s">
        <v>4067</v>
      </c>
      <c r="B7291" s="689">
        <v>73.099999999999994</v>
      </c>
      <c r="C7291" s="689">
        <v>73.5</v>
      </c>
      <c r="D7291" s="689">
        <v>73.2</v>
      </c>
      <c r="E7291" s="689">
        <v>73.599999999999994</v>
      </c>
      <c r="F7291" s="689">
        <v>73.599999999999994</v>
      </c>
      <c r="G7291" s="689">
        <v>73.7</v>
      </c>
      <c r="H7291" s="690" t="s">
        <v>4060</v>
      </c>
      <c r="I7291" s="690" t="s">
        <v>4060</v>
      </c>
      <c r="J7291" s="690" t="s">
        <v>4060</v>
      </c>
      <c r="K7291" s="690" t="s">
        <v>4060</v>
      </c>
    </row>
    <row r="7292" spans="1:11">
      <c r="A7292" s="688" t="s">
        <v>4066</v>
      </c>
      <c r="B7292" s="691">
        <v>73.099999999999994</v>
      </c>
      <c r="C7292" s="691">
        <v>73.5</v>
      </c>
      <c r="D7292" s="691">
        <v>73.3</v>
      </c>
      <c r="E7292" s="691">
        <v>73.599999999999994</v>
      </c>
      <c r="F7292" s="691">
        <v>73.7</v>
      </c>
      <c r="G7292" s="691">
        <v>73.7</v>
      </c>
      <c r="H7292" s="692" t="s">
        <v>4060</v>
      </c>
      <c r="I7292" s="692" t="s">
        <v>4060</v>
      </c>
      <c r="J7292" s="692" t="s">
        <v>4060</v>
      </c>
      <c r="K7292" s="692" t="s">
        <v>4060</v>
      </c>
    </row>
    <row r="7293" spans="1:11">
      <c r="A7293" s="688" t="s">
        <v>4062</v>
      </c>
      <c r="B7293" s="689">
        <v>75.7</v>
      </c>
      <c r="C7293" s="689">
        <v>75.900000000000006</v>
      </c>
      <c r="D7293" s="689">
        <v>75.900000000000006</v>
      </c>
      <c r="E7293" s="689">
        <v>76.400000000000006</v>
      </c>
      <c r="F7293" s="689">
        <v>76.5</v>
      </c>
      <c r="G7293" s="689">
        <v>76.7</v>
      </c>
      <c r="H7293" s="689">
        <v>76.900000000000006</v>
      </c>
      <c r="I7293" s="689">
        <v>76.5</v>
      </c>
      <c r="J7293" s="689">
        <v>76.900000000000006</v>
      </c>
      <c r="K7293" s="689">
        <v>76.599999999999994</v>
      </c>
    </row>
    <row r="7294" spans="1:11">
      <c r="A7294" s="688" t="s">
        <v>9</v>
      </c>
      <c r="B7294" s="691">
        <v>75.599999999999994</v>
      </c>
      <c r="C7294" s="691">
        <v>76.2</v>
      </c>
      <c r="D7294" s="691">
        <v>76.3</v>
      </c>
      <c r="E7294" s="691">
        <v>75.5</v>
      </c>
      <c r="F7294" s="615">
        <v>76</v>
      </c>
      <c r="G7294" s="691">
        <v>76.3</v>
      </c>
      <c r="H7294" s="691">
        <v>76.599999999999994</v>
      </c>
      <c r="I7294" s="691">
        <v>76.8</v>
      </c>
      <c r="J7294" s="615">
        <v>77</v>
      </c>
      <c r="K7294" s="615">
        <v>76</v>
      </c>
    </row>
    <row r="7295" spans="1:11">
      <c r="A7295" s="688" t="s">
        <v>13</v>
      </c>
      <c r="B7295" s="689">
        <v>75.7</v>
      </c>
      <c r="C7295" s="693">
        <v>76</v>
      </c>
      <c r="D7295" s="689">
        <v>76.599999999999994</v>
      </c>
      <c r="E7295" s="689">
        <v>75.599999999999994</v>
      </c>
      <c r="F7295" s="693">
        <v>76</v>
      </c>
      <c r="G7295" s="689">
        <v>75.400000000000006</v>
      </c>
      <c r="H7295" s="689">
        <v>77.400000000000006</v>
      </c>
      <c r="I7295" s="689">
        <v>75.5</v>
      </c>
      <c r="J7295" s="689">
        <v>77.099999999999994</v>
      </c>
      <c r="K7295" s="689">
        <v>77.400000000000006</v>
      </c>
    </row>
    <row r="7296" spans="1:11">
      <c r="A7296" s="688" t="s">
        <v>18</v>
      </c>
      <c r="B7296" s="615">
        <v>75</v>
      </c>
      <c r="C7296" s="691">
        <v>75.3</v>
      </c>
      <c r="D7296" s="691">
        <v>75.599999999999994</v>
      </c>
      <c r="E7296" s="691">
        <v>75.8</v>
      </c>
      <c r="F7296" s="691">
        <v>76.099999999999994</v>
      </c>
      <c r="G7296" s="691">
        <v>76.2</v>
      </c>
      <c r="H7296" s="691">
        <v>76.400000000000006</v>
      </c>
      <c r="I7296" s="691">
        <v>76.7</v>
      </c>
      <c r="J7296" s="691">
        <v>76.8</v>
      </c>
      <c r="K7296" s="691">
        <v>76.099999999999994</v>
      </c>
    </row>
    <row r="7297" spans="1:11">
      <c r="A7297" s="688" t="s">
        <v>24</v>
      </c>
      <c r="B7297" s="689">
        <v>76.099999999999994</v>
      </c>
      <c r="C7297" s="689">
        <v>76.3</v>
      </c>
      <c r="D7297" s="689">
        <v>76.099999999999994</v>
      </c>
      <c r="E7297" s="689">
        <v>76.8</v>
      </c>
      <c r="F7297" s="689">
        <v>76.7</v>
      </c>
      <c r="G7297" s="693">
        <v>77</v>
      </c>
      <c r="H7297" s="689">
        <v>77.2</v>
      </c>
      <c r="I7297" s="689">
        <v>76.400000000000006</v>
      </c>
      <c r="J7297" s="689">
        <v>76.900000000000006</v>
      </c>
      <c r="K7297" s="693">
        <v>77</v>
      </c>
    </row>
    <row r="7298" spans="1:11">
      <c r="A7298" s="688" t="s">
        <v>4059</v>
      </c>
      <c r="B7298" s="691">
        <v>74.599999999999994</v>
      </c>
      <c r="C7298" s="691">
        <v>74.900000000000006</v>
      </c>
      <c r="D7298" s="691">
        <v>74.599999999999994</v>
      </c>
      <c r="E7298" s="691">
        <v>74.8</v>
      </c>
      <c r="F7298" s="691">
        <v>74.900000000000006</v>
      </c>
      <c r="G7298" s="691">
        <v>74.8</v>
      </c>
      <c r="H7298" s="692" t="s">
        <v>4060</v>
      </c>
      <c r="I7298" s="692" t="s">
        <v>4060</v>
      </c>
      <c r="J7298" s="692" t="s">
        <v>4060</v>
      </c>
      <c r="K7298" s="692" t="s">
        <v>4060</v>
      </c>
    </row>
    <row r="7299" spans="1:11">
      <c r="A7299" s="688" t="s">
        <v>2324</v>
      </c>
      <c r="B7299" s="689">
        <v>69.5</v>
      </c>
      <c r="C7299" s="689">
        <v>69.599999999999994</v>
      </c>
      <c r="D7299" s="689">
        <v>69.5</v>
      </c>
      <c r="E7299" s="689">
        <v>69.3</v>
      </c>
      <c r="F7299" s="689">
        <v>69.2</v>
      </c>
      <c r="G7299" s="689">
        <v>69.7</v>
      </c>
      <c r="H7299" s="689">
        <v>69.3</v>
      </c>
      <c r="I7299" s="689">
        <v>68.400000000000006</v>
      </c>
      <c r="J7299" s="689">
        <v>65.900000000000006</v>
      </c>
      <c r="K7299" s="690" t="s">
        <v>4060</v>
      </c>
    </row>
    <row r="7300" spans="1:11">
      <c r="A7300" s="688" t="s">
        <v>2322</v>
      </c>
      <c r="B7300" s="692" t="s">
        <v>4060</v>
      </c>
      <c r="C7300" s="692" t="s">
        <v>4060</v>
      </c>
      <c r="D7300" s="692" t="s">
        <v>4060</v>
      </c>
      <c r="E7300" s="692" t="s">
        <v>4060</v>
      </c>
      <c r="F7300" s="692" t="s">
        <v>4060</v>
      </c>
      <c r="G7300" s="692" t="s">
        <v>4060</v>
      </c>
      <c r="H7300" s="692" t="s">
        <v>4060</v>
      </c>
      <c r="I7300" s="692" t="s">
        <v>4060</v>
      </c>
      <c r="J7300" s="692" t="s">
        <v>4060</v>
      </c>
      <c r="K7300" s="692" t="s">
        <v>4060</v>
      </c>
    </row>
    <row r="7301" spans="1:11">
      <c r="A7301" s="688" t="s">
        <v>2328</v>
      </c>
      <c r="B7301" s="689">
        <v>69.3</v>
      </c>
      <c r="C7301" s="689">
        <v>69.400000000000006</v>
      </c>
      <c r="D7301" s="689">
        <v>69.3</v>
      </c>
      <c r="E7301" s="689">
        <v>69.400000000000006</v>
      </c>
      <c r="F7301" s="689">
        <v>69.900000000000006</v>
      </c>
      <c r="G7301" s="689">
        <v>70.099999999999994</v>
      </c>
      <c r="H7301" s="689">
        <v>70.3</v>
      </c>
      <c r="I7301" s="689">
        <v>67.599999999999994</v>
      </c>
      <c r="J7301" s="689">
        <v>66.5</v>
      </c>
      <c r="K7301" s="690" t="s">
        <v>4060</v>
      </c>
    </row>
    <row r="7302" spans="1:11">
      <c r="A7302" s="688" t="s">
        <v>2496</v>
      </c>
      <c r="B7302" s="692" t="s">
        <v>4060</v>
      </c>
      <c r="C7302" s="691">
        <v>65.7</v>
      </c>
      <c r="D7302" s="691">
        <v>64.400000000000006</v>
      </c>
      <c r="E7302" s="691">
        <v>64.099999999999994</v>
      </c>
      <c r="F7302" s="615">
        <v>65</v>
      </c>
      <c r="G7302" s="691">
        <v>65.400000000000006</v>
      </c>
      <c r="H7302" s="691">
        <v>65.5</v>
      </c>
      <c r="I7302" s="692" t="s">
        <v>4060</v>
      </c>
      <c r="J7302" s="692" t="s">
        <v>4060</v>
      </c>
      <c r="K7302" s="615">
        <v>65</v>
      </c>
    </row>
    <row r="7303" spans="1:11">
      <c r="A7303" s="688" t="s">
        <v>2269</v>
      </c>
      <c r="B7303" s="689">
        <v>71.8</v>
      </c>
      <c r="C7303" s="689">
        <v>72.099999999999994</v>
      </c>
      <c r="D7303" s="693">
        <v>72</v>
      </c>
      <c r="E7303" s="689">
        <v>72.8</v>
      </c>
      <c r="F7303" s="689">
        <v>72.8</v>
      </c>
      <c r="G7303" s="689">
        <v>73.2</v>
      </c>
      <c r="H7303" s="689">
        <v>73.5</v>
      </c>
      <c r="I7303" s="689">
        <v>71.099999999999994</v>
      </c>
      <c r="J7303" s="689">
        <v>69.3</v>
      </c>
      <c r="K7303" s="689">
        <v>73.099999999999994</v>
      </c>
    </row>
    <row r="7304" spans="1:11">
      <c r="A7304" s="688" t="s">
        <v>2349</v>
      </c>
      <c r="B7304" s="691">
        <v>68.2</v>
      </c>
      <c r="C7304" s="691">
        <v>68.3</v>
      </c>
      <c r="D7304" s="691">
        <v>68.2</v>
      </c>
      <c r="E7304" s="691">
        <v>68.7</v>
      </c>
      <c r="F7304" s="691">
        <v>68.599999999999994</v>
      </c>
      <c r="G7304" s="691">
        <v>68.900000000000006</v>
      </c>
      <c r="H7304" s="691">
        <v>68.900000000000006</v>
      </c>
      <c r="I7304" s="615">
        <v>67</v>
      </c>
      <c r="J7304" s="691">
        <v>65.400000000000006</v>
      </c>
      <c r="K7304" s="691">
        <v>68.099999999999994</v>
      </c>
    </row>
    <row r="7305" spans="1:11">
      <c r="A7305" s="688" t="s">
        <v>2355</v>
      </c>
      <c r="B7305" s="689">
        <v>71.5</v>
      </c>
      <c r="C7305" s="689">
        <v>71.5</v>
      </c>
      <c r="D7305" s="689">
        <v>71.5</v>
      </c>
      <c r="E7305" s="689">
        <v>71.3</v>
      </c>
      <c r="F7305" s="689">
        <v>71.7</v>
      </c>
      <c r="G7305" s="689">
        <v>72.099999999999994</v>
      </c>
      <c r="H7305" s="689">
        <v>72.3</v>
      </c>
      <c r="I7305" s="690" t="s">
        <v>4060</v>
      </c>
      <c r="J7305" s="690" t="s">
        <v>4060</v>
      </c>
      <c r="K7305" s="690" t="s">
        <v>4060</v>
      </c>
    </row>
    <row r="7306" spans="1:11">
      <c r="A7306" s="688" t="s">
        <v>2357</v>
      </c>
      <c r="B7306" s="692" t="s">
        <v>4060</v>
      </c>
      <c r="C7306" s="691">
        <v>62.3</v>
      </c>
      <c r="D7306" s="691">
        <v>63.2</v>
      </c>
      <c r="E7306" s="691">
        <v>63.6</v>
      </c>
      <c r="F7306" s="691">
        <v>63.9</v>
      </c>
      <c r="G7306" s="691">
        <v>63.7</v>
      </c>
      <c r="H7306" s="615">
        <v>64</v>
      </c>
      <c r="I7306" s="692" t="s">
        <v>4060</v>
      </c>
      <c r="J7306" s="692" t="s">
        <v>4060</v>
      </c>
      <c r="K7306" s="692" t="s">
        <v>4060</v>
      </c>
    </row>
    <row r="7307" spans="1:11">
      <c r="A7307" s="688" t="s">
        <v>4070</v>
      </c>
      <c r="B7307" s="690" t="s">
        <v>4060</v>
      </c>
      <c r="C7307" s="690" t="s">
        <v>4060</v>
      </c>
      <c r="D7307" s="690" t="s">
        <v>4060</v>
      </c>
      <c r="E7307" s="689">
        <v>71.5</v>
      </c>
      <c r="F7307" s="690" t="s">
        <v>4060</v>
      </c>
      <c r="G7307" s="690" t="s">
        <v>4060</v>
      </c>
      <c r="H7307" s="690" t="s">
        <v>4060</v>
      </c>
      <c r="I7307" s="690" t="s">
        <v>4060</v>
      </c>
      <c r="J7307" s="690" t="s">
        <v>4060</v>
      </c>
      <c r="K7307" s="690" t="s">
        <v>4060</v>
      </c>
    </row>
    <row r="7308" spans="1:11">
      <c r="A7308" s="688" t="s">
        <v>2491</v>
      </c>
      <c r="B7308" s="691">
        <v>62.6</v>
      </c>
      <c r="C7308" s="691">
        <v>63.2</v>
      </c>
      <c r="D7308" s="691">
        <v>63.9</v>
      </c>
      <c r="E7308" s="691">
        <v>64.3</v>
      </c>
      <c r="F7308" s="691">
        <v>64.599999999999994</v>
      </c>
      <c r="G7308" s="691">
        <v>64.5</v>
      </c>
      <c r="H7308" s="692" t="s">
        <v>4060</v>
      </c>
      <c r="I7308" s="692" t="s">
        <v>4060</v>
      </c>
      <c r="J7308" s="692" t="s">
        <v>4060</v>
      </c>
      <c r="K7308" s="692" t="s">
        <v>4060</v>
      </c>
    </row>
    <row r="7309" spans="1:11">
      <c r="A7309" s="688" t="s">
        <v>2343</v>
      </c>
      <c r="B7309" s="690" t="s">
        <v>4060</v>
      </c>
      <c r="C7309" s="690" t="s">
        <v>4060</v>
      </c>
      <c r="D7309" s="690" t="s">
        <v>4060</v>
      </c>
      <c r="E7309" s="690" t="s">
        <v>4060</v>
      </c>
      <c r="F7309" s="690" t="s">
        <v>4060</v>
      </c>
      <c r="G7309" s="690" t="s">
        <v>4060</v>
      </c>
      <c r="H7309" s="690" t="s">
        <v>4060</v>
      </c>
      <c r="I7309" s="690" t="s">
        <v>4060</v>
      </c>
      <c r="J7309" s="690" t="s">
        <v>4060</v>
      </c>
      <c r="K7309" s="690" t="s">
        <v>4060</v>
      </c>
    </row>
    <row r="7310" spans="1:11">
      <c r="A7310" s="688" t="s">
        <v>4071</v>
      </c>
      <c r="B7310" s="692" t="s">
        <v>4060</v>
      </c>
      <c r="C7310" s="692" t="s">
        <v>4060</v>
      </c>
      <c r="D7310" s="692" t="s">
        <v>4060</v>
      </c>
      <c r="E7310" s="692" t="s">
        <v>4060</v>
      </c>
      <c r="F7310" s="692" t="s">
        <v>4060</v>
      </c>
      <c r="G7310" s="692" t="s">
        <v>4060</v>
      </c>
      <c r="H7310" s="692" t="s">
        <v>4060</v>
      </c>
      <c r="I7310" s="692" t="s">
        <v>4060</v>
      </c>
      <c r="J7310" s="692" t="s">
        <v>4060</v>
      </c>
      <c r="K7310" s="692" t="s">
        <v>4060</v>
      </c>
    </row>
    <row r="7311" spans="1:11">
      <c r="A7311" s="688" t="s">
        <v>2489</v>
      </c>
      <c r="B7311" s="690" t="s">
        <v>4060</v>
      </c>
      <c r="C7311" s="690" t="s">
        <v>4060</v>
      </c>
      <c r="D7311" s="689">
        <v>67.5</v>
      </c>
      <c r="E7311" s="689">
        <v>67.3</v>
      </c>
      <c r="F7311" s="689">
        <v>68.2</v>
      </c>
      <c r="G7311" s="689">
        <v>69.099999999999994</v>
      </c>
      <c r="H7311" s="689">
        <v>68.7</v>
      </c>
      <c r="I7311" s="690" t="s">
        <v>4060</v>
      </c>
      <c r="J7311" s="690" t="s">
        <v>4060</v>
      </c>
      <c r="K7311" s="690" t="s">
        <v>4060</v>
      </c>
    </row>
    <row r="7312" spans="1:11">
      <c r="A7312" s="688" t="s">
        <v>2490</v>
      </c>
      <c r="B7312" s="691">
        <v>68.099999999999994</v>
      </c>
      <c r="C7312" s="691">
        <v>68.2</v>
      </c>
      <c r="D7312" s="615">
        <v>69</v>
      </c>
      <c r="E7312" s="692" t="s">
        <v>4060</v>
      </c>
      <c r="F7312" s="691">
        <v>69.3</v>
      </c>
      <c r="G7312" s="691">
        <v>69.5</v>
      </c>
      <c r="H7312" s="691">
        <v>70.3</v>
      </c>
      <c r="I7312" s="692" t="s">
        <v>4060</v>
      </c>
      <c r="J7312" s="692" t="s">
        <v>4060</v>
      </c>
      <c r="K7312" s="692" t="s">
        <v>4060</v>
      </c>
    </row>
    <row r="7314" spans="1:11">
      <c r="A7314" s="683" t="s">
        <v>4233</v>
      </c>
    </row>
    <row r="7315" spans="1:11">
      <c r="A7315" s="683" t="s">
        <v>4060</v>
      </c>
      <c r="B7315" s="682" t="s">
        <v>4234</v>
      </c>
    </row>
    <row r="7317" spans="1:11">
      <c r="A7317" s="682" t="s">
        <v>4331</v>
      </c>
    </row>
    <row r="7318" spans="1:11">
      <c r="A7318" s="682" t="s">
        <v>4210</v>
      </c>
      <c r="B7318" s="683" t="s">
        <v>4211</v>
      </c>
    </row>
    <row r="7319" spans="1:11">
      <c r="A7319" s="682" t="s">
        <v>4212</v>
      </c>
      <c r="B7319" s="682" t="s">
        <v>4213</v>
      </c>
    </row>
    <row r="7321" spans="1:11">
      <c r="A7321" s="683" t="s">
        <v>4214</v>
      </c>
      <c r="C7321" s="682" t="s">
        <v>4215</v>
      </c>
    </row>
    <row r="7322" spans="1:11">
      <c r="A7322" s="683" t="s">
        <v>4216</v>
      </c>
      <c r="C7322" s="682" t="s">
        <v>2967</v>
      </c>
    </row>
    <row r="7323" spans="1:11">
      <c r="A7323" s="683" t="s">
        <v>3893</v>
      </c>
      <c r="C7323" s="682" t="s">
        <v>2168</v>
      </c>
    </row>
    <row r="7324" spans="1:11">
      <c r="A7324" s="683" t="s">
        <v>4218</v>
      </c>
      <c r="C7324" s="682" t="s">
        <v>4240</v>
      </c>
    </row>
    <row r="7326" spans="1:11">
      <c r="A7326" s="684" t="s">
        <v>4220</v>
      </c>
      <c r="B7326" s="685" t="s">
        <v>4221</v>
      </c>
      <c r="C7326" s="685" t="s">
        <v>4222</v>
      </c>
      <c r="D7326" s="685" t="s">
        <v>4223</v>
      </c>
      <c r="E7326" s="685" t="s">
        <v>4224</v>
      </c>
      <c r="F7326" s="685" t="s">
        <v>4225</v>
      </c>
      <c r="G7326" s="685" t="s">
        <v>4226</v>
      </c>
      <c r="H7326" s="685" t="s">
        <v>4227</v>
      </c>
      <c r="I7326" s="685" t="s">
        <v>4228</v>
      </c>
      <c r="J7326" s="685" t="s">
        <v>4229</v>
      </c>
      <c r="K7326" s="685" t="s">
        <v>4230</v>
      </c>
    </row>
    <row r="7327" spans="1:11">
      <c r="A7327" s="686" t="s">
        <v>4231</v>
      </c>
      <c r="B7327" s="687" t="s">
        <v>4232</v>
      </c>
      <c r="C7327" s="687" t="s">
        <v>4232</v>
      </c>
      <c r="D7327" s="687" t="s">
        <v>4232</v>
      </c>
      <c r="E7327" s="687" t="s">
        <v>4232</v>
      </c>
      <c r="F7327" s="687" t="s">
        <v>4232</v>
      </c>
      <c r="G7327" s="687" t="s">
        <v>4232</v>
      </c>
      <c r="H7327" s="687" t="s">
        <v>4232</v>
      </c>
      <c r="I7327" s="687" t="s">
        <v>4232</v>
      </c>
      <c r="J7327" s="687" t="s">
        <v>4232</v>
      </c>
      <c r="K7327" s="687" t="s">
        <v>4232</v>
      </c>
    </row>
    <row r="7328" spans="1:11">
      <c r="A7328" s="688" t="s">
        <v>4064</v>
      </c>
      <c r="B7328" s="691">
        <v>71.900000000000006</v>
      </c>
      <c r="C7328" s="691">
        <v>72.099999999999994</v>
      </c>
      <c r="D7328" s="615">
        <v>72</v>
      </c>
      <c r="E7328" s="691">
        <v>72.2</v>
      </c>
      <c r="F7328" s="691">
        <v>72.3</v>
      </c>
      <c r="G7328" s="691">
        <v>72.400000000000006</v>
      </c>
      <c r="H7328" s="691">
        <v>72.7</v>
      </c>
      <c r="I7328" s="691">
        <v>71.8</v>
      </c>
      <c r="J7328" s="691">
        <v>71.5</v>
      </c>
      <c r="K7328" s="691">
        <v>72.2</v>
      </c>
    </row>
    <row r="7329" spans="1:11">
      <c r="A7329" s="688" t="s">
        <v>4065</v>
      </c>
      <c r="B7329" s="689">
        <v>72.099999999999994</v>
      </c>
      <c r="C7329" s="689">
        <v>72.5</v>
      </c>
      <c r="D7329" s="689">
        <v>72.2</v>
      </c>
      <c r="E7329" s="689">
        <v>72.599999999999994</v>
      </c>
      <c r="F7329" s="689">
        <v>72.599999999999994</v>
      </c>
      <c r="G7329" s="689">
        <v>72.7</v>
      </c>
      <c r="H7329" s="690" t="s">
        <v>4060</v>
      </c>
      <c r="I7329" s="690" t="s">
        <v>4060</v>
      </c>
      <c r="J7329" s="690" t="s">
        <v>4060</v>
      </c>
      <c r="K7329" s="690" t="s">
        <v>4060</v>
      </c>
    </row>
    <row r="7330" spans="1:11">
      <c r="A7330" s="688" t="s">
        <v>4063</v>
      </c>
      <c r="B7330" s="691">
        <v>72.099999999999994</v>
      </c>
      <c r="C7330" s="691">
        <v>72.5</v>
      </c>
      <c r="D7330" s="691">
        <v>72.3</v>
      </c>
      <c r="E7330" s="691">
        <v>72.599999999999994</v>
      </c>
      <c r="F7330" s="691">
        <v>72.7</v>
      </c>
      <c r="G7330" s="691">
        <v>72.7</v>
      </c>
      <c r="H7330" s="692" t="s">
        <v>4060</v>
      </c>
      <c r="I7330" s="692" t="s">
        <v>4060</v>
      </c>
      <c r="J7330" s="692" t="s">
        <v>4060</v>
      </c>
      <c r="K7330" s="692" t="s">
        <v>4060</v>
      </c>
    </row>
    <row r="7331" spans="1:11">
      <c r="A7331" s="688" t="s">
        <v>4069</v>
      </c>
      <c r="B7331" s="690" t="s">
        <v>4060</v>
      </c>
      <c r="C7331" s="689">
        <v>73.2</v>
      </c>
      <c r="D7331" s="693">
        <v>73</v>
      </c>
      <c r="E7331" s="689">
        <v>73.400000000000006</v>
      </c>
      <c r="F7331" s="689">
        <v>73.5</v>
      </c>
      <c r="G7331" s="689">
        <v>73.599999999999994</v>
      </c>
      <c r="H7331" s="689">
        <v>73.900000000000006</v>
      </c>
      <c r="I7331" s="689">
        <v>73.2</v>
      </c>
      <c r="J7331" s="689">
        <v>73.099999999999994</v>
      </c>
      <c r="K7331" s="689">
        <v>73.400000000000006</v>
      </c>
    </row>
    <row r="7332" spans="1:11">
      <c r="A7332" s="688" t="s">
        <v>4068</v>
      </c>
      <c r="B7332" s="691">
        <v>73.099999999999994</v>
      </c>
      <c r="C7332" s="692" t="s">
        <v>4060</v>
      </c>
      <c r="D7332" s="692" t="s">
        <v>4060</v>
      </c>
      <c r="E7332" s="692" t="s">
        <v>4060</v>
      </c>
      <c r="F7332" s="692" t="s">
        <v>4060</v>
      </c>
      <c r="G7332" s="692" t="s">
        <v>4060</v>
      </c>
      <c r="H7332" s="692" t="s">
        <v>4060</v>
      </c>
      <c r="I7332" s="692" t="s">
        <v>4060</v>
      </c>
      <c r="J7332" s="692" t="s">
        <v>4060</v>
      </c>
      <c r="K7332" s="692" t="s">
        <v>4060</v>
      </c>
    </row>
    <row r="7333" spans="1:11">
      <c r="A7333" s="688" t="s">
        <v>0</v>
      </c>
      <c r="B7333" s="689">
        <v>72.5</v>
      </c>
      <c r="C7333" s="689">
        <v>72.900000000000006</v>
      </c>
      <c r="D7333" s="689">
        <v>72.900000000000006</v>
      </c>
      <c r="E7333" s="689">
        <v>73.099999999999994</v>
      </c>
      <c r="F7333" s="689">
        <v>73.400000000000006</v>
      </c>
      <c r="G7333" s="689">
        <v>73.599999999999994</v>
      </c>
      <c r="H7333" s="693">
        <v>74</v>
      </c>
      <c r="I7333" s="689">
        <v>72.8</v>
      </c>
      <c r="J7333" s="689">
        <v>73.599999999999994</v>
      </c>
      <c r="K7333" s="689">
        <v>73.900000000000006</v>
      </c>
    </row>
    <row r="7334" spans="1:11">
      <c r="A7334" s="688" t="s">
        <v>1</v>
      </c>
      <c r="B7334" s="691">
        <v>66.099999999999994</v>
      </c>
      <c r="C7334" s="691">
        <v>65.7</v>
      </c>
      <c r="D7334" s="691">
        <v>65.7</v>
      </c>
      <c r="E7334" s="691">
        <v>65.8</v>
      </c>
      <c r="F7334" s="691">
        <v>65.8</v>
      </c>
      <c r="G7334" s="691">
        <v>65.8</v>
      </c>
      <c r="H7334" s="691">
        <v>65.8</v>
      </c>
      <c r="I7334" s="691">
        <v>64.099999999999994</v>
      </c>
      <c r="J7334" s="691">
        <v>62.2</v>
      </c>
      <c r="K7334" s="615">
        <v>65</v>
      </c>
    </row>
    <row r="7335" spans="1:11">
      <c r="A7335" s="688" t="s">
        <v>2240</v>
      </c>
      <c r="B7335" s="689">
        <v>69.5</v>
      </c>
      <c r="C7335" s="693">
        <v>70</v>
      </c>
      <c r="D7335" s="689">
        <v>69.900000000000006</v>
      </c>
      <c r="E7335" s="689">
        <v>70.3</v>
      </c>
      <c r="F7335" s="689">
        <v>70.3</v>
      </c>
      <c r="G7335" s="689">
        <v>70.3</v>
      </c>
      <c r="H7335" s="689">
        <v>70.599999999999994</v>
      </c>
      <c r="I7335" s="689">
        <v>69.5</v>
      </c>
      <c r="J7335" s="689">
        <v>68.3</v>
      </c>
      <c r="K7335" s="689">
        <v>70.3</v>
      </c>
    </row>
    <row r="7336" spans="1:11">
      <c r="A7336" s="688" t="s">
        <v>2</v>
      </c>
      <c r="B7336" s="691">
        <v>72.7</v>
      </c>
      <c r="C7336" s="615">
        <v>73</v>
      </c>
      <c r="D7336" s="691">
        <v>73.099999999999994</v>
      </c>
      <c r="E7336" s="691">
        <v>73.3</v>
      </c>
      <c r="F7336" s="691">
        <v>73.5</v>
      </c>
      <c r="G7336" s="691">
        <v>73.400000000000006</v>
      </c>
      <c r="H7336" s="691">
        <v>73.8</v>
      </c>
      <c r="I7336" s="691">
        <v>73.900000000000006</v>
      </c>
      <c r="J7336" s="691">
        <v>73.900000000000006</v>
      </c>
      <c r="K7336" s="691">
        <v>73.7</v>
      </c>
    </row>
    <row r="7337" spans="1:11">
      <c r="A7337" s="688" t="s">
        <v>3</v>
      </c>
      <c r="B7337" s="689">
        <v>72.5</v>
      </c>
      <c r="C7337" s="689">
        <v>72.8</v>
      </c>
      <c r="D7337" s="689">
        <v>72.5</v>
      </c>
      <c r="E7337" s="689">
        <v>72.7</v>
      </c>
      <c r="F7337" s="689">
        <v>72.900000000000006</v>
      </c>
      <c r="G7337" s="689">
        <v>72.8</v>
      </c>
      <c r="H7337" s="689">
        <v>73.2</v>
      </c>
      <c r="I7337" s="689">
        <v>72.900000000000006</v>
      </c>
      <c r="J7337" s="689">
        <v>72.5</v>
      </c>
      <c r="K7337" s="689">
        <v>72.400000000000006</v>
      </c>
    </row>
    <row r="7338" spans="1:11">
      <c r="A7338" s="688" t="s">
        <v>4061</v>
      </c>
      <c r="B7338" s="691">
        <v>72.5</v>
      </c>
      <c r="C7338" s="691">
        <v>72.8</v>
      </c>
      <c r="D7338" s="691">
        <v>72.5</v>
      </c>
      <c r="E7338" s="691">
        <v>72.7</v>
      </c>
      <c r="F7338" s="691">
        <v>72.900000000000006</v>
      </c>
      <c r="G7338" s="691">
        <v>72.8</v>
      </c>
      <c r="H7338" s="691">
        <v>73.2</v>
      </c>
      <c r="I7338" s="691">
        <v>72.900000000000006</v>
      </c>
      <c r="J7338" s="691">
        <v>72.5</v>
      </c>
      <c r="K7338" s="691">
        <v>72.400000000000006</v>
      </c>
    </row>
    <row r="7339" spans="1:11">
      <c r="A7339" s="688" t="s">
        <v>4</v>
      </c>
      <c r="B7339" s="693">
        <v>67</v>
      </c>
      <c r="C7339" s="689">
        <v>66.599999999999994</v>
      </c>
      <c r="D7339" s="689">
        <v>67.400000000000006</v>
      </c>
      <c r="E7339" s="689">
        <v>67.400000000000006</v>
      </c>
      <c r="F7339" s="689">
        <v>67.900000000000006</v>
      </c>
      <c r="G7339" s="689">
        <v>68.099999999999994</v>
      </c>
      <c r="H7339" s="689">
        <v>68.7</v>
      </c>
      <c r="I7339" s="689">
        <v>68.5</v>
      </c>
      <c r="J7339" s="693">
        <v>67</v>
      </c>
      <c r="K7339" s="689">
        <v>67.8</v>
      </c>
    </row>
    <row r="7340" spans="1:11">
      <c r="A7340" s="688" t="s">
        <v>8</v>
      </c>
      <c r="B7340" s="691">
        <v>73.3</v>
      </c>
      <c r="C7340" s="691">
        <v>73.599999999999994</v>
      </c>
      <c r="D7340" s="691">
        <v>73.8</v>
      </c>
      <c r="E7340" s="615">
        <v>74</v>
      </c>
      <c r="F7340" s="691">
        <v>74.5</v>
      </c>
      <c r="G7340" s="691">
        <v>74.5</v>
      </c>
      <c r="H7340" s="691">
        <v>74.8</v>
      </c>
      <c r="I7340" s="691">
        <v>74.8</v>
      </c>
      <c r="J7340" s="691">
        <v>74.5</v>
      </c>
      <c r="K7340" s="615">
        <v>75</v>
      </c>
    </row>
    <row r="7341" spans="1:11">
      <c r="A7341" s="688" t="s">
        <v>7</v>
      </c>
      <c r="B7341" s="689">
        <v>73.099999999999994</v>
      </c>
      <c r="C7341" s="689">
        <v>72.599999999999994</v>
      </c>
      <c r="D7341" s="689">
        <v>72.400000000000006</v>
      </c>
      <c r="E7341" s="689">
        <v>72.8</v>
      </c>
      <c r="F7341" s="689">
        <v>72.599999999999994</v>
      </c>
      <c r="G7341" s="689">
        <v>73.099999999999994</v>
      </c>
      <c r="H7341" s="689">
        <v>73.099999999999994</v>
      </c>
      <c r="I7341" s="689">
        <v>72.8</v>
      </c>
      <c r="J7341" s="689">
        <v>71.7</v>
      </c>
      <c r="K7341" s="689">
        <v>72.5</v>
      </c>
    </row>
    <row r="7342" spans="1:11">
      <c r="A7342" s="688" t="s">
        <v>27</v>
      </c>
      <c r="B7342" s="691">
        <v>74.400000000000006</v>
      </c>
      <c r="C7342" s="691">
        <v>74.400000000000006</v>
      </c>
      <c r="D7342" s="691">
        <v>74.099999999999994</v>
      </c>
      <c r="E7342" s="691">
        <v>74.5</v>
      </c>
      <c r="F7342" s="691">
        <v>74.599999999999994</v>
      </c>
      <c r="G7342" s="691">
        <v>74.7</v>
      </c>
      <c r="H7342" s="615">
        <v>75</v>
      </c>
      <c r="I7342" s="691">
        <v>73.8</v>
      </c>
      <c r="J7342" s="691">
        <v>74.400000000000006</v>
      </c>
      <c r="K7342" s="691">
        <v>74.599999999999994</v>
      </c>
    </row>
    <row r="7343" spans="1:11">
      <c r="A7343" s="688" t="s">
        <v>6</v>
      </c>
      <c r="B7343" s="689">
        <v>73.400000000000006</v>
      </c>
      <c r="C7343" s="689">
        <v>73.599999999999994</v>
      </c>
      <c r="D7343" s="689">
        <v>73.400000000000006</v>
      </c>
      <c r="E7343" s="689">
        <v>73.7</v>
      </c>
      <c r="F7343" s="689">
        <v>73.8</v>
      </c>
      <c r="G7343" s="689">
        <v>73.900000000000006</v>
      </c>
      <c r="H7343" s="689">
        <v>74.099999999999994</v>
      </c>
      <c r="I7343" s="689">
        <v>73.5</v>
      </c>
      <c r="J7343" s="689">
        <v>73.599999999999994</v>
      </c>
      <c r="K7343" s="689">
        <v>73.7</v>
      </c>
    </row>
    <row r="7344" spans="1:11">
      <c r="A7344" s="688" t="s">
        <v>4058</v>
      </c>
      <c r="B7344" s="692" t="s">
        <v>4060</v>
      </c>
      <c r="C7344" s="692" t="s">
        <v>4060</v>
      </c>
      <c r="D7344" s="692" t="s">
        <v>4060</v>
      </c>
      <c r="E7344" s="692" t="s">
        <v>4060</v>
      </c>
      <c r="F7344" s="692" t="s">
        <v>4060</v>
      </c>
      <c r="G7344" s="692" t="s">
        <v>4060</v>
      </c>
      <c r="H7344" s="692" t="s">
        <v>4060</v>
      </c>
      <c r="I7344" s="692" t="s">
        <v>4060</v>
      </c>
      <c r="J7344" s="692" t="s">
        <v>4060</v>
      </c>
      <c r="K7344" s="692" t="s">
        <v>4060</v>
      </c>
    </row>
    <row r="7345" spans="1:11">
      <c r="A7345" s="688" t="s">
        <v>11</v>
      </c>
      <c r="B7345" s="689">
        <v>68.900000000000006</v>
      </c>
      <c r="C7345" s="689">
        <v>69.099999999999994</v>
      </c>
      <c r="D7345" s="689">
        <v>68.599999999999994</v>
      </c>
      <c r="E7345" s="689">
        <v>69.2</v>
      </c>
      <c r="F7345" s="689">
        <v>69.2</v>
      </c>
      <c r="G7345" s="689">
        <v>69.2</v>
      </c>
      <c r="H7345" s="689">
        <v>69.599999999999994</v>
      </c>
      <c r="I7345" s="689">
        <v>68.900000000000006</v>
      </c>
      <c r="J7345" s="689">
        <v>67.8</v>
      </c>
      <c r="K7345" s="693">
        <v>69</v>
      </c>
    </row>
    <row r="7346" spans="1:11">
      <c r="A7346" s="688" t="s">
        <v>10</v>
      </c>
      <c r="B7346" s="691">
        <v>74.599999999999994</v>
      </c>
      <c r="C7346" s="691">
        <v>74.7</v>
      </c>
      <c r="D7346" s="691">
        <v>74.400000000000006</v>
      </c>
      <c r="E7346" s="615">
        <v>75</v>
      </c>
      <c r="F7346" s="691">
        <v>74.900000000000006</v>
      </c>
      <c r="G7346" s="691">
        <v>75.2</v>
      </c>
      <c r="H7346" s="691">
        <v>75.400000000000006</v>
      </c>
      <c r="I7346" s="691">
        <v>74.099999999999994</v>
      </c>
      <c r="J7346" s="691">
        <v>74.599999999999994</v>
      </c>
      <c r="K7346" s="691">
        <v>74.900000000000006</v>
      </c>
    </row>
    <row r="7347" spans="1:11">
      <c r="A7347" s="688" t="s">
        <v>30</v>
      </c>
      <c r="B7347" s="689">
        <v>74.3</v>
      </c>
      <c r="C7347" s="689">
        <v>74.599999999999994</v>
      </c>
      <c r="D7347" s="689">
        <v>74.2</v>
      </c>
      <c r="E7347" s="689">
        <v>74.900000000000006</v>
      </c>
      <c r="F7347" s="689">
        <v>74.599999999999994</v>
      </c>
      <c r="G7347" s="689">
        <v>75.400000000000006</v>
      </c>
      <c r="H7347" s="693">
        <v>75</v>
      </c>
      <c r="I7347" s="693">
        <v>75</v>
      </c>
      <c r="J7347" s="689">
        <v>74.099999999999994</v>
      </c>
      <c r="K7347" s="689">
        <v>74.7</v>
      </c>
    </row>
    <row r="7348" spans="1:11">
      <c r="A7348" s="688" t="s">
        <v>12</v>
      </c>
      <c r="B7348" s="691">
        <v>63.8</v>
      </c>
      <c r="C7348" s="691">
        <v>63.4</v>
      </c>
      <c r="D7348" s="691">
        <v>64.099999999999994</v>
      </c>
      <c r="E7348" s="691">
        <v>64.099999999999994</v>
      </c>
      <c r="F7348" s="691">
        <v>64.2</v>
      </c>
      <c r="G7348" s="691">
        <v>64.3</v>
      </c>
      <c r="H7348" s="691">
        <v>65.2</v>
      </c>
      <c r="I7348" s="691">
        <v>64.900000000000006</v>
      </c>
      <c r="J7348" s="691">
        <v>62.6</v>
      </c>
      <c r="K7348" s="691">
        <v>63.7</v>
      </c>
    </row>
    <row r="7349" spans="1:11">
      <c r="A7349" s="688" t="s">
        <v>14</v>
      </c>
      <c r="B7349" s="689">
        <v>62.9</v>
      </c>
      <c r="C7349" s="689">
        <v>63.5</v>
      </c>
      <c r="D7349" s="689">
        <v>63.5</v>
      </c>
      <c r="E7349" s="689">
        <v>63.9</v>
      </c>
      <c r="F7349" s="693">
        <v>65</v>
      </c>
      <c r="G7349" s="689">
        <v>65.2</v>
      </c>
      <c r="H7349" s="689">
        <v>65.8</v>
      </c>
      <c r="I7349" s="689">
        <v>64.400000000000006</v>
      </c>
      <c r="J7349" s="689">
        <v>63.9</v>
      </c>
      <c r="K7349" s="689">
        <v>65.599999999999994</v>
      </c>
    </row>
    <row r="7350" spans="1:11">
      <c r="A7350" s="688" t="s">
        <v>15</v>
      </c>
      <c r="B7350" s="691">
        <v>74.2</v>
      </c>
      <c r="C7350" s="691">
        <v>73.400000000000006</v>
      </c>
      <c r="D7350" s="691">
        <v>74.099999999999994</v>
      </c>
      <c r="E7350" s="691">
        <v>74.3</v>
      </c>
      <c r="F7350" s="615">
        <v>74</v>
      </c>
      <c r="G7350" s="691">
        <v>74.2</v>
      </c>
      <c r="H7350" s="691">
        <v>74.599999999999994</v>
      </c>
      <c r="I7350" s="691">
        <v>74.099999999999994</v>
      </c>
      <c r="J7350" s="691">
        <v>74.599999999999994</v>
      </c>
      <c r="K7350" s="615">
        <v>75</v>
      </c>
    </row>
    <row r="7351" spans="1:11">
      <c r="A7351" s="688" t="s">
        <v>29</v>
      </c>
      <c r="B7351" s="689">
        <v>66.7</v>
      </c>
      <c r="C7351" s="689">
        <v>66.7</v>
      </c>
      <c r="D7351" s="689">
        <v>66.599999999999994</v>
      </c>
      <c r="E7351" s="689">
        <v>66.900000000000006</v>
      </c>
      <c r="F7351" s="689">
        <v>66.8</v>
      </c>
      <c r="G7351" s="689">
        <v>66.900000000000006</v>
      </c>
      <c r="H7351" s="689">
        <v>67.3</v>
      </c>
      <c r="I7351" s="689">
        <v>66.5</v>
      </c>
      <c r="J7351" s="693">
        <v>65</v>
      </c>
      <c r="K7351" s="689">
        <v>66.900000000000006</v>
      </c>
    </row>
    <row r="7352" spans="1:11">
      <c r="A7352" s="688" t="s">
        <v>16</v>
      </c>
      <c r="B7352" s="691">
        <v>74.099999999999994</v>
      </c>
      <c r="C7352" s="615">
        <v>74</v>
      </c>
      <c r="D7352" s="691">
        <v>74.3</v>
      </c>
      <c r="E7352" s="615">
        <v>75</v>
      </c>
      <c r="F7352" s="691">
        <v>74.7</v>
      </c>
      <c r="G7352" s="691">
        <v>74.7</v>
      </c>
      <c r="H7352" s="691">
        <v>75.3</v>
      </c>
      <c r="I7352" s="691">
        <v>74.2</v>
      </c>
      <c r="J7352" s="691">
        <v>74.5</v>
      </c>
      <c r="K7352" s="691">
        <v>74.599999999999994</v>
      </c>
    </row>
    <row r="7353" spans="1:11">
      <c r="A7353" s="688" t="s">
        <v>17</v>
      </c>
      <c r="B7353" s="689">
        <v>73.900000000000006</v>
      </c>
      <c r="C7353" s="689">
        <v>74.2</v>
      </c>
      <c r="D7353" s="689">
        <v>74.099999999999994</v>
      </c>
      <c r="E7353" s="689">
        <v>74.2</v>
      </c>
      <c r="F7353" s="689">
        <v>74.400000000000006</v>
      </c>
      <c r="G7353" s="689">
        <v>74.5</v>
      </c>
      <c r="H7353" s="689">
        <v>74.8</v>
      </c>
      <c r="I7353" s="693">
        <v>74</v>
      </c>
      <c r="J7353" s="693">
        <v>74</v>
      </c>
      <c r="K7353" s="689">
        <v>74.400000000000006</v>
      </c>
    </row>
    <row r="7354" spans="1:11">
      <c r="A7354" s="688" t="s">
        <v>19</v>
      </c>
      <c r="B7354" s="615">
        <v>73</v>
      </c>
      <c r="C7354" s="691">
        <v>73.2</v>
      </c>
      <c r="D7354" s="615">
        <v>73</v>
      </c>
      <c r="E7354" s="691">
        <v>73.5</v>
      </c>
      <c r="F7354" s="691">
        <v>73.599999999999994</v>
      </c>
      <c r="G7354" s="691">
        <v>73.599999999999994</v>
      </c>
      <c r="H7354" s="691">
        <v>73.900000000000006</v>
      </c>
      <c r="I7354" s="691">
        <v>73.2</v>
      </c>
      <c r="J7354" s="691">
        <v>73.099999999999994</v>
      </c>
      <c r="K7354" s="691">
        <v>73.3</v>
      </c>
    </row>
    <row r="7355" spans="1:11">
      <c r="A7355" s="688" t="s">
        <v>20</v>
      </c>
      <c r="B7355" s="689">
        <v>67.400000000000006</v>
      </c>
      <c r="C7355" s="693">
        <v>68</v>
      </c>
      <c r="D7355" s="689">
        <v>67.8</v>
      </c>
      <c r="E7355" s="689">
        <v>68.099999999999994</v>
      </c>
      <c r="F7355" s="689">
        <v>68.2</v>
      </c>
      <c r="G7355" s="693">
        <v>68</v>
      </c>
      <c r="H7355" s="689">
        <v>68.3</v>
      </c>
      <c r="I7355" s="689">
        <v>66.7</v>
      </c>
      <c r="J7355" s="689">
        <v>65.8</v>
      </c>
      <c r="K7355" s="689">
        <v>67.599999999999994</v>
      </c>
    </row>
    <row r="7356" spans="1:11">
      <c r="A7356" s="688" t="s">
        <v>21</v>
      </c>
      <c r="B7356" s="691">
        <v>71.900000000000006</v>
      </c>
      <c r="C7356" s="691">
        <v>72.400000000000006</v>
      </c>
      <c r="D7356" s="691">
        <v>72.5</v>
      </c>
      <c r="E7356" s="691">
        <v>72.599999999999994</v>
      </c>
      <c r="F7356" s="691">
        <v>72.8</v>
      </c>
      <c r="G7356" s="691">
        <v>72.900000000000006</v>
      </c>
      <c r="H7356" s="691">
        <v>73.3</v>
      </c>
      <c r="I7356" s="691">
        <v>72.599999999999994</v>
      </c>
      <c r="J7356" s="691">
        <v>72.7</v>
      </c>
      <c r="K7356" s="691">
        <v>73.099999999999994</v>
      </c>
    </row>
    <row r="7357" spans="1:11">
      <c r="A7357" s="688" t="s">
        <v>22</v>
      </c>
      <c r="B7357" s="689">
        <v>66.5</v>
      </c>
      <c r="C7357" s="689">
        <v>66.099999999999994</v>
      </c>
      <c r="D7357" s="693">
        <v>66</v>
      </c>
      <c r="E7357" s="689">
        <v>66.3</v>
      </c>
      <c r="F7357" s="689">
        <v>66.3</v>
      </c>
      <c r="G7357" s="689">
        <v>66.2</v>
      </c>
      <c r="H7357" s="689">
        <v>66.400000000000006</v>
      </c>
      <c r="I7357" s="689">
        <v>64.8</v>
      </c>
      <c r="J7357" s="689">
        <v>63.6</v>
      </c>
      <c r="K7357" s="689">
        <v>65.8</v>
      </c>
    </row>
    <row r="7358" spans="1:11">
      <c r="A7358" s="688" t="s">
        <v>26</v>
      </c>
      <c r="B7358" s="691">
        <v>71.5</v>
      </c>
      <c r="C7358" s="691">
        <v>72.2</v>
      </c>
      <c r="D7358" s="691">
        <v>71.8</v>
      </c>
      <c r="E7358" s="691">
        <v>72.2</v>
      </c>
      <c r="F7358" s="691">
        <v>72.3</v>
      </c>
      <c r="G7358" s="691">
        <v>72.599999999999994</v>
      </c>
      <c r="H7358" s="691">
        <v>72.7</v>
      </c>
      <c r="I7358" s="615">
        <v>72</v>
      </c>
      <c r="J7358" s="691">
        <v>71.8</v>
      </c>
      <c r="K7358" s="691">
        <v>72.7</v>
      </c>
    </row>
    <row r="7359" spans="1:11">
      <c r="A7359" s="688" t="s">
        <v>25</v>
      </c>
      <c r="B7359" s="689">
        <v>67.5</v>
      </c>
      <c r="C7359" s="689">
        <v>67.8</v>
      </c>
      <c r="D7359" s="689">
        <v>67.599999999999994</v>
      </c>
      <c r="E7359" s="689">
        <v>68.3</v>
      </c>
      <c r="F7359" s="689">
        <v>68.3</v>
      </c>
      <c r="G7359" s="689">
        <v>68.400000000000006</v>
      </c>
      <c r="H7359" s="689">
        <v>68.8</v>
      </c>
      <c r="I7359" s="693">
        <v>68</v>
      </c>
      <c r="J7359" s="689">
        <v>65.7</v>
      </c>
      <c r="K7359" s="689">
        <v>68.099999999999994</v>
      </c>
    </row>
    <row r="7360" spans="1:11">
      <c r="A7360" s="688" t="s">
        <v>5</v>
      </c>
      <c r="B7360" s="691">
        <v>72.2</v>
      </c>
      <c r="C7360" s="691">
        <v>72.400000000000006</v>
      </c>
      <c r="D7360" s="691">
        <v>72.7</v>
      </c>
      <c r="E7360" s="691">
        <v>72.599999999999994</v>
      </c>
      <c r="F7360" s="691">
        <v>72.900000000000006</v>
      </c>
      <c r="G7360" s="691">
        <v>73.099999999999994</v>
      </c>
      <c r="H7360" s="691">
        <v>73.400000000000006</v>
      </c>
      <c r="I7360" s="691">
        <v>73.2</v>
      </c>
      <c r="J7360" s="691">
        <v>73.3</v>
      </c>
      <c r="K7360" s="691">
        <v>72.900000000000006</v>
      </c>
    </row>
    <row r="7361" spans="1:11">
      <c r="A7361" s="688" t="s">
        <v>23</v>
      </c>
      <c r="B7361" s="689">
        <v>74.400000000000006</v>
      </c>
      <c r="C7361" s="689">
        <v>74.599999999999994</v>
      </c>
      <c r="D7361" s="689">
        <v>74.599999999999994</v>
      </c>
      <c r="E7361" s="689">
        <v>74.8</v>
      </c>
      <c r="F7361" s="693">
        <v>75</v>
      </c>
      <c r="G7361" s="693">
        <v>75</v>
      </c>
      <c r="H7361" s="689">
        <v>75.599999999999994</v>
      </c>
      <c r="I7361" s="689">
        <v>74.8</v>
      </c>
      <c r="J7361" s="689">
        <v>75.400000000000006</v>
      </c>
      <c r="K7361" s="689">
        <v>75.599999999999994</v>
      </c>
    </row>
    <row r="7362" spans="1:11">
      <c r="A7362" s="688" t="s">
        <v>4067</v>
      </c>
      <c r="B7362" s="691">
        <v>72.099999999999994</v>
      </c>
      <c r="C7362" s="691">
        <v>72.5</v>
      </c>
      <c r="D7362" s="691">
        <v>72.3</v>
      </c>
      <c r="E7362" s="691">
        <v>72.599999999999994</v>
      </c>
      <c r="F7362" s="691">
        <v>72.7</v>
      </c>
      <c r="G7362" s="691">
        <v>72.7</v>
      </c>
      <c r="H7362" s="692" t="s">
        <v>4060</v>
      </c>
      <c r="I7362" s="692" t="s">
        <v>4060</v>
      </c>
      <c r="J7362" s="692" t="s">
        <v>4060</v>
      </c>
      <c r="K7362" s="692" t="s">
        <v>4060</v>
      </c>
    </row>
    <row r="7363" spans="1:11">
      <c r="A7363" s="688" t="s">
        <v>4066</v>
      </c>
      <c r="B7363" s="689">
        <v>72.099999999999994</v>
      </c>
      <c r="C7363" s="689">
        <v>72.5</v>
      </c>
      <c r="D7363" s="689">
        <v>72.3</v>
      </c>
      <c r="E7363" s="689">
        <v>72.599999999999994</v>
      </c>
      <c r="F7363" s="689">
        <v>72.7</v>
      </c>
      <c r="G7363" s="689">
        <v>72.8</v>
      </c>
      <c r="H7363" s="690" t="s">
        <v>4060</v>
      </c>
      <c r="I7363" s="690" t="s">
        <v>4060</v>
      </c>
      <c r="J7363" s="690" t="s">
        <v>4060</v>
      </c>
      <c r="K7363" s="690" t="s">
        <v>4060</v>
      </c>
    </row>
    <row r="7364" spans="1:11">
      <c r="A7364" s="688" t="s">
        <v>4062</v>
      </c>
      <c r="B7364" s="691">
        <v>74.7</v>
      </c>
      <c r="C7364" s="691">
        <v>74.900000000000006</v>
      </c>
      <c r="D7364" s="615">
        <v>75</v>
      </c>
      <c r="E7364" s="691">
        <v>75.400000000000006</v>
      </c>
      <c r="F7364" s="691">
        <v>75.5</v>
      </c>
      <c r="G7364" s="691">
        <v>75.7</v>
      </c>
      <c r="H7364" s="691">
        <v>75.900000000000006</v>
      </c>
      <c r="I7364" s="691">
        <v>75.5</v>
      </c>
      <c r="J7364" s="691">
        <v>75.900000000000006</v>
      </c>
      <c r="K7364" s="691">
        <v>75.599999999999994</v>
      </c>
    </row>
    <row r="7365" spans="1:11">
      <c r="A7365" s="688" t="s">
        <v>9</v>
      </c>
      <c r="B7365" s="689">
        <v>74.599999999999994</v>
      </c>
      <c r="C7365" s="689">
        <v>75.3</v>
      </c>
      <c r="D7365" s="689">
        <v>75.400000000000006</v>
      </c>
      <c r="E7365" s="689">
        <v>74.5</v>
      </c>
      <c r="F7365" s="693">
        <v>75</v>
      </c>
      <c r="G7365" s="689">
        <v>75.3</v>
      </c>
      <c r="H7365" s="689">
        <v>75.599999999999994</v>
      </c>
      <c r="I7365" s="689">
        <v>75.8</v>
      </c>
      <c r="J7365" s="693">
        <v>76</v>
      </c>
      <c r="K7365" s="693">
        <v>75</v>
      </c>
    </row>
    <row r="7366" spans="1:11">
      <c r="A7366" s="688" t="s">
        <v>13</v>
      </c>
      <c r="B7366" s="691">
        <v>74.7</v>
      </c>
      <c r="C7366" s="615">
        <v>75</v>
      </c>
      <c r="D7366" s="691">
        <v>75.599999999999994</v>
      </c>
      <c r="E7366" s="691">
        <v>74.599999999999994</v>
      </c>
      <c r="F7366" s="615">
        <v>75</v>
      </c>
      <c r="G7366" s="691">
        <v>74.400000000000006</v>
      </c>
      <c r="H7366" s="691">
        <v>76.400000000000006</v>
      </c>
      <c r="I7366" s="691">
        <v>74.5</v>
      </c>
      <c r="J7366" s="691">
        <v>76.099999999999994</v>
      </c>
      <c r="K7366" s="691">
        <v>76.400000000000006</v>
      </c>
    </row>
    <row r="7367" spans="1:11">
      <c r="A7367" s="688" t="s">
        <v>18</v>
      </c>
      <c r="B7367" s="693">
        <v>74</v>
      </c>
      <c r="C7367" s="689">
        <v>74.3</v>
      </c>
      <c r="D7367" s="689">
        <v>74.599999999999994</v>
      </c>
      <c r="E7367" s="689">
        <v>74.8</v>
      </c>
      <c r="F7367" s="689">
        <v>75.099999999999994</v>
      </c>
      <c r="G7367" s="689">
        <v>75.2</v>
      </c>
      <c r="H7367" s="689">
        <v>75.400000000000006</v>
      </c>
      <c r="I7367" s="689">
        <v>75.7</v>
      </c>
      <c r="J7367" s="689">
        <v>75.8</v>
      </c>
      <c r="K7367" s="689">
        <v>75.099999999999994</v>
      </c>
    </row>
    <row r="7368" spans="1:11">
      <c r="A7368" s="688" t="s">
        <v>24</v>
      </c>
      <c r="B7368" s="691">
        <v>75.099999999999994</v>
      </c>
      <c r="C7368" s="691">
        <v>75.3</v>
      </c>
      <c r="D7368" s="691">
        <v>75.099999999999994</v>
      </c>
      <c r="E7368" s="691">
        <v>75.8</v>
      </c>
      <c r="F7368" s="691">
        <v>75.8</v>
      </c>
      <c r="G7368" s="615">
        <v>76</v>
      </c>
      <c r="H7368" s="691">
        <v>76.2</v>
      </c>
      <c r="I7368" s="691">
        <v>75.400000000000006</v>
      </c>
      <c r="J7368" s="691">
        <v>75.900000000000006</v>
      </c>
      <c r="K7368" s="615">
        <v>76</v>
      </c>
    </row>
    <row r="7369" spans="1:11">
      <c r="A7369" s="688" t="s">
        <v>4059</v>
      </c>
      <c r="B7369" s="689">
        <v>73.599999999999994</v>
      </c>
      <c r="C7369" s="689">
        <v>73.900000000000006</v>
      </c>
      <c r="D7369" s="689">
        <v>73.599999999999994</v>
      </c>
      <c r="E7369" s="689">
        <v>73.8</v>
      </c>
      <c r="F7369" s="689">
        <v>73.900000000000006</v>
      </c>
      <c r="G7369" s="689">
        <v>73.8</v>
      </c>
      <c r="H7369" s="690" t="s">
        <v>4060</v>
      </c>
      <c r="I7369" s="690" t="s">
        <v>4060</v>
      </c>
      <c r="J7369" s="690" t="s">
        <v>4060</v>
      </c>
      <c r="K7369" s="690" t="s">
        <v>4060</v>
      </c>
    </row>
    <row r="7370" spans="1:11">
      <c r="A7370" s="688" t="s">
        <v>2324</v>
      </c>
      <c r="B7370" s="691">
        <v>68.5</v>
      </c>
      <c r="C7370" s="691">
        <v>68.599999999999994</v>
      </c>
      <c r="D7370" s="691">
        <v>68.5</v>
      </c>
      <c r="E7370" s="691">
        <v>68.3</v>
      </c>
      <c r="F7370" s="691">
        <v>68.2</v>
      </c>
      <c r="G7370" s="691">
        <v>68.7</v>
      </c>
      <c r="H7370" s="691">
        <v>68.3</v>
      </c>
      <c r="I7370" s="691">
        <v>67.400000000000006</v>
      </c>
      <c r="J7370" s="691">
        <v>64.900000000000006</v>
      </c>
      <c r="K7370" s="692" t="s">
        <v>4060</v>
      </c>
    </row>
    <row r="7371" spans="1:11">
      <c r="A7371" s="688" t="s">
        <v>2322</v>
      </c>
      <c r="B7371" s="690" t="s">
        <v>4060</v>
      </c>
      <c r="C7371" s="690" t="s">
        <v>4060</v>
      </c>
      <c r="D7371" s="690" t="s">
        <v>4060</v>
      </c>
      <c r="E7371" s="690" t="s">
        <v>4060</v>
      </c>
      <c r="F7371" s="690" t="s">
        <v>4060</v>
      </c>
      <c r="G7371" s="690" t="s">
        <v>4060</v>
      </c>
      <c r="H7371" s="690" t="s">
        <v>4060</v>
      </c>
      <c r="I7371" s="690" t="s">
        <v>4060</v>
      </c>
      <c r="J7371" s="690" t="s">
        <v>4060</v>
      </c>
      <c r="K7371" s="690" t="s">
        <v>4060</v>
      </c>
    </row>
    <row r="7372" spans="1:11">
      <c r="A7372" s="688" t="s">
        <v>2328</v>
      </c>
      <c r="B7372" s="691">
        <v>68.3</v>
      </c>
      <c r="C7372" s="691">
        <v>68.400000000000006</v>
      </c>
      <c r="D7372" s="691">
        <v>68.3</v>
      </c>
      <c r="E7372" s="691">
        <v>68.400000000000006</v>
      </c>
      <c r="F7372" s="691">
        <v>68.900000000000006</v>
      </c>
      <c r="G7372" s="691">
        <v>69.2</v>
      </c>
      <c r="H7372" s="691">
        <v>69.3</v>
      </c>
      <c r="I7372" s="691">
        <v>66.599999999999994</v>
      </c>
      <c r="J7372" s="691">
        <v>65.5</v>
      </c>
      <c r="K7372" s="692" t="s">
        <v>4060</v>
      </c>
    </row>
    <row r="7373" spans="1:11">
      <c r="A7373" s="688" t="s">
        <v>2496</v>
      </c>
      <c r="B7373" s="690" t="s">
        <v>4060</v>
      </c>
      <c r="C7373" s="689">
        <v>64.8</v>
      </c>
      <c r="D7373" s="689">
        <v>63.5</v>
      </c>
      <c r="E7373" s="689">
        <v>63.1</v>
      </c>
      <c r="F7373" s="693">
        <v>64</v>
      </c>
      <c r="G7373" s="689">
        <v>64.400000000000006</v>
      </c>
      <c r="H7373" s="689">
        <v>64.5</v>
      </c>
      <c r="I7373" s="690" t="s">
        <v>4060</v>
      </c>
      <c r="J7373" s="690" t="s">
        <v>4060</v>
      </c>
      <c r="K7373" s="693">
        <v>64</v>
      </c>
    </row>
    <row r="7374" spans="1:11">
      <c r="A7374" s="688" t="s">
        <v>2269</v>
      </c>
      <c r="B7374" s="691">
        <v>70.8</v>
      </c>
      <c r="C7374" s="691">
        <v>71.099999999999994</v>
      </c>
      <c r="D7374" s="615">
        <v>71</v>
      </c>
      <c r="E7374" s="691">
        <v>71.8</v>
      </c>
      <c r="F7374" s="691">
        <v>71.8</v>
      </c>
      <c r="G7374" s="691">
        <v>72.2</v>
      </c>
      <c r="H7374" s="691">
        <v>72.5</v>
      </c>
      <c r="I7374" s="691">
        <v>70.099999999999994</v>
      </c>
      <c r="J7374" s="691">
        <v>68.3</v>
      </c>
      <c r="K7374" s="691">
        <v>72.099999999999994</v>
      </c>
    </row>
    <row r="7375" spans="1:11">
      <c r="A7375" s="688" t="s">
        <v>2349</v>
      </c>
      <c r="B7375" s="689">
        <v>67.2</v>
      </c>
      <c r="C7375" s="689">
        <v>67.400000000000006</v>
      </c>
      <c r="D7375" s="689">
        <v>67.2</v>
      </c>
      <c r="E7375" s="689">
        <v>67.7</v>
      </c>
      <c r="F7375" s="689">
        <v>67.599999999999994</v>
      </c>
      <c r="G7375" s="689">
        <v>67.900000000000006</v>
      </c>
      <c r="H7375" s="689">
        <v>67.900000000000006</v>
      </c>
      <c r="I7375" s="693">
        <v>66</v>
      </c>
      <c r="J7375" s="689">
        <v>64.5</v>
      </c>
      <c r="K7375" s="689">
        <v>67.099999999999994</v>
      </c>
    </row>
    <row r="7376" spans="1:11">
      <c r="A7376" s="688" t="s">
        <v>2355</v>
      </c>
      <c r="B7376" s="691">
        <v>70.5</v>
      </c>
      <c r="C7376" s="691">
        <v>70.5</v>
      </c>
      <c r="D7376" s="691">
        <v>70.5</v>
      </c>
      <c r="E7376" s="691">
        <v>70.400000000000006</v>
      </c>
      <c r="F7376" s="691">
        <v>70.7</v>
      </c>
      <c r="G7376" s="691">
        <v>71.2</v>
      </c>
      <c r="H7376" s="691">
        <v>71.400000000000006</v>
      </c>
      <c r="I7376" s="692" t="s">
        <v>4060</v>
      </c>
      <c r="J7376" s="692" t="s">
        <v>4060</v>
      </c>
      <c r="K7376" s="692" t="s">
        <v>4060</v>
      </c>
    </row>
    <row r="7377" spans="1:11">
      <c r="A7377" s="688" t="s">
        <v>2357</v>
      </c>
      <c r="B7377" s="690" t="s">
        <v>4060</v>
      </c>
      <c r="C7377" s="689">
        <v>61.3</v>
      </c>
      <c r="D7377" s="689">
        <v>62.2</v>
      </c>
      <c r="E7377" s="689">
        <v>62.6</v>
      </c>
      <c r="F7377" s="693">
        <v>63</v>
      </c>
      <c r="G7377" s="689">
        <v>62.7</v>
      </c>
      <c r="H7377" s="693">
        <v>63</v>
      </c>
      <c r="I7377" s="690" t="s">
        <v>4060</v>
      </c>
      <c r="J7377" s="690" t="s">
        <v>4060</v>
      </c>
      <c r="K7377" s="690" t="s">
        <v>4060</v>
      </c>
    </row>
    <row r="7378" spans="1:11">
      <c r="A7378" s="688" t="s">
        <v>4070</v>
      </c>
      <c r="B7378" s="692" t="s">
        <v>4060</v>
      </c>
      <c r="C7378" s="692" t="s">
        <v>4060</v>
      </c>
      <c r="D7378" s="692" t="s">
        <v>4060</v>
      </c>
      <c r="E7378" s="691">
        <v>70.5</v>
      </c>
      <c r="F7378" s="692" t="s">
        <v>4060</v>
      </c>
      <c r="G7378" s="692" t="s">
        <v>4060</v>
      </c>
      <c r="H7378" s="692" t="s">
        <v>4060</v>
      </c>
      <c r="I7378" s="692" t="s">
        <v>4060</v>
      </c>
      <c r="J7378" s="692" t="s">
        <v>4060</v>
      </c>
      <c r="K7378" s="692" t="s">
        <v>4060</v>
      </c>
    </row>
    <row r="7379" spans="1:11">
      <c r="A7379" s="688" t="s">
        <v>2491</v>
      </c>
      <c r="B7379" s="689">
        <v>61.6</v>
      </c>
      <c r="C7379" s="689">
        <v>62.2</v>
      </c>
      <c r="D7379" s="689">
        <v>62.9</v>
      </c>
      <c r="E7379" s="689">
        <v>63.3</v>
      </c>
      <c r="F7379" s="689">
        <v>63.6</v>
      </c>
      <c r="G7379" s="689">
        <v>63.5</v>
      </c>
      <c r="H7379" s="690" t="s">
        <v>4060</v>
      </c>
      <c r="I7379" s="690" t="s">
        <v>4060</v>
      </c>
      <c r="J7379" s="690" t="s">
        <v>4060</v>
      </c>
      <c r="K7379" s="690" t="s">
        <v>4060</v>
      </c>
    </row>
    <row r="7380" spans="1:11">
      <c r="A7380" s="688" t="s">
        <v>2343</v>
      </c>
      <c r="B7380" s="692" t="s">
        <v>4060</v>
      </c>
      <c r="C7380" s="692" t="s">
        <v>4060</v>
      </c>
      <c r="D7380" s="692" t="s">
        <v>4060</v>
      </c>
      <c r="E7380" s="692" t="s">
        <v>4060</v>
      </c>
      <c r="F7380" s="692" t="s">
        <v>4060</v>
      </c>
      <c r="G7380" s="692" t="s">
        <v>4060</v>
      </c>
      <c r="H7380" s="692" t="s">
        <v>4060</v>
      </c>
      <c r="I7380" s="692" t="s">
        <v>4060</v>
      </c>
      <c r="J7380" s="692" t="s">
        <v>4060</v>
      </c>
      <c r="K7380" s="692" t="s">
        <v>4060</v>
      </c>
    </row>
    <row r="7381" spans="1:11">
      <c r="A7381" s="688" t="s">
        <v>4071</v>
      </c>
      <c r="B7381" s="690" t="s">
        <v>4060</v>
      </c>
      <c r="C7381" s="690" t="s">
        <v>4060</v>
      </c>
      <c r="D7381" s="690" t="s">
        <v>4060</v>
      </c>
      <c r="E7381" s="690" t="s">
        <v>4060</v>
      </c>
      <c r="F7381" s="690" t="s">
        <v>4060</v>
      </c>
      <c r="G7381" s="690" t="s">
        <v>4060</v>
      </c>
      <c r="H7381" s="690" t="s">
        <v>4060</v>
      </c>
      <c r="I7381" s="690" t="s">
        <v>4060</v>
      </c>
      <c r="J7381" s="690" t="s">
        <v>4060</v>
      </c>
      <c r="K7381" s="690" t="s">
        <v>4060</v>
      </c>
    </row>
    <row r="7382" spans="1:11">
      <c r="A7382" s="688" t="s">
        <v>2489</v>
      </c>
      <c r="B7382" s="692" t="s">
        <v>4060</v>
      </c>
      <c r="C7382" s="692" t="s">
        <v>4060</v>
      </c>
      <c r="D7382" s="691">
        <v>66.5</v>
      </c>
      <c r="E7382" s="691">
        <v>66.3</v>
      </c>
      <c r="F7382" s="691">
        <v>67.2</v>
      </c>
      <c r="G7382" s="691">
        <v>68.099999999999994</v>
      </c>
      <c r="H7382" s="691">
        <v>67.7</v>
      </c>
      <c r="I7382" s="692" t="s">
        <v>4060</v>
      </c>
      <c r="J7382" s="692" t="s">
        <v>4060</v>
      </c>
      <c r="K7382" s="692" t="s">
        <v>4060</v>
      </c>
    </row>
    <row r="7383" spans="1:11">
      <c r="A7383" s="688" t="s">
        <v>2490</v>
      </c>
      <c r="B7383" s="689">
        <v>67.099999999999994</v>
      </c>
      <c r="C7383" s="689">
        <v>67.2</v>
      </c>
      <c r="D7383" s="693">
        <v>68</v>
      </c>
      <c r="E7383" s="690" t="s">
        <v>4060</v>
      </c>
      <c r="F7383" s="689">
        <v>68.3</v>
      </c>
      <c r="G7383" s="689">
        <v>68.5</v>
      </c>
      <c r="H7383" s="689">
        <v>69.400000000000006</v>
      </c>
      <c r="I7383" s="690" t="s">
        <v>4060</v>
      </c>
      <c r="J7383" s="690" t="s">
        <v>4060</v>
      </c>
      <c r="K7383" s="690" t="s">
        <v>4060</v>
      </c>
    </row>
    <row r="7385" spans="1:11">
      <c r="A7385" s="683" t="s">
        <v>4233</v>
      </c>
    </row>
    <row r="7386" spans="1:11">
      <c r="A7386" s="683" t="s">
        <v>4060</v>
      </c>
      <c r="B7386" s="682" t="s">
        <v>4234</v>
      </c>
    </row>
    <row r="7388" spans="1:11">
      <c r="A7388" s="682" t="s">
        <v>4331</v>
      </c>
    </row>
    <row r="7389" spans="1:11">
      <c r="A7389" s="682" t="s">
        <v>4210</v>
      </c>
      <c r="B7389" s="683" t="s">
        <v>4211</v>
      </c>
    </row>
    <row r="7390" spans="1:11">
      <c r="A7390" s="682" t="s">
        <v>4212</v>
      </c>
      <c r="B7390" s="682" t="s">
        <v>4213</v>
      </c>
    </row>
    <row r="7392" spans="1:11">
      <c r="A7392" s="683" t="s">
        <v>4214</v>
      </c>
      <c r="C7392" s="682" t="s">
        <v>4215</v>
      </c>
    </row>
    <row r="7393" spans="1:11">
      <c r="A7393" s="683" t="s">
        <v>4216</v>
      </c>
      <c r="C7393" s="682" t="s">
        <v>2967</v>
      </c>
    </row>
    <row r="7394" spans="1:11">
      <c r="A7394" s="683" t="s">
        <v>3893</v>
      </c>
      <c r="C7394" s="682" t="s">
        <v>2168</v>
      </c>
    </row>
    <row r="7395" spans="1:11">
      <c r="A7395" s="683" t="s">
        <v>4218</v>
      </c>
      <c r="C7395" s="682" t="s">
        <v>4241</v>
      </c>
    </row>
    <row r="7397" spans="1:11">
      <c r="A7397" s="684" t="s">
        <v>4220</v>
      </c>
      <c r="B7397" s="685" t="s">
        <v>4221</v>
      </c>
      <c r="C7397" s="685" t="s">
        <v>4222</v>
      </c>
      <c r="D7397" s="685" t="s">
        <v>4223</v>
      </c>
      <c r="E7397" s="685" t="s">
        <v>4224</v>
      </c>
      <c r="F7397" s="685" t="s">
        <v>4225</v>
      </c>
      <c r="G7397" s="685" t="s">
        <v>4226</v>
      </c>
      <c r="H7397" s="685" t="s">
        <v>4227</v>
      </c>
      <c r="I7397" s="685" t="s">
        <v>4228</v>
      </c>
      <c r="J7397" s="685" t="s">
        <v>4229</v>
      </c>
      <c r="K7397" s="685" t="s">
        <v>4230</v>
      </c>
    </row>
    <row r="7398" spans="1:11">
      <c r="A7398" s="686" t="s">
        <v>4231</v>
      </c>
      <c r="B7398" s="687" t="s">
        <v>4232</v>
      </c>
      <c r="C7398" s="687" t="s">
        <v>4232</v>
      </c>
      <c r="D7398" s="687" t="s">
        <v>4232</v>
      </c>
      <c r="E7398" s="687" t="s">
        <v>4232</v>
      </c>
      <c r="F7398" s="687" t="s">
        <v>4232</v>
      </c>
      <c r="G7398" s="687" t="s">
        <v>4232</v>
      </c>
      <c r="H7398" s="687" t="s">
        <v>4232</v>
      </c>
      <c r="I7398" s="687" t="s">
        <v>4232</v>
      </c>
      <c r="J7398" s="687" t="s">
        <v>4232</v>
      </c>
      <c r="K7398" s="687" t="s">
        <v>4232</v>
      </c>
    </row>
    <row r="7399" spans="1:11">
      <c r="A7399" s="688" t="s">
        <v>4064</v>
      </c>
      <c r="B7399" s="689">
        <v>70.900000000000006</v>
      </c>
      <c r="C7399" s="689">
        <v>71.099999999999994</v>
      </c>
      <c r="D7399" s="693">
        <v>71</v>
      </c>
      <c r="E7399" s="689">
        <v>71.2</v>
      </c>
      <c r="F7399" s="689">
        <v>71.3</v>
      </c>
      <c r="G7399" s="689">
        <v>71.400000000000006</v>
      </c>
      <c r="H7399" s="689">
        <v>71.7</v>
      </c>
      <c r="I7399" s="689">
        <v>70.8</v>
      </c>
      <c r="J7399" s="689">
        <v>70.5</v>
      </c>
      <c r="K7399" s="689">
        <v>71.2</v>
      </c>
    </row>
    <row r="7400" spans="1:11">
      <c r="A7400" s="688" t="s">
        <v>4065</v>
      </c>
      <c r="B7400" s="691">
        <v>71.099999999999994</v>
      </c>
      <c r="C7400" s="691">
        <v>71.5</v>
      </c>
      <c r="D7400" s="691">
        <v>71.2</v>
      </c>
      <c r="E7400" s="691">
        <v>71.599999999999994</v>
      </c>
      <c r="F7400" s="691">
        <v>71.599999999999994</v>
      </c>
      <c r="G7400" s="691">
        <v>71.7</v>
      </c>
      <c r="H7400" s="692" t="s">
        <v>4060</v>
      </c>
      <c r="I7400" s="692" t="s">
        <v>4060</v>
      </c>
      <c r="J7400" s="692" t="s">
        <v>4060</v>
      </c>
      <c r="K7400" s="692" t="s">
        <v>4060</v>
      </c>
    </row>
    <row r="7401" spans="1:11">
      <c r="A7401" s="688" t="s">
        <v>4063</v>
      </c>
      <c r="B7401" s="689">
        <v>71.099999999999994</v>
      </c>
      <c r="C7401" s="689">
        <v>71.5</v>
      </c>
      <c r="D7401" s="689">
        <v>71.3</v>
      </c>
      <c r="E7401" s="689">
        <v>71.599999999999994</v>
      </c>
      <c r="F7401" s="689">
        <v>71.7</v>
      </c>
      <c r="G7401" s="689">
        <v>71.7</v>
      </c>
      <c r="H7401" s="690" t="s">
        <v>4060</v>
      </c>
      <c r="I7401" s="690" t="s">
        <v>4060</v>
      </c>
      <c r="J7401" s="690" t="s">
        <v>4060</v>
      </c>
      <c r="K7401" s="690" t="s">
        <v>4060</v>
      </c>
    </row>
    <row r="7402" spans="1:11">
      <c r="A7402" s="688" t="s">
        <v>4069</v>
      </c>
      <c r="B7402" s="692" t="s">
        <v>4060</v>
      </c>
      <c r="C7402" s="691">
        <v>72.2</v>
      </c>
      <c r="D7402" s="615">
        <v>72</v>
      </c>
      <c r="E7402" s="691">
        <v>72.400000000000006</v>
      </c>
      <c r="F7402" s="691">
        <v>72.5</v>
      </c>
      <c r="G7402" s="691">
        <v>72.599999999999994</v>
      </c>
      <c r="H7402" s="691">
        <v>72.900000000000006</v>
      </c>
      <c r="I7402" s="691">
        <v>72.2</v>
      </c>
      <c r="J7402" s="691">
        <v>72.099999999999994</v>
      </c>
      <c r="K7402" s="691">
        <v>72.400000000000006</v>
      </c>
    </row>
    <row r="7403" spans="1:11">
      <c r="A7403" s="688" t="s">
        <v>4068</v>
      </c>
      <c r="B7403" s="689">
        <v>72.099999999999994</v>
      </c>
      <c r="C7403" s="690" t="s">
        <v>4060</v>
      </c>
      <c r="D7403" s="690" t="s">
        <v>4060</v>
      </c>
      <c r="E7403" s="690" t="s">
        <v>4060</v>
      </c>
      <c r="F7403" s="690" t="s">
        <v>4060</v>
      </c>
      <c r="G7403" s="690" t="s">
        <v>4060</v>
      </c>
      <c r="H7403" s="690" t="s">
        <v>4060</v>
      </c>
      <c r="I7403" s="690" t="s">
        <v>4060</v>
      </c>
      <c r="J7403" s="690" t="s">
        <v>4060</v>
      </c>
      <c r="K7403" s="690" t="s">
        <v>4060</v>
      </c>
    </row>
    <row r="7404" spans="1:11">
      <c r="A7404" s="688" t="s">
        <v>0</v>
      </c>
      <c r="B7404" s="691">
        <v>71.5</v>
      </c>
      <c r="C7404" s="691">
        <v>71.900000000000006</v>
      </c>
      <c r="D7404" s="691">
        <v>71.900000000000006</v>
      </c>
      <c r="E7404" s="691">
        <v>72.2</v>
      </c>
      <c r="F7404" s="691">
        <v>72.400000000000006</v>
      </c>
      <c r="G7404" s="691">
        <v>72.599999999999994</v>
      </c>
      <c r="H7404" s="615">
        <v>73</v>
      </c>
      <c r="I7404" s="691">
        <v>71.8</v>
      </c>
      <c r="J7404" s="691">
        <v>72.599999999999994</v>
      </c>
      <c r="K7404" s="691">
        <v>72.900000000000006</v>
      </c>
    </row>
    <row r="7405" spans="1:11">
      <c r="A7405" s="688" t="s">
        <v>1</v>
      </c>
      <c r="B7405" s="689">
        <v>65.099999999999994</v>
      </c>
      <c r="C7405" s="689">
        <v>64.7</v>
      </c>
      <c r="D7405" s="689">
        <v>64.7</v>
      </c>
      <c r="E7405" s="689">
        <v>64.8</v>
      </c>
      <c r="F7405" s="689">
        <v>64.8</v>
      </c>
      <c r="G7405" s="689">
        <v>64.8</v>
      </c>
      <c r="H7405" s="689">
        <v>64.8</v>
      </c>
      <c r="I7405" s="689">
        <v>63.1</v>
      </c>
      <c r="J7405" s="689">
        <v>61.2</v>
      </c>
      <c r="K7405" s="693">
        <v>64</v>
      </c>
    </row>
    <row r="7406" spans="1:11">
      <c r="A7406" s="688" t="s">
        <v>2240</v>
      </c>
      <c r="B7406" s="691">
        <v>68.5</v>
      </c>
      <c r="C7406" s="615">
        <v>69</v>
      </c>
      <c r="D7406" s="691">
        <v>68.900000000000006</v>
      </c>
      <c r="E7406" s="691">
        <v>69.3</v>
      </c>
      <c r="F7406" s="691">
        <v>69.3</v>
      </c>
      <c r="G7406" s="691">
        <v>69.3</v>
      </c>
      <c r="H7406" s="691">
        <v>69.599999999999994</v>
      </c>
      <c r="I7406" s="691">
        <v>68.599999999999994</v>
      </c>
      <c r="J7406" s="691">
        <v>67.3</v>
      </c>
      <c r="K7406" s="691">
        <v>69.3</v>
      </c>
    </row>
    <row r="7407" spans="1:11">
      <c r="A7407" s="688" t="s">
        <v>2</v>
      </c>
      <c r="B7407" s="689">
        <v>71.7</v>
      </c>
      <c r="C7407" s="693">
        <v>72</v>
      </c>
      <c r="D7407" s="689">
        <v>72.099999999999994</v>
      </c>
      <c r="E7407" s="689">
        <v>72.3</v>
      </c>
      <c r="F7407" s="689">
        <v>72.5</v>
      </c>
      <c r="G7407" s="689">
        <v>72.400000000000006</v>
      </c>
      <c r="H7407" s="689">
        <v>72.8</v>
      </c>
      <c r="I7407" s="689">
        <v>72.900000000000006</v>
      </c>
      <c r="J7407" s="689">
        <v>72.900000000000006</v>
      </c>
      <c r="K7407" s="689">
        <v>72.7</v>
      </c>
    </row>
    <row r="7408" spans="1:11">
      <c r="A7408" s="688" t="s">
        <v>3</v>
      </c>
      <c r="B7408" s="691">
        <v>71.5</v>
      </c>
      <c r="C7408" s="691">
        <v>71.8</v>
      </c>
      <c r="D7408" s="691">
        <v>71.5</v>
      </c>
      <c r="E7408" s="691">
        <v>71.8</v>
      </c>
      <c r="F7408" s="691">
        <v>71.900000000000006</v>
      </c>
      <c r="G7408" s="691">
        <v>71.8</v>
      </c>
      <c r="H7408" s="691">
        <v>72.2</v>
      </c>
      <c r="I7408" s="691">
        <v>71.900000000000006</v>
      </c>
      <c r="J7408" s="691">
        <v>71.5</v>
      </c>
      <c r="K7408" s="691">
        <v>71.5</v>
      </c>
    </row>
    <row r="7409" spans="1:11">
      <c r="A7409" s="688" t="s">
        <v>4061</v>
      </c>
      <c r="B7409" s="689">
        <v>71.5</v>
      </c>
      <c r="C7409" s="689">
        <v>71.8</v>
      </c>
      <c r="D7409" s="689">
        <v>71.5</v>
      </c>
      <c r="E7409" s="689">
        <v>71.8</v>
      </c>
      <c r="F7409" s="689">
        <v>71.900000000000006</v>
      </c>
      <c r="G7409" s="689">
        <v>71.8</v>
      </c>
      <c r="H7409" s="689">
        <v>72.2</v>
      </c>
      <c r="I7409" s="689">
        <v>71.900000000000006</v>
      </c>
      <c r="J7409" s="689">
        <v>71.5</v>
      </c>
      <c r="K7409" s="689">
        <v>71.5</v>
      </c>
    </row>
    <row r="7410" spans="1:11">
      <c r="A7410" s="688" t="s">
        <v>4</v>
      </c>
      <c r="B7410" s="615">
        <v>66</v>
      </c>
      <c r="C7410" s="691">
        <v>65.599999999999994</v>
      </c>
      <c r="D7410" s="691">
        <v>66.400000000000006</v>
      </c>
      <c r="E7410" s="691">
        <v>66.5</v>
      </c>
      <c r="F7410" s="691">
        <v>66.900000000000006</v>
      </c>
      <c r="G7410" s="691">
        <v>67.099999999999994</v>
      </c>
      <c r="H7410" s="691">
        <v>67.7</v>
      </c>
      <c r="I7410" s="691">
        <v>67.5</v>
      </c>
      <c r="J7410" s="615">
        <v>66</v>
      </c>
      <c r="K7410" s="691">
        <v>66.8</v>
      </c>
    </row>
    <row r="7411" spans="1:11">
      <c r="A7411" s="688" t="s">
        <v>8</v>
      </c>
      <c r="B7411" s="689">
        <v>72.3</v>
      </c>
      <c r="C7411" s="689">
        <v>72.599999999999994</v>
      </c>
      <c r="D7411" s="689">
        <v>72.8</v>
      </c>
      <c r="E7411" s="693">
        <v>73</v>
      </c>
      <c r="F7411" s="689">
        <v>73.5</v>
      </c>
      <c r="G7411" s="689">
        <v>73.5</v>
      </c>
      <c r="H7411" s="689">
        <v>73.900000000000006</v>
      </c>
      <c r="I7411" s="689">
        <v>73.8</v>
      </c>
      <c r="J7411" s="689">
        <v>73.5</v>
      </c>
      <c r="K7411" s="693">
        <v>74</v>
      </c>
    </row>
    <row r="7412" spans="1:11">
      <c r="A7412" s="688" t="s">
        <v>7</v>
      </c>
      <c r="B7412" s="691">
        <v>72.099999999999994</v>
      </c>
      <c r="C7412" s="691">
        <v>71.599999999999994</v>
      </c>
      <c r="D7412" s="691">
        <v>71.400000000000006</v>
      </c>
      <c r="E7412" s="691">
        <v>71.8</v>
      </c>
      <c r="F7412" s="691">
        <v>71.7</v>
      </c>
      <c r="G7412" s="691">
        <v>72.099999999999994</v>
      </c>
      <c r="H7412" s="691">
        <v>72.099999999999994</v>
      </c>
      <c r="I7412" s="691">
        <v>71.8</v>
      </c>
      <c r="J7412" s="691">
        <v>70.7</v>
      </c>
      <c r="K7412" s="691">
        <v>71.599999999999994</v>
      </c>
    </row>
    <row r="7413" spans="1:11">
      <c r="A7413" s="688" t="s">
        <v>27</v>
      </c>
      <c r="B7413" s="689">
        <v>73.5</v>
      </c>
      <c r="C7413" s="689">
        <v>73.400000000000006</v>
      </c>
      <c r="D7413" s="689">
        <v>73.099999999999994</v>
      </c>
      <c r="E7413" s="689">
        <v>73.5</v>
      </c>
      <c r="F7413" s="689">
        <v>73.599999999999994</v>
      </c>
      <c r="G7413" s="689">
        <v>73.7</v>
      </c>
      <c r="H7413" s="689">
        <v>74.099999999999994</v>
      </c>
      <c r="I7413" s="689">
        <v>72.8</v>
      </c>
      <c r="J7413" s="689">
        <v>73.400000000000006</v>
      </c>
      <c r="K7413" s="689">
        <v>73.599999999999994</v>
      </c>
    </row>
    <row r="7414" spans="1:11">
      <c r="A7414" s="688" t="s">
        <v>6</v>
      </c>
      <c r="B7414" s="691">
        <v>72.400000000000006</v>
      </c>
      <c r="C7414" s="691">
        <v>72.599999999999994</v>
      </c>
      <c r="D7414" s="691">
        <v>72.400000000000006</v>
      </c>
      <c r="E7414" s="691">
        <v>72.7</v>
      </c>
      <c r="F7414" s="691">
        <v>72.8</v>
      </c>
      <c r="G7414" s="691">
        <v>72.900000000000006</v>
      </c>
      <c r="H7414" s="691">
        <v>73.099999999999994</v>
      </c>
      <c r="I7414" s="691">
        <v>72.5</v>
      </c>
      <c r="J7414" s="691">
        <v>72.599999999999994</v>
      </c>
      <c r="K7414" s="691">
        <v>72.7</v>
      </c>
    </row>
    <row r="7415" spans="1:11">
      <c r="A7415" s="688" t="s">
        <v>4058</v>
      </c>
      <c r="B7415" s="690" t="s">
        <v>4060</v>
      </c>
      <c r="C7415" s="690" t="s">
        <v>4060</v>
      </c>
      <c r="D7415" s="690" t="s">
        <v>4060</v>
      </c>
      <c r="E7415" s="690" t="s">
        <v>4060</v>
      </c>
      <c r="F7415" s="690" t="s">
        <v>4060</v>
      </c>
      <c r="G7415" s="690" t="s">
        <v>4060</v>
      </c>
      <c r="H7415" s="690" t="s">
        <v>4060</v>
      </c>
      <c r="I7415" s="690" t="s">
        <v>4060</v>
      </c>
      <c r="J7415" s="690" t="s">
        <v>4060</v>
      </c>
      <c r="K7415" s="690" t="s">
        <v>4060</v>
      </c>
    </row>
    <row r="7416" spans="1:11">
      <c r="A7416" s="688" t="s">
        <v>11</v>
      </c>
      <c r="B7416" s="691">
        <v>67.900000000000006</v>
      </c>
      <c r="C7416" s="691">
        <v>68.099999999999994</v>
      </c>
      <c r="D7416" s="691">
        <v>67.7</v>
      </c>
      <c r="E7416" s="691">
        <v>68.2</v>
      </c>
      <c r="F7416" s="691">
        <v>68.2</v>
      </c>
      <c r="G7416" s="691">
        <v>68.2</v>
      </c>
      <c r="H7416" s="691">
        <v>68.599999999999994</v>
      </c>
      <c r="I7416" s="691">
        <v>67.900000000000006</v>
      </c>
      <c r="J7416" s="691">
        <v>66.900000000000006</v>
      </c>
      <c r="K7416" s="615">
        <v>68</v>
      </c>
    </row>
    <row r="7417" spans="1:11">
      <c r="A7417" s="688" t="s">
        <v>10</v>
      </c>
      <c r="B7417" s="689">
        <v>73.599999999999994</v>
      </c>
      <c r="C7417" s="689">
        <v>73.7</v>
      </c>
      <c r="D7417" s="689">
        <v>73.400000000000006</v>
      </c>
      <c r="E7417" s="693">
        <v>74</v>
      </c>
      <c r="F7417" s="689">
        <v>73.900000000000006</v>
      </c>
      <c r="G7417" s="689">
        <v>74.2</v>
      </c>
      <c r="H7417" s="689">
        <v>74.400000000000006</v>
      </c>
      <c r="I7417" s="689">
        <v>73.2</v>
      </c>
      <c r="J7417" s="689">
        <v>73.599999999999994</v>
      </c>
      <c r="K7417" s="689">
        <v>73.900000000000006</v>
      </c>
    </row>
    <row r="7418" spans="1:11">
      <c r="A7418" s="688" t="s">
        <v>30</v>
      </c>
      <c r="B7418" s="691">
        <v>73.3</v>
      </c>
      <c r="C7418" s="691">
        <v>73.599999999999994</v>
      </c>
      <c r="D7418" s="691">
        <v>73.2</v>
      </c>
      <c r="E7418" s="691">
        <v>73.900000000000006</v>
      </c>
      <c r="F7418" s="691">
        <v>73.599999999999994</v>
      </c>
      <c r="G7418" s="691">
        <v>74.400000000000006</v>
      </c>
      <c r="H7418" s="615">
        <v>74</v>
      </c>
      <c r="I7418" s="691">
        <v>74.099999999999994</v>
      </c>
      <c r="J7418" s="691">
        <v>73.099999999999994</v>
      </c>
      <c r="K7418" s="691">
        <v>73.7</v>
      </c>
    </row>
    <row r="7419" spans="1:11">
      <c r="A7419" s="688" t="s">
        <v>12</v>
      </c>
      <c r="B7419" s="689">
        <v>62.8</v>
      </c>
      <c r="C7419" s="689">
        <v>62.4</v>
      </c>
      <c r="D7419" s="689">
        <v>63.1</v>
      </c>
      <c r="E7419" s="689">
        <v>63.1</v>
      </c>
      <c r="F7419" s="689">
        <v>63.2</v>
      </c>
      <c r="G7419" s="689">
        <v>63.3</v>
      </c>
      <c r="H7419" s="689">
        <v>64.2</v>
      </c>
      <c r="I7419" s="689">
        <v>63.9</v>
      </c>
      <c r="J7419" s="689">
        <v>61.6</v>
      </c>
      <c r="K7419" s="689">
        <v>62.7</v>
      </c>
    </row>
    <row r="7420" spans="1:11">
      <c r="A7420" s="688" t="s">
        <v>14</v>
      </c>
      <c r="B7420" s="691">
        <v>61.9</v>
      </c>
      <c r="C7420" s="691">
        <v>62.5</v>
      </c>
      <c r="D7420" s="691">
        <v>62.5</v>
      </c>
      <c r="E7420" s="691">
        <v>62.9</v>
      </c>
      <c r="F7420" s="615">
        <v>64</v>
      </c>
      <c r="G7420" s="691">
        <v>64.2</v>
      </c>
      <c r="H7420" s="691">
        <v>64.8</v>
      </c>
      <c r="I7420" s="691">
        <v>63.5</v>
      </c>
      <c r="J7420" s="691">
        <v>62.9</v>
      </c>
      <c r="K7420" s="691">
        <v>64.599999999999994</v>
      </c>
    </row>
    <row r="7421" spans="1:11">
      <c r="A7421" s="688" t="s">
        <v>15</v>
      </c>
      <c r="B7421" s="689">
        <v>73.2</v>
      </c>
      <c r="C7421" s="689">
        <v>72.400000000000006</v>
      </c>
      <c r="D7421" s="689">
        <v>73.2</v>
      </c>
      <c r="E7421" s="689">
        <v>73.3</v>
      </c>
      <c r="F7421" s="693">
        <v>73</v>
      </c>
      <c r="G7421" s="689">
        <v>73.2</v>
      </c>
      <c r="H7421" s="689">
        <v>73.599999999999994</v>
      </c>
      <c r="I7421" s="689">
        <v>73.099999999999994</v>
      </c>
      <c r="J7421" s="689">
        <v>73.599999999999994</v>
      </c>
      <c r="K7421" s="689">
        <v>74.099999999999994</v>
      </c>
    </row>
    <row r="7422" spans="1:11">
      <c r="A7422" s="688" t="s">
        <v>29</v>
      </c>
      <c r="B7422" s="691">
        <v>65.7</v>
      </c>
      <c r="C7422" s="691">
        <v>65.7</v>
      </c>
      <c r="D7422" s="691">
        <v>65.599999999999994</v>
      </c>
      <c r="E7422" s="691">
        <v>65.900000000000006</v>
      </c>
      <c r="F7422" s="691">
        <v>65.8</v>
      </c>
      <c r="G7422" s="691">
        <v>65.900000000000006</v>
      </c>
      <c r="H7422" s="691">
        <v>66.3</v>
      </c>
      <c r="I7422" s="691">
        <v>65.5</v>
      </c>
      <c r="J7422" s="615">
        <v>64</v>
      </c>
      <c r="K7422" s="691">
        <v>65.900000000000006</v>
      </c>
    </row>
    <row r="7423" spans="1:11">
      <c r="A7423" s="688" t="s">
        <v>16</v>
      </c>
      <c r="B7423" s="689">
        <v>73.099999999999994</v>
      </c>
      <c r="C7423" s="693">
        <v>73</v>
      </c>
      <c r="D7423" s="689">
        <v>73.3</v>
      </c>
      <c r="E7423" s="693">
        <v>74</v>
      </c>
      <c r="F7423" s="689">
        <v>73.7</v>
      </c>
      <c r="G7423" s="689">
        <v>73.7</v>
      </c>
      <c r="H7423" s="689">
        <v>74.3</v>
      </c>
      <c r="I7423" s="689">
        <v>73.2</v>
      </c>
      <c r="J7423" s="689">
        <v>73.5</v>
      </c>
      <c r="K7423" s="689">
        <v>73.7</v>
      </c>
    </row>
    <row r="7424" spans="1:11">
      <c r="A7424" s="688" t="s">
        <v>17</v>
      </c>
      <c r="B7424" s="691">
        <v>72.900000000000006</v>
      </c>
      <c r="C7424" s="691">
        <v>73.2</v>
      </c>
      <c r="D7424" s="691">
        <v>73.099999999999994</v>
      </c>
      <c r="E7424" s="691">
        <v>73.2</v>
      </c>
      <c r="F7424" s="691">
        <v>73.400000000000006</v>
      </c>
      <c r="G7424" s="691">
        <v>73.5</v>
      </c>
      <c r="H7424" s="691">
        <v>73.8</v>
      </c>
      <c r="I7424" s="691">
        <v>73.099999999999994</v>
      </c>
      <c r="J7424" s="615">
        <v>73</v>
      </c>
      <c r="K7424" s="691">
        <v>73.400000000000006</v>
      </c>
    </row>
    <row r="7425" spans="1:11">
      <c r="A7425" s="688" t="s">
        <v>19</v>
      </c>
      <c r="B7425" s="693">
        <v>72</v>
      </c>
      <c r="C7425" s="689">
        <v>72.2</v>
      </c>
      <c r="D7425" s="693">
        <v>72</v>
      </c>
      <c r="E7425" s="689">
        <v>72.5</v>
      </c>
      <c r="F7425" s="689">
        <v>72.599999999999994</v>
      </c>
      <c r="G7425" s="689">
        <v>72.599999999999994</v>
      </c>
      <c r="H7425" s="689">
        <v>72.900000000000006</v>
      </c>
      <c r="I7425" s="689">
        <v>72.2</v>
      </c>
      <c r="J7425" s="689">
        <v>72.099999999999994</v>
      </c>
      <c r="K7425" s="689">
        <v>72.3</v>
      </c>
    </row>
    <row r="7426" spans="1:11">
      <c r="A7426" s="688" t="s">
        <v>20</v>
      </c>
      <c r="B7426" s="691">
        <v>66.400000000000006</v>
      </c>
      <c r="C7426" s="615">
        <v>67</v>
      </c>
      <c r="D7426" s="691">
        <v>66.8</v>
      </c>
      <c r="E7426" s="691">
        <v>67.2</v>
      </c>
      <c r="F7426" s="691">
        <v>67.2</v>
      </c>
      <c r="G7426" s="615">
        <v>67</v>
      </c>
      <c r="H7426" s="691">
        <v>67.400000000000006</v>
      </c>
      <c r="I7426" s="691">
        <v>65.7</v>
      </c>
      <c r="J7426" s="691">
        <v>64.8</v>
      </c>
      <c r="K7426" s="691">
        <v>66.599999999999994</v>
      </c>
    </row>
    <row r="7427" spans="1:11">
      <c r="A7427" s="688" t="s">
        <v>21</v>
      </c>
      <c r="B7427" s="689">
        <v>70.900000000000006</v>
      </c>
      <c r="C7427" s="689">
        <v>71.400000000000006</v>
      </c>
      <c r="D7427" s="689">
        <v>71.5</v>
      </c>
      <c r="E7427" s="689">
        <v>71.599999999999994</v>
      </c>
      <c r="F7427" s="689">
        <v>71.8</v>
      </c>
      <c r="G7427" s="689">
        <v>71.900000000000006</v>
      </c>
      <c r="H7427" s="689">
        <v>72.3</v>
      </c>
      <c r="I7427" s="689">
        <v>71.599999999999994</v>
      </c>
      <c r="J7427" s="689">
        <v>71.7</v>
      </c>
      <c r="K7427" s="689">
        <v>72.099999999999994</v>
      </c>
    </row>
    <row r="7428" spans="1:11">
      <c r="A7428" s="688" t="s">
        <v>22</v>
      </c>
      <c r="B7428" s="691">
        <v>65.5</v>
      </c>
      <c r="C7428" s="691">
        <v>65.099999999999994</v>
      </c>
      <c r="D7428" s="691">
        <v>65.099999999999994</v>
      </c>
      <c r="E7428" s="691">
        <v>65.3</v>
      </c>
      <c r="F7428" s="691">
        <v>65.3</v>
      </c>
      <c r="G7428" s="691">
        <v>65.2</v>
      </c>
      <c r="H7428" s="691">
        <v>65.5</v>
      </c>
      <c r="I7428" s="691">
        <v>63.8</v>
      </c>
      <c r="J7428" s="691">
        <v>62.7</v>
      </c>
      <c r="K7428" s="691">
        <v>64.900000000000006</v>
      </c>
    </row>
    <row r="7429" spans="1:11">
      <c r="A7429" s="688" t="s">
        <v>26</v>
      </c>
      <c r="B7429" s="689">
        <v>70.5</v>
      </c>
      <c r="C7429" s="689">
        <v>71.2</v>
      </c>
      <c r="D7429" s="689">
        <v>70.8</v>
      </c>
      <c r="E7429" s="689">
        <v>71.2</v>
      </c>
      <c r="F7429" s="689">
        <v>71.3</v>
      </c>
      <c r="G7429" s="689">
        <v>71.599999999999994</v>
      </c>
      <c r="H7429" s="689">
        <v>71.8</v>
      </c>
      <c r="I7429" s="693">
        <v>71</v>
      </c>
      <c r="J7429" s="689">
        <v>70.8</v>
      </c>
      <c r="K7429" s="689">
        <v>71.7</v>
      </c>
    </row>
    <row r="7430" spans="1:11">
      <c r="A7430" s="688" t="s">
        <v>25</v>
      </c>
      <c r="B7430" s="691">
        <v>66.5</v>
      </c>
      <c r="C7430" s="691">
        <v>66.8</v>
      </c>
      <c r="D7430" s="691">
        <v>66.599999999999994</v>
      </c>
      <c r="E7430" s="691">
        <v>67.3</v>
      </c>
      <c r="F7430" s="691">
        <v>67.3</v>
      </c>
      <c r="G7430" s="691">
        <v>67.400000000000006</v>
      </c>
      <c r="H7430" s="691">
        <v>67.8</v>
      </c>
      <c r="I7430" s="691">
        <v>67.099999999999994</v>
      </c>
      <c r="J7430" s="691">
        <v>64.7</v>
      </c>
      <c r="K7430" s="691">
        <v>67.099999999999994</v>
      </c>
    </row>
    <row r="7431" spans="1:11">
      <c r="A7431" s="688" t="s">
        <v>5</v>
      </c>
      <c r="B7431" s="689">
        <v>71.2</v>
      </c>
      <c r="C7431" s="689">
        <v>71.400000000000006</v>
      </c>
      <c r="D7431" s="689">
        <v>71.7</v>
      </c>
      <c r="E7431" s="689">
        <v>71.7</v>
      </c>
      <c r="F7431" s="689">
        <v>71.900000000000006</v>
      </c>
      <c r="G7431" s="689">
        <v>72.099999999999994</v>
      </c>
      <c r="H7431" s="689">
        <v>72.400000000000006</v>
      </c>
      <c r="I7431" s="689">
        <v>72.2</v>
      </c>
      <c r="J7431" s="689">
        <v>72.3</v>
      </c>
      <c r="K7431" s="689">
        <v>71.900000000000006</v>
      </c>
    </row>
    <row r="7432" spans="1:11">
      <c r="A7432" s="688" t="s">
        <v>23</v>
      </c>
      <c r="B7432" s="691">
        <v>73.400000000000006</v>
      </c>
      <c r="C7432" s="691">
        <v>73.599999999999994</v>
      </c>
      <c r="D7432" s="691">
        <v>73.599999999999994</v>
      </c>
      <c r="E7432" s="691">
        <v>73.8</v>
      </c>
      <c r="F7432" s="615">
        <v>74</v>
      </c>
      <c r="G7432" s="615">
        <v>74</v>
      </c>
      <c r="H7432" s="691">
        <v>74.599999999999994</v>
      </c>
      <c r="I7432" s="691">
        <v>73.900000000000006</v>
      </c>
      <c r="J7432" s="691">
        <v>74.400000000000006</v>
      </c>
      <c r="K7432" s="691">
        <v>74.599999999999994</v>
      </c>
    </row>
    <row r="7433" spans="1:11">
      <c r="A7433" s="688" t="s">
        <v>4067</v>
      </c>
      <c r="B7433" s="689">
        <v>71.099999999999994</v>
      </c>
      <c r="C7433" s="689">
        <v>71.5</v>
      </c>
      <c r="D7433" s="689">
        <v>71.3</v>
      </c>
      <c r="E7433" s="689">
        <v>71.599999999999994</v>
      </c>
      <c r="F7433" s="689">
        <v>71.7</v>
      </c>
      <c r="G7433" s="689">
        <v>71.7</v>
      </c>
      <c r="H7433" s="690" t="s">
        <v>4060</v>
      </c>
      <c r="I7433" s="690" t="s">
        <v>4060</v>
      </c>
      <c r="J7433" s="690" t="s">
        <v>4060</v>
      </c>
      <c r="K7433" s="690" t="s">
        <v>4060</v>
      </c>
    </row>
    <row r="7434" spans="1:11">
      <c r="A7434" s="688" t="s">
        <v>4066</v>
      </c>
      <c r="B7434" s="691">
        <v>71.099999999999994</v>
      </c>
      <c r="C7434" s="691">
        <v>71.5</v>
      </c>
      <c r="D7434" s="691">
        <v>71.3</v>
      </c>
      <c r="E7434" s="691">
        <v>71.599999999999994</v>
      </c>
      <c r="F7434" s="691">
        <v>71.7</v>
      </c>
      <c r="G7434" s="691">
        <v>71.8</v>
      </c>
      <c r="H7434" s="692" t="s">
        <v>4060</v>
      </c>
      <c r="I7434" s="692" t="s">
        <v>4060</v>
      </c>
      <c r="J7434" s="692" t="s">
        <v>4060</v>
      </c>
      <c r="K7434" s="692" t="s">
        <v>4060</v>
      </c>
    </row>
    <row r="7435" spans="1:11">
      <c r="A7435" s="688" t="s">
        <v>4062</v>
      </c>
      <c r="B7435" s="689">
        <v>73.7</v>
      </c>
      <c r="C7435" s="693">
        <v>74</v>
      </c>
      <c r="D7435" s="693">
        <v>74</v>
      </c>
      <c r="E7435" s="689">
        <v>74.400000000000006</v>
      </c>
      <c r="F7435" s="689">
        <v>74.5</v>
      </c>
      <c r="G7435" s="689">
        <v>74.7</v>
      </c>
      <c r="H7435" s="689">
        <v>74.900000000000006</v>
      </c>
      <c r="I7435" s="689">
        <v>74.5</v>
      </c>
      <c r="J7435" s="689">
        <v>74.900000000000006</v>
      </c>
      <c r="K7435" s="689">
        <v>74.7</v>
      </c>
    </row>
    <row r="7436" spans="1:11">
      <c r="A7436" s="688" t="s">
        <v>9</v>
      </c>
      <c r="B7436" s="691">
        <v>73.7</v>
      </c>
      <c r="C7436" s="691">
        <v>74.3</v>
      </c>
      <c r="D7436" s="691">
        <v>74.400000000000006</v>
      </c>
      <c r="E7436" s="691">
        <v>73.5</v>
      </c>
      <c r="F7436" s="615">
        <v>74</v>
      </c>
      <c r="G7436" s="691">
        <v>74.3</v>
      </c>
      <c r="H7436" s="691">
        <v>74.599999999999994</v>
      </c>
      <c r="I7436" s="691">
        <v>74.8</v>
      </c>
      <c r="J7436" s="615">
        <v>75</v>
      </c>
      <c r="K7436" s="615">
        <v>74</v>
      </c>
    </row>
    <row r="7437" spans="1:11">
      <c r="A7437" s="688" t="s">
        <v>13</v>
      </c>
      <c r="B7437" s="689">
        <v>73.7</v>
      </c>
      <c r="C7437" s="693">
        <v>74</v>
      </c>
      <c r="D7437" s="689">
        <v>74.599999999999994</v>
      </c>
      <c r="E7437" s="689">
        <v>73.599999999999994</v>
      </c>
      <c r="F7437" s="693">
        <v>74</v>
      </c>
      <c r="G7437" s="689">
        <v>73.400000000000006</v>
      </c>
      <c r="H7437" s="689">
        <v>75.400000000000006</v>
      </c>
      <c r="I7437" s="689">
        <v>73.5</v>
      </c>
      <c r="J7437" s="689">
        <v>75.099999999999994</v>
      </c>
      <c r="K7437" s="689">
        <v>75.400000000000006</v>
      </c>
    </row>
    <row r="7438" spans="1:11">
      <c r="A7438" s="688" t="s">
        <v>18</v>
      </c>
      <c r="B7438" s="615">
        <v>73</v>
      </c>
      <c r="C7438" s="691">
        <v>73.3</v>
      </c>
      <c r="D7438" s="691">
        <v>73.599999999999994</v>
      </c>
      <c r="E7438" s="691">
        <v>73.8</v>
      </c>
      <c r="F7438" s="691">
        <v>74.2</v>
      </c>
      <c r="G7438" s="691">
        <v>74.2</v>
      </c>
      <c r="H7438" s="691">
        <v>74.400000000000006</v>
      </c>
      <c r="I7438" s="691">
        <v>74.7</v>
      </c>
      <c r="J7438" s="691">
        <v>74.8</v>
      </c>
      <c r="K7438" s="691">
        <v>74.099999999999994</v>
      </c>
    </row>
    <row r="7439" spans="1:11">
      <c r="A7439" s="688" t="s">
        <v>24</v>
      </c>
      <c r="B7439" s="689">
        <v>74.099999999999994</v>
      </c>
      <c r="C7439" s="689">
        <v>74.3</v>
      </c>
      <c r="D7439" s="689">
        <v>74.099999999999994</v>
      </c>
      <c r="E7439" s="689">
        <v>74.8</v>
      </c>
      <c r="F7439" s="689">
        <v>74.8</v>
      </c>
      <c r="G7439" s="693">
        <v>75</v>
      </c>
      <c r="H7439" s="689">
        <v>75.2</v>
      </c>
      <c r="I7439" s="689">
        <v>74.400000000000006</v>
      </c>
      <c r="J7439" s="693">
        <v>75</v>
      </c>
      <c r="K7439" s="693">
        <v>75</v>
      </c>
    </row>
    <row r="7440" spans="1:11">
      <c r="A7440" s="688" t="s">
        <v>4059</v>
      </c>
      <c r="B7440" s="691">
        <v>72.599999999999994</v>
      </c>
      <c r="C7440" s="691">
        <v>72.900000000000006</v>
      </c>
      <c r="D7440" s="691">
        <v>72.599999999999994</v>
      </c>
      <c r="E7440" s="691">
        <v>72.8</v>
      </c>
      <c r="F7440" s="691">
        <v>72.900000000000006</v>
      </c>
      <c r="G7440" s="691">
        <v>72.8</v>
      </c>
      <c r="H7440" s="692" t="s">
        <v>4060</v>
      </c>
      <c r="I7440" s="692" t="s">
        <v>4060</v>
      </c>
      <c r="J7440" s="692" t="s">
        <v>4060</v>
      </c>
      <c r="K7440" s="692" t="s">
        <v>4060</v>
      </c>
    </row>
    <row r="7441" spans="1:11">
      <c r="A7441" s="688" t="s">
        <v>2324</v>
      </c>
      <c r="B7441" s="689">
        <v>67.5</v>
      </c>
      <c r="C7441" s="689">
        <v>67.599999999999994</v>
      </c>
      <c r="D7441" s="689">
        <v>67.599999999999994</v>
      </c>
      <c r="E7441" s="689">
        <v>67.3</v>
      </c>
      <c r="F7441" s="689">
        <v>67.2</v>
      </c>
      <c r="G7441" s="689">
        <v>67.7</v>
      </c>
      <c r="H7441" s="689">
        <v>67.3</v>
      </c>
      <c r="I7441" s="689">
        <v>66.5</v>
      </c>
      <c r="J7441" s="689">
        <v>63.9</v>
      </c>
      <c r="K7441" s="690" t="s">
        <v>4060</v>
      </c>
    </row>
    <row r="7442" spans="1:11">
      <c r="A7442" s="688" t="s">
        <v>2322</v>
      </c>
      <c r="B7442" s="692" t="s">
        <v>4060</v>
      </c>
      <c r="C7442" s="692" t="s">
        <v>4060</v>
      </c>
      <c r="D7442" s="692" t="s">
        <v>4060</v>
      </c>
      <c r="E7442" s="692" t="s">
        <v>4060</v>
      </c>
      <c r="F7442" s="692" t="s">
        <v>4060</v>
      </c>
      <c r="G7442" s="692" t="s">
        <v>4060</v>
      </c>
      <c r="H7442" s="692" t="s">
        <v>4060</v>
      </c>
      <c r="I7442" s="692" t="s">
        <v>4060</v>
      </c>
      <c r="J7442" s="692" t="s">
        <v>4060</v>
      </c>
      <c r="K7442" s="692" t="s">
        <v>4060</v>
      </c>
    </row>
    <row r="7443" spans="1:11">
      <c r="A7443" s="688" t="s">
        <v>2328</v>
      </c>
      <c r="B7443" s="689">
        <v>67.3</v>
      </c>
      <c r="C7443" s="689">
        <v>67.400000000000006</v>
      </c>
      <c r="D7443" s="689">
        <v>67.3</v>
      </c>
      <c r="E7443" s="689">
        <v>67.400000000000006</v>
      </c>
      <c r="F7443" s="689">
        <v>67.900000000000006</v>
      </c>
      <c r="G7443" s="689">
        <v>68.2</v>
      </c>
      <c r="H7443" s="689">
        <v>68.3</v>
      </c>
      <c r="I7443" s="689">
        <v>65.599999999999994</v>
      </c>
      <c r="J7443" s="689">
        <v>64.599999999999994</v>
      </c>
      <c r="K7443" s="690" t="s">
        <v>4060</v>
      </c>
    </row>
    <row r="7444" spans="1:11">
      <c r="A7444" s="688" t="s">
        <v>2496</v>
      </c>
      <c r="B7444" s="692" t="s">
        <v>4060</v>
      </c>
      <c r="C7444" s="691">
        <v>63.8</v>
      </c>
      <c r="D7444" s="691">
        <v>62.5</v>
      </c>
      <c r="E7444" s="691">
        <v>62.2</v>
      </c>
      <c r="F7444" s="691">
        <v>63.1</v>
      </c>
      <c r="G7444" s="691">
        <v>63.4</v>
      </c>
      <c r="H7444" s="691">
        <v>63.5</v>
      </c>
      <c r="I7444" s="692" t="s">
        <v>4060</v>
      </c>
      <c r="J7444" s="692" t="s">
        <v>4060</v>
      </c>
      <c r="K7444" s="615">
        <v>63</v>
      </c>
    </row>
    <row r="7445" spans="1:11">
      <c r="A7445" s="688" t="s">
        <v>2269</v>
      </c>
      <c r="B7445" s="689">
        <v>69.8</v>
      </c>
      <c r="C7445" s="689">
        <v>70.099999999999994</v>
      </c>
      <c r="D7445" s="693">
        <v>70</v>
      </c>
      <c r="E7445" s="689">
        <v>70.900000000000006</v>
      </c>
      <c r="F7445" s="689">
        <v>70.900000000000006</v>
      </c>
      <c r="G7445" s="689">
        <v>71.2</v>
      </c>
      <c r="H7445" s="689">
        <v>71.5</v>
      </c>
      <c r="I7445" s="689">
        <v>69.099999999999994</v>
      </c>
      <c r="J7445" s="689">
        <v>67.3</v>
      </c>
      <c r="K7445" s="689">
        <v>71.099999999999994</v>
      </c>
    </row>
    <row r="7446" spans="1:11">
      <c r="A7446" s="688" t="s">
        <v>2349</v>
      </c>
      <c r="B7446" s="691">
        <v>66.2</v>
      </c>
      <c r="C7446" s="691">
        <v>66.400000000000006</v>
      </c>
      <c r="D7446" s="691">
        <v>66.3</v>
      </c>
      <c r="E7446" s="691">
        <v>66.7</v>
      </c>
      <c r="F7446" s="691">
        <v>66.599999999999994</v>
      </c>
      <c r="G7446" s="691">
        <v>66.900000000000006</v>
      </c>
      <c r="H7446" s="691">
        <v>66.900000000000006</v>
      </c>
      <c r="I7446" s="615">
        <v>65</v>
      </c>
      <c r="J7446" s="691">
        <v>63.5</v>
      </c>
      <c r="K7446" s="691">
        <v>66.099999999999994</v>
      </c>
    </row>
    <row r="7447" spans="1:11">
      <c r="A7447" s="688" t="s">
        <v>2355</v>
      </c>
      <c r="B7447" s="689">
        <v>69.599999999999994</v>
      </c>
      <c r="C7447" s="689">
        <v>69.599999999999994</v>
      </c>
      <c r="D7447" s="689">
        <v>69.5</v>
      </c>
      <c r="E7447" s="689">
        <v>69.400000000000006</v>
      </c>
      <c r="F7447" s="689">
        <v>69.7</v>
      </c>
      <c r="G7447" s="689">
        <v>70.2</v>
      </c>
      <c r="H7447" s="689">
        <v>70.400000000000006</v>
      </c>
      <c r="I7447" s="690" t="s">
        <v>4060</v>
      </c>
      <c r="J7447" s="690" t="s">
        <v>4060</v>
      </c>
      <c r="K7447" s="690" t="s">
        <v>4060</v>
      </c>
    </row>
    <row r="7448" spans="1:11">
      <c r="A7448" s="688" t="s">
        <v>2357</v>
      </c>
      <c r="B7448" s="692" t="s">
        <v>4060</v>
      </c>
      <c r="C7448" s="691">
        <v>60.3</v>
      </c>
      <c r="D7448" s="691">
        <v>61.2</v>
      </c>
      <c r="E7448" s="691">
        <v>61.6</v>
      </c>
      <c r="F7448" s="615">
        <v>62</v>
      </c>
      <c r="G7448" s="691">
        <v>61.7</v>
      </c>
      <c r="H7448" s="615">
        <v>62</v>
      </c>
      <c r="I7448" s="692" t="s">
        <v>4060</v>
      </c>
      <c r="J7448" s="692" t="s">
        <v>4060</v>
      </c>
      <c r="K7448" s="692" t="s">
        <v>4060</v>
      </c>
    </row>
    <row r="7449" spans="1:11">
      <c r="A7449" s="688" t="s">
        <v>4070</v>
      </c>
      <c r="B7449" s="690" t="s">
        <v>4060</v>
      </c>
      <c r="C7449" s="690" t="s">
        <v>4060</v>
      </c>
      <c r="D7449" s="690" t="s">
        <v>4060</v>
      </c>
      <c r="E7449" s="689">
        <v>69.5</v>
      </c>
      <c r="F7449" s="690" t="s">
        <v>4060</v>
      </c>
      <c r="G7449" s="690" t="s">
        <v>4060</v>
      </c>
      <c r="H7449" s="690" t="s">
        <v>4060</v>
      </c>
      <c r="I7449" s="690" t="s">
        <v>4060</v>
      </c>
      <c r="J7449" s="690" t="s">
        <v>4060</v>
      </c>
      <c r="K7449" s="690" t="s">
        <v>4060</v>
      </c>
    </row>
    <row r="7450" spans="1:11">
      <c r="A7450" s="688" t="s">
        <v>2491</v>
      </c>
      <c r="B7450" s="691">
        <v>60.6</v>
      </c>
      <c r="C7450" s="691">
        <v>61.2</v>
      </c>
      <c r="D7450" s="691">
        <v>61.9</v>
      </c>
      <c r="E7450" s="691">
        <v>62.3</v>
      </c>
      <c r="F7450" s="691">
        <v>62.6</v>
      </c>
      <c r="G7450" s="691">
        <v>62.6</v>
      </c>
      <c r="H7450" s="692" t="s">
        <v>4060</v>
      </c>
      <c r="I7450" s="692" t="s">
        <v>4060</v>
      </c>
      <c r="J7450" s="692" t="s">
        <v>4060</v>
      </c>
      <c r="K7450" s="692" t="s">
        <v>4060</v>
      </c>
    </row>
    <row r="7451" spans="1:11">
      <c r="A7451" s="688" t="s">
        <v>2343</v>
      </c>
      <c r="B7451" s="690" t="s">
        <v>4060</v>
      </c>
      <c r="C7451" s="690" t="s">
        <v>4060</v>
      </c>
      <c r="D7451" s="690" t="s">
        <v>4060</v>
      </c>
      <c r="E7451" s="690" t="s">
        <v>4060</v>
      </c>
      <c r="F7451" s="690" t="s">
        <v>4060</v>
      </c>
      <c r="G7451" s="690" t="s">
        <v>4060</v>
      </c>
      <c r="H7451" s="690" t="s">
        <v>4060</v>
      </c>
      <c r="I7451" s="690" t="s">
        <v>4060</v>
      </c>
      <c r="J7451" s="690" t="s">
        <v>4060</v>
      </c>
      <c r="K7451" s="690" t="s">
        <v>4060</v>
      </c>
    </row>
    <row r="7452" spans="1:11">
      <c r="A7452" s="688" t="s">
        <v>4071</v>
      </c>
      <c r="B7452" s="692" t="s">
        <v>4060</v>
      </c>
      <c r="C7452" s="692" t="s">
        <v>4060</v>
      </c>
      <c r="D7452" s="692" t="s">
        <v>4060</v>
      </c>
      <c r="E7452" s="692" t="s">
        <v>4060</v>
      </c>
      <c r="F7452" s="692" t="s">
        <v>4060</v>
      </c>
      <c r="G7452" s="692" t="s">
        <v>4060</v>
      </c>
      <c r="H7452" s="692" t="s">
        <v>4060</v>
      </c>
      <c r="I7452" s="692" t="s">
        <v>4060</v>
      </c>
      <c r="J7452" s="692" t="s">
        <v>4060</v>
      </c>
      <c r="K7452" s="692" t="s">
        <v>4060</v>
      </c>
    </row>
    <row r="7453" spans="1:11">
      <c r="A7453" s="688" t="s">
        <v>2489</v>
      </c>
      <c r="B7453" s="690" t="s">
        <v>4060</v>
      </c>
      <c r="C7453" s="690" t="s">
        <v>4060</v>
      </c>
      <c r="D7453" s="689">
        <v>65.5</v>
      </c>
      <c r="E7453" s="689">
        <v>65.400000000000006</v>
      </c>
      <c r="F7453" s="689">
        <v>66.2</v>
      </c>
      <c r="G7453" s="689">
        <v>67.099999999999994</v>
      </c>
      <c r="H7453" s="689">
        <v>66.7</v>
      </c>
      <c r="I7453" s="690" t="s">
        <v>4060</v>
      </c>
      <c r="J7453" s="690" t="s">
        <v>4060</v>
      </c>
      <c r="K7453" s="690" t="s">
        <v>4060</v>
      </c>
    </row>
    <row r="7454" spans="1:11">
      <c r="A7454" s="688" t="s">
        <v>2490</v>
      </c>
      <c r="B7454" s="691">
        <v>66.2</v>
      </c>
      <c r="C7454" s="691">
        <v>66.2</v>
      </c>
      <c r="D7454" s="615">
        <v>67</v>
      </c>
      <c r="E7454" s="692" t="s">
        <v>4060</v>
      </c>
      <c r="F7454" s="691">
        <v>67.3</v>
      </c>
      <c r="G7454" s="691">
        <v>67.599999999999994</v>
      </c>
      <c r="H7454" s="691">
        <v>68.400000000000006</v>
      </c>
      <c r="I7454" s="692" t="s">
        <v>4060</v>
      </c>
      <c r="J7454" s="692" t="s">
        <v>4060</v>
      </c>
      <c r="K7454" s="692" t="s">
        <v>4060</v>
      </c>
    </row>
    <row r="7456" spans="1:11">
      <c r="A7456" s="683" t="s">
        <v>4233</v>
      </c>
    </row>
    <row r="7457" spans="1:11">
      <c r="A7457" s="683" t="s">
        <v>4060</v>
      </c>
      <c r="B7457" s="682" t="s">
        <v>4234</v>
      </c>
    </row>
    <row r="7459" spans="1:11">
      <c r="A7459" s="682" t="s">
        <v>4331</v>
      </c>
    </row>
    <row r="7460" spans="1:11">
      <c r="A7460" s="682" t="s">
        <v>4210</v>
      </c>
      <c r="B7460" s="683" t="s">
        <v>4211</v>
      </c>
    </row>
    <row r="7461" spans="1:11">
      <c r="A7461" s="682" t="s">
        <v>4212</v>
      </c>
      <c r="B7461" s="682" t="s">
        <v>4213</v>
      </c>
    </row>
    <row r="7463" spans="1:11">
      <c r="A7463" s="683" t="s">
        <v>4214</v>
      </c>
      <c r="C7463" s="682" t="s">
        <v>4215</v>
      </c>
    </row>
    <row r="7464" spans="1:11">
      <c r="A7464" s="683" t="s">
        <v>4216</v>
      </c>
      <c r="C7464" s="682" t="s">
        <v>2967</v>
      </c>
    </row>
    <row r="7465" spans="1:11">
      <c r="A7465" s="683" t="s">
        <v>3893</v>
      </c>
      <c r="C7465" s="682" t="s">
        <v>2168</v>
      </c>
    </row>
    <row r="7466" spans="1:11">
      <c r="A7466" s="683" t="s">
        <v>4218</v>
      </c>
      <c r="C7466" s="682" t="s">
        <v>4242</v>
      </c>
    </row>
    <row r="7468" spans="1:11">
      <c r="A7468" s="684" t="s">
        <v>4220</v>
      </c>
      <c r="B7468" s="685" t="s">
        <v>4221</v>
      </c>
      <c r="C7468" s="685" t="s">
        <v>4222</v>
      </c>
      <c r="D7468" s="685" t="s">
        <v>4223</v>
      </c>
      <c r="E7468" s="685" t="s">
        <v>4224</v>
      </c>
      <c r="F7468" s="685" t="s">
        <v>4225</v>
      </c>
      <c r="G7468" s="685" t="s">
        <v>4226</v>
      </c>
      <c r="H7468" s="685" t="s">
        <v>4227</v>
      </c>
      <c r="I7468" s="685" t="s">
        <v>4228</v>
      </c>
      <c r="J7468" s="685" t="s">
        <v>4229</v>
      </c>
      <c r="K7468" s="685" t="s">
        <v>4230</v>
      </c>
    </row>
    <row r="7469" spans="1:11">
      <c r="A7469" s="686" t="s">
        <v>4231</v>
      </c>
      <c r="B7469" s="687" t="s">
        <v>4232</v>
      </c>
      <c r="C7469" s="687" t="s">
        <v>4232</v>
      </c>
      <c r="D7469" s="687" t="s">
        <v>4232</v>
      </c>
      <c r="E7469" s="687" t="s">
        <v>4232</v>
      </c>
      <c r="F7469" s="687" t="s">
        <v>4232</v>
      </c>
      <c r="G7469" s="687" t="s">
        <v>4232</v>
      </c>
      <c r="H7469" s="687" t="s">
        <v>4232</v>
      </c>
      <c r="I7469" s="687" t="s">
        <v>4232</v>
      </c>
      <c r="J7469" s="687" t="s">
        <v>4232</v>
      </c>
      <c r="K7469" s="687" t="s">
        <v>4232</v>
      </c>
    </row>
    <row r="7470" spans="1:11">
      <c r="A7470" s="688" t="s">
        <v>4064</v>
      </c>
      <c r="B7470" s="691">
        <v>69.900000000000006</v>
      </c>
      <c r="C7470" s="691">
        <v>70.099999999999994</v>
      </c>
      <c r="D7470" s="691">
        <v>70.099999999999994</v>
      </c>
      <c r="E7470" s="691">
        <v>70.2</v>
      </c>
      <c r="F7470" s="691">
        <v>70.3</v>
      </c>
      <c r="G7470" s="691">
        <v>70.400000000000006</v>
      </c>
      <c r="H7470" s="691">
        <v>70.7</v>
      </c>
      <c r="I7470" s="691">
        <v>69.8</v>
      </c>
      <c r="J7470" s="691">
        <v>69.5</v>
      </c>
      <c r="K7470" s="691">
        <v>70.2</v>
      </c>
    </row>
    <row r="7471" spans="1:11">
      <c r="A7471" s="688" t="s">
        <v>4065</v>
      </c>
      <c r="B7471" s="689">
        <v>70.099999999999994</v>
      </c>
      <c r="C7471" s="689">
        <v>70.5</v>
      </c>
      <c r="D7471" s="689">
        <v>70.2</v>
      </c>
      <c r="E7471" s="689">
        <v>70.599999999999994</v>
      </c>
      <c r="F7471" s="689">
        <v>70.599999999999994</v>
      </c>
      <c r="G7471" s="689">
        <v>70.7</v>
      </c>
      <c r="H7471" s="690" t="s">
        <v>4060</v>
      </c>
      <c r="I7471" s="690" t="s">
        <v>4060</v>
      </c>
      <c r="J7471" s="690" t="s">
        <v>4060</v>
      </c>
      <c r="K7471" s="690" t="s">
        <v>4060</v>
      </c>
    </row>
    <row r="7472" spans="1:11">
      <c r="A7472" s="688" t="s">
        <v>4063</v>
      </c>
      <c r="B7472" s="691">
        <v>70.099999999999994</v>
      </c>
      <c r="C7472" s="691">
        <v>70.5</v>
      </c>
      <c r="D7472" s="691">
        <v>70.3</v>
      </c>
      <c r="E7472" s="691">
        <v>70.599999999999994</v>
      </c>
      <c r="F7472" s="691">
        <v>70.7</v>
      </c>
      <c r="G7472" s="691">
        <v>70.7</v>
      </c>
      <c r="H7472" s="692" t="s">
        <v>4060</v>
      </c>
      <c r="I7472" s="692" t="s">
        <v>4060</v>
      </c>
      <c r="J7472" s="692" t="s">
        <v>4060</v>
      </c>
      <c r="K7472" s="692" t="s">
        <v>4060</v>
      </c>
    </row>
    <row r="7473" spans="1:11">
      <c r="A7473" s="688" t="s">
        <v>4069</v>
      </c>
      <c r="B7473" s="690" t="s">
        <v>4060</v>
      </c>
      <c r="C7473" s="689">
        <v>71.3</v>
      </c>
      <c r="D7473" s="693">
        <v>71</v>
      </c>
      <c r="E7473" s="689">
        <v>71.400000000000006</v>
      </c>
      <c r="F7473" s="689">
        <v>71.5</v>
      </c>
      <c r="G7473" s="689">
        <v>71.599999999999994</v>
      </c>
      <c r="H7473" s="689">
        <v>71.900000000000006</v>
      </c>
      <c r="I7473" s="689">
        <v>71.2</v>
      </c>
      <c r="J7473" s="689">
        <v>71.099999999999994</v>
      </c>
      <c r="K7473" s="689">
        <v>71.400000000000006</v>
      </c>
    </row>
    <row r="7474" spans="1:11">
      <c r="A7474" s="688" t="s">
        <v>4068</v>
      </c>
      <c r="B7474" s="691">
        <v>71.099999999999994</v>
      </c>
      <c r="C7474" s="692" t="s">
        <v>4060</v>
      </c>
      <c r="D7474" s="692" t="s">
        <v>4060</v>
      </c>
      <c r="E7474" s="692" t="s">
        <v>4060</v>
      </c>
      <c r="F7474" s="692" t="s">
        <v>4060</v>
      </c>
      <c r="G7474" s="692" t="s">
        <v>4060</v>
      </c>
      <c r="H7474" s="692" t="s">
        <v>4060</v>
      </c>
      <c r="I7474" s="692" t="s">
        <v>4060</v>
      </c>
      <c r="J7474" s="692" t="s">
        <v>4060</v>
      </c>
      <c r="K7474" s="692" t="s">
        <v>4060</v>
      </c>
    </row>
    <row r="7475" spans="1:11">
      <c r="A7475" s="688" t="s">
        <v>0</v>
      </c>
      <c r="B7475" s="689">
        <v>70.5</v>
      </c>
      <c r="C7475" s="689">
        <v>70.900000000000006</v>
      </c>
      <c r="D7475" s="689">
        <v>70.900000000000006</v>
      </c>
      <c r="E7475" s="689">
        <v>71.2</v>
      </c>
      <c r="F7475" s="689">
        <v>71.400000000000006</v>
      </c>
      <c r="G7475" s="689">
        <v>71.599999999999994</v>
      </c>
      <c r="H7475" s="693">
        <v>72</v>
      </c>
      <c r="I7475" s="689">
        <v>70.900000000000006</v>
      </c>
      <c r="J7475" s="689">
        <v>71.599999999999994</v>
      </c>
      <c r="K7475" s="689">
        <v>71.900000000000006</v>
      </c>
    </row>
    <row r="7476" spans="1:11">
      <c r="A7476" s="688" t="s">
        <v>1</v>
      </c>
      <c r="B7476" s="691">
        <v>64.099999999999994</v>
      </c>
      <c r="C7476" s="691">
        <v>63.7</v>
      </c>
      <c r="D7476" s="691">
        <v>63.7</v>
      </c>
      <c r="E7476" s="691">
        <v>63.8</v>
      </c>
      <c r="F7476" s="691">
        <v>63.8</v>
      </c>
      <c r="G7476" s="691">
        <v>63.8</v>
      </c>
      <c r="H7476" s="691">
        <v>63.8</v>
      </c>
      <c r="I7476" s="691">
        <v>62.1</v>
      </c>
      <c r="J7476" s="691">
        <v>60.2</v>
      </c>
      <c r="K7476" s="615">
        <v>63</v>
      </c>
    </row>
    <row r="7477" spans="1:11">
      <c r="A7477" s="688" t="s">
        <v>2240</v>
      </c>
      <c r="B7477" s="689">
        <v>67.5</v>
      </c>
      <c r="C7477" s="693">
        <v>68</v>
      </c>
      <c r="D7477" s="689">
        <v>67.900000000000006</v>
      </c>
      <c r="E7477" s="689">
        <v>68.400000000000006</v>
      </c>
      <c r="F7477" s="689">
        <v>68.3</v>
      </c>
      <c r="G7477" s="689">
        <v>68.3</v>
      </c>
      <c r="H7477" s="689">
        <v>68.599999999999994</v>
      </c>
      <c r="I7477" s="689">
        <v>67.599999999999994</v>
      </c>
      <c r="J7477" s="689">
        <v>66.3</v>
      </c>
      <c r="K7477" s="689">
        <v>68.3</v>
      </c>
    </row>
    <row r="7478" spans="1:11">
      <c r="A7478" s="688" t="s">
        <v>2</v>
      </c>
      <c r="B7478" s="691">
        <v>70.7</v>
      </c>
      <c r="C7478" s="615">
        <v>71</v>
      </c>
      <c r="D7478" s="691">
        <v>71.099999999999994</v>
      </c>
      <c r="E7478" s="691">
        <v>71.3</v>
      </c>
      <c r="F7478" s="691">
        <v>71.5</v>
      </c>
      <c r="G7478" s="691">
        <v>71.400000000000006</v>
      </c>
      <c r="H7478" s="691">
        <v>71.8</v>
      </c>
      <c r="I7478" s="691">
        <v>71.900000000000006</v>
      </c>
      <c r="J7478" s="691">
        <v>71.900000000000006</v>
      </c>
      <c r="K7478" s="691">
        <v>71.7</v>
      </c>
    </row>
    <row r="7479" spans="1:11">
      <c r="A7479" s="688" t="s">
        <v>3</v>
      </c>
      <c r="B7479" s="689">
        <v>70.5</v>
      </c>
      <c r="C7479" s="689">
        <v>70.8</v>
      </c>
      <c r="D7479" s="689">
        <v>70.5</v>
      </c>
      <c r="E7479" s="689">
        <v>70.8</v>
      </c>
      <c r="F7479" s="689">
        <v>70.900000000000006</v>
      </c>
      <c r="G7479" s="689">
        <v>70.900000000000006</v>
      </c>
      <c r="H7479" s="689">
        <v>71.2</v>
      </c>
      <c r="I7479" s="689">
        <v>70.900000000000006</v>
      </c>
      <c r="J7479" s="689">
        <v>70.5</v>
      </c>
      <c r="K7479" s="689">
        <v>70.5</v>
      </c>
    </row>
    <row r="7480" spans="1:11">
      <c r="A7480" s="688" t="s">
        <v>4061</v>
      </c>
      <c r="B7480" s="691">
        <v>70.5</v>
      </c>
      <c r="C7480" s="691">
        <v>70.8</v>
      </c>
      <c r="D7480" s="691">
        <v>70.5</v>
      </c>
      <c r="E7480" s="691">
        <v>70.8</v>
      </c>
      <c r="F7480" s="691">
        <v>70.900000000000006</v>
      </c>
      <c r="G7480" s="691">
        <v>70.900000000000006</v>
      </c>
      <c r="H7480" s="691">
        <v>71.2</v>
      </c>
      <c r="I7480" s="691">
        <v>70.900000000000006</v>
      </c>
      <c r="J7480" s="691">
        <v>70.5</v>
      </c>
      <c r="K7480" s="691">
        <v>70.5</v>
      </c>
    </row>
    <row r="7481" spans="1:11">
      <c r="A7481" s="688" t="s">
        <v>4</v>
      </c>
      <c r="B7481" s="689">
        <v>65.099999999999994</v>
      </c>
      <c r="C7481" s="689">
        <v>64.599999999999994</v>
      </c>
      <c r="D7481" s="689">
        <v>65.400000000000006</v>
      </c>
      <c r="E7481" s="689">
        <v>65.5</v>
      </c>
      <c r="F7481" s="689">
        <v>65.900000000000006</v>
      </c>
      <c r="G7481" s="689">
        <v>66.099999999999994</v>
      </c>
      <c r="H7481" s="689">
        <v>66.7</v>
      </c>
      <c r="I7481" s="689">
        <v>66.599999999999994</v>
      </c>
      <c r="J7481" s="693">
        <v>65</v>
      </c>
      <c r="K7481" s="689">
        <v>65.8</v>
      </c>
    </row>
    <row r="7482" spans="1:11">
      <c r="A7482" s="688" t="s">
        <v>8</v>
      </c>
      <c r="B7482" s="691">
        <v>71.3</v>
      </c>
      <c r="C7482" s="691">
        <v>71.599999999999994</v>
      </c>
      <c r="D7482" s="691">
        <v>71.8</v>
      </c>
      <c r="E7482" s="615">
        <v>72</v>
      </c>
      <c r="F7482" s="691">
        <v>72.5</v>
      </c>
      <c r="G7482" s="691">
        <v>72.5</v>
      </c>
      <c r="H7482" s="691">
        <v>72.900000000000006</v>
      </c>
      <c r="I7482" s="691">
        <v>72.8</v>
      </c>
      <c r="J7482" s="691">
        <v>72.5</v>
      </c>
      <c r="K7482" s="615">
        <v>73</v>
      </c>
    </row>
    <row r="7483" spans="1:11">
      <c r="A7483" s="688" t="s">
        <v>7</v>
      </c>
      <c r="B7483" s="689">
        <v>71.099999999999994</v>
      </c>
      <c r="C7483" s="689">
        <v>70.599999999999994</v>
      </c>
      <c r="D7483" s="689">
        <v>70.400000000000006</v>
      </c>
      <c r="E7483" s="689">
        <v>70.8</v>
      </c>
      <c r="F7483" s="689">
        <v>70.7</v>
      </c>
      <c r="G7483" s="689">
        <v>71.099999999999994</v>
      </c>
      <c r="H7483" s="689">
        <v>71.099999999999994</v>
      </c>
      <c r="I7483" s="689">
        <v>70.8</v>
      </c>
      <c r="J7483" s="689">
        <v>69.7</v>
      </c>
      <c r="K7483" s="689">
        <v>70.599999999999994</v>
      </c>
    </row>
    <row r="7484" spans="1:11">
      <c r="A7484" s="688" t="s">
        <v>27</v>
      </c>
      <c r="B7484" s="691">
        <v>72.5</v>
      </c>
      <c r="C7484" s="691">
        <v>72.400000000000006</v>
      </c>
      <c r="D7484" s="691">
        <v>72.2</v>
      </c>
      <c r="E7484" s="691">
        <v>72.5</v>
      </c>
      <c r="F7484" s="691">
        <v>72.599999999999994</v>
      </c>
      <c r="G7484" s="691">
        <v>72.7</v>
      </c>
      <c r="H7484" s="691">
        <v>73.099999999999994</v>
      </c>
      <c r="I7484" s="691">
        <v>71.8</v>
      </c>
      <c r="J7484" s="691">
        <v>72.400000000000006</v>
      </c>
      <c r="K7484" s="691">
        <v>72.599999999999994</v>
      </c>
    </row>
    <row r="7485" spans="1:11">
      <c r="A7485" s="688" t="s">
        <v>6</v>
      </c>
      <c r="B7485" s="689">
        <v>71.400000000000006</v>
      </c>
      <c r="C7485" s="689">
        <v>71.599999999999994</v>
      </c>
      <c r="D7485" s="689">
        <v>71.400000000000006</v>
      </c>
      <c r="E7485" s="689">
        <v>71.7</v>
      </c>
      <c r="F7485" s="689">
        <v>71.8</v>
      </c>
      <c r="G7485" s="689">
        <v>71.900000000000006</v>
      </c>
      <c r="H7485" s="689">
        <v>72.099999999999994</v>
      </c>
      <c r="I7485" s="689">
        <v>71.5</v>
      </c>
      <c r="J7485" s="689">
        <v>71.599999999999994</v>
      </c>
      <c r="K7485" s="689">
        <v>71.7</v>
      </c>
    </row>
    <row r="7486" spans="1:11">
      <c r="A7486" s="688" t="s">
        <v>4058</v>
      </c>
      <c r="B7486" s="692" t="s">
        <v>4060</v>
      </c>
      <c r="C7486" s="692" t="s">
        <v>4060</v>
      </c>
      <c r="D7486" s="692" t="s">
        <v>4060</v>
      </c>
      <c r="E7486" s="692" t="s">
        <v>4060</v>
      </c>
      <c r="F7486" s="692" t="s">
        <v>4060</v>
      </c>
      <c r="G7486" s="692" t="s">
        <v>4060</v>
      </c>
      <c r="H7486" s="692" t="s">
        <v>4060</v>
      </c>
      <c r="I7486" s="692" t="s">
        <v>4060</v>
      </c>
      <c r="J7486" s="692" t="s">
        <v>4060</v>
      </c>
      <c r="K7486" s="692" t="s">
        <v>4060</v>
      </c>
    </row>
    <row r="7487" spans="1:11">
      <c r="A7487" s="688" t="s">
        <v>11</v>
      </c>
      <c r="B7487" s="689">
        <v>66.900000000000006</v>
      </c>
      <c r="C7487" s="689">
        <v>67.099999999999994</v>
      </c>
      <c r="D7487" s="689">
        <v>66.7</v>
      </c>
      <c r="E7487" s="689">
        <v>67.2</v>
      </c>
      <c r="F7487" s="689">
        <v>67.2</v>
      </c>
      <c r="G7487" s="689">
        <v>67.2</v>
      </c>
      <c r="H7487" s="689">
        <v>67.599999999999994</v>
      </c>
      <c r="I7487" s="689">
        <v>66.900000000000006</v>
      </c>
      <c r="J7487" s="689">
        <v>65.900000000000006</v>
      </c>
      <c r="K7487" s="693">
        <v>67</v>
      </c>
    </row>
    <row r="7488" spans="1:11">
      <c r="A7488" s="688" t="s">
        <v>10</v>
      </c>
      <c r="B7488" s="691">
        <v>72.599999999999994</v>
      </c>
      <c r="C7488" s="691">
        <v>72.7</v>
      </c>
      <c r="D7488" s="691">
        <v>72.400000000000006</v>
      </c>
      <c r="E7488" s="615">
        <v>73</v>
      </c>
      <c r="F7488" s="691">
        <v>72.900000000000006</v>
      </c>
      <c r="G7488" s="691">
        <v>73.2</v>
      </c>
      <c r="H7488" s="691">
        <v>73.400000000000006</v>
      </c>
      <c r="I7488" s="691">
        <v>72.2</v>
      </c>
      <c r="J7488" s="691">
        <v>72.599999999999994</v>
      </c>
      <c r="K7488" s="691">
        <v>72.900000000000006</v>
      </c>
    </row>
    <row r="7489" spans="1:11">
      <c r="A7489" s="688" t="s">
        <v>30</v>
      </c>
      <c r="B7489" s="689">
        <v>72.3</v>
      </c>
      <c r="C7489" s="689">
        <v>72.599999999999994</v>
      </c>
      <c r="D7489" s="689">
        <v>72.2</v>
      </c>
      <c r="E7489" s="689">
        <v>72.900000000000006</v>
      </c>
      <c r="F7489" s="689">
        <v>72.599999999999994</v>
      </c>
      <c r="G7489" s="689">
        <v>73.400000000000006</v>
      </c>
      <c r="H7489" s="693">
        <v>73</v>
      </c>
      <c r="I7489" s="689">
        <v>73.099999999999994</v>
      </c>
      <c r="J7489" s="689">
        <v>72.099999999999994</v>
      </c>
      <c r="K7489" s="689">
        <v>72.7</v>
      </c>
    </row>
    <row r="7490" spans="1:11">
      <c r="A7490" s="688" t="s">
        <v>12</v>
      </c>
      <c r="B7490" s="691">
        <v>61.8</v>
      </c>
      <c r="C7490" s="691">
        <v>61.5</v>
      </c>
      <c r="D7490" s="691">
        <v>62.1</v>
      </c>
      <c r="E7490" s="691">
        <v>62.1</v>
      </c>
      <c r="F7490" s="691">
        <v>62.2</v>
      </c>
      <c r="G7490" s="691">
        <v>62.4</v>
      </c>
      <c r="H7490" s="691">
        <v>63.2</v>
      </c>
      <c r="I7490" s="691">
        <v>62.9</v>
      </c>
      <c r="J7490" s="691">
        <v>60.6</v>
      </c>
      <c r="K7490" s="691">
        <v>61.7</v>
      </c>
    </row>
    <row r="7491" spans="1:11">
      <c r="A7491" s="688" t="s">
        <v>14</v>
      </c>
      <c r="B7491" s="689">
        <v>60.9</v>
      </c>
      <c r="C7491" s="689">
        <v>61.5</v>
      </c>
      <c r="D7491" s="689">
        <v>61.5</v>
      </c>
      <c r="E7491" s="689">
        <v>61.9</v>
      </c>
      <c r="F7491" s="693">
        <v>63</v>
      </c>
      <c r="G7491" s="689">
        <v>63.2</v>
      </c>
      <c r="H7491" s="689">
        <v>63.8</v>
      </c>
      <c r="I7491" s="689">
        <v>62.5</v>
      </c>
      <c r="J7491" s="689">
        <v>61.9</v>
      </c>
      <c r="K7491" s="689">
        <v>63.6</v>
      </c>
    </row>
    <row r="7492" spans="1:11">
      <c r="A7492" s="688" t="s">
        <v>15</v>
      </c>
      <c r="B7492" s="691">
        <v>72.2</v>
      </c>
      <c r="C7492" s="691">
        <v>71.400000000000006</v>
      </c>
      <c r="D7492" s="691">
        <v>72.2</v>
      </c>
      <c r="E7492" s="691">
        <v>72.3</v>
      </c>
      <c r="F7492" s="691">
        <v>72.099999999999994</v>
      </c>
      <c r="G7492" s="691">
        <v>72.2</v>
      </c>
      <c r="H7492" s="691">
        <v>72.599999999999994</v>
      </c>
      <c r="I7492" s="691">
        <v>72.099999999999994</v>
      </c>
      <c r="J7492" s="691">
        <v>72.599999999999994</v>
      </c>
      <c r="K7492" s="691">
        <v>73.099999999999994</v>
      </c>
    </row>
    <row r="7493" spans="1:11">
      <c r="A7493" s="688" t="s">
        <v>29</v>
      </c>
      <c r="B7493" s="689">
        <v>64.7</v>
      </c>
      <c r="C7493" s="689">
        <v>64.7</v>
      </c>
      <c r="D7493" s="689">
        <v>64.599999999999994</v>
      </c>
      <c r="E7493" s="689">
        <v>64.900000000000006</v>
      </c>
      <c r="F7493" s="689">
        <v>64.8</v>
      </c>
      <c r="G7493" s="689">
        <v>64.900000000000006</v>
      </c>
      <c r="H7493" s="689">
        <v>65.3</v>
      </c>
      <c r="I7493" s="689">
        <v>64.5</v>
      </c>
      <c r="J7493" s="693">
        <v>63</v>
      </c>
      <c r="K7493" s="689">
        <v>64.900000000000006</v>
      </c>
    </row>
    <row r="7494" spans="1:11">
      <c r="A7494" s="688" t="s">
        <v>16</v>
      </c>
      <c r="B7494" s="691">
        <v>72.099999999999994</v>
      </c>
      <c r="C7494" s="615">
        <v>72</v>
      </c>
      <c r="D7494" s="691">
        <v>72.3</v>
      </c>
      <c r="E7494" s="615">
        <v>73</v>
      </c>
      <c r="F7494" s="691">
        <v>72.7</v>
      </c>
      <c r="G7494" s="691">
        <v>72.7</v>
      </c>
      <c r="H7494" s="691">
        <v>73.3</v>
      </c>
      <c r="I7494" s="691">
        <v>72.2</v>
      </c>
      <c r="J7494" s="691">
        <v>72.599999999999994</v>
      </c>
      <c r="K7494" s="691">
        <v>72.7</v>
      </c>
    </row>
    <row r="7495" spans="1:11">
      <c r="A7495" s="688" t="s">
        <v>17</v>
      </c>
      <c r="B7495" s="689">
        <v>71.900000000000006</v>
      </c>
      <c r="C7495" s="689">
        <v>72.3</v>
      </c>
      <c r="D7495" s="689">
        <v>72.099999999999994</v>
      </c>
      <c r="E7495" s="689">
        <v>72.2</v>
      </c>
      <c r="F7495" s="689">
        <v>72.400000000000006</v>
      </c>
      <c r="G7495" s="689">
        <v>72.5</v>
      </c>
      <c r="H7495" s="689">
        <v>72.8</v>
      </c>
      <c r="I7495" s="689">
        <v>72.099999999999994</v>
      </c>
      <c r="J7495" s="693">
        <v>72</v>
      </c>
      <c r="K7495" s="689">
        <v>72.400000000000006</v>
      </c>
    </row>
    <row r="7496" spans="1:11">
      <c r="A7496" s="688" t="s">
        <v>19</v>
      </c>
      <c r="B7496" s="615">
        <v>71</v>
      </c>
      <c r="C7496" s="691">
        <v>71.2</v>
      </c>
      <c r="D7496" s="615">
        <v>71</v>
      </c>
      <c r="E7496" s="691">
        <v>71.5</v>
      </c>
      <c r="F7496" s="691">
        <v>71.599999999999994</v>
      </c>
      <c r="G7496" s="691">
        <v>71.599999999999994</v>
      </c>
      <c r="H7496" s="691">
        <v>71.900000000000006</v>
      </c>
      <c r="I7496" s="691">
        <v>71.2</v>
      </c>
      <c r="J7496" s="691">
        <v>71.099999999999994</v>
      </c>
      <c r="K7496" s="691">
        <v>71.3</v>
      </c>
    </row>
    <row r="7497" spans="1:11">
      <c r="A7497" s="688" t="s">
        <v>20</v>
      </c>
      <c r="B7497" s="689">
        <v>65.400000000000006</v>
      </c>
      <c r="C7497" s="693">
        <v>66</v>
      </c>
      <c r="D7497" s="689">
        <v>65.8</v>
      </c>
      <c r="E7497" s="689">
        <v>66.2</v>
      </c>
      <c r="F7497" s="689">
        <v>66.2</v>
      </c>
      <c r="G7497" s="693">
        <v>66</v>
      </c>
      <c r="H7497" s="689">
        <v>66.400000000000006</v>
      </c>
      <c r="I7497" s="689">
        <v>64.7</v>
      </c>
      <c r="J7497" s="689">
        <v>63.8</v>
      </c>
      <c r="K7497" s="689">
        <v>65.599999999999994</v>
      </c>
    </row>
    <row r="7498" spans="1:11">
      <c r="A7498" s="688" t="s">
        <v>21</v>
      </c>
      <c r="B7498" s="691">
        <v>69.900000000000006</v>
      </c>
      <c r="C7498" s="691">
        <v>70.400000000000006</v>
      </c>
      <c r="D7498" s="691">
        <v>70.5</v>
      </c>
      <c r="E7498" s="691">
        <v>70.599999999999994</v>
      </c>
      <c r="F7498" s="691">
        <v>70.900000000000006</v>
      </c>
      <c r="G7498" s="691">
        <v>70.900000000000006</v>
      </c>
      <c r="H7498" s="691">
        <v>71.3</v>
      </c>
      <c r="I7498" s="691">
        <v>70.599999999999994</v>
      </c>
      <c r="J7498" s="691">
        <v>70.7</v>
      </c>
      <c r="K7498" s="691">
        <v>71.099999999999994</v>
      </c>
    </row>
    <row r="7499" spans="1:11">
      <c r="A7499" s="688" t="s">
        <v>22</v>
      </c>
      <c r="B7499" s="689">
        <v>64.5</v>
      </c>
      <c r="C7499" s="689">
        <v>64.2</v>
      </c>
      <c r="D7499" s="689">
        <v>64.099999999999994</v>
      </c>
      <c r="E7499" s="689">
        <v>64.3</v>
      </c>
      <c r="F7499" s="689">
        <v>64.3</v>
      </c>
      <c r="G7499" s="689">
        <v>64.3</v>
      </c>
      <c r="H7499" s="689">
        <v>64.5</v>
      </c>
      <c r="I7499" s="689">
        <v>62.8</v>
      </c>
      <c r="J7499" s="689">
        <v>61.7</v>
      </c>
      <c r="K7499" s="689">
        <v>63.9</v>
      </c>
    </row>
    <row r="7500" spans="1:11">
      <c r="A7500" s="688" t="s">
        <v>26</v>
      </c>
      <c r="B7500" s="691">
        <v>69.5</v>
      </c>
      <c r="C7500" s="691">
        <v>70.2</v>
      </c>
      <c r="D7500" s="691">
        <v>69.8</v>
      </c>
      <c r="E7500" s="691">
        <v>70.2</v>
      </c>
      <c r="F7500" s="691">
        <v>70.3</v>
      </c>
      <c r="G7500" s="691">
        <v>70.599999999999994</v>
      </c>
      <c r="H7500" s="691">
        <v>70.8</v>
      </c>
      <c r="I7500" s="615">
        <v>70</v>
      </c>
      <c r="J7500" s="691">
        <v>69.8</v>
      </c>
      <c r="K7500" s="691">
        <v>70.8</v>
      </c>
    </row>
    <row r="7501" spans="1:11">
      <c r="A7501" s="688" t="s">
        <v>25</v>
      </c>
      <c r="B7501" s="689">
        <v>65.5</v>
      </c>
      <c r="C7501" s="689">
        <v>65.8</v>
      </c>
      <c r="D7501" s="689">
        <v>65.7</v>
      </c>
      <c r="E7501" s="689">
        <v>66.3</v>
      </c>
      <c r="F7501" s="689">
        <v>66.3</v>
      </c>
      <c r="G7501" s="689">
        <v>66.400000000000006</v>
      </c>
      <c r="H7501" s="689">
        <v>66.8</v>
      </c>
      <c r="I7501" s="689">
        <v>66.099999999999994</v>
      </c>
      <c r="J7501" s="689">
        <v>63.7</v>
      </c>
      <c r="K7501" s="689">
        <v>66.099999999999994</v>
      </c>
    </row>
    <row r="7502" spans="1:11">
      <c r="A7502" s="688" t="s">
        <v>5</v>
      </c>
      <c r="B7502" s="691">
        <v>70.2</v>
      </c>
      <c r="C7502" s="691">
        <v>70.400000000000006</v>
      </c>
      <c r="D7502" s="691">
        <v>70.7</v>
      </c>
      <c r="E7502" s="691">
        <v>70.7</v>
      </c>
      <c r="F7502" s="691">
        <v>70.900000000000006</v>
      </c>
      <c r="G7502" s="691">
        <v>71.099999999999994</v>
      </c>
      <c r="H7502" s="691">
        <v>71.400000000000006</v>
      </c>
      <c r="I7502" s="691">
        <v>71.3</v>
      </c>
      <c r="J7502" s="691">
        <v>71.3</v>
      </c>
      <c r="K7502" s="691">
        <v>70.900000000000006</v>
      </c>
    </row>
    <row r="7503" spans="1:11">
      <c r="A7503" s="688" t="s">
        <v>23</v>
      </c>
      <c r="B7503" s="689">
        <v>72.400000000000006</v>
      </c>
      <c r="C7503" s="689">
        <v>72.599999999999994</v>
      </c>
      <c r="D7503" s="689">
        <v>72.599999999999994</v>
      </c>
      <c r="E7503" s="689">
        <v>72.8</v>
      </c>
      <c r="F7503" s="693">
        <v>73</v>
      </c>
      <c r="G7503" s="693">
        <v>73</v>
      </c>
      <c r="H7503" s="689">
        <v>73.599999999999994</v>
      </c>
      <c r="I7503" s="689">
        <v>72.900000000000006</v>
      </c>
      <c r="J7503" s="689">
        <v>73.400000000000006</v>
      </c>
      <c r="K7503" s="689">
        <v>73.599999999999994</v>
      </c>
    </row>
    <row r="7504" spans="1:11">
      <c r="A7504" s="688" t="s">
        <v>4067</v>
      </c>
      <c r="B7504" s="691">
        <v>70.099999999999994</v>
      </c>
      <c r="C7504" s="691">
        <v>70.5</v>
      </c>
      <c r="D7504" s="691">
        <v>70.3</v>
      </c>
      <c r="E7504" s="691">
        <v>70.599999999999994</v>
      </c>
      <c r="F7504" s="691">
        <v>70.7</v>
      </c>
      <c r="G7504" s="691">
        <v>70.7</v>
      </c>
      <c r="H7504" s="692" t="s">
        <v>4060</v>
      </c>
      <c r="I7504" s="692" t="s">
        <v>4060</v>
      </c>
      <c r="J7504" s="692" t="s">
        <v>4060</v>
      </c>
      <c r="K7504" s="692" t="s">
        <v>4060</v>
      </c>
    </row>
    <row r="7505" spans="1:11">
      <c r="A7505" s="688" t="s">
        <v>4066</v>
      </c>
      <c r="B7505" s="689">
        <v>70.099999999999994</v>
      </c>
      <c r="C7505" s="689">
        <v>70.5</v>
      </c>
      <c r="D7505" s="689">
        <v>70.3</v>
      </c>
      <c r="E7505" s="689">
        <v>70.599999999999994</v>
      </c>
      <c r="F7505" s="689">
        <v>70.7</v>
      </c>
      <c r="G7505" s="689">
        <v>70.8</v>
      </c>
      <c r="H7505" s="690" t="s">
        <v>4060</v>
      </c>
      <c r="I7505" s="690" t="s">
        <v>4060</v>
      </c>
      <c r="J7505" s="690" t="s">
        <v>4060</v>
      </c>
      <c r="K7505" s="690" t="s">
        <v>4060</v>
      </c>
    </row>
    <row r="7506" spans="1:11">
      <c r="A7506" s="688" t="s">
        <v>4062</v>
      </c>
      <c r="B7506" s="691">
        <v>72.7</v>
      </c>
      <c r="C7506" s="615">
        <v>73</v>
      </c>
      <c r="D7506" s="615">
        <v>73</v>
      </c>
      <c r="E7506" s="691">
        <v>73.400000000000006</v>
      </c>
      <c r="F7506" s="691">
        <v>73.5</v>
      </c>
      <c r="G7506" s="691">
        <v>73.7</v>
      </c>
      <c r="H7506" s="691">
        <v>73.900000000000006</v>
      </c>
      <c r="I7506" s="691">
        <v>73.5</v>
      </c>
      <c r="J7506" s="691">
        <v>73.900000000000006</v>
      </c>
      <c r="K7506" s="691">
        <v>73.7</v>
      </c>
    </row>
    <row r="7507" spans="1:11">
      <c r="A7507" s="688" t="s">
        <v>9</v>
      </c>
      <c r="B7507" s="689">
        <v>72.7</v>
      </c>
      <c r="C7507" s="689">
        <v>73.3</v>
      </c>
      <c r="D7507" s="689">
        <v>73.400000000000006</v>
      </c>
      <c r="E7507" s="689">
        <v>72.5</v>
      </c>
      <c r="F7507" s="693">
        <v>73</v>
      </c>
      <c r="G7507" s="689">
        <v>73.3</v>
      </c>
      <c r="H7507" s="689">
        <v>73.599999999999994</v>
      </c>
      <c r="I7507" s="689">
        <v>73.8</v>
      </c>
      <c r="J7507" s="693">
        <v>74</v>
      </c>
      <c r="K7507" s="693">
        <v>73</v>
      </c>
    </row>
    <row r="7508" spans="1:11">
      <c r="A7508" s="688" t="s">
        <v>13</v>
      </c>
      <c r="B7508" s="691">
        <v>72.7</v>
      </c>
      <c r="C7508" s="615">
        <v>73</v>
      </c>
      <c r="D7508" s="691">
        <v>73.599999999999994</v>
      </c>
      <c r="E7508" s="691">
        <v>72.599999999999994</v>
      </c>
      <c r="F7508" s="615">
        <v>73</v>
      </c>
      <c r="G7508" s="691">
        <v>72.400000000000006</v>
      </c>
      <c r="H7508" s="691">
        <v>74.400000000000006</v>
      </c>
      <c r="I7508" s="691">
        <v>72.5</v>
      </c>
      <c r="J7508" s="691">
        <v>74.099999999999994</v>
      </c>
      <c r="K7508" s="691">
        <v>74.400000000000006</v>
      </c>
    </row>
    <row r="7509" spans="1:11">
      <c r="A7509" s="688" t="s">
        <v>18</v>
      </c>
      <c r="B7509" s="693">
        <v>72</v>
      </c>
      <c r="C7509" s="689">
        <v>72.3</v>
      </c>
      <c r="D7509" s="689">
        <v>72.599999999999994</v>
      </c>
      <c r="E7509" s="689">
        <v>72.8</v>
      </c>
      <c r="F7509" s="689">
        <v>73.2</v>
      </c>
      <c r="G7509" s="689">
        <v>73.2</v>
      </c>
      <c r="H7509" s="689">
        <v>73.5</v>
      </c>
      <c r="I7509" s="689">
        <v>73.7</v>
      </c>
      <c r="J7509" s="689">
        <v>73.8</v>
      </c>
      <c r="K7509" s="689">
        <v>73.2</v>
      </c>
    </row>
    <row r="7510" spans="1:11">
      <c r="A7510" s="688" t="s">
        <v>24</v>
      </c>
      <c r="B7510" s="691">
        <v>73.099999999999994</v>
      </c>
      <c r="C7510" s="691">
        <v>73.3</v>
      </c>
      <c r="D7510" s="691">
        <v>73.099999999999994</v>
      </c>
      <c r="E7510" s="691">
        <v>73.8</v>
      </c>
      <c r="F7510" s="691">
        <v>73.8</v>
      </c>
      <c r="G7510" s="615">
        <v>74</v>
      </c>
      <c r="H7510" s="691">
        <v>74.2</v>
      </c>
      <c r="I7510" s="691">
        <v>73.400000000000006</v>
      </c>
      <c r="J7510" s="615">
        <v>74</v>
      </c>
      <c r="K7510" s="615">
        <v>74</v>
      </c>
    </row>
    <row r="7511" spans="1:11">
      <c r="A7511" s="688" t="s">
        <v>4059</v>
      </c>
      <c r="B7511" s="689">
        <v>71.599999999999994</v>
      </c>
      <c r="C7511" s="689">
        <v>71.900000000000006</v>
      </c>
      <c r="D7511" s="689">
        <v>71.599999999999994</v>
      </c>
      <c r="E7511" s="689">
        <v>71.8</v>
      </c>
      <c r="F7511" s="689">
        <v>71.900000000000006</v>
      </c>
      <c r="G7511" s="689">
        <v>71.8</v>
      </c>
      <c r="H7511" s="690" t="s">
        <v>4060</v>
      </c>
      <c r="I7511" s="690" t="s">
        <v>4060</v>
      </c>
      <c r="J7511" s="690" t="s">
        <v>4060</v>
      </c>
      <c r="K7511" s="690" t="s">
        <v>4060</v>
      </c>
    </row>
    <row r="7512" spans="1:11">
      <c r="A7512" s="688" t="s">
        <v>2324</v>
      </c>
      <c r="B7512" s="691">
        <v>66.5</v>
      </c>
      <c r="C7512" s="691">
        <v>66.599999999999994</v>
      </c>
      <c r="D7512" s="691">
        <v>66.599999999999994</v>
      </c>
      <c r="E7512" s="691">
        <v>66.3</v>
      </c>
      <c r="F7512" s="691">
        <v>66.2</v>
      </c>
      <c r="G7512" s="691">
        <v>66.7</v>
      </c>
      <c r="H7512" s="691">
        <v>66.3</v>
      </c>
      <c r="I7512" s="691">
        <v>65.5</v>
      </c>
      <c r="J7512" s="691">
        <v>62.9</v>
      </c>
      <c r="K7512" s="692" t="s">
        <v>4060</v>
      </c>
    </row>
    <row r="7513" spans="1:11">
      <c r="A7513" s="688" t="s">
        <v>2322</v>
      </c>
      <c r="B7513" s="690" t="s">
        <v>4060</v>
      </c>
      <c r="C7513" s="690" t="s">
        <v>4060</v>
      </c>
      <c r="D7513" s="690" t="s">
        <v>4060</v>
      </c>
      <c r="E7513" s="690" t="s">
        <v>4060</v>
      </c>
      <c r="F7513" s="690" t="s">
        <v>4060</v>
      </c>
      <c r="G7513" s="690" t="s">
        <v>4060</v>
      </c>
      <c r="H7513" s="690" t="s">
        <v>4060</v>
      </c>
      <c r="I7513" s="690" t="s">
        <v>4060</v>
      </c>
      <c r="J7513" s="690" t="s">
        <v>4060</v>
      </c>
      <c r="K7513" s="690" t="s">
        <v>4060</v>
      </c>
    </row>
    <row r="7514" spans="1:11">
      <c r="A7514" s="688" t="s">
        <v>2328</v>
      </c>
      <c r="B7514" s="691">
        <v>66.3</v>
      </c>
      <c r="C7514" s="691">
        <v>66.400000000000006</v>
      </c>
      <c r="D7514" s="691">
        <v>66.400000000000006</v>
      </c>
      <c r="E7514" s="691">
        <v>66.400000000000006</v>
      </c>
      <c r="F7514" s="691">
        <v>66.900000000000006</v>
      </c>
      <c r="G7514" s="691">
        <v>67.2</v>
      </c>
      <c r="H7514" s="691">
        <v>67.3</v>
      </c>
      <c r="I7514" s="691">
        <v>64.7</v>
      </c>
      <c r="J7514" s="691">
        <v>63.6</v>
      </c>
      <c r="K7514" s="692" t="s">
        <v>4060</v>
      </c>
    </row>
    <row r="7515" spans="1:11">
      <c r="A7515" s="688" t="s">
        <v>2496</v>
      </c>
      <c r="B7515" s="690" t="s">
        <v>4060</v>
      </c>
      <c r="C7515" s="689">
        <v>62.8</v>
      </c>
      <c r="D7515" s="689">
        <v>61.5</v>
      </c>
      <c r="E7515" s="689">
        <v>61.2</v>
      </c>
      <c r="F7515" s="689">
        <v>62.1</v>
      </c>
      <c r="G7515" s="689">
        <v>62.4</v>
      </c>
      <c r="H7515" s="689">
        <v>62.5</v>
      </c>
      <c r="I7515" s="690" t="s">
        <v>4060</v>
      </c>
      <c r="J7515" s="690" t="s">
        <v>4060</v>
      </c>
      <c r="K7515" s="693">
        <v>62</v>
      </c>
    </row>
    <row r="7516" spans="1:11">
      <c r="A7516" s="688" t="s">
        <v>2269</v>
      </c>
      <c r="B7516" s="691">
        <v>68.8</v>
      </c>
      <c r="C7516" s="691">
        <v>69.2</v>
      </c>
      <c r="D7516" s="615">
        <v>69</v>
      </c>
      <c r="E7516" s="691">
        <v>69.900000000000006</v>
      </c>
      <c r="F7516" s="691">
        <v>69.900000000000006</v>
      </c>
      <c r="G7516" s="691">
        <v>70.2</v>
      </c>
      <c r="H7516" s="691">
        <v>70.5</v>
      </c>
      <c r="I7516" s="691">
        <v>68.099999999999994</v>
      </c>
      <c r="J7516" s="691">
        <v>66.400000000000006</v>
      </c>
      <c r="K7516" s="691">
        <v>70.099999999999994</v>
      </c>
    </row>
    <row r="7517" spans="1:11">
      <c r="A7517" s="688" t="s">
        <v>2349</v>
      </c>
      <c r="B7517" s="689">
        <v>65.2</v>
      </c>
      <c r="C7517" s="689">
        <v>65.400000000000006</v>
      </c>
      <c r="D7517" s="689">
        <v>65.3</v>
      </c>
      <c r="E7517" s="689">
        <v>65.7</v>
      </c>
      <c r="F7517" s="689">
        <v>65.599999999999994</v>
      </c>
      <c r="G7517" s="689">
        <v>65.900000000000006</v>
      </c>
      <c r="H7517" s="689">
        <v>65.900000000000006</v>
      </c>
      <c r="I7517" s="693">
        <v>64</v>
      </c>
      <c r="J7517" s="689">
        <v>62.5</v>
      </c>
      <c r="K7517" s="689">
        <v>65.099999999999994</v>
      </c>
    </row>
    <row r="7518" spans="1:11">
      <c r="A7518" s="688" t="s">
        <v>2355</v>
      </c>
      <c r="B7518" s="691">
        <v>68.599999999999994</v>
      </c>
      <c r="C7518" s="691">
        <v>68.599999999999994</v>
      </c>
      <c r="D7518" s="691">
        <v>68.5</v>
      </c>
      <c r="E7518" s="691">
        <v>68.400000000000006</v>
      </c>
      <c r="F7518" s="691">
        <v>68.7</v>
      </c>
      <c r="G7518" s="691">
        <v>69.2</v>
      </c>
      <c r="H7518" s="691">
        <v>69.400000000000006</v>
      </c>
      <c r="I7518" s="692" t="s">
        <v>4060</v>
      </c>
      <c r="J7518" s="692" t="s">
        <v>4060</v>
      </c>
      <c r="K7518" s="692" t="s">
        <v>4060</v>
      </c>
    </row>
    <row r="7519" spans="1:11">
      <c r="A7519" s="688" t="s">
        <v>2357</v>
      </c>
      <c r="B7519" s="690" t="s">
        <v>4060</v>
      </c>
      <c r="C7519" s="689">
        <v>59.4</v>
      </c>
      <c r="D7519" s="689">
        <v>60.2</v>
      </c>
      <c r="E7519" s="689">
        <v>60.6</v>
      </c>
      <c r="F7519" s="693">
        <v>61</v>
      </c>
      <c r="G7519" s="689">
        <v>60.7</v>
      </c>
      <c r="H7519" s="693">
        <v>61</v>
      </c>
      <c r="I7519" s="690" t="s">
        <v>4060</v>
      </c>
      <c r="J7519" s="690" t="s">
        <v>4060</v>
      </c>
      <c r="K7519" s="690" t="s">
        <v>4060</v>
      </c>
    </row>
    <row r="7520" spans="1:11">
      <c r="A7520" s="688" t="s">
        <v>4070</v>
      </c>
      <c r="B7520" s="692" t="s">
        <v>4060</v>
      </c>
      <c r="C7520" s="692" t="s">
        <v>4060</v>
      </c>
      <c r="D7520" s="692" t="s">
        <v>4060</v>
      </c>
      <c r="E7520" s="691">
        <v>68.5</v>
      </c>
      <c r="F7520" s="692" t="s">
        <v>4060</v>
      </c>
      <c r="G7520" s="692" t="s">
        <v>4060</v>
      </c>
      <c r="H7520" s="692" t="s">
        <v>4060</v>
      </c>
      <c r="I7520" s="692" t="s">
        <v>4060</v>
      </c>
      <c r="J7520" s="692" t="s">
        <v>4060</v>
      </c>
      <c r="K7520" s="692" t="s">
        <v>4060</v>
      </c>
    </row>
    <row r="7521" spans="1:11">
      <c r="A7521" s="688" t="s">
        <v>2491</v>
      </c>
      <c r="B7521" s="689">
        <v>59.7</v>
      </c>
      <c r="C7521" s="689">
        <v>60.2</v>
      </c>
      <c r="D7521" s="689">
        <v>60.9</v>
      </c>
      <c r="E7521" s="689">
        <v>61.3</v>
      </c>
      <c r="F7521" s="689">
        <v>61.6</v>
      </c>
      <c r="G7521" s="689">
        <v>61.6</v>
      </c>
      <c r="H7521" s="690" t="s">
        <v>4060</v>
      </c>
      <c r="I7521" s="690" t="s">
        <v>4060</v>
      </c>
      <c r="J7521" s="690" t="s">
        <v>4060</v>
      </c>
      <c r="K7521" s="690" t="s">
        <v>4060</v>
      </c>
    </row>
    <row r="7522" spans="1:11">
      <c r="A7522" s="688" t="s">
        <v>2343</v>
      </c>
      <c r="B7522" s="692" t="s">
        <v>4060</v>
      </c>
      <c r="C7522" s="692" t="s">
        <v>4060</v>
      </c>
      <c r="D7522" s="692" t="s">
        <v>4060</v>
      </c>
      <c r="E7522" s="692" t="s">
        <v>4060</v>
      </c>
      <c r="F7522" s="692" t="s">
        <v>4060</v>
      </c>
      <c r="G7522" s="692" t="s">
        <v>4060</v>
      </c>
      <c r="H7522" s="692" t="s">
        <v>4060</v>
      </c>
      <c r="I7522" s="692" t="s">
        <v>4060</v>
      </c>
      <c r="J7522" s="692" t="s">
        <v>4060</v>
      </c>
      <c r="K7522" s="692" t="s">
        <v>4060</v>
      </c>
    </row>
    <row r="7523" spans="1:11">
      <c r="A7523" s="688" t="s">
        <v>4071</v>
      </c>
      <c r="B7523" s="690" t="s">
        <v>4060</v>
      </c>
      <c r="C7523" s="690" t="s">
        <v>4060</v>
      </c>
      <c r="D7523" s="690" t="s">
        <v>4060</v>
      </c>
      <c r="E7523" s="690" t="s">
        <v>4060</v>
      </c>
      <c r="F7523" s="690" t="s">
        <v>4060</v>
      </c>
      <c r="G7523" s="690" t="s">
        <v>4060</v>
      </c>
      <c r="H7523" s="690" t="s">
        <v>4060</v>
      </c>
      <c r="I7523" s="690" t="s">
        <v>4060</v>
      </c>
      <c r="J7523" s="690" t="s">
        <v>4060</v>
      </c>
      <c r="K7523" s="690" t="s">
        <v>4060</v>
      </c>
    </row>
    <row r="7524" spans="1:11">
      <c r="A7524" s="688" t="s">
        <v>2489</v>
      </c>
      <c r="B7524" s="692" t="s">
        <v>4060</v>
      </c>
      <c r="C7524" s="692" t="s">
        <v>4060</v>
      </c>
      <c r="D7524" s="691">
        <v>64.5</v>
      </c>
      <c r="E7524" s="691">
        <v>64.400000000000006</v>
      </c>
      <c r="F7524" s="691">
        <v>65.2</v>
      </c>
      <c r="G7524" s="691">
        <v>66.099999999999994</v>
      </c>
      <c r="H7524" s="691">
        <v>65.7</v>
      </c>
      <c r="I7524" s="692" t="s">
        <v>4060</v>
      </c>
      <c r="J7524" s="692" t="s">
        <v>4060</v>
      </c>
      <c r="K7524" s="692" t="s">
        <v>4060</v>
      </c>
    </row>
    <row r="7525" spans="1:11">
      <c r="A7525" s="688" t="s">
        <v>2490</v>
      </c>
      <c r="B7525" s="689">
        <v>65.2</v>
      </c>
      <c r="C7525" s="689">
        <v>65.3</v>
      </c>
      <c r="D7525" s="689">
        <v>66.099999999999994</v>
      </c>
      <c r="E7525" s="690" t="s">
        <v>4060</v>
      </c>
      <c r="F7525" s="689">
        <v>66.400000000000006</v>
      </c>
      <c r="G7525" s="689">
        <v>66.599999999999994</v>
      </c>
      <c r="H7525" s="689">
        <v>67.400000000000006</v>
      </c>
      <c r="I7525" s="690" t="s">
        <v>4060</v>
      </c>
      <c r="J7525" s="690" t="s">
        <v>4060</v>
      </c>
      <c r="K7525" s="690" t="s">
        <v>4060</v>
      </c>
    </row>
    <row r="7527" spans="1:11">
      <c r="A7527" s="683" t="s">
        <v>4233</v>
      </c>
    </row>
    <row r="7528" spans="1:11">
      <c r="A7528" s="683" t="s">
        <v>4060</v>
      </c>
      <c r="B7528" s="682" t="s">
        <v>4234</v>
      </c>
    </row>
    <row r="7530" spans="1:11">
      <c r="A7530" s="682" t="s">
        <v>4331</v>
      </c>
    </row>
    <row r="7531" spans="1:11">
      <c r="A7531" s="682" t="s">
        <v>4210</v>
      </c>
      <c r="B7531" s="683" t="s">
        <v>4211</v>
      </c>
    </row>
    <row r="7532" spans="1:11">
      <c r="A7532" s="682" t="s">
        <v>4212</v>
      </c>
      <c r="B7532" s="682" t="s">
        <v>4213</v>
      </c>
    </row>
    <row r="7534" spans="1:11">
      <c r="A7534" s="683" t="s">
        <v>4214</v>
      </c>
      <c r="C7534" s="682" t="s">
        <v>4215</v>
      </c>
    </row>
    <row r="7535" spans="1:11">
      <c r="A7535" s="683" t="s">
        <v>4216</v>
      </c>
      <c r="C7535" s="682" t="s">
        <v>2967</v>
      </c>
    </row>
    <row r="7536" spans="1:11">
      <c r="A7536" s="683" t="s">
        <v>3893</v>
      </c>
      <c r="C7536" s="682" t="s">
        <v>2168</v>
      </c>
    </row>
    <row r="7537" spans="1:11">
      <c r="A7537" s="683" t="s">
        <v>4218</v>
      </c>
      <c r="C7537" s="682" t="s">
        <v>4243</v>
      </c>
    </row>
    <row r="7539" spans="1:11">
      <c r="A7539" s="684" t="s">
        <v>4220</v>
      </c>
      <c r="B7539" s="685" t="s">
        <v>4221</v>
      </c>
      <c r="C7539" s="685" t="s">
        <v>4222</v>
      </c>
      <c r="D7539" s="685" t="s">
        <v>4223</v>
      </c>
      <c r="E7539" s="685" t="s">
        <v>4224</v>
      </c>
      <c r="F7539" s="685" t="s">
        <v>4225</v>
      </c>
      <c r="G7539" s="685" t="s">
        <v>4226</v>
      </c>
      <c r="H7539" s="685" t="s">
        <v>4227</v>
      </c>
      <c r="I7539" s="685" t="s">
        <v>4228</v>
      </c>
      <c r="J7539" s="685" t="s">
        <v>4229</v>
      </c>
      <c r="K7539" s="685" t="s">
        <v>4230</v>
      </c>
    </row>
    <row r="7540" spans="1:11">
      <c r="A7540" s="686" t="s">
        <v>4231</v>
      </c>
      <c r="B7540" s="687" t="s">
        <v>4232</v>
      </c>
      <c r="C7540" s="687" t="s">
        <v>4232</v>
      </c>
      <c r="D7540" s="687" t="s">
        <v>4232</v>
      </c>
      <c r="E7540" s="687" t="s">
        <v>4232</v>
      </c>
      <c r="F7540" s="687" t="s">
        <v>4232</v>
      </c>
      <c r="G7540" s="687" t="s">
        <v>4232</v>
      </c>
      <c r="H7540" s="687" t="s">
        <v>4232</v>
      </c>
      <c r="I7540" s="687" t="s">
        <v>4232</v>
      </c>
      <c r="J7540" s="687" t="s">
        <v>4232</v>
      </c>
      <c r="K7540" s="687" t="s">
        <v>4232</v>
      </c>
    </row>
    <row r="7541" spans="1:11">
      <c r="A7541" s="688" t="s">
        <v>4064</v>
      </c>
      <c r="B7541" s="689">
        <v>68.900000000000006</v>
      </c>
      <c r="C7541" s="689">
        <v>69.099999999999994</v>
      </c>
      <c r="D7541" s="689">
        <v>69.099999999999994</v>
      </c>
      <c r="E7541" s="689">
        <v>69.2</v>
      </c>
      <c r="F7541" s="689">
        <v>69.3</v>
      </c>
      <c r="G7541" s="689">
        <v>69.400000000000006</v>
      </c>
      <c r="H7541" s="689">
        <v>69.7</v>
      </c>
      <c r="I7541" s="689">
        <v>68.8</v>
      </c>
      <c r="J7541" s="689">
        <v>68.5</v>
      </c>
      <c r="K7541" s="689">
        <v>69.2</v>
      </c>
    </row>
    <row r="7542" spans="1:11">
      <c r="A7542" s="688" t="s">
        <v>4065</v>
      </c>
      <c r="B7542" s="691">
        <v>69.099999999999994</v>
      </c>
      <c r="C7542" s="691">
        <v>69.5</v>
      </c>
      <c r="D7542" s="691">
        <v>69.2</v>
      </c>
      <c r="E7542" s="691">
        <v>69.599999999999994</v>
      </c>
      <c r="F7542" s="691">
        <v>69.599999999999994</v>
      </c>
      <c r="G7542" s="691">
        <v>69.7</v>
      </c>
      <c r="H7542" s="692" t="s">
        <v>4060</v>
      </c>
      <c r="I7542" s="692" t="s">
        <v>4060</v>
      </c>
      <c r="J7542" s="692" t="s">
        <v>4060</v>
      </c>
      <c r="K7542" s="692" t="s">
        <v>4060</v>
      </c>
    </row>
    <row r="7543" spans="1:11">
      <c r="A7543" s="688" t="s">
        <v>4063</v>
      </c>
      <c r="B7543" s="689">
        <v>69.099999999999994</v>
      </c>
      <c r="C7543" s="689">
        <v>69.5</v>
      </c>
      <c r="D7543" s="689">
        <v>69.3</v>
      </c>
      <c r="E7543" s="689">
        <v>69.599999999999994</v>
      </c>
      <c r="F7543" s="689">
        <v>69.7</v>
      </c>
      <c r="G7543" s="689">
        <v>69.7</v>
      </c>
      <c r="H7543" s="690" t="s">
        <v>4060</v>
      </c>
      <c r="I7543" s="690" t="s">
        <v>4060</v>
      </c>
      <c r="J7543" s="690" t="s">
        <v>4060</v>
      </c>
      <c r="K7543" s="690" t="s">
        <v>4060</v>
      </c>
    </row>
    <row r="7544" spans="1:11">
      <c r="A7544" s="688" t="s">
        <v>4069</v>
      </c>
      <c r="B7544" s="692" t="s">
        <v>4060</v>
      </c>
      <c r="C7544" s="691">
        <v>70.3</v>
      </c>
      <c r="D7544" s="615">
        <v>70</v>
      </c>
      <c r="E7544" s="691">
        <v>70.400000000000006</v>
      </c>
      <c r="F7544" s="691">
        <v>70.5</v>
      </c>
      <c r="G7544" s="691">
        <v>70.599999999999994</v>
      </c>
      <c r="H7544" s="691">
        <v>70.900000000000006</v>
      </c>
      <c r="I7544" s="691">
        <v>70.2</v>
      </c>
      <c r="J7544" s="691">
        <v>70.099999999999994</v>
      </c>
      <c r="K7544" s="691">
        <v>70.400000000000006</v>
      </c>
    </row>
    <row r="7545" spans="1:11">
      <c r="A7545" s="688" t="s">
        <v>4068</v>
      </c>
      <c r="B7545" s="689">
        <v>70.099999999999994</v>
      </c>
      <c r="C7545" s="690" t="s">
        <v>4060</v>
      </c>
      <c r="D7545" s="690" t="s">
        <v>4060</v>
      </c>
      <c r="E7545" s="690" t="s">
        <v>4060</v>
      </c>
      <c r="F7545" s="690" t="s">
        <v>4060</v>
      </c>
      <c r="G7545" s="690" t="s">
        <v>4060</v>
      </c>
      <c r="H7545" s="690" t="s">
        <v>4060</v>
      </c>
      <c r="I7545" s="690" t="s">
        <v>4060</v>
      </c>
      <c r="J7545" s="690" t="s">
        <v>4060</v>
      </c>
      <c r="K7545" s="690" t="s">
        <v>4060</v>
      </c>
    </row>
    <row r="7546" spans="1:11">
      <c r="A7546" s="688" t="s">
        <v>0</v>
      </c>
      <c r="B7546" s="691">
        <v>69.5</v>
      </c>
      <c r="C7546" s="691">
        <v>69.900000000000006</v>
      </c>
      <c r="D7546" s="691">
        <v>69.900000000000006</v>
      </c>
      <c r="E7546" s="691">
        <v>70.2</v>
      </c>
      <c r="F7546" s="691">
        <v>70.400000000000006</v>
      </c>
      <c r="G7546" s="691">
        <v>70.599999999999994</v>
      </c>
      <c r="H7546" s="615">
        <v>71</v>
      </c>
      <c r="I7546" s="691">
        <v>69.900000000000006</v>
      </c>
      <c r="J7546" s="691">
        <v>70.599999999999994</v>
      </c>
      <c r="K7546" s="691">
        <v>70.900000000000006</v>
      </c>
    </row>
    <row r="7547" spans="1:11">
      <c r="A7547" s="688" t="s">
        <v>1</v>
      </c>
      <c r="B7547" s="689">
        <v>63.1</v>
      </c>
      <c r="C7547" s="689">
        <v>62.7</v>
      </c>
      <c r="D7547" s="689">
        <v>62.8</v>
      </c>
      <c r="E7547" s="689">
        <v>62.8</v>
      </c>
      <c r="F7547" s="689">
        <v>62.8</v>
      </c>
      <c r="G7547" s="689">
        <v>62.8</v>
      </c>
      <c r="H7547" s="689">
        <v>62.8</v>
      </c>
      <c r="I7547" s="689">
        <v>61.1</v>
      </c>
      <c r="J7547" s="689">
        <v>59.2</v>
      </c>
      <c r="K7547" s="693">
        <v>62</v>
      </c>
    </row>
    <row r="7548" spans="1:11">
      <c r="A7548" s="688" t="s">
        <v>2240</v>
      </c>
      <c r="B7548" s="691">
        <v>66.5</v>
      </c>
      <c r="C7548" s="615">
        <v>67</v>
      </c>
      <c r="D7548" s="691">
        <v>66.900000000000006</v>
      </c>
      <c r="E7548" s="691">
        <v>67.400000000000006</v>
      </c>
      <c r="F7548" s="691">
        <v>67.3</v>
      </c>
      <c r="G7548" s="691">
        <v>67.400000000000006</v>
      </c>
      <c r="H7548" s="691">
        <v>67.599999999999994</v>
      </c>
      <c r="I7548" s="691">
        <v>66.599999999999994</v>
      </c>
      <c r="J7548" s="691">
        <v>65.3</v>
      </c>
      <c r="K7548" s="691">
        <v>67.3</v>
      </c>
    </row>
    <row r="7549" spans="1:11">
      <c r="A7549" s="688" t="s">
        <v>2</v>
      </c>
      <c r="B7549" s="689">
        <v>69.7</v>
      </c>
      <c r="C7549" s="693">
        <v>70</v>
      </c>
      <c r="D7549" s="689">
        <v>70.099999999999994</v>
      </c>
      <c r="E7549" s="689">
        <v>70.3</v>
      </c>
      <c r="F7549" s="689">
        <v>70.5</v>
      </c>
      <c r="G7549" s="689">
        <v>70.400000000000006</v>
      </c>
      <c r="H7549" s="689">
        <v>70.8</v>
      </c>
      <c r="I7549" s="689">
        <v>70.900000000000006</v>
      </c>
      <c r="J7549" s="689">
        <v>70.900000000000006</v>
      </c>
      <c r="K7549" s="689">
        <v>70.7</v>
      </c>
    </row>
    <row r="7550" spans="1:11">
      <c r="A7550" s="688" t="s">
        <v>3</v>
      </c>
      <c r="B7550" s="691">
        <v>69.5</v>
      </c>
      <c r="C7550" s="691">
        <v>69.8</v>
      </c>
      <c r="D7550" s="691">
        <v>69.5</v>
      </c>
      <c r="E7550" s="691">
        <v>69.8</v>
      </c>
      <c r="F7550" s="691">
        <v>69.900000000000006</v>
      </c>
      <c r="G7550" s="691">
        <v>69.900000000000006</v>
      </c>
      <c r="H7550" s="691">
        <v>70.2</v>
      </c>
      <c r="I7550" s="691">
        <v>69.900000000000006</v>
      </c>
      <c r="J7550" s="691">
        <v>69.5</v>
      </c>
      <c r="K7550" s="691">
        <v>69.5</v>
      </c>
    </row>
    <row r="7551" spans="1:11">
      <c r="A7551" s="688" t="s">
        <v>4061</v>
      </c>
      <c r="B7551" s="689">
        <v>69.5</v>
      </c>
      <c r="C7551" s="689">
        <v>69.8</v>
      </c>
      <c r="D7551" s="689">
        <v>69.5</v>
      </c>
      <c r="E7551" s="689">
        <v>69.8</v>
      </c>
      <c r="F7551" s="689">
        <v>69.900000000000006</v>
      </c>
      <c r="G7551" s="689">
        <v>69.900000000000006</v>
      </c>
      <c r="H7551" s="689">
        <v>70.2</v>
      </c>
      <c r="I7551" s="689">
        <v>69.900000000000006</v>
      </c>
      <c r="J7551" s="689">
        <v>69.5</v>
      </c>
      <c r="K7551" s="689">
        <v>69.5</v>
      </c>
    </row>
    <row r="7552" spans="1:11">
      <c r="A7552" s="688" t="s">
        <v>4</v>
      </c>
      <c r="B7552" s="691">
        <v>64.099999999999994</v>
      </c>
      <c r="C7552" s="691">
        <v>63.6</v>
      </c>
      <c r="D7552" s="691">
        <v>64.400000000000006</v>
      </c>
      <c r="E7552" s="691">
        <v>64.5</v>
      </c>
      <c r="F7552" s="691">
        <v>64.900000000000006</v>
      </c>
      <c r="G7552" s="691">
        <v>65.099999999999994</v>
      </c>
      <c r="H7552" s="691">
        <v>65.7</v>
      </c>
      <c r="I7552" s="691">
        <v>65.599999999999994</v>
      </c>
      <c r="J7552" s="615">
        <v>64</v>
      </c>
      <c r="K7552" s="691">
        <v>64.8</v>
      </c>
    </row>
    <row r="7553" spans="1:11">
      <c r="A7553" s="688" t="s">
        <v>8</v>
      </c>
      <c r="B7553" s="689">
        <v>70.3</v>
      </c>
      <c r="C7553" s="689">
        <v>70.599999999999994</v>
      </c>
      <c r="D7553" s="689">
        <v>70.8</v>
      </c>
      <c r="E7553" s="693">
        <v>71</v>
      </c>
      <c r="F7553" s="689">
        <v>71.5</v>
      </c>
      <c r="G7553" s="689">
        <v>71.5</v>
      </c>
      <c r="H7553" s="689">
        <v>71.900000000000006</v>
      </c>
      <c r="I7553" s="689">
        <v>71.8</v>
      </c>
      <c r="J7553" s="689">
        <v>71.599999999999994</v>
      </c>
      <c r="K7553" s="693">
        <v>72</v>
      </c>
    </row>
    <row r="7554" spans="1:11">
      <c r="A7554" s="688" t="s">
        <v>7</v>
      </c>
      <c r="B7554" s="691">
        <v>70.099999999999994</v>
      </c>
      <c r="C7554" s="691">
        <v>69.599999999999994</v>
      </c>
      <c r="D7554" s="691">
        <v>69.400000000000006</v>
      </c>
      <c r="E7554" s="691">
        <v>69.8</v>
      </c>
      <c r="F7554" s="691">
        <v>69.7</v>
      </c>
      <c r="G7554" s="691">
        <v>70.099999999999994</v>
      </c>
      <c r="H7554" s="691">
        <v>70.099999999999994</v>
      </c>
      <c r="I7554" s="691">
        <v>69.8</v>
      </c>
      <c r="J7554" s="691">
        <v>68.7</v>
      </c>
      <c r="K7554" s="691">
        <v>69.599999999999994</v>
      </c>
    </row>
    <row r="7555" spans="1:11">
      <c r="A7555" s="688" t="s">
        <v>27</v>
      </c>
      <c r="B7555" s="689">
        <v>71.5</v>
      </c>
      <c r="C7555" s="689">
        <v>71.400000000000006</v>
      </c>
      <c r="D7555" s="689">
        <v>71.2</v>
      </c>
      <c r="E7555" s="689">
        <v>71.5</v>
      </c>
      <c r="F7555" s="689">
        <v>71.599999999999994</v>
      </c>
      <c r="G7555" s="689">
        <v>71.7</v>
      </c>
      <c r="H7555" s="689">
        <v>72.099999999999994</v>
      </c>
      <c r="I7555" s="689">
        <v>70.8</v>
      </c>
      <c r="J7555" s="689">
        <v>71.5</v>
      </c>
      <c r="K7555" s="689">
        <v>71.599999999999994</v>
      </c>
    </row>
    <row r="7556" spans="1:11">
      <c r="A7556" s="688" t="s">
        <v>6</v>
      </c>
      <c r="B7556" s="691">
        <v>70.400000000000006</v>
      </c>
      <c r="C7556" s="691">
        <v>70.599999999999994</v>
      </c>
      <c r="D7556" s="691">
        <v>70.400000000000006</v>
      </c>
      <c r="E7556" s="691">
        <v>70.7</v>
      </c>
      <c r="F7556" s="691">
        <v>70.8</v>
      </c>
      <c r="G7556" s="691">
        <v>70.900000000000006</v>
      </c>
      <c r="H7556" s="691">
        <v>71.099999999999994</v>
      </c>
      <c r="I7556" s="691">
        <v>70.5</v>
      </c>
      <c r="J7556" s="691">
        <v>70.599999999999994</v>
      </c>
      <c r="K7556" s="691">
        <v>70.7</v>
      </c>
    </row>
    <row r="7557" spans="1:11">
      <c r="A7557" s="688" t="s">
        <v>4058</v>
      </c>
      <c r="B7557" s="690" t="s">
        <v>4060</v>
      </c>
      <c r="C7557" s="690" t="s">
        <v>4060</v>
      </c>
      <c r="D7557" s="690" t="s">
        <v>4060</v>
      </c>
      <c r="E7557" s="690" t="s">
        <v>4060</v>
      </c>
      <c r="F7557" s="690" t="s">
        <v>4060</v>
      </c>
      <c r="G7557" s="690" t="s">
        <v>4060</v>
      </c>
      <c r="H7557" s="690" t="s">
        <v>4060</v>
      </c>
      <c r="I7557" s="690" t="s">
        <v>4060</v>
      </c>
      <c r="J7557" s="690" t="s">
        <v>4060</v>
      </c>
      <c r="K7557" s="690" t="s">
        <v>4060</v>
      </c>
    </row>
    <row r="7558" spans="1:11">
      <c r="A7558" s="688" t="s">
        <v>11</v>
      </c>
      <c r="B7558" s="691">
        <v>65.900000000000006</v>
      </c>
      <c r="C7558" s="691">
        <v>66.099999999999994</v>
      </c>
      <c r="D7558" s="691">
        <v>65.7</v>
      </c>
      <c r="E7558" s="691">
        <v>66.3</v>
      </c>
      <c r="F7558" s="691">
        <v>66.2</v>
      </c>
      <c r="G7558" s="691">
        <v>66.2</v>
      </c>
      <c r="H7558" s="691">
        <v>66.599999999999994</v>
      </c>
      <c r="I7558" s="691">
        <v>65.900000000000006</v>
      </c>
      <c r="J7558" s="691">
        <v>64.900000000000006</v>
      </c>
      <c r="K7558" s="615">
        <v>66</v>
      </c>
    </row>
    <row r="7559" spans="1:11">
      <c r="A7559" s="688" t="s">
        <v>10</v>
      </c>
      <c r="B7559" s="689">
        <v>71.599999999999994</v>
      </c>
      <c r="C7559" s="689">
        <v>71.7</v>
      </c>
      <c r="D7559" s="689">
        <v>71.400000000000006</v>
      </c>
      <c r="E7559" s="693">
        <v>72</v>
      </c>
      <c r="F7559" s="689">
        <v>71.900000000000006</v>
      </c>
      <c r="G7559" s="689">
        <v>72.2</v>
      </c>
      <c r="H7559" s="689">
        <v>72.400000000000006</v>
      </c>
      <c r="I7559" s="689">
        <v>71.2</v>
      </c>
      <c r="J7559" s="689">
        <v>71.599999999999994</v>
      </c>
      <c r="K7559" s="689">
        <v>71.900000000000006</v>
      </c>
    </row>
    <row r="7560" spans="1:11">
      <c r="A7560" s="688" t="s">
        <v>30</v>
      </c>
      <c r="B7560" s="691">
        <v>71.3</v>
      </c>
      <c r="C7560" s="691">
        <v>71.599999999999994</v>
      </c>
      <c r="D7560" s="691">
        <v>71.3</v>
      </c>
      <c r="E7560" s="615">
        <v>72</v>
      </c>
      <c r="F7560" s="691">
        <v>71.599999999999994</v>
      </c>
      <c r="G7560" s="691">
        <v>72.400000000000006</v>
      </c>
      <c r="H7560" s="615">
        <v>72</v>
      </c>
      <c r="I7560" s="691">
        <v>72.099999999999994</v>
      </c>
      <c r="J7560" s="691">
        <v>71.099999999999994</v>
      </c>
      <c r="K7560" s="691">
        <v>71.7</v>
      </c>
    </row>
    <row r="7561" spans="1:11">
      <c r="A7561" s="688" t="s">
        <v>12</v>
      </c>
      <c r="B7561" s="689">
        <v>60.9</v>
      </c>
      <c r="C7561" s="689">
        <v>60.5</v>
      </c>
      <c r="D7561" s="689">
        <v>61.1</v>
      </c>
      <c r="E7561" s="689">
        <v>61.1</v>
      </c>
      <c r="F7561" s="689">
        <v>61.2</v>
      </c>
      <c r="G7561" s="689">
        <v>61.4</v>
      </c>
      <c r="H7561" s="689">
        <v>62.2</v>
      </c>
      <c r="I7561" s="693">
        <v>62</v>
      </c>
      <c r="J7561" s="689">
        <v>59.6</v>
      </c>
      <c r="K7561" s="689">
        <v>60.7</v>
      </c>
    </row>
    <row r="7562" spans="1:11">
      <c r="A7562" s="688" t="s">
        <v>14</v>
      </c>
      <c r="B7562" s="691">
        <v>59.9</v>
      </c>
      <c r="C7562" s="691">
        <v>60.5</v>
      </c>
      <c r="D7562" s="691">
        <v>60.5</v>
      </c>
      <c r="E7562" s="691">
        <v>60.9</v>
      </c>
      <c r="F7562" s="615">
        <v>62</v>
      </c>
      <c r="G7562" s="691">
        <v>62.3</v>
      </c>
      <c r="H7562" s="691">
        <v>62.8</v>
      </c>
      <c r="I7562" s="691">
        <v>61.5</v>
      </c>
      <c r="J7562" s="691">
        <v>60.9</v>
      </c>
      <c r="K7562" s="691">
        <v>62.6</v>
      </c>
    </row>
    <row r="7563" spans="1:11">
      <c r="A7563" s="688" t="s">
        <v>15</v>
      </c>
      <c r="B7563" s="689">
        <v>71.2</v>
      </c>
      <c r="C7563" s="689">
        <v>70.400000000000006</v>
      </c>
      <c r="D7563" s="689">
        <v>71.2</v>
      </c>
      <c r="E7563" s="689">
        <v>71.3</v>
      </c>
      <c r="F7563" s="689">
        <v>71.099999999999994</v>
      </c>
      <c r="G7563" s="689">
        <v>71.2</v>
      </c>
      <c r="H7563" s="689">
        <v>71.599999999999994</v>
      </c>
      <c r="I7563" s="689">
        <v>71.2</v>
      </c>
      <c r="J7563" s="689">
        <v>71.599999999999994</v>
      </c>
      <c r="K7563" s="689">
        <v>72.099999999999994</v>
      </c>
    </row>
    <row r="7564" spans="1:11">
      <c r="A7564" s="688" t="s">
        <v>29</v>
      </c>
      <c r="B7564" s="691">
        <v>63.7</v>
      </c>
      <c r="C7564" s="691">
        <v>63.7</v>
      </c>
      <c r="D7564" s="691">
        <v>63.6</v>
      </c>
      <c r="E7564" s="691">
        <v>63.9</v>
      </c>
      <c r="F7564" s="691">
        <v>63.8</v>
      </c>
      <c r="G7564" s="691">
        <v>63.9</v>
      </c>
      <c r="H7564" s="691">
        <v>64.3</v>
      </c>
      <c r="I7564" s="691">
        <v>63.6</v>
      </c>
      <c r="J7564" s="615">
        <v>62</v>
      </c>
      <c r="K7564" s="691">
        <v>63.9</v>
      </c>
    </row>
    <row r="7565" spans="1:11">
      <c r="A7565" s="688" t="s">
        <v>16</v>
      </c>
      <c r="B7565" s="689">
        <v>71.099999999999994</v>
      </c>
      <c r="C7565" s="693">
        <v>71</v>
      </c>
      <c r="D7565" s="689">
        <v>71.3</v>
      </c>
      <c r="E7565" s="693">
        <v>72</v>
      </c>
      <c r="F7565" s="689">
        <v>71.7</v>
      </c>
      <c r="G7565" s="689">
        <v>71.7</v>
      </c>
      <c r="H7565" s="689">
        <v>72.3</v>
      </c>
      <c r="I7565" s="689">
        <v>71.2</v>
      </c>
      <c r="J7565" s="689">
        <v>71.599999999999994</v>
      </c>
      <c r="K7565" s="689">
        <v>71.7</v>
      </c>
    </row>
    <row r="7566" spans="1:11">
      <c r="A7566" s="688" t="s">
        <v>17</v>
      </c>
      <c r="B7566" s="691">
        <v>70.900000000000006</v>
      </c>
      <c r="C7566" s="691">
        <v>71.3</v>
      </c>
      <c r="D7566" s="691">
        <v>71.099999999999994</v>
      </c>
      <c r="E7566" s="691">
        <v>71.2</v>
      </c>
      <c r="F7566" s="691">
        <v>71.400000000000006</v>
      </c>
      <c r="G7566" s="691">
        <v>71.5</v>
      </c>
      <c r="H7566" s="691">
        <v>71.8</v>
      </c>
      <c r="I7566" s="691">
        <v>71.099999999999994</v>
      </c>
      <c r="J7566" s="615">
        <v>71</v>
      </c>
      <c r="K7566" s="691">
        <v>71.5</v>
      </c>
    </row>
    <row r="7567" spans="1:11">
      <c r="A7567" s="688" t="s">
        <v>19</v>
      </c>
      <c r="B7567" s="693">
        <v>70</v>
      </c>
      <c r="C7567" s="689">
        <v>70.2</v>
      </c>
      <c r="D7567" s="693">
        <v>70</v>
      </c>
      <c r="E7567" s="689">
        <v>70.5</v>
      </c>
      <c r="F7567" s="689">
        <v>70.599999999999994</v>
      </c>
      <c r="G7567" s="689">
        <v>70.599999999999994</v>
      </c>
      <c r="H7567" s="689">
        <v>70.900000000000006</v>
      </c>
      <c r="I7567" s="689">
        <v>70.2</v>
      </c>
      <c r="J7567" s="689">
        <v>70.099999999999994</v>
      </c>
      <c r="K7567" s="689">
        <v>70.3</v>
      </c>
    </row>
    <row r="7568" spans="1:11">
      <c r="A7568" s="688" t="s">
        <v>20</v>
      </c>
      <c r="B7568" s="691">
        <v>64.400000000000006</v>
      </c>
      <c r="C7568" s="615">
        <v>65</v>
      </c>
      <c r="D7568" s="691">
        <v>64.8</v>
      </c>
      <c r="E7568" s="691">
        <v>65.2</v>
      </c>
      <c r="F7568" s="691">
        <v>65.2</v>
      </c>
      <c r="G7568" s="615">
        <v>65</v>
      </c>
      <c r="H7568" s="691">
        <v>65.400000000000006</v>
      </c>
      <c r="I7568" s="691">
        <v>63.7</v>
      </c>
      <c r="J7568" s="691">
        <v>62.8</v>
      </c>
      <c r="K7568" s="691">
        <v>64.599999999999994</v>
      </c>
    </row>
    <row r="7569" spans="1:11">
      <c r="A7569" s="688" t="s">
        <v>21</v>
      </c>
      <c r="B7569" s="693">
        <v>69</v>
      </c>
      <c r="C7569" s="689">
        <v>69.400000000000006</v>
      </c>
      <c r="D7569" s="689">
        <v>69.599999999999994</v>
      </c>
      <c r="E7569" s="689">
        <v>69.599999999999994</v>
      </c>
      <c r="F7569" s="689">
        <v>69.900000000000006</v>
      </c>
      <c r="G7569" s="689">
        <v>69.900000000000006</v>
      </c>
      <c r="H7569" s="689">
        <v>70.3</v>
      </c>
      <c r="I7569" s="689">
        <v>69.599999999999994</v>
      </c>
      <c r="J7569" s="689">
        <v>69.7</v>
      </c>
      <c r="K7569" s="689">
        <v>70.099999999999994</v>
      </c>
    </row>
    <row r="7570" spans="1:11">
      <c r="A7570" s="688" t="s">
        <v>22</v>
      </c>
      <c r="B7570" s="691">
        <v>63.5</v>
      </c>
      <c r="C7570" s="691">
        <v>63.2</v>
      </c>
      <c r="D7570" s="691">
        <v>63.1</v>
      </c>
      <c r="E7570" s="691">
        <v>63.3</v>
      </c>
      <c r="F7570" s="691">
        <v>63.3</v>
      </c>
      <c r="G7570" s="691">
        <v>63.3</v>
      </c>
      <c r="H7570" s="691">
        <v>63.5</v>
      </c>
      <c r="I7570" s="691">
        <v>61.8</v>
      </c>
      <c r="J7570" s="691">
        <v>60.7</v>
      </c>
      <c r="K7570" s="691">
        <v>62.9</v>
      </c>
    </row>
    <row r="7571" spans="1:11">
      <c r="A7571" s="688" t="s">
        <v>26</v>
      </c>
      <c r="B7571" s="689">
        <v>68.5</v>
      </c>
      <c r="C7571" s="689">
        <v>69.2</v>
      </c>
      <c r="D7571" s="689">
        <v>68.8</v>
      </c>
      <c r="E7571" s="689">
        <v>69.2</v>
      </c>
      <c r="F7571" s="689">
        <v>69.3</v>
      </c>
      <c r="G7571" s="689">
        <v>69.599999999999994</v>
      </c>
      <c r="H7571" s="689">
        <v>69.8</v>
      </c>
      <c r="I7571" s="693">
        <v>69</v>
      </c>
      <c r="J7571" s="689">
        <v>68.8</v>
      </c>
      <c r="K7571" s="689">
        <v>69.8</v>
      </c>
    </row>
    <row r="7572" spans="1:11">
      <c r="A7572" s="688" t="s">
        <v>25</v>
      </c>
      <c r="B7572" s="691">
        <v>64.5</v>
      </c>
      <c r="C7572" s="691">
        <v>64.8</v>
      </c>
      <c r="D7572" s="691">
        <v>64.7</v>
      </c>
      <c r="E7572" s="691">
        <v>65.400000000000006</v>
      </c>
      <c r="F7572" s="691">
        <v>65.3</v>
      </c>
      <c r="G7572" s="691">
        <v>65.400000000000006</v>
      </c>
      <c r="H7572" s="691">
        <v>65.8</v>
      </c>
      <c r="I7572" s="691">
        <v>65.099999999999994</v>
      </c>
      <c r="J7572" s="691">
        <v>62.7</v>
      </c>
      <c r="K7572" s="691">
        <v>65.099999999999994</v>
      </c>
    </row>
    <row r="7573" spans="1:11">
      <c r="A7573" s="688" t="s">
        <v>5</v>
      </c>
      <c r="B7573" s="689">
        <v>69.3</v>
      </c>
      <c r="C7573" s="689">
        <v>69.400000000000006</v>
      </c>
      <c r="D7573" s="689">
        <v>69.7</v>
      </c>
      <c r="E7573" s="689">
        <v>69.7</v>
      </c>
      <c r="F7573" s="689">
        <v>69.900000000000006</v>
      </c>
      <c r="G7573" s="689">
        <v>70.099999999999994</v>
      </c>
      <c r="H7573" s="689">
        <v>70.400000000000006</v>
      </c>
      <c r="I7573" s="689">
        <v>70.3</v>
      </c>
      <c r="J7573" s="689">
        <v>70.3</v>
      </c>
      <c r="K7573" s="689">
        <v>69.900000000000006</v>
      </c>
    </row>
    <row r="7574" spans="1:11">
      <c r="A7574" s="688" t="s">
        <v>23</v>
      </c>
      <c r="B7574" s="691">
        <v>71.5</v>
      </c>
      <c r="C7574" s="691">
        <v>71.599999999999994</v>
      </c>
      <c r="D7574" s="691">
        <v>71.599999999999994</v>
      </c>
      <c r="E7574" s="691">
        <v>71.8</v>
      </c>
      <c r="F7574" s="615">
        <v>72</v>
      </c>
      <c r="G7574" s="615">
        <v>72</v>
      </c>
      <c r="H7574" s="691">
        <v>72.599999999999994</v>
      </c>
      <c r="I7574" s="691">
        <v>71.900000000000006</v>
      </c>
      <c r="J7574" s="691">
        <v>72.400000000000006</v>
      </c>
      <c r="K7574" s="691">
        <v>72.599999999999994</v>
      </c>
    </row>
    <row r="7575" spans="1:11">
      <c r="A7575" s="688" t="s">
        <v>4067</v>
      </c>
      <c r="B7575" s="689">
        <v>69.099999999999994</v>
      </c>
      <c r="C7575" s="689">
        <v>69.5</v>
      </c>
      <c r="D7575" s="689">
        <v>69.3</v>
      </c>
      <c r="E7575" s="689">
        <v>69.599999999999994</v>
      </c>
      <c r="F7575" s="689">
        <v>69.7</v>
      </c>
      <c r="G7575" s="689">
        <v>69.7</v>
      </c>
      <c r="H7575" s="690" t="s">
        <v>4060</v>
      </c>
      <c r="I7575" s="690" t="s">
        <v>4060</v>
      </c>
      <c r="J7575" s="690" t="s">
        <v>4060</v>
      </c>
      <c r="K7575" s="690" t="s">
        <v>4060</v>
      </c>
    </row>
    <row r="7576" spans="1:11">
      <c r="A7576" s="688" t="s">
        <v>4066</v>
      </c>
      <c r="B7576" s="691">
        <v>69.2</v>
      </c>
      <c r="C7576" s="691">
        <v>69.5</v>
      </c>
      <c r="D7576" s="691">
        <v>69.3</v>
      </c>
      <c r="E7576" s="691">
        <v>69.599999999999994</v>
      </c>
      <c r="F7576" s="691">
        <v>69.7</v>
      </c>
      <c r="G7576" s="691">
        <v>69.8</v>
      </c>
      <c r="H7576" s="692" t="s">
        <v>4060</v>
      </c>
      <c r="I7576" s="692" t="s">
        <v>4060</v>
      </c>
      <c r="J7576" s="692" t="s">
        <v>4060</v>
      </c>
      <c r="K7576" s="692" t="s">
        <v>4060</v>
      </c>
    </row>
    <row r="7577" spans="1:11">
      <c r="A7577" s="688" t="s">
        <v>4062</v>
      </c>
      <c r="B7577" s="689">
        <v>71.7</v>
      </c>
      <c r="C7577" s="693">
        <v>72</v>
      </c>
      <c r="D7577" s="693">
        <v>72</v>
      </c>
      <c r="E7577" s="689">
        <v>72.400000000000006</v>
      </c>
      <c r="F7577" s="689">
        <v>72.5</v>
      </c>
      <c r="G7577" s="689">
        <v>72.7</v>
      </c>
      <c r="H7577" s="689">
        <v>72.900000000000006</v>
      </c>
      <c r="I7577" s="689">
        <v>72.5</v>
      </c>
      <c r="J7577" s="689">
        <v>72.900000000000006</v>
      </c>
      <c r="K7577" s="689">
        <v>72.7</v>
      </c>
    </row>
    <row r="7578" spans="1:11">
      <c r="A7578" s="688" t="s">
        <v>9</v>
      </c>
      <c r="B7578" s="691">
        <v>71.7</v>
      </c>
      <c r="C7578" s="691">
        <v>72.3</v>
      </c>
      <c r="D7578" s="691">
        <v>72.400000000000006</v>
      </c>
      <c r="E7578" s="691">
        <v>71.5</v>
      </c>
      <c r="F7578" s="615">
        <v>72</v>
      </c>
      <c r="G7578" s="691">
        <v>72.3</v>
      </c>
      <c r="H7578" s="691">
        <v>72.599999999999994</v>
      </c>
      <c r="I7578" s="691">
        <v>72.8</v>
      </c>
      <c r="J7578" s="615">
        <v>73</v>
      </c>
      <c r="K7578" s="615">
        <v>72</v>
      </c>
    </row>
    <row r="7579" spans="1:11">
      <c r="A7579" s="688" t="s">
        <v>13</v>
      </c>
      <c r="B7579" s="689">
        <v>71.7</v>
      </c>
      <c r="C7579" s="693">
        <v>72</v>
      </c>
      <c r="D7579" s="689">
        <v>72.599999999999994</v>
      </c>
      <c r="E7579" s="689">
        <v>71.599999999999994</v>
      </c>
      <c r="F7579" s="693">
        <v>72</v>
      </c>
      <c r="G7579" s="689">
        <v>71.400000000000006</v>
      </c>
      <c r="H7579" s="689">
        <v>73.400000000000006</v>
      </c>
      <c r="I7579" s="689">
        <v>71.5</v>
      </c>
      <c r="J7579" s="689">
        <v>73.099999999999994</v>
      </c>
      <c r="K7579" s="689">
        <v>73.400000000000006</v>
      </c>
    </row>
    <row r="7580" spans="1:11">
      <c r="A7580" s="688" t="s">
        <v>18</v>
      </c>
      <c r="B7580" s="615">
        <v>71</v>
      </c>
      <c r="C7580" s="691">
        <v>71.3</v>
      </c>
      <c r="D7580" s="691">
        <v>71.599999999999994</v>
      </c>
      <c r="E7580" s="691">
        <v>71.8</v>
      </c>
      <c r="F7580" s="691">
        <v>72.2</v>
      </c>
      <c r="G7580" s="691">
        <v>72.2</v>
      </c>
      <c r="H7580" s="691">
        <v>72.5</v>
      </c>
      <c r="I7580" s="691">
        <v>72.7</v>
      </c>
      <c r="J7580" s="691">
        <v>72.8</v>
      </c>
      <c r="K7580" s="691">
        <v>72.2</v>
      </c>
    </row>
    <row r="7581" spans="1:11">
      <c r="A7581" s="688" t="s">
        <v>24</v>
      </c>
      <c r="B7581" s="689">
        <v>72.099999999999994</v>
      </c>
      <c r="C7581" s="689">
        <v>72.3</v>
      </c>
      <c r="D7581" s="689">
        <v>72.099999999999994</v>
      </c>
      <c r="E7581" s="689">
        <v>72.8</v>
      </c>
      <c r="F7581" s="689">
        <v>72.8</v>
      </c>
      <c r="G7581" s="693">
        <v>73</v>
      </c>
      <c r="H7581" s="689">
        <v>73.2</v>
      </c>
      <c r="I7581" s="689">
        <v>72.400000000000006</v>
      </c>
      <c r="J7581" s="693">
        <v>73</v>
      </c>
      <c r="K7581" s="693">
        <v>73</v>
      </c>
    </row>
    <row r="7582" spans="1:11">
      <c r="A7582" s="688" t="s">
        <v>4059</v>
      </c>
      <c r="B7582" s="691">
        <v>70.599999999999994</v>
      </c>
      <c r="C7582" s="691">
        <v>70.900000000000006</v>
      </c>
      <c r="D7582" s="691">
        <v>70.599999999999994</v>
      </c>
      <c r="E7582" s="691">
        <v>70.8</v>
      </c>
      <c r="F7582" s="691">
        <v>70.900000000000006</v>
      </c>
      <c r="G7582" s="691">
        <v>70.900000000000006</v>
      </c>
      <c r="H7582" s="692" t="s">
        <v>4060</v>
      </c>
      <c r="I7582" s="692" t="s">
        <v>4060</v>
      </c>
      <c r="J7582" s="692" t="s">
        <v>4060</v>
      </c>
      <c r="K7582" s="692" t="s">
        <v>4060</v>
      </c>
    </row>
    <row r="7583" spans="1:11">
      <c r="A7583" s="688" t="s">
        <v>2324</v>
      </c>
      <c r="B7583" s="689">
        <v>65.5</v>
      </c>
      <c r="C7583" s="689">
        <v>65.599999999999994</v>
      </c>
      <c r="D7583" s="689">
        <v>65.599999999999994</v>
      </c>
      <c r="E7583" s="689">
        <v>65.3</v>
      </c>
      <c r="F7583" s="689">
        <v>65.2</v>
      </c>
      <c r="G7583" s="689">
        <v>65.8</v>
      </c>
      <c r="H7583" s="689">
        <v>65.3</v>
      </c>
      <c r="I7583" s="689">
        <v>64.5</v>
      </c>
      <c r="J7583" s="689">
        <v>61.9</v>
      </c>
      <c r="K7583" s="690" t="s">
        <v>4060</v>
      </c>
    </row>
    <row r="7584" spans="1:11">
      <c r="A7584" s="688" t="s">
        <v>2322</v>
      </c>
      <c r="B7584" s="692" t="s">
        <v>4060</v>
      </c>
      <c r="C7584" s="692" t="s">
        <v>4060</v>
      </c>
      <c r="D7584" s="692" t="s">
        <v>4060</v>
      </c>
      <c r="E7584" s="692" t="s">
        <v>4060</v>
      </c>
      <c r="F7584" s="692" t="s">
        <v>4060</v>
      </c>
      <c r="G7584" s="692" t="s">
        <v>4060</v>
      </c>
      <c r="H7584" s="692" t="s">
        <v>4060</v>
      </c>
      <c r="I7584" s="692" t="s">
        <v>4060</v>
      </c>
      <c r="J7584" s="692" t="s">
        <v>4060</v>
      </c>
      <c r="K7584" s="692" t="s">
        <v>4060</v>
      </c>
    </row>
    <row r="7585" spans="1:11">
      <c r="A7585" s="688" t="s">
        <v>2328</v>
      </c>
      <c r="B7585" s="689">
        <v>65.3</v>
      </c>
      <c r="C7585" s="689">
        <v>65.400000000000006</v>
      </c>
      <c r="D7585" s="689">
        <v>65.400000000000006</v>
      </c>
      <c r="E7585" s="689">
        <v>65.400000000000006</v>
      </c>
      <c r="F7585" s="689">
        <v>65.900000000000006</v>
      </c>
      <c r="G7585" s="689">
        <v>66.2</v>
      </c>
      <c r="H7585" s="689">
        <v>66.3</v>
      </c>
      <c r="I7585" s="689">
        <v>63.7</v>
      </c>
      <c r="J7585" s="689">
        <v>62.6</v>
      </c>
      <c r="K7585" s="690" t="s">
        <v>4060</v>
      </c>
    </row>
    <row r="7586" spans="1:11">
      <c r="A7586" s="688" t="s">
        <v>2496</v>
      </c>
      <c r="B7586" s="692" t="s">
        <v>4060</v>
      </c>
      <c r="C7586" s="691">
        <v>61.8</v>
      </c>
      <c r="D7586" s="691">
        <v>60.5</v>
      </c>
      <c r="E7586" s="691">
        <v>60.2</v>
      </c>
      <c r="F7586" s="691">
        <v>61.1</v>
      </c>
      <c r="G7586" s="691">
        <v>61.4</v>
      </c>
      <c r="H7586" s="691">
        <v>61.5</v>
      </c>
      <c r="I7586" s="692" t="s">
        <v>4060</v>
      </c>
      <c r="J7586" s="692" t="s">
        <v>4060</v>
      </c>
      <c r="K7586" s="615">
        <v>61</v>
      </c>
    </row>
    <row r="7587" spans="1:11">
      <c r="A7587" s="688" t="s">
        <v>2269</v>
      </c>
      <c r="B7587" s="689">
        <v>67.900000000000006</v>
      </c>
      <c r="C7587" s="689">
        <v>68.2</v>
      </c>
      <c r="D7587" s="689">
        <v>68.099999999999994</v>
      </c>
      <c r="E7587" s="689">
        <v>68.900000000000006</v>
      </c>
      <c r="F7587" s="689">
        <v>68.900000000000006</v>
      </c>
      <c r="G7587" s="689">
        <v>69.2</v>
      </c>
      <c r="H7587" s="689">
        <v>69.599999999999994</v>
      </c>
      <c r="I7587" s="689">
        <v>67.099999999999994</v>
      </c>
      <c r="J7587" s="689">
        <v>65.400000000000006</v>
      </c>
      <c r="K7587" s="689">
        <v>69.099999999999994</v>
      </c>
    </row>
    <row r="7588" spans="1:11">
      <c r="A7588" s="688" t="s">
        <v>2349</v>
      </c>
      <c r="B7588" s="691">
        <v>64.2</v>
      </c>
      <c r="C7588" s="691">
        <v>64.400000000000006</v>
      </c>
      <c r="D7588" s="691">
        <v>64.3</v>
      </c>
      <c r="E7588" s="691">
        <v>64.8</v>
      </c>
      <c r="F7588" s="691">
        <v>64.599999999999994</v>
      </c>
      <c r="G7588" s="615">
        <v>65</v>
      </c>
      <c r="H7588" s="691">
        <v>64.900000000000006</v>
      </c>
      <c r="I7588" s="615">
        <v>63</v>
      </c>
      <c r="J7588" s="691">
        <v>61.5</v>
      </c>
      <c r="K7588" s="691">
        <v>64.099999999999994</v>
      </c>
    </row>
    <row r="7589" spans="1:11">
      <c r="A7589" s="688" t="s">
        <v>2355</v>
      </c>
      <c r="B7589" s="689">
        <v>67.599999999999994</v>
      </c>
      <c r="C7589" s="689">
        <v>67.599999999999994</v>
      </c>
      <c r="D7589" s="689">
        <v>67.5</v>
      </c>
      <c r="E7589" s="689">
        <v>67.400000000000006</v>
      </c>
      <c r="F7589" s="689">
        <v>67.7</v>
      </c>
      <c r="G7589" s="689">
        <v>68.2</v>
      </c>
      <c r="H7589" s="689">
        <v>68.400000000000006</v>
      </c>
      <c r="I7589" s="690" t="s">
        <v>4060</v>
      </c>
      <c r="J7589" s="690" t="s">
        <v>4060</v>
      </c>
      <c r="K7589" s="690" t="s">
        <v>4060</v>
      </c>
    </row>
    <row r="7590" spans="1:11">
      <c r="A7590" s="688" t="s">
        <v>2357</v>
      </c>
      <c r="B7590" s="692" t="s">
        <v>4060</v>
      </c>
      <c r="C7590" s="691">
        <v>58.4</v>
      </c>
      <c r="D7590" s="691">
        <v>59.2</v>
      </c>
      <c r="E7590" s="691">
        <v>59.7</v>
      </c>
      <c r="F7590" s="615">
        <v>60</v>
      </c>
      <c r="G7590" s="691">
        <v>59.7</v>
      </c>
      <c r="H7590" s="615">
        <v>60</v>
      </c>
      <c r="I7590" s="692" t="s">
        <v>4060</v>
      </c>
      <c r="J7590" s="692" t="s">
        <v>4060</v>
      </c>
      <c r="K7590" s="692" t="s">
        <v>4060</v>
      </c>
    </row>
    <row r="7591" spans="1:11">
      <c r="A7591" s="688" t="s">
        <v>4070</v>
      </c>
      <c r="B7591" s="690" t="s">
        <v>4060</v>
      </c>
      <c r="C7591" s="690" t="s">
        <v>4060</v>
      </c>
      <c r="D7591" s="690" t="s">
        <v>4060</v>
      </c>
      <c r="E7591" s="689">
        <v>67.599999999999994</v>
      </c>
      <c r="F7591" s="690" t="s">
        <v>4060</v>
      </c>
      <c r="G7591" s="690" t="s">
        <v>4060</v>
      </c>
      <c r="H7591" s="690" t="s">
        <v>4060</v>
      </c>
      <c r="I7591" s="690" t="s">
        <v>4060</v>
      </c>
      <c r="J7591" s="690" t="s">
        <v>4060</v>
      </c>
      <c r="K7591" s="690" t="s">
        <v>4060</v>
      </c>
    </row>
    <row r="7592" spans="1:11">
      <c r="A7592" s="688" t="s">
        <v>2491</v>
      </c>
      <c r="B7592" s="691">
        <v>58.7</v>
      </c>
      <c r="C7592" s="691">
        <v>59.2</v>
      </c>
      <c r="D7592" s="615">
        <v>60</v>
      </c>
      <c r="E7592" s="691">
        <v>60.3</v>
      </c>
      <c r="F7592" s="691">
        <v>60.6</v>
      </c>
      <c r="G7592" s="691">
        <v>60.6</v>
      </c>
      <c r="H7592" s="692" t="s">
        <v>4060</v>
      </c>
      <c r="I7592" s="692" t="s">
        <v>4060</v>
      </c>
      <c r="J7592" s="692" t="s">
        <v>4060</v>
      </c>
      <c r="K7592" s="692" t="s">
        <v>4060</v>
      </c>
    </row>
    <row r="7593" spans="1:11">
      <c r="A7593" s="688" t="s">
        <v>2343</v>
      </c>
      <c r="B7593" s="690" t="s">
        <v>4060</v>
      </c>
      <c r="C7593" s="690" t="s">
        <v>4060</v>
      </c>
      <c r="D7593" s="690" t="s">
        <v>4060</v>
      </c>
      <c r="E7593" s="690" t="s">
        <v>4060</v>
      </c>
      <c r="F7593" s="690" t="s">
        <v>4060</v>
      </c>
      <c r="G7593" s="690" t="s">
        <v>4060</v>
      </c>
      <c r="H7593" s="690" t="s">
        <v>4060</v>
      </c>
      <c r="I7593" s="690" t="s">
        <v>4060</v>
      </c>
      <c r="J7593" s="690" t="s">
        <v>4060</v>
      </c>
      <c r="K7593" s="690" t="s">
        <v>4060</v>
      </c>
    </row>
    <row r="7594" spans="1:11">
      <c r="A7594" s="688" t="s">
        <v>4071</v>
      </c>
      <c r="B7594" s="692" t="s">
        <v>4060</v>
      </c>
      <c r="C7594" s="692" t="s">
        <v>4060</v>
      </c>
      <c r="D7594" s="692" t="s">
        <v>4060</v>
      </c>
      <c r="E7594" s="692" t="s">
        <v>4060</v>
      </c>
      <c r="F7594" s="692" t="s">
        <v>4060</v>
      </c>
      <c r="G7594" s="692" t="s">
        <v>4060</v>
      </c>
      <c r="H7594" s="692" t="s">
        <v>4060</v>
      </c>
      <c r="I7594" s="692" t="s">
        <v>4060</v>
      </c>
      <c r="J7594" s="692" t="s">
        <v>4060</v>
      </c>
      <c r="K7594" s="692" t="s">
        <v>4060</v>
      </c>
    </row>
    <row r="7595" spans="1:11">
      <c r="A7595" s="688" t="s">
        <v>2489</v>
      </c>
      <c r="B7595" s="690" t="s">
        <v>4060</v>
      </c>
      <c r="C7595" s="690" t="s">
        <v>4060</v>
      </c>
      <c r="D7595" s="689">
        <v>63.5</v>
      </c>
      <c r="E7595" s="689">
        <v>63.4</v>
      </c>
      <c r="F7595" s="689">
        <v>64.3</v>
      </c>
      <c r="G7595" s="689">
        <v>65.099999999999994</v>
      </c>
      <c r="H7595" s="689">
        <v>64.7</v>
      </c>
      <c r="I7595" s="690" t="s">
        <v>4060</v>
      </c>
      <c r="J7595" s="690" t="s">
        <v>4060</v>
      </c>
      <c r="K7595" s="690" t="s">
        <v>4060</v>
      </c>
    </row>
    <row r="7596" spans="1:11">
      <c r="A7596" s="688" t="s">
        <v>2490</v>
      </c>
      <c r="B7596" s="691">
        <v>64.2</v>
      </c>
      <c r="C7596" s="691">
        <v>64.3</v>
      </c>
      <c r="D7596" s="691">
        <v>65.099999999999994</v>
      </c>
      <c r="E7596" s="692" t="s">
        <v>4060</v>
      </c>
      <c r="F7596" s="691">
        <v>65.400000000000006</v>
      </c>
      <c r="G7596" s="691">
        <v>65.599999999999994</v>
      </c>
      <c r="H7596" s="691">
        <v>66.400000000000006</v>
      </c>
      <c r="I7596" s="692" t="s">
        <v>4060</v>
      </c>
      <c r="J7596" s="692" t="s">
        <v>4060</v>
      </c>
      <c r="K7596" s="692" t="s">
        <v>4060</v>
      </c>
    </row>
    <row r="7598" spans="1:11">
      <c r="A7598" s="683" t="s">
        <v>4233</v>
      </c>
    </row>
    <row r="7599" spans="1:11">
      <c r="A7599" s="683" t="s">
        <v>4060</v>
      </c>
      <c r="B7599" s="682" t="s">
        <v>4234</v>
      </c>
    </row>
    <row r="7601" spans="1:11">
      <c r="A7601" s="682" t="s">
        <v>4331</v>
      </c>
    </row>
    <row r="7602" spans="1:11">
      <c r="A7602" s="682" t="s">
        <v>4210</v>
      </c>
      <c r="B7602" s="683" t="s">
        <v>4211</v>
      </c>
    </row>
    <row r="7603" spans="1:11">
      <c r="A7603" s="682" t="s">
        <v>4212</v>
      </c>
      <c r="B7603" s="682" t="s">
        <v>4213</v>
      </c>
    </row>
    <row r="7605" spans="1:11">
      <c r="A7605" s="683" t="s">
        <v>4214</v>
      </c>
      <c r="C7605" s="682" t="s">
        <v>4215</v>
      </c>
    </row>
    <row r="7606" spans="1:11">
      <c r="A7606" s="683" t="s">
        <v>4216</v>
      </c>
      <c r="C7606" s="682" t="s">
        <v>2967</v>
      </c>
    </row>
    <row r="7607" spans="1:11">
      <c r="A7607" s="683" t="s">
        <v>3893</v>
      </c>
      <c r="C7607" s="682" t="s">
        <v>2168</v>
      </c>
    </row>
    <row r="7608" spans="1:11">
      <c r="A7608" s="683" t="s">
        <v>4218</v>
      </c>
      <c r="C7608" s="682" t="s">
        <v>4244</v>
      </c>
    </row>
    <row r="7610" spans="1:11">
      <c r="A7610" s="684" t="s">
        <v>4220</v>
      </c>
      <c r="B7610" s="685" t="s">
        <v>4221</v>
      </c>
      <c r="C7610" s="685" t="s">
        <v>4222</v>
      </c>
      <c r="D7610" s="685" t="s">
        <v>4223</v>
      </c>
      <c r="E7610" s="685" t="s">
        <v>4224</v>
      </c>
      <c r="F7610" s="685" t="s">
        <v>4225</v>
      </c>
      <c r="G7610" s="685" t="s">
        <v>4226</v>
      </c>
      <c r="H7610" s="685" t="s">
        <v>4227</v>
      </c>
      <c r="I7610" s="685" t="s">
        <v>4228</v>
      </c>
      <c r="J7610" s="685" t="s">
        <v>4229</v>
      </c>
      <c r="K7610" s="685" t="s">
        <v>4230</v>
      </c>
    </row>
    <row r="7611" spans="1:11">
      <c r="A7611" s="686" t="s">
        <v>4231</v>
      </c>
      <c r="B7611" s="687" t="s">
        <v>4232</v>
      </c>
      <c r="C7611" s="687" t="s">
        <v>4232</v>
      </c>
      <c r="D7611" s="687" t="s">
        <v>4232</v>
      </c>
      <c r="E7611" s="687" t="s">
        <v>4232</v>
      </c>
      <c r="F7611" s="687" t="s">
        <v>4232</v>
      </c>
      <c r="G7611" s="687" t="s">
        <v>4232</v>
      </c>
      <c r="H7611" s="687" t="s">
        <v>4232</v>
      </c>
      <c r="I7611" s="687" t="s">
        <v>4232</v>
      </c>
      <c r="J7611" s="687" t="s">
        <v>4232</v>
      </c>
      <c r="K7611" s="687" t="s">
        <v>4232</v>
      </c>
    </row>
    <row r="7612" spans="1:11">
      <c r="A7612" s="688" t="s">
        <v>4064</v>
      </c>
      <c r="B7612" s="691">
        <v>67.900000000000006</v>
      </c>
      <c r="C7612" s="691">
        <v>68.099999999999994</v>
      </c>
      <c r="D7612" s="691">
        <v>68.099999999999994</v>
      </c>
      <c r="E7612" s="691">
        <v>68.2</v>
      </c>
      <c r="F7612" s="691">
        <v>68.3</v>
      </c>
      <c r="G7612" s="691">
        <v>68.400000000000006</v>
      </c>
      <c r="H7612" s="691">
        <v>68.7</v>
      </c>
      <c r="I7612" s="691">
        <v>67.8</v>
      </c>
      <c r="J7612" s="691">
        <v>67.5</v>
      </c>
      <c r="K7612" s="691">
        <v>68.2</v>
      </c>
    </row>
    <row r="7613" spans="1:11">
      <c r="A7613" s="688" t="s">
        <v>4065</v>
      </c>
      <c r="B7613" s="689">
        <v>68.099999999999994</v>
      </c>
      <c r="C7613" s="689">
        <v>68.5</v>
      </c>
      <c r="D7613" s="689">
        <v>68.3</v>
      </c>
      <c r="E7613" s="689">
        <v>68.599999999999994</v>
      </c>
      <c r="F7613" s="689">
        <v>68.7</v>
      </c>
      <c r="G7613" s="689">
        <v>68.7</v>
      </c>
      <c r="H7613" s="690" t="s">
        <v>4060</v>
      </c>
      <c r="I7613" s="690" t="s">
        <v>4060</v>
      </c>
      <c r="J7613" s="690" t="s">
        <v>4060</v>
      </c>
      <c r="K7613" s="690" t="s">
        <v>4060</v>
      </c>
    </row>
    <row r="7614" spans="1:11">
      <c r="A7614" s="688" t="s">
        <v>4063</v>
      </c>
      <c r="B7614" s="691">
        <v>68.099999999999994</v>
      </c>
      <c r="C7614" s="691">
        <v>68.5</v>
      </c>
      <c r="D7614" s="691">
        <v>68.3</v>
      </c>
      <c r="E7614" s="691">
        <v>68.599999999999994</v>
      </c>
      <c r="F7614" s="691">
        <v>68.7</v>
      </c>
      <c r="G7614" s="691">
        <v>68.8</v>
      </c>
      <c r="H7614" s="692" t="s">
        <v>4060</v>
      </c>
      <c r="I7614" s="692" t="s">
        <v>4060</v>
      </c>
      <c r="J7614" s="692" t="s">
        <v>4060</v>
      </c>
      <c r="K7614" s="692" t="s">
        <v>4060</v>
      </c>
    </row>
    <row r="7615" spans="1:11">
      <c r="A7615" s="688" t="s">
        <v>4069</v>
      </c>
      <c r="B7615" s="690" t="s">
        <v>4060</v>
      </c>
      <c r="C7615" s="689">
        <v>69.3</v>
      </c>
      <c r="D7615" s="689">
        <v>69.099999999999994</v>
      </c>
      <c r="E7615" s="689">
        <v>69.400000000000006</v>
      </c>
      <c r="F7615" s="689">
        <v>69.5</v>
      </c>
      <c r="G7615" s="689">
        <v>69.599999999999994</v>
      </c>
      <c r="H7615" s="689">
        <v>69.900000000000006</v>
      </c>
      <c r="I7615" s="689">
        <v>69.2</v>
      </c>
      <c r="J7615" s="689">
        <v>69.099999999999994</v>
      </c>
      <c r="K7615" s="689">
        <v>69.400000000000006</v>
      </c>
    </row>
    <row r="7616" spans="1:11">
      <c r="A7616" s="688" t="s">
        <v>4068</v>
      </c>
      <c r="B7616" s="691">
        <v>69.099999999999994</v>
      </c>
      <c r="C7616" s="692" t="s">
        <v>4060</v>
      </c>
      <c r="D7616" s="692" t="s">
        <v>4060</v>
      </c>
      <c r="E7616" s="692" t="s">
        <v>4060</v>
      </c>
      <c r="F7616" s="692" t="s">
        <v>4060</v>
      </c>
      <c r="G7616" s="692" t="s">
        <v>4060</v>
      </c>
      <c r="H7616" s="692" t="s">
        <v>4060</v>
      </c>
      <c r="I7616" s="692" t="s">
        <v>4060</v>
      </c>
      <c r="J7616" s="692" t="s">
        <v>4060</v>
      </c>
      <c r="K7616" s="692" t="s">
        <v>4060</v>
      </c>
    </row>
    <row r="7617" spans="1:11">
      <c r="A7617" s="688" t="s">
        <v>0</v>
      </c>
      <c r="B7617" s="689">
        <v>68.5</v>
      </c>
      <c r="C7617" s="693">
        <v>69</v>
      </c>
      <c r="D7617" s="689">
        <v>68.900000000000006</v>
      </c>
      <c r="E7617" s="689">
        <v>69.2</v>
      </c>
      <c r="F7617" s="689">
        <v>69.400000000000006</v>
      </c>
      <c r="G7617" s="689">
        <v>69.599999999999994</v>
      </c>
      <c r="H7617" s="693">
        <v>70</v>
      </c>
      <c r="I7617" s="689">
        <v>68.900000000000006</v>
      </c>
      <c r="J7617" s="689">
        <v>69.599999999999994</v>
      </c>
      <c r="K7617" s="689">
        <v>69.900000000000006</v>
      </c>
    </row>
    <row r="7618" spans="1:11">
      <c r="A7618" s="688" t="s">
        <v>1</v>
      </c>
      <c r="B7618" s="691">
        <v>62.1</v>
      </c>
      <c r="C7618" s="691">
        <v>61.7</v>
      </c>
      <c r="D7618" s="691">
        <v>61.8</v>
      </c>
      <c r="E7618" s="691">
        <v>61.8</v>
      </c>
      <c r="F7618" s="691">
        <v>61.8</v>
      </c>
      <c r="G7618" s="691">
        <v>61.8</v>
      </c>
      <c r="H7618" s="691">
        <v>61.8</v>
      </c>
      <c r="I7618" s="691">
        <v>60.1</v>
      </c>
      <c r="J7618" s="691">
        <v>58.2</v>
      </c>
      <c r="K7618" s="615">
        <v>61</v>
      </c>
    </row>
    <row r="7619" spans="1:11">
      <c r="A7619" s="688" t="s">
        <v>2240</v>
      </c>
      <c r="B7619" s="689">
        <v>65.5</v>
      </c>
      <c r="C7619" s="693">
        <v>66</v>
      </c>
      <c r="D7619" s="689">
        <v>65.900000000000006</v>
      </c>
      <c r="E7619" s="689">
        <v>66.400000000000006</v>
      </c>
      <c r="F7619" s="689">
        <v>66.3</v>
      </c>
      <c r="G7619" s="689">
        <v>66.400000000000006</v>
      </c>
      <c r="H7619" s="689">
        <v>66.599999999999994</v>
      </c>
      <c r="I7619" s="689">
        <v>65.599999999999994</v>
      </c>
      <c r="J7619" s="689">
        <v>64.400000000000006</v>
      </c>
      <c r="K7619" s="689">
        <v>66.3</v>
      </c>
    </row>
    <row r="7620" spans="1:11">
      <c r="A7620" s="688" t="s">
        <v>2</v>
      </c>
      <c r="B7620" s="691">
        <v>68.7</v>
      </c>
      <c r="C7620" s="615">
        <v>69</v>
      </c>
      <c r="D7620" s="691">
        <v>69.099999999999994</v>
      </c>
      <c r="E7620" s="691">
        <v>69.3</v>
      </c>
      <c r="F7620" s="691">
        <v>69.5</v>
      </c>
      <c r="G7620" s="691">
        <v>69.400000000000006</v>
      </c>
      <c r="H7620" s="691">
        <v>69.8</v>
      </c>
      <c r="I7620" s="691">
        <v>69.900000000000006</v>
      </c>
      <c r="J7620" s="691">
        <v>69.900000000000006</v>
      </c>
      <c r="K7620" s="691">
        <v>69.7</v>
      </c>
    </row>
    <row r="7621" spans="1:11">
      <c r="A7621" s="688" t="s">
        <v>3</v>
      </c>
      <c r="B7621" s="689">
        <v>68.5</v>
      </c>
      <c r="C7621" s="689">
        <v>68.8</v>
      </c>
      <c r="D7621" s="689">
        <v>68.5</v>
      </c>
      <c r="E7621" s="689">
        <v>68.8</v>
      </c>
      <c r="F7621" s="689">
        <v>68.900000000000006</v>
      </c>
      <c r="G7621" s="689">
        <v>68.900000000000006</v>
      </c>
      <c r="H7621" s="689">
        <v>69.2</v>
      </c>
      <c r="I7621" s="689">
        <v>68.900000000000006</v>
      </c>
      <c r="J7621" s="689">
        <v>68.599999999999994</v>
      </c>
      <c r="K7621" s="689">
        <v>68.5</v>
      </c>
    </row>
    <row r="7622" spans="1:11">
      <c r="A7622" s="688" t="s">
        <v>4061</v>
      </c>
      <c r="B7622" s="691">
        <v>68.5</v>
      </c>
      <c r="C7622" s="691">
        <v>68.8</v>
      </c>
      <c r="D7622" s="691">
        <v>68.5</v>
      </c>
      <c r="E7622" s="691">
        <v>68.8</v>
      </c>
      <c r="F7622" s="691">
        <v>68.900000000000006</v>
      </c>
      <c r="G7622" s="691">
        <v>68.900000000000006</v>
      </c>
      <c r="H7622" s="691">
        <v>69.2</v>
      </c>
      <c r="I7622" s="691">
        <v>68.900000000000006</v>
      </c>
      <c r="J7622" s="691">
        <v>68.599999999999994</v>
      </c>
      <c r="K7622" s="691">
        <v>68.5</v>
      </c>
    </row>
    <row r="7623" spans="1:11">
      <c r="A7623" s="688" t="s">
        <v>4</v>
      </c>
      <c r="B7623" s="689">
        <v>63.1</v>
      </c>
      <c r="C7623" s="689">
        <v>62.7</v>
      </c>
      <c r="D7623" s="689">
        <v>63.4</v>
      </c>
      <c r="E7623" s="689">
        <v>63.5</v>
      </c>
      <c r="F7623" s="689">
        <v>63.9</v>
      </c>
      <c r="G7623" s="689">
        <v>64.099999999999994</v>
      </c>
      <c r="H7623" s="689">
        <v>64.7</v>
      </c>
      <c r="I7623" s="689">
        <v>64.599999999999994</v>
      </c>
      <c r="J7623" s="693">
        <v>63</v>
      </c>
      <c r="K7623" s="689">
        <v>63.8</v>
      </c>
    </row>
    <row r="7624" spans="1:11">
      <c r="A7624" s="688" t="s">
        <v>8</v>
      </c>
      <c r="B7624" s="691">
        <v>69.3</v>
      </c>
      <c r="C7624" s="691">
        <v>69.599999999999994</v>
      </c>
      <c r="D7624" s="691">
        <v>69.8</v>
      </c>
      <c r="E7624" s="615">
        <v>70</v>
      </c>
      <c r="F7624" s="691">
        <v>70.5</v>
      </c>
      <c r="G7624" s="691">
        <v>70.5</v>
      </c>
      <c r="H7624" s="691">
        <v>70.900000000000006</v>
      </c>
      <c r="I7624" s="691">
        <v>70.8</v>
      </c>
      <c r="J7624" s="691">
        <v>70.599999999999994</v>
      </c>
      <c r="K7624" s="615">
        <v>71</v>
      </c>
    </row>
    <row r="7625" spans="1:11">
      <c r="A7625" s="688" t="s">
        <v>7</v>
      </c>
      <c r="B7625" s="689">
        <v>69.099999999999994</v>
      </c>
      <c r="C7625" s="689">
        <v>68.599999999999994</v>
      </c>
      <c r="D7625" s="689">
        <v>68.400000000000006</v>
      </c>
      <c r="E7625" s="689">
        <v>68.8</v>
      </c>
      <c r="F7625" s="689">
        <v>68.7</v>
      </c>
      <c r="G7625" s="689">
        <v>69.099999999999994</v>
      </c>
      <c r="H7625" s="689">
        <v>69.099999999999994</v>
      </c>
      <c r="I7625" s="689">
        <v>68.8</v>
      </c>
      <c r="J7625" s="689">
        <v>67.7</v>
      </c>
      <c r="K7625" s="689">
        <v>68.599999999999994</v>
      </c>
    </row>
    <row r="7626" spans="1:11">
      <c r="A7626" s="688" t="s">
        <v>27</v>
      </c>
      <c r="B7626" s="691">
        <v>70.5</v>
      </c>
      <c r="C7626" s="691">
        <v>70.400000000000006</v>
      </c>
      <c r="D7626" s="691">
        <v>70.2</v>
      </c>
      <c r="E7626" s="691">
        <v>70.599999999999994</v>
      </c>
      <c r="F7626" s="691">
        <v>70.599999999999994</v>
      </c>
      <c r="G7626" s="691">
        <v>70.7</v>
      </c>
      <c r="H7626" s="691">
        <v>71.099999999999994</v>
      </c>
      <c r="I7626" s="691">
        <v>69.8</v>
      </c>
      <c r="J7626" s="691">
        <v>70.5</v>
      </c>
      <c r="K7626" s="691">
        <v>70.7</v>
      </c>
    </row>
    <row r="7627" spans="1:11">
      <c r="A7627" s="688" t="s">
        <v>6</v>
      </c>
      <c r="B7627" s="689">
        <v>69.400000000000006</v>
      </c>
      <c r="C7627" s="689">
        <v>69.599999999999994</v>
      </c>
      <c r="D7627" s="689">
        <v>69.400000000000006</v>
      </c>
      <c r="E7627" s="689">
        <v>69.7</v>
      </c>
      <c r="F7627" s="689">
        <v>69.8</v>
      </c>
      <c r="G7627" s="689">
        <v>69.900000000000006</v>
      </c>
      <c r="H7627" s="689">
        <v>70.099999999999994</v>
      </c>
      <c r="I7627" s="689">
        <v>69.5</v>
      </c>
      <c r="J7627" s="689">
        <v>69.599999999999994</v>
      </c>
      <c r="K7627" s="689">
        <v>69.8</v>
      </c>
    </row>
    <row r="7628" spans="1:11">
      <c r="A7628" s="688" t="s">
        <v>4058</v>
      </c>
      <c r="B7628" s="692" t="s">
        <v>4060</v>
      </c>
      <c r="C7628" s="692" t="s">
        <v>4060</v>
      </c>
      <c r="D7628" s="692" t="s">
        <v>4060</v>
      </c>
      <c r="E7628" s="692" t="s">
        <v>4060</v>
      </c>
      <c r="F7628" s="692" t="s">
        <v>4060</v>
      </c>
      <c r="G7628" s="692" t="s">
        <v>4060</v>
      </c>
      <c r="H7628" s="692" t="s">
        <v>4060</v>
      </c>
      <c r="I7628" s="692" t="s">
        <v>4060</v>
      </c>
      <c r="J7628" s="692" t="s">
        <v>4060</v>
      </c>
      <c r="K7628" s="692" t="s">
        <v>4060</v>
      </c>
    </row>
    <row r="7629" spans="1:11">
      <c r="A7629" s="688" t="s">
        <v>11</v>
      </c>
      <c r="B7629" s="689">
        <v>64.900000000000006</v>
      </c>
      <c r="C7629" s="689">
        <v>65.099999999999994</v>
      </c>
      <c r="D7629" s="689">
        <v>64.7</v>
      </c>
      <c r="E7629" s="689">
        <v>65.3</v>
      </c>
      <c r="F7629" s="689">
        <v>65.2</v>
      </c>
      <c r="G7629" s="689">
        <v>65.3</v>
      </c>
      <c r="H7629" s="689">
        <v>65.599999999999994</v>
      </c>
      <c r="I7629" s="689">
        <v>64.900000000000006</v>
      </c>
      <c r="J7629" s="689">
        <v>63.9</v>
      </c>
      <c r="K7629" s="689">
        <v>65.099999999999994</v>
      </c>
    </row>
    <row r="7630" spans="1:11">
      <c r="A7630" s="688" t="s">
        <v>10</v>
      </c>
      <c r="B7630" s="691">
        <v>70.599999999999994</v>
      </c>
      <c r="C7630" s="691">
        <v>70.7</v>
      </c>
      <c r="D7630" s="691">
        <v>70.400000000000006</v>
      </c>
      <c r="E7630" s="615">
        <v>71</v>
      </c>
      <c r="F7630" s="691">
        <v>70.900000000000006</v>
      </c>
      <c r="G7630" s="691">
        <v>71.2</v>
      </c>
      <c r="H7630" s="691">
        <v>71.400000000000006</v>
      </c>
      <c r="I7630" s="691">
        <v>70.2</v>
      </c>
      <c r="J7630" s="691">
        <v>70.599999999999994</v>
      </c>
      <c r="K7630" s="691">
        <v>70.900000000000006</v>
      </c>
    </row>
    <row r="7631" spans="1:11">
      <c r="A7631" s="688" t="s">
        <v>30</v>
      </c>
      <c r="B7631" s="689">
        <v>70.3</v>
      </c>
      <c r="C7631" s="689">
        <v>70.599999999999994</v>
      </c>
      <c r="D7631" s="689">
        <v>70.3</v>
      </c>
      <c r="E7631" s="693">
        <v>71</v>
      </c>
      <c r="F7631" s="689">
        <v>70.599999999999994</v>
      </c>
      <c r="G7631" s="689">
        <v>71.400000000000006</v>
      </c>
      <c r="H7631" s="693">
        <v>71</v>
      </c>
      <c r="I7631" s="689">
        <v>71.099999999999994</v>
      </c>
      <c r="J7631" s="689">
        <v>70.099999999999994</v>
      </c>
      <c r="K7631" s="689">
        <v>70.7</v>
      </c>
    </row>
    <row r="7632" spans="1:11">
      <c r="A7632" s="688" t="s">
        <v>12</v>
      </c>
      <c r="B7632" s="691">
        <v>59.9</v>
      </c>
      <c r="C7632" s="691">
        <v>59.5</v>
      </c>
      <c r="D7632" s="691">
        <v>60.1</v>
      </c>
      <c r="E7632" s="691">
        <v>60.1</v>
      </c>
      <c r="F7632" s="691">
        <v>60.2</v>
      </c>
      <c r="G7632" s="691">
        <v>60.4</v>
      </c>
      <c r="H7632" s="691">
        <v>61.2</v>
      </c>
      <c r="I7632" s="615">
        <v>61</v>
      </c>
      <c r="J7632" s="691">
        <v>58.6</v>
      </c>
      <c r="K7632" s="691">
        <v>59.7</v>
      </c>
    </row>
    <row r="7633" spans="1:11">
      <c r="A7633" s="688" t="s">
        <v>14</v>
      </c>
      <c r="B7633" s="689">
        <v>58.9</v>
      </c>
      <c r="C7633" s="689">
        <v>59.5</v>
      </c>
      <c r="D7633" s="689">
        <v>59.6</v>
      </c>
      <c r="E7633" s="689">
        <v>59.9</v>
      </c>
      <c r="F7633" s="689">
        <v>61.1</v>
      </c>
      <c r="G7633" s="689">
        <v>61.3</v>
      </c>
      <c r="H7633" s="689">
        <v>61.8</v>
      </c>
      <c r="I7633" s="689">
        <v>60.5</v>
      </c>
      <c r="J7633" s="693">
        <v>60</v>
      </c>
      <c r="K7633" s="689">
        <v>61.6</v>
      </c>
    </row>
    <row r="7634" spans="1:11">
      <c r="A7634" s="688" t="s">
        <v>15</v>
      </c>
      <c r="B7634" s="691">
        <v>70.2</v>
      </c>
      <c r="C7634" s="691">
        <v>69.400000000000006</v>
      </c>
      <c r="D7634" s="691">
        <v>70.2</v>
      </c>
      <c r="E7634" s="691">
        <v>70.3</v>
      </c>
      <c r="F7634" s="691">
        <v>70.099999999999994</v>
      </c>
      <c r="G7634" s="691">
        <v>70.2</v>
      </c>
      <c r="H7634" s="691">
        <v>70.599999999999994</v>
      </c>
      <c r="I7634" s="691">
        <v>70.2</v>
      </c>
      <c r="J7634" s="691">
        <v>70.599999999999994</v>
      </c>
      <c r="K7634" s="691">
        <v>71.099999999999994</v>
      </c>
    </row>
    <row r="7635" spans="1:11">
      <c r="A7635" s="688" t="s">
        <v>29</v>
      </c>
      <c r="B7635" s="689">
        <v>62.7</v>
      </c>
      <c r="C7635" s="689">
        <v>62.7</v>
      </c>
      <c r="D7635" s="689">
        <v>62.7</v>
      </c>
      <c r="E7635" s="689">
        <v>62.9</v>
      </c>
      <c r="F7635" s="689">
        <v>62.8</v>
      </c>
      <c r="G7635" s="689">
        <v>62.9</v>
      </c>
      <c r="H7635" s="689">
        <v>63.3</v>
      </c>
      <c r="I7635" s="689">
        <v>62.6</v>
      </c>
      <c r="J7635" s="693">
        <v>61</v>
      </c>
      <c r="K7635" s="689">
        <v>62.9</v>
      </c>
    </row>
    <row r="7636" spans="1:11">
      <c r="A7636" s="688" t="s">
        <v>16</v>
      </c>
      <c r="B7636" s="691">
        <v>70.099999999999994</v>
      </c>
      <c r="C7636" s="615">
        <v>70</v>
      </c>
      <c r="D7636" s="691">
        <v>70.3</v>
      </c>
      <c r="E7636" s="615">
        <v>71</v>
      </c>
      <c r="F7636" s="691">
        <v>70.7</v>
      </c>
      <c r="G7636" s="691">
        <v>70.7</v>
      </c>
      <c r="H7636" s="691">
        <v>71.3</v>
      </c>
      <c r="I7636" s="691">
        <v>70.2</v>
      </c>
      <c r="J7636" s="691">
        <v>70.599999999999994</v>
      </c>
      <c r="K7636" s="691">
        <v>70.7</v>
      </c>
    </row>
    <row r="7637" spans="1:11">
      <c r="A7637" s="688" t="s">
        <v>17</v>
      </c>
      <c r="B7637" s="689">
        <v>69.900000000000006</v>
      </c>
      <c r="C7637" s="689">
        <v>70.3</v>
      </c>
      <c r="D7637" s="689">
        <v>70.099999999999994</v>
      </c>
      <c r="E7637" s="689">
        <v>70.2</v>
      </c>
      <c r="F7637" s="689">
        <v>70.5</v>
      </c>
      <c r="G7637" s="689">
        <v>70.5</v>
      </c>
      <c r="H7637" s="689">
        <v>70.8</v>
      </c>
      <c r="I7637" s="689">
        <v>70.099999999999994</v>
      </c>
      <c r="J7637" s="693">
        <v>70</v>
      </c>
      <c r="K7637" s="689">
        <v>70.5</v>
      </c>
    </row>
    <row r="7638" spans="1:11">
      <c r="A7638" s="688" t="s">
        <v>19</v>
      </c>
      <c r="B7638" s="615">
        <v>69</v>
      </c>
      <c r="C7638" s="691">
        <v>69.2</v>
      </c>
      <c r="D7638" s="615">
        <v>69</v>
      </c>
      <c r="E7638" s="691">
        <v>69.5</v>
      </c>
      <c r="F7638" s="691">
        <v>69.599999999999994</v>
      </c>
      <c r="G7638" s="691">
        <v>69.599999999999994</v>
      </c>
      <c r="H7638" s="691">
        <v>69.900000000000006</v>
      </c>
      <c r="I7638" s="691">
        <v>69.3</v>
      </c>
      <c r="J7638" s="691">
        <v>69.099999999999994</v>
      </c>
      <c r="K7638" s="691">
        <v>69.3</v>
      </c>
    </row>
    <row r="7639" spans="1:11">
      <c r="A7639" s="688" t="s">
        <v>20</v>
      </c>
      <c r="B7639" s="689">
        <v>63.5</v>
      </c>
      <c r="C7639" s="693">
        <v>64</v>
      </c>
      <c r="D7639" s="689">
        <v>63.8</v>
      </c>
      <c r="E7639" s="689">
        <v>64.2</v>
      </c>
      <c r="F7639" s="689">
        <v>64.2</v>
      </c>
      <c r="G7639" s="693">
        <v>64</v>
      </c>
      <c r="H7639" s="689">
        <v>64.400000000000006</v>
      </c>
      <c r="I7639" s="689">
        <v>62.7</v>
      </c>
      <c r="J7639" s="689">
        <v>61.8</v>
      </c>
      <c r="K7639" s="689">
        <v>63.6</v>
      </c>
    </row>
    <row r="7640" spans="1:11">
      <c r="A7640" s="688" t="s">
        <v>21</v>
      </c>
      <c r="B7640" s="615">
        <v>68</v>
      </c>
      <c r="C7640" s="691">
        <v>68.400000000000006</v>
      </c>
      <c r="D7640" s="691">
        <v>68.599999999999994</v>
      </c>
      <c r="E7640" s="691">
        <v>68.599999999999994</v>
      </c>
      <c r="F7640" s="691">
        <v>68.900000000000006</v>
      </c>
      <c r="G7640" s="691">
        <v>68.900000000000006</v>
      </c>
      <c r="H7640" s="691">
        <v>69.3</v>
      </c>
      <c r="I7640" s="691">
        <v>68.599999999999994</v>
      </c>
      <c r="J7640" s="691">
        <v>68.7</v>
      </c>
      <c r="K7640" s="691">
        <v>69.099999999999994</v>
      </c>
    </row>
    <row r="7641" spans="1:11">
      <c r="A7641" s="688" t="s">
        <v>22</v>
      </c>
      <c r="B7641" s="689">
        <v>62.5</v>
      </c>
      <c r="C7641" s="689">
        <v>62.2</v>
      </c>
      <c r="D7641" s="689">
        <v>62.1</v>
      </c>
      <c r="E7641" s="689">
        <v>62.3</v>
      </c>
      <c r="F7641" s="689">
        <v>62.3</v>
      </c>
      <c r="G7641" s="689">
        <v>62.3</v>
      </c>
      <c r="H7641" s="689">
        <v>62.5</v>
      </c>
      <c r="I7641" s="689">
        <v>60.8</v>
      </c>
      <c r="J7641" s="689">
        <v>59.7</v>
      </c>
      <c r="K7641" s="689">
        <v>61.9</v>
      </c>
    </row>
    <row r="7642" spans="1:11">
      <c r="A7642" s="688" t="s">
        <v>26</v>
      </c>
      <c r="B7642" s="691">
        <v>67.5</v>
      </c>
      <c r="C7642" s="691">
        <v>68.2</v>
      </c>
      <c r="D7642" s="691">
        <v>67.8</v>
      </c>
      <c r="E7642" s="691">
        <v>68.2</v>
      </c>
      <c r="F7642" s="691">
        <v>68.3</v>
      </c>
      <c r="G7642" s="691">
        <v>68.599999999999994</v>
      </c>
      <c r="H7642" s="691">
        <v>68.8</v>
      </c>
      <c r="I7642" s="615">
        <v>68</v>
      </c>
      <c r="J7642" s="691">
        <v>67.8</v>
      </c>
      <c r="K7642" s="691">
        <v>68.8</v>
      </c>
    </row>
    <row r="7643" spans="1:11">
      <c r="A7643" s="688" t="s">
        <v>25</v>
      </c>
      <c r="B7643" s="689">
        <v>63.5</v>
      </c>
      <c r="C7643" s="689">
        <v>63.9</v>
      </c>
      <c r="D7643" s="689">
        <v>63.7</v>
      </c>
      <c r="E7643" s="689">
        <v>64.400000000000006</v>
      </c>
      <c r="F7643" s="689">
        <v>64.3</v>
      </c>
      <c r="G7643" s="689">
        <v>64.400000000000006</v>
      </c>
      <c r="H7643" s="689">
        <v>64.900000000000006</v>
      </c>
      <c r="I7643" s="689">
        <v>64.099999999999994</v>
      </c>
      <c r="J7643" s="689">
        <v>61.7</v>
      </c>
      <c r="K7643" s="689">
        <v>64.099999999999994</v>
      </c>
    </row>
    <row r="7644" spans="1:11">
      <c r="A7644" s="688" t="s">
        <v>5</v>
      </c>
      <c r="B7644" s="691">
        <v>68.3</v>
      </c>
      <c r="C7644" s="691">
        <v>68.400000000000006</v>
      </c>
      <c r="D7644" s="691">
        <v>68.7</v>
      </c>
      <c r="E7644" s="691">
        <v>68.7</v>
      </c>
      <c r="F7644" s="615">
        <v>69</v>
      </c>
      <c r="G7644" s="691">
        <v>69.099999999999994</v>
      </c>
      <c r="H7644" s="691">
        <v>69.400000000000006</v>
      </c>
      <c r="I7644" s="691">
        <v>69.3</v>
      </c>
      <c r="J7644" s="691">
        <v>69.3</v>
      </c>
      <c r="K7644" s="691">
        <v>68.900000000000006</v>
      </c>
    </row>
    <row r="7645" spans="1:11">
      <c r="A7645" s="688" t="s">
        <v>23</v>
      </c>
      <c r="B7645" s="689">
        <v>70.5</v>
      </c>
      <c r="C7645" s="689">
        <v>70.599999999999994</v>
      </c>
      <c r="D7645" s="689">
        <v>70.599999999999994</v>
      </c>
      <c r="E7645" s="689">
        <v>70.8</v>
      </c>
      <c r="F7645" s="693">
        <v>71</v>
      </c>
      <c r="G7645" s="693">
        <v>71</v>
      </c>
      <c r="H7645" s="689">
        <v>71.599999999999994</v>
      </c>
      <c r="I7645" s="689">
        <v>70.900000000000006</v>
      </c>
      <c r="J7645" s="689">
        <v>71.5</v>
      </c>
      <c r="K7645" s="689">
        <v>71.599999999999994</v>
      </c>
    </row>
    <row r="7646" spans="1:11">
      <c r="A7646" s="688" t="s">
        <v>4067</v>
      </c>
      <c r="B7646" s="691">
        <v>68.099999999999994</v>
      </c>
      <c r="C7646" s="691">
        <v>68.5</v>
      </c>
      <c r="D7646" s="691">
        <v>68.3</v>
      </c>
      <c r="E7646" s="691">
        <v>68.599999999999994</v>
      </c>
      <c r="F7646" s="691">
        <v>68.7</v>
      </c>
      <c r="G7646" s="691">
        <v>68.7</v>
      </c>
      <c r="H7646" s="692" t="s">
        <v>4060</v>
      </c>
      <c r="I7646" s="692" t="s">
        <v>4060</v>
      </c>
      <c r="J7646" s="692" t="s">
        <v>4060</v>
      </c>
      <c r="K7646" s="692" t="s">
        <v>4060</v>
      </c>
    </row>
    <row r="7647" spans="1:11">
      <c r="A7647" s="688" t="s">
        <v>4066</v>
      </c>
      <c r="B7647" s="689">
        <v>68.2</v>
      </c>
      <c r="C7647" s="689">
        <v>68.5</v>
      </c>
      <c r="D7647" s="689">
        <v>68.3</v>
      </c>
      <c r="E7647" s="689">
        <v>68.7</v>
      </c>
      <c r="F7647" s="689">
        <v>68.7</v>
      </c>
      <c r="G7647" s="689">
        <v>68.8</v>
      </c>
      <c r="H7647" s="690" t="s">
        <v>4060</v>
      </c>
      <c r="I7647" s="690" t="s">
        <v>4060</v>
      </c>
      <c r="J7647" s="690" t="s">
        <v>4060</v>
      </c>
      <c r="K7647" s="690" t="s">
        <v>4060</v>
      </c>
    </row>
    <row r="7648" spans="1:11">
      <c r="A7648" s="688" t="s">
        <v>4062</v>
      </c>
      <c r="B7648" s="691">
        <v>70.7</v>
      </c>
      <c r="C7648" s="615">
        <v>71</v>
      </c>
      <c r="D7648" s="615">
        <v>71</v>
      </c>
      <c r="E7648" s="691">
        <v>71.400000000000006</v>
      </c>
      <c r="F7648" s="691">
        <v>71.5</v>
      </c>
      <c r="G7648" s="691">
        <v>71.7</v>
      </c>
      <c r="H7648" s="691">
        <v>71.900000000000006</v>
      </c>
      <c r="I7648" s="691">
        <v>71.5</v>
      </c>
      <c r="J7648" s="691">
        <v>71.900000000000006</v>
      </c>
      <c r="K7648" s="691">
        <v>71.7</v>
      </c>
    </row>
    <row r="7649" spans="1:11">
      <c r="A7649" s="688" t="s">
        <v>9</v>
      </c>
      <c r="B7649" s="689">
        <v>70.7</v>
      </c>
      <c r="C7649" s="689">
        <v>71.3</v>
      </c>
      <c r="D7649" s="689">
        <v>71.400000000000006</v>
      </c>
      <c r="E7649" s="689">
        <v>70.5</v>
      </c>
      <c r="F7649" s="693">
        <v>71</v>
      </c>
      <c r="G7649" s="689">
        <v>71.3</v>
      </c>
      <c r="H7649" s="689">
        <v>71.599999999999994</v>
      </c>
      <c r="I7649" s="689">
        <v>71.8</v>
      </c>
      <c r="J7649" s="693">
        <v>72</v>
      </c>
      <c r="K7649" s="693">
        <v>71</v>
      </c>
    </row>
    <row r="7650" spans="1:11">
      <c r="A7650" s="688" t="s">
        <v>13</v>
      </c>
      <c r="B7650" s="691">
        <v>70.7</v>
      </c>
      <c r="C7650" s="615">
        <v>71</v>
      </c>
      <c r="D7650" s="691">
        <v>71.599999999999994</v>
      </c>
      <c r="E7650" s="691">
        <v>70.599999999999994</v>
      </c>
      <c r="F7650" s="615">
        <v>71</v>
      </c>
      <c r="G7650" s="691">
        <v>70.400000000000006</v>
      </c>
      <c r="H7650" s="691">
        <v>72.400000000000006</v>
      </c>
      <c r="I7650" s="691">
        <v>70.5</v>
      </c>
      <c r="J7650" s="691">
        <v>72.099999999999994</v>
      </c>
      <c r="K7650" s="691">
        <v>72.400000000000006</v>
      </c>
    </row>
    <row r="7651" spans="1:11">
      <c r="A7651" s="688" t="s">
        <v>18</v>
      </c>
      <c r="B7651" s="693">
        <v>70</v>
      </c>
      <c r="C7651" s="689">
        <v>70.3</v>
      </c>
      <c r="D7651" s="689">
        <v>70.599999999999994</v>
      </c>
      <c r="E7651" s="689">
        <v>70.8</v>
      </c>
      <c r="F7651" s="689">
        <v>71.2</v>
      </c>
      <c r="G7651" s="689">
        <v>71.2</v>
      </c>
      <c r="H7651" s="689">
        <v>71.5</v>
      </c>
      <c r="I7651" s="689">
        <v>71.7</v>
      </c>
      <c r="J7651" s="689">
        <v>71.8</v>
      </c>
      <c r="K7651" s="689">
        <v>71.2</v>
      </c>
    </row>
    <row r="7652" spans="1:11">
      <c r="A7652" s="688" t="s">
        <v>24</v>
      </c>
      <c r="B7652" s="691">
        <v>71.099999999999994</v>
      </c>
      <c r="C7652" s="691">
        <v>71.3</v>
      </c>
      <c r="D7652" s="691">
        <v>71.099999999999994</v>
      </c>
      <c r="E7652" s="691">
        <v>71.8</v>
      </c>
      <c r="F7652" s="691">
        <v>71.8</v>
      </c>
      <c r="G7652" s="615">
        <v>72</v>
      </c>
      <c r="H7652" s="691">
        <v>72.2</v>
      </c>
      <c r="I7652" s="691">
        <v>71.400000000000006</v>
      </c>
      <c r="J7652" s="615">
        <v>72</v>
      </c>
      <c r="K7652" s="615">
        <v>72</v>
      </c>
    </row>
    <row r="7653" spans="1:11">
      <c r="A7653" s="688" t="s">
        <v>4059</v>
      </c>
      <c r="B7653" s="689">
        <v>69.599999999999994</v>
      </c>
      <c r="C7653" s="689">
        <v>69.900000000000006</v>
      </c>
      <c r="D7653" s="689">
        <v>69.599999999999994</v>
      </c>
      <c r="E7653" s="689">
        <v>69.8</v>
      </c>
      <c r="F7653" s="689">
        <v>69.900000000000006</v>
      </c>
      <c r="G7653" s="689">
        <v>69.900000000000006</v>
      </c>
      <c r="H7653" s="690" t="s">
        <v>4060</v>
      </c>
      <c r="I7653" s="690" t="s">
        <v>4060</v>
      </c>
      <c r="J7653" s="690" t="s">
        <v>4060</v>
      </c>
      <c r="K7653" s="690" t="s">
        <v>4060</v>
      </c>
    </row>
    <row r="7654" spans="1:11">
      <c r="A7654" s="688" t="s">
        <v>2324</v>
      </c>
      <c r="B7654" s="691">
        <v>64.5</v>
      </c>
      <c r="C7654" s="691">
        <v>64.599999999999994</v>
      </c>
      <c r="D7654" s="691">
        <v>64.599999999999994</v>
      </c>
      <c r="E7654" s="691">
        <v>64.400000000000006</v>
      </c>
      <c r="F7654" s="691">
        <v>64.2</v>
      </c>
      <c r="G7654" s="691">
        <v>64.8</v>
      </c>
      <c r="H7654" s="691">
        <v>64.3</v>
      </c>
      <c r="I7654" s="691">
        <v>63.5</v>
      </c>
      <c r="J7654" s="691">
        <v>60.9</v>
      </c>
      <c r="K7654" s="692" t="s">
        <v>4060</v>
      </c>
    </row>
    <row r="7655" spans="1:11">
      <c r="A7655" s="688" t="s">
        <v>2322</v>
      </c>
      <c r="B7655" s="690" t="s">
        <v>4060</v>
      </c>
      <c r="C7655" s="690" t="s">
        <v>4060</v>
      </c>
      <c r="D7655" s="690" t="s">
        <v>4060</v>
      </c>
      <c r="E7655" s="690" t="s">
        <v>4060</v>
      </c>
      <c r="F7655" s="690" t="s">
        <v>4060</v>
      </c>
      <c r="G7655" s="690" t="s">
        <v>4060</v>
      </c>
      <c r="H7655" s="690" t="s">
        <v>4060</v>
      </c>
      <c r="I7655" s="690" t="s">
        <v>4060</v>
      </c>
      <c r="J7655" s="690" t="s">
        <v>4060</v>
      </c>
      <c r="K7655" s="690" t="s">
        <v>4060</v>
      </c>
    </row>
    <row r="7656" spans="1:11">
      <c r="A7656" s="688" t="s">
        <v>2328</v>
      </c>
      <c r="B7656" s="691">
        <v>64.3</v>
      </c>
      <c r="C7656" s="691">
        <v>64.400000000000006</v>
      </c>
      <c r="D7656" s="691">
        <v>64.400000000000006</v>
      </c>
      <c r="E7656" s="691">
        <v>64.400000000000006</v>
      </c>
      <c r="F7656" s="691">
        <v>64.900000000000006</v>
      </c>
      <c r="G7656" s="691">
        <v>65.2</v>
      </c>
      <c r="H7656" s="691">
        <v>65.3</v>
      </c>
      <c r="I7656" s="691">
        <v>62.7</v>
      </c>
      <c r="J7656" s="691">
        <v>61.6</v>
      </c>
      <c r="K7656" s="692" t="s">
        <v>4060</v>
      </c>
    </row>
    <row r="7657" spans="1:11">
      <c r="A7657" s="688" t="s">
        <v>2496</v>
      </c>
      <c r="B7657" s="690" t="s">
        <v>4060</v>
      </c>
      <c r="C7657" s="689">
        <v>60.8</v>
      </c>
      <c r="D7657" s="689">
        <v>59.6</v>
      </c>
      <c r="E7657" s="689">
        <v>59.2</v>
      </c>
      <c r="F7657" s="689">
        <v>60.1</v>
      </c>
      <c r="G7657" s="689">
        <v>60.5</v>
      </c>
      <c r="H7657" s="689">
        <v>60.5</v>
      </c>
      <c r="I7657" s="690" t="s">
        <v>4060</v>
      </c>
      <c r="J7657" s="690" t="s">
        <v>4060</v>
      </c>
      <c r="K7657" s="693">
        <v>60</v>
      </c>
    </row>
    <row r="7658" spans="1:11">
      <c r="A7658" s="688" t="s">
        <v>2269</v>
      </c>
      <c r="B7658" s="691">
        <v>66.900000000000006</v>
      </c>
      <c r="C7658" s="691">
        <v>67.2</v>
      </c>
      <c r="D7658" s="691">
        <v>67.099999999999994</v>
      </c>
      <c r="E7658" s="691">
        <v>67.900000000000006</v>
      </c>
      <c r="F7658" s="691">
        <v>67.900000000000006</v>
      </c>
      <c r="G7658" s="691">
        <v>68.3</v>
      </c>
      <c r="H7658" s="691">
        <v>68.599999999999994</v>
      </c>
      <c r="I7658" s="691">
        <v>66.099999999999994</v>
      </c>
      <c r="J7658" s="691">
        <v>64.400000000000006</v>
      </c>
      <c r="K7658" s="691">
        <v>68.099999999999994</v>
      </c>
    </row>
    <row r="7659" spans="1:11">
      <c r="A7659" s="688" t="s">
        <v>2349</v>
      </c>
      <c r="B7659" s="689">
        <v>63.2</v>
      </c>
      <c r="C7659" s="689">
        <v>63.4</v>
      </c>
      <c r="D7659" s="689">
        <v>63.3</v>
      </c>
      <c r="E7659" s="689">
        <v>63.8</v>
      </c>
      <c r="F7659" s="689">
        <v>63.6</v>
      </c>
      <c r="G7659" s="693">
        <v>64</v>
      </c>
      <c r="H7659" s="689">
        <v>63.9</v>
      </c>
      <c r="I7659" s="693">
        <v>62</v>
      </c>
      <c r="J7659" s="689">
        <v>60.5</v>
      </c>
      <c r="K7659" s="689">
        <v>63.1</v>
      </c>
    </row>
    <row r="7660" spans="1:11">
      <c r="A7660" s="688" t="s">
        <v>2355</v>
      </c>
      <c r="B7660" s="691">
        <v>66.599999999999994</v>
      </c>
      <c r="C7660" s="691">
        <v>66.599999999999994</v>
      </c>
      <c r="D7660" s="691">
        <v>66.5</v>
      </c>
      <c r="E7660" s="691">
        <v>66.400000000000006</v>
      </c>
      <c r="F7660" s="691">
        <v>66.7</v>
      </c>
      <c r="G7660" s="691">
        <v>67.2</v>
      </c>
      <c r="H7660" s="691">
        <v>67.400000000000006</v>
      </c>
      <c r="I7660" s="692" t="s">
        <v>4060</v>
      </c>
      <c r="J7660" s="692" t="s">
        <v>4060</v>
      </c>
      <c r="K7660" s="692" t="s">
        <v>4060</v>
      </c>
    </row>
    <row r="7661" spans="1:11">
      <c r="A7661" s="688" t="s">
        <v>2357</v>
      </c>
      <c r="B7661" s="690" t="s">
        <v>4060</v>
      </c>
      <c r="C7661" s="689">
        <v>57.4</v>
      </c>
      <c r="D7661" s="689">
        <v>58.2</v>
      </c>
      <c r="E7661" s="689">
        <v>58.7</v>
      </c>
      <c r="F7661" s="693">
        <v>59</v>
      </c>
      <c r="G7661" s="689">
        <v>58.7</v>
      </c>
      <c r="H7661" s="693">
        <v>59</v>
      </c>
      <c r="I7661" s="690" t="s">
        <v>4060</v>
      </c>
      <c r="J7661" s="690" t="s">
        <v>4060</v>
      </c>
      <c r="K7661" s="690" t="s">
        <v>4060</v>
      </c>
    </row>
    <row r="7662" spans="1:11">
      <c r="A7662" s="688" t="s">
        <v>4070</v>
      </c>
      <c r="B7662" s="692" t="s">
        <v>4060</v>
      </c>
      <c r="C7662" s="692" t="s">
        <v>4060</v>
      </c>
      <c r="D7662" s="692" t="s">
        <v>4060</v>
      </c>
      <c r="E7662" s="691">
        <v>66.599999999999994</v>
      </c>
      <c r="F7662" s="692" t="s">
        <v>4060</v>
      </c>
      <c r="G7662" s="692" t="s">
        <v>4060</v>
      </c>
      <c r="H7662" s="692" t="s">
        <v>4060</v>
      </c>
      <c r="I7662" s="692" t="s">
        <v>4060</v>
      </c>
      <c r="J7662" s="692" t="s">
        <v>4060</v>
      </c>
      <c r="K7662" s="692" t="s">
        <v>4060</v>
      </c>
    </row>
    <row r="7663" spans="1:11">
      <c r="A7663" s="688" t="s">
        <v>2491</v>
      </c>
      <c r="B7663" s="689">
        <v>57.7</v>
      </c>
      <c r="C7663" s="689">
        <v>58.2</v>
      </c>
      <c r="D7663" s="693">
        <v>59</v>
      </c>
      <c r="E7663" s="689">
        <v>59.3</v>
      </c>
      <c r="F7663" s="689">
        <v>59.6</v>
      </c>
      <c r="G7663" s="689">
        <v>59.6</v>
      </c>
      <c r="H7663" s="690" t="s">
        <v>4060</v>
      </c>
      <c r="I7663" s="690" t="s">
        <v>4060</v>
      </c>
      <c r="J7663" s="690" t="s">
        <v>4060</v>
      </c>
      <c r="K7663" s="690" t="s">
        <v>4060</v>
      </c>
    </row>
    <row r="7664" spans="1:11">
      <c r="A7664" s="688" t="s">
        <v>2343</v>
      </c>
      <c r="B7664" s="692" t="s">
        <v>4060</v>
      </c>
      <c r="C7664" s="692" t="s">
        <v>4060</v>
      </c>
      <c r="D7664" s="692" t="s">
        <v>4060</v>
      </c>
      <c r="E7664" s="692" t="s">
        <v>4060</v>
      </c>
      <c r="F7664" s="692" t="s">
        <v>4060</v>
      </c>
      <c r="G7664" s="692" t="s">
        <v>4060</v>
      </c>
      <c r="H7664" s="692" t="s">
        <v>4060</v>
      </c>
      <c r="I7664" s="692" t="s">
        <v>4060</v>
      </c>
      <c r="J7664" s="692" t="s">
        <v>4060</v>
      </c>
      <c r="K7664" s="692" t="s">
        <v>4060</v>
      </c>
    </row>
    <row r="7665" spans="1:11">
      <c r="A7665" s="688" t="s">
        <v>4071</v>
      </c>
      <c r="B7665" s="690" t="s">
        <v>4060</v>
      </c>
      <c r="C7665" s="690" t="s">
        <v>4060</v>
      </c>
      <c r="D7665" s="690" t="s">
        <v>4060</v>
      </c>
      <c r="E7665" s="690" t="s">
        <v>4060</v>
      </c>
      <c r="F7665" s="690" t="s">
        <v>4060</v>
      </c>
      <c r="G7665" s="690" t="s">
        <v>4060</v>
      </c>
      <c r="H7665" s="690" t="s">
        <v>4060</v>
      </c>
      <c r="I7665" s="690" t="s">
        <v>4060</v>
      </c>
      <c r="J7665" s="690" t="s">
        <v>4060</v>
      </c>
      <c r="K7665" s="690" t="s">
        <v>4060</v>
      </c>
    </row>
    <row r="7666" spans="1:11">
      <c r="A7666" s="688" t="s">
        <v>2489</v>
      </c>
      <c r="B7666" s="692" t="s">
        <v>4060</v>
      </c>
      <c r="C7666" s="692" t="s">
        <v>4060</v>
      </c>
      <c r="D7666" s="691">
        <v>62.5</v>
      </c>
      <c r="E7666" s="691">
        <v>62.4</v>
      </c>
      <c r="F7666" s="691">
        <v>63.3</v>
      </c>
      <c r="G7666" s="691">
        <v>64.099999999999994</v>
      </c>
      <c r="H7666" s="691">
        <v>63.8</v>
      </c>
      <c r="I7666" s="692" t="s">
        <v>4060</v>
      </c>
      <c r="J7666" s="692" t="s">
        <v>4060</v>
      </c>
      <c r="K7666" s="692" t="s">
        <v>4060</v>
      </c>
    </row>
    <row r="7667" spans="1:11">
      <c r="A7667" s="688" t="s">
        <v>2490</v>
      </c>
      <c r="B7667" s="689">
        <v>63.2</v>
      </c>
      <c r="C7667" s="689">
        <v>63.3</v>
      </c>
      <c r="D7667" s="689">
        <v>64.099999999999994</v>
      </c>
      <c r="E7667" s="690" t="s">
        <v>4060</v>
      </c>
      <c r="F7667" s="689">
        <v>64.400000000000006</v>
      </c>
      <c r="G7667" s="689">
        <v>64.599999999999994</v>
      </c>
      <c r="H7667" s="689">
        <v>65.5</v>
      </c>
      <c r="I7667" s="690" t="s">
        <v>4060</v>
      </c>
      <c r="J7667" s="690" t="s">
        <v>4060</v>
      </c>
      <c r="K7667" s="690" t="s">
        <v>4060</v>
      </c>
    </row>
    <row r="7669" spans="1:11">
      <c r="A7669" s="683" t="s">
        <v>4233</v>
      </c>
    </row>
    <row r="7670" spans="1:11">
      <c r="A7670" s="683" t="s">
        <v>4060</v>
      </c>
      <c r="B7670" s="682" t="s">
        <v>4234</v>
      </c>
    </row>
    <row r="7672" spans="1:11">
      <c r="A7672" s="682" t="s">
        <v>4331</v>
      </c>
    </row>
    <row r="7673" spans="1:11">
      <c r="A7673" s="682" t="s">
        <v>4210</v>
      </c>
      <c r="B7673" s="683" t="s">
        <v>4211</v>
      </c>
    </row>
    <row r="7674" spans="1:11">
      <c r="A7674" s="682" t="s">
        <v>4212</v>
      </c>
      <c r="B7674" s="682" t="s">
        <v>4213</v>
      </c>
    </row>
    <row r="7676" spans="1:11">
      <c r="A7676" s="683" t="s">
        <v>4214</v>
      </c>
      <c r="C7676" s="682" t="s">
        <v>4215</v>
      </c>
    </row>
    <row r="7677" spans="1:11">
      <c r="A7677" s="683" t="s">
        <v>4216</v>
      </c>
      <c r="C7677" s="682" t="s">
        <v>2967</v>
      </c>
    </row>
    <row r="7678" spans="1:11">
      <c r="A7678" s="683" t="s">
        <v>3893</v>
      </c>
      <c r="C7678" s="682" t="s">
        <v>2168</v>
      </c>
    </row>
    <row r="7679" spans="1:11">
      <c r="A7679" s="683" t="s">
        <v>4218</v>
      </c>
      <c r="C7679" s="682" t="s">
        <v>4245</v>
      </c>
    </row>
    <row r="7681" spans="1:11">
      <c r="A7681" s="684" t="s">
        <v>4220</v>
      </c>
      <c r="B7681" s="685" t="s">
        <v>4221</v>
      </c>
      <c r="C7681" s="685" t="s">
        <v>4222</v>
      </c>
      <c r="D7681" s="685" t="s">
        <v>4223</v>
      </c>
      <c r="E7681" s="685" t="s">
        <v>4224</v>
      </c>
      <c r="F7681" s="685" t="s">
        <v>4225</v>
      </c>
      <c r="G7681" s="685" t="s">
        <v>4226</v>
      </c>
      <c r="H7681" s="685" t="s">
        <v>4227</v>
      </c>
      <c r="I7681" s="685" t="s">
        <v>4228</v>
      </c>
      <c r="J7681" s="685" t="s">
        <v>4229</v>
      </c>
      <c r="K7681" s="685" t="s">
        <v>4230</v>
      </c>
    </row>
    <row r="7682" spans="1:11">
      <c r="A7682" s="686" t="s">
        <v>4231</v>
      </c>
      <c r="B7682" s="687" t="s">
        <v>4232</v>
      </c>
      <c r="C7682" s="687" t="s">
        <v>4232</v>
      </c>
      <c r="D7682" s="687" t="s">
        <v>4232</v>
      </c>
      <c r="E7682" s="687" t="s">
        <v>4232</v>
      </c>
      <c r="F7682" s="687" t="s">
        <v>4232</v>
      </c>
      <c r="G7682" s="687" t="s">
        <v>4232</v>
      </c>
      <c r="H7682" s="687" t="s">
        <v>4232</v>
      </c>
      <c r="I7682" s="687" t="s">
        <v>4232</v>
      </c>
      <c r="J7682" s="687" t="s">
        <v>4232</v>
      </c>
      <c r="K7682" s="687" t="s">
        <v>4232</v>
      </c>
    </row>
    <row r="7683" spans="1:11">
      <c r="A7683" s="688" t="s">
        <v>4064</v>
      </c>
      <c r="B7683" s="689">
        <v>66.900000000000006</v>
      </c>
      <c r="C7683" s="689">
        <v>67.099999999999994</v>
      </c>
      <c r="D7683" s="689">
        <v>67.099999999999994</v>
      </c>
      <c r="E7683" s="689">
        <v>67.3</v>
      </c>
      <c r="F7683" s="689">
        <v>67.3</v>
      </c>
      <c r="G7683" s="689">
        <v>67.400000000000006</v>
      </c>
      <c r="H7683" s="689">
        <v>67.7</v>
      </c>
      <c r="I7683" s="689">
        <v>66.8</v>
      </c>
      <c r="J7683" s="689">
        <v>66.5</v>
      </c>
      <c r="K7683" s="689">
        <v>67.2</v>
      </c>
    </row>
    <row r="7684" spans="1:11">
      <c r="A7684" s="688" t="s">
        <v>4065</v>
      </c>
      <c r="B7684" s="691">
        <v>67.099999999999994</v>
      </c>
      <c r="C7684" s="691">
        <v>67.5</v>
      </c>
      <c r="D7684" s="691">
        <v>67.3</v>
      </c>
      <c r="E7684" s="691">
        <v>67.599999999999994</v>
      </c>
      <c r="F7684" s="691">
        <v>67.7</v>
      </c>
      <c r="G7684" s="691">
        <v>67.7</v>
      </c>
      <c r="H7684" s="692" t="s">
        <v>4060</v>
      </c>
      <c r="I7684" s="692" t="s">
        <v>4060</v>
      </c>
      <c r="J7684" s="692" t="s">
        <v>4060</v>
      </c>
      <c r="K7684" s="692" t="s">
        <v>4060</v>
      </c>
    </row>
    <row r="7685" spans="1:11">
      <c r="A7685" s="688" t="s">
        <v>4063</v>
      </c>
      <c r="B7685" s="689">
        <v>67.099999999999994</v>
      </c>
      <c r="C7685" s="689">
        <v>67.5</v>
      </c>
      <c r="D7685" s="689">
        <v>67.3</v>
      </c>
      <c r="E7685" s="689">
        <v>67.599999999999994</v>
      </c>
      <c r="F7685" s="689">
        <v>67.7</v>
      </c>
      <c r="G7685" s="689">
        <v>67.8</v>
      </c>
      <c r="H7685" s="690" t="s">
        <v>4060</v>
      </c>
      <c r="I7685" s="690" t="s">
        <v>4060</v>
      </c>
      <c r="J7685" s="690" t="s">
        <v>4060</v>
      </c>
      <c r="K7685" s="690" t="s">
        <v>4060</v>
      </c>
    </row>
    <row r="7686" spans="1:11">
      <c r="A7686" s="688" t="s">
        <v>4069</v>
      </c>
      <c r="B7686" s="692" t="s">
        <v>4060</v>
      </c>
      <c r="C7686" s="691">
        <v>68.3</v>
      </c>
      <c r="D7686" s="691">
        <v>68.099999999999994</v>
      </c>
      <c r="E7686" s="691">
        <v>68.400000000000006</v>
      </c>
      <c r="F7686" s="691">
        <v>68.5</v>
      </c>
      <c r="G7686" s="691">
        <v>68.599999999999994</v>
      </c>
      <c r="H7686" s="691">
        <v>68.900000000000006</v>
      </c>
      <c r="I7686" s="691">
        <v>68.2</v>
      </c>
      <c r="J7686" s="691">
        <v>68.099999999999994</v>
      </c>
      <c r="K7686" s="691">
        <v>68.400000000000006</v>
      </c>
    </row>
    <row r="7687" spans="1:11">
      <c r="A7687" s="688" t="s">
        <v>4068</v>
      </c>
      <c r="B7687" s="689">
        <v>68.2</v>
      </c>
      <c r="C7687" s="690" t="s">
        <v>4060</v>
      </c>
      <c r="D7687" s="690" t="s">
        <v>4060</v>
      </c>
      <c r="E7687" s="690" t="s">
        <v>4060</v>
      </c>
      <c r="F7687" s="690" t="s">
        <v>4060</v>
      </c>
      <c r="G7687" s="690" t="s">
        <v>4060</v>
      </c>
      <c r="H7687" s="690" t="s">
        <v>4060</v>
      </c>
      <c r="I7687" s="690" t="s">
        <v>4060</v>
      </c>
      <c r="J7687" s="690" t="s">
        <v>4060</v>
      </c>
      <c r="K7687" s="690" t="s">
        <v>4060</v>
      </c>
    </row>
    <row r="7688" spans="1:11">
      <c r="A7688" s="688" t="s">
        <v>0</v>
      </c>
      <c r="B7688" s="691">
        <v>67.5</v>
      </c>
      <c r="C7688" s="615">
        <v>68</v>
      </c>
      <c r="D7688" s="691">
        <v>67.900000000000006</v>
      </c>
      <c r="E7688" s="691">
        <v>68.2</v>
      </c>
      <c r="F7688" s="691">
        <v>68.400000000000006</v>
      </c>
      <c r="G7688" s="691">
        <v>68.599999999999994</v>
      </c>
      <c r="H7688" s="615">
        <v>69</v>
      </c>
      <c r="I7688" s="691">
        <v>67.900000000000006</v>
      </c>
      <c r="J7688" s="691">
        <v>68.599999999999994</v>
      </c>
      <c r="K7688" s="691">
        <v>68.900000000000006</v>
      </c>
    </row>
    <row r="7689" spans="1:11">
      <c r="A7689" s="688" t="s">
        <v>1</v>
      </c>
      <c r="B7689" s="689">
        <v>61.2</v>
      </c>
      <c r="C7689" s="689">
        <v>60.7</v>
      </c>
      <c r="D7689" s="689">
        <v>60.8</v>
      </c>
      <c r="E7689" s="689">
        <v>60.8</v>
      </c>
      <c r="F7689" s="689">
        <v>60.8</v>
      </c>
      <c r="G7689" s="689">
        <v>60.8</v>
      </c>
      <c r="H7689" s="689">
        <v>60.8</v>
      </c>
      <c r="I7689" s="689">
        <v>59.1</v>
      </c>
      <c r="J7689" s="689">
        <v>57.2</v>
      </c>
      <c r="K7689" s="693">
        <v>60</v>
      </c>
    </row>
    <row r="7690" spans="1:11">
      <c r="A7690" s="688" t="s">
        <v>2240</v>
      </c>
      <c r="B7690" s="691">
        <v>64.5</v>
      </c>
      <c r="C7690" s="615">
        <v>65</v>
      </c>
      <c r="D7690" s="691">
        <v>64.900000000000006</v>
      </c>
      <c r="E7690" s="691">
        <v>65.400000000000006</v>
      </c>
      <c r="F7690" s="691">
        <v>65.3</v>
      </c>
      <c r="G7690" s="691">
        <v>65.400000000000006</v>
      </c>
      <c r="H7690" s="691">
        <v>65.599999999999994</v>
      </c>
      <c r="I7690" s="691">
        <v>64.599999999999994</v>
      </c>
      <c r="J7690" s="691">
        <v>63.4</v>
      </c>
      <c r="K7690" s="691">
        <v>65.3</v>
      </c>
    </row>
    <row r="7691" spans="1:11">
      <c r="A7691" s="688" t="s">
        <v>2</v>
      </c>
      <c r="B7691" s="689">
        <v>67.7</v>
      </c>
      <c r="C7691" s="693">
        <v>68</v>
      </c>
      <c r="D7691" s="689">
        <v>68.099999999999994</v>
      </c>
      <c r="E7691" s="689">
        <v>68.3</v>
      </c>
      <c r="F7691" s="689">
        <v>68.5</v>
      </c>
      <c r="G7691" s="689">
        <v>68.400000000000006</v>
      </c>
      <c r="H7691" s="689">
        <v>68.8</v>
      </c>
      <c r="I7691" s="689">
        <v>68.900000000000006</v>
      </c>
      <c r="J7691" s="689">
        <v>68.900000000000006</v>
      </c>
      <c r="K7691" s="689">
        <v>68.7</v>
      </c>
    </row>
    <row r="7692" spans="1:11">
      <c r="A7692" s="688" t="s">
        <v>3</v>
      </c>
      <c r="B7692" s="691">
        <v>67.5</v>
      </c>
      <c r="C7692" s="691">
        <v>67.8</v>
      </c>
      <c r="D7692" s="691">
        <v>67.5</v>
      </c>
      <c r="E7692" s="691">
        <v>67.8</v>
      </c>
      <c r="F7692" s="691">
        <v>67.900000000000006</v>
      </c>
      <c r="G7692" s="691">
        <v>67.900000000000006</v>
      </c>
      <c r="H7692" s="691">
        <v>68.2</v>
      </c>
      <c r="I7692" s="691">
        <v>67.900000000000006</v>
      </c>
      <c r="J7692" s="691">
        <v>67.599999999999994</v>
      </c>
      <c r="K7692" s="691">
        <v>67.5</v>
      </c>
    </row>
    <row r="7693" spans="1:11">
      <c r="A7693" s="688" t="s">
        <v>4061</v>
      </c>
      <c r="B7693" s="689">
        <v>67.5</v>
      </c>
      <c r="C7693" s="689">
        <v>67.8</v>
      </c>
      <c r="D7693" s="689">
        <v>67.5</v>
      </c>
      <c r="E7693" s="689">
        <v>67.8</v>
      </c>
      <c r="F7693" s="689">
        <v>67.900000000000006</v>
      </c>
      <c r="G7693" s="689">
        <v>67.900000000000006</v>
      </c>
      <c r="H7693" s="689">
        <v>68.2</v>
      </c>
      <c r="I7693" s="689">
        <v>67.900000000000006</v>
      </c>
      <c r="J7693" s="689">
        <v>67.599999999999994</v>
      </c>
      <c r="K7693" s="689">
        <v>67.5</v>
      </c>
    </row>
    <row r="7694" spans="1:11">
      <c r="A7694" s="688" t="s">
        <v>4</v>
      </c>
      <c r="B7694" s="691">
        <v>62.1</v>
      </c>
      <c r="C7694" s="691">
        <v>61.7</v>
      </c>
      <c r="D7694" s="691">
        <v>62.4</v>
      </c>
      <c r="E7694" s="691">
        <v>62.5</v>
      </c>
      <c r="F7694" s="615">
        <v>63</v>
      </c>
      <c r="G7694" s="691">
        <v>63.1</v>
      </c>
      <c r="H7694" s="691">
        <v>63.7</v>
      </c>
      <c r="I7694" s="691">
        <v>63.6</v>
      </c>
      <c r="J7694" s="615">
        <v>62</v>
      </c>
      <c r="K7694" s="691">
        <v>62.8</v>
      </c>
    </row>
    <row r="7695" spans="1:11">
      <c r="A7695" s="688" t="s">
        <v>8</v>
      </c>
      <c r="B7695" s="689">
        <v>68.400000000000006</v>
      </c>
      <c r="C7695" s="689">
        <v>68.599999999999994</v>
      </c>
      <c r="D7695" s="689">
        <v>68.8</v>
      </c>
      <c r="E7695" s="693">
        <v>69</v>
      </c>
      <c r="F7695" s="689">
        <v>69.5</v>
      </c>
      <c r="G7695" s="689">
        <v>69.5</v>
      </c>
      <c r="H7695" s="689">
        <v>69.900000000000006</v>
      </c>
      <c r="I7695" s="689">
        <v>69.8</v>
      </c>
      <c r="J7695" s="689">
        <v>69.599999999999994</v>
      </c>
      <c r="K7695" s="693">
        <v>70</v>
      </c>
    </row>
    <row r="7696" spans="1:11">
      <c r="A7696" s="688" t="s">
        <v>7</v>
      </c>
      <c r="B7696" s="691">
        <v>68.099999999999994</v>
      </c>
      <c r="C7696" s="691">
        <v>67.599999999999994</v>
      </c>
      <c r="D7696" s="691">
        <v>67.400000000000006</v>
      </c>
      <c r="E7696" s="691">
        <v>67.8</v>
      </c>
      <c r="F7696" s="691">
        <v>67.7</v>
      </c>
      <c r="G7696" s="691">
        <v>68.099999999999994</v>
      </c>
      <c r="H7696" s="691">
        <v>68.099999999999994</v>
      </c>
      <c r="I7696" s="691">
        <v>67.8</v>
      </c>
      <c r="J7696" s="691">
        <v>66.7</v>
      </c>
      <c r="K7696" s="691">
        <v>67.599999999999994</v>
      </c>
    </row>
    <row r="7697" spans="1:11">
      <c r="A7697" s="688" t="s">
        <v>27</v>
      </c>
      <c r="B7697" s="689">
        <v>69.5</v>
      </c>
      <c r="C7697" s="689">
        <v>69.400000000000006</v>
      </c>
      <c r="D7697" s="689">
        <v>69.2</v>
      </c>
      <c r="E7697" s="689">
        <v>69.599999999999994</v>
      </c>
      <c r="F7697" s="689">
        <v>69.599999999999994</v>
      </c>
      <c r="G7697" s="689">
        <v>69.7</v>
      </c>
      <c r="H7697" s="689">
        <v>70.099999999999994</v>
      </c>
      <c r="I7697" s="689">
        <v>68.8</v>
      </c>
      <c r="J7697" s="689">
        <v>69.5</v>
      </c>
      <c r="K7697" s="689">
        <v>69.7</v>
      </c>
    </row>
    <row r="7698" spans="1:11">
      <c r="A7698" s="688" t="s">
        <v>6</v>
      </c>
      <c r="B7698" s="691">
        <v>68.400000000000006</v>
      </c>
      <c r="C7698" s="691">
        <v>68.599999999999994</v>
      </c>
      <c r="D7698" s="691">
        <v>68.400000000000006</v>
      </c>
      <c r="E7698" s="691">
        <v>68.7</v>
      </c>
      <c r="F7698" s="691">
        <v>68.8</v>
      </c>
      <c r="G7698" s="615">
        <v>69</v>
      </c>
      <c r="H7698" s="691">
        <v>69.2</v>
      </c>
      <c r="I7698" s="691">
        <v>68.5</v>
      </c>
      <c r="J7698" s="691">
        <v>68.599999999999994</v>
      </c>
      <c r="K7698" s="691">
        <v>68.8</v>
      </c>
    </row>
    <row r="7699" spans="1:11">
      <c r="A7699" s="688" t="s">
        <v>4058</v>
      </c>
      <c r="B7699" s="690" t="s">
        <v>4060</v>
      </c>
      <c r="C7699" s="690" t="s">
        <v>4060</v>
      </c>
      <c r="D7699" s="690" t="s">
        <v>4060</v>
      </c>
      <c r="E7699" s="690" t="s">
        <v>4060</v>
      </c>
      <c r="F7699" s="690" t="s">
        <v>4060</v>
      </c>
      <c r="G7699" s="690" t="s">
        <v>4060</v>
      </c>
      <c r="H7699" s="690" t="s">
        <v>4060</v>
      </c>
      <c r="I7699" s="690" t="s">
        <v>4060</v>
      </c>
      <c r="J7699" s="690" t="s">
        <v>4060</v>
      </c>
      <c r="K7699" s="690" t="s">
        <v>4060</v>
      </c>
    </row>
    <row r="7700" spans="1:11">
      <c r="A7700" s="688" t="s">
        <v>11</v>
      </c>
      <c r="B7700" s="691">
        <v>63.9</v>
      </c>
      <c r="C7700" s="691">
        <v>64.099999999999994</v>
      </c>
      <c r="D7700" s="691">
        <v>63.7</v>
      </c>
      <c r="E7700" s="691">
        <v>64.3</v>
      </c>
      <c r="F7700" s="691">
        <v>64.2</v>
      </c>
      <c r="G7700" s="691">
        <v>64.3</v>
      </c>
      <c r="H7700" s="691">
        <v>64.599999999999994</v>
      </c>
      <c r="I7700" s="691">
        <v>63.9</v>
      </c>
      <c r="J7700" s="691">
        <v>62.9</v>
      </c>
      <c r="K7700" s="691">
        <v>64.099999999999994</v>
      </c>
    </row>
    <row r="7701" spans="1:11">
      <c r="A7701" s="688" t="s">
        <v>10</v>
      </c>
      <c r="B7701" s="689">
        <v>69.599999999999994</v>
      </c>
      <c r="C7701" s="689">
        <v>69.7</v>
      </c>
      <c r="D7701" s="689">
        <v>69.400000000000006</v>
      </c>
      <c r="E7701" s="693">
        <v>70</v>
      </c>
      <c r="F7701" s="689">
        <v>69.900000000000006</v>
      </c>
      <c r="G7701" s="689">
        <v>70.2</v>
      </c>
      <c r="H7701" s="689">
        <v>70.5</v>
      </c>
      <c r="I7701" s="689">
        <v>69.2</v>
      </c>
      <c r="J7701" s="689">
        <v>69.599999999999994</v>
      </c>
      <c r="K7701" s="689">
        <v>69.900000000000006</v>
      </c>
    </row>
    <row r="7702" spans="1:11">
      <c r="A7702" s="688" t="s">
        <v>30</v>
      </c>
      <c r="B7702" s="691">
        <v>69.3</v>
      </c>
      <c r="C7702" s="691">
        <v>69.599999999999994</v>
      </c>
      <c r="D7702" s="691">
        <v>69.3</v>
      </c>
      <c r="E7702" s="615">
        <v>70</v>
      </c>
      <c r="F7702" s="691">
        <v>69.599999999999994</v>
      </c>
      <c r="G7702" s="691">
        <v>70.400000000000006</v>
      </c>
      <c r="H7702" s="615">
        <v>70</v>
      </c>
      <c r="I7702" s="691">
        <v>70.099999999999994</v>
      </c>
      <c r="J7702" s="691">
        <v>69.099999999999994</v>
      </c>
      <c r="K7702" s="691">
        <v>69.7</v>
      </c>
    </row>
    <row r="7703" spans="1:11">
      <c r="A7703" s="688" t="s">
        <v>12</v>
      </c>
      <c r="B7703" s="689">
        <v>58.9</v>
      </c>
      <c r="C7703" s="689">
        <v>58.5</v>
      </c>
      <c r="D7703" s="689">
        <v>59.1</v>
      </c>
      <c r="E7703" s="689">
        <v>59.1</v>
      </c>
      <c r="F7703" s="689">
        <v>59.2</v>
      </c>
      <c r="G7703" s="689">
        <v>59.4</v>
      </c>
      <c r="H7703" s="689">
        <v>60.2</v>
      </c>
      <c r="I7703" s="693">
        <v>60</v>
      </c>
      <c r="J7703" s="689">
        <v>57.6</v>
      </c>
      <c r="K7703" s="689">
        <v>58.7</v>
      </c>
    </row>
    <row r="7704" spans="1:11">
      <c r="A7704" s="688" t="s">
        <v>14</v>
      </c>
      <c r="B7704" s="691">
        <v>57.9</v>
      </c>
      <c r="C7704" s="691">
        <v>58.5</v>
      </c>
      <c r="D7704" s="691">
        <v>58.6</v>
      </c>
      <c r="E7704" s="691">
        <v>58.9</v>
      </c>
      <c r="F7704" s="691">
        <v>60.1</v>
      </c>
      <c r="G7704" s="691">
        <v>60.3</v>
      </c>
      <c r="H7704" s="691">
        <v>60.8</v>
      </c>
      <c r="I7704" s="691">
        <v>59.5</v>
      </c>
      <c r="J7704" s="615">
        <v>59</v>
      </c>
      <c r="K7704" s="691">
        <v>60.7</v>
      </c>
    </row>
    <row r="7705" spans="1:11">
      <c r="A7705" s="688" t="s">
        <v>15</v>
      </c>
      <c r="B7705" s="689">
        <v>69.2</v>
      </c>
      <c r="C7705" s="689">
        <v>68.5</v>
      </c>
      <c r="D7705" s="689">
        <v>69.2</v>
      </c>
      <c r="E7705" s="689">
        <v>69.3</v>
      </c>
      <c r="F7705" s="689">
        <v>69.099999999999994</v>
      </c>
      <c r="G7705" s="689">
        <v>69.3</v>
      </c>
      <c r="H7705" s="689">
        <v>69.599999999999994</v>
      </c>
      <c r="I7705" s="689">
        <v>69.2</v>
      </c>
      <c r="J7705" s="689">
        <v>69.7</v>
      </c>
      <c r="K7705" s="689">
        <v>70.099999999999994</v>
      </c>
    </row>
    <row r="7706" spans="1:11">
      <c r="A7706" s="688" t="s">
        <v>29</v>
      </c>
      <c r="B7706" s="691">
        <v>61.7</v>
      </c>
      <c r="C7706" s="691">
        <v>61.7</v>
      </c>
      <c r="D7706" s="691">
        <v>61.7</v>
      </c>
      <c r="E7706" s="691">
        <v>61.9</v>
      </c>
      <c r="F7706" s="691">
        <v>61.8</v>
      </c>
      <c r="G7706" s="615">
        <v>62</v>
      </c>
      <c r="H7706" s="691">
        <v>62.3</v>
      </c>
      <c r="I7706" s="691">
        <v>61.6</v>
      </c>
      <c r="J7706" s="615">
        <v>60</v>
      </c>
      <c r="K7706" s="691">
        <v>61.9</v>
      </c>
    </row>
    <row r="7707" spans="1:11">
      <c r="A7707" s="688" t="s">
        <v>16</v>
      </c>
      <c r="B7707" s="689">
        <v>69.099999999999994</v>
      </c>
      <c r="C7707" s="693">
        <v>69</v>
      </c>
      <c r="D7707" s="689">
        <v>69.3</v>
      </c>
      <c r="E7707" s="693">
        <v>70</v>
      </c>
      <c r="F7707" s="689">
        <v>69.7</v>
      </c>
      <c r="G7707" s="689">
        <v>69.7</v>
      </c>
      <c r="H7707" s="689">
        <v>70.3</v>
      </c>
      <c r="I7707" s="689">
        <v>69.2</v>
      </c>
      <c r="J7707" s="689">
        <v>69.599999999999994</v>
      </c>
      <c r="K7707" s="689">
        <v>69.7</v>
      </c>
    </row>
    <row r="7708" spans="1:11">
      <c r="A7708" s="688" t="s">
        <v>17</v>
      </c>
      <c r="B7708" s="691">
        <v>68.900000000000006</v>
      </c>
      <c r="C7708" s="691">
        <v>69.3</v>
      </c>
      <c r="D7708" s="691">
        <v>69.099999999999994</v>
      </c>
      <c r="E7708" s="691">
        <v>69.2</v>
      </c>
      <c r="F7708" s="691">
        <v>69.5</v>
      </c>
      <c r="G7708" s="691">
        <v>69.5</v>
      </c>
      <c r="H7708" s="691">
        <v>69.8</v>
      </c>
      <c r="I7708" s="691">
        <v>69.099999999999994</v>
      </c>
      <c r="J7708" s="615">
        <v>69</v>
      </c>
      <c r="K7708" s="691">
        <v>69.5</v>
      </c>
    </row>
    <row r="7709" spans="1:11">
      <c r="A7709" s="688" t="s">
        <v>19</v>
      </c>
      <c r="B7709" s="693">
        <v>68</v>
      </c>
      <c r="C7709" s="689">
        <v>68.2</v>
      </c>
      <c r="D7709" s="693">
        <v>68</v>
      </c>
      <c r="E7709" s="689">
        <v>68.5</v>
      </c>
      <c r="F7709" s="689">
        <v>68.599999999999994</v>
      </c>
      <c r="G7709" s="689">
        <v>68.599999999999994</v>
      </c>
      <c r="H7709" s="689">
        <v>68.900000000000006</v>
      </c>
      <c r="I7709" s="689">
        <v>68.3</v>
      </c>
      <c r="J7709" s="689">
        <v>68.099999999999994</v>
      </c>
      <c r="K7709" s="689">
        <v>68.3</v>
      </c>
    </row>
    <row r="7710" spans="1:11">
      <c r="A7710" s="688" t="s">
        <v>20</v>
      </c>
      <c r="B7710" s="691">
        <v>62.5</v>
      </c>
      <c r="C7710" s="615">
        <v>63</v>
      </c>
      <c r="D7710" s="691">
        <v>62.8</v>
      </c>
      <c r="E7710" s="691">
        <v>63.2</v>
      </c>
      <c r="F7710" s="691">
        <v>63.2</v>
      </c>
      <c r="G7710" s="691">
        <v>63.1</v>
      </c>
      <c r="H7710" s="691">
        <v>63.4</v>
      </c>
      <c r="I7710" s="691">
        <v>61.7</v>
      </c>
      <c r="J7710" s="691">
        <v>60.8</v>
      </c>
      <c r="K7710" s="691">
        <v>62.6</v>
      </c>
    </row>
    <row r="7711" spans="1:11">
      <c r="A7711" s="688" t="s">
        <v>21</v>
      </c>
      <c r="B7711" s="693">
        <v>67</v>
      </c>
      <c r="C7711" s="689">
        <v>67.400000000000006</v>
      </c>
      <c r="D7711" s="689">
        <v>67.599999999999994</v>
      </c>
      <c r="E7711" s="689">
        <v>67.599999999999994</v>
      </c>
      <c r="F7711" s="689">
        <v>67.900000000000006</v>
      </c>
      <c r="G7711" s="689">
        <v>67.900000000000006</v>
      </c>
      <c r="H7711" s="689">
        <v>68.3</v>
      </c>
      <c r="I7711" s="689">
        <v>67.599999999999994</v>
      </c>
      <c r="J7711" s="689">
        <v>67.7</v>
      </c>
      <c r="K7711" s="689">
        <v>68.099999999999994</v>
      </c>
    </row>
    <row r="7712" spans="1:11">
      <c r="A7712" s="688" t="s">
        <v>22</v>
      </c>
      <c r="B7712" s="691">
        <v>61.5</v>
      </c>
      <c r="C7712" s="691">
        <v>61.2</v>
      </c>
      <c r="D7712" s="691">
        <v>61.1</v>
      </c>
      <c r="E7712" s="691">
        <v>61.3</v>
      </c>
      <c r="F7712" s="691">
        <v>61.3</v>
      </c>
      <c r="G7712" s="691">
        <v>61.3</v>
      </c>
      <c r="H7712" s="691">
        <v>61.5</v>
      </c>
      <c r="I7712" s="691">
        <v>59.8</v>
      </c>
      <c r="J7712" s="691">
        <v>58.7</v>
      </c>
      <c r="K7712" s="691">
        <v>60.9</v>
      </c>
    </row>
    <row r="7713" spans="1:11">
      <c r="A7713" s="688" t="s">
        <v>26</v>
      </c>
      <c r="B7713" s="689">
        <v>66.5</v>
      </c>
      <c r="C7713" s="689">
        <v>67.2</v>
      </c>
      <c r="D7713" s="689">
        <v>66.8</v>
      </c>
      <c r="E7713" s="689">
        <v>67.2</v>
      </c>
      <c r="F7713" s="689">
        <v>67.3</v>
      </c>
      <c r="G7713" s="689">
        <v>67.599999999999994</v>
      </c>
      <c r="H7713" s="689">
        <v>67.8</v>
      </c>
      <c r="I7713" s="693">
        <v>67</v>
      </c>
      <c r="J7713" s="689">
        <v>66.8</v>
      </c>
      <c r="K7713" s="689">
        <v>67.8</v>
      </c>
    </row>
    <row r="7714" spans="1:11">
      <c r="A7714" s="688" t="s">
        <v>25</v>
      </c>
      <c r="B7714" s="691">
        <v>62.5</v>
      </c>
      <c r="C7714" s="691">
        <v>62.9</v>
      </c>
      <c r="D7714" s="691">
        <v>62.7</v>
      </c>
      <c r="E7714" s="691">
        <v>63.4</v>
      </c>
      <c r="F7714" s="691">
        <v>63.3</v>
      </c>
      <c r="G7714" s="691">
        <v>63.4</v>
      </c>
      <c r="H7714" s="691">
        <v>63.9</v>
      </c>
      <c r="I7714" s="691">
        <v>63.1</v>
      </c>
      <c r="J7714" s="691">
        <v>60.7</v>
      </c>
      <c r="K7714" s="691">
        <v>63.1</v>
      </c>
    </row>
    <row r="7715" spans="1:11">
      <c r="A7715" s="688" t="s">
        <v>5</v>
      </c>
      <c r="B7715" s="689">
        <v>67.3</v>
      </c>
      <c r="C7715" s="689">
        <v>67.400000000000006</v>
      </c>
      <c r="D7715" s="689">
        <v>67.7</v>
      </c>
      <c r="E7715" s="689">
        <v>67.7</v>
      </c>
      <c r="F7715" s="693">
        <v>68</v>
      </c>
      <c r="G7715" s="689">
        <v>68.099999999999994</v>
      </c>
      <c r="H7715" s="689">
        <v>68.400000000000006</v>
      </c>
      <c r="I7715" s="689">
        <v>68.3</v>
      </c>
      <c r="J7715" s="689">
        <v>68.3</v>
      </c>
      <c r="K7715" s="689">
        <v>67.900000000000006</v>
      </c>
    </row>
    <row r="7716" spans="1:11">
      <c r="A7716" s="688" t="s">
        <v>23</v>
      </c>
      <c r="B7716" s="691">
        <v>69.5</v>
      </c>
      <c r="C7716" s="691">
        <v>69.599999999999994</v>
      </c>
      <c r="D7716" s="691">
        <v>69.599999999999994</v>
      </c>
      <c r="E7716" s="691">
        <v>69.8</v>
      </c>
      <c r="F7716" s="615">
        <v>70</v>
      </c>
      <c r="G7716" s="615">
        <v>70</v>
      </c>
      <c r="H7716" s="691">
        <v>70.599999999999994</v>
      </c>
      <c r="I7716" s="691">
        <v>69.900000000000006</v>
      </c>
      <c r="J7716" s="691">
        <v>70.5</v>
      </c>
      <c r="K7716" s="691">
        <v>70.599999999999994</v>
      </c>
    </row>
    <row r="7717" spans="1:11">
      <c r="A7717" s="688" t="s">
        <v>4067</v>
      </c>
      <c r="B7717" s="689">
        <v>67.099999999999994</v>
      </c>
      <c r="C7717" s="689">
        <v>67.5</v>
      </c>
      <c r="D7717" s="689">
        <v>67.3</v>
      </c>
      <c r="E7717" s="689">
        <v>67.599999999999994</v>
      </c>
      <c r="F7717" s="689">
        <v>67.7</v>
      </c>
      <c r="G7717" s="689">
        <v>67.8</v>
      </c>
      <c r="H7717" s="690" t="s">
        <v>4060</v>
      </c>
      <c r="I7717" s="690" t="s">
        <v>4060</v>
      </c>
      <c r="J7717" s="690" t="s">
        <v>4060</v>
      </c>
      <c r="K7717" s="690" t="s">
        <v>4060</v>
      </c>
    </row>
    <row r="7718" spans="1:11">
      <c r="A7718" s="688" t="s">
        <v>4066</v>
      </c>
      <c r="B7718" s="691">
        <v>67.2</v>
      </c>
      <c r="C7718" s="691">
        <v>67.5</v>
      </c>
      <c r="D7718" s="691">
        <v>67.3</v>
      </c>
      <c r="E7718" s="691">
        <v>67.7</v>
      </c>
      <c r="F7718" s="691">
        <v>67.7</v>
      </c>
      <c r="G7718" s="691">
        <v>67.8</v>
      </c>
      <c r="H7718" s="692" t="s">
        <v>4060</v>
      </c>
      <c r="I7718" s="692" t="s">
        <v>4060</v>
      </c>
      <c r="J7718" s="692" t="s">
        <v>4060</v>
      </c>
      <c r="K7718" s="692" t="s">
        <v>4060</v>
      </c>
    </row>
    <row r="7719" spans="1:11">
      <c r="A7719" s="688" t="s">
        <v>4062</v>
      </c>
      <c r="B7719" s="689">
        <v>69.7</v>
      </c>
      <c r="C7719" s="693">
        <v>70</v>
      </c>
      <c r="D7719" s="693">
        <v>70</v>
      </c>
      <c r="E7719" s="689">
        <v>70.400000000000006</v>
      </c>
      <c r="F7719" s="689">
        <v>70.5</v>
      </c>
      <c r="G7719" s="689">
        <v>70.7</v>
      </c>
      <c r="H7719" s="689">
        <v>70.900000000000006</v>
      </c>
      <c r="I7719" s="689">
        <v>70.5</v>
      </c>
      <c r="J7719" s="689">
        <v>70.900000000000006</v>
      </c>
      <c r="K7719" s="689">
        <v>70.7</v>
      </c>
    </row>
    <row r="7720" spans="1:11">
      <c r="A7720" s="688" t="s">
        <v>9</v>
      </c>
      <c r="B7720" s="691">
        <v>69.7</v>
      </c>
      <c r="C7720" s="691">
        <v>70.3</v>
      </c>
      <c r="D7720" s="691">
        <v>70.400000000000006</v>
      </c>
      <c r="E7720" s="691">
        <v>69.5</v>
      </c>
      <c r="F7720" s="615">
        <v>70</v>
      </c>
      <c r="G7720" s="691">
        <v>70.3</v>
      </c>
      <c r="H7720" s="691">
        <v>70.599999999999994</v>
      </c>
      <c r="I7720" s="691">
        <v>70.8</v>
      </c>
      <c r="J7720" s="615">
        <v>71</v>
      </c>
      <c r="K7720" s="615">
        <v>70</v>
      </c>
    </row>
    <row r="7721" spans="1:11">
      <c r="A7721" s="688" t="s">
        <v>13</v>
      </c>
      <c r="B7721" s="689">
        <v>69.7</v>
      </c>
      <c r="C7721" s="693">
        <v>70</v>
      </c>
      <c r="D7721" s="689">
        <v>70.599999999999994</v>
      </c>
      <c r="E7721" s="689">
        <v>69.599999999999994</v>
      </c>
      <c r="F7721" s="693">
        <v>70</v>
      </c>
      <c r="G7721" s="689">
        <v>69.400000000000006</v>
      </c>
      <c r="H7721" s="689">
        <v>71.400000000000006</v>
      </c>
      <c r="I7721" s="689">
        <v>69.5</v>
      </c>
      <c r="J7721" s="689">
        <v>71.099999999999994</v>
      </c>
      <c r="K7721" s="689">
        <v>71.400000000000006</v>
      </c>
    </row>
    <row r="7722" spans="1:11">
      <c r="A7722" s="688" t="s">
        <v>18</v>
      </c>
      <c r="B7722" s="691">
        <v>69.099999999999994</v>
      </c>
      <c r="C7722" s="691">
        <v>69.3</v>
      </c>
      <c r="D7722" s="691">
        <v>69.599999999999994</v>
      </c>
      <c r="E7722" s="691">
        <v>69.8</v>
      </c>
      <c r="F7722" s="691">
        <v>70.2</v>
      </c>
      <c r="G7722" s="691">
        <v>70.2</v>
      </c>
      <c r="H7722" s="691">
        <v>70.5</v>
      </c>
      <c r="I7722" s="691">
        <v>70.7</v>
      </c>
      <c r="J7722" s="691">
        <v>70.8</v>
      </c>
      <c r="K7722" s="691">
        <v>70.2</v>
      </c>
    </row>
    <row r="7723" spans="1:11">
      <c r="A7723" s="688" t="s">
        <v>24</v>
      </c>
      <c r="B7723" s="689">
        <v>70.099999999999994</v>
      </c>
      <c r="C7723" s="689">
        <v>70.400000000000006</v>
      </c>
      <c r="D7723" s="689">
        <v>70.099999999999994</v>
      </c>
      <c r="E7723" s="689">
        <v>70.8</v>
      </c>
      <c r="F7723" s="689">
        <v>70.8</v>
      </c>
      <c r="G7723" s="693">
        <v>71</v>
      </c>
      <c r="H7723" s="689">
        <v>71.2</v>
      </c>
      <c r="I7723" s="689">
        <v>70.400000000000006</v>
      </c>
      <c r="J7723" s="693">
        <v>71</v>
      </c>
      <c r="K7723" s="693">
        <v>71</v>
      </c>
    </row>
    <row r="7724" spans="1:11">
      <c r="A7724" s="688" t="s">
        <v>4059</v>
      </c>
      <c r="B7724" s="691">
        <v>68.599999999999994</v>
      </c>
      <c r="C7724" s="691">
        <v>68.900000000000006</v>
      </c>
      <c r="D7724" s="691">
        <v>68.7</v>
      </c>
      <c r="E7724" s="691">
        <v>68.8</v>
      </c>
      <c r="F7724" s="691">
        <v>68.900000000000006</v>
      </c>
      <c r="G7724" s="691">
        <v>68.900000000000006</v>
      </c>
      <c r="H7724" s="692" t="s">
        <v>4060</v>
      </c>
      <c r="I7724" s="692" t="s">
        <v>4060</v>
      </c>
      <c r="J7724" s="692" t="s">
        <v>4060</v>
      </c>
      <c r="K7724" s="692" t="s">
        <v>4060</v>
      </c>
    </row>
    <row r="7725" spans="1:11">
      <c r="A7725" s="688" t="s">
        <v>2324</v>
      </c>
      <c r="B7725" s="689">
        <v>63.5</v>
      </c>
      <c r="C7725" s="689">
        <v>63.6</v>
      </c>
      <c r="D7725" s="689">
        <v>63.6</v>
      </c>
      <c r="E7725" s="689">
        <v>63.4</v>
      </c>
      <c r="F7725" s="689">
        <v>63.2</v>
      </c>
      <c r="G7725" s="689">
        <v>63.8</v>
      </c>
      <c r="H7725" s="689">
        <v>63.3</v>
      </c>
      <c r="I7725" s="689">
        <v>62.5</v>
      </c>
      <c r="J7725" s="689">
        <v>59.9</v>
      </c>
      <c r="K7725" s="690" t="s">
        <v>4060</v>
      </c>
    </row>
    <row r="7726" spans="1:11">
      <c r="A7726" s="688" t="s">
        <v>2322</v>
      </c>
      <c r="B7726" s="692" t="s">
        <v>4060</v>
      </c>
      <c r="C7726" s="692" t="s">
        <v>4060</v>
      </c>
      <c r="D7726" s="692" t="s">
        <v>4060</v>
      </c>
      <c r="E7726" s="692" t="s">
        <v>4060</v>
      </c>
      <c r="F7726" s="692" t="s">
        <v>4060</v>
      </c>
      <c r="G7726" s="692" t="s">
        <v>4060</v>
      </c>
      <c r="H7726" s="692" t="s">
        <v>4060</v>
      </c>
      <c r="I7726" s="692" t="s">
        <v>4060</v>
      </c>
      <c r="J7726" s="692" t="s">
        <v>4060</v>
      </c>
      <c r="K7726" s="692" t="s">
        <v>4060</v>
      </c>
    </row>
    <row r="7727" spans="1:11">
      <c r="A7727" s="688" t="s">
        <v>2328</v>
      </c>
      <c r="B7727" s="689">
        <v>63.3</v>
      </c>
      <c r="C7727" s="689">
        <v>63.4</v>
      </c>
      <c r="D7727" s="689">
        <v>63.4</v>
      </c>
      <c r="E7727" s="689">
        <v>63.4</v>
      </c>
      <c r="F7727" s="689">
        <v>63.9</v>
      </c>
      <c r="G7727" s="689">
        <v>64.2</v>
      </c>
      <c r="H7727" s="689">
        <v>64.3</v>
      </c>
      <c r="I7727" s="689">
        <v>61.7</v>
      </c>
      <c r="J7727" s="689">
        <v>60.6</v>
      </c>
      <c r="K7727" s="690" t="s">
        <v>4060</v>
      </c>
    </row>
    <row r="7728" spans="1:11">
      <c r="A7728" s="688" t="s">
        <v>2496</v>
      </c>
      <c r="B7728" s="692" t="s">
        <v>4060</v>
      </c>
      <c r="C7728" s="691">
        <v>59.9</v>
      </c>
      <c r="D7728" s="691">
        <v>58.6</v>
      </c>
      <c r="E7728" s="691">
        <v>58.2</v>
      </c>
      <c r="F7728" s="691">
        <v>59.1</v>
      </c>
      <c r="G7728" s="691">
        <v>59.5</v>
      </c>
      <c r="H7728" s="691">
        <v>59.5</v>
      </c>
      <c r="I7728" s="692" t="s">
        <v>4060</v>
      </c>
      <c r="J7728" s="692" t="s">
        <v>4060</v>
      </c>
      <c r="K7728" s="615">
        <v>59</v>
      </c>
    </row>
    <row r="7729" spans="1:11">
      <c r="A7729" s="688" t="s">
        <v>2269</v>
      </c>
      <c r="B7729" s="689">
        <v>65.900000000000006</v>
      </c>
      <c r="C7729" s="689">
        <v>66.2</v>
      </c>
      <c r="D7729" s="689">
        <v>66.099999999999994</v>
      </c>
      <c r="E7729" s="689">
        <v>66.900000000000006</v>
      </c>
      <c r="F7729" s="689">
        <v>66.900000000000006</v>
      </c>
      <c r="G7729" s="689">
        <v>67.3</v>
      </c>
      <c r="H7729" s="689">
        <v>67.599999999999994</v>
      </c>
      <c r="I7729" s="689">
        <v>65.2</v>
      </c>
      <c r="J7729" s="689">
        <v>63.4</v>
      </c>
      <c r="K7729" s="689">
        <v>67.099999999999994</v>
      </c>
    </row>
    <row r="7730" spans="1:11">
      <c r="A7730" s="688" t="s">
        <v>2349</v>
      </c>
      <c r="B7730" s="691">
        <v>62.2</v>
      </c>
      <c r="C7730" s="691">
        <v>62.4</v>
      </c>
      <c r="D7730" s="691">
        <v>62.3</v>
      </c>
      <c r="E7730" s="691">
        <v>62.8</v>
      </c>
      <c r="F7730" s="691">
        <v>62.7</v>
      </c>
      <c r="G7730" s="615">
        <v>63</v>
      </c>
      <c r="H7730" s="691">
        <v>62.9</v>
      </c>
      <c r="I7730" s="691">
        <v>61.1</v>
      </c>
      <c r="J7730" s="691">
        <v>59.5</v>
      </c>
      <c r="K7730" s="691">
        <v>62.1</v>
      </c>
    </row>
    <row r="7731" spans="1:11">
      <c r="A7731" s="688" t="s">
        <v>2355</v>
      </c>
      <c r="B7731" s="689">
        <v>65.599999999999994</v>
      </c>
      <c r="C7731" s="689">
        <v>65.599999999999994</v>
      </c>
      <c r="D7731" s="689">
        <v>65.599999999999994</v>
      </c>
      <c r="E7731" s="689">
        <v>65.400000000000006</v>
      </c>
      <c r="F7731" s="689">
        <v>65.8</v>
      </c>
      <c r="G7731" s="689">
        <v>66.2</v>
      </c>
      <c r="H7731" s="689">
        <v>66.400000000000006</v>
      </c>
      <c r="I7731" s="690" t="s">
        <v>4060</v>
      </c>
      <c r="J7731" s="690" t="s">
        <v>4060</v>
      </c>
      <c r="K7731" s="690" t="s">
        <v>4060</v>
      </c>
    </row>
    <row r="7732" spans="1:11">
      <c r="A7732" s="688" t="s">
        <v>2357</v>
      </c>
      <c r="B7732" s="692" t="s">
        <v>4060</v>
      </c>
      <c r="C7732" s="691">
        <v>56.4</v>
      </c>
      <c r="D7732" s="691">
        <v>57.2</v>
      </c>
      <c r="E7732" s="691">
        <v>57.7</v>
      </c>
      <c r="F7732" s="615">
        <v>58</v>
      </c>
      <c r="G7732" s="691">
        <v>57.8</v>
      </c>
      <c r="H7732" s="615">
        <v>58</v>
      </c>
      <c r="I7732" s="692" t="s">
        <v>4060</v>
      </c>
      <c r="J7732" s="692" t="s">
        <v>4060</v>
      </c>
      <c r="K7732" s="692" t="s">
        <v>4060</v>
      </c>
    </row>
    <row r="7733" spans="1:11">
      <c r="A7733" s="688" t="s">
        <v>4070</v>
      </c>
      <c r="B7733" s="690" t="s">
        <v>4060</v>
      </c>
      <c r="C7733" s="690" t="s">
        <v>4060</v>
      </c>
      <c r="D7733" s="690" t="s">
        <v>4060</v>
      </c>
      <c r="E7733" s="689">
        <v>65.599999999999994</v>
      </c>
      <c r="F7733" s="690" t="s">
        <v>4060</v>
      </c>
      <c r="G7733" s="690" t="s">
        <v>4060</v>
      </c>
      <c r="H7733" s="690" t="s">
        <v>4060</v>
      </c>
      <c r="I7733" s="690" t="s">
        <v>4060</v>
      </c>
      <c r="J7733" s="690" t="s">
        <v>4060</v>
      </c>
      <c r="K7733" s="690" t="s">
        <v>4060</v>
      </c>
    </row>
    <row r="7734" spans="1:11">
      <c r="A7734" s="688" t="s">
        <v>2491</v>
      </c>
      <c r="B7734" s="691">
        <v>56.7</v>
      </c>
      <c r="C7734" s="691">
        <v>57.3</v>
      </c>
      <c r="D7734" s="615">
        <v>58</v>
      </c>
      <c r="E7734" s="691">
        <v>58.4</v>
      </c>
      <c r="F7734" s="691">
        <v>58.6</v>
      </c>
      <c r="G7734" s="691">
        <v>58.6</v>
      </c>
      <c r="H7734" s="692" t="s">
        <v>4060</v>
      </c>
      <c r="I7734" s="692" t="s">
        <v>4060</v>
      </c>
      <c r="J7734" s="692" t="s">
        <v>4060</v>
      </c>
      <c r="K7734" s="692" t="s">
        <v>4060</v>
      </c>
    </row>
    <row r="7735" spans="1:11">
      <c r="A7735" s="688" t="s">
        <v>2343</v>
      </c>
      <c r="B7735" s="690" t="s">
        <v>4060</v>
      </c>
      <c r="C7735" s="690" t="s">
        <v>4060</v>
      </c>
      <c r="D7735" s="690" t="s">
        <v>4060</v>
      </c>
      <c r="E7735" s="690" t="s">
        <v>4060</v>
      </c>
      <c r="F7735" s="690" t="s">
        <v>4060</v>
      </c>
      <c r="G7735" s="690" t="s">
        <v>4060</v>
      </c>
      <c r="H7735" s="690" t="s">
        <v>4060</v>
      </c>
      <c r="I7735" s="690" t="s">
        <v>4060</v>
      </c>
      <c r="J7735" s="690" t="s">
        <v>4060</v>
      </c>
      <c r="K7735" s="690" t="s">
        <v>4060</v>
      </c>
    </row>
    <row r="7736" spans="1:11">
      <c r="A7736" s="688" t="s">
        <v>4071</v>
      </c>
      <c r="B7736" s="692" t="s">
        <v>4060</v>
      </c>
      <c r="C7736" s="692" t="s">
        <v>4060</v>
      </c>
      <c r="D7736" s="692" t="s">
        <v>4060</v>
      </c>
      <c r="E7736" s="692" t="s">
        <v>4060</v>
      </c>
      <c r="F7736" s="692" t="s">
        <v>4060</v>
      </c>
      <c r="G7736" s="692" t="s">
        <v>4060</v>
      </c>
      <c r="H7736" s="692" t="s">
        <v>4060</v>
      </c>
      <c r="I7736" s="692" t="s">
        <v>4060</v>
      </c>
      <c r="J7736" s="692" t="s">
        <v>4060</v>
      </c>
      <c r="K7736" s="692" t="s">
        <v>4060</v>
      </c>
    </row>
    <row r="7737" spans="1:11">
      <c r="A7737" s="688" t="s">
        <v>2489</v>
      </c>
      <c r="B7737" s="690" t="s">
        <v>4060</v>
      </c>
      <c r="C7737" s="690" t="s">
        <v>4060</v>
      </c>
      <c r="D7737" s="689">
        <v>61.5</v>
      </c>
      <c r="E7737" s="689">
        <v>61.4</v>
      </c>
      <c r="F7737" s="689">
        <v>62.3</v>
      </c>
      <c r="G7737" s="689">
        <v>63.1</v>
      </c>
      <c r="H7737" s="689">
        <v>62.8</v>
      </c>
      <c r="I7737" s="690" t="s">
        <v>4060</v>
      </c>
      <c r="J7737" s="690" t="s">
        <v>4060</v>
      </c>
      <c r="K7737" s="690" t="s">
        <v>4060</v>
      </c>
    </row>
    <row r="7738" spans="1:11">
      <c r="A7738" s="688" t="s">
        <v>2490</v>
      </c>
      <c r="B7738" s="691">
        <v>62.2</v>
      </c>
      <c r="C7738" s="691">
        <v>62.3</v>
      </c>
      <c r="D7738" s="691">
        <v>63.1</v>
      </c>
      <c r="E7738" s="692" t="s">
        <v>4060</v>
      </c>
      <c r="F7738" s="691">
        <v>63.4</v>
      </c>
      <c r="G7738" s="691">
        <v>63.6</v>
      </c>
      <c r="H7738" s="691">
        <v>64.5</v>
      </c>
      <c r="I7738" s="692" t="s">
        <v>4060</v>
      </c>
      <c r="J7738" s="692" t="s">
        <v>4060</v>
      </c>
      <c r="K7738" s="692" t="s">
        <v>4060</v>
      </c>
    </row>
    <row r="7740" spans="1:11">
      <c r="A7740" s="683" t="s">
        <v>4233</v>
      </c>
    </row>
    <row r="7741" spans="1:11">
      <c r="A7741" s="683" t="s">
        <v>4060</v>
      </c>
      <c r="B7741" s="682" t="s">
        <v>4234</v>
      </c>
    </row>
    <row r="7743" spans="1:11">
      <c r="A7743" s="682" t="s">
        <v>4331</v>
      </c>
    </row>
    <row r="7744" spans="1:11">
      <c r="A7744" s="682" t="s">
        <v>4210</v>
      </c>
      <c r="B7744" s="683" t="s">
        <v>4211</v>
      </c>
    </row>
    <row r="7745" spans="1:11">
      <c r="A7745" s="682" t="s">
        <v>4212</v>
      </c>
      <c r="B7745" s="682" t="s">
        <v>4213</v>
      </c>
    </row>
    <row r="7747" spans="1:11">
      <c r="A7747" s="683" t="s">
        <v>4214</v>
      </c>
      <c r="C7747" s="682" t="s">
        <v>4215</v>
      </c>
    </row>
    <row r="7748" spans="1:11">
      <c r="A7748" s="683" t="s">
        <v>4216</v>
      </c>
      <c r="C7748" s="682" t="s">
        <v>2967</v>
      </c>
    </row>
    <row r="7749" spans="1:11">
      <c r="A7749" s="683" t="s">
        <v>3893</v>
      </c>
      <c r="C7749" s="682" t="s">
        <v>2168</v>
      </c>
    </row>
    <row r="7750" spans="1:11">
      <c r="A7750" s="683" t="s">
        <v>4218</v>
      </c>
      <c r="C7750" s="682" t="s">
        <v>4246</v>
      </c>
    </row>
    <row r="7752" spans="1:11">
      <c r="A7752" s="684" t="s">
        <v>4220</v>
      </c>
      <c r="B7752" s="685" t="s">
        <v>4221</v>
      </c>
      <c r="C7752" s="685" t="s">
        <v>4222</v>
      </c>
      <c r="D7752" s="685" t="s">
        <v>4223</v>
      </c>
      <c r="E7752" s="685" t="s">
        <v>4224</v>
      </c>
      <c r="F7752" s="685" t="s">
        <v>4225</v>
      </c>
      <c r="G7752" s="685" t="s">
        <v>4226</v>
      </c>
      <c r="H7752" s="685" t="s">
        <v>4227</v>
      </c>
      <c r="I7752" s="685" t="s">
        <v>4228</v>
      </c>
      <c r="J7752" s="685" t="s">
        <v>4229</v>
      </c>
      <c r="K7752" s="685" t="s">
        <v>4230</v>
      </c>
    </row>
    <row r="7753" spans="1:11">
      <c r="A7753" s="686" t="s">
        <v>4231</v>
      </c>
      <c r="B7753" s="687" t="s">
        <v>4232</v>
      </c>
      <c r="C7753" s="687" t="s">
        <v>4232</v>
      </c>
      <c r="D7753" s="687" t="s">
        <v>4232</v>
      </c>
      <c r="E7753" s="687" t="s">
        <v>4232</v>
      </c>
      <c r="F7753" s="687" t="s">
        <v>4232</v>
      </c>
      <c r="G7753" s="687" t="s">
        <v>4232</v>
      </c>
      <c r="H7753" s="687" t="s">
        <v>4232</v>
      </c>
      <c r="I7753" s="687" t="s">
        <v>4232</v>
      </c>
      <c r="J7753" s="687" t="s">
        <v>4232</v>
      </c>
      <c r="K7753" s="687" t="s">
        <v>4232</v>
      </c>
    </row>
    <row r="7754" spans="1:11">
      <c r="A7754" s="688" t="s">
        <v>4064</v>
      </c>
      <c r="B7754" s="691">
        <v>65.900000000000006</v>
      </c>
      <c r="C7754" s="691">
        <v>66.099999999999994</v>
      </c>
      <c r="D7754" s="691">
        <v>66.099999999999994</v>
      </c>
      <c r="E7754" s="691">
        <v>66.3</v>
      </c>
      <c r="F7754" s="691">
        <v>66.3</v>
      </c>
      <c r="G7754" s="691">
        <v>66.400000000000006</v>
      </c>
      <c r="H7754" s="691">
        <v>66.7</v>
      </c>
      <c r="I7754" s="691">
        <v>65.8</v>
      </c>
      <c r="J7754" s="691">
        <v>65.5</v>
      </c>
      <c r="K7754" s="691">
        <v>66.2</v>
      </c>
    </row>
    <row r="7755" spans="1:11">
      <c r="A7755" s="688" t="s">
        <v>4065</v>
      </c>
      <c r="B7755" s="689">
        <v>66.099999999999994</v>
      </c>
      <c r="C7755" s="689">
        <v>66.5</v>
      </c>
      <c r="D7755" s="689">
        <v>66.3</v>
      </c>
      <c r="E7755" s="689">
        <v>66.599999999999994</v>
      </c>
      <c r="F7755" s="689">
        <v>66.7</v>
      </c>
      <c r="G7755" s="689">
        <v>66.7</v>
      </c>
      <c r="H7755" s="690" t="s">
        <v>4060</v>
      </c>
      <c r="I7755" s="690" t="s">
        <v>4060</v>
      </c>
      <c r="J7755" s="690" t="s">
        <v>4060</v>
      </c>
      <c r="K7755" s="690" t="s">
        <v>4060</v>
      </c>
    </row>
    <row r="7756" spans="1:11">
      <c r="A7756" s="688" t="s">
        <v>4063</v>
      </c>
      <c r="B7756" s="691">
        <v>66.2</v>
      </c>
      <c r="C7756" s="691">
        <v>66.5</v>
      </c>
      <c r="D7756" s="691">
        <v>66.3</v>
      </c>
      <c r="E7756" s="691">
        <v>66.599999999999994</v>
      </c>
      <c r="F7756" s="691">
        <v>66.7</v>
      </c>
      <c r="G7756" s="691">
        <v>66.8</v>
      </c>
      <c r="H7756" s="692" t="s">
        <v>4060</v>
      </c>
      <c r="I7756" s="692" t="s">
        <v>4060</v>
      </c>
      <c r="J7756" s="692" t="s">
        <v>4060</v>
      </c>
      <c r="K7756" s="692" t="s">
        <v>4060</v>
      </c>
    </row>
    <row r="7757" spans="1:11">
      <c r="A7757" s="688" t="s">
        <v>4069</v>
      </c>
      <c r="B7757" s="690" t="s">
        <v>4060</v>
      </c>
      <c r="C7757" s="689">
        <v>67.3</v>
      </c>
      <c r="D7757" s="689">
        <v>67.099999999999994</v>
      </c>
      <c r="E7757" s="689">
        <v>67.400000000000006</v>
      </c>
      <c r="F7757" s="689">
        <v>67.5</v>
      </c>
      <c r="G7757" s="689">
        <v>67.599999999999994</v>
      </c>
      <c r="H7757" s="689">
        <v>67.900000000000006</v>
      </c>
      <c r="I7757" s="689">
        <v>67.2</v>
      </c>
      <c r="J7757" s="689">
        <v>67.099999999999994</v>
      </c>
      <c r="K7757" s="689">
        <v>67.400000000000006</v>
      </c>
    </row>
    <row r="7758" spans="1:11">
      <c r="A7758" s="688" t="s">
        <v>4068</v>
      </c>
      <c r="B7758" s="691">
        <v>67.2</v>
      </c>
      <c r="C7758" s="692" t="s">
        <v>4060</v>
      </c>
      <c r="D7758" s="692" t="s">
        <v>4060</v>
      </c>
      <c r="E7758" s="692" t="s">
        <v>4060</v>
      </c>
      <c r="F7758" s="692" t="s">
        <v>4060</v>
      </c>
      <c r="G7758" s="692" t="s">
        <v>4060</v>
      </c>
      <c r="H7758" s="692" t="s">
        <v>4060</v>
      </c>
      <c r="I7758" s="692" t="s">
        <v>4060</v>
      </c>
      <c r="J7758" s="692" t="s">
        <v>4060</v>
      </c>
      <c r="K7758" s="692" t="s">
        <v>4060</v>
      </c>
    </row>
    <row r="7759" spans="1:11">
      <c r="A7759" s="688" t="s">
        <v>0</v>
      </c>
      <c r="B7759" s="689">
        <v>66.5</v>
      </c>
      <c r="C7759" s="693">
        <v>67</v>
      </c>
      <c r="D7759" s="689">
        <v>66.900000000000006</v>
      </c>
      <c r="E7759" s="689">
        <v>67.2</v>
      </c>
      <c r="F7759" s="689">
        <v>67.400000000000006</v>
      </c>
      <c r="G7759" s="689">
        <v>67.599999999999994</v>
      </c>
      <c r="H7759" s="693">
        <v>68</v>
      </c>
      <c r="I7759" s="689">
        <v>66.900000000000006</v>
      </c>
      <c r="J7759" s="689">
        <v>67.599999999999994</v>
      </c>
      <c r="K7759" s="689">
        <v>67.900000000000006</v>
      </c>
    </row>
    <row r="7760" spans="1:11">
      <c r="A7760" s="688" t="s">
        <v>1</v>
      </c>
      <c r="B7760" s="691">
        <v>60.2</v>
      </c>
      <c r="C7760" s="691">
        <v>59.7</v>
      </c>
      <c r="D7760" s="691">
        <v>59.8</v>
      </c>
      <c r="E7760" s="691">
        <v>59.8</v>
      </c>
      <c r="F7760" s="691">
        <v>59.8</v>
      </c>
      <c r="G7760" s="691">
        <v>59.9</v>
      </c>
      <c r="H7760" s="691">
        <v>59.8</v>
      </c>
      <c r="I7760" s="691">
        <v>58.1</v>
      </c>
      <c r="J7760" s="691">
        <v>56.2</v>
      </c>
      <c r="K7760" s="615">
        <v>59</v>
      </c>
    </row>
    <row r="7761" spans="1:11">
      <c r="A7761" s="688" t="s">
        <v>2240</v>
      </c>
      <c r="B7761" s="689">
        <v>63.5</v>
      </c>
      <c r="C7761" s="693">
        <v>64</v>
      </c>
      <c r="D7761" s="689">
        <v>63.9</v>
      </c>
      <c r="E7761" s="689">
        <v>64.400000000000006</v>
      </c>
      <c r="F7761" s="689">
        <v>64.3</v>
      </c>
      <c r="G7761" s="689">
        <v>64.400000000000006</v>
      </c>
      <c r="H7761" s="689">
        <v>64.599999999999994</v>
      </c>
      <c r="I7761" s="689">
        <v>63.6</v>
      </c>
      <c r="J7761" s="689">
        <v>62.4</v>
      </c>
      <c r="K7761" s="689">
        <v>64.3</v>
      </c>
    </row>
    <row r="7762" spans="1:11">
      <c r="A7762" s="688" t="s">
        <v>2</v>
      </c>
      <c r="B7762" s="691">
        <v>66.7</v>
      </c>
      <c r="C7762" s="615">
        <v>67</v>
      </c>
      <c r="D7762" s="691">
        <v>67.099999999999994</v>
      </c>
      <c r="E7762" s="691">
        <v>67.3</v>
      </c>
      <c r="F7762" s="691">
        <v>67.5</v>
      </c>
      <c r="G7762" s="691">
        <v>67.400000000000006</v>
      </c>
      <c r="H7762" s="691">
        <v>67.8</v>
      </c>
      <c r="I7762" s="691">
        <v>67.900000000000006</v>
      </c>
      <c r="J7762" s="691">
        <v>67.900000000000006</v>
      </c>
      <c r="K7762" s="691">
        <v>67.7</v>
      </c>
    </row>
    <row r="7763" spans="1:11">
      <c r="A7763" s="688" t="s">
        <v>3</v>
      </c>
      <c r="B7763" s="689">
        <v>66.5</v>
      </c>
      <c r="C7763" s="689">
        <v>66.8</v>
      </c>
      <c r="D7763" s="689">
        <v>66.5</v>
      </c>
      <c r="E7763" s="689">
        <v>66.8</v>
      </c>
      <c r="F7763" s="689">
        <v>66.900000000000006</v>
      </c>
      <c r="G7763" s="689">
        <v>66.900000000000006</v>
      </c>
      <c r="H7763" s="689">
        <v>67.2</v>
      </c>
      <c r="I7763" s="689">
        <v>66.900000000000006</v>
      </c>
      <c r="J7763" s="689">
        <v>66.599999999999994</v>
      </c>
      <c r="K7763" s="689">
        <v>66.5</v>
      </c>
    </row>
    <row r="7764" spans="1:11">
      <c r="A7764" s="688" t="s">
        <v>4061</v>
      </c>
      <c r="B7764" s="691">
        <v>66.5</v>
      </c>
      <c r="C7764" s="691">
        <v>66.8</v>
      </c>
      <c r="D7764" s="691">
        <v>66.5</v>
      </c>
      <c r="E7764" s="691">
        <v>66.8</v>
      </c>
      <c r="F7764" s="691">
        <v>66.900000000000006</v>
      </c>
      <c r="G7764" s="691">
        <v>66.900000000000006</v>
      </c>
      <c r="H7764" s="691">
        <v>67.2</v>
      </c>
      <c r="I7764" s="691">
        <v>66.900000000000006</v>
      </c>
      <c r="J7764" s="691">
        <v>66.599999999999994</v>
      </c>
      <c r="K7764" s="691">
        <v>66.5</v>
      </c>
    </row>
    <row r="7765" spans="1:11">
      <c r="A7765" s="688" t="s">
        <v>4</v>
      </c>
      <c r="B7765" s="689">
        <v>61.1</v>
      </c>
      <c r="C7765" s="689">
        <v>60.7</v>
      </c>
      <c r="D7765" s="689">
        <v>61.4</v>
      </c>
      <c r="E7765" s="689">
        <v>61.5</v>
      </c>
      <c r="F7765" s="693">
        <v>62</v>
      </c>
      <c r="G7765" s="689">
        <v>62.1</v>
      </c>
      <c r="H7765" s="689">
        <v>62.7</v>
      </c>
      <c r="I7765" s="689">
        <v>62.6</v>
      </c>
      <c r="J7765" s="693">
        <v>61</v>
      </c>
      <c r="K7765" s="689">
        <v>61.8</v>
      </c>
    </row>
    <row r="7766" spans="1:11">
      <c r="A7766" s="688" t="s">
        <v>8</v>
      </c>
      <c r="B7766" s="691">
        <v>67.400000000000006</v>
      </c>
      <c r="C7766" s="691">
        <v>67.599999999999994</v>
      </c>
      <c r="D7766" s="691">
        <v>67.900000000000006</v>
      </c>
      <c r="E7766" s="615">
        <v>68</v>
      </c>
      <c r="F7766" s="691">
        <v>68.5</v>
      </c>
      <c r="G7766" s="691">
        <v>68.5</v>
      </c>
      <c r="H7766" s="691">
        <v>68.900000000000006</v>
      </c>
      <c r="I7766" s="691">
        <v>68.8</v>
      </c>
      <c r="J7766" s="691">
        <v>68.599999999999994</v>
      </c>
      <c r="K7766" s="615">
        <v>69</v>
      </c>
    </row>
    <row r="7767" spans="1:11">
      <c r="A7767" s="688" t="s">
        <v>7</v>
      </c>
      <c r="B7767" s="689">
        <v>67.099999999999994</v>
      </c>
      <c r="C7767" s="689">
        <v>66.599999999999994</v>
      </c>
      <c r="D7767" s="689">
        <v>66.400000000000006</v>
      </c>
      <c r="E7767" s="689">
        <v>66.8</v>
      </c>
      <c r="F7767" s="689">
        <v>66.7</v>
      </c>
      <c r="G7767" s="689">
        <v>67.099999999999994</v>
      </c>
      <c r="H7767" s="689">
        <v>67.099999999999994</v>
      </c>
      <c r="I7767" s="689">
        <v>66.8</v>
      </c>
      <c r="J7767" s="689">
        <v>65.7</v>
      </c>
      <c r="K7767" s="689">
        <v>66.599999999999994</v>
      </c>
    </row>
    <row r="7768" spans="1:11">
      <c r="A7768" s="688" t="s">
        <v>27</v>
      </c>
      <c r="B7768" s="691">
        <v>68.5</v>
      </c>
      <c r="C7768" s="691">
        <v>68.400000000000006</v>
      </c>
      <c r="D7768" s="691">
        <v>68.2</v>
      </c>
      <c r="E7768" s="691">
        <v>68.599999999999994</v>
      </c>
      <c r="F7768" s="691">
        <v>68.599999999999994</v>
      </c>
      <c r="G7768" s="691">
        <v>68.7</v>
      </c>
      <c r="H7768" s="691">
        <v>69.099999999999994</v>
      </c>
      <c r="I7768" s="691">
        <v>67.8</v>
      </c>
      <c r="J7768" s="691">
        <v>68.5</v>
      </c>
      <c r="K7768" s="691">
        <v>68.7</v>
      </c>
    </row>
    <row r="7769" spans="1:11">
      <c r="A7769" s="688" t="s">
        <v>6</v>
      </c>
      <c r="B7769" s="689">
        <v>67.400000000000006</v>
      </c>
      <c r="C7769" s="689">
        <v>67.599999999999994</v>
      </c>
      <c r="D7769" s="689">
        <v>67.400000000000006</v>
      </c>
      <c r="E7769" s="689">
        <v>67.7</v>
      </c>
      <c r="F7769" s="689">
        <v>67.8</v>
      </c>
      <c r="G7769" s="693">
        <v>68</v>
      </c>
      <c r="H7769" s="689">
        <v>68.2</v>
      </c>
      <c r="I7769" s="689">
        <v>67.5</v>
      </c>
      <c r="J7769" s="689">
        <v>67.599999999999994</v>
      </c>
      <c r="K7769" s="689">
        <v>67.8</v>
      </c>
    </row>
    <row r="7770" spans="1:11">
      <c r="A7770" s="688" t="s">
        <v>4058</v>
      </c>
      <c r="B7770" s="692" t="s">
        <v>4060</v>
      </c>
      <c r="C7770" s="692" t="s">
        <v>4060</v>
      </c>
      <c r="D7770" s="692" t="s">
        <v>4060</v>
      </c>
      <c r="E7770" s="692" t="s">
        <v>4060</v>
      </c>
      <c r="F7770" s="692" t="s">
        <v>4060</v>
      </c>
      <c r="G7770" s="692" t="s">
        <v>4060</v>
      </c>
      <c r="H7770" s="692" t="s">
        <v>4060</v>
      </c>
      <c r="I7770" s="692" t="s">
        <v>4060</v>
      </c>
      <c r="J7770" s="692" t="s">
        <v>4060</v>
      </c>
      <c r="K7770" s="692" t="s">
        <v>4060</v>
      </c>
    </row>
    <row r="7771" spans="1:11">
      <c r="A7771" s="688" t="s">
        <v>11</v>
      </c>
      <c r="B7771" s="689">
        <v>62.9</v>
      </c>
      <c r="C7771" s="689">
        <v>63.1</v>
      </c>
      <c r="D7771" s="689">
        <v>62.7</v>
      </c>
      <c r="E7771" s="689">
        <v>63.3</v>
      </c>
      <c r="F7771" s="689">
        <v>63.2</v>
      </c>
      <c r="G7771" s="689">
        <v>63.3</v>
      </c>
      <c r="H7771" s="689">
        <v>63.6</v>
      </c>
      <c r="I7771" s="689">
        <v>62.9</v>
      </c>
      <c r="J7771" s="689">
        <v>61.9</v>
      </c>
      <c r="K7771" s="689">
        <v>63.1</v>
      </c>
    </row>
    <row r="7772" spans="1:11">
      <c r="A7772" s="688" t="s">
        <v>10</v>
      </c>
      <c r="B7772" s="691">
        <v>68.599999999999994</v>
      </c>
      <c r="C7772" s="691">
        <v>68.7</v>
      </c>
      <c r="D7772" s="691">
        <v>68.400000000000006</v>
      </c>
      <c r="E7772" s="615">
        <v>69</v>
      </c>
      <c r="F7772" s="691">
        <v>68.900000000000006</v>
      </c>
      <c r="G7772" s="691">
        <v>69.2</v>
      </c>
      <c r="H7772" s="691">
        <v>69.5</v>
      </c>
      <c r="I7772" s="691">
        <v>68.2</v>
      </c>
      <c r="J7772" s="691">
        <v>68.599999999999994</v>
      </c>
      <c r="K7772" s="691">
        <v>68.900000000000006</v>
      </c>
    </row>
    <row r="7773" spans="1:11">
      <c r="A7773" s="688" t="s">
        <v>30</v>
      </c>
      <c r="B7773" s="689">
        <v>68.3</v>
      </c>
      <c r="C7773" s="689">
        <v>68.599999999999994</v>
      </c>
      <c r="D7773" s="689">
        <v>68.3</v>
      </c>
      <c r="E7773" s="693">
        <v>69</v>
      </c>
      <c r="F7773" s="689">
        <v>68.599999999999994</v>
      </c>
      <c r="G7773" s="689">
        <v>69.400000000000006</v>
      </c>
      <c r="H7773" s="693">
        <v>69</v>
      </c>
      <c r="I7773" s="689">
        <v>69.099999999999994</v>
      </c>
      <c r="J7773" s="689">
        <v>68.099999999999994</v>
      </c>
      <c r="K7773" s="689">
        <v>68.7</v>
      </c>
    </row>
    <row r="7774" spans="1:11">
      <c r="A7774" s="688" t="s">
        <v>12</v>
      </c>
      <c r="B7774" s="691">
        <v>57.9</v>
      </c>
      <c r="C7774" s="691">
        <v>57.5</v>
      </c>
      <c r="D7774" s="691">
        <v>58.2</v>
      </c>
      <c r="E7774" s="691">
        <v>58.1</v>
      </c>
      <c r="F7774" s="691">
        <v>58.2</v>
      </c>
      <c r="G7774" s="691">
        <v>58.4</v>
      </c>
      <c r="H7774" s="691">
        <v>59.2</v>
      </c>
      <c r="I7774" s="615">
        <v>59</v>
      </c>
      <c r="J7774" s="691">
        <v>56.6</v>
      </c>
      <c r="K7774" s="691">
        <v>57.7</v>
      </c>
    </row>
    <row r="7775" spans="1:11">
      <c r="A7775" s="688" t="s">
        <v>14</v>
      </c>
      <c r="B7775" s="689">
        <v>56.9</v>
      </c>
      <c r="C7775" s="689">
        <v>57.5</v>
      </c>
      <c r="D7775" s="689">
        <v>57.6</v>
      </c>
      <c r="E7775" s="689">
        <v>57.9</v>
      </c>
      <c r="F7775" s="689">
        <v>59.1</v>
      </c>
      <c r="G7775" s="689">
        <v>59.3</v>
      </c>
      <c r="H7775" s="689">
        <v>59.8</v>
      </c>
      <c r="I7775" s="689">
        <v>58.5</v>
      </c>
      <c r="J7775" s="693">
        <v>58</v>
      </c>
      <c r="K7775" s="689">
        <v>59.7</v>
      </c>
    </row>
    <row r="7776" spans="1:11">
      <c r="A7776" s="688" t="s">
        <v>15</v>
      </c>
      <c r="B7776" s="691">
        <v>68.2</v>
      </c>
      <c r="C7776" s="691">
        <v>67.5</v>
      </c>
      <c r="D7776" s="691">
        <v>68.2</v>
      </c>
      <c r="E7776" s="691">
        <v>68.3</v>
      </c>
      <c r="F7776" s="691">
        <v>68.099999999999994</v>
      </c>
      <c r="G7776" s="691">
        <v>68.3</v>
      </c>
      <c r="H7776" s="691">
        <v>68.599999999999994</v>
      </c>
      <c r="I7776" s="691">
        <v>68.2</v>
      </c>
      <c r="J7776" s="691">
        <v>68.7</v>
      </c>
      <c r="K7776" s="691">
        <v>69.099999999999994</v>
      </c>
    </row>
    <row r="7777" spans="1:11">
      <c r="A7777" s="688" t="s">
        <v>29</v>
      </c>
      <c r="B7777" s="689">
        <v>60.7</v>
      </c>
      <c r="C7777" s="689">
        <v>60.7</v>
      </c>
      <c r="D7777" s="689">
        <v>60.7</v>
      </c>
      <c r="E7777" s="689">
        <v>60.9</v>
      </c>
      <c r="F7777" s="689">
        <v>60.8</v>
      </c>
      <c r="G7777" s="693">
        <v>61</v>
      </c>
      <c r="H7777" s="689">
        <v>61.3</v>
      </c>
      <c r="I7777" s="689">
        <v>60.6</v>
      </c>
      <c r="J7777" s="689">
        <v>59.1</v>
      </c>
      <c r="K7777" s="693">
        <v>61</v>
      </c>
    </row>
    <row r="7778" spans="1:11">
      <c r="A7778" s="688" t="s">
        <v>16</v>
      </c>
      <c r="B7778" s="691">
        <v>68.099999999999994</v>
      </c>
      <c r="C7778" s="615">
        <v>68</v>
      </c>
      <c r="D7778" s="691">
        <v>68.3</v>
      </c>
      <c r="E7778" s="615">
        <v>69</v>
      </c>
      <c r="F7778" s="691">
        <v>68.7</v>
      </c>
      <c r="G7778" s="691">
        <v>68.7</v>
      </c>
      <c r="H7778" s="691">
        <v>69.3</v>
      </c>
      <c r="I7778" s="691">
        <v>68.2</v>
      </c>
      <c r="J7778" s="691">
        <v>68.599999999999994</v>
      </c>
      <c r="K7778" s="691">
        <v>68.7</v>
      </c>
    </row>
    <row r="7779" spans="1:11">
      <c r="A7779" s="688" t="s">
        <v>17</v>
      </c>
      <c r="B7779" s="693">
        <v>68</v>
      </c>
      <c r="C7779" s="689">
        <v>68.3</v>
      </c>
      <c r="D7779" s="689">
        <v>68.099999999999994</v>
      </c>
      <c r="E7779" s="689">
        <v>68.3</v>
      </c>
      <c r="F7779" s="689">
        <v>68.5</v>
      </c>
      <c r="G7779" s="689">
        <v>68.5</v>
      </c>
      <c r="H7779" s="689">
        <v>68.900000000000006</v>
      </c>
      <c r="I7779" s="689">
        <v>68.099999999999994</v>
      </c>
      <c r="J7779" s="693">
        <v>68</v>
      </c>
      <c r="K7779" s="689">
        <v>68.5</v>
      </c>
    </row>
    <row r="7780" spans="1:11">
      <c r="A7780" s="688" t="s">
        <v>19</v>
      </c>
      <c r="B7780" s="615">
        <v>67</v>
      </c>
      <c r="C7780" s="691">
        <v>67.3</v>
      </c>
      <c r="D7780" s="615">
        <v>67</v>
      </c>
      <c r="E7780" s="691">
        <v>67.5</v>
      </c>
      <c r="F7780" s="691">
        <v>67.599999999999994</v>
      </c>
      <c r="G7780" s="691">
        <v>67.599999999999994</v>
      </c>
      <c r="H7780" s="691">
        <v>67.900000000000006</v>
      </c>
      <c r="I7780" s="691">
        <v>67.3</v>
      </c>
      <c r="J7780" s="691">
        <v>67.099999999999994</v>
      </c>
      <c r="K7780" s="691">
        <v>67.3</v>
      </c>
    </row>
    <row r="7781" spans="1:11">
      <c r="A7781" s="688" t="s">
        <v>20</v>
      </c>
      <c r="B7781" s="689">
        <v>61.5</v>
      </c>
      <c r="C7781" s="693">
        <v>62</v>
      </c>
      <c r="D7781" s="689">
        <v>61.8</v>
      </c>
      <c r="E7781" s="689">
        <v>62.2</v>
      </c>
      <c r="F7781" s="689">
        <v>62.2</v>
      </c>
      <c r="G7781" s="689">
        <v>62.1</v>
      </c>
      <c r="H7781" s="689">
        <v>62.4</v>
      </c>
      <c r="I7781" s="689">
        <v>60.7</v>
      </c>
      <c r="J7781" s="689">
        <v>59.8</v>
      </c>
      <c r="K7781" s="689">
        <v>61.6</v>
      </c>
    </row>
    <row r="7782" spans="1:11">
      <c r="A7782" s="688" t="s">
        <v>21</v>
      </c>
      <c r="B7782" s="615">
        <v>66</v>
      </c>
      <c r="C7782" s="691">
        <v>66.400000000000006</v>
      </c>
      <c r="D7782" s="691">
        <v>66.599999999999994</v>
      </c>
      <c r="E7782" s="691">
        <v>66.599999999999994</v>
      </c>
      <c r="F7782" s="691">
        <v>66.900000000000006</v>
      </c>
      <c r="G7782" s="691">
        <v>66.900000000000006</v>
      </c>
      <c r="H7782" s="691">
        <v>67.3</v>
      </c>
      <c r="I7782" s="691">
        <v>66.599999999999994</v>
      </c>
      <c r="J7782" s="691">
        <v>66.7</v>
      </c>
      <c r="K7782" s="691">
        <v>67.099999999999994</v>
      </c>
    </row>
    <row r="7783" spans="1:11">
      <c r="A7783" s="688" t="s">
        <v>22</v>
      </c>
      <c r="B7783" s="689">
        <v>60.5</v>
      </c>
      <c r="C7783" s="689">
        <v>60.2</v>
      </c>
      <c r="D7783" s="689">
        <v>60.1</v>
      </c>
      <c r="E7783" s="689">
        <v>60.3</v>
      </c>
      <c r="F7783" s="689">
        <v>60.3</v>
      </c>
      <c r="G7783" s="689">
        <v>60.3</v>
      </c>
      <c r="H7783" s="689">
        <v>60.5</v>
      </c>
      <c r="I7783" s="689">
        <v>58.8</v>
      </c>
      <c r="J7783" s="689">
        <v>57.7</v>
      </c>
      <c r="K7783" s="689">
        <v>59.9</v>
      </c>
    </row>
    <row r="7784" spans="1:11">
      <c r="A7784" s="688" t="s">
        <v>26</v>
      </c>
      <c r="B7784" s="691">
        <v>65.5</v>
      </c>
      <c r="C7784" s="691">
        <v>66.2</v>
      </c>
      <c r="D7784" s="691">
        <v>65.8</v>
      </c>
      <c r="E7784" s="691">
        <v>66.2</v>
      </c>
      <c r="F7784" s="691">
        <v>66.3</v>
      </c>
      <c r="G7784" s="691">
        <v>66.599999999999994</v>
      </c>
      <c r="H7784" s="691">
        <v>66.8</v>
      </c>
      <c r="I7784" s="615">
        <v>66</v>
      </c>
      <c r="J7784" s="691">
        <v>65.900000000000006</v>
      </c>
      <c r="K7784" s="691">
        <v>66.8</v>
      </c>
    </row>
    <row r="7785" spans="1:11">
      <c r="A7785" s="688" t="s">
        <v>25</v>
      </c>
      <c r="B7785" s="689">
        <v>61.5</v>
      </c>
      <c r="C7785" s="689">
        <v>61.9</v>
      </c>
      <c r="D7785" s="689">
        <v>61.7</v>
      </c>
      <c r="E7785" s="689">
        <v>62.4</v>
      </c>
      <c r="F7785" s="689">
        <v>62.3</v>
      </c>
      <c r="G7785" s="689">
        <v>62.4</v>
      </c>
      <c r="H7785" s="689">
        <v>62.9</v>
      </c>
      <c r="I7785" s="689">
        <v>62.1</v>
      </c>
      <c r="J7785" s="689">
        <v>59.7</v>
      </c>
      <c r="K7785" s="689">
        <v>62.1</v>
      </c>
    </row>
    <row r="7786" spans="1:11">
      <c r="A7786" s="688" t="s">
        <v>5</v>
      </c>
      <c r="B7786" s="691">
        <v>66.3</v>
      </c>
      <c r="C7786" s="691">
        <v>66.400000000000006</v>
      </c>
      <c r="D7786" s="691">
        <v>66.7</v>
      </c>
      <c r="E7786" s="691">
        <v>66.7</v>
      </c>
      <c r="F7786" s="615">
        <v>67</v>
      </c>
      <c r="G7786" s="691">
        <v>67.099999999999994</v>
      </c>
      <c r="H7786" s="691">
        <v>67.400000000000006</v>
      </c>
      <c r="I7786" s="691">
        <v>67.3</v>
      </c>
      <c r="J7786" s="691">
        <v>67.3</v>
      </c>
      <c r="K7786" s="691">
        <v>66.900000000000006</v>
      </c>
    </row>
    <row r="7787" spans="1:11">
      <c r="A7787" s="688" t="s">
        <v>23</v>
      </c>
      <c r="B7787" s="689">
        <v>68.5</v>
      </c>
      <c r="C7787" s="689">
        <v>68.599999999999994</v>
      </c>
      <c r="D7787" s="689">
        <v>68.599999999999994</v>
      </c>
      <c r="E7787" s="689">
        <v>68.8</v>
      </c>
      <c r="F7787" s="693">
        <v>69</v>
      </c>
      <c r="G7787" s="693">
        <v>69</v>
      </c>
      <c r="H7787" s="689">
        <v>69.599999999999994</v>
      </c>
      <c r="I7787" s="689">
        <v>68.900000000000006</v>
      </c>
      <c r="J7787" s="689">
        <v>69.5</v>
      </c>
      <c r="K7787" s="689">
        <v>69.599999999999994</v>
      </c>
    </row>
    <row r="7788" spans="1:11">
      <c r="A7788" s="688" t="s">
        <v>4067</v>
      </c>
      <c r="B7788" s="691">
        <v>66.099999999999994</v>
      </c>
      <c r="C7788" s="691">
        <v>66.5</v>
      </c>
      <c r="D7788" s="691">
        <v>66.3</v>
      </c>
      <c r="E7788" s="691">
        <v>66.599999999999994</v>
      </c>
      <c r="F7788" s="691">
        <v>66.7</v>
      </c>
      <c r="G7788" s="691">
        <v>66.8</v>
      </c>
      <c r="H7788" s="692" t="s">
        <v>4060</v>
      </c>
      <c r="I7788" s="692" t="s">
        <v>4060</v>
      </c>
      <c r="J7788" s="692" t="s">
        <v>4060</v>
      </c>
      <c r="K7788" s="692" t="s">
        <v>4060</v>
      </c>
    </row>
    <row r="7789" spans="1:11">
      <c r="A7789" s="688" t="s">
        <v>4066</v>
      </c>
      <c r="B7789" s="689">
        <v>66.2</v>
      </c>
      <c r="C7789" s="689">
        <v>66.5</v>
      </c>
      <c r="D7789" s="689">
        <v>66.3</v>
      </c>
      <c r="E7789" s="689">
        <v>66.7</v>
      </c>
      <c r="F7789" s="689">
        <v>66.7</v>
      </c>
      <c r="G7789" s="689">
        <v>66.8</v>
      </c>
      <c r="H7789" s="690" t="s">
        <v>4060</v>
      </c>
      <c r="I7789" s="690" t="s">
        <v>4060</v>
      </c>
      <c r="J7789" s="690" t="s">
        <v>4060</v>
      </c>
      <c r="K7789" s="690" t="s">
        <v>4060</v>
      </c>
    </row>
    <row r="7790" spans="1:11">
      <c r="A7790" s="688" t="s">
        <v>4062</v>
      </c>
      <c r="B7790" s="691">
        <v>68.7</v>
      </c>
      <c r="C7790" s="615">
        <v>69</v>
      </c>
      <c r="D7790" s="615">
        <v>69</v>
      </c>
      <c r="E7790" s="691">
        <v>69.400000000000006</v>
      </c>
      <c r="F7790" s="691">
        <v>69.5</v>
      </c>
      <c r="G7790" s="691">
        <v>69.7</v>
      </c>
      <c r="H7790" s="691">
        <v>69.900000000000006</v>
      </c>
      <c r="I7790" s="691">
        <v>69.5</v>
      </c>
      <c r="J7790" s="691">
        <v>69.900000000000006</v>
      </c>
      <c r="K7790" s="691">
        <v>69.7</v>
      </c>
    </row>
    <row r="7791" spans="1:11">
      <c r="A7791" s="688" t="s">
        <v>9</v>
      </c>
      <c r="B7791" s="689">
        <v>68.7</v>
      </c>
      <c r="C7791" s="689">
        <v>69.3</v>
      </c>
      <c r="D7791" s="689">
        <v>69.400000000000006</v>
      </c>
      <c r="E7791" s="689">
        <v>68.5</v>
      </c>
      <c r="F7791" s="693">
        <v>69</v>
      </c>
      <c r="G7791" s="689">
        <v>69.3</v>
      </c>
      <c r="H7791" s="689">
        <v>69.599999999999994</v>
      </c>
      <c r="I7791" s="689">
        <v>69.8</v>
      </c>
      <c r="J7791" s="693">
        <v>70</v>
      </c>
      <c r="K7791" s="693">
        <v>69</v>
      </c>
    </row>
    <row r="7792" spans="1:11">
      <c r="A7792" s="688" t="s">
        <v>13</v>
      </c>
      <c r="B7792" s="691">
        <v>68.7</v>
      </c>
      <c r="C7792" s="615">
        <v>69</v>
      </c>
      <c r="D7792" s="691">
        <v>69.599999999999994</v>
      </c>
      <c r="E7792" s="691">
        <v>68.599999999999994</v>
      </c>
      <c r="F7792" s="615">
        <v>69</v>
      </c>
      <c r="G7792" s="691">
        <v>68.400000000000006</v>
      </c>
      <c r="H7792" s="691">
        <v>70.400000000000006</v>
      </c>
      <c r="I7792" s="691">
        <v>68.5</v>
      </c>
      <c r="J7792" s="691">
        <v>70.099999999999994</v>
      </c>
      <c r="K7792" s="691">
        <v>70.400000000000006</v>
      </c>
    </row>
    <row r="7793" spans="1:11">
      <c r="A7793" s="688" t="s">
        <v>18</v>
      </c>
      <c r="B7793" s="689">
        <v>68.099999999999994</v>
      </c>
      <c r="C7793" s="689">
        <v>68.3</v>
      </c>
      <c r="D7793" s="689">
        <v>68.599999999999994</v>
      </c>
      <c r="E7793" s="689">
        <v>68.8</v>
      </c>
      <c r="F7793" s="689">
        <v>69.2</v>
      </c>
      <c r="G7793" s="689">
        <v>69.2</v>
      </c>
      <c r="H7793" s="689">
        <v>69.5</v>
      </c>
      <c r="I7793" s="689">
        <v>69.7</v>
      </c>
      <c r="J7793" s="689">
        <v>69.8</v>
      </c>
      <c r="K7793" s="689">
        <v>69.2</v>
      </c>
    </row>
    <row r="7794" spans="1:11">
      <c r="A7794" s="688" t="s">
        <v>24</v>
      </c>
      <c r="B7794" s="691">
        <v>69.099999999999994</v>
      </c>
      <c r="C7794" s="691">
        <v>69.400000000000006</v>
      </c>
      <c r="D7794" s="691">
        <v>69.099999999999994</v>
      </c>
      <c r="E7794" s="691">
        <v>69.8</v>
      </c>
      <c r="F7794" s="691">
        <v>69.8</v>
      </c>
      <c r="G7794" s="615">
        <v>70</v>
      </c>
      <c r="H7794" s="691">
        <v>70.2</v>
      </c>
      <c r="I7794" s="691">
        <v>69.400000000000006</v>
      </c>
      <c r="J7794" s="615">
        <v>70</v>
      </c>
      <c r="K7794" s="615">
        <v>70</v>
      </c>
    </row>
    <row r="7795" spans="1:11">
      <c r="A7795" s="688" t="s">
        <v>4059</v>
      </c>
      <c r="B7795" s="689">
        <v>67.599999999999994</v>
      </c>
      <c r="C7795" s="689">
        <v>67.900000000000006</v>
      </c>
      <c r="D7795" s="689">
        <v>67.7</v>
      </c>
      <c r="E7795" s="689">
        <v>67.8</v>
      </c>
      <c r="F7795" s="689">
        <v>67.900000000000006</v>
      </c>
      <c r="G7795" s="689">
        <v>67.900000000000006</v>
      </c>
      <c r="H7795" s="690" t="s">
        <v>4060</v>
      </c>
      <c r="I7795" s="690" t="s">
        <v>4060</v>
      </c>
      <c r="J7795" s="690" t="s">
        <v>4060</v>
      </c>
      <c r="K7795" s="690" t="s">
        <v>4060</v>
      </c>
    </row>
    <row r="7796" spans="1:11">
      <c r="A7796" s="688" t="s">
        <v>2324</v>
      </c>
      <c r="B7796" s="691">
        <v>62.6</v>
      </c>
      <c r="C7796" s="691">
        <v>62.6</v>
      </c>
      <c r="D7796" s="691">
        <v>62.6</v>
      </c>
      <c r="E7796" s="691">
        <v>62.4</v>
      </c>
      <c r="F7796" s="691">
        <v>62.2</v>
      </c>
      <c r="G7796" s="691">
        <v>62.8</v>
      </c>
      <c r="H7796" s="691">
        <v>62.3</v>
      </c>
      <c r="I7796" s="691">
        <v>61.5</v>
      </c>
      <c r="J7796" s="691">
        <v>58.9</v>
      </c>
      <c r="K7796" s="692" t="s">
        <v>4060</v>
      </c>
    </row>
    <row r="7797" spans="1:11">
      <c r="A7797" s="688" t="s">
        <v>2322</v>
      </c>
      <c r="B7797" s="690" t="s">
        <v>4060</v>
      </c>
      <c r="C7797" s="690" t="s">
        <v>4060</v>
      </c>
      <c r="D7797" s="690" t="s">
        <v>4060</v>
      </c>
      <c r="E7797" s="690" t="s">
        <v>4060</v>
      </c>
      <c r="F7797" s="690" t="s">
        <v>4060</v>
      </c>
      <c r="G7797" s="690" t="s">
        <v>4060</v>
      </c>
      <c r="H7797" s="690" t="s">
        <v>4060</v>
      </c>
      <c r="I7797" s="690" t="s">
        <v>4060</v>
      </c>
      <c r="J7797" s="690" t="s">
        <v>4060</v>
      </c>
      <c r="K7797" s="690" t="s">
        <v>4060</v>
      </c>
    </row>
    <row r="7798" spans="1:11">
      <c r="A7798" s="688" t="s">
        <v>2328</v>
      </c>
      <c r="B7798" s="691">
        <v>62.3</v>
      </c>
      <c r="C7798" s="691">
        <v>62.4</v>
      </c>
      <c r="D7798" s="691">
        <v>62.4</v>
      </c>
      <c r="E7798" s="691">
        <v>62.4</v>
      </c>
      <c r="F7798" s="691">
        <v>62.9</v>
      </c>
      <c r="G7798" s="691">
        <v>63.2</v>
      </c>
      <c r="H7798" s="691">
        <v>63.3</v>
      </c>
      <c r="I7798" s="691">
        <v>60.7</v>
      </c>
      <c r="J7798" s="691">
        <v>59.6</v>
      </c>
      <c r="K7798" s="692" t="s">
        <v>4060</v>
      </c>
    </row>
    <row r="7799" spans="1:11">
      <c r="A7799" s="688" t="s">
        <v>2496</v>
      </c>
      <c r="B7799" s="690" t="s">
        <v>4060</v>
      </c>
      <c r="C7799" s="689">
        <v>58.9</v>
      </c>
      <c r="D7799" s="689">
        <v>57.6</v>
      </c>
      <c r="E7799" s="689">
        <v>57.2</v>
      </c>
      <c r="F7799" s="689">
        <v>58.1</v>
      </c>
      <c r="G7799" s="689">
        <v>58.5</v>
      </c>
      <c r="H7799" s="689">
        <v>58.6</v>
      </c>
      <c r="I7799" s="690" t="s">
        <v>4060</v>
      </c>
      <c r="J7799" s="690" t="s">
        <v>4060</v>
      </c>
      <c r="K7799" s="693">
        <v>58</v>
      </c>
    </row>
    <row r="7800" spans="1:11">
      <c r="A7800" s="688" t="s">
        <v>2269</v>
      </c>
      <c r="B7800" s="691">
        <v>64.900000000000006</v>
      </c>
      <c r="C7800" s="691">
        <v>65.2</v>
      </c>
      <c r="D7800" s="691">
        <v>65.099999999999994</v>
      </c>
      <c r="E7800" s="691">
        <v>65.900000000000006</v>
      </c>
      <c r="F7800" s="691">
        <v>65.900000000000006</v>
      </c>
      <c r="G7800" s="691">
        <v>66.3</v>
      </c>
      <c r="H7800" s="691">
        <v>66.599999999999994</v>
      </c>
      <c r="I7800" s="691">
        <v>64.2</v>
      </c>
      <c r="J7800" s="691">
        <v>62.4</v>
      </c>
      <c r="K7800" s="691">
        <v>66.099999999999994</v>
      </c>
    </row>
    <row r="7801" spans="1:11">
      <c r="A7801" s="688" t="s">
        <v>2349</v>
      </c>
      <c r="B7801" s="689">
        <v>61.3</v>
      </c>
      <c r="C7801" s="689">
        <v>61.4</v>
      </c>
      <c r="D7801" s="689">
        <v>61.3</v>
      </c>
      <c r="E7801" s="689">
        <v>61.8</v>
      </c>
      <c r="F7801" s="689">
        <v>61.7</v>
      </c>
      <c r="G7801" s="693">
        <v>62</v>
      </c>
      <c r="H7801" s="689">
        <v>61.9</v>
      </c>
      <c r="I7801" s="689">
        <v>60.1</v>
      </c>
      <c r="J7801" s="689">
        <v>58.5</v>
      </c>
      <c r="K7801" s="689">
        <v>61.1</v>
      </c>
    </row>
    <row r="7802" spans="1:11">
      <c r="A7802" s="688" t="s">
        <v>2355</v>
      </c>
      <c r="B7802" s="691">
        <v>64.7</v>
      </c>
      <c r="C7802" s="691">
        <v>64.599999999999994</v>
      </c>
      <c r="D7802" s="691">
        <v>64.599999999999994</v>
      </c>
      <c r="E7802" s="691">
        <v>64.5</v>
      </c>
      <c r="F7802" s="691">
        <v>64.8</v>
      </c>
      <c r="G7802" s="691">
        <v>65.2</v>
      </c>
      <c r="H7802" s="691">
        <v>65.400000000000006</v>
      </c>
      <c r="I7802" s="692" t="s">
        <v>4060</v>
      </c>
      <c r="J7802" s="692" t="s">
        <v>4060</v>
      </c>
      <c r="K7802" s="692" t="s">
        <v>4060</v>
      </c>
    </row>
    <row r="7803" spans="1:11">
      <c r="A7803" s="688" t="s">
        <v>2357</v>
      </c>
      <c r="B7803" s="690" t="s">
        <v>4060</v>
      </c>
      <c r="C7803" s="689">
        <v>55.4</v>
      </c>
      <c r="D7803" s="689">
        <v>56.3</v>
      </c>
      <c r="E7803" s="689">
        <v>56.7</v>
      </c>
      <c r="F7803" s="693">
        <v>57</v>
      </c>
      <c r="G7803" s="689">
        <v>56.8</v>
      </c>
      <c r="H7803" s="693">
        <v>57</v>
      </c>
      <c r="I7803" s="690" t="s">
        <v>4060</v>
      </c>
      <c r="J7803" s="690" t="s">
        <v>4060</v>
      </c>
      <c r="K7803" s="690" t="s">
        <v>4060</v>
      </c>
    </row>
    <row r="7804" spans="1:11">
      <c r="A7804" s="688" t="s">
        <v>4070</v>
      </c>
      <c r="B7804" s="692" t="s">
        <v>4060</v>
      </c>
      <c r="C7804" s="692" t="s">
        <v>4060</v>
      </c>
      <c r="D7804" s="692" t="s">
        <v>4060</v>
      </c>
      <c r="E7804" s="691">
        <v>64.599999999999994</v>
      </c>
      <c r="F7804" s="692" t="s">
        <v>4060</v>
      </c>
      <c r="G7804" s="692" t="s">
        <v>4060</v>
      </c>
      <c r="H7804" s="692" t="s">
        <v>4060</v>
      </c>
      <c r="I7804" s="692" t="s">
        <v>4060</v>
      </c>
      <c r="J7804" s="692" t="s">
        <v>4060</v>
      </c>
      <c r="K7804" s="692" t="s">
        <v>4060</v>
      </c>
    </row>
    <row r="7805" spans="1:11">
      <c r="A7805" s="688" t="s">
        <v>2491</v>
      </c>
      <c r="B7805" s="689">
        <v>55.7</v>
      </c>
      <c r="C7805" s="689">
        <v>56.3</v>
      </c>
      <c r="D7805" s="693">
        <v>57</v>
      </c>
      <c r="E7805" s="689">
        <v>57.4</v>
      </c>
      <c r="F7805" s="689">
        <v>57.6</v>
      </c>
      <c r="G7805" s="689">
        <v>57.6</v>
      </c>
      <c r="H7805" s="690" t="s">
        <v>4060</v>
      </c>
      <c r="I7805" s="690" t="s">
        <v>4060</v>
      </c>
      <c r="J7805" s="690" t="s">
        <v>4060</v>
      </c>
      <c r="K7805" s="690" t="s">
        <v>4060</v>
      </c>
    </row>
    <row r="7806" spans="1:11">
      <c r="A7806" s="688" t="s">
        <v>2343</v>
      </c>
      <c r="B7806" s="692" t="s">
        <v>4060</v>
      </c>
      <c r="C7806" s="692" t="s">
        <v>4060</v>
      </c>
      <c r="D7806" s="692" t="s">
        <v>4060</v>
      </c>
      <c r="E7806" s="692" t="s">
        <v>4060</v>
      </c>
      <c r="F7806" s="692" t="s">
        <v>4060</v>
      </c>
      <c r="G7806" s="692" t="s">
        <v>4060</v>
      </c>
      <c r="H7806" s="692" t="s">
        <v>4060</v>
      </c>
      <c r="I7806" s="692" t="s">
        <v>4060</v>
      </c>
      <c r="J7806" s="692" t="s">
        <v>4060</v>
      </c>
      <c r="K7806" s="692" t="s">
        <v>4060</v>
      </c>
    </row>
    <row r="7807" spans="1:11">
      <c r="A7807" s="688" t="s">
        <v>4071</v>
      </c>
      <c r="B7807" s="690" t="s">
        <v>4060</v>
      </c>
      <c r="C7807" s="690" t="s">
        <v>4060</v>
      </c>
      <c r="D7807" s="690" t="s">
        <v>4060</v>
      </c>
      <c r="E7807" s="690" t="s">
        <v>4060</v>
      </c>
      <c r="F7807" s="690" t="s">
        <v>4060</v>
      </c>
      <c r="G7807" s="690" t="s">
        <v>4060</v>
      </c>
      <c r="H7807" s="690" t="s">
        <v>4060</v>
      </c>
      <c r="I7807" s="690" t="s">
        <v>4060</v>
      </c>
      <c r="J7807" s="690" t="s">
        <v>4060</v>
      </c>
      <c r="K7807" s="690" t="s">
        <v>4060</v>
      </c>
    </row>
    <row r="7808" spans="1:11">
      <c r="A7808" s="688" t="s">
        <v>2489</v>
      </c>
      <c r="B7808" s="692" t="s">
        <v>4060</v>
      </c>
      <c r="C7808" s="692" t="s">
        <v>4060</v>
      </c>
      <c r="D7808" s="691">
        <v>60.6</v>
      </c>
      <c r="E7808" s="691">
        <v>60.4</v>
      </c>
      <c r="F7808" s="691">
        <v>61.3</v>
      </c>
      <c r="G7808" s="691">
        <v>62.1</v>
      </c>
      <c r="H7808" s="691">
        <v>61.8</v>
      </c>
      <c r="I7808" s="692" t="s">
        <v>4060</v>
      </c>
      <c r="J7808" s="692" t="s">
        <v>4060</v>
      </c>
      <c r="K7808" s="692" t="s">
        <v>4060</v>
      </c>
    </row>
    <row r="7809" spans="1:11">
      <c r="A7809" s="688" t="s">
        <v>2490</v>
      </c>
      <c r="B7809" s="689">
        <v>61.3</v>
      </c>
      <c r="C7809" s="689">
        <v>61.4</v>
      </c>
      <c r="D7809" s="689">
        <v>62.1</v>
      </c>
      <c r="E7809" s="690" t="s">
        <v>4060</v>
      </c>
      <c r="F7809" s="689">
        <v>62.4</v>
      </c>
      <c r="G7809" s="689">
        <v>62.7</v>
      </c>
      <c r="H7809" s="689">
        <v>63.5</v>
      </c>
      <c r="I7809" s="690" t="s">
        <v>4060</v>
      </c>
      <c r="J7809" s="690" t="s">
        <v>4060</v>
      </c>
      <c r="K7809" s="690" t="s">
        <v>4060</v>
      </c>
    </row>
    <row r="7811" spans="1:11">
      <c r="A7811" s="683" t="s">
        <v>4233</v>
      </c>
    </row>
    <row r="7812" spans="1:11">
      <c r="A7812" s="683" t="s">
        <v>4060</v>
      </c>
      <c r="B7812" s="682" t="s">
        <v>4234</v>
      </c>
    </row>
    <row r="7814" spans="1:11">
      <c r="A7814" s="682" t="s">
        <v>4331</v>
      </c>
    </row>
    <row r="7815" spans="1:11">
      <c r="A7815" s="682" t="s">
        <v>4210</v>
      </c>
      <c r="B7815" s="683" t="s">
        <v>4211</v>
      </c>
    </row>
    <row r="7816" spans="1:11">
      <c r="A7816" s="682" t="s">
        <v>4212</v>
      </c>
      <c r="B7816" s="682" t="s">
        <v>4213</v>
      </c>
    </row>
    <row r="7818" spans="1:11">
      <c r="A7818" s="683" t="s">
        <v>4214</v>
      </c>
      <c r="C7818" s="682" t="s">
        <v>4215</v>
      </c>
    </row>
    <row r="7819" spans="1:11">
      <c r="A7819" s="683" t="s">
        <v>4216</v>
      </c>
      <c r="C7819" s="682" t="s">
        <v>2967</v>
      </c>
    </row>
    <row r="7820" spans="1:11">
      <c r="A7820" s="683" t="s">
        <v>3893</v>
      </c>
      <c r="C7820" s="682" t="s">
        <v>2168</v>
      </c>
    </row>
    <row r="7821" spans="1:11">
      <c r="A7821" s="683" t="s">
        <v>4218</v>
      </c>
      <c r="C7821" s="682" t="s">
        <v>4247</v>
      </c>
    </row>
    <row r="7823" spans="1:11">
      <c r="A7823" s="684" t="s">
        <v>4220</v>
      </c>
      <c r="B7823" s="685" t="s">
        <v>4221</v>
      </c>
      <c r="C7823" s="685" t="s">
        <v>4222</v>
      </c>
      <c r="D7823" s="685" t="s">
        <v>4223</v>
      </c>
      <c r="E7823" s="685" t="s">
        <v>4224</v>
      </c>
      <c r="F7823" s="685" t="s">
        <v>4225</v>
      </c>
      <c r="G7823" s="685" t="s">
        <v>4226</v>
      </c>
      <c r="H7823" s="685" t="s">
        <v>4227</v>
      </c>
      <c r="I7823" s="685" t="s">
        <v>4228</v>
      </c>
      <c r="J7823" s="685" t="s">
        <v>4229</v>
      </c>
      <c r="K7823" s="685" t="s">
        <v>4230</v>
      </c>
    </row>
    <row r="7824" spans="1:11">
      <c r="A7824" s="686" t="s">
        <v>4231</v>
      </c>
      <c r="B7824" s="687" t="s">
        <v>4232</v>
      </c>
      <c r="C7824" s="687" t="s">
        <v>4232</v>
      </c>
      <c r="D7824" s="687" t="s">
        <v>4232</v>
      </c>
      <c r="E7824" s="687" t="s">
        <v>4232</v>
      </c>
      <c r="F7824" s="687" t="s">
        <v>4232</v>
      </c>
      <c r="G7824" s="687" t="s">
        <v>4232</v>
      </c>
      <c r="H7824" s="687" t="s">
        <v>4232</v>
      </c>
      <c r="I7824" s="687" t="s">
        <v>4232</v>
      </c>
      <c r="J7824" s="687" t="s">
        <v>4232</v>
      </c>
      <c r="K7824" s="687" t="s">
        <v>4232</v>
      </c>
    </row>
    <row r="7825" spans="1:11">
      <c r="A7825" s="688" t="s">
        <v>4064</v>
      </c>
      <c r="B7825" s="689">
        <v>64.900000000000006</v>
      </c>
      <c r="C7825" s="689">
        <v>65.099999999999994</v>
      </c>
      <c r="D7825" s="689">
        <v>65.099999999999994</v>
      </c>
      <c r="E7825" s="689">
        <v>65.3</v>
      </c>
      <c r="F7825" s="689">
        <v>65.3</v>
      </c>
      <c r="G7825" s="689">
        <v>65.400000000000006</v>
      </c>
      <c r="H7825" s="689">
        <v>65.7</v>
      </c>
      <c r="I7825" s="689">
        <v>64.8</v>
      </c>
      <c r="J7825" s="689">
        <v>64.5</v>
      </c>
      <c r="K7825" s="689">
        <v>65.2</v>
      </c>
    </row>
    <row r="7826" spans="1:11">
      <c r="A7826" s="688" t="s">
        <v>4065</v>
      </c>
      <c r="B7826" s="691">
        <v>65.099999999999994</v>
      </c>
      <c r="C7826" s="691">
        <v>65.5</v>
      </c>
      <c r="D7826" s="691">
        <v>65.3</v>
      </c>
      <c r="E7826" s="691">
        <v>65.599999999999994</v>
      </c>
      <c r="F7826" s="691">
        <v>65.7</v>
      </c>
      <c r="G7826" s="691">
        <v>65.7</v>
      </c>
      <c r="H7826" s="692" t="s">
        <v>4060</v>
      </c>
      <c r="I7826" s="692" t="s">
        <v>4060</v>
      </c>
      <c r="J7826" s="692" t="s">
        <v>4060</v>
      </c>
      <c r="K7826" s="692" t="s">
        <v>4060</v>
      </c>
    </row>
    <row r="7827" spans="1:11">
      <c r="A7827" s="688" t="s">
        <v>4063</v>
      </c>
      <c r="B7827" s="689">
        <v>65.2</v>
      </c>
      <c r="C7827" s="689">
        <v>65.5</v>
      </c>
      <c r="D7827" s="689">
        <v>65.3</v>
      </c>
      <c r="E7827" s="689">
        <v>65.599999999999994</v>
      </c>
      <c r="F7827" s="689">
        <v>65.7</v>
      </c>
      <c r="G7827" s="689">
        <v>65.8</v>
      </c>
      <c r="H7827" s="690" t="s">
        <v>4060</v>
      </c>
      <c r="I7827" s="690" t="s">
        <v>4060</v>
      </c>
      <c r="J7827" s="690" t="s">
        <v>4060</v>
      </c>
      <c r="K7827" s="690" t="s">
        <v>4060</v>
      </c>
    </row>
    <row r="7828" spans="1:11">
      <c r="A7828" s="688" t="s">
        <v>4069</v>
      </c>
      <c r="B7828" s="692" t="s">
        <v>4060</v>
      </c>
      <c r="C7828" s="691">
        <v>66.3</v>
      </c>
      <c r="D7828" s="691">
        <v>66.099999999999994</v>
      </c>
      <c r="E7828" s="691">
        <v>66.400000000000006</v>
      </c>
      <c r="F7828" s="691">
        <v>66.5</v>
      </c>
      <c r="G7828" s="691">
        <v>66.599999999999994</v>
      </c>
      <c r="H7828" s="691">
        <v>66.900000000000006</v>
      </c>
      <c r="I7828" s="691">
        <v>66.2</v>
      </c>
      <c r="J7828" s="691">
        <v>66.099999999999994</v>
      </c>
      <c r="K7828" s="691">
        <v>66.400000000000006</v>
      </c>
    </row>
    <row r="7829" spans="1:11">
      <c r="A7829" s="688" t="s">
        <v>4068</v>
      </c>
      <c r="B7829" s="689">
        <v>66.2</v>
      </c>
      <c r="C7829" s="690" t="s">
        <v>4060</v>
      </c>
      <c r="D7829" s="690" t="s">
        <v>4060</v>
      </c>
      <c r="E7829" s="690" t="s">
        <v>4060</v>
      </c>
      <c r="F7829" s="690" t="s">
        <v>4060</v>
      </c>
      <c r="G7829" s="690" t="s">
        <v>4060</v>
      </c>
      <c r="H7829" s="690" t="s">
        <v>4060</v>
      </c>
      <c r="I7829" s="690" t="s">
        <v>4060</v>
      </c>
      <c r="J7829" s="690" t="s">
        <v>4060</v>
      </c>
      <c r="K7829" s="690" t="s">
        <v>4060</v>
      </c>
    </row>
    <row r="7830" spans="1:11">
      <c r="A7830" s="688" t="s">
        <v>0</v>
      </c>
      <c r="B7830" s="691">
        <v>65.5</v>
      </c>
      <c r="C7830" s="615">
        <v>66</v>
      </c>
      <c r="D7830" s="691">
        <v>65.900000000000006</v>
      </c>
      <c r="E7830" s="691">
        <v>66.2</v>
      </c>
      <c r="F7830" s="691">
        <v>66.400000000000006</v>
      </c>
      <c r="G7830" s="691">
        <v>66.599999999999994</v>
      </c>
      <c r="H7830" s="615">
        <v>67</v>
      </c>
      <c r="I7830" s="691">
        <v>65.900000000000006</v>
      </c>
      <c r="J7830" s="691">
        <v>66.599999999999994</v>
      </c>
      <c r="K7830" s="691">
        <v>66.900000000000006</v>
      </c>
    </row>
    <row r="7831" spans="1:11">
      <c r="A7831" s="688" t="s">
        <v>1</v>
      </c>
      <c r="B7831" s="689">
        <v>59.2</v>
      </c>
      <c r="C7831" s="689">
        <v>58.8</v>
      </c>
      <c r="D7831" s="689">
        <v>58.8</v>
      </c>
      <c r="E7831" s="689">
        <v>58.8</v>
      </c>
      <c r="F7831" s="689">
        <v>58.9</v>
      </c>
      <c r="G7831" s="689">
        <v>58.9</v>
      </c>
      <c r="H7831" s="689">
        <v>58.8</v>
      </c>
      <c r="I7831" s="689">
        <v>57.1</v>
      </c>
      <c r="J7831" s="689">
        <v>55.3</v>
      </c>
      <c r="K7831" s="693">
        <v>58</v>
      </c>
    </row>
    <row r="7832" spans="1:11">
      <c r="A7832" s="688" t="s">
        <v>2240</v>
      </c>
      <c r="B7832" s="691">
        <v>62.6</v>
      </c>
      <c r="C7832" s="615">
        <v>63</v>
      </c>
      <c r="D7832" s="691">
        <v>62.9</v>
      </c>
      <c r="E7832" s="691">
        <v>63.4</v>
      </c>
      <c r="F7832" s="691">
        <v>63.4</v>
      </c>
      <c r="G7832" s="691">
        <v>63.4</v>
      </c>
      <c r="H7832" s="691">
        <v>63.7</v>
      </c>
      <c r="I7832" s="691">
        <v>62.6</v>
      </c>
      <c r="J7832" s="691">
        <v>61.4</v>
      </c>
      <c r="K7832" s="691">
        <v>63.3</v>
      </c>
    </row>
    <row r="7833" spans="1:11">
      <c r="A7833" s="688" t="s">
        <v>2</v>
      </c>
      <c r="B7833" s="689">
        <v>65.7</v>
      </c>
      <c r="C7833" s="693">
        <v>66</v>
      </c>
      <c r="D7833" s="689">
        <v>66.099999999999994</v>
      </c>
      <c r="E7833" s="689">
        <v>66.3</v>
      </c>
      <c r="F7833" s="689">
        <v>66.5</v>
      </c>
      <c r="G7833" s="689">
        <v>66.400000000000006</v>
      </c>
      <c r="H7833" s="689">
        <v>66.8</v>
      </c>
      <c r="I7833" s="689">
        <v>66.900000000000006</v>
      </c>
      <c r="J7833" s="689">
        <v>66.900000000000006</v>
      </c>
      <c r="K7833" s="689">
        <v>66.7</v>
      </c>
    </row>
    <row r="7834" spans="1:11">
      <c r="A7834" s="688" t="s">
        <v>3</v>
      </c>
      <c r="B7834" s="691">
        <v>65.5</v>
      </c>
      <c r="C7834" s="691">
        <v>65.8</v>
      </c>
      <c r="D7834" s="691">
        <v>65.5</v>
      </c>
      <c r="E7834" s="691">
        <v>65.8</v>
      </c>
      <c r="F7834" s="691">
        <v>65.900000000000006</v>
      </c>
      <c r="G7834" s="691">
        <v>65.900000000000006</v>
      </c>
      <c r="H7834" s="691">
        <v>66.2</v>
      </c>
      <c r="I7834" s="691">
        <v>65.900000000000006</v>
      </c>
      <c r="J7834" s="691">
        <v>65.599999999999994</v>
      </c>
      <c r="K7834" s="691">
        <v>65.5</v>
      </c>
    </row>
    <row r="7835" spans="1:11">
      <c r="A7835" s="688" t="s">
        <v>4061</v>
      </c>
      <c r="B7835" s="689">
        <v>65.5</v>
      </c>
      <c r="C7835" s="689">
        <v>65.8</v>
      </c>
      <c r="D7835" s="689">
        <v>65.5</v>
      </c>
      <c r="E7835" s="689">
        <v>65.8</v>
      </c>
      <c r="F7835" s="689">
        <v>65.900000000000006</v>
      </c>
      <c r="G7835" s="689">
        <v>65.900000000000006</v>
      </c>
      <c r="H7835" s="689">
        <v>66.2</v>
      </c>
      <c r="I7835" s="689">
        <v>65.900000000000006</v>
      </c>
      <c r="J7835" s="689">
        <v>65.599999999999994</v>
      </c>
      <c r="K7835" s="689">
        <v>65.5</v>
      </c>
    </row>
    <row r="7836" spans="1:11">
      <c r="A7836" s="688" t="s">
        <v>4</v>
      </c>
      <c r="B7836" s="691">
        <v>60.1</v>
      </c>
      <c r="C7836" s="691">
        <v>59.7</v>
      </c>
      <c r="D7836" s="691">
        <v>60.4</v>
      </c>
      <c r="E7836" s="691">
        <v>60.5</v>
      </c>
      <c r="F7836" s="615">
        <v>61</v>
      </c>
      <c r="G7836" s="691">
        <v>61.1</v>
      </c>
      <c r="H7836" s="691">
        <v>61.7</v>
      </c>
      <c r="I7836" s="691">
        <v>61.6</v>
      </c>
      <c r="J7836" s="691">
        <v>60.1</v>
      </c>
      <c r="K7836" s="691">
        <v>60.9</v>
      </c>
    </row>
    <row r="7837" spans="1:11">
      <c r="A7837" s="688" t="s">
        <v>8</v>
      </c>
      <c r="B7837" s="689">
        <v>66.400000000000006</v>
      </c>
      <c r="C7837" s="689">
        <v>66.599999999999994</v>
      </c>
      <c r="D7837" s="689">
        <v>66.900000000000006</v>
      </c>
      <c r="E7837" s="693">
        <v>67</v>
      </c>
      <c r="F7837" s="689">
        <v>67.5</v>
      </c>
      <c r="G7837" s="689">
        <v>67.5</v>
      </c>
      <c r="H7837" s="689">
        <v>67.900000000000006</v>
      </c>
      <c r="I7837" s="689">
        <v>67.8</v>
      </c>
      <c r="J7837" s="689">
        <v>67.599999999999994</v>
      </c>
      <c r="K7837" s="693">
        <v>68</v>
      </c>
    </row>
    <row r="7838" spans="1:11">
      <c r="A7838" s="688" t="s">
        <v>7</v>
      </c>
      <c r="B7838" s="691">
        <v>66.099999999999994</v>
      </c>
      <c r="C7838" s="691">
        <v>65.599999999999994</v>
      </c>
      <c r="D7838" s="691">
        <v>65.400000000000006</v>
      </c>
      <c r="E7838" s="691">
        <v>65.8</v>
      </c>
      <c r="F7838" s="691">
        <v>65.7</v>
      </c>
      <c r="G7838" s="691">
        <v>66.099999999999994</v>
      </c>
      <c r="H7838" s="691">
        <v>66.099999999999994</v>
      </c>
      <c r="I7838" s="691">
        <v>65.8</v>
      </c>
      <c r="J7838" s="691">
        <v>64.7</v>
      </c>
      <c r="K7838" s="691">
        <v>65.599999999999994</v>
      </c>
    </row>
    <row r="7839" spans="1:11">
      <c r="A7839" s="688" t="s">
        <v>27</v>
      </c>
      <c r="B7839" s="689">
        <v>67.5</v>
      </c>
      <c r="C7839" s="689">
        <v>67.400000000000006</v>
      </c>
      <c r="D7839" s="689">
        <v>67.2</v>
      </c>
      <c r="E7839" s="689">
        <v>67.599999999999994</v>
      </c>
      <c r="F7839" s="689">
        <v>67.599999999999994</v>
      </c>
      <c r="G7839" s="689">
        <v>67.7</v>
      </c>
      <c r="H7839" s="689">
        <v>68.099999999999994</v>
      </c>
      <c r="I7839" s="689">
        <v>66.8</v>
      </c>
      <c r="J7839" s="689">
        <v>67.5</v>
      </c>
      <c r="K7839" s="689">
        <v>67.7</v>
      </c>
    </row>
    <row r="7840" spans="1:11">
      <c r="A7840" s="688" t="s">
        <v>6</v>
      </c>
      <c r="B7840" s="691">
        <v>66.400000000000006</v>
      </c>
      <c r="C7840" s="691">
        <v>66.599999999999994</v>
      </c>
      <c r="D7840" s="691">
        <v>66.400000000000006</v>
      </c>
      <c r="E7840" s="691">
        <v>66.7</v>
      </c>
      <c r="F7840" s="691">
        <v>66.900000000000006</v>
      </c>
      <c r="G7840" s="615">
        <v>67</v>
      </c>
      <c r="H7840" s="691">
        <v>67.2</v>
      </c>
      <c r="I7840" s="691">
        <v>66.5</v>
      </c>
      <c r="J7840" s="691">
        <v>66.599999999999994</v>
      </c>
      <c r="K7840" s="691">
        <v>66.8</v>
      </c>
    </row>
    <row r="7841" spans="1:11">
      <c r="A7841" s="688" t="s">
        <v>4058</v>
      </c>
      <c r="B7841" s="690" t="s">
        <v>4060</v>
      </c>
      <c r="C7841" s="690" t="s">
        <v>4060</v>
      </c>
      <c r="D7841" s="690" t="s">
        <v>4060</v>
      </c>
      <c r="E7841" s="690" t="s">
        <v>4060</v>
      </c>
      <c r="F7841" s="690" t="s">
        <v>4060</v>
      </c>
      <c r="G7841" s="690" t="s">
        <v>4060</v>
      </c>
      <c r="H7841" s="690" t="s">
        <v>4060</v>
      </c>
      <c r="I7841" s="690" t="s">
        <v>4060</v>
      </c>
      <c r="J7841" s="690" t="s">
        <v>4060</v>
      </c>
      <c r="K7841" s="690" t="s">
        <v>4060</v>
      </c>
    </row>
    <row r="7842" spans="1:11">
      <c r="A7842" s="688" t="s">
        <v>11</v>
      </c>
      <c r="B7842" s="691">
        <v>61.9</v>
      </c>
      <c r="C7842" s="691">
        <v>62.1</v>
      </c>
      <c r="D7842" s="691">
        <v>61.7</v>
      </c>
      <c r="E7842" s="691">
        <v>62.3</v>
      </c>
      <c r="F7842" s="691">
        <v>62.3</v>
      </c>
      <c r="G7842" s="691">
        <v>62.3</v>
      </c>
      <c r="H7842" s="691">
        <v>62.6</v>
      </c>
      <c r="I7842" s="691">
        <v>61.9</v>
      </c>
      <c r="J7842" s="691">
        <v>60.9</v>
      </c>
      <c r="K7842" s="691">
        <v>62.1</v>
      </c>
    </row>
    <row r="7843" spans="1:11">
      <c r="A7843" s="688" t="s">
        <v>10</v>
      </c>
      <c r="B7843" s="689">
        <v>67.599999999999994</v>
      </c>
      <c r="C7843" s="689">
        <v>67.7</v>
      </c>
      <c r="D7843" s="689">
        <v>67.400000000000006</v>
      </c>
      <c r="E7843" s="693">
        <v>68</v>
      </c>
      <c r="F7843" s="689">
        <v>67.900000000000006</v>
      </c>
      <c r="G7843" s="689">
        <v>68.2</v>
      </c>
      <c r="H7843" s="689">
        <v>68.5</v>
      </c>
      <c r="I7843" s="689">
        <v>67.2</v>
      </c>
      <c r="J7843" s="689">
        <v>67.599999999999994</v>
      </c>
      <c r="K7843" s="689">
        <v>67.900000000000006</v>
      </c>
    </row>
    <row r="7844" spans="1:11">
      <c r="A7844" s="688" t="s">
        <v>30</v>
      </c>
      <c r="B7844" s="691">
        <v>67.400000000000006</v>
      </c>
      <c r="C7844" s="691">
        <v>67.599999999999994</v>
      </c>
      <c r="D7844" s="691">
        <v>67.3</v>
      </c>
      <c r="E7844" s="615">
        <v>68</v>
      </c>
      <c r="F7844" s="691">
        <v>67.7</v>
      </c>
      <c r="G7844" s="691">
        <v>68.400000000000006</v>
      </c>
      <c r="H7844" s="615">
        <v>68</v>
      </c>
      <c r="I7844" s="691">
        <v>68.099999999999994</v>
      </c>
      <c r="J7844" s="691">
        <v>67.099999999999994</v>
      </c>
      <c r="K7844" s="691">
        <v>67.7</v>
      </c>
    </row>
    <row r="7845" spans="1:11">
      <c r="A7845" s="688" t="s">
        <v>12</v>
      </c>
      <c r="B7845" s="689">
        <v>56.9</v>
      </c>
      <c r="C7845" s="689">
        <v>56.5</v>
      </c>
      <c r="D7845" s="689">
        <v>57.2</v>
      </c>
      <c r="E7845" s="689">
        <v>57.1</v>
      </c>
      <c r="F7845" s="689">
        <v>57.2</v>
      </c>
      <c r="G7845" s="689">
        <v>57.4</v>
      </c>
      <c r="H7845" s="689">
        <v>58.2</v>
      </c>
      <c r="I7845" s="693">
        <v>58</v>
      </c>
      <c r="J7845" s="689">
        <v>55.6</v>
      </c>
      <c r="K7845" s="689">
        <v>56.7</v>
      </c>
    </row>
    <row r="7846" spans="1:11">
      <c r="A7846" s="688" t="s">
        <v>14</v>
      </c>
      <c r="B7846" s="615">
        <v>56</v>
      </c>
      <c r="C7846" s="691">
        <v>56.6</v>
      </c>
      <c r="D7846" s="691">
        <v>56.6</v>
      </c>
      <c r="E7846" s="691">
        <v>56.9</v>
      </c>
      <c r="F7846" s="691">
        <v>58.1</v>
      </c>
      <c r="G7846" s="691">
        <v>58.3</v>
      </c>
      <c r="H7846" s="691">
        <v>58.8</v>
      </c>
      <c r="I7846" s="691">
        <v>57.5</v>
      </c>
      <c r="J7846" s="615">
        <v>57</v>
      </c>
      <c r="K7846" s="691">
        <v>58.7</v>
      </c>
    </row>
    <row r="7847" spans="1:11">
      <c r="A7847" s="688" t="s">
        <v>15</v>
      </c>
      <c r="B7847" s="689">
        <v>67.2</v>
      </c>
      <c r="C7847" s="689">
        <v>66.5</v>
      </c>
      <c r="D7847" s="689">
        <v>67.2</v>
      </c>
      <c r="E7847" s="689">
        <v>67.3</v>
      </c>
      <c r="F7847" s="689">
        <v>67.099999999999994</v>
      </c>
      <c r="G7847" s="689">
        <v>67.3</v>
      </c>
      <c r="H7847" s="689">
        <v>67.599999999999994</v>
      </c>
      <c r="I7847" s="689">
        <v>67.2</v>
      </c>
      <c r="J7847" s="689">
        <v>67.7</v>
      </c>
      <c r="K7847" s="689">
        <v>68.099999999999994</v>
      </c>
    </row>
    <row r="7848" spans="1:11">
      <c r="A7848" s="688" t="s">
        <v>29</v>
      </c>
      <c r="B7848" s="691">
        <v>59.7</v>
      </c>
      <c r="C7848" s="691">
        <v>59.7</v>
      </c>
      <c r="D7848" s="691">
        <v>59.7</v>
      </c>
      <c r="E7848" s="691">
        <v>59.9</v>
      </c>
      <c r="F7848" s="691">
        <v>59.9</v>
      </c>
      <c r="G7848" s="615">
        <v>60</v>
      </c>
      <c r="H7848" s="691">
        <v>60.4</v>
      </c>
      <c r="I7848" s="691">
        <v>59.6</v>
      </c>
      <c r="J7848" s="691">
        <v>58.1</v>
      </c>
      <c r="K7848" s="615">
        <v>60</v>
      </c>
    </row>
    <row r="7849" spans="1:11">
      <c r="A7849" s="688" t="s">
        <v>16</v>
      </c>
      <c r="B7849" s="689">
        <v>67.099999999999994</v>
      </c>
      <c r="C7849" s="693">
        <v>67</v>
      </c>
      <c r="D7849" s="689">
        <v>67.3</v>
      </c>
      <c r="E7849" s="693">
        <v>68</v>
      </c>
      <c r="F7849" s="689">
        <v>67.7</v>
      </c>
      <c r="G7849" s="689">
        <v>67.7</v>
      </c>
      <c r="H7849" s="689">
        <v>68.3</v>
      </c>
      <c r="I7849" s="689">
        <v>67.2</v>
      </c>
      <c r="J7849" s="689">
        <v>67.599999999999994</v>
      </c>
      <c r="K7849" s="689">
        <v>67.7</v>
      </c>
    </row>
    <row r="7850" spans="1:11">
      <c r="A7850" s="688" t="s">
        <v>17</v>
      </c>
      <c r="B7850" s="615">
        <v>67</v>
      </c>
      <c r="C7850" s="691">
        <v>67.3</v>
      </c>
      <c r="D7850" s="691">
        <v>67.099999999999994</v>
      </c>
      <c r="E7850" s="691">
        <v>67.3</v>
      </c>
      <c r="F7850" s="691">
        <v>67.5</v>
      </c>
      <c r="G7850" s="691">
        <v>67.5</v>
      </c>
      <c r="H7850" s="691">
        <v>67.900000000000006</v>
      </c>
      <c r="I7850" s="691">
        <v>67.099999999999994</v>
      </c>
      <c r="J7850" s="615">
        <v>67</v>
      </c>
      <c r="K7850" s="691">
        <v>67.5</v>
      </c>
    </row>
    <row r="7851" spans="1:11">
      <c r="A7851" s="688" t="s">
        <v>19</v>
      </c>
      <c r="B7851" s="693">
        <v>66</v>
      </c>
      <c r="C7851" s="689">
        <v>66.3</v>
      </c>
      <c r="D7851" s="693">
        <v>66</v>
      </c>
      <c r="E7851" s="689">
        <v>66.5</v>
      </c>
      <c r="F7851" s="689">
        <v>66.599999999999994</v>
      </c>
      <c r="G7851" s="689">
        <v>66.599999999999994</v>
      </c>
      <c r="H7851" s="689">
        <v>66.900000000000006</v>
      </c>
      <c r="I7851" s="689">
        <v>66.3</v>
      </c>
      <c r="J7851" s="689">
        <v>66.099999999999994</v>
      </c>
      <c r="K7851" s="689">
        <v>66.3</v>
      </c>
    </row>
    <row r="7852" spans="1:11">
      <c r="A7852" s="688" t="s">
        <v>20</v>
      </c>
      <c r="B7852" s="691">
        <v>60.5</v>
      </c>
      <c r="C7852" s="615">
        <v>61</v>
      </c>
      <c r="D7852" s="691">
        <v>60.8</v>
      </c>
      <c r="E7852" s="691">
        <v>61.2</v>
      </c>
      <c r="F7852" s="691">
        <v>61.2</v>
      </c>
      <c r="G7852" s="691">
        <v>61.1</v>
      </c>
      <c r="H7852" s="691">
        <v>61.4</v>
      </c>
      <c r="I7852" s="691">
        <v>59.7</v>
      </c>
      <c r="J7852" s="691">
        <v>58.9</v>
      </c>
      <c r="K7852" s="691">
        <v>60.6</v>
      </c>
    </row>
    <row r="7853" spans="1:11">
      <c r="A7853" s="688" t="s">
        <v>21</v>
      </c>
      <c r="B7853" s="693">
        <v>65</v>
      </c>
      <c r="C7853" s="689">
        <v>65.400000000000006</v>
      </c>
      <c r="D7853" s="689">
        <v>65.599999999999994</v>
      </c>
      <c r="E7853" s="689">
        <v>65.599999999999994</v>
      </c>
      <c r="F7853" s="689">
        <v>65.900000000000006</v>
      </c>
      <c r="G7853" s="689">
        <v>65.900000000000006</v>
      </c>
      <c r="H7853" s="689">
        <v>66.3</v>
      </c>
      <c r="I7853" s="689">
        <v>65.7</v>
      </c>
      <c r="J7853" s="689">
        <v>65.7</v>
      </c>
      <c r="K7853" s="689">
        <v>66.099999999999994</v>
      </c>
    </row>
    <row r="7854" spans="1:11">
      <c r="A7854" s="688" t="s">
        <v>22</v>
      </c>
      <c r="B7854" s="691">
        <v>59.6</v>
      </c>
      <c r="C7854" s="691">
        <v>59.2</v>
      </c>
      <c r="D7854" s="691">
        <v>59.2</v>
      </c>
      <c r="E7854" s="691">
        <v>59.3</v>
      </c>
      <c r="F7854" s="691">
        <v>59.3</v>
      </c>
      <c r="G7854" s="691">
        <v>59.3</v>
      </c>
      <c r="H7854" s="691">
        <v>59.5</v>
      </c>
      <c r="I7854" s="691">
        <v>57.9</v>
      </c>
      <c r="J7854" s="691">
        <v>56.7</v>
      </c>
      <c r="K7854" s="691">
        <v>58.9</v>
      </c>
    </row>
    <row r="7855" spans="1:11">
      <c r="A7855" s="688" t="s">
        <v>26</v>
      </c>
      <c r="B7855" s="689">
        <v>64.5</v>
      </c>
      <c r="C7855" s="689">
        <v>65.2</v>
      </c>
      <c r="D7855" s="689">
        <v>64.8</v>
      </c>
      <c r="E7855" s="689">
        <v>65.2</v>
      </c>
      <c r="F7855" s="689">
        <v>65.3</v>
      </c>
      <c r="G7855" s="689">
        <v>65.599999999999994</v>
      </c>
      <c r="H7855" s="689">
        <v>65.8</v>
      </c>
      <c r="I7855" s="693">
        <v>65</v>
      </c>
      <c r="J7855" s="689">
        <v>64.900000000000006</v>
      </c>
      <c r="K7855" s="689">
        <v>65.8</v>
      </c>
    </row>
    <row r="7856" spans="1:11">
      <c r="A7856" s="688" t="s">
        <v>25</v>
      </c>
      <c r="B7856" s="691">
        <v>60.5</v>
      </c>
      <c r="C7856" s="691">
        <v>60.9</v>
      </c>
      <c r="D7856" s="691">
        <v>60.7</v>
      </c>
      <c r="E7856" s="691">
        <v>61.4</v>
      </c>
      <c r="F7856" s="691">
        <v>61.3</v>
      </c>
      <c r="G7856" s="691">
        <v>61.4</v>
      </c>
      <c r="H7856" s="691">
        <v>61.9</v>
      </c>
      <c r="I7856" s="691">
        <v>61.1</v>
      </c>
      <c r="J7856" s="691">
        <v>58.7</v>
      </c>
      <c r="K7856" s="691">
        <v>61.2</v>
      </c>
    </row>
    <row r="7857" spans="1:11">
      <c r="A7857" s="688" t="s">
        <v>5</v>
      </c>
      <c r="B7857" s="689">
        <v>65.3</v>
      </c>
      <c r="C7857" s="689">
        <v>65.400000000000006</v>
      </c>
      <c r="D7857" s="689">
        <v>65.7</v>
      </c>
      <c r="E7857" s="689">
        <v>65.7</v>
      </c>
      <c r="F7857" s="693">
        <v>66</v>
      </c>
      <c r="G7857" s="689">
        <v>66.099999999999994</v>
      </c>
      <c r="H7857" s="689">
        <v>66.400000000000006</v>
      </c>
      <c r="I7857" s="689">
        <v>66.3</v>
      </c>
      <c r="J7857" s="689">
        <v>66.3</v>
      </c>
      <c r="K7857" s="689">
        <v>65.900000000000006</v>
      </c>
    </row>
    <row r="7858" spans="1:11">
      <c r="A7858" s="688" t="s">
        <v>23</v>
      </c>
      <c r="B7858" s="691">
        <v>67.5</v>
      </c>
      <c r="C7858" s="691">
        <v>67.599999999999994</v>
      </c>
      <c r="D7858" s="691">
        <v>67.599999999999994</v>
      </c>
      <c r="E7858" s="691">
        <v>67.8</v>
      </c>
      <c r="F7858" s="615">
        <v>68</v>
      </c>
      <c r="G7858" s="691">
        <v>68.099999999999994</v>
      </c>
      <c r="H7858" s="691">
        <v>68.599999999999994</v>
      </c>
      <c r="I7858" s="691">
        <v>67.900000000000006</v>
      </c>
      <c r="J7858" s="691">
        <v>68.5</v>
      </c>
      <c r="K7858" s="691">
        <v>68.599999999999994</v>
      </c>
    </row>
    <row r="7859" spans="1:11">
      <c r="A7859" s="688" t="s">
        <v>4067</v>
      </c>
      <c r="B7859" s="689">
        <v>65.2</v>
      </c>
      <c r="C7859" s="689">
        <v>65.5</v>
      </c>
      <c r="D7859" s="689">
        <v>65.3</v>
      </c>
      <c r="E7859" s="689">
        <v>65.599999999999994</v>
      </c>
      <c r="F7859" s="689">
        <v>65.7</v>
      </c>
      <c r="G7859" s="689">
        <v>65.8</v>
      </c>
      <c r="H7859" s="690" t="s">
        <v>4060</v>
      </c>
      <c r="I7859" s="690" t="s">
        <v>4060</v>
      </c>
      <c r="J7859" s="690" t="s">
        <v>4060</v>
      </c>
      <c r="K7859" s="690" t="s">
        <v>4060</v>
      </c>
    </row>
    <row r="7860" spans="1:11">
      <c r="A7860" s="688" t="s">
        <v>4066</v>
      </c>
      <c r="B7860" s="691">
        <v>65.2</v>
      </c>
      <c r="C7860" s="691">
        <v>65.599999999999994</v>
      </c>
      <c r="D7860" s="691">
        <v>65.3</v>
      </c>
      <c r="E7860" s="691">
        <v>65.7</v>
      </c>
      <c r="F7860" s="691">
        <v>65.7</v>
      </c>
      <c r="G7860" s="691">
        <v>65.8</v>
      </c>
      <c r="H7860" s="692" t="s">
        <v>4060</v>
      </c>
      <c r="I7860" s="692" t="s">
        <v>4060</v>
      </c>
      <c r="J7860" s="692" t="s">
        <v>4060</v>
      </c>
      <c r="K7860" s="692" t="s">
        <v>4060</v>
      </c>
    </row>
    <row r="7861" spans="1:11">
      <c r="A7861" s="688" t="s">
        <v>4062</v>
      </c>
      <c r="B7861" s="689">
        <v>67.7</v>
      </c>
      <c r="C7861" s="693">
        <v>68</v>
      </c>
      <c r="D7861" s="693">
        <v>68</v>
      </c>
      <c r="E7861" s="689">
        <v>68.400000000000006</v>
      </c>
      <c r="F7861" s="689">
        <v>68.5</v>
      </c>
      <c r="G7861" s="689">
        <v>68.7</v>
      </c>
      <c r="H7861" s="693">
        <v>69</v>
      </c>
      <c r="I7861" s="689">
        <v>68.5</v>
      </c>
      <c r="J7861" s="689">
        <v>68.900000000000006</v>
      </c>
      <c r="K7861" s="689">
        <v>68.7</v>
      </c>
    </row>
    <row r="7862" spans="1:11">
      <c r="A7862" s="688" t="s">
        <v>9</v>
      </c>
      <c r="B7862" s="691">
        <v>67.7</v>
      </c>
      <c r="C7862" s="691">
        <v>68.3</v>
      </c>
      <c r="D7862" s="691">
        <v>68.400000000000006</v>
      </c>
      <c r="E7862" s="691">
        <v>67.5</v>
      </c>
      <c r="F7862" s="691">
        <v>68.099999999999994</v>
      </c>
      <c r="G7862" s="691">
        <v>68.3</v>
      </c>
      <c r="H7862" s="691">
        <v>68.599999999999994</v>
      </c>
      <c r="I7862" s="691">
        <v>68.8</v>
      </c>
      <c r="J7862" s="615">
        <v>69</v>
      </c>
      <c r="K7862" s="615">
        <v>68</v>
      </c>
    </row>
    <row r="7863" spans="1:11">
      <c r="A7863" s="688" t="s">
        <v>13</v>
      </c>
      <c r="B7863" s="689">
        <v>67.7</v>
      </c>
      <c r="C7863" s="693">
        <v>68</v>
      </c>
      <c r="D7863" s="689">
        <v>68.599999999999994</v>
      </c>
      <c r="E7863" s="689">
        <v>67.599999999999994</v>
      </c>
      <c r="F7863" s="693">
        <v>68</v>
      </c>
      <c r="G7863" s="689">
        <v>67.400000000000006</v>
      </c>
      <c r="H7863" s="689">
        <v>69.400000000000006</v>
      </c>
      <c r="I7863" s="689">
        <v>67.5</v>
      </c>
      <c r="J7863" s="689">
        <v>69.099999999999994</v>
      </c>
      <c r="K7863" s="689">
        <v>69.8</v>
      </c>
    </row>
    <row r="7864" spans="1:11">
      <c r="A7864" s="688" t="s">
        <v>18</v>
      </c>
      <c r="B7864" s="691">
        <v>67.099999999999994</v>
      </c>
      <c r="C7864" s="691">
        <v>67.3</v>
      </c>
      <c r="D7864" s="691">
        <v>67.7</v>
      </c>
      <c r="E7864" s="691">
        <v>67.8</v>
      </c>
      <c r="F7864" s="691">
        <v>68.2</v>
      </c>
      <c r="G7864" s="691">
        <v>68.3</v>
      </c>
      <c r="H7864" s="691">
        <v>68.5</v>
      </c>
      <c r="I7864" s="691">
        <v>68.7</v>
      </c>
      <c r="J7864" s="691">
        <v>68.8</v>
      </c>
      <c r="K7864" s="691">
        <v>68.2</v>
      </c>
    </row>
    <row r="7865" spans="1:11">
      <c r="A7865" s="688" t="s">
        <v>24</v>
      </c>
      <c r="B7865" s="689">
        <v>68.099999999999994</v>
      </c>
      <c r="C7865" s="689">
        <v>68.400000000000006</v>
      </c>
      <c r="D7865" s="689">
        <v>68.2</v>
      </c>
      <c r="E7865" s="689">
        <v>68.8</v>
      </c>
      <c r="F7865" s="689">
        <v>68.8</v>
      </c>
      <c r="G7865" s="693">
        <v>69</v>
      </c>
      <c r="H7865" s="689">
        <v>69.2</v>
      </c>
      <c r="I7865" s="689">
        <v>68.400000000000006</v>
      </c>
      <c r="J7865" s="693">
        <v>69</v>
      </c>
      <c r="K7865" s="693">
        <v>69</v>
      </c>
    </row>
    <row r="7866" spans="1:11">
      <c r="A7866" s="688" t="s">
        <v>4059</v>
      </c>
      <c r="B7866" s="691">
        <v>66.599999999999994</v>
      </c>
      <c r="C7866" s="691">
        <v>66.900000000000006</v>
      </c>
      <c r="D7866" s="691">
        <v>66.7</v>
      </c>
      <c r="E7866" s="691">
        <v>66.8</v>
      </c>
      <c r="F7866" s="691">
        <v>66.900000000000006</v>
      </c>
      <c r="G7866" s="691">
        <v>66.900000000000006</v>
      </c>
      <c r="H7866" s="692" t="s">
        <v>4060</v>
      </c>
      <c r="I7866" s="692" t="s">
        <v>4060</v>
      </c>
      <c r="J7866" s="692" t="s">
        <v>4060</v>
      </c>
      <c r="K7866" s="692" t="s">
        <v>4060</v>
      </c>
    </row>
    <row r="7867" spans="1:11">
      <c r="A7867" s="688" t="s">
        <v>2324</v>
      </c>
      <c r="B7867" s="689">
        <v>61.6</v>
      </c>
      <c r="C7867" s="689">
        <v>61.6</v>
      </c>
      <c r="D7867" s="689">
        <v>61.6</v>
      </c>
      <c r="E7867" s="689">
        <v>61.4</v>
      </c>
      <c r="F7867" s="689">
        <v>61.2</v>
      </c>
      <c r="G7867" s="689">
        <v>61.8</v>
      </c>
      <c r="H7867" s="689">
        <v>61.3</v>
      </c>
      <c r="I7867" s="689">
        <v>60.5</v>
      </c>
      <c r="J7867" s="689">
        <v>57.9</v>
      </c>
      <c r="K7867" s="690" t="s">
        <v>4060</v>
      </c>
    </row>
    <row r="7868" spans="1:11">
      <c r="A7868" s="688" t="s">
        <v>2322</v>
      </c>
      <c r="B7868" s="692" t="s">
        <v>4060</v>
      </c>
      <c r="C7868" s="692" t="s">
        <v>4060</v>
      </c>
      <c r="D7868" s="692" t="s">
        <v>4060</v>
      </c>
      <c r="E7868" s="692" t="s">
        <v>4060</v>
      </c>
      <c r="F7868" s="692" t="s">
        <v>4060</v>
      </c>
      <c r="G7868" s="692" t="s">
        <v>4060</v>
      </c>
      <c r="H7868" s="692" t="s">
        <v>4060</v>
      </c>
      <c r="I7868" s="692" t="s">
        <v>4060</v>
      </c>
      <c r="J7868" s="692" t="s">
        <v>4060</v>
      </c>
      <c r="K7868" s="692" t="s">
        <v>4060</v>
      </c>
    </row>
    <row r="7869" spans="1:11">
      <c r="A7869" s="688" t="s">
        <v>2328</v>
      </c>
      <c r="B7869" s="689">
        <v>61.4</v>
      </c>
      <c r="C7869" s="689">
        <v>61.4</v>
      </c>
      <c r="D7869" s="689">
        <v>61.4</v>
      </c>
      <c r="E7869" s="689">
        <v>61.5</v>
      </c>
      <c r="F7869" s="689">
        <v>61.9</v>
      </c>
      <c r="G7869" s="689">
        <v>62.2</v>
      </c>
      <c r="H7869" s="689">
        <v>62.3</v>
      </c>
      <c r="I7869" s="689">
        <v>59.7</v>
      </c>
      <c r="J7869" s="689">
        <v>58.6</v>
      </c>
      <c r="K7869" s="690" t="s">
        <v>4060</v>
      </c>
    </row>
    <row r="7870" spans="1:11">
      <c r="A7870" s="688" t="s">
        <v>2496</v>
      </c>
      <c r="B7870" s="692" t="s">
        <v>4060</v>
      </c>
      <c r="C7870" s="691">
        <v>57.9</v>
      </c>
      <c r="D7870" s="691">
        <v>56.6</v>
      </c>
      <c r="E7870" s="691">
        <v>56.2</v>
      </c>
      <c r="F7870" s="691">
        <v>57.2</v>
      </c>
      <c r="G7870" s="691">
        <v>57.5</v>
      </c>
      <c r="H7870" s="691">
        <v>57.6</v>
      </c>
      <c r="I7870" s="692" t="s">
        <v>4060</v>
      </c>
      <c r="J7870" s="692" t="s">
        <v>4060</v>
      </c>
      <c r="K7870" s="615">
        <v>57</v>
      </c>
    </row>
    <row r="7871" spans="1:11">
      <c r="A7871" s="688" t="s">
        <v>2269</v>
      </c>
      <c r="B7871" s="693">
        <v>64</v>
      </c>
      <c r="C7871" s="689">
        <v>64.2</v>
      </c>
      <c r="D7871" s="689">
        <v>64.099999999999994</v>
      </c>
      <c r="E7871" s="689">
        <v>64.900000000000006</v>
      </c>
      <c r="F7871" s="689">
        <v>64.900000000000006</v>
      </c>
      <c r="G7871" s="689">
        <v>65.3</v>
      </c>
      <c r="H7871" s="689">
        <v>65.599999999999994</v>
      </c>
      <c r="I7871" s="689">
        <v>63.2</v>
      </c>
      <c r="J7871" s="689">
        <v>61.4</v>
      </c>
      <c r="K7871" s="689">
        <v>65.099999999999994</v>
      </c>
    </row>
    <row r="7872" spans="1:11">
      <c r="A7872" s="688" t="s">
        <v>2349</v>
      </c>
      <c r="B7872" s="691">
        <v>60.3</v>
      </c>
      <c r="C7872" s="691">
        <v>60.4</v>
      </c>
      <c r="D7872" s="691">
        <v>60.3</v>
      </c>
      <c r="E7872" s="691">
        <v>60.8</v>
      </c>
      <c r="F7872" s="691">
        <v>60.7</v>
      </c>
      <c r="G7872" s="615">
        <v>61</v>
      </c>
      <c r="H7872" s="691">
        <v>60.9</v>
      </c>
      <c r="I7872" s="691">
        <v>59.1</v>
      </c>
      <c r="J7872" s="691">
        <v>57.5</v>
      </c>
      <c r="K7872" s="691">
        <v>60.1</v>
      </c>
    </row>
    <row r="7873" spans="1:11">
      <c r="A7873" s="688" t="s">
        <v>2355</v>
      </c>
      <c r="B7873" s="689">
        <v>63.7</v>
      </c>
      <c r="C7873" s="689">
        <v>63.7</v>
      </c>
      <c r="D7873" s="689">
        <v>63.6</v>
      </c>
      <c r="E7873" s="689">
        <v>63.5</v>
      </c>
      <c r="F7873" s="689">
        <v>63.8</v>
      </c>
      <c r="G7873" s="689">
        <v>64.3</v>
      </c>
      <c r="H7873" s="689">
        <v>64.5</v>
      </c>
      <c r="I7873" s="690" t="s">
        <v>4060</v>
      </c>
      <c r="J7873" s="690" t="s">
        <v>4060</v>
      </c>
      <c r="K7873" s="690" t="s">
        <v>4060</v>
      </c>
    </row>
    <row r="7874" spans="1:11">
      <c r="A7874" s="688" t="s">
        <v>2357</v>
      </c>
      <c r="B7874" s="692" t="s">
        <v>4060</v>
      </c>
      <c r="C7874" s="691">
        <v>54.4</v>
      </c>
      <c r="D7874" s="691">
        <v>55.3</v>
      </c>
      <c r="E7874" s="691">
        <v>55.7</v>
      </c>
      <c r="F7874" s="615">
        <v>56</v>
      </c>
      <c r="G7874" s="691">
        <v>55.8</v>
      </c>
      <c r="H7874" s="691">
        <v>56.1</v>
      </c>
      <c r="I7874" s="692" t="s">
        <v>4060</v>
      </c>
      <c r="J7874" s="692" t="s">
        <v>4060</v>
      </c>
      <c r="K7874" s="692" t="s">
        <v>4060</v>
      </c>
    </row>
    <row r="7875" spans="1:11">
      <c r="A7875" s="688" t="s">
        <v>4070</v>
      </c>
      <c r="B7875" s="690" t="s">
        <v>4060</v>
      </c>
      <c r="C7875" s="690" t="s">
        <v>4060</v>
      </c>
      <c r="D7875" s="690" t="s">
        <v>4060</v>
      </c>
      <c r="E7875" s="689">
        <v>63.6</v>
      </c>
      <c r="F7875" s="690" t="s">
        <v>4060</v>
      </c>
      <c r="G7875" s="690" t="s">
        <v>4060</v>
      </c>
      <c r="H7875" s="690" t="s">
        <v>4060</v>
      </c>
      <c r="I7875" s="690" t="s">
        <v>4060</v>
      </c>
      <c r="J7875" s="690" t="s">
        <v>4060</v>
      </c>
      <c r="K7875" s="690" t="s">
        <v>4060</v>
      </c>
    </row>
    <row r="7876" spans="1:11">
      <c r="A7876" s="688" t="s">
        <v>2491</v>
      </c>
      <c r="B7876" s="691">
        <v>54.7</v>
      </c>
      <c r="C7876" s="691">
        <v>55.3</v>
      </c>
      <c r="D7876" s="615">
        <v>56</v>
      </c>
      <c r="E7876" s="691">
        <v>56.4</v>
      </c>
      <c r="F7876" s="691">
        <v>56.6</v>
      </c>
      <c r="G7876" s="691">
        <v>56.6</v>
      </c>
      <c r="H7876" s="692" t="s">
        <v>4060</v>
      </c>
      <c r="I7876" s="692" t="s">
        <v>4060</v>
      </c>
      <c r="J7876" s="692" t="s">
        <v>4060</v>
      </c>
      <c r="K7876" s="692" t="s">
        <v>4060</v>
      </c>
    </row>
    <row r="7877" spans="1:11">
      <c r="A7877" s="688" t="s">
        <v>2343</v>
      </c>
      <c r="B7877" s="690" t="s">
        <v>4060</v>
      </c>
      <c r="C7877" s="690" t="s">
        <v>4060</v>
      </c>
      <c r="D7877" s="690" t="s">
        <v>4060</v>
      </c>
      <c r="E7877" s="690" t="s">
        <v>4060</v>
      </c>
      <c r="F7877" s="690" t="s">
        <v>4060</v>
      </c>
      <c r="G7877" s="690" t="s">
        <v>4060</v>
      </c>
      <c r="H7877" s="690" t="s">
        <v>4060</v>
      </c>
      <c r="I7877" s="690" t="s">
        <v>4060</v>
      </c>
      <c r="J7877" s="690" t="s">
        <v>4060</v>
      </c>
      <c r="K7877" s="690" t="s">
        <v>4060</v>
      </c>
    </row>
    <row r="7878" spans="1:11">
      <c r="A7878" s="688" t="s">
        <v>4071</v>
      </c>
      <c r="B7878" s="692" t="s">
        <v>4060</v>
      </c>
      <c r="C7878" s="692" t="s">
        <v>4060</v>
      </c>
      <c r="D7878" s="692" t="s">
        <v>4060</v>
      </c>
      <c r="E7878" s="692" t="s">
        <v>4060</v>
      </c>
      <c r="F7878" s="692" t="s">
        <v>4060</v>
      </c>
      <c r="G7878" s="692" t="s">
        <v>4060</v>
      </c>
      <c r="H7878" s="692" t="s">
        <v>4060</v>
      </c>
      <c r="I7878" s="692" t="s">
        <v>4060</v>
      </c>
      <c r="J7878" s="692" t="s">
        <v>4060</v>
      </c>
      <c r="K7878" s="692" t="s">
        <v>4060</v>
      </c>
    </row>
    <row r="7879" spans="1:11">
      <c r="A7879" s="688" t="s">
        <v>2489</v>
      </c>
      <c r="B7879" s="690" t="s">
        <v>4060</v>
      </c>
      <c r="C7879" s="690" t="s">
        <v>4060</v>
      </c>
      <c r="D7879" s="689">
        <v>59.6</v>
      </c>
      <c r="E7879" s="689">
        <v>59.4</v>
      </c>
      <c r="F7879" s="689">
        <v>60.3</v>
      </c>
      <c r="G7879" s="689">
        <v>61.1</v>
      </c>
      <c r="H7879" s="689">
        <v>60.8</v>
      </c>
      <c r="I7879" s="690" t="s">
        <v>4060</v>
      </c>
      <c r="J7879" s="690" t="s">
        <v>4060</v>
      </c>
      <c r="K7879" s="690" t="s">
        <v>4060</v>
      </c>
    </row>
    <row r="7880" spans="1:11">
      <c r="A7880" s="688" t="s">
        <v>2490</v>
      </c>
      <c r="B7880" s="691">
        <v>60.3</v>
      </c>
      <c r="C7880" s="691">
        <v>60.4</v>
      </c>
      <c r="D7880" s="691">
        <v>61.2</v>
      </c>
      <c r="E7880" s="692" t="s">
        <v>4060</v>
      </c>
      <c r="F7880" s="691">
        <v>61.5</v>
      </c>
      <c r="G7880" s="691">
        <v>61.7</v>
      </c>
      <c r="H7880" s="691">
        <v>62.5</v>
      </c>
      <c r="I7880" s="692" t="s">
        <v>4060</v>
      </c>
      <c r="J7880" s="692" t="s">
        <v>4060</v>
      </c>
      <c r="K7880" s="692" t="s">
        <v>4060</v>
      </c>
    </row>
    <row r="7882" spans="1:11">
      <c r="A7882" s="683" t="s">
        <v>4233</v>
      </c>
    </row>
    <row r="7883" spans="1:11">
      <c r="A7883" s="683" t="s">
        <v>4060</v>
      </c>
      <c r="B7883" s="682" t="s">
        <v>4234</v>
      </c>
    </row>
    <row r="7885" spans="1:11">
      <c r="A7885" s="682" t="s">
        <v>4331</v>
      </c>
    </row>
    <row r="7886" spans="1:11">
      <c r="A7886" s="682" t="s">
        <v>4210</v>
      </c>
      <c r="B7886" s="683" t="s">
        <v>4211</v>
      </c>
    </row>
    <row r="7887" spans="1:11">
      <c r="A7887" s="682" t="s">
        <v>4212</v>
      </c>
      <c r="B7887" s="682" t="s">
        <v>4213</v>
      </c>
    </row>
    <row r="7889" spans="1:11">
      <c r="A7889" s="683" t="s">
        <v>4214</v>
      </c>
      <c r="C7889" s="682" t="s">
        <v>4215</v>
      </c>
    </row>
    <row r="7890" spans="1:11">
      <c r="A7890" s="683" t="s">
        <v>4216</v>
      </c>
      <c r="C7890" s="682" t="s">
        <v>2967</v>
      </c>
    </row>
    <row r="7891" spans="1:11">
      <c r="A7891" s="683" t="s">
        <v>3893</v>
      </c>
      <c r="C7891" s="682" t="s">
        <v>2168</v>
      </c>
    </row>
    <row r="7892" spans="1:11">
      <c r="A7892" s="683" t="s">
        <v>4218</v>
      </c>
      <c r="C7892" s="682" t="s">
        <v>4249</v>
      </c>
    </row>
    <row r="7894" spans="1:11">
      <c r="A7894" s="684" t="s">
        <v>4220</v>
      </c>
      <c r="B7894" s="685" t="s">
        <v>4221</v>
      </c>
      <c r="C7894" s="685" t="s">
        <v>4222</v>
      </c>
      <c r="D7894" s="685" t="s">
        <v>4223</v>
      </c>
      <c r="E7894" s="685" t="s">
        <v>4224</v>
      </c>
      <c r="F7894" s="685" t="s">
        <v>4225</v>
      </c>
      <c r="G7894" s="685" t="s">
        <v>4226</v>
      </c>
      <c r="H7894" s="685" t="s">
        <v>4227</v>
      </c>
      <c r="I7894" s="685" t="s">
        <v>4228</v>
      </c>
      <c r="J7894" s="685" t="s">
        <v>4229</v>
      </c>
      <c r="K7894" s="685" t="s">
        <v>4230</v>
      </c>
    </row>
    <row r="7895" spans="1:11">
      <c r="A7895" s="686" t="s">
        <v>4231</v>
      </c>
      <c r="B7895" s="687" t="s">
        <v>4232</v>
      </c>
      <c r="C7895" s="687" t="s">
        <v>4232</v>
      </c>
      <c r="D7895" s="687" t="s">
        <v>4232</v>
      </c>
      <c r="E7895" s="687" t="s">
        <v>4232</v>
      </c>
      <c r="F7895" s="687" t="s">
        <v>4232</v>
      </c>
      <c r="G7895" s="687" t="s">
        <v>4232</v>
      </c>
      <c r="H7895" s="687" t="s">
        <v>4232</v>
      </c>
      <c r="I7895" s="687" t="s">
        <v>4232</v>
      </c>
      <c r="J7895" s="687" t="s">
        <v>4232</v>
      </c>
      <c r="K7895" s="687" t="s">
        <v>4232</v>
      </c>
    </row>
    <row r="7896" spans="1:11">
      <c r="A7896" s="688" t="s">
        <v>4064</v>
      </c>
      <c r="B7896" s="691">
        <v>63.9</v>
      </c>
      <c r="C7896" s="691">
        <v>64.099999999999994</v>
      </c>
      <c r="D7896" s="691">
        <v>64.099999999999994</v>
      </c>
      <c r="E7896" s="691">
        <v>64.3</v>
      </c>
      <c r="F7896" s="691">
        <v>64.400000000000006</v>
      </c>
      <c r="G7896" s="691">
        <v>64.400000000000006</v>
      </c>
      <c r="H7896" s="691">
        <v>64.7</v>
      </c>
      <c r="I7896" s="691">
        <v>63.8</v>
      </c>
      <c r="J7896" s="691">
        <v>63.5</v>
      </c>
      <c r="K7896" s="691">
        <v>64.2</v>
      </c>
    </row>
    <row r="7897" spans="1:11">
      <c r="A7897" s="688" t="s">
        <v>4065</v>
      </c>
      <c r="B7897" s="689">
        <v>64.099999999999994</v>
      </c>
      <c r="C7897" s="689">
        <v>64.5</v>
      </c>
      <c r="D7897" s="689">
        <v>64.3</v>
      </c>
      <c r="E7897" s="689">
        <v>64.599999999999994</v>
      </c>
      <c r="F7897" s="689">
        <v>64.7</v>
      </c>
      <c r="G7897" s="689">
        <v>64.7</v>
      </c>
      <c r="H7897" s="690" t="s">
        <v>4060</v>
      </c>
      <c r="I7897" s="690" t="s">
        <v>4060</v>
      </c>
      <c r="J7897" s="690" t="s">
        <v>4060</v>
      </c>
      <c r="K7897" s="690" t="s">
        <v>4060</v>
      </c>
    </row>
    <row r="7898" spans="1:11">
      <c r="A7898" s="688" t="s">
        <v>4063</v>
      </c>
      <c r="B7898" s="691">
        <v>64.2</v>
      </c>
      <c r="C7898" s="691">
        <v>64.5</v>
      </c>
      <c r="D7898" s="691">
        <v>64.3</v>
      </c>
      <c r="E7898" s="691">
        <v>64.7</v>
      </c>
      <c r="F7898" s="691">
        <v>64.7</v>
      </c>
      <c r="G7898" s="691">
        <v>64.8</v>
      </c>
      <c r="H7898" s="692" t="s">
        <v>4060</v>
      </c>
      <c r="I7898" s="692" t="s">
        <v>4060</v>
      </c>
      <c r="J7898" s="692" t="s">
        <v>4060</v>
      </c>
      <c r="K7898" s="692" t="s">
        <v>4060</v>
      </c>
    </row>
    <row r="7899" spans="1:11">
      <c r="A7899" s="688" t="s">
        <v>4069</v>
      </c>
      <c r="B7899" s="690" t="s">
        <v>4060</v>
      </c>
      <c r="C7899" s="689">
        <v>65.3</v>
      </c>
      <c r="D7899" s="689">
        <v>65.099999999999994</v>
      </c>
      <c r="E7899" s="689">
        <v>65.400000000000006</v>
      </c>
      <c r="F7899" s="689">
        <v>65.5</v>
      </c>
      <c r="G7899" s="689">
        <v>65.599999999999994</v>
      </c>
      <c r="H7899" s="689">
        <v>65.900000000000006</v>
      </c>
      <c r="I7899" s="689">
        <v>65.2</v>
      </c>
      <c r="J7899" s="689">
        <v>65.2</v>
      </c>
      <c r="K7899" s="689">
        <v>65.400000000000006</v>
      </c>
    </row>
    <row r="7900" spans="1:11">
      <c r="A7900" s="688" t="s">
        <v>4068</v>
      </c>
      <c r="B7900" s="691">
        <v>65.2</v>
      </c>
      <c r="C7900" s="692" t="s">
        <v>4060</v>
      </c>
      <c r="D7900" s="692" t="s">
        <v>4060</v>
      </c>
      <c r="E7900" s="692" t="s">
        <v>4060</v>
      </c>
      <c r="F7900" s="692" t="s">
        <v>4060</v>
      </c>
      <c r="G7900" s="692" t="s">
        <v>4060</v>
      </c>
      <c r="H7900" s="692" t="s">
        <v>4060</v>
      </c>
      <c r="I7900" s="692" t="s">
        <v>4060</v>
      </c>
      <c r="J7900" s="692" t="s">
        <v>4060</v>
      </c>
      <c r="K7900" s="692" t="s">
        <v>4060</v>
      </c>
    </row>
    <row r="7901" spans="1:11">
      <c r="A7901" s="688" t="s">
        <v>0</v>
      </c>
      <c r="B7901" s="689">
        <v>64.5</v>
      </c>
      <c r="C7901" s="693">
        <v>65</v>
      </c>
      <c r="D7901" s="689">
        <v>64.900000000000006</v>
      </c>
      <c r="E7901" s="689">
        <v>65.2</v>
      </c>
      <c r="F7901" s="689">
        <v>65.400000000000006</v>
      </c>
      <c r="G7901" s="689">
        <v>65.599999999999994</v>
      </c>
      <c r="H7901" s="693">
        <v>66</v>
      </c>
      <c r="I7901" s="689">
        <v>64.900000000000006</v>
      </c>
      <c r="J7901" s="689">
        <v>65.599999999999994</v>
      </c>
      <c r="K7901" s="689">
        <v>65.900000000000006</v>
      </c>
    </row>
    <row r="7902" spans="1:11">
      <c r="A7902" s="688" t="s">
        <v>1</v>
      </c>
      <c r="B7902" s="691">
        <v>58.2</v>
      </c>
      <c r="C7902" s="691">
        <v>57.8</v>
      </c>
      <c r="D7902" s="691">
        <v>57.8</v>
      </c>
      <c r="E7902" s="691">
        <v>57.9</v>
      </c>
      <c r="F7902" s="691">
        <v>57.9</v>
      </c>
      <c r="G7902" s="691">
        <v>57.9</v>
      </c>
      <c r="H7902" s="691">
        <v>57.8</v>
      </c>
      <c r="I7902" s="691">
        <v>56.2</v>
      </c>
      <c r="J7902" s="691">
        <v>54.3</v>
      </c>
      <c r="K7902" s="691">
        <v>57.1</v>
      </c>
    </row>
    <row r="7903" spans="1:11">
      <c r="A7903" s="688" t="s">
        <v>2240</v>
      </c>
      <c r="B7903" s="689">
        <v>61.6</v>
      </c>
      <c r="C7903" s="693">
        <v>62</v>
      </c>
      <c r="D7903" s="693">
        <v>62</v>
      </c>
      <c r="E7903" s="689">
        <v>62.4</v>
      </c>
      <c r="F7903" s="689">
        <v>62.4</v>
      </c>
      <c r="G7903" s="689">
        <v>62.4</v>
      </c>
      <c r="H7903" s="689">
        <v>62.7</v>
      </c>
      <c r="I7903" s="689">
        <v>61.6</v>
      </c>
      <c r="J7903" s="689">
        <v>60.4</v>
      </c>
      <c r="K7903" s="689">
        <v>62.3</v>
      </c>
    </row>
    <row r="7904" spans="1:11">
      <c r="A7904" s="688" t="s">
        <v>2</v>
      </c>
      <c r="B7904" s="691">
        <v>64.7</v>
      </c>
      <c r="C7904" s="615">
        <v>65</v>
      </c>
      <c r="D7904" s="691">
        <v>65.2</v>
      </c>
      <c r="E7904" s="691">
        <v>65.3</v>
      </c>
      <c r="F7904" s="691">
        <v>65.5</v>
      </c>
      <c r="G7904" s="691">
        <v>65.400000000000006</v>
      </c>
      <c r="H7904" s="691">
        <v>65.8</v>
      </c>
      <c r="I7904" s="615">
        <v>66</v>
      </c>
      <c r="J7904" s="691">
        <v>65.900000000000006</v>
      </c>
      <c r="K7904" s="691">
        <v>65.7</v>
      </c>
    </row>
    <row r="7905" spans="1:11">
      <c r="A7905" s="688" t="s">
        <v>3</v>
      </c>
      <c r="B7905" s="689">
        <v>64.5</v>
      </c>
      <c r="C7905" s="689">
        <v>64.8</v>
      </c>
      <c r="D7905" s="689">
        <v>64.5</v>
      </c>
      <c r="E7905" s="689">
        <v>64.8</v>
      </c>
      <c r="F7905" s="689">
        <v>64.900000000000006</v>
      </c>
      <c r="G7905" s="689">
        <v>64.900000000000006</v>
      </c>
      <c r="H7905" s="689">
        <v>65.2</v>
      </c>
      <c r="I7905" s="689">
        <v>64.900000000000006</v>
      </c>
      <c r="J7905" s="689">
        <v>64.599999999999994</v>
      </c>
      <c r="K7905" s="689">
        <v>64.5</v>
      </c>
    </row>
    <row r="7906" spans="1:11">
      <c r="A7906" s="688" t="s">
        <v>4061</v>
      </c>
      <c r="B7906" s="691">
        <v>64.5</v>
      </c>
      <c r="C7906" s="691">
        <v>64.8</v>
      </c>
      <c r="D7906" s="691">
        <v>64.5</v>
      </c>
      <c r="E7906" s="691">
        <v>64.8</v>
      </c>
      <c r="F7906" s="691">
        <v>64.900000000000006</v>
      </c>
      <c r="G7906" s="691">
        <v>64.900000000000006</v>
      </c>
      <c r="H7906" s="691">
        <v>65.2</v>
      </c>
      <c r="I7906" s="691">
        <v>64.900000000000006</v>
      </c>
      <c r="J7906" s="691">
        <v>64.599999999999994</v>
      </c>
      <c r="K7906" s="691">
        <v>64.5</v>
      </c>
    </row>
    <row r="7907" spans="1:11">
      <c r="A7907" s="688" t="s">
        <v>4</v>
      </c>
      <c r="B7907" s="689">
        <v>59.1</v>
      </c>
      <c r="C7907" s="689">
        <v>58.7</v>
      </c>
      <c r="D7907" s="689">
        <v>59.4</v>
      </c>
      <c r="E7907" s="689">
        <v>59.5</v>
      </c>
      <c r="F7907" s="693">
        <v>60</v>
      </c>
      <c r="G7907" s="689">
        <v>60.2</v>
      </c>
      <c r="H7907" s="689">
        <v>60.7</v>
      </c>
      <c r="I7907" s="689">
        <v>60.6</v>
      </c>
      <c r="J7907" s="689">
        <v>59.1</v>
      </c>
      <c r="K7907" s="689">
        <v>59.9</v>
      </c>
    </row>
    <row r="7908" spans="1:11">
      <c r="A7908" s="688" t="s">
        <v>8</v>
      </c>
      <c r="B7908" s="691">
        <v>65.400000000000006</v>
      </c>
      <c r="C7908" s="691">
        <v>65.599999999999994</v>
      </c>
      <c r="D7908" s="691">
        <v>65.900000000000006</v>
      </c>
      <c r="E7908" s="615">
        <v>66</v>
      </c>
      <c r="F7908" s="691">
        <v>66.5</v>
      </c>
      <c r="G7908" s="691">
        <v>66.5</v>
      </c>
      <c r="H7908" s="691">
        <v>66.900000000000006</v>
      </c>
      <c r="I7908" s="691">
        <v>66.900000000000006</v>
      </c>
      <c r="J7908" s="691">
        <v>66.599999999999994</v>
      </c>
      <c r="K7908" s="615">
        <v>67</v>
      </c>
    </row>
    <row r="7909" spans="1:11">
      <c r="A7909" s="688" t="s">
        <v>7</v>
      </c>
      <c r="B7909" s="689">
        <v>65.099999999999994</v>
      </c>
      <c r="C7909" s="689">
        <v>64.599999999999994</v>
      </c>
      <c r="D7909" s="689">
        <v>64.400000000000006</v>
      </c>
      <c r="E7909" s="689">
        <v>64.8</v>
      </c>
      <c r="F7909" s="689">
        <v>64.7</v>
      </c>
      <c r="G7909" s="689">
        <v>65.2</v>
      </c>
      <c r="H7909" s="689">
        <v>65.099999999999994</v>
      </c>
      <c r="I7909" s="689">
        <v>64.900000000000006</v>
      </c>
      <c r="J7909" s="689">
        <v>63.7</v>
      </c>
      <c r="K7909" s="689">
        <v>64.599999999999994</v>
      </c>
    </row>
    <row r="7910" spans="1:11">
      <c r="A7910" s="688" t="s">
        <v>27</v>
      </c>
      <c r="B7910" s="691">
        <v>66.5</v>
      </c>
      <c r="C7910" s="691">
        <v>66.400000000000006</v>
      </c>
      <c r="D7910" s="691">
        <v>66.2</v>
      </c>
      <c r="E7910" s="691">
        <v>66.599999999999994</v>
      </c>
      <c r="F7910" s="691">
        <v>66.599999999999994</v>
      </c>
      <c r="G7910" s="691">
        <v>66.7</v>
      </c>
      <c r="H7910" s="691">
        <v>67.099999999999994</v>
      </c>
      <c r="I7910" s="691">
        <v>65.8</v>
      </c>
      <c r="J7910" s="691">
        <v>66.5</v>
      </c>
      <c r="K7910" s="691">
        <v>66.7</v>
      </c>
    </row>
    <row r="7911" spans="1:11">
      <c r="A7911" s="688" t="s">
        <v>6</v>
      </c>
      <c r="B7911" s="689">
        <v>65.400000000000006</v>
      </c>
      <c r="C7911" s="689">
        <v>65.7</v>
      </c>
      <c r="D7911" s="689">
        <v>65.400000000000006</v>
      </c>
      <c r="E7911" s="689">
        <v>65.7</v>
      </c>
      <c r="F7911" s="689">
        <v>65.900000000000006</v>
      </c>
      <c r="G7911" s="693">
        <v>66</v>
      </c>
      <c r="H7911" s="689">
        <v>66.2</v>
      </c>
      <c r="I7911" s="689">
        <v>65.5</v>
      </c>
      <c r="J7911" s="689">
        <v>65.599999999999994</v>
      </c>
      <c r="K7911" s="689">
        <v>65.8</v>
      </c>
    </row>
    <row r="7912" spans="1:11">
      <c r="A7912" s="688" t="s">
        <v>4058</v>
      </c>
      <c r="B7912" s="692" t="s">
        <v>4060</v>
      </c>
      <c r="C7912" s="692" t="s">
        <v>4060</v>
      </c>
      <c r="D7912" s="692" t="s">
        <v>4060</v>
      </c>
      <c r="E7912" s="692" t="s">
        <v>4060</v>
      </c>
      <c r="F7912" s="692" t="s">
        <v>4060</v>
      </c>
      <c r="G7912" s="692" t="s">
        <v>4060</v>
      </c>
      <c r="H7912" s="692" t="s">
        <v>4060</v>
      </c>
      <c r="I7912" s="692" t="s">
        <v>4060</v>
      </c>
      <c r="J7912" s="692" t="s">
        <v>4060</v>
      </c>
      <c r="K7912" s="692" t="s">
        <v>4060</v>
      </c>
    </row>
    <row r="7913" spans="1:11">
      <c r="A7913" s="688" t="s">
        <v>11</v>
      </c>
      <c r="B7913" s="689">
        <v>60.9</v>
      </c>
      <c r="C7913" s="689">
        <v>61.1</v>
      </c>
      <c r="D7913" s="689">
        <v>60.7</v>
      </c>
      <c r="E7913" s="689">
        <v>61.3</v>
      </c>
      <c r="F7913" s="689">
        <v>61.3</v>
      </c>
      <c r="G7913" s="689">
        <v>61.3</v>
      </c>
      <c r="H7913" s="689">
        <v>61.6</v>
      </c>
      <c r="I7913" s="689">
        <v>60.9</v>
      </c>
      <c r="J7913" s="689">
        <v>59.9</v>
      </c>
      <c r="K7913" s="689">
        <v>61.1</v>
      </c>
    </row>
    <row r="7914" spans="1:11">
      <c r="A7914" s="688" t="s">
        <v>10</v>
      </c>
      <c r="B7914" s="691">
        <v>66.599999999999994</v>
      </c>
      <c r="C7914" s="691">
        <v>66.7</v>
      </c>
      <c r="D7914" s="691">
        <v>66.400000000000006</v>
      </c>
      <c r="E7914" s="615">
        <v>67</v>
      </c>
      <c r="F7914" s="691">
        <v>66.900000000000006</v>
      </c>
      <c r="G7914" s="691">
        <v>67.2</v>
      </c>
      <c r="H7914" s="691">
        <v>67.5</v>
      </c>
      <c r="I7914" s="691">
        <v>66.2</v>
      </c>
      <c r="J7914" s="691">
        <v>66.599999999999994</v>
      </c>
      <c r="K7914" s="691">
        <v>66.900000000000006</v>
      </c>
    </row>
    <row r="7915" spans="1:11">
      <c r="A7915" s="688" t="s">
        <v>30</v>
      </c>
      <c r="B7915" s="689">
        <v>66.400000000000006</v>
      </c>
      <c r="C7915" s="689">
        <v>66.599999999999994</v>
      </c>
      <c r="D7915" s="689">
        <v>66.3</v>
      </c>
      <c r="E7915" s="693">
        <v>67</v>
      </c>
      <c r="F7915" s="689">
        <v>66.7</v>
      </c>
      <c r="G7915" s="689">
        <v>67.5</v>
      </c>
      <c r="H7915" s="693">
        <v>67</v>
      </c>
      <c r="I7915" s="689">
        <v>67.099999999999994</v>
      </c>
      <c r="J7915" s="689">
        <v>66.099999999999994</v>
      </c>
      <c r="K7915" s="689">
        <v>66.7</v>
      </c>
    </row>
    <row r="7916" spans="1:11">
      <c r="A7916" s="688" t="s">
        <v>12</v>
      </c>
      <c r="B7916" s="691">
        <v>55.9</v>
      </c>
      <c r="C7916" s="691">
        <v>55.5</v>
      </c>
      <c r="D7916" s="691">
        <v>56.2</v>
      </c>
      <c r="E7916" s="691">
        <v>56.1</v>
      </c>
      <c r="F7916" s="691">
        <v>56.3</v>
      </c>
      <c r="G7916" s="691">
        <v>56.4</v>
      </c>
      <c r="H7916" s="691">
        <v>57.2</v>
      </c>
      <c r="I7916" s="615">
        <v>57</v>
      </c>
      <c r="J7916" s="691">
        <v>54.6</v>
      </c>
      <c r="K7916" s="691">
        <v>55.8</v>
      </c>
    </row>
    <row r="7917" spans="1:11">
      <c r="A7917" s="688" t="s">
        <v>14</v>
      </c>
      <c r="B7917" s="693">
        <v>55</v>
      </c>
      <c r="C7917" s="689">
        <v>55.6</v>
      </c>
      <c r="D7917" s="689">
        <v>55.6</v>
      </c>
      <c r="E7917" s="689">
        <v>55.9</v>
      </c>
      <c r="F7917" s="689">
        <v>57.1</v>
      </c>
      <c r="G7917" s="689">
        <v>57.3</v>
      </c>
      <c r="H7917" s="689">
        <v>57.8</v>
      </c>
      <c r="I7917" s="689">
        <v>56.5</v>
      </c>
      <c r="J7917" s="693">
        <v>56</v>
      </c>
      <c r="K7917" s="689">
        <v>57.7</v>
      </c>
    </row>
    <row r="7918" spans="1:11">
      <c r="A7918" s="688" t="s">
        <v>15</v>
      </c>
      <c r="B7918" s="691">
        <v>66.2</v>
      </c>
      <c r="C7918" s="691">
        <v>65.5</v>
      </c>
      <c r="D7918" s="691">
        <v>66.2</v>
      </c>
      <c r="E7918" s="691">
        <v>66.3</v>
      </c>
      <c r="F7918" s="691">
        <v>66.099999999999994</v>
      </c>
      <c r="G7918" s="691">
        <v>66.3</v>
      </c>
      <c r="H7918" s="691">
        <v>66.599999999999994</v>
      </c>
      <c r="I7918" s="691">
        <v>66.2</v>
      </c>
      <c r="J7918" s="691">
        <v>66.7</v>
      </c>
      <c r="K7918" s="691">
        <v>67.099999999999994</v>
      </c>
    </row>
    <row r="7919" spans="1:11">
      <c r="A7919" s="688" t="s">
        <v>29</v>
      </c>
      <c r="B7919" s="689">
        <v>58.7</v>
      </c>
      <c r="C7919" s="689">
        <v>58.7</v>
      </c>
      <c r="D7919" s="689">
        <v>58.7</v>
      </c>
      <c r="E7919" s="693">
        <v>59</v>
      </c>
      <c r="F7919" s="689">
        <v>58.9</v>
      </c>
      <c r="G7919" s="693">
        <v>59</v>
      </c>
      <c r="H7919" s="689">
        <v>59.4</v>
      </c>
      <c r="I7919" s="689">
        <v>58.6</v>
      </c>
      <c r="J7919" s="689">
        <v>57.1</v>
      </c>
      <c r="K7919" s="693">
        <v>59</v>
      </c>
    </row>
    <row r="7920" spans="1:11">
      <c r="A7920" s="688" t="s">
        <v>16</v>
      </c>
      <c r="B7920" s="691">
        <v>66.099999999999994</v>
      </c>
      <c r="C7920" s="691">
        <v>66.099999999999994</v>
      </c>
      <c r="D7920" s="691">
        <v>66.3</v>
      </c>
      <c r="E7920" s="615">
        <v>67</v>
      </c>
      <c r="F7920" s="691">
        <v>66.7</v>
      </c>
      <c r="G7920" s="691">
        <v>66.7</v>
      </c>
      <c r="H7920" s="691">
        <v>67.3</v>
      </c>
      <c r="I7920" s="691">
        <v>66.2</v>
      </c>
      <c r="J7920" s="691">
        <v>66.599999999999994</v>
      </c>
      <c r="K7920" s="691">
        <v>66.7</v>
      </c>
    </row>
    <row r="7921" spans="1:11">
      <c r="A7921" s="688" t="s">
        <v>17</v>
      </c>
      <c r="B7921" s="693">
        <v>66</v>
      </c>
      <c r="C7921" s="689">
        <v>66.3</v>
      </c>
      <c r="D7921" s="689">
        <v>66.099999999999994</v>
      </c>
      <c r="E7921" s="689">
        <v>66.3</v>
      </c>
      <c r="F7921" s="689">
        <v>66.5</v>
      </c>
      <c r="G7921" s="689">
        <v>66.599999999999994</v>
      </c>
      <c r="H7921" s="689">
        <v>66.900000000000006</v>
      </c>
      <c r="I7921" s="689">
        <v>66.099999999999994</v>
      </c>
      <c r="J7921" s="689">
        <v>66.099999999999994</v>
      </c>
      <c r="K7921" s="689">
        <v>66.5</v>
      </c>
    </row>
    <row r="7922" spans="1:11">
      <c r="A7922" s="688" t="s">
        <v>19</v>
      </c>
      <c r="B7922" s="615">
        <v>65</v>
      </c>
      <c r="C7922" s="691">
        <v>65.3</v>
      </c>
      <c r="D7922" s="615">
        <v>65</v>
      </c>
      <c r="E7922" s="691">
        <v>65.5</v>
      </c>
      <c r="F7922" s="691">
        <v>65.599999999999994</v>
      </c>
      <c r="G7922" s="691">
        <v>65.599999999999994</v>
      </c>
      <c r="H7922" s="691">
        <v>65.900000000000006</v>
      </c>
      <c r="I7922" s="691">
        <v>65.3</v>
      </c>
      <c r="J7922" s="691">
        <v>65.099999999999994</v>
      </c>
      <c r="K7922" s="691">
        <v>65.3</v>
      </c>
    </row>
    <row r="7923" spans="1:11">
      <c r="A7923" s="688" t="s">
        <v>20</v>
      </c>
      <c r="B7923" s="689">
        <v>59.5</v>
      </c>
      <c r="C7923" s="693">
        <v>60</v>
      </c>
      <c r="D7923" s="689">
        <v>59.8</v>
      </c>
      <c r="E7923" s="689">
        <v>60.2</v>
      </c>
      <c r="F7923" s="689">
        <v>60.2</v>
      </c>
      <c r="G7923" s="689">
        <v>60.1</v>
      </c>
      <c r="H7923" s="689">
        <v>60.4</v>
      </c>
      <c r="I7923" s="689">
        <v>58.7</v>
      </c>
      <c r="J7923" s="689">
        <v>57.9</v>
      </c>
      <c r="K7923" s="689">
        <v>59.7</v>
      </c>
    </row>
    <row r="7924" spans="1:11">
      <c r="A7924" s="688" t="s">
        <v>21</v>
      </c>
      <c r="B7924" s="615">
        <v>64</v>
      </c>
      <c r="C7924" s="691">
        <v>64.400000000000006</v>
      </c>
      <c r="D7924" s="691">
        <v>64.599999999999994</v>
      </c>
      <c r="E7924" s="691">
        <v>64.599999999999994</v>
      </c>
      <c r="F7924" s="691">
        <v>64.900000000000006</v>
      </c>
      <c r="G7924" s="691">
        <v>64.900000000000006</v>
      </c>
      <c r="H7924" s="691">
        <v>65.3</v>
      </c>
      <c r="I7924" s="691">
        <v>64.7</v>
      </c>
      <c r="J7924" s="691">
        <v>64.7</v>
      </c>
      <c r="K7924" s="691">
        <v>65.099999999999994</v>
      </c>
    </row>
    <row r="7925" spans="1:11">
      <c r="A7925" s="688" t="s">
        <v>22</v>
      </c>
      <c r="B7925" s="689">
        <v>58.6</v>
      </c>
      <c r="C7925" s="689">
        <v>58.3</v>
      </c>
      <c r="D7925" s="689">
        <v>58.2</v>
      </c>
      <c r="E7925" s="689">
        <v>58.4</v>
      </c>
      <c r="F7925" s="689">
        <v>58.4</v>
      </c>
      <c r="G7925" s="689">
        <v>58.3</v>
      </c>
      <c r="H7925" s="689">
        <v>58.5</v>
      </c>
      <c r="I7925" s="689">
        <v>56.9</v>
      </c>
      <c r="J7925" s="689">
        <v>55.7</v>
      </c>
      <c r="K7925" s="689">
        <v>57.9</v>
      </c>
    </row>
    <row r="7926" spans="1:11">
      <c r="A7926" s="688" t="s">
        <v>26</v>
      </c>
      <c r="B7926" s="691">
        <v>63.5</v>
      </c>
      <c r="C7926" s="691">
        <v>64.2</v>
      </c>
      <c r="D7926" s="691">
        <v>63.8</v>
      </c>
      <c r="E7926" s="691">
        <v>64.2</v>
      </c>
      <c r="F7926" s="691">
        <v>64.3</v>
      </c>
      <c r="G7926" s="691">
        <v>64.599999999999994</v>
      </c>
      <c r="H7926" s="691">
        <v>64.8</v>
      </c>
      <c r="I7926" s="615">
        <v>64</v>
      </c>
      <c r="J7926" s="691">
        <v>63.9</v>
      </c>
      <c r="K7926" s="691">
        <v>64.8</v>
      </c>
    </row>
    <row r="7927" spans="1:11">
      <c r="A7927" s="688" t="s">
        <v>25</v>
      </c>
      <c r="B7927" s="689">
        <v>59.5</v>
      </c>
      <c r="C7927" s="689">
        <v>59.9</v>
      </c>
      <c r="D7927" s="689">
        <v>59.7</v>
      </c>
      <c r="E7927" s="689">
        <v>60.4</v>
      </c>
      <c r="F7927" s="689">
        <v>60.3</v>
      </c>
      <c r="G7927" s="689">
        <v>60.4</v>
      </c>
      <c r="H7927" s="689">
        <v>60.9</v>
      </c>
      <c r="I7927" s="689">
        <v>60.1</v>
      </c>
      <c r="J7927" s="689">
        <v>57.7</v>
      </c>
      <c r="K7927" s="689">
        <v>60.2</v>
      </c>
    </row>
    <row r="7928" spans="1:11">
      <c r="A7928" s="688" t="s">
        <v>5</v>
      </c>
      <c r="B7928" s="691">
        <v>64.3</v>
      </c>
      <c r="C7928" s="691">
        <v>64.5</v>
      </c>
      <c r="D7928" s="691">
        <v>64.8</v>
      </c>
      <c r="E7928" s="691">
        <v>64.7</v>
      </c>
      <c r="F7928" s="615">
        <v>65</v>
      </c>
      <c r="G7928" s="691">
        <v>65.099999999999994</v>
      </c>
      <c r="H7928" s="691">
        <v>65.400000000000006</v>
      </c>
      <c r="I7928" s="691">
        <v>65.3</v>
      </c>
      <c r="J7928" s="691">
        <v>65.400000000000006</v>
      </c>
      <c r="K7928" s="691">
        <v>64.900000000000006</v>
      </c>
    </row>
    <row r="7929" spans="1:11">
      <c r="A7929" s="688" t="s">
        <v>23</v>
      </c>
      <c r="B7929" s="689">
        <v>66.5</v>
      </c>
      <c r="C7929" s="689">
        <v>66.599999999999994</v>
      </c>
      <c r="D7929" s="689">
        <v>66.599999999999994</v>
      </c>
      <c r="E7929" s="689">
        <v>66.900000000000006</v>
      </c>
      <c r="F7929" s="693">
        <v>67</v>
      </c>
      <c r="G7929" s="689">
        <v>67.099999999999994</v>
      </c>
      <c r="H7929" s="689">
        <v>67.599999999999994</v>
      </c>
      <c r="I7929" s="689">
        <v>66.900000000000006</v>
      </c>
      <c r="J7929" s="689">
        <v>67.5</v>
      </c>
      <c r="K7929" s="689">
        <v>67.599999999999994</v>
      </c>
    </row>
    <row r="7930" spans="1:11">
      <c r="A7930" s="688" t="s">
        <v>4067</v>
      </c>
      <c r="B7930" s="691">
        <v>64.2</v>
      </c>
      <c r="C7930" s="691">
        <v>64.5</v>
      </c>
      <c r="D7930" s="691">
        <v>64.3</v>
      </c>
      <c r="E7930" s="691">
        <v>64.599999999999994</v>
      </c>
      <c r="F7930" s="691">
        <v>64.7</v>
      </c>
      <c r="G7930" s="691">
        <v>64.8</v>
      </c>
      <c r="H7930" s="692" t="s">
        <v>4060</v>
      </c>
      <c r="I7930" s="692" t="s">
        <v>4060</v>
      </c>
      <c r="J7930" s="692" t="s">
        <v>4060</v>
      </c>
      <c r="K7930" s="692" t="s">
        <v>4060</v>
      </c>
    </row>
    <row r="7931" spans="1:11">
      <c r="A7931" s="688" t="s">
        <v>4066</v>
      </c>
      <c r="B7931" s="689">
        <v>64.2</v>
      </c>
      <c r="C7931" s="689">
        <v>64.599999999999994</v>
      </c>
      <c r="D7931" s="689">
        <v>64.3</v>
      </c>
      <c r="E7931" s="689">
        <v>64.7</v>
      </c>
      <c r="F7931" s="689">
        <v>64.7</v>
      </c>
      <c r="G7931" s="689">
        <v>64.8</v>
      </c>
      <c r="H7931" s="690" t="s">
        <v>4060</v>
      </c>
      <c r="I7931" s="690" t="s">
        <v>4060</v>
      </c>
      <c r="J7931" s="690" t="s">
        <v>4060</v>
      </c>
      <c r="K7931" s="690" t="s">
        <v>4060</v>
      </c>
    </row>
    <row r="7932" spans="1:11">
      <c r="A7932" s="688" t="s">
        <v>4062</v>
      </c>
      <c r="B7932" s="691">
        <v>66.7</v>
      </c>
      <c r="C7932" s="615">
        <v>67</v>
      </c>
      <c r="D7932" s="615">
        <v>67</v>
      </c>
      <c r="E7932" s="691">
        <v>67.400000000000006</v>
      </c>
      <c r="F7932" s="691">
        <v>67.5</v>
      </c>
      <c r="G7932" s="691">
        <v>67.7</v>
      </c>
      <c r="H7932" s="615">
        <v>68</v>
      </c>
      <c r="I7932" s="691">
        <v>67.5</v>
      </c>
      <c r="J7932" s="691">
        <v>67.900000000000006</v>
      </c>
      <c r="K7932" s="691">
        <v>67.7</v>
      </c>
    </row>
    <row r="7933" spans="1:11">
      <c r="A7933" s="688" t="s">
        <v>9</v>
      </c>
      <c r="B7933" s="689">
        <v>66.7</v>
      </c>
      <c r="C7933" s="689">
        <v>67.3</v>
      </c>
      <c r="D7933" s="689">
        <v>67.400000000000006</v>
      </c>
      <c r="E7933" s="689">
        <v>66.5</v>
      </c>
      <c r="F7933" s="689">
        <v>67.099999999999994</v>
      </c>
      <c r="G7933" s="689">
        <v>67.3</v>
      </c>
      <c r="H7933" s="689">
        <v>67.599999999999994</v>
      </c>
      <c r="I7933" s="689">
        <v>67.8</v>
      </c>
      <c r="J7933" s="693">
        <v>68</v>
      </c>
      <c r="K7933" s="689">
        <v>67.099999999999994</v>
      </c>
    </row>
    <row r="7934" spans="1:11">
      <c r="A7934" s="688" t="s">
        <v>13</v>
      </c>
      <c r="B7934" s="691">
        <v>66.7</v>
      </c>
      <c r="C7934" s="615">
        <v>67</v>
      </c>
      <c r="D7934" s="691">
        <v>67.599999999999994</v>
      </c>
      <c r="E7934" s="691">
        <v>66.599999999999994</v>
      </c>
      <c r="F7934" s="615">
        <v>67</v>
      </c>
      <c r="G7934" s="691">
        <v>66.400000000000006</v>
      </c>
      <c r="H7934" s="691">
        <v>68.400000000000006</v>
      </c>
      <c r="I7934" s="691">
        <v>66.5</v>
      </c>
      <c r="J7934" s="691">
        <v>68.099999999999994</v>
      </c>
      <c r="K7934" s="691">
        <v>68.8</v>
      </c>
    </row>
    <row r="7935" spans="1:11">
      <c r="A7935" s="688" t="s">
        <v>18</v>
      </c>
      <c r="B7935" s="689">
        <v>66.099999999999994</v>
      </c>
      <c r="C7935" s="689">
        <v>66.3</v>
      </c>
      <c r="D7935" s="689">
        <v>66.7</v>
      </c>
      <c r="E7935" s="689">
        <v>66.900000000000006</v>
      </c>
      <c r="F7935" s="689">
        <v>67.2</v>
      </c>
      <c r="G7935" s="689">
        <v>67.3</v>
      </c>
      <c r="H7935" s="689">
        <v>67.5</v>
      </c>
      <c r="I7935" s="689">
        <v>67.7</v>
      </c>
      <c r="J7935" s="689">
        <v>67.8</v>
      </c>
      <c r="K7935" s="689">
        <v>67.2</v>
      </c>
    </row>
    <row r="7936" spans="1:11">
      <c r="A7936" s="688" t="s">
        <v>24</v>
      </c>
      <c r="B7936" s="691">
        <v>67.099999999999994</v>
      </c>
      <c r="C7936" s="691">
        <v>67.400000000000006</v>
      </c>
      <c r="D7936" s="691">
        <v>67.2</v>
      </c>
      <c r="E7936" s="691">
        <v>67.8</v>
      </c>
      <c r="F7936" s="691">
        <v>67.8</v>
      </c>
      <c r="G7936" s="615">
        <v>68</v>
      </c>
      <c r="H7936" s="691">
        <v>68.3</v>
      </c>
      <c r="I7936" s="691">
        <v>67.400000000000006</v>
      </c>
      <c r="J7936" s="615">
        <v>68</v>
      </c>
      <c r="K7936" s="615">
        <v>68</v>
      </c>
    </row>
    <row r="7937" spans="1:11">
      <c r="A7937" s="688" t="s">
        <v>4059</v>
      </c>
      <c r="B7937" s="689">
        <v>65.599999999999994</v>
      </c>
      <c r="C7937" s="689">
        <v>65.900000000000006</v>
      </c>
      <c r="D7937" s="689">
        <v>65.7</v>
      </c>
      <c r="E7937" s="689">
        <v>65.8</v>
      </c>
      <c r="F7937" s="689">
        <v>65.900000000000006</v>
      </c>
      <c r="G7937" s="689">
        <v>65.900000000000006</v>
      </c>
      <c r="H7937" s="690" t="s">
        <v>4060</v>
      </c>
      <c r="I7937" s="690" t="s">
        <v>4060</v>
      </c>
      <c r="J7937" s="690" t="s">
        <v>4060</v>
      </c>
      <c r="K7937" s="690" t="s">
        <v>4060</v>
      </c>
    </row>
    <row r="7938" spans="1:11">
      <c r="A7938" s="688" t="s">
        <v>2324</v>
      </c>
      <c r="B7938" s="691">
        <v>60.6</v>
      </c>
      <c r="C7938" s="691">
        <v>60.6</v>
      </c>
      <c r="D7938" s="691">
        <v>60.6</v>
      </c>
      <c r="E7938" s="691">
        <v>60.4</v>
      </c>
      <c r="F7938" s="691">
        <v>60.2</v>
      </c>
      <c r="G7938" s="691">
        <v>60.8</v>
      </c>
      <c r="H7938" s="691">
        <v>60.3</v>
      </c>
      <c r="I7938" s="691">
        <v>59.5</v>
      </c>
      <c r="J7938" s="691">
        <v>56.9</v>
      </c>
      <c r="K7938" s="692" t="s">
        <v>4060</v>
      </c>
    </row>
    <row r="7939" spans="1:11">
      <c r="A7939" s="688" t="s">
        <v>2322</v>
      </c>
      <c r="B7939" s="690" t="s">
        <v>4060</v>
      </c>
      <c r="C7939" s="690" t="s">
        <v>4060</v>
      </c>
      <c r="D7939" s="690" t="s">
        <v>4060</v>
      </c>
      <c r="E7939" s="690" t="s">
        <v>4060</v>
      </c>
      <c r="F7939" s="690" t="s">
        <v>4060</v>
      </c>
      <c r="G7939" s="690" t="s">
        <v>4060</v>
      </c>
      <c r="H7939" s="690" t="s">
        <v>4060</v>
      </c>
      <c r="I7939" s="690" t="s">
        <v>4060</v>
      </c>
      <c r="J7939" s="690" t="s">
        <v>4060</v>
      </c>
      <c r="K7939" s="690" t="s">
        <v>4060</v>
      </c>
    </row>
    <row r="7940" spans="1:11">
      <c r="A7940" s="688" t="s">
        <v>2328</v>
      </c>
      <c r="B7940" s="691">
        <v>60.4</v>
      </c>
      <c r="C7940" s="691">
        <v>60.5</v>
      </c>
      <c r="D7940" s="691">
        <v>60.4</v>
      </c>
      <c r="E7940" s="691">
        <v>60.5</v>
      </c>
      <c r="F7940" s="615">
        <v>61</v>
      </c>
      <c r="G7940" s="691">
        <v>61.2</v>
      </c>
      <c r="H7940" s="691">
        <v>61.3</v>
      </c>
      <c r="I7940" s="691">
        <v>58.7</v>
      </c>
      <c r="J7940" s="691">
        <v>57.6</v>
      </c>
      <c r="K7940" s="692" t="s">
        <v>4060</v>
      </c>
    </row>
    <row r="7941" spans="1:11">
      <c r="A7941" s="688" t="s">
        <v>2496</v>
      </c>
      <c r="B7941" s="690" t="s">
        <v>4060</v>
      </c>
      <c r="C7941" s="689">
        <v>56.9</v>
      </c>
      <c r="D7941" s="689">
        <v>55.7</v>
      </c>
      <c r="E7941" s="689">
        <v>55.2</v>
      </c>
      <c r="F7941" s="689">
        <v>56.2</v>
      </c>
      <c r="G7941" s="689">
        <v>56.5</v>
      </c>
      <c r="H7941" s="689">
        <v>56.6</v>
      </c>
      <c r="I7941" s="690" t="s">
        <v>4060</v>
      </c>
      <c r="J7941" s="690" t="s">
        <v>4060</v>
      </c>
      <c r="K7941" s="689">
        <v>56.1</v>
      </c>
    </row>
    <row r="7942" spans="1:11">
      <c r="A7942" s="688" t="s">
        <v>2269</v>
      </c>
      <c r="B7942" s="615">
        <v>63</v>
      </c>
      <c r="C7942" s="691">
        <v>63.2</v>
      </c>
      <c r="D7942" s="691">
        <v>63.1</v>
      </c>
      <c r="E7942" s="615">
        <v>64</v>
      </c>
      <c r="F7942" s="615">
        <v>64</v>
      </c>
      <c r="G7942" s="691">
        <v>64.3</v>
      </c>
      <c r="H7942" s="691">
        <v>64.599999999999994</v>
      </c>
      <c r="I7942" s="691">
        <v>62.2</v>
      </c>
      <c r="J7942" s="691">
        <v>60.4</v>
      </c>
      <c r="K7942" s="691">
        <v>64.2</v>
      </c>
    </row>
    <row r="7943" spans="1:11">
      <c r="A7943" s="688" t="s">
        <v>2349</v>
      </c>
      <c r="B7943" s="689">
        <v>59.3</v>
      </c>
      <c r="C7943" s="689">
        <v>59.4</v>
      </c>
      <c r="D7943" s="689">
        <v>59.3</v>
      </c>
      <c r="E7943" s="689">
        <v>59.8</v>
      </c>
      <c r="F7943" s="689">
        <v>59.7</v>
      </c>
      <c r="G7943" s="693">
        <v>60</v>
      </c>
      <c r="H7943" s="689">
        <v>59.9</v>
      </c>
      <c r="I7943" s="689">
        <v>58.1</v>
      </c>
      <c r="J7943" s="689">
        <v>56.5</v>
      </c>
      <c r="K7943" s="689">
        <v>59.1</v>
      </c>
    </row>
    <row r="7944" spans="1:11">
      <c r="A7944" s="688" t="s">
        <v>2355</v>
      </c>
      <c r="B7944" s="691">
        <v>62.7</v>
      </c>
      <c r="C7944" s="691">
        <v>62.7</v>
      </c>
      <c r="D7944" s="691">
        <v>62.6</v>
      </c>
      <c r="E7944" s="691">
        <v>62.5</v>
      </c>
      <c r="F7944" s="691">
        <v>62.8</v>
      </c>
      <c r="G7944" s="691">
        <v>63.3</v>
      </c>
      <c r="H7944" s="691">
        <v>63.5</v>
      </c>
      <c r="I7944" s="692" t="s">
        <v>4060</v>
      </c>
      <c r="J7944" s="692" t="s">
        <v>4060</v>
      </c>
      <c r="K7944" s="692" t="s">
        <v>4060</v>
      </c>
    </row>
    <row r="7945" spans="1:11">
      <c r="A7945" s="688" t="s">
        <v>2357</v>
      </c>
      <c r="B7945" s="690" t="s">
        <v>4060</v>
      </c>
      <c r="C7945" s="689">
        <v>53.4</v>
      </c>
      <c r="D7945" s="689">
        <v>54.3</v>
      </c>
      <c r="E7945" s="689">
        <v>54.7</v>
      </c>
      <c r="F7945" s="693">
        <v>55</v>
      </c>
      <c r="G7945" s="689">
        <v>54.8</v>
      </c>
      <c r="H7945" s="689">
        <v>55.1</v>
      </c>
      <c r="I7945" s="690" t="s">
        <v>4060</v>
      </c>
      <c r="J7945" s="690" t="s">
        <v>4060</v>
      </c>
      <c r="K7945" s="690" t="s">
        <v>4060</v>
      </c>
    </row>
    <row r="7946" spans="1:11">
      <c r="A7946" s="688" t="s">
        <v>4070</v>
      </c>
      <c r="B7946" s="692" t="s">
        <v>4060</v>
      </c>
      <c r="C7946" s="692" t="s">
        <v>4060</v>
      </c>
      <c r="D7946" s="692" t="s">
        <v>4060</v>
      </c>
      <c r="E7946" s="691">
        <v>62.6</v>
      </c>
      <c r="F7946" s="692" t="s">
        <v>4060</v>
      </c>
      <c r="G7946" s="692" t="s">
        <v>4060</v>
      </c>
      <c r="H7946" s="692" t="s">
        <v>4060</v>
      </c>
      <c r="I7946" s="692" t="s">
        <v>4060</v>
      </c>
      <c r="J7946" s="692" t="s">
        <v>4060</v>
      </c>
      <c r="K7946" s="692" t="s">
        <v>4060</v>
      </c>
    </row>
    <row r="7947" spans="1:11">
      <c r="A7947" s="688" t="s">
        <v>2491</v>
      </c>
      <c r="B7947" s="689">
        <v>53.7</v>
      </c>
      <c r="C7947" s="689">
        <v>54.3</v>
      </c>
      <c r="D7947" s="693">
        <v>55</v>
      </c>
      <c r="E7947" s="689">
        <v>55.4</v>
      </c>
      <c r="F7947" s="689">
        <v>55.6</v>
      </c>
      <c r="G7947" s="689">
        <v>55.6</v>
      </c>
      <c r="H7947" s="690" t="s">
        <v>4060</v>
      </c>
      <c r="I7947" s="690" t="s">
        <v>4060</v>
      </c>
      <c r="J7947" s="690" t="s">
        <v>4060</v>
      </c>
      <c r="K7947" s="690" t="s">
        <v>4060</v>
      </c>
    </row>
    <row r="7948" spans="1:11">
      <c r="A7948" s="688" t="s">
        <v>2343</v>
      </c>
      <c r="B7948" s="692" t="s">
        <v>4060</v>
      </c>
      <c r="C7948" s="692" t="s">
        <v>4060</v>
      </c>
      <c r="D7948" s="692" t="s">
        <v>4060</v>
      </c>
      <c r="E7948" s="692" t="s">
        <v>4060</v>
      </c>
      <c r="F7948" s="692" t="s">
        <v>4060</v>
      </c>
      <c r="G7948" s="692" t="s">
        <v>4060</v>
      </c>
      <c r="H7948" s="692" t="s">
        <v>4060</v>
      </c>
      <c r="I7948" s="692" t="s">
        <v>4060</v>
      </c>
      <c r="J7948" s="692" t="s">
        <v>4060</v>
      </c>
      <c r="K7948" s="692" t="s">
        <v>4060</v>
      </c>
    </row>
    <row r="7949" spans="1:11">
      <c r="A7949" s="688" t="s">
        <v>4071</v>
      </c>
      <c r="B7949" s="690" t="s">
        <v>4060</v>
      </c>
      <c r="C7949" s="690" t="s">
        <v>4060</v>
      </c>
      <c r="D7949" s="690" t="s">
        <v>4060</v>
      </c>
      <c r="E7949" s="690" t="s">
        <v>4060</v>
      </c>
      <c r="F7949" s="690" t="s">
        <v>4060</v>
      </c>
      <c r="G7949" s="690" t="s">
        <v>4060</v>
      </c>
      <c r="H7949" s="690" t="s">
        <v>4060</v>
      </c>
      <c r="I7949" s="690" t="s">
        <v>4060</v>
      </c>
      <c r="J7949" s="690" t="s">
        <v>4060</v>
      </c>
      <c r="K7949" s="690" t="s">
        <v>4060</v>
      </c>
    </row>
    <row r="7950" spans="1:11">
      <c r="A7950" s="688" t="s">
        <v>2489</v>
      </c>
      <c r="B7950" s="692" t="s">
        <v>4060</v>
      </c>
      <c r="C7950" s="692" t="s">
        <v>4060</v>
      </c>
      <c r="D7950" s="691">
        <v>58.6</v>
      </c>
      <c r="E7950" s="691">
        <v>58.4</v>
      </c>
      <c r="F7950" s="691">
        <v>59.3</v>
      </c>
      <c r="G7950" s="691">
        <v>60.1</v>
      </c>
      <c r="H7950" s="691">
        <v>59.8</v>
      </c>
      <c r="I7950" s="692" t="s">
        <v>4060</v>
      </c>
      <c r="J7950" s="692" t="s">
        <v>4060</v>
      </c>
      <c r="K7950" s="692" t="s">
        <v>4060</v>
      </c>
    </row>
    <row r="7951" spans="1:11">
      <c r="A7951" s="688" t="s">
        <v>2490</v>
      </c>
      <c r="B7951" s="689">
        <v>59.3</v>
      </c>
      <c r="C7951" s="689">
        <v>59.4</v>
      </c>
      <c r="D7951" s="689">
        <v>60.2</v>
      </c>
      <c r="E7951" s="690" t="s">
        <v>4060</v>
      </c>
      <c r="F7951" s="689">
        <v>60.5</v>
      </c>
      <c r="G7951" s="689">
        <v>60.7</v>
      </c>
      <c r="H7951" s="689">
        <v>61.6</v>
      </c>
      <c r="I7951" s="690" t="s">
        <v>4060</v>
      </c>
      <c r="J7951" s="690" t="s">
        <v>4060</v>
      </c>
      <c r="K7951" s="690" t="s">
        <v>4060</v>
      </c>
    </row>
    <row r="7953" spans="1:11">
      <c r="A7953" s="683" t="s">
        <v>4233</v>
      </c>
    </row>
    <row r="7954" spans="1:11">
      <c r="A7954" s="683" t="s">
        <v>4060</v>
      </c>
      <c r="B7954" s="682" t="s">
        <v>4234</v>
      </c>
    </row>
    <row r="7956" spans="1:11">
      <c r="A7956" s="682" t="s">
        <v>4331</v>
      </c>
    </row>
    <row r="7957" spans="1:11">
      <c r="A7957" s="682" t="s">
        <v>4210</v>
      </c>
      <c r="B7957" s="683" t="s">
        <v>4211</v>
      </c>
    </row>
    <row r="7958" spans="1:11">
      <c r="A7958" s="682" t="s">
        <v>4212</v>
      </c>
      <c r="B7958" s="682" t="s">
        <v>4213</v>
      </c>
    </row>
    <row r="7960" spans="1:11">
      <c r="A7960" s="683" t="s">
        <v>4214</v>
      </c>
      <c r="C7960" s="682" t="s">
        <v>4215</v>
      </c>
    </row>
    <row r="7961" spans="1:11">
      <c r="A7961" s="683" t="s">
        <v>4216</v>
      </c>
      <c r="C7961" s="682" t="s">
        <v>2967</v>
      </c>
    </row>
    <row r="7962" spans="1:11">
      <c r="A7962" s="683" t="s">
        <v>3893</v>
      </c>
      <c r="C7962" s="682" t="s">
        <v>2168</v>
      </c>
    </row>
    <row r="7963" spans="1:11">
      <c r="A7963" s="683" t="s">
        <v>4218</v>
      </c>
      <c r="C7963" s="682" t="s">
        <v>4250</v>
      </c>
    </row>
    <row r="7965" spans="1:11">
      <c r="A7965" s="684" t="s">
        <v>4220</v>
      </c>
      <c r="B7965" s="685" t="s">
        <v>4221</v>
      </c>
      <c r="C7965" s="685" t="s">
        <v>4222</v>
      </c>
      <c r="D7965" s="685" t="s">
        <v>4223</v>
      </c>
      <c r="E7965" s="685" t="s">
        <v>4224</v>
      </c>
      <c r="F7965" s="685" t="s">
        <v>4225</v>
      </c>
      <c r="G7965" s="685" t="s">
        <v>4226</v>
      </c>
      <c r="H7965" s="685" t="s">
        <v>4227</v>
      </c>
      <c r="I7965" s="685" t="s">
        <v>4228</v>
      </c>
      <c r="J7965" s="685" t="s">
        <v>4229</v>
      </c>
      <c r="K7965" s="685" t="s">
        <v>4230</v>
      </c>
    </row>
    <row r="7966" spans="1:11">
      <c r="A7966" s="686" t="s">
        <v>4231</v>
      </c>
      <c r="B7966" s="687" t="s">
        <v>4232</v>
      </c>
      <c r="C7966" s="687" t="s">
        <v>4232</v>
      </c>
      <c r="D7966" s="687" t="s">
        <v>4232</v>
      </c>
      <c r="E7966" s="687" t="s">
        <v>4232</v>
      </c>
      <c r="F7966" s="687" t="s">
        <v>4232</v>
      </c>
      <c r="G7966" s="687" t="s">
        <v>4232</v>
      </c>
      <c r="H7966" s="687" t="s">
        <v>4232</v>
      </c>
      <c r="I7966" s="687" t="s">
        <v>4232</v>
      </c>
      <c r="J7966" s="687" t="s">
        <v>4232</v>
      </c>
      <c r="K7966" s="687" t="s">
        <v>4232</v>
      </c>
    </row>
    <row r="7967" spans="1:11">
      <c r="A7967" s="688" t="s">
        <v>4064</v>
      </c>
      <c r="B7967" s="689">
        <v>62.9</v>
      </c>
      <c r="C7967" s="689">
        <v>63.1</v>
      </c>
      <c r="D7967" s="689">
        <v>63.1</v>
      </c>
      <c r="E7967" s="689">
        <v>63.3</v>
      </c>
      <c r="F7967" s="689">
        <v>63.4</v>
      </c>
      <c r="G7967" s="689">
        <v>63.4</v>
      </c>
      <c r="H7967" s="689">
        <v>63.7</v>
      </c>
      <c r="I7967" s="689">
        <v>62.8</v>
      </c>
      <c r="J7967" s="689">
        <v>62.5</v>
      </c>
      <c r="K7967" s="689">
        <v>63.2</v>
      </c>
    </row>
    <row r="7968" spans="1:11">
      <c r="A7968" s="688" t="s">
        <v>4065</v>
      </c>
      <c r="B7968" s="691">
        <v>63.1</v>
      </c>
      <c r="C7968" s="691">
        <v>63.5</v>
      </c>
      <c r="D7968" s="691">
        <v>63.3</v>
      </c>
      <c r="E7968" s="691">
        <v>63.6</v>
      </c>
      <c r="F7968" s="691">
        <v>63.7</v>
      </c>
      <c r="G7968" s="691">
        <v>63.8</v>
      </c>
      <c r="H7968" s="692" t="s">
        <v>4060</v>
      </c>
      <c r="I7968" s="692" t="s">
        <v>4060</v>
      </c>
      <c r="J7968" s="692" t="s">
        <v>4060</v>
      </c>
      <c r="K7968" s="692" t="s">
        <v>4060</v>
      </c>
    </row>
    <row r="7969" spans="1:11">
      <c r="A7969" s="688" t="s">
        <v>4063</v>
      </c>
      <c r="B7969" s="689">
        <v>63.2</v>
      </c>
      <c r="C7969" s="689">
        <v>63.6</v>
      </c>
      <c r="D7969" s="689">
        <v>63.3</v>
      </c>
      <c r="E7969" s="689">
        <v>63.7</v>
      </c>
      <c r="F7969" s="689">
        <v>63.7</v>
      </c>
      <c r="G7969" s="689">
        <v>63.8</v>
      </c>
      <c r="H7969" s="690" t="s">
        <v>4060</v>
      </c>
      <c r="I7969" s="690" t="s">
        <v>4060</v>
      </c>
      <c r="J7969" s="690" t="s">
        <v>4060</v>
      </c>
      <c r="K7969" s="690" t="s">
        <v>4060</v>
      </c>
    </row>
    <row r="7970" spans="1:11">
      <c r="A7970" s="688" t="s">
        <v>4069</v>
      </c>
      <c r="B7970" s="692" t="s">
        <v>4060</v>
      </c>
      <c r="C7970" s="691">
        <v>64.3</v>
      </c>
      <c r="D7970" s="691">
        <v>64.099999999999994</v>
      </c>
      <c r="E7970" s="691">
        <v>64.400000000000006</v>
      </c>
      <c r="F7970" s="691">
        <v>64.5</v>
      </c>
      <c r="G7970" s="691">
        <v>64.7</v>
      </c>
      <c r="H7970" s="691">
        <v>64.900000000000006</v>
      </c>
      <c r="I7970" s="691">
        <v>64.2</v>
      </c>
      <c r="J7970" s="691">
        <v>64.2</v>
      </c>
      <c r="K7970" s="691">
        <v>64.400000000000006</v>
      </c>
    </row>
    <row r="7971" spans="1:11">
      <c r="A7971" s="688" t="s">
        <v>4068</v>
      </c>
      <c r="B7971" s="689">
        <v>64.2</v>
      </c>
      <c r="C7971" s="690" t="s">
        <v>4060</v>
      </c>
      <c r="D7971" s="690" t="s">
        <v>4060</v>
      </c>
      <c r="E7971" s="690" t="s">
        <v>4060</v>
      </c>
      <c r="F7971" s="690" t="s">
        <v>4060</v>
      </c>
      <c r="G7971" s="690" t="s">
        <v>4060</v>
      </c>
      <c r="H7971" s="690" t="s">
        <v>4060</v>
      </c>
      <c r="I7971" s="690" t="s">
        <v>4060</v>
      </c>
      <c r="J7971" s="690" t="s">
        <v>4060</v>
      </c>
      <c r="K7971" s="690" t="s">
        <v>4060</v>
      </c>
    </row>
    <row r="7972" spans="1:11">
      <c r="A7972" s="688" t="s">
        <v>0</v>
      </c>
      <c r="B7972" s="691">
        <v>63.5</v>
      </c>
      <c r="C7972" s="615">
        <v>64</v>
      </c>
      <c r="D7972" s="615">
        <v>64</v>
      </c>
      <c r="E7972" s="691">
        <v>64.2</v>
      </c>
      <c r="F7972" s="691">
        <v>64.400000000000006</v>
      </c>
      <c r="G7972" s="691">
        <v>64.599999999999994</v>
      </c>
      <c r="H7972" s="615">
        <v>65</v>
      </c>
      <c r="I7972" s="691">
        <v>63.9</v>
      </c>
      <c r="J7972" s="691">
        <v>64.599999999999994</v>
      </c>
      <c r="K7972" s="691">
        <v>64.900000000000006</v>
      </c>
    </row>
    <row r="7973" spans="1:11">
      <c r="A7973" s="688" t="s">
        <v>1</v>
      </c>
      <c r="B7973" s="689">
        <v>57.2</v>
      </c>
      <c r="C7973" s="689">
        <v>56.8</v>
      </c>
      <c r="D7973" s="689">
        <v>56.8</v>
      </c>
      <c r="E7973" s="689">
        <v>56.9</v>
      </c>
      <c r="F7973" s="689">
        <v>56.9</v>
      </c>
      <c r="G7973" s="689">
        <v>56.9</v>
      </c>
      <c r="H7973" s="689">
        <v>56.9</v>
      </c>
      <c r="I7973" s="689">
        <v>55.2</v>
      </c>
      <c r="J7973" s="689">
        <v>53.3</v>
      </c>
      <c r="K7973" s="689">
        <v>56.1</v>
      </c>
    </row>
    <row r="7974" spans="1:11">
      <c r="A7974" s="688" t="s">
        <v>2240</v>
      </c>
      <c r="B7974" s="691">
        <v>60.6</v>
      </c>
      <c r="C7974" s="615">
        <v>61</v>
      </c>
      <c r="D7974" s="615">
        <v>61</v>
      </c>
      <c r="E7974" s="691">
        <v>61.4</v>
      </c>
      <c r="F7974" s="691">
        <v>61.4</v>
      </c>
      <c r="G7974" s="691">
        <v>61.4</v>
      </c>
      <c r="H7974" s="691">
        <v>61.7</v>
      </c>
      <c r="I7974" s="691">
        <v>60.6</v>
      </c>
      <c r="J7974" s="691">
        <v>59.4</v>
      </c>
      <c r="K7974" s="691">
        <v>61.4</v>
      </c>
    </row>
    <row r="7975" spans="1:11">
      <c r="A7975" s="688" t="s">
        <v>2</v>
      </c>
      <c r="B7975" s="689">
        <v>63.7</v>
      </c>
      <c r="C7975" s="693">
        <v>64</v>
      </c>
      <c r="D7975" s="689">
        <v>64.2</v>
      </c>
      <c r="E7975" s="689">
        <v>64.3</v>
      </c>
      <c r="F7975" s="689">
        <v>64.5</v>
      </c>
      <c r="G7975" s="689">
        <v>64.400000000000006</v>
      </c>
      <c r="H7975" s="689">
        <v>64.8</v>
      </c>
      <c r="I7975" s="693">
        <v>65</v>
      </c>
      <c r="J7975" s="689">
        <v>64.900000000000006</v>
      </c>
      <c r="K7975" s="689">
        <v>64.8</v>
      </c>
    </row>
    <row r="7976" spans="1:11">
      <c r="A7976" s="688" t="s">
        <v>3</v>
      </c>
      <c r="B7976" s="691">
        <v>63.5</v>
      </c>
      <c r="C7976" s="691">
        <v>63.8</v>
      </c>
      <c r="D7976" s="691">
        <v>63.5</v>
      </c>
      <c r="E7976" s="691">
        <v>63.8</v>
      </c>
      <c r="F7976" s="691">
        <v>63.9</v>
      </c>
      <c r="G7976" s="691">
        <v>63.9</v>
      </c>
      <c r="H7976" s="691">
        <v>64.2</v>
      </c>
      <c r="I7976" s="691">
        <v>63.9</v>
      </c>
      <c r="J7976" s="691">
        <v>63.6</v>
      </c>
      <c r="K7976" s="691">
        <v>63.5</v>
      </c>
    </row>
    <row r="7977" spans="1:11">
      <c r="A7977" s="688" t="s">
        <v>4061</v>
      </c>
      <c r="B7977" s="689">
        <v>63.5</v>
      </c>
      <c r="C7977" s="689">
        <v>63.8</v>
      </c>
      <c r="D7977" s="689">
        <v>63.5</v>
      </c>
      <c r="E7977" s="689">
        <v>63.8</v>
      </c>
      <c r="F7977" s="689">
        <v>63.9</v>
      </c>
      <c r="G7977" s="689">
        <v>63.9</v>
      </c>
      <c r="H7977" s="689">
        <v>64.2</v>
      </c>
      <c r="I7977" s="689">
        <v>63.9</v>
      </c>
      <c r="J7977" s="689">
        <v>63.6</v>
      </c>
      <c r="K7977" s="689">
        <v>63.5</v>
      </c>
    </row>
    <row r="7978" spans="1:11">
      <c r="A7978" s="688" t="s">
        <v>4</v>
      </c>
      <c r="B7978" s="691">
        <v>58.1</v>
      </c>
      <c r="C7978" s="691">
        <v>57.7</v>
      </c>
      <c r="D7978" s="691">
        <v>58.4</v>
      </c>
      <c r="E7978" s="691">
        <v>58.5</v>
      </c>
      <c r="F7978" s="615">
        <v>59</v>
      </c>
      <c r="G7978" s="691">
        <v>59.2</v>
      </c>
      <c r="H7978" s="691">
        <v>59.7</v>
      </c>
      <c r="I7978" s="691">
        <v>59.6</v>
      </c>
      <c r="J7978" s="691">
        <v>58.1</v>
      </c>
      <c r="K7978" s="691">
        <v>58.9</v>
      </c>
    </row>
    <row r="7979" spans="1:11">
      <c r="A7979" s="688" t="s">
        <v>8</v>
      </c>
      <c r="B7979" s="689">
        <v>64.400000000000006</v>
      </c>
      <c r="C7979" s="689">
        <v>64.599999999999994</v>
      </c>
      <c r="D7979" s="689">
        <v>64.900000000000006</v>
      </c>
      <c r="E7979" s="693">
        <v>65</v>
      </c>
      <c r="F7979" s="689">
        <v>65.5</v>
      </c>
      <c r="G7979" s="689">
        <v>65.5</v>
      </c>
      <c r="H7979" s="689">
        <v>65.900000000000006</v>
      </c>
      <c r="I7979" s="689">
        <v>65.900000000000006</v>
      </c>
      <c r="J7979" s="689">
        <v>65.599999999999994</v>
      </c>
      <c r="K7979" s="693">
        <v>66</v>
      </c>
    </row>
    <row r="7980" spans="1:11">
      <c r="A7980" s="688" t="s">
        <v>7</v>
      </c>
      <c r="B7980" s="691">
        <v>64.099999999999994</v>
      </c>
      <c r="C7980" s="691">
        <v>63.6</v>
      </c>
      <c r="D7980" s="691">
        <v>63.4</v>
      </c>
      <c r="E7980" s="691">
        <v>63.8</v>
      </c>
      <c r="F7980" s="691">
        <v>63.7</v>
      </c>
      <c r="G7980" s="691">
        <v>64.2</v>
      </c>
      <c r="H7980" s="691">
        <v>64.099999999999994</v>
      </c>
      <c r="I7980" s="691">
        <v>63.9</v>
      </c>
      <c r="J7980" s="691">
        <v>62.7</v>
      </c>
      <c r="K7980" s="691">
        <v>63.6</v>
      </c>
    </row>
    <row r="7981" spans="1:11">
      <c r="A7981" s="688" t="s">
        <v>27</v>
      </c>
      <c r="B7981" s="689">
        <v>65.5</v>
      </c>
      <c r="C7981" s="689">
        <v>65.400000000000006</v>
      </c>
      <c r="D7981" s="689">
        <v>65.2</v>
      </c>
      <c r="E7981" s="689">
        <v>65.599999999999994</v>
      </c>
      <c r="F7981" s="689">
        <v>65.599999999999994</v>
      </c>
      <c r="G7981" s="689">
        <v>65.7</v>
      </c>
      <c r="H7981" s="689">
        <v>66.099999999999994</v>
      </c>
      <c r="I7981" s="689">
        <v>64.8</v>
      </c>
      <c r="J7981" s="689">
        <v>65.5</v>
      </c>
      <c r="K7981" s="689">
        <v>65.7</v>
      </c>
    </row>
    <row r="7982" spans="1:11">
      <c r="A7982" s="688" t="s">
        <v>6</v>
      </c>
      <c r="B7982" s="691">
        <v>64.400000000000006</v>
      </c>
      <c r="C7982" s="691">
        <v>64.7</v>
      </c>
      <c r="D7982" s="691">
        <v>64.400000000000006</v>
      </c>
      <c r="E7982" s="691">
        <v>64.7</v>
      </c>
      <c r="F7982" s="691">
        <v>64.900000000000006</v>
      </c>
      <c r="G7982" s="615">
        <v>65</v>
      </c>
      <c r="H7982" s="691">
        <v>65.2</v>
      </c>
      <c r="I7982" s="691">
        <v>64.5</v>
      </c>
      <c r="J7982" s="691">
        <v>64.599999999999994</v>
      </c>
      <c r="K7982" s="691">
        <v>64.8</v>
      </c>
    </row>
    <row r="7983" spans="1:11">
      <c r="A7983" s="688" t="s">
        <v>4058</v>
      </c>
      <c r="B7983" s="690" t="s">
        <v>4060</v>
      </c>
      <c r="C7983" s="690" t="s">
        <v>4060</v>
      </c>
      <c r="D7983" s="690" t="s">
        <v>4060</v>
      </c>
      <c r="E7983" s="690" t="s">
        <v>4060</v>
      </c>
      <c r="F7983" s="690" t="s">
        <v>4060</v>
      </c>
      <c r="G7983" s="690" t="s">
        <v>4060</v>
      </c>
      <c r="H7983" s="690" t="s">
        <v>4060</v>
      </c>
      <c r="I7983" s="690" t="s">
        <v>4060</v>
      </c>
      <c r="J7983" s="690" t="s">
        <v>4060</v>
      </c>
      <c r="K7983" s="690" t="s">
        <v>4060</v>
      </c>
    </row>
    <row r="7984" spans="1:11">
      <c r="A7984" s="688" t="s">
        <v>11</v>
      </c>
      <c r="B7984" s="691">
        <v>59.9</v>
      </c>
      <c r="C7984" s="691">
        <v>60.1</v>
      </c>
      <c r="D7984" s="691">
        <v>59.7</v>
      </c>
      <c r="E7984" s="691">
        <v>60.3</v>
      </c>
      <c r="F7984" s="691">
        <v>60.3</v>
      </c>
      <c r="G7984" s="691">
        <v>60.3</v>
      </c>
      <c r="H7984" s="691">
        <v>60.6</v>
      </c>
      <c r="I7984" s="691">
        <v>59.9</v>
      </c>
      <c r="J7984" s="691">
        <v>58.9</v>
      </c>
      <c r="K7984" s="691">
        <v>60.1</v>
      </c>
    </row>
    <row r="7985" spans="1:11">
      <c r="A7985" s="688" t="s">
        <v>10</v>
      </c>
      <c r="B7985" s="689">
        <v>65.599999999999994</v>
      </c>
      <c r="C7985" s="689">
        <v>65.8</v>
      </c>
      <c r="D7985" s="689">
        <v>65.5</v>
      </c>
      <c r="E7985" s="693">
        <v>66</v>
      </c>
      <c r="F7985" s="689">
        <v>65.900000000000006</v>
      </c>
      <c r="G7985" s="689">
        <v>66.2</v>
      </c>
      <c r="H7985" s="689">
        <v>66.5</v>
      </c>
      <c r="I7985" s="689">
        <v>65.2</v>
      </c>
      <c r="J7985" s="689">
        <v>65.599999999999994</v>
      </c>
      <c r="K7985" s="689">
        <v>65.900000000000006</v>
      </c>
    </row>
    <row r="7986" spans="1:11">
      <c r="A7986" s="688" t="s">
        <v>30</v>
      </c>
      <c r="B7986" s="691">
        <v>65.400000000000006</v>
      </c>
      <c r="C7986" s="691">
        <v>65.599999999999994</v>
      </c>
      <c r="D7986" s="691">
        <v>65.3</v>
      </c>
      <c r="E7986" s="615">
        <v>66</v>
      </c>
      <c r="F7986" s="691">
        <v>65.7</v>
      </c>
      <c r="G7986" s="691">
        <v>66.5</v>
      </c>
      <c r="H7986" s="691">
        <v>66.099999999999994</v>
      </c>
      <c r="I7986" s="691">
        <v>66.099999999999994</v>
      </c>
      <c r="J7986" s="691">
        <v>65.099999999999994</v>
      </c>
      <c r="K7986" s="691">
        <v>65.7</v>
      </c>
    </row>
    <row r="7987" spans="1:11">
      <c r="A7987" s="688" t="s">
        <v>12</v>
      </c>
      <c r="B7987" s="689">
        <v>54.9</v>
      </c>
      <c r="C7987" s="689">
        <v>54.6</v>
      </c>
      <c r="D7987" s="689">
        <v>55.2</v>
      </c>
      <c r="E7987" s="689">
        <v>55.2</v>
      </c>
      <c r="F7987" s="689">
        <v>55.3</v>
      </c>
      <c r="G7987" s="689">
        <v>55.4</v>
      </c>
      <c r="H7987" s="689">
        <v>56.2</v>
      </c>
      <c r="I7987" s="693">
        <v>56</v>
      </c>
      <c r="J7987" s="689">
        <v>53.6</v>
      </c>
      <c r="K7987" s="689">
        <v>54.8</v>
      </c>
    </row>
    <row r="7988" spans="1:11">
      <c r="A7988" s="688" t="s">
        <v>14</v>
      </c>
      <c r="B7988" s="615">
        <v>54</v>
      </c>
      <c r="C7988" s="691">
        <v>54.6</v>
      </c>
      <c r="D7988" s="691">
        <v>54.6</v>
      </c>
      <c r="E7988" s="615">
        <v>55</v>
      </c>
      <c r="F7988" s="691">
        <v>56.1</v>
      </c>
      <c r="G7988" s="691">
        <v>56.3</v>
      </c>
      <c r="H7988" s="691">
        <v>56.8</v>
      </c>
      <c r="I7988" s="691">
        <v>55.5</v>
      </c>
      <c r="J7988" s="615">
        <v>55</v>
      </c>
      <c r="K7988" s="691">
        <v>56.7</v>
      </c>
    </row>
    <row r="7989" spans="1:11">
      <c r="A7989" s="688" t="s">
        <v>15</v>
      </c>
      <c r="B7989" s="689">
        <v>65.2</v>
      </c>
      <c r="C7989" s="689">
        <v>64.5</v>
      </c>
      <c r="D7989" s="689">
        <v>65.2</v>
      </c>
      <c r="E7989" s="689">
        <v>65.3</v>
      </c>
      <c r="F7989" s="689">
        <v>65.099999999999994</v>
      </c>
      <c r="G7989" s="689">
        <v>65.3</v>
      </c>
      <c r="H7989" s="689">
        <v>65.599999999999994</v>
      </c>
      <c r="I7989" s="689">
        <v>65.2</v>
      </c>
      <c r="J7989" s="689">
        <v>65.7</v>
      </c>
      <c r="K7989" s="689">
        <v>66.099999999999994</v>
      </c>
    </row>
    <row r="7990" spans="1:11">
      <c r="A7990" s="688" t="s">
        <v>29</v>
      </c>
      <c r="B7990" s="691">
        <v>57.7</v>
      </c>
      <c r="C7990" s="691">
        <v>57.8</v>
      </c>
      <c r="D7990" s="691">
        <v>57.7</v>
      </c>
      <c r="E7990" s="615">
        <v>58</v>
      </c>
      <c r="F7990" s="691">
        <v>57.9</v>
      </c>
      <c r="G7990" s="615">
        <v>58</v>
      </c>
      <c r="H7990" s="691">
        <v>58.4</v>
      </c>
      <c r="I7990" s="691">
        <v>57.6</v>
      </c>
      <c r="J7990" s="691">
        <v>56.1</v>
      </c>
      <c r="K7990" s="615">
        <v>58</v>
      </c>
    </row>
    <row r="7991" spans="1:11">
      <c r="A7991" s="688" t="s">
        <v>16</v>
      </c>
      <c r="B7991" s="689">
        <v>65.099999999999994</v>
      </c>
      <c r="C7991" s="689">
        <v>65.099999999999994</v>
      </c>
      <c r="D7991" s="689">
        <v>65.3</v>
      </c>
      <c r="E7991" s="693">
        <v>66</v>
      </c>
      <c r="F7991" s="689">
        <v>65.7</v>
      </c>
      <c r="G7991" s="689">
        <v>65.7</v>
      </c>
      <c r="H7991" s="689">
        <v>66.3</v>
      </c>
      <c r="I7991" s="689">
        <v>65.2</v>
      </c>
      <c r="J7991" s="689">
        <v>65.7</v>
      </c>
      <c r="K7991" s="689">
        <v>65.7</v>
      </c>
    </row>
    <row r="7992" spans="1:11">
      <c r="A7992" s="688" t="s">
        <v>17</v>
      </c>
      <c r="B7992" s="615">
        <v>65</v>
      </c>
      <c r="C7992" s="691">
        <v>65.3</v>
      </c>
      <c r="D7992" s="691">
        <v>65.099999999999994</v>
      </c>
      <c r="E7992" s="691">
        <v>65.3</v>
      </c>
      <c r="F7992" s="691">
        <v>65.5</v>
      </c>
      <c r="G7992" s="691">
        <v>65.599999999999994</v>
      </c>
      <c r="H7992" s="691">
        <v>65.900000000000006</v>
      </c>
      <c r="I7992" s="691">
        <v>65.099999999999994</v>
      </c>
      <c r="J7992" s="691">
        <v>65.099999999999994</v>
      </c>
      <c r="K7992" s="691">
        <v>65.5</v>
      </c>
    </row>
    <row r="7993" spans="1:11">
      <c r="A7993" s="688" t="s">
        <v>19</v>
      </c>
      <c r="B7993" s="689">
        <v>64.099999999999994</v>
      </c>
      <c r="C7993" s="689">
        <v>64.3</v>
      </c>
      <c r="D7993" s="693">
        <v>64</v>
      </c>
      <c r="E7993" s="689">
        <v>64.5</v>
      </c>
      <c r="F7993" s="689">
        <v>64.599999999999994</v>
      </c>
      <c r="G7993" s="689">
        <v>64.599999999999994</v>
      </c>
      <c r="H7993" s="689">
        <v>64.900000000000006</v>
      </c>
      <c r="I7993" s="689">
        <v>64.3</v>
      </c>
      <c r="J7993" s="689">
        <v>64.099999999999994</v>
      </c>
      <c r="K7993" s="689">
        <v>64.3</v>
      </c>
    </row>
    <row r="7994" spans="1:11">
      <c r="A7994" s="688" t="s">
        <v>20</v>
      </c>
      <c r="B7994" s="691">
        <v>58.5</v>
      </c>
      <c r="C7994" s="615">
        <v>59</v>
      </c>
      <c r="D7994" s="691">
        <v>58.8</v>
      </c>
      <c r="E7994" s="691">
        <v>59.2</v>
      </c>
      <c r="F7994" s="691">
        <v>59.2</v>
      </c>
      <c r="G7994" s="691">
        <v>59.1</v>
      </c>
      <c r="H7994" s="691">
        <v>59.4</v>
      </c>
      <c r="I7994" s="691">
        <v>57.8</v>
      </c>
      <c r="J7994" s="691">
        <v>56.9</v>
      </c>
      <c r="K7994" s="691">
        <v>58.7</v>
      </c>
    </row>
    <row r="7995" spans="1:11">
      <c r="A7995" s="688" t="s">
        <v>21</v>
      </c>
      <c r="B7995" s="693">
        <v>63</v>
      </c>
      <c r="C7995" s="689">
        <v>63.5</v>
      </c>
      <c r="D7995" s="689">
        <v>63.6</v>
      </c>
      <c r="E7995" s="689">
        <v>63.6</v>
      </c>
      <c r="F7995" s="689">
        <v>63.9</v>
      </c>
      <c r="G7995" s="689">
        <v>63.9</v>
      </c>
      <c r="H7995" s="689">
        <v>64.3</v>
      </c>
      <c r="I7995" s="689">
        <v>63.7</v>
      </c>
      <c r="J7995" s="689">
        <v>63.7</v>
      </c>
      <c r="K7995" s="689">
        <v>64.099999999999994</v>
      </c>
    </row>
    <row r="7996" spans="1:11">
      <c r="A7996" s="688" t="s">
        <v>22</v>
      </c>
      <c r="B7996" s="691">
        <v>57.6</v>
      </c>
      <c r="C7996" s="691">
        <v>57.3</v>
      </c>
      <c r="D7996" s="691">
        <v>57.2</v>
      </c>
      <c r="E7996" s="691">
        <v>57.4</v>
      </c>
      <c r="F7996" s="691">
        <v>57.4</v>
      </c>
      <c r="G7996" s="691">
        <v>57.3</v>
      </c>
      <c r="H7996" s="691">
        <v>57.5</v>
      </c>
      <c r="I7996" s="691">
        <v>55.9</v>
      </c>
      <c r="J7996" s="691">
        <v>54.8</v>
      </c>
      <c r="K7996" s="691">
        <v>56.9</v>
      </c>
    </row>
    <row r="7997" spans="1:11">
      <c r="A7997" s="688" t="s">
        <v>26</v>
      </c>
      <c r="B7997" s="689">
        <v>62.5</v>
      </c>
      <c r="C7997" s="689">
        <v>63.2</v>
      </c>
      <c r="D7997" s="689">
        <v>62.9</v>
      </c>
      <c r="E7997" s="689">
        <v>63.2</v>
      </c>
      <c r="F7997" s="689">
        <v>63.3</v>
      </c>
      <c r="G7997" s="689">
        <v>63.6</v>
      </c>
      <c r="H7997" s="689">
        <v>63.8</v>
      </c>
      <c r="I7997" s="693">
        <v>63</v>
      </c>
      <c r="J7997" s="689">
        <v>62.9</v>
      </c>
      <c r="K7997" s="689">
        <v>63.8</v>
      </c>
    </row>
    <row r="7998" spans="1:11">
      <c r="A7998" s="688" t="s">
        <v>25</v>
      </c>
      <c r="B7998" s="691">
        <v>58.5</v>
      </c>
      <c r="C7998" s="691">
        <v>58.9</v>
      </c>
      <c r="D7998" s="691">
        <v>58.7</v>
      </c>
      <c r="E7998" s="691">
        <v>59.4</v>
      </c>
      <c r="F7998" s="691">
        <v>59.3</v>
      </c>
      <c r="G7998" s="691">
        <v>59.4</v>
      </c>
      <c r="H7998" s="691">
        <v>59.9</v>
      </c>
      <c r="I7998" s="691">
        <v>59.1</v>
      </c>
      <c r="J7998" s="691">
        <v>56.7</v>
      </c>
      <c r="K7998" s="691">
        <v>59.2</v>
      </c>
    </row>
    <row r="7999" spans="1:11">
      <c r="A7999" s="688" t="s">
        <v>5</v>
      </c>
      <c r="B7999" s="689">
        <v>63.3</v>
      </c>
      <c r="C7999" s="689">
        <v>63.5</v>
      </c>
      <c r="D7999" s="689">
        <v>63.8</v>
      </c>
      <c r="E7999" s="689">
        <v>63.7</v>
      </c>
      <c r="F7999" s="693">
        <v>64</v>
      </c>
      <c r="G7999" s="689">
        <v>64.2</v>
      </c>
      <c r="H7999" s="689">
        <v>64.400000000000006</v>
      </c>
      <c r="I7999" s="689">
        <v>64.3</v>
      </c>
      <c r="J7999" s="689">
        <v>64.400000000000006</v>
      </c>
      <c r="K7999" s="689">
        <v>63.9</v>
      </c>
    </row>
    <row r="8000" spans="1:11">
      <c r="A8000" s="688" t="s">
        <v>23</v>
      </c>
      <c r="B8000" s="691">
        <v>65.5</v>
      </c>
      <c r="C8000" s="691">
        <v>65.599999999999994</v>
      </c>
      <c r="D8000" s="691">
        <v>65.599999999999994</v>
      </c>
      <c r="E8000" s="691">
        <v>65.900000000000006</v>
      </c>
      <c r="F8000" s="615">
        <v>66</v>
      </c>
      <c r="G8000" s="691">
        <v>66.099999999999994</v>
      </c>
      <c r="H8000" s="691">
        <v>66.599999999999994</v>
      </c>
      <c r="I8000" s="691">
        <v>65.900000000000006</v>
      </c>
      <c r="J8000" s="691">
        <v>66.5</v>
      </c>
      <c r="K8000" s="691">
        <v>66.599999999999994</v>
      </c>
    </row>
    <row r="8001" spans="1:11">
      <c r="A8001" s="688" t="s">
        <v>4067</v>
      </c>
      <c r="B8001" s="689">
        <v>63.2</v>
      </c>
      <c r="C8001" s="689">
        <v>63.5</v>
      </c>
      <c r="D8001" s="689">
        <v>63.3</v>
      </c>
      <c r="E8001" s="689">
        <v>63.7</v>
      </c>
      <c r="F8001" s="689">
        <v>63.7</v>
      </c>
      <c r="G8001" s="689">
        <v>63.8</v>
      </c>
      <c r="H8001" s="690" t="s">
        <v>4060</v>
      </c>
      <c r="I8001" s="690" t="s">
        <v>4060</v>
      </c>
      <c r="J8001" s="690" t="s">
        <v>4060</v>
      </c>
      <c r="K8001" s="690" t="s">
        <v>4060</v>
      </c>
    </row>
    <row r="8002" spans="1:11">
      <c r="A8002" s="688" t="s">
        <v>4066</v>
      </c>
      <c r="B8002" s="691">
        <v>63.2</v>
      </c>
      <c r="C8002" s="691">
        <v>63.6</v>
      </c>
      <c r="D8002" s="691">
        <v>63.3</v>
      </c>
      <c r="E8002" s="691">
        <v>63.7</v>
      </c>
      <c r="F8002" s="691">
        <v>63.7</v>
      </c>
      <c r="G8002" s="691">
        <v>63.8</v>
      </c>
      <c r="H8002" s="692" t="s">
        <v>4060</v>
      </c>
      <c r="I8002" s="692" t="s">
        <v>4060</v>
      </c>
      <c r="J8002" s="692" t="s">
        <v>4060</v>
      </c>
      <c r="K8002" s="692" t="s">
        <v>4060</v>
      </c>
    </row>
    <row r="8003" spans="1:11">
      <c r="A8003" s="688" t="s">
        <v>4062</v>
      </c>
      <c r="B8003" s="689">
        <v>65.7</v>
      </c>
      <c r="C8003" s="693">
        <v>66</v>
      </c>
      <c r="D8003" s="693">
        <v>66</v>
      </c>
      <c r="E8003" s="689">
        <v>66.5</v>
      </c>
      <c r="F8003" s="689">
        <v>66.599999999999994</v>
      </c>
      <c r="G8003" s="689">
        <v>66.7</v>
      </c>
      <c r="H8003" s="693">
        <v>67</v>
      </c>
      <c r="I8003" s="689">
        <v>66.5</v>
      </c>
      <c r="J8003" s="689">
        <v>66.900000000000006</v>
      </c>
      <c r="K8003" s="689">
        <v>66.7</v>
      </c>
    </row>
    <row r="8004" spans="1:11">
      <c r="A8004" s="688" t="s">
        <v>9</v>
      </c>
      <c r="B8004" s="691">
        <v>65.7</v>
      </c>
      <c r="C8004" s="691">
        <v>66.3</v>
      </c>
      <c r="D8004" s="691">
        <v>66.400000000000006</v>
      </c>
      <c r="E8004" s="691">
        <v>65.5</v>
      </c>
      <c r="F8004" s="691">
        <v>66.099999999999994</v>
      </c>
      <c r="G8004" s="691">
        <v>66.3</v>
      </c>
      <c r="H8004" s="691">
        <v>66.599999999999994</v>
      </c>
      <c r="I8004" s="691">
        <v>66.8</v>
      </c>
      <c r="J8004" s="615">
        <v>67</v>
      </c>
      <c r="K8004" s="691">
        <v>66.099999999999994</v>
      </c>
    </row>
    <row r="8005" spans="1:11">
      <c r="A8005" s="688" t="s">
        <v>13</v>
      </c>
      <c r="B8005" s="689">
        <v>65.7</v>
      </c>
      <c r="C8005" s="693">
        <v>66</v>
      </c>
      <c r="D8005" s="689">
        <v>66.599999999999994</v>
      </c>
      <c r="E8005" s="689">
        <v>65.599999999999994</v>
      </c>
      <c r="F8005" s="689">
        <v>66.3</v>
      </c>
      <c r="G8005" s="689">
        <v>65.400000000000006</v>
      </c>
      <c r="H8005" s="689">
        <v>67.400000000000006</v>
      </c>
      <c r="I8005" s="689">
        <v>65.5</v>
      </c>
      <c r="J8005" s="689">
        <v>67.099999999999994</v>
      </c>
      <c r="K8005" s="689">
        <v>68.099999999999994</v>
      </c>
    </row>
    <row r="8006" spans="1:11">
      <c r="A8006" s="688" t="s">
        <v>18</v>
      </c>
      <c r="B8006" s="691">
        <v>65.099999999999994</v>
      </c>
      <c r="C8006" s="691">
        <v>65.3</v>
      </c>
      <c r="D8006" s="691">
        <v>65.7</v>
      </c>
      <c r="E8006" s="691">
        <v>65.900000000000006</v>
      </c>
      <c r="F8006" s="691">
        <v>66.2</v>
      </c>
      <c r="G8006" s="691">
        <v>66.3</v>
      </c>
      <c r="H8006" s="691">
        <v>66.5</v>
      </c>
      <c r="I8006" s="691">
        <v>66.7</v>
      </c>
      <c r="J8006" s="691">
        <v>66.8</v>
      </c>
      <c r="K8006" s="691">
        <v>66.2</v>
      </c>
    </row>
    <row r="8007" spans="1:11">
      <c r="A8007" s="688" t="s">
        <v>24</v>
      </c>
      <c r="B8007" s="689">
        <v>66.099999999999994</v>
      </c>
      <c r="C8007" s="689">
        <v>66.400000000000006</v>
      </c>
      <c r="D8007" s="689">
        <v>66.2</v>
      </c>
      <c r="E8007" s="689">
        <v>66.900000000000006</v>
      </c>
      <c r="F8007" s="689">
        <v>66.8</v>
      </c>
      <c r="G8007" s="693">
        <v>67</v>
      </c>
      <c r="H8007" s="689">
        <v>67.3</v>
      </c>
      <c r="I8007" s="689">
        <v>66.400000000000006</v>
      </c>
      <c r="J8007" s="693">
        <v>67</v>
      </c>
      <c r="K8007" s="693">
        <v>67</v>
      </c>
    </row>
    <row r="8008" spans="1:11">
      <c r="A8008" s="688" t="s">
        <v>4059</v>
      </c>
      <c r="B8008" s="691">
        <v>64.7</v>
      </c>
      <c r="C8008" s="691">
        <v>64.900000000000006</v>
      </c>
      <c r="D8008" s="691">
        <v>64.7</v>
      </c>
      <c r="E8008" s="691">
        <v>64.8</v>
      </c>
      <c r="F8008" s="691">
        <v>64.900000000000006</v>
      </c>
      <c r="G8008" s="691">
        <v>64.900000000000006</v>
      </c>
      <c r="H8008" s="692" t="s">
        <v>4060</v>
      </c>
      <c r="I8008" s="692" t="s">
        <v>4060</v>
      </c>
      <c r="J8008" s="692" t="s">
        <v>4060</v>
      </c>
      <c r="K8008" s="692" t="s">
        <v>4060</v>
      </c>
    </row>
    <row r="8009" spans="1:11">
      <c r="A8009" s="688" t="s">
        <v>2324</v>
      </c>
      <c r="B8009" s="689">
        <v>59.6</v>
      </c>
      <c r="C8009" s="689">
        <v>59.6</v>
      </c>
      <c r="D8009" s="689">
        <v>59.7</v>
      </c>
      <c r="E8009" s="689">
        <v>59.4</v>
      </c>
      <c r="F8009" s="689">
        <v>59.2</v>
      </c>
      <c r="G8009" s="689">
        <v>59.8</v>
      </c>
      <c r="H8009" s="689">
        <v>59.4</v>
      </c>
      <c r="I8009" s="689">
        <v>58.5</v>
      </c>
      <c r="J8009" s="693">
        <v>56</v>
      </c>
      <c r="K8009" s="690" t="s">
        <v>4060</v>
      </c>
    </row>
    <row r="8010" spans="1:11">
      <c r="A8010" s="688" t="s">
        <v>2322</v>
      </c>
      <c r="B8010" s="692" t="s">
        <v>4060</v>
      </c>
      <c r="C8010" s="692" t="s">
        <v>4060</v>
      </c>
      <c r="D8010" s="692" t="s">
        <v>4060</v>
      </c>
      <c r="E8010" s="692" t="s">
        <v>4060</v>
      </c>
      <c r="F8010" s="692" t="s">
        <v>4060</v>
      </c>
      <c r="G8010" s="692" t="s">
        <v>4060</v>
      </c>
      <c r="H8010" s="692" t="s">
        <v>4060</v>
      </c>
      <c r="I8010" s="692" t="s">
        <v>4060</v>
      </c>
      <c r="J8010" s="692" t="s">
        <v>4060</v>
      </c>
      <c r="K8010" s="692" t="s">
        <v>4060</v>
      </c>
    </row>
    <row r="8011" spans="1:11">
      <c r="A8011" s="688" t="s">
        <v>2328</v>
      </c>
      <c r="B8011" s="689">
        <v>59.4</v>
      </c>
      <c r="C8011" s="689">
        <v>59.5</v>
      </c>
      <c r="D8011" s="689">
        <v>59.5</v>
      </c>
      <c r="E8011" s="689">
        <v>59.5</v>
      </c>
      <c r="F8011" s="693">
        <v>60</v>
      </c>
      <c r="G8011" s="689">
        <v>60.3</v>
      </c>
      <c r="H8011" s="689">
        <v>60.3</v>
      </c>
      <c r="I8011" s="689">
        <v>57.7</v>
      </c>
      <c r="J8011" s="689">
        <v>56.6</v>
      </c>
      <c r="K8011" s="690" t="s">
        <v>4060</v>
      </c>
    </row>
    <row r="8012" spans="1:11">
      <c r="A8012" s="688" t="s">
        <v>2496</v>
      </c>
      <c r="B8012" s="692" t="s">
        <v>4060</v>
      </c>
      <c r="C8012" s="691">
        <v>55.9</v>
      </c>
      <c r="D8012" s="691">
        <v>54.7</v>
      </c>
      <c r="E8012" s="691">
        <v>54.3</v>
      </c>
      <c r="F8012" s="691">
        <v>55.2</v>
      </c>
      <c r="G8012" s="691">
        <v>55.6</v>
      </c>
      <c r="H8012" s="691">
        <v>55.6</v>
      </c>
      <c r="I8012" s="692" t="s">
        <v>4060</v>
      </c>
      <c r="J8012" s="692" t="s">
        <v>4060</v>
      </c>
      <c r="K8012" s="691">
        <v>55.1</v>
      </c>
    </row>
    <row r="8013" spans="1:11">
      <c r="A8013" s="688" t="s">
        <v>2269</v>
      </c>
      <c r="B8013" s="693">
        <v>62</v>
      </c>
      <c r="C8013" s="689">
        <v>62.3</v>
      </c>
      <c r="D8013" s="689">
        <v>62.1</v>
      </c>
      <c r="E8013" s="693">
        <v>63</v>
      </c>
      <c r="F8013" s="693">
        <v>63</v>
      </c>
      <c r="G8013" s="689">
        <v>63.3</v>
      </c>
      <c r="H8013" s="689">
        <v>63.6</v>
      </c>
      <c r="I8013" s="689">
        <v>61.2</v>
      </c>
      <c r="J8013" s="689">
        <v>59.4</v>
      </c>
      <c r="K8013" s="689">
        <v>63.2</v>
      </c>
    </row>
    <row r="8014" spans="1:11">
      <c r="A8014" s="688" t="s">
        <v>2349</v>
      </c>
      <c r="B8014" s="691">
        <v>58.3</v>
      </c>
      <c r="C8014" s="691">
        <v>58.4</v>
      </c>
      <c r="D8014" s="691">
        <v>58.4</v>
      </c>
      <c r="E8014" s="691">
        <v>58.8</v>
      </c>
      <c r="F8014" s="691">
        <v>58.7</v>
      </c>
      <c r="G8014" s="615">
        <v>59</v>
      </c>
      <c r="H8014" s="691">
        <v>58.9</v>
      </c>
      <c r="I8014" s="691">
        <v>57.1</v>
      </c>
      <c r="J8014" s="691">
        <v>55.5</v>
      </c>
      <c r="K8014" s="691">
        <v>58.1</v>
      </c>
    </row>
    <row r="8015" spans="1:11">
      <c r="A8015" s="688" t="s">
        <v>2355</v>
      </c>
      <c r="B8015" s="689">
        <v>61.7</v>
      </c>
      <c r="C8015" s="689">
        <v>61.7</v>
      </c>
      <c r="D8015" s="689">
        <v>61.6</v>
      </c>
      <c r="E8015" s="689">
        <v>61.5</v>
      </c>
      <c r="F8015" s="689">
        <v>61.8</v>
      </c>
      <c r="G8015" s="689">
        <v>62.3</v>
      </c>
      <c r="H8015" s="689">
        <v>62.5</v>
      </c>
      <c r="I8015" s="690" t="s">
        <v>4060</v>
      </c>
      <c r="J8015" s="690" t="s">
        <v>4060</v>
      </c>
      <c r="K8015" s="690" t="s">
        <v>4060</v>
      </c>
    </row>
    <row r="8016" spans="1:11">
      <c r="A8016" s="688" t="s">
        <v>2357</v>
      </c>
      <c r="B8016" s="692" t="s">
        <v>4060</v>
      </c>
      <c r="C8016" s="691">
        <v>52.5</v>
      </c>
      <c r="D8016" s="691">
        <v>53.3</v>
      </c>
      <c r="E8016" s="691">
        <v>53.7</v>
      </c>
      <c r="F8016" s="691">
        <v>54.1</v>
      </c>
      <c r="G8016" s="691">
        <v>53.8</v>
      </c>
      <c r="H8016" s="691">
        <v>54.1</v>
      </c>
      <c r="I8016" s="692" t="s">
        <v>4060</v>
      </c>
      <c r="J8016" s="692" t="s">
        <v>4060</v>
      </c>
      <c r="K8016" s="692" t="s">
        <v>4060</v>
      </c>
    </row>
    <row r="8017" spans="1:11">
      <c r="A8017" s="688" t="s">
        <v>4070</v>
      </c>
      <c r="B8017" s="690" t="s">
        <v>4060</v>
      </c>
      <c r="C8017" s="690" t="s">
        <v>4060</v>
      </c>
      <c r="D8017" s="690" t="s">
        <v>4060</v>
      </c>
      <c r="E8017" s="689">
        <v>61.6</v>
      </c>
      <c r="F8017" s="690" t="s">
        <v>4060</v>
      </c>
      <c r="G8017" s="690" t="s">
        <v>4060</v>
      </c>
      <c r="H8017" s="690" t="s">
        <v>4060</v>
      </c>
      <c r="I8017" s="690" t="s">
        <v>4060</v>
      </c>
      <c r="J8017" s="690" t="s">
        <v>4060</v>
      </c>
      <c r="K8017" s="690" t="s">
        <v>4060</v>
      </c>
    </row>
    <row r="8018" spans="1:11">
      <c r="A8018" s="688" t="s">
        <v>2491</v>
      </c>
      <c r="B8018" s="691">
        <v>52.7</v>
      </c>
      <c r="C8018" s="691">
        <v>53.3</v>
      </c>
      <c r="D8018" s="615">
        <v>54</v>
      </c>
      <c r="E8018" s="691">
        <v>54.4</v>
      </c>
      <c r="F8018" s="691">
        <v>54.7</v>
      </c>
      <c r="G8018" s="691">
        <v>54.6</v>
      </c>
      <c r="H8018" s="692" t="s">
        <v>4060</v>
      </c>
      <c r="I8018" s="692" t="s">
        <v>4060</v>
      </c>
      <c r="J8018" s="692" t="s">
        <v>4060</v>
      </c>
      <c r="K8018" s="692" t="s">
        <v>4060</v>
      </c>
    </row>
    <row r="8019" spans="1:11">
      <c r="A8019" s="688" t="s">
        <v>2343</v>
      </c>
      <c r="B8019" s="690" t="s">
        <v>4060</v>
      </c>
      <c r="C8019" s="690" t="s">
        <v>4060</v>
      </c>
      <c r="D8019" s="690" t="s">
        <v>4060</v>
      </c>
      <c r="E8019" s="690" t="s">
        <v>4060</v>
      </c>
      <c r="F8019" s="690" t="s">
        <v>4060</v>
      </c>
      <c r="G8019" s="690" t="s">
        <v>4060</v>
      </c>
      <c r="H8019" s="690" t="s">
        <v>4060</v>
      </c>
      <c r="I8019" s="690" t="s">
        <v>4060</v>
      </c>
      <c r="J8019" s="690" t="s">
        <v>4060</v>
      </c>
      <c r="K8019" s="690" t="s">
        <v>4060</v>
      </c>
    </row>
    <row r="8020" spans="1:11">
      <c r="A8020" s="688" t="s">
        <v>4071</v>
      </c>
      <c r="B8020" s="692" t="s">
        <v>4060</v>
      </c>
      <c r="C8020" s="692" t="s">
        <v>4060</v>
      </c>
      <c r="D8020" s="692" t="s">
        <v>4060</v>
      </c>
      <c r="E8020" s="692" t="s">
        <v>4060</v>
      </c>
      <c r="F8020" s="692" t="s">
        <v>4060</v>
      </c>
      <c r="G8020" s="692" t="s">
        <v>4060</v>
      </c>
      <c r="H8020" s="692" t="s">
        <v>4060</v>
      </c>
      <c r="I8020" s="692" t="s">
        <v>4060</v>
      </c>
      <c r="J8020" s="692" t="s">
        <v>4060</v>
      </c>
      <c r="K8020" s="692" t="s">
        <v>4060</v>
      </c>
    </row>
    <row r="8021" spans="1:11">
      <c r="A8021" s="688" t="s">
        <v>2489</v>
      </c>
      <c r="B8021" s="690" t="s">
        <v>4060</v>
      </c>
      <c r="C8021" s="690" t="s">
        <v>4060</v>
      </c>
      <c r="D8021" s="689">
        <v>57.6</v>
      </c>
      <c r="E8021" s="689">
        <v>57.5</v>
      </c>
      <c r="F8021" s="689">
        <v>58.3</v>
      </c>
      <c r="G8021" s="689">
        <v>59.1</v>
      </c>
      <c r="H8021" s="689">
        <v>58.8</v>
      </c>
      <c r="I8021" s="690" t="s">
        <v>4060</v>
      </c>
      <c r="J8021" s="690" t="s">
        <v>4060</v>
      </c>
      <c r="K8021" s="690" t="s">
        <v>4060</v>
      </c>
    </row>
    <row r="8022" spans="1:11">
      <c r="A8022" s="688" t="s">
        <v>2490</v>
      </c>
      <c r="B8022" s="691">
        <v>58.3</v>
      </c>
      <c r="C8022" s="691">
        <v>58.4</v>
      </c>
      <c r="D8022" s="691">
        <v>59.2</v>
      </c>
      <c r="E8022" s="692" t="s">
        <v>4060</v>
      </c>
      <c r="F8022" s="691">
        <v>59.5</v>
      </c>
      <c r="G8022" s="691">
        <v>59.8</v>
      </c>
      <c r="H8022" s="691">
        <v>60.6</v>
      </c>
      <c r="I8022" s="692" t="s">
        <v>4060</v>
      </c>
      <c r="J8022" s="692" t="s">
        <v>4060</v>
      </c>
      <c r="K8022" s="692" t="s">
        <v>4060</v>
      </c>
    </row>
    <row r="8024" spans="1:11">
      <c r="A8024" s="683" t="s">
        <v>4233</v>
      </c>
    </row>
    <row r="8025" spans="1:11">
      <c r="A8025" s="683" t="s">
        <v>4060</v>
      </c>
      <c r="B8025" s="682" t="s">
        <v>4234</v>
      </c>
    </row>
    <row r="8027" spans="1:11">
      <c r="A8027" s="682" t="s">
        <v>4331</v>
      </c>
    </row>
    <row r="8028" spans="1:11">
      <c r="A8028" s="682" t="s">
        <v>4210</v>
      </c>
      <c r="B8028" s="683" t="s">
        <v>4211</v>
      </c>
    </row>
    <row r="8029" spans="1:11">
      <c r="A8029" s="682" t="s">
        <v>4212</v>
      </c>
      <c r="B8029" s="682" t="s">
        <v>4213</v>
      </c>
    </row>
    <row r="8031" spans="1:11">
      <c r="A8031" s="683" t="s">
        <v>4214</v>
      </c>
      <c r="C8031" s="682" t="s">
        <v>4215</v>
      </c>
    </row>
    <row r="8032" spans="1:11">
      <c r="A8032" s="683" t="s">
        <v>4216</v>
      </c>
      <c r="C8032" s="682" t="s">
        <v>2967</v>
      </c>
    </row>
    <row r="8033" spans="1:11">
      <c r="A8033" s="683" t="s">
        <v>3893</v>
      </c>
      <c r="C8033" s="682" t="s">
        <v>2168</v>
      </c>
    </row>
    <row r="8034" spans="1:11">
      <c r="A8034" s="683" t="s">
        <v>4218</v>
      </c>
      <c r="C8034" s="682" t="s">
        <v>4251</v>
      </c>
    </row>
    <row r="8036" spans="1:11">
      <c r="A8036" s="684" t="s">
        <v>4220</v>
      </c>
      <c r="B8036" s="685" t="s">
        <v>4221</v>
      </c>
      <c r="C8036" s="685" t="s">
        <v>4222</v>
      </c>
      <c r="D8036" s="685" t="s">
        <v>4223</v>
      </c>
      <c r="E8036" s="685" t="s">
        <v>4224</v>
      </c>
      <c r="F8036" s="685" t="s">
        <v>4225</v>
      </c>
      <c r="G8036" s="685" t="s">
        <v>4226</v>
      </c>
      <c r="H8036" s="685" t="s">
        <v>4227</v>
      </c>
      <c r="I8036" s="685" t="s">
        <v>4228</v>
      </c>
      <c r="J8036" s="685" t="s">
        <v>4229</v>
      </c>
      <c r="K8036" s="685" t="s">
        <v>4230</v>
      </c>
    </row>
    <row r="8037" spans="1:11">
      <c r="A8037" s="686" t="s">
        <v>4231</v>
      </c>
      <c r="B8037" s="687" t="s">
        <v>4232</v>
      </c>
      <c r="C8037" s="687" t="s">
        <v>4232</v>
      </c>
      <c r="D8037" s="687" t="s">
        <v>4232</v>
      </c>
      <c r="E8037" s="687" t="s">
        <v>4232</v>
      </c>
      <c r="F8037" s="687" t="s">
        <v>4232</v>
      </c>
      <c r="G8037" s="687" t="s">
        <v>4232</v>
      </c>
      <c r="H8037" s="687" t="s">
        <v>4232</v>
      </c>
      <c r="I8037" s="687" t="s">
        <v>4232</v>
      </c>
      <c r="J8037" s="687" t="s">
        <v>4232</v>
      </c>
      <c r="K8037" s="687" t="s">
        <v>4232</v>
      </c>
    </row>
    <row r="8038" spans="1:11">
      <c r="A8038" s="688" t="s">
        <v>4064</v>
      </c>
      <c r="B8038" s="615">
        <v>62</v>
      </c>
      <c r="C8038" s="691">
        <v>62.1</v>
      </c>
      <c r="D8038" s="691">
        <v>62.1</v>
      </c>
      <c r="E8038" s="691">
        <v>62.3</v>
      </c>
      <c r="F8038" s="691">
        <v>62.4</v>
      </c>
      <c r="G8038" s="691">
        <v>62.5</v>
      </c>
      <c r="H8038" s="691">
        <v>62.8</v>
      </c>
      <c r="I8038" s="691">
        <v>61.8</v>
      </c>
      <c r="J8038" s="691">
        <v>61.5</v>
      </c>
      <c r="K8038" s="691">
        <v>62.2</v>
      </c>
    </row>
    <row r="8039" spans="1:11">
      <c r="A8039" s="688" t="s">
        <v>4065</v>
      </c>
      <c r="B8039" s="689">
        <v>62.2</v>
      </c>
      <c r="C8039" s="689">
        <v>62.5</v>
      </c>
      <c r="D8039" s="689">
        <v>62.3</v>
      </c>
      <c r="E8039" s="689">
        <v>62.6</v>
      </c>
      <c r="F8039" s="689">
        <v>62.7</v>
      </c>
      <c r="G8039" s="689">
        <v>62.8</v>
      </c>
      <c r="H8039" s="690" t="s">
        <v>4060</v>
      </c>
      <c r="I8039" s="690" t="s">
        <v>4060</v>
      </c>
      <c r="J8039" s="690" t="s">
        <v>4060</v>
      </c>
      <c r="K8039" s="690" t="s">
        <v>4060</v>
      </c>
    </row>
    <row r="8040" spans="1:11">
      <c r="A8040" s="688" t="s">
        <v>4063</v>
      </c>
      <c r="B8040" s="691">
        <v>62.2</v>
      </c>
      <c r="C8040" s="691">
        <v>62.6</v>
      </c>
      <c r="D8040" s="691">
        <v>62.3</v>
      </c>
      <c r="E8040" s="691">
        <v>62.7</v>
      </c>
      <c r="F8040" s="691">
        <v>62.7</v>
      </c>
      <c r="G8040" s="691">
        <v>62.8</v>
      </c>
      <c r="H8040" s="692" t="s">
        <v>4060</v>
      </c>
      <c r="I8040" s="692" t="s">
        <v>4060</v>
      </c>
      <c r="J8040" s="692" t="s">
        <v>4060</v>
      </c>
      <c r="K8040" s="692" t="s">
        <v>4060</v>
      </c>
    </row>
    <row r="8041" spans="1:11">
      <c r="A8041" s="688" t="s">
        <v>4069</v>
      </c>
      <c r="B8041" s="690" t="s">
        <v>4060</v>
      </c>
      <c r="C8041" s="689">
        <v>63.3</v>
      </c>
      <c r="D8041" s="689">
        <v>63.1</v>
      </c>
      <c r="E8041" s="689">
        <v>63.4</v>
      </c>
      <c r="F8041" s="689">
        <v>63.5</v>
      </c>
      <c r="G8041" s="689">
        <v>63.7</v>
      </c>
      <c r="H8041" s="693">
        <v>64</v>
      </c>
      <c r="I8041" s="689">
        <v>63.2</v>
      </c>
      <c r="J8041" s="689">
        <v>63.2</v>
      </c>
      <c r="K8041" s="689">
        <v>63.4</v>
      </c>
    </row>
    <row r="8042" spans="1:11">
      <c r="A8042" s="688" t="s">
        <v>4068</v>
      </c>
      <c r="B8042" s="691">
        <v>63.2</v>
      </c>
      <c r="C8042" s="692" t="s">
        <v>4060</v>
      </c>
      <c r="D8042" s="692" t="s">
        <v>4060</v>
      </c>
      <c r="E8042" s="692" t="s">
        <v>4060</v>
      </c>
      <c r="F8042" s="692" t="s">
        <v>4060</v>
      </c>
      <c r="G8042" s="692" t="s">
        <v>4060</v>
      </c>
      <c r="H8042" s="692" t="s">
        <v>4060</v>
      </c>
      <c r="I8042" s="692" t="s">
        <v>4060</v>
      </c>
      <c r="J8042" s="692" t="s">
        <v>4060</v>
      </c>
      <c r="K8042" s="692" t="s">
        <v>4060</v>
      </c>
    </row>
    <row r="8043" spans="1:11">
      <c r="A8043" s="688" t="s">
        <v>0</v>
      </c>
      <c r="B8043" s="689">
        <v>62.5</v>
      </c>
      <c r="C8043" s="693">
        <v>63</v>
      </c>
      <c r="D8043" s="693">
        <v>63</v>
      </c>
      <c r="E8043" s="689">
        <v>63.2</v>
      </c>
      <c r="F8043" s="689">
        <v>63.5</v>
      </c>
      <c r="G8043" s="689">
        <v>63.7</v>
      </c>
      <c r="H8043" s="693">
        <v>64</v>
      </c>
      <c r="I8043" s="689">
        <v>62.9</v>
      </c>
      <c r="J8043" s="689">
        <v>63.6</v>
      </c>
      <c r="K8043" s="689">
        <v>63.9</v>
      </c>
    </row>
    <row r="8044" spans="1:11">
      <c r="A8044" s="688" t="s">
        <v>1</v>
      </c>
      <c r="B8044" s="691">
        <v>56.2</v>
      </c>
      <c r="C8044" s="691">
        <v>55.8</v>
      </c>
      <c r="D8044" s="691">
        <v>55.9</v>
      </c>
      <c r="E8044" s="691">
        <v>55.9</v>
      </c>
      <c r="F8044" s="691">
        <v>55.9</v>
      </c>
      <c r="G8044" s="615">
        <v>56</v>
      </c>
      <c r="H8044" s="691">
        <v>55.9</v>
      </c>
      <c r="I8044" s="691">
        <v>54.2</v>
      </c>
      <c r="J8044" s="691">
        <v>52.3</v>
      </c>
      <c r="K8044" s="691">
        <v>55.1</v>
      </c>
    </row>
    <row r="8045" spans="1:11">
      <c r="A8045" s="688" t="s">
        <v>2240</v>
      </c>
      <c r="B8045" s="689">
        <v>59.6</v>
      </c>
      <c r="C8045" s="693">
        <v>60</v>
      </c>
      <c r="D8045" s="693">
        <v>60</v>
      </c>
      <c r="E8045" s="689">
        <v>60.4</v>
      </c>
      <c r="F8045" s="689">
        <v>60.4</v>
      </c>
      <c r="G8045" s="689">
        <v>60.4</v>
      </c>
      <c r="H8045" s="689">
        <v>60.7</v>
      </c>
      <c r="I8045" s="689">
        <v>59.6</v>
      </c>
      <c r="J8045" s="689">
        <v>58.4</v>
      </c>
      <c r="K8045" s="689">
        <v>60.4</v>
      </c>
    </row>
    <row r="8046" spans="1:11">
      <c r="A8046" s="688" t="s">
        <v>2</v>
      </c>
      <c r="B8046" s="691">
        <v>62.7</v>
      </c>
      <c r="C8046" s="615">
        <v>63</v>
      </c>
      <c r="D8046" s="691">
        <v>63.2</v>
      </c>
      <c r="E8046" s="691">
        <v>63.3</v>
      </c>
      <c r="F8046" s="691">
        <v>63.5</v>
      </c>
      <c r="G8046" s="691">
        <v>63.4</v>
      </c>
      <c r="H8046" s="691">
        <v>63.8</v>
      </c>
      <c r="I8046" s="615">
        <v>64</v>
      </c>
      <c r="J8046" s="691">
        <v>63.9</v>
      </c>
      <c r="K8046" s="691">
        <v>63.8</v>
      </c>
    </row>
    <row r="8047" spans="1:11">
      <c r="A8047" s="688" t="s">
        <v>3</v>
      </c>
      <c r="B8047" s="689">
        <v>62.6</v>
      </c>
      <c r="C8047" s="689">
        <v>62.8</v>
      </c>
      <c r="D8047" s="689">
        <v>62.5</v>
      </c>
      <c r="E8047" s="689">
        <v>62.8</v>
      </c>
      <c r="F8047" s="693">
        <v>63</v>
      </c>
      <c r="G8047" s="689">
        <v>62.9</v>
      </c>
      <c r="H8047" s="689">
        <v>63.2</v>
      </c>
      <c r="I8047" s="693">
        <v>63</v>
      </c>
      <c r="J8047" s="689">
        <v>62.6</v>
      </c>
      <c r="K8047" s="689">
        <v>62.5</v>
      </c>
    </row>
    <row r="8048" spans="1:11">
      <c r="A8048" s="688" t="s">
        <v>4061</v>
      </c>
      <c r="B8048" s="691">
        <v>62.6</v>
      </c>
      <c r="C8048" s="691">
        <v>62.8</v>
      </c>
      <c r="D8048" s="691">
        <v>62.5</v>
      </c>
      <c r="E8048" s="691">
        <v>62.8</v>
      </c>
      <c r="F8048" s="615">
        <v>63</v>
      </c>
      <c r="G8048" s="691">
        <v>62.9</v>
      </c>
      <c r="H8048" s="691">
        <v>63.2</v>
      </c>
      <c r="I8048" s="615">
        <v>63</v>
      </c>
      <c r="J8048" s="691">
        <v>62.6</v>
      </c>
      <c r="K8048" s="691">
        <v>62.5</v>
      </c>
    </row>
    <row r="8049" spans="1:11">
      <c r="A8049" s="688" t="s">
        <v>4</v>
      </c>
      <c r="B8049" s="689">
        <v>57.1</v>
      </c>
      <c r="C8049" s="689">
        <v>56.7</v>
      </c>
      <c r="D8049" s="689">
        <v>57.4</v>
      </c>
      <c r="E8049" s="689">
        <v>57.5</v>
      </c>
      <c r="F8049" s="693">
        <v>58</v>
      </c>
      <c r="G8049" s="689">
        <v>58.2</v>
      </c>
      <c r="H8049" s="689">
        <v>58.7</v>
      </c>
      <c r="I8049" s="689">
        <v>58.6</v>
      </c>
      <c r="J8049" s="689">
        <v>57.1</v>
      </c>
      <c r="K8049" s="689">
        <v>57.9</v>
      </c>
    </row>
    <row r="8050" spans="1:11">
      <c r="A8050" s="688" t="s">
        <v>8</v>
      </c>
      <c r="B8050" s="691">
        <v>63.4</v>
      </c>
      <c r="C8050" s="691">
        <v>63.6</v>
      </c>
      <c r="D8050" s="691">
        <v>63.9</v>
      </c>
      <c r="E8050" s="615">
        <v>64</v>
      </c>
      <c r="F8050" s="691">
        <v>64.5</v>
      </c>
      <c r="G8050" s="691">
        <v>64.5</v>
      </c>
      <c r="H8050" s="691">
        <v>64.900000000000006</v>
      </c>
      <c r="I8050" s="691">
        <v>64.900000000000006</v>
      </c>
      <c r="J8050" s="691">
        <v>64.599999999999994</v>
      </c>
      <c r="K8050" s="615">
        <v>65</v>
      </c>
    </row>
    <row r="8051" spans="1:11">
      <c r="A8051" s="688" t="s">
        <v>7</v>
      </c>
      <c r="B8051" s="689">
        <v>63.1</v>
      </c>
      <c r="C8051" s="689">
        <v>62.6</v>
      </c>
      <c r="D8051" s="689">
        <v>62.4</v>
      </c>
      <c r="E8051" s="689">
        <v>62.8</v>
      </c>
      <c r="F8051" s="689">
        <v>62.7</v>
      </c>
      <c r="G8051" s="689">
        <v>63.2</v>
      </c>
      <c r="H8051" s="689">
        <v>63.1</v>
      </c>
      <c r="I8051" s="689">
        <v>62.9</v>
      </c>
      <c r="J8051" s="689">
        <v>61.7</v>
      </c>
      <c r="K8051" s="689">
        <v>62.6</v>
      </c>
    </row>
    <row r="8052" spans="1:11">
      <c r="A8052" s="688" t="s">
        <v>27</v>
      </c>
      <c r="B8052" s="691">
        <v>64.5</v>
      </c>
      <c r="C8052" s="691">
        <v>64.400000000000006</v>
      </c>
      <c r="D8052" s="691">
        <v>64.2</v>
      </c>
      <c r="E8052" s="691">
        <v>64.599999999999994</v>
      </c>
      <c r="F8052" s="691">
        <v>64.599999999999994</v>
      </c>
      <c r="G8052" s="691">
        <v>64.7</v>
      </c>
      <c r="H8052" s="691">
        <v>65.099999999999994</v>
      </c>
      <c r="I8052" s="691">
        <v>63.8</v>
      </c>
      <c r="J8052" s="691">
        <v>64.5</v>
      </c>
      <c r="K8052" s="691">
        <v>64.7</v>
      </c>
    </row>
    <row r="8053" spans="1:11">
      <c r="A8053" s="688" t="s">
        <v>6</v>
      </c>
      <c r="B8053" s="689">
        <v>63.5</v>
      </c>
      <c r="C8053" s="689">
        <v>63.7</v>
      </c>
      <c r="D8053" s="689">
        <v>63.5</v>
      </c>
      <c r="E8053" s="689">
        <v>63.7</v>
      </c>
      <c r="F8053" s="689">
        <v>63.9</v>
      </c>
      <c r="G8053" s="693">
        <v>64</v>
      </c>
      <c r="H8053" s="689">
        <v>64.2</v>
      </c>
      <c r="I8053" s="689">
        <v>63.6</v>
      </c>
      <c r="J8053" s="689">
        <v>63.6</v>
      </c>
      <c r="K8053" s="689">
        <v>63.8</v>
      </c>
    </row>
    <row r="8054" spans="1:11">
      <c r="A8054" s="688" t="s">
        <v>4058</v>
      </c>
      <c r="B8054" s="692" t="s">
        <v>4060</v>
      </c>
      <c r="C8054" s="692" t="s">
        <v>4060</v>
      </c>
      <c r="D8054" s="692" t="s">
        <v>4060</v>
      </c>
      <c r="E8054" s="692" t="s">
        <v>4060</v>
      </c>
      <c r="F8054" s="692" t="s">
        <v>4060</v>
      </c>
      <c r="G8054" s="692" t="s">
        <v>4060</v>
      </c>
      <c r="H8054" s="692" t="s">
        <v>4060</v>
      </c>
      <c r="I8054" s="692" t="s">
        <v>4060</v>
      </c>
      <c r="J8054" s="692" t="s">
        <v>4060</v>
      </c>
      <c r="K8054" s="692" t="s">
        <v>4060</v>
      </c>
    </row>
    <row r="8055" spans="1:11">
      <c r="A8055" s="688" t="s">
        <v>11</v>
      </c>
      <c r="B8055" s="693">
        <v>59</v>
      </c>
      <c r="C8055" s="689">
        <v>59.2</v>
      </c>
      <c r="D8055" s="689">
        <v>58.7</v>
      </c>
      <c r="E8055" s="689">
        <v>59.3</v>
      </c>
      <c r="F8055" s="689">
        <v>59.3</v>
      </c>
      <c r="G8055" s="689">
        <v>59.3</v>
      </c>
      <c r="H8055" s="689">
        <v>59.6</v>
      </c>
      <c r="I8055" s="689">
        <v>58.9</v>
      </c>
      <c r="J8055" s="689">
        <v>57.9</v>
      </c>
      <c r="K8055" s="689">
        <v>59.1</v>
      </c>
    </row>
    <row r="8056" spans="1:11">
      <c r="A8056" s="688" t="s">
        <v>10</v>
      </c>
      <c r="B8056" s="691">
        <v>64.7</v>
      </c>
      <c r="C8056" s="691">
        <v>64.8</v>
      </c>
      <c r="D8056" s="691">
        <v>64.5</v>
      </c>
      <c r="E8056" s="615">
        <v>65</v>
      </c>
      <c r="F8056" s="691">
        <v>64.900000000000006</v>
      </c>
      <c r="G8056" s="691">
        <v>65.3</v>
      </c>
      <c r="H8056" s="691">
        <v>65.5</v>
      </c>
      <c r="I8056" s="691">
        <v>64.2</v>
      </c>
      <c r="J8056" s="691">
        <v>64.599999999999994</v>
      </c>
      <c r="K8056" s="691">
        <v>64.900000000000006</v>
      </c>
    </row>
    <row r="8057" spans="1:11">
      <c r="A8057" s="688" t="s">
        <v>30</v>
      </c>
      <c r="B8057" s="689">
        <v>64.400000000000006</v>
      </c>
      <c r="C8057" s="689">
        <v>64.599999999999994</v>
      </c>
      <c r="D8057" s="689">
        <v>64.3</v>
      </c>
      <c r="E8057" s="693">
        <v>65</v>
      </c>
      <c r="F8057" s="689">
        <v>64.7</v>
      </c>
      <c r="G8057" s="689">
        <v>65.5</v>
      </c>
      <c r="H8057" s="689">
        <v>65.099999999999994</v>
      </c>
      <c r="I8057" s="689">
        <v>65.099999999999994</v>
      </c>
      <c r="J8057" s="689">
        <v>64.099999999999994</v>
      </c>
      <c r="K8057" s="689">
        <v>64.7</v>
      </c>
    </row>
    <row r="8058" spans="1:11">
      <c r="A8058" s="688" t="s">
        <v>12</v>
      </c>
      <c r="B8058" s="691">
        <v>53.9</v>
      </c>
      <c r="C8058" s="691">
        <v>53.6</v>
      </c>
      <c r="D8058" s="691">
        <v>54.2</v>
      </c>
      <c r="E8058" s="691">
        <v>54.2</v>
      </c>
      <c r="F8058" s="691">
        <v>54.3</v>
      </c>
      <c r="G8058" s="691">
        <v>54.5</v>
      </c>
      <c r="H8058" s="691">
        <v>55.2</v>
      </c>
      <c r="I8058" s="615">
        <v>55</v>
      </c>
      <c r="J8058" s="691">
        <v>52.6</v>
      </c>
      <c r="K8058" s="691">
        <v>53.8</v>
      </c>
    </row>
    <row r="8059" spans="1:11">
      <c r="A8059" s="688" t="s">
        <v>14</v>
      </c>
      <c r="B8059" s="693">
        <v>53</v>
      </c>
      <c r="C8059" s="689">
        <v>53.6</v>
      </c>
      <c r="D8059" s="689">
        <v>53.7</v>
      </c>
      <c r="E8059" s="693">
        <v>54</v>
      </c>
      <c r="F8059" s="689">
        <v>55.1</v>
      </c>
      <c r="G8059" s="689">
        <v>55.3</v>
      </c>
      <c r="H8059" s="689">
        <v>55.9</v>
      </c>
      <c r="I8059" s="689">
        <v>54.5</v>
      </c>
      <c r="J8059" s="693">
        <v>54</v>
      </c>
      <c r="K8059" s="689">
        <v>55.7</v>
      </c>
    </row>
    <row r="8060" spans="1:11">
      <c r="A8060" s="688" t="s">
        <v>15</v>
      </c>
      <c r="B8060" s="691">
        <v>64.3</v>
      </c>
      <c r="C8060" s="691">
        <v>63.5</v>
      </c>
      <c r="D8060" s="691">
        <v>64.3</v>
      </c>
      <c r="E8060" s="691">
        <v>64.3</v>
      </c>
      <c r="F8060" s="691">
        <v>64.099999999999994</v>
      </c>
      <c r="G8060" s="691">
        <v>64.3</v>
      </c>
      <c r="H8060" s="691">
        <v>64.599999999999994</v>
      </c>
      <c r="I8060" s="691">
        <v>64.2</v>
      </c>
      <c r="J8060" s="691">
        <v>64.7</v>
      </c>
      <c r="K8060" s="691">
        <v>65.099999999999994</v>
      </c>
    </row>
    <row r="8061" spans="1:11">
      <c r="A8061" s="688" t="s">
        <v>29</v>
      </c>
      <c r="B8061" s="689">
        <v>56.7</v>
      </c>
      <c r="C8061" s="689">
        <v>56.8</v>
      </c>
      <c r="D8061" s="689">
        <v>56.7</v>
      </c>
      <c r="E8061" s="693">
        <v>57</v>
      </c>
      <c r="F8061" s="689">
        <v>56.9</v>
      </c>
      <c r="G8061" s="693">
        <v>57</v>
      </c>
      <c r="H8061" s="689">
        <v>57.4</v>
      </c>
      <c r="I8061" s="689">
        <v>56.6</v>
      </c>
      <c r="J8061" s="689">
        <v>55.1</v>
      </c>
      <c r="K8061" s="693">
        <v>57</v>
      </c>
    </row>
    <row r="8062" spans="1:11">
      <c r="A8062" s="688" t="s">
        <v>16</v>
      </c>
      <c r="B8062" s="691">
        <v>64.2</v>
      </c>
      <c r="C8062" s="691">
        <v>64.099999999999994</v>
      </c>
      <c r="D8062" s="691">
        <v>64.3</v>
      </c>
      <c r="E8062" s="615">
        <v>65</v>
      </c>
      <c r="F8062" s="691">
        <v>64.7</v>
      </c>
      <c r="G8062" s="691">
        <v>64.7</v>
      </c>
      <c r="H8062" s="691">
        <v>65.3</v>
      </c>
      <c r="I8062" s="691">
        <v>64.2</v>
      </c>
      <c r="J8062" s="691">
        <v>64.7</v>
      </c>
      <c r="K8062" s="691">
        <v>64.7</v>
      </c>
    </row>
    <row r="8063" spans="1:11">
      <c r="A8063" s="688" t="s">
        <v>17</v>
      </c>
      <c r="B8063" s="693">
        <v>64</v>
      </c>
      <c r="C8063" s="689">
        <v>64.3</v>
      </c>
      <c r="D8063" s="689">
        <v>64.099999999999994</v>
      </c>
      <c r="E8063" s="689">
        <v>64.3</v>
      </c>
      <c r="F8063" s="689">
        <v>64.5</v>
      </c>
      <c r="G8063" s="689">
        <v>64.599999999999994</v>
      </c>
      <c r="H8063" s="689">
        <v>64.900000000000006</v>
      </c>
      <c r="I8063" s="689">
        <v>64.099999999999994</v>
      </c>
      <c r="J8063" s="689">
        <v>64.099999999999994</v>
      </c>
      <c r="K8063" s="689">
        <v>64.5</v>
      </c>
    </row>
    <row r="8064" spans="1:11">
      <c r="A8064" s="688" t="s">
        <v>19</v>
      </c>
      <c r="B8064" s="691">
        <v>63.1</v>
      </c>
      <c r="C8064" s="691">
        <v>63.3</v>
      </c>
      <c r="D8064" s="615">
        <v>63</v>
      </c>
      <c r="E8064" s="691">
        <v>63.5</v>
      </c>
      <c r="F8064" s="691">
        <v>63.7</v>
      </c>
      <c r="G8064" s="691">
        <v>63.6</v>
      </c>
      <c r="H8064" s="615">
        <v>64</v>
      </c>
      <c r="I8064" s="691">
        <v>63.3</v>
      </c>
      <c r="J8064" s="691">
        <v>63.1</v>
      </c>
      <c r="K8064" s="691">
        <v>63.4</v>
      </c>
    </row>
    <row r="8065" spans="1:11">
      <c r="A8065" s="688" t="s">
        <v>20</v>
      </c>
      <c r="B8065" s="689">
        <v>57.5</v>
      </c>
      <c r="C8065" s="689">
        <v>58.1</v>
      </c>
      <c r="D8065" s="689">
        <v>57.9</v>
      </c>
      <c r="E8065" s="689">
        <v>58.2</v>
      </c>
      <c r="F8065" s="689">
        <v>58.2</v>
      </c>
      <c r="G8065" s="689">
        <v>58.1</v>
      </c>
      <c r="H8065" s="689">
        <v>58.4</v>
      </c>
      <c r="I8065" s="689">
        <v>56.8</v>
      </c>
      <c r="J8065" s="689">
        <v>55.9</v>
      </c>
      <c r="K8065" s="689">
        <v>57.7</v>
      </c>
    </row>
    <row r="8066" spans="1:11">
      <c r="A8066" s="688" t="s">
        <v>21</v>
      </c>
      <c r="B8066" s="615">
        <v>62</v>
      </c>
      <c r="C8066" s="691">
        <v>62.5</v>
      </c>
      <c r="D8066" s="691">
        <v>62.6</v>
      </c>
      <c r="E8066" s="691">
        <v>62.6</v>
      </c>
      <c r="F8066" s="691">
        <v>62.9</v>
      </c>
      <c r="G8066" s="691">
        <v>62.9</v>
      </c>
      <c r="H8066" s="691">
        <v>63.3</v>
      </c>
      <c r="I8066" s="691">
        <v>62.7</v>
      </c>
      <c r="J8066" s="691">
        <v>62.8</v>
      </c>
      <c r="K8066" s="691">
        <v>63.2</v>
      </c>
    </row>
    <row r="8067" spans="1:11">
      <c r="A8067" s="688" t="s">
        <v>22</v>
      </c>
      <c r="B8067" s="689">
        <v>56.6</v>
      </c>
      <c r="C8067" s="689">
        <v>56.3</v>
      </c>
      <c r="D8067" s="689">
        <v>56.2</v>
      </c>
      <c r="E8067" s="689">
        <v>56.4</v>
      </c>
      <c r="F8067" s="689">
        <v>56.4</v>
      </c>
      <c r="G8067" s="689">
        <v>56.4</v>
      </c>
      <c r="H8067" s="689">
        <v>56.6</v>
      </c>
      <c r="I8067" s="689">
        <v>54.9</v>
      </c>
      <c r="J8067" s="689">
        <v>53.8</v>
      </c>
      <c r="K8067" s="693">
        <v>56</v>
      </c>
    </row>
    <row r="8068" spans="1:11">
      <c r="A8068" s="688" t="s">
        <v>26</v>
      </c>
      <c r="B8068" s="691">
        <v>61.6</v>
      </c>
      <c r="C8068" s="691">
        <v>62.2</v>
      </c>
      <c r="D8068" s="691">
        <v>61.9</v>
      </c>
      <c r="E8068" s="691">
        <v>62.2</v>
      </c>
      <c r="F8068" s="691">
        <v>62.3</v>
      </c>
      <c r="G8068" s="691">
        <v>62.6</v>
      </c>
      <c r="H8068" s="691">
        <v>62.8</v>
      </c>
      <c r="I8068" s="615">
        <v>62</v>
      </c>
      <c r="J8068" s="691">
        <v>61.9</v>
      </c>
      <c r="K8068" s="691">
        <v>62.8</v>
      </c>
    </row>
    <row r="8069" spans="1:11">
      <c r="A8069" s="688" t="s">
        <v>25</v>
      </c>
      <c r="B8069" s="689">
        <v>57.6</v>
      </c>
      <c r="C8069" s="689">
        <v>57.9</v>
      </c>
      <c r="D8069" s="689">
        <v>57.7</v>
      </c>
      <c r="E8069" s="689">
        <v>58.4</v>
      </c>
      <c r="F8069" s="689">
        <v>58.4</v>
      </c>
      <c r="G8069" s="689">
        <v>58.5</v>
      </c>
      <c r="H8069" s="689">
        <v>58.9</v>
      </c>
      <c r="I8069" s="689">
        <v>58.1</v>
      </c>
      <c r="J8069" s="689">
        <v>55.7</v>
      </c>
      <c r="K8069" s="689">
        <v>58.2</v>
      </c>
    </row>
    <row r="8070" spans="1:11">
      <c r="A8070" s="688" t="s">
        <v>5</v>
      </c>
      <c r="B8070" s="691">
        <v>62.3</v>
      </c>
      <c r="C8070" s="691">
        <v>62.5</v>
      </c>
      <c r="D8070" s="691">
        <v>62.8</v>
      </c>
      <c r="E8070" s="691">
        <v>62.7</v>
      </c>
      <c r="F8070" s="615">
        <v>63</v>
      </c>
      <c r="G8070" s="691">
        <v>63.2</v>
      </c>
      <c r="H8070" s="691">
        <v>63.5</v>
      </c>
      <c r="I8070" s="691">
        <v>63.3</v>
      </c>
      <c r="J8070" s="691">
        <v>63.4</v>
      </c>
      <c r="K8070" s="691">
        <v>62.9</v>
      </c>
    </row>
    <row r="8071" spans="1:11">
      <c r="A8071" s="688" t="s">
        <v>23</v>
      </c>
      <c r="B8071" s="689">
        <v>64.5</v>
      </c>
      <c r="C8071" s="689">
        <v>64.599999999999994</v>
      </c>
      <c r="D8071" s="689">
        <v>64.599999999999994</v>
      </c>
      <c r="E8071" s="689">
        <v>64.900000000000006</v>
      </c>
      <c r="F8071" s="693">
        <v>65</v>
      </c>
      <c r="G8071" s="689">
        <v>65.099999999999994</v>
      </c>
      <c r="H8071" s="689">
        <v>65.599999999999994</v>
      </c>
      <c r="I8071" s="689">
        <v>64.900000000000006</v>
      </c>
      <c r="J8071" s="689">
        <v>65.5</v>
      </c>
      <c r="K8071" s="689">
        <v>65.599999999999994</v>
      </c>
    </row>
    <row r="8072" spans="1:11">
      <c r="A8072" s="688" t="s">
        <v>4067</v>
      </c>
      <c r="B8072" s="691">
        <v>62.2</v>
      </c>
      <c r="C8072" s="691">
        <v>62.6</v>
      </c>
      <c r="D8072" s="691">
        <v>62.3</v>
      </c>
      <c r="E8072" s="691">
        <v>62.7</v>
      </c>
      <c r="F8072" s="691">
        <v>62.7</v>
      </c>
      <c r="G8072" s="691">
        <v>62.8</v>
      </c>
      <c r="H8072" s="692" t="s">
        <v>4060</v>
      </c>
      <c r="I8072" s="692" t="s">
        <v>4060</v>
      </c>
      <c r="J8072" s="692" t="s">
        <v>4060</v>
      </c>
      <c r="K8072" s="692" t="s">
        <v>4060</v>
      </c>
    </row>
    <row r="8073" spans="1:11">
      <c r="A8073" s="688" t="s">
        <v>4066</v>
      </c>
      <c r="B8073" s="689">
        <v>62.2</v>
      </c>
      <c r="C8073" s="689">
        <v>62.6</v>
      </c>
      <c r="D8073" s="689">
        <v>62.4</v>
      </c>
      <c r="E8073" s="689">
        <v>62.7</v>
      </c>
      <c r="F8073" s="689">
        <v>62.8</v>
      </c>
      <c r="G8073" s="689">
        <v>62.8</v>
      </c>
      <c r="H8073" s="690" t="s">
        <v>4060</v>
      </c>
      <c r="I8073" s="690" t="s">
        <v>4060</v>
      </c>
      <c r="J8073" s="690" t="s">
        <v>4060</v>
      </c>
      <c r="K8073" s="690" t="s">
        <v>4060</v>
      </c>
    </row>
    <row r="8074" spans="1:11">
      <c r="A8074" s="688" t="s">
        <v>4062</v>
      </c>
      <c r="B8074" s="691">
        <v>64.7</v>
      </c>
      <c r="C8074" s="615">
        <v>65</v>
      </c>
      <c r="D8074" s="615">
        <v>65</v>
      </c>
      <c r="E8074" s="691">
        <v>65.5</v>
      </c>
      <c r="F8074" s="691">
        <v>65.599999999999994</v>
      </c>
      <c r="G8074" s="691">
        <v>65.8</v>
      </c>
      <c r="H8074" s="615">
        <v>66</v>
      </c>
      <c r="I8074" s="691">
        <v>65.5</v>
      </c>
      <c r="J8074" s="691">
        <v>65.900000000000006</v>
      </c>
      <c r="K8074" s="691">
        <v>65.7</v>
      </c>
    </row>
    <row r="8075" spans="1:11">
      <c r="A8075" s="688" t="s">
        <v>9</v>
      </c>
      <c r="B8075" s="689">
        <v>64.7</v>
      </c>
      <c r="C8075" s="689">
        <v>65.3</v>
      </c>
      <c r="D8075" s="689">
        <v>65.400000000000006</v>
      </c>
      <c r="E8075" s="689">
        <v>64.599999999999994</v>
      </c>
      <c r="F8075" s="689">
        <v>65.099999999999994</v>
      </c>
      <c r="G8075" s="689">
        <v>65.400000000000006</v>
      </c>
      <c r="H8075" s="689">
        <v>65.599999999999994</v>
      </c>
      <c r="I8075" s="689">
        <v>65.8</v>
      </c>
      <c r="J8075" s="693">
        <v>66</v>
      </c>
      <c r="K8075" s="689">
        <v>65.099999999999994</v>
      </c>
    </row>
    <row r="8076" spans="1:11">
      <c r="A8076" s="688" t="s">
        <v>13</v>
      </c>
      <c r="B8076" s="691">
        <v>64.7</v>
      </c>
      <c r="C8076" s="615">
        <v>65</v>
      </c>
      <c r="D8076" s="691">
        <v>65.599999999999994</v>
      </c>
      <c r="E8076" s="691">
        <v>64.599999999999994</v>
      </c>
      <c r="F8076" s="691">
        <v>65.3</v>
      </c>
      <c r="G8076" s="691">
        <v>64.400000000000006</v>
      </c>
      <c r="H8076" s="691">
        <v>66.400000000000006</v>
      </c>
      <c r="I8076" s="691">
        <v>64.5</v>
      </c>
      <c r="J8076" s="691">
        <v>66.099999999999994</v>
      </c>
      <c r="K8076" s="691">
        <v>67.099999999999994</v>
      </c>
    </row>
    <row r="8077" spans="1:11">
      <c r="A8077" s="688" t="s">
        <v>18</v>
      </c>
      <c r="B8077" s="689">
        <v>64.099999999999994</v>
      </c>
      <c r="C8077" s="689">
        <v>64.400000000000006</v>
      </c>
      <c r="D8077" s="689">
        <v>64.7</v>
      </c>
      <c r="E8077" s="689">
        <v>64.900000000000006</v>
      </c>
      <c r="F8077" s="689">
        <v>65.2</v>
      </c>
      <c r="G8077" s="689">
        <v>65.3</v>
      </c>
      <c r="H8077" s="689">
        <v>65.5</v>
      </c>
      <c r="I8077" s="689">
        <v>65.7</v>
      </c>
      <c r="J8077" s="689">
        <v>65.900000000000006</v>
      </c>
      <c r="K8077" s="689">
        <v>65.2</v>
      </c>
    </row>
    <row r="8078" spans="1:11">
      <c r="A8078" s="688" t="s">
        <v>24</v>
      </c>
      <c r="B8078" s="691">
        <v>65.2</v>
      </c>
      <c r="C8078" s="691">
        <v>65.400000000000006</v>
      </c>
      <c r="D8078" s="691">
        <v>65.2</v>
      </c>
      <c r="E8078" s="691">
        <v>65.900000000000006</v>
      </c>
      <c r="F8078" s="691">
        <v>65.8</v>
      </c>
      <c r="G8078" s="691">
        <v>66.099999999999994</v>
      </c>
      <c r="H8078" s="691">
        <v>66.3</v>
      </c>
      <c r="I8078" s="691">
        <v>65.400000000000006</v>
      </c>
      <c r="J8078" s="615">
        <v>66</v>
      </c>
      <c r="K8078" s="615">
        <v>66</v>
      </c>
    </row>
    <row r="8079" spans="1:11">
      <c r="A8079" s="688" t="s">
        <v>4059</v>
      </c>
      <c r="B8079" s="689">
        <v>63.7</v>
      </c>
      <c r="C8079" s="689">
        <v>63.9</v>
      </c>
      <c r="D8079" s="689">
        <v>63.7</v>
      </c>
      <c r="E8079" s="689">
        <v>63.9</v>
      </c>
      <c r="F8079" s="689">
        <v>63.9</v>
      </c>
      <c r="G8079" s="689">
        <v>63.9</v>
      </c>
      <c r="H8079" s="690" t="s">
        <v>4060</v>
      </c>
      <c r="I8079" s="690" t="s">
        <v>4060</v>
      </c>
      <c r="J8079" s="690" t="s">
        <v>4060</v>
      </c>
      <c r="K8079" s="690" t="s">
        <v>4060</v>
      </c>
    </row>
    <row r="8080" spans="1:11">
      <c r="A8080" s="688" t="s">
        <v>2324</v>
      </c>
      <c r="B8080" s="691">
        <v>58.6</v>
      </c>
      <c r="C8080" s="691">
        <v>58.7</v>
      </c>
      <c r="D8080" s="691">
        <v>58.7</v>
      </c>
      <c r="E8080" s="691">
        <v>58.4</v>
      </c>
      <c r="F8080" s="691">
        <v>58.2</v>
      </c>
      <c r="G8080" s="691">
        <v>58.8</v>
      </c>
      <c r="H8080" s="691">
        <v>58.4</v>
      </c>
      <c r="I8080" s="691">
        <v>57.5</v>
      </c>
      <c r="J8080" s="615">
        <v>55</v>
      </c>
      <c r="K8080" s="692" t="s">
        <v>4060</v>
      </c>
    </row>
    <row r="8081" spans="1:11">
      <c r="A8081" s="688" t="s">
        <v>2322</v>
      </c>
      <c r="B8081" s="690" t="s">
        <v>4060</v>
      </c>
      <c r="C8081" s="690" t="s">
        <v>4060</v>
      </c>
      <c r="D8081" s="690" t="s">
        <v>4060</v>
      </c>
      <c r="E8081" s="690" t="s">
        <v>4060</v>
      </c>
      <c r="F8081" s="690" t="s">
        <v>4060</v>
      </c>
      <c r="G8081" s="690" t="s">
        <v>4060</v>
      </c>
      <c r="H8081" s="690" t="s">
        <v>4060</v>
      </c>
      <c r="I8081" s="690" t="s">
        <v>4060</v>
      </c>
      <c r="J8081" s="690" t="s">
        <v>4060</v>
      </c>
      <c r="K8081" s="690" t="s">
        <v>4060</v>
      </c>
    </row>
    <row r="8082" spans="1:11">
      <c r="A8082" s="688" t="s">
        <v>2328</v>
      </c>
      <c r="B8082" s="691">
        <v>58.4</v>
      </c>
      <c r="C8082" s="691">
        <v>58.5</v>
      </c>
      <c r="D8082" s="691">
        <v>58.5</v>
      </c>
      <c r="E8082" s="691">
        <v>58.5</v>
      </c>
      <c r="F8082" s="615">
        <v>59</v>
      </c>
      <c r="G8082" s="691">
        <v>59.3</v>
      </c>
      <c r="H8082" s="691">
        <v>59.3</v>
      </c>
      <c r="I8082" s="691">
        <v>56.7</v>
      </c>
      <c r="J8082" s="691">
        <v>55.6</v>
      </c>
      <c r="K8082" s="692" t="s">
        <v>4060</v>
      </c>
    </row>
    <row r="8083" spans="1:11">
      <c r="A8083" s="688" t="s">
        <v>2496</v>
      </c>
      <c r="B8083" s="690" t="s">
        <v>4060</v>
      </c>
      <c r="C8083" s="693">
        <v>55</v>
      </c>
      <c r="D8083" s="689">
        <v>53.7</v>
      </c>
      <c r="E8083" s="689">
        <v>53.3</v>
      </c>
      <c r="F8083" s="689">
        <v>54.2</v>
      </c>
      <c r="G8083" s="689">
        <v>54.6</v>
      </c>
      <c r="H8083" s="689">
        <v>54.7</v>
      </c>
      <c r="I8083" s="690" t="s">
        <v>4060</v>
      </c>
      <c r="J8083" s="690" t="s">
        <v>4060</v>
      </c>
      <c r="K8083" s="689">
        <v>54.1</v>
      </c>
    </row>
    <row r="8084" spans="1:11">
      <c r="A8084" s="688" t="s">
        <v>2269</v>
      </c>
      <c r="B8084" s="615">
        <v>61</v>
      </c>
      <c r="C8084" s="691">
        <v>61.3</v>
      </c>
      <c r="D8084" s="691">
        <v>61.2</v>
      </c>
      <c r="E8084" s="615">
        <v>62</v>
      </c>
      <c r="F8084" s="615">
        <v>62</v>
      </c>
      <c r="G8084" s="691">
        <v>62.4</v>
      </c>
      <c r="H8084" s="691">
        <v>62.6</v>
      </c>
      <c r="I8084" s="691">
        <v>60.2</v>
      </c>
      <c r="J8084" s="691">
        <v>58.5</v>
      </c>
      <c r="K8084" s="691">
        <v>62.2</v>
      </c>
    </row>
    <row r="8085" spans="1:11">
      <c r="A8085" s="688" t="s">
        <v>2349</v>
      </c>
      <c r="B8085" s="689">
        <v>57.3</v>
      </c>
      <c r="C8085" s="689">
        <v>57.5</v>
      </c>
      <c r="D8085" s="689">
        <v>57.4</v>
      </c>
      <c r="E8085" s="689">
        <v>57.8</v>
      </c>
      <c r="F8085" s="689">
        <v>57.7</v>
      </c>
      <c r="G8085" s="693">
        <v>58</v>
      </c>
      <c r="H8085" s="689">
        <v>57.9</v>
      </c>
      <c r="I8085" s="689">
        <v>56.1</v>
      </c>
      <c r="J8085" s="689">
        <v>54.6</v>
      </c>
      <c r="K8085" s="689">
        <v>57.2</v>
      </c>
    </row>
    <row r="8086" spans="1:11">
      <c r="A8086" s="688" t="s">
        <v>2355</v>
      </c>
      <c r="B8086" s="691">
        <v>60.8</v>
      </c>
      <c r="C8086" s="691">
        <v>60.7</v>
      </c>
      <c r="D8086" s="691">
        <v>60.7</v>
      </c>
      <c r="E8086" s="691">
        <v>60.6</v>
      </c>
      <c r="F8086" s="691">
        <v>60.9</v>
      </c>
      <c r="G8086" s="691">
        <v>61.3</v>
      </c>
      <c r="H8086" s="691">
        <v>61.5</v>
      </c>
      <c r="I8086" s="692" t="s">
        <v>4060</v>
      </c>
      <c r="J8086" s="692" t="s">
        <v>4060</v>
      </c>
      <c r="K8086" s="692" t="s">
        <v>4060</v>
      </c>
    </row>
    <row r="8087" spans="1:11">
      <c r="A8087" s="688" t="s">
        <v>2357</v>
      </c>
      <c r="B8087" s="690" t="s">
        <v>4060</v>
      </c>
      <c r="C8087" s="689">
        <v>51.5</v>
      </c>
      <c r="D8087" s="689">
        <v>52.3</v>
      </c>
      <c r="E8087" s="689">
        <v>52.8</v>
      </c>
      <c r="F8087" s="689">
        <v>53.1</v>
      </c>
      <c r="G8087" s="689">
        <v>52.8</v>
      </c>
      <c r="H8087" s="689">
        <v>53.1</v>
      </c>
      <c r="I8087" s="690" t="s">
        <v>4060</v>
      </c>
      <c r="J8087" s="690" t="s">
        <v>4060</v>
      </c>
      <c r="K8087" s="690" t="s">
        <v>4060</v>
      </c>
    </row>
    <row r="8088" spans="1:11">
      <c r="A8088" s="688" t="s">
        <v>4070</v>
      </c>
      <c r="B8088" s="692" t="s">
        <v>4060</v>
      </c>
      <c r="C8088" s="692" t="s">
        <v>4060</v>
      </c>
      <c r="D8088" s="692" t="s">
        <v>4060</v>
      </c>
      <c r="E8088" s="691">
        <v>60.6</v>
      </c>
      <c r="F8088" s="692" t="s">
        <v>4060</v>
      </c>
      <c r="G8088" s="692" t="s">
        <v>4060</v>
      </c>
      <c r="H8088" s="692" t="s">
        <v>4060</v>
      </c>
      <c r="I8088" s="692" t="s">
        <v>4060</v>
      </c>
      <c r="J8088" s="692" t="s">
        <v>4060</v>
      </c>
      <c r="K8088" s="692" t="s">
        <v>4060</v>
      </c>
    </row>
    <row r="8089" spans="1:11">
      <c r="A8089" s="688" t="s">
        <v>2491</v>
      </c>
      <c r="B8089" s="689">
        <v>51.8</v>
      </c>
      <c r="C8089" s="689">
        <v>52.3</v>
      </c>
      <c r="D8089" s="693">
        <v>53</v>
      </c>
      <c r="E8089" s="689">
        <v>53.4</v>
      </c>
      <c r="F8089" s="689">
        <v>53.7</v>
      </c>
      <c r="G8089" s="689">
        <v>53.6</v>
      </c>
      <c r="H8089" s="690" t="s">
        <v>4060</v>
      </c>
      <c r="I8089" s="690" t="s">
        <v>4060</v>
      </c>
      <c r="J8089" s="690" t="s">
        <v>4060</v>
      </c>
      <c r="K8089" s="690" t="s">
        <v>4060</v>
      </c>
    </row>
    <row r="8090" spans="1:11">
      <c r="A8090" s="688" t="s">
        <v>2343</v>
      </c>
      <c r="B8090" s="692" t="s">
        <v>4060</v>
      </c>
      <c r="C8090" s="692" t="s">
        <v>4060</v>
      </c>
      <c r="D8090" s="692" t="s">
        <v>4060</v>
      </c>
      <c r="E8090" s="692" t="s">
        <v>4060</v>
      </c>
      <c r="F8090" s="692" t="s">
        <v>4060</v>
      </c>
      <c r="G8090" s="692" t="s">
        <v>4060</v>
      </c>
      <c r="H8090" s="692" t="s">
        <v>4060</v>
      </c>
      <c r="I8090" s="692" t="s">
        <v>4060</v>
      </c>
      <c r="J8090" s="692" t="s">
        <v>4060</v>
      </c>
      <c r="K8090" s="692" t="s">
        <v>4060</v>
      </c>
    </row>
    <row r="8091" spans="1:11">
      <c r="A8091" s="688" t="s">
        <v>4071</v>
      </c>
      <c r="B8091" s="690" t="s">
        <v>4060</v>
      </c>
      <c r="C8091" s="690" t="s">
        <v>4060</v>
      </c>
      <c r="D8091" s="690" t="s">
        <v>4060</v>
      </c>
      <c r="E8091" s="690" t="s">
        <v>4060</v>
      </c>
      <c r="F8091" s="690" t="s">
        <v>4060</v>
      </c>
      <c r="G8091" s="690" t="s">
        <v>4060</v>
      </c>
      <c r="H8091" s="690" t="s">
        <v>4060</v>
      </c>
      <c r="I8091" s="690" t="s">
        <v>4060</v>
      </c>
      <c r="J8091" s="690" t="s">
        <v>4060</v>
      </c>
      <c r="K8091" s="690" t="s">
        <v>4060</v>
      </c>
    </row>
    <row r="8092" spans="1:11">
      <c r="A8092" s="688" t="s">
        <v>2489</v>
      </c>
      <c r="B8092" s="692" t="s">
        <v>4060</v>
      </c>
      <c r="C8092" s="692" t="s">
        <v>4060</v>
      </c>
      <c r="D8092" s="691">
        <v>56.6</v>
      </c>
      <c r="E8092" s="691">
        <v>56.5</v>
      </c>
      <c r="F8092" s="691">
        <v>57.3</v>
      </c>
      <c r="G8092" s="691">
        <v>58.2</v>
      </c>
      <c r="H8092" s="691">
        <v>57.8</v>
      </c>
      <c r="I8092" s="692" t="s">
        <v>4060</v>
      </c>
      <c r="J8092" s="692" t="s">
        <v>4060</v>
      </c>
      <c r="K8092" s="692" t="s">
        <v>4060</v>
      </c>
    </row>
    <row r="8093" spans="1:11">
      <c r="A8093" s="688" t="s">
        <v>2490</v>
      </c>
      <c r="B8093" s="689">
        <v>57.3</v>
      </c>
      <c r="C8093" s="689">
        <v>57.5</v>
      </c>
      <c r="D8093" s="689">
        <v>58.2</v>
      </c>
      <c r="E8093" s="690" t="s">
        <v>4060</v>
      </c>
      <c r="F8093" s="689">
        <v>58.5</v>
      </c>
      <c r="G8093" s="689">
        <v>58.8</v>
      </c>
      <c r="H8093" s="689">
        <v>59.6</v>
      </c>
      <c r="I8093" s="690" t="s">
        <v>4060</v>
      </c>
      <c r="J8093" s="690" t="s">
        <v>4060</v>
      </c>
      <c r="K8093" s="690" t="s">
        <v>4060</v>
      </c>
    </row>
    <row r="8095" spans="1:11">
      <c r="A8095" s="683" t="s">
        <v>4233</v>
      </c>
    </row>
    <row r="8096" spans="1:11">
      <c r="A8096" s="683" t="s">
        <v>4060</v>
      </c>
      <c r="B8096" s="682" t="s">
        <v>4234</v>
      </c>
    </row>
    <row r="8098" spans="1:11">
      <c r="A8098" s="682" t="s">
        <v>4331</v>
      </c>
    </row>
    <row r="8099" spans="1:11">
      <c r="A8099" s="682" t="s">
        <v>4210</v>
      </c>
      <c r="B8099" s="683" t="s">
        <v>4211</v>
      </c>
    </row>
    <row r="8100" spans="1:11">
      <c r="A8100" s="682" t="s">
        <v>4212</v>
      </c>
      <c r="B8100" s="682" t="s">
        <v>4213</v>
      </c>
    </row>
    <row r="8102" spans="1:11">
      <c r="A8102" s="683" t="s">
        <v>4214</v>
      </c>
      <c r="C8102" s="682" t="s">
        <v>4215</v>
      </c>
    </row>
    <row r="8103" spans="1:11">
      <c r="A8103" s="683" t="s">
        <v>4216</v>
      </c>
      <c r="C8103" s="682" t="s">
        <v>2967</v>
      </c>
    </row>
    <row r="8104" spans="1:11">
      <c r="A8104" s="683" t="s">
        <v>3893</v>
      </c>
      <c r="C8104" s="682" t="s">
        <v>2168</v>
      </c>
    </row>
    <row r="8105" spans="1:11">
      <c r="A8105" s="683" t="s">
        <v>4218</v>
      </c>
      <c r="C8105" s="682" t="s">
        <v>4252</v>
      </c>
    </row>
    <row r="8107" spans="1:11">
      <c r="A8107" s="684" t="s">
        <v>4220</v>
      </c>
      <c r="B8107" s="685" t="s">
        <v>4221</v>
      </c>
      <c r="C8107" s="685" t="s">
        <v>4222</v>
      </c>
      <c r="D8107" s="685" t="s">
        <v>4223</v>
      </c>
      <c r="E8107" s="685" t="s">
        <v>4224</v>
      </c>
      <c r="F8107" s="685" t="s">
        <v>4225</v>
      </c>
      <c r="G8107" s="685" t="s">
        <v>4226</v>
      </c>
      <c r="H8107" s="685" t="s">
        <v>4227</v>
      </c>
      <c r="I8107" s="685" t="s">
        <v>4228</v>
      </c>
      <c r="J8107" s="685" t="s">
        <v>4229</v>
      </c>
      <c r="K8107" s="685" t="s">
        <v>4230</v>
      </c>
    </row>
    <row r="8108" spans="1:11">
      <c r="A8108" s="686" t="s">
        <v>4231</v>
      </c>
      <c r="B8108" s="687" t="s">
        <v>4232</v>
      </c>
      <c r="C8108" s="687" t="s">
        <v>4232</v>
      </c>
      <c r="D8108" s="687" t="s">
        <v>4232</v>
      </c>
      <c r="E8108" s="687" t="s">
        <v>4232</v>
      </c>
      <c r="F8108" s="687" t="s">
        <v>4232</v>
      </c>
      <c r="G8108" s="687" t="s">
        <v>4232</v>
      </c>
      <c r="H8108" s="687" t="s">
        <v>4232</v>
      </c>
      <c r="I8108" s="687" t="s">
        <v>4232</v>
      </c>
      <c r="J8108" s="687" t="s">
        <v>4232</v>
      </c>
      <c r="K8108" s="687" t="s">
        <v>4232</v>
      </c>
    </row>
    <row r="8109" spans="1:11">
      <c r="A8109" s="688" t="s">
        <v>4064</v>
      </c>
      <c r="B8109" s="693">
        <v>61</v>
      </c>
      <c r="C8109" s="689">
        <v>61.2</v>
      </c>
      <c r="D8109" s="689">
        <v>61.1</v>
      </c>
      <c r="E8109" s="689">
        <v>61.3</v>
      </c>
      <c r="F8109" s="689">
        <v>61.4</v>
      </c>
      <c r="G8109" s="689">
        <v>61.5</v>
      </c>
      <c r="H8109" s="689">
        <v>61.8</v>
      </c>
      <c r="I8109" s="689">
        <v>60.9</v>
      </c>
      <c r="J8109" s="689">
        <v>60.5</v>
      </c>
      <c r="K8109" s="689">
        <v>61.3</v>
      </c>
    </row>
    <row r="8110" spans="1:11">
      <c r="A8110" s="688" t="s">
        <v>4065</v>
      </c>
      <c r="B8110" s="691">
        <v>61.2</v>
      </c>
      <c r="C8110" s="691">
        <v>61.5</v>
      </c>
      <c r="D8110" s="691">
        <v>61.3</v>
      </c>
      <c r="E8110" s="691">
        <v>61.7</v>
      </c>
      <c r="F8110" s="691">
        <v>61.7</v>
      </c>
      <c r="G8110" s="691">
        <v>61.8</v>
      </c>
      <c r="H8110" s="692" t="s">
        <v>4060</v>
      </c>
      <c r="I8110" s="692" t="s">
        <v>4060</v>
      </c>
      <c r="J8110" s="692" t="s">
        <v>4060</v>
      </c>
      <c r="K8110" s="692" t="s">
        <v>4060</v>
      </c>
    </row>
    <row r="8111" spans="1:11">
      <c r="A8111" s="688" t="s">
        <v>4063</v>
      </c>
      <c r="B8111" s="689">
        <v>61.2</v>
      </c>
      <c r="C8111" s="689">
        <v>61.6</v>
      </c>
      <c r="D8111" s="689">
        <v>61.4</v>
      </c>
      <c r="E8111" s="689">
        <v>61.7</v>
      </c>
      <c r="F8111" s="689">
        <v>61.7</v>
      </c>
      <c r="G8111" s="689">
        <v>61.8</v>
      </c>
      <c r="H8111" s="690" t="s">
        <v>4060</v>
      </c>
      <c r="I8111" s="690" t="s">
        <v>4060</v>
      </c>
      <c r="J8111" s="690" t="s">
        <v>4060</v>
      </c>
      <c r="K8111" s="690" t="s">
        <v>4060</v>
      </c>
    </row>
    <row r="8112" spans="1:11">
      <c r="A8112" s="688" t="s">
        <v>4069</v>
      </c>
      <c r="B8112" s="692" t="s">
        <v>4060</v>
      </c>
      <c r="C8112" s="691">
        <v>62.3</v>
      </c>
      <c r="D8112" s="691">
        <v>62.1</v>
      </c>
      <c r="E8112" s="691">
        <v>62.5</v>
      </c>
      <c r="F8112" s="691">
        <v>62.6</v>
      </c>
      <c r="G8112" s="691">
        <v>62.7</v>
      </c>
      <c r="H8112" s="615">
        <v>63</v>
      </c>
      <c r="I8112" s="691">
        <v>62.2</v>
      </c>
      <c r="J8112" s="691">
        <v>62.2</v>
      </c>
      <c r="K8112" s="691">
        <v>62.5</v>
      </c>
    </row>
    <row r="8113" spans="1:11">
      <c r="A8113" s="688" t="s">
        <v>4068</v>
      </c>
      <c r="B8113" s="689">
        <v>62.2</v>
      </c>
      <c r="C8113" s="690" t="s">
        <v>4060</v>
      </c>
      <c r="D8113" s="690" t="s">
        <v>4060</v>
      </c>
      <c r="E8113" s="690" t="s">
        <v>4060</v>
      </c>
      <c r="F8113" s="690" t="s">
        <v>4060</v>
      </c>
      <c r="G8113" s="690" t="s">
        <v>4060</v>
      </c>
      <c r="H8113" s="690" t="s">
        <v>4060</v>
      </c>
      <c r="I8113" s="690" t="s">
        <v>4060</v>
      </c>
      <c r="J8113" s="690" t="s">
        <v>4060</v>
      </c>
      <c r="K8113" s="690" t="s">
        <v>4060</v>
      </c>
    </row>
    <row r="8114" spans="1:11">
      <c r="A8114" s="688" t="s">
        <v>0</v>
      </c>
      <c r="B8114" s="691">
        <v>61.5</v>
      </c>
      <c r="C8114" s="615">
        <v>62</v>
      </c>
      <c r="D8114" s="615">
        <v>62</v>
      </c>
      <c r="E8114" s="691">
        <v>62.2</v>
      </c>
      <c r="F8114" s="691">
        <v>62.5</v>
      </c>
      <c r="G8114" s="691">
        <v>62.7</v>
      </c>
      <c r="H8114" s="615">
        <v>63</v>
      </c>
      <c r="I8114" s="691">
        <v>61.9</v>
      </c>
      <c r="J8114" s="691">
        <v>62.7</v>
      </c>
      <c r="K8114" s="691">
        <v>62.9</v>
      </c>
    </row>
    <row r="8115" spans="1:11">
      <c r="A8115" s="688" t="s">
        <v>1</v>
      </c>
      <c r="B8115" s="689">
        <v>55.3</v>
      </c>
      <c r="C8115" s="689">
        <v>54.8</v>
      </c>
      <c r="D8115" s="689">
        <v>54.9</v>
      </c>
      <c r="E8115" s="689">
        <v>54.9</v>
      </c>
      <c r="F8115" s="693">
        <v>55</v>
      </c>
      <c r="G8115" s="693">
        <v>55</v>
      </c>
      <c r="H8115" s="689">
        <v>54.9</v>
      </c>
      <c r="I8115" s="689">
        <v>53.2</v>
      </c>
      <c r="J8115" s="689">
        <v>51.3</v>
      </c>
      <c r="K8115" s="689">
        <v>54.1</v>
      </c>
    </row>
    <row r="8116" spans="1:11">
      <c r="A8116" s="688" t="s">
        <v>2240</v>
      </c>
      <c r="B8116" s="691">
        <v>58.6</v>
      </c>
      <c r="C8116" s="691">
        <v>59.1</v>
      </c>
      <c r="D8116" s="615">
        <v>59</v>
      </c>
      <c r="E8116" s="691">
        <v>59.4</v>
      </c>
      <c r="F8116" s="691">
        <v>59.4</v>
      </c>
      <c r="G8116" s="691">
        <v>59.4</v>
      </c>
      <c r="H8116" s="691">
        <v>59.7</v>
      </c>
      <c r="I8116" s="691">
        <v>58.6</v>
      </c>
      <c r="J8116" s="691">
        <v>57.4</v>
      </c>
      <c r="K8116" s="691">
        <v>59.4</v>
      </c>
    </row>
    <row r="8117" spans="1:11">
      <c r="A8117" s="688" t="s">
        <v>2</v>
      </c>
      <c r="B8117" s="689">
        <v>61.7</v>
      </c>
      <c r="C8117" s="693">
        <v>62</v>
      </c>
      <c r="D8117" s="689">
        <v>62.2</v>
      </c>
      <c r="E8117" s="689">
        <v>62.3</v>
      </c>
      <c r="F8117" s="689">
        <v>62.6</v>
      </c>
      <c r="G8117" s="689">
        <v>62.5</v>
      </c>
      <c r="H8117" s="689">
        <v>62.8</v>
      </c>
      <c r="I8117" s="693">
        <v>63</v>
      </c>
      <c r="J8117" s="689">
        <v>62.9</v>
      </c>
      <c r="K8117" s="689">
        <v>62.8</v>
      </c>
    </row>
    <row r="8118" spans="1:11">
      <c r="A8118" s="688" t="s">
        <v>3</v>
      </c>
      <c r="B8118" s="691">
        <v>61.6</v>
      </c>
      <c r="C8118" s="691">
        <v>61.8</v>
      </c>
      <c r="D8118" s="691">
        <v>61.5</v>
      </c>
      <c r="E8118" s="691">
        <v>61.8</v>
      </c>
      <c r="F8118" s="615">
        <v>62</v>
      </c>
      <c r="G8118" s="691">
        <v>61.9</v>
      </c>
      <c r="H8118" s="691">
        <v>62.2</v>
      </c>
      <c r="I8118" s="615">
        <v>62</v>
      </c>
      <c r="J8118" s="691">
        <v>61.6</v>
      </c>
      <c r="K8118" s="691">
        <v>61.5</v>
      </c>
    </row>
    <row r="8119" spans="1:11">
      <c r="A8119" s="688" t="s">
        <v>4061</v>
      </c>
      <c r="B8119" s="689">
        <v>61.6</v>
      </c>
      <c r="C8119" s="689">
        <v>61.8</v>
      </c>
      <c r="D8119" s="689">
        <v>61.5</v>
      </c>
      <c r="E8119" s="689">
        <v>61.8</v>
      </c>
      <c r="F8119" s="693">
        <v>62</v>
      </c>
      <c r="G8119" s="689">
        <v>61.9</v>
      </c>
      <c r="H8119" s="689">
        <v>62.2</v>
      </c>
      <c r="I8119" s="693">
        <v>62</v>
      </c>
      <c r="J8119" s="689">
        <v>61.6</v>
      </c>
      <c r="K8119" s="689">
        <v>61.5</v>
      </c>
    </row>
    <row r="8120" spans="1:11">
      <c r="A8120" s="688" t="s">
        <v>4</v>
      </c>
      <c r="B8120" s="691">
        <v>56.2</v>
      </c>
      <c r="C8120" s="691">
        <v>55.7</v>
      </c>
      <c r="D8120" s="691">
        <v>56.5</v>
      </c>
      <c r="E8120" s="691">
        <v>56.6</v>
      </c>
      <c r="F8120" s="615">
        <v>57</v>
      </c>
      <c r="G8120" s="691">
        <v>57.2</v>
      </c>
      <c r="H8120" s="691">
        <v>57.8</v>
      </c>
      <c r="I8120" s="691">
        <v>57.7</v>
      </c>
      <c r="J8120" s="691">
        <v>56.1</v>
      </c>
      <c r="K8120" s="691">
        <v>56.9</v>
      </c>
    </row>
    <row r="8121" spans="1:11">
      <c r="A8121" s="688" t="s">
        <v>8</v>
      </c>
      <c r="B8121" s="689">
        <v>62.4</v>
      </c>
      <c r="C8121" s="689">
        <v>62.6</v>
      </c>
      <c r="D8121" s="689">
        <v>62.9</v>
      </c>
      <c r="E8121" s="693">
        <v>63</v>
      </c>
      <c r="F8121" s="689">
        <v>63.5</v>
      </c>
      <c r="G8121" s="689">
        <v>63.6</v>
      </c>
      <c r="H8121" s="689">
        <v>63.9</v>
      </c>
      <c r="I8121" s="689">
        <v>63.9</v>
      </c>
      <c r="J8121" s="689">
        <v>63.6</v>
      </c>
      <c r="K8121" s="689">
        <v>64.099999999999994</v>
      </c>
    </row>
    <row r="8122" spans="1:11">
      <c r="A8122" s="688" t="s">
        <v>7</v>
      </c>
      <c r="B8122" s="691">
        <v>62.1</v>
      </c>
      <c r="C8122" s="691">
        <v>61.7</v>
      </c>
      <c r="D8122" s="691">
        <v>61.4</v>
      </c>
      <c r="E8122" s="691">
        <v>61.9</v>
      </c>
      <c r="F8122" s="691">
        <v>61.7</v>
      </c>
      <c r="G8122" s="691">
        <v>62.2</v>
      </c>
      <c r="H8122" s="691">
        <v>62.2</v>
      </c>
      <c r="I8122" s="691">
        <v>61.9</v>
      </c>
      <c r="J8122" s="691">
        <v>60.7</v>
      </c>
      <c r="K8122" s="691">
        <v>61.6</v>
      </c>
    </row>
    <row r="8123" spans="1:11">
      <c r="A8123" s="688" t="s">
        <v>27</v>
      </c>
      <c r="B8123" s="689">
        <v>63.5</v>
      </c>
      <c r="C8123" s="689">
        <v>63.4</v>
      </c>
      <c r="D8123" s="689">
        <v>63.2</v>
      </c>
      <c r="E8123" s="689">
        <v>63.6</v>
      </c>
      <c r="F8123" s="689">
        <v>63.7</v>
      </c>
      <c r="G8123" s="689">
        <v>63.7</v>
      </c>
      <c r="H8123" s="689">
        <v>64.099999999999994</v>
      </c>
      <c r="I8123" s="689">
        <v>62.8</v>
      </c>
      <c r="J8123" s="689">
        <v>63.5</v>
      </c>
      <c r="K8123" s="689">
        <v>63.7</v>
      </c>
    </row>
    <row r="8124" spans="1:11">
      <c r="A8124" s="688" t="s">
        <v>6</v>
      </c>
      <c r="B8124" s="691">
        <v>62.5</v>
      </c>
      <c r="C8124" s="691">
        <v>62.7</v>
      </c>
      <c r="D8124" s="691">
        <v>62.5</v>
      </c>
      <c r="E8124" s="691">
        <v>62.7</v>
      </c>
      <c r="F8124" s="691">
        <v>62.9</v>
      </c>
      <c r="G8124" s="615">
        <v>63</v>
      </c>
      <c r="H8124" s="691">
        <v>63.2</v>
      </c>
      <c r="I8124" s="691">
        <v>62.6</v>
      </c>
      <c r="J8124" s="691">
        <v>62.6</v>
      </c>
      <c r="K8124" s="691">
        <v>62.8</v>
      </c>
    </row>
    <row r="8125" spans="1:11">
      <c r="A8125" s="688" t="s">
        <v>4058</v>
      </c>
      <c r="B8125" s="690" t="s">
        <v>4060</v>
      </c>
      <c r="C8125" s="690" t="s">
        <v>4060</v>
      </c>
      <c r="D8125" s="690" t="s">
        <v>4060</v>
      </c>
      <c r="E8125" s="690" t="s">
        <v>4060</v>
      </c>
      <c r="F8125" s="690" t="s">
        <v>4060</v>
      </c>
      <c r="G8125" s="690" t="s">
        <v>4060</v>
      </c>
      <c r="H8125" s="690" t="s">
        <v>4060</v>
      </c>
      <c r="I8125" s="690" t="s">
        <v>4060</v>
      </c>
      <c r="J8125" s="690" t="s">
        <v>4060</v>
      </c>
      <c r="K8125" s="690" t="s">
        <v>4060</v>
      </c>
    </row>
    <row r="8126" spans="1:11">
      <c r="A8126" s="688" t="s">
        <v>11</v>
      </c>
      <c r="B8126" s="615">
        <v>58</v>
      </c>
      <c r="C8126" s="691">
        <v>58.2</v>
      </c>
      <c r="D8126" s="691">
        <v>57.8</v>
      </c>
      <c r="E8126" s="691">
        <v>58.3</v>
      </c>
      <c r="F8126" s="691">
        <v>58.3</v>
      </c>
      <c r="G8126" s="691">
        <v>58.3</v>
      </c>
      <c r="H8126" s="691">
        <v>58.6</v>
      </c>
      <c r="I8126" s="691">
        <v>57.9</v>
      </c>
      <c r="J8126" s="691">
        <v>56.9</v>
      </c>
      <c r="K8126" s="691">
        <v>58.1</v>
      </c>
    </row>
    <row r="8127" spans="1:11">
      <c r="A8127" s="688" t="s">
        <v>10</v>
      </c>
      <c r="B8127" s="689">
        <v>63.7</v>
      </c>
      <c r="C8127" s="689">
        <v>63.8</v>
      </c>
      <c r="D8127" s="689">
        <v>63.5</v>
      </c>
      <c r="E8127" s="689">
        <v>64.099999999999994</v>
      </c>
      <c r="F8127" s="693">
        <v>64</v>
      </c>
      <c r="G8127" s="689">
        <v>64.3</v>
      </c>
      <c r="H8127" s="689">
        <v>64.5</v>
      </c>
      <c r="I8127" s="689">
        <v>63.2</v>
      </c>
      <c r="J8127" s="689">
        <v>63.7</v>
      </c>
      <c r="K8127" s="689">
        <v>63.9</v>
      </c>
    </row>
    <row r="8128" spans="1:11">
      <c r="A8128" s="688" t="s">
        <v>30</v>
      </c>
      <c r="B8128" s="691">
        <v>63.4</v>
      </c>
      <c r="C8128" s="691">
        <v>63.6</v>
      </c>
      <c r="D8128" s="691">
        <v>63.3</v>
      </c>
      <c r="E8128" s="615">
        <v>64</v>
      </c>
      <c r="F8128" s="691">
        <v>63.7</v>
      </c>
      <c r="G8128" s="691">
        <v>64.5</v>
      </c>
      <c r="H8128" s="691">
        <v>64.099999999999994</v>
      </c>
      <c r="I8128" s="691">
        <v>64.099999999999994</v>
      </c>
      <c r="J8128" s="691">
        <v>63.1</v>
      </c>
      <c r="K8128" s="691">
        <v>63.7</v>
      </c>
    </row>
    <row r="8129" spans="1:11">
      <c r="A8129" s="688" t="s">
        <v>12</v>
      </c>
      <c r="B8129" s="693">
        <v>53</v>
      </c>
      <c r="C8129" s="689">
        <v>52.6</v>
      </c>
      <c r="D8129" s="689">
        <v>53.2</v>
      </c>
      <c r="E8129" s="689">
        <v>53.2</v>
      </c>
      <c r="F8129" s="689">
        <v>53.3</v>
      </c>
      <c r="G8129" s="689">
        <v>53.5</v>
      </c>
      <c r="H8129" s="689">
        <v>54.3</v>
      </c>
      <c r="I8129" s="693">
        <v>54</v>
      </c>
      <c r="J8129" s="689">
        <v>51.6</v>
      </c>
      <c r="K8129" s="689">
        <v>52.8</v>
      </c>
    </row>
    <row r="8130" spans="1:11">
      <c r="A8130" s="688" t="s">
        <v>14</v>
      </c>
      <c r="B8130" s="691">
        <v>52.1</v>
      </c>
      <c r="C8130" s="691">
        <v>52.6</v>
      </c>
      <c r="D8130" s="691">
        <v>52.7</v>
      </c>
      <c r="E8130" s="615">
        <v>53</v>
      </c>
      <c r="F8130" s="691">
        <v>54.2</v>
      </c>
      <c r="G8130" s="691">
        <v>54.3</v>
      </c>
      <c r="H8130" s="691">
        <v>54.9</v>
      </c>
      <c r="I8130" s="691">
        <v>53.6</v>
      </c>
      <c r="J8130" s="615">
        <v>53</v>
      </c>
      <c r="K8130" s="691">
        <v>54.7</v>
      </c>
    </row>
    <row r="8131" spans="1:11">
      <c r="A8131" s="688" t="s">
        <v>15</v>
      </c>
      <c r="B8131" s="689">
        <v>63.3</v>
      </c>
      <c r="C8131" s="689">
        <v>62.5</v>
      </c>
      <c r="D8131" s="689">
        <v>63.3</v>
      </c>
      <c r="E8131" s="689">
        <v>63.3</v>
      </c>
      <c r="F8131" s="689">
        <v>63.1</v>
      </c>
      <c r="G8131" s="689">
        <v>63.3</v>
      </c>
      <c r="H8131" s="689">
        <v>63.6</v>
      </c>
      <c r="I8131" s="689">
        <v>63.2</v>
      </c>
      <c r="J8131" s="689">
        <v>63.7</v>
      </c>
      <c r="K8131" s="689">
        <v>64.2</v>
      </c>
    </row>
    <row r="8132" spans="1:11">
      <c r="A8132" s="688" t="s">
        <v>29</v>
      </c>
      <c r="B8132" s="691">
        <v>55.8</v>
      </c>
      <c r="C8132" s="691">
        <v>55.8</v>
      </c>
      <c r="D8132" s="691">
        <v>55.7</v>
      </c>
      <c r="E8132" s="615">
        <v>56</v>
      </c>
      <c r="F8132" s="691">
        <v>55.9</v>
      </c>
      <c r="G8132" s="615">
        <v>56</v>
      </c>
      <c r="H8132" s="691">
        <v>56.4</v>
      </c>
      <c r="I8132" s="691">
        <v>55.6</v>
      </c>
      <c r="J8132" s="691">
        <v>54.1</v>
      </c>
      <c r="K8132" s="615">
        <v>56</v>
      </c>
    </row>
    <row r="8133" spans="1:11">
      <c r="A8133" s="688" t="s">
        <v>16</v>
      </c>
      <c r="B8133" s="689">
        <v>63.2</v>
      </c>
      <c r="C8133" s="689">
        <v>63.1</v>
      </c>
      <c r="D8133" s="689">
        <v>63.3</v>
      </c>
      <c r="E8133" s="693">
        <v>64</v>
      </c>
      <c r="F8133" s="689">
        <v>63.7</v>
      </c>
      <c r="G8133" s="689">
        <v>63.7</v>
      </c>
      <c r="H8133" s="689">
        <v>64.3</v>
      </c>
      <c r="I8133" s="689">
        <v>63.2</v>
      </c>
      <c r="J8133" s="689">
        <v>63.7</v>
      </c>
      <c r="K8133" s="689">
        <v>63.7</v>
      </c>
    </row>
    <row r="8134" spans="1:11">
      <c r="A8134" s="688" t="s">
        <v>17</v>
      </c>
      <c r="B8134" s="615">
        <v>63</v>
      </c>
      <c r="C8134" s="691">
        <v>63.3</v>
      </c>
      <c r="D8134" s="691">
        <v>63.1</v>
      </c>
      <c r="E8134" s="691">
        <v>63.3</v>
      </c>
      <c r="F8134" s="691">
        <v>63.5</v>
      </c>
      <c r="G8134" s="691">
        <v>63.6</v>
      </c>
      <c r="H8134" s="691">
        <v>63.9</v>
      </c>
      <c r="I8134" s="691">
        <v>63.1</v>
      </c>
      <c r="J8134" s="691">
        <v>63.1</v>
      </c>
      <c r="K8134" s="691">
        <v>63.5</v>
      </c>
    </row>
    <row r="8135" spans="1:11">
      <c r="A8135" s="688" t="s">
        <v>19</v>
      </c>
      <c r="B8135" s="689">
        <v>62.1</v>
      </c>
      <c r="C8135" s="689">
        <v>62.3</v>
      </c>
      <c r="D8135" s="689">
        <v>62.1</v>
      </c>
      <c r="E8135" s="689">
        <v>62.5</v>
      </c>
      <c r="F8135" s="689">
        <v>62.7</v>
      </c>
      <c r="G8135" s="689">
        <v>62.7</v>
      </c>
      <c r="H8135" s="693">
        <v>63</v>
      </c>
      <c r="I8135" s="689">
        <v>62.3</v>
      </c>
      <c r="J8135" s="689">
        <v>62.1</v>
      </c>
      <c r="K8135" s="689">
        <v>62.4</v>
      </c>
    </row>
    <row r="8136" spans="1:11">
      <c r="A8136" s="688" t="s">
        <v>20</v>
      </c>
      <c r="B8136" s="691">
        <v>56.5</v>
      </c>
      <c r="C8136" s="691">
        <v>57.1</v>
      </c>
      <c r="D8136" s="691">
        <v>56.9</v>
      </c>
      <c r="E8136" s="691">
        <v>57.2</v>
      </c>
      <c r="F8136" s="691">
        <v>57.3</v>
      </c>
      <c r="G8136" s="691">
        <v>57.1</v>
      </c>
      <c r="H8136" s="691">
        <v>57.4</v>
      </c>
      <c r="I8136" s="691">
        <v>55.8</v>
      </c>
      <c r="J8136" s="691">
        <v>54.9</v>
      </c>
      <c r="K8136" s="691">
        <v>56.7</v>
      </c>
    </row>
    <row r="8137" spans="1:11">
      <c r="A8137" s="688" t="s">
        <v>21</v>
      </c>
      <c r="B8137" s="693">
        <v>61</v>
      </c>
      <c r="C8137" s="689">
        <v>61.5</v>
      </c>
      <c r="D8137" s="689">
        <v>61.6</v>
      </c>
      <c r="E8137" s="689">
        <v>61.6</v>
      </c>
      <c r="F8137" s="689">
        <v>61.9</v>
      </c>
      <c r="G8137" s="689">
        <v>61.9</v>
      </c>
      <c r="H8137" s="689">
        <v>62.4</v>
      </c>
      <c r="I8137" s="689">
        <v>61.7</v>
      </c>
      <c r="J8137" s="689">
        <v>61.8</v>
      </c>
      <c r="K8137" s="689">
        <v>62.2</v>
      </c>
    </row>
    <row r="8138" spans="1:11">
      <c r="A8138" s="688" t="s">
        <v>22</v>
      </c>
      <c r="B8138" s="691">
        <v>55.6</v>
      </c>
      <c r="C8138" s="691">
        <v>55.3</v>
      </c>
      <c r="D8138" s="691">
        <v>55.2</v>
      </c>
      <c r="E8138" s="691">
        <v>55.4</v>
      </c>
      <c r="F8138" s="691">
        <v>55.4</v>
      </c>
      <c r="G8138" s="691">
        <v>55.4</v>
      </c>
      <c r="H8138" s="691">
        <v>55.6</v>
      </c>
      <c r="I8138" s="691">
        <v>53.9</v>
      </c>
      <c r="J8138" s="691">
        <v>52.8</v>
      </c>
      <c r="K8138" s="615">
        <v>55</v>
      </c>
    </row>
    <row r="8139" spans="1:11">
      <c r="A8139" s="688" t="s">
        <v>26</v>
      </c>
      <c r="B8139" s="689">
        <v>60.6</v>
      </c>
      <c r="C8139" s="689">
        <v>61.2</v>
      </c>
      <c r="D8139" s="689">
        <v>60.9</v>
      </c>
      <c r="E8139" s="689">
        <v>61.3</v>
      </c>
      <c r="F8139" s="689">
        <v>61.3</v>
      </c>
      <c r="G8139" s="689">
        <v>61.6</v>
      </c>
      <c r="H8139" s="689">
        <v>61.8</v>
      </c>
      <c r="I8139" s="693">
        <v>61</v>
      </c>
      <c r="J8139" s="689">
        <v>60.9</v>
      </c>
      <c r="K8139" s="689">
        <v>61.8</v>
      </c>
    </row>
    <row r="8140" spans="1:11">
      <c r="A8140" s="688" t="s">
        <v>25</v>
      </c>
      <c r="B8140" s="691">
        <v>56.6</v>
      </c>
      <c r="C8140" s="615">
        <v>57</v>
      </c>
      <c r="D8140" s="691">
        <v>56.8</v>
      </c>
      <c r="E8140" s="691">
        <v>57.4</v>
      </c>
      <c r="F8140" s="691">
        <v>57.4</v>
      </c>
      <c r="G8140" s="691">
        <v>57.5</v>
      </c>
      <c r="H8140" s="691">
        <v>57.9</v>
      </c>
      <c r="I8140" s="691">
        <v>57.2</v>
      </c>
      <c r="J8140" s="691">
        <v>54.8</v>
      </c>
      <c r="K8140" s="691">
        <v>57.2</v>
      </c>
    </row>
    <row r="8141" spans="1:11">
      <c r="A8141" s="688" t="s">
        <v>5</v>
      </c>
      <c r="B8141" s="689">
        <v>61.3</v>
      </c>
      <c r="C8141" s="689">
        <v>61.5</v>
      </c>
      <c r="D8141" s="689">
        <v>61.8</v>
      </c>
      <c r="E8141" s="689">
        <v>61.7</v>
      </c>
      <c r="F8141" s="693">
        <v>62</v>
      </c>
      <c r="G8141" s="689">
        <v>62.2</v>
      </c>
      <c r="H8141" s="689">
        <v>62.5</v>
      </c>
      <c r="I8141" s="689">
        <v>62.3</v>
      </c>
      <c r="J8141" s="689">
        <v>62.4</v>
      </c>
      <c r="K8141" s="689">
        <v>61.9</v>
      </c>
    </row>
    <row r="8142" spans="1:11">
      <c r="A8142" s="688" t="s">
        <v>23</v>
      </c>
      <c r="B8142" s="691">
        <v>63.5</v>
      </c>
      <c r="C8142" s="691">
        <v>63.7</v>
      </c>
      <c r="D8142" s="691">
        <v>63.7</v>
      </c>
      <c r="E8142" s="691">
        <v>63.9</v>
      </c>
      <c r="F8142" s="615">
        <v>64</v>
      </c>
      <c r="G8142" s="691">
        <v>64.099999999999994</v>
      </c>
      <c r="H8142" s="691">
        <v>64.599999999999994</v>
      </c>
      <c r="I8142" s="691">
        <v>63.9</v>
      </c>
      <c r="J8142" s="691">
        <v>64.5</v>
      </c>
      <c r="K8142" s="691">
        <v>64.599999999999994</v>
      </c>
    </row>
    <row r="8143" spans="1:11">
      <c r="A8143" s="688" t="s">
        <v>4067</v>
      </c>
      <c r="B8143" s="689">
        <v>61.2</v>
      </c>
      <c r="C8143" s="689">
        <v>61.6</v>
      </c>
      <c r="D8143" s="689">
        <v>61.3</v>
      </c>
      <c r="E8143" s="689">
        <v>61.7</v>
      </c>
      <c r="F8143" s="689">
        <v>61.7</v>
      </c>
      <c r="G8143" s="689">
        <v>61.8</v>
      </c>
      <c r="H8143" s="690" t="s">
        <v>4060</v>
      </c>
      <c r="I8143" s="690" t="s">
        <v>4060</v>
      </c>
      <c r="J8143" s="690" t="s">
        <v>4060</v>
      </c>
      <c r="K8143" s="690" t="s">
        <v>4060</v>
      </c>
    </row>
    <row r="8144" spans="1:11">
      <c r="A8144" s="688" t="s">
        <v>4066</v>
      </c>
      <c r="B8144" s="691">
        <v>61.2</v>
      </c>
      <c r="C8144" s="691">
        <v>61.6</v>
      </c>
      <c r="D8144" s="691">
        <v>61.4</v>
      </c>
      <c r="E8144" s="691">
        <v>61.7</v>
      </c>
      <c r="F8144" s="691">
        <v>61.8</v>
      </c>
      <c r="G8144" s="691">
        <v>61.8</v>
      </c>
      <c r="H8144" s="692" t="s">
        <v>4060</v>
      </c>
      <c r="I8144" s="692" t="s">
        <v>4060</v>
      </c>
      <c r="J8144" s="692" t="s">
        <v>4060</v>
      </c>
      <c r="K8144" s="692" t="s">
        <v>4060</v>
      </c>
    </row>
    <row r="8145" spans="1:11">
      <c r="A8145" s="688" t="s">
        <v>4062</v>
      </c>
      <c r="B8145" s="689">
        <v>63.8</v>
      </c>
      <c r="C8145" s="693">
        <v>64</v>
      </c>
      <c r="D8145" s="693">
        <v>64</v>
      </c>
      <c r="E8145" s="689">
        <v>64.5</v>
      </c>
      <c r="F8145" s="689">
        <v>64.599999999999994</v>
      </c>
      <c r="G8145" s="689">
        <v>64.8</v>
      </c>
      <c r="H8145" s="693">
        <v>65</v>
      </c>
      <c r="I8145" s="689">
        <v>64.5</v>
      </c>
      <c r="J8145" s="693">
        <v>65</v>
      </c>
      <c r="K8145" s="689">
        <v>64.7</v>
      </c>
    </row>
    <row r="8146" spans="1:11">
      <c r="A8146" s="688" t="s">
        <v>9</v>
      </c>
      <c r="B8146" s="691">
        <v>63.8</v>
      </c>
      <c r="C8146" s="691">
        <v>64.3</v>
      </c>
      <c r="D8146" s="691">
        <v>64.400000000000006</v>
      </c>
      <c r="E8146" s="691">
        <v>63.6</v>
      </c>
      <c r="F8146" s="691">
        <v>64.099999999999994</v>
      </c>
      <c r="G8146" s="691">
        <v>64.400000000000006</v>
      </c>
      <c r="H8146" s="691">
        <v>64.7</v>
      </c>
      <c r="I8146" s="691">
        <v>64.8</v>
      </c>
      <c r="J8146" s="691">
        <v>65.099999999999994</v>
      </c>
      <c r="K8146" s="691">
        <v>64.099999999999994</v>
      </c>
    </row>
    <row r="8147" spans="1:11">
      <c r="A8147" s="688" t="s">
        <v>13</v>
      </c>
      <c r="B8147" s="689">
        <v>63.7</v>
      </c>
      <c r="C8147" s="693">
        <v>64</v>
      </c>
      <c r="D8147" s="689">
        <v>64.599999999999994</v>
      </c>
      <c r="E8147" s="689">
        <v>63.6</v>
      </c>
      <c r="F8147" s="689">
        <v>64.3</v>
      </c>
      <c r="G8147" s="689">
        <v>63.4</v>
      </c>
      <c r="H8147" s="689">
        <v>65.400000000000006</v>
      </c>
      <c r="I8147" s="689">
        <v>63.5</v>
      </c>
      <c r="J8147" s="689">
        <v>65.099999999999994</v>
      </c>
      <c r="K8147" s="689">
        <v>66.099999999999994</v>
      </c>
    </row>
    <row r="8148" spans="1:11">
      <c r="A8148" s="688" t="s">
        <v>18</v>
      </c>
      <c r="B8148" s="691">
        <v>63.1</v>
      </c>
      <c r="C8148" s="691">
        <v>63.4</v>
      </c>
      <c r="D8148" s="691">
        <v>63.7</v>
      </c>
      <c r="E8148" s="691">
        <v>63.9</v>
      </c>
      <c r="F8148" s="691">
        <v>64.2</v>
      </c>
      <c r="G8148" s="691">
        <v>64.3</v>
      </c>
      <c r="H8148" s="691">
        <v>64.5</v>
      </c>
      <c r="I8148" s="691">
        <v>64.8</v>
      </c>
      <c r="J8148" s="691">
        <v>64.900000000000006</v>
      </c>
      <c r="K8148" s="691">
        <v>64.2</v>
      </c>
    </row>
    <row r="8149" spans="1:11">
      <c r="A8149" s="688" t="s">
        <v>24</v>
      </c>
      <c r="B8149" s="689">
        <v>64.2</v>
      </c>
      <c r="C8149" s="689">
        <v>64.400000000000006</v>
      </c>
      <c r="D8149" s="689">
        <v>64.2</v>
      </c>
      <c r="E8149" s="689">
        <v>64.900000000000006</v>
      </c>
      <c r="F8149" s="689">
        <v>64.8</v>
      </c>
      <c r="G8149" s="689">
        <v>65.099999999999994</v>
      </c>
      <c r="H8149" s="689">
        <v>65.3</v>
      </c>
      <c r="I8149" s="689">
        <v>64.400000000000006</v>
      </c>
      <c r="J8149" s="693">
        <v>65</v>
      </c>
      <c r="K8149" s="689">
        <v>65.099999999999994</v>
      </c>
    </row>
    <row r="8150" spans="1:11">
      <c r="A8150" s="688" t="s">
        <v>4059</v>
      </c>
      <c r="B8150" s="691">
        <v>62.7</v>
      </c>
      <c r="C8150" s="691">
        <v>62.9</v>
      </c>
      <c r="D8150" s="691">
        <v>62.7</v>
      </c>
      <c r="E8150" s="691">
        <v>62.9</v>
      </c>
      <c r="F8150" s="691">
        <v>62.9</v>
      </c>
      <c r="G8150" s="691">
        <v>62.9</v>
      </c>
      <c r="H8150" s="692" t="s">
        <v>4060</v>
      </c>
      <c r="I8150" s="692" t="s">
        <v>4060</v>
      </c>
      <c r="J8150" s="692" t="s">
        <v>4060</v>
      </c>
      <c r="K8150" s="692" t="s">
        <v>4060</v>
      </c>
    </row>
    <row r="8151" spans="1:11">
      <c r="A8151" s="688" t="s">
        <v>2324</v>
      </c>
      <c r="B8151" s="689">
        <v>57.6</v>
      </c>
      <c r="C8151" s="689">
        <v>57.7</v>
      </c>
      <c r="D8151" s="689">
        <v>57.7</v>
      </c>
      <c r="E8151" s="689">
        <v>57.5</v>
      </c>
      <c r="F8151" s="689">
        <v>57.2</v>
      </c>
      <c r="G8151" s="689">
        <v>57.9</v>
      </c>
      <c r="H8151" s="689">
        <v>57.4</v>
      </c>
      <c r="I8151" s="689">
        <v>56.5</v>
      </c>
      <c r="J8151" s="693">
        <v>54</v>
      </c>
      <c r="K8151" s="690" t="s">
        <v>4060</v>
      </c>
    </row>
    <row r="8152" spans="1:11">
      <c r="A8152" s="688" t="s">
        <v>2322</v>
      </c>
      <c r="B8152" s="692" t="s">
        <v>4060</v>
      </c>
      <c r="C8152" s="692" t="s">
        <v>4060</v>
      </c>
      <c r="D8152" s="692" t="s">
        <v>4060</v>
      </c>
      <c r="E8152" s="692" t="s">
        <v>4060</v>
      </c>
      <c r="F8152" s="692" t="s">
        <v>4060</v>
      </c>
      <c r="G8152" s="692" t="s">
        <v>4060</v>
      </c>
      <c r="H8152" s="692" t="s">
        <v>4060</v>
      </c>
      <c r="I8152" s="692" t="s">
        <v>4060</v>
      </c>
      <c r="J8152" s="692" t="s">
        <v>4060</v>
      </c>
      <c r="K8152" s="692" t="s">
        <v>4060</v>
      </c>
    </row>
    <row r="8153" spans="1:11">
      <c r="A8153" s="688" t="s">
        <v>2328</v>
      </c>
      <c r="B8153" s="689">
        <v>57.4</v>
      </c>
      <c r="C8153" s="689">
        <v>57.5</v>
      </c>
      <c r="D8153" s="689">
        <v>57.5</v>
      </c>
      <c r="E8153" s="689">
        <v>57.5</v>
      </c>
      <c r="F8153" s="693">
        <v>58</v>
      </c>
      <c r="G8153" s="689">
        <v>58.3</v>
      </c>
      <c r="H8153" s="689">
        <v>58.3</v>
      </c>
      <c r="I8153" s="689">
        <v>55.8</v>
      </c>
      <c r="J8153" s="689">
        <v>54.6</v>
      </c>
      <c r="K8153" s="690" t="s">
        <v>4060</v>
      </c>
    </row>
    <row r="8154" spans="1:11">
      <c r="A8154" s="688" t="s">
        <v>2496</v>
      </c>
      <c r="B8154" s="692" t="s">
        <v>4060</v>
      </c>
      <c r="C8154" s="615">
        <v>54</v>
      </c>
      <c r="D8154" s="691">
        <v>52.8</v>
      </c>
      <c r="E8154" s="691">
        <v>52.3</v>
      </c>
      <c r="F8154" s="691">
        <v>53.3</v>
      </c>
      <c r="G8154" s="691">
        <v>53.6</v>
      </c>
      <c r="H8154" s="691">
        <v>53.7</v>
      </c>
      <c r="I8154" s="692" t="s">
        <v>4060</v>
      </c>
      <c r="J8154" s="692" t="s">
        <v>4060</v>
      </c>
      <c r="K8154" s="691">
        <v>53.1</v>
      </c>
    </row>
    <row r="8155" spans="1:11">
      <c r="A8155" s="688" t="s">
        <v>2269</v>
      </c>
      <c r="B8155" s="689">
        <v>60.1</v>
      </c>
      <c r="C8155" s="689">
        <v>60.3</v>
      </c>
      <c r="D8155" s="689">
        <v>60.2</v>
      </c>
      <c r="E8155" s="693">
        <v>61</v>
      </c>
      <c r="F8155" s="693">
        <v>61</v>
      </c>
      <c r="G8155" s="689">
        <v>61.4</v>
      </c>
      <c r="H8155" s="689">
        <v>61.7</v>
      </c>
      <c r="I8155" s="689">
        <v>59.2</v>
      </c>
      <c r="J8155" s="689">
        <v>57.5</v>
      </c>
      <c r="K8155" s="689">
        <v>61.2</v>
      </c>
    </row>
    <row r="8156" spans="1:11">
      <c r="A8156" s="688" t="s">
        <v>2349</v>
      </c>
      <c r="B8156" s="691">
        <v>56.3</v>
      </c>
      <c r="C8156" s="691">
        <v>56.5</v>
      </c>
      <c r="D8156" s="691">
        <v>56.4</v>
      </c>
      <c r="E8156" s="691">
        <v>56.8</v>
      </c>
      <c r="F8156" s="691">
        <v>56.8</v>
      </c>
      <c r="G8156" s="615">
        <v>57</v>
      </c>
      <c r="H8156" s="615">
        <v>57</v>
      </c>
      <c r="I8156" s="691">
        <v>55.1</v>
      </c>
      <c r="J8156" s="691">
        <v>53.6</v>
      </c>
      <c r="K8156" s="691">
        <v>56.2</v>
      </c>
    </row>
    <row r="8157" spans="1:11">
      <c r="A8157" s="688" t="s">
        <v>2355</v>
      </c>
      <c r="B8157" s="689">
        <v>59.8</v>
      </c>
      <c r="C8157" s="689">
        <v>59.8</v>
      </c>
      <c r="D8157" s="689">
        <v>59.7</v>
      </c>
      <c r="E8157" s="689">
        <v>59.6</v>
      </c>
      <c r="F8157" s="689">
        <v>59.9</v>
      </c>
      <c r="G8157" s="689">
        <v>60.3</v>
      </c>
      <c r="H8157" s="689">
        <v>60.6</v>
      </c>
      <c r="I8157" s="690" t="s">
        <v>4060</v>
      </c>
      <c r="J8157" s="690" t="s">
        <v>4060</v>
      </c>
      <c r="K8157" s="690" t="s">
        <v>4060</v>
      </c>
    </row>
    <row r="8158" spans="1:11">
      <c r="A8158" s="688" t="s">
        <v>2357</v>
      </c>
      <c r="B8158" s="692" t="s">
        <v>4060</v>
      </c>
      <c r="C8158" s="691">
        <v>50.5</v>
      </c>
      <c r="D8158" s="691">
        <v>51.4</v>
      </c>
      <c r="E8158" s="691">
        <v>51.8</v>
      </c>
      <c r="F8158" s="691">
        <v>52.1</v>
      </c>
      <c r="G8158" s="691">
        <v>51.8</v>
      </c>
      <c r="H8158" s="691">
        <v>52.1</v>
      </c>
      <c r="I8158" s="692" t="s">
        <v>4060</v>
      </c>
      <c r="J8158" s="692" t="s">
        <v>4060</v>
      </c>
      <c r="K8158" s="692" t="s">
        <v>4060</v>
      </c>
    </row>
    <row r="8159" spans="1:11">
      <c r="A8159" s="688" t="s">
        <v>4070</v>
      </c>
      <c r="B8159" s="690" t="s">
        <v>4060</v>
      </c>
      <c r="C8159" s="690" t="s">
        <v>4060</v>
      </c>
      <c r="D8159" s="690" t="s">
        <v>4060</v>
      </c>
      <c r="E8159" s="689">
        <v>59.6</v>
      </c>
      <c r="F8159" s="690" t="s">
        <v>4060</v>
      </c>
      <c r="G8159" s="690" t="s">
        <v>4060</v>
      </c>
      <c r="H8159" s="690" t="s">
        <v>4060</v>
      </c>
      <c r="I8159" s="690" t="s">
        <v>4060</v>
      </c>
      <c r="J8159" s="690" t="s">
        <v>4060</v>
      </c>
      <c r="K8159" s="690" t="s">
        <v>4060</v>
      </c>
    </row>
    <row r="8160" spans="1:11">
      <c r="A8160" s="688" t="s">
        <v>2491</v>
      </c>
      <c r="B8160" s="691">
        <v>50.8</v>
      </c>
      <c r="C8160" s="691">
        <v>51.3</v>
      </c>
      <c r="D8160" s="615">
        <v>52</v>
      </c>
      <c r="E8160" s="691">
        <v>52.4</v>
      </c>
      <c r="F8160" s="691">
        <v>52.7</v>
      </c>
      <c r="G8160" s="691">
        <v>52.7</v>
      </c>
      <c r="H8160" s="692" t="s">
        <v>4060</v>
      </c>
      <c r="I8160" s="692" t="s">
        <v>4060</v>
      </c>
      <c r="J8160" s="692" t="s">
        <v>4060</v>
      </c>
      <c r="K8160" s="692" t="s">
        <v>4060</v>
      </c>
    </row>
    <row r="8161" spans="1:11">
      <c r="A8161" s="688" t="s">
        <v>2343</v>
      </c>
      <c r="B8161" s="690" t="s">
        <v>4060</v>
      </c>
      <c r="C8161" s="690" t="s">
        <v>4060</v>
      </c>
      <c r="D8161" s="690" t="s">
        <v>4060</v>
      </c>
      <c r="E8161" s="690" t="s">
        <v>4060</v>
      </c>
      <c r="F8161" s="690" t="s">
        <v>4060</v>
      </c>
      <c r="G8161" s="690" t="s">
        <v>4060</v>
      </c>
      <c r="H8161" s="690" t="s">
        <v>4060</v>
      </c>
      <c r="I8161" s="690" t="s">
        <v>4060</v>
      </c>
      <c r="J8161" s="690" t="s">
        <v>4060</v>
      </c>
      <c r="K8161" s="690" t="s">
        <v>4060</v>
      </c>
    </row>
    <row r="8162" spans="1:11">
      <c r="A8162" s="688" t="s">
        <v>4071</v>
      </c>
      <c r="B8162" s="692" t="s">
        <v>4060</v>
      </c>
      <c r="C8162" s="692" t="s">
        <v>4060</v>
      </c>
      <c r="D8162" s="692" t="s">
        <v>4060</v>
      </c>
      <c r="E8162" s="692" t="s">
        <v>4060</v>
      </c>
      <c r="F8162" s="692" t="s">
        <v>4060</v>
      </c>
      <c r="G8162" s="692" t="s">
        <v>4060</v>
      </c>
      <c r="H8162" s="692" t="s">
        <v>4060</v>
      </c>
      <c r="I8162" s="692" t="s">
        <v>4060</v>
      </c>
      <c r="J8162" s="692" t="s">
        <v>4060</v>
      </c>
      <c r="K8162" s="692" t="s">
        <v>4060</v>
      </c>
    </row>
    <row r="8163" spans="1:11">
      <c r="A8163" s="688" t="s">
        <v>2489</v>
      </c>
      <c r="B8163" s="690" t="s">
        <v>4060</v>
      </c>
      <c r="C8163" s="690" t="s">
        <v>4060</v>
      </c>
      <c r="D8163" s="689">
        <v>55.6</v>
      </c>
      <c r="E8163" s="689">
        <v>55.5</v>
      </c>
      <c r="F8163" s="689">
        <v>56.3</v>
      </c>
      <c r="G8163" s="689">
        <v>57.2</v>
      </c>
      <c r="H8163" s="689">
        <v>56.9</v>
      </c>
      <c r="I8163" s="690" t="s">
        <v>4060</v>
      </c>
      <c r="J8163" s="690" t="s">
        <v>4060</v>
      </c>
      <c r="K8163" s="690" t="s">
        <v>4060</v>
      </c>
    </row>
    <row r="8164" spans="1:11">
      <c r="A8164" s="688" t="s">
        <v>2490</v>
      </c>
      <c r="B8164" s="691">
        <v>56.4</v>
      </c>
      <c r="C8164" s="691">
        <v>56.5</v>
      </c>
      <c r="D8164" s="691">
        <v>57.3</v>
      </c>
      <c r="E8164" s="692" t="s">
        <v>4060</v>
      </c>
      <c r="F8164" s="691">
        <v>57.6</v>
      </c>
      <c r="G8164" s="691">
        <v>57.8</v>
      </c>
      <c r="H8164" s="691">
        <v>58.6</v>
      </c>
      <c r="I8164" s="692" t="s">
        <v>4060</v>
      </c>
      <c r="J8164" s="692" t="s">
        <v>4060</v>
      </c>
      <c r="K8164" s="692" t="s">
        <v>4060</v>
      </c>
    </row>
    <row r="8166" spans="1:11">
      <c r="A8166" s="683" t="s">
        <v>4233</v>
      </c>
    </row>
    <row r="8167" spans="1:11">
      <c r="A8167" s="683" t="s">
        <v>4060</v>
      </c>
      <c r="B8167" s="682" t="s">
        <v>4234</v>
      </c>
    </row>
    <row r="8169" spans="1:11">
      <c r="A8169" s="682" t="s">
        <v>4331</v>
      </c>
    </row>
    <row r="8170" spans="1:11">
      <c r="A8170" s="682" t="s">
        <v>4210</v>
      </c>
      <c r="B8170" s="683" t="s">
        <v>4211</v>
      </c>
    </row>
    <row r="8171" spans="1:11">
      <c r="A8171" s="682" t="s">
        <v>4212</v>
      </c>
      <c r="B8171" s="682" t="s">
        <v>4213</v>
      </c>
    </row>
    <row r="8173" spans="1:11">
      <c r="A8173" s="683" t="s">
        <v>4214</v>
      </c>
      <c r="C8173" s="682" t="s">
        <v>4215</v>
      </c>
    </row>
    <row r="8174" spans="1:11">
      <c r="A8174" s="683" t="s">
        <v>4216</v>
      </c>
      <c r="C8174" s="682" t="s">
        <v>2967</v>
      </c>
    </row>
    <row r="8175" spans="1:11">
      <c r="A8175" s="683" t="s">
        <v>3893</v>
      </c>
      <c r="C8175" s="682" t="s">
        <v>2168</v>
      </c>
    </row>
    <row r="8176" spans="1:11">
      <c r="A8176" s="683" t="s">
        <v>4218</v>
      </c>
      <c r="C8176" s="682" t="s">
        <v>4253</v>
      </c>
    </row>
    <row r="8178" spans="1:11">
      <c r="A8178" s="684" t="s">
        <v>4220</v>
      </c>
      <c r="B8178" s="685" t="s">
        <v>4221</v>
      </c>
      <c r="C8178" s="685" t="s">
        <v>4222</v>
      </c>
      <c r="D8178" s="685" t="s">
        <v>4223</v>
      </c>
      <c r="E8178" s="685" t="s">
        <v>4224</v>
      </c>
      <c r="F8178" s="685" t="s">
        <v>4225</v>
      </c>
      <c r="G8178" s="685" t="s">
        <v>4226</v>
      </c>
      <c r="H8178" s="685" t="s">
        <v>4227</v>
      </c>
      <c r="I8178" s="685" t="s">
        <v>4228</v>
      </c>
      <c r="J8178" s="685" t="s">
        <v>4229</v>
      </c>
      <c r="K8178" s="685" t="s">
        <v>4230</v>
      </c>
    </row>
    <row r="8179" spans="1:11">
      <c r="A8179" s="686" t="s">
        <v>4231</v>
      </c>
      <c r="B8179" s="687" t="s">
        <v>4232</v>
      </c>
      <c r="C8179" s="687" t="s">
        <v>4232</v>
      </c>
      <c r="D8179" s="687" t="s">
        <v>4232</v>
      </c>
      <c r="E8179" s="687" t="s">
        <v>4232</v>
      </c>
      <c r="F8179" s="687" t="s">
        <v>4232</v>
      </c>
      <c r="G8179" s="687" t="s">
        <v>4232</v>
      </c>
      <c r="H8179" s="687" t="s">
        <v>4232</v>
      </c>
      <c r="I8179" s="687" t="s">
        <v>4232</v>
      </c>
      <c r="J8179" s="687" t="s">
        <v>4232</v>
      </c>
      <c r="K8179" s="687" t="s">
        <v>4232</v>
      </c>
    </row>
    <row r="8180" spans="1:11">
      <c r="A8180" s="688" t="s">
        <v>4064</v>
      </c>
      <c r="B8180" s="615">
        <v>60</v>
      </c>
      <c r="C8180" s="691">
        <v>60.2</v>
      </c>
      <c r="D8180" s="691">
        <v>60.2</v>
      </c>
      <c r="E8180" s="691">
        <v>60.3</v>
      </c>
      <c r="F8180" s="691">
        <v>60.4</v>
      </c>
      <c r="G8180" s="691">
        <v>60.5</v>
      </c>
      <c r="H8180" s="691">
        <v>60.8</v>
      </c>
      <c r="I8180" s="691">
        <v>59.9</v>
      </c>
      <c r="J8180" s="691">
        <v>59.6</v>
      </c>
      <c r="K8180" s="691">
        <v>60.3</v>
      </c>
    </row>
    <row r="8181" spans="1:11">
      <c r="A8181" s="688" t="s">
        <v>4065</v>
      </c>
      <c r="B8181" s="689">
        <v>60.2</v>
      </c>
      <c r="C8181" s="689">
        <v>60.6</v>
      </c>
      <c r="D8181" s="689">
        <v>60.3</v>
      </c>
      <c r="E8181" s="689">
        <v>60.7</v>
      </c>
      <c r="F8181" s="689">
        <v>60.7</v>
      </c>
      <c r="G8181" s="689">
        <v>60.8</v>
      </c>
      <c r="H8181" s="690" t="s">
        <v>4060</v>
      </c>
      <c r="I8181" s="690" t="s">
        <v>4060</v>
      </c>
      <c r="J8181" s="690" t="s">
        <v>4060</v>
      </c>
      <c r="K8181" s="690" t="s">
        <v>4060</v>
      </c>
    </row>
    <row r="8182" spans="1:11">
      <c r="A8182" s="688" t="s">
        <v>4063</v>
      </c>
      <c r="B8182" s="691">
        <v>60.2</v>
      </c>
      <c r="C8182" s="691">
        <v>60.6</v>
      </c>
      <c r="D8182" s="691">
        <v>60.4</v>
      </c>
      <c r="E8182" s="691">
        <v>60.7</v>
      </c>
      <c r="F8182" s="691">
        <v>60.8</v>
      </c>
      <c r="G8182" s="691">
        <v>60.8</v>
      </c>
      <c r="H8182" s="692" t="s">
        <v>4060</v>
      </c>
      <c r="I8182" s="692" t="s">
        <v>4060</v>
      </c>
      <c r="J8182" s="692" t="s">
        <v>4060</v>
      </c>
      <c r="K8182" s="692" t="s">
        <v>4060</v>
      </c>
    </row>
    <row r="8183" spans="1:11">
      <c r="A8183" s="688" t="s">
        <v>4069</v>
      </c>
      <c r="B8183" s="690" t="s">
        <v>4060</v>
      </c>
      <c r="C8183" s="689">
        <v>61.3</v>
      </c>
      <c r="D8183" s="689">
        <v>61.1</v>
      </c>
      <c r="E8183" s="689">
        <v>61.5</v>
      </c>
      <c r="F8183" s="689">
        <v>61.6</v>
      </c>
      <c r="G8183" s="689">
        <v>61.7</v>
      </c>
      <c r="H8183" s="693">
        <v>62</v>
      </c>
      <c r="I8183" s="689">
        <v>61.2</v>
      </c>
      <c r="J8183" s="689">
        <v>61.2</v>
      </c>
      <c r="K8183" s="689">
        <v>61.5</v>
      </c>
    </row>
    <row r="8184" spans="1:11">
      <c r="A8184" s="688" t="s">
        <v>4068</v>
      </c>
      <c r="B8184" s="691">
        <v>61.2</v>
      </c>
      <c r="C8184" s="692" t="s">
        <v>4060</v>
      </c>
      <c r="D8184" s="692" t="s">
        <v>4060</v>
      </c>
      <c r="E8184" s="692" t="s">
        <v>4060</v>
      </c>
      <c r="F8184" s="692" t="s">
        <v>4060</v>
      </c>
      <c r="G8184" s="692" t="s">
        <v>4060</v>
      </c>
      <c r="H8184" s="692" t="s">
        <v>4060</v>
      </c>
      <c r="I8184" s="692" t="s">
        <v>4060</v>
      </c>
      <c r="J8184" s="692" t="s">
        <v>4060</v>
      </c>
      <c r="K8184" s="692" t="s">
        <v>4060</v>
      </c>
    </row>
    <row r="8185" spans="1:11">
      <c r="A8185" s="688" t="s">
        <v>0</v>
      </c>
      <c r="B8185" s="689">
        <v>60.6</v>
      </c>
      <c r="C8185" s="689">
        <v>61.1</v>
      </c>
      <c r="D8185" s="693">
        <v>61</v>
      </c>
      <c r="E8185" s="689">
        <v>61.2</v>
      </c>
      <c r="F8185" s="689">
        <v>61.5</v>
      </c>
      <c r="G8185" s="689">
        <v>61.7</v>
      </c>
      <c r="H8185" s="689">
        <v>62.1</v>
      </c>
      <c r="I8185" s="689">
        <v>60.9</v>
      </c>
      <c r="J8185" s="689">
        <v>61.7</v>
      </c>
      <c r="K8185" s="693">
        <v>62</v>
      </c>
    </row>
    <row r="8186" spans="1:11">
      <c r="A8186" s="688" t="s">
        <v>1</v>
      </c>
      <c r="B8186" s="691">
        <v>54.3</v>
      </c>
      <c r="C8186" s="691">
        <v>53.9</v>
      </c>
      <c r="D8186" s="691">
        <v>53.9</v>
      </c>
      <c r="E8186" s="615">
        <v>54</v>
      </c>
      <c r="F8186" s="615">
        <v>54</v>
      </c>
      <c r="G8186" s="615">
        <v>54</v>
      </c>
      <c r="H8186" s="615">
        <v>54</v>
      </c>
      <c r="I8186" s="691">
        <v>52.3</v>
      </c>
      <c r="J8186" s="691">
        <v>50.4</v>
      </c>
      <c r="K8186" s="691">
        <v>53.1</v>
      </c>
    </row>
    <row r="8187" spans="1:11">
      <c r="A8187" s="688" t="s">
        <v>2240</v>
      </c>
      <c r="B8187" s="689">
        <v>57.6</v>
      </c>
      <c r="C8187" s="689">
        <v>58.1</v>
      </c>
      <c r="D8187" s="693">
        <v>58</v>
      </c>
      <c r="E8187" s="689">
        <v>58.4</v>
      </c>
      <c r="F8187" s="689">
        <v>58.4</v>
      </c>
      <c r="G8187" s="689">
        <v>58.4</v>
      </c>
      <c r="H8187" s="689">
        <v>58.7</v>
      </c>
      <c r="I8187" s="689">
        <v>57.6</v>
      </c>
      <c r="J8187" s="689">
        <v>56.4</v>
      </c>
      <c r="K8187" s="689">
        <v>58.4</v>
      </c>
    </row>
    <row r="8188" spans="1:11">
      <c r="A8188" s="688" t="s">
        <v>2</v>
      </c>
      <c r="B8188" s="691">
        <v>60.8</v>
      </c>
      <c r="C8188" s="615">
        <v>61</v>
      </c>
      <c r="D8188" s="691">
        <v>61.2</v>
      </c>
      <c r="E8188" s="691">
        <v>61.4</v>
      </c>
      <c r="F8188" s="691">
        <v>61.6</v>
      </c>
      <c r="G8188" s="691">
        <v>61.5</v>
      </c>
      <c r="H8188" s="691">
        <v>61.8</v>
      </c>
      <c r="I8188" s="615">
        <v>62</v>
      </c>
      <c r="J8188" s="691">
        <v>61.9</v>
      </c>
      <c r="K8188" s="691">
        <v>61.8</v>
      </c>
    </row>
    <row r="8189" spans="1:11">
      <c r="A8189" s="688" t="s">
        <v>3</v>
      </c>
      <c r="B8189" s="689">
        <v>60.6</v>
      </c>
      <c r="C8189" s="689">
        <v>60.9</v>
      </c>
      <c r="D8189" s="689">
        <v>60.6</v>
      </c>
      <c r="E8189" s="689">
        <v>60.8</v>
      </c>
      <c r="F8189" s="693">
        <v>61</v>
      </c>
      <c r="G8189" s="689">
        <v>60.9</v>
      </c>
      <c r="H8189" s="689">
        <v>61.3</v>
      </c>
      <c r="I8189" s="693">
        <v>61</v>
      </c>
      <c r="J8189" s="689">
        <v>60.6</v>
      </c>
      <c r="K8189" s="689">
        <v>60.5</v>
      </c>
    </row>
    <row r="8190" spans="1:11">
      <c r="A8190" s="688" t="s">
        <v>4061</v>
      </c>
      <c r="B8190" s="691">
        <v>60.6</v>
      </c>
      <c r="C8190" s="691">
        <v>60.9</v>
      </c>
      <c r="D8190" s="691">
        <v>60.6</v>
      </c>
      <c r="E8190" s="691">
        <v>60.8</v>
      </c>
      <c r="F8190" s="615">
        <v>61</v>
      </c>
      <c r="G8190" s="691">
        <v>60.9</v>
      </c>
      <c r="H8190" s="691">
        <v>61.3</v>
      </c>
      <c r="I8190" s="615">
        <v>61</v>
      </c>
      <c r="J8190" s="691">
        <v>60.6</v>
      </c>
      <c r="K8190" s="691">
        <v>60.5</v>
      </c>
    </row>
    <row r="8191" spans="1:11">
      <c r="A8191" s="688" t="s">
        <v>4</v>
      </c>
      <c r="B8191" s="689">
        <v>55.2</v>
      </c>
      <c r="C8191" s="689">
        <v>54.8</v>
      </c>
      <c r="D8191" s="689">
        <v>55.5</v>
      </c>
      <c r="E8191" s="689">
        <v>55.6</v>
      </c>
      <c r="F8191" s="689">
        <v>56.1</v>
      </c>
      <c r="G8191" s="689">
        <v>56.2</v>
      </c>
      <c r="H8191" s="689">
        <v>56.8</v>
      </c>
      <c r="I8191" s="689">
        <v>56.7</v>
      </c>
      <c r="J8191" s="689">
        <v>55.1</v>
      </c>
      <c r="K8191" s="693">
        <v>56</v>
      </c>
    </row>
    <row r="8192" spans="1:11">
      <c r="A8192" s="688" t="s">
        <v>8</v>
      </c>
      <c r="B8192" s="691">
        <v>61.4</v>
      </c>
      <c r="C8192" s="691">
        <v>61.7</v>
      </c>
      <c r="D8192" s="691">
        <v>61.9</v>
      </c>
      <c r="E8192" s="691">
        <v>62.1</v>
      </c>
      <c r="F8192" s="691">
        <v>62.5</v>
      </c>
      <c r="G8192" s="691">
        <v>62.6</v>
      </c>
      <c r="H8192" s="615">
        <v>63</v>
      </c>
      <c r="I8192" s="691">
        <v>62.9</v>
      </c>
      <c r="J8192" s="691">
        <v>62.6</v>
      </c>
      <c r="K8192" s="691">
        <v>63.1</v>
      </c>
    </row>
    <row r="8193" spans="1:11">
      <c r="A8193" s="688" t="s">
        <v>7</v>
      </c>
      <c r="B8193" s="689">
        <v>61.2</v>
      </c>
      <c r="C8193" s="689">
        <v>60.7</v>
      </c>
      <c r="D8193" s="689">
        <v>60.5</v>
      </c>
      <c r="E8193" s="689">
        <v>60.9</v>
      </c>
      <c r="F8193" s="689">
        <v>60.8</v>
      </c>
      <c r="G8193" s="689">
        <v>61.2</v>
      </c>
      <c r="H8193" s="689">
        <v>61.2</v>
      </c>
      <c r="I8193" s="689">
        <v>60.9</v>
      </c>
      <c r="J8193" s="689">
        <v>59.8</v>
      </c>
      <c r="K8193" s="689">
        <v>60.6</v>
      </c>
    </row>
    <row r="8194" spans="1:11">
      <c r="A8194" s="688" t="s">
        <v>27</v>
      </c>
      <c r="B8194" s="691">
        <v>62.5</v>
      </c>
      <c r="C8194" s="691">
        <v>62.5</v>
      </c>
      <c r="D8194" s="691">
        <v>62.2</v>
      </c>
      <c r="E8194" s="691">
        <v>62.6</v>
      </c>
      <c r="F8194" s="691">
        <v>62.7</v>
      </c>
      <c r="G8194" s="691">
        <v>62.7</v>
      </c>
      <c r="H8194" s="691">
        <v>63.1</v>
      </c>
      <c r="I8194" s="691">
        <v>61.8</v>
      </c>
      <c r="J8194" s="691">
        <v>62.5</v>
      </c>
      <c r="K8194" s="691">
        <v>62.7</v>
      </c>
    </row>
    <row r="8195" spans="1:11">
      <c r="A8195" s="688" t="s">
        <v>6</v>
      </c>
      <c r="B8195" s="689">
        <v>61.5</v>
      </c>
      <c r="C8195" s="689">
        <v>61.7</v>
      </c>
      <c r="D8195" s="689">
        <v>61.5</v>
      </c>
      <c r="E8195" s="689">
        <v>61.8</v>
      </c>
      <c r="F8195" s="689">
        <v>61.9</v>
      </c>
      <c r="G8195" s="693">
        <v>62</v>
      </c>
      <c r="H8195" s="689">
        <v>62.2</v>
      </c>
      <c r="I8195" s="689">
        <v>61.6</v>
      </c>
      <c r="J8195" s="689">
        <v>61.7</v>
      </c>
      <c r="K8195" s="689">
        <v>61.8</v>
      </c>
    </row>
    <row r="8196" spans="1:11">
      <c r="A8196" s="688" t="s">
        <v>4058</v>
      </c>
      <c r="B8196" s="692" t="s">
        <v>4060</v>
      </c>
      <c r="C8196" s="692" t="s">
        <v>4060</v>
      </c>
      <c r="D8196" s="692" t="s">
        <v>4060</v>
      </c>
      <c r="E8196" s="692" t="s">
        <v>4060</v>
      </c>
      <c r="F8196" s="692" t="s">
        <v>4060</v>
      </c>
      <c r="G8196" s="692" t="s">
        <v>4060</v>
      </c>
      <c r="H8196" s="692" t="s">
        <v>4060</v>
      </c>
      <c r="I8196" s="692" t="s">
        <v>4060</v>
      </c>
      <c r="J8196" s="692" t="s">
        <v>4060</v>
      </c>
      <c r="K8196" s="692" t="s">
        <v>4060</v>
      </c>
    </row>
    <row r="8197" spans="1:11">
      <c r="A8197" s="688" t="s">
        <v>11</v>
      </c>
      <c r="B8197" s="693">
        <v>57</v>
      </c>
      <c r="C8197" s="689">
        <v>57.2</v>
      </c>
      <c r="D8197" s="689">
        <v>56.8</v>
      </c>
      <c r="E8197" s="689">
        <v>57.3</v>
      </c>
      <c r="F8197" s="689">
        <v>57.3</v>
      </c>
      <c r="G8197" s="689">
        <v>57.3</v>
      </c>
      <c r="H8197" s="689">
        <v>57.7</v>
      </c>
      <c r="I8197" s="693">
        <v>57</v>
      </c>
      <c r="J8197" s="689">
        <v>55.9</v>
      </c>
      <c r="K8197" s="689">
        <v>57.1</v>
      </c>
    </row>
    <row r="8198" spans="1:11">
      <c r="A8198" s="688" t="s">
        <v>10</v>
      </c>
      <c r="B8198" s="691">
        <v>62.7</v>
      </c>
      <c r="C8198" s="691">
        <v>62.8</v>
      </c>
      <c r="D8198" s="691">
        <v>62.5</v>
      </c>
      <c r="E8198" s="691">
        <v>63.1</v>
      </c>
      <c r="F8198" s="615">
        <v>63</v>
      </c>
      <c r="G8198" s="691">
        <v>63.3</v>
      </c>
      <c r="H8198" s="691">
        <v>63.5</v>
      </c>
      <c r="I8198" s="691">
        <v>62.2</v>
      </c>
      <c r="J8198" s="691">
        <v>62.7</v>
      </c>
      <c r="K8198" s="691">
        <v>62.9</v>
      </c>
    </row>
    <row r="8199" spans="1:11">
      <c r="A8199" s="688" t="s">
        <v>30</v>
      </c>
      <c r="B8199" s="689">
        <v>62.4</v>
      </c>
      <c r="C8199" s="689">
        <v>62.7</v>
      </c>
      <c r="D8199" s="689">
        <v>62.3</v>
      </c>
      <c r="E8199" s="689">
        <v>63.1</v>
      </c>
      <c r="F8199" s="689">
        <v>62.7</v>
      </c>
      <c r="G8199" s="689">
        <v>63.5</v>
      </c>
      <c r="H8199" s="689">
        <v>63.1</v>
      </c>
      <c r="I8199" s="689">
        <v>63.1</v>
      </c>
      <c r="J8199" s="689">
        <v>62.1</v>
      </c>
      <c r="K8199" s="689">
        <v>62.8</v>
      </c>
    </row>
    <row r="8200" spans="1:11">
      <c r="A8200" s="688" t="s">
        <v>12</v>
      </c>
      <c r="B8200" s="615">
        <v>52</v>
      </c>
      <c r="C8200" s="691">
        <v>51.6</v>
      </c>
      <c r="D8200" s="691">
        <v>52.3</v>
      </c>
      <c r="E8200" s="691">
        <v>52.2</v>
      </c>
      <c r="F8200" s="691">
        <v>52.3</v>
      </c>
      <c r="G8200" s="691">
        <v>52.5</v>
      </c>
      <c r="H8200" s="691">
        <v>53.3</v>
      </c>
      <c r="I8200" s="691">
        <v>53.1</v>
      </c>
      <c r="J8200" s="691">
        <v>50.6</v>
      </c>
      <c r="K8200" s="691">
        <v>51.9</v>
      </c>
    </row>
    <row r="8201" spans="1:11">
      <c r="A8201" s="688" t="s">
        <v>14</v>
      </c>
      <c r="B8201" s="689">
        <v>51.1</v>
      </c>
      <c r="C8201" s="689">
        <v>51.7</v>
      </c>
      <c r="D8201" s="689">
        <v>51.7</v>
      </c>
      <c r="E8201" s="693">
        <v>52</v>
      </c>
      <c r="F8201" s="689">
        <v>53.2</v>
      </c>
      <c r="G8201" s="689">
        <v>53.4</v>
      </c>
      <c r="H8201" s="689">
        <v>53.9</v>
      </c>
      <c r="I8201" s="689">
        <v>52.6</v>
      </c>
      <c r="J8201" s="689">
        <v>52.1</v>
      </c>
      <c r="K8201" s="689">
        <v>53.7</v>
      </c>
    </row>
    <row r="8202" spans="1:11">
      <c r="A8202" s="688" t="s">
        <v>15</v>
      </c>
      <c r="B8202" s="691">
        <v>62.3</v>
      </c>
      <c r="C8202" s="691">
        <v>61.5</v>
      </c>
      <c r="D8202" s="691">
        <v>62.3</v>
      </c>
      <c r="E8202" s="691">
        <v>62.3</v>
      </c>
      <c r="F8202" s="691">
        <v>62.1</v>
      </c>
      <c r="G8202" s="691">
        <v>62.3</v>
      </c>
      <c r="H8202" s="691">
        <v>62.7</v>
      </c>
      <c r="I8202" s="691">
        <v>62.2</v>
      </c>
      <c r="J8202" s="691">
        <v>62.7</v>
      </c>
      <c r="K8202" s="691">
        <v>63.2</v>
      </c>
    </row>
    <row r="8203" spans="1:11">
      <c r="A8203" s="688" t="s">
        <v>29</v>
      </c>
      <c r="B8203" s="689">
        <v>54.8</v>
      </c>
      <c r="C8203" s="689">
        <v>54.8</v>
      </c>
      <c r="D8203" s="689">
        <v>54.7</v>
      </c>
      <c r="E8203" s="693">
        <v>55</v>
      </c>
      <c r="F8203" s="689">
        <v>54.9</v>
      </c>
      <c r="G8203" s="693">
        <v>55</v>
      </c>
      <c r="H8203" s="689">
        <v>55.4</v>
      </c>
      <c r="I8203" s="689">
        <v>54.6</v>
      </c>
      <c r="J8203" s="689">
        <v>53.1</v>
      </c>
      <c r="K8203" s="693">
        <v>55</v>
      </c>
    </row>
    <row r="8204" spans="1:11">
      <c r="A8204" s="688" t="s">
        <v>16</v>
      </c>
      <c r="B8204" s="691">
        <v>62.2</v>
      </c>
      <c r="C8204" s="691">
        <v>62.1</v>
      </c>
      <c r="D8204" s="691">
        <v>62.4</v>
      </c>
      <c r="E8204" s="615">
        <v>63</v>
      </c>
      <c r="F8204" s="691">
        <v>62.7</v>
      </c>
      <c r="G8204" s="691">
        <v>62.7</v>
      </c>
      <c r="H8204" s="691">
        <v>63.3</v>
      </c>
      <c r="I8204" s="691">
        <v>62.2</v>
      </c>
      <c r="J8204" s="691">
        <v>62.7</v>
      </c>
      <c r="K8204" s="691">
        <v>62.7</v>
      </c>
    </row>
    <row r="8205" spans="1:11">
      <c r="A8205" s="688" t="s">
        <v>17</v>
      </c>
      <c r="B8205" s="693">
        <v>62</v>
      </c>
      <c r="C8205" s="689">
        <v>62.3</v>
      </c>
      <c r="D8205" s="689">
        <v>62.2</v>
      </c>
      <c r="E8205" s="689">
        <v>62.3</v>
      </c>
      <c r="F8205" s="689">
        <v>62.5</v>
      </c>
      <c r="G8205" s="689">
        <v>62.6</v>
      </c>
      <c r="H8205" s="689">
        <v>62.9</v>
      </c>
      <c r="I8205" s="689">
        <v>62.1</v>
      </c>
      <c r="J8205" s="689">
        <v>62.1</v>
      </c>
      <c r="K8205" s="689">
        <v>62.5</v>
      </c>
    </row>
    <row r="8206" spans="1:11">
      <c r="A8206" s="688" t="s">
        <v>19</v>
      </c>
      <c r="B8206" s="691">
        <v>61.1</v>
      </c>
      <c r="C8206" s="691">
        <v>61.3</v>
      </c>
      <c r="D8206" s="691">
        <v>61.1</v>
      </c>
      <c r="E8206" s="691">
        <v>61.6</v>
      </c>
      <c r="F8206" s="691">
        <v>61.7</v>
      </c>
      <c r="G8206" s="691">
        <v>61.7</v>
      </c>
      <c r="H8206" s="615">
        <v>62</v>
      </c>
      <c r="I8206" s="691">
        <v>61.4</v>
      </c>
      <c r="J8206" s="691">
        <v>61.2</v>
      </c>
      <c r="K8206" s="691">
        <v>61.4</v>
      </c>
    </row>
    <row r="8207" spans="1:11">
      <c r="A8207" s="688" t="s">
        <v>20</v>
      </c>
      <c r="B8207" s="689">
        <v>55.6</v>
      </c>
      <c r="C8207" s="689">
        <v>56.1</v>
      </c>
      <c r="D8207" s="689">
        <v>55.9</v>
      </c>
      <c r="E8207" s="689">
        <v>56.3</v>
      </c>
      <c r="F8207" s="689">
        <v>56.3</v>
      </c>
      <c r="G8207" s="689">
        <v>56.2</v>
      </c>
      <c r="H8207" s="689">
        <v>56.5</v>
      </c>
      <c r="I8207" s="689">
        <v>54.8</v>
      </c>
      <c r="J8207" s="689">
        <v>53.9</v>
      </c>
      <c r="K8207" s="689">
        <v>55.7</v>
      </c>
    </row>
    <row r="8208" spans="1:11">
      <c r="A8208" s="688" t="s">
        <v>21</v>
      </c>
      <c r="B8208" s="615">
        <v>60</v>
      </c>
      <c r="C8208" s="691">
        <v>60.5</v>
      </c>
      <c r="D8208" s="691">
        <v>60.6</v>
      </c>
      <c r="E8208" s="691">
        <v>60.7</v>
      </c>
      <c r="F8208" s="615">
        <v>61</v>
      </c>
      <c r="G8208" s="691">
        <v>60.9</v>
      </c>
      <c r="H8208" s="691">
        <v>61.4</v>
      </c>
      <c r="I8208" s="691">
        <v>60.7</v>
      </c>
      <c r="J8208" s="691">
        <v>60.8</v>
      </c>
      <c r="K8208" s="691">
        <v>61.2</v>
      </c>
    </row>
    <row r="8209" spans="1:11">
      <c r="A8209" s="688" t="s">
        <v>22</v>
      </c>
      <c r="B8209" s="689">
        <v>54.7</v>
      </c>
      <c r="C8209" s="689">
        <v>54.3</v>
      </c>
      <c r="D8209" s="689">
        <v>54.3</v>
      </c>
      <c r="E8209" s="689">
        <v>54.5</v>
      </c>
      <c r="F8209" s="689">
        <v>54.5</v>
      </c>
      <c r="G8209" s="689">
        <v>54.4</v>
      </c>
      <c r="H8209" s="689">
        <v>54.6</v>
      </c>
      <c r="I8209" s="693">
        <v>53</v>
      </c>
      <c r="J8209" s="689">
        <v>51.8</v>
      </c>
      <c r="K8209" s="693">
        <v>54</v>
      </c>
    </row>
    <row r="8210" spans="1:11">
      <c r="A8210" s="688" t="s">
        <v>26</v>
      </c>
      <c r="B8210" s="691">
        <v>59.6</v>
      </c>
      <c r="C8210" s="691">
        <v>60.3</v>
      </c>
      <c r="D8210" s="691">
        <v>59.9</v>
      </c>
      <c r="E8210" s="691">
        <v>60.3</v>
      </c>
      <c r="F8210" s="691">
        <v>60.4</v>
      </c>
      <c r="G8210" s="691">
        <v>60.7</v>
      </c>
      <c r="H8210" s="691">
        <v>60.9</v>
      </c>
      <c r="I8210" s="691">
        <v>60.1</v>
      </c>
      <c r="J8210" s="691">
        <v>59.9</v>
      </c>
      <c r="K8210" s="691">
        <v>60.8</v>
      </c>
    </row>
    <row r="8211" spans="1:11">
      <c r="A8211" s="688" t="s">
        <v>25</v>
      </c>
      <c r="B8211" s="689">
        <v>55.6</v>
      </c>
      <c r="C8211" s="693">
        <v>56</v>
      </c>
      <c r="D8211" s="689">
        <v>55.8</v>
      </c>
      <c r="E8211" s="689">
        <v>56.5</v>
      </c>
      <c r="F8211" s="689">
        <v>56.4</v>
      </c>
      <c r="G8211" s="689">
        <v>56.5</v>
      </c>
      <c r="H8211" s="693">
        <v>57</v>
      </c>
      <c r="I8211" s="689">
        <v>56.2</v>
      </c>
      <c r="J8211" s="689">
        <v>53.8</v>
      </c>
      <c r="K8211" s="689">
        <v>56.2</v>
      </c>
    </row>
    <row r="8212" spans="1:11">
      <c r="A8212" s="688" t="s">
        <v>5</v>
      </c>
      <c r="B8212" s="691">
        <v>60.3</v>
      </c>
      <c r="C8212" s="691">
        <v>60.5</v>
      </c>
      <c r="D8212" s="691">
        <v>60.8</v>
      </c>
      <c r="E8212" s="691">
        <v>60.7</v>
      </c>
      <c r="F8212" s="691">
        <v>61.1</v>
      </c>
      <c r="G8212" s="691">
        <v>61.2</v>
      </c>
      <c r="H8212" s="691">
        <v>61.5</v>
      </c>
      <c r="I8212" s="691">
        <v>61.4</v>
      </c>
      <c r="J8212" s="691">
        <v>61.4</v>
      </c>
      <c r="K8212" s="691">
        <v>60.9</v>
      </c>
    </row>
    <row r="8213" spans="1:11">
      <c r="A8213" s="688" t="s">
        <v>23</v>
      </c>
      <c r="B8213" s="689">
        <v>62.5</v>
      </c>
      <c r="C8213" s="689">
        <v>62.7</v>
      </c>
      <c r="D8213" s="689">
        <v>62.7</v>
      </c>
      <c r="E8213" s="689">
        <v>62.9</v>
      </c>
      <c r="F8213" s="693">
        <v>63</v>
      </c>
      <c r="G8213" s="689">
        <v>63.1</v>
      </c>
      <c r="H8213" s="689">
        <v>63.6</v>
      </c>
      <c r="I8213" s="693">
        <v>63</v>
      </c>
      <c r="J8213" s="689">
        <v>63.5</v>
      </c>
      <c r="K8213" s="689">
        <v>63.7</v>
      </c>
    </row>
    <row r="8214" spans="1:11">
      <c r="A8214" s="688" t="s">
        <v>4067</v>
      </c>
      <c r="B8214" s="691">
        <v>60.2</v>
      </c>
      <c r="C8214" s="691">
        <v>60.6</v>
      </c>
      <c r="D8214" s="691">
        <v>60.4</v>
      </c>
      <c r="E8214" s="691">
        <v>60.7</v>
      </c>
      <c r="F8214" s="691">
        <v>60.8</v>
      </c>
      <c r="G8214" s="691">
        <v>60.8</v>
      </c>
      <c r="H8214" s="692" t="s">
        <v>4060</v>
      </c>
      <c r="I8214" s="692" t="s">
        <v>4060</v>
      </c>
      <c r="J8214" s="692" t="s">
        <v>4060</v>
      </c>
      <c r="K8214" s="692" t="s">
        <v>4060</v>
      </c>
    </row>
    <row r="8215" spans="1:11">
      <c r="A8215" s="688" t="s">
        <v>4066</v>
      </c>
      <c r="B8215" s="689">
        <v>60.2</v>
      </c>
      <c r="C8215" s="689">
        <v>60.6</v>
      </c>
      <c r="D8215" s="689">
        <v>60.4</v>
      </c>
      <c r="E8215" s="689">
        <v>60.7</v>
      </c>
      <c r="F8215" s="689">
        <v>60.8</v>
      </c>
      <c r="G8215" s="689">
        <v>60.9</v>
      </c>
      <c r="H8215" s="690" t="s">
        <v>4060</v>
      </c>
      <c r="I8215" s="690" t="s">
        <v>4060</v>
      </c>
      <c r="J8215" s="690" t="s">
        <v>4060</v>
      </c>
      <c r="K8215" s="690" t="s">
        <v>4060</v>
      </c>
    </row>
    <row r="8216" spans="1:11">
      <c r="A8216" s="688" t="s">
        <v>4062</v>
      </c>
      <c r="B8216" s="691">
        <v>62.8</v>
      </c>
      <c r="C8216" s="615">
        <v>63</v>
      </c>
      <c r="D8216" s="615">
        <v>63</v>
      </c>
      <c r="E8216" s="691">
        <v>63.5</v>
      </c>
      <c r="F8216" s="691">
        <v>63.6</v>
      </c>
      <c r="G8216" s="691">
        <v>63.8</v>
      </c>
      <c r="H8216" s="615">
        <v>64</v>
      </c>
      <c r="I8216" s="691">
        <v>63.6</v>
      </c>
      <c r="J8216" s="615">
        <v>64</v>
      </c>
      <c r="K8216" s="691">
        <v>63.7</v>
      </c>
    </row>
    <row r="8217" spans="1:11">
      <c r="A8217" s="688" t="s">
        <v>9</v>
      </c>
      <c r="B8217" s="689">
        <v>62.8</v>
      </c>
      <c r="C8217" s="689">
        <v>63.3</v>
      </c>
      <c r="D8217" s="689">
        <v>63.4</v>
      </c>
      <c r="E8217" s="689">
        <v>62.7</v>
      </c>
      <c r="F8217" s="689">
        <v>63.1</v>
      </c>
      <c r="G8217" s="689">
        <v>63.4</v>
      </c>
      <c r="H8217" s="689">
        <v>63.7</v>
      </c>
      <c r="I8217" s="689">
        <v>63.9</v>
      </c>
      <c r="J8217" s="689">
        <v>64.099999999999994</v>
      </c>
      <c r="K8217" s="689">
        <v>63.1</v>
      </c>
    </row>
    <row r="8218" spans="1:11">
      <c r="A8218" s="688" t="s">
        <v>13</v>
      </c>
      <c r="B8218" s="691">
        <v>62.7</v>
      </c>
      <c r="C8218" s="615">
        <v>63</v>
      </c>
      <c r="D8218" s="691">
        <v>63.6</v>
      </c>
      <c r="E8218" s="691">
        <v>62.6</v>
      </c>
      <c r="F8218" s="691">
        <v>63.3</v>
      </c>
      <c r="G8218" s="691">
        <v>62.4</v>
      </c>
      <c r="H8218" s="691">
        <v>64.400000000000006</v>
      </c>
      <c r="I8218" s="691">
        <v>62.5</v>
      </c>
      <c r="J8218" s="691">
        <v>64.099999999999994</v>
      </c>
      <c r="K8218" s="691">
        <v>65.099999999999994</v>
      </c>
    </row>
    <row r="8219" spans="1:11">
      <c r="A8219" s="688" t="s">
        <v>18</v>
      </c>
      <c r="B8219" s="689">
        <v>62.1</v>
      </c>
      <c r="C8219" s="689">
        <v>62.4</v>
      </c>
      <c r="D8219" s="689">
        <v>62.7</v>
      </c>
      <c r="E8219" s="689">
        <v>62.9</v>
      </c>
      <c r="F8219" s="689">
        <v>63.2</v>
      </c>
      <c r="G8219" s="689">
        <v>63.3</v>
      </c>
      <c r="H8219" s="689">
        <v>63.5</v>
      </c>
      <c r="I8219" s="689">
        <v>63.8</v>
      </c>
      <c r="J8219" s="689">
        <v>63.9</v>
      </c>
      <c r="K8219" s="689">
        <v>63.2</v>
      </c>
    </row>
    <row r="8220" spans="1:11">
      <c r="A8220" s="688" t="s">
        <v>24</v>
      </c>
      <c r="B8220" s="691">
        <v>63.2</v>
      </c>
      <c r="C8220" s="691">
        <v>63.4</v>
      </c>
      <c r="D8220" s="691">
        <v>63.2</v>
      </c>
      <c r="E8220" s="691">
        <v>63.9</v>
      </c>
      <c r="F8220" s="691">
        <v>63.8</v>
      </c>
      <c r="G8220" s="691">
        <v>64.099999999999994</v>
      </c>
      <c r="H8220" s="691">
        <v>64.3</v>
      </c>
      <c r="I8220" s="691">
        <v>63.5</v>
      </c>
      <c r="J8220" s="615">
        <v>64</v>
      </c>
      <c r="K8220" s="691">
        <v>64.099999999999994</v>
      </c>
    </row>
    <row r="8221" spans="1:11">
      <c r="A8221" s="688" t="s">
        <v>4059</v>
      </c>
      <c r="B8221" s="689">
        <v>61.7</v>
      </c>
      <c r="C8221" s="693">
        <v>62</v>
      </c>
      <c r="D8221" s="689">
        <v>61.7</v>
      </c>
      <c r="E8221" s="689">
        <v>61.9</v>
      </c>
      <c r="F8221" s="693">
        <v>62</v>
      </c>
      <c r="G8221" s="689">
        <v>61.9</v>
      </c>
      <c r="H8221" s="690" t="s">
        <v>4060</v>
      </c>
      <c r="I8221" s="690" t="s">
        <v>4060</v>
      </c>
      <c r="J8221" s="690" t="s">
        <v>4060</v>
      </c>
      <c r="K8221" s="690" t="s">
        <v>4060</v>
      </c>
    </row>
    <row r="8222" spans="1:11">
      <c r="A8222" s="688" t="s">
        <v>2324</v>
      </c>
      <c r="B8222" s="691">
        <v>56.6</v>
      </c>
      <c r="C8222" s="691">
        <v>56.7</v>
      </c>
      <c r="D8222" s="691">
        <v>56.7</v>
      </c>
      <c r="E8222" s="691">
        <v>56.5</v>
      </c>
      <c r="F8222" s="691">
        <v>56.3</v>
      </c>
      <c r="G8222" s="691">
        <v>56.9</v>
      </c>
      <c r="H8222" s="691">
        <v>56.4</v>
      </c>
      <c r="I8222" s="691">
        <v>55.5</v>
      </c>
      <c r="J8222" s="615">
        <v>53</v>
      </c>
      <c r="K8222" s="692" t="s">
        <v>4060</v>
      </c>
    </row>
    <row r="8223" spans="1:11">
      <c r="A8223" s="688" t="s">
        <v>2322</v>
      </c>
      <c r="B8223" s="690" t="s">
        <v>4060</v>
      </c>
      <c r="C8223" s="690" t="s">
        <v>4060</v>
      </c>
      <c r="D8223" s="690" t="s">
        <v>4060</v>
      </c>
      <c r="E8223" s="690" t="s">
        <v>4060</v>
      </c>
      <c r="F8223" s="690" t="s">
        <v>4060</v>
      </c>
      <c r="G8223" s="690" t="s">
        <v>4060</v>
      </c>
      <c r="H8223" s="690" t="s">
        <v>4060</v>
      </c>
      <c r="I8223" s="690" t="s">
        <v>4060</v>
      </c>
      <c r="J8223" s="690" t="s">
        <v>4060</v>
      </c>
      <c r="K8223" s="690" t="s">
        <v>4060</v>
      </c>
    </row>
    <row r="8224" spans="1:11">
      <c r="A8224" s="688" t="s">
        <v>2328</v>
      </c>
      <c r="B8224" s="691">
        <v>56.4</v>
      </c>
      <c r="C8224" s="691">
        <v>56.5</v>
      </c>
      <c r="D8224" s="691">
        <v>56.5</v>
      </c>
      <c r="E8224" s="691">
        <v>56.5</v>
      </c>
      <c r="F8224" s="615">
        <v>57</v>
      </c>
      <c r="G8224" s="691">
        <v>57.3</v>
      </c>
      <c r="H8224" s="691">
        <v>57.4</v>
      </c>
      <c r="I8224" s="691">
        <v>54.8</v>
      </c>
      <c r="J8224" s="691">
        <v>53.7</v>
      </c>
      <c r="K8224" s="692" t="s">
        <v>4060</v>
      </c>
    </row>
    <row r="8225" spans="1:11">
      <c r="A8225" s="688" t="s">
        <v>2496</v>
      </c>
      <c r="B8225" s="690" t="s">
        <v>4060</v>
      </c>
      <c r="C8225" s="693">
        <v>53</v>
      </c>
      <c r="D8225" s="689">
        <v>51.8</v>
      </c>
      <c r="E8225" s="689">
        <v>51.4</v>
      </c>
      <c r="F8225" s="689">
        <v>52.3</v>
      </c>
      <c r="G8225" s="689">
        <v>52.6</v>
      </c>
      <c r="H8225" s="689">
        <v>52.8</v>
      </c>
      <c r="I8225" s="690" t="s">
        <v>4060</v>
      </c>
      <c r="J8225" s="690" t="s">
        <v>4060</v>
      </c>
      <c r="K8225" s="689">
        <v>52.1</v>
      </c>
    </row>
    <row r="8226" spans="1:11">
      <c r="A8226" s="688" t="s">
        <v>2269</v>
      </c>
      <c r="B8226" s="691">
        <v>59.1</v>
      </c>
      <c r="C8226" s="691">
        <v>59.3</v>
      </c>
      <c r="D8226" s="691">
        <v>59.2</v>
      </c>
      <c r="E8226" s="615">
        <v>60</v>
      </c>
      <c r="F8226" s="691">
        <v>60.1</v>
      </c>
      <c r="G8226" s="691">
        <v>60.4</v>
      </c>
      <c r="H8226" s="691">
        <v>60.7</v>
      </c>
      <c r="I8226" s="691">
        <v>58.2</v>
      </c>
      <c r="J8226" s="691">
        <v>56.5</v>
      </c>
      <c r="K8226" s="691">
        <v>60.3</v>
      </c>
    </row>
    <row r="8227" spans="1:11">
      <c r="A8227" s="688" t="s">
        <v>2349</v>
      </c>
      <c r="B8227" s="689">
        <v>55.4</v>
      </c>
      <c r="C8227" s="689">
        <v>55.5</v>
      </c>
      <c r="D8227" s="689">
        <v>55.4</v>
      </c>
      <c r="E8227" s="689">
        <v>55.9</v>
      </c>
      <c r="F8227" s="689">
        <v>55.8</v>
      </c>
      <c r="G8227" s="689">
        <v>56.1</v>
      </c>
      <c r="H8227" s="693">
        <v>56</v>
      </c>
      <c r="I8227" s="689">
        <v>54.1</v>
      </c>
      <c r="J8227" s="689">
        <v>52.6</v>
      </c>
      <c r="K8227" s="689">
        <v>55.2</v>
      </c>
    </row>
    <row r="8228" spans="1:11">
      <c r="A8228" s="688" t="s">
        <v>2355</v>
      </c>
      <c r="B8228" s="691">
        <v>58.8</v>
      </c>
      <c r="C8228" s="691">
        <v>58.8</v>
      </c>
      <c r="D8228" s="691">
        <v>58.7</v>
      </c>
      <c r="E8228" s="691">
        <v>58.6</v>
      </c>
      <c r="F8228" s="691">
        <v>58.9</v>
      </c>
      <c r="G8228" s="691">
        <v>59.4</v>
      </c>
      <c r="H8228" s="691">
        <v>59.6</v>
      </c>
      <c r="I8228" s="692" t="s">
        <v>4060</v>
      </c>
      <c r="J8228" s="692" t="s">
        <v>4060</v>
      </c>
      <c r="K8228" s="692" t="s">
        <v>4060</v>
      </c>
    </row>
    <row r="8229" spans="1:11">
      <c r="A8229" s="688" t="s">
        <v>2357</v>
      </c>
      <c r="B8229" s="690" t="s">
        <v>4060</v>
      </c>
      <c r="C8229" s="689">
        <v>49.6</v>
      </c>
      <c r="D8229" s="689">
        <v>50.4</v>
      </c>
      <c r="E8229" s="689">
        <v>50.8</v>
      </c>
      <c r="F8229" s="689">
        <v>51.1</v>
      </c>
      <c r="G8229" s="689">
        <v>50.9</v>
      </c>
      <c r="H8229" s="689">
        <v>51.2</v>
      </c>
      <c r="I8229" s="690" t="s">
        <v>4060</v>
      </c>
      <c r="J8229" s="690" t="s">
        <v>4060</v>
      </c>
      <c r="K8229" s="690" t="s">
        <v>4060</v>
      </c>
    </row>
    <row r="8230" spans="1:11">
      <c r="A8230" s="688" t="s">
        <v>4070</v>
      </c>
      <c r="B8230" s="692" t="s">
        <v>4060</v>
      </c>
      <c r="C8230" s="692" t="s">
        <v>4060</v>
      </c>
      <c r="D8230" s="692" t="s">
        <v>4060</v>
      </c>
      <c r="E8230" s="691">
        <v>58.6</v>
      </c>
      <c r="F8230" s="692" t="s">
        <v>4060</v>
      </c>
      <c r="G8230" s="692" t="s">
        <v>4060</v>
      </c>
      <c r="H8230" s="692" t="s">
        <v>4060</v>
      </c>
      <c r="I8230" s="692" t="s">
        <v>4060</v>
      </c>
      <c r="J8230" s="692" t="s">
        <v>4060</v>
      </c>
      <c r="K8230" s="692" t="s">
        <v>4060</v>
      </c>
    </row>
    <row r="8231" spans="1:11">
      <c r="A8231" s="688" t="s">
        <v>2491</v>
      </c>
      <c r="B8231" s="689">
        <v>49.8</v>
      </c>
      <c r="C8231" s="689">
        <v>50.4</v>
      </c>
      <c r="D8231" s="689">
        <v>51.1</v>
      </c>
      <c r="E8231" s="689">
        <v>51.5</v>
      </c>
      <c r="F8231" s="689">
        <v>51.7</v>
      </c>
      <c r="G8231" s="689">
        <v>51.7</v>
      </c>
      <c r="H8231" s="690" t="s">
        <v>4060</v>
      </c>
      <c r="I8231" s="690" t="s">
        <v>4060</v>
      </c>
      <c r="J8231" s="690" t="s">
        <v>4060</v>
      </c>
      <c r="K8231" s="690" t="s">
        <v>4060</v>
      </c>
    </row>
    <row r="8232" spans="1:11">
      <c r="A8232" s="688" t="s">
        <v>2343</v>
      </c>
      <c r="B8232" s="692" t="s">
        <v>4060</v>
      </c>
      <c r="C8232" s="692" t="s">
        <v>4060</v>
      </c>
      <c r="D8232" s="692" t="s">
        <v>4060</v>
      </c>
      <c r="E8232" s="692" t="s">
        <v>4060</v>
      </c>
      <c r="F8232" s="692" t="s">
        <v>4060</v>
      </c>
      <c r="G8232" s="692" t="s">
        <v>4060</v>
      </c>
      <c r="H8232" s="692" t="s">
        <v>4060</v>
      </c>
      <c r="I8232" s="692" t="s">
        <v>4060</v>
      </c>
      <c r="J8232" s="692" t="s">
        <v>4060</v>
      </c>
      <c r="K8232" s="692" t="s">
        <v>4060</v>
      </c>
    </row>
    <row r="8233" spans="1:11">
      <c r="A8233" s="688" t="s">
        <v>4071</v>
      </c>
      <c r="B8233" s="690" t="s">
        <v>4060</v>
      </c>
      <c r="C8233" s="690" t="s">
        <v>4060</v>
      </c>
      <c r="D8233" s="690" t="s">
        <v>4060</v>
      </c>
      <c r="E8233" s="690" t="s">
        <v>4060</v>
      </c>
      <c r="F8233" s="690" t="s">
        <v>4060</v>
      </c>
      <c r="G8233" s="690" t="s">
        <v>4060</v>
      </c>
      <c r="H8233" s="690" t="s">
        <v>4060</v>
      </c>
      <c r="I8233" s="690" t="s">
        <v>4060</v>
      </c>
      <c r="J8233" s="690" t="s">
        <v>4060</v>
      </c>
      <c r="K8233" s="690" t="s">
        <v>4060</v>
      </c>
    </row>
    <row r="8234" spans="1:11">
      <c r="A8234" s="688" t="s">
        <v>2489</v>
      </c>
      <c r="B8234" s="692" t="s">
        <v>4060</v>
      </c>
      <c r="C8234" s="692" t="s">
        <v>4060</v>
      </c>
      <c r="D8234" s="691">
        <v>54.7</v>
      </c>
      <c r="E8234" s="691">
        <v>54.5</v>
      </c>
      <c r="F8234" s="691">
        <v>55.4</v>
      </c>
      <c r="G8234" s="691">
        <v>56.2</v>
      </c>
      <c r="H8234" s="691">
        <v>55.9</v>
      </c>
      <c r="I8234" s="692" t="s">
        <v>4060</v>
      </c>
      <c r="J8234" s="692" t="s">
        <v>4060</v>
      </c>
      <c r="K8234" s="692" t="s">
        <v>4060</v>
      </c>
    </row>
    <row r="8235" spans="1:11">
      <c r="A8235" s="688" t="s">
        <v>2490</v>
      </c>
      <c r="B8235" s="689">
        <v>55.4</v>
      </c>
      <c r="C8235" s="689">
        <v>55.5</v>
      </c>
      <c r="D8235" s="689">
        <v>56.3</v>
      </c>
      <c r="E8235" s="690" t="s">
        <v>4060</v>
      </c>
      <c r="F8235" s="689">
        <v>56.6</v>
      </c>
      <c r="G8235" s="689">
        <v>56.8</v>
      </c>
      <c r="H8235" s="689">
        <v>57.7</v>
      </c>
      <c r="I8235" s="690" t="s">
        <v>4060</v>
      </c>
      <c r="J8235" s="690" t="s">
        <v>4060</v>
      </c>
      <c r="K8235" s="690" t="s">
        <v>4060</v>
      </c>
    </row>
    <row r="8237" spans="1:11">
      <c r="A8237" s="683" t="s">
        <v>4233</v>
      </c>
    </row>
    <row r="8238" spans="1:11">
      <c r="A8238" s="683" t="s">
        <v>4060</v>
      </c>
      <c r="B8238" s="682" t="s">
        <v>4234</v>
      </c>
    </row>
    <row r="8240" spans="1:11">
      <c r="A8240" s="682" t="s">
        <v>4331</v>
      </c>
    </row>
    <row r="8241" spans="1:11">
      <c r="A8241" s="682" t="s">
        <v>4210</v>
      </c>
      <c r="B8241" s="683" t="s">
        <v>4211</v>
      </c>
    </row>
    <row r="8242" spans="1:11">
      <c r="A8242" s="682" t="s">
        <v>4212</v>
      </c>
      <c r="B8242" s="682" t="s">
        <v>4213</v>
      </c>
    </row>
    <row r="8244" spans="1:11">
      <c r="A8244" s="683" t="s">
        <v>4214</v>
      </c>
      <c r="C8244" s="682" t="s">
        <v>4215</v>
      </c>
    </row>
    <row r="8245" spans="1:11">
      <c r="A8245" s="683" t="s">
        <v>4216</v>
      </c>
      <c r="C8245" s="682" t="s">
        <v>2967</v>
      </c>
    </row>
    <row r="8246" spans="1:11">
      <c r="A8246" s="683" t="s">
        <v>3893</v>
      </c>
      <c r="C8246" s="682" t="s">
        <v>2168</v>
      </c>
    </row>
    <row r="8247" spans="1:11">
      <c r="A8247" s="683" t="s">
        <v>4218</v>
      </c>
      <c r="C8247" s="682" t="s">
        <v>4254</v>
      </c>
    </row>
    <row r="8249" spans="1:11">
      <c r="A8249" s="684" t="s">
        <v>4220</v>
      </c>
      <c r="B8249" s="685" t="s">
        <v>4221</v>
      </c>
      <c r="C8249" s="685" t="s">
        <v>4222</v>
      </c>
      <c r="D8249" s="685" t="s">
        <v>4223</v>
      </c>
      <c r="E8249" s="685" t="s">
        <v>4224</v>
      </c>
      <c r="F8249" s="685" t="s">
        <v>4225</v>
      </c>
      <c r="G8249" s="685" t="s">
        <v>4226</v>
      </c>
      <c r="H8249" s="685" t="s">
        <v>4227</v>
      </c>
      <c r="I8249" s="685" t="s">
        <v>4228</v>
      </c>
      <c r="J8249" s="685" t="s">
        <v>4229</v>
      </c>
      <c r="K8249" s="685" t="s">
        <v>4230</v>
      </c>
    </row>
    <row r="8250" spans="1:11">
      <c r="A8250" s="686" t="s">
        <v>4231</v>
      </c>
      <c r="B8250" s="687" t="s">
        <v>4232</v>
      </c>
      <c r="C8250" s="687" t="s">
        <v>4232</v>
      </c>
      <c r="D8250" s="687" t="s">
        <v>4232</v>
      </c>
      <c r="E8250" s="687" t="s">
        <v>4232</v>
      </c>
      <c r="F8250" s="687" t="s">
        <v>4232</v>
      </c>
      <c r="G8250" s="687" t="s">
        <v>4232</v>
      </c>
      <c r="H8250" s="687" t="s">
        <v>4232</v>
      </c>
      <c r="I8250" s="687" t="s">
        <v>4232</v>
      </c>
      <c r="J8250" s="687" t="s">
        <v>4232</v>
      </c>
      <c r="K8250" s="687" t="s">
        <v>4232</v>
      </c>
    </row>
    <row r="8251" spans="1:11">
      <c r="A8251" s="688" t="s">
        <v>4064</v>
      </c>
      <c r="B8251" s="693">
        <v>59</v>
      </c>
      <c r="C8251" s="689">
        <v>59.2</v>
      </c>
      <c r="D8251" s="689">
        <v>59.2</v>
      </c>
      <c r="E8251" s="689">
        <v>59.4</v>
      </c>
      <c r="F8251" s="689">
        <v>59.4</v>
      </c>
      <c r="G8251" s="689">
        <v>59.5</v>
      </c>
      <c r="H8251" s="689">
        <v>59.8</v>
      </c>
      <c r="I8251" s="689">
        <v>58.9</v>
      </c>
      <c r="J8251" s="689">
        <v>58.6</v>
      </c>
      <c r="K8251" s="689">
        <v>59.3</v>
      </c>
    </row>
    <row r="8252" spans="1:11">
      <c r="A8252" s="688" t="s">
        <v>4065</v>
      </c>
      <c r="B8252" s="691">
        <v>59.2</v>
      </c>
      <c r="C8252" s="691">
        <v>59.6</v>
      </c>
      <c r="D8252" s="691">
        <v>59.4</v>
      </c>
      <c r="E8252" s="691">
        <v>59.7</v>
      </c>
      <c r="F8252" s="691">
        <v>59.8</v>
      </c>
      <c r="G8252" s="691">
        <v>59.8</v>
      </c>
      <c r="H8252" s="692" t="s">
        <v>4060</v>
      </c>
      <c r="I8252" s="692" t="s">
        <v>4060</v>
      </c>
      <c r="J8252" s="692" t="s">
        <v>4060</v>
      </c>
      <c r="K8252" s="692" t="s">
        <v>4060</v>
      </c>
    </row>
    <row r="8253" spans="1:11">
      <c r="A8253" s="688" t="s">
        <v>4063</v>
      </c>
      <c r="B8253" s="689">
        <v>59.3</v>
      </c>
      <c r="C8253" s="689">
        <v>59.6</v>
      </c>
      <c r="D8253" s="689">
        <v>59.4</v>
      </c>
      <c r="E8253" s="689">
        <v>59.7</v>
      </c>
      <c r="F8253" s="689">
        <v>59.8</v>
      </c>
      <c r="G8253" s="689">
        <v>59.9</v>
      </c>
      <c r="H8253" s="690" t="s">
        <v>4060</v>
      </c>
      <c r="I8253" s="690" t="s">
        <v>4060</v>
      </c>
      <c r="J8253" s="690" t="s">
        <v>4060</v>
      </c>
      <c r="K8253" s="690" t="s">
        <v>4060</v>
      </c>
    </row>
    <row r="8254" spans="1:11">
      <c r="A8254" s="688" t="s">
        <v>4069</v>
      </c>
      <c r="B8254" s="692" t="s">
        <v>4060</v>
      </c>
      <c r="C8254" s="691">
        <v>60.4</v>
      </c>
      <c r="D8254" s="691">
        <v>60.2</v>
      </c>
      <c r="E8254" s="691">
        <v>60.5</v>
      </c>
      <c r="F8254" s="691">
        <v>60.6</v>
      </c>
      <c r="G8254" s="691">
        <v>60.7</v>
      </c>
      <c r="H8254" s="615">
        <v>61</v>
      </c>
      <c r="I8254" s="691">
        <v>60.3</v>
      </c>
      <c r="J8254" s="691">
        <v>60.2</v>
      </c>
      <c r="K8254" s="691">
        <v>60.5</v>
      </c>
    </row>
    <row r="8255" spans="1:11">
      <c r="A8255" s="688" t="s">
        <v>4068</v>
      </c>
      <c r="B8255" s="689">
        <v>60.2</v>
      </c>
      <c r="C8255" s="690" t="s">
        <v>4060</v>
      </c>
      <c r="D8255" s="690" t="s">
        <v>4060</v>
      </c>
      <c r="E8255" s="690" t="s">
        <v>4060</v>
      </c>
      <c r="F8255" s="690" t="s">
        <v>4060</v>
      </c>
      <c r="G8255" s="690" t="s">
        <v>4060</v>
      </c>
      <c r="H8255" s="690" t="s">
        <v>4060</v>
      </c>
      <c r="I8255" s="690" t="s">
        <v>4060</v>
      </c>
      <c r="J8255" s="690" t="s">
        <v>4060</v>
      </c>
      <c r="K8255" s="690" t="s">
        <v>4060</v>
      </c>
    </row>
    <row r="8256" spans="1:11">
      <c r="A8256" s="688" t="s">
        <v>0</v>
      </c>
      <c r="B8256" s="691">
        <v>59.6</v>
      </c>
      <c r="C8256" s="691">
        <v>60.1</v>
      </c>
      <c r="D8256" s="615">
        <v>60</v>
      </c>
      <c r="E8256" s="691">
        <v>60.3</v>
      </c>
      <c r="F8256" s="691">
        <v>60.5</v>
      </c>
      <c r="G8256" s="691">
        <v>60.7</v>
      </c>
      <c r="H8256" s="691">
        <v>61.1</v>
      </c>
      <c r="I8256" s="691">
        <v>59.9</v>
      </c>
      <c r="J8256" s="691">
        <v>60.7</v>
      </c>
      <c r="K8256" s="615">
        <v>61</v>
      </c>
    </row>
    <row r="8257" spans="1:11">
      <c r="A8257" s="688" t="s">
        <v>1</v>
      </c>
      <c r="B8257" s="689">
        <v>53.3</v>
      </c>
      <c r="C8257" s="689">
        <v>52.9</v>
      </c>
      <c r="D8257" s="693">
        <v>53</v>
      </c>
      <c r="E8257" s="693">
        <v>53</v>
      </c>
      <c r="F8257" s="693">
        <v>53</v>
      </c>
      <c r="G8257" s="689">
        <v>53.1</v>
      </c>
      <c r="H8257" s="693">
        <v>53</v>
      </c>
      <c r="I8257" s="689">
        <v>51.3</v>
      </c>
      <c r="J8257" s="689">
        <v>49.4</v>
      </c>
      <c r="K8257" s="689">
        <v>52.2</v>
      </c>
    </row>
    <row r="8258" spans="1:11">
      <c r="A8258" s="688" t="s">
        <v>2240</v>
      </c>
      <c r="B8258" s="691">
        <v>56.7</v>
      </c>
      <c r="C8258" s="691">
        <v>57.1</v>
      </c>
      <c r="D8258" s="615">
        <v>57</v>
      </c>
      <c r="E8258" s="691">
        <v>57.5</v>
      </c>
      <c r="F8258" s="691">
        <v>57.4</v>
      </c>
      <c r="G8258" s="691">
        <v>57.5</v>
      </c>
      <c r="H8258" s="691">
        <v>57.7</v>
      </c>
      <c r="I8258" s="691">
        <v>56.7</v>
      </c>
      <c r="J8258" s="691">
        <v>55.5</v>
      </c>
      <c r="K8258" s="691">
        <v>57.4</v>
      </c>
    </row>
    <row r="8259" spans="1:11">
      <c r="A8259" s="688" t="s">
        <v>2</v>
      </c>
      <c r="B8259" s="689">
        <v>59.8</v>
      </c>
      <c r="C8259" s="689">
        <v>60.1</v>
      </c>
      <c r="D8259" s="689">
        <v>60.2</v>
      </c>
      <c r="E8259" s="689">
        <v>60.4</v>
      </c>
      <c r="F8259" s="689">
        <v>60.6</v>
      </c>
      <c r="G8259" s="689">
        <v>60.5</v>
      </c>
      <c r="H8259" s="689">
        <v>60.9</v>
      </c>
      <c r="I8259" s="693">
        <v>61</v>
      </c>
      <c r="J8259" s="693">
        <v>61</v>
      </c>
      <c r="K8259" s="689">
        <v>60.8</v>
      </c>
    </row>
    <row r="8260" spans="1:11">
      <c r="A8260" s="688" t="s">
        <v>3</v>
      </c>
      <c r="B8260" s="691">
        <v>59.6</v>
      </c>
      <c r="C8260" s="691">
        <v>59.9</v>
      </c>
      <c r="D8260" s="691">
        <v>59.6</v>
      </c>
      <c r="E8260" s="691">
        <v>59.9</v>
      </c>
      <c r="F8260" s="615">
        <v>60</v>
      </c>
      <c r="G8260" s="615">
        <v>60</v>
      </c>
      <c r="H8260" s="691">
        <v>60.3</v>
      </c>
      <c r="I8260" s="615">
        <v>60</v>
      </c>
      <c r="J8260" s="691">
        <v>59.6</v>
      </c>
      <c r="K8260" s="691">
        <v>59.6</v>
      </c>
    </row>
    <row r="8261" spans="1:11">
      <c r="A8261" s="688" t="s">
        <v>4061</v>
      </c>
      <c r="B8261" s="689">
        <v>59.6</v>
      </c>
      <c r="C8261" s="689">
        <v>59.9</v>
      </c>
      <c r="D8261" s="689">
        <v>59.6</v>
      </c>
      <c r="E8261" s="689">
        <v>59.9</v>
      </c>
      <c r="F8261" s="693">
        <v>60</v>
      </c>
      <c r="G8261" s="693">
        <v>60</v>
      </c>
      <c r="H8261" s="689">
        <v>60.3</v>
      </c>
      <c r="I8261" s="693">
        <v>60</v>
      </c>
      <c r="J8261" s="689">
        <v>59.6</v>
      </c>
      <c r="K8261" s="689">
        <v>59.6</v>
      </c>
    </row>
    <row r="8262" spans="1:11">
      <c r="A8262" s="688" t="s">
        <v>4</v>
      </c>
      <c r="B8262" s="691">
        <v>54.2</v>
      </c>
      <c r="C8262" s="691">
        <v>53.8</v>
      </c>
      <c r="D8262" s="691">
        <v>54.6</v>
      </c>
      <c r="E8262" s="691">
        <v>54.6</v>
      </c>
      <c r="F8262" s="691">
        <v>55.1</v>
      </c>
      <c r="G8262" s="691">
        <v>55.3</v>
      </c>
      <c r="H8262" s="691">
        <v>55.8</v>
      </c>
      <c r="I8262" s="691">
        <v>55.7</v>
      </c>
      <c r="J8262" s="691">
        <v>54.2</v>
      </c>
      <c r="K8262" s="615">
        <v>55</v>
      </c>
    </row>
    <row r="8263" spans="1:11">
      <c r="A8263" s="688" t="s">
        <v>8</v>
      </c>
      <c r="B8263" s="689">
        <v>60.4</v>
      </c>
      <c r="C8263" s="689">
        <v>60.7</v>
      </c>
      <c r="D8263" s="689">
        <v>60.9</v>
      </c>
      <c r="E8263" s="689">
        <v>61.1</v>
      </c>
      <c r="F8263" s="689">
        <v>61.6</v>
      </c>
      <c r="G8263" s="689">
        <v>61.6</v>
      </c>
      <c r="H8263" s="693">
        <v>62</v>
      </c>
      <c r="I8263" s="689">
        <v>61.9</v>
      </c>
      <c r="J8263" s="689">
        <v>61.6</v>
      </c>
      <c r="K8263" s="689">
        <v>62.1</v>
      </c>
    </row>
    <row r="8264" spans="1:11">
      <c r="A8264" s="688" t="s">
        <v>7</v>
      </c>
      <c r="B8264" s="691">
        <v>60.2</v>
      </c>
      <c r="C8264" s="691">
        <v>59.7</v>
      </c>
      <c r="D8264" s="691">
        <v>59.5</v>
      </c>
      <c r="E8264" s="691">
        <v>59.9</v>
      </c>
      <c r="F8264" s="691">
        <v>59.8</v>
      </c>
      <c r="G8264" s="691">
        <v>60.2</v>
      </c>
      <c r="H8264" s="691">
        <v>60.2</v>
      </c>
      <c r="I8264" s="691">
        <v>59.9</v>
      </c>
      <c r="J8264" s="691">
        <v>58.8</v>
      </c>
      <c r="K8264" s="691">
        <v>59.7</v>
      </c>
    </row>
    <row r="8265" spans="1:11">
      <c r="A8265" s="688" t="s">
        <v>27</v>
      </c>
      <c r="B8265" s="689">
        <v>61.6</v>
      </c>
      <c r="C8265" s="689">
        <v>61.5</v>
      </c>
      <c r="D8265" s="689">
        <v>61.3</v>
      </c>
      <c r="E8265" s="689">
        <v>61.6</v>
      </c>
      <c r="F8265" s="689">
        <v>61.7</v>
      </c>
      <c r="G8265" s="689">
        <v>61.8</v>
      </c>
      <c r="H8265" s="689">
        <v>62.1</v>
      </c>
      <c r="I8265" s="689">
        <v>60.8</v>
      </c>
      <c r="J8265" s="689">
        <v>61.5</v>
      </c>
      <c r="K8265" s="689">
        <v>61.7</v>
      </c>
    </row>
    <row r="8266" spans="1:11">
      <c r="A8266" s="688" t="s">
        <v>6</v>
      </c>
      <c r="B8266" s="691">
        <v>60.5</v>
      </c>
      <c r="C8266" s="691">
        <v>60.7</v>
      </c>
      <c r="D8266" s="691">
        <v>60.5</v>
      </c>
      <c r="E8266" s="691">
        <v>60.8</v>
      </c>
      <c r="F8266" s="691">
        <v>60.9</v>
      </c>
      <c r="G8266" s="691">
        <v>61.1</v>
      </c>
      <c r="H8266" s="691">
        <v>61.3</v>
      </c>
      <c r="I8266" s="691">
        <v>60.6</v>
      </c>
      <c r="J8266" s="691">
        <v>60.7</v>
      </c>
      <c r="K8266" s="691">
        <v>60.9</v>
      </c>
    </row>
    <row r="8267" spans="1:11">
      <c r="A8267" s="688" t="s">
        <v>4058</v>
      </c>
      <c r="B8267" s="690" t="s">
        <v>4060</v>
      </c>
      <c r="C8267" s="690" t="s">
        <v>4060</v>
      </c>
      <c r="D8267" s="690" t="s">
        <v>4060</v>
      </c>
      <c r="E8267" s="690" t="s">
        <v>4060</v>
      </c>
      <c r="F8267" s="690" t="s">
        <v>4060</v>
      </c>
      <c r="G8267" s="690" t="s">
        <v>4060</v>
      </c>
      <c r="H8267" s="690" t="s">
        <v>4060</v>
      </c>
      <c r="I8267" s="690" t="s">
        <v>4060</v>
      </c>
      <c r="J8267" s="690" t="s">
        <v>4060</v>
      </c>
      <c r="K8267" s="690" t="s">
        <v>4060</v>
      </c>
    </row>
    <row r="8268" spans="1:11">
      <c r="A8268" s="688" t="s">
        <v>11</v>
      </c>
      <c r="B8268" s="615">
        <v>56</v>
      </c>
      <c r="C8268" s="691">
        <v>56.2</v>
      </c>
      <c r="D8268" s="691">
        <v>55.8</v>
      </c>
      <c r="E8268" s="691">
        <v>56.4</v>
      </c>
      <c r="F8268" s="691">
        <v>56.3</v>
      </c>
      <c r="G8268" s="691">
        <v>56.4</v>
      </c>
      <c r="H8268" s="691">
        <v>56.7</v>
      </c>
      <c r="I8268" s="615">
        <v>56</v>
      </c>
      <c r="J8268" s="615">
        <v>55</v>
      </c>
      <c r="K8268" s="691">
        <v>56.2</v>
      </c>
    </row>
    <row r="8269" spans="1:11">
      <c r="A8269" s="688" t="s">
        <v>10</v>
      </c>
      <c r="B8269" s="689">
        <v>61.7</v>
      </c>
      <c r="C8269" s="689">
        <v>61.8</v>
      </c>
      <c r="D8269" s="689">
        <v>61.5</v>
      </c>
      <c r="E8269" s="689">
        <v>62.1</v>
      </c>
      <c r="F8269" s="693">
        <v>62</v>
      </c>
      <c r="G8269" s="689">
        <v>62.3</v>
      </c>
      <c r="H8269" s="689">
        <v>62.5</v>
      </c>
      <c r="I8269" s="689">
        <v>61.2</v>
      </c>
      <c r="J8269" s="689">
        <v>61.7</v>
      </c>
      <c r="K8269" s="693">
        <v>62</v>
      </c>
    </row>
    <row r="8270" spans="1:11">
      <c r="A8270" s="688" t="s">
        <v>30</v>
      </c>
      <c r="B8270" s="691">
        <v>61.5</v>
      </c>
      <c r="C8270" s="691">
        <v>61.7</v>
      </c>
      <c r="D8270" s="691">
        <v>61.3</v>
      </c>
      <c r="E8270" s="691">
        <v>62.1</v>
      </c>
      <c r="F8270" s="691">
        <v>61.7</v>
      </c>
      <c r="G8270" s="691">
        <v>62.6</v>
      </c>
      <c r="H8270" s="691">
        <v>62.1</v>
      </c>
      <c r="I8270" s="691">
        <v>62.2</v>
      </c>
      <c r="J8270" s="691">
        <v>61.1</v>
      </c>
      <c r="K8270" s="691">
        <v>61.8</v>
      </c>
    </row>
    <row r="8271" spans="1:11">
      <c r="A8271" s="688" t="s">
        <v>12</v>
      </c>
      <c r="B8271" s="693">
        <v>51</v>
      </c>
      <c r="C8271" s="689">
        <v>50.7</v>
      </c>
      <c r="D8271" s="689">
        <v>51.3</v>
      </c>
      <c r="E8271" s="689">
        <v>51.3</v>
      </c>
      <c r="F8271" s="689">
        <v>51.4</v>
      </c>
      <c r="G8271" s="689">
        <v>51.6</v>
      </c>
      <c r="H8271" s="689">
        <v>52.4</v>
      </c>
      <c r="I8271" s="689">
        <v>52.1</v>
      </c>
      <c r="J8271" s="689">
        <v>49.7</v>
      </c>
      <c r="K8271" s="689">
        <v>50.9</v>
      </c>
    </row>
    <row r="8272" spans="1:11">
      <c r="A8272" s="688" t="s">
        <v>14</v>
      </c>
      <c r="B8272" s="691">
        <v>50.2</v>
      </c>
      <c r="C8272" s="691">
        <v>50.8</v>
      </c>
      <c r="D8272" s="691">
        <v>50.8</v>
      </c>
      <c r="E8272" s="691">
        <v>51.1</v>
      </c>
      <c r="F8272" s="691">
        <v>52.2</v>
      </c>
      <c r="G8272" s="691">
        <v>52.4</v>
      </c>
      <c r="H8272" s="615">
        <v>53</v>
      </c>
      <c r="I8272" s="691">
        <v>51.7</v>
      </c>
      <c r="J8272" s="691">
        <v>51.1</v>
      </c>
      <c r="K8272" s="691">
        <v>52.8</v>
      </c>
    </row>
    <row r="8273" spans="1:11">
      <c r="A8273" s="688" t="s">
        <v>15</v>
      </c>
      <c r="B8273" s="689">
        <v>61.3</v>
      </c>
      <c r="C8273" s="689">
        <v>60.6</v>
      </c>
      <c r="D8273" s="689">
        <v>61.3</v>
      </c>
      <c r="E8273" s="689">
        <v>61.3</v>
      </c>
      <c r="F8273" s="689">
        <v>61.1</v>
      </c>
      <c r="G8273" s="689">
        <v>61.3</v>
      </c>
      <c r="H8273" s="689">
        <v>61.7</v>
      </c>
      <c r="I8273" s="689">
        <v>61.3</v>
      </c>
      <c r="J8273" s="689">
        <v>61.7</v>
      </c>
      <c r="K8273" s="689">
        <v>62.2</v>
      </c>
    </row>
    <row r="8274" spans="1:11">
      <c r="A8274" s="688" t="s">
        <v>29</v>
      </c>
      <c r="B8274" s="691">
        <v>53.8</v>
      </c>
      <c r="C8274" s="691">
        <v>53.8</v>
      </c>
      <c r="D8274" s="691">
        <v>53.8</v>
      </c>
      <c r="E8274" s="615">
        <v>54</v>
      </c>
      <c r="F8274" s="615">
        <v>54</v>
      </c>
      <c r="G8274" s="615">
        <v>54</v>
      </c>
      <c r="H8274" s="691">
        <v>54.4</v>
      </c>
      <c r="I8274" s="691">
        <v>53.7</v>
      </c>
      <c r="J8274" s="691">
        <v>52.1</v>
      </c>
      <c r="K8274" s="615">
        <v>54</v>
      </c>
    </row>
    <row r="8275" spans="1:11">
      <c r="A8275" s="688" t="s">
        <v>16</v>
      </c>
      <c r="B8275" s="689">
        <v>61.2</v>
      </c>
      <c r="C8275" s="689">
        <v>61.1</v>
      </c>
      <c r="D8275" s="689">
        <v>61.4</v>
      </c>
      <c r="E8275" s="689">
        <v>62.1</v>
      </c>
      <c r="F8275" s="689">
        <v>61.7</v>
      </c>
      <c r="G8275" s="689">
        <v>61.7</v>
      </c>
      <c r="H8275" s="689">
        <v>62.3</v>
      </c>
      <c r="I8275" s="689">
        <v>61.2</v>
      </c>
      <c r="J8275" s="689">
        <v>61.7</v>
      </c>
      <c r="K8275" s="689">
        <v>61.7</v>
      </c>
    </row>
    <row r="8276" spans="1:11">
      <c r="A8276" s="688" t="s">
        <v>17</v>
      </c>
      <c r="B8276" s="615">
        <v>61</v>
      </c>
      <c r="C8276" s="691">
        <v>61.4</v>
      </c>
      <c r="D8276" s="691">
        <v>61.2</v>
      </c>
      <c r="E8276" s="691">
        <v>61.3</v>
      </c>
      <c r="F8276" s="691">
        <v>61.6</v>
      </c>
      <c r="G8276" s="691">
        <v>61.6</v>
      </c>
      <c r="H8276" s="691">
        <v>61.9</v>
      </c>
      <c r="I8276" s="691">
        <v>61.1</v>
      </c>
      <c r="J8276" s="691">
        <v>61.1</v>
      </c>
      <c r="K8276" s="691">
        <v>61.6</v>
      </c>
    </row>
    <row r="8277" spans="1:11">
      <c r="A8277" s="688" t="s">
        <v>19</v>
      </c>
      <c r="B8277" s="689">
        <v>60.1</v>
      </c>
      <c r="C8277" s="689">
        <v>60.4</v>
      </c>
      <c r="D8277" s="689">
        <v>60.1</v>
      </c>
      <c r="E8277" s="689">
        <v>60.6</v>
      </c>
      <c r="F8277" s="689">
        <v>60.7</v>
      </c>
      <c r="G8277" s="689">
        <v>60.7</v>
      </c>
      <c r="H8277" s="693">
        <v>61</v>
      </c>
      <c r="I8277" s="689">
        <v>60.4</v>
      </c>
      <c r="J8277" s="689">
        <v>60.2</v>
      </c>
      <c r="K8277" s="689">
        <v>60.4</v>
      </c>
    </row>
    <row r="8278" spans="1:11">
      <c r="A8278" s="688" t="s">
        <v>20</v>
      </c>
      <c r="B8278" s="691">
        <v>54.6</v>
      </c>
      <c r="C8278" s="691">
        <v>55.1</v>
      </c>
      <c r="D8278" s="615">
        <v>55</v>
      </c>
      <c r="E8278" s="691">
        <v>55.3</v>
      </c>
      <c r="F8278" s="691">
        <v>55.3</v>
      </c>
      <c r="G8278" s="691">
        <v>55.2</v>
      </c>
      <c r="H8278" s="691">
        <v>55.5</v>
      </c>
      <c r="I8278" s="691">
        <v>53.8</v>
      </c>
      <c r="J8278" s="615">
        <v>53</v>
      </c>
      <c r="K8278" s="691">
        <v>54.8</v>
      </c>
    </row>
    <row r="8279" spans="1:11">
      <c r="A8279" s="688" t="s">
        <v>21</v>
      </c>
      <c r="B8279" s="689">
        <v>59.1</v>
      </c>
      <c r="C8279" s="689">
        <v>59.5</v>
      </c>
      <c r="D8279" s="689">
        <v>59.7</v>
      </c>
      <c r="E8279" s="689">
        <v>59.7</v>
      </c>
      <c r="F8279" s="693">
        <v>60</v>
      </c>
      <c r="G8279" s="693">
        <v>60</v>
      </c>
      <c r="H8279" s="689">
        <v>60.4</v>
      </c>
      <c r="I8279" s="689">
        <v>59.7</v>
      </c>
      <c r="J8279" s="689">
        <v>59.8</v>
      </c>
      <c r="K8279" s="689">
        <v>60.2</v>
      </c>
    </row>
    <row r="8280" spans="1:11">
      <c r="A8280" s="688" t="s">
        <v>22</v>
      </c>
      <c r="B8280" s="691">
        <v>53.7</v>
      </c>
      <c r="C8280" s="691">
        <v>53.4</v>
      </c>
      <c r="D8280" s="691">
        <v>53.3</v>
      </c>
      <c r="E8280" s="691">
        <v>53.5</v>
      </c>
      <c r="F8280" s="691">
        <v>53.5</v>
      </c>
      <c r="G8280" s="691">
        <v>53.5</v>
      </c>
      <c r="H8280" s="691">
        <v>53.7</v>
      </c>
      <c r="I8280" s="615">
        <v>52</v>
      </c>
      <c r="J8280" s="691">
        <v>50.9</v>
      </c>
      <c r="K8280" s="615">
        <v>53</v>
      </c>
    </row>
    <row r="8281" spans="1:11">
      <c r="A8281" s="688" t="s">
        <v>26</v>
      </c>
      <c r="B8281" s="689">
        <v>58.6</v>
      </c>
      <c r="C8281" s="689">
        <v>59.3</v>
      </c>
      <c r="D8281" s="693">
        <v>59</v>
      </c>
      <c r="E8281" s="689">
        <v>59.4</v>
      </c>
      <c r="F8281" s="689">
        <v>59.4</v>
      </c>
      <c r="G8281" s="689">
        <v>59.7</v>
      </c>
      <c r="H8281" s="689">
        <v>59.9</v>
      </c>
      <c r="I8281" s="689">
        <v>59.1</v>
      </c>
      <c r="J8281" s="689">
        <v>58.9</v>
      </c>
      <c r="K8281" s="689">
        <v>59.8</v>
      </c>
    </row>
    <row r="8282" spans="1:11">
      <c r="A8282" s="688" t="s">
        <v>25</v>
      </c>
      <c r="B8282" s="691">
        <v>54.6</v>
      </c>
      <c r="C8282" s="615">
        <v>55</v>
      </c>
      <c r="D8282" s="691">
        <v>54.8</v>
      </c>
      <c r="E8282" s="691">
        <v>55.5</v>
      </c>
      <c r="F8282" s="691">
        <v>55.4</v>
      </c>
      <c r="G8282" s="691">
        <v>55.5</v>
      </c>
      <c r="H8282" s="615">
        <v>56</v>
      </c>
      <c r="I8282" s="691">
        <v>55.2</v>
      </c>
      <c r="J8282" s="691">
        <v>52.8</v>
      </c>
      <c r="K8282" s="691">
        <v>55.2</v>
      </c>
    </row>
    <row r="8283" spans="1:11">
      <c r="A8283" s="688" t="s">
        <v>5</v>
      </c>
      <c r="B8283" s="689">
        <v>59.4</v>
      </c>
      <c r="C8283" s="689">
        <v>59.6</v>
      </c>
      <c r="D8283" s="689">
        <v>59.8</v>
      </c>
      <c r="E8283" s="689">
        <v>59.8</v>
      </c>
      <c r="F8283" s="689">
        <v>60.1</v>
      </c>
      <c r="G8283" s="689">
        <v>60.3</v>
      </c>
      <c r="H8283" s="689">
        <v>60.6</v>
      </c>
      <c r="I8283" s="689">
        <v>60.4</v>
      </c>
      <c r="J8283" s="689">
        <v>60.5</v>
      </c>
      <c r="K8283" s="693">
        <v>60</v>
      </c>
    </row>
    <row r="8284" spans="1:11">
      <c r="A8284" s="688" t="s">
        <v>23</v>
      </c>
      <c r="B8284" s="691">
        <v>61.5</v>
      </c>
      <c r="C8284" s="691">
        <v>61.7</v>
      </c>
      <c r="D8284" s="691">
        <v>61.7</v>
      </c>
      <c r="E8284" s="691">
        <v>61.9</v>
      </c>
      <c r="F8284" s="691">
        <v>62.1</v>
      </c>
      <c r="G8284" s="691">
        <v>62.1</v>
      </c>
      <c r="H8284" s="691">
        <v>62.7</v>
      </c>
      <c r="I8284" s="615">
        <v>62</v>
      </c>
      <c r="J8284" s="691">
        <v>62.5</v>
      </c>
      <c r="K8284" s="691">
        <v>62.7</v>
      </c>
    </row>
    <row r="8285" spans="1:11">
      <c r="A8285" s="688" t="s">
        <v>4067</v>
      </c>
      <c r="B8285" s="689">
        <v>59.2</v>
      </c>
      <c r="C8285" s="689">
        <v>59.6</v>
      </c>
      <c r="D8285" s="689">
        <v>59.4</v>
      </c>
      <c r="E8285" s="689">
        <v>59.7</v>
      </c>
      <c r="F8285" s="689">
        <v>59.8</v>
      </c>
      <c r="G8285" s="689">
        <v>59.9</v>
      </c>
      <c r="H8285" s="690" t="s">
        <v>4060</v>
      </c>
      <c r="I8285" s="690" t="s">
        <v>4060</v>
      </c>
      <c r="J8285" s="690" t="s">
        <v>4060</v>
      </c>
      <c r="K8285" s="690" t="s">
        <v>4060</v>
      </c>
    </row>
    <row r="8286" spans="1:11">
      <c r="A8286" s="688" t="s">
        <v>4066</v>
      </c>
      <c r="B8286" s="691">
        <v>59.3</v>
      </c>
      <c r="C8286" s="691">
        <v>59.6</v>
      </c>
      <c r="D8286" s="691">
        <v>59.4</v>
      </c>
      <c r="E8286" s="691">
        <v>59.8</v>
      </c>
      <c r="F8286" s="691">
        <v>59.8</v>
      </c>
      <c r="G8286" s="691">
        <v>59.9</v>
      </c>
      <c r="H8286" s="692" t="s">
        <v>4060</v>
      </c>
      <c r="I8286" s="692" t="s">
        <v>4060</v>
      </c>
      <c r="J8286" s="692" t="s">
        <v>4060</v>
      </c>
      <c r="K8286" s="692" t="s">
        <v>4060</v>
      </c>
    </row>
    <row r="8287" spans="1:11">
      <c r="A8287" s="688" t="s">
        <v>4062</v>
      </c>
      <c r="B8287" s="689">
        <v>61.8</v>
      </c>
      <c r="C8287" s="689">
        <v>62.1</v>
      </c>
      <c r="D8287" s="689">
        <v>62.1</v>
      </c>
      <c r="E8287" s="689">
        <v>62.5</v>
      </c>
      <c r="F8287" s="689">
        <v>62.6</v>
      </c>
      <c r="G8287" s="689">
        <v>62.8</v>
      </c>
      <c r="H8287" s="693">
        <v>63</v>
      </c>
      <c r="I8287" s="689">
        <v>62.6</v>
      </c>
      <c r="J8287" s="693">
        <v>63</v>
      </c>
      <c r="K8287" s="689">
        <v>62.8</v>
      </c>
    </row>
    <row r="8288" spans="1:11">
      <c r="A8288" s="688" t="s">
        <v>9</v>
      </c>
      <c r="B8288" s="691">
        <v>61.8</v>
      </c>
      <c r="C8288" s="691">
        <v>62.4</v>
      </c>
      <c r="D8288" s="691">
        <v>62.6</v>
      </c>
      <c r="E8288" s="691">
        <v>61.7</v>
      </c>
      <c r="F8288" s="691">
        <v>62.1</v>
      </c>
      <c r="G8288" s="691">
        <v>62.5</v>
      </c>
      <c r="H8288" s="691">
        <v>62.7</v>
      </c>
      <c r="I8288" s="691">
        <v>62.9</v>
      </c>
      <c r="J8288" s="691">
        <v>63.1</v>
      </c>
      <c r="K8288" s="691">
        <v>62.1</v>
      </c>
    </row>
    <row r="8289" spans="1:11">
      <c r="A8289" s="688" t="s">
        <v>13</v>
      </c>
      <c r="B8289" s="689">
        <v>61.7</v>
      </c>
      <c r="C8289" s="693">
        <v>62</v>
      </c>
      <c r="D8289" s="689">
        <v>62.6</v>
      </c>
      <c r="E8289" s="689">
        <v>61.6</v>
      </c>
      <c r="F8289" s="689">
        <v>62.3</v>
      </c>
      <c r="G8289" s="689">
        <v>61.4</v>
      </c>
      <c r="H8289" s="689">
        <v>63.4</v>
      </c>
      <c r="I8289" s="689">
        <v>61.8</v>
      </c>
      <c r="J8289" s="689">
        <v>63.1</v>
      </c>
      <c r="K8289" s="689">
        <v>64.099999999999994</v>
      </c>
    </row>
    <row r="8290" spans="1:11">
      <c r="A8290" s="688" t="s">
        <v>18</v>
      </c>
      <c r="B8290" s="691">
        <v>61.1</v>
      </c>
      <c r="C8290" s="691">
        <v>61.4</v>
      </c>
      <c r="D8290" s="691">
        <v>61.7</v>
      </c>
      <c r="E8290" s="691">
        <v>61.9</v>
      </c>
      <c r="F8290" s="691">
        <v>62.3</v>
      </c>
      <c r="G8290" s="691">
        <v>62.3</v>
      </c>
      <c r="H8290" s="691">
        <v>62.6</v>
      </c>
      <c r="I8290" s="691">
        <v>62.8</v>
      </c>
      <c r="J8290" s="691">
        <v>62.9</v>
      </c>
      <c r="K8290" s="691">
        <v>62.3</v>
      </c>
    </row>
    <row r="8291" spans="1:11">
      <c r="A8291" s="688" t="s">
        <v>24</v>
      </c>
      <c r="B8291" s="689">
        <v>62.2</v>
      </c>
      <c r="C8291" s="689">
        <v>62.4</v>
      </c>
      <c r="D8291" s="689">
        <v>62.2</v>
      </c>
      <c r="E8291" s="689">
        <v>62.9</v>
      </c>
      <c r="F8291" s="689">
        <v>62.9</v>
      </c>
      <c r="G8291" s="689">
        <v>63.1</v>
      </c>
      <c r="H8291" s="689">
        <v>63.3</v>
      </c>
      <c r="I8291" s="689">
        <v>62.5</v>
      </c>
      <c r="J8291" s="689">
        <v>63.1</v>
      </c>
      <c r="K8291" s="689">
        <v>63.1</v>
      </c>
    </row>
    <row r="8292" spans="1:11">
      <c r="A8292" s="688" t="s">
        <v>4059</v>
      </c>
      <c r="B8292" s="691">
        <v>60.7</v>
      </c>
      <c r="C8292" s="615">
        <v>61</v>
      </c>
      <c r="D8292" s="691">
        <v>60.8</v>
      </c>
      <c r="E8292" s="691">
        <v>60.9</v>
      </c>
      <c r="F8292" s="615">
        <v>61</v>
      </c>
      <c r="G8292" s="615">
        <v>61</v>
      </c>
      <c r="H8292" s="692" t="s">
        <v>4060</v>
      </c>
      <c r="I8292" s="692" t="s">
        <v>4060</v>
      </c>
      <c r="J8292" s="692" t="s">
        <v>4060</v>
      </c>
      <c r="K8292" s="692" t="s">
        <v>4060</v>
      </c>
    </row>
    <row r="8293" spans="1:11">
      <c r="A8293" s="688" t="s">
        <v>2324</v>
      </c>
      <c r="B8293" s="689">
        <v>55.6</v>
      </c>
      <c r="C8293" s="689">
        <v>55.7</v>
      </c>
      <c r="D8293" s="689">
        <v>55.7</v>
      </c>
      <c r="E8293" s="689">
        <v>55.5</v>
      </c>
      <c r="F8293" s="689">
        <v>55.3</v>
      </c>
      <c r="G8293" s="689">
        <v>55.9</v>
      </c>
      <c r="H8293" s="689">
        <v>55.5</v>
      </c>
      <c r="I8293" s="689">
        <v>54.6</v>
      </c>
      <c r="J8293" s="689">
        <v>52.1</v>
      </c>
      <c r="K8293" s="690" t="s">
        <v>4060</v>
      </c>
    </row>
    <row r="8294" spans="1:11">
      <c r="A8294" s="688" t="s">
        <v>2322</v>
      </c>
      <c r="B8294" s="692" t="s">
        <v>4060</v>
      </c>
      <c r="C8294" s="692" t="s">
        <v>4060</v>
      </c>
      <c r="D8294" s="692" t="s">
        <v>4060</v>
      </c>
      <c r="E8294" s="692" t="s">
        <v>4060</v>
      </c>
      <c r="F8294" s="692" t="s">
        <v>4060</v>
      </c>
      <c r="G8294" s="692" t="s">
        <v>4060</v>
      </c>
      <c r="H8294" s="692" t="s">
        <v>4060</v>
      </c>
      <c r="I8294" s="692" t="s">
        <v>4060</v>
      </c>
      <c r="J8294" s="692" t="s">
        <v>4060</v>
      </c>
      <c r="K8294" s="692" t="s">
        <v>4060</v>
      </c>
    </row>
    <row r="8295" spans="1:11">
      <c r="A8295" s="688" t="s">
        <v>2328</v>
      </c>
      <c r="B8295" s="689">
        <v>55.4</v>
      </c>
      <c r="C8295" s="689">
        <v>55.6</v>
      </c>
      <c r="D8295" s="689">
        <v>55.5</v>
      </c>
      <c r="E8295" s="689">
        <v>55.6</v>
      </c>
      <c r="F8295" s="693">
        <v>56</v>
      </c>
      <c r="G8295" s="689">
        <v>56.3</v>
      </c>
      <c r="H8295" s="689">
        <v>56.4</v>
      </c>
      <c r="I8295" s="689">
        <v>53.8</v>
      </c>
      <c r="J8295" s="689">
        <v>52.7</v>
      </c>
      <c r="K8295" s="690" t="s">
        <v>4060</v>
      </c>
    </row>
    <row r="8296" spans="1:11">
      <c r="A8296" s="688" t="s">
        <v>2496</v>
      </c>
      <c r="B8296" s="692" t="s">
        <v>4060</v>
      </c>
      <c r="C8296" s="691">
        <v>52.1</v>
      </c>
      <c r="D8296" s="691">
        <v>50.8</v>
      </c>
      <c r="E8296" s="691">
        <v>50.4</v>
      </c>
      <c r="F8296" s="691">
        <v>51.3</v>
      </c>
      <c r="G8296" s="691">
        <v>51.7</v>
      </c>
      <c r="H8296" s="691">
        <v>51.8</v>
      </c>
      <c r="I8296" s="692" t="s">
        <v>4060</v>
      </c>
      <c r="J8296" s="692" t="s">
        <v>4060</v>
      </c>
      <c r="K8296" s="691">
        <v>51.2</v>
      </c>
    </row>
    <row r="8297" spans="1:11">
      <c r="A8297" s="688" t="s">
        <v>2269</v>
      </c>
      <c r="B8297" s="689">
        <v>58.2</v>
      </c>
      <c r="C8297" s="689">
        <v>58.4</v>
      </c>
      <c r="D8297" s="689">
        <v>58.3</v>
      </c>
      <c r="E8297" s="689">
        <v>59.1</v>
      </c>
      <c r="F8297" s="689">
        <v>59.1</v>
      </c>
      <c r="G8297" s="689">
        <v>59.4</v>
      </c>
      <c r="H8297" s="689">
        <v>59.7</v>
      </c>
      <c r="I8297" s="689">
        <v>57.3</v>
      </c>
      <c r="J8297" s="689">
        <v>55.5</v>
      </c>
      <c r="K8297" s="689">
        <v>59.3</v>
      </c>
    </row>
    <row r="8298" spans="1:11">
      <c r="A8298" s="688" t="s">
        <v>2349</v>
      </c>
      <c r="B8298" s="691">
        <v>54.4</v>
      </c>
      <c r="C8298" s="691">
        <v>54.5</v>
      </c>
      <c r="D8298" s="691">
        <v>54.4</v>
      </c>
      <c r="E8298" s="691">
        <v>54.9</v>
      </c>
      <c r="F8298" s="691">
        <v>54.8</v>
      </c>
      <c r="G8298" s="691">
        <v>55.1</v>
      </c>
      <c r="H8298" s="615">
        <v>55</v>
      </c>
      <c r="I8298" s="691">
        <v>53.2</v>
      </c>
      <c r="J8298" s="691">
        <v>51.6</v>
      </c>
      <c r="K8298" s="691">
        <v>54.2</v>
      </c>
    </row>
    <row r="8299" spans="1:11">
      <c r="A8299" s="688" t="s">
        <v>2355</v>
      </c>
      <c r="B8299" s="689">
        <v>57.9</v>
      </c>
      <c r="C8299" s="689">
        <v>57.9</v>
      </c>
      <c r="D8299" s="689">
        <v>57.8</v>
      </c>
      <c r="E8299" s="689">
        <v>57.7</v>
      </c>
      <c r="F8299" s="693">
        <v>58</v>
      </c>
      <c r="G8299" s="689">
        <v>58.4</v>
      </c>
      <c r="H8299" s="689">
        <v>58.6</v>
      </c>
      <c r="I8299" s="690" t="s">
        <v>4060</v>
      </c>
      <c r="J8299" s="690" t="s">
        <v>4060</v>
      </c>
      <c r="K8299" s="690" t="s">
        <v>4060</v>
      </c>
    </row>
    <row r="8300" spans="1:11">
      <c r="A8300" s="688" t="s">
        <v>2357</v>
      </c>
      <c r="B8300" s="692" t="s">
        <v>4060</v>
      </c>
      <c r="C8300" s="691">
        <v>48.6</v>
      </c>
      <c r="D8300" s="691">
        <v>49.4</v>
      </c>
      <c r="E8300" s="691">
        <v>49.9</v>
      </c>
      <c r="F8300" s="691">
        <v>50.2</v>
      </c>
      <c r="G8300" s="691">
        <v>49.9</v>
      </c>
      <c r="H8300" s="691">
        <v>50.2</v>
      </c>
      <c r="I8300" s="692" t="s">
        <v>4060</v>
      </c>
      <c r="J8300" s="692" t="s">
        <v>4060</v>
      </c>
      <c r="K8300" s="692" t="s">
        <v>4060</v>
      </c>
    </row>
    <row r="8301" spans="1:11">
      <c r="A8301" s="688" t="s">
        <v>4070</v>
      </c>
      <c r="B8301" s="690" t="s">
        <v>4060</v>
      </c>
      <c r="C8301" s="690" t="s">
        <v>4060</v>
      </c>
      <c r="D8301" s="690" t="s">
        <v>4060</v>
      </c>
      <c r="E8301" s="689">
        <v>57.6</v>
      </c>
      <c r="F8301" s="690" t="s">
        <v>4060</v>
      </c>
      <c r="G8301" s="690" t="s">
        <v>4060</v>
      </c>
      <c r="H8301" s="690" t="s">
        <v>4060</v>
      </c>
      <c r="I8301" s="690" t="s">
        <v>4060</v>
      </c>
      <c r="J8301" s="690" t="s">
        <v>4060</v>
      </c>
      <c r="K8301" s="690" t="s">
        <v>4060</v>
      </c>
    </row>
    <row r="8302" spans="1:11">
      <c r="A8302" s="688" t="s">
        <v>2491</v>
      </c>
      <c r="B8302" s="691">
        <v>48.8</v>
      </c>
      <c r="C8302" s="691">
        <v>49.4</v>
      </c>
      <c r="D8302" s="691">
        <v>50.1</v>
      </c>
      <c r="E8302" s="691">
        <v>50.5</v>
      </c>
      <c r="F8302" s="691">
        <v>50.8</v>
      </c>
      <c r="G8302" s="691">
        <v>50.7</v>
      </c>
      <c r="H8302" s="692" t="s">
        <v>4060</v>
      </c>
      <c r="I8302" s="692" t="s">
        <v>4060</v>
      </c>
      <c r="J8302" s="692" t="s">
        <v>4060</v>
      </c>
      <c r="K8302" s="692" t="s">
        <v>4060</v>
      </c>
    </row>
    <row r="8303" spans="1:11">
      <c r="A8303" s="688" t="s">
        <v>2343</v>
      </c>
      <c r="B8303" s="690" t="s">
        <v>4060</v>
      </c>
      <c r="C8303" s="690" t="s">
        <v>4060</v>
      </c>
      <c r="D8303" s="690" t="s">
        <v>4060</v>
      </c>
      <c r="E8303" s="690" t="s">
        <v>4060</v>
      </c>
      <c r="F8303" s="690" t="s">
        <v>4060</v>
      </c>
      <c r="G8303" s="690" t="s">
        <v>4060</v>
      </c>
      <c r="H8303" s="690" t="s">
        <v>4060</v>
      </c>
      <c r="I8303" s="690" t="s">
        <v>4060</v>
      </c>
      <c r="J8303" s="690" t="s">
        <v>4060</v>
      </c>
      <c r="K8303" s="690" t="s">
        <v>4060</v>
      </c>
    </row>
    <row r="8304" spans="1:11">
      <c r="A8304" s="688" t="s">
        <v>4071</v>
      </c>
      <c r="B8304" s="692" t="s">
        <v>4060</v>
      </c>
      <c r="C8304" s="692" t="s">
        <v>4060</v>
      </c>
      <c r="D8304" s="692" t="s">
        <v>4060</v>
      </c>
      <c r="E8304" s="692" t="s">
        <v>4060</v>
      </c>
      <c r="F8304" s="692" t="s">
        <v>4060</v>
      </c>
      <c r="G8304" s="692" t="s">
        <v>4060</v>
      </c>
      <c r="H8304" s="692" t="s">
        <v>4060</v>
      </c>
      <c r="I8304" s="692" t="s">
        <v>4060</v>
      </c>
      <c r="J8304" s="692" t="s">
        <v>4060</v>
      </c>
      <c r="K8304" s="692" t="s">
        <v>4060</v>
      </c>
    </row>
    <row r="8305" spans="1:11">
      <c r="A8305" s="688" t="s">
        <v>2489</v>
      </c>
      <c r="B8305" s="690" t="s">
        <v>4060</v>
      </c>
      <c r="C8305" s="690" t="s">
        <v>4060</v>
      </c>
      <c r="D8305" s="689">
        <v>53.7</v>
      </c>
      <c r="E8305" s="689">
        <v>53.7</v>
      </c>
      <c r="F8305" s="689">
        <v>54.4</v>
      </c>
      <c r="G8305" s="689">
        <v>55.2</v>
      </c>
      <c r="H8305" s="689">
        <v>54.9</v>
      </c>
      <c r="I8305" s="690" t="s">
        <v>4060</v>
      </c>
      <c r="J8305" s="690" t="s">
        <v>4060</v>
      </c>
      <c r="K8305" s="690" t="s">
        <v>4060</v>
      </c>
    </row>
    <row r="8306" spans="1:11">
      <c r="A8306" s="688" t="s">
        <v>2490</v>
      </c>
      <c r="B8306" s="691">
        <v>54.4</v>
      </c>
      <c r="C8306" s="691">
        <v>54.6</v>
      </c>
      <c r="D8306" s="691">
        <v>55.3</v>
      </c>
      <c r="E8306" s="692" t="s">
        <v>4060</v>
      </c>
      <c r="F8306" s="691">
        <v>55.6</v>
      </c>
      <c r="G8306" s="691">
        <v>55.9</v>
      </c>
      <c r="H8306" s="691">
        <v>56.7</v>
      </c>
      <c r="I8306" s="692" t="s">
        <v>4060</v>
      </c>
      <c r="J8306" s="692" t="s">
        <v>4060</v>
      </c>
      <c r="K8306" s="692" t="s">
        <v>4060</v>
      </c>
    </row>
    <row r="8308" spans="1:11">
      <c r="A8308" s="683" t="s">
        <v>4233</v>
      </c>
    </row>
    <row r="8309" spans="1:11">
      <c r="A8309" s="683" t="s">
        <v>4060</v>
      </c>
      <c r="B8309" s="682" t="s">
        <v>4234</v>
      </c>
    </row>
    <row r="8311" spans="1:11">
      <c r="A8311" s="682" t="s">
        <v>4331</v>
      </c>
    </row>
    <row r="8312" spans="1:11">
      <c r="A8312" s="682" t="s">
        <v>4210</v>
      </c>
      <c r="B8312" s="683" t="s">
        <v>4211</v>
      </c>
    </row>
    <row r="8313" spans="1:11">
      <c r="A8313" s="682" t="s">
        <v>4212</v>
      </c>
      <c r="B8313" s="682" t="s">
        <v>4213</v>
      </c>
    </row>
    <row r="8315" spans="1:11">
      <c r="A8315" s="683" t="s">
        <v>4214</v>
      </c>
      <c r="C8315" s="682" t="s">
        <v>4215</v>
      </c>
    </row>
    <row r="8316" spans="1:11">
      <c r="A8316" s="683" t="s">
        <v>4216</v>
      </c>
      <c r="C8316" s="682" t="s">
        <v>2967</v>
      </c>
    </row>
    <row r="8317" spans="1:11">
      <c r="A8317" s="683" t="s">
        <v>3893</v>
      </c>
      <c r="C8317" s="682" t="s">
        <v>2168</v>
      </c>
    </row>
    <row r="8318" spans="1:11">
      <c r="A8318" s="683" t="s">
        <v>4218</v>
      </c>
      <c r="C8318" s="682" t="s">
        <v>4255</v>
      </c>
    </row>
    <row r="8320" spans="1:11">
      <c r="A8320" s="684" t="s">
        <v>4220</v>
      </c>
      <c r="B8320" s="685" t="s">
        <v>4221</v>
      </c>
      <c r="C8320" s="685" t="s">
        <v>4222</v>
      </c>
      <c r="D8320" s="685" t="s">
        <v>4223</v>
      </c>
      <c r="E8320" s="685" t="s">
        <v>4224</v>
      </c>
      <c r="F8320" s="685" t="s">
        <v>4225</v>
      </c>
      <c r="G8320" s="685" t="s">
        <v>4226</v>
      </c>
      <c r="H8320" s="685" t="s">
        <v>4227</v>
      </c>
      <c r="I8320" s="685" t="s">
        <v>4228</v>
      </c>
      <c r="J8320" s="685" t="s">
        <v>4229</v>
      </c>
      <c r="K8320" s="685" t="s">
        <v>4230</v>
      </c>
    </row>
    <row r="8321" spans="1:11">
      <c r="A8321" s="686" t="s">
        <v>4231</v>
      </c>
      <c r="B8321" s="687" t="s">
        <v>4232</v>
      </c>
      <c r="C8321" s="687" t="s">
        <v>4232</v>
      </c>
      <c r="D8321" s="687" t="s">
        <v>4232</v>
      </c>
      <c r="E8321" s="687" t="s">
        <v>4232</v>
      </c>
      <c r="F8321" s="687" t="s">
        <v>4232</v>
      </c>
      <c r="G8321" s="687" t="s">
        <v>4232</v>
      </c>
      <c r="H8321" s="687" t="s">
        <v>4232</v>
      </c>
      <c r="I8321" s="687" t="s">
        <v>4232</v>
      </c>
      <c r="J8321" s="687" t="s">
        <v>4232</v>
      </c>
      <c r="K8321" s="687" t="s">
        <v>4232</v>
      </c>
    </row>
    <row r="8322" spans="1:11">
      <c r="A8322" s="688" t="s">
        <v>4064</v>
      </c>
      <c r="B8322" s="691">
        <v>58.1</v>
      </c>
      <c r="C8322" s="691">
        <v>58.2</v>
      </c>
      <c r="D8322" s="691">
        <v>58.2</v>
      </c>
      <c r="E8322" s="691">
        <v>58.4</v>
      </c>
      <c r="F8322" s="691">
        <v>58.5</v>
      </c>
      <c r="G8322" s="691">
        <v>58.5</v>
      </c>
      <c r="H8322" s="691">
        <v>58.8</v>
      </c>
      <c r="I8322" s="691">
        <v>57.9</v>
      </c>
      <c r="J8322" s="691">
        <v>57.6</v>
      </c>
      <c r="K8322" s="691">
        <v>58.3</v>
      </c>
    </row>
    <row r="8323" spans="1:11">
      <c r="A8323" s="688" t="s">
        <v>4065</v>
      </c>
      <c r="B8323" s="689">
        <v>58.3</v>
      </c>
      <c r="C8323" s="689">
        <v>58.6</v>
      </c>
      <c r="D8323" s="689">
        <v>58.4</v>
      </c>
      <c r="E8323" s="689">
        <v>58.7</v>
      </c>
      <c r="F8323" s="689">
        <v>58.8</v>
      </c>
      <c r="G8323" s="689">
        <v>58.9</v>
      </c>
      <c r="H8323" s="690" t="s">
        <v>4060</v>
      </c>
      <c r="I8323" s="690" t="s">
        <v>4060</v>
      </c>
      <c r="J8323" s="690" t="s">
        <v>4060</v>
      </c>
      <c r="K8323" s="690" t="s">
        <v>4060</v>
      </c>
    </row>
    <row r="8324" spans="1:11">
      <c r="A8324" s="688" t="s">
        <v>4063</v>
      </c>
      <c r="B8324" s="691">
        <v>58.3</v>
      </c>
      <c r="C8324" s="691">
        <v>58.7</v>
      </c>
      <c r="D8324" s="691">
        <v>58.4</v>
      </c>
      <c r="E8324" s="691">
        <v>58.8</v>
      </c>
      <c r="F8324" s="691">
        <v>58.8</v>
      </c>
      <c r="G8324" s="691">
        <v>58.9</v>
      </c>
      <c r="H8324" s="692" t="s">
        <v>4060</v>
      </c>
      <c r="I8324" s="692" t="s">
        <v>4060</v>
      </c>
      <c r="J8324" s="692" t="s">
        <v>4060</v>
      </c>
      <c r="K8324" s="692" t="s">
        <v>4060</v>
      </c>
    </row>
    <row r="8325" spans="1:11">
      <c r="A8325" s="688" t="s">
        <v>4069</v>
      </c>
      <c r="B8325" s="690" t="s">
        <v>4060</v>
      </c>
      <c r="C8325" s="689">
        <v>59.4</v>
      </c>
      <c r="D8325" s="689">
        <v>59.2</v>
      </c>
      <c r="E8325" s="689">
        <v>59.5</v>
      </c>
      <c r="F8325" s="689">
        <v>59.6</v>
      </c>
      <c r="G8325" s="689">
        <v>59.7</v>
      </c>
      <c r="H8325" s="693">
        <v>60</v>
      </c>
      <c r="I8325" s="689">
        <v>59.3</v>
      </c>
      <c r="J8325" s="689">
        <v>59.3</v>
      </c>
      <c r="K8325" s="689">
        <v>59.5</v>
      </c>
    </row>
    <row r="8326" spans="1:11">
      <c r="A8326" s="688" t="s">
        <v>4068</v>
      </c>
      <c r="B8326" s="691">
        <v>59.3</v>
      </c>
      <c r="C8326" s="692" t="s">
        <v>4060</v>
      </c>
      <c r="D8326" s="692" t="s">
        <v>4060</v>
      </c>
      <c r="E8326" s="692" t="s">
        <v>4060</v>
      </c>
      <c r="F8326" s="692" t="s">
        <v>4060</v>
      </c>
      <c r="G8326" s="692" t="s">
        <v>4060</v>
      </c>
      <c r="H8326" s="692" t="s">
        <v>4060</v>
      </c>
      <c r="I8326" s="692" t="s">
        <v>4060</v>
      </c>
      <c r="J8326" s="692" t="s">
        <v>4060</v>
      </c>
      <c r="K8326" s="692" t="s">
        <v>4060</v>
      </c>
    </row>
    <row r="8327" spans="1:11">
      <c r="A8327" s="688" t="s">
        <v>0</v>
      </c>
      <c r="B8327" s="689">
        <v>58.6</v>
      </c>
      <c r="C8327" s="689">
        <v>59.1</v>
      </c>
      <c r="D8327" s="693">
        <v>59</v>
      </c>
      <c r="E8327" s="689">
        <v>59.3</v>
      </c>
      <c r="F8327" s="689">
        <v>59.5</v>
      </c>
      <c r="G8327" s="689">
        <v>59.7</v>
      </c>
      <c r="H8327" s="689">
        <v>60.1</v>
      </c>
      <c r="I8327" s="693">
        <v>59</v>
      </c>
      <c r="J8327" s="689">
        <v>59.7</v>
      </c>
      <c r="K8327" s="693">
        <v>60</v>
      </c>
    </row>
    <row r="8328" spans="1:11">
      <c r="A8328" s="688" t="s">
        <v>1</v>
      </c>
      <c r="B8328" s="691">
        <v>52.4</v>
      </c>
      <c r="C8328" s="615">
        <v>52</v>
      </c>
      <c r="D8328" s="615">
        <v>52</v>
      </c>
      <c r="E8328" s="691">
        <v>52.1</v>
      </c>
      <c r="F8328" s="691">
        <v>52.1</v>
      </c>
      <c r="G8328" s="691">
        <v>52.1</v>
      </c>
      <c r="H8328" s="691">
        <v>52.1</v>
      </c>
      <c r="I8328" s="691">
        <v>50.3</v>
      </c>
      <c r="J8328" s="691">
        <v>48.5</v>
      </c>
      <c r="K8328" s="691">
        <v>51.2</v>
      </c>
    </row>
    <row r="8329" spans="1:11">
      <c r="A8329" s="688" t="s">
        <v>2240</v>
      </c>
      <c r="B8329" s="689">
        <v>55.7</v>
      </c>
      <c r="C8329" s="689">
        <v>56.2</v>
      </c>
      <c r="D8329" s="689">
        <v>56.1</v>
      </c>
      <c r="E8329" s="689">
        <v>56.5</v>
      </c>
      <c r="F8329" s="689">
        <v>56.5</v>
      </c>
      <c r="G8329" s="689">
        <v>56.5</v>
      </c>
      <c r="H8329" s="689">
        <v>56.8</v>
      </c>
      <c r="I8329" s="689">
        <v>55.7</v>
      </c>
      <c r="J8329" s="689">
        <v>54.5</v>
      </c>
      <c r="K8329" s="689">
        <v>56.5</v>
      </c>
    </row>
    <row r="8330" spans="1:11">
      <c r="A8330" s="688" t="s">
        <v>2</v>
      </c>
      <c r="B8330" s="691">
        <v>58.8</v>
      </c>
      <c r="C8330" s="691">
        <v>59.1</v>
      </c>
      <c r="D8330" s="691">
        <v>59.2</v>
      </c>
      <c r="E8330" s="691">
        <v>59.4</v>
      </c>
      <c r="F8330" s="691">
        <v>59.6</v>
      </c>
      <c r="G8330" s="691">
        <v>59.5</v>
      </c>
      <c r="H8330" s="691">
        <v>59.9</v>
      </c>
      <c r="I8330" s="615">
        <v>60</v>
      </c>
      <c r="J8330" s="615">
        <v>60</v>
      </c>
      <c r="K8330" s="691">
        <v>59.8</v>
      </c>
    </row>
    <row r="8331" spans="1:11">
      <c r="A8331" s="688" t="s">
        <v>3</v>
      </c>
      <c r="B8331" s="689">
        <v>58.6</v>
      </c>
      <c r="C8331" s="689">
        <v>58.9</v>
      </c>
      <c r="D8331" s="689">
        <v>58.6</v>
      </c>
      <c r="E8331" s="689">
        <v>58.9</v>
      </c>
      <c r="F8331" s="693">
        <v>59</v>
      </c>
      <c r="G8331" s="693">
        <v>59</v>
      </c>
      <c r="H8331" s="689">
        <v>59.3</v>
      </c>
      <c r="I8331" s="693">
        <v>59</v>
      </c>
      <c r="J8331" s="689">
        <v>58.7</v>
      </c>
      <c r="K8331" s="689">
        <v>58.6</v>
      </c>
    </row>
    <row r="8332" spans="1:11">
      <c r="A8332" s="688" t="s">
        <v>4061</v>
      </c>
      <c r="B8332" s="691">
        <v>58.6</v>
      </c>
      <c r="C8332" s="691">
        <v>58.9</v>
      </c>
      <c r="D8332" s="691">
        <v>58.6</v>
      </c>
      <c r="E8332" s="691">
        <v>58.9</v>
      </c>
      <c r="F8332" s="615">
        <v>59</v>
      </c>
      <c r="G8332" s="615">
        <v>59</v>
      </c>
      <c r="H8332" s="691">
        <v>59.3</v>
      </c>
      <c r="I8332" s="615">
        <v>59</v>
      </c>
      <c r="J8332" s="691">
        <v>58.7</v>
      </c>
      <c r="K8332" s="691">
        <v>58.6</v>
      </c>
    </row>
    <row r="8333" spans="1:11">
      <c r="A8333" s="688" t="s">
        <v>4</v>
      </c>
      <c r="B8333" s="689">
        <v>53.3</v>
      </c>
      <c r="C8333" s="689">
        <v>52.9</v>
      </c>
      <c r="D8333" s="689">
        <v>53.6</v>
      </c>
      <c r="E8333" s="689">
        <v>53.7</v>
      </c>
      <c r="F8333" s="689">
        <v>54.1</v>
      </c>
      <c r="G8333" s="689">
        <v>54.3</v>
      </c>
      <c r="H8333" s="689">
        <v>54.8</v>
      </c>
      <c r="I8333" s="689">
        <v>54.7</v>
      </c>
      <c r="J8333" s="689">
        <v>53.2</v>
      </c>
      <c r="K8333" s="693">
        <v>54</v>
      </c>
    </row>
    <row r="8334" spans="1:11">
      <c r="A8334" s="688" t="s">
        <v>8</v>
      </c>
      <c r="B8334" s="691">
        <v>59.5</v>
      </c>
      <c r="C8334" s="691">
        <v>59.7</v>
      </c>
      <c r="D8334" s="615">
        <v>60</v>
      </c>
      <c r="E8334" s="691">
        <v>60.1</v>
      </c>
      <c r="F8334" s="691">
        <v>60.6</v>
      </c>
      <c r="G8334" s="691">
        <v>60.6</v>
      </c>
      <c r="H8334" s="615">
        <v>61</v>
      </c>
      <c r="I8334" s="691">
        <v>60.9</v>
      </c>
      <c r="J8334" s="691">
        <v>60.7</v>
      </c>
      <c r="K8334" s="691">
        <v>61.1</v>
      </c>
    </row>
    <row r="8335" spans="1:11">
      <c r="A8335" s="688" t="s">
        <v>7</v>
      </c>
      <c r="B8335" s="689">
        <v>59.2</v>
      </c>
      <c r="C8335" s="689">
        <v>58.8</v>
      </c>
      <c r="D8335" s="689">
        <v>58.5</v>
      </c>
      <c r="E8335" s="689">
        <v>58.9</v>
      </c>
      <c r="F8335" s="689">
        <v>58.8</v>
      </c>
      <c r="G8335" s="689">
        <v>59.3</v>
      </c>
      <c r="H8335" s="689">
        <v>59.2</v>
      </c>
      <c r="I8335" s="689">
        <v>58.9</v>
      </c>
      <c r="J8335" s="689">
        <v>57.8</v>
      </c>
      <c r="K8335" s="689">
        <v>58.7</v>
      </c>
    </row>
    <row r="8336" spans="1:11">
      <c r="A8336" s="688" t="s">
        <v>27</v>
      </c>
      <c r="B8336" s="691">
        <v>60.6</v>
      </c>
      <c r="C8336" s="691">
        <v>60.5</v>
      </c>
      <c r="D8336" s="691">
        <v>60.3</v>
      </c>
      <c r="E8336" s="691">
        <v>60.7</v>
      </c>
      <c r="F8336" s="691">
        <v>60.7</v>
      </c>
      <c r="G8336" s="691">
        <v>60.8</v>
      </c>
      <c r="H8336" s="691">
        <v>61.2</v>
      </c>
      <c r="I8336" s="691">
        <v>59.9</v>
      </c>
      <c r="J8336" s="691">
        <v>60.6</v>
      </c>
      <c r="K8336" s="691">
        <v>60.8</v>
      </c>
    </row>
    <row r="8337" spans="1:11">
      <c r="A8337" s="688" t="s">
        <v>6</v>
      </c>
      <c r="B8337" s="689">
        <v>59.5</v>
      </c>
      <c r="C8337" s="689">
        <v>59.8</v>
      </c>
      <c r="D8337" s="689">
        <v>59.6</v>
      </c>
      <c r="E8337" s="689">
        <v>59.8</v>
      </c>
      <c r="F8337" s="693">
        <v>60</v>
      </c>
      <c r="G8337" s="689">
        <v>60.1</v>
      </c>
      <c r="H8337" s="689">
        <v>60.3</v>
      </c>
      <c r="I8337" s="689">
        <v>59.6</v>
      </c>
      <c r="J8337" s="689">
        <v>59.7</v>
      </c>
      <c r="K8337" s="689">
        <v>59.9</v>
      </c>
    </row>
    <row r="8338" spans="1:11">
      <c r="A8338" s="688" t="s">
        <v>4058</v>
      </c>
      <c r="B8338" s="692" t="s">
        <v>4060</v>
      </c>
      <c r="C8338" s="692" t="s">
        <v>4060</v>
      </c>
      <c r="D8338" s="692" t="s">
        <v>4060</v>
      </c>
      <c r="E8338" s="692" t="s">
        <v>4060</v>
      </c>
      <c r="F8338" s="692" t="s">
        <v>4060</v>
      </c>
      <c r="G8338" s="692" t="s">
        <v>4060</v>
      </c>
      <c r="H8338" s="692" t="s">
        <v>4060</v>
      </c>
      <c r="I8338" s="692" t="s">
        <v>4060</v>
      </c>
      <c r="J8338" s="692" t="s">
        <v>4060</v>
      </c>
      <c r="K8338" s="692" t="s">
        <v>4060</v>
      </c>
    </row>
    <row r="8339" spans="1:11">
      <c r="A8339" s="688" t="s">
        <v>11</v>
      </c>
      <c r="B8339" s="689">
        <v>55.1</v>
      </c>
      <c r="C8339" s="689">
        <v>55.3</v>
      </c>
      <c r="D8339" s="689">
        <v>54.8</v>
      </c>
      <c r="E8339" s="689">
        <v>55.4</v>
      </c>
      <c r="F8339" s="689">
        <v>55.4</v>
      </c>
      <c r="G8339" s="689">
        <v>55.4</v>
      </c>
      <c r="H8339" s="689">
        <v>55.8</v>
      </c>
      <c r="I8339" s="689">
        <v>55.1</v>
      </c>
      <c r="J8339" s="693">
        <v>54</v>
      </c>
      <c r="K8339" s="689">
        <v>55.2</v>
      </c>
    </row>
    <row r="8340" spans="1:11">
      <c r="A8340" s="688" t="s">
        <v>10</v>
      </c>
      <c r="B8340" s="691">
        <v>60.7</v>
      </c>
      <c r="C8340" s="691">
        <v>60.8</v>
      </c>
      <c r="D8340" s="691">
        <v>60.6</v>
      </c>
      <c r="E8340" s="691">
        <v>61.1</v>
      </c>
      <c r="F8340" s="615">
        <v>61</v>
      </c>
      <c r="G8340" s="691">
        <v>61.3</v>
      </c>
      <c r="H8340" s="691">
        <v>61.6</v>
      </c>
      <c r="I8340" s="691">
        <v>60.3</v>
      </c>
      <c r="J8340" s="691">
        <v>60.7</v>
      </c>
      <c r="K8340" s="615">
        <v>61</v>
      </c>
    </row>
    <row r="8341" spans="1:11">
      <c r="A8341" s="688" t="s">
        <v>30</v>
      </c>
      <c r="B8341" s="689">
        <v>60.5</v>
      </c>
      <c r="C8341" s="689">
        <v>60.7</v>
      </c>
      <c r="D8341" s="689">
        <v>60.4</v>
      </c>
      <c r="E8341" s="689">
        <v>61.1</v>
      </c>
      <c r="F8341" s="689">
        <v>60.7</v>
      </c>
      <c r="G8341" s="689">
        <v>61.6</v>
      </c>
      <c r="H8341" s="689">
        <v>61.1</v>
      </c>
      <c r="I8341" s="689">
        <v>61.2</v>
      </c>
      <c r="J8341" s="689">
        <v>60.2</v>
      </c>
      <c r="K8341" s="689">
        <v>60.8</v>
      </c>
    </row>
    <row r="8342" spans="1:11">
      <c r="A8342" s="688" t="s">
        <v>12</v>
      </c>
      <c r="B8342" s="691">
        <v>50.1</v>
      </c>
      <c r="C8342" s="691">
        <v>49.8</v>
      </c>
      <c r="D8342" s="691">
        <v>50.4</v>
      </c>
      <c r="E8342" s="691">
        <v>50.3</v>
      </c>
      <c r="F8342" s="691">
        <v>50.5</v>
      </c>
      <c r="G8342" s="691">
        <v>50.6</v>
      </c>
      <c r="H8342" s="691">
        <v>51.4</v>
      </c>
      <c r="I8342" s="691">
        <v>51.2</v>
      </c>
      <c r="J8342" s="691">
        <v>48.7</v>
      </c>
      <c r="K8342" s="691">
        <v>49.9</v>
      </c>
    </row>
    <row r="8343" spans="1:11">
      <c r="A8343" s="688" t="s">
        <v>14</v>
      </c>
      <c r="B8343" s="689">
        <v>49.2</v>
      </c>
      <c r="C8343" s="689">
        <v>49.8</v>
      </c>
      <c r="D8343" s="689">
        <v>49.9</v>
      </c>
      <c r="E8343" s="689">
        <v>50.1</v>
      </c>
      <c r="F8343" s="689">
        <v>51.3</v>
      </c>
      <c r="G8343" s="689">
        <v>51.5</v>
      </c>
      <c r="H8343" s="693">
        <v>52</v>
      </c>
      <c r="I8343" s="689">
        <v>50.7</v>
      </c>
      <c r="J8343" s="689">
        <v>50.1</v>
      </c>
      <c r="K8343" s="689">
        <v>51.8</v>
      </c>
    </row>
    <row r="8344" spans="1:11">
      <c r="A8344" s="688" t="s">
        <v>15</v>
      </c>
      <c r="B8344" s="691">
        <v>60.3</v>
      </c>
      <c r="C8344" s="691">
        <v>59.6</v>
      </c>
      <c r="D8344" s="691">
        <v>60.4</v>
      </c>
      <c r="E8344" s="691">
        <v>60.4</v>
      </c>
      <c r="F8344" s="691">
        <v>60.2</v>
      </c>
      <c r="G8344" s="691">
        <v>60.3</v>
      </c>
      <c r="H8344" s="691">
        <v>60.7</v>
      </c>
      <c r="I8344" s="691">
        <v>60.3</v>
      </c>
      <c r="J8344" s="691">
        <v>60.7</v>
      </c>
      <c r="K8344" s="691">
        <v>61.2</v>
      </c>
    </row>
    <row r="8345" spans="1:11">
      <c r="A8345" s="688" t="s">
        <v>29</v>
      </c>
      <c r="B8345" s="689">
        <v>52.8</v>
      </c>
      <c r="C8345" s="689">
        <v>52.9</v>
      </c>
      <c r="D8345" s="689">
        <v>52.8</v>
      </c>
      <c r="E8345" s="689">
        <v>53.1</v>
      </c>
      <c r="F8345" s="693">
        <v>53</v>
      </c>
      <c r="G8345" s="689">
        <v>53.1</v>
      </c>
      <c r="H8345" s="689">
        <v>53.5</v>
      </c>
      <c r="I8345" s="689">
        <v>52.7</v>
      </c>
      <c r="J8345" s="689">
        <v>51.2</v>
      </c>
      <c r="K8345" s="689">
        <v>53.1</v>
      </c>
    </row>
    <row r="8346" spans="1:11">
      <c r="A8346" s="688" t="s">
        <v>16</v>
      </c>
      <c r="B8346" s="691">
        <v>60.2</v>
      </c>
      <c r="C8346" s="691">
        <v>60.2</v>
      </c>
      <c r="D8346" s="691">
        <v>60.4</v>
      </c>
      <c r="E8346" s="691">
        <v>61.1</v>
      </c>
      <c r="F8346" s="691">
        <v>60.7</v>
      </c>
      <c r="G8346" s="691">
        <v>60.7</v>
      </c>
      <c r="H8346" s="691">
        <v>61.4</v>
      </c>
      <c r="I8346" s="691">
        <v>60.3</v>
      </c>
      <c r="J8346" s="691">
        <v>60.7</v>
      </c>
      <c r="K8346" s="691">
        <v>60.7</v>
      </c>
    </row>
    <row r="8347" spans="1:11">
      <c r="A8347" s="688" t="s">
        <v>17</v>
      </c>
      <c r="B8347" s="689">
        <v>60.1</v>
      </c>
      <c r="C8347" s="689">
        <v>60.4</v>
      </c>
      <c r="D8347" s="689">
        <v>60.2</v>
      </c>
      <c r="E8347" s="689">
        <v>60.3</v>
      </c>
      <c r="F8347" s="689">
        <v>60.6</v>
      </c>
      <c r="G8347" s="689">
        <v>60.6</v>
      </c>
      <c r="H8347" s="689">
        <v>60.9</v>
      </c>
      <c r="I8347" s="689">
        <v>60.2</v>
      </c>
      <c r="J8347" s="689">
        <v>60.1</v>
      </c>
      <c r="K8347" s="689">
        <v>60.6</v>
      </c>
    </row>
    <row r="8348" spans="1:11">
      <c r="A8348" s="688" t="s">
        <v>19</v>
      </c>
      <c r="B8348" s="691">
        <v>59.2</v>
      </c>
      <c r="C8348" s="691">
        <v>59.4</v>
      </c>
      <c r="D8348" s="691">
        <v>59.1</v>
      </c>
      <c r="E8348" s="691">
        <v>59.6</v>
      </c>
      <c r="F8348" s="691">
        <v>59.8</v>
      </c>
      <c r="G8348" s="691">
        <v>59.8</v>
      </c>
      <c r="H8348" s="691">
        <v>60.1</v>
      </c>
      <c r="I8348" s="691">
        <v>59.4</v>
      </c>
      <c r="J8348" s="691">
        <v>59.2</v>
      </c>
      <c r="K8348" s="691">
        <v>59.5</v>
      </c>
    </row>
    <row r="8349" spans="1:11">
      <c r="A8349" s="688" t="s">
        <v>20</v>
      </c>
      <c r="B8349" s="689">
        <v>53.7</v>
      </c>
      <c r="C8349" s="689">
        <v>54.2</v>
      </c>
      <c r="D8349" s="693">
        <v>54</v>
      </c>
      <c r="E8349" s="689">
        <v>54.4</v>
      </c>
      <c r="F8349" s="689">
        <v>54.4</v>
      </c>
      <c r="G8349" s="689">
        <v>54.2</v>
      </c>
      <c r="H8349" s="689">
        <v>54.5</v>
      </c>
      <c r="I8349" s="689">
        <v>52.9</v>
      </c>
      <c r="J8349" s="693">
        <v>52</v>
      </c>
      <c r="K8349" s="689">
        <v>53.8</v>
      </c>
    </row>
    <row r="8350" spans="1:11">
      <c r="A8350" s="688" t="s">
        <v>21</v>
      </c>
      <c r="B8350" s="691">
        <v>58.1</v>
      </c>
      <c r="C8350" s="691">
        <v>58.6</v>
      </c>
      <c r="D8350" s="691">
        <v>58.7</v>
      </c>
      <c r="E8350" s="691">
        <v>58.7</v>
      </c>
      <c r="F8350" s="615">
        <v>59</v>
      </c>
      <c r="G8350" s="615">
        <v>59</v>
      </c>
      <c r="H8350" s="691">
        <v>59.4</v>
      </c>
      <c r="I8350" s="691">
        <v>58.8</v>
      </c>
      <c r="J8350" s="691">
        <v>58.8</v>
      </c>
      <c r="K8350" s="691">
        <v>59.3</v>
      </c>
    </row>
    <row r="8351" spans="1:11">
      <c r="A8351" s="688" t="s">
        <v>22</v>
      </c>
      <c r="B8351" s="689">
        <v>52.8</v>
      </c>
      <c r="C8351" s="689">
        <v>52.4</v>
      </c>
      <c r="D8351" s="689">
        <v>52.4</v>
      </c>
      <c r="E8351" s="689">
        <v>52.5</v>
      </c>
      <c r="F8351" s="689">
        <v>52.6</v>
      </c>
      <c r="G8351" s="689">
        <v>52.5</v>
      </c>
      <c r="H8351" s="689">
        <v>52.7</v>
      </c>
      <c r="I8351" s="693">
        <v>51</v>
      </c>
      <c r="J8351" s="689">
        <v>49.9</v>
      </c>
      <c r="K8351" s="689">
        <v>52.1</v>
      </c>
    </row>
    <row r="8352" spans="1:11">
      <c r="A8352" s="688" t="s">
        <v>26</v>
      </c>
      <c r="B8352" s="691">
        <v>57.6</v>
      </c>
      <c r="C8352" s="691">
        <v>58.3</v>
      </c>
      <c r="D8352" s="615">
        <v>58</v>
      </c>
      <c r="E8352" s="691">
        <v>58.4</v>
      </c>
      <c r="F8352" s="691">
        <v>58.4</v>
      </c>
      <c r="G8352" s="691">
        <v>58.7</v>
      </c>
      <c r="H8352" s="691">
        <v>58.9</v>
      </c>
      <c r="I8352" s="691">
        <v>58.1</v>
      </c>
      <c r="J8352" s="615">
        <v>58</v>
      </c>
      <c r="K8352" s="691">
        <v>58.9</v>
      </c>
    </row>
    <row r="8353" spans="1:11">
      <c r="A8353" s="688" t="s">
        <v>25</v>
      </c>
      <c r="B8353" s="689">
        <v>53.7</v>
      </c>
      <c r="C8353" s="693">
        <v>54</v>
      </c>
      <c r="D8353" s="689">
        <v>53.9</v>
      </c>
      <c r="E8353" s="689">
        <v>54.5</v>
      </c>
      <c r="F8353" s="689">
        <v>54.5</v>
      </c>
      <c r="G8353" s="689">
        <v>54.6</v>
      </c>
      <c r="H8353" s="693">
        <v>55</v>
      </c>
      <c r="I8353" s="689">
        <v>54.3</v>
      </c>
      <c r="J8353" s="689">
        <v>51.9</v>
      </c>
      <c r="K8353" s="689">
        <v>54.3</v>
      </c>
    </row>
    <row r="8354" spans="1:11">
      <c r="A8354" s="688" t="s">
        <v>5</v>
      </c>
      <c r="B8354" s="691">
        <v>58.4</v>
      </c>
      <c r="C8354" s="691">
        <v>58.6</v>
      </c>
      <c r="D8354" s="691">
        <v>58.9</v>
      </c>
      <c r="E8354" s="691">
        <v>58.8</v>
      </c>
      <c r="F8354" s="691">
        <v>59.1</v>
      </c>
      <c r="G8354" s="691">
        <v>59.3</v>
      </c>
      <c r="H8354" s="691">
        <v>59.6</v>
      </c>
      <c r="I8354" s="691">
        <v>59.5</v>
      </c>
      <c r="J8354" s="691">
        <v>59.5</v>
      </c>
      <c r="K8354" s="615">
        <v>59</v>
      </c>
    </row>
    <row r="8355" spans="1:11">
      <c r="A8355" s="688" t="s">
        <v>23</v>
      </c>
      <c r="B8355" s="689">
        <v>60.6</v>
      </c>
      <c r="C8355" s="689">
        <v>60.7</v>
      </c>
      <c r="D8355" s="689">
        <v>60.7</v>
      </c>
      <c r="E8355" s="689">
        <v>60.9</v>
      </c>
      <c r="F8355" s="689">
        <v>61.1</v>
      </c>
      <c r="G8355" s="689">
        <v>61.2</v>
      </c>
      <c r="H8355" s="689">
        <v>61.7</v>
      </c>
      <c r="I8355" s="693">
        <v>61</v>
      </c>
      <c r="J8355" s="689">
        <v>61.6</v>
      </c>
      <c r="K8355" s="689">
        <v>61.7</v>
      </c>
    </row>
    <row r="8356" spans="1:11">
      <c r="A8356" s="688" t="s">
        <v>4067</v>
      </c>
      <c r="B8356" s="691">
        <v>58.3</v>
      </c>
      <c r="C8356" s="691">
        <v>58.6</v>
      </c>
      <c r="D8356" s="691">
        <v>58.4</v>
      </c>
      <c r="E8356" s="691">
        <v>58.8</v>
      </c>
      <c r="F8356" s="691">
        <v>58.8</v>
      </c>
      <c r="G8356" s="691">
        <v>58.9</v>
      </c>
      <c r="H8356" s="692" t="s">
        <v>4060</v>
      </c>
      <c r="I8356" s="692" t="s">
        <v>4060</v>
      </c>
      <c r="J8356" s="692" t="s">
        <v>4060</v>
      </c>
      <c r="K8356" s="692" t="s">
        <v>4060</v>
      </c>
    </row>
    <row r="8357" spans="1:11">
      <c r="A8357" s="688" t="s">
        <v>4066</v>
      </c>
      <c r="B8357" s="689">
        <v>58.3</v>
      </c>
      <c r="C8357" s="689">
        <v>58.7</v>
      </c>
      <c r="D8357" s="689">
        <v>58.5</v>
      </c>
      <c r="E8357" s="689">
        <v>58.8</v>
      </c>
      <c r="F8357" s="689">
        <v>58.8</v>
      </c>
      <c r="G8357" s="689">
        <v>58.9</v>
      </c>
      <c r="H8357" s="690" t="s">
        <v>4060</v>
      </c>
      <c r="I8357" s="690" t="s">
        <v>4060</v>
      </c>
      <c r="J8357" s="690" t="s">
        <v>4060</v>
      </c>
      <c r="K8357" s="690" t="s">
        <v>4060</v>
      </c>
    </row>
    <row r="8358" spans="1:11">
      <c r="A8358" s="688" t="s">
        <v>4062</v>
      </c>
      <c r="B8358" s="691">
        <v>60.8</v>
      </c>
      <c r="C8358" s="691">
        <v>61.1</v>
      </c>
      <c r="D8358" s="691">
        <v>61.1</v>
      </c>
      <c r="E8358" s="691">
        <v>61.5</v>
      </c>
      <c r="F8358" s="691">
        <v>61.6</v>
      </c>
      <c r="G8358" s="691">
        <v>61.8</v>
      </c>
      <c r="H8358" s="691">
        <v>62.1</v>
      </c>
      <c r="I8358" s="691">
        <v>61.6</v>
      </c>
      <c r="J8358" s="615">
        <v>62</v>
      </c>
      <c r="K8358" s="691">
        <v>61.8</v>
      </c>
    </row>
    <row r="8359" spans="1:11">
      <c r="A8359" s="688" t="s">
        <v>9</v>
      </c>
      <c r="B8359" s="689">
        <v>60.8</v>
      </c>
      <c r="C8359" s="689">
        <v>61.4</v>
      </c>
      <c r="D8359" s="689">
        <v>61.6</v>
      </c>
      <c r="E8359" s="689">
        <v>60.8</v>
      </c>
      <c r="F8359" s="689">
        <v>61.1</v>
      </c>
      <c r="G8359" s="689">
        <v>61.6</v>
      </c>
      <c r="H8359" s="689">
        <v>61.7</v>
      </c>
      <c r="I8359" s="689">
        <v>61.9</v>
      </c>
      <c r="J8359" s="689">
        <v>62.2</v>
      </c>
      <c r="K8359" s="689">
        <v>61.1</v>
      </c>
    </row>
    <row r="8360" spans="1:11">
      <c r="A8360" s="688" t="s">
        <v>13</v>
      </c>
      <c r="B8360" s="615">
        <v>61</v>
      </c>
      <c r="C8360" s="615">
        <v>61</v>
      </c>
      <c r="D8360" s="691">
        <v>61.6</v>
      </c>
      <c r="E8360" s="691">
        <v>60.6</v>
      </c>
      <c r="F8360" s="691">
        <v>61.3</v>
      </c>
      <c r="G8360" s="691">
        <v>60.4</v>
      </c>
      <c r="H8360" s="691">
        <v>62.4</v>
      </c>
      <c r="I8360" s="691">
        <v>61.1</v>
      </c>
      <c r="J8360" s="691">
        <v>62.1</v>
      </c>
      <c r="K8360" s="691">
        <v>63.1</v>
      </c>
    </row>
    <row r="8361" spans="1:11">
      <c r="A8361" s="688" t="s">
        <v>18</v>
      </c>
      <c r="B8361" s="689">
        <v>60.2</v>
      </c>
      <c r="C8361" s="689">
        <v>60.4</v>
      </c>
      <c r="D8361" s="689">
        <v>60.7</v>
      </c>
      <c r="E8361" s="693">
        <v>61</v>
      </c>
      <c r="F8361" s="689">
        <v>61.3</v>
      </c>
      <c r="G8361" s="689">
        <v>61.4</v>
      </c>
      <c r="H8361" s="689">
        <v>61.6</v>
      </c>
      <c r="I8361" s="689">
        <v>61.9</v>
      </c>
      <c r="J8361" s="689">
        <v>61.9</v>
      </c>
      <c r="K8361" s="689">
        <v>61.3</v>
      </c>
    </row>
    <row r="8362" spans="1:11">
      <c r="A8362" s="688" t="s">
        <v>24</v>
      </c>
      <c r="B8362" s="691">
        <v>61.2</v>
      </c>
      <c r="C8362" s="691">
        <v>61.5</v>
      </c>
      <c r="D8362" s="691">
        <v>61.3</v>
      </c>
      <c r="E8362" s="691">
        <v>61.9</v>
      </c>
      <c r="F8362" s="691">
        <v>61.9</v>
      </c>
      <c r="G8362" s="691">
        <v>62.1</v>
      </c>
      <c r="H8362" s="691">
        <v>62.4</v>
      </c>
      <c r="I8362" s="691">
        <v>61.5</v>
      </c>
      <c r="J8362" s="691">
        <v>62.1</v>
      </c>
      <c r="K8362" s="691">
        <v>62.1</v>
      </c>
    </row>
    <row r="8363" spans="1:11">
      <c r="A8363" s="688" t="s">
        <v>4059</v>
      </c>
      <c r="B8363" s="689">
        <v>59.8</v>
      </c>
      <c r="C8363" s="693">
        <v>60</v>
      </c>
      <c r="D8363" s="689">
        <v>59.8</v>
      </c>
      <c r="E8363" s="689">
        <v>59.9</v>
      </c>
      <c r="F8363" s="693">
        <v>60</v>
      </c>
      <c r="G8363" s="693">
        <v>60</v>
      </c>
      <c r="H8363" s="690" t="s">
        <v>4060</v>
      </c>
      <c r="I8363" s="690" t="s">
        <v>4060</v>
      </c>
      <c r="J8363" s="690" t="s">
        <v>4060</v>
      </c>
      <c r="K8363" s="690" t="s">
        <v>4060</v>
      </c>
    </row>
    <row r="8364" spans="1:11">
      <c r="A8364" s="688" t="s">
        <v>2324</v>
      </c>
      <c r="B8364" s="691">
        <v>54.7</v>
      </c>
      <c r="C8364" s="691">
        <v>54.7</v>
      </c>
      <c r="D8364" s="691">
        <v>54.7</v>
      </c>
      <c r="E8364" s="691">
        <v>54.5</v>
      </c>
      <c r="F8364" s="691">
        <v>54.3</v>
      </c>
      <c r="G8364" s="691">
        <v>54.9</v>
      </c>
      <c r="H8364" s="691">
        <v>54.5</v>
      </c>
      <c r="I8364" s="691">
        <v>53.6</v>
      </c>
      <c r="J8364" s="691">
        <v>51.1</v>
      </c>
      <c r="K8364" s="692" t="s">
        <v>4060</v>
      </c>
    </row>
    <row r="8365" spans="1:11">
      <c r="A8365" s="688" t="s">
        <v>2322</v>
      </c>
      <c r="B8365" s="690" t="s">
        <v>4060</v>
      </c>
      <c r="C8365" s="690" t="s">
        <v>4060</v>
      </c>
      <c r="D8365" s="690" t="s">
        <v>4060</v>
      </c>
      <c r="E8365" s="690" t="s">
        <v>4060</v>
      </c>
      <c r="F8365" s="690" t="s">
        <v>4060</v>
      </c>
      <c r="G8365" s="690" t="s">
        <v>4060</v>
      </c>
      <c r="H8365" s="690" t="s">
        <v>4060</v>
      </c>
      <c r="I8365" s="690" t="s">
        <v>4060</v>
      </c>
      <c r="J8365" s="690" t="s">
        <v>4060</v>
      </c>
      <c r="K8365" s="690" t="s">
        <v>4060</v>
      </c>
    </row>
    <row r="8366" spans="1:11">
      <c r="A8366" s="688" t="s">
        <v>2328</v>
      </c>
      <c r="B8366" s="691">
        <v>54.5</v>
      </c>
      <c r="C8366" s="691">
        <v>54.6</v>
      </c>
      <c r="D8366" s="691">
        <v>54.6</v>
      </c>
      <c r="E8366" s="691">
        <v>54.6</v>
      </c>
      <c r="F8366" s="691">
        <v>55.1</v>
      </c>
      <c r="G8366" s="691">
        <v>55.4</v>
      </c>
      <c r="H8366" s="691">
        <v>55.4</v>
      </c>
      <c r="I8366" s="691">
        <v>52.8</v>
      </c>
      <c r="J8366" s="691">
        <v>51.7</v>
      </c>
      <c r="K8366" s="692" t="s">
        <v>4060</v>
      </c>
    </row>
    <row r="8367" spans="1:11">
      <c r="A8367" s="688" t="s">
        <v>2496</v>
      </c>
      <c r="B8367" s="690" t="s">
        <v>4060</v>
      </c>
      <c r="C8367" s="689">
        <v>51.1</v>
      </c>
      <c r="D8367" s="689">
        <v>49.9</v>
      </c>
      <c r="E8367" s="689">
        <v>49.5</v>
      </c>
      <c r="F8367" s="689">
        <v>50.4</v>
      </c>
      <c r="G8367" s="689">
        <v>50.7</v>
      </c>
      <c r="H8367" s="689">
        <v>50.8</v>
      </c>
      <c r="I8367" s="690" t="s">
        <v>4060</v>
      </c>
      <c r="J8367" s="690" t="s">
        <v>4060</v>
      </c>
      <c r="K8367" s="689">
        <v>50.2</v>
      </c>
    </row>
    <row r="8368" spans="1:11">
      <c r="A8368" s="688" t="s">
        <v>2269</v>
      </c>
      <c r="B8368" s="691">
        <v>57.2</v>
      </c>
      <c r="C8368" s="691">
        <v>57.4</v>
      </c>
      <c r="D8368" s="691">
        <v>57.3</v>
      </c>
      <c r="E8368" s="691">
        <v>58.1</v>
      </c>
      <c r="F8368" s="691">
        <v>58.1</v>
      </c>
      <c r="G8368" s="691">
        <v>58.4</v>
      </c>
      <c r="H8368" s="691">
        <v>58.8</v>
      </c>
      <c r="I8368" s="691">
        <v>56.3</v>
      </c>
      <c r="J8368" s="691">
        <v>54.5</v>
      </c>
      <c r="K8368" s="691">
        <v>58.3</v>
      </c>
    </row>
    <row r="8369" spans="1:11">
      <c r="A8369" s="688" t="s">
        <v>2349</v>
      </c>
      <c r="B8369" s="689">
        <v>53.4</v>
      </c>
      <c r="C8369" s="689">
        <v>53.6</v>
      </c>
      <c r="D8369" s="689">
        <v>53.5</v>
      </c>
      <c r="E8369" s="689">
        <v>53.9</v>
      </c>
      <c r="F8369" s="689">
        <v>53.8</v>
      </c>
      <c r="G8369" s="689">
        <v>54.1</v>
      </c>
      <c r="H8369" s="689">
        <v>54.1</v>
      </c>
      <c r="I8369" s="689">
        <v>52.2</v>
      </c>
      <c r="J8369" s="689">
        <v>50.6</v>
      </c>
      <c r="K8369" s="689">
        <v>53.3</v>
      </c>
    </row>
    <row r="8370" spans="1:11">
      <c r="A8370" s="688" t="s">
        <v>2355</v>
      </c>
      <c r="B8370" s="691">
        <v>56.9</v>
      </c>
      <c r="C8370" s="691">
        <v>56.9</v>
      </c>
      <c r="D8370" s="691">
        <v>56.8</v>
      </c>
      <c r="E8370" s="691">
        <v>56.7</v>
      </c>
      <c r="F8370" s="615">
        <v>57</v>
      </c>
      <c r="G8370" s="691">
        <v>57.5</v>
      </c>
      <c r="H8370" s="691">
        <v>57.7</v>
      </c>
      <c r="I8370" s="692" t="s">
        <v>4060</v>
      </c>
      <c r="J8370" s="692" t="s">
        <v>4060</v>
      </c>
      <c r="K8370" s="692" t="s">
        <v>4060</v>
      </c>
    </row>
    <row r="8371" spans="1:11">
      <c r="A8371" s="688" t="s">
        <v>2357</v>
      </c>
      <c r="B8371" s="690" t="s">
        <v>4060</v>
      </c>
      <c r="C8371" s="689">
        <v>47.7</v>
      </c>
      <c r="D8371" s="689">
        <v>48.5</v>
      </c>
      <c r="E8371" s="689">
        <v>48.9</v>
      </c>
      <c r="F8371" s="689">
        <v>49.2</v>
      </c>
      <c r="G8371" s="693">
        <v>49</v>
      </c>
      <c r="H8371" s="689">
        <v>49.2</v>
      </c>
      <c r="I8371" s="690" t="s">
        <v>4060</v>
      </c>
      <c r="J8371" s="690" t="s">
        <v>4060</v>
      </c>
      <c r="K8371" s="690" t="s">
        <v>4060</v>
      </c>
    </row>
    <row r="8372" spans="1:11">
      <c r="A8372" s="688" t="s">
        <v>4070</v>
      </c>
      <c r="B8372" s="692" t="s">
        <v>4060</v>
      </c>
      <c r="C8372" s="692" t="s">
        <v>4060</v>
      </c>
      <c r="D8372" s="692" t="s">
        <v>4060</v>
      </c>
      <c r="E8372" s="691">
        <v>56.7</v>
      </c>
      <c r="F8372" s="692" t="s">
        <v>4060</v>
      </c>
      <c r="G8372" s="692" t="s">
        <v>4060</v>
      </c>
      <c r="H8372" s="692" t="s">
        <v>4060</v>
      </c>
      <c r="I8372" s="692" t="s">
        <v>4060</v>
      </c>
      <c r="J8372" s="692" t="s">
        <v>4060</v>
      </c>
      <c r="K8372" s="692" t="s">
        <v>4060</v>
      </c>
    </row>
    <row r="8373" spans="1:11">
      <c r="A8373" s="688" t="s">
        <v>2491</v>
      </c>
      <c r="B8373" s="689">
        <v>47.9</v>
      </c>
      <c r="C8373" s="689">
        <v>48.5</v>
      </c>
      <c r="D8373" s="689">
        <v>49.1</v>
      </c>
      <c r="E8373" s="689">
        <v>49.5</v>
      </c>
      <c r="F8373" s="689">
        <v>49.8</v>
      </c>
      <c r="G8373" s="689">
        <v>49.7</v>
      </c>
      <c r="H8373" s="690" t="s">
        <v>4060</v>
      </c>
      <c r="I8373" s="690" t="s">
        <v>4060</v>
      </c>
      <c r="J8373" s="690" t="s">
        <v>4060</v>
      </c>
      <c r="K8373" s="690" t="s">
        <v>4060</v>
      </c>
    </row>
    <row r="8374" spans="1:11">
      <c r="A8374" s="688" t="s">
        <v>2343</v>
      </c>
      <c r="B8374" s="692" t="s">
        <v>4060</v>
      </c>
      <c r="C8374" s="692" t="s">
        <v>4060</v>
      </c>
      <c r="D8374" s="692" t="s">
        <v>4060</v>
      </c>
      <c r="E8374" s="692" t="s">
        <v>4060</v>
      </c>
      <c r="F8374" s="692" t="s">
        <v>4060</v>
      </c>
      <c r="G8374" s="692" t="s">
        <v>4060</v>
      </c>
      <c r="H8374" s="692" t="s">
        <v>4060</v>
      </c>
      <c r="I8374" s="692" t="s">
        <v>4060</v>
      </c>
      <c r="J8374" s="692" t="s">
        <v>4060</v>
      </c>
      <c r="K8374" s="692" t="s">
        <v>4060</v>
      </c>
    </row>
    <row r="8375" spans="1:11">
      <c r="A8375" s="688" t="s">
        <v>4071</v>
      </c>
      <c r="B8375" s="690" t="s">
        <v>4060</v>
      </c>
      <c r="C8375" s="690" t="s">
        <v>4060</v>
      </c>
      <c r="D8375" s="690" t="s">
        <v>4060</v>
      </c>
      <c r="E8375" s="690" t="s">
        <v>4060</v>
      </c>
      <c r="F8375" s="690" t="s">
        <v>4060</v>
      </c>
      <c r="G8375" s="690" t="s">
        <v>4060</v>
      </c>
      <c r="H8375" s="690" t="s">
        <v>4060</v>
      </c>
      <c r="I8375" s="690" t="s">
        <v>4060</v>
      </c>
      <c r="J8375" s="690" t="s">
        <v>4060</v>
      </c>
      <c r="K8375" s="690" t="s">
        <v>4060</v>
      </c>
    </row>
    <row r="8376" spans="1:11">
      <c r="A8376" s="688" t="s">
        <v>2489</v>
      </c>
      <c r="B8376" s="692" t="s">
        <v>4060</v>
      </c>
      <c r="C8376" s="692" t="s">
        <v>4060</v>
      </c>
      <c r="D8376" s="691">
        <v>52.8</v>
      </c>
      <c r="E8376" s="691">
        <v>52.8</v>
      </c>
      <c r="F8376" s="691">
        <v>53.5</v>
      </c>
      <c r="G8376" s="691">
        <v>54.3</v>
      </c>
      <c r="H8376" s="615">
        <v>54</v>
      </c>
      <c r="I8376" s="692" t="s">
        <v>4060</v>
      </c>
      <c r="J8376" s="692" t="s">
        <v>4060</v>
      </c>
      <c r="K8376" s="692" t="s">
        <v>4060</v>
      </c>
    </row>
    <row r="8377" spans="1:11">
      <c r="A8377" s="688" t="s">
        <v>2490</v>
      </c>
      <c r="B8377" s="689">
        <v>53.5</v>
      </c>
      <c r="C8377" s="689">
        <v>53.6</v>
      </c>
      <c r="D8377" s="689">
        <v>54.4</v>
      </c>
      <c r="E8377" s="690" t="s">
        <v>4060</v>
      </c>
      <c r="F8377" s="689">
        <v>54.7</v>
      </c>
      <c r="G8377" s="689">
        <v>54.9</v>
      </c>
      <c r="H8377" s="689">
        <v>55.8</v>
      </c>
      <c r="I8377" s="690" t="s">
        <v>4060</v>
      </c>
      <c r="J8377" s="690" t="s">
        <v>4060</v>
      </c>
      <c r="K8377" s="690" t="s">
        <v>4060</v>
      </c>
    </row>
    <row r="8379" spans="1:11">
      <c r="A8379" s="683" t="s">
        <v>4233</v>
      </c>
    </row>
    <row r="8380" spans="1:11">
      <c r="A8380" s="683" t="s">
        <v>4060</v>
      </c>
      <c r="B8380" s="682" t="s">
        <v>4234</v>
      </c>
    </row>
    <row r="8382" spans="1:11">
      <c r="A8382" s="682" t="s">
        <v>4331</v>
      </c>
    </row>
    <row r="8383" spans="1:11">
      <c r="A8383" s="682" t="s">
        <v>4210</v>
      </c>
      <c r="B8383" s="683" t="s">
        <v>4211</v>
      </c>
    </row>
    <row r="8384" spans="1:11">
      <c r="A8384" s="682" t="s">
        <v>4212</v>
      </c>
      <c r="B8384" s="682" t="s">
        <v>4213</v>
      </c>
    </row>
    <row r="8386" spans="1:11">
      <c r="A8386" s="683" t="s">
        <v>4214</v>
      </c>
      <c r="C8386" s="682" t="s">
        <v>4215</v>
      </c>
    </row>
    <row r="8387" spans="1:11">
      <c r="A8387" s="683" t="s">
        <v>4216</v>
      </c>
      <c r="C8387" s="682" t="s">
        <v>2967</v>
      </c>
    </row>
    <row r="8388" spans="1:11">
      <c r="A8388" s="683" t="s">
        <v>3893</v>
      </c>
      <c r="C8388" s="682" t="s">
        <v>2168</v>
      </c>
    </row>
    <row r="8389" spans="1:11">
      <c r="A8389" s="683" t="s">
        <v>4218</v>
      </c>
      <c r="C8389" s="682" t="s">
        <v>4256</v>
      </c>
    </row>
    <row r="8391" spans="1:11">
      <c r="A8391" s="684" t="s">
        <v>4220</v>
      </c>
      <c r="B8391" s="685" t="s">
        <v>4221</v>
      </c>
      <c r="C8391" s="685" t="s">
        <v>4222</v>
      </c>
      <c r="D8391" s="685" t="s">
        <v>4223</v>
      </c>
      <c r="E8391" s="685" t="s">
        <v>4224</v>
      </c>
      <c r="F8391" s="685" t="s">
        <v>4225</v>
      </c>
      <c r="G8391" s="685" t="s">
        <v>4226</v>
      </c>
      <c r="H8391" s="685" t="s">
        <v>4227</v>
      </c>
      <c r="I8391" s="685" t="s">
        <v>4228</v>
      </c>
      <c r="J8391" s="685" t="s">
        <v>4229</v>
      </c>
      <c r="K8391" s="685" t="s">
        <v>4230</v>
      </c>
    </row>
    <row r="8392" spans="1:11">
      <c r="A8392" s="686" t="s">
        <v>4231</v>
      </c>
      <c r="B8392" s="687" t="s">
        <v>4232</v>
      </c>
      <c r="C8392" s="687" t="s">
        <v>4232</v>
      </c>
      <c r="D8392" s="687" t="s">
        <v>4232</v>
      </c>
      <c r="E8392" s="687" t="s">
        <v>4232</v>
      </c>
      <c r="F8392" s="687" t="s">
        <v>4232</v>
      </c>
      <c r="G8392" s="687" t="s">
        <v>4232</v>
      </c>
      <c r="H8392" s="687" t="s">
        <v>4232</v>
      </c>
      <c r="I8392" s="687" t="s">
        <v>4232</v>
      </c>
      <c r="J8392" s="687" t="s">
        <v>4232</v>
      </c>
      <c r="K8392" s="687" t="s">
        <v>4232</v>
      </c>
    </row>
    <row r="8393" spans="1:11">
      <c r="A8393" s="688" t="s">
        <v>4064</v>
      </c>
      <c r="B8393" s="689">
        <v>57.1</v>
      </c>
      <c r="C8393" s="689">
        <v>57.3</v>
      </c>
      <c r="D8393" s="689">
        <v>57.2</v>
      </c>
      <c r="E8393" s="689">
        <v>57.4</v>
      </c>
      <c r="F8393" s="689">
        <v>57.5</v>
      </c>
      <c r="G8393" s="689">
        <v>57.6</v>
      </c>
      <c r="H8393" s="689">
        <v>57.9</v>
      </c>
      <c r="I8393" s="693">
        <v>57</v>
      </c>
      <c r="J8393" s="689">
        <v>56.6</v>
      </c>
      <c r="K8393" s="689">
        <v>57.4</v>
      </c>
    </row>
    <row r="8394" spans="1:11">
      <c r="A8394" s="688" t="s">
        <v>4065</v>
      </c>
      <c r="B8394" s="691">
        <v>57.3</v>
      </c>
      <c r="C8394" s="691">
        <v>57.7</v>
      </c>
      <c r="D8394" s="691">
        <v>57.4</v>
      </c>
      <c r="E8394" s="691">
        <v>57.8</v>
      </c>
      <c r="F8394" s="691">
        <v>57.8</v>
      </c>
      <c r="G8394" s="691">
        <v>57.9</v>
      </c>
      <c r="H8394" s="692" t="s">
        <v>4060</v>
      </c>
      <c r="I8394" s="692" t="s">
        <v>4060</v>
      </c>
      <c r="J8394" s="692" t="s">
        <v>4060</v>
      </c>
      <c r="K8394" s="692" t="s">
        <v>4060</v>
      </c>
    </row>
    <row r="8395" spans="1:11">
      <c r="A8395" s="688" t="s">
        <v>4063</v>
      </c>
      <c r="B8395" s="689">
        <v>57.3</v>
      </c>
      <c r="C8395" s="689">
        <v>57.7</v>
      </c>
      <c r="D8395" s="689">
        <v>57.5</v>
      </c>
      <c r="E8395" s="689">
        <v>57.8</v>
      </c>
      <c r="F8395" s="689">
        <v>57.8</v>
      </c>
      <c r="G8395" s="689">
        <v>57.9</v>
      </c>
      <c r="H8395" s="690" t="s">
        <v>4060</v>
      </c>
      <c r="I8395" s="690" t="s">
        <v>4060</v>
      </c>
      <c r="J8395" s="690" t="s">
        <v>4060</v>
      </c>
      <c r="K8395" s="690" t="s">
        <v>4060</v>
      </c>
    </row>
    <row r="8396" spans="1:11">
      <c r="A8396" s="688" t="s">
        <v>4069</v>
      </c>
      <c r="B8396" s="692" t="s">
        <v>4060</v>
      </c>
      <c r="C8396" s="691">
        <v>58.4</v>
      </c>
      <c r="D8396" s="691">
        <v>58.2</v>
      </c>
      <c r="E8396" s="691">
        <v>58.6</v>
      </c>
      <c r="F8396" s="691">
        <v>58.7</v>
      </c>
      <c r="G8396" s="691">
        <v>58.8</v>
      </c>
      <c r="H8396" s="691">
        <v>59.1</v>
      </c>
      <c r="I8396" s="691">
        <v>58.3</v>
      </c>
      <c r="J8396" s="691">
        <v>58.3</v>
      </c>
      <c r="K8396" s="691">
        <v>58.5</v>
      </c>
    </row>
    <row r="8397" spans="1:11">
      <c r="A8397" s="688" t="s">
        <v>4068</v>
      </c>
      <c r="B8397" s="689">
        <v>58.3</v>
      </c>
      <c r="C8397" s="690" t="s">
        <v>4060</v>
      </c>
      <c r="D8397" s="690" t="s">
        <v>4060</v>
      </c>
      <c r="E8397" s="690" t="s">
        <v>4060</v>
      </c>
      <c r="F8397" s="690" t="s">
        <v>4060</v>
      </c>
      <c r="G8397" s="690" t="s">
        <v>4060</v>
      </c>
      <c r="H8397" s="690" t="s">
        <v>4060</v>
      </c>
      <c r="I8397" s="690" t="s">
        <v>4060</v>
      </c>
      <c r="J8397" s="690" t="s">
        <v>4060</v>
      </c>
      <c r="K8397" s="690" t="s">
        <v>4060</v>
      </c>
    </row>
    <row r="8398" spans="1:11">
      <c r="A8398" s="688" t="s">
        <v>0</v>
      </c>
      <c r="B8398" s="691">
        <v>57.7</v>
      </c>
      <c r="C8398" s="691">
        <v>58.1</v>
      </c>
      <c r="D8398" s="691">
        <v>58.1</v>
      </c>
      <c r="E8398" s="691">
        <v>58.3</v>
      </c>
      <c r="F8398" s="691">
        <v>58.6</v>
      </c>
      <c r="G8398" s="691">
        <v>58.8</v>
      </c>
      <c r="H8398" s="691">
        <v>59.1</v>
      </c>
      <c r="I8398" s="615">
        <v>58</v>
      </c>
      <c r="J8398" s="691">
        <v>58.8</v>
      </c>
      <c r="K8398" s="615">
        <v>59</v>
      </c>
    </row>
    <row r="8399" spans="1:11">
      <c r="A8399" s="688" t="s">
        <v>1</v>
      </c>
      <c r="B8399" s="689">
        <v>51.4</v>
      </c>
      <c r="C8399" s="693">
        <v>51</v>
      </c>
      <c r="D8399" s="689">
        <v>51.1</v>
      </c>
      <c r="E8399" s="689">
        <v>51.1</v>
      </c>
      <c r="F8399" s="689">
        <v>51.1</v>
      </c>
      <c r="G8399" s="689">
        <v>51.1</v>
      </c>
      <c r="H8399" s="689">
        <v>51.1</v>
      </c>
      <c r="I8399" s="689">
        <v>49.4</v>
      </c>
      <c r="J8399" s="689">
        <v>47.5</v>
      </c>
      <c r="K8399" s="689">
        <v>50.3</v>
      </c>
    </row>
    <row r="8400" spans="1:11">
      <c r="A8400" s="688" t="s">
        <v>2240</v>
      </c>
      <c r="B8400" s="691">
        <v>54.8</v>
      </c>
      <c r="C8400" s="691">
        <v>55.2</v>
      </c>
      <c r="D8400" s="691">
        <v>55.1</v>
      </c>
      <c r="E8400" s="691">
        <v>55.5</v>
      </c>
      <c r="F8400" s="691">
        <v>55.5</v>
      </c>
      <c r="G8400" s="691">
        <v>55.6</v>
      </c>
      <c r="H8400" s="691">
        <v>55.8</v>
      </c>
      <c r="I8400" s="691">
        <v>54.7</v>
      </c>
      <c r="J8400" s="691">
        <v>53.5</v>
      </c>
      <c r="K8400" s="691">
        <v>55.5</v>
      </c>
    </row>
    <row r="8401" spans="1:11">
      <c r="A8401" s="688" t="s">
        <v>2</v>
      </c>
      <c r="B8401" s="689">
        <v>57.8</v>
      </c>
      <c r="C8401" s="689">
        <v>58.1</v>
      </c>
      <c r="D8401" s="689">
        <v>58.2</v>
      </c>
      <c r="E8401" s="689">
        <v>58.4</v>
      </c>
      <c r="F8401" s="689">
        <v>58.6</v>
      </c>
      <c r="G8401" s="689">
        <v>58.6</v>
      </c>
      <c r="H8401" s="689">
        <v>58.9</v>
      </c>
      <c r="I8401" s="693">
        <v>59</v>
      </c>
      <c r="J8401" s="693">
        <v>59</v>
      </c>
      <c r="K8401" s="689">
        <v>58.8</v>
      </c>
    </row>
    <row r="8402" spans="1:11">
      <c r="A8402" s="688" t="s">
        <v>3</v>
      </c>
      <c r="B8402" s="691">
        <v>57.7</v>
      </c>
      <c r="C8402" s="691">
        <v>57.9</v>
      </c>
      <c r="D8402" s="691">
        <v>57.6</v>
      </c>
      <c r="E8402" s="691">
        <v>57.9</v>
      </c>
      <c r="F8402" s="691">
        <v>58.1</v>
      </c>
      <c r="G8402" s="615">
        <v>58</v>
      </c>
      <c r="H8402" s="691">
        <v>58.3</v>
      </c>
      <c r="I8402" s="691">
        <v>58.1</v>
      </c>
      <c r="J8402" s="691">
        <v>57.7</v>
      </c>
      <c r="K8402" s="691">
        <v>57.6</v>
      </c>
    </row>
    <row r="8403" spans="1:11">
      <c r="A8403" s="688" t="s">
        <v>4061</v>
      </c>
      <c r="B8403" s="689">
        <v>57.7</v>
      </c>
      <c r="C8403" s="689">
        <v>57.9</v>
      </c>
      <c r="D8403" s="689">
        <v>57.6</v>
      </c>
      <c r="E8403" s="689">
        <v>57.9</v>
      </c>
      <c r="F8403" s="689">
        <v>58.1</v>
      </c>
      <c r="G8403" s="693">
        <v>58</v>
      </c>
      <c r="H8403" s="689">
        <v>58.3</v>
      </c>
      <c r="I8403" s="689">
        <v>58.1</v>
      </c>
      <c r="J8403" s="689">
        <v>57.7</v>
      </c>
      <c r="K8403" s="689">
        <v>57.6</v>
      </c>
    </row>
    <row r="8404" spans="1:11">
      <c r="A8404" s="688" t="s">
        <v>4</v>
      </c>
      <c r="B8404" s="691">
        <v>52.3</v>
      </c>
      <c r="C8404" s="691">
        <v>51.9</v>
      </c>
      <c r="D8404" s="691">
        <v>52.7</v>
      </c>
      <c r="E8404" s="691">
        <v>52.7</v>
      </c>
      <c r="F8404" s="691">
        <v>53.2</v>
      </c>
      <c r="G8404" s="691">
        <v>53.4</v>
      </c>
      <c r="H8404" s="691">
        <v>53.9</v>
      </c>
      <c r="I8404" s="691">
        <v>53.7</v>
      </c>
      <c r="J8404" s="691">
        <v>52.3</v>
      </c>
      <c r="K8404" s="691">
        <v>53.1</v>
      </c>
    </row>
    <row r="8405" spans="1:11">
      <c r="A8405" s="688" t="s">
        <v>8</v>
      </c>
      <c r="B8405" s="689">
        <v>58.5</v>
      </c>
      <c r="C8405" s="689">
        <v>58.7</v>
      </c>
      <c r="D8405" s="693">
        <v>59</v>
      </c>
      <c r="E8405" s="689">
        <v>59.2</v>
      </c>
      <c r="F8405" s="689">
        <v>59.6</v>
      </c>
      <c r="G8405" s="689">
        <v>59.6</v>
      </c>
      <c r="H8405" s="693">
        <v>60</v>
      </c>
      <c r="I8405" s="693">
        <v>60</v>
      </c>
      <c r="J8405" s="689">
        <v>59.7</v>
      </c>
      <c r="K8405" s="689">
        <v>60.1</v>
      </c>
    </row>
    <row r="8406" spans="1:11">
      <c r="A8406" s="688" t="s">
        <v>7</v>
      </c>
      <c r="B8406" s="691">
        <v>58.3</v>
      </c>
      <c r="C8406" s="691">
        <v>57.8</v>
      </c>
      <c r="D8406" s="691">
        <v>57.6</v>
      </c>
      <c r="E8406" s="615">
        <v>58</v>
      </c>
      <c r="F8406" s="691">
        <v>57.9</v>
      </c>
      <c r="G8406" s="691">
        <v>58.3</v>
      </c>
      <c r="H8406" s="691">
        <v>58.3</v>
      </c>
      <c r="I8406" s="615">
        <v>58</v>
      </c>
      <c r="J8406" s="691">
        <v>56.8</v>
      </c>
      <c r="K8406" s="691">
        <v>57.7</v>
      </c>
    </row>
    <row r="8407" spans="1:11">
      <c r="A8407" s="688" t="s">
        <v>27</v>
      </c>
      <c r="B8407" s="689">
        <v>59.6</v>
      </c>
      <c r="C8407" s="689">
        <v>59.5</v>
      </c>
      <c r="D8407" s="689">
        <v>59.3</v>
      </c>
      <c r="E8407" s="689">
        <v>59.7</v>
      </c>
      <c r="F8407" s="689">
        <v>59.7</v>
      </c>
      <c r="G8407" s="689">
        <v>59.8</v>
      </c>
      <c r="H8407" s="689">
        <v>60.2</v>
      </c>
      <c r="I8407" s="689">
        <v>58.9</v>
      </c>
      <c r="J8407" s="689">
        <v>59.6</v>
      </c>
      <c r="K8407" s="689">
        <v>59.8</v>
      </c>
    </row>
    <row r="8408" spans="1:11">
      <c r="A8408" s="688" t="s">
        <v>6</v>
      </c>
      <c r="B8408" s="691">
        <v>58.6</v>
      </c>
      <c r="C8408" s="691">
        <v>58.8</v>
      </c>
      <c r="D8408" s="691">
        <v>58.6</v>
      </c>
      <c r="E8408" s="691">
        <v>58.9</v>
      </c>
      <c r="F8408" s="615">
        <v>59</v>
      </c>
      <c r="G8408" s="691">
        <v>59.1</v>
      </c>
      <c r="H8408" s="691">
        <v>59.3</v>
      </c>
      <c r="I8408" s="691">
        <v>58.7</v>
      </c>
      <c r="J8408" s="691">
        <v>58.7</v>
      </c>
      <c r="K8408" s="691">
        <v>58.9</v>
      </c>
    </row>
    <row r="8409" spans="1:11">
      <c r="A8409" s="688" t="s">
        <v>4058</v>
      </c>
      <c r="B8409" s="690" t="s">
        <v>4060</v>
      </c>
      <c r="C8409" s="690" t="s">
        <v>4060</v>
      </c>
      <c r="D8409" s="690" t="s">
        <v>4060</v>
      </c>
      <c r="E8409" s="690" t="s">
        <v>4060</v>
      </c>
      <c r="F8409" s="690" t="s">
        <v>4060</v>
      </c>
      <c r="G8409" s="690" t="s">
        <v>4060</v>
      </c>
      <c r="H8409" s="690" t="s">
        <v>4060</v>
      </c>
      <c r="I8409" s="690" t="s">
        <v>4060</v>
      </c>
      <c r="J8409" s="690" t="s">
        <v>4060</v>
      </c>
      <c r="K8409" s="690" t="s">
        <v>4060</v>
      </c>
    </row>
    <row r="8410" spans="1:11">
      <c r="A8410" s="688" t="s">
        <v>11</v>
      </c>
      <c r="B8410" s="691">
        <v>54.1</v>
      </c>
      <c r="C8410" s="691">
        <v>54.3</v>
      </c>
      <c r="D8410" s="691">
        <v>53.9</v>
      </c>
      <c r="E8410" s="691">
        <v>54.5</v>
      </c>
      <c r="F8410" s="691">
        <v>54.4</v>
      </c>
      <c r="G8410" s="691">
        <v>54.4</v>
      </c>
      <c r="H8410" s="691">
        <v>54.8</v>
      </c>
      <c r="I8410" s="691">
        <v>54.1</v>
      </c>
      <c r="J8410" s="615">
        <v>53</v>
      </c>
      <c r="K8410" s="691">
        <v>54.2</v>
      </c>
    </row>
    <row r="8411" spans="1:11">
      <c r="A8411" s="688" t="s">
        <v>10</v>
      </c>
      <c r="B8411" s="689">
        <v>59.8</v>
      </c>
      <c r="C8411" s="689">
        <v>59.9</v>
      </c>
      <c r="D8411" s="689">
        <v>59.6</v>
      </c>
      <c r="E8411" s="689">
        <v>60.1</v>
      </c>
      <c r="F8411" s="693">
        <v>60</v>
      </c>
      <c r="G8411" s="689">
        <v>60.4</v>
      </c>
      <c r="H8411" s="689">
        <v>60.6</v>
      </c>
      <c r="I8411" s="689">
        <v>59.3</v>
      </c>
      <c r="J8411" s="689">
        <v>59.7</v>
      </c>
      <c r="K8411" s="693">
        <v>60</v>
      </c>
    </row>
    <row r="8412" spans="1:11">
      <c r="A8412" s="688" t="s">
        <v>30</v>
      </c>
      <c r="B8412" s="691">
        <v>59.5</v>
      </c>
      <c r="C8412" s="691">
        <v>59.8</v>
      </c>
      <c r="D8412" s="691">
        <v>59.4</v>
      </c>
      <c r="E8412" s="691">
        <v>60.1</v>
      </c>
      <c r="F8412" s="691">
        <v>59.8</v>
      </c>
      <c r="G8412" s="691">
        <v>60.6</v>
      </c>
      <c r="H8412" s="691">
        <v>60.2</v>
      </c>
      <c r="I8412" s="691">
        <v>60.2</v>
      </c>
      <c r="J8412" s="691">
        <v>59.2</v>
      </c>
      <c r="K8412" s="691">
        <v>59.8</v>
      </c>
    </row>
    <row r="8413" spans="1:11">
      <c r="A8413" s="688" t="s">
        <v>12</v>
      </c>
      <c r="B8413" s="689">
        <v>49.1</v>
      </c>
      <c r="C8413" s="689">
        <v>48.9</v>
      </c>
      <c r="D8413" s="689">
        <v>49.4</v>
      </c>
      <c r="E8413" s="689">
        <v>49.4</v>
      </c>
      <c r="F8413" s="689">
        <v>49.5</v>
      </c>
      <c r="G8413" s="689">
        <v>49.7</v>
      </c>
      <c r="H8413" s="689">
        <v>50.5</v>
      </c>
      <c r="I8413" s="689">
        <v>50.2</v>
      </c>
      <c r="J8413" s="689">
        <v>47.7</v>
      </c>
      <c r="K8413" s="689">
        <v>48.9</v>
      </c>
    </row>
    <row r="8414" spans="1:11">
      <c r="A8414" s="688" t="s">
        <v>14</v>
      </c>
      <c r="B8414" s="691">
        <v>48.3</v>
      </c>
      <c r="C8414" s="691">
        <v>48.9</v>
      </c>
      <c r="D8414" s="691">
        <v>48.9</v>
      </c>
      <c r="E8414" s="691">
        <v>49.2</v>
      </c>
      <c r="F8414" s="691">
        <v>50.3</v>
      </c>
      <c r="G8414" s="691">
        <v>50.5</v>
      </c>
      <c r="H8414" s="691">
        <v>51.1</v>
      </c>
      <c r="I8414" s="691">
        <v>49.8</v>
      </c>
      <c r="J8414" s="691">
        <v>49.2</v>
      </c>
      <c r="K8414" s="691">
        <v>50.8</v>
      </c>
    </row>
    <row r="8415" spans="1:11">
      <c r="A8415" s="688" t="s">
        <v>15</v>
      </c>
      <c r="B8415" s="689">
        <v>59.4</v>
      </c>
      <c r="C8415" s="689">
        <v>58.6</v>
      </c>
      <c r="D8415" s="689">
        <v>59.4</v>
      </c>
      <c r="E8415" s="689">
        <v>59.4</v>
      </c>
      <c r="F8415" s="689">
        <v>59.2</v>
      </c>
      <c r="G8415" s="689">
        <v>59.3</v>
      </c>
      <c r="H8415" s="689">
        <v>59.8</v>
      </c>
      <c r="I8415" s="689">
        <v>59.3</v>
      </c>
      <c r="J8415" s="689">
        <v>59.8</v>
      </c>
      <c r="K8415" s="689">
        <v>60.3</v>
      </c>
    </row>
    <row r="8416" spans="1:11">
      <c r="A8416" s="688" t="s">
        <v>29</v>
      </c>
      <c r="B8416" s="691">
        <v>51.8</v>
      </c>
      <c r="C8416" s="691">
        <v>51.9</v>
      </c>
      <c r="D8416" s="691">
        <v>51.8</v>
      </c>
      <c r="E8416" s="691">
        <v>52.1</v>
      </c>
      <c r="F8416" s="615">
        <v>52</v>
      </c>
      <c r="G8416" s="691">
        <v>52.1</v>
      </c>
      <c r="H8416" s="691">
        <v>52.5</v>
      </c>
      <c r="I8416" s="691">
        <v>51.7</v>
      </c>
      <c r="J8416" s="691">
        <v>50.2</v>
      </c>
      <c r="K8416" s="691">
        <v>52.1</v>
      </c>
    </row>
    <row r="8417" spans="1:11">
      <c r="A8417" s="688" t="s">
        <v>16</v>
      </c>
      <c r="B8417" s="689">
        <v>59.2</v>
      </c>
      <c r="C8417" s="689">
        <v>59.2</v>
      </c>
      <c r="D8417" s="689">
        <v>59.4</v>
      </c>
      <c r="E8417" s="689">
        <v>60.1</v>
      </c>
      <c r="F8417" s="689">
        <v>59.8</v>
      </c>
      <c r="G8417" s="689">
        <v>59.7</v>
      </c>
      <c r="H8417" s="689">
        <v>60.4</v>
      </c>
      <c r="I8417" s="689">
        <v>59.3</v>
      </c>
      <c r="J8417" s="689">
        <v>59.8</v>
      </c>
      <c r="K8417" s="689">
        <v>59.8</v>
      </c>
    </row>
    <row r="8418" spans="1:11">
      <c r="A8418" s="688" t="s">
        <v>17</v>
      </c>
      <c r="B8418" s="691">
        <v>59.1</v>
      </c>
      <c r="C8418" s="691">
        <v>59.4</v>
      </c>
      <c r="D8418" s="691">
        <v>59.2</v>
      </c>
      <c r="E8418" s="691">
        <v>59.4</v>
      </c>
      <c r="F8418" s="691">
        <v>59.6</v>
      </c>
      <c r="G8418" s="691">
        <v>59.7</v>
      </c>
      <c r="H8418" s="615">
        <v>60</v>
      </c>
      <c r="I8418" s="691">
        <v>59.2</v>
      </c>
      <c r="J8418" s="691">
        <v>59.2</v>
      </c>
      <c r="K8418" s="691">
        <v>59.6</v>
      </c>
    </row>
    <row r="8419" spans="1:11">
      <c r="A8419" s="688" t="s">
        <v>19</v>
      </c>
      <c r="B8419" s="689">
        <v>58.2</v>
      </c>
      <c r="C8419" s="689">
        <v>58.4</v>
      </c>
      <c r="D8419" s="689">
        <v>58.2</v>
      </c>
      <c r="E8419" s="689">
        <v>58.7</v>
      </c>
      <c r="F8419" s="689">
        <v>58.8</v>
      </c>
      <c r="G8419" s="689">
        <v>58.8</v>
      </c>
      <c r="H8419" s="689">
        <v>59.1</v>
      </c>
      <c r="I8419" s="689">
        <v>58.4</v>
      </c>
      <c r="J8419" s="689">
        <v>58.3</v>
      </c>
      <c r="K8419" s="689">
        <v>58.5</v>
      </c>
    </row>
    <row r="8420" spans="1:11">
      <c r="A8420" s="688" t="s">
        <v>20</v>
      </c>
      <c r="B8420" s="691">
        <v>52.7</v>
      </c>
      <c r="C8420" s="691">
        <v>53.3</v>
      </c>
      <c r="D8420" s="691">
        <v>53.1</v>
      </c>
      <c r="E8420" s="691">
        <v>53.4</v>
      </c>
      <c r="F8420" s="691">
        <v>53.4</v>
      </c>
      <c r="G8420" s="691">
        <v>53.3</v>
      </c>
      <c r="H8420" s="691">
        <v>53.6</v>
      </c>
      <c r="I8420" s="691">
        <v>51.9</v>
      </c>
      <c r="J8420" s="691">
        <v>51.1</v>
      </c>
      <c r="K8420" s="691">
        <v>52.9</v>
      </c>
    </row>
    <row r="8421" spans="1:11">
      <c r="A8421" s="688" t="s">
        <v>21</v>
      </c>
      <c r="B8421" s="689">
        <v>57.1</v>
      </c>
      <c r="C8421" s="689">
        <v>57.6</v>
      </c>
      <c r="D8421" s="689">
        <v>57.7</v>
      </c>
      <c r="E8421" s="689">
        <v>57.7</v>
      </c>
      <c r="F8421" s="693">
        <v>58</v>
      </c>
      <c r="G8421" s="693">
        <v>58</v>
      </c>
      <c r="H8421" s="689">
        <v>58.4</v>
      </c>
      <c r="I8421" s="689">
        <v>57.8</v>
      </c>
      <c r="J8421" s="689">
        <v>57.9</v>
      </c>
      <c r="K8421" s="689">
        <v>58.3</v>
      </c>
    </row>
    <row r="8422" spans="1:11">
      <c r="A8422" s="688" t="s">
        <v>22</v>
      </c>
      <c r="B8422" s="691">
        <v>51.8</v>
      </c>
      <c r="C8422" s="691">
        <v>51.5</v>
      </c>
      <c r="D8422" s="691">
        <v>51.4</v>
      </c>
      <c r="E8422" s="691">
        <v>51.6</v>
      </c>
      <c r="F8422" s="691">
        <v>51.6</v>
      </c>
      <c r="G8422" s="691">
        <v>51.5</v>
      </c>
      <c r="H8422" s="691">
        <v>51.7</v>
      </c>
      <c r="I8422" s="691">
        <v>50.1</v>
      </c>
      <c r="J8422" s="691">
        <v>48.9</v>
      </c>
      <c r="K8422" s="691">
        <v>51.1</v>
      </c>
    </row>
    <row r="8423" spans="1:11">
      <c r="A8423" s="688" t="s">
        <v>26</v>
      </c>
      <c r="B8423" s="689">
        <v>56.7</v>
      </c>
      <c r="C8423" s="689">
        <v>57.3</v>
      </c>
      <c r="D8423" s="693">
        <v>57</v>
      </c>
      <c r="E8423" s="689">
        <v>57.5</v>
      </c>
      <c r="F8423" s="689">
        <v>57.4</v>
      </c>
      <c r="G8423" s="689">
        <v>57.8</v>
      </c>
      <c r="H8423" s="689">
        <v>57.9</v>
      </c>
      <c r="I8423" s="689">
        <v>57.1</v>
      </c>
      <c r="J8423" s="693">
        <v>57</v>
      </c>
      <c r="K8423" s="689">
        <v>57.9</v>
      </c>
    </row>
    <row r="8424" spans="1:11">
      <c r="A8424" s="688" t="s">
        <v>25</v>
      </c>
      <c r="B8424" s="691">
        <v>52.7</v>
      </c>
      <c r="C8424" s="691">
        <v>53.1</v>
      </c>
      <c r="D8424" s="691">
        <v>52.9</v>
      </c>
      <c r="E8424" s="691">
        <v>53.6</v>
      </c>
      <c r="F8424" s="691">
        <v>53.5</v>
      </c>
      <c r="G8424" s="691">
        <v>53.6</v>
      </c>
      <c r="H8424" s="691">
        <v>54.1</v>
      </c>
      <c r="I8424" s="691">
        <v>53.3</v>
      </c>
      <c r="J8424" s="691">
        <v>50.9</v>
      </c>
      <c r="K8424" s="691">
        <v>53.3</v>
      </c>
    </row>
    <row r="8425" spans="1:11">
      <c r="A8425" s="688" t="s">
        <v>5</v>
      </c>
      <c r="B8425" s="689">
        <v>57.4</v>
      </c>
      <c r="C8425" s="689">
        <v>57.6</v>
      </c>
      <c r="D8425" s="689">
        <v>57.9</v>
      </c>
      <c r="E8425" s="689">
        <v>57.9</v>
      </c>
      <c r="F8425" s="689">
        <v>58.2</v>
      </c>
      <c r="G8425" s="689">
        <v>58.3</v>
      </c>
      <c r="H8425" s="689">
        <v>58.6</v>
      </c>
      <c r="I8425" s="689">
        <v>58.5</v>
      </c>
      <c r="J8425" s="689">
        <v>58.6</v>
      </c>
      <c r="K8425" s="689">
        <v>58.1</v>
      </c>
    </row>
    <row r="8426" spans="1:11">
      <c r="A8426" s="688" t="s">
        <v>23</v>
      </c>
      <c r="B8426" s="691">
        <v>59.6</v>
      </c>
      <c r="C8426" s="691">
        <v>59.8</v>
      </c>
      <c r="D8426" s="691">
        <v>59.8</v>
      </c>
      <c r="E8426" s="615">
        <v>60</v>
      </c>
      <c r="F8426" s="691">
        <v>60.1</v>
      </c>
      <c r="G8426" s="691">
        <v>60.2</v>
      </c>
      <c r="H8426" s="691">
        <v>60.7</v>
      </c>
      <c r="I8426" s="691">
        <v>60.1</v>
      </c>
      <c r="J8426" s="691">
        <v>60.6</v>
      </c>
      <c r="K8426" s="691">
        <v>60.8</v>
      </c>
    </row>
    <row r="8427" spans="1:11">
      <c r="A8427" s="688" t="s">
        <v>4067</v>
      </c>
      <c r="B8427" s="689">
        <v>57.3</v>
      </c>
      <c r="C8427" s="689">
        <v>57.7</v>
      </c>
      <c r="D8427" s="689">
        <v>57.5</v>
      </c>
      <c r="E8427" s="689">
        <v>57.8</v>
      </c>
      <c r="F8427" s="689">
        <v>57.8</v>
      </c>
      <c r="G8427" s="689">
        <v>57.9</v>
      </c>
      <c r="H8427" s="690" t="s">
        <v>4060</v>
      </c>
      <c r="I8427" s="690" t="s">
        <v>4060</v>
      </c>
      <c r="J8427" s="690" t="s">
        <v>4060</v>
      </c>
      <c r="K8427" s="690" t="s">
        <v>4060</v>
      </c>
    </row>
    <row r="8428" spans="1:11">
      <c r="A8428" s="688" t="s">
        <v>4066</v>
      </c>
      <c r="B8428" s="691">
        <v>57.3</v>
      </c>
      <c r="C8428" s="691">
        <v>57.7</v>
      </c>
      <c r="D8428" s="691">
        <v>57.5</v>
      </c>
      <c r="E8428" s="691">
        <v>57.8</v>
      </c>
      <c r="F8428" s="691">
        <v>57.9</v>
      </c>
      <c r="G8428" s="691">
        <v>57.9</v>
      </c>
      <c r="H8428" s="692" t="s">
        <v>4060</v>
      </c>
      <c r="I8428" s="692" t="s">
        <v>4060</v>
      </c>
      <c r="J8428" s="692" t="s">
        <v>4060</v>
      </c>
      <c r="K8428" s="692" t="s">
        <v>4060</v>
      </c>
    </row>
    <row r="8429" spans="1:11">
      <c r="A8429" s="688" t="s">
        <v>4062</v>
      </c>
      <c r="B8429" s="689">
        <v>59.9</v>
      </c>
      <c r="C8429" s="689">
        <v>60.1</v>
      </c>
      <c r="D8429" s="689">
        <v>60.1</v>
      </c>
      <c r="E8429" s="689">
        <v>60.6</v>
      </c>
      <c r="F8429" s="689">
        <v>60.7</v>
      </c>
      <c r="G8429" s="689">
        <v>60.9</v>
      </c>
      <c r="H8429" s="689">
        <v>61.1</v>
      </c>
      <c r="I8429" s="689">
        <v>60.7</v>
      </c>
      <c r="J8429" s="689">
        <v>61.1</v>
      </c>
      <c r="K8429" s="689">
        <v>60.8</v>
      </c>
    </row>
    <row r="8430" spans="1:11">
      <c r="A8430" s="688" t="s">
        <v>9</v>
      </c>
      <c r="B8430" s="691">
        <v>59.8</v>
      </c>
      <c r="C8430" s="691">
        <v>60.4</v>
      </c>
      <c r="D8430" s="691">
        <v>60.6</v>
      </c>
      <c r="E8430" s="691">
        <v>59.8</v>
      </c>
      <c r="F8430" s="691">
        <v>60.2</v>
      </c>
      <c r="G8430" s="691">
        <v>60.6</v>
      </c>
      <c r="H8430" s="691">
        <v>60.8</v>
      </c>
      <c r="I8430" s="615">
        <v>61</v>
      </c>
      <c r="J8430" s="691">
        <v>61.2</v>
      </c>
      <c r="K8430" s="691">
        <v>60.1</v>
      </c>
    </row>
    <row r="8431" spans="1:11">
      <c r="A8431" s="688" t="s">
        <v>13</v>
      </c>
      <c r="B8431" s="693">
        <v>60</v>
      </c>
      <c r="C8431" s="693">
        <v>60</v>
      </c>
      <c r="D8431" s="689">
        <v>60.6</v>
      </c>
      <c r="E8431" s="689">
        <v>59.6</v>
      </c>
      <c r="F8431" s="689">
        <v>60.6</v>
      </c>
      <c r="G8431" s="689">
        <v>59.4</v>
      </c>
      <c r="H8431" s="689">
        <v>61.4</v>
      </c>
      <c r="I8431" s="689">
        <v>60.1</v>
      </c>
      <c r="J8431" s="689">
        <v>61.1</v>
      </c>
      <c r="K8431" s="689">
        <v>62.1</v>
      </c>
    </row>
    <row r="8432" spans="1:11">
      <c r="A8432" s="688" t="s">
        <v>18</v>
      </c>
      <c r="B8432" s="691">
        <v>59.2</v>
      </c>
      <c r="C8432" s="691">
        <v>59.5</v>
      </c>
      <c r="D8432" s="691">
        <v>59.8</v>
      </c>
      <c r="E8432" s="615">
        <v>60</v>
      </c>
      <c r="F8432" s="691">
        <v>60.3</v>
      </c>
      <c r="G8432" s="691">
        <v>60.4</v>
      </c>
      <c r="H8432" s="691">
        <v>60.6</v>
      </c>
      <c r="I8432" s="691">
        <v>60.9</v>
      </c>
      <c r="J8432" s="615">
        <v>61</v>
      </c>
      <c r="K8432" s="691">
        <v>60.3</v>
      </c>
    </row>
    <row r="8433" spans="1:11">
      <c r="A8433" s="688" t="s">
        <v>24</v>
      </c>
      <c r="B8433" s="689">
        <v>60.3</v>
      </c>
      <c r="C8433" s="689">
        <v>60.5</v>
      </c>
      <c r="D8433" s="689">
        <v>60.3</v>
      </c>
      <c r="E8433" s="689">
        <v>60.9</v>
      </c>
      <c r="F8433" s="689">
        <v>60.9</v>
      </c>
      <c r="G8433" s="689">
        <v>61.2</v>
      </c>
      <c r="H8433" s="689">
        <v>61.4</v>
      </c>
      <c r="I8433" s="689">
        <v>60.6</v>
      </c>
      <c r="J8433" s="689">
        <v>61.1</v>
      </c>
      <c r="K8433" s="689">
        <v>61.2</v>
      </c>
    </row>
    <row r="8434" spans="1:11">
      <c r="A8434" s="688" t="s">
        <v>4059</v>
      </c>
      <c r="B8434" s="691">
        <v>58.8</v>
      </c>
      <c r="C8434" s="615">
        <v>59</v>
      </c>
      <c r="D8434" s="691">
        <v>58.8</v>
      </c>
      <c r="E8434" s="615">
        <v>59</v>
      </c>
      <c r="F8434" s="615">
        <v>59</v>
      </c>
      <c r="G8434" s="615">
        <v>59</v>
      </c>
      <c r="H8434" s="692" t="s">
        <v>4060</v>
      </c>
      <c r="I8434" s="692" t="s">
        <v>4060</v>
      </c>
      <c r="J8434" s="692" t="s">
        <v>4060</v>
      </c>
      <c r="K8434" s="692" t="s">
        <v>4060</v>
      </c>
    </row>
    <row r="8435" spans="1:11">
      <c r="A8435" s="688" t="s">
        <v>2324</v>
      </c>
      <c r="B8435" s="689">
        <v>53.7</v>
      </c>
      <c r="C8435" s="689">
        <v>53.7</v>
      </c>
      <c r="D8435" s="689">
        <v>53.8</v>
      </c>
      <c r="E8435" s="689">
        <v>53.5</v>
      </c>
      <c r="F8435" s="689">
        <v>53.4</v>
      </c>
      <c r="G8435" s="693">
        <v>54</v>
      </c>
      <c r="H8435" s="689">
        <v>53.6</v>
      </c>
      <c r="I8435" s="689">
        <v>52.7</v>
      </c>
      <c r="J8435" s="689">
        <v>50.1</v>
      </c>
      <c r="K8435" s="690" t="s">
        <v>4060</v>
      </c>
    </row>
    <row r="8436" spans="1:11">
      <c r="A8436" s="688" t="s">
        <v>2322</v>
      </c>
      <c r="B8436" s="692" t="s">
        <v>4060</v>
      </c>
      <c r="C8436" s="692" t="s">
        <v>4060</v>
      </c>
      <c r="D8436" s="692" t="s">
        <v>4060</v>
      </c>
      <c r="E8436" s="692" t="s">
        <v>4060</v>
      </c>
      <c r="F8436" s="692" t="s">
        <v>4060</v>
      </c>
      <c r="G8436" s="692" t="s">
        <v>4060</v>
      </c>
      <c r="H8436" s="692" t="s">
        <v>4060</v>
      </c>
      <c r="I8436" s="692" t="s">
        <v>4060</v>
      </c>
      <c r="J8436" s="692" t="s">
        <v>4060</v>
      </c>
      <c r="K8436" s="692" t="s">
        <v>4060</v>
      </c>
    </row>
    <row r="8437" spans="1:11">
      <c r="A8437" s="688" t="s">
        <v>2328</v>
      </c>
      <c r="B8437" s="689">
        <v>53.5</v>
      </c>
      <c r="C8437" s="689">
        <v>53.6</v>
      </c>
      <c r="D8437" s="689">
        <v>53.6</v>
      </c>
      <c r="E8437" s="689">
        <v>53.6</v>
      </c>
      <c r="F8437" s="689">
        <v>54.1</v>
      </c>
      <c r="G8437" s="689">
        <v>54.4</v>
      </c>
      <c r="H8437" s="689">
        <v>54.4</v>
      </c>
      <c r="I8437" s="689">
        <v>51.9</v>
      </c>
      <c r="J8437" s="689">
        <v>50.7</v>
      </c>
      <c r="K8437" s="690" t="s">
        <v>4060</v>
      </c>
    </row>
    <row r="8438" spans="1:11">
      <c r="A8438" s="688" t="s">
        <v>2496</v>
      </c>
      <c r="B8438" s="692" t="s">
        <v>4060</v>
      </c>
      <c r="C8438" s="691">
        <v>50.2</v>
      </c>
      <c r="D8438" s="691">
        <v>48.9</v>
      </c>
      <c r="E8438" s="691">
        <v>48.6</v>
      </c>
      <c r="F8438" s="691">
        <v>49.4</v>
      </c>
      <c r="G8438" s="691">
        <v>49.8</v>
      </c>
      <c r="H8438" s="691">
        <v>49.9</v>
      </c>
      <c r="I8438" s="692" t="s">
        <v>4060</v>
      </c>
      <c r="J8438" s="692" t="s">
        <v>4060</v>
      </c>
      <c r="K8438" s="691">
        <v>49.3</v>
      </c>
    </row>
    <row r="8439" spans="1:11">
      <c r="A8439" s="688" t="s">
        <v>2269</v>
      </c>
      <c r="B8439" s="689">
        <v>56.2</v>
      </c>
      <c r="C8439" s="689">
        <v>56.5</v>
      </c>
      <c r="D8439" s="689">
        <v>56.3</v>
      </c>
      <c r="E8439" s="689">
        <v>57.1</v>
      </c>
      <c r="F8439" s="689">
        <v>57.2</v>
      </c>
      <c r="G8439" s="689">
        <v>57.5</v>
      </c>
      <c r="H8439" s="689">
        <v>57.8</v>
      </c>
      <c r="I8439" s="689">
        <v>55.3</v>
      </c>
      <c r="J8439" s="689">
        <v>53.6</v>
      </c>
      <c r="K8439" s="689">
        <v>57.3</v>
      </c>
    </row>
    <row r="8440" spans="1:11">
      <c r="A8440" s="688" t="s">
        <v>2349</v>
      </c>
      <c r="B8440" s="691">
        <v>52.4</v>
      </c>
      <c r="C8440" s="691">
        <v>52.6</v>
      </c>
      <c r="D8440" s="691">
        <v>52.5</v>
      </c>
      <c r="E8440" s="615">
        <v>53</v>
      </c>
      <c r="F8440" s="691">
        <v>52.9</v>
      </c>
      <c r="G8440" s="691">
        <v>53.2</v>
      </c>
      <c r="H8440" s="691">
        <v>53.1</v>
      </c>
      <c r="I8440" s="691">
        <v>51.2</v>
      </c>
      <c r="J8440" s="691">
        <v>49.7</v>
      </c>
      <c r="K8440" s="691">
        <v>52.3</v>
      </c>
    </row>
    <row r="8441" spans="1:11">
      <c r="A8441" s="688" t="s">
        <v>2355</v>
      </c>
      <c r="B8441" s="693">
        <v>56</v>
      </c>
      <c r="C8441" s="689">
        <v>55.9</v>
      </c>
      <c r="D8441" s="689">
        <v>55.9</v>
      </c>
      <c r="E8441" s="689">
        <v>55.8</v>
      </c>
      <c r="F8441" s="689">
        <v>56.1</v>
      </c>
      <c r="G8441" s="689">
        <v>56.5</v>
      </c>
      <c r="H8441" s="689">
        <v>56.7</v>
      </c>
      <c r="I8441" s="690" t="s">
        <v>4060</v>
      </c>
      <c r="J8441" s="690" t="s">
        <v>4060</v>
      </c>
      <c r="K8441" s="690" t="s">
        <v>4060</v>
      </c>
    </row>
    <row r="8442" spans="1:11">
      <c r="A8442" s="688" t="s">
        <v>2357</v>
      </c>
      <c r="B8442" s="692" t="s">
        <v>4060</v>
      </c>
      <c r="C8442" s="691">
        <v>46.7</v>
      </c>
      <c r="D8442" s="691">
        <v>47.6</v>
      </c>
      <c r="E8442" s="615">
        <v>48</v>
      </c>
      <c r="F8442" s="691">
        <v>48.3</v>
      </c>
      <c r="G8442" s="615">
        <v>48</v>
      </c>
      <c r="H8442" s="691">
        <v>48.3</v>
      </c>
      <c r="I8442" s="692" t="s">
        <v>4060</v>
      </c>
      <c r="J8442" s="692" t="s">
        <v>4060</v>
      </c>
      <c r="K8442" s="692" t="s">
        <v>4060</v>
      </c>
    </row>
    <row r="8443" spans="1:11">
      <c r="A8443" s="688" t="s">
        <v>4070</v>
      </c>
      <c r="B8443" s="690" t="s">
        <v>4060</v>
      </c>
      <c r="C8443" s="690" t="s">
        <v>4060</v>
      </c>
      <c r="D8443" s="690" t="s">
        <v>4060</v>
      </c>
      <c r="E8443" s="689">
        <v>55.7</v>
      </c>
      <c r="F8443" s="690" t="s">
        <v>4060</v>
      </c>
      <c r="G8443" s="690" t="s">
        <v>4060</v>
      </c>
      <c r="H8443" s="690" t="s">
        <v>4060</v>
      </c>
      <c r="I8443" s="690" t="s">
        <v>4060</v>
      </c>
      <c r="J8443" s="690" t="s">
        <v>4060</v>
      </c>
      <c r="K8443" s="690" t="s">
        <v>4060</v>
      </c>
    </row>
    <row r="8444" spans="1:11">
      <c r="A8444" s="688" t="s">
        <v>2491</v>
      </c>
      <c r="B8444" s="691">
        <v>46.9</v>
      </c>
      <c r="C8444" s="691">
        <v>47.5</v>
      </c>
      <c r="D8444" s="691">
        <v>48.2</v>
      </c>
      <c r="E8444" s="691">
        <v>48.6</v>
      </c>
      <c r="F8444" s="691">
        <v>48.8</v>
      </c>
      <c r="G8444" s="691">
        <v>48.8</v>
      </c>
      <c r="H8444" s="692" t="s">
        <v>4060</v>
      </c>
      <c r="I8444" s="692" t="s">
        <v>4060</v>
      </c>
      <c r="J8444" s="692" t="s">
        <v>4060</v>
      </c>
      <c r="K8444" s="692" t="s">
        <v>4060</v>
      </c>
    </row>
    <row r="8445" spans="1:11">
      <c r="A8445" s="688" t="s">
        <v>2343</v>
      </c>
      <c r="B8445" s="690" t="s">
        <v>4060</v>
      </c>
      <c r="C8445" s="690" t="s">
        <v>4060</v>
      </c>
      <c r="D8445" s="690" t="s">
        <v>4060</v>
      </c>
      <c r="E8445" s="690" t="s">
        <v>4060</v>
      </c>
      <c r="F8445" s="690" t="s">
        <v>4060</v>
      </c>
      <c r="G8445" s="690" t="s">
        <v>4060</v>
      </c>
      <c r="H8445" s="690" t="s">
        <v>4060</v>
      </c>
      <c r="I8445" s="690" t="s">
        <v>4060</v>
      </c>
      <c r="J8445" s="690" t="s">
        <v>4060</v>
      </c>
      <c r="K8445" s="690" t="s">
        <v>4060</v>
      </c>
    </row>
    <row r="8446" spans="1:11">
      <c r="A8446" s="688" t="s">
        <v>4071</v>
      </c>
      <c r="B8446" s="692" t="s">
        <v>4060</v>
      </c>
      <c r="C8446" s="692" t="s">
        <v>4060</v>
      </c>
      <c r="D8446" s="692" t="s">
        <v>4060</v>
      </c>
      <c r="E8446" s="692" t="s">
        <v>4060</v>
      </c>
      <c r="F8446" s="692" t="s">
        <v>4060</v>
      </c>
      <c r="G8446" s="692" t="s">
        <v>4060</v>
      </c>
      <c r="H8446" s="692" t="s">
        <v>4060</v>
      </c>
      <c r="I8446" s="692" t="s">
        <v>4060</v>
      </c>
      <c r="J8446" s="692" t="s">
        <v>4060</v>
      </c>
      <c r="K8446" s="692" t="s">
        <v>4060</v>
      </c>
    </row>
    <row r="8447" spans="1:11">
      <c r="A8447" s="688" t="s">
        <v>2489</v>
      </c>
      <c r="B8447" s="690" t="s">
        <v>4060</v>
      </c>
      <c r="C8447" s="690" t="s">
        <v>4060</v>
      </c>
      <c r="D8447" s="689">
        <v>51.8</v>
      </c>
      <c r="E8447" s="689">
        <v>51.9</v>
      </c>
      <c r="F8447" s="689">
        <v>52.5</v>
      </c>
      <c r="G8447" s="689">
        <v>53.3</v>
      </c>
      <c r="H8447" s="693">
        <v>53</v>
      </c>
      <c r="I8447" s="690" t="s">
        <v>4060</v>
      </c>
      <c r="J8447" s="690" t="s">
        <v>4060</v>
      </c>
      <c r="K8447" s="690" t="s">
        <v>4060</v>
      </c>
    </row>
    <row r="8448" spans="1:11">
      <c r="A8448" s="688" t="s">
        <v>2490</v>
      </c>
      <c r="B8448" s="691">
        <v>52.5</v>
      </c>
      <c r="C8448" s="691">
        <v>52.7</v>
      </c>
      <c r="D8448" s="691">
        <v>53.4</v>
      </c>
      <c r="E8448" s="692" t="s">
        <v>4060</v>
      </c>
      <c r="F8448" s="691">
        <v>53.7</v>
      </c>
      <c r="G8448" s="615">
        <v>54</v>
      </c>
      <c r="H8448" s="691">
        <v>54.8</v>
      </c>
      <c r="I8448" s="692" t="s">
        <v>4060</v>
      </c>
      <c r="J8448" s="692" t="s">
        <v>4060</v>
      </c>
      <c r="K8448" s="692" t="s">
        <v>4060</v>
      </c>
    </row>
    <row r="8450" spans="1:11">
      <c r="A8450" s="683" t="s">
        <v>4233</v>
      </c>
    </row>
    <row r="8451" spans="1:11">
      <c r="A8451" s="683" t="s">
        <v>4060</v>
      </c>
      <c r="B8451" s="682" t="s">
        <v>4234</v>
      </c>
    </row>
    <row r="8453" spans="1:11">
      <c r="A8453" s="682" t="s">
        <v>4331</v>
      </c>
    </row>
    <row r="8454" spans="1:11">
      <c r="A8454" s="682" t="s">
        <v>4210</v>
      </c>
      <c r="B8454" s="683" t="s">
        <v>4211</v>
      </c>
    </row>
    <row r="8455" spans="1:11">
      <c r="A8455" s="682" t="s">
        <v>4212</v>
      </c>
      <c r="B8455" s="682" t="s">
        <v>4213</v>
      </c>
    </row>
    <row r="8457" spans="1:11">
      <c r="A8457" s="683" t="s">
        <v>4214</v>
      </c>
      <c r="C8457" s="682" t="s">
        <v>4215</v>
      </c>
    </row>
    <row r="8458" spans="1:11">
      <c r="A8458" s="683" t="s">
        <v>4216</v>
      </c>
      <c r="C8458" s="682" t="s">
        <v>2967</v>
      </c>
    </row>
    <row r="8459" spans="1:11">
      <c r="A8459" s="683" t="s">
        <v>3893</v>
      </c>
      <c r="C8459" s="682" t="s">
        <v>2168</v>
      </c>
    </row>
    <row r="8460" spans="1:11">
      <c r="A8460" s="683" t="s">
        <v>4218</v>
      </c>
      <c r="C8460" s="682" t="s">
        <v>4257</v>
      </c>
    </row>
    <row r="8462" spans="1:11">
      <c r="A8462" s="684" t="s">
        <v>4220</v>
      </c>
      <c r="B8462" s="685" t="s">
        <v>4221</v>
      </c>
      <c r="C8462" s="685" t="s">
        <v>4222</v>
      </c>
      <c r="D8462" s="685" t="s">
        <v>4223</v>
      </c>
      <c r="E8462" s="685" t="s">
        <v>4224</v>
      </c>
      <c r="F8462" s="685" t="s">
        <v>4225</v>
      </c>
      <c r="G8462" s="685" t="s">
        <v>4226</v>
      </c>
      <c r="H8462" s="685" t="s">
        <v>4227</v>
      </c>
      <c r="I8462" s="685" t="s">
        <v>4228</v>
      </c>
      <c r="J8462" s="685" t="s">
        <v>4229</v>
      </c>
      <c r="K8462" s="685" t="s">
        <v>4230</v>
      </c>
    </row>
    <row r="8463" spans="1:11">
      <c r="A8463" s="686" t="s">
        <v>4231</v>
      </c>
      <c r="B8463" s="687" t="s">
        <v>4232</v>
      </c>
      <c r="C8463" s="687" t="s">
        <v>4232</v>
      </c>
      <c r="D8463" s="687" t="s">
        <v>4232</v>
      </c>
      <c r="E8463" s="687" t="s">
        <v>4232</v>
      </c>
      <c r="F8463" s="687" t="s">
        <v>4232</v>
      </c>
      <c r="G8463" s="687" t="s">
        <v>4232</v>
      </c>
      <c r="H8463" s="687" t="s">
        <v>4232</v>
      </c>
      <c r="I8463" s="687" t="s">
        <v>4232</v>
      </c>
      <c r="J8463" s="687" t="s">
        <v>4232</v>
      </c>
      <c r="K8463" s="687" t="s">
        <v>4232</v>
      </c>
    </row>
    <row r="8464" spans="1:11">
      <c r="A8464" s="688" t="s">
        <v>4064</v>
      </c>
      <c r="B8464" s="691">
        <v>56.1</v>
      </c>
      <c r="C8464" s="691">
        <v>56.3</v>
      </c>
      <c r="D8464" s="691">
        <v>56.3</v>
      </c>
      <c r="E8464" s="691">
        <v>56.4</v>
      </c>
      <c r="F8464" s="691">
        <v>56.5</v>
      </c>
      <c r="G8464" s="691">
        <v>56.6</v>
      </c>
      <c r="H8464" s="691">
        <v>56.9</v>
      </c>
      <c r="I8464" s="615">
        <v>56</v>
      </c>
      <c r="J8464" s="691">
        <v>55.7</v>
      </c>
      <c r="K8464" s="691">
        <v>56.4</v>
      </c>
    </row>
    <row r="8465" spans="1:11">
      <c r="A8465" s="688" t="s">
        <v>4065</v>
      </c>
      <c r="B8465" s="689">
        <v>56.3</v>
      </c>
      <c r="C8465" s="689">
        <v>56.7</v>
      </c>
      <c r="D8465" s="689">
        <v>56.5</v>
      </c>
      <c r="E8465" s="689">
        <v>56.8</v>
      </c>
      <c r="F8465" s="689">
        <v>56.8</v>
      </c>
      <c r="G8465" s="689">
        <v>56.9</v>
      </c>
      <c r="H8465" s="690" t="s">
        <v>4060</v>
      </c>
      <c r="I8465" s="690" t="s">
        <v>4060</v>
      </c>
      <c r="J8465" s="690" t="s">
        <v>4060</v>
      </c>
      <c r="K8465" s="690" t="s">
        <v>4060</v>
      </c>
    </row>
    <row r="8466" spans="1:11">
      <c r="A8466" s="688" t="s">
        <v>4063</v>
      </c>
      <c r="B8466" s="691">
        <v>56.4</v>
      </c>
      <c r="C8466" s="691">
        <v>56.7</v>
      </c>
      <c r="D8466" s="691">
        <v>56.5</v>
      </c>
      <c r="E8466" s="691">
        <v>56.8</v>
      </c>
      <c r="F8466" s="691">
        <v>56.9</v>
      </c>
      <c r="G8466" s="615">
        <v>57</v>
      </c>
      <c r="H8466" s="692" t="s">
        <v>4060</v>
      </c>
      <c r="I8466" s="692" t="s">
        <v>4060</v>
      </c>
      <c r="J8466" s="692" t="s">
        <v>4060</v>
      </c>
      <c r="K8466" s="692" t="s">
        <v>4060</v>
      </c>
    </row>
    <row r="8467" spans="1:11">
      <c r="A8467" s="688" t="s">
        <v>4069</v>
      </c>
      <c r="B8467" s="690" t="s">
        <v>4060</v>
      </c>
      <c r="C8467" s="689">
        <v>57.5</v>
      </c>
      <c r="D8467" s="689">
        <v>57.2</v>
      </c>
      <c r="E8467" s="689">
        <v>57.6</v>
      </c>
      <c r="F8467" s="689">
        <v>57.7</v>
      </c>
      <c r="G8467" s="689">
        <v>57.8</v>
      </c>
      <c r="H8467" s="689">
        <v>58.1</v>
      </c>
      <c r="I8467" s="689">
        <v>57.3</v>
      </c>
      <c r="J8467" s="689">
        <v>57.3</v>
      </c>
      <c r="K8467" s="689">
        <v>57.6</v>
      </c>
    </row>
    <row r="8468" spans="1:11">
      <c r="A8468" s="688" t="s">
        <v>4068</v>
      </c>
      <c r="B8468" s="691">
        <v>57.3</v>
      </c>
      <c r="C8468" s="692" t="s">
        <v>4060</v>
      </c>
      <c r="D8468" s="692" t="s">
        <v>4060</v>
      </c>
      <c r="E8468" s="692" t="s">
        <v>4060</v>
      </c>
      <c r="F8468" s="692" t="s">
        <v>4060</v>
      </c>
      <c r="G8468" s="692" t="s">
        <v>4060</v>
      </c>
      <c r="H8468" s="692" t="s">
        <v>4060</v>
      </c>
      <c r="I8468" s="692" t="s">
        <v>4060</v>
      </c>
      <c r="J8468" s="692" t="s">
        <v>4060</v>
      </c>
      <c r="K8468" s="692" t="s">
        <v>4060</v>
      </c>
    </row>
    <row r="8469" spans="1:11">
      <c r="A8469" s="688" t="s">
        <v>0</v>
      </c>
      <c r="B8469" s="689">
        <v>56.7</v>
      </c>
      <c r="C8469" s="689">
        <v>57.2</v>
      </c>
      <c r="D8469" s="689">
        <v>57.1</v>
      </c>
      <c r="E8469" s="689">
        <v>57.4</v>
      </c>
      <c r="F8469" s="689">
        <v>57.6</v>
      </c>
      <c r="G8469" s="689">
        <v>57.8</v>
      </c>
      <c r="H8469" s="689">
        <v>58.2</v>
      </c>
      <c r="I8469" s="693">
        <v>57</v>
      </c>
      <c r="J8469" s="689">
        <v>57.8</v>
      </c>
      <c r="K8469" s="689">
        <v>58.1</v>
      </c>
    </row>
    <row r="8470" spans="1:11">
      <c r="A8470" s="688" t="s">
        <v>1</v>
      </c>
      <c r="B8470" s="691">
        <v>50.5</v>
      </c>
      <c r="C8470" s="691">
        <v>50.1</v>
      </c>
      <c r="D8470" s="691">
        <v>50.1</v>
      </c>
      <c r="E8470" s="691">
        <v>50.2</v>
      </c>
      <c r="F8470" s="691">
        <v>50.2</v>
      </c>
      <c r="G8470" s="691">
        <v>50.2</v>
      </c>
      <c r="H8470" s="691">
        <v>50.2</v>
      </c>
      <c r="I8470" s="691">
        <v>48.4</v>
      </c>
      <c r="J8470" s="691">
        <v>46.6</v>
      </c>
      <c r="K8470" s="691">
        <v>49.3</v>
      </c>
    </row>
    <row r="8471" spans="1:11">
      <c r="A8471" s="688" t="s">
        <v>2240</v>
      </c>
      <c r="B8471" s="689">
        <v>53.8</v>
      </c>
      <c r="C8471" s="689">
        <v>54.3</v>
      </c>
      <c r="D8471" s="689">
        <v>54.1</v>
      </c>
      <c r="E8471" s="689">
        <v>54.6</v>
      </c>
      <c r="F8471" s="689">
        <v>54.5</v>
      </c>
      <c r="G8471" s="689">
        <v>54.6</v>
      </c>
      <c r="H8471" s="689">
        <v>54.9</v>
      </c>
      <c r="I8471" s="689">
        <v>53.8</v>
      </c>
      <c r="J8471" s="689">
        <v>52.6</v>
      </c>
      <c r="K8471" s="689">
        <v>54.6</v>
      </c>
    </row>
    <row r="8472" spans="1:11">
      <c r="A8472" s="688" t="s">
        <v>2</v>
      </c>
      <c r="B8472" s="691">
        <v>56.8</v>
      </c>
      <c r="C8472" s="691">
        <v>57.1</v>
      </c>
      <c r="D8472" s="691">
        <v>57.3</v>
      </c>
      <c r="E8472" s="691">
        <v>57.4</v>
      </c>
      <c r="F8472" s="691">
        <v>57.7</v>
      </c>
      <c r="G8472" s="691">
        <v>57.6</v>
      </c>
      <c r="H8472" s="691">
        <v>57.9</v>
      </c>
      <c r="I8472" s="691">
        <v>58.1</v>
      </c>
      <c r="J8472" s="615">
        <v>58</v>
      </c>
      <c r="K8472" s="691">
        <v>57.9</v>
      </c>
    </row>
    <row r="8473" spans="1:11">
      <c r="A8473" s="688" t="s">
        <v>3</v>
      </c>
      <c r="B8473" s="689">
        <v>56.7</v>
      </c>
      <c r="C8473" s="693">
        <v>57</v>
      </c>
      <c r="D8473" s="689">
        <v>56.7</v>
      </c>
      <c r="E8473" s="689">
        <v>56.9</v>
      </c>
      <c r="F8473" s="689">
        <v>57.1</v>
      </c>
      <c r="G8473" s="693">
        <v>57</v>
      </c>
      <c r="H8473" s="689">
        <v>57.4</v>
      </c>
      <c r="I8473" s="689">
        <v>57.1</v>
      </c>
      <c r="J8473" s="689">
        <v>56.7</v>
      </c>
      <c r="K8473" s="689">
        <v>56.6</v>
      </c>
    </row>
    <row r="8474" spans="1:11">
      <c r="A8474" s="688" t="s">
        <v>4061</v>
      </c>
      <c r="B8474" s="691">
        <v>56.7</v>
      </c>
      <c r="C8474" s="615">
        <v>57</v>
      </c>
      <c r="D8474" s="691">
        <v>56.7</v>
      </c>
      <c r="E8474" s="691">
        <v>56.9</v>
      </c>
      <c r="F8474" s="691">
        <v>57.1</v>
      </c>
      <c r="G8474" s="615">
        <v>57</v>
      </c>
      <c r="H8474" s="691">
        <v>57.4</v>
      </c>
      <c r="I8474" s="691">
        <v>57.1</v>
      </c>
      <c r="J8474" s="691">
        <v>56.7</v>
      </c>
      <c r="K8474" s="691">
        <v>56.6</v>
      </c>
    </row>
    <row r="8475" spans="1:11">
      <c r="A8475" s="688" t="s">
        <v>4</v>
      </c>
      <c r="B8475" s="689">
        <v>51.4</v>
      </c>
      <c r="C8475" s="693">
        <v>51</v>
      </c>
      <c r="D8475" s="689">
        <v>51.7</v>
      </c>
      <c r="E8475" s="689">
        <v>51.8</v>
      </c>
      <c r="F8475" s="689">
        <v>52.2</v>
      </c>
      <c r="G8475" s="689">
        <v>52.4</v>
      </c>
      <c r="H8475" s="689">
        <v>52.9</v>
      </c>
      <c r="I8475" s="689">
        <v>52.8</v>
      </c>
      <c r="J8475" s="689">
        <v>51.3</v>
      </c>
      <c r="K8475" s="689">
        <v>52.2</v>
      </c>
    </row>
    <row r="8476" spans="1:11">
      <c r="A8476" s="688" t="s">
        <v>8</v>
      </c>
      <c r="B8476" s="691">
        <v>57.5</v>
      </c>
      <c r="C8476" s="691">
        <v>57.8</v>
      </c>
      <c r="D8476" s="615">
        <v>58</v>
      </c>
      <c r="E8476" s="691">
        <v>58.2</v>
      </c>
      <c r="F8476" s="691">
        <v>58.6</v>
      </c>
      <c r="G8476" s="691">
        <v>58.6</v>
      </c>
      <c r="H8476" s="615">
        <v>59</v>
      </c>
      <c r="I8476" s="615">
        <v>59</v>
      </c>
      <c r="J8476" s="691">
        <v>58.7</v>
      </c>
      <c r="K8476" s="691">
        <v>59.2</v>
      </c>
    </row>
    <row r="8477" spans="1:11">
      <c r="A8477" s="688" t="s">
        <v>7</v>
      </c>
      <c r="B8477" s="689">
        <v>57.3</v>
      </c>
      <c r="C8477" s="689">
        <v>56.8</v>
      </c>
      <c r="D8477" s="689">
        <v>56.6</v>
      </c>
      <c r="E8477" s="693">
        <v>57</v>
      </c>
      <c r="F8477" s="689">
        <v>56.9</v>
      </c>
      <c r="G8477" s="689">
        <v>57.3</v>
      </c>
      <c r="H8477" s="689">
        <v>57.3</v>
      </c>
      <c r="I8477" s="693">
        <v>57</v>
      </c>
      <c r="J8477" s="689">
        <v>55.9</v>
      </c>
      <c r="K8477" s="689">
        <v>56.7</v>
      </c>
    </row>
    <row r="8478" spans="1:11">
      <c r="A8478" s="688" t="s">
        <v>27</v>
      </c>
      <c r="B8478" s="691">
        <v>58.6</v>
      </c>
      <c r="C8478" s="691">
        <v>58.5</v>
      </c>
      <c r="D8478" s="691">
        <v>58.3</v>
      </c>
      <c r="E8478" s="691">
        <v>58.7</v>
      </c>
      <c r="F8478" s="691">
        <v>58.7</v>
      </c>
      <c r="G8478" s="691">
        <v>58.8</v>
      </c>
      <c r="H8478" s="691">
        <v>59.2</v>
      </c>
      <c r="I8478" s="691">
        <v>57.9</v>
      </c>
      <c r="J8478" s="691">
        <v>58.6</v>
      </c>
      <c r="K8478" s="691">
        <v>58.8</v>
      </c>
    </row>
    <row r="8479" spans="1:11">
      <c r="A8479" s="688" t="s">
        <v>6</v>
      </c>
      <c r="B8479" s="689">
        <v>57.6</v>
      </c>
      <c r="C8479" s="689">
        <v>57.8</v>
      </c>
      <c r="D8479" s="689">
        <v>57.6</v>
      </c>
      <c r="E8479" s="689">
        <v>57.9</v>
      </c>
      <c r="F8479" s="693">
        <v>58</v>
      </c>
      <c r="G8479" s="689">
        <v>58.2</v>
      </c>
      <c r="H8479" s="689">
        <v>58.3</v>
      </c>
      <c r="I8479" s="689">
        <v>57.7</v>
      </c>
      <c r="J8479" s="689">
        <v>57.8</v>
      </c>
      <c r="K8479" s="693">
        <v>58</v>
      </c>
    </row>
    <row r="8480" spans="1:11">
      <c r="A8480" s="688" t="s">
        <v>4058</v>
      </c>
      <c r="B8480" s="692" t="s">
        <v>4060</v>
      </c>
      <c r="C8480" s="692" t="s">
        <v>4060</v>
      </c>
      <c r="D8480" s="692" t="s">
        <v>4060</v>
      </c>
      <c r="E8480" s="692" t="s">
        <v>4060</v>
      </c>
      <c r="F8480" s="692" t="s">
        <v>4060</v>
      </c>
      <c r="G8480" s="692" t="s">
        <v>4060</v>
      </c>
      <c r="H8480" s="692" t="s">
        <v>4060</v>
      </c>
      <c r="I8480" s="692" t="s">
        <v>4060</v>
      </c>
      <c r="J8480" s="692" t="s">
        <v>4060</v>
      </c>
      <c r="K8480" s="692" t="s">
        <v>4060</v>
      </c>
    </row>
    <row r="8481" spans="1:11">
      <c r="A8481" s="688" t="s">
        <v>11</v>
      </c>
      <c r="B8481" s="689">
        <v>53.2</v>
      </c>
      <c r="C8481" s="689">
        <v>53.3</v>
      </c>
      <c r="D8481" s="689">
        <v>52.9</v>
      </c>
      <c r="E8481" s="689">
        <v>53.5</v>
      </c>
      <c r="F8481" s="689">
        <v>53.5</v>
      </c>
      <c r="G8481" s="689">
        <v>53.5</v>
      </c>
      <c r="H8481" s="689">
        <v>53.8</v>
      </c>
      <c r="I8481" s="689">
        <v>53.1</v>
      </c>
      <c r="J8481" s="689">
        <v>52.1</v>
      </c>
      <c r="K8481" s="689">
        <v>53.3</v>
      </c>
    </row>
    <row r="8482" spans="1:11">
      <c r="A8482" s="688" t="s">
        <v>10</v>
      </c>
      <c r="B8482" s="691">
        <v>58.8</v>
      </c>
      <c r="C8482" s="691">
        <v>58.9</v>
      </c>
      <c r="D8482" s="691">
        <v>58.6</v>
      </c>
      <c r="E8482" s="691">
        <v>59.2</v>
      </c>
      <c r="F8482" s="691">
        <v>59.1</v>
      </c>
      <c r="G8482" s="691">
        <v>59.4</v>
      </c>
      <c r="H8482" s="691">
        <v>59.6</v>
      </c>
      <c r="I8482" s="691">
        <v>58.3</v>
      </c>
      <c r="J8482" s="691">
        <v>58.8</v>
      </c>
      <c r="K8482" s="615">
        <v>59</v>
      </c>
    </row>
    <row r="8483" spans="1:11">
      <c r="A8483" s="688" t="s">
        <v>30</v>
      </c>
      <c r="B8483" s="689">
        <v>58.6</v>
      </c>
      <c r="C8483" s="689">
        <v>58.8</v>
      </c>
      <c r="D8483" s="689">
        <v>58.5</v>
      </c>
      <c r="E8483" s="689">
        <v>59.1</v>
      </c>
      <c r="F8483" s="689">
        <v>58.8</v>
      </c>
      <c r="G8483" s="689">
        <v>59.6</v>
      </c>
      <c r="H8483" s="689">
        <v>59.2</v>
      </c>
      <c r="I8483" s="689">
        <v>59.2</v>
      </c>
      <c r="J8483" s="689">
        <v>58.3</v>
      </c>
      <c r="K8483" s="689">
        <v>58.9</v>
      </c>
    </row>
    <row r="8484" spans="1:11">
      <c r="A8484" s="688" t="s">
        <v>12</v>
      </c>
      <c r="B8484" s="691">
        <v>48.1</v>
      </c>
      <c r="C8484" s="691">
        <v>47.9</v>
      </c>
      <c r="D8484" s="691">
        <v>48.4</v>
      </c>
      <c r="E8484" s="691">
        <v>48.4</v>
      </c>
      <c r="F8484" s="691">
        <v>48.6</v>
      </c>
      <c r="G8484" s="691">
        <v>48.7</v>
      </c>
      <c r="H8484" s="691">
        <v>49.5</v>
      </c>
      <c r="I8484" s="691">
        <v>49.3</v>
      </c>
      <c r="J8484" s="691">
        <v>46.8</v>
      </c>
      <c r="K8484" s="615">
        <v>48</v>
      </c>
    </row>
    <row r="8485" spans="1:11">
      <c r="A8485" s="688" t="s">
        <v>14</v>
      </c>
      <c r="B8485" s="689">
        <v>47.4</v>
      </c>
      <c r="C8485" s="693">
        <v>48</v>
      </c>
      <c r="D8485" s="693">
        <v>48</v>
      </c>
      <c r="E8485" s="689">
        <v>48.2</v>
      </c>
      <c r="F8485" s="689">
        <v>49.4</v>
      </c>
      <c r="G8485" s="689">
        <v>49.6</v>
      </c>
      <c r="H8485" s="689">
        <v>50.1</v>
      </c>
      <c r="I8485" s="689">
        <v>48.8</v>
      </c>
      <c r="J8485" s="689">
        <v>48.3</v>
      </c>
      <c r="K8485" s="689">
        <v>49.9</v>
      </c>
    </row>
    <row r="8486" spans="1:11">
      <c r="A8486" s="688" t="s">
        <v>15</v>
      </c>
      <c r="B8486" s="691">
        <v>58.4</v>
      </c>
      <c r="C8486" s="691">
        <v>57.6</v>
      </c>
      <c r="D8486" s="691">
        <v>58.4</v>
      </c>
      <c r="E8486" s="691">
        <v>58.4</v>
      </c>
      <c r="F8486" s="691">
        <v>58.3</v>
      </c>
      <c r="G8486" s="691">
        <v>58.4</v>
      </c>
      <c r="H8486" s="691">
        <v>58.8</v>
      </c>
      <c r="I8486" s="691">
        <v>58.4</v>
      </c>
      <c r="J8486" s="691">
        <v>58.8</v>
      </c>
      <c r="K8486" s="691">
        <v>59.3</v>
      </c>
    </row>
    <row r="8487" spans="1:11">
      <c r="A8487" s="688" t="s">
        <v>29</v>
      </c>
      <c r="B8487" s="689">
        <v>50.9</v>
      </c>
      <c r="C8487" s="689">
        <v>50.9</v>
      </c>
      <c r="D8487" s="689">
        <v>50.9</v>
      </c>
      <c r="E8487" s="689">
        <v>51.1</v>
      </c>
      <c r="F8487" s="693">
        <v>51</v>
      </c>
      <c r="G8487" s="689">
        <v>51.1</v>
      </c>
      <c r="H8487" s="689">
        <v>51.5</v>
      </c>
      <c r="I8487" s="689">
        <v>50.8</v>
      </c>
      <c r="J8487" s="689">
        <v>49.2</v>
      </c>
      <c r="K8487" s="689">
        <v>51.1</v>
      </c>
    </row>
    <row r="8488" spans="1:11">
      <c r="A8488" s="688" t="s">
        <v>16</v>
      </c>
      <c r="B8488" s="691">
        <v>58.3</v>
      </c>
      <c r="C8488" s="691">
        <v>58.2</v>
      </c>
      <c r="D8488" s="691">
        <v>58.4</v>
      </c>
      <c r="E8488" s="691">
        <v>59.1</v>
      </c>
      <c r="F8488" s="691">
        <v>58.8</v>
      </c>
      <c r="G8488" s="691">
        <v>58.8</v>
      </c>
      <c r="H8488" s="691">
        <v>59.4</v>
      </c>
      <c r="I8488" s="691">
        <v>58.3</v>
      </c>
      <c r="J8488" s="691">
        <v>58.9</v>
      </c>
      <c r="K8488" s="691">
        <v>58.9</v>
      </c>
    </row>
    <row r="8489" spans="1:11">
      <c r="A8489" s="688" t="s">
        <v>17</v>
      </c>
      <c r="B8489" s="689">
        <v>58.1</v>
      </c>
      <c r="C8489" s="689">
        <v>58.4</v>
      </c>
      <c r="D8489" s="689">
        <v>58.2</v>
      </c>
      <c r="E8489" s="689">
        <v>58.4</v>
      </c>
      <c r="F8489" s="689">
        <v>58.6</v>
      </c>
      <c r="G8489" s="689">
        <v>58.7</v>
      </c>
      <c r="H8489" s="693">
        <v>59</v>
      </c>
      <c r="I8489" s="689">
        <v>58.2</v>
      </c>
      <c r="J8489" s="689">
        <v>58.2</v>
      </c>
      <c r="K8489" s="689">
        <v>58.6</v>
      </c>
    </row>
    <row r="8490" spans="1:11">
      <c r="A8490" s="688" t="s">
        <v>19</v>
      </c>
      <c r="B8490" s="691">
        <v>57.2</v>
      </c>
      <c r="C8490" s="691">
        <v>57.5</v>
      </c>
      <c r="D8490" s="691">
        <v>57.2</v>
      </c>
      <c r="E8490" s="691">
        <v>57.7</v>
      </c>
      <c r="F8490" s="691">
        <v>57.8</v>
      </c>
      <c r="G8490" s="691">
        <v>57.8</v>
      </c>
      <c r="H8490" s="691">
        <v>58.1</v>
      </c>
      <c r="I8490" s="691">
        <v>57.5</v>
      </c>
      <c r="J8490" s="691">
        <v>57.3</v>
      </c>
      <c r="K8490" s="691">
        <v>57.5</v>
      </c>
    </row>
    <row r="8491" spans="1:11">
      <c r="A8491" s="688" t="s">
        <v>20</v>
      </c>
      <c r="B8491" s="689">
        <v>51.8</v>
      </c>
      <c r="C8491" s="689">
        <v>52.3</v>
      </c>
      <c r="D8491" s="689">
        <v>52.1</v>
      </c>
      <c r="E8491" s="689">
        <v>52.4</v>
      </c>
      <c r="F8491" s="689">
        <v>52.4</v>
      </c>
      <c r="G8491" s="689">
        <v>52.3</v>
      </c>
      <c r="H8491" s="689">
        <v>52.6</v>
      </c>
      <c r="I8491" s="693">
        <v>51</v>
      </c>
      <c r="J8491" s="689">
        <v>50.1</v>
      </c>
      <c r="K8491" s="689">
        <v>51.9</v>
      </c>
    </row>
    <row r="8492" spans="1:11">
      <c r="A8492" s="688" t="s">
        <v>21</v>
      </c>
      <c r="B8492" s="691">
        <v>56.1</v>
      </c>
      <c r="C8492" s="691">
        <v>56.6</v>
      </c>
      <c r="D8492" s="691">
        <v>56.7</v>
      </c>
      <c r="E8492" s="691">
        <v>56.8</v>
      </c>
      <c r="F8492" s="691">
        <v>57.1</v>
      </c>
      <c r="G8492" s="615">
        <v>57</v>
      </c>
      <c r="H8492" s="691">
        <v>57.5</v>
      </c>
      <c r="I8492" s="691">
        <v>56.8</v>
      </c>
      <c r="J8492" s="691">
        <v>56.9</v>
      </c>
      <c r="K8492" s="691">
        <v>57.3</v>
      </c>
    </row>
    <row r="8493" spans="1:11">
      <c r="A8493" s="688" t="s">
        <v>22</v>
      </c>
      <c r="B8493" s="689">
        <v>50.8</v>
      </c>
      <c r="C8493" s="689">
        <v>50.5</v>
      </c>
      <c r="D8493" s="689">
        <v>50.5</v>
      </c>
      <c r="E8493" s="689">
        <v>50.6</v>
      </c>
      <c r="F8493" s="689">
        <v>50.6</v>
      </c>
      <c r="G8493" s="689">
        <v>50.6</v>
      </c>
      <c r="H8493" s="689">
        <v>50.8</v>
      </c>
      <c r="I8493" s="689">
        <v>49.1</v>
      </c>
      <c r="J8493" s="693">
        <v>48</v>
      </c>
      <c r="K8493" s="689">
        <v>50.1</v>
      </c>
    </row>
    <row r="8494" spans="1:11">
      <c r="A8494" s="688" t="s">
        <v>26</v>
      </c>
      <c r="B8494" s="691">
        <v>55.7</v>
      </c>
      <c r="C8494" s="691">
        <v>56.4</v>
      </c>
      <c r="D8494" s="691">
        <v>56.1</v>
      </c>
      <c r="E8494" s="691">
        <v>56.5</v>
      </c>
      <c r="F8494" s="691">
        <v>56.5</v>
      </c>
      <c r="G8494" s="691">
        <v>56.8</v>
      </c>
      <c r="H8494" s="615">
        <v>57</v>
      </c>
      <c r="I8494" s="691">
        <v>56.2</v>
      </c>
      <c r="J8494" s="615">
        <v>56</v>
      </c>
      <c r="K8494" s="691">
        <v>56.9</v>
      </c>
    </row>
    <row r="8495" spans="1:11">
      <c r="A8495" s="688" t="s">
        <v>25</v>
      </c>
      <c r="B8495" s="689">
        <v>51.7</v>
      </c>
      <c r="C8495" s="689">
        <v>52.1</v>
      </c>
      <c r="D8495" s="693">
        <v>52</v>
      </c>
      <c r="E8495" s="689">
        <v>52.6</v>
      </c>
      <c r="F8495" s="689">
        <v>52.6</v>
      </c>
      <c r="G8495" s="689">
        <v>52.7</v>
      </c>
      <c r="H8495" s="689">
        <v>53.1</v>
      </c>
      <c r="I8495" s="689">
        <v>52.3</v>
      </c>
      <c r="J8495" s="689">
        <v>49.9</v>
      </c>
      <c r="K8495" s="689">
        <v>52.4</v>
      </c>
    </row>
    <row r="8496" spans="1:11">
      <c r="A8496" s="688" t="s">
        <v>5</v>
      </c>
      <c r="B8496" s="691">
        <v>56.5</v>
      </c>
      <c r="C8496" s="691">
        <v>56.7</v>
      </c>
      <c r="D8496" s="691">
        <v>56.9</v>
      </c>
      <c r="E8496" s="691">
        <v>56.9</v>
      </c>
      <c r="F8496" s="691">
        <v>57.2</v>
      </c>
      <c r="G8496" s="691">
        <v>57.4</v>
      </c>
      <c r="H8496" s="691">
        <v>57.7</v>
      </c>
      <c r="I8496" s="691">
        <v>57.6</v>
      </c>
      <c r="J8496" s="691">
        <v>57.6</v>
      </c>
      <c r="K8496" s="691">
        <v>57.1</v>
      </c>
    </row>
    <row r="8497" spans="1:11">
      <c r="A8497" s="688" t="s">
        <v>23</v>
      </c>
      <c r="B8497" s="689">
        <v>58.7</v>
      </c>
      <c r="C8497" s="689">
        <v>58.8</v>
      </c>
      <c r="D8497" s="689">
        <v>58.8</v>
      </c>
      <c r="E8497" s="693">
        <v>59</v>
      </c>
      <c r="F8497" s="689">
        <v>59.2</v>
      </c>
      <c r="G8497" s="689">
        <v>59.2</v>
      </c>
      <c r="H8497" s="689">
        <v>59.8</v>
      </c>
      <c r="I8497" s="689">
        <v>59.1</v>
      </c>
      <c r="J8497" s="689">
        <v>59.6</v>
      </c>
      <c r="K8497" s="689">
        <v>59.8</v>
      </c>
    </row>
    <row r="8498" spans="1:11">
      <c r="A8498" s="688" t="s">
        <v>4067</v>
      </c>
      <c r="B8498" s="691">
        <v>56.3</v>
      </c>
      <c r="C8498" s="691">
        <v>56.7</v>
      </c>
      <c r="D8498" s="691">
        <v>56.5</v>
      </c>
      <c r="E8498" s="691">
        <v>56.8</v>
      </c>
      <c r="F8498" s="691">
        <v>56.9</v>
      </c>
      <c r="G8498" s="691">
        <v>56.9</v>
      </c>
      <c r="H8498" s="692" t="s">
        <v>4060</v>
      </c>
      <c r="I8498" s="692" t="s">
        <v>4060</v>
      </c>
      <c r="J8498" s="692" t="s">
        <v>4060</v>
      </c>
      <c r="K8498" s="692" t="s">
        <v>4060</v>
      </c>
    </row>
    <row r="8499" spans="1:11">
      <c r="A8499" s="688" t="s">
        <v>4066</v>
      </c>
      <c r="B8499" s="689">
        <v>56.4</v>
      </c>
      <c r="C8499" s="689">
        <v>56.7</v>
      </c>
      <c r="D8499" s="689">
        <v>56.5</v>
      </c>
      <c r="E8499" s="689">
        <v>56.8</v>
      </c>
      <c r="F8499" s="689">
        <v>56.9</v>
      </c>
      <c r="G8499" s="693">
        <v>57</v>
      </c>
      <c r="H8499" s="690" t="s">
        <v>4060</v>
      </c>
      <c r="I8499" s="690" t="s">
        <v>4060</v>
      </c>
      <c r="J8499" s="690" t="s">
        <v>4060</v>
      </c>
      <c r="K8499" s="690" t="s">
        <v>4060</v>
      </c>
    </row>
    <row r="8500" spans="1:11">
      <c r="A8500" s="688" t="s">
        <v>4062</v>
      </c>
      <c r="B8500" s="691">
        <v>58.9</v>
      </c>
      <c r="C8500" s="691">
        <v>59.1</v>
      </c>
      <c r="D8500" s="691">
        <v>59.2</v>
      </c>
      <c r="E8500" s="691">
        <v>59.6</v>
      </c>
      <c r="F8500" s="691">
        <v>59.7</v>
      </c>
      <c r="G8500" s="691">
        <v>59.9</v>
      </c>
      <c r="H8500" s="691">
        <v>60.1</v>
      </c>
      <c r="I8500" s="691">
        <v>59.7</v>
      </c>
      <c r="J8500" s="691">
        <v>60.1</v>
      </c>
      <c r="K8500" s="691">
        <v>59.8</v>
      </c>
    </row>
    <row r="8501" spans="1:11">
      <c r="A8501" s="688" t="s">
        <v>9</v>
      </c>
      <c r="B8501" s="689">
        <v>58.8</v>
      </c>
      <c r="C8501" s="689">
        <v>59.5</v>
      </c>
      <c r="D8501" s="689">
        <v>59.6</v>
      </c>
      <c r="E8501" s="689">
        <v>58.8</v>
      </c>
      <c r="F8501" s="689">
        <v>59.2</v>
      </c>
      <c r="G8501" s="689">
        <v>59.6</v>
      </c>
      <c r="H8501" s="689">
        <v>59.8</v>
      </c>
      <c r="I8501" s="693">
        <v>60</v>
      </c>
      <c r="J8501" s="689">
        <v>60.2</v>
      </c>
      <c r="K8501" s="689">
        <v>59.1</v>
      </c>
    </row>
    <row r="8502" spans="1:11">
      <c r="A8502" s="688" t="s">
        <v>13</v>
      </c>
      <c r="B8502" s="615">
        <v>59</v>
      </c>
      <c r="C8502" s="615">
        <v>59</v>
      </c>
      <c r="D8502" s="691">
        <v>59.6</v>
      </c>
      <c r="E8502" s="691">
        <v>58.6</v>
      </c>
      <c r="F8502" s="691">
        <v>59.6</v>
      </c>
      <c r="G8502" s="691">
        <v>58.4</v>
      </c>
      <c r="H8502" s="691">
        <v>60.4</v>
      </c>
      <c r="I8502" s="691">
        <v>59.4</v>
      </c>
      <c r="J8502" s="691">
        <v>60.1</v>
      </c>
      <c r="K8502" s="691">
        <v>61.1</v>
      </c>
    </row>
    <row r="8503" spans="1:11">
      <c r="A8503" s="688" t="s">
        <v>18</v>
      </c>
      <c r="B8503" s="689">
        <v>58.2</v>
      </c>
      <c r="C8503" s="689">
        <v>58.5</v>
      </c>
      <c r="D8503" s="689">
        <v>58.8</v>
      </c>
      <c r="E8503" s="693">
        <v>59</v>
      </c>
      <c r="F8503" s="689">
        <v>59.4</v>
      </c>
      <c r="G8503" s="689">
        <v>59.4</v>
      </c>
      <c r="H8503" s="689">
        <v>59.7</v>
      </c>
      <c r="I8503" s="689">
        <v>59.9</v>
      </c>
      <c r="J8503" s="693">
        <v>60</v>
      </c>
      <c r="K8503" s="689">
        <v>59.3</v>
      </c>
    </row>
    <row r="8504" spans="1:11">
      <c r="A8504" s="688" t="s">
        <v>24</v>
      </c>
      <c r="B8504" s="691">
        <v>59.3</v>
      </c>
      <c r="C8504" s="691">
        <v>59.5</v>
      </c>
      <c r="D8504" s="691">
        <v>59.3</v>
      </c>
      <c r="E8504" s="615">
        <v>60</v>
      </c>
      <c r="F8504" s="691">
        <v>59.9</v>
      </c>
      <c r="G8504" s="691">
        <v>60.2</v>
      </c>
      <c r="H8504" s="691">
        <v>60.4</v>
      </c>
      <c r="I8504" s="691">
        <v>59.6</v>
      </c>
      <c r="J8504" s="691">
        <v>60.1</v>
      </c>
      <c r="K8504" s="691">
        <v>60.2</v>
      </c>
    </row>
    <row r="8505" spans="1:11">
      <c r="A8505" s="688" t="s">
        <v>4059</v>
      </c>
      <c r="B8505" s="689">
        <v>57.8</v>
      </c>
      <c r="C8505" s="689">
        <v>58.1</v>
      </c>
      <c r="D8505" s="689">
        <v>57.8</v>
      </c>
      <c r="E8505" s="693">
        <v>58</v>
      </c>
      <c r="F8505" s="689">
        <v>58.1</v>
      </c>
      <c r="G8505" s="689">
        <v>58.1</v>
      </c>
      <c r="H8505" s="690" t="s">
        <v>4060</v>
      </c>
      <c r="I8505" s="690" t="s">
        <v>4060</v>
      </c>
      <c r="J8505" s="690" t="s">
        <v>4060</v>
      </c>
      <c r="K8505" s="690" t="s">
        <v>4060</v>
      </c>
    </row>
    <row r="8506" spans="1:11">
      <c r="A8506" s="688" t="s">
        <v>2324</v>
      </c>
      <c r="B8506" s="691">
        <v>52.7</v>
      </c>
      <c r="C8506" s="691">
        <v>52.8</v>
      </c>
      <c r="D8506" s="691">
        <v>52.8</v>
      </c>
      <c r="E8506" s="691">
        <v>52.6</v>
      </c>
      <c r="F8506" s="691">
        <v>52.4</v>
      </c>
      <c r="G8506" s="615">
        <v>53</v>
      </c>
      <c r="H8506" s="691">
        <v>52.6</v>
      </c>
      <c r="I8506" s="691">
        <v>51.7</v>
      </c>
      <c r="J8506" s="691">
        <v>49.2</v>
      </c>
      <c r="K8506" s="692" t="s">
        <v>4060</v>
      </c>
    </row>
    <row r="8507" spans="1:11">
      <c r="A8507" s="688" t="s">
        <v>2322</v>
      </c>
      <c r="B8507" s="690" t="s">
        <v>4060</v>
      </c>
      <c r="C8507" s="690" t="s">
        <v>4060</v>
      </c>
      <c r="D8507" s="690" t="s">
        <v>4060</v>
      </c>
      <c r="E8507" s="690" t="s">
        <v>4060</v>
      </c>
      <c r="F8507" s="690" t="s">
        <v>4060</v>
      </c>
      <c r="G8507" s="690" t="s">
        <v>4060</v>
      </c>
      <c r="H8507" s="690" t="s">
        <v>4060</v>
      </c>
      <c r="I8507" s="690" t="s">
        <v>4060</v>
      </c>
      <c r="J8507" s="690" t="s">
        <v>4060</v>
      </c>
      <c r="K8507" s="690" t="s">
        <v>4060</v>
      </c>
    </row>
    <row r="8508" spans="1:11">
      <c r="A8508" s="688" t="s">
        <v>2328</v>
      </c>
      <c r="B8508" s="691">
        <v>52.5</v>
      </c>
      <c r="C8508" s="691">
        <v>52.6</v>
      </c>
      <c r="D8508" s="691">
        <v>52.6</v>
      </c>
      <c r="E8508" s="691">
        <v>52.6</v>
      </c>
      <c r="F8508" s="691">
        <v>53.1</v>
      </c>
      <c r="G8508" s="691">
        <v>53.4</v>
      </c>
      <c r="H8508" s="691">
        <v>53.5</v>
      </c>
      <c r="I8508" s="691">
        <v>50.9</v>
      </c>
      <c r="J8508" s="691">
        <v>49.8</v>
      </c>
      <c r="K8508" s="692" t="s">
        <v>4060</v>
      </c>
    </row>
    <row r="8509" spans="1:11">
      <c r="A8509" s="688" t="s">
        <v>2496</v>
      </c>
      <c r="B8509" s="690" t="s">
        <v>4060</v>
      </c>
      <c r="C8509" s="689">
        <v>49.2</v>
      </c>
      <c r="D8509" s="693">
        <v>48</v>
      </c>
      <c r="E8509" s="689">
        <v>47.6</v>
      </c>
      <c r="F8509" s="689">
        <v>48.5</v>
      </c>
      <c r="G8509" s="689">
        <v>48.9</v>
      </c>
      <c r="H8509" s="689">
        <v>48.9</v>
      </c>
      <c r="I8509" s="690" t="s">
        <v>4060</v>
      </c>
      <c r="J8509" s="690" t="s">
        <v>4060</v>
      </c>
      <c r="K8509" s="689">
        <v>48.4</v>
      </c>
    </row>
    <row r="8510" spans="1:11">
      <c r="A8510" s="688" t="s">
        <v>2269</v>
      </c>
      <c r="B8510" s="691">
        <v>55.3</v>
      </c>
      <c r="C8510" s="691">
        <v>55.5</v>
      </c>
      <c r="D8510" s="691">
        <v>55.4</v>
      </c>
      <c r="E8510" s="691">
        <v>56.2</v>
      </c>
      <c r="F8510" s="691">
        <v>56.2</v>
      </c>
      <c r="G8510" s="691">
        <v>56.5</v>
      </c>
      <c r="H8510" s="691">
        <v>56.8</v>
      </c>
      <c r="I8510" s="691">
        <v>54.3</v>
      </c>
      <c r="J8510" s="691">
        <v>52.6</v>
      </c>
      <c r="K8510" s="691">
        <v>56.4</v>
      </c>
    </row>
    <row r="8511" spans="1:11">
      <c r="A8511" s="688" t="s">
        <v>2349</v>
      </c>
      <c r="B8511" s="689">
        <v>51.5</v>
      </c>
      <c r="C8511" s="689">
        <v>51.6</v>
      </c>
      <c r="D8511" s="689">
        <v>51.5</v>
      </c>
      <c r="E8511" s="693">
        <v>52</v>
      </c>
      <c r="F8511" s="689">
        <v>51.9</v>
      </c>
      <c r="G8511" s="689">
        <v>52.2</v>
      </c>
      <c r="H8511" s="689">
        <v>52.1</v>
      </c>
      <c r="I8511" s="689">
        <v>50.3</v>
      </c>
      <c r="J8511" s="689">
        <v>48.7</v>
      </c>
      <c r="K8511" s="689">
        <v>51.3</v>
      </c>
    </row>
    <row r="8512" spans="1:11">
      <c r="A8512" s="688" t="s">
        <v>2355</v>
      </c>
      <c r="B8512" s="615">
        <v>55</v>
      </c>
      <c r="C8512" s="615">
        <v>55</v>
      </c>
      <c r="D8512" s="691">
        <v>54.9</v>
      </c>
      <c r="E8512" s="691">
        <v>54.8</v>
      </c>
      <c r="F8512" s="691">
        <v>55.1</v>
      </c>
      <c r="G8512" s="691">
        <v>55.5</v>
      </c>
      <c r="H8512" s="691">
        <v>55.7</v>
      </c>
      <c r="I8512" s="692" t="s">
        <v>4060</v>
      </c>
      <c r="J8512" s="692" t="s">
        <v>4060</v>
      </c>
      <c r="K8512" s="692" t="s">
        <v>4060</v>
      </c>
    </row>
    <row r="8513" spans="1:11">
      <c r="A8513" s="688" t="s">
        <v>2357</v>
      </c>
      <c r="B8513" s="690" t="s">
        <v>4060</v>
      </c>
      <c r="C8513" s="689">
        <v>45.8</v>
      </c>
      <c r="D8513" s="689">
        <v>46.6</v>
      </c>
      <c r="E8513" s="693">
        <v>47</v>
      </c>
      <c r="F8513" s="689">
        <v>47.3</v>
      </c>
      <c r="G8513" s="689">
        <v>47.1</v>
      </c>
      <c r="H8513" s="689">
        <v>47.3</v>
      </c>
      <c r="I8513" s="690" t="s">
        <v>4060</v>
      </c>
      <c r="J8513" s="690" t="s">
        <v>4060</v>
      </c>
      <c r="K8513" s="690" t="s">
        <v>4060</v>
      </c>
    </row>
    <row r="8514" spans="1:11">
      <c r="A8514" s="688" t="s">
        <v>4070</v>
      </c>
      <c r="B8514" s="692" t="s">
        <v>4060</v>
      </c>
      <c r="C8514" s="692" t="s">
        <v>4060</v>
      </c>
      <c r="D8514" s="692" t="s">
        <v>4060</v>
      </c>
      <c r="E8514" s="691">
        <v>54.7</v>
      </c>
      <c r="F8514" s="692" t="s">
        <v>4060</v>
      </c>
      <c r="G8514" s="692" t="s">
        <v>4060</v>
      </c>
      <c r="H8514" s="692" t="s">
        <v>4060</v>
      </c>
      <c r="I8514" s="692" t="s">
        <v>4060</v>
      </c>
      <c r="J8514" s="692" t="s">
        <v>4060</v>
      </c>
      <c r="K8514" s="692" t="s">
        <v>4060</v>
      </c>
    </row>
    <row r="8515" spans="1:11">
      <c r="A8515" s="688" t="s">
        <v>2491</v>
      </c>
      <c r="B8515" s="693">
        <v>46</v>
      </c>
      <c r="C8515" s="689">
        <v>46.6</v>
      </c>
      <c r="D8515" s="689">
        <v>47.2</v>
      </c>
      <c r="E8515" s="689">
        <v>47.6</v>
      </c>
      <c r="F8515" s="689">
        <v>47.9</v>
      </c>
      <c r="G8515" s="689">
        <v>47.8</v>
      </c>
      <c r="H8515" s="690" t="s">
        <v>4060</v>
      </c>
      <c r="I8515" s="690" t="s">
        <v>4060</v>
      </c>
      <c r="J8515" s="690" t="s">
        <v>4060</v>
      </c>
      <c r="K8515" s="690" t="s">
        <v>4060</v>
      </c>
    </row>
    <row r="8516" spans="1:11">
      <c r="A8516" s="688" t="s">
        <v>2343</v>
      </c>
      <c r="B8516" s="692" t="s">
        <v>4060</v>
      </c>
      <c r="C8516" s="692" t="s">
        <v>4060</v>
      </c>
      <c r="D8516" s="692" t="s">
        <v>4060</v>
      </c>
      <c r="E8516" s="692" t="s">
        <v>4060</v>
      </c>
      <c r="F8516" s="692" t="s">
        <v>4060</v>
      </c>
      <c r="G8516" s="692" t="s">
        <v>4060</v>
      </c>
      <c r="H8516" s="692" t="s">
        <v>4060</v>
      </c>
      <c r="I8516" s="692" t="s">
        <v>4060</v>
      </c>
      <c r="J8516" s="692" t="s">
        <v>4060</v>
      </c>
      <c r="K8516" s="692" t="s">
        <v>4060</v>
      </c>
    </row>
    <row r="8517" spans="1:11">
      <c r="A8517" s="688" t="s">
        <v>4071</v>
      </c>
      <c r="B8517" s="690" t="s">
        <v>4060</v>
      </c>
      <c r="C8517" s="690" t="s">
        <v>4060</v>
      </c>
      <c r="D8517" s="690" t="s">
        <v>4060</v>
      </c>
      <c r="E8517" s="690" t="s">
        <v>4060</v>
      </c>
      <c r="F8517" s="690" t="s">
        <v>4060</v>
      </c>
      <c r="G8517" s="690" t="s">
        <v>4060</v>
      </c>
      <c r="H8517" s="690" t="s">
        <v>4060</v>
      </c>
      <c r="I8517" s="690" t="s">
        <v>4060</v>
      </c>
      <c r="J8517" s="690" t="s">
        <v>4060</v>
      </c>
      <c r="K8517" s="690" t="s">
        <v>4060</v>
      </c>
    </row>
    <row r="8518" spans="1:11">
      <c r="A8518" s="688" t="s">
        <v>2489</v>
      </c>
      <c r="B8518" s="692" t="s">
        <v>4060</v>
      </c>
      <c r="C8518" s="692" t="s">
        <v>4060</v>
      </c>
      <c r="D8518" s="691">
        <v>50.9</v>
      </c>
      <c r="E8518" s="691">
        <v>50.9</v>
      </c>
      <c r="F8518" s="691">
        <v>51.6</v>
      </c>
      <c r="G8518" s="691">
        <v>52.4</v>
      </c>
      <c r="H8518" s="615">
        <v>52</v>
      </c>
      <c r="I8518" s="692" t="s">
        <v>4060</v>
      </c>
      <c r="J8518" s="692" t="s">
        <v>4060</v>
      </c>
      <c r="K8518" s="692" t="s">
        <v>4060</v>
      </c>
    </row>
    <row r="8519" spans="1:11">
      <c r="A8519" s="688" t="s">
        <v>2490</v>
      </c>
      <c r="B8519" s="689">
        <v>51.6</v>
      </c>
      <c r="C8519" s="689">
        <v>51.7</v>
      </c>
      <c r="D8519" s="689">
        <v>52.5</v>
      </c>
      <c r="E8519" s="690" t="s">
        <v>4060</v>
      </c>
      <c r="F8519" s="689">
        <v>52.8</v>
      </c>
      <c r="G8519" s="693">
        <v>53</v>
      </c>
      <c r="H8519" s="689">
        <v>53.9</v>
      </c>
      <c r="I8519" s="690" t="s">
        <v>4060</v>
      </c>
      <c r="J8519" s="690" t="s">
        <v>4060</v>
      </c>
      <c r="K8519" s="690" t="s">
        <v>4060</v>
      </c>
    </row>
    <row r="8521" spans="1:11">
      <c r="A8521" s="683" t="s">
        <v>4233</v>
      </c>
    </row>
    <row r="8522" spans="1:11">
      <c r="A8522" s="683" t="s">
        <v>4060</v>
      </c>
      <c r="B8522" s="682" t="s">
        <v>4234</v>
      </c>
    </row>
    <row r="8524" spans="1:11">
      <c r="A8524" s="682" t="s">
        <v>4331</v>
      </c>
    </row>
    <row r="8525" spans="1:11">
      <c r="A8525" s="682" t="s">
        <v>4210</v>
      </c>
      <c r="B8525" s="683" t="s">
        <v>4211</v>
      </c>
    </row>
    <row r="8526" spans="1:11">
      <c r="A8526" s="682" t="s">
        <v>4212</v>
      </c>
      <c r="B8526" s="682" t="s">
        <v>4213</v>
      </c>
    </row>
    <row r="8528" spans="1:11">
      <c r="A8528" s="683" t="s">
        <v>4214</v>
      </c>
      <c r="C8528" s="682" t="s">
        <v>4215</v>
      </c>
    </row>
    <row r="8529" spans="1:11">
      <c r="A8529" s="683" t="s">
        <v>4216</v>
      </c>
      <c r="C8529" s="682" t="s">
        <v>2967</v>
      </c>
    </row>
    <row r="8530" spans="1:11">
      <c r="A8530" s="683" t="s">
        <v>3893</v>
      </c>
      <c r="C8530" s="682" t="s">
        <v>2168</v>
      </c>
    </row>
    <row r="8531" spans="1:11">
      <c r="A8531" s="683" t="s">
        <v>4218</v>
      </c>
      <c r="C8531" s="682" t="s">
        <v>4258</v>
      </c>
    </row>
    <row r="8533" spans="1:11">
      <c r="A8533" s="684" t="s">
        <v>4220</v>
      </c>
      <c r="B8533" s="685" t="s">
        <v>4221</v>
      </c>
      <c r="C8533" s="685" t="s">
        <v>4222</v>
      </c>
      <c r="D8533" s="685" t="s">
        <v>4223</v>
      </c>
      <c r="E8533" s="685" t="s">
        <v>4224</v>
      </c>
      <c r="F8533" s="685" t="s">
        <v>4225</v>
      </c>
      <c r="G8533" s="685" t="s">
        <v>4226</v>
      </c>
      <c r="H8533" s="685" t="s">
        <v>4227</v>
      </c>
      <c r="I8533" s="685" t="s">
        <v>4228</v>
      </c>
      <c r="J8533" s="685" t="s">
        <v>4229</v>
      </c>
      <c r="K8533" s="685" t="s">
        <v>4230</v>
      </c>
    </row>
    <row r="8534" spans="1:11">
      <c r="A8534" s="686" t="s">
        <v>4231</v>
      </c>
      <c r="B8534" s="687" t="s">
        <v>4232</v>
      </c>
      <c r="C8534" s="687" t="s">
        <v>4232</v>
      </c>
      <c r="D8534" s="687" t="s">
        <v>4232</v>
      </c>
      <c r="E8534" s="687" t="s">
        <v>4232</v>
      </c>
      <c r="F8534" s="687" t="s">
        <v>4232</v>
      </c>
      <c r="G8534" s="687" t="s">
        <v>4232</v>
      </c>
      <c r="H8534" s="687" t="s">
        <v>4232</v>
      </c>
      <c r="I8534" s="687" t="s">
        <v>4232</v>
      </c>
      <c r="J8534" s="687" t="s">
        <v>4232</v>
      </c>
      <c r="K8534" s="687" t="s">
        <v>4232</v>
      </c>
    </row>
    <row r="8535" spans="1:11">
      <c r="A8535" s="688" t="s">
        <v>4064</v>
      </c>
      <c r="B8535" s="689">
        <v>55.2</v>
      </c>
      <c r="C8535" s="689">
        <v>55.3</v>
      </c>
      <c r="D8535" s="689">
        <v>55.3</v>
      </c>
      <c r="E8535" s="689">
        <v>55.5</v>
      </c>
      <c r="F8535" s="689">
        <v>55.6</v>
      </c>
      <c r="G8535" s="689">
        <v>55.6</v>
      </c>
      <c r="H8535" s="689">
        <v>55.9</v>
      </c>
      <c r="I8535" s="693">
        <v>55</v>
      </c>
      <c r="J8535" s="689">
        <v>54.7</v>
      </c>
      <c r="K8535" s="689">
        <v>55.4</v>
      </c>
    </row>
    <row r="8536" spans="1:11">
      <c r="A8536" s="688" t="s">
        <v>4065</v>
      </c>
      <c r="B8536" s="691">
        <v>55.4</v>
      </c>
      <c r="C8536" s="691">
        <v>55.7</v>
      </c>
      <c r="D8536" s="691">
        <v>55.5</v>
      </c>
      <c r="E8536" s="691">
        <v>55.8</v>
      </c>
      <c r="F8536" s="691">
        <v>55.9</v>
      </c>
      <c r="G8536" s="615">
        <v>56</v>
      </c>
      <c r="H8536" s="692" t="s">
        <v>4060</v>
      </c>
      <c r="I8536" s="692" t="s">
        <v>4060</v>
      </c>
      <c r="J8536" s="692" t="s">
        <v>4060</v>
      </c>
      <c r="K8536" s="692" t="s">
        <v>4060</v>
      </c>
    </row>
    <row r="8537" spans="1:11">
      <c r="A8537" s="688" t="s">
        <v>4063</v>
      </c>
      <c r="B8537" s="689">
        <v>55.4</v>
      </c>
      <c r="C8537" s="689">
        <v>55.8</v>
      </c>
      <c r="D8537" s="689">
        <v>55.5</v>
      </c>
      <c r="E8537" s="689">
        <v>55.9</v>
      </c>
      <c r="F8537" s="689">
        <v>55.9</v>
      </c>
      <c r="G8537" s="693">
        <v>56</v>
      </c>
      <c r="H8537" s="690" t="s">
        <v>4060</v>
      </c>
      <c r="I8537" s="690" t="s">
        <v>4060</v>
      </c>
      <c r="J8537" s="690" t="s">
        <v>4060</v>
      </c>
      <c r="K8537" s="690" t="s">
        <v>4060</v>
      </c>
    </row>
    <row r="8538" spans="1:11">
      <c r="A8538" s="688" t="s">
        <v>4069</v>
      </c>
      <c r="B8538" s="692" t="s">
        <v>4060</v>
      </c>
      <c r="C8538" s="691">
        <v>56.5</v>
      </c>
      <c r="D8538" s="691">
        <v>56.3</v>
      </c>
      <c r="E8538" s="691">
        <v>56.6</v>
      </c>
      <c r="F8538" s="691">
        <v>56.7</v>
      </c>
      <c r="G8538" s="691">
        <v>56.8</v>
      </c>
      <c r="H8538" s="691">
        <v>57.1</v>
      </c>
      <c r="I8538" s="691">
        <v>56.4</v>
      </c>
      <c r="J8538" s="691">
        <v>56.3</v>
      </c>
      <c r="K8538" s="691">
        <v>56.6</v>
      </c>
    </row>
    <row r="8539" spans="1:11">
      <c r="A8539" s="688" t="s">
        <v>4068</v>
      </c>
      <c r="B8539" s="689">
        <v>56.4</v>
      </c>
      <c r="C8539" s="690" t="s">
        <v>4060</v>
      </c>
      <c r="D8539" s="690" t="s">
        <v>4060</v>
      </c>
      <c r="E8539" s="690" t="s">
        <v>4060</v>
      </c>
      <c r="F8539" s="690" t="s">
        <v>4060</v>
      </c>
      <c r="G8539" s="690" t="s">
        <v>4060</v>
      </c>
      <c r="H8539" s="690" t="s">
        <v>4060</v>
      </c>
      <c r="I8539" s="690" t="s">
        <v>4060</v>
      </c>
      <c r="J8539" s="690" t="s">
        <v>4060</v>
      </c>
      <c r="K8539" s="690" t="s">
        <v>4060</v>
      </c>
    </row>
    <row r="8540" spans="1:11">
      <c r="A8540" s="688" t="s">
        <v>0</v>
      </c>
      <c r="B8540" s="691">
        <v>55.7</v>
      </c>
      <c r="C8540" s="691">
        <v>56.2</v>
      </c>
      <c r="D8540" s="691">
        <v>56.1</v>
      </c>
      <c r="E8540" s="691">
        <v>56.4</v>
      </c>
      <c r="F8540" s="691">
        <v>56.6</v>
      </c>
      <c r="G8540" s="691">
        <v>56.8</v>
      </c>
      <c r="H8540" s="691">
        <v>57.2</v>
      </c>
      <c r="I8540" s="615">
        <v>56</v>
      </c>
      <c r="J8540" s="691">
        <v>56.8</v>
      </c>
      <c r="K8540" s="691">
        <v>57.1</v>
      </c>
    </row>
    <row r="8541" spans="1:11">
      <c r="A8541" s="688" t="s">
        <v>1</v>
      </c>
      <c r="B8541" s="689">
        <v>49.5</v>
      </c>
      <c r="C8541" s="689">
        <v>49.1</v>
      </c>
      <c r="D8541" s="689">
        <v>49.1</v>
      </c>
      <c r="E8541" s="689">
        <v>49.2</v>
      </c>
      <c r="F8541" s="689">
        <v>49.2</v>
      </c>
      <c r="G8541" s="689">
        <v>49.2</v>
      </c>
      <c r="H8541" s="689">
        <v>49.2</v>
      </c>
      <c r="I8541" s="689">
        <v>47.5</v>
      </c>
      <c r="J8541" s="689">
        <v>45.6</v>
      </c>
      <c r="K8541" s="689">
        <v>48.4</v>
      </c>
    </row>
    <row r="8542" spans="1:11">
      <c r="A8542" s="688" t="s">
        <v>2240</v>
      </c>
      <c r="B8542" s="691">
        <v>52.8</v>
      </c>
      <c r="C8542" s="691">
        <v>53.3</v>
      </c>
      <c r="D8542" s="691">
        <v>53.2</v>
      </c>
      <c r="E8542" s="691">
        <v>53.6</v>
      </c>
      <c r="F8542" s="691">
        <v>53.6</v>
      </c>
      <c r="G8542" s="691">
        <v>53.6</v>
      </c>
      <c r="H8542" s="691">
        <v>53.9</v>
      </c>
      <c r="I8542" s="691">
        <v>52.8</v>
      </c>
      <c r="J8542" s="691">
        <v>51.6</v>
      </c>
      <c r="K8542" s="691">
        <v>53.6</v>
      </c>
    </row>
    <row r="8543" spans="1:11">
      <c r="A8543" s="688" t="s">
        <v>2</v>
      </c>
      <c r="B8543" s="689">
        <v>55.9</v>
      </c>
      <c r="C8543" s="689">
        <v>56.1</v>
      </c>
      <c r="D8543" s="689">
        <v>56.3</v>
      </c>
      <c r="E8543" s="689">
        <v>56.4</v>
      </c>
      <c r="F8543" s="689">
        <v>56.7</v>
      </c>
      <c r="G8543" s="689">
        <v>56.6</v>
      </c>
      <c r="H8543" s="689">
        <v>56.9</v>
      </c>
      <c r="I8543" s="689">
        <v>57.1</v>
      </c>
      <c r="J8543" s="689">
        <v>57.1</v>
      </c>
      <c r="K8543" s="689">
        <v>56.9</v>
      </c>
    </row>
    <row r="8544" spans="1:11">
      <c r="A8544" s="688" t="s">
        <v>3</v>
      </c>
      <c r="B8544" s="691">
        <v>55.7</v>
      </c>
      <c r="C8544" s="615">
        <v>56</v>
      </c>
      <c r="D8544" s="691">
        <v>55.7</v>
      </c>
      <c r="E8544" s="615">
        <v>56</v>
      </c>
      <c r="F8544" s="691">
        <v>56.1</v>
      </c>
      <c r="G8544" s="691">
        <v>56.1</v>
      </c>
      <c r="H8544" s="691">
        <v>56.4</v>
      </c>
      <c r="I8544" s="691">
        <v>56.1</v>
      </c>
      <c r="J8544" s="691">
        <v>55.7</v>
      </c>
      <c r="K8544" s="691">
        <v>55.7</v>
      </c>
    </row>
    <row r="8545" spans="1:11">
      <c r="A8545" s="688" t="s">
        <v>4061</v>
      </c>
      <c r="B8545" s="689">
        <v>55.7</v>
      </c>
      <c r="C8545" s="693">
        <v>56</v>
      </c>
      <c r="D8545" s="689">
        <v>55.7</v>
      </c>
      <c r="E8545" s="693">
        <v>56</v>
      </c>
      <c r="F8545" s="689">
        <v>56.1</v>
      </c>
      <c r="G8545" s="689">
        <v>56.1</v>
      </c>
      <c r="H8545" s="689">
        <v>56.4</v>
      </c>
      <c r="I8545" s="689">
        <v>56.1</v>
      </c>
      <c r="J8545" s="689">
        <v>55.7</v>
      </c>
      <c r="K8545" s="689">
        <v>55.7</v>
      </c>
    </row>
    <row r="8546" spans="1:11">
      <c r="A8546" s="688" t="s">
        <v>4</v>
      </c>
      <c r="B8546" s="691">
        <v>50.4</v>
      </c>
      <c r="C8546" s="691">
        <v>50.1</v>
      </c>
      <c r="D8546" s="691">
        <v>50.7</v>
      </c>
      <c r="E8546" s="691">
        <v>50.8</v>
      </c>
      <c r="F8546" s="691">
        <v>51.2</v>
      </c>
      <c r="G8546" s="691">
        <v>51.4</v>
      </c>
      <c r="H8546" s="691">
        <v>51.9</v>
      </c>
      <c r="I8546" s="691">
        <v>51.8</v>
      </c>
      <c r="J8546" s="691">
        <v>50.3</v>
      </c>
      <c r="K8546" s="691">
        <v>51.2</v>
      </c>
    </row>
    <row r="8547" spans="1:11">
      <c r="A8547" s="688" t="s">
        <v>8</v>
      </c>
      <c r="B8547" s="689">
        <v>56.6</v>
      </c>
      <c r="C8547" s="689">
        <v>56.9</v>
      </c>
      <c r="D8547" s="689">
        <v>57.1</v>
      </c>
      <c r="E8547" s="689">
        <v>57.2</v>
      </c>
      <c r="F8547" s="689">
        <v>57.6</v>
      </c>
      <c r="G8547" s="689">
        <v>57.7</v>
      </c>
      <c r="H8547" s="693">
        <v>58</v>
      </c>
      <c r="I8547" s="693">
        <v>58</v>
      </c>
      <c r="J8547" s="689">
        <v>57.7</v>
      </c>
      <c r="K8547" s="689">
        <v>58.2</v>
      </c>
    </row>
    <row r="8548" spans="1:11">
      <c r="A8548" s="688" t="s">
        <v>7</v>
      </c>
      <c r="B8548" s="691">
        <v>56.3</v>
      </c>
      <c r="C8548" s="691">
        <v>55.9</v>
      </c>
      <c r="D8548" s="691">
        <v>55.6</v>
      </c>
      <c r="E8548" s="615">
        <v>56</v>
      </c>
      <c r="F8548" s="691">
        <v>55.9</v>
      </c>
      <c r="G8548" s="691">
        <v>56.4</v>
      </c>
      <c r="H8548" s="691">
        <v>56.3</v>
      </c>
      <c r="I8548" s="691">
        <v>56.1</v>
      </c>
      <c r="J8548" s="691">
        <v>54.9</v>
      </c>
      <c r="K8548" s="691">
        <v>55.8</v>
      </c>
    </row>
    <row r="8549" spans="1:11">
      <c r="A8549" s="688" t="s">
        <v>27</v>
      </c>
      <c r="B8549" s="689">
        <v>57.6</v>
      </c>
      <c r="C8549" s="689">
        <v>57.6</v>
      </c>
      <c r="D8549" s="689">
        <v>57.3</v>
      </c>
      <c r="E8549" s="689">
        <v>57.7</v>
      </c>
      <c r="F8549" s="689">
        <v>57.8</v>
      </c>
      <c r="G8549" s="689">
        <v>57.8</v>
      </c>
      <c r="H8549" s="689">
        <v>58.2</v>
      </c>
      <c r="I8549" s="689">
        <v>56.9</v>
      </c>
      <c r="J8549" s="689">
        <v>57.6</v>
      </c>
      <c r="K8549" s="689">
        <v>57.8</v>
      </c>
    </row>
    <row r="8550" spans="1:11">
      <c r="A8550" s="688" t="s">
        <v>6</v>
      </c>
      <c r="B8550" s="691">
        <v>56.7</v>
      </c>
      <c r="C8550" s="691">
        <v>56.9</v>
      </c>
      <c r="D8550" s="691">
        <v>56.7</v>
      </c>
      <c r="E8550" s="691">
        <v>56.9</v>
      </c>
      <c r="F8550" s="691">
        <v>57.1</v>
      </c>
      <c r="G8550" s="691">
        <v>57.2</v>
      </c>
      <c r="H8550" s="691">
        <v>57.4</v>
      </c>
      <c r="I8550" s="691">
        <v>56.7</v>
      </c>
      <c r="J8550" s="691">
        <v>56.8</v>
      </c>
      <c r="K8550" s="615">
        <v>57</v>
      </c>
    </row>
    <row r="8551" spans="1:11">
      <c r="A8551" s="688" t="s">
        <v>4058</v>
      </c>
      <c r="B8551" s="690" t="s">
        <v>4060</v>
      </c>
      <c r="C8551" s="690" t="s">
        <v>4060</v>
      </c>
      <c r="D8551" s="690" t="s">
        <v>4060</v>
      </c>
      <c r="E8551" s="690" t="s">
        <v>4060</v>
      </c>
      <c r="F8551" s="690" t="s">
        <v>4060</v>
      </c>
      <c r="G8551" s="690" t="s">
        <v>4060</v>
      </c>
      <c r="H8551" s="690" t="s">
        <v>4060</v>
      </c>
      <c r="I8551" s="690" t="s">
        <v>4060</v>
      </c>
      <c r="J8551" s="690" t="s">
        <v>4060</v>
      </c>
      <c r="K8551" s="690" t="s">
        <v>4060</v>
      </c>
    </row>
    <row r="8552" spans="1:11">
      <c r="A8552" s="688" t="s">
        <v>11</v>
      </c>
      <c r="B8552" s="691">
        <v>52.2</v>
      </c>
      <c r="C8552" s="691">
        <v>52.4</v>
      </c>
      <c r="D8552" s="615">
        <v>52</v>
      </c>
      <c r="E8552" s="691">
        <v>52.6</v>
      </c>
      <c r="F8552" s="691">
        <v>52.5</v>
      </c>
      <c r="G8552" s="691">
        <v>52.5</v>
      </c>
      <c r="H8552" s="691">
        <v>52.9</v>
      </c>
      <c r="I8552" s="691">
        <v>52.2</v>
      </c>
      <c r="J8552" s="691">
        <v>51.1</v>
      </c>
      <c r="K8552" s="691">
        <v>52.3</v>
      </c>
    </row>
    <row r="8553" spans="1:11">
      <c r="A8553" s="688" t="s">
        <v>10</v>
      </c>
      <c r="B8553" s="689">
        <v>57.8</v>
      </c>
      <c r="C8553" s="689">
        <v>57.9</v>
      </c>
      <c r="D8553" s="689">
        <v>57.6</v>
      </c>
      <c r="E8553" s="689">
        <v>58.2</v>
      </c>
      <c r="F8553" s="689">
        <v>58.1</v>
      </c>
      <c r="G8553" s="689">
        <v>58.4</v>
      </c>
      <c r="H8553" s="689">
        <v>58.6</v>
      </c>
      <c r="I8553" s="689">
        <v>57.3</v>
      </c>
      <c r="J8553" s="689">
        <v>57.8</v>
      </c>
      <c r="K8553" s="689">
        <v>58.1</v>
      </c>
    </row>
    <row r="8554" spans="1:11">
      <c r="A8554" s="688" t="s">
        <v>30</v>
      </c>
      <c r="B8554" s="691">
        <v>57.6</v>
      </c>
      <c r="C8554" s="691">
        <v>57.8</v>
      </c>
      <c r="D8554" s="691">
        <v>57.5</v>
      </c>
      <c r="E8554" s="691">
        <v>58.2</v>
      </c>
      <c r="F8554" s="691">
        <v>57.8</v>
      </c>
      <c r="G8554" s="691">
        <v>58.6</v>
      </c>
      <c r="H8554" s="691">
        <v>58.3</v>
      </c>
      <c r="I8554" s="691">
        <v>58.3</v>
      </c>
      <c r="J8554" s="691">
        <v>57.3</v>
      </c>
      <c r="K8554" s="691">
        <v>57.9</v>
      </c>
    </row>
    <row r="8555" spans="1:11">
      <c r="A8555" s="688" t="s">
        <v>12</v>
      </c>
      <c r="B8555" s="689">
        <v>47.2</v>
      </c>
      <c r="C8555" s="693">
        <v>47</v>
      </c>
      <c r="D8555" s="689">
        <v>47.5</v>
      </c>
      <c r="E8555" s="689">
        <v>47.5</v>
      </c>
      <c r="F8555" s="689">
        <v>47.6</v>
      </c>
      <c r="G8555" s="689">
        <v>47.8</v>
      </c>
      <c r="H8555" s="689">
        <v>48.6</v>
      </c>
      <c r="I8555" s="689">
        <v>48.3</v>
      </c>
      <c r="J8555" s="689">
        <v>45.9</v>
      </c>
      <c r="K8555" s="693">
        <v>47</v>
      </c>
    </row>
    <row r="8556" spans="1:11">
      <c r="A8556" s="688" t="s">
        <v>14</v>
      </c>
      <c r="B8556" s="691">
        <v>46.5</v>
      </c>
      <c r="C8556" s="691">
        <v>47.1</v>
      </c>
      <c r="D8556" s="615">
        <v>47</v>
      </c>
      <c r="E8556" s="691">
        <v>47.3</v>
      </c>
      <c r="F8556" s="691">
        <v>48.4</v>
      </c>
      <c r="G8556" s="691">
        <v>48.6</v>
      </c>
      <c r="H8556" s="691">
        <v>49.2</v>
      </c>
      <c r="I8556" s="691">
        <v>47.8</v>
      </c>
      <c r="J8556" s="691">
        <v>47.3</v>
      </c>
      <c r="K8556" s="691">
        <v>48.9</v>
      </c>
    </row>
    <row r="8557" spans="1:11">
      <c r="A8557" s="688" t="s">
        <v>15</v>
      </c>
      <c r="B8557" s="689">
        <v>57.4</v>
      </c>
      <c r="C8557" s="689">
        <v>56.6</v>
      </c>
      <c r="D8557" s="689">
        <v>57.4</v>
      </c>
      <c r="E8557" s="689">
        <v>57.4</v>
      </c>
      <c r="F8557" s="689">
        <v>57.3</v>
      </c>
      <c r="G8557" s="689">
        <v>57.4</v>
      </c>
      <c r="H8557" s="689">
        <v>57.8</v>
      </c>
      <c r="I8557" s="689">
        <v>57.4</v>
      </c>
      <c r="J8557" s="689">
        <v>57.8</v>
      </c>
      <c r="K8557" s="689">
        <v>58.3</v>
      </c>
    </row>
    <row r="8558" spans="1:11">
      <c r="A8558" s="688" t="s">
        <v>29</v>
      </c>
      <c r="B8558" s="691">
        <v>49.9</v>
      </c>
      <c r="C8558" s="691">
        <v>49.9</v>
      </c>
      <c r="D8558" s="691">
        <v>49.9</v>
      </c>
      <c r="E8558" s="691">
        <v>50.2</v>
      </c>
      <c r="F8558" s="691">
        <v>50.1</v>
      </c>
      <c r="G8558" s="691">
        <v>50.2</v>
      </c>
      <c r="H8558" s="691">
        <v>50.6</v>
      </c>
      <c r="I8558" s="691">
        <v>49.8</v>
      </c>
      <c r="J8558" s="691">
        <v>48.3</v>
      </c>
      <c r="K8558" s="691">
        <v>50.2</v>
      </c>
    </row>
    <row r="8559" spans="1:11">
      <c r="A8559" s="688" t="s">
        <v>16</v>
      </c>
      <c r="B8559" s="689">
        <v>57.3</v>
      </c>
      <c r="C8559" s="689">
        <v>57.2</v>
      </c>
      <c r="D8559" s="689">
        <v>57.5</v>
      </c>
      <c r="E8559" s="689">
        <v>58.2</v>
      </c>
      <c r="F8559" s="689">
        <v>57.8</v>
      </c>
      <c r="G8559" s="689">
        <v>57.8</v>
      </c>
      <c r="H8559" s="689">
        <v>58.4</v>
      </c>
      <c r="I8559" s="689">
        <v>57.3</v>
      </c>
      <c r="J8559" s="689">
        <v>57.9</v>
      </c>
      <c r="K8559" s="689">
        <v>57.9</v>
      </c>
    </row>
    <row r="8560" spans="1:11">
      <c r="A8560" s="688" t="s">
        <v>17</v>
      </c>
      <c r="B8560" s="691">
        <v>57.1</v>
      </c>
      <c r="C8560" s="691">
        <v>57.4</v>
      </c>
      <c r="D8560" s="691">
        <v>57.3</v>
      </c>
      <c r="E8560" s="691">
        <v>57.4</v>
      </c>
      <c r="F8560" s="691">
        <v>57.6</v>
      </c>
      <c r="G8560" s="691">
        <v>57.7</v>
      </c>
      <c r="H8560" s="615">
        <v>58</v>
      </c>
      <c r="I8560" s="691">
        <v>57.2</v>
      </c>
      <c r="J8560" s="691">
        <v>57.2</v>
      </c>
      <c r="K8560" s="691">
        <v>57.7</v>
      </c>
    </row>
    <row r="8561" spans="1:11">
      <c r="A8561" s="688" t="s">
        <v>19</v>
      </c>
      <c r="B8561" s="689">
        <v>56.3</v>
      </c>
      <c r="C8561" s="689">
        <v>56.5</v>
      </c>
      <c r="D8561" s="689">
        <v>56.2</v>
      </c>
      <c r="E8561" s="689">
        <v>56.7</v>
      </c>
      <c r="F8561" s="689">
        <v>56.8</v>
      </c>
      <c r="G8561" s="689">
        <v>56.9</v>
      </c>
      <c r="H8561" s="689">
        <v>57.2</v>
      </c>
      <c r="I8561" s="689">
        <v>56.5</v>
      </c>
      <c r="J8561" s="689">
        <v>56.3</v>
      </c>
      <c r="K8561" s="689">
        <v>56.6</v>
      </c>
    </row>
    <row r="8562" spans="1:11">
      <c r="A8562" s="688" t="s">
        <v>20</v>
      </c>
      <c r="B8562" s="691">
        <v>50.8</v>
      </c>
      <c r="C8562" s="691">
        <v>51.4</v>
      </c>
      <c r="D8562" s="691">
        <v>51.2</v>
      </c>
      <c r="E8562" s="691">
        <v>51.5</v>
      </c>
      <c r="F8562" s="691">
        <v>51.5</v>
      </c>
      <c r="G8562" s="691">
        <v>51.4</v>
      </c>
      <c r="H8562" s="691">
        <v>51.7</v>
      </c>
      <c r="I8562" s="615">
        <v>50</v>
      </c>
      <c r="J8562" s="691">
        <v>49.1</v>
      </c>
      <c r="K8562" s="691">
        <v>50.9</v>
      </c>
    </row>
    <row r="8563" spans="1:11">
      <c r="A8563" s="688" t="s">
        <v>21</v>
      </c>
      <c r="B8563" s="689">
        <v>55.2</v>
      </c>
      <c r="C8563" s="689">
        <v>55.6</v>
      </c>
      <c r="D8563" s="689">
        <v>55.8</v>
      </c>
      <c r="E8563" s="689">
        <v>55.8</v>
      </c>
      <c r="F8563" s="689">
        <v>56.1</v>
      </c>
      <c r="G8563" s="689">
        <v>56.1</v>
      </c>
      <c r="H8563" s="689">
        <v>56.5</v>
      </c>
      <c r="I8563" s="689">
        <v>55.8</v>
      </c>
      <c r="J8563" s="689">
        <v>55.9</v>
      </c>
      <c r="K8563" s="689">
        <v>56.3</v>
      </c>
    </row>
    <row r="8564" spans="1:11">
      <c r="A8564" s="688" t="s">
        <v>22</v>
      </c>
      <c r="B8564" s="691">
        <v>49.9</v>
      </c>
      <c r="C8564" s="691">
        <v>49.6</v>
      </c>
      <c r="D8564" s="691">
        <v>49.5</v>
      </c>
      <c r="E8564" s="691">
        <v>49.7</v>
      </c>
      <c r="F8564" s="691">
        <v>49.7</v>
      </c>
      <c r="G8564" s="691">
        <v>49.6</v>
      </c>
      <c r="H8564" s="691">
        <v>49.8</v>
      </c>
      <c r="I8564" s="691">
        <v>48.1</v>
      </c>
      <c r="J8564" s="615">
        <v>47</v>
      </c>
      <c r="K8564" s="691">
        <v>49.2</v>
      </c>
    </row>
    <row r="8565" spans="1:11">
      <c r="A8565" s="688" t="s">
        <v>26</v>
      </c>
      <c r="B8565" s="689">
        <v>54.8</v>
      </c>
      <c r="C8565" s="689">
        <v>55.4</v>
      </c>
      <c r="D8565" s="689">
        <v>55.1</v>
      </c>
      <c r="E8565" s="689">
        <v>55.5</v>
      </c>
      <c r="F8565" s="689">
        <v>55.5</v>
      </c>
      <c r="G8565" s="689">
        <v>55.8</v>
      </c>
      <c r="H8565" s="693">
        <v>56</v>
      </c>
      <c r="I8565" s="689">
        <v>55.2</v>
      </c>
      <c r="J8565" s="689">
        <v>55.1</v>
      </c>
      <c r="K8565" s="689">
        <v>55.9</v>
      </c>
    </row>
    <row r="8566" spans="1:11">
      <c r="A8566" s="688" t="s">
        <v>25</v>
      </c>
      <c r="B8566" s="691">
        <v>50.8</v>
      </c>
      <c r="C8566" s="691">
        <v>51.2</v>
      </c>
      <c r="D8566" s="615">
        <v>51</v>
      </c>
      <c r="E8566" s="691">
        <v>51.6</v>
      </c>
      <c r="F8566" s="691">
        <v>51.6</v>
      </c>
      <c r="G8566" s="691">
        <v>51.7</v>
      </c>
      <c r="H8566" s="691">
        <v>52.1</v>
      </c>
      <c r="I8566" s="691">
        <v>51.4</v>
      </c>
      <c r="J8566" s="615">
        <v>49</v>
      </c>
      <c r="K8566" s="691">
        <v>51.4</v>
      </c>
    </row>
    <row r="8567" spans="1:11">
      <c r="A8567" s="688" t="s">
        <v>5</v>
      </c>
      <c r="B8567" s="689">
        <v>55.5</v>
      </c>
      <c r="C8567" s="689">
        <v>55.7</v>
      </c>
      <c r="D8567" s="693">
        <v>56</v>
      </c>
      <c r="E8567" s="689">
        <v>55.9</v>
      </c>
      <c r="F8567" s="689">
        <v>56.3</v>
      </c>
      <c r="G8567" s="689">
        <v>56.5</v>
      </c>
      <c r="H8567" s="689">
        <v>56.8</v>
      </c>
      <c r="I8567" s="689">
        <v>56.6</v>
      </c>
      <c r="J8567" s="689">
        <v>56.7</v>
      </c>
      <c r="K8567" s="689">
        <v>56.2</v>
      </c>
    </row>
    <row r="8568" spans="1:11">
      <c r="A8568" s="688" t="s">
        <v>23</v>
      </c>
      <c r="B8568" s="691">
        <v>57.7</v>
      </c>
      <c r="C8568" s="691">
        <v>57.8</v>
      </c>
      <c r="D8568" s="691">
        <v>57.8</v>
      </c>
      <c r="E8568" s="615">
        <v>58</v>
      </c>
      <c r="F8568" s="691">
        <v>58.2</v>
      </c>
      <c r="G8568" s="691">
        <v>58.3</v>
      </c>
      <c r="H8568" s="691">
        <v>58.8</v>
      </c>
      <c r="I8568" s="691">
        <v>58.1</v>
      </c>
      <c r="J8568" s="691">
        <v>58.7</v>
      </c>
      <c r="K8568" s="691">
        <v>58.8</v>
      </c>
    </row>
    <row r="8569" spans="1:11">
      <c r="A8569" s="688" t="s">
        <v>4067</v>
      </c>
      <c r="B8569" s="689">
        <v>55.4</v>
      </c>
      <c r="C8569" s="689">
        <v>55.7</v>
      </c>
      <c r="D8569" s="689">
        <v>55.5</v>
      </c>
      <c r="E8569" s="689">
        <v>55.8</v>
      </c>
      <c r="F8569" s="689">
        <v>55.9</v>
      </c>
      <c r="G8569" s="693">
        <v>56</v>
      </c>
      <c r="H8569" s="690" t="s">
        <v>4060</v>
      </c>
      <c r="I8569" s="690" t="s">
        <v>4060</v>
      </c>
      <c r="J8569" s="690" t="s">
        <v>4060</v>
      </c>
      <c r="K8569" s="690" t="s">
        <v>4060</v>
      </c>
    </row>
    <row r="8570" spans="1:11">
      <c r="A8570" s="688" t="s">
        <v>4066</v>
      </c>
      <c r="B8570" s="691">
        <v>55.4</v>
      </c>
      <c r="C8570" s="691">
        <v>55.8</v>
      </c>
      <c r="D8570" s="691">
        <v>55.6</v>
      </c>
      <c r="E8570" s="691">
        <v>55.9</v>
      </c>
      <c r="F8570" s="691">
        <v>55.9</v>
      </c>
      <c r="G8570" s="615">
        <v>56</v>
      </c>
      <c r="H8570" s="692" t="s">
        <v>4060</v>
      </c>
      <c r="I8570" s="692" t="s">
        <v>4060</v>
      </c>
      <c r="J8570" s="692" t="s">
        <v>4060</v>
      </c>
      <c r="K8570" s="692" t="s">
        <v>4060</v>
      </c>
    </row>
    <row r="8571" spans="1:11">
      <c r="A8571" s="688" t="s">
        <v>4062</v>
      </c>
      <c r="B8571" s="689">
        <v>57.9</v>
      </c>
      <c r="C8571" s="689">
        <v>58.2</v>
      </c>
      <c r="D8571" s="689">
        <v>58.2</v>
      </c>
      <c r="E8571" s="689">
        <v>58.6</v>
      </c>
      <c r="F8571" s="689">
        <v>58.8</v>
      </c>
      <c r="G8571" s="689">
        <v>58.9</v>
      </c>
      <c r="H8571" s="689">
        <v>59.1</v>
      </c>
      <c r="I8571" s="689">
        <v>58.7</v>
      </c>
      <c r="J8571" s="689">
        <v>59.1</v>
      </c>
      <c r="K8571" s="689">
        <v>58.9</v>
      </c>
    </row>
    <row r="8572" spans="1:11">
      <c r="A8572" s="688" t="s">
        <v>9</v>
      </c>
      <c r="B8572" s="691">
        <v>57.9</v>
      </c>
      <c r="C8572" s="691">
        <v>58.5</v>
      </c>
      <c r="D8572" s="691">
        <v>58.6</v>
      </c>
      <c r="E8572" s="691">
        <v>57.8</v>
      </c>
      <c r="F8572" s="691">
        <v>58.3</v>
      </c>
      <c r="G8572" s="691">
        <v>58.6</v>
      </c>
      <c r="H8572" s="691">
        <v>58.8</v>
      </c>
      <c r="I8572" s="615">
        <v>59</v>
      </c>
      <c r="J8572" s="691">
        <v>59.2</v>
      </c>
      <c r="K8572" s="691">
        <v>58.1</v>
      </c>
    </row>
    <row r="8573" spans="1:11">
      <c r="A8573" s="688" t="s">
        <v>13</v>
      </c>
      <c r="B8573" s="693">
        <v>58</v>
      </c>
      <c r="C8573" s="693">
        <v>58</v>
      </c>
      <c r="D8573" s="689">
        <v>58.6</v>
      </c>
      <c r="E8573" s="689">
        <v>57.9</v>
      </c>
      <c r="F8573" s="689">
        <v>58.6</v>
      </c>
      <c r="G8573" s="689">
        <v>57.4</v>
      </c>
      <c r="H8573" s="689">
        <v>59.4</v>
      </c>
      <c r="I8573" s="689">
        <v>58.4</v>
      </c>
      <c r="J8573" s="689">
        <v>59.4</v>
      </c>
      <c r="K8573" s="689">
        <v>60.1</v>
      </c>
    </row>
    <row r="8574" spans="1:11">
      <c r="A8574" s="688" t="s">
        <v>18</v>
      </c>
      <c r="B8574" s="691">
        <v>57.3</v>
      </c>
      <c r="C8574" s="691">
        <v>57.5</v>
      </c>
      <c r="D8574" s="691">
        <v>57.8</v>
      </c>
      <c r="E8574" s="615">
        <v>58</v>
      </c>
      <c r="F8574" s="691">
        <v>58.4</v>
      </c>
      <c r="G8574" s="691">
        <v>58.4</v>
      </c>
      <c r="H8574" s="691">
        <v>58.7</v>
      </c>
      <c r="I8574" s="691">
        <v>58.9</v>
      </c>
      <c r="J8574" s="615">
        <v>59</v>
      </c>
      <c r="K8574" s="691">
        <v>58.4</v>
      </c>
    </row>
    <row r="8575" spans="1:11">
      <c r="A8575" s="688" t="s">
        <v>24</v>
      </c>
      <c r="B8575" s="689">
        <v>58.3</v>
      </c>
      <c r="C8575" s="689">
        <v>58.5</v>
      </c>
      <c r="D8575" s="689">
        <v>58.4</v>
      </c>
      <c r="E8575" s="693">
        <v>59</v>
      </c>
      <c r="F8575" s="693">
        <v>59</v>
      </c>
      <c r="G8575" s="689">
        <v>59.2</v>
      </c>
      <c r="H8575" s="689">
        <v>59.4</v>
      </c>
      <c r="I8575" s="689">
        <v>58.6</v>
      </c>
      <c r="J8575" s="689">
        <v>59.2</v>
      </c>
      <c r="K8575" s="689">
        <v>59.2</v>
      </c>
    </row>
    <row r="8576" spans="1:11">
      <c r="A8576" s="688" t="s">
        <v>4059</v>
      </c>
      <c r="B8576" s="691">
        <v>56.8</v>
      </c>
      <c r="C8576" s="691">
        <v>57.1</v>
      </c>
      <c r="D8576" s="691">
        <v>56.9</v>
      </c>
      <c r="E8576" s="615">
        <v>57</v>
      </c>
      <c r="F8576" s="691">
        <v>57.1</v>
      </c>
      <c r="G8576" s="691">
        <v>57.1</v>
      </c>
      <c r="H8576" s="692" t="s">
        <v>4060</v>
      </c>
      <c r="I8576" s="692" t="s">
        <v>4060</v>
      </c>
      <c r="J8576" s="692" t="s">
        <v>4060</v>
      </c>
      <c r="K8576" s="692" t="s">
        <v>4060</v>
      </c>
    </row>
    <row r="8577" spans="1:11">
      <c r="A8577" s="688" t="s">
        <v>2324</v>
      </c>
      <c r="B8577" s="689">
        <v>51.8</v>
      </c>
      <c r="C8577" s="689">
        <v>51.8</v>
      </c>
      <c r="D8577" s="689">
        <v>51.9</v>
      </c>
      <c r="E8577" s="689">
        <v>51.6</v>
      </c>
      <c r="F8577" s="689">
        <v>51.5</v>
      </c>
      <c r="G8577" s="693">
        <v>52</v>
      </c>
      <c r="H8577" s="689">
        <v>51.6</v>
      </c>
      <c r="I8577" s="689">
        <v>50.7</v>
      </c>
      <c r="J8577" s="689">
        <v>48.2</v>
      </c>
      <c r="K8577" s="690" t="s">
        <v>4060</v>
      </c>
    </row>
    <row r="8578" spans="1:11">
      <c r="A8578" s="688" t="s">
        <v>2322</v>
      </c>
      <c r="B8578" s="692" t="s">
        <v>4060</v>
      </c>
      <c r="C8578" s="692" t="s">
        <v>4060</v>
      </c>
      <c r="D8578" s="692" t="s">
        <v>4060</v>
      </c>
      <c r="E8578" s="692" t="s">
        <v>4060</v>
      </c>
      <c r="F8578" s="692" t="s">
        <v>4060</v>
      </c>
      <c r="G8578" s="692" t="s">
        <v>4060</v>
      </c>
      <c r="H8578" s="692" t="s">
        <v>4060</v>
      </c>
      <c r="I8578" s="692" t="s">
        <v>4060</v>
      </c>
      <c r="J8578" s="692" t="s">
        <v>4060</v>
      </c>
      <c r="K8578" s="692" t="s">
        <v>4060</v>
      </c>
    </row>
    <row r="8579" spans="1:11">
      <c r="A8579" s="688" t="s">
        <v>2328</v>
      </c>
      <c r="B8579" s="689">
        <v>51.6</v>
      </c>
      <c r="C8579" s="689">
        <v>51.7</v>
      </c>
      <c r="D8579" s="689">
        <v>51.6</v>
      </c>
      <c r="E8579" s="689">
        <v>51.7</v>
      </c>
      <c r="F8579" s="689">
        <v>52.1</v>
      </c>
      <c r="G8579" s="689">
        <v>52.4</v>
      </c>
      <c r="H8579" s="689">
        <v>52.5</v>
      </c>
      <c r="I8579" s="689">
        <v>49.9</v>
      </c>
      <c r="J8579" s="689">
        <v>48.8</v>
      </c>
      <c r="K8579" s="690" t="s">
        <v>4060</v>
      </c>
    </row>
    <row r="8580" spans="1:11">
      <c r="A8580" s="688" t="s">
        <v>2496</v>
      </c>
      <c r="B8580" s="692" t="s">
        <v>4060</v>
      </c>
      <c r="C8580" s="691">
        <v>48.3</v>
      </c>
      <c r="D8580" s="691">
        <v>47.1</v>
      </c>
      <c r="E8580" s="691">
        <v>46.7</v>
      </c>
      <c r="F8580" s="691">
        <v>47.5</v>
      </c>
      <c r="G8580" s="691">
        <v>47.9</v>
      </c>
      <c r="H8580" s="615">
        <v>48</v>
      </c>
      <c r="I8580" s="692" t="s">
        <v>4060</v>
      </c>
      <c r="J8580" s="692" t="s">
        <v>4060</v>
      </c>
      <c r="K8580" s="691">
        <v>47.4</v>
      </c>
    </row>
    <row r="8581" spans="1:11">
      <c r="A8581" s="688" t="s">
        <v>2269</v>
      </c>
      <c r="B8581" s="689">
        <v>54.3</v>
      </c>
      <c r="C8581" s="689">
        <v>54.5</v>
      </c>
      <c r="D8581" s="689">
        <v>54.4</v>
      </c>
      <c r="E8581" s="689">
        <v>55.2</v>
      </c>
      <c r="F8581" s="689">
        <v>55.2</v>
      </c>
      <c r="G8581" s="689">
        <v>55.5</v>
      </c>
      <c r="H8581" s="689">
        <v>55.8</v>
      </c>
      <c r="I8581" s="689">
        <v>53.3</v>
      </c>
      <c r="J8581" s="689">
        <v>51.6</v>
      </c>
      <c r="K8581" s="689">
        <v>55.4</v>
      </c>
    </row>
    <row r="8582" spans="1:11">
      <c r="A8582" s="688" t="s">
        <v>2349</v>
      </c>
      <c r="B8582" s="691">
        <v>50.5</v>
      </c>
      <c r="C8582" s="691">
        <v>50.7</v>
      </c>
      <c r="D8582" s="691">
        <v>50.6</v>
      </c>
      <c r="E8582" s="615">
        <v>51</v>
      </c>
      <c r="F8582" s="691">
        <v>50.9</v>
      </c>
      <c r="G8582" s="691">
        <v>51.2</v>
      </c>
      <c r="H8582" s="691">
        <v>51.1</v>
      </c>
      <c r="I8582" s="691">
        <v>49.3</v>
      </c>
      <c r="J8582" s="691">
        <v>47.8</v>
      </c>
      <c r="K8582" s="691">
        <v>50.4</v>
      </c>
    </row>
    <row r="8583" spans="1:11">
      <c r="A8583" s="688" t="s">
        <v>2355</v>
      </c>
      <c r="B8583" s="693">
        <v>54</v>
      </c>
      <c r="C8583" s="693">
        <v>54</v>
      </c>
      <c r="D8583" s="693">
        <v>54</v>
      </c>
      <c r="E8583" s="689">
        <v>53.9</v>
      </c>
      <c r="F8583" s="689">
        <v>54.1</v>
      </c>
      <c r="G8583" s="689">
        <v>54.6</v>
      </c>
      <c r="H8583" s="689">
        <v>54.8</v>
      </c>
      <c r="I8583" s="690" t="s">
        <v>4060</v>
      </c>
      <c r="J8583" s="690" t="s">
        <v>4060</v>
      </c>
      <c r="K8583" s="690" t="s">
        <v>4060</v>
      </c>
    </row>
    <row r="8584" spans="1:11">
      <c r="A8584" s="688" t="s">
        <v>2357</v>
      </c>
      <c r="B8584" s="692" t="s">
        <v>4060</v>
      </c>
      <c r="C8584" s="691">
        <v>44.9</v>
      </c>
      <c r="D8584" s="691">
        <v>45.7</v>
      </c>
      <c r="E8584" s="691">
        <v>46.1</v>
      </c>
      <c r="F8584" s="691">
        <v>46.4</v>
      </c>
      <c r="G8584" s="691">
        <v>46.1</v>
      </c>
      <c r="H8584" s="691">
        <v>46.4</v>
      </c>
      <c r="I8584" s="692" t="s">
        <v>4060</v>
      </c>
      <c r="J8584" s="692" t="s">
        <v>4060</v>
      </c>
      <c r="K8584" s="692" t="s">
        <v>4060</v>
      </c>
    </row>
    <row r="8585" spans="1:11">
      <c r="A8585" s="688" t="s">
        <v>4070</v>
      </c>
      <c r="B8585" s="690" t="s">
        <v>4060</v>
      </c>
      <c r="C8585" s="690" t="s">
        <v>4060</v>
      </c>
      <c r="D8585" s="690" t="s">
        <v>4060</v>
      </c>
      <c r="E8585" s="689">
        <v>53.7</v>
      </c>
      <c r="F8585" s="690" t="s">
        <v>4060</v>
      </c>
      <c r="G8585" s="690" t="s">
        <v>4060</v>
      </c>
      <c r="H8585" s="690" t="s">
        <v>4060</v>
      </c>
      <c r="I8585" s="690" t="s">
        <v>4060</v>
      </c>
      <c r="J8585" s="690" t="s">
        <v>4060</v>
      </c>
      <c r="K8585" s="690" t="s">
        <v>4060</v>
      </c>
    </row>
    <row r="8586" spans="1:11">
      <c r="A8586" s="688" t="s">
        <v>2491</v>
      </c>
      <c r="B8586" s="615">
        <v>45</v>
      </c>
      <c r="C8586" s="691">
        <v>45.6</v>
      </c>
      <c r="D8586" s="691">
        <v>46.3</v>
      </c>
      <c r="E8586" s="691">
        <v>46.7</v>
      </c>
      <c r="F8586" s="691">
        <v>46.9</v>
      </c>
      <c r="G8586" s="691">
        <v>46.8</v>
      </c>
      <c r="H8586" s="692" t="s">
        <v>4060</v>
      </c>
      <c r="I8586" s="692" t="s">
        <v>4060</v>
      </c>
      <c r="J8586" s="692" t="s">
        <v>4060</v>
      </c>
      <c r="K8586" s="692" t="s">
        <v>4060</v>
      </c>
    </row>
    <row r="8587" spans="1:11">
      <c r="A8587" s="688" t="s">
        <v>2343</v>
      </c>
      <c r="B8587" s="690" t="s">
        <v>4060</v>
      </c>
      <c r="C8587" s="690" t="s">
        <v>4060</v>
      </c>
      <c r="D8587" s="690" t="s">
        <v>4060</v>
      </c>
      <c r="E8587" s="690" t="s">
        <v>4060</v>
      </c>
      <c r="F8587" s="690" t="s">
        <v>4060</v>
      </c>
      <c r="G8587" s="690" t="s">
        <v>4060</v>
      </c>
      <c r="H8587" s="690" t="s">
        <v>4060</v>
      </c>
      <c r="I8587" s="690" t="s">
        <v>4060</v>
      </c>
      <c r="J8587" s="690" t="s">
        <v>4060</v>
      </c>
      <c r="K8587" s="690" t="s">
        <v>4060</v>
      </c>
    </row>
    <row r="8588" spans="1:11">
      <c r="A8588" s="688" t="s">
        <v>4071</v>
      </c>
      <c r="B8588" s="692" t="s">
        <v>4060</v>
      </c>
      <c r="C8588" s="692" t="s">
        <v>4060</v>
      </c>
      <c r="D8588" s="692" t="s">
        <v>4060</v>
      </c>
      <c r="E8588" s="692" t="s">
        <v>4060</v>
      </c>
      <c r="F8588" s="692" t="s">
        <v>4060</v>
      </c>
      <c r="G8588" s="692" t="s">
        <v>4060</v>
      </c>
      <c r="H8588" s="692" t="s">
        <v>4060</v>
      </c>
      <c r="I8588" s="692" t="s">
        <v>4060</v>
      </c>
      <c r="J8588" s="692" t="s">
        <v>4060</v>
      </c>
      <c r="K8588" s="692" t="s">
        <v>4060</v>
      </c>
    </row>
    <row r="8589" spans="1:11">
      <c r="A8589" s="688" t="s">
        <v>2489</v>
      </c>
      <c r="B8589" s="690" t="s">
        <v>4060</v>
      </c>
      <c r="C8589" s="690" t="s">
        <v>4060</v>
      </c>
      <c r="D8589" s="689">
        <v>49.9</v>
      </c>
      <c r="E8589" s="693">
        <v>50</v>
      </c>
      <c r="F8589" s="689">
        <v>50.6</v>
      </c>
      <c r="G8589" s="689">
        <v>51.4</v>
      </c>
      <c r="H8589" s="689">
        <v>51.1</v>
      </c>
      <c r="I8589" s="690" t="s">
        <v>4060</v>
      </c>
      <c r="J8589" s="690" t="s">
        <v>4060</v>
      </c>
      <c r="K8589" s="690" t="s">
        <v>4060</v>
      </c>
    </row>
    <row r="8590" spans="1:11">
      <c r="A8590" s="688" t="s">
        <v>2490</v>
      </c>
      <c r="B8590" s="691">
        <v>50.6</v>
      </c>
      <c r="C8590" s="691">
        <v>50.8</v>
      </c>
      <c r="D8590" s="691">
        <v>51.5</v>
      </c>
      <c r="E8590" s="692" t="s">
        <v>4060</v>
      </c>
      <c r="F8590" s="691">
        <v>51.8</v>
      </c>
      <c r="G8590" s="615">
        <v>52</v>
      </c>
      <c r="H8590" s="691">
        <v>52.9</v>
      </c>
      <c r="I8590" s="692" t="s">
        <v>4060</v>
      </c>
      <c r="J8590" s="692" t="s">
        <v>4060</v>
      </c>
      <c r="K8590" s="692" t="s">
        <v>4060</v>
      </c>
    </row>
    <row r="8592" spans="1:11">
      <c r="A8592" s="683" t="s">
        <v>4233</v>
      </c>
    </row>
    <row r="8593" spans="1:11">
      <c r="A8593" s="683" t="s">
        <v>4060</v>
      </c>
      <c r="B8593" s="682" t="s">
        <v>4234</v>
      </c>
    </row>
    <row r="8595" spans="1:11">
      <c r="A8595" s="682" t="s">
        <v>4331</v>
      </c>
    </row>
    <row r="8596" spans="1:11">
      <c r="A8596" s="682" t="s">
        <v>4210</v>
      </c>
      <c r="B8596" s="683" t="s">
        <v>4211</v>
      </c>
    </row>
    <row r="8597" spans="1:11">
      <c r="A8597" s="682" t="s">
        <v>4212</v>
      </c>
      <c r="B8597" s="682" t="s">
        <v>4213</v>
      </c>
    </row>
    <row r="8599" spans="1:11">
      <c r="A8599" s="683" t="s">
        <v>4214</v>
      </c>
      <c r="C8599" s="682" t="s">
        <v>4215</v>
      </c>
    </row>
    <row r="8600" spans="1:11">
      <c r="A8600" s="683" t="s">
        <v>4216</v>
      </c>
      <c r="C8600" s="682" t="s">
        <v>2967</v>
      </c>
    </row>
    <row r="8601" spans="1:11">
      <c r="A8601" s="683" t="s">
        <v>3893</v>
      </c>
      <c r="C8601" s="682" t="s">
        <v>2168</v>
      </c>
    </row>
    <row r="8602" spans="1:11">
      <c r="A8602" s="683" t="s">
        <v>4218</v>
      </c>
      <c r="C8602" s="682" t="s">
        <v>4259</v>
      </c>
    </row>
    <row r="8604" spans="1:11">
      <c r="A8604" s="684" t="s">
        <v>4220</v>
      </c>
      <c r="B8604" s="685" t="s">
        <v>4221</v>
      </c>
      <c r="C8604" s="685" t="s">
        <v>4222</v>
      </c>
      <c r="D8604" s="685" t="s">
        <v>4223</v>
      </c>
      <c r="E8604" s="685" t="s">
        <v>4224</v>
      </c>
      <c r="F8604" s="685" t="s">
        <v>4225</v>
      </c>
      <c r="G8604" s="685" t="s">
        <v>4226</v>
      </c>
      <c r="H8604" s="685" t="s">
        <v>4227</v>
      </c>
      <c r="I8604" s="685" t="s">
        <v>4228</v>
      </c>
      <c r="J8604" s="685" t="s">
        <v>4229</v>
      </c>
      <c r="K8604" s="685" t="s">
        <v>4230</v>
      </c>
    </row>
    <row r="8605" spans="1:11">
      <c r="A8605" s="686" t="s">
        <v>4231</v>
      </c>
      <c r="B8605" s="687" t="s">
        <v>4232</v>
      </c>
      <c r="C8605" s="687" t="s">
        <v>4232</v>
      </c>
      <c r="D8605" s="687" t="s">
        <v>4232</v>
      </c>
      <c r="E8605" s="687" t="s">
        <v>4232</v>
      </c>
      <c r="F8605" s="687" t="s">
        <v>4232</v>
      </c>
      <c r="G8605" s="687" t="s">
        <v>4232</v>
      </c>
      <c r="H8605" s="687" t="s">
        <v>4232</v>
      </c>
      <c r="I8605" s="687" t="s">
        <v>4232</v>
      </c>
      <c r="J8605" s="687" t="s">
        <v>4232</v>
      </c>
      <c r="K8605" s="687" t="s">
        <v>4232</v>
      </c>
    </row>
    <row r="8606" spans="1:11">
      <c r="A8606" s="688" t="s">
        <v>4064</v>
      </c>
      <c r="B8606" s="691">
        <v>54.2</v>
      </c>
      <c r="C8606" s="691">
        <v>54.4</v>
      </c>
      <c r="D8606" s="691">
        <v>54.3</v>
      </c>
      <c r="E8606" s="691">
        <v>54.5</v>
      </c>
      <c r="F8606" s="691">
        <v>54.6</v>
      </c>
      <c r="G8606" s="691">
        <v>54.7</v>
      </c>
      <c r="H8606" s="615">
        <v>55</v>
      </c>
      <c r="I8606" s="615">
        <v>54</v>
      </c>
      <c r="J8606" s="691">
        <v>53.7</v>
      </c>
      <c r="K8606" s="691">
        <v>54.5</v>
      </c>
    </row>
    <row r="8607" spans="1:11">
      <c r="A8607" s="688" t="s">
        <v>4065</v>
      </c>
      <c r="B8607" s="689">
        <v>54.4</v>
      </c>
      <c r="C8607" s="689">
        <v>54.8</v>
      </c>
      <c r="D8607" s="689">
        <v>54.5</v>
      </c>
      <c r="E8607" s="689">
        <v>54.9</v>
      </c>
      <c r="F8607" s="689">
        <v>54.9</v>
      </c>
      <c r="G8607" s="693">
        <v>55</v>
      </c>
      <c r="H8607" s="690" t="s">
        <v>4060</v>
      </c>
      <c r="I8607" s="690" t="s">
        <v>4060</v>
      </c>
      <c r="J8607" s="690" t="s">
        <v>4060</v>
      </c>
      <c r="K8607" s="690" t="s">
        <v>4060</v>
      </c>
    </row>
    <row r="8608" spans="1:11">
      <c r="A8608" s="688" t="s">
        <v>4063</v>
      </c>
      <c r="B8608" s="691">
        <v>54.4</v>
      </c>
      <c r="C8608" s="691">
        <v>54.8</v>
      </c>
      <c r="D8608" s="691">
        <v>54.6</v>
      </c>
      <c r="E8608" s="691">
        <v>54.9</v>
      </c>
      <c r="F8608" s="691">
        <v>54.9</v>
      </c>
      <c r="G8608" s="615">
        <v>55</v>
      </c>
      <c r="H8608" s="692" t="s">
        <v>4060</v>
      </c>
      <c r="I8608" s="692" t="s">
        <v>4060</v>
      </c>
      <c r="J8608" s="692" t="s">
        <v>4060</v>
      </c>
      <c r="K8608" s="692" t="s">
        <v>4060</v>
      </c>
    </row>
    <row r="8609" spans="1:11">
      <c r="A8609" s="688" t="s">
        <v>4069</v>
      </c>
      <c r="B8609" s="690" t="s">
        <v>4060</v>
      </c>
      <c r="C8609" s="689">
        <v>55.5</v>
      </c>
      <c r="D8609" s="689">
        <v>55.3</v>
      </c>
      <c r="E8609" s="689">
        <v>55.6</v>
      </c>
      <c r="F8609" s="689">
        <v>55.7</v>
      </c>
      <c r="G8609" s="689">
        <v>55.9</v>
      </c>
      <c r="H8609" s="689">
        <v>56.1</v>
      </c>
      <c r="I8609" s="689">
        <v>55.4</v>
      </c>
      <c r="J8609" s="689">
        <v>55.4</v>
      </c>
      <c r="K8609" s="689">
        <v>55.6</v>
      </c>
    </row>
    <row r="8610" spans="1:11">
      <c r="A8610" s="688" t="s">
        <v>4068</v>
      </c>
      <c r="B8610" s="691">
        <v>55.4</v>
      </c>
      <c r="C8610" s="692" t="s">
        <v>4060</v>
      </c>
      <c r="D8610" s="692" t="s">
        <v>4060</v>
      </c>
      <c r="E8610" s="692" t="s">
        <v>4060</v>
      </c>
      <c r="F8610" s="692" t="s">
        <v>4060</v>
      </c>
      <c r="G8610" s="692" t="s">
        <v>4060</v>
      </c>
      <c r="H8610" s="692" t="s">
        <v>4060</v>
      </c>
      <c r="I8610" s="692" t="s">
        <v>4060</v>
      </c>
      <c r="J8610" s="692" t="s">
        <v>4060</v>
      </c>
      <c r="K8610" s="692" t="s">
        <v>4060</v>
      </c>
    </row>
    <row r="8611" spans="1:11">
      <c r="A8611" s="688" t="s">
        <v>0</v>
      </c>
      <c r="B8611" s="689">
        <v>54.8</v>
      </c>
      <c r="C8611" s="689">
        <v>55.3</v>
      </c>
      <c r="D8611" s="689">
        <v>55.2</v>
      </c>
      <c r="E8611" s="689">
        <v>55.4</v>
      </c>
      <c r="F8611" s="689">
        <v>55.7</v>
      </c>
      <c r="G8611" s="689">
        <v>55.8</v>
      </c>
      <c r="H8611" s="689">
        <v>56.2</v>
      </c>
      <c r="I8611" s="689">
        <v>55.1</v>
      </c>
      <c r="J8611" s="689">
        <v>55.8</v>
      </c>
      <c r="K8611" s="689">
        <v>56.1</v>
      </c>
    </row>
    <row r="8612" spans="1:11">
      <c r="A8612" s="688" t="s">
        <v>1</v>
      </c>
      <c r="B8612" s="691">
        <v>48.6</v>
      </c>
      <c r="C8612" s="691">
        <v>48.1</v>
      </c>
      <c r="D8612" s="691">
        <v>48.2</v>
      </c>
      <c r="E8612" s="691">
        <v>48.2</v>
      </c>
      <c r="F8612" s="691">
        <v>48.2</v>
      </c>
      <c r="G8612" s="691">
        <v>48.3</v>
      </c>
      <c r="H8612" s="691">
        <v>48.3</v>
      </c>
      <c r="I8612" s="691">
        <v>46.5</v>
      </c>
      <c r="J8612" s="691">
        <v>44.7</v>
      </c>
      <c r="K8612" s="691">
        <v>47.4</v>
      </c>
    </row>
    <row r="8613" spans="1:11">
      <c r="A8613" s="688" t="s">
        <v>2240</v>
      </c>
      <c r="B8613" s="689">
        <v>51.9</v>
      </c>
      <c r="C8613" s="689">
        <v>52.3</v>
      </c>
      <c r="D8613" s="689">
        <v>52.2</v>
      </c>
      <c r="E8613" s="689">
        <v>52.7</v>
      </c>
      <c r="F8613" s="689">
        <v>52.6</v>
      </c>
      <c r="G8613" s="689">
        <v>52.7</v>
      </c>
      <c r="H8613" s="693">
        <v>53</v>
      </c>
      <c r="I8613" s="689">
        <v>51.8</v>
      </c>
      <c r="J8613" s="689">
        <v>50.6</v>
      </c>
      <c r="K8613" s="689">
        <v>52.6</v>
      </c>
    </row>
    <row r="8614" spans="1:11">
      <c r="A8614" s="688" t="s">
        <v>2</v>
      </c>
      <c r="B8614" s="691">
        <v>54.9</v>
      </c>
      <c r="C8614" s="691">
        <v>55.2</v>
      </c>
      <c r="D8614" s="691">
        <v>55.3</v>
      </c>
      <c r="E8614" s="691">
        <v>55.5</v>
      </c>
      <c r="F8614" s="691">
        <v>55.7</v>
      </c>
      <c r="G8614" s="691">
        <v>55.6</v>
      </c>
      <c r="H8614" s="615">
        <v>56</v>
      </c>
      <c r="I8614" s="691">
        <v>56.1</v>
      </c>
      <c r="J8614" s="691">
        <v>56.1</v>
      </c>
      <c r="K8614" s="691">
        <v>55.9</v>
      </c>
    </row>
    <row r="8615" spans="1:11">
      <c r="A8615" s="688" t="s">
        <v>3</v>
      </c>
      <c r="B8615" s="689">
        <v>54.7</v>
      </c>
      <c r="C8615" s="693">
        <v>55</v>
      </c>
      <c r="D8615" s="689">
        <v>54.7</v>
      </c>
      <c r="E8615" s="693">
        <v>55</v>
      </c>
      <c r="F8615" s="689">
        <v>55.1</v>
      </c>
      <c r="G8615" s="689">
        <v>55.1</v>
      </c>
      <c r="H8615" s="689">
        <v>55.4</v>
      </c>
      <c r="I8615" s="689">
        <v>55.1</v>
      </c>
      <c r="J8615" s="689">
        <v>54.8</v>
      </c>
      <c r="K8615" s="689">
        <v>54.7</v>
      </c>
    </row>
    <row r="8616" spans="1:11">
      <c r="A8616" s="688" t="s">
        <v>4061</v>
      </c>
      <c r="B8616" s="691">
        <v>54.7</v>
      </c>
      <c r="C8616" s="615">
        <v>55</v>
      </c>
      <c r="D8616" s="691">
        <v>54.7</v>
      </c>
      <c r="E8616" s="615">
        <v>55</v>
      </c>
      <c r="F8616" s="691">
        <v>55.1</v>
      </c>
      <c r="G8616" s="691">
        <v>55.1</v>
      </c>
      <c r="H8616" s="691">
        <v>55.4</v>
      </c>
      <c r="I8616" s="691">
        <v>55.1</v>
      </c>
      <c r="J8616" s="691">
        <v>54.8</v>
      </c>
      <c r="K8616" s="691">
        <v>54.7</v>
      </c>
    </row>
    <row r="8617" spans="1:11">
      <c r="A8617" s="688" t="s">
        <v>4</v>
      </c>
      <c r="B8617" s="689">
        <v>49.5</v>
      </c>
      <c r="C8617" s="689">
        <v>49.2</v>
      </c>
      <c r="D8617" s="689">
        <v>49.8</v>
      </c>
      <c r="E8617" s="689">
        <v>49.9</v>
      </c>
      <c r="F8617" s="689">
        <v>50.3</v>
      </c>
      <c r="G8617" s="689">
        <v>50.4</v>
      </c>
      <c r="H8617" s="693">
        <v>51</v>
      </c>
      <c r="I8617" s="689">
        <v>50.8</v>
      </c>
      <c r="J8617" s="689">
        <v>49.4</v>
      </c>
      <c r="K8617" s="689">
        <v>50.2</v>
      </c>
    </row>
    <row r="8618" spans="1:11">
      <c r="A8618" s="688" t="s">
        <v>8</v>
      </c>
      <c r="B8618" s="691">
        <v>55.6</v>
      </c>
      <c r="C8618" s="691">
        <v>55.9</v>
      </c>
      <c r="D8618" s="691">
        <v>56.1</v>
      </c>
      <c r="E8618" s="691">
        <v>56.2</v>
      </c>
      <c r="F8618" s="691">
        <v>56.7</v>
      </c>
      <c r="G8618" s="691">
        <v>56.7</v>
      </c>
      <c r="H8618" s="691">
        <v>57.1</v>
      </c>
      <c r="I8618" s="615">
        <v>57</v>
      </c>
      <c r="J8618" s="691">
        <v>56.8</v>
      </c>
      <c r="K8618" s="691">
        <v>57.2</v>
      </c>
    </row>
    <row r="8619" spans="1:11">
      <c r="A8619" s="688" t="s">
        <v>7</v>
      </c>
      <c r="B8619" s="689">
        <v>55.4</v>
      </c>
      <c r="C8619" s="689">
        <v>54.9</v>
      </c>
      <c r="D8619" s="689">
        <v>54.7</v>
      </c>
      <c r="E8619" s="689">
        <v>55.1</v>
      </c>
      <c r="F8619" s="693">
        <v>55</v>
      </c>
      <c r="G8619" s="689">
        <v>55.4</v>
      </c>
      <c r="H8619" s="689">
        <v>55.4</v>
      </c>
      <c r="I8619" s="689">
        <v>55.1</v>
      </c>
      <c r="J8619" s="689">
        <v>53.9</v>
      </c>
      <c r="K8619" s="689">
        <v>54.8</v>
      </c>
    </row>
    <row r="8620" spans="1:11">
      <c r="A8620" s="688" t="s">
        <v>27</v>
      </c>
      <c r="B8620" s="691">
        <v>56.7</v>
      </c>
      <c r="C8620" s="691">
        <v>56.6</v>
      </c>
      <c r="D8620" s="691">
        <v>56.3</v>
      </c>
      <c r="E8620" s="691">
        <v>56.7</v>
      </c>
      <c r="F8620" s="691">
        <v>56.8</v>
      </c>
      <c r="G8620" s="691">
        <v>56.9</v>
      </c>
      <c r="H8620" s="691">
        <v>57.2</v>
      </c>
      <c r="I8620" s="691">
        <v>55.9</v>
      </c>
      <c r="J8620" s="691">
        <v>56.6</v>
      </c>
      <c r="K8620" s="691">
        <v>56.9</v>
      </c>
    </row>
    <row r="8621" spans="1:11">
      <c r="A8621" s="688" t="s">
        <v>6</v>
      </c>
      <c r="B8621" s="689">
        <v>55.7</v>
      </c>
      <c r="C8621" s="689">
        <v>55.9</v>
      </c>
      <c r="D8621" s="689">
        <v>55.7</v>
      </c>
      <c r="E8621" s="693">
        <v>56</v>
      </c>
      <c r="F8621" s="689">
        <v>56.1</v>
      </c>
      <c r="G8621" s="689">
        <v>56.2</v>
      </c>
      <c r="H8621" s="689">
        <v>56.4</v>
      </c>
      <c r="I8621" s="689">
        <v>55.8</v>
      </c>
      <c r="J8621" s="689">
        <v>55.8</v>
      </c>
      <c r="K8621" s="693">
        <v>56</v>
      </c>
    </row>
    <row r="8622" spans="1:11">
      <c r="A8622" s="688" t="s">
        <v>4058</v>
      </c>
      <c r="B8622" s="692" t="s">
        <v>4060</v>
      </c>
      <c r="C8622" s="692" t="s">
        <v>4060</v>
      </c>
      <c r="D8622" s="692" t="s">
        <v>4060</v>
      </c>
      <c r="E8622" s="692" t="s">
        <v>4060</v>
      </c>
      <c r="F8622" s="692" t="s">
        <v>4060</v>
      </c>
      <c r="G8622" s="692" t="s">
        <v>4060</v>
      </c>
      <c r="H8622" s="692" t="s">
        <v>4060</v>
      </c>
      <c r="I8622" s="692" t="s">
        <v>4060</v>
      </c>
      <c r="J8622" s="692" t="s">
        <v>4060</v>
      </c>
      <c r="K8622" s="692" t="s">
        <v>4060</v>
      </c>
    </row>
    <row r="8623" spans="1:11">
      <c r="A8623" s="688" t="s">
        <v>11</v>
      </c>
      <c r="B8623" s="689">
        <v>51.3</v>
      </c>
      <c r="C8623" s="689">
        <v>51.4</v>
      </c>
      <c r="D8623" s="693">
        <v>51</v>
      </c>
      <c r="E8623" s="689">
        <v>51.6</v>
      </c>
      <c r="F8623" s="689">
        <v>51.6</v>
      </c>
      <c r="G8623" s="689">
        <v>51.5</v>
      </c>
      <c r="H8623" s="689">
        <v>51.9</v>
      </c>
      <c r="I8623" s="689">
        <v>51.2</v>
      </c>
      <c r="J8623" s="689">
        <v>50.1</v>
      </c>
      <c r="K8623" s="689">
        <v>51.3</v>
      </c>
    </row>
    <row r="8624" spans="1:11">
      <c r="A8624" s="688" t="s">
        <v>10</v>
      </c>
      <c r="B8624" s="691">
        <v>56.8</v>
      </c>
      <c r="C8624" s="691">
        <v>56.9</v>
      </c>
      <c r="D8624" s="691">
        <v>56.7</v>
      </c>
      <c r="E8624" s="691">
        <v>57.2</v>
      </c>
      <c r="F8624" s="691">
        <v>57.1</v>
      </c>
      <c r="G8624" s="691">
        <v>57.4</v>
      </c>
      <c r="H8624" s="691">
        <v>57.7</v>
      </c>
      <c r="I8624" s="691">
        <v>56.3</v>
      </c>
      <c r="J8624" s="691">
        <v>56.8</v>
      </c>
      <c r="K8624" s="691">
        <v>57.1</v>
      </c>
    </row>
    <row r="8625" spans="1:11">
      <c r="A8625" s="688" t="s">
        <v>30</v>
      </c>
      <c r="B8625" s="689">
        <v>56.6</v>
      </c>
      <c r="C8625" s="689">
        <v>56.8</v>
      </c>
      <c r="D8625" s="689">
        <v>56.6</v>
      </c>
      <c r="E8625" s="689">
        <v>57.2</v>
      </c>
      <c r="F8625" s="689">
        <v>56.9</v>
      </c>
      <c r="G8625" s="689">
        <v>57.6</v>
      </c>
      <c r="H8625" s="689">
        <v>57.3</v>
      </c>
      <c r="I8625" s="689">
        <v>57.3</v>
      </c>
      <c r="J8625" s="689">
        <v>56.3</v>
      </c>
      <c r="K8625" s="693">
        <v>57</v>
      </c>
    </row>
    <row r="8626" spans="1:11">
      <c r="A8626" s="688" t="s">
        <v>12</v>
      </c>
      <c r="B8626" s="691">
        <v>46.2</v>
      </c>
      <c r="C8626" s="691">
        <v>46.1</v>
      </c>
      <c r="D8626" s="691">
        <v>46.5</v>
      </c>
      <c r="E8626" s="691">
        <v>46.6</v>
      </c>
      <c r="F8626" s="691">
        <v>46.7</v>
      </c>
      <c r="G8626" s="691">
        <v>46.8</v>
      </c>
      <c r="H8626" s="691">
        <v>47.6</v>
      </c>
      <c r="I8626" s="691">
        <v>47.4</v>
      </c>
      <c r="J8626" s="691">
        <v>44.9</v>
      </c>
      <c r="K8626" s="691">
        <v>46.1</v>
      </c>
    </row>
    <row r="8627" spans="1:11">
      <c r="A8627" s="688" t="s">
        <v>14</v>
      </c>
      <c r="B8627" s="689">
        <v>45.5</v>
      </c>
      <c r="C8627" s="689">
        <v>46.2</v>
      </c>
      <c r="D8627" s="689">
        <v>46.1</v>
      </c>
      <c r="E8627" s="689">
        <v>46.3</v>
      </c>
      <c r="F8627" s="689">
        <v>47.5</v>
      </c>
      <c r="G8627" s="689">
        <v>47.7</v>
      </c>
      <c r="H8627" s="689">
        <v>48.2</v>
      </c>
      <c r="I8627" s="689">
        <v>46.9</v>
      </c>
      <c r="J8627" s="689">
        <v>46.3</v>
      </c>
      <c r="K8627" s="693">
        <v>48</v>
      </c>
    </row>
    <row r="8628" spans="1:11">
      <c r="A8628" s="688" t="s">
        <v>15</v>
      </c>
      <c r="B8628" s="691">
        <v>56.5</v>
      </c>
      <c r="C8628" s="691">
        <v>55.7</v>
      </c>
      <c r="D8628" s="691">
        <v>56.5</v>
      </c>
      <c r="E8628" s="691">
        <v>56.4</v>
      </c>
      <c r="F8628" s="691">
        <v>56.3</v>
      </c>
      <c r="G8628" s="691">
        <v>56.4</v>
      </c>
      <c r="H8628" s="691">
        <v>56.9</v>
      </c>
      <c r="I8628" s="691">
        <v>56.4</v>
      </c>
      <c r="J8628" s="691">
        <v>56.8</v>
      </c>
      <c r="K8628" s="691">
        <v>57.3</v>
      </c>
    </row>
    <row r="8629" spans="1:11">
      <c r="A8629" s="688" t="s">
        <v>29</v>
      </c>
      <c r="B8629" s="689">
        <v>48.9</v>
      </c>
      <c r="C8629" s="693">
        <v>49</v>
      </c>
      <c r="D8629" s="689">
        <v>48.9</v>
      </c>
      <c r="E8629" s="689">
        <v>49.2</v>
      </c>
      <c r="F8629" s="689">
        <v>49.1</v>
      </c>
      <c r="G8629" s="689">
        <v>49.2</v>
      </c>
      <c r="H8629" s="689">
        <v>49.6</v>
      </c>
      <c r="I8629" s="689">
        <v>48.8</v>
      </c>
      <c r="J8629" s="689">
        <v>47.3</v>
      </c>
      <c r="K8629" s="689">
        <v>49.2</v>
      </c>
    </row>
    <row r="8630" spans="1:11">
      <c r="A8630" s="688" t="s">
        <v>16</v>
      </c>
      <c r="B8630" s="691">
        <v>56.4</v>
      </c>
      <c r="C8630" s="691">
        <v>56.3</v>
      </c>
      <c r="D8630" s="691">
        <v>56.5</v>
      </c>
      <c r="E8630" s="691">
        <v>57.2</v>
      </c>
      <c r="F8630" s="691">
        <v>56.9</v>
      </c>
      <c r="G8630" s="691">
        <v>56.8</v>
      </c>
      <c r="H8630" s="691">
        <v>57.4</v>
      </c>
      <c r="I8630" s="691">
        <v>56.4</v>
      </c>
      <c r="J8630" s="691">
        <v>56.9</v>
      </c>
      <c r="K8630" s="615">
        <v>57</v>
      </c>
    </row>
    <row r="8631" spans="1:11">
      <c r="A8631" s="688" t="s">
        <v>17</v>
      </c>
      <c r="B8631" s="689">
        <v>56.1</v>
      </c>
      <c r="C8631" s="689">
        <v>56.4</v>
      </c>
      <c r="D8631" s="689">
        <v>56.3</v>
      </c>
      <c r="E8631" s="689">
        <v>56.4</v>
      </c>
      <c r="F8631" s="689">
        <v>56.7</v>
      </c>
      <c r="G8631" s="689">
        <v>56.7</v>
      </c>
      <c r="H8631" s="693">
        <v>57</v>
      </c>
      <c r="I8631" s="689">
        <v>56.2</v>
      </c>
      <c r="J8631" s="689">
        <v>56.2</v>
      </c>
      <c r="K8631" s="689">
        <v>56.7</v>
      </c>
    </row>
    <row r="8632" spans="1:11">
      <c r="A8632" s="688" t="s">
        <v>19</v>
      </c>
      <c r="B8632" s="691">
        <v>55.3</v>
      </c>
      <c r="C8632" s="691">
        <v>55.5</v>
      </c>
      <c r="D8632" s="691">
        <v>55.3</v>
      </c>
      <c r="E8632" s="691">
        <v>55.8</v>
      </c>
      <c r="F8632" s="691">
        <v>55.9</v>
      </c>
      <c r="G8632" s="691">
        <v>55.9</v>
      </c>
      <c r="H8632" s="691">
        <v>56.2</v>
      </c>
      <c r="I8632" s="691">
        <v>55.5</v>
      </c>
      <c r="J8632" s="691">
        <v>55.4</v>
      </c>
      <c r="K8632" s="691">
        <v>55.6</v>
      </c>
    </row>
    <row r="8633" spans="1:11">
      <c r="A8633" s="688" t="s">
        <v>20</v>
      </c>
      <c r="B8633" s="689">
        <v>49.9</v>
      </c>
      <c r="C8633" s="689">
        <v>50.4</v>
      </c>
      <c r="D8633" s="689">
        <v>50.2</v>
      </c>
      <c r="E8633" s="689">
        <v>50.5</v>
      </c>
      <c r="F8633" s="689">
        <v>50.5</v>
      </c>
      <c r="G8633" s="689">
        <v>50.4</v>
      </c>
      <c r="H8633" s="689">
        <v>50.7</v>
      </c>
      <c r="I8633" s="689">
        <v>49.1</v>
      </c>
      <c r="J8633" s="689">
        <v>48.2</v>
      </c>
      <c r="K8633" s="693">
        <v>50</v>
      </c>
    </row>
    <row r="8634" spans="1:11">
      <c r="A8634" s="688" t="s">
        <v>21</v>
      </c>
      <c r="B8634" s="691">
        <v>54.2</v>
      </c>
      <c r="C8634" s="691">
        <v>54.7</v>
      </c>
      <c r="D8634" s="691">
        <v>54.8</v>
      </c>
      <c r="E8634" s="691">
        <v>54.8</v>
      </c>
      <c r="F8634" s="691">
        <v>55.1</v>
      </c>
      <c r="G8634" s="691">
        <v>55.1</v>
      </c>
      <c r="H8634" s="691">
        <v>55.5</v>
      </c>
      <c r="I8634" s="691">
        <v>54.9</v>
      </c>
      <c r="J8634" s="691">
        <v>54.9</v>
      </c>
      <c r="K8634" s="691">
        <v>55.4</v>
      </c>
    </row>
    <row r="8635" spans="1:11">
      <c r="A8635" s="688" t="s">
        <v>22</v>
      </c>
      <c r="B8635" s="689">
        <v>48.9</v>
      </c>
      <c r="C8635" s="689">
        <v>48.6</v>
      </c>
      <c r="D8635" s="689">
        <v>48.5</v>
      </c>
      <c r="E8635" s="689">
        <v>48.7</v>
      </c>
      <c r="F8635" s="689">
        <v>48.7</v>
      </c>
      <c r="G8635" s="689">
        <v>48.6</v>
      </c>
      <c r="H8635" s="689">
        <v>48.9</v>
      </c>
      <c r="I8635" s="689">
        <v>47.2</v>
      </c>
      <c r="J8635" s="689">
        <v>46.1</v>
      </c>
      <c r="K8635" s="689">
        <v>48.2</v>
      </c>
    </row>
    <row r="8636" spans="1:11">
      <c r="A8636" s="688" t="s">
        <v>26</v>
      </c>
      <c r="B8636" s="691">
        <v>53.8</v>
      </c>
      <c r="C8636" s="691">
        <v>54.4</v>
      </c>
      <c r="D8636" s="691">
        <v>54.2</v>
      </c>
      <c r="E8636" s="691">
        <v>54.6</v>
      </c>
      <c r="F8636" s="691">
        <v>54.5</v>
      </c>
      <c r="G8636" s="691">
        <v>54.9</v>
      </c>
      <c r="H8636" s="615">
        <v>55</v>
      </c>
      <c r="I8636" s="691">
        <v>54.2</v>
      </c>
      <c r="J8636" s="691">
        <v>54.1</v>
      </c>
      <c r="K8636" s="615">
        <v>55</v>
      </c>
    </row>
    <row r="8637" spans="1:11">
      <c r="A8637" s="688" t="s">
        <v>25</v>
      </c>
      <c r="B8637" s="689">
        <v>49.8</v>
      </c>
      <c r="C8637" s="689">
        <v>50.2</v>
      </c>
      <c r="D8637" s="693">
        <v>50</v>
      </c>
      <c r="E8637" s="689">
        <v>50.7</v>
      </c>
      <c r="F8637" s="689">
        <v>50.6</v>
      </c>
      <c r="G8637" s="689">
        <v>50.7</v>
      </c>
      <c r="H8637" s="689">
        <v>51.2</v>
      </c>
      <c r="I8637" s="689">
        <v>50.4</v>
      </c>
      <c r="J8637" s="693">
        <v>48</v>
      </c>
      <c r="K8637" s="689">
        <v>50.4</v>
      </c>
    </row>
    <row r="8638" spans="1:11">
      <c r="A8638" s="688" t="s">
        <v>5</v>
      </c>
      <c r="B8638" s="691">
        <v>54.6</v>
      </c>
      <c r="C8638" s="691">
        <v>54.7</v>
      </c>
      <c r="D8638" s="615">
        <v>55</v>
      </c>
      <c r="E8638" s="615">
        <v>55</v>
      </c>
      <c r="F8638" s="691">
        <v>55.3</v>
      </c>
      <c r="G8638" s="691">
        <v>55.5</v>
      </c>
      <c r="H8638" s="691">
        <v>55.8</v>
      </c>
      <c r="I8638" s="691">
        <v>55.7</v>
      </c>
      <c r="J8638" s="691">
        <v>55.7</v>
      </c>
      <c r="K8638" s="691">
        <v>55.2</v>
      </c>
    </row>
    <row r="8639" spans="1:11">
      <c r="A8639" s="688" t="s">
        <v>23</v>
      </c>
      <c r="B8639" s="689">
        <v>56.7</v>
      </c>
      <c r="C8639" s="689">
        <v>56.9</v>
      </c>
      <c r="D8639" s="689">
        <v>56.9</v>
      </c>
      <c r="E8639" s="689">
        <v>57.1</v>
      </c>
      <c r="F8639" s="689">
        <v>57.2</v>
      </c>
      <c r="G8639" s="689">
        <v>57.3</v>
      </c>
      <c r="H8639" s="689">
        <v>57.8</v>
      </c>
      <c r="I8639" s="689">
        <v>57.2</v>
      </c>
      <c r="J8639" s="689">
        <v>57.7</v>
      </c>
      <c r="K8639" s="689">
        <v>57.9</v>
      </c>
    </row>
    <row r="8640" spans="1:11">
      <c r="A8640" s="688" t="s">
        <v>4067</v>
      </c>
      <c r="B8640" s="691">
        <v>54.4</v>
      </c>
      <c r="C8640" s="691">
        <v>54.8</v>
      </c>
      <c r="D8640" s="691">
        <v>54.6</v>
      </c>
      <c r="E8640" s="691">
        <v>54.9</v>
      </c>
      <c r="F8640" s="691">
        <v>54.9</v>
      </c>
      <c r="G8640" s="615">
        <v>55</v>
      </c>
      <c r="H8640" s="692" t="s">
        <v>4060</v>
      </c>
      <c r="I8640" s="692" t="s">
        <v>4060</v>
      </c>
      <c r="J8640" s="692" t="s">
        <v>4060</v>
      </c>
      <c r="K8640" s="692" t="s">
        <v>4060</v>
      </c>
    </row>
    <row r="8641" spans="1:11">
      <c r="A8641" s="688" t="s">
        <v>4066</v>
      </c>
      <c r="B8641" s="689">
        <v>54.4</v>
      </c>
      <c r="C8641" s="689">
        <v>54.8</v>
      </c>
      <c r="D8641" s="689">
        <v>54.6</v>
      </c>
      <c r="E8641" s="689">
        <v>54.9</v>
      </c>
      <c r="F8641" s="693">
        <v>55</v>
      </c>
      <c r="G8641" s="693">
        <v>55</v>
      </c>
      <c r="H8641" s="690" t="s">
        <v>4060</v>
      </c>
      <c r="I8641" s="690" t="s">
        <v>4060</v>
      </c>
      <c r="J8641" s="690" t="s">
        <v>4060</v>
      </c>
      <c r="K8641" s="690" t="s">
        <v>4060</v>
      </c>
    </row>
    <row r="8642" spans="1:11">
      <c r="A8642" s="688" t="s">
        <v>4062</v>
      </c>
      <c r="B8642" s="615">
        <v>57</v>
      </c>
      <c r="C8642" s="691">
        <v>57.2</v>
      </c>
      <c r="D8642" s="691">
        <v>57.2</v>
      </c>
      <c r="E8642" s="691">
        <v>57.6</v>
      </c>
      <c r="F8642" s="691">
        <v>57.8</v>
      </c>
      <c r="G8642" s="615">
        <v>58</v>
      </c>
      <c r="H8642" s="691">
        <v>58.2</v>
      </c>
      <c r="I8642" s="691">
        <v>57.7</v>
      </c>
      <c r="J8642" s="691">
        <v>58.1</v>
      </c>
      <c r="K8642" s="691">
        <v>57.9</v>
      </c>
    </row>
    <row r="8643" spans="1:11">
      <c r="A8643" s="688" t="s">
        <v>9</v>
      </c>
      <c r="B8643" s="689">
        <v>56.9</v>
      </c>
      <c r="C8643" s="689">
        <v>57.5</v>
      </c>
      <c r="D8643" s="689">
        <v>57.6</v>
      </c>
      <c r="E8643" s="689">
        <v>56.9</v>
      </c>
      <c r="F8643" s="689">
        <v>57.3</v>
      </c>
      <c r="G8643" s="689">
        <v>57.6</v>
      </c>
      <c r="H8643" s="689">
        <v>57.8</v>
      </c>
      <c r="I8643" s="689">
        <v>58.1</v>
      </c>
      <c r="J8643" s="689">
        <v>58.2</v>
      </c>
      <c r="K8643" s="689">
        <v>57.2</v>
      </c>
    </row>
    <row r="8644" spans="1:11">
      <c r="A8644" s="688" t="s">
        <v>13</v>
      </c>
      <c r="B8644" s="615">
        <v>57</v>
      </c>
      <c r="C8644" s="615">
        <v>57</v>
      </c>
      <c r="D8644" s="691">
        <v>57.6</v>
      </c>
      <c r="E8644" s="691">
        <v>56.9</v>
      </c>
      <c r="F8644" s="691">
        <v>57.6</v>
      </c>
      <c r="G8644" s="691">
        <v>56.4</v>
      </c>
      <c r="H8644" s="691">
        <v>58.4</v>
      </c>
      <c r="I8644" s="691">
        <v>57.4</v>
      </c>
      <c r="J8644" s="691">
        <v>58.4</v>
      </c>
      <c r="K8644" s="691">
        <v>59.4</v>
      </c>
    </row>
    <row r="8645" spans="1:11">
      <c r="A8645" s="688" t="s">
        <v>18</v>
      </c>
      <c r="B8645" s="689">
        <v>56.3</v>
      </c>
      <c r="C8645" s="689">
        <v>56.6</v>
      </c>
      <c r="D8645" s="689">
        <v>56.9</v>
      </c>
      <c r="E8645" s="689">
        <v>57.1</v>
      </c>
      <c r="F8645" s="689">
        <v>57.4</v>
      </c>
      <c r="G8645" s="689">
        <v>57.5</v>
      </c>
      <c r="H8645" s="689">
        <v>57.7</v>
      </c>
      <c r="I8645" s="693">
        <v>58</v>
      </c>
      <c r="J8645" s="689">
        <v>58.1</v>
      </c>
      <c r="K8645" s="689">
        <v>57.4</v>
      </c>
    </row>
    <row r="8646" spans="1:11">
      <c r="A8646" s="688" t="s">
        <v>24</v>
      </c>
      <c r="B8646" s="691">
        <v>57.3</v>
      </c>
      <c r="C8646" s="691">
        <v>57.6</v>
      </c>
      <c r="D8646" s="691">
        <v>57.4</v>
      </c>
      <c r="E8646" s="615">
        <v>58</v>
      </c>
      <c r="F8646" s="615">
        <v>58</v>
      </c>
      <c r="G8646" s="691">
        <v>58.3</v>
      </c>
      <c r="H8646" s="691">
        <v>58.5</v>
      </c>
      <c r="I8646" s="691">
        <v>57.6</v>
      </c>
      <c r="J8646" s="691">
        <v>58.2</v>
      </c>
      <c r="K8646" s="691">
        <v>58.2</v>
      </c>
    </row>
    <row r="8647" spans="1:11">
      <c r="A8647" s="688" t="s">
        <v>4059</v>
      </c>
      <c r="B8647" s="689">
        <v>55.9</v>
      </c>
      <c r="C8647" s="689">
        <v>56.1</v>
      </c>
      <c r="D8647" s="689">
        <v>55.9</v>
      </c>
      <c r="E8647" s="689">
        <v>56.1</v>
      </c>
      <c r="F8647" s="689">
        <v>56.1</v>
      </c>
      <c r="G8647" s="689">
        <v>56.1</v>
      </c>
      <c r="H8647" s="690" t="s">
        <v>4060</v>
      </c>
      <c r="I8647" s="690" t="s">
        <v>4060</v>
      </c>
      <c r="J8647" s="690" t="s">
        <v>4060</v>
      </c>
      <c r="K8647" s="690" t="s">
        <v>4060</v>
      </c>
    </row>
    <row r="8648" spans="1:11">
      <c r="A8648" s="688" t="s">
        <v>2324</v>
      </c>
      <c r="B8648" s="691">
        <v>50.8</v>
      </c>
      <c r="C8648" s="691">
        <v>50.9</v>
      </c>
      <c r="D8648" s="615">
        <v>51</v>
      </c>
      <c r="E8648" s="691">
        <v>50.6</v>
      </c>
      <c r="F8648" s="691">
        <v>50.5</v>
      </c>
      <c r="G8648" s="691">
        <v>51.1</v>
      </c>
      <c r="H8648" s="691">
        <v>50.6</v>
      </c>
      <c r="I8648" s="691">
        <v>49.8</v>
      </c>
      <c r="J8648" s="691">
        <v>47.2</v>
      </c>
      <c r="K8648" s="692" t="s">
        <v>4060</v>
      </c>
    </row>
    <row r="8649" spans="1:11">
      <c r="A8649" s="688" t="s">
        <v>2322</v>
      </c>
      <c r="B8649" s="690" t="s">
        <v>4060</v>
      </c>
      <c r="C8649" s="690" t="s">
        <v>4060</v>
      </c>
      <c r="D8649" s="690" t="s">
        <v>4060</v>
      </c>
      <c r="E8649" s="690" t="s">
        <v>4060</v>
      </c>
      <c r="F8649" s="690" t="s">
        <v>4060</v>
      </c>
      <c r="G8649" s="690" t="s">
        <v>4060</v>
      </c>
      <c r="H8649" s="690" t="s">
        <v>4060</v>
      </c>
      <c r="I8649" s="690" t="s">
        <v>4060</v>
      </c>
      <c r="J8649" s="690" t="s">
        <v>4060</v>
      </c>
      <c r="K8649" s="690" t="s">
        <v>4060</v>
      </c>
    </row>
    <row r="8650" spans="1:11">
      <c r="A8650" s="688" t="s">
        <v>2328</v>
      </c>
      <c r="B8650" s="691">
        <v>50.6</v>
      </c>
      <c r="C8650" s="691">
        <v>50.7</v>
      </c>
      <c r="D8650" s="691">
        <v>50.7</v>
      </c>
      <c r="E8650" s="691">
        <v>50.7</v>
      </c>
      <c r="F8650" s="691">
        <v>51.2</v>
      </c>
      <c r="G8650" s="691">
        <v>51.4</v>
      </c>
      <c r="H8650" s="691">
        <v>51.5</v>
      </c>
      <c r="I8650" s="615">
        <v>49</v>
      </c>
      <c r="J8650" s="691">
        <v>47.8</v>
      </c>
      <c r="K8650" s="692" t="s">
        <v>4060</v>
      </c>
    </row>
    <row r="8651" spans="1:11">
      <c r="A8651" s="688" t="s">
        <v>2496</v>
      </c>
      <c r="B8651" s="690" t="s">
        <v>4060</v>
      </c>
      <c r="C8651" s="689">
        <v>47.3</v>
      </c>
      <c r="D8651" s="689">
        <v>46.1</v>
      </c>
      <c r="E8651" s="689">
        <v>45.8</v>
      </c>
      <c r="F8651" s="689">
        <v>46.6</v>
      </c>
      <c r="G8651" s="693">
        <v>47</v>
      </c>
      <c r="H8651" s="693">
        <v>47</v>
      </c>
      <c r="I8651" s="690" t="s">
        <v>4060</v>
      </c>
      <c r="J8651" s="690" t="s">
        <v>4060</v>
      </c>
      <c r="K8651" s="689">
        <v>46.5</v>
      </c>
    </row>
    <row r="8652" spans="1:11">
      <c r="A8652" s="688" t="s">
        <v>2269</v>
      </c>
      <c r="B8652" s="691">
        <v>53.4</v>
      </c>
      <c r="C8652" s="691">
        <v>53.6</v>
      </c>
      <c r="D8652" s="691">
        <v>53.4</v>
      </c>
      <c r="E8652" s="691">
        <v>54.2</v>
      </c>
      <c r="F8652" s="691">
        <v>54.2</v>
      </c>
      <c r="G8652" s="691">
        <v>54.6</v>
      </c>
      <c r="H8652" s="691">
        <v>54.9</v>
      </c>
      <c r="I8652" s="691">
        <v>52.4</v>
      </c>
      <c r="J8652" s="691">
        <v>50.7</v>
      </c>
      <c r="K8652" s="691">
        <v>54.4</v>
      </c>
    </row>
    <row r="8653" spans="1:11">
      <c r="A8653" s="688" t="s">
        <v>2349</v>
      </c>
      <c r="B8653" s="689">
        <v>49.5</v>
      </c>
      <c r="C8653" s="689">
        <v>49.7</v>
      </c>
      <c r="D8653" s="689">
        <v>49.6</v>
      </c>
      <c r="E8653" s="689">
        <v>50.1</v>
      </c>
      <c r="F8653" s="689">
        <v>49.9</v>
      </c>
      <c r="G8653" s="689">
        <v>50.3</v>
      </c>
      <c r="H8653" s="689">
        <v>50.2</v>
      </c>
      <c r="I8653" s="689">
        <v>48.3</v>
      </c>
      <c r="J8653" s="689">
        <v>46.8</v>
      </c>
      <c r="K8653" s="689">
        <v>49.4</v>
      </c>
    </row>
    <row r="8654" spans="1:11">
      <c r="A8654" s="688" t="s">
        <v>2355</v>
      </c>
      <c r="B8654" s="691">
        <v>53.1</v>
      </c>
      <c r="C8654" s="691">
        <v>53.1</v>
      </c>
      <c r="D8654" s="615">
        <v>53</v>
      </c>
      <c r="E8654" s="691">
        <v>52.9</v>
      </c>
      <c r="F8654" s="691">
        <v>53.2</v>
      </c>
      <c r="G8654" s="691">
        <v>53.6</v>
      </c>
      <c r="H8654" s="691">
        <v>53.8</v>
      </c>
      <c r="I8654" s="692" t="s">
        <v>4060</v>
      </c>
      <c r="J8654" s="692" t="s">
        <v>4060</v>
      </c>
      <c r="K8654" s="692" t="s">
        <v>4060</v>
      </c>
    </row>
    <row r="8655" spans="1:11">
      <c r="A8655" s="688" t="s">
        <v>2357</v>
      </c>
      <c r="B8655" s="690" t="s">
        <v>4060</v>
      </c>
      <c r="C8655" s="693">
        <v>44</v>
      </c>
      <c r="D8655" s="689">
        <v>44.7</v>
      </c>
      <c r="E8655" s="689">
        <v>45.1</v>
      </c>
      <c r="F8655" s="689">
        <v>45.5</v>
      </c>
      <c r="G8655" s="689">
        <v>45.2</v>
      </c>
      <c r="H8655" s="689">
        <v>45.4</v>
      </c>
      <c r="I8655" s="690" t="s">
        <v>4060</v>
      </c>
      <c r="J8655" s="690" t="s">
        <v>4060</v>
      </c>
      <c r="K8655" s="690" t="s">
        <v>4060</v>
      </c>
    </row>
    <row r="8656" spans="1:11">
      <c r="A8656" s="688" t="s">
        <v>4070</v>
      </c>
      <c r="B8656" s="692" t="s">
        <v>4060</v>
      </c>
      <c r="C8656" s="692" t="s">
        <v>4060</v>
      </c>
      <c r="D8656" s="692" t="s">
        <v>4060</v>
      </c>
      <c r="E8656" s="691">
        <v>52.8</v>
      </c>
      <c r="F8656" s="692" t="s">
        <v>4060</v>
      </c>
      <c r="G8656" s="692" t="s">
        <v>4060</v>
      </c>
      <c r="H8656" s="692" t="s">
        <v>4060</v>
      </c>
      <c r="I8656" s="692" t="s">
        <v>4060</v>
      </c>
      <c r="J8656" s="692" t="s">
        <v>4060</v>
      </c>
      <c r="K8656" s="692" t="s">
        <v>4060</v>
      </c>
    </row>
    <row r="8657" spans="1:11">
      <c r="A8657" s="688" t="s">
        <v>2491</v>
      </c>
      <c r="B8657" s="689">
        <v>44.1</v>
      </c>
      <c r="C8657" s="689">
        <v>44.7</v>
      </c>
      <c r="D8657" s="689">
        <v>45.3</v>
      </c>
      <c r="E8657" s="689">
        <v>45.7</v>
      </c>
      <c r="F8657" s="689">
        <v>45.9</v>
      </c>
      <c r="G8657" s="689">
        <v>45.9</v>
      </c>
      <c r="H8657" s="690" t="s">
        <v>4060</v>
      </c>
      <c r="I8657" s="690" t="s">
        <v>4060</v>
      </c>
      <c r="J8657" s="690" t="s">
        <v>4060</v>
      </c>
      <c r="K8657" s="690" t="s">
        <v>4060</v>
      </c>
    </row>
    <row r="8658" spans="1:11">
      <c r="A8658" s="688" t="s">
        <v>2343</v>
      </c>
      <c r="B8658" s="692" t="s">
        <v>4060</v>
      </c>
      <c r="C8658" s="692" t="s">
        <v>4060</v>
      </c>
      <c r="D8658" s="692" t="s">
        <v>4060</v>
      </c>
      <c r="E8658" s="692" t="s">
        <v>4060</v>
      </c>
      <c r="F8658" s="692" t="s">
        <v>4060</v>
      </c>
      <c r="G8658" s="692" t="s">
        <v>4060</v>
      </c>
      <c r="H8658" s="692" t="s">
        <v>4060</v>
      </c>
      <c r="I8658" s="692" t="s">
        <v>4060</v>
      </c>
      <c r="J8658" s="692" t="s">
        <v>4060</v>
      </c>
      <c r="K8658" s="692" t="s">
        <v>4060</v>
      </c>
    </row>
    <row r="8659" spans="1:11">
      <c r="A8659" s="688" t="s">
        <v>4071</v>
      </c>
      <c r="B8659" s="690" t="s">
        <v>4060</v>
      </c>
      <c r="C8659" s="690" t="s">
        <v>4060</v>
      </c>
      <c r="D8659" s="690" t="s">
        <v>4060</v>
      </c>
      <c r="E8659" s="690" t="s">
        <v>4060</v>
      </c>
      <c r="F8659" s="690" t="s">
        <v>4060</v>
      </c>
      <c r="G8659" s="690" t="s">
        <v>4060</v>
      </c>
      <c r="H8659" s="690" t="s">
        <v>4060</v>
      </c>
      <c r="I8659" s="690" t="s">
        <v>4060</v>
      </c>
      <c r="J8659" s="690" t="s">
        <v>4060</v>
      </c>
      <c r="K8659" s="690" t="s">
        <v>4060</v>
      </c>
    </row>
    <row r="8660" spans="1:11">
      <c r="A8660" s="688" t="s">
        <v>2489</v>
      </c>
      <c r="B8660" s="692" t="s">
        <v>4060</v>
      </c>
      <c r="C8660" s="692" t="s">
        <v>4060</v>
      </c>
      <c r="D8660" s="615">
        <v>49</v>
      </c>
      <c r="E8660" s="615">
        <v>49</v>
      </c>
      <c r="F8660" s="691">
        <v>49.7</v>
      </c>
      <c r="G8660" s="691">
        <v>50.5</v>
      </c>
      <c r="H8660" s="691">
        <v>50.1</v>
      </c>
      <c r="I8660" s="692" t="s">
        <v>4060</v>
      </c>
      <c r="J8660" s="692" t="s">
        <v>4060</v>
      </c>
      <c r="K8660" s="692" t="s">
        <v>4060</v>
      </c>
    </row>
    <row r="8661" spans="1:11">
      <c r="A8661" s="688" t="s">
        <v>2490</v>
      </c>
      <c r="B8661" s="689">
        <v>49.7</v>
      </c>
      <c r="C8661" s="689">
        <v>49.8</v>
      </c>
      <c r="D8661" s="689">
        <v>50.5</v>
      </c>
      <c r="E8661" s="690" t="s">
        <v>4060</v>
      </c>
      <c r="F8661" s="689">
        <v>50.8</v>
      </c>
      <c r="G8661" s="689">
        <v>51.1</v>
      </c>
      <c r="H8661" s="689">
        <v>51.9</v>
      </c>
      <c r="I8661" s="690" t="s">
        <v>4060</v>
      </c>
      <c r="J8661" s="690" t="s">
        <v>4060</v>
      </c>
      <c r="K8661" s="690" t="s">
        <v>4060</v>
      </c>
    </row>
    <row r="8663" spans="1:11">
      <c r="A8663" s="683" t="s">
        <v>4233</v>
      </c>
    </row>
    <row r="8664" spans="1:11">
      <c r="A8664" s="683" t="s">
        <v>4060</v>
      </c>
      <c r="B8664" s="682" t="s">
        <v>4234</v>
      </c>
    </row>
    <row r="8666" spans="1:11">
      <c r="A8666" s="682" t="s">
        <v>4331</v>
      </c>
    </row>
    <row r="8667" spans="1:11">
      <c r="A8667" s="682" t="s">
        <v>4210</v>
      </c>
      <c r="B8667" s="683" t="s">
        <v>4211</v>
      </c>
    </row>
    <row r="8668" spans="1:11">
      <c r="A8668" s="682" t="s">
        <v>4212</v>
      </c>
      <c r="B8668" s="682" t="s">
        <v>4213</v>
      </c>
    </row>
    <row r="8670" spans="1:11">
      <c r="A8670" s="683" t="s">
        <v>4214</v>
      </c>
      <c r="C8670" s="682" t="s">
        <v>4215</v>
      </c>
    </row>
    <row r="8671" spans="1:11">
      <c r="A8671" s="683" t="s">
        <v>4216</v>
      </c>
      <c r="C8671" s="682" t="s">
        <v>2967</v>
      </c>
    </row>
    <row r="8672" spans="1:11">
      <c r="A8672" s="683" t="s">
        <v>3893</v>
      </c>
      <c r="C8672" s="682" t="s">
        <v>2168</v>
      </c>
    </row>
    <row r="8673" spans="1:11">
      <c r="A8673" s="683" t="s">
        <v>4218</v>
      </c>
      <c r="C8673" s="682" t="s">
        <v>4260</v>
      </c>
    </row>
    <row r="8675" spans="1:11">
      <c r="A8675" s="684" t="s">
        <v>4220</v>
      </c>
      <c r="B8675" s="685" t="s">
        <v>4221</v>
      </c>
      <c r="C8675" s="685" t="s">
        <v>4222</v>
      </c>
      <c r="D8675" s="685" t="s">
        <v>4223</v>
      </c>
      <c r="E8675" s="685" t="s">
        <v>4224</v>
      </c>
      <c r="F8675" s="685" t="s">
        <v>4225</v>
      </c>
      <c r="G8675" s="685" t="s">
        <v>4226</v>
      </c>
      <c r="H8675" s="685" t="s">
        <v>4227</v>
      </c>
      <c r="I8675" s="685" t="s">
        <v>4228</v>
      </c>
      <c r="J8675" s="685" t="s">
        <v>4229</v>
      </c>
      <c r="K8675" s="685" t="s">
        <v>4230</v>
      </c>
    </row>
    <row r="8676" spans="1:11">
      <c r="A8676" s="686" t="s">
        <v>4231</v>
      </c>
      <c r="B8676" s="687" t="s">
        <v>4232</v>
      </c>
      <c r="C8676" s="687" t="s">
        <v>4232</v>
      </c>
      <c r="D8676" s="687" t="s">
        <v>4232</v>
      </c>
      <c r="E8676" s="687" t="s">
        <v>4232</v>
      </c>
      <c r="F8676" s="687" t="s">
        <v>4232</v>
      </c>
      <c r="G8676" s="687" t="s">
        <v>4232</v>
      </c>
      <c r="H8676" s="687" t="s">
        <v>4232</v>
      </c>
      <c r="I8676" s="687" t="s">
        <v>4232</v>
      </c>
      <c r="J8676" s="687" t="s">
        <v>4232</v>
      </c>
      <c r="K8676" s="687" t="s">
        <v>4232</v>
      </c>
    </row>
    <row r="8677" spans="1:11">
      <c r="A8677" s="688" t="s">
        <v>4064</v>
      </c>
      <c r="B8677" s="689">
        <v>53.2</v>
      </c>
      <c r="C8677" s="689">
        <v>53.4</v>
      </c>
      <c r="D8677" s="689">
        <v>53.4</v>
      </c>
      <c r="E8677" s="689">
        <v>53.5</v>
      </c>
      <c r="F8677" s="689">
        <v>53.6</v>
      </c>
      <c r="G8677" s="689">
        <v>53.7</v>
      </c>
      <c r="H8677" s="693">
        <v>54</v>
      </c>
      <c r="I8677" s="689">
        <v>53.1</v>
      </c>
      <c r="J8677" s="689">
        <v>52.8</v>
      </c>
      <c r="K8677" s="689">
        <v>53.5</v>
      </c>
    </row>
    <row r="8678" spans="1:11">
      <c r="A8678" s="688" t="s">
        <v>4065</v>
      </c>
      <c r="B8678" s="691">
        <v>53.4</v>
      </c>
      <c r="C8678" s="691">
        <v>53.8</v>
      </c>
      <c r="D8678" s="691">
        <v>53.6</v>
      </c>
      <c r="E8678" s="691">
        <v>53.9</v>
      </c>
      <c r="F8678" s="691">
        <v>53.9</v>
      </c>
      <c r="G8678" s="615">
        <v>54</v>
      </c>
      <c r="H8678" s="692" t="s">
        <v>4060</v>
      </c>
      <c r="I8678" s="692" t="s">
        <v>4060</v>
      </c>
      <c r="J8678" s="692" t="s">
        <v>4060</v>
      </c>
      <c r="K8678" s="692" t="s">
        <v>4060</v>
      </c>
    </row>
    <row r="8679" spans="1:11">
      <c r="A8679" s="688" t="s">
        <v>4063</v>
      </c>
      <c r="B8679" s="689">
        <v>53.5</v>
      </c>
      <c r="C8679" s="689">
        <v>53.8</v>
      </c>
      <c r="D8679" s="689">
        <v>53.6</v>
      </c>
      <c r="E8679" s="689">
        <v>53.9</v>
      </c>
      <c r="F8679" s="693">
        <v>54</v>
      </c>
      <c r="G8679" s="693">
        <v>54</v>
      </c>
      <c r="H8679" s="690" t="s">
        <v>4060</v>
      </c>
      <c r="I8679" s="690" t="s">
        <v>4060</v>
      </c>
      <c r="J8679" s="690" t="s">
        <v>4060</v>
      </c>
      <c r="K8679" s="690" t="s">
        <v>4060</v>
      </c>
    </row>
    <row r="8680" spans="1:11">
      <c r="A8680" s="688" t="s">
        <v>4069</v>
      </c>
      <c r="B8680" s="692" t="s">
        <v>4060</v>
      </c>
      <c r="C8680" s="691">
        <v>54.5</v>
      </c>
      <c r="D8680" s="691">
        <v>54.3</v>
      </c>
      <c r="E8680" s="691">
        <v>54.7</v>
      </c>
      <c r="F8680" s="691">
        <v>54.8</v>
      </c>
      <c r="G8680" s="691">
        <v>54.9</v>
      </c>
      <c r="H8680" s="691">
        <v>55.2</v>
      </c>
      <c r="I8680" s="691">
        <v>54.4</v>
      </c>
      <c r="J8680" s="691">
        <v>54.4</v>
      </c>
      <c r="K8680" s="691">
        <v>54.7</v>
      </c>
    </row>
    <row r="8681" spans="1:11">
      <c r="A8681" s="688" t="s">
        <v>4068</v>
      </c>
      <c r="B8681" s="689">
        <v>54.4</v>
      </c>
      <c r="C8681" s="690" t="s">
        <v>4060</v>
      </c>
      <c r="D8681" s="690" t="s">
        <v>4060</v>
      </c>
      <c r="E8681" s="690" t="s">
        <v>4060</v>
      </c>
      <c r="F8681" s="690" t="s">
        <v>4060</v>
      </c>
      <c r="G8681" s="690" t="s">
        <v>4060</v>
      </c>
      <c r="H8681" s="690" t="s">
        <v>4060</v>
      </c>
      <c r="I8681" s="690" t="s">
        <v>4060</v>
      </c>
      <c r="J8681" s="690" t="s">
        <v>4060</v>
      </c>
      <c r="K8681" s="690" t="s">
        <v>4060</v>
      </c>
    </row>
    <row r="8682" spans="1:11">
      <c r="A8682" s="688" t="s">
        <v>0</v>
      </c>
      <c r="B8682" s="691">
        <v>53.8</v>
      </c>
      <c r="C8682" s="691">
        <v>54.3</v>
      </c>
      <c r="D8682" s="691">
        <v>54.2</v>
      </c>
      <c r="E8682" s="691">
        <v>54.5</v>
      </c>
      <c r="F8682" s="691">
        <v>54.7</v>
      </c>
      <c r="G8682" s="691">
        <v>54.9</v>
      </c>
      <c r="H8682" s="691">
        <v>55.2</v>
      </c>
      <c r="I8682" s="691">
        <v>54.1</v>
      </c>
      <c r="J8682" s="691">
        <v>54.9</v>
      </c>
      <c r="K8682" s="691">
        <v>55.1</v>
      </c>
    </row>
    <row r="8683" spans="1:11">
      <c r="A8683" s="688" t="s">
        <v>1</v>
      </c>
      <c r="B8683" s="689">
        <v>47.6</v>
      </c>
      <c r="C8683" s="689">
        <v>47.2</v>
      </c>
      <c r="D8683" s="689">
        <v>47.2</v>
      </c>
      <c r="E8683" s="689">
        <v>47.3</v>
      </c>
      <c r="F8683" s="689">
        <v>47.3</v>
      </c>
      <c r="G8683" s="689">
        <v>47.3</v>
      </c>
      <c r="H8683" s="689">
        <v>47.3</v>
      </c>
      <c r="I8683" s="689">
        <v>45.6</v>
      </c>
      <c r="J8683" s="689">
        <v>43.8</v>
      </c>
      <c r="K8683" s="689">
        <v>46.4</v>
      </c>
    </row>
    <row r="8684" spans="1:11">
      <c r="A8684" s="688" t="s">
        <v>2240</v>
      </c>
      <c r="B8684" s="691">
        <v>50.9</v>
      </c>
      <c r="C8684" s="691">
        <v>51.4</v>
      </c>
      <c r="D8684" s="691">
        <v>51.3</v>
      </c>
      <c r="E8684" s="691">
        <v>51.7</v>
      </c>
      <c r="F8684" s="691">
        <v>51.7</v>
      </c>
      <c r="G8684" s="691">
        <v>51.7</v>
      </c>
      <c r="H8684" s="615">
        <v>52</v>
      </c>
      <c r="I8684" s="691">
        <v>50.9</v>
      </c>
      <c r="J8684" s="691">
        <v>49.7</v>
      </c>
      <c r="K8684" s="691">
        <v>51.7</v>
      </c>
    </row>
    <row r="8685" spans="1:11">
      <c r="A8685" s="688" t="s">
        <v>2</v>
      </c>
      <c r="B8685" s="689">
        <v>53.9</v>
      </c>
      <c r="C8685" s="689">
        <v>54.2</v>
      </c>
      <c r="D8685" s="689">
        <v>54.3</v>
      </c>
      <c r="E8685" s="689">
        <v>54.5</v>
      </c>
      <c r="F8685" s="689">
        <v>54.7</v>
      </c>
      <c r="G8685" s="689">
        <v>54.6</v>
      </c>
      <c r="H8685" s="693">
        <v>55</v>
      </c>
      <c r="I8685" s="689">
        <v>55.1</v>
      </c>
      <c r="J8685" s="689">
        <v>55.1</v>
      </c>
      <c r="K8685" s="689">
        <v>54.9</v>
      </c>
    </row>
    <row r="8686" spans="1:11">
      <c r="A8686" s="688" t="s">
        <v>3</v>
      </c>
      <c r="B8686" s="691">
        <v>53.8</v>
      </c>
      <c r="C8686" s="615">
        <v>54</v>
      </c>
      <c r="D8686" s="691">
        <v>53.7</v>
      </c>
      <c r="E8686" s="615">
        <v>54</v>
      </c>
      <c r="F8686" s="691">
        <v>54.1</v>
      </c>
      <c r="G8686" s="691">
        <v>54.1</v>
      </c>
      <c r="H8686" s="691">
        <v>54.4</v>
      </c>
      <c r="I8686" s="691">
        <v>54.1</v>
      </c>
      <c r="J8686" s="691">
        <v>53.8</v>
      </c>
      <c r="K8686" s="691">
        <v>53.7</v>
      </c>
    </row>
    <row r="8687" spans="1:11">
      <c r="A8687" s="688" t="s">
        <v>4061</v>
      </c>
      <c r="B8687" s="689">
        <v>53.8</v>
      </c>
      <c r="C8687" s="693">
        <v>54</v>
      </c>
      <c r="D8687" s="689">
        <v>53.7</v>
      </c>
      <c r="E8687" s="693">
        <v>54</v>
      </c>
      <c r="F8687" s="689">
        <v>54.1</v>
      </c>
      <c r="G8687" s="689">
        <v>54.1</v>
      </c>
      <c r="H8687" s="689">
        <v>54.4</v>
      </c>
      <c r="I8687" s="689">
        <v>54.1</v>
      </c>
      <c r="J8687" s="689">
        <v>53.8</v>
      </c>
      <c r="K8687" s="689">
        <v>53.7</v>
      </c>
    </row>
    <row r="8688" spans="1:11">
      <c r="A8688" s="688" t="s">
        <v>4</v>
      </c>
      <c r="B8688" s="691">
        <v>48.5</v>
      </c>
      <c r="C8688" s="691">
        <v>48.2</v>
      </c>
      <c r="D8688" s="691">
        <v>48.8</v>
      </c>
      <c r="E8688" s="691">
        <v>48.9</v>
      </c>
      <c r="F8688" s="691">
        <v>49.3</v>
      </c>
      <c r="G8688" s="691">
        <v>49.5</v>
      </c>
      <c r="H8688" s="615">
        <v>50</v>
      </c>
      <c r="I8688" s="691">
        <v>49.9</v>
      </c>
      <c r="J8688" s="691">
        <v>48.4</v>
      </c>
      <c r="K8688" s="691">
        <v>49.3</v>
      </c>
    </row>
    <row r="8689" spans="1:11">
      <c r="A8689" s="688" t="s">
        <v>8</v>
      </c>
      <c r="B8689" s="689">
        <v>54.7</v>
      </c>
      <c r="C8689" s="693">
        <v>55</v>
      </c>
      <c r="D8689" s="689">
        <v>55.1</v>
      </c>
      <c r="E8689" s="689">
        <v>55.3</v>
      </c>
      <c r="F8689" s="689">
        <v>55.7</v>
      </c>
      <c r="G8689" s="689">
        <v>55.7</v>
      </c>
      <c r="H8689" s="689">
        <v>56.1</v>
      </c>
      <c r="I8689" s="693">
        <v>56</v>
      </c>
      <c r="J8689" s="689">
        <v>55.8</v>
      </c>
      <c r="K8689" s="689">
        <v>56.2</v>
      </c>
    </row>
    <row r="8690" spans="1:11">
      <c r="A8690" s="688" t="s">
        <v>7</v>
      </c>
      <c r="B8690" s="691">
        <v>54.4</v>
      </c>
      <c r="C8690" s="691">
        <v>53.9</v>
      </c>
      <c r="D8690" s="691">
        <v>53.7</v>
      </c>
      <c r="E8690" s="691">
        <v>54.1</v>
      </c>
      <c r="F8690" s="615">
        <v>54</v>
      </c>
      <c r="G8690" s="691">
        <v>54.4</v>
      </c>
      <c r="H8690" s="691">
        <v>54.4</v>
      </c>
      <c r="I8690" s="691">
        <v>54.1</v>
      </c>
      <c r="J8690" s="615">
        <v>53</v>
      </c>
      <c r="K8690" s="691">
        <v>53.9</v>
      </c>
    </row>
    <row r="8691" spans="1:11">
      <c r="A8691" s="688" t="s">
        <v>27</v>
      </c>
      <c r="B8691" s="689">
        <v>55.7</v>
      </c>
      <c r="C8691" s="689">
        <v>55.6</v>
      </c>
      <c r="D8691" s="689">
        <v>55.4</v>
      </c>
      <c r="E8691" s="689">
        <v>55.7</v>
      </c>
      <c r="F8691" s="689">
        <v>55.8</v>
      </c>
      <c r="G8691" s="689">
        <v>55.9</v>
      </c>
      <c r="H8691" s="689">
        <v>56.3</v>
      </c>
      <c r="I8691" s="693">
        <v>55</v>
      </c>
      <c r="J8691" s="689">
        <v>55.7</v>
      </c>
      <c r="K8691" s="689">
        <v>55.9</v>
      </c>
    </row>
    <row r="8692" spans="1:11">
      <c r="A8692" s="688" t="s">
        <v>6</v>
      </c>
      <c r="B8692" s="691">
        <v>54.7</v>
      </c>
      <c r="C8692" s="691">
        <v>54.9</v>
      </c>
      <c r="D8692" s="691">
        <v>54.7</v>
      </c>
      <c r="E8692" s="615">
        <v>55</v>
      </c>
      <c r="F8692" s="691">
        <v>55.1</v>
      </c>
      <c r="G8692" s="691">
        <v>55.3</v>
      </c>
      <c r="H8692" s="691">
        <v>55.4</v>
      </c>
      <c r="I8692" s="691">
        <v>54.8</v>
      </c>
      <c r="J8692" s="691">
        <v>54.9</v>
      </c>
      <c r="K8692" s="691">
        <v>55.1</v>
      </c>
    </row>
    <row r="8693" spans="1:11">
      <c r="A8693" s="688" t="s">
        <v>4058</v>
      </c>
      <c r="B8693" s="690" t="s">
        <v>4060</v>
      </c>
      <c r="C8693" s="690" t="s">
        <v>4060</v>
      </c>
      <c r="D8693" s="690" t="s">
        <v>4060</v>
      </c>
      <c r="E8693" s="690" t="s">
        <v>4060</v>
      </c>
      <c r="F8693" s="690" t="s">
        <v>4060</v>
      </c>
      <c r="G8693" s="690" t="s">
        <v>4060</v>
      </c>
      <c r="H8693" s="690" t="s">
        <v>4060</v>
      </c>
      <c r="I8693" s="690" t="s">
        <v>4060</v>
      </c>
      <c r="J8693" s="690" t="s">
        <v>4060</v>
      </c>
      <c r="K8693" s="690" t="s">
        <v>4060</v>
      </c>
    </row>
    <row r="8694" spans="1:11">
      <c r="A8694" s="688" t="s">
        <v>11</v>
      </c>
      <c r="B8694" s="691">
        <v>50.3</v>
      </c>
      <c r="C8694" s="691">
        <v>50.4</v>
      </c>
      <c r="D8694" s="615">
        <v>50</v>
      </c>
      <c r="E8694" s="691">
        <v>50.6</v>
      </c>
      <c r="F8694" s="691">
        <v>50.6</v>
      </c>
      <c r="G8694" s="691">
        <v>50.6</v>
      </c>
      <c r="H8694" s="615">
        <v>51</v>
      </c>
      <c r="I8694" s="691">
        <v>50.3</v>
      </c>
      <c r="J8694" s="691">
        <v>49.2</v>
      </c>
      <c r="K8694" s="691">
        <v>50.4</v>
      </c>
    </row>
    <row r="8695" spans="1:11">
      <c r="A8695" s="688" t="s">
        <v>10</v>
      </c>
      <c r="B8695" s="689">
        <v>55.9</v>
      </c>
      <c r="C8695" s="693">
        <v>56</v>
      </c>
      <c r="D8695" s="689">
        <v>55.7</v>
      </c>
      <c r="E8695" s="689">
        <v>56.2</v>
      </c>
      <c r="F8695" s="689">
        <v>56.1</v>
      </c>
      <c r="G8695" s="689">
        <v>56.5</v>
      </c>
      <c r="H8695" s="689">
        <v>56.7</v>
      </c>
      <c r="I8695" s="689">
        <v>55.4</v>
      </c>
      <c r="J8695" s="689">
        <v>55.8</v>
      </c>
      <c r="K8695" s="689">
        <v>56.1</v>
      </c>
    </row>
    <row r="8696" spans="1:11">
      <c r="A8696" s="688" t="s">
        <v>30</v>
      </c>
      <c r="B8696" s="691">
        <v>55.7</v>
      </c>
      <c r="C8696" s="691">
        <v>55.8</v>
      </c>
      <c r="D8696" s="691">
        <v>55.6</v>
      </c>
      <c r="E8696" s="691">
        <v>56.2</v>
      </c>
      <c r="F8696" s="691">
        <v>55.9</v>
      </c>
      <c r="G8696" s="691">
        <v>56.7</v>
      </c>
      <c r="H8696" s="691">
        <v>56.3</v>
      </c>
      <c r="I8696" s="691">
        <v>56.3</v>
      </c>
      <c r="J8696" s="691">
        <v>55.4</v>
      </c>
      <c r="K8696" s="615">
        <v>56</v>
      </c>
    </row>
    <row r="8697" spans="1:11">
      <c r="A8697" s="688" t="s">
        <v>12</v>
      </c>
      <c r="B8697" s="689">
        <v>45.3</v>
      </c>
      <c r="C8697" s="689">
        <v>45.1</v>
      </c>
      <c r="D8697" s="689">
        <v>45.6</v>
      </c>
      <c r="E8697" s="689">
        <v>45.6</v>
      </c>
      <c r="F8697" s="689">
        <v>45.8</v>
      </c>
      <c r="G8697" s="689">
        <v>45.9</v>
      </c>
      <c r="H8697" s="689">
        <v>46.7</v>
      </c>
      <c r="I8697" s="689">
        <v>46.4</v>
      </c>
      <c r="J8697" s="693">
        <v>44</v>
      </c>
      <c r="K8697" s="689">
        <v>45.1</v>
      </c>
    </row>
    <row r="8698" spans="1:11">
      <c r="A8698" s="688" t="s">
        <v>14</v>
      </c>
      <c r="B8698" s="691">
        <v>44.6</v>
      </c>
      <c r="C8698" s="691">
        <v>45.3</v>
      </c>
      <c r="D8698" s="691">
        <v>45.2</v>
      </c>
      <c r="E8698" s="691">
        <v>45.4</v>
      </c>
      <c r="F8698" s="691">
        <v>46.5</v>
      </c>
      <c r="G8698" s="691">
        <v>46.7</v>
      </c>
      <c r="H8698" s="691">
        <v>47.3</v>
      </c>
      <c r="I8698" s="691">
        <v>45.9</v>
      </c>
      <c r="J8698" s="691">
        <v>45.4</v>
      </c>
      <c r="K8698" s="615">
        <v>47</v>
      </c>
    </row>
    <row r="8699" spans="1:11">
      <c r="A8699" s="688" t="s">
        <v>15</v>
      </c>
      <c r="B8699" s="689">
        <v>55.5</v>
      </c>
      <c r="C8699" s="689">
        <v>54.7</v>
      </c>
      <c r="D8699" s="689">
        <v>55.5</v>
      </c>
      <c r="E8699" s="689">
        <v>55.4</v>
      </c>
      <c r="F8699" s="689">
        <v>55.3</v>
      </c>
      <c r="G8699" s="689">
        <v>55.4</v>
      </c>
      <c r="H8699" s="689">
        <v>55.9</v>
      </c>
      <c r="I8699" s="689">
        <v>55.4</v>
      </c>
      <c r="J8699" s="689">
        <v>55.9</v>
      </c>
      <c r="K8699" s="689">
        <v>56.4</v>
      </c>
    </row>
    <row r="8700" spans="1:11">
      <c r="A8700" s="688" t="s">
        <v>29</v>
      </c>
      <c r="B8700" s="615">
        <v>48</v>
      </c>
      <c r="C8700" s="615">
        <v>48</v>
      </c>
      <c r="D8700" s="615">
        <v>48</v>
      </c>
      <c r="E8700" s="691">
        <v>48.2</v>
      </c>
      <c r="F8700" s="691">
        <v>48.1</v>
      </c>
      <c r="G8700" s="691">
        <v>48.2</v>
      </c>
      <c r="H8700" s="691">
        <v>48.6</v>
      </c>
      <c r="I8700" s="691">
        <v>47.8</v>
      </c>
      <c r="J8700" s="691">
        <v>46.3</v>
      </c>
      <c r="K8700" s="691">
        <v>48.2</v>
      </c>
    </row>
    <row r="8701" spans="1:11">
      <c r="A8701" s="688" t="s">
        <v>16</v>
      </c>
      <c r="B8701" s="689">
        <v>55.4</v>
      </c>
      <c r="C8701" s="689">
        <v>55.3</v>
      </c>
      <c r="D8701" s="689">
        <v>55.5</v>
      </c>
      <c r="E8701" s="689">
        <v>56.2</v>
      </c>
      <c r="F8701" s="689">
        <v>55.9</v>
      </c>
      <c r="G8701" s="689">
        <v>55.8</v>
      </c>
      <c r="H8701" s="689">
        <v>56.4</v>
      </c>
      <c r="I8701" s="689">
        <v>55.4</v>
      </c>
      <c r="J8701" s="689">
        <v>55.9</v>
      </c>
      <c r="K8701" s="693">
        <v>56</v>
      </c>
    </row>
    <row r="8702" spans="1:11">
      <c r="A8702" s="688" t="s">
        <v>17</v>
      </c>
      <c r="B8702" s="691">
        <v>55.2</v>
      </c>
      <c r="C8702" s="691">
        <v>55.5</v>
      </c>
      <c r="D8702" s="691">
        <v>55.3</v>
      </c>
      <c r="E8702" s="691">
        <v>55.5</v>
      </c>
      <c r="F8702" s="691">
        <v>55.7</v>
      </c>
      <c r="G8702" s="691">
        <v>55.8</v>
      </c>
      <c r="H8702" s="691">
        <v>56.1</v>
      </c>
      <c r="I8702" s="691">
        <v>55.3</v>
      </c>
      <c r="J8702" s="691">
        <v>55.3</v>
      </c>
      <c r="K8702" s="691">
        <v>55.7</v>
      </c>
    </row>
    <row r="8703" spans="1:11">
      <c r="A8703" s="688" t="s">
        <v>19</v>
      </c>
      <c r="B8703" s="689">
        <v>54.3</v>
      </c>
      <c r="C8703" s="689">
        <v>54.6</v>
      </c>
      <c r="D8703" s="689">
        <v>54.3</v>
      </c>
      <c r="E8703" s="689">
        <v>54.8</v>
      </c>
      <c r="F8703" s="689">
        <v>54.9</v>
      </c>
      <c r="G8703" s="689">
        <v>54.9</v>
      </c>
      <c r="H8703" s="689">
        <v>55.2</v>
      </c>
      <c r="I8703" s="689">
        <v>54.5</v>
      </c>
      <c r="J8703" s="689">
        <v>54.4</v>
      </c>
      <c r="K8703" s="689">
        <v>54.6</v>
      </c>
    </row>
    <row r="8704" spans="1:11">
      <c r="A8704" s="688" t="s">
        <v>20</v>
      </c>
      <c r="B8704" s="691">
        <v>48.9</v>
      </c>
      <c r="C8704" s="691">
        <v>49.5</v>
      </c>
      <c r="D8704" s="691">
        <v>49.2</v>
      </c>
      <c r="E8704" s="691">
        <v>49.6</v>
      </c>
      <c r="F8704" s="691">
        <v>49.6</v>
      </c>
      <c r="G8704" s="691">
        <v>49.5</v>
      </c>
      <c r="H8704" s="691">
        <v>49.8</v>
      </c>
      <c r="I8704" s="691">
        <v>48.1</v>
      </c>
      <c r="J8704" s="691">
        <v>47.2</v>
      </c>
      <c r="K8704" s="615">
        <v>49</v>
      </c>
    </row>
    <row r="8705" spans="1:11">
      <c r="A8705" s="688" t="s">
        <v>21</v>
      </c>
      <c r="B8705" s="689">
        <v>53.2</v>
      </c>
      <c r="C8705" s="689">
        <v>53.7</v>
      </c>
      <c r="D8705" s="689">
        <v>53.8</v>
      </c>
      <c r="E8705" s="689">
        <v>53.8</v>
      </c>
      <c r="F8705" s="689">
        <v>54.1</v>
      </c>
      <c r="G8705" s="689">
        <v>54.1</v>
      </c>
      <c r="H8705" s="689">
        <v>54.5</v>
      </c>
      <c r="I8705" s="689">
        <v>53.9</v>
      </c>
      <c r="J8705" s="693">
        <v>54</v>
      </c>
      <c r="K8705" s="689">
        <v>54.4</v>
      </c>
    </row>
    <row r="8706" spans="1:11">
      <c r="A8706" s="688" t="s">
        <v>22</v>
      </c>
      <c r="B8706" s="615">
        <v>48</v>
      </c>
      <c r="C8706" s="691">
        <v>47.6</v>
      </c>
      <c r="D8706" s="691">
        <v>47.6</v>
      </c>
      <c r="E8706" s="691">
        <v>47.7</v>
      </c>
      <c r="F8706" s="691">
        <v>47.8</v>
      </c>
      <c r="G8706" s="691">
        <v>47.7</v>
      </c>
      <c r="H8706" s="691">
        <v>47.9</v>
      </c>
      <c r="I8706" s="691">
        <v>46.2</v>
      </c>
      <c r="J8706" s="691">
        <v>45.1</v>
      </c>
      <c r="K8706" s="691">
        <v>47.2</v>
      </c>
    </row>
    <row r="8707" spans="1:11">
      <c r="A8707" s="688" t="s">
        <v>26</v>
      </c>
      <c r="B8707" s="689">
        <v>52.9</v>
      </c>
      <c r="C8707" s="689">
        <v>53.4</v>
      </c>
      <c r="D8707" s="689">
        <v>53.2</v>
      </c>
      <c r="E8707" s="689">
        <v>53.6</v>
      </c>
      <c r="F8707" s="689">
        <v>53.5</v>
      </c>
      <c r="G8707" s="689">
        <v>53.9</v>
      </c>
      <c r="H8707" s="689">
        <v>54.1</v>
      </c>
      <c r="I8707" s="689">
        <v>53.2</v>
      </c>
      <c r="J8707" s="689">
        <v>53.1</v>
      </c>
      <c r="K8707" s="693">
        <v>54</v>
      </c>
    </row>
    <row r="8708" spans="1:11">
      <c r="A8708" s="688" t="s">
        <v>25</v>
      </c>
      <c r="B8708" s="691">
        <v>48.9</v>
      </c>
      <c r="C8708" s="691">
        <v>49.2</v>
      </c>
      <c r="D8708" s="691">
        <v>49.1</v>
      </c>
      <c r="E8708" s="691">
        <v>49.7</v>
      </c>
      <c r="F8708" s="691">
        <v>49.7</v>
      </c>
      <c r="G8708" s="691">
        <v>49.8</v>
      </c>
      <c r="H8708" s="691">
        <v>50.2</v>
      </c>
      <c r="I8708" s="691">
        <v>49.4</v>
      </c>
      <c r="J8708" s="615">
        <v>47</v>
      </c>
      <c r="K8708" s="691">
        <v>49.4</v>
      </c>
    </row>
    <row r="8709" spans="1:11">
      <c r="A8709" s="688" t="s">
        <v>5</v>
      </c>
      <c r="B8709" s="689">
        <v>53.6</v>
      </c>
      <c r="C8709" s="689">
        <v>53.8</v>
      </c>
      <c r="D8709" s="689">
        <v>54.1</v>
      </c>
      <c r="E8709" s="693">
        <v>54</v>
      </c>
      <c r="F8709" s="689">
        <v>54.3</v>
      </c>
      <c r="G8709" s="689">
        <v>54.5</v>
      </c>
      <c r="H8709" s="689">
        <v>54.8</v>
      </c>
      <c r="I8709" s="689">
        <v>54.7</v>
      </c>
      <c r="J8709" s="689">
        <v>54.7</v>
      </c>
      <c r="K8709" s="689">
        <v>54.3</v>
      </c>
    </row>
    <row r="8710" spans="1:11">
      <c r="A8710" s="688" t="s">
        <v>23</v>
      </c>
      <c r="B8710" s="691">
        <v>55.8</v>
      </c>
      <c r="C8710" s="691">
        <v>55.9</v>
      </c>
      <c r="D8710" s="691">
        <v>55.9</v>
      </c>
      <c r="E8710" s="691">
        <v>56.1</v>
      </c>
      <c r="F8710" s="691">
        <v>56.3</v>
      </c>
      <c r="G8710" s="691">
        <v>56.4</v>
      </c>
      <c r="H8710" s="691">
        <v>56.9</v>
      </c>
      <c r="I8710" s="691">
        <v>56.2</v>
      </c>
      <c r="J8710" s="691">
        <v>56.7</v>
      </c>
      <c r="K8710" s="691">
        <v>56.9</v>
      </c>
    </row>
    <row r="8711" spans="1:11">
      <c r="A8711" s="688" t="s">
        <v>4067</v>
      </c>
      <c r="B8711" s="689">
        <v>53.4</v>
      </c>
      <c r="C8711" s="689">
        <v>53.8</v>
      </c>
      <c r="D8711" s="689">
        <v>53.6</v>
      </c>
      <c r="E8711" s="689">
        <v>53.9</v>
      </c>
      <c r="F8711" s="693">
        <v>54</v>
      </c>
      <c r="G8711" s="693">
        <v>54</v>
      </c>
      <c r="H8711" s="690" t="s">
        <v>4060</v>
      </c>
      <c r="I8711" s="690" t="s">
        <v>4060</v>
      </c>
      <c r="J8711" s="690" t="s">
        <v>4060</v>
      </c>
      <c r="K8711" s="690" t="s">
        <v>4060</v>
      </c>
    </row>
    <row r="8712" spans="1:11">
      <c r="A8712" s="688" t="s">
        <v>4066</v>
      </c>
      <c r="B8712" s="691">
        <v>53.5</v>
      </c>
      <c r="C8712" s="691">
        <v>53.8</v>
      </c>
      <c r="D8712" s="691">
        <v>53.6</v>
      </c>
      <c r="E8712" s="691">
        <v>53.9</v>
      </c>
      <c r="F8712" s="615">
        <v>54</v>
      </c>
      <c r="G8712" s="691">
        <v>54.1</v>
      </c>
      <c r="H8712" s="692" t="s">
        <v>4060</v>
      </c>
      <c r="I8712" s="692" t="s">
        <v>4060</v>
      </c>
      <c r="J8712" s="692" t="s">
        <v>4060</v>
      </c>
      <c r="K8712" s="692" t="s">
        <v>4060</v>
      </c>
    </row>
    <row r="8713" spans="1:11">
      <c r="A8713" s="688" t="s">
        <v>4062</v>
      </c>
      <c r="B8713" s="693">
        <v>56</v>
      </c>
      <c r="C8713" s="689">
        <v>56.2</v>
      </c>
      <c r="D8713" s="689">
        <v>56.2</v>
      </c>
      <c r="E8713" s="689">
        <v>56.7</v>
      </c>
      <c r="F8713" s="689">
        <v>56.8</v>
      </c>
      <c r="G8713" s="693">
        <v>57</v>
      </c>
      <c r="H8713" s="689">
        <v>57.2</v>
      </c>
      <c r="I8713" s="689">
        <v>56.8</v>
      </c>
      <c r="J8713" s="689">
        <v>57.2</v>
      </c>
      <c r="K8713" s="689">
        <v>56.9</v>
      </c>
    </row>
    <row r="8714" spans="1:11">
      <c r="A8714" s="688" t="s">
        <v>9</v>
      </c>
      <c r="B8714" s="615">
        <v>56</v>
      </c>
      <c r="C8714" s="691">
        <v>56.5</v>
      </c>
      <c r="D8714" s="691">
        <v>56.7</v>
      </c>
      <c r="E8714" s="691">
        <v>55.9</v>
      </c>
      <c r="F8714" s="691">
        <v>56.3</v>
      </c>
      <c r="G8714" s="691">
        <v>56.7</v>
      </c>
      <c r="H8714" s="691">
        <v>56.8</v>
      </c>
      <c r="I8714" s="691">
        <v>57.1</v>
      </c>
      <c r="J8714" s="691">
        <v>57.3</v>
      </c>
      <c r="K8714" s="691">
        <v>56.2</v>
      </c>
    </row>
    <row r="8715" spans="1:11">
      <c r="A8715" s="688" t="s">
        <v>13</v>
      </c>
      <c r="B8715" s="693">
        <v>56</v>
      </c>
      <c r="C8715" s="693">
        <v>56</v>
      </c>
      <c r="D8715" s="689">
        <v>56.6</v>
      </c>
      <c r="E8715" s="689">
        <v>55.9</v>
      </c>
      <c r="F8715" s="689">
        <v>56.6</v>
      </c>
      <c r="G8715" s="689">
        <v>55.9</v>
      </c>
      <c r="H8715" s="689">
        <v>57.4</v>
      </c>
      <c r="I8715" s="689">
        <v>56.6</v>
      </c>
      <c r="J8715" s="689">
        <v>57.4</v>
      </c>
      <c r="K8715" s="689">
        <v>58.4</v>
      </c>
    </row>
    <row r="8716" spans="1:11">
      <c r="A8716" s="688" t="s">
        <v>18</v>
      </c>
      <c r="B8716" s="691">
        <v>55.3</v>
      </c>
      <c r="C8716" s="691">
        <v>55.6</v>
      </c>
      <c r="D8716" s="691">
        <v>55.9</v>
      </c>
      <c r="E8716" s="691">
        <v>56.1</v>
      </c>
      <c r="F8716" s="691">
        <v>56.5</v>
      </c>
      <c r="G8716" s="691">
        <v>56.5</v>
      </c>
      <c r="H8716" s="691">
        <v>56.8</v>
      </c>
      <c r="I8716" s="615">
        <v>57</v>
      </c>
      <c r="J8716" s="691">
        <v>57.1</v>
      </c>
      <c r="K8716" s="691">
        <v>56.4</v>
      </c>
    </row>
    <row r="8717" spans="1:11">
      <c r="A8717" s="688" t="s">
        <v>24</v>
      </c>
      <c r="B8717" s="689">
        <v>56.4</v>
      </c>
      <c r="C8717" s="689">
        <v>56.6</v>
      </c>
      <c r="D8717" s="689">
        <v>56.4</v>
      </c>
      <c r="E8717" s="689">
        <v>57.1</v>
      </c>
      <c r="F8717" s="693">
        <v>57</v>
      </c>
      <c r="G8717" s="689">
        <v>57.3</v>
      </c>
      <c r="H8717" s="689">
        <v>57.5</v>
      </c>
      <c r="I8717" s="689">
        <v>56.7</v>
      </c>
      <c r="J8717" s="689">
        <v>57.2</v>
      </c>
      <c r="K8717" s="689">
        <v>57.2</v>
      </c>
    </row>
    <row r="8718" spans="1:11">
      <c r="A8718" s="688" t="s">
        <v>4059</v>
      </c>
      <c r="B8718" s="691">
        <v>54.9</v>
      </c>
      <c r="C8718" s="691">
        <v>55.2</v>
      </c>
      <c r="D8718" s="691">
        <v>54.9</v>
      </c>
      <c r="E8718" s="691">
        <v>55.1</v>
      </c>
      <c r="F8718" s="691">
        <v>55.1</v>
      </c>
      <c r="G8718" s="691">
        <v>55.2</v>
      </c>
      <c r="H8718" s="692" t="s">
        <v>4060</v>
      </c>
      <c r="I8718" s="692" t="s">
        <v>4060</v>
      </c>
      <c r="J8718" s="692" t="s">
        <v>4060</v>
      </c>
      <c r="K8718" s="692" t="s">
        <v>4060</v>
      </c>
    </row>
    <row r="8719" spans="1:11">
      <c r="A8719" s="688" t="s">
        <v>2324</v>
      </c>
      <c r="B8719" s="689">
        <v>49.9</v>
      </c>
      <c r="C8719" s="689">
        <v>49.9</v>
      </c>
      <c r="D8719" s="693">
        <v>50</v>
      </c>
      <c r="E8719" s="689">
        <v>49.7</v>
      </c>
      <c r="F8719" s="689">
        <v>49.5</v>
      </c>
      <c r="G8719" s="689">
        <v>50.1</v>
      </c>
      <c r="H8719" s="689">
        <v>49.6</v>
      </c>
      <c r="I8719" s="689">
        <v>48.8</v>
      </c>
      <c r="J8719" s="689">
        <v>46.2</v>
      </c>
      <c r="K8719" s="690" t="s">
        <v>4060</v>
      </c>
    </row>
    <row r="8720" spans="1:11">
      <c r="A8720" s="688" t="s">
        <v>2322</v>
      </c>
      <c r="B8720" s="692" t="s">
        <v>4060</v>
      </c>
      <c r="C8720" s="692" t="s">
        <v>4060</v>
      </c>
      <c r="D8720" s="692" t="s">
        <v>4060</v>
      </c>
      <c r="E8720" s="692" t="s">
        <v>4060</v>
      </c>
      <c r="F8720" s="692" t="s">
        <v>4060</v>
      </c>
      <c r="G8720" s="692" t="s">
        <v>4060</v>
      </c>
      <c r="H8720" s="692" t="s">
        <v>4060</v>
      </c>
      <c r="I8720" s="692" t="s">
        <v>4060</v>
      </c>
      <c r="J8720" s="692" t="s">
        <v>4060</v>
      </c>
      <c r="K8720" s="692" t="s">
        <v>4060</v>
      </c>
    </row>
    <row r="8721" spans="1:11">
      <c r="A8721" s="688" t="s">
        <v>2328</v>
      </c>
      <c r="B8721" s="689">
        <v>49.6</v>
      </c>
      <c r="C8721" s="689">
        <v>49.7</v>
      </c>
      <c r="D8721" s="689">
        <v>49.7</v>
      </c>
      <c r="E8721" s="689">
        <v>49.7</v>
      </c>
      <c r="F8721" s="689">
        <v>50.2</v>
      </c>
      <c r="G8721" s="689">
        <v>50.5</v>
      </c>
      <c r="H8721" s="689">
        <v>50.5</v>
      </c>
      <c r="I8721" s="693">
        <v>48</v>
      </c>
      <c r="J8721" s="689">
        <v>46.9</v>
      </c>
      <c r="K8721" s="690" t="s">
        <v>4060</v>
      </c>
    </row>
    <row r="8722" spans="1:11">
      <c r="A8722" s="688" t="s">
        <v>2496</v>
      </c>
      <c r="B8722" s="692" t="s">
        <v>4060</v>
      </c>
      <c r="C8722" s="691">
        <v>46.4</v>
      </c>
      <c r="D8722" s="691">
        <v>45.2</v>
      </c>
      <c r="E8722" s="691">
        <v>44.8</v>
      </c>
      <c r="F8722" s="691">
        <v>45.7</v>
      </c>
      <c r="G8722" s="615">
        <v>46</v>
      </c>
      <c r="H8722" s="691">
        <v>46.1</v>
      </c>
      <c r="I8722" s="692" t="s">
        <v>4060</v>
      </c>
      <c r="J8722" s="692" t="s">
        <v>4060</v>
      </c>
      <c r="K8722" s="691">
        <v>45.5</v>
      </c>
    </row>
    <row r="8723" spans="1:11">
      <c r="A8723" s="688" t="s">
        <v>2269</v>
      </c>
      <c r="B8723" s="689">
        <v>52.4</v>
      </c>
      <c r="C8723" s="689">
        <v>52.6</v>
      </c>
      <c r="D8723" s="689">
        <v>52.5</v>
      </c>
      <c r="E8723" s="689">
        <v>53.2</v>
      </c>
      <c r="F8723" s="689">
        <v>53.3</v>
      </c>
      <c r="G8723" s="689">
        <v>53.6</v>
      </c>
      <c r="H8723" s="689">
        <v>53.9</v>
      </c>
      <c r="I8723" s="689">
        <v>51.4</v>
      </c>
      <c r="J8723" s="689">
        <v>49.7</v>
      </c>
      <c r="K8723" s="689">
        <v>53.4</v>
      </c>
    </row>
    <row r="8724" spans="1:11">
      <c r="A8724" s="688" t="s">
        <v>2349</v>
      </c>
      <c r="B8724" s="691">
        <v>48.6</v>
      </c>
      <c r="C8724" s="691">
        <v>48.8</v>
      </c>
      <c r="D8724" s="691">
        <v>48.6</v>
      </c>
      <c r="E8724" s="691">
        <v>49.1</v>
      </c>
      <c r="F8724" s="615">
        <v>49</v>
      </c>
      <c r="G8724" s="691">
        <v>49.3</v>
      </c>
      <c r="H8724" s="691">
        <v>49.2</v>
      </c>
      <c r="I8724" s="691">
        <v>47.4</v>
      </c>
      <c r="J8724" s="691">
        <v>45.8</v>
      </c>
      <c r="K8724" s="691">
        <v>48.5</v>
      </c>
    </row>
    <row r="8725" spans="1:11">
      <c r="A8725" s="688" t="s">
        <v>2355</v>
      </c>
      <c r="B8725" s="689">
        <v>52.1</v>
      </c>
      <c r="C8725" s="689">
        <v>52.1</v>
      </c>
      <c r="D8725" s="689">
        <v>52.1</v>
      </c>
      <c r="E8725" s="693">
        <v>52</v>
      </c>
      <c r="F8725" s="689">
        <v>52.2</v>
      </c>
      <c r="G8725" s="689">
        <v>52.7</v>
      </c>
      <c r="H8725" s="689">
        <v>52.8</v>
      </c>
      <c r="I8725" s="690" t="s">
        <v>4060</v>
      </c>
      <c r="J8725" s="690" t="s">
        <v>4060</v>
      </c>
      <c r="K8725" s="690" t="s">
        <v>4060</v>
      </c>
    </row>
    <row r="8726" spans="1:11">
      <c r="A8726" s="688" t="s">
        <v>2357</v>
      </c>
      <c r="B8726" s="692" t="s">
        <v>4060</v>
      </c>
      <c r="C8726" s="615">
        <v>43</v>
      </c>
      <c r="D8726" s="691">
        <v>43.8</v>
      </c>
      <c r="E8726" s="691">
        <v>44.2</v>
      </c>
      <c r="F8726" s="691">
        <v>44.5</v>
      </c>
      <c r="G8726" s="691">
        <v>44.2</v>
      </c>
      <c r="H8726" s="691">
        <v>44.5</v>
      </c>
      <c r="I8726" s="692" t="s">
        <v>4060</v>
      </c>
      <c r="J8726" s="692" t="s">
        <v>4060</v>
      </c>
      <c r="K8726" s="692" t="s">
        <v>4060</v>
      </c>
    </row>
    <row r="8727" spans="1:11">
      <c r="A8727" s="688" t="s">
        <v>4070</v>
      </c>
      <c r="B8727" s="690" t="s">
        <v>4060</v>
      </c>
      <c r="C8727" s="690" t="s">
        <v>4060</v>
      </c>
      <c r="D8727" s="690" t="s">
        <v>4060</v>
      </c>
      <c r="E8727" s="689">
        <v>51.8</v>
      </c>
      <c r="F8727" s="690" t="s">
        <v>4060</v>
      </c>
      <c r="G8727" s="690" t="s">
        <v>4060</v>
      </c>
      <c r="H8727" s="690" t="s">
        <v>4060</v>
      </c>
      <c r="I8727" s="690" t="s">
        <v>4060</v>
      </c>
      <c r="J8727" s="690" t="s">
        <v>4060</v>
      </c>
      <c r="K8727" s="690" t="s">
        <v>4060</v>
      </c>
    </row>
    <row r="8728" spans="1:11">
      <c r="A8728" s="688" t="s">
        <v>2491</v>
      </c>
      <c r="B8728" s="691">
        <v>43.2</v>
      </c>
      <c r="C8728" s="691">
        <v>43.8</v>
      </c>
      <c r="D8728" s="691">
        <v>44.4</v>
      </c>
      <c r="E8728" s="691">
        <v>44.8</v>
      </c>
      <c r="F8728" s="615">
        <v>45</v>
      </c>
      <c r="G8728" s="691">
        <v>44.9</v>
      </c>
      <c r="H8728" s="692" t="s">
        <v>4060</v>
      </c>
      <c r="I8728" s="692" t="s">
        <v>4060</v>
      </c>
      <c r="J8728" s="692" t="s">
        <v>4060</v>
      </c>
      <c r="K8728" s="692" t="s">
        <v>4060</v>
      </c>
    </row>
    <row r="8729" spans="1:11">
      <c r="A8729" s="688" t="s">
        <v>2343</v>
      </c>
      <c r="B8729" s="690" t="s">
        <v>4060</v>
      </c>
      <c r="C8729" s="690" t="s">
        <v>4060</v>
      </c>
      <c r="D8729" s="690" t="s">
        <v>4060</v>
      </c>
      <c r="E8729" s="690" t="s">
        <v>4060</v>
      </c>
      <c r="F8729" s="690" t="s">
        <v>4060</v>
      </c>
      <c r="G8729" s="690" t="s">
        <v>4060</v>
      </c>
      <c r="H8729" s="690" t="s">
        <v>4060</v>
      </c>
      <c r="I8729" s="690" t="s">
        <v>4060</v>
      </c>
      <c r="J8729" s="690" t="s">
        <v>4060</v>
      </c>
      <c r="K8729" s="690" t="s">
        <v>4060</v>
      </c>
    </row>
    <row r="8730" spans="1:11">
      <c r="A8730" s="688" t="s">
        <v>4071</v>
      </c>
      <c r="B8730" s="692" t="s">
        <v>4060</v>
      </c>
      <c r="C8730" s="692" t="s">
        <v>4060</v>
      </c>
      <c r="D8730" s="692" t="s">
        <v>4060</v>
      </c>
      <c r="E8730" s="692" t="s">
        <v>4060</v>
      </c>
      <c r="F8730" s="692" t="s">
        <v>4060</v>
      </c>
      <c r="G8730" s="692" t="s">
        <v>4060</v>
      </c>
      <c r="H8730" s="692" t="s">
        <v>4060</v>
      </c>
      <c r="I8730" s="692" t="s">
        <v>4060</v>
      </c>
      <c r="J8730" s="692" t="s">
        <v>4060</v>
      </c>
      <c r="K8730" s="692" t="s">
        <v>4060</v>
      </c>
    </row>
    <row r="8731" spans="1:11">
      <c r="A8731" s="688" t="s">
        <v>2489</v>
      </c>
      <c r="B8731" s="690" t="s">
        <v>4060</v>
      </c>
      <c r="C8731" s="690" t="s">
        <v>4060</v>
      </c>
      <c r="D8731" s="689">
        <v>48.1</v>
      </c>
      <c r="E8731" s="689">
        <v>48.1</v>
      </c>
      <c r="F8731" s="689">
        <v>48.7</v>
      </c>
      <c r="G8731" s="689">
        <v>49.5</v>
      </c>
      <c r="H8731" s="689">
        <v>49.1</v>
      </c>
      <c r="I8731" s="690" t="s">
        <v>4060</v>
      </c>
      <c r="J8731" s="690" t="s">
        <v>4060</v>
      </c>
      <c r="K8731" s="690" t="s">
        <v>4060</v>
      </c>
    </row>
    <row r="8732" spans="1:11">
      <c r="A8732" s="688" t="s">
        <v>2490</v>
      </c>
      <c r="B8732" s="691">
        <v>48.7</v>
      </c>
      <c r="C8732" s="691">
        <v>48.9</v>
      </c>
      <c r="D8732" s="691">
        <v>49.6</v>
      </c>
      <c r="E8732" s="692" t="s">
        <v>4060</v>
      </c>
      <c r="F8732" s="691">
        <v>49.9</v>
      </c>
      <c r="G8732" s="691">
        <v>50.1</v>
      </c>
      <c r="H8732" s="615">
        <v>51</v>
      </c>
      <c r="I8732" s="692" t="s">
        <v>4060</v>
      </c>
      <c r="J8732" s="692" t="s">
        <v>4060</v>
      </c>
      <c r="K8732" s="692" t="s">
        <v>4060</v>
      </c>
    </row>
    <row r="8734" spans="1:11">
      <c r="A8734" s="683" t="s">
        <v>4233</v>
      </c>
    </row>
    <row r="8735" spans="1:11">
      <c r="A8735" s="683" t="s">
        <v>4060</v>
      </c>
      <c r="B8735" s="682" t="s">
        <v>4234</v>
      </c>
    </row>
    <row r="8737" spans="1:11">
      <c r="A8737" s="682" t="s">
        <v>4331</v>
      </c>
    </row>
    <row r="8738" spans="1:11">
      <c r="A8738" s="682" t="s">
        <v>4210</v>
      </c>
      <c r="B8738" s="683" t="s">
        <v>4211</v>
      </c>
    </row>
    <row r="8739" spans="1:11">
      <c r="A8739" s="682" t="s">
        <v>4212</v>
      </c>
      <c r="B8739" s="682" t="s">
        <v>4213</v>
      </c>
    </row>
    <row r="8741" spans="1:11">
      <c r="A8741" s="683" t="s">
        <v>4214</v>
      </c>
      <c r="C8741" s="682" t="s">
        <v>4215</v>
      </c>
    </row>
    <row r="8742" spans="1:11">
      <c r="A8742" s="683" t="s">
        <v>4216</v>
      </c>
      <c r="C8742" s="682" t="s">
        <v>2967</v>
      </c>
    </row>
    <row r="8743" spans="1:11">
      <c r="A8743" s="683" t="s">
        <v>3893</v>
      </c>
      <c r="C8743" s="682" t="s">
        <v>2168</v>
      </c>
    </row>
    <row r="8744" spans="1:11">
      <c r="A8744" s="683" t="s">
        <v>4218</v>
      </c>
      <c r="C8744" s="682" t="s">
        <v>4261</v>
      </c>
    </row>
    <row r="8746" spans="1:11">
      <c r="A8746" s="684" t="s">
        <v>4220</v>
      </c>
      <c r="B8746" s="685" t="s">
        <v>4221</v>
      </c>
      <c r="C8746" s="685" t="s">
        <v>4222</v>
      </c>
      <c r="D8746" s="685" t="s">
        <v>4223</v>
      </c>
      <c r="E8746" s="685" t="s">
        <v>4224</v>
      </c>
      <c r="F8746" s="685" t="s">
        <v>4225</v>
      </c>
      <c r="G8746" s="685" t="s">
        <v>4226</v>
      </c>
      <c r="H8746" s="685" t="s">
        <v>4227</v>
      </c>
      <c r="I8746" s="685" t="s">
        <v>4228</v>
      </c>
      <c r="J8746" s="685" t="s">
        <v>4229</v>
      </c>
      <c r="K8746" s="685" t="s">
        <v>4230</v>
      </c>
    </row>
    <row r="8747" spans="1:11">
      <c r="A8747" s="686" t="s">
        <v>4231</v>
      </c>
      <c r="B8747" s="687" t="s">
        <v>4232</v>
      </c>
      <c r="C8747" s="687" t="s">
        <v>4232</v>
      </c>
      <c r="D8747" s="687" t="s">
        <v>4232</v>
      </c>
      <c r="E8747" s="687" t="s">
        <v>4232</v>
      </c>
      <c r="F8747" s="687" t="s">
        <v>4232</v>
      </c>
      <c r="G8747" s="687" t="s">
        <v>4232</v>
      </c>
      <c r="H8747" s="687" t="s">
        <v>4232</v>
      </c>
      <c r="I8747" s="687" t="s">
        <v>4232</v>
      </c>
      <c r="J8747" s="687" t="s">
        <v>4232</v>
      </c>
      <c r="K8747" s="687" t="s">
        <v>4232</v>
      </c>
    </row>
    <row r="8748" spans="1:11">
      <c r="A8748" s="688" t="s">
        <v>4064</v>
      </c>
      <c r="B8748" s="691">
        <v>52.3</v>
      </c>
      <c r="C8748" s="691">
        <v>52.4</v>
      </c>
      <c r="D8748" s="691">
        <v>52.4</v>
      </c>
      <c r="E8748" s="691">
        <v>52.6</v>
      </c>
      <c r="F8748" s="691">
        <v>52.6</v>
      </c>
      <c r="G8748" s="691">
        <v>52.7</v>
      </c>
      <c r="H8748" s="615">
        <v>53</v>
      </c>
      <c r="I8748" s="691">
        <v>52.1</v>
      </c>
      <c r="J8748" s="691">
        <v>51.8</v>
      </c>
      <c r="K8748" s="691">
        <v>52.5</v>
      </c>
    </row>
    <row r="8749" spans="1:11">
      <c r="A8749" s="688" t="s">
        <v>4065</v>
      </c>
      <c r="B8749" s="689">
        <v>52.5</v>
      </c>
      <c r="C8749" s="689">
        <v>52.8</v>
      </c>
      <c r="D8749" s="689">
        <v>52.6</v>
      </c>
      <c r="E8749" s="689">
        <v>52.9</v>
      </c>
      <c r="F8749" s="693">
        <v>53</v>
      </c>
      <c r="G8749" s="693">
        <v>53</v>
      </c>
      <c r="H8749" s="690" t="s">
        <v>4060</v>
      </c>
      <c r="I8749" s="690" t="s">
        <v>4060</v>
      </c>
      <c r="J8749" s="690" t="s">
        <v>4060</v>
      </c>
      <c r="K8749" s="690" t="s">
        <v>4060</v>
      </c>
    </row>
    <row r="8750" spans="1:11">
      <c r="A8750" s="688" t="s">
        <v>4063</v>
      </c>
      <c r="B8750" s="691">
        <v>52.5</v>
      </c>
      <c r="C8750" s="691">
        <v>52.9</v>
      </c>
      <c r="D8750" s="691">
        <v>52.6</v>
      </c>
      <c r="E8750" s="615">
        <v>53</v>
      </c>
      <c r="F8750" s="615">
        <v>53</v>
      </c>
      <c r="G8750" s="691">
        <v>53.1</v>
      </c>
      <c r="H8750" s="692" t="s">
        <v>4060</v>
      </c>
      <c r="I8750" s="692" t="s">
        <v>4060</v>
      </c>
      <c r="J8750" s="692" t="s">
        <v>4060</v>
      </c>
      <c r="K8750" s="692" t="s">
        <v>4060</v>
      </c>
    </row>
    <row r="8751" spans="1:11">
      <c r="A8751" s="688" t="s">
        <v>4069</v>
      </c>
      <c r="B8751" s="690" t="s">
        <v>4060</v>
      </c>
      <c r="C8751" s="689">
        <v>53.6</v>
      </c>
      <c r="D8751" s="689">
        <v>53.4</v>
      </c>
      <c r="E8751" s="689">
        <v>53.7</v>
      </c>
      <c r="F8751" s="689">
        <v>53.8</v>
      </c>
      <c r="G8751" s="689">
        <v>53.9</v>
      </c>
      <c r="H8751" s="689">
        <v>54.2</v>
      </c>
      <c r="I8751" s="689">
        <v>53.4</v>
      </c>
      <c r="J8751" s="689">
        <v>53.4</v>
      </c>
      <c r="K8751" s="689">
        <v>53.7</v>
      </c>
    </row>
    <row r="8752" spans="1:11">
      <c r="A8752" s="688" t="s">
        <v>4068</v>
      </c>
      <c r="B8752" s="691">
        <v>53.5</v>
      </c>
      <c r="C8752" s="692" t="s">
        <v>4060</v>
      </c>
      <c r="D8752" s="692" t="s">
        <v>4060</v>
      </c>
      <c r="E8752" s="692" t="s">
        <v>4060</v>
      </c>
      <c r="F8752" s="692" t="s">
        <v>4060</v>
      </c>
      <c r="G8752" s="692" t="s">
        <v>4060</v>
      </c>
      <c r="H8752" s="692" t="s">
        <v>4060</v>
      </c>
      <c r="I8752" s="692" t="s">
        <v>4060</v>
      </c>
      <c r="J8752" s="692" t="s">
        <v>4060</v>
      </c>
      <c r="K8752" s="692" t="s">
        <v>4060</v>
      </c>
    </row>
    <row r="8753" spans="1:11">
      <c r="A8753" s="688" t="s">
        <v>0</v>
      </c>
      <c r="B8753" s="689">
        <v>52.8</v>
      </c>
      <c r="C8753" s="689">
        <v>53.3</v>
      </c>
      <c r="D8753" s="689">
        <v>53.3</v>
      </c>
      <c r="E8753" s="689">
        <v>53.5</v>
      </c>
      <c r="F8753" s="689">
        <v>53.7</v>
      </c>
      <c r="G8753" s="689">
        <v>53.9</v>
      </c>
      <c r="H8753" s="689">
        <v>54.3</v>
      </c>
      <c r="I8753" s="689">
        <v>53.1</v>
      </c>
      <c r="J8753" s="689">
        <v>53.9</v>
      </c>
      <c r="K8753" s="689">
        <v>54.2</v>
      </c>
    </row>
    <row r="8754" spans="1:11">
      <c r="A8754" s="688" t="s">
        <v>1</v>
      </c>
      <c r="B8754" s="691">
        <v>46.7</v>
      </c>
      <c r="C8754" s="691">
        <v>46.2</v>
      </c>
      <c r="D8754" s="691">
        <v>46.3</v>
      </c>
      <c r="E8754" s="691">
        <v>46.3</v>
      </c>
      <c r="F8754" s="691">
        <v>46.3</v>
      </c>
      <c r="G8754" s="691">
        <v>46.4</v>
      </c>
      <c r="H8754" s="691">
        <v>46.4</v>
      </c>
      <c r="I8754" s="691">
        <v>44.6</v>
      </c>
      <c r="J8754" s="691">
        <v>42.8</v>
      </c>
      <c r="K8754" s="691">
        <v>45.5</v>
      </c>
    </row>
    <row r="8755" spans="1:11">
      <c r="A8755" s="688" t="s">
        <v>2240</v>
      </c>
      <c r="B8755" s="693">
        <v>50</v>
      </c>
      <c r="C8755" s="689">
        <v>50.4</v>
      </c>
      <c r="D8755" s="689">
        <v>50.3</v>
      </c>
      <c r="E8755" s="689">
        <v>50.7</v>
      </c>
      <c r="F8755" s="689">
        <v>50.7</v>
      </c>
      <c r="G8755" s="689">
        <v>50.7</v>
      </c>
      <c r="H8755" s="693">
        <v>51</v>
      </c>
      <c r="I8755" s="689">
        <v>49.9</v>
      </c>
      <c r="J8755" s="689">
        <v>48.7</v>
      </c>
      <c r="K8755" s="689">
        <v>50.7</v>
      </c>
    </row>
    <row r="8756" spans="1:11">
      <c r="A8756" s="688" t="s">
        <v>2</v>
      </c>
      <c r="B8756" s="691">
        <v>52.9</v>
      </c>
      <c r="C8756" s="691">
        <v>53.2</v>
      </c>
      <c r="D8756" s="691">
        <v>53.4</v>
      </c>
      <c r="E8756" s="691">
        <v>53.5</v>
      </c>
      <c r="F8756" s="691">
        <v>53.8</v>
      </c>
      <c r="G8756" s="691">
        <v>53.6</v>
      </c>
      <c r="H8756" s="615">
        <v>54</v>
      </c>
      <c r="I8756" s="691">
        <v>54.2</v>
      </c>
      <c r="J8756" s="691">
        <v>54.1</v>
      </c>
      <c r="K8756" s="615">
        <v>54</v>
      </c>
    </row>
    <row r="8757" spans="1:11">
      <c r="A8757" s="688" t="s">
        <v>3</v>
      </c>
      <c r="B8757" s="689">
        <v>52.8</v>
      </c>
      <c r="C8757" s="689">
        <v>53.1</v>
      </c>
      <c r="D8757" s="689">
        <v>52.8</v>
      </c>
      <c r="E8757" s="693">
        <v>53</v>
      </c>
      <c r="F8757" s="689">
        <v>53.2</v>
      </c>
      <c r="G8757" s="689">
        <v>53.1</v>
      </c>
      <c r="H8757" s="689">
        <v>53.5</v>
      </c>
      <c r="I8757" s="689">
        <v>53.2</v>
      </c>
      <c r="J8757" s="689">
        <v>52.8</v>
      </c>
      <c r="K8757" s="689">
        <v>52.7</v>
      </c>
    </row>
    <row r="8758" spans="1:11">
      <c r="A8758" s="688" t="s">
        <v>4061</v>
      </c>
      <c r="B8758" s="691">
        <v>52.8</v>
      </c>
      <c r="C8758" s="691">
        <v>53.1</v>
      </c>
      <c r="D8758" s="691">
        <v>52.8</v>
      </c>
      <c r="E8758" s="615">
        <v>53</v>
      </c>
      <c r="F8758" s="691">
        <v>53.2</v>
      </c>
      <c r="G8758" s="691">
        <v>53.1</v>
      </c>
      <c r="H8758" s="691">
        <v>53.5</v>
      </c>
      <c r="I8758" s="691">
        <v>53.2</v>
      </c>
      <c r="J8758" s="691">
        <v>52.8</v>
      </c>
      <c r="K8758" s="691">
        <v>52.7</v>
      </c>
    </row>
    <row r="8759" spans="1:11">
      <c r="A8759" s="688" t="s">
        <v>4</v>
      </c>
      <c r="B8759" s="689">
        <v>47.6</v>
      </c>
      <c r="C8759" s="689">
        <v>47.3</v>
      </c>
      <c r="D8759" s="689">
        <v>47.8</v>
      </c>
      <c r="E8759" s="693">
        <v>48</v>
      </c>
      <c r="F8759" s="689">
        <v>48.4</v>
      </c>
      <c r="G8759" s="689">
        <v>48.5</v>
      </c>
      <c r="H8759" s="689">
        <v>49.1</v>
      </c>
      <c r="I8759" s="689">
        <v>48.9</v>
      </c>
      <c r="J8759" s="689">
        <v>47.4</v>
      </c>
      <c r="K8759" s="689">
        <v>48.3</v>
      </c>
    </row>
    <row r="8760" spans="1:11">
      <c r="A8760" s="688" t="s">
        <v>8</v>
      </c>
      <c r="B8760" s="691">
        <v>53.7</v>
      </c>
      <c r="C8760" s="615">
        <v>54</v>
      </c>
      <c r="D8760" s="691">
        <v>54.2</v>
      </c>
      <c r="E8760" s="691">
        <v>54.3</v>
      </c>
      <c r="F8760" s="691">
        <v>54.7</v>
      </c>
      <c r="G8760" s="691">
        <v>54.8</v>
      </c>
      <c r="H8760" s="691">
        <v>55.1</v>
      </c>
      <c r="I8760" s="691">
        <v>55.1</v>
      </c>
      <c r="J8760" s="691">
        <v>54.8</v>
      </c>
      <c r="K8760" s="691">
        <v>55.3</v>
      </c>
    </row>
    <row r="8761" spans="1:11">
      <c r="A8761" s="688" t="s">
        <v>7</v>
      </c>
      <c r="B8761" s="689">
        <v>53.5</v>
      </c>
      <c r="C8761" s="693">
        <v>53</v>
      </c>
      <c r="D8761" s="689">
        <v>52.7</v>
      </c>
      <c r="E8761" s="689">
        <v>53.1</v>
      </c>
      <c r="F8761" s="689">
        <v>53.1</v>
      </c>
      <c r="G8761" s="689">
        <v>53.5</v>
      </c>
      <c r="H8761" s="689">
        <v>53.4</v>
      </c>
      <c r="I8761" s="689">
        <v>53.2</v>
      </c>
      <c r="J8761" s="693">
        <v>52</v>
      </c>
      <c r="K8761" s="689">
        <v>52.9</v>
      </c>
    </row>
    <row r="8762" spans="1:11">
      <c r="A8762" s="688" t="s">
        <v>27</v>
      </c>
      <c r="B8762" s="691">
        <v>54.7</v>
      </c>
      <c r="C8762" s="691">
        <v>54.6</v>
      </c>
      <c r="D8762" s="691">
        <v>54.4</v>
      </c>
      <c r="E8762" s="691">
        <v>54.8</v>
      </c>
      <c r="F8762" s="691">
        <v>54.8</v>
      </c>
      <c r="G8762" s="691">
        <v>54.9</v>
      </c>
      <c r="H8762" s="691">
        <v>55.3</v>
      </c>
      <c r="I8762" s="615">
        <v>54</v>
      </c>
      <c r="J8762" s="691">
        <v>54.7</v>
      </c>
      <c r="K8762" s="691">
        <v>54.9</v>
      </c>
    </row>
    <row r="8763" spans="1:11">
      <c r="A8763" s="688" t="s">
        <v>6</v>
      </c>
      <c r="B8763" s="689">
        <v>53.8</v>
      </c>
      <c r="C8763" s="693">
        <v>54</v>
      </c>
      <c r="D8763" s="689">
        <v>53.8</v>
      </c>
      <c r="E8763" s="693">
        <v>54</v>
      </c>
      <c r="F8763" s="689">
        <v>54.2</v>
      </c>
      <c r="G8763" s="689">
        <v>54.3</v>
      </c>
      <c r="H8763" s="689">
        <v>54.5</v>
      </c>
      <c r="I8763" s="689">
        <v>53.8</v>
      </c>
      <c r="J8763" s="689">
        <v>53.9</v>
      </c>
      <c r="K8763" s="689">
        <v>54.1</v>
      </c>
    </row>
    <row r="8764" spans="1:11">
      <c r="A8764" s="688" t="s">
        <v>4058</v>
      </c>
      <c r="B8764" s="692" t="s">
        <v>4060</v>
      </c>
      <c r="C8764" s="692" t="s">
        <v>4060</v>
      </c>
      <c r="D8764" s="692" t="s">
        <v>4060</v>
      </c>
      <c r="E8764" s="692" t="s">
        <v>4060</v>
      </c>
      <c r="F8764" s="692" t="s">
        <v>4060</v>
      </c>
      <c r="G8764" s="692" t="s">
        <v>4060</v>
      </c>
      <c r="H8764" s="692" t="s">
        <v>4060</v>
      </c>
      <c r="I8764" s="692" t="s">
        <v>4060</v>
      </c>
      <c r="J8764" s="692" t="s">
        <v>4060</v>
      </c>
      <c r="K8764" s="692" t="s">
        <v>4060</v>
      </c>
    </row>
    <row r="8765" spans="1:11">
      <c r="A8765" s="688" t="s">
        <v>11</v>
      </c>
      <c r="B8765" s="689">
        <v>49.3</v>
      </c>
      <c r="C8765" s="689">
        <v>49.5</v>
      </c>
      <c r="D8765" s="689">
        <v>49.1</v>
      </c>
      <c r="E8765" s="689">
        <v>49.7</v>
      </c>
      <c r="F8765" s="689">
        <v>49.6</v>
      </c>
      <c r="G8765" s="689">
        <v>49.6</v>
      </c>
      <c r="H8765" s="693">
        <v>50</v>
      </c>
      <c r="I8765" s="689">
        <v>49.3</v>
      </c>
      <c r="J8765" s="689">
        <v>48.2</v>
      </c>
      <c r="K8765" s="689">
        <v>49.4</v>
      </c>
    </row>
    <row r="8766" spans="1:11">
      <c r="A8766" s="688" t="s">
        <v>10</v>
      </c>
      <c r="B8766" s="691">
        <v>54.9</v>
      </c>
      <c r="C8766" s="615">
        <v>55</v>
      </c>
      <c r="D8766" s="691">
        <v>54.7</v>
      </c>
      <c r="E8766" s="691">
        <v>55.3</v>
      </c>
      <c r="F8766" s="691">
        <v>55.2</v>
      </c>
      <c r="G8766" s="691">
        <v>55.5</v>
      </c>
      <c r="H8766" s="691">
        <v>55.7</v>
      </c>
      <c r="I8766" s="691">
        <v>54.4</v>
      </c>
      <c r="J8766" s="691">
        <v>54.9</v>
      </c>
      <c r="K8766" s="691">
        <v>55.1</v>
      </c>
    </row>
    <row r="8767" spans="1:11">
      <c r="A8767" s="688" t="s">
        <v>30</v>
      </c>
      <c r="B8767" s="689">
        <v>54.7</v>
      </c>
      <c r="C8767" s="689">
        <v>54.9</v>
      </c>
      <c r="D8767" s="689">
        <v>54.6</v>
      </c>
      <c r="E8767" s="689">
        <v>55.2</v>
      </c>
      <c r="F8767" s="689">
        <v>54.9</v>
      </c>
      <c r="G8767" s="689">
        <v>55.7</v>
      </c>
      <c r="H8767" s="689">
        <v>55.3</v>
      </c>
      <c r="I8767" s="689">
        <v>55.3</v>
      </c>
      <c r="J8767" s="689">
        <v>54.4</v>
      </c>
      <c r="K8767" s="693">
        <v>55</v>
      </c>
    </row>
    <row r="8768" spans="1:11">
      <c r="A8768" s="688" t="s">
        <v>12</v>
      </c>
      <c r="B8768" s="691">
        <v>44.3</v>
      </c>
      <c r="C8768" s="691">
        <v>44.2</v>
      </c>
      <c r="D8768" s="691">
        <v>44.7</v>
      </c>
      <c r="E8768" s="691">
        <v>44.7</v>
      </c>
      <c r="F8768" s="691">
        <v>44.8</v>
      </c>
      <c r="G8768" s="691">
        <v>44.9</v>
      </c>
      <c r="H8768" s="691">
        <v>45.8</v>
      </c>
      <c r="I8768" s="691">
        <v>45.5</v>
      </c>
      <c r="J8768" s="691">
        <v>43.1</v>
      </c>
      <c r="K8768" s="691">
        <v>44.2</v>
      </c>
    </row>
    <row r="8769" spans="1:11">
      <c r="A8769" s="688" t="s">
        <v>14</v>
      </c>
      <c r="B8769" s="689">
        <v>43.7</v>
      </c>
      <c r="C8769" s="689">
        <v>44.3</v>
      </c>
      <c r="D8769" s="689">
        <v>44.2</v>
      </c>
      <c r="E8769" s="689">
        <v>44.4</v>
      </c>
      <c r="F8769" s="689">
        <v>45.6</v>
      </c>
      <c r="G8769" s="689">
        <v>45.8</v>
      </c>
      <c r="H8769" s="689">
        <v>46.4</v>
      </c>
      <c r="I8769" s="693">
        <v>45</v>
      </c>
      <c r="J8769" s="689">
        <v>44.5</v>
      </c>
      <c r="K8769" s="689">
        <v>46.1</v>
      </c>
    </row>
    <row r="8770" spans="1:11">
      <c r="A8770" s="688" t="s">
        <v>15</v>
      </c>
      <c r="B8770" s="691">
        <v>54.5</v>
      </c>
      <c r="C8770" s="691">
        <v>53.7</v>
      </c>
      <c r="D8770" s="691">
        <v>54.5</v>
      </c>
      <c r="E8770" s="691">
        <v>54.4</v>
      </c>
      <c r="F8770" s="691">
        <v>54.4</v>
      </c>
      <c r="G8770" s="691">
        <v>54.4</v>
      </c>
      <c r="H8770" s="691">
        <v>54.9</v>
      </c>
      <c r="I8770" s="691">
        <v>54.4</v>
      </c>
      <c r="J8770" s="691">
        <v>54.9</v>
      </c>
      <c r="K8770" s="691">
        <v>55.4</v>
      </c>
    </row>
    <row r="8771" spans="1:11">
      <c r="A8771" s="688" t="s">
        <v>29</v>
      </c>
      <c r="B8771" s="693">
        <v>47</v>
      </c>
      <c r="C8771" s="693">
        <v>47</v>
      </c>
      <c r="D8771" s="693">
        <v>47</v>
      </c>
      <c r="E8771" s="689">
        <v>47.3</v>
      </c>
      <c r="F8771" s="689">
        <v>47.2</v>
      </c>
      <c r="G8771" s="689">
        <v>47.2</v>
      </c>
      <c r="H8771" s="689">
        <v>47.7</v>
      </c>
      <c r="I8771" s="689">
        <v>46.9</v>
      </c>
      <c r="J8771" s="689">
        <v>45.4</v>
      </c>
      <c r="K8771" s="689">
        <v>47.3</v>
      </c>
    </row>
    <row r="8772" spans="1:11">
      <c r="A8772" s="688" t="s">
        <v>16</v>
      </c>
      <c r="B8772" s="691">
        <v>54.4</v>
      </c>
      <c r="C8772" s="691">
        <v>54.3</v>
      </c>
      <c r="D8772" s="691">
        <v>54.5</v>
      </c>
      <c r="E8772" s="691">
        <v>55.2</v>
      </c>
      <c r="F8772" s="691">
        <v>54.9</v>
      </c>
      <c r="G8772" s="691">
        <v>54.8</v>
      </c>
      <c r="H8772" s="691">
        <v>55.4</v>
      </c>
      <c r="I8772" s="691">
        <v>54.5</v>
      </c>
      <c r="J8772" s="691">
        <v>54.9</v>
      </c>
      <c r="K8772" s="615">
        <v>55</v>
      </c>
    </row>
    <row r="8773" spans="1:11">
      <c r="A8773" s="688" t="s">
        <v>17</v>
      </c>
      <c r="B8773" s="689">
        <v>54.2</v>
      </c>
      <c r="C8773" s="689">
        <v>54.5</v>
      </c>
      <c r="D8773" s="689">
        <v>54.3</v>
      </c>
      <c r="E8773" s="689">
        <v>54.5</v>
      </c>
      <c r="F8773" s="689">
        <v>54.7</v>
      </c>
      <c r="G8773" s="689">
        <v>54.8</v>
      </c>
      <c r="H8773" s="689">
        <v>55.1</v>
      </c>
      <c r="I8773" s="689">
        <v>54.3</v>
      </c>
      <c r="J8773" s="689">
        <v>54.3</v>
      </c>
      <c r="K8773" s="689">
        <v>54.7</v>
      </c>
    </row>
    <row r="8774" spans="1:11">
      <c r="A8774" s="688" t="s">
        <v>19</v>
      </c>
      <c r="B8774" s="691">
        <v>53.4</v>
      </c>
      <c r="C8774" s="691">
        <v>53.6</v>
      </c>
      <c r="D8774" s="691">
        <v>53.3</v>
      </c>
      <c r="E8774" s="691">
        <v>53.8</v>
      </c>
      <c r="F8774" s="691">
        <v>53.9</v>
      </c>
      <c r="G8774" s="691">
        <v>53.9</v>
      </c>
      <c r="H8774" s="691">
        <v>54.2</v>
      </c>
      <c r="I8774" s="691">
        <v>53.6</v>
      </c>
      <c r="J8774" s="691">
        <v>53.4</v>
      </c>
      <c r="K8774" s="691">
        <v>53.6</v>
      </c>
    </row>
    <row r="8775" spans="1:11">
      <c r="A8775" s="688" t="s">
        <v>20</v>
      </c>
      <c r="B8775" s="693">
        <v>48</v>
      </c>
      <c r="C8775" s="689">
        <v>48.5</v>
      </c>
      <c r="D8775" s="689">
        <v>48.3</v>
      </c>
      <c r="E8775" s="689">
        <v>48.6</v>
      </c>
      <c r="F8775" s="689">
        <v>48.6</v>
      </c>
      <c r="G8775" s="689">
        <v>48.5</v>
      </c>
      <c r="H8775" s="689">
        <v>48.8</v>
      </c>
      <c r="I8775" s="689">
        <v>47.2</v>
      </c>
      <c r="J8775" s="689">
        <v>46.3</v>
      </c>
      <c r="K8775" s="689">
        <v>48.1</v>
      </c>
    </row>
    <row r="8776" spans="1:11">
      <c r="A8776" s="688" t="s">
        <v>21</v>
      </c>
      <c r="B8776" s="691">
        <v>52.3</v>
      </c>
      <c r="C8776" s="691">
        <v>52.7</v>
      </c>
      <c r="D8776" s="691">
        <v>52.8</v>
      </c>
      <c r="E8776" s="691">
        <v>52.9</v>
      </c>
      <c r="F8776" s="691">
        <v>53.2</v>
      </c>
      <c r="G8776" s="691">
        <v>53.1</v>
      </c>
      <c r="H8776" s="691">
        <v>53.6</v>
      </c>
      <c r="I8776" s="691">
        <v>52.9</v>
      </c>
      <c r="J8776" s="615">
        <v>53</v>
      </c>
      <c r="K8776" s="691">
        <v>53.4</v>
      </c>
    </row>
    <row r="8777" spans="1:11">
      <c r="A8777" s="688" t="s">
        <v>22</v>
      </c>
      <c r="B8777" s="693">
        <v>47</v>
      </c>
      <c r="C8777" s="689">
        <v>46.7</v>
      </c>
      <c r="D8777" s="689">
        <v>46.6</v>
      </c>
      <c r="E8777" s="689">
        <v>46.8</v>
      </c>
      <c r="F8777" s="689">
        <v>46.8</v>
      </c>
      <c r="G8777" s="689">
        <v>46.7</v>
      </c>
      <c r="H8777" s="689">
        <v>46.9</v>
      </c>
      <c r="I8777" s="689">
        <v>45.3</v>
      </c>
      <c r="J8777" s="689">
        <v>44.2</v>
      </c>
      <c r="K8777" s="689">
        <v>46.3</v>
      </c>
    </row>
    <row r="8778" spans="1:11">
      <c r="A8778" s="688" t="s">
        <v>26</v>
      </c>
      <c r="B8778" s="691">
        <v>51.9</v>
      </c>
      <c r="C8778" s="691">
        <v>52.5</v>
      </c>
      <c r="D8778" s="691">
        <v>52.2</v>
      </c>
      <c r="E8778" s="691">
        <v>52.7</v>
      </c>
      <c r="F8778" s="691">
        <v>52.6</v>
      </c>
      <c r="G8778" s="691">
        <v>52.9</v>
      </c>
      <c r="H8778" s="691">
        <v>53.1</v>
      </c>
      <c r="I8778" s="691">
        <v>52.3</v>
      </c>
      <c r="J8778" s="691">
        <v>52.1</v>
      </c>
      <c r="K8778" s="615">
        <v>53</v>
      </c>
    </row>
    <row r="8779" spans="1:11">
      <c r="A8779" s="688" t="s">
        <v>25</v>
      </c>
      <c r="B8779" s="689">
        <v>47.9</v>
      </c>
      <c r="C8779" s="689">
        <v>48.3</v>
      </c>
      <c r="D8779" s="689">
        <v>48.1</v>
      </c>
      <c r="E8779" s="689">
        <v>48.7</v>
      </c>
      <c r="F8779" s="689">
        <v>48.7</v>
      </c>
      <c r="G8779" s="689">
        <v>48.8</v>
      </c>
      <c r="H8779" s="689">
        <v>49.3</v>
      </c>
      <c r="I8779" s="689">
        <v>48.5</v>
      </c>
      <c r="J8779" s="689">
        <v>46.1</v>
      </c>
      <c r="K8779" s="689">
        <v>48.5</v>
      </c>
    </row>
    <row r="8780" spans="1:11">
      <c r="A8780" s="688" t="s">
        <v>5</v>
      </c>
      <c r="B8780" s="691">
        <v>52.7</v>
      </c>
      <c r="C8780" s="691">
        <v>52.8</v>
      </c>
      <c r="D8780" s="691">
        <v>53.1</v>
      </c>
      <c r="E8780" s="615">
        <v>53</v>
      </c>
      <c r="F8780" s="691">
        <v>53.4</v>
      </c>
      <c r="G8780" s="691">
        <v>53.6</v>
      </c>
      <c r="H8780" s="691">
        <v>53.9</v>
      </c>
      <c r="I8780" s="691">
        <v>53.8</v>
      </c>
      <c r="J8780" s="691">
        <v>53.8</v>
      </c>
      <c r="K8780" s="691">
        <v>53.3</v>
      </c>
    </row>
    <row r="8781" spans="1:11">
      <c r="A8781" s="688" t="s">
        <v>23</v>
      </c>
      <c r="B8781" s="689">
        <v>54.8</v>
      </c>
      <c r="C8781" s="693">
        <v>55</v>
      </c>
      <c r="D8781" s="693">
        <v>55</v>
      </c>
      <c r="E8781" s="689">
        <v>55.1</v>
      </c>
      <c r="F8781" s="689">
        <v>55.3</v>
      </c>
      <c r="G8781" s="689">
        <v>55.4</v>
      </c>
      <c r="H8781" s="689">
        <v>55.9</v>
      </c>
      <c r="I8781" s="689">
        <v>55.2</v>
      </c>
      <c r="J8781" s="689">
        <v>55.8</v>
      </c>
      <c r="K8781" s="689">
        <v>55.9</v>
      </c>
    </row>
    <row r="8782" spans="1:11">
      <c r="A8782" s="688" t="s">
        <v>4067</v>
      </c>
      <c r="B8782" s="691">
        <v>52.5</v>
      </c>
      <c r="C8782" s="691">
        <v>52.8</v>
      </c>
      <c r="D8782" s="691">
        <v>52.6</v>
      </c>
      <c r="E8782" s="691">
        <v>52.9</v>
      </c>
      <c r="F8782" s="615">
        <v>53</v>
      </c>
      <c r="G8782" s="691">
        <v>53.1</v>
      </c>
      <c r="H8782" s="692" t="s">
        <v>4060</v>
      </c>
      <c r="I8782" s="692" t="s">
        <v>4060</v>
      </c>
      <c r="J8782" s="692" t="s">
        <v>4060</v>
      </c>
      <c r="K8782" s="692" t="s">
        <v>4060</v>
      </c>
    </row>
    <row r="8783" spans="1:11">
      <c r="A8783" s="688" t="s">
        <v>4066</v>
      </c>
      <c r="B8783" s="689">
        <v>52.5</v>
      </c>
      <c r="C8783" s="689">
        <v>52.9</v>
      </c>
      <c r="D8783" s="689">
        <v>52.7</v>
      </c>
      <c r="E8783" s="693">
        <v>53</v>
      </c>
      <c r="F8783" s="693">
        <v>53</v>
      </c>
      <c r="G8783" s="689">
        <v>53.1</v>
      </c>
      <c r="H8783" s="690" t="s">
        <v>4060</v>
      </c>
      <c r="I8783" s="690" t="s">
        <v>4060</v>
      </c>
      <c r="J8783" s="690" t="s">
        <v>4060</v>
      </c>
      <c r="K8783" s="690" t="s">
        <v>4060</v>
      </c>
    </row>
    <row r="8784" spans="1:11">
      <c r="A8784" s="688" t="s">
        <v>4062</v>
      </c>
      <c r="B8784" s="615">
        <v>55</v>
      </c>
      <c r="C8784" s="691">
        <v>55.2</v>
      </c>
      <c r="D8784" s="691">
        <v>55.3</v>
      </c>
      <c r="E8784" s="691">
        <v>55.7</v>
      </c>
      <c r="F8784" s="691">
        <v>55.8</v>
      </c>
      <c r="G8784" s="615">
        <v>56</v>
      </c>
      <c r="H8784" s="691">
        <v>56.2</v>
      </c>
      <c r="I8784" s="691">
        <v>55.8</v>
      </c>
      <c r="J8784" s="691">
        <v>56.2</v>
      </c>
      <c r="K8784" s="691">
        <v>55.9</v>
      </c>
    </row>
    <row r="8785" spans="1:11">
      <c r="A8785" s="688" t="s">
        <v>9</v>
      </c>
      <c r="B8785" s="693">
        <v>55</v>
      </c>
      <c r="C8785" s="689">
        <v>55.5</v>
      </c>
      <c r="D8785" s="689">
        <v>55.8</v>
      </c>
      <c r="E8785" s="689">
        <v>54.9</v>
      </c>
      <c r="F8785" s="689">
        <v>55.4</v>
      </c>
      <c r="G8785" s="689">
        <v>55.8</v>
      </c>
      <c r="H8785" s="689">
        <v>55.8</v>
      </c>
      <c r="I8785" s="689">
        <v>56.1</v>
      </c>
      <c r="J8785" s="689">
        <v>56.4</v>
      </c>
      <c r="K8785" s="689">
        <v>55.2</v>
      </c>
    </row>
    <row r="8786" spans="1:11">
      <c r="A8786" s="688" t="s">
        <v>13</v>
      </c>
      <c r="B8786" s="615">
        <v>55</v>
      </c>
      <c r="C8786" s="615">
        <v>55</v>
      </c>
      <c r="D8786" s="691">
        <v>55.6</v>
      </c>
      <c r="E8786" s="691">
        <v>54.9</v>
      </c>
      <c r="F8786" s="691">
        <v>55.8</v>
      </c>
      <c r="G8786" s="691">
        <v>54.9</v>
      </c>
      <c r="H8786" s="691">
        <v>56.4</v>
      </c>
      <c r="I8786" s="691">
        <v>55.6</v>
      </c>
      <c r="J8786" s="691">
        <v>56.7</v>
      </c>
      <c r="K8786" s="691">
        <v>57.4</v>
      </c>
    </row>
    <row r="8787" spans="1:11">
      <c r="A8787" s="688" t="s">
        <v>18</v>
      </c>
      <c r="B8787" s="689">
        <v>54.4</v>
      </c>
      <c r="C8787" s="689">
        <v>54.6</v>
      </c>
      <c r="D8787" s="689">
        <v>54.9</v>
      </c>
      <c r="E8787" s="689">
        <v>55.1</v>
      </c>
      <c r="F8787" s="689">
        <v>55.5</v>
      </c>
      <c r="G8787" s="689">
        <v>55.6</v>
      </c>
      <c r="H8787" s="689">
        <v>55.8</v>
      </c>
      <c r="I8787" s="693">
        <v>56</v>
      </c>
      <c r="J8787" s="689">
        <v>56.1</v>
      </c>
      <c r="K8787" s="689">
        <v>55.5</v>
      </c>
    </row>
    <row r="8788" spans="1:11">
      <c r="A8788" s="688" t="s">
        <v>24</v>
      </c>
      <c r="B8788" s="691">
        <v>55.4</v>
      </c>
      <c r="C8788" s="691">
        <v>55.6</v>
      </c>
      <c r="D8788" s="691">
        <v>55.5</v>
      </c>
      <c r="E8788" s="691">
        <v>56.1</v>
      </c>
      <c r="F8788" s="615">
        <v>56</v>
      </c>
      <c r="G8788" s="691">
        <v>56.3</v>
      </c>
      <c r="H8788" s="691">
        <v>56.5</v>
      </c>
      <c r="I8788" s="691">
        <v>55.7</v>
      </c>
      <c r="J8788" s="691">
        <v>56.3</v>
      </c>
      <c r="K8788" s="691">
        <v>56.3</v>
      </c>
    </row>
    <row r="8789" spans="1:11">
      <c r="A8789" s="688" t="s">
        <v>4059</v>
      </c>
      <c r="B8789" s="689">
        <v>53.9</v>
      </c>
      <c r="C8789" s="689">
        <v>54.2</v>
      </c>
      <c r="D8789" s="693">
        <v>54</v>
      </c>
      <c r="E8789" s="689">
        <v>54.1</v>
      </c>
      <c r="F8789" s="689">
        <v>54.2</v>
      </c>
      <c r="G8789" s="689">
        <v>54.2</v>
      </c>
      <c r="H8789" s="690" t="s">
        <v>4060</v>
      </c>
      <c r="I8789" s="690" t="s">
        <v>4060</v>
      </c>
      <c r="J8789" s="690" t="s">
        <v>4060</v>
      </c>
      <c r="K8789" s="690" t="s">
        <v>4060</v>
      </c>
    </row>
    <row r="8790" spans="1:11">
      <c r="A8790" s="688" t="s">
        <v>2324</v>
      </c>
      <c r="B8790" s="691">
        <v>48.9</v>
      </c>
      <c r="C8790" s="691">
        <v>48.9</v>
      </c>
      <c r="D8790" s="615">
        <v>49</v>
      </c>
      <c r="E8790" s="691">
        <v>48.7</v>
      </c>
      <c r="F8790" s="691">
        <v>48.6</v>
      </c>
      <c r="G8790" s="691">
        <v>49.2</v>
      </c>
      <c r="H8790" s="691">
        <v>48.7</v>
      </c>
      <c r="I8790" s="691">
        <v>47.8</v>
      </c>
      <c r="J8790" s="691">
        <v>45.3</v>
      </c>
      <c r="K8790" s="692" t="s">
        <v>4060</v>
      </c>
    </row>
    <row r="8791" spans="1:11">
      <c r="A8791" s="688" t="s">
        <v>2322</v>
      </c>
      <c r="B8791" s="690" t="s">
        <v>4060</v>
      </c>
      <c r="C8791" s="690" t="s">
        <v>4060</v>
      </c>
      <c r="D8791" s="690" t="s">
        <v>4060</v>
      </c>
      <c r="E8791" s="690" t="s">
        <v>4060</v>
      </c>
      <c r="F8791" s="690" t="s">
        <v>4060</v>
      </c>
      <c r="G8791" s="690" t="s">
        <v>4060</v>
      </c>
      <c r="H8791" s="690" t="s">
        <v>4060</v>
      </c>
      <c r="I8791" s="690" t="s">
        <v>4060</v>
      </c>
      <c r="J8791" s="690" t="s">
        <v>4060</v>
      </c>
      <c r="K8791" s="690" t="s">
        <v>4060</v>
      </c>
    </row>
    <row r="8792" spans="1:11">
      <c r="A8792" s="688" t="s">
        <v>2328</v>
      </c>
      <c r="B8792" s="691">
        <v>48.7</v>
      </c>
      <c r="C8792" s="691">
        <v>48.7</v>
      </c>
      <c r="D8792" s="691">
        <v>48.7</v>
      </c>
      <c r="E8792" s="691">
        <v>48.7</v>
      </c>
      <c r="F8792" s="691">
        <v>49.2</v>
      </c>
      <c r="G8792" s="691">
        <v>49.5</v>
      </c>
      <c r="H8792" s="691">
        <v>49.6</v>
      </c>
      <c r="I8792" s="615">
        <v>47</v>
      </c>
      <c r="J8792" s="691">
        <v>45.9</v>
      </c>
      <c r="K8792" s="692" t="s">
        <v>4060</v>
      </c>
    </row>
    <row r="8793" spans="1:11">
      <c r="A8793" s="688" t="s">
        <v>2496</v>
      </c>
      <c r="B8793" s="690" t="s">
        <v>4060</v>
      </c>
      <c r="C8793" s="689">
        <v>45.5</v>
      </c>
      <c r="D8793" s="689">
        <v>44.3</v>
      </c>
      <c r="E8793" s="689">
        <v>43.9</v>
      </c>
      <c r="F8793" s="689">
        <v>44.8</v>
      </c>
      <c r="G8793" s="689">
        <v>45.1</v>
      </c>
      <c r="H8793" s="689">
        <v>45.2</v>
      </c>
      <c r="I8793" s="690" t="s">
        <v>4060</v>
      </c>
      <c r="J8793" s="690" t="s">
        <v>4060</v>
      </c>
      <c r="K8793" s="689">
        <v>44.6</v>
      </c>
    </row>
    <row r="8794" spans="1:11">
      <c r="A8794" s="688" t="s">
        <v>2269</v>
      </c>
      <c r="B8794" s="691">
        <v>51.5</v>
      </c>
      <c r="C8794" s="691">
        <v>51.6</v>
      </c>
      <c r="D8794" s="691">
        <v>51.5</v>
      </c>
      <c r="E8794" s="691">
        <v>52.3</v>
      </c>
      <c r="F8794" s="691">
        <v>52.3</v>
      </c>
      <c r="G8794" s="691">
        <v>52.6</v>
      </c>
      <c r="H8794" s="691">
        <v>52.9</v>
      </c>
      <c r="I8794" s="691">
        <v>50.4</v>
      </c>
      <c r="J8794" s="691">
        <v>48.7</v>
      </c>
      <c r="K8794" s="691">
        <v>52.4</v>
      </c>
    </row>
    <row r="8795" spans="1:11">
      <c r="A8795" s="688" t="s">
        <v>2349</v>
      </c>
      <c r="B8795" s="689">
        <v>47.6</v>
      </c>
      <c r="C8795" s="689">
        <v>47.8</v>
      </c>
      <c r="D8795" s="689">
        <v>47.7</v>
      </c>
      <c r="E8795" s="689">
        <v>48.1</v>
      </c>
      <c r="F8795" s="693">
        <v>48</v>
      </c>
      <c r="G8795" s="689">
        <v>48.3</v>
      </c>
      <c r="H8795" s="689">
        <v>48.3</v>
      </c>
      <c r="I8795" s="689">
        <v>46.4</v>
      </c>
      <c r="J8795" s="689">
        <v>44.9</v>
      </c>
      <c r="K8795" s="689">
        <v>47.5</v>
      </c>
    </row>
    <row r="8796" spans="1:11">
      <c r="A8796" s="688" t="s">
        <v>2355</v>
      </c>
      <c r="B8796" s="691">
        <v>51.1</v>
      </c>
      <c r="C8796" s="691">
        <v>51.2</v>
      </c>
      <c r="D8796" s="691">
        <v>51.1</v>
      </c>
      <c r="E8796" s="615">
        <v>51</v>
      </c>
      <c r="F8796" s="691">
        <v>51.3</v>
      </c>
      <c r="G8796" s="691">
        <v>51.7</v>
      </c>
      <c r="H8796" s="691">
        <v>51.9</v>
      </c>
      <c r="I8796" s="692" t="s">
        <v>4060</v>
      </c>
      <c r="J8796" s="692" t="s">
        <v>4060</v>
      </c>
      <c r="K8796" s="692" t="s">
        <v>4060</v>
      </c>
    </row>
    <row r="8797" spans="1:11">
      <c r="A8797" s="688" t="s">
        <v>2357</v>
      </c>
      <c r="B8797" s="690" t="s">
        <v>4060</v>
      </c>
      <c r="C8797" s="689">
        <v>42.1</v>
      </c>
      <c r="D8797" s="689">
        <v>42.9</v>
      </c>
      <c r="E8797" s="689">
        <v>43.3</v>
      </c>
      <c r="F8797" s="689">
        <v>43.6</v>
      </c>
      <c r="G8797" s="689">
        <v>43.3</v>
      </c>
      <c r="H8797" s="689">
        <v>43.6</v>
      </c>
      <c r="I8797" s="690" t="s">
        <v>4060</v>
      </c>
      <c r="J8797" s="690" t="s">
        <v>4060</v>
      </c>
      <c r="K8797" s="690" t="s">
        <v>4060</v>
      </c>
    </row>
    <row r="8798" spans="1:11">
      <c r="A8798" s="688" t="s">
        <v>4070</v>
      </c>
      <c r="B8798" s="692" t="s">
        <v>4060</v>
      </c>
      <c r="C8798" s="692" t="s">
        <v>4060</v>
      </c>
      <c r="D8798" s="692" t="s">
        <v>4060</v>
      </c>
      <c r="E8798" s="691">
        <v>50.8</v>
      </c>
      <c r="F8798" s="692" t="s">
        <v>4060</v>
      </c>
      <c r="G8798" s="692" t="s">
        <v>4060</v>
      </c>
      <c r="H8798" s="692" t="s">
        <v>4060</v>
      </c>
      <c r="I8798" s="692" t="s">
        <v>4060</v>
      </c>
      <c r="J8798" s="692" t="s">
        <v>4060</v>
      </c>
      <c r="K8798" s="692" t="s">
        <v>4060</v>
      </c>
    </row>
    <row r="8799" spans="1:11">
      <c r="A8799" s="688" t="s">
        <v>2491</v>
      </c>
      <c r="B8799" s="689">
        <v>42.3</v>
      </c>
      <c r="C8799" s="689">
        <v>42.8</v>
      </c>
      <c r="D8799" s="689">
        <v>43.4</v>
      </c>
      <c r="E8799" s="689">
        <v>43.8</v>
      </c>
      <c r="F8799" s="693">
        <v>44</v>
      </c>
      <c r="G8799" s="693">
        <v>44</v>
      </c>
      <c r="H8799" s="690" t="s">
        <v>4060</v>
      </c>
      <c r="I8799" s="690" t="s">
        <v>4060</v>
      </c>
      <c r="J8799" s="690" t="s">
        <v>4060</v>
      </c>
      <c r="K8799" s="690" t="s">
        <v>4060</v>
      </c>
    </row>
    <row r="8800" spans="1:11">
      <c r="A8800" s="688" t="s">
        <v>2343</v>
      </c>
      <c r="B8800" s="692" t="s">
        <v>4060</v>
      </c>
      <c r="C8800" s="692" t="s">
        <v>4060</v>
      </c>
      <c r="D8800" s="692" t="s">
        <v>4060</v>
      </c>
      <c r="E8800" s="692" t="s">
        <v>4060</v>
      </c>
      <c r="F8800" s="692" t="s">
        <v>4060</v>
      </c>
      <c r="G8800" s="692" t="s">
        <v>4060</v>
      </c>
      <c r="H8800" s="692" t="s">
        <v>4060</v>
      </c>
      <c r="I8800" s="692" t="s">
        <v>4060</v>
      </c>
      <c r="J8800" s="692" t="s">
        <v>4060</v>
      </c>
      <c r="K8800" s="692" t="s">
        <v>4060</v>
      </c>
    </row>
    <row r="8801" spans="1:11">
      <c r="A8801" s="688" t="s">
        <v>4071</v>
      </c>
      <c r="B8801" s="690" t="s">
        <v>4060</v>
      </c>
      <c r="C8801" s="690" t="s">
        <v>4060</v>
      </c>
      <c r="D8801" s="690" t="s">
        <v>4060</v>
      </c>
      <c r="E8801" s="690" t="s">
        <v>4060</v>
      </c>
      <c r="F8801" s="690" t="s">
        <v>4060</v>
      </c>
      <c r="G8801" s="690" t="s">
        <v>4060</v>
      </c>
      <c r="H8801" s="690" t="s">
        <v>4060</v>
      </c>
      <c r="I8801" s="690" t="s">
        <v>4060</v>
      </c>
      <c r="J8801" s="690" t="s">
        <v>4060</v>
      </c>
      <c r="K8801" s="690" t="s">
        <v>4060</v>
      </c>
    </row>
    <row r="8802" spans="1:11">
      <c r="A8802" s="688" t="s">
        <v>2489</v>
      </c>
      <c r="B8802" s="692" t="s">
        <v>4060</v>
      </c>
      <c r="C8802" s="692" t="s">
        <v>4060</v>
      </c>
      <c r="D8802" s="691">
        <v>47.1</v>
      </c>
      <c r="E8802" s="691">
        <v>47.1</v>
      </c>
      <c r="F8802" s="691">
        <v>47.7</v>
      </c>
      <c r="G8802" s="691">
        <v>48.5</v>
      </c>
      <c r="H8802" s="691">
        <v>48.2</v>
      </c>
      <c r="I8802" s="692" t="s">
        <v>4060</v>
      </c>
      <c r="J8802" s="692" t="s">
        <v>4060</v>
      </c>
      <c r="K8802" s="692" t="s">
        <v>4060</v>
      </c>
    </row>
    <row r="8803" spans="1:11">
      <c r="A8803" s="688" t="s">
        <v>2490</v>
      </c>
      <c r="B8803" s="689">
        <v>47.7</v>
      </c>
      <c r="C8803" s="689">
        <v>47.9</v>
      </c>
      <c r="D8803" s="689">
        <v>48.6</v>
      </c>
      <c r="E8803" s="690" t="s">
        <v>4060</v>
      </c>
      <c r="F8803" s="689">
        <v>48.9</v>
      </c>
      <c r="G8803" s="689">
        <v>49.2</v>
      </c>
      <c r="H8803" s="693">
        <v>50</v>
      </c>
      <c r="I8803" s="690" t="s">
        <v>4060</v>
      </c>
      <c r="J8803" s="690" t="s">
        <v>4060</v>
      </c>
      <c r="K8803" s="690" t="s">
        <v>4060</v>
      </c>
    </row>
    <row r="8805" spans="1:11">
      <c r="A8805" s="683" t="s">
        <v>4233</v>
      </c>
    </row>
    <row r="8806" spans="1:11">
      <c r="A8806" s="683" t="s">
        <v>4060</v>
      </c>
      <c r="B8806" s="682" t="s">
        <v>4234</v>
      </c>
    </row>
    <row r="8808" spans="1:11">
      <c r="A8808" s="682" t="s">
        <v>4331</v>
      </c>
    </row>
    <row r="8809" spans="1:11">
      <c r="A8809" s="682" t="s">
        <v>4210</v>
      </c>
      <c r="B8809" s="683" t="s">
        <v>4211</v>
      </c>
    </row>
    <row r="8810" spans="1:11">
      <c r="A8810" s="682" t="s">
        <v>4212</v>
      </c>
      <c r="B8810" s="682" t="s">
        <v>4213</v>
      </c>
    </row>
    <row r="8812" spans="1:11">
      <c r="A8812" s="683" t="s">
        <v>4214</v>
      </c>
      <c r="C8812" s="682" t="s">
        <v>4215</v>
      </c>
    </row>
    <row r="8813" spans="1:11">
      <c r="A8813" s="683" t="s">
        <v>4216</v>
      </c>
      <c r="C8813" s="682" t="s">
        <v>2967</v>
      </c>
    </row>
    <row r="8814" spans="1:11">
      <c r="A8814" s="683" t="s">
        <v>3893</v>
      </c>
      <c r="C8814" s="682" t="s">
        <v>2168</v>
      </c>
    </row>
    <row r="8815" spans="1:11">
      <c r="A8815" s="683" t="s">
        <v>4218</v>
      </c>
      <c r="C8815" s="682" t="s">
        <v>4262</v>
      </c>
    </row>
    <row r="8817" spans="1:11">
      <c r="A8817" s="684" t="s">
        <v>4220</v>
      </c>
      <c r="B8817" s="685" t="s">
        <v>4221</v>
      </c>
      <c r="C8817" s="685" t="s">
        <v>4222</v>
      </c>
      <c r="D8817" s="685" t="s">
        <v>4223</v>
      </c>
      <c r="E8817" s="685" t="s">
        <v>4224</v>
      </c>
      <c r="F8817" s="685" t="s">
        <v>4225</v>
      </c>
      <c r="G8817" s="685" t="s">
        <v>4226</v>
      </c>
      <c r="H8817" s="685" t="s">
        <v>4227</v>
      </c>
      <c r="I8817" s="685" t="s">
        <v>4228</v>
      </c>
      <c r="J8817" s="685" t="s">
        <v>4229</v>
      </c>
      <c r="K8817" s="685" t="s">
        <v>4230</v>
      </c>
    </row>
    <row r="8818" spans="1:11">
      <c r="A8818" s="686" t="s">
        <v>4231</v>
      </c>
      <c r="B8818" s="687" t="s">
        <v>4232</v>
      </c>
      <c r="C8818" s="687" t="s">
        <v>4232</v>
      </c>
      <c r="D8818" s="687" t="s">
        <v>4232</v>
      </c>
      <c r="E8818" s="687" t="s">
        <v>4232</v>
      </c>
      <c r="F8818" s="687" t="s">
        <v>4232</v>
      </c>
      <c r="G8818" s="687" t="s">
        <v>4232</v>
      </c>
      <c r="H8818" s="687" t="s">
        <v>4232</v>
      </c>
      <c r="I8818" s="687" t="s">
        <v>4232</v>
      </c>
      <c r="J8818" s="687" t="s">
        <v>4232</v>
      </c>
      <c r="K8818" s="687" t="s">
        <v>4232</v>
      </c>
    </row>
    <row r="8819" spans="1:11">
      <c r="A8819" s="688" t="s">
        <v>4064</v>
      </c>
      <c r="B8819" s="689">
        <v>51.3</v>
      </c>
      <c r="C8819" s="689">
        <v>51.5</v>
      </c>
      <c r="D8819" s="689">
        <v>51.4</v>
      </c>
      <c r="E8819" s="689">
        <v>51.6</v>
      </c>
      <c r="F8819" s="689">
        <v>51.7</v>
      </c>
      <c r="G8819" s="689">
        <v>51.8</v>
      </c>
      <c r="H8819" s="689">
        <v>52.1</v>
      </c>
      <c r="I8819" s="689">
        <v>51.1</v>
      </c>
      <c r="J8819" s="689">
        <v>50.8</v>
      </c>
      <c r="K8819" s="689">
        <v>51.5</v>
      </c>
    </row>
    <row r="8820" spans="1:11">
      <c r="A8820" s="688" t="s">
        <v>4065</v>
      </c>
      <c r="B8820" s="691">
        <v>51.5</v>
      </c>
      <c r="C8820" s="691">
        <v>51.9</v>
      </c>
      <c r="D8820" s="691">
        <v>51.6</v>
      </c>
      <c r="E8820" s="615">
        <v>52</v>
      </c>
      <c r="F8820" s="615">
        <v>52</v>
      </c>
      <c r="G8820" s="691">
        <v>52.1</v>
      </c>
      <c r="H8820" s="692" t="s">
        <v>4060</v>
      </c>
      <c r="I8820" s="692" t="s">
        <v>4060</v>
      </c>
      <c r="J8820" s="692" t="s">
        <v>4060</v>
      </c>
      <c r="K8820" s="692" t="s">
        <v>4060</v>
      </c>
    </row>
    <row r="8821" spans="1:11">
      <c r="A8821" s="688" t="s">
        <v>4063</v>
      </c>
      <c r="B8821" s="689">
        <v>51.5</v>
      </c>
      <c r="C8821" s="689">
        <v>51.9</v>
      </c>
      <c r="D8821" s="689">
        <v>51.7</v>
      </c>
      <c r="E8821" s="693">
        <v>52</v>
      </c>
      <c r="F8821" s="693">
        <v>52</v>
      </c>
      <c r="G8821" s="689">
        <v>52.1</v>
      </c>
      <c r="H8821" s="690" t="s">
        <v>4060</v>
      </c>
      <c r="I8821" s="690" t="s">
        <v>4060</v>
      </c>
      <c r="J8821" s="690" t="s">
        <v>4060</v>
      </c>
      <c r="K8821" s="690" t="s">
        <v>4060</v>
      </c>
    </row>
    <row r="8822" spans="1:11">
      <c r="A8822" s="688" t="s">
        <v>4069</v>
      </c>
      <c r="B8822" s="692" t="s">
        <v>4060</v>
      </c>
      <c r="C8822" s="691">
        <v>52.6</v>
      </c>
      <c r="D8822" s="691">
        <v>52.4</v>
      </c>
      <c r="E8822" s="691">
        <v>52.7</v>
      </c>
      <c r="F8822" s="691">
        <v>52.8</v>
      </c>
      <c r="G8822" s="691">
        <v>52.9</v>
      </c>
      <c r="H8822" s="691">
        <v>53.2</v>
      </c>
      <c r="I8822" s="691">
        <v>52.5</v>
      </c>
      <c r="J8822" s="691">
        <v>52.4</v>
      </c>
      <c r="K8822" s="691">
        <v>52.7</v>
      </c>
    </row>
    <row r="8823" spans="1:11">
      <c r="A8823" s="688" t="s">
        <v>4068</v>
      </c>
      <c r="B8823" s="689">
        <v>52.5</v>
      </c>
      <c r="C8823" s="690" t="s">
        <v>4060</v>
      </c>
      <c r="D8823" s="690" t="s">
        <v>4060</v>
      </c>
      <c r="E8823" s="690" t="s">
        <v>4060</v>
      </c>
      <c r="F8823" s="690" t="s">
        <v>4060</v>
      </c>
      <c r="G8823" s="690" t="s">
        <v>4060</v>
      </c>
      <c r="H8823" s="690" t="s">
        <v>4060</v>
      </c>
      <c r="I8823" s="690" t="s">
        <v>4060</v>
      </c>
      <c r="J8823" s="690" t="s">
        <v>4060</v>
      </c>
      <c r="K8823" s="690" t="s">
        <v>4060</v>
      </c>
    </row>
    <row r="8824" spans="1:11">
      <c r="A8824" s="688" t="s">
        <v>0</v>
      </c>
      <c r="B8824" s="691">
        <v>51.9</v>
      </c>
      <c r="C8824" s="691">
        <v>52.4</v>
      </c>
      <c r="D8824" s="691">
        <v>52.3</v>
      </c>
      <c r="E8824" s="691">
        <v>52.5</v>
      </c>
      <c r="F8824" s="691">
        <v>52.8</v>
      </c>
      <c r="G8824" s="691">
        <v>52.9</v>
      </c>
      <c r="H8824" s="691">
        <v>53.3</v>
      </c>
      <c r="I8824" s="691">
        <v>52.2</v>
      </c>
      <c r="J8824" s="691">
        <v>52.9</v>
      </c>
      <c r="K8824" s="691">
        <v>53.2</v>
      </c>
    </row>
    <row r="8825" spans="1:11">
      <c r="A8825" s="688" t="s">
        <v>1</v>
      </c>
      <c r="B8825" s="689">
        <v>45.7</v>
      </c>
      <c r="C8825" s="689">
        <v>45.3</v>
      </c>
      <c r="D8825" s="689">
        <v>45.4</v>
      </c>
      <c r="E8825" s="689">
        <v>45.4</v>
      </c>
      <c r="F8825" s="689">
        <v>45.4</v>
      </c>
      <c r="G8825" s="689">
        <v>45.4</v>
      </c>
      <c r="H8825" s="689">
        <v>45.4</v>
      </c>
      <c r="I8825" s="689">
        <v>43.7</v>
      </c>
      <c r="J8825" s="689">
        <v>41.9</v>
      </c>
      <c r="K8825" s="689">
        <v>44.5</v>
      </c>
    </row>
    <row r="8826" spans="1:11">
      <c r="A8826" s="688" t="s">
        <v>2240</v>
      </c>
      <c r="B8826" s="615">
        <v>49</v>
      </c>
      <c r="C8826" s="691">
        <v>49.4</v>
      </c>
      <c r="D8826" s="691">
        <v>49.3</v>
      </c>
      <c r="E8826" s="691">
        <v>49.8</v>
      </c>
      <c r="F8826" s="691">
        <v>49.7</v>
      </c>
      <c r="G8826" s="691">
        <v>49.8</v>
      </c>
      <c r="H8826" s="691">
        <v>50.1</v>
      </c>
      <c r="I8826" s="691">
        <v>48.9</v>
      </c>
      <c r="J8826" s="691">
        <v>47.7</v>
      </c>
      <c r="K8826" s="691">
        <v>49.7</v>
      </c>
    </row>
    <row r="8827" spans="1:11">
      <c r="A8827" s="688" t="s">
        <v>2</v>
      </c>
      <c r="B8827" s="689">
        <v>51.9</v>
      </c>
      <c r="C8827" s="689">
        <v>52.2</v>
      </c>
      <c r="D8827" s="689">
        <v>52.4</v>
      </c>
      <c r="E8827" s="689">
        <v>52.6</v>
      </c>
      <c r="F8827" s="689">
        <v>52.8</v>
      </c>
      <c r="G8827" s="689">
        <v>52.7</v>
      </c>
      <c r="H8827" s="693">
        <v>53</v>
      </c>
      <c r="I8827" s="689">
        <v>53.2</v>
      </c>
      <c r="J8827" s="689">
        <v>53.1</v>
      </c>
      <c r="K8827" s="693">
        <v>53</v>
      </c>
    </row>
    <row r="8828" spans="1:11">
      <c r="A8828" s="688" t="s">
        <v>3</v>
      </c>
      <c r="B8828" s="691">
        <v>51.8</v>
      </c>
      <c r="C8828" s="691">
        <v>52.1</v>
      </c>
      <c r="D8828" s="691">
        <v>51.8</v>
      </c>
      <c r="E8828" s="691">
        <v>52.1</v>
      </c>
      <c r="F8828" s="691">
        <v>52.2</v>
      </c>
      <c r="G8828" s="691">
        <v>52.2</v>
      </c>
      <c r="H8828" s="691">
        <v>52.5</v>
      </c>
      <c r="I8828" s="691">
        <v>52.2</v>
      </c>
      <c r="J8828" s="691">
        <v>51.8</v>
      </c>
      <c r="K8828" s="691">
        <v>51.8</v>
      </c>
    </row>
    <row r="8829" spans="1:11">
      <c r="A8829" s="688" t="s">
        <v>4061</v>
      </c>
      <c r="B8829" s="689">
        <v>51.8</v>
      </c>
      <c r="C8829" s="689">
        <v>52.1</v>
      </c>
      <c r="D8829" s="689">
        <v>51.8</v>
      </c>
      <c r="E8829" s="689">
        <v>52.1</v>
      </c>
      <c r="F8829" s="689">
        <v>52.2</v>
      </c>
      <c r="G8829" s="689">
        <v>52.2</v>
      </c>
      <c r="H8829" s="689">
        <v>52.5</v>
      </c>
      <c r="I8829" s="689">
        <v>52.2</v>
      </c>
      <c r="J8829" s="689">
        <v>51.8</v>
      </c>
      <c r="K8829" s="689">
        <v>51.8</v>
      </c>
    </row>
    <row r="8830" spans="1:11">
      <c r="A8830" s="688" t="s">
        <v>4</v>
      </c>
      <c r="B8830" s="691">
        <v>46.6</v>
      </c>
      <c r="C8830" s="691">
        <v>46.3</v>
      </c>
      <c r="D8830" s="691">
        <v>46.9</v>
      </c>
      <c r="E8830" s="615">
        <v>47</v>
      </c>
      <c r="F8830" s="691">
        <v>47.4</v>
      </c>
      <c r="G8830" s="691">
        <v>47.6</v>
      </c>
      <c r="H8830" s="691">
        <v>48.1</v>
      </c>
      <c r="I8830" s="615">
        <v>48</v>
      </c>
      <c r="J8830" s="691">
        <v>46.5</v>
      </c>
      <c r="K8830" s="691">
        <v>47.3</v>
      </c>
    </row>
    <row r="8831" spans="1:11">
      <c r="A8831" s="688" t="s">
        <v>8</v>
      </c>
      <c r="B8831" s="689">
        <v>52.8</v>
      </c>
      <c r="C8831" s="693">
        <v>53</v>
      </c>
      <c r="D8831" s="689">
        <v>53.2</v>
      </c>
      <c r="E8831" s="689">
        <v>53.4</v>
      </c>
      <c r="F8831" s="689">
        <v>53.8</v>
      </c>
      <c r="G8831" s="689">
        <v>53.8</v>
      </c>
      <c r="H8831" s="689">
        <v>54.2</v>
      </c>
      <c r="I8831" s="689">
        <v>54.1</v>
      </c>
      <c r="J8831" s="689">
        <v>53.9</v>
      </c>
      <c r="K8831" s="689">
        <v>54.3</v>
      </c>
    </row>
    <row r="8832" spans="1:11">
      <c r="A8832" s="688" t="s">
        <v>7</v>
      </c>
      <c r="B8832" s="691">
        <v>52.5</v>
      </c>
      <c r="C8832" s="615">
        <v>52</v>
      </c>
      <c r="D8832" s="691">
        <v>51.8</v>
      </c>
      <c r="E8832" s="691">
        <v>52.2</v>
      </c>
      <c r="F8832" s="691">
        <v>52.1</v>
      </c>
      <c r="G8832" s="691">
        <v>52.5</v>
      </c>
      <c r="H8832" s="691">
        <v>52.5</v>
      </c>
      <c r="I8832" s="691">
        <v>52.2</v>
      </c>
      <c r="J8832" s="615">
        <v>51</v>
      </c>
      <c r="K8832" s="691">
        <v>51.9</v>
      </c>
    </row>
    <row r="8833" spans="1:11">
      <c r="A8833" s="688" t="s">
        <v>27</v>
      </c>
      <c r="B8833" s="689">
        <v>53.7</v>
      </c>
      <c r="C8833" s="689">
        <v>53.6</v>
      </c>
      <c r="D8833" s="689">
        <v>53.4</v>
      </c>
      <c r="E8833" s="689">
        <v>53.8</v>
      </c>
      <c r="F8833" s="689">
        <v>53.8</v>
      </c>
      <c r="G8833" s="689">
        <v>53.9</v>
      </c>
      <c r="H8833" s="689">
        <v>54.3</v>
      </c>
      <c r="I8833" s="693">
        <v>53</v>
      </c>
      <c r="J8833" s="689">
        <v>53.7</v>
      </c>
      <c r="K8833" s="689">
        <v>53.9</v>
      </c>
    </row>
    <row r="8834" spans="1:11">
      <c r="A8834" s="688" t="s">
        <v>6</v>
      </c>
      <c r="B8834" s="691">
        <v>52.8</v>
      </c>
      <c r="C8834" s="615">
        <v>53</v>
      </c>
      <c r="D8834" s="691">
        <v>52.8</v>
      </c>
      <c r="E8834" s="691">
        <v>53.1</v>
      </c>
      <c r="F8834" s="691">
        <v>53.2</v>
      </c>
      <c r="G8834" s="691">
        <v>53.3</v>
      </c>
      <c r="H8834" s="691">
        <v>53.5</v>
      </c>
      <c r="I8834" s="691">
        <v>52.9</v>
      </c>
      <c r="J8834" s="615">
        <v>53</v>
      </c>
      <c r="K8834" s="691">
        <v>53.1</v>
      </c>
    </row>
    <row r="8835" spans="1:11">
      <c r="A8835" s="688" t="s">
        <v>4058</v>
      </c>
      <c r="B8835" s="690" t="s">
        <v>4060</v>
      </c>
      <c r="C8835" s="690" t="s">
        <v>4060</v>
      </c>
      <c r="D8835" s="690" t="s">
        <v>4060</v>
      </c>
      <c r="E8835" s="690" t="s">
        <v>4060</v>
      </c>
      <c r="F8835" s="690" t="s">
        <v>4060</v>
      </c>
      <c r="G8835" s="690" t="s">
        <v>4060</v>
      </c>
      <c r="H8835" s="690" t="s">
        <v>4060</v>
      </c>
      <c r="I8835" s="690" t="s">
        <v>4060</v>
      </c>
      <c r="J8835" s="690" t="s">
        <v>4060</v>
      </c>
      <c r="K8835" s="690" t="s">
        <v>4060</v>
      </c>
    </row>
    <row r="8836" spans="1:11">
      <c r="A8836" s="688" t="s">
        <v>11</v>
      </c>
      <c r="B8836" s="691">
        <v>48.4</v>
      </c>
      <c r="C8836" s="691">
        <v>48.5</v>
      </c>
      <c r="D8836" s="691">
        <v>48.1</v>
      </c>
      <c r="E8836" s="691">
        <v>48.7</v>
      </c>
      <c r="F8836" s="691">
        <v>48.7</v>
      </c>
      <c r="G8836" s="691">
        <v>48.7</v>
      </c>
      <c r="H8836" s="615">
        <v>49</v>
      </c>
      <c r="I8836" s="691">
        <v>48.3</v>
      </c>
      <c r="J8836" s="691">
        <v>47.2</v>
      </c>
      <c r="K8836" s="691">
        <v>48.5</v>
      </c>
    </row>
    <row r="8837" spans="1:11">
      <c r="A8837" s="688" t="s">
        <v>10</v>
      </c>
      <c r="B8837" s="689">
        <v>53.9</v>
      </c>
      <c r="C8837" s="693">
        <v>54</v>
      </c>
      <c r="D8837" s="689">
        <v>53.7</v>
      </c>
      <c r="E8837" s="689">
        <v>54.3</v>
      </c>
      <c r="F8837" s="689">
        <v>54.2</v>
      </c>
      <c r="G8837" s="689">
        <v>54.5</v>
      </c>
      <c r="H8837" s="689">
        <v>54.7</v>
      </c>
      <c r="I8837" s="689">
        <v>53.4</v>
      </c>
      <c r="J8837" s="689">
        <v>53.9</v>
      </c>
      <c r="K8837" s="689">
        <v>54.2</v>
      </c>
    </row>
    <row r="8838" spans="1:11">
      <c r="A8838" s="688" t="s">
        <v>30</v>
      </c>
      <c r="B8838" s="691">
        <v>53.7</v>
      </c>
      <c r="C8838" s="691">
        <v>53.9</v>
      </c>
      <c r="D8838" s="691">
        <v>53.6</v>
      </c>
      <c r="E8838" s="691">
        <v>54.3</v>
      </c>
      <c r="F8838" s="691">
        <v>53.9</v>
      </c>
      <c r="G8838" s="691">
        <v>54.7</v>
      </c>
      <c r="H8838" s="691">
        <v>54.4</v>
      </c>
      <c r="I8838" s="691">
        <v>54.4</v>
      </c>
      <c r="J8838" s="691">
        <v>53.5</v>
      </c>
      <c r="K8838" s="615">
        <v>54</v>
      </c>
    </row>
    <row r="8839" spans="1:11">
      <c r="A8839" s="688" t="s">
        <v>12</v>
      </c>
      <c r="B8839" s="689">
        <v>43.4</v>
      </c>
      <c r="C8839" s="689">
        <v>43.2</v>
      </c>
      <c r="D8839" s="689">
        <v>43.7</v>
      </c>
      <c r="E8839" s="689">
        <v>43.8</v>
      </c>
      <c r="F8839" s="689">
        <v>43.9</v>
      </c>
      <c r="G8839" s="693">
        <v>44</v>
      </c>
      <c r="H8839" s="689">
        <v>44.8</v>
      </c>
      <c r="I8839" s="689">
        <v>44.5</v>
      </c>
      <c r="J8839" s="689">
        <v>42.1</v>
      </c>
      <c r="K8839" s="689">
        <v>43.3</v>
      </c>
    </row>
    <row r="8840" spans="1:11">
      <c r="A8840" s="688" t="s">
        <v>14</v>
      </c>
      <c r="B8840" s="691">
        <v>42.8</v>
      </c>
      <c r="C8840" s="691">
        <v>43.4</v>
      </c>
      <c r="D8840" s="691">
        <v>43.3</v>
      </c>
      <c r="E8840" s="691">
        <v>43.5</v>
      </c>
      <c r="F8840" s="691">
        <v>44.6</v>
      </c>
      <c r="G8840" s="691">
        <v>44.9</v>
      </c>
      <c r="H8840" s="691">
        <v>45.4</v>
      </c>
      <c r="I8840" s="615">
        <v>44</v>
      </c>
      <c r="J8840" s="691">
        <v>43.5</v>
      </c>
      <c r="K8840" s="691">
        <v>45.1</v>
      </c>
    </row>
    <row r="8841" spans="1:11">
      <c r="A8841" s="688" t="s">
        <v>15</v>
      </c>
      <c r="B8841" s="689">
        <v>53.5</v>
      </c>
      <c r="C8841" s="689">
        <v>52.7</v>
      </c>
      <c r="D8841" s="689">
        <v>53.5</v>
      </c>
      <c r="E8841" s="689">
        <v>53.5</v>
      </c>
      <c r="F8841" s="689">
        <v>53.4</v>
      </c>
      <c r="G8841" s="689">
        <v>53.5</v>
      </c>
      <c r="H8841" s="693">
        <v>54</v>
      </c>
      <c r="I8841" s="689">
        <v>53.4</v>
      </c>
      <c r="J8841" s="689">
        <v>53.9</v>
      </c>
      <c r="K8841" s="689">
        <v>54.5</v>
      </c>
    </row>
    <row r="8842" spans="1:11">
      <c r="A8842" s="688" t="s">
        <v>29</v>
      </c>
      <c r="B8842" s="615">
        <v>46</v>
      </c>
      <c r="C8842" s="691">
        <v>46.1</v>
      </c>
      <c r="D8842" s="615">
        <v>46</v>
      </c>
      <c r="E8842" s="691">
        <v>46.3</v>
      </c>
      <c r="F8842" s="691">
        <v>46.2</v>
      </c>
      <c r="G8842" s="691">
        <v>46.3</v>
      </c>
      <c r="H8842" s="691">
        <v>46.7</v>
      </c>
      <c r="I8842" s="691">
        <v>45.9</v>
      </c>
      <c r="J8842" s="691">
        <v>44.4</v>
      </c>
      <c r="K8842" s="691">
        <v>46.3</v>
      </c>
    </row>
    <row r="8843" spans="1:11">
      <c r="A8843" s="688" t="s">
        <v>16</v>
      </c>
      <c r="B8843" s="689">
        <v>53.4</v>
      </c>
      <c r="C8843" s="689">
        <v>53.3</v>
      </c>
      <c r="D8843" s="689">
        <v>53.5</v>
      </c>
      <c r="E8843" s="689">
        <v>54.2</v>
      </c>
      <c r="F8843" s="693">
        <v>54</v>
      </c>
      <c r="G8843" s="689">
        <v>53.9</v>
      </c>
      <c r="H8843" s="689">
        <v>54.4</v>
      </c>
      <c r="I8843" s="689">
        <v>53.5</v>
      </c>
      <c r="J8843" s="689">
        <v>53.9</v>
      </c>
      <c r="K8843" s="693">
        <v>54</v>
      </c>
    </row>
    <row r="8844" spans="1:11">
      <c r="A8844" s="688" t="s">
        <v>17</v>
      </c>
      <c r="B8844" s="691">
        <v>53.2</v>
      </c>
      <c r="C8844" s="691">
        <v>53.5</v>
      </c>
      <c r="D8844" s="691">
        <v>53.4</v>
      </c>
      <c r="E8844" s="691">
        <v>53.5</v>
      </c>
      <c r="F8844" s="691">
        <v>53.7</v>
      </c>
      <c r="G8844" s="691">
        <v>53.8</v>
      </c>
      <c r="H8844" s="691">
        <v>54.1</v>
      </c>
      <c r="I8844" s="691">
        <v>53.3</v>
      </c>
      <c r="J8844" s="691">
        <v>53.3</v>
      </c>
      <c r="K8844" s="691">
        <v>53.8</v>
      </c>
    </row>
    <row r="8845" spans="1:11">
      <c r="A8845" s="688" t="s">
        <v>19</v>
      </c>
      <c r="B8845" s="689">
        <v>52.4</v>
      </c>
      <c r="C8845" s="689">
        <v>52.6</v>
      </c>
      <c r="D8845" s="689">
        <v>52.4</v>
      </c>
      <c r="E8845" s="689">
        <v>52.8</v>
      </c>
      <c r="F8845" s="693">
        <v>53</v>
      </c>
      <c r="G8845" s="693">
        <v>53</v>
      </c>
      <c r="H8845" s="689">
        <v>53.3</v>
      </c>
      <c r="I8845" s="689">
        <v>52.6</v>
      </c>
      <c r="J8845" s="689">
        <v>52.5</v>
      </c>
      <c r="K8845" s="689">
        <v>52.7</v>
      </c>
    </row>
    <row r="8846" spans="1:11">
      <c r="A8846" s="688" t="s">
        <v>20</v>
      </c>
      <c r="B8846" s="615">
        <v>47</v>
      </c>
      <c r="C8846" s="691">
        <v>47.6</v>
      </c>
      <c r="D8846" s="691">
        <v>47.3</v>
      </c>
      <c r="E8846" s="691">
        <v>47.7</v>
      </c>
      <c r="F8846" s="691">
        <v>47.7</v>
      </c>
      <c r="G8846" s="691">
        <v>47.6</v>
      </c>
      <c r="H8846" s="691">
        <v>47.9</v>
      </c>
      <c r="I8846" s="691">
        <v>46.2</v>
      </c>
      <c r="J8846" s="691">
        <v>45.3</v>
      </c>
      <c r="K8846" s="691">
        <v>47.1</v>
      </c>
    </row>
    <row r="8847" spans="1:11">
      <c r="A8847" s="688" t="s">
        <v>21</v>
      </c>
      <c r="B8847" s="689">
        <v>51.3</v>
      </c>
      <c r="C8847" s="689">
        <v>51.8</v>
      </c>
      <c r="D8847" s="689">
        <v>51.9</v>
      </c>
      <c r="E8847" s="689">
        <v>51.9</v>
      </c>
      <c r="F8847" s="689">
        <v>52.2</v>
      </c>
      <c r="G8847" s="689">
        <v>52.2</v>
      </c>
      <c r="H8847" s="689">
        <v>52.6</v>
      </c>
      <c r="I8847" s="693">
        <v>52</v>
      </c>
      <c r="J8847" s="693">
        <v>52</v>
      </c>
      <c r="K8847" s="689">
        <v>52.5</v>
      </c>
    </row>
    <row r="8848" spans="1:11">
      <c r="A8848" s="688" t="s">
        <v>22</v>
      </c>
      <c r="B8848" s="691">
        <v>46.1</v>
      </c>
      <c r="C8848" s="691">
        <v>45.7</v>
      </c>
      <c r="D8848" s="691">
        <v>45.7</v>
      </c>
      <c r="E8848" s="691">
        <v>45.8</v>
      </c>
      <c r="F8848" s="691">
        <v>45.8</v>
      </c>
      <c r="G8848" s="691">
        <v>45.7</v>
      </c>
      <c r="H8848" s="615">
        <v>46</v>
      </c>
      <c r="I8848" s="691">
        <v>44.3</v>
      </c>
      <c r="J8848" s="691">
        <v>43.2</v>
      </c>
      <c r="K8848" s="691">
        <v>45.3</v>
      </c>
    </row>
    <row r="8849" spans="1:11">
      <c r="A8849" s="688" t="s">
        <v>26</v>
      </c>
      <c r="B8849" s="689">
        <v>50.9</v>
      </c>
      <c r="C8849" s="689">
        <v>51.5</v>
      </c>
      <c r="D8849" s="689">
        <v>51.3</v>
      </c>
      <c r="E8849" s="689">
        <v>51.7</v>
      </c>
      <c r="F8849" s="689">
        <v>51.6</v>
      </c>
      <c r="G8849" s="689">
        <v>51.9</v>
      </c>
      <c r="H8849" s="689">
        <v>52.1</v>
      </c>
      <c r="I8849" s="689">
        <v>51.3</v>
      </c>
      <c r="J8849" s="689">
        <v>51.1</v>
      </c>
      <c r="K8849" s="689">
        <v>52.1</v>
      </c>
    </row>
    <row r="8850" spans="1:11">
      <c r="A8850" s="688" t="s">
        <v>25</v>
      </c>
      <c r="B8850" s="615">
        <v>47</v>
      </c>
      <c r="C8850" s="691">
        <v>47.3</v>
      </c>
      <c r="D8850" s="691">
        <v>47.1</v>
      </c>
      <c r="E8850" s="691">
        <v>47.8</v>
      </c>
      <c r="F8850" s="691">
        <v>47.8</v>
      </c>
      <c r="G8850" s="691">
        <v>47.8</v>
      </c>
      <c r="H8850" s="691">
        <v>48.3</v>
      </c>
      <c r="I8850" s="691">
        <v>47.5</v>
      </c>
      <c r="J8850" s="691">
        <v>45.1</v>
      </c>
      <c r="K8850" s="691">
        <v>47.5</v>
      </c>
    </row>
    <row r="8851" spans="1:11">
      <c r="A8851" s="688" t="s">
        <v>5</v>
      </c>
      <c r="B8851" s="689">
        <v>51.7</v>
      </c>
      <c r="C8851" s="689">
        <v>51.9</v>
      </c>
      <c r="D8851" s="689">
        <v>52.2</v>
      </c>
      <c r="E8851" s="689">
        <v>52.1</v>
      </c>
      <c r="F8851" s="689">
        <v>52.4</v>
      </c>
      <c r="G8851" s="689">
        <v>52.6</v>
      </c>
      <c r="H8851" s="689">
        <v>52.9</v>
      </c>
      <c r="I8851" s="689">
        <v>52.8</v>
      </c>
      <c r="J8851" s="689">
        <v>52.8</v>
      </c>
      <c r="K8851" s="689">
        <v>52.4</v>
      </c>
    </row>
    <row r="8852" spans="1:11">
      <c r="A8852" s="688" t="s">
        <v>23</v>
      </c>
      <c r="B8852" s="691">
        <v>53.8</v>
      </c>
      <c r="C8852" s="615">
        <v>54</v>
      </c>
      <c r="D8852" s="615">
        <v>54</v>
      </c>
      <c r="E8852" s="691">
        <v>54.2</v>
      </c>
      <c r="F8852" s="691">
        <v>54.4</v>
      </c>
      <c r="G8852" s="691">
        <v>54.4</v>
      </c>
      <c r="H8852" s="615">
        <v>55</v>
      </c>
      <c r="I8852" s="691">
        <v>54.3</v>
      </c>
      <c r="J8852" s="691">
        <v>54.8</v>
      </c>
      <c r="K8852" s="615">
        <v>55</v>
      </c>
    </row>
    <row r="8853" spans="1:11">
      <c r="A8853" s="688" t="s">
        <v>4067</v>
      </c>
      <c r="B8853" s="689">
        <v>51.5</v>
      </c>
      <c r="C8853" s="689">
        <v>51.9</v>
      </c>
      <c r="D8853" s="689">
        <v>51.7</v>
      </c>
      <c r="E8853" s="693">
        <v>52</v>
      </c>
      <c r="F8853" s="693">
        <v>52</v>
      </c>
      <c r="G8853" s="689">
        <v>52.1</v>
      </c>
      <c r="H8853" s="690" t="s">
        <v>4060</v>
      </c>
      <c r="I8853" s="690" t="s">
        <v>4060</v>
      </c>
      <c r="J8853" s="690" t="s">
        <v>4060</v>
      </c>
      <c r="K8853" s="690" t="s">
        <v>4060</v>
      </c>
    </row>
    <row r="8854" spans="1:11">
      <c r="A8854" s="688" t="s">
        <v>4066</v>
      </c>
      <c r="B8854" s="691">
        <v>51.5</v>
      </c>
      <c r="C8854" s="691">
        <v>51.9</v>
      </c>
      <c r="D8854" s="691">
        <v>51.7</v>
      </c>
      <c r="E8854" s="615">
        <v>52</v>
      </c>
      <c r="F8854" s="691">
        <v>52.1</v>
      </c>
      <c r="G8854" s="691">
        <v>52.1</v>
      </c>
      <c r="H8854" s="692" t="s">
        <v>4060</v>
      </c>
      <c r="I8854" s="692" t="s">
        <v>4060</v>
      </c>
      <c r="J8854" s="692" t="s">
        <v>4060</v>
      </c>
      <c r="K8854" s="692" t="s">
        <v>4060</v>
      </c>
    </row>
    <row r="8855" spans="1:11">
      <c r="A8855" s="688" t="s">
        <v>4062</v>
      </c>
      <c r="B8855" s="693">
        <v>54</v>
      </c>
      <c r="C8855" s="689">
        <v>54.3</v>
      </c>
      <c r="D8855" s="689">
        <v>54.3</v>
      </c>
      <c r="E8855" s="689">
        <v>54.7</v>
      </c>
      <c r="F8855" s="689">
        <v>54.9</v>
      </c>
      <c r="G8855" s="693">
        <v>55</v>
      </c>
      <c r="H8855" s="689">
        <v>55.3</v>
      </c>
      <c r="I8855" s="689">
        <v>54.8</v>
      </c>
      <c r="J8855" s="689">
        <v>55.2</v>
      </c>
      <c r="K8855" s="693">
        <v>55</v>
      </c>
    </row>
    <row r="8856" spans="1:11">
      <c r="A8856" s="688" t="s">
        <v>9</v>
      </c>
      <c r="B8856" s="615">
        <v>54</v>
      </c>
      <c r="C8856" s="691">
        <v>54.5</v>
      </c>
      <c r="D8856" s="691">
        <v>54.8</v>
      </c>
      <c r="E8856" s="691">
        <v>53.9</v>
      </c>
      <c r="F8856" s="691">
        <v>54.4</v>
      </c>
      <c r="G8856" s="691">
        <v>54.9</v>
      </c>
      <c r="H8856" s="691">
        <v>54.9</v>
      </c>
      <c r="I8856" s="691">
        <v>55.1</v>
      </c>
      <c r="J8856" s="691">
        <v>55.4</v>
      </c>
      <c r="K8856" s="691">
        <v>54.2</v>
      </c>
    </row>
    <row r="8857" spans="1:11">
      <c r="A8857" s="688" t="s">
        <v>13</v>
      </c>
      <c r="B8857" s="693">
        <v>54</v>
      </c>
      <c r="C8857" s="693">
        <v>54</v>
      </c>
      <c r="D8857" s="689">
        <v>54.6</v>
      </c>
      <c r="E8857" s="689">
        <v>53.9</v>
      </c>
      <c r="F8857" s="689">
        <v>54.8</v>
      </c>
      <c r="G8857" s="689">
        <v>53.9</v>
      </c>
      <c r="H8857" s="689">
        <v>55.4</v>
      </c>
      <c r="I8857" s="689">
        <v>54.6</v>
      </c>
      <c r="J8857" s="689">
        <v>55.7</v>
      </c>
      <c r="K8857" s="689">
        <v>56.4</v>
      </c>
    </row>
    <row r="8858" spans="1:11">
      <c r="A8858" s="688" t="s">
        <v>18</v>
      </c>
      <c r="B8858" s="691">
        <v>53.4</v>
      </c>
      <c r="C8858" s="691">
        <v>53.7</v>
      </c>
      <c r="D8858" s="615">
        <v>54</v>
      </c>
      <c r="E8858" s="691">
        <v>54.2</v>
      </c>
      <c r="F8858" s="691">
        <v>54.5</v>
      </c>
      <c r="G8858" s="691">
        <v>54.6</v>
      </c>
      <c r="H8858" s="691">
        <v>54.9</v>
      </c>
      <c r="I8858" s="691">
        <v>55.1</v>
      </c>
      <c r="J8858" s="691">
        <v>55.1</v>
      </c>
      <c r="K8858" s="691">
        <v>54.5</v>
      </c>
    </row>
    <row r="8859" spans="1:11">
      <c r="A8859" s="688" t="s">
        <v>24</v>
      </c>
      <c r="B8859" s="689">
        <v>54.4</v>
      </c>
      <c r="C8859" s="689">
        <v>54.6</v>
      </c>
      <c r="D8859" s="689">
        <v>54.5</v>
      </c>
      <c r="E8859" s="689">
        <v>55.1</v>
      </c>
      <c r="F8859" s="689">
        <v>55.1</v>
      </c>
      <c r="G8859" s="689">
        <v>55.3</v>
      </c>
      <c r="H8859" s="689">
        <v>55.5</v>
      </c>
      <c r="I8859" s="689">
        <v>54.7</v>
      </c>
      <c r="J8859" s="689">
        <v>55.3</v>
      </c>
      <c r="K8859" s="689">
        <v>55.3</v>
      </c>
    </row>
    <row r="8860" spans="1:11">
      <c r="A8860" s="688" t="s">
        <v>4059</v>
      </c>
      <c r="B8860" s="615">
        <v>53</v>
      </c>
      <c r="C8860" s="691">
        <v>53.2</v>
      </c>
      <c r="D8860" s="615">
        <v>53</v>
      </c>
      <c r="E8860" s="691">
        <v>53.2</v>
      </c>
      <c r="F8860" s="691">
        <v>53.2</v>
      </c>
      <c r="G8860" s="691">
        <v>53.2</v>
      </c>
      <c r="H8860" s="692" t="s">
        <v>4060</v>
      </c>
      <c r="I8860" s="692" t="s">
        <v>4060</v>
      </c>
      <c r="J8860" s="692" t="s">
        <v>4060</v>
      </c>
      <c r="K8860" s="692" t="s">
        <v>4060</v>
      </c>
    </row>
    <row r="8861" spans="1:11">
      <c r="A8861" s="688" t="s">
        <v>2324</v>
      </c>
      <c r="B8861" s="689">
        <v>47.9</v>
      </c>
      <c r="C8861" s="693">
        <v>48</v>
      </c>
      <c r="D8861" s="689">
        <v>48.1</v>
      </c>
      <c r="E8861" s="689">
        <v>47.7</v>
      </c>
      <c r="F8861" s="689">
        <v>47.6</v>
      </c>
      <c r="G8861" s="689">
        <v>48.2</v>
      </c>
      <c r="H8861" s="689">
        <v>47.7</v>
      </c>
      <c r="I8861" s="689">
        <v>46.9</v>
      </c>
      <c r="J8861" s="689">
        <v>44.3</v>
      </c>
      <c r="K8861" s="690" t="s">
        <v>4060</v>
      </c>
    </row>
    <row r="8862" spans="1:11">
      <c r="A8862" s="688" t="s">
        <v>2322</v>
      </c>
      <c r="B8862" s="692" t="s">
        <v>4060</v>
      </c>
      <c r="C8862" s="692" t="s">
        <v>4060</v>
      </c>
      <c r="D8862" s="692" t="s">
        <v>4060</v>
      </c>
      <c r="E8862" s="692" t="s">
        <v>4060</v>
      </c>
      <c r="F8862" s="692" t="s">
        <v>4060</v>
      </c>
      <c r="G8862" s="692" t="s">
        <v>4060</v>
      </c>
      <c r="H8862" s="692" t="s">
        <v>4060</v>
      </c>
      <c r="I8862" s="692" t="s">
        <v>4060</v>
      </c>
      <c r="J8862" s="692" t="s">
        <v>4060</v>
      </c>
      <c r="K8862" s="692" t="s">
        <v>4060</v>
      </c>
    </row>
    <row r="8863" spans="1:11">
      <c r="A8863" s="688" t="s">
        <v>2328</v>
      </c>
      <c r="B8863" s="689">
        <v>47.7</v>
      </c>
      <c r="C8863" s="689">
        <v>47.8</v>
      </c>
      <c r="D8863" s="689">
        <v>47.8</v>
      </c>
      <c r="E8863" s="689">
        <v>47.8</v>
      </c>
      <c r="F8863" s="689">
        <v>48.3</v>
      </c>
      <c r="G8863" s="689">
        <v>48.5</v>
      </c>
      <c r="H8863" s="689">
        <v>48.6</v>
      </c>
      <c r="I8863" s="693">
        <v>46</v>
      </c>
      <c r="J8863" s="689">
        <v>44.9</v>
      </c>
      <c r="K8863" s="690" t="s">
        <v>4060</v>
      </c>
    </row>
    <row r="8864" spans="1:11">
      <c r="A8864" s="688" t="s">
        <v>2496</v>
      </c>
      <c r="B8864" s="692" t="s">
        <v>4060</v>
      </c>
      <c r="C8864" s="691">
        <v>44.5</v>
      </c>
      <c r="D8864" s="691">
        <v>43.3</v>
      </c>
      <c r="E8864" s="615">
        <v>43</v>
      </c>
      <c r="F8864" s="691">
        <v>43.9</v>
      </c>
      <c r="G8864" s="691">
        <v>44.2</v>
      </c>
      <c r="H8864" s="691">
        <v>44.2</v>
      </c>
      <c r="I8864" s="692" t="s">
        <v>4060</v>
      </c>
      <c r="J8864" s="692" t="s">
        <v>4060</v>
      </c>
      <c r="K8864" s="691">
        <v>43.7</v>
      </c>
    </row>
    <row r="8865" spans="1:11">
      <c r="A8865" s="688" t="s">
        <v>2269</v>
      </c>
      <c r="B8865" s="689">
        <v>50.5</v>
      </c>
      <c r="C8865" s="689">
        <v>50.7</v>
      </c>
      <c r="D8865" s="689">
        <v>50.6</v>
      </c>
      <c r="E8865" s="689">
        <v>51.3</v>
      </c>
      <c r="F8865" s="689">
        <v>51.3</v>
      </c>
      <c r="G8865" s="689">
        <v>51.7</v>
      </c>
      <c r="H8865" s="693">
        <v>52</v>
      </c>
      <c r="I8865" s="689">
        <v>49.5</v>
      </c>
      <c r="J8865" s="689">
        <v>47.8</v>
      </c>
      <c r="K8865" s="689">
        <v>51.4</v>
      </c>
    </row>
    <row r="8866" spans="1:11">
      <c r="A8866" s="688" t="s">
        <v>2349</v>
      </c>
      <c r="B8866" s="691">
        <v>46.7</v>
      </c>
      <c r="C8866" s="691">
        <v>46.8</v>
      </c>
      <c r="D8866" s="691">
        <v>46.7</v>
      </c>
      <c r="E8866" s="691">
        <v>47.2</v>
      </c>
      <c r="F8866" s="615">
        <v>47</v>
      </c>
      <c r="G8866" s="691">
        <v>47.4</v>
      </c>
      <c r="H8866" s="691">
        <v>47.3</v>
      </c>
      <c r="I8866" s="691">
        <v>45.4</v>
      </c>
      <c r="J8866" s="691">
        <v>43.9</v>
      </c>
      <c r="K8866" s="691">
        <v>46.5</v>
      </c>
    </row>
    <row r="8867" spans="1:11">
      <c r="A8867" s="688" t="s">
        <v>2355</v>
      </c>
      <c r="B8867" s="689">
        <v>50.2</v>
      </c>
      <c r="C8867" s="689">
        <v>50.2</v>
      </c>
      <c r="D8867" s="689">
        <v>50.1</v>
      </c>
      <c r="E8867" s="689">
        <v>50.1</v>
      </c>
      <c r="F8867" s="689">
        <v>50.3</v>
      </c>
      <c r="G8867" s="689">
        <v>50.7</v>
      </c>
      <c r="H8867" s="689">
        <v>50.9</v>
      </c>
      <c r="I8867" s="690" t="s">
        <v>4060</v>
      </c>
      <c r="J8867" s="690" t="s">
        <v>4060</v>
      </c>
      <c r="K8867" s="690" t="s">
        <v>4060</v>
      </c>
    </row>
    <row r="8868" spans="1:11">
      <c r="A8868" s="688" t="s">
        <v>2357</v>
      </c>
      <c r="B8868" s="692" t="s">
        <v>4060</v>
      </c>
      <c r="C8868" s="691">
        <v>41.2</v>
      </c>
      <c r="D8868" s="615">
        <v>42</v>
      </c>
      <c r="E8868" s="691">
        <v>42.3</v>
      </c>
      <c r="F8868" s="691">
        <v>42.7</v>
      </c>
      <c r="G8868" s="691">
        <v>42.3</v>
      </c>
      <c r="H8868" s="691">
        <v>42.6</v>
      </c>
      <c r="I8868" s="692" t="s">
        <v>4060</v>
      </c>
      <c r="J8868" s="692" t="s">
        <v>4060</v>
      </c>
      <c r="K8868" s="692" t="s">
        <v>4060</v>
      </c>
    </row>
    <row r="8869" spans="1:11">
      <c r="A8869" s="688" t="s">
        <v>4070</v>
      </c>
      <c r="B8869" s="690" t="s">
        <v>4060</v>
      </c>
      <c r="C8869" s="690" t="s">
        <v>4060</v>
      </c>
      <c r="D8869" s="690" t="s">
        <v>4060</v>
      </c>
      <c r="E8869" s="689">
        <v>49.8</v>
      </c>
      <c r="F8869" s="690" t="s">
        <v>4060</v>
      </c>
      <c r="G8869" s="690" t="s">
        <v>4060</v>
      </c>
      <c r="H8869" s="690" t="s">
        <v>4060</v>
      </c>
      <c r="I8869" s="690" t="s">
        <v>4060</v>
      </c>
      <c r="J8869" s="690" t="s">
        <v>4060</v>
      </c>
      <c r="K8869" s="690" t="s">
        <v>4060</v>
      </c>
    </row>
    <row r="8870" spans="1:11">
      <c r="A8870" s="688" t="s">
        <v>2491</v>
      </c>
      <c r="B8870" s="691">
        <v>41.4</v>
      </c>
      <c r="C8870" s="691">
        <v>41.9</v>
      </c>
      <c r="D8870" s="691">
        <v>42.5</v>
      </c>
      <c r="E8870" s="691">
        <v>42.9</v>
      </c>
      <c r="F8870" s="691">
        <v>43.1</v>
      </c>
      <c r="G8870" s="615">
        <v>43</v>
      </c>
      <c r="H8870" s="692" t="s">
        <v>4060</v>
      </c>
      <c r="I8870" s="692" t="s">
        <v>4060</v>
      </c>
      <c r="J8870" s="692" t="s">
        <v>4060</v>
      </c>
      <c r="K8870" s="692" t="s">
        <v>4060</v>
      </c>
    </row>
    <row r="8871" spans="1:11">
      <c r="A8871" s="688" t="s">
        <v>2343</v>
      </c>
      <c r="B8871" s="690" t="s">
        <v>4060</v>
      </c>
      <c r="C8871" s="690" t="s">
        <v>4060</v>
      </c>
      <c r="D8871" s="690" t="s">
        <v>4060</v>
      </c>
      <c r="E8871" s="690" t="s">
        <v>4060</v>
      </c>
      <c r="F8871" s="690" t="s">
        <v>4060</v>
      </c>
      <c r="G8871" s="690" t="s">
        <v>4060</v>
      </c>
      <c r="H8871" s="690" t="s">
        <v>4060</v>
      </c>
      <c r="I8871" s="690" t="s">
        <v>4060</v>
      </c>
      <c r="J8871" s="690" t="s">
        <v>4060</v>
      </c>
      <c r="K8871" s="690" t="s">
        <v>4060</v>
      </c>
    </row>
    <row r="8872" spans="1:11">
      <c r="A8872" s="688" t="s">
        <v>4071</v>
      </c>
      <c r="B8872" s="692" t="s">
        <v>4060</v>
      </c>
      <c r="C8872" s="692" t="s">
        <v>4060</v>
      </c>
      <c r="D8872" s="692" t="s">
        <v>4060</v>
      </c>
      <c r="E8872" s="692" t="s">
        <v>4060</v>
      </c>
      <c r="F8872" s="692" t="s">
        <v>4060</v>
      </c>
      <c r="G8872" s="692" t="s">
        <v>4060</v>
      </c>
      <c r="H8872" s="692" t="s">
        <v>4060</v>
      </c>
      <c r="I8872" s="692" t="s">
        <v>4060</v>
      </c>
      <c r="J8872" s="692" t="s">
        <v>4060</v>
      </c>
      <c r="K8872" s="692" t="s">
        <v>4060</v>
      </c>
    </row>
    <row r="8873" spans="1:11">
      <c r="A8873" s="688" t="s">
        <v>2489</v>
      </c>
      <c r="B8873" s="690" t="s">
        <v>4060</v>
      </c>
      <c r="C8873" s="690" t="s">
        <v>4060</v>
      </c>
      <c r="D8873" s="689">
        <v>46.1</v>
      </c>
      <c r="E8873" s="689">
        <v>46.1</v>
      </c>
      <c r="F8873" s="689">
        <v>46.7</v>
      </c>
      <c r="G8873" s="689">
        <v>47.6</v>
      </c>
      <c r="H8873" s="689">
        <v>47.2</v>
      </c>
      <c r="I8873" s="690" t="s">
        <v>4060</v>
      </c>
      <c r="J8873" s="690" t="s">
        <v>4060</v>
      </c>
      <c r="K8873" s="690" t="s">
        <v>4060</v>
      </c>
    </row>
    <row r="8874" spans="1:11">
      <c r="A8874" s="688" t="s">
        <v>2490</v>
      </c>
      <c r="B8874" s="691">
        <v>46.8</v>
      </c>
      <c r="C8874" s="691">
        <v>46.9</v>
      </c>
      <c r="D8874" s="691">
        <v>47.7</v>
      </c>
      <c r="E8874" s="692" t="s">
        <v>4060</v>
      </c>
      <c r="F8874" s="691">
        <v>47.9</v>
      </c>
      <c r="G8874" s="691">
        <v>48.2</v>
      </c>
      <c r="H8874" s="691">
        <v>49.1</v>
      </c>
      <c r="I8874" s="692" t="s">
        <v>4060</v>
      </c>
      <c r="J8874" s="692" t="s">
        <v>4060</v>
      </c>
      <c r="K8874" s="692" t="s">
        <v>4060</v>
      </c>
    </row>
    <row r="8876" spans="1:11">
      <c r="A8876" s="683" t="s">
        <v>4233</v>
      </c>
    </row>
    <row r="8877" spans="1:11">
      <c r="A8877" s="683" t="s">
        <v>4060</v>
      </c>
      <c r="B8877" s="682" t="s">
        <v>4234</v>
      </c>
    </row>
    <row r="8879" spans="1:11">
      <c r="A8879" s="682" t="s">
        <v>4331</v>
      </c>
    </row>
    <row r="8880" spans="1:11">
      <c r="A8880" s="682" t="s">
        <v>4210</v>
      </c>
      <c r="B8880" s="683" t="s">
        <v>4211</v>
      </c>
    </row>
    <row r="8881" spans="1:11">
      <c r="A8881" s="682" t="s">
        <v>4212</v>
      </c>
      <c r="B8881" s="682" t="s">
        <v>4213</v>
      </c>
    </row>
    <row r="8883" spans="1:11">
      <c r="A8883" s="683" t="s">
        <v>4214</v>
      </c>
      <c r="C8883" s="682" t="s">
        <v>4215</v>
      </c>
    </row>
    <row r="8884" spans="1:11">
      <c r="A8884" s="683" t="s">
        <v>4216</v>
      </c>
      <c r="C8884" s="682" t="s">
        <v>2967</v>
      </c>
    </row>
    <row r="8885" spans="1:11">
      <c r="A8885" s="683" t="s">
        <v>3893</v>
      </c>
      <c r="C8885" s="682" t="s">
        <v>2168</v>
      </c>
    </row>
    <row r="8886" spans="1:11">
      <c r="A8886" s="683" t="s">
        <v>4218</v>
      </c>
      <c r="C8886" s="682" t="s">
        <v>4263</v>
      </c>
    </row>
    <row r="8888" spans="1:11">
      <c r="A8888" s="684" t="s">
        <v>4220</v>
      </c>
      <c r="B8888" s="685" t="s">
        <v>4221</v>
      </c>
      <c r="C8888" s="685" t="s">
        <v>4222</v>
      </c>
      <c r="D8888" s="685" t="s">
        <v>4223</v>
      </c>
      <c r="E8888" s="685" t="s">
        <v>4224</v>
      </c>
      <c r="F8888" s="685" t="s">
        <v>4225</v>
      </c>
      <c r="G8888" s="685" t="s">
        <v>4226</v>
      </c>
      <c r="H8888" s="685" t="s">
        <v>4227</v>
      </c>
      <c r="I8888" s="685" t="s">
        <v>4228</v>
      </c>
      <c r="J8888" s="685" t="s">
        <v>4229</v>
      </c>
      <c r="K8888" s="685" t="s">
        <v>4230</v>
      </c>
    </row>
    <row r="8889" spans="1:11">
      <c r="A8889" s="686" t="s">
        <v>4231</v>
      </c>
      <c r="B8889" s="687" t="s">
        <v>4232</v>
      </c>
      <c r="C8889" s="687" t="s">
        <v>4232</v>
      </c>
      <c r="D8889" s="687" t="s">
        <v>4232</v>
      </c>
      <c r="E8889" s="687" t="s">
        <v>4232</v>
      </c>
      <c r="F8889" s="687" t="s">
        <v>4232</v>
      </c>
      <c r="G8889" s="687" t="s">
        <v>4232</v>
      </c>
      <c r="H8889" s="687" t="s">
        <v>4232</v>
      </c>
      <c r="I8889" s="687" t="s">
        <v>4232</v>
      </c>
      <c r="J8889" s="687" t="s">
        <v>4232</v>
      </c>
      <c r="K8889" s="687" t="s">
        <v>4232</v>
      </c>
    </row>
    <row r="8890" spans="1:11">
      <c r="A8890" s="688" t="s">
        <v>4064</v>
      </c>
      <c r="B8890" s="691">
        <v>50.3</v>
      </c>
      <c r="C8890" s="691">
        <v>50.5</v>
      </c>
      <c r="D8890" s="691">
        <v>50.5</v>
      </c>
      <c r="E8890" s="691">
        <v>50.6</v>
      </c>
      <c r="F8890" s="691">
        <v>50.7</v>
      </c>
      <c r="G8890" s="691">
        <v>50.8</v>
      </c>
      <c r="H8890" s="691">
        <v>51.1</v>
      </c>
      <c r="I8890" s="691">
        <v>50.2</v>
      </c>
      <c r="J8890" s="691">
        <v>49.9</v>
      </c>
      <c r="K8890" s="691">
        <v>50.6</v>
      </c>
    </row>
    <row r="8891" spans="1:11">
      <c r="A8891" s="688" t="s">
        <v>4065</v>
      </c>
      <c r="B8891" s="689">
        <v>50.5</v>
      </c>
      <c r="C8891" s="689">
        <v>50.9</v>
      </c>
      <c r="D8891" s="689">
        <v>50.7</v>
      </c>
      <c r="E8891" s="693">
        <v>51</v>
      </c>
      <c r="F8891" s="693">
        <v>51</v>
      </c>
      <c r="G8891" s="689">
        <v>51.1</v>
      </c>
      <c r="H8891" s="690" t="s">
        <v>4060</v>
      </c>
      <c r="I8891" s="690" t="s">
        <v>4060</v>
      </c>
      <c r="J8891" s="690" t="s">
        <v>4060</v>
      </c>
      <c r="K8891" s="690" t="s">
        <v>4060</v>
      </c>
    </row>
    <row r="8892" spans="1:11">
      <c r="A8892" s="688" t="s">
        <v>4063</v>
      </c>
      <c r="B8892" s="691">
        <v>50.6</v>
      </c>
      <c r="C8892" s="691">
        <v>50.9</v>
      </c>
      <c r="D8892" s="691">
        <v>50.7</v>
      </c>
      <c r="E8892" s="615">
        <v>51</v>
      </c>
      <c r="F8892" s="691">
        <v>51.1</v>
      </c>
      <c r="G8892" s="691">
        <v>51.1</v>
      </c>
      <c r="H8892" s="692" t="s">
        <v>4060</v>
      </c>
      <c r="I8892" s="692" t="s">
        <v>4060</v>
      </c>
      <c r="J8892" s="692" t="s">
        <v>4060</v>
      </c>
      <c r="K8892" s="692" t="s">
        <v>4060</v>
      </c>
    </row>
    <row r="8893" spans="1:11">
      <c r="A8893" s="688" t="s">
        <v>4069</v>
      </c>
      <c r="B8893" s="690" t="s">
        <v>4060</v>
      </c>
      <c r="C8893" s="689">
        <v>51.6</v>
      </c>
      <c r="D8893" s="689">
        <v>51.4</v>
      </c>
      <c r="E8893" s="689">
        <v>51.8</v>
      </c>
      <c r="F8893" s="689">
        <v>51.8</v>
      </c>
      <c r="G8893" s="693">
        <v>52</v>
      </c>
      <c r="H8893" s="689">
        <v>52.3</v>
      </c>
      <c r="I8893" s="689">
        <v>51.5</v>
      </c>
      <c r="J8893" s="689">
        <v>51.5</v>
      </c>
      <c r="K8893" s="689">
        <v>51.7</v>
      </c>
    </row>
    <row r="8894" spans="1:11">
      <c r="A8894" s="688" t="s">
        <v>4068</v>
      </c>
      <c r="B8894" s="691">
        <v>51.5</v>
      </c>
      <c r="C8894" s="692" t="s">
        <v>4060</v>
      </c>
      <c r="D8894" s="692" t="s">
        <v>4060</v>
      </c>
      <c r="E8894" s="692" t="s">
        <v>4060</v>
      </c>
      <c r="F8894" s="692" t="s">
        <v>4060</v>
      </c>
      <c r="G8894" s="692" t="s">
        <v>4060</v>
      </c>
      <c r="H8894" s="692" t="s">
        <v>4060</v>
      </c>
      <c r="I8894" s="692" t="s">
        <v>4060</v>
      </c>
      <c r="J8894" s="692" t="s">
        <v>4060</v>
      </c>
      <c r="K8894" s="692" t="s">
        <v>4060</v>
      </c>
    </row>
    <row r="8895" spans="1:11">
      <c r="A8895" s="688" t="s">
        <v>0</v>
      </c>
      <c r="B8895" s="689">
        <v>50.9</v>
      </c>
      <c r="C8895" s="689">
        <v>51.4</v>
      </c>
      <c r="D8895" s="689">
        <v>51.3</v>
      </c>
      <c r="E8895" s="689">
        <v>51.6</v>
      </c>
      <c r="F8895" s="689">
        <v>51.8</v>
      </c>
      <c r="G8895" s="693">
        <v>52</v>
      </c>
      <c r="H8895" s="689">
        <v>52.3</v>
      </c>
      <c r="I8895" s="689">
        <v>51.2</v>
      </c>
      <c r="J8895" s="689">
        <v>51.9</v>
      </c>
      <c r="K8895" s="689">
        <v>52.2</v>
      </c>
    </row>
    <row r="8896" spans="1:11">
      <c r="A8896" s="688" t="s">
        <v>1</v>
      </c>
      <c r="B8896" s="691">
        <v>44.8</v>
      </c>
      <c r="C8896" s="691">
        <v>44.3</v>
      </c>
      <c r="D8896" s="691">
        <v>44.4</v>
      </c>
      <c r="E8896" s="691">
        <v>44.4</v>
      </c>
      <c r="F8896" s="691">
        <v>44.4</v>
      </c>
      <c r="G8896" s="691">
        <v>44.4</v>
      </c>
      <c r="H8896" s="691">
        <v>44.5</v>
      </c>
      <c r="I8896" s="691">
        <v>42.7</v>
      </c>
      <c r="J8896" s="691">
        <v>40.9</v>
      </c>
      <c r="K8896" s="691">
        <v>43.6</v>
      </c>
    </row>
    <row r="8897" spans="1:11">
      <c r="A8897" s="688" t="s">
        <v>2240</v>
      </c>
      <c r="B8897" s="693">
        <v>48</v>
      </c>
      <c r="C8897" s="689">
        <v>48.5</v>
      </c>
      <c r="D8897" s="689">
        <v>48.4</v>
      </c>
      <c r="E8897" s="689">
        <v>48.8</v>
      </c>
      <c r="F8897" s="689">
        <v>48.8</v>
      </c>
      <c r="G8897" s="689">
        <v>48.8</v>
      </c>
      <c r="H8897" s="689">
        <v>49.1</v>
      </c>
      <c r="I8897" s="693">
        <v>48</v>
      </c>
      <c r="J8897" s="689">
        <v>46.8</v>
      </c>
      <c r="K8897" s="689">
        <v>48.8</v>
      </c>
    </row>
    <row r="8898" spans="1:11">
      <c r="A8898" s="688" t="s">
        <v>2</v>
      </c>
      <c r="B8898" s="615">
        <v>51</v>
      </c>
      <c r="C8898" s="691">
        <v>51.3</v>
      </c>
      <c r="D8898" s="691">
        <v>51.4</v>
      </c>
      <c r="E8898" s="691">
        <v>51.6</v>
      </c>
      <c r="F8898" s="691">
        <v>51.8</v>
      </c>
      <c r="G8898" s="691">
        <v>51.7</v>
      </c>
      <c r="H8898" s="691">
        <v>52.1</v>
      </c>
      <c r="I8898" s="691">
        <v>52.2</v>
      </c>
      <c r="J8898" s="691">
        <v>52.2</v>
      </c>
      <c r="K8898" s="615">
        <v>52</v>
      </c>
    </row>
    <row r="8899" spans="1:11">
      <c r="A8899" s="688" t="s">
        <v>3</v>
      </c>
      <c r="B8899" s="689">
        <v>50.8</v>
      </c>
      <c r="C8899" s="689">
        <v>51.1</v>
      </c>
      <c r="D8899" s="689">
        <v>50.8</v>
      </c>
      <c r="E8899" s="689">
        <v>51.1</v>
      </c>
      <c r="F8899" s="689">
        <v>51.2</v>
      </c>
      <c r="G8899" s="689">
        <v>51.2</v>
      </c>
      <c r="H8899" s="689">
        <v>51.5</v>
      </c>
      <c r="I8899" s="689">
        <v>51.2</v>
      </c>
      <c r="J8899" s="689">
        <v>50.9</v>
      </c>
      <c r="K8899" s="689">
        <v>50.8</v>
      </c>
    </row>
    <row r="8900" spans="1:11">
      <c r="A8900" s="688" t="s">
        <v>4061</v>
      </c>
      <c r="B8900" s="691">
        <v>50.8</v>
      </c>
      <c r="C8900" s="691">
        <v>51.1</v>
      </c>
      <c r="D8900" s="691">
        <v>50.8</v>
      </c>
      <c r="E8900" s="691">
        <v>51.1</v>
      </c>
      <c r="F8900" s="691">
        <v>51.2</v>
      </c>
      <c r="G8900" s="691">
        <v>51.2</v>
      </c>
      <c r="H8900" s="691">
        <v>51.5</v>
      </c>
      <c r="I8900" s="691">
        <v>51.2</v>
      </c>
      <c r="J8900" s="691">
        <v>50.9</v>
      </c>
      <c r="K8900" s="691">
        <v>50.8</v>
      </c>
    </row>
    <row r="8901" spans="1:11">
      <c r="A8901" s="688" t="s">
        <v>4</v>
      </c>
      <c r="B8901" s="689">
        <v>45.7</v>
      </c>
      <c r="C8901" s="689">
        <v>45.4</v>
      </c>
      <c r="D8901" s="689">
        <v>45.9</v>
      </c>
      <c r="E8901" s="693">
        <v>46</v>
      </c>
      <c r="F8901" s="689">
        <v>46.5</v>
      </c>
      <c r="G8901" s="689">
        <v>46.6</v>
      </c>
      <c r="H8901" s="689">
        <v>47.1</v>
      </c>
      <c r="I8901" s="693">
        <v>47</v>
      </c>
      <c r="J8901" s="689">
        <v>45.5</v>
      </c>
      <c r="K8901" s="689">
        <v>46.3</v>
      </c>
    </row>
    <row r="8902" spans="1:11">
      <c r="A8902" s="688" t="s">
        <v>8</v>
      </c>
      <c r="B8902" s="691">
        <v>51.8</v>
      </c>
      <c r="C8902" s="691">
        <v>52.1</v>
      </c>
      <c r="D8902" s="691">
        <v>52.3</v>
      </c>
      <c r="E8902" s="691">
        <v>52.4</v>
      </c>
      <c r="F8902" s="691">
        <v>52.8</v>
      </c>
      <c r="G8902" s="691">
        <v>52.8</v>
      </c>
      <c r="H8902" s="691">
        <v>53.2</v>
      </c>
      <c r="I8902" s="691">
        <v>53.1</v>
      </c>
      <c r="J8902" s="691">
        <v>52.9</v>
      </c>
      <c r="K8902" s="691">
        <v>53.3</v>
      </c>
    </row>
    <row r="8903" spans="1:11">
      <c r="A8903" s="688" t="s">
        <v>7</v>
      </c>
      <c r="B8903" s="689">
        <v>51.5</v>
      </c>
      <c r="C8903" s="693">
        <v>51</v>
      </c>
      <c r="D8903" s="689">
        <v>50.8</v>
      </c>
      <c r="E8903" s="689">
        <v>51.2</v>
      </c>
      <c r="F8903" s="689">
        <v>51.1</v>
      </c>
      <c r="G8903" s="689">
        <v>51.5</v>
      </c>
      <c r="H8903" s="689">
        <v>51.5</v>
      </c>
      <c r="I8903" s="689">
        <v>51.2</v>
      </c>
      <c r="J8903" s="689">
        <v>50.1</v>
      </c>
      <c r="K8903" s="693">
        <v>51</v>
      </c>
    </row>
    <row r="8904" spans="1:11">
      <c r="A8904" s="688" t="s">
        <v>27</v>
      </c>
      <c r="B8904" s="691">
        <v>52.7</v>
      </c>
      <c r="C8904" s="691">
        <v>52.7</v>
      </c>
      <c r="D8904" s="691">
        <v>52.4</v>
      </c>
      <c r="E8904" s="691">
        <v>52.8</v>
      </c>
      <c r="F8904" s="691">
        <v>52.9</v>
      </c>
      <c r="G8904" s="691">
        <v>52.9</v>
      </c>
      <c r="H8904" s="691">
        <v>53.3</v>
      </c>
      <c r="I8904" s="615">
        <v>52</v>
      </c>
      <c r="J8904" s="691">
        <v>52.7</v>
      </c>
      <c r="K8904" s="691">
        <v>52.9</v>
      </c>
    </row>
    <row r="8905" spans="1:11">
      <c r="A8905" s="688" t="s">
        <v>6</v>
      </c>
      <c r="B8905" s="689">
        <v>51.9</v>
      </c>
      <c r="C8905" s="689">
        <v>52.1</v>
      </c>
      <c r="D8905" s="689">
        <v>51.8</v>
      </c>
      <c r="E8905" s="689">
        <v>52.1</v>
      </c>
      <c r="F8905" s="689">
        <v>52.2</v>
      </c>
      <c r="G8905" s="689">
        <v>52.4</v>
      </c>
      <c r="H8905" s="689">
        <v>52.6</v>
      </c>
      <c r="I8905" s="689">
        <v>51.9</v>
      </c>
      <c r="J8905" s="693">
        <v>52</v>
      </c>
      <c r="K8905" s="689">
        <v>52.2</v>
      </c>
    </row>
    <row r="8906" spans="1:11">
      <c r="A8906" s="688" t="s">
        <v>4058</v>
      </c>
      <c r="B8906" s="692" t="s">
        <v>4060</v>
      </c>
      <c r="C8906" s="692" t="s">
        <v>4060</v>
      </c>
      <c r="D8906" s="692" t="s">
        <v>4060</v>
      </c>
      <c r="E8906" s="692" t="s">
        <v>4060</v>
      </c>
      <c r="F8906" s="692" t="s">
        <v>4060</v>
      </c>
      <c r="G8906" s="692" t="s">
        <v>4060</v>
      </c>
      <c r="H8906" s="692" t="s">
        <v>4060</v>
      </c>
      <c r="I8906" s="692" t="s">
        <v>4060</v>
      </c>
      <c r="J8906" s="692" t="s">
        <v>4060</v>
      </c>
      <c r="K8906" s="692" t="s">
        <v>4060</v>
      </c>
    </row>
    <row r="8907" spans="1:11">
      <c r="A8907" s="688" t="s">
        <v>11</v>
      </c>
      <c r="B8907" s="689">
        <v>47.4</v>
      </c>
      <c r="C8907" s="689">
        <v>47.5</v>
      </c>
      <c r="D8907" s="689">
        <v>47.1</v>
      </c>
      <c r="E8907" s="689">
        <v>47.7</v>
      </c>
      <c r="F8907" s="689">
        <v>47.7</v>
      </c>
      <c r="G8907" s="689">
        <v>47.7</v>
      </c>
      <c r="H8907" s="689">
        <v>48.1</v>
      </c>
      <c r="I8907" s="689">
        <v>47.3</v>
      </c>
      <c r="J8907" s="689">
        <v>46.3</v>
      </c>
      <c r="K8907" s="689">
        <v>47.5</v>
      </c>
    </row>
    <row r="8908" spans="1:11">
      <c r="A8908" s="688" t="s">
        <v>10</v>
      </c>
      <c r="B8908" s="615">
        <v>53</v>
      </c>
      <c r="C8908" s="615">
        <v>53</v>
      </c>
      <c r="D8908" s="691">
        <v>52.8</v>
      </c>
      <c r="E8908" s="691">
        <v>53.3</v>
      </c>
      <c r="F8908" s="691">
        <v>53.2</v>
      </c>
      <c r="G8908" s="691">
        <v>53.5</v>
      </c>
      <c r="H8908" s="691">
        <v>53.8</v>
      </c>
      <c r="I8908" s="691">
        <v>52.4</v>
      </c>
      <c r="J8908" s="691">
        <v>52.9</v>
      </c>
      <c r="K8908" s="691">
        <v>53.2</v>
      </c>
    </row>
    <row r="8909" spans="1:11">
      <c r="A8909" s="688" t="s">
        <v>30</v>
      </c>
      <c r="B8909" s="689">
        <v>52.8</v>
      </c>
      <c r="C8909" s="689">
        <v>52.9</v>
      </c>
      <c r="D8909" s="689">
        <v>52.6</v>
      </c>
      <c r="E8909" s="689">
        <v>53.3</v>
      </c>
      <c r="F8909" s="689">
        <v>52.9</v>
      </c>
      <c r="G8909" s="689">
        <v>53.7</v>
      </c>
      <c r="H8909" s="689">
        <v>53.4</v>
      </c>
      <c r="I8909" s="689">
        <v>53.4</v>
      </c>
      <c r="J8909" s="689">
        <v>52.5</v>
      </c>
      <c r="K8909" s="693">
        <v>53</v>
      </c>
    </row>
    <row r="8910" spans="1:11">
      <c r="A8910" s="688" t="s">
        <v>12</v>
      </c>
      <c r="B8910" s="691">
        <v>42.5</v>
      </c>
      <c r="C8910" s="691">
        <v>42.3</v>
      </c>
      <c r="D8910" s="691">
        <v>42.8</v>
      </c>
      <c r="E8910" s="691">
        <v>42.9</v>
      </c>
      <c r="F8910" s="615">
        <v>43</v>
      </c>
      <c r="G8910" s="691">
        <v>43.1</v>
      </c>
      <c r="H8910" s="691">
        <v>43.9</v>
      </c>
      <c r="I8910" s="691">
        <v>43.6</v>
      </c>
      <c r="J8910" s="691">
        <v>41.2</v>
      </c>
      <c r="K8910" s="691">
        <v>42.4</v>
      </c>
    </row>
    <row r="8911" spans="1:11">
      <c r="A8911" s="688" t="s">
        <v>14</v>
      </c>
      <c r="B8911" s="689">
        <v>41.9</v>
      </c>
      <c r="C8911" s="689">
        <v>42.5</v>
      </c>
      <c r="D8911" s="689">
        <v>42.4</v>
      </c>
      <c r="E8911" s="689">
        <v>42.6</v>
      </c>
      <c r="F8911" s="689">
        <v>43.7</v>
      </c>
      <c r="G8911" s="689">
        <v>43.9</v>
      </c>
      <c r="H8911" s="689">
        <v>44.5</v>
      </c>
      <c r="I8911" s="689">
        <v>43.1</v>
      </c>
      <c r="J8911" s="689">
        <v>42.6</v>
      </c>
      <c r="K8911" s="689">
        <v>44.2</v>
      </c>
    </row>
    <row r="8912" spans="1:11">
      <c r="A8912" s="688" t="s">
        <v>15</v>
      </c>
      <c r="B8912" s="691">
        <v>52.5</v>
      </c>
      <c r="C8912" s="691">
        <v>51.7</v>
      </c>
      <c r="D8912" s="691">
        <v>52.6</v>
      </c>
      <c r="E8912" s="691">
        <v>52.5</v>
      </c>
      <c r="F8912" s="691">
        <v>52.4</v>
      </c>
      <c r="G8912" s="691">
        <v>52.5</v>
      </c>
      <c r="H8912" s="615">
        <v>53</v>
      </c>
      <c r="I8912" s="691">
        <v>52.4</v>
      </c>
      <c r="J8912" s="691">
        <v>52.9</v>
      </c>
      <c r="K8912" s="691">
        <v>53.5</v>
      </c>
    </row>
    <row r="8913" spans="1:11">
      <c r="A8913" s="688" t="s">
        <v>29</v>
      </c>
      <c r="B8913" s="689">
        <v>45.1</v>
      </c>
      <c r="C8913" s="689">
        <v>45.1</v>
      </c>
      <c r="D8913" s="693">
        <v>45</v>
      </c>
      <c r="E8913" s="689">
        <v>45.3</v>
      </c>
      <c r="F8913" s="689">
        <v>45.2</v>
      </c>
      <c r="G8913" s="689">
        <v>45.3</v>
      </c>
      <c r="H8913" s="689">
        <v>45.7</v>
      </c>
      <c r="I8913" s="689">
        <v>44.9</v>
      </c>
      <c r="J8913" s="689">
        <v>43.5</v>
      </c>
      <c r="K8913" s="689">
        <v>45.3</v>
      </c>
    </row>
    <row r="8914" spans="1:11">
      <c r="A8914" s="688" t="s">
        <v>16</v>
      </c>
      <c r="B8914" s="691">
        <v>52.5</v>
      </c>
      <c r="C8914" s="691">
        <v>52.3</v>
      </c>
      <c r="D8914" s="691">
        <v>52.6</v>
      </c>
      <c r="E8914" s="691">
        <v>53.2</v>
      </c>
      <c r="F8914" s="615">
        <v>53</v>
      </c>
      <c r="G8914" s="691">
        <v>52.9</v>
      </c>
      <c r="H8914" s="691">
        <v>53.5</v>
      </c>
      <c r="I8914" s="691">
        <v>52.5</v>
      </c>
      <c r="J8914" s="691">
        <v>52.9</v>
      </c>
      <c r="K8914" s="691">
        <v>53.1</v>
      </c>
    </row>
    <row r="8915" spans="1:11">
      <c r="A8915" s="688" t="s">
        <v>17</v>
      </c>
      <c r="B8915" s="689">
        <v>52.2</v>
      </c>
      <c r="C8915" s="689">
        <v>52.5</v>
      </c>
      <c r="D8915" s="689">
        <v>52.4</v>
      </c>
      <c r="E8915" s="689">
        <v>52.5</v>
      </c>
      <c r="F8915" s="689">
        <v>52.8</v>
      </c>
      <c r="G8915" s="689">
        <v>52.8</v>
      </c>
      <c r="H8915" s="689">
        <v>53.1</v>
      </c>
      <c r="I8915" s="689">
        <v>52.3</v>
      </c>
      <c r="J8915" s="689">
        <v>52.3</v>
      </c>
      <c r="K8915" s="689">
        <v>52.8</v>
      </c>
    </row>
    <row r="8916" spans="1:11">
      <c r="A8916" s="688" t="s">
        <v>19</v>
      </c>
      <c r="B8916" s="691">
        <v>51.4</v>
      </c>
      <c r="C8916" s="691">
        <v>51.6</v>
      </c>
      <c r="D8916" s="691">
        <v>51.4</v>
      </c>
      <c r="E8916" s="691">
        <v>51.9</v>
      </c>
      <c r="F8916" s="615">
        <v>52</v>
      </c>
      <c r="G8916" s="615">
        <v>52</v>
      </c>
      <c r="H8916" s="691">
        <v>52.3</v>
      </c>
      <c r="I8916" s="691">
        <v>51.6</v>
      </c>
      <c r="J8916" s="691">
        <v>51.5</v>
      </c>
      <c r="K8916" s="691">
        <v>51.7</v>
      </c>
    </row>
    <row r="8917" spans="1:11">
      <c r="A8917" s="688" t="s">
        <v>20</v>
      </c>
      <c r="B8917" s="689">
        <v>46.1</v>
      </c>
      <c r="C8917" s="689">
        <v>46.6</v>
      </c>
      <c r="D8917" s="689">
        <v>46.4</v>
      </c>
      <c r="E8917" s="689">
        <v>46.7</v>
      </c>
      <c r="F8917" s="689">
        <v>46.7</v>
      </c>
      <c r="G8917" s="689">
        <v>46.6</v>
      </c>
      <c r="H8917" s="689">
        <v>46.9</v>
      </c>
      <c r="I8917" s="689">
        <v>45.3</v>
      </c>
      <c r="J8917" s="689">
        <v>44.4</v>
      </c>
      <c r="K8917" s="689">
        <v>46.2</v>
      </c>
    </row>
    <row r="8918" spans="1:11">
      <c r="A8918" s="688" t="s">
        <v>21</v>
      </c>
      <c r="B8918" s="691">
        <v>50.3</v>
      </c>
      <c r="C8918" s="691">
        <v>50.8</v>
      </c>
      <c r="D8918" s="691">
        <v>50.9</v>
      </c>
      <c r="E8918" s="691">
        <v>50.9</v>
      </c>
      <c r="F8918" s="691">
        <v>51.2</v>
      </c>
      <c r="G8918" s="691">
        <v>51.2</v>
      </c>
      <c r="H8918" s="691">
        <v>51.6</v>
      </c>
      <c r="I8918" s="615">
        <v>51</v>
      </c>
      <c r="J8918" s="615">
        <v>51</v>
      </c>
      <c r="K8918" s="691">
        <v>51.5</v>
      </c>
    </row>
    <row r="8919" spans="1:11">
      <c r="A8919" s="688" t="s">
        <v>22</v>
      </c>
      <c r="B8919" s="689">
        <v>45.1</v>
      </c>
      <c r="C8919" s="689">
        <v>44.8</v>
      </c>
      <c r="D8919" s="689">
        <v>44.7</v>
      </c>
      <c r="E8919" s="689">
        <v>44.9</v>
      </c>
      <c r="F8919" s="689">
        <v>44.9</v>
      </c>
      <c r="G8919" s="689">
        <v>44.8</v>
      </c>
      <c r="H8919" s="693">
        <v>45</v>
      </c>
      <c r="I8919" s="689">
        <v>43.4</v>
      </c>
      <c r="J8919" s="689">
        <v>42.2</v>
      </c>
      <c r="K8919" s="689">
        <v>44.4</v>
      </c>
    </row>
    <row r="8920" spans="1:11">
      <c r="A8920" s="688" t="s">
        <v>26</v>
      </c>
      <c r="B8920" s="615">
        <v>50</v>
      </c>
      <c r="C8920" s="691">
        <v>50.5</v>
      </c>
      <c r="D8920" s="691">
        <v>50.3</v>
      </c>
      <c r="E8920" s="691">
        <v>50.7</v>
      </c>
      <c r="F8920" s="691">
        <v>50.7</v>
      </c>
      <c r="G8920" s="615">
        <v>51</v>
      </c>
      <c r="H8920" s="691">
        <v>51.2</v>
      </c>
      <c r="I8920" s="691">
        <v>50.3</v>
      </c>
      <c r="J8920" s="691">
        <v>50.2</v>
      </c>
      <c r="K8920" s="691">
        <v>51.1</v>
      </c>
    </row>
    <row r="8921" spans="1:11">
      <c r="A8921" s="688" t="s">
        <v>25</v>
      </c>
      <c r="B8921" s="693">
        <v>46</v>
      </c>
      <c r="C8921" s="689">
        <v>46.4</v>
      </c>
      <c r="D8921" s="689">
        <v>46.2</v>
      </c>
      <c r="E8921" s="689">
        <v>46.8</v>
      </c>
      <c r="F8921" s="689">
        <v>46.8</v>
      </c>
      <c r="G8921" s="689">
        <v>46.9</v>
      </c>
      <c r="H8921" s="689">
        <v>47.3</v>
      </c>
      <c r="I8921" s="689">
        <v>46.6</v>
      </c>
      <c r="J8921" s="689">
        <v>44.2</v>
      </c>
      <c r="K8921" s="689">
        <v>46.6</v>
      </c>
    </row>
    <row r="8922" spans="1:11">
      <c r="A8922" s="688" t="s">
        <v>5</v>
      </c>
      <c r="B8922" s="691">
        <v>50.8</v>
      </c>
      <c r="C8922" s="691">
        <v>50.9</v>
      </c>
      <c r="D8922" s="691">
        <v>51.2</v>
      </c>
      <c r="E8922" s="691">
        <v>51.1</v>
      </c>
      <c r="F8922" s="691">
        <v>51.5</v>
      </c>
      <c r="G8922" s="691">
        <v>51.6</v>
      </c>
      <c r="H8922" s="615">
        <v>52</v>
      </c>
      <c r="I8922" s="691">
        <v>51.9</v>
      </c>
      <c r="J8922" s="691">
        <v>51.8</v>
      </c>
      <c r="K8922" s="691">
        <v>51.4</v>
      </c>
    </row>
    <row r="8923" spans="1:11">
      <c r="A8923" s="688" t="s">
        <v>23</v>
      </c>
      <c r="B8923" s="689">
        <v>52.9</v>
      </c>
      <c r="C8923" s="693">
        <v>53</v>
      </c>
      <c r="D8923" s="689">
        <v>53.1</v>
      </c>
      <c r="E8923" s="689">
        <v>53.2</v>
      </c>
      <c r="F8923" s="689">
        <v>53.4</v>
      </c>
      <c r="G8923" s="689">
        <v>53.5</v>
      </c>
      <c r="H8923" s="693">
        <v>54</v>
      </c>
      <c r="I8923" s="689">
        <v>53.3</v>
      </c>
      <c r="J8923" s="689">
        <v>53.8</v>
      </c>
      <c r="K8923" s="693">
        <v>54</v>
      </c>
    </row>
    <row r="8924" spans="1:11">
      <c r="A8924" s="688" t="s">
        <v>4067</v>
      </c>
      <c r="B8924" s="691">
        <v>50.5</v>
      </c>
      <c r="C8924" s="691">
        <v>50.9</v>
      </c>
      <c r="D8924" s="691">
        <v>50.7</v>
      </c>
      <c r="E8924" s="615">
        <v>51</v>
      </c>
      <c r="F8924" s="691">
        <v>51.1</v>
      </c>
      <c r="G8924" s="691">
        <v>51.1</v>
      </c>
      <c r="H8924" s="692" t="s">
        <v>4060</v>
      </c>
      <c r="I8924" s="692" t="s">
        <v>4060</v>
      </c>
      <c r="J8924" s="692" t="s">
        <v>4060</v>
      </c>
      <c r="K8924" s="692" t="s">
        <v>4060</v>
      </c>
    </row>
    <row r="8925" spans="1:11">
      <c r="A8925" s="688" t="s">
        <v>4066</v>
      </c>
      <c r="B8925" s="689">
        <v>50.6</v>
      </c>
      <c r="C8925" s="689">
        <v>50.9</v>
      </c>
      <c r="D8925" s="689">
        <v>50.7</v>
      </c>
      <c r="E8925" s="693">
        <v>51</v>
      </c>
      <c r="F8925" s="689">
        <v>51.1</v>
      </c>
      <c r="G8925" s="689">
        <v>51.2</v>
      </c>
      <c r="H8925" s="690" t="s">
        <v>4060</v>
      </c>
      <c r="I8925" s="690" t="s">
        <v>4060</v>
      </c>
      <c r="J8925" s="690" t="s">
        <v>4060</v>
      </c>
      <c r="K8925" s="690" t="s">
        <v>4060</v>
      </c>
    </row>
    <row r="8926" spans="1:11">
      <c r="A8926" s="688" t="s">
        <v>4062</v>
      </c>
      <c r="B8926" s="691">
        <v>53.1</v>
      </c>
      <c r="C8926" s="691">
        <v>53.3</v>
      </c>
      <c r="D8926" s="691">
        <v>53.3</v>
      </c>
      <c r="E8926" s="691">
        <v>53.8</v>
      </c>
      <c r="F8926" s="691">
        <v>53.9</v>
      </c>
      <c r="G8926" s="691">
        <v>54.1</v>
      </c>
      <c r="H8926" s="691">
        <v>54.3</v>
      </c>
      <c r="I8926" s="691">
        <v>53.9</v>
      </c>
      <c r="J8926" s="691">
        <v>54.3</v>
      </c>
      <c r="K8926" s="615">
        <v>54</v>
      </c>
    </row>
    <row r="8927" spans="1:11">
      <c r="A8927" s="688" t="s">
        <v>9</v>
      </c>
      <c r="B8927" s="689">
        <v>53.1</v>
      </c>
      <c r="C8927" s="689">
        <v>53.6</v>
      </c>
      <c r="D8927" s="689">
        <v>53.8</v>
      </c>
      <c r="E8927" s="693">
        <v>53</v>
      </c>
      <c r="F8927" s="689">
        <v>53.4</v>
      </c>
      <c r="G8927" s="689">
        <v>53.9</v>
      </c>
      <c r="H8927" s="689">
        <v>53.9</v>
      </c>
      <c r="I8927" s="689">
        <v>54.1</v>
      </c>
      <c r="J8927" s="689">
        <v>54.5</v>
      </c>
      <c r="K8927" s="689">
        <v>53.3</v>
      </c>
    </row>
    <row r="8928" spans="1:11">
      <c r="A8928" s="688" t="s">
        <v>13</v>
      </c>
      <c r="B8928" s="615">
        <v>53</v>
      </c>
      <c r="C8928" s="615">
        <v>53</v>
      </c>
      <c r="D8928" s="691">
        <v>53.6</v>
      </c>
      <c r="E8928" s="691">
        <v>52.9</v>
      </c>
      <c r="F8928" s="691">
        <v>53.8</v>
      </c>
      <c r="G8928" s="691">
        <v>52.9</v>
      </c>
      <c r="H8928" s="691">
        <v>54.6</v>
      </c>
      <c r="I8928" s="691">
        <v>53.6</v>
      </c>
      <c r="J8928" s="691">
        <v>54.7</v>
      </c>
      <c r="K8928" s="691">
        <v>55.4</v>
      </c>
    </row>
    <row r="8929" spans="1:11">
      <c r="A8929" s="688" t="s">
        <v>18</v>
      </c>
      <c r="B8929" s="689">
        <v>52.5</v>
      </c>
      <c r="C8929" s="689">
        <v>52.7</v>
      </c>
      <c r="D8929" s="693">
        <v>53</v>
      </c>
      <c r="E8929" s="689">
        <v>53.2</v>
      </c>
      <c r="F8929" s="689">
        <v>53.6</v>
      </c>
      <c r="G8929" s="689">
        <v>53.6</v>
      </c>
      <c r="H8929" s="689">
        <v>53.9</v>
      </c>
      <c r="I8929" s="689">
        <v>54.1</v>
      </c>
      <c r="J8929" s="689">
        <v>54.2</v>
      </c>
      <c r="K8929" s="689">
        <v>53.5</v>
      </c>
    </row>
    <row r="8930" spans="1:11">
      <c r="A8930" s="688" t="s">
        <v>24</v>
      </c>
      <c r="B8930" s="691">
        <v>53.5</v>
      </c>
      <c r="C8930" s="691">
        <v>53.7</v>
      </c>
      <c r="D8930" s="691">
        <v>53.5</v>
      </c>
      <c r="E8930" s="691">
        <v>54.1</v>
      </c>
      <c r="F8930" s="691">
        <v>54.1</v>
      </c>
      <c r="G8930" s="691">
        <v>54.3</v>
      </c>
      <c r="H8930" s="691">
        <v>54.6</v>
      </c>
      <c r="I8930" s="691">
        <v>53.7</v>
      </c>
      <c r="J8930" s="691">
        <v>54.3</v>
      </c>
      <c r="K8930" s="691">
        <v>54.3</v>
      </c>
    </row>
    <row r="8931" spans="1:11">
      <c r="A8931" s="688" t="s">
        <v>4059</v>
      </c>
      <c r="B8931" s="693">
        <v>52</v>
      </c>
      <c r="C8931" s="689">
        <v>52.3</v>
      </c>
      <c r="D8931" s="693">
        <v>52</v>
      </c>
      <c r="E8931" s="689">
        <v>52.2</v>
      </c>
      <c r="F8931" s="689">
        <v>52.2</v>
      </c>
      <c r="G8931" s="689">
        <v>52.2</v>
      </c>
      <c r="H8931" s="690" t="s">
        <v>4060</v>
      </c>
      <c r="I8931" s="690" t="s">
        <v>4060</v>
      </c>
      <c r="J8931" s="690" t="s">
        <v>4060</v>
      </c>
      <c r="K8931" s="690" t="s">
        <v>4060</v>
      </c>
    </row>
    <row r="8932" spans="1:11">
      <c r="A8932" s="688" t="s">
        <v>2324</v>
      </c>
      <c r="B8932" s="615">
        <v>47</v>
      </c>
      <c r="C8932" s="615">
        <v>47</v>
      </c>
      <c r="D8932" s="691">
        <v>47.1</v>
      </c>
      <c r="E8932" s="691">
        <v>46.8</v>
      </c>
      <c r="F8932" s="691">
        <v>46.6</v>
      </c>
      <c r="G8932" s="691">
        <v>47.2</v>
      </c>
      <c r="H8932" s="691">
        <v>46.8</v>
      </c>
      <c r="I8932" s="691">
        <v>45.9</v>
      </c>
      <c r="J8932" s="691">
        <v>43.3</v>
      </c>
      <c r="K8932" s="692" t="s">
        <v>4060</v>
      </c>
    </row>
    <row r="8933" spans="1:11">
      <c r="A8933" s="688" t="s">
        <v>2322</v>
      </c>
      <c r="B8933" s="690" t="s">
        <v>4060</v>
      </c>
      <c r="C8933" s="690" t="s">
        <v>4060</v>
      </c>
      <c r="D8933" s="690" t="s">
        <v>4060</v>
      </c>
      <c r="E8933" s="690" t="s">
        <v>4060</v>
      </c>
      <c r="F8933" s="690" t="s">
        <v>4060</v>
      </c>
      <c r="G8933" s="690" t="s">
        <v>4060</v>
      </c>
      <c r="H8933" s="690" t="s">
        <v>4060</v>
      </c>
      <c r="I8933" s="690" t="s">
        <v>4060</v>
      </c>
      <c r="J8933" s="690" t="s">
        <v>4060</v>
      </c>
      <c r="K8933" s="690" t="s">
        <v>4060</v>
      </c>
    </row>
    <row r="8934" spans="1:11">
      <c r="A8934" s="688" t="s">
        <v>2328</v>
      </c>
      <c r="B8934" s="691">
        <v>46.7</v>
      </c>
      <c r="C8934" s="691">
        <v>46.8</v>
      </c>
      <c r="D8934" s="691">
        <v>46.8</v>
      </c>
      <c r="E8934" s="691">
        <v>46.8</v>
      </c>
      <c r="F8934" s="691">
        <v>47.3</v>
      </c>
      <c r="G8934" s="691">
        <v>47.6</v>
      </c>
      <c r="H8934" s="691">
        <v>47.6</v>
      </c>
      <c r="I8934" s="615">
        <v>45</v>
      </c>
      <c r="J8934" s="615">
        <v>44</v>
      </c>
      <c r="K8934" s="692" t="s">
        <v>4060</v>
      </c>
    </row>
    <row r="8935" spans="1:11">
      <c r="A8935" s="688" t="s">
        <v>2496</v>
      </c>
      <c r="B8935" s="690" t="s">
        <v>4060</v>
      </c>
      <c r="C8935" s="689">
        <v>43.6</v>
      </c>
      <c r="D8935" s="689">
        <v>42.4</v>
      </c>
      <c r="E8935" s="693">
        <v>42</v>
      </c>
      <c r="F8935" s="689">
        <v>42.9</v>
      </c>
      <c r="G8935" s="689">
        <v>43.2</v>
      </c>
      <c r="H8935" s="689">
        <v>43.3</v>
      </c>
      <c r="I8935" s="690" t="s">
        <v>4060</v>
      </c>
      <c r="J8935" s="690" t="s">
        <v>4060</v>
      </c>
      <c r="K8935" s="689">
        <v>42.7</v>
      </c>
    </row>
    <row r="8936" spans="1:11">
      <c r="A8936" s="688" t="s">
        <v>2269</v>
      </c>
      <c r="B8936" s="691">
        <v>49.6</v>
      </c>
      <c r="C8936" s="691">
        <v>49.7</v>
      </c>
      <c r="D8936" s="691">
        <v>49.6</v>
      </c>
      <c r="E8936" s="691">
        <v>50.3</v>
      </c>
      <c r="F8936" s="691">
        <v>50.4</v>
      </c>
      <c r="G8936" s="691">
        <v>50.7</v>
      </c>
      <c r="H8936" s="615">
        <v>51</v>
      </c>
      <c r="I8936" s="691">
        <v>48.5</v>
      </c>
      <c r="J8936" s="691">
        <v>46.8</v>
      </c>
      <c r="K8936" s="691">
        <v>50.5</v>
      </c>
    </row>
    <row r="8937" spans="1:11">
      <c r="A8937" s="688" t="s">
        <v>2349</v>
      </c>
      <c r="B8937" s="689">
        <v>45.7</v>
      </c>
      <c r="C8937" s="689">
        <v>45.8</v>
      </c>
      <c r="D8937" s="689">
        <v>45.7</v>
      </c>
      <c r="E8937" s="689">
        <v>46.2</v>
      </c>
      <c r="F8937" s="689">
        <v>46.1</v>
      </c>
      <c r="G8937" s="689">
        <v>46.4</v>
      </c>
      <c r="H8937" s="689">
        <v>46.3</v>
      </c>
      <c r="I8937" s="689">
        <v>44.5</v>
      </c>
      <c r="J8937" s="693">
        <v>43</v>
      </c>
      <c r="K8937" s="689">
        <v>45.6</v>
      </c>
    </row>
    <row r="8938" spans="1:11">
      <c r="A8938" s="688" t="s">
        <v>2355</v>
      </c>
      <c r="B8938" s="691">
        <v>49.2</v>
      </c>
      <c r="C8938" s="691">
        <v>49.2</v>
      </c>
      <c r="D8938" s="691">
        <v>49.2</v>
      </c>
      <c r="E8938" s="691">
        <v>49.1</v>
      </c>
      <c r="F8938" s="691">
        <v>49.4</v>
      </c>
      <c r="G8938" s="691">
        <v>49.8</v>
      </c>
      <c r="H8938" s="691">
        <v>49.9</v>
      </c>
      <c r="I8938" s="692" t="s">
        <v>4060</v>
      </c>
      <c r="J8938" s="692" t="s">
        <v>4060</v>
      </c>
      <c r="K8938" s="692" t="s">
        <v>4060</v>
      </c>
    </row>
    <row r="8939" spans="1:11">
      <c r="A8939" s="688" t="s">
        <v>2357</v>
      </c>
      <c r="B8939" s="690" t="s">
        <v>4060</v>
      </c>
      <c r="C8939" s="689">
        <v>40.299999999999997</v>
      </c>
      <c r="D8939" s="689">
        <v>41.1</v>
      </c>
      <c r="E8939" s="689">
        <v>41.4</v>
      </c>
      <c r="F8939" s="689">
        <v>41.7</v>
      </c>
      <c r="G8939" s="689">
        <v>41.4</v>
      </c>
      <c r="H8939" s="689">
        <v>41.7</v>
      </c>
      <c r="I8939" s="690" t="s">
        <v>4060</v>
      </c>
      <c r="J8939" s="690" t="s">
        <v>4060</v>
      </c>
      <c r="K8939" s="690" t="s">
        <v>4060</v>
      </c>
    </row>
    <row r="8940" spans="1:11">
      <c r="A8940" s="688" t="s">
        <v>4070</v>
      </c>
      <c r="B8940" s="692" t="s">
        <v>4060</v>
      </c>
      <c r="C8940" s="692" t="s">
        <v>4060</v>
      </c>
      <c r="D8940" s="692" t="s">
        <v>4060</v>
      </c>
      <c r="E8940" s="691">
        <v>48.8</v>
      </c>
      <c r="F8940" s="692" t="s">
        <v>4060</v>
      </c>
      <c r="G8940" s="692" t="s">
        <v>4060</v>
      </c>
      <c r="H8940" s="692" t="s">
        <v>4060</v>
      </c>
      <c r="I8940" s="692" t="s">
        <v>4060</v>
      </c>
      <c r="J8940" s="692" t="s">
        <v>4060</v>
      </c>
      <c r="K8940" s="692" t="s">
        <v>4060</v>
      </c>
    </row>
    <row r="8941" spans="1:11">
      <c r="A8941" s="688" t="s">
        <v>2491</v>
      </c>
      <c r="B8941" s="689">
        <v>40.4</v>
      </c>
      <c r="C8941" s="693">
        <v>41</v>
      </c>
      <c r="D8941" s="689">
        <v>41.6</v>
      </c>
      <c r="E8941" s="689">
        <v>41.9</v>
      </c>
      <c r="F8941" s="689">
        <v>42.1</v>
      </c>
      <c r="G8941" s="689">
        <v>42.1</v>
      </c>
      <c r="H8941" s="690" t="s">
        <v>4060</v>
      </c>
      <c r="I8941" s="690" t="s">
        <v>4060</v>
      </c>
      <c r="J8941" s="690" t="s">
        <v>4060</v>
      </c>
      <c r="K8941" s="690" t="s">
        <v>4060</v>
      </c>
    </row>
    <row r="8942" spans="1:11">
      <c r="A8942" s="688" t="s">
        <v>2343</v>
      </c>
      <c r="B8942" s="692" t="s">
        <v>4060</v>
      </c>
      <c r="C8942" s="692" t="s">
        <v>4060</v>
      </c>
      <c r="D8942" s="692" t="s">
        <v>4060</v>
      </c>
      <c r="E8942" s="692" t="s">
        <v>4060</v>
      </c>
      <c r="F8942" s="692" t="s">
        <v>4060</v>
      </c>
      <c r="G8942" s="692" t="s">
        <v>4060</v>
      </c>
      <c r="H8942" s="692" t="s">
        <v>4060</v>
      </c>
      <c r="I8942" s="692" t="s">
        <v>4060</v>
      </c>
      <c r="J8942" s="692" t="s">
        <v>4060</v>
      </c>
      <c r="K8942" s="692" t="s">
        <v>4060</v>
      </c>
    </row>
    <row r="8943" spans="1:11">
      <c r="A8943" s="688" t="s">
        <v>4071</v>
      </c>
      <c r="B8943" s="690" t="s">
        <v>4060</v>
      </c>
      <c r="C8943" s="690" t="s">
        <v>4060</v>
      </c>
      <c r="D8943" s="690" t="s">
        <v>4060</v>
      </c>
      <c r="E8943" s="690" t="s">
        <v>4060</v>
      </c>
      <c r="F8943" s="690" t="s">
        <v>4060</v>
      </c>
      <c r="G8943" s="690" t="s">
        <v>4060</v>
      </c>
      <c r="H8943" s="690" t="s">
        <v>4060</v>
      </c>
      <c r="I8943" s="690" t="s">
        <v>4060</v>
      </c>
      <c r="J8943" s="690" t="s">
        <v>4060</v>
      </c>
      <c r="K8943" s="690" t="s">
        <v>4060</v>
      </c>
    </row>
    <row r="8944" spans="1:11">
      <c r="A8944" s="688" t="s">
        <v>2489</v>
      </c>
      <c r="B8944" s="692" t="s">
        <v>4060</v>
      </c>
      <c r="C8944" s="692" t="s">
        <v>4060</v>
      </c>
      <c r="D8944" s="691">
        <v>45.2</v>
      </c>
      <c r="E8944" s="691">
        <v>45.2</v>
      </c>
      <c r="F8944" s="691">
        <v>45.8</v>
      </c>
      <c r="G8944" s="691">
        <v>46.6</v>
      </c>
      <c r="H8944" s="691">
        <v>46.2</v>
      </c>
      <c r="I8944" s="692" t="s">
        <v>4060</v>
      </c>
      <c r="J8944" s="692" t="s">
        <v>4060</v>
      </c>
      <c r="K8944" s="692" t="s">
        <v>4060</v>
      </c>
    </row>
    <row r="8945" spans="1:11">
      <c r="A8945" s="688" t="s">
        <v>2490</v>
      </c>
      <c r="B8945" s="689">
        <v>45.8</v>
      </c>
      <c r="C8945" s="693">
        <v>46</v>
      </c>
      <c r="D8945" s="689">
        <v>46.7</v>
      </c>
      <c r="E8945" s="690" t="s">
        <v>4060</v>
      </c>
      <c r="F8945" s="693">
        <v>47</v>
      </c>
      <c r="G8945" s="689">
        <v>47.2</v>
      </c>
      <c r="H8945" s="689">
        <v>48.1</v>
      </c>
      <c r="I8945" s="690" t="s">
        <v>4060</v>
      </c>
      <c r="J8945" s="690" t="s">
        <v>4060</v>
      </c>
      <c r="K8945" s="690" t="s">
        <v>4060</v>
      </c>
    </row>
    <row r="8947" spans="1:11">
      <c r="A8947" s="683" t="s">
        <v>4233</v>
      </c>
    </row>
    <row r="8948" spans="1:11">
      <c r="A8948" s="683" t="s">
        <v>4060</v>
      </c>
      <c r="B8948" s="682" t="s">
        <v>4234</v>
      </c>
    </row>
    <row r="8950" spans="1:11">
      <c r="A8950" s="682" t="s">
        <v>4331</v>
      </c>
    </row>
    <row r="8951" spans="1:11">
      <c r="A8951" s="682" t="s">
        <v>4210</v>
      </c>
      <c r="B8951" s="683" t="s">
        <v>4211</v>
      </c>
    </row>
    <row r="8952" spans="1:11">
      <c r="A8952" s="682" t="s">
        <v>4212</v>
      </c>
      <c r="B8952" s="682" t="s">
        <v>4213</v>
      </c>
    </row>
    <row r="8954" spans="1:11">
      <c r="A8954" s="683" t="s">
        <v>4214</v>
      </c>
      <c r="C8954" s="682" t="s">
        <v>4215</v>
      </c>
    </row>
    <row r="8955" spans="1:11">
      <c r="A8955" s="683" t="s">
        <v>4216</v>
      </c>
      <c r="C8955" s="682" t="s">
        <v>2967</v>
      </c>
    </row>
    <row r="8956" spans="1:11">
      <c r="A8956" s="683" t="s">
        <v>3893</v>
      </c>
      <c r="C8956" s="682" t="s">
        <v>2168</v>
      </c>
    </row>
    <row r="8957" spans="1:11">
      <c r="A8957" s="683" t="s">
        <v>4218</v>
      </c>
      <c r="C8957" s="682" t="s">
        <v>4264</v>
      </c>
    </row>
    <row r="8959" spans="1:11">
      <c r="A8959" s="684" t="s">
        <v>4220</v>
      </c>
      <c r="B8959" s="685" t="s">
        <v>4221</v>
      </c>
      <c r="C8959" s="685" t="s">
        <v>4222</v>
      </c>
      <c r="D8959" s="685" t="s">
        <v>4223</v>
      </c>
      <c r="E8959" s="685" t="s">
        <v>4224</v>
      </c>
      <c r="F8959" s="685" t="s">
        <v>4225</v>
      </c>
      <c r="G8959" s="685" t="s">
        <v>4226</v>
      </c>
      <c r="H8959" s="685" t="s">
        <v>4227</v>
      </c>
      <c r="I8959" s="685" t="s">
        <v>4228</v>
      </c>
      <c r="J8959" s="685" t="s">
        <v>4229</v>
      </c>
      <c r="K8959" s="685" t="s">
        <v>4230</v>
      </c>
    </row>
    <row r="8960" spans="1:11">
      <c r="A8960" s="686" t="s">
        <v>4231</v>
      </c>
      <c r="B8960" s="687" t="s">
        <v>4232</v>
      </c>
      <c r="C8960" s="687" t="s">
        <v>4232</v>
      </c>
      <c r="D8960" s="687" t="s">
        <v>4232</v>
      </c>
      <c r="E8960" s="687" t="s">
        <v>4232</v>
      </c>
      <c r="F8960" s="687" t="s">
        <v>4232</v>
      </c>
      <c r="G8960" s="687" t="s">
        <v>4232</v>
      </c>
      <c r="H8960" s="687" t="s">
        <v>4232</v>
      </c>
      <c r="I8960" s="687" t="s">
        <v>4232</v>
      </c>
      <c r="J8960" s="687" t="s">
        <v>4232</v>
      </c>
      <c r="K8960" s="687" t="s">
        <v>4232</v>
      </c>
    </row>
    <row r="8961" spans="1:11">
      <c r="A8961" s="688" t="s">
        <v>4064</v>
      </c>
      <c r="B8961" s="689">
        <v>49.4</v>
      </c>
      <c r="C8961" s="689">
        <v>49.5</v>
      </c>
      <c r="D8961" s="689">
        <v>49.5</v>
      </c>
      <c r="E8961" s="689">
        <v>49.7</v>
      </c>
      <c r="F8961" s="689">
        <v>49.7</v>
      </c>
      <c r="G8961" s="689">
        <v>49.8</v>
      </c>
      <c r="H8961" s="689">
        <v>50.1</v>
      </c>
      <c r="I8961" s="689">
        <v>49.2</v>
      </c>
      <c r="J8961" s="689">
        <v>48.9</v>
      </c>
      <c r="K8961" s="689">
        <v>49.6</v>
      </c>
    </row>
    <row r="8962" spans="1:11">
      <c r="A8962" s="688" t="s">
        <v>4065</v>
      </c>
      <c r="B8962" s="691">
        <v>49.6</v>
      </c>
      <c r="C8962" s="691">
        <v>49.9</v>
      </c>
      <c r="D8962" s="691">
        <v>49.7</v>
      </c>
      <c r="E8962" s="615">
        <v>50</v>
      </c>
      <c r="F8962" s="691">
        <v>50.1</v>
      </c>
      <c r="G8962" s="691">
        <v>50.1</v>
      </c>
      <c r="H8962" s="692" t="s">
        <v>4060</v>
      </c>
      <c r="I8962" s="692" t="s">
        <v>4060</v>
      </c>
      <c r="J8962" s="692" t="s">
        <v>4060</v>
      </c>
      <c r="K8962" s="692" t="s">
        <v>4060</v>
      </c>
    </row>
    <row r="8963" spans="1:11">
      <c r="A8963" s="688" t="s">
        <v>4063</v>
      </c>
      <c r="B8963" s="689">
        <v>49.6</v>
      </c>
      <c r="C8963" s="693">
        <v>50</v>
      </c>
      <c r="D8963" s="689">
        <v>49.7</v>
      </c>
      <c r="E8963" s="689">
        <v>50.1</v>
      </c>
      <c r="F8963" s="689">
        <v>50.1</v>
      </c>
      <c r="G8963" s="689">
        <v>50.2</v>
      </c>
      <c r="H8963" s="690" t="s">
        <v>4060</v>
      </c>
      <c r="I8963" s="690" t="s">
        <v>4060</v>
      </c>
      <c r="J8963" s="690" t="s">
        <v>4060</v>
      </c>
      <c r="K8963" s="690" t="s">
        <v>4060</v>
      </c>
    </row>
    <row r="8964" spans="1:11">
      <c r="A8964" s="688" t="s">
        <v>4069</v>
      </c>
      <c r="B8964" s="692" t="s">
        <v>4060</v>
      </c>
      <c r="C8964" s="691">
        <v>50.7</v>
      </c>
      <c r="D8964" s="691">
        <v>50.5</v>
      </c>
      <c r="E8964" s="691">
        <v>50.8</v>
      </c>
      <c r="F8964" s="691">
        <v>50.9</v>
      </c>
      <c r="G8964" s="615">
        <v>51</v>
      </c>
      <c r="H8964" s="691">
        <v>51.3</v>
      </c>
      <c r="I8964" s="691">
        <v>50.5</v>
      </c>
      <c r="J8964" s="691">
        <v>50.5</v>
      </c>
      <c r="K8964" s="691">
        <v>50.8</v>
      </c>
    </row>
    <row r="8965" spans="1:11">
      <c r="A8965" s="688" t="s">
        <v>4068</v>
      </c>
      <c r="B8965" s="689">
        <v>50.6</v>
      </c>
      <c r="C8965" s="690" t="s">
        <v>4060</v>
      </c>
      <c r="D8965" s="690" t="s">
        <v>4060</v>
      </c>
      <c r="E8965" s="690" t="s">
        <v>4060</v>
      </c>
      <c r="F8965" s="690" t="s">
        <v>4060</v>
      </c>
      <c r="G8965" s="690" t="s">
        <v>4060</v>
      </c>
      <c r="H8965" s="690" t="s">
        <v>4060</v>
      </c>
      <c r="I8965" s="690" t="s">
        <v>4060</v>
      </c>
      <c r="J8965" s="690" t="s">
        <v>4060</v>
      </c>
      <c r="K8965" s="690" t="s">
        <v>4060</v>
      </c>
    </row>
    <row r="8966" spans="1:11">
      <c r="A8966" s="688" t="s">
        <v>0</v>
      </c>
      <c r="B8966" s="691">
        <v>49.9</v>
      </c>
      <c r="C8966" s="691">
        <v>50.4</v>
      </c>
      <c r="D8966" s="691">
        <v>50.3</v>
      </c>
      <c r="E8966" s="691">
        <v>50.6</v>
      </c>
      <c r="F8966" s="691">
        <v>50.8</v>
      </c>
      <c r="G8966" s="615">
        <v>51</v>
      </c>
      <c r="H8966" s="691">
        <v>51.4</v>
      </c>
      <c r="I8966" s="691">
        <v>50.2</v>
      </c>
      <c r="J8966" s="615">
        <v>51</v>
      </c>
      <c r="K8966" s="691">
        <v>51.3</v>
      </c>
    </row>
    <row r="8967" spans="1:11">
      <c r="A8967" s="688" t="s">
        <v>1</v>
      </c>
      <c r="B8967" s="689">
        <v>43.8</v>
      </c>
      <c r="C8967" s="689">
        <v>43.4</v>
      </c>
      <c r="D8967" s="689">
        <v>43.4</v>
      </c>
      <c r="E8967" s="689">
        <v>43.5</v>
      </c>
      <c r="F8967" s="689">
        <v>43.5</v>
      </c>
      <c r="G8967" s="689">
        <v>43.5</v>
      </c>
      <c r="H8967" s="689">
        <v>43.5</v>
      </c>
      <c r="I8967" s="689">
        <v>41.7</v>
      </c>
      <c r="J8967" s="693">
        <v>40</v>
      </c>
      <c r="K8967" s="689">
        <v>42.6</v>
      </c>
    </row>
    <row r="8968" spans="1:11">
      <c r="A8968" s="688" t="s">
        <v>2240</v>
      </c>
      <c r="B8968" s="691">
        <v>47.1</v>
      </c>
      <c r="C8968" s="691">
        <v>47.5</v>
      </c>
      <c r="D8968" s="691">
        <v>47.4</v>
      </c>
      <c r="E8968" s="691">
        <v>47.8</v>
      </c>
      <c r="F8968" s="691">
        <v>47.8</v>
      </c>
      <c r="G8968" s="691">
        <v>47.9</v>
      </c>
      <c r="H8968" s="691">
        <v>48.1</v>
      </c>
      <c r="I8968" s="615">
        <v>47</v>
      </c>
      <c r="J8968" s="691">
        <v>45.8</v>
      </c>
      <c r="K8968" s="691">
        <v>47.8</v>
      </c>
    </row>
    <row r="8969" spans="1:11">
      <c r="A8969" s="688" t="s">
        <v>2</v>
      </c>
      <c r="B8969" s="693">
        <v>50</v>
      </c>
      <c r="C8969" s="689">
        <v>50.3</v>
      </c>
      <c r="D8969" s="689">
        <v>50.4</v>
      </c>
      <c r="E8969" s="689">
        <v>50.6</v>
      </c>
      <c r="F8969" s="689">
        <v>50.8</v>
      </c>
      <c r="G8969" s="689">
        <v>50.7</v>
      </c>
      <c r="H8969" s="689">
        <v>51.1</v>
      </c>
      <c r="I8969" s="689">
        <v>51.3</v>
      </c>
      <c r="J8969" s="689">
        <v>51.2</v>
      </c>
      <c r="K8969" s="693">
        <v>51</v>
      </c>
    </row>
    <row r="8970" spans="1:11">
      <c r="A8970" s="688" t="s">
        <v>3</v>
      </c>
      <c r="B8970" s="691">
        <v>49.9</v>
      </c>
      <c r="C8970" s="691">
        <v>50.1</v>
      </c>
      <c r="D8970" s="691">
        <v>49.8</v>
      </c>
      <c r="E8970" s="691">
        <v>50.1</v>
      </c>
      <c r="F8970" s="691">
        <v>50.2</v>
      </c>
      <c r="G8970" s="691">
        <v>50.2</v>
      </c>
      <c r="H8970" s="691">
        <v>50.5</v>
      </c>
      <c r="I8970" s="691">
        <v>50.2</v>
      </c>
      <c r="J8970" s="691">
        <v>49.9</v>
      </c>
      <c r="K8970" s="691">
        <v>49.8</v>
      </c>
    </row>
    <row r="8971" spans="1:11">
      <c r="A8971" s="688" t="s">
        <v>4061</v>
      </c>
      <c r="B8971" s="689">
        <v>49.9</v>
      </c>
      <c r="C8971" s="689">
        <v>50.1</v>
      </c>
      <c r="D8971" s="689">
        <v>49.8</v>
      </c>
      <c r="E8971" s="689">
        <v>50.1</v>
      </c>
      <c r="F8971" s="689">
        <v>50.2</v>
      </c>
      <c r="G8971" s="689">
        <v>50.2</v>
      </c>
      <c r="H8971" s="689">
        <v>50.5</v>
      </c>
      <c r="I8971" s="689">
        <v>50.2</v>
      </c>
      <c r="J8971" s="689">
        <v>49.9</v>
      </c>
      <c r="K8971" s="689">
        <v>49.8</v>
      </c>
    </row>
    <row r="8972" spans="1:11">
      <c r="A8972" s="688" t="s">
        <v>4</v>
      </c>
      <c r="B8972" s="691">
        <v>44.7</v>
      </c>
      <c r="C8972" s="691">
        <v>44.5</v>
      </c>
      <c r="D8972" s="615">
        <v>45</v>
      </c>
      <c r="E8972" s="691">
        <v>45.1</v>
      </c>
      <c r="F8972" s="691">
        <v>45.5</v>
      </c>
      <c r="G8972" s="691">
        <v>45.7</v>
      </c>
      <c r="H8972" s="691">
        <v>46.2</v>
      </c>
      <c r="I8972" s="615">
        <v>46</v>
      </c>
      <c r="J8972" s="691">
        <v>44.6</v>
      </c>
      <c r="K8972" s="691">
        <v>45.4</v>
      </c>
    </row>
    <row r="8973" spans="1:11">
      <c r="A8973" s="688" t="s">
        <v>8</v>
      </c>
      <c r="B8973" s="689">
        <v>50.8</v>
      </c>
      <c r="C8973" s="689">
        <v>51.1</v>
      </c>
      <c r="D8973" s="689">
        <v>51.3</v>
      </c>
      <c r="E8973" s="689">
        <v>51.4</v>
      </c>
      <c r="F8973" s="689">
        <v>51.8</v>
      </c>
      <c r="G8973" s="689">
        <v>51.9</v>
      </c>
      <c r="H8973" s="689">
        <v>52.2</v>
      </c>
      <c r="I8973" s="689">
        <v>52.2</v>
      </c>
      <c r="J8973" s="689">
        <v>51.9</v>
      </c>
      <c r="K8973" s="689">
        <v>52.3</v>
      </c>
    </row>
    <row r="8974" spans="1:11">
      <c r="A8974" s="688" t="s">
        <v>7</v>
      </c>
      <c r="B8974" s="691">
        <v>50.6</v>
      </c>
      <c r="C8974" s="691">
        <v>50.1</v>
      </c>
      <c r="D8974" s="691">
        <v>49.8</v>
      </c>
      <c r="E8974" s="691">
        <v>50.2</v>
      </c>
      <c r="F8974" s="691">
        <v>50.2</v>
      </c>
      <c r="G8974" s="691">
        <v>50.6</v>
      </c>
      <c r="H8974" s="691">
        <v>50.5</v>
      </c>
      <c r="I8974" s="691">
        <v>50.3</v>
      </c>
      <c r="J8974" s="691">
        <v>49.1</v>
      </c>
      <c r="K8974" s="615">
        <v>50</v>
      </c>
    </row>
    <row r="8975" spans="1:11">
      <c r="A8975" s="688" t="s">
        <v>27</v>
      </c>
      <c r="B8975" s="689">
        <v>51.8</v>
      </c>
      <c r="C8975" s="689">
        <v>51.7</v>
      </c>
      <c r="D8975" s="689">
        <v>51.5</v>
      </c>
      <c r="E8975" s="689">
        <v>51.8</v>
      </c>
      <c r="F8975" s="689">
        <v>51.9</v>
      </c>
      <c r="G8975" s="693">
        <v>52</v>
      </c>
      <c r="H8975" s="689">
        <v>52.3</v>
      </c>
      <c r="I8975" s="693">
        <v>51</v>
      </c>
      <c r="J8975" s="689">
        <v>51.8</v>
      </c>
      <c r="K8975" s="693">
        <v>52</v>
      </c>
    </row>
    <row r="8976" spans="1:11">
      <c r="A8976" s="688" t="s">
        <v>6</v>
      </c>
      <c r="B8976" s="691">
        <v>50.9</v>
      </c>
      <c r="C8976" s="691">
        <v>51.1</v>
      </c>
      <c r="D8976" s="691">
        <v>50.9</v>
      </c>
      <c r="E8976" s="691">
        <v>51.1</v>
      </c>
      <c r="F8976" s="691">
        <v>51.3</v>
      </c>
      <c r="G8976" s="691">
        <v>51.4</v>
      </c>
      <c r="H8976" s="691">
        <v>51.6</v>
      </c>
      <c r="I8976" s="691">
        <v>50.9</v>
      </c>
      <c r="J8976" s="615">
        <v>51</v>
      </c>
      <c r="K8976" s="691">
        <v>51.2</v>
      </c>
    </row>
    <row r="8977" spans="1:11">
      <c r="A8977" s="688" t="s">
        <v>4058</v>
      </c>
      <c r="B8977" s="690" t="s">
        <v>4060</v>
      </c>
      <c r="C8977" s="690" t="s">
        <v>4060</v>
      </c>
      <c r="D8977" s="690" t="s">
        <v>4060</v>
      </c>
      <c r="E8977" s="690" t="s">
        <v>4060</v>
      </c>
      <c r="F8977" s="690" t="s">
        <v>4060</v>
      </c>
      <c r="G8977" s="690" t="s">
        <v>4060</v>
      </c>
      <c r="H8977" s="690" t="s">
        <v>4060</v>
      </c>
      <c r="I8977" s="690" t="s">
        <v>4060</v>
      </c>
      <c r="J8977" s="690" t="s">
        <v>4060</v>
      </c>
      <c r="K8977" s="690" t="s">
        <v>4060</v>
      </c>
    </row>
    <row r="8978" spans="1:11">
      <c r="A8978" s="688" t="s">
        <v>11</v>
      </c>
      <c r="B8978" s="691">
        <v>46.4</v>
      </c>
      <c r="C8978" s="691">
        <v>46.6</v>
      </c>
      <c r="D8978" s="691">
        <v>46.2</v>
      </c>
      <c r="E8978" s="691">
        <v>46.7</v>
      </c>
      <c r="F8978" s="691">
        <v>46.7</v>
      </c>
      <c r="G8978" s="691">
        <v>46.7</v>
      </c>
      <c r="H8978" s="691">
        <v>47.1</v>
      </c>
      <c r="I8978" s="691">
        <v>46.4</v>
      </c>
      <c r="J8978" s="691">
        <v>45.3</v>
      </c>
      <c r="K8978" s="691">
        <v>46.5</v>
      </c>
    </row>
    <row r="8979" spans="1:11">
      <c r="A8979" s="688" t="s">
        <v>10</v>
      </c>
      <c r="B8979" s="693">
        <v>52</v>
      </c>
      <c r="C8979" s="689">
        <v>52.1</v>
      </c>
      <c r="D8979" s="689">
        <v>51.8</v>
      </c>
      <c r="E8979" s="689">
        <v>52.3</v>
      </c>
      <c r="F8979" s="689">
        <v>52.2</v>
      </c>
      <c r="G8979" s="689">
        <v>52.6</v>
      </c>
      <c r="H8979" s="689">
        <v>52.8</v>
      </c>
      <c r="I8979" s="689">
        <v>51.5</v>
      </c>
      <c r="J8979" s="689">
        <v>51.9</v>
      </c>
      <c r="K8979" s="689">
        <v>52.2</v>
      </c>
    </row>
    <row r="8980" spans="1:11">
      <c r="A8980" s="688" t="s">
        <v>30</v>
      </c>
      <c r="B8980" s="691">
        <v>51.8</v>
      </c>
      <c r="C8980" s="691">
        <v>51.9</v>
      </c>
      <c r="D8980" s="691">
        <v>51.7</v>
      </c>
      <c r="E8980" s="691">
        <v>52.3</v>
      </c>
      <c r="F8980" s="615">
        <v>52</v>
      </c>
      <c r="G8980" s="691">
        <v>52.8</v>
      </c>
      <c r="H8980" s="691">
        <v>52.4</v>
      </c>
      <c r="I8980" s="691">
        <v>52.4</v>
      </c>
      <c r="J8980" s="691">
        <v>51.5</v>
      </c>
      <c r="K8980" s="691">
        <v>52.1</v>
      </c>
    </row>
    <row r="8981" spans="1:11">
      <c r="A8981" s="688" t="s">
        <v>12</v>
      </c>
      <c r="B8981" s="689">
        <v>41.5</v>
      </c>
      <c r="C8981" s="689">
        <v>41.4</v>
      </c>
      <c r="D8981" s="689">
        <v>41.9</v>
      </c>
      <c r="E8981" s="693">
        <v>42</v>
      </c>
      <c r="F8981" s="693">
        <v>42</v>
      </c>
      <c r="G8981" s="689">
        <v>42.1</v>
      </c>
      <c r="H8981" s="693">
        <v>43</v>
      </c>
      <c r="I8981" s="689">
        <v>42.6</v>
      </c>
      <c r="J8981" s="689">
        <v>40.299999999999997</v>
      </c>
      <c r="K8981" s="689">
        <v>41.4</v>
      </c>
    </row>
    <row r="8982" spans="1:11">
      <c r="A8982" s="688" t="s">
        <v>14</v>
      </c>
      <c r="B8982" s="615">
        <v>41</v>
      </c>
      <c r="C8982" s="691">
        <v>41.6</v>
      </c>
      <c r="D8982" s="691">
        <v>41.6</v>
      </c>
      <c r="E8982" s="691">
        <v>41.7</v>
      </c>
      <c r="F8982" s="691">
        <v>42.8</v>
      </c>
      <c r="G8982" s="615">
        <v>43</v>
      </c>
      <c r="H8982" s="691">
        <v>43.5</v>
      </c>
      <c r="I8982" s="691">
        <v>42.1</v>
      </c>
      <c r="J8982" s="691">
        <v>41.6</v>
      </c>
      <c r="K8982" s="691">
        <v>43.2</v>
      </c>
    </row>
    <row r="8983" spans="1:11">
      <c r="A8983" s="688" t="s">
        <v>15</v>
      </c>
      <c r="B8983" s="689">
        <v>51.6</v>
      </c>
      <c r="C8983" s="689">
        <v>50.7</v>
      </c>
      <c r="D8983" s="689">
        <v>51.6</v>
      </c>
      <c r="E8983" s="689">
        <v>51.5</v>
      </c>
      <c r="F8983" s="689">
        <v>51.4</v>
      </c>
      <c r="G8983" s="689">
        <v>51.5</v>
      </c>
      <c r="H8983" s="693">
        <v>52</v>
      </c>
      <c r="I8983" s="689">
        <v>51.5</v>
      </c>
      <c r="J8983" s="689">
        <v>51.9</v>
      </c>
      <c r="K8983" s="689">
        <v>52.5</v>
      </c>
    </row>
    <row r="8984" spans="1:11">
      <c r="A8984" s="688" t="s">
        <v>29</v>
      </c>
      <c r="B8984" s="691">
        <v>44.1</v>
      </c>
      <c r="C8984" s="691">
        <v>44.1</v>
      </c>
      <c r="D8984" s="691">
        <v>44.1</v>
      </c>
      <c r="E8984" s="691">
        <v>44.3</v>
      </c>
      <c r="F8984" s="691">
        <v>44.3</v>
      </c>
      <c r="G8984" s="691">
        <v>44.3</v>
      </c>
      <c r="H8984" s="691">
        <v>44.8</v>
      </c>
      <c r="I8984" s="615">
        <v>44</v>
      </c>
      <c r="J8984" s="691">
        <v>42.5</v>
      </c>
      <c r="K8984" s="691">
        <v>44.4</v>
      </c>
    </row>
    <row r="8985" spans="1:11">
      <c r="A8985" s="688" t="s">
        <v>16</v>
      </c>
      <c r="B8985" s="689">
        <v>51.5</v>
      </c>
      <c r="C8985" s="689">
        <v>51.3</v>
      </c>
      <c r="D8985" s="689">
        <v>51.6</v>
      </c>
      <c r="E8985" s="689">
        <v>52.3</v>
      </c>
      <c r="F8985" s="693">
        <v>52</v>
      </c>
      <c r="G8985" s="689">
        <v>51.9</v>
      </c>
      <c r="H8985" s="689">
        <v>52.5</v>
      </c>
      <c r="I8985" s="689">
        <v>51.5</v>
      </c>
      <c r="J8985" s="689">
        <v>51.9</v>
      </c>
      <c r="K8985" s="689">
        <v>52.1</v>
      </c>
    </row>
    <row r="8986" spans="1:11">
      <c r="A8986" s="688" t="s">
        <v>17</v>
      </c>
      <c r="B8986" s="691">
        <v>51.3</v>
      </c>
      <c r="C8986" s="691">
        <v>51.6</v>
      </c>
      <c r="D8986" s="691">
        <v>51.4</v>
      </c>
      <c r="E8986" s="691">
        <v>51.5</v>
      </c>
      <c r="F8986" s="691">
        <v>51.8</v>
      </c>
      <c r="G8986" s="691">
        <v>51.8</v>
      </c>
      <c r="H8986" s="691">
        <v>52.2</v>
      </c>
      <c r="I8986" s="691">
        <v>51.4</v>
      </c>
      <c r="J8986" s="691">
        <v>51.4</v>
      </c>
      <c r="K8986" s="691">
        <v>51.8</v>
      </c>
    </row>
    <row r="8987" spans="1:11">
      <c r="A8987" s="688" t="s">
        <v>19</v>
      </c>
      <c r="B8987" s="689">
        <v>50.4</v>
      </c>
      <c r="C8987" s="689">
        <v>50.7</v>
      </c>
      <c r="D8987" s="689">
        <v>50.4</v>
      </c>
      <c r="E8987" s="689">
        <v>50.9</v>
      </c>
      <c r="F8987" s="693">
        <v>51</v>
      </c>
      <c r="G8987" s="693">
        <v>51</v>
      </c>
      <c r="H8987" s="689">
        <v>51.3</v>
      </c>
      <c r="I8987" s="689">
        <v>50.6</v>
      </c>
      <c r="J8987" s="689">
        <v>50.5</v>
      </c>
      <c r="K8987" s="689">
        <v>50.7</v>
      </c>
    </row>
    <row r="8988" spans="1:11">
      <c r="A8988" s="688" t="s">
        <v>20</v>
      </c>
      <c r="B8988" s="691">
        <v>45.1</v>
      </c>
      <c r="C8988" s="691">
        <v>45.7</v>
      </c>
      <c r="D8988" s="691">
        <v>45.4</v>
      </c>
      <c r="E8988" s="691">
        <v>45.8</v>
      </c>
      <c r="F8988" s="691">
        <v>45.8</v>
      </c>
      <c r="G8988" s="691">
        <v>45.7</v>
      </c>
      <c r="H8988" s="615">
        <v>46</v>
      </c>
      <c r="I8988" s="691">
        <v>44.3</v>
      </c>
      <c r="J8988" s="691">
        <v>43.5</v>
      </c>
      <c r="K8988" s="691">
        <v>45.2</v>
      </c>
    </row>
    <row r="8989" spans="1:11">
      <c r="A8989" s="688" t="s">
        <v>21</v>
      </c>
      <c r="B8989" s="689">
        <v>49.4</v>
      </c>
      <c r="C8989" s="689">
        <v>49.8</v>
      </c>
      <c r="D8989" s="689">
        <v>49.9</v>
      </c>
      <c r="E8989" s="693">
        <v>50</v>
      </c>
      <c r="F8989" s="689">
        <v>50.3</v>
      </c>
      <c r="G8989" s="689">
        <v>50.2</v>
      </c>
      <c r="H8989" s="689">
        <v>50.7</v>
      </c>
      <c r="I8989" s="693">
        <v>50</v>
      </c>
      <c r="J8989" s="689">
        <v>50.1</v>
      </c>
      <c r="K8989" s="689">
        <v>50.5</v>
      </c>
    </row>
    <row r="8990" spans="1:11">
      <c r="A8990" s="688" t="s">
        <v>22</v>
      </c>
      <c r="B8990" s="691">
        <v>44.2</v>
      </c>
      <c r="C8990" s="691">
        <v>43.8</v>
      </c>
      <c r="D8990" s="691">
        <v>43.8</v>
      </c>
      <c r="E8990" s="691">
        <v>43.9</v>
      </c>
      <c r="F8990" s="691">
        <v>43.9</v>
      </c>
      <c r="G8990" s="691">
        <v>43.8</v>
      </c>
      <c r="H8990" s="691">
        <v>44.1</v>
      </c>
      <c r="I8990" s="691">
        <v>42.4</v>
      </c>
      <c r="J8990" s="691">
        <v>41.3</v>
      </c>
      <c r="K8990" s="691">
        <v>43.4</v>
      </c>
    </row>
    <row r="8991" spans="1:11">
      <c r="A8991" s="688" t="s">
        <v>26</v>
      </c>
      <c r="B8991" s="693">
        <v>49</v>
      </c>
      <c r="C8991" s="689">
        <v>49.6</v>
      </c>
      <c r="D8991" s="689">
        <v>49.3</v>
      </c>
      <c r="E8991" s="689">
        <v>49.8</v>
      </c>
      <c r="F8991" s="689">
        <v>49.7</v>
      </c>
      <c r="G8991" s="693">
        <v>50</v>
      </c>
      <c r="H8991" s="689">
        <v>50.2</v>
      </c>
      <c r="I8991" s="689">
        <v>49.4</v>
      </c>
      <c r="J8991" s="689">
        <v>49.2</v>
      </c>
      <c r="K8991" s="689">
        <v>50.1</v>
      </c>
    </row>
    <row r="8992" spans="1:11">
      <c r="A8992" s="688" t="s">
        <v>25</v>
      </c>
      <c r="B8992" s="615">
        <v>45</v>
      </c>
      <c r="C8992" s="691">
        <v>45.4</v>
      </c>
      <c r="D8992" s="691">
        <v>45.2</v>
      </c>
      <c r="E8992" s="691">
        <v>45.8</v>
      </c>
      <c r="F8992" s="691">
        <v>45.8</v>
      </c>
      <c r="G8992" s="691">
        <v>45.9</v>
      </c>
      <c r="H8992" s="691">
        <v>46.4</v>
      </c>
      <c r="I8992" s="691">
        <v>45.6</v>
      </c>
      <c r="J8992" s="691">
        <v>43.2</v>
      </c>
      <c r="K8992" s="691">
        <v>45.6</v>
      </c>
    </row>
    <row r="8993" spans="1:11">
      <c r="A8993" s="688" t="s">
        <v>5</v>
      </c>
      <c r="B8993" s="689">
        <v>49.8</v>
      </c>
      <c r="C8993" s="693">
        <v>50</v>
      </c>
      <c r="D8993" s="689">
        <v>50.2</v>
      </c>
      <c r="E8993" s="689">
        <v>50.2</v>
      </c>
      <c r="F8993" s="689">
        <v>50.5</v>
      </c>
      <c r="G8993" s="689">
        <v>50.7</v>
      </c>
      <c r="H8993" s="693">
        <v>51</v>
      </c>
      <c r="I8993" s="689">
        <v>50.9</v>
      </c>
      <c r="J8993" s="689">
        <v>50.9</v>
      </c>
      <c r="K8993" s="689">
        <v>50.4</v>
      </c>
    </row>
    <row r="8994" spans="1:11">
      <c r="A8994" s="688" t="s">
        <v>23</v>
      </c>
      <c r="B8994" s="691">
        <v>51.9</v>
      </c>
      <c r="C8994" s="691">
        <v>52.1</v>
      </c>
      <c r="D8994" s="691">
        <v>52.1</v>
      </c>
      <c r="E8994" s="691">
        <v>52.3</v>
      </c>
      <c r="F8994" s="691">
        <v>52.5</v>
      </c>
      <c r="G8994" s="691">
        <v>52.5</v>
      </c>
      <c r="H8994" s="615">
        <v>53</v>
      </c>
      <c r="I8994" s="691">
        <v>52.3</v>
      </c>
      <c r="J8994" s="691">
        <v>52.9</v>
      </c>
      <c r="K8994" s="615">
        <v>53</v>
      </c>
    </row>
    <row r="8995" spans="1:11">
      <c r="A8995" s="688" t="s">
        <v>4067</v>
      </c>
      <c r="B8995" s="689">
        <v>49.6</v>
      </c>
      <c r="C8995" s="689">
        <v>49.9</v>
      </c>
      <c r="D8995" s="689">
        <v>49.7</v>
      </c>
      <c r="E8995" s="693">
        <v>50</v>
      </c>
      <c r="F8995" s="689">
        <v>50.1</v>
      </c>
      <c r="G8995" s="689">
        <v>50.2</v>
      </c>
      <c r="H8995" s="690" t="s">
        <v>4060</v>
      </c>
      <c r="I8995" s="690" t="s">
        <v>4060</v>
      </c>
      <c r="J8995" s="690" t="s">
        <v>4060</v>
      </c>
      <c r="K8995" s="690" t="s">
        <v>4060</v>
      </c>
    </row>
    <row r="8996" spans="1:11">
      <c r="A8996" s="688" t="s">
        <v>4066</v>
      </c>
      <c r="B8996" s="691">
        <v>49.6</v>
      </c>
      <c r="C8996" s="615">
        <v>50</v>
      </c>
      <c r="D8996" s="691">
        <v>49.8</v>
      </c>
      <c r="E8996" s="691">
        <v>50.1</v>
      </c>
      <c r="F8996" s="691">
        <v>50.1</v>
      </c>
      <c r="G8996" s="691">
        <v>50.2</v>
      </c>
      <c r="H8996" s="692" t="s">
        <v>4060</v>
      </c>
      <c r="I8996" s="692" t="s">
        <v>4060</v>
      </c>
      <c r="J8996" s="692" t="s">
        <v>4060</v>
      </c>
      <c r="K8996" s="692" t="s">
        <v>4060</v>
      </c>
    </row>
    <row r="8997" spans="1:11">
      <c r="A8997" s="688" t="s">
        <v>4062</v>
      </c>
      <c r="B8997" s="689">
        <v>52.1</v>
      </c>
      <c r="C8997" s="689">
        <v>52.3</v>
      </c>
      <c r="D8997" s="689">
        <v>52.4</v>
      </c>
      <c r="E8997" s="689">
        <v>52.8</v>
      </c>
      <c r="F8997" s="689">
        <v>52.9</v>
      </c>
      <c r="G8997" s="689">
        <v>53.1</v>
      </c>
      <c r="H8997" s="689">
        <v>53.3</v>
      </c>
      <c r="I8997" s="689">
        <v>52.9</v>
      </c>
      <c r="J8997" s="689">
        <v>53.3</v>
      </c>
      <c r="K8997" s="693">
        <v>53</v>
      </c>
    </row>
    <row r="8998" spans="1:11">
      <c r="A8998" s="688" t="s">
        <v>9</v>
      </c>
      <c r="B8998" s="691">
        <v>52.1</v>
      </c>
      <c r="C8998" s="691">
        <v>52.6</v>
      </c>
      <c r="D8998" s="691">
        <v>52.9</v>
      </c>
      <c r="E8998" s="691">
        <v>52.1</v>
      </c>
      <c r="F8998" s="691">
        <v>52.5</v>
      </c>
      <c r="G8998" s="691">
        <v>52.9</v>
      </c>
      <c r="H8998" s="691">
        <v>52.9</v>
      </c>
      <c r="I8998" s="691">
        <v>53.2</v>
      </c>
      <c r="J8998" s="691">
        <v>53.5</v>
      </c>
      <c r="K8998" s="691">
        <v>52.3</v>
      </c>
    </row>
    <row r="8999" spans="1:11">
      <c r="A8999" s="688" t="s">
        <v>13</v>
      </c>
      <c r="B8999" s="693">
        <v>52</v>
      </c>
      <c r="C8999" s="693">
        <v>52</v>
      </c>
      <c r="D8999" s="689">
        <v>52.6</v>
      </c>
      <c r="E8999" s="689">
        <v>51.9</v>
      </c>
      <c r="F8999" s="689">
        <v>52.8</v>
      </c>
      <c r="G8999" s="689">
        <v>52.1</v>
      </c>
      <c r="H8999" s="689">
        <v>53.6</v>
      </c>
      <c r="I8999" s="689">
        <v>52.6</v>
      </c>
      <c r="J8999" s="689">
        <v>53.7</v>
      </c>
      <c r="K8999" s="689">
        <v>54.4</v>
      </c>
    </row>
    <row r="9000" spans="1:11">
      <c r="A9000" s="688" t="s">
        <v>18</v>
      </c>
      <c r="B9000" s="691">
        <v>51.5</v>
      </c>
      <c r="C9000" s="691">
        <v>51.7</v>
      </c>
      <c r="D9000" s="615">
        <v>52</v>
      </c>
      <c r="E9000" s="691">
        <v>52.2</v>
      </c>
      <c r="F9000" s="691">
        <v>52.6</v>
      </c>
      <c r="G9000" s="691">
        <v>52.7</v>
      </c>
      <c r="H9000" s="691">
        <v>52.9</v>
      </c>
      <c r="I9000" s="691">
        <v>53.1</v>
      </c>
      <c r="J9000" s="691">
        <v>53.2</v>
      </c>
      <c r="K9000" s="691">
        <v>52.6</v>
      </c>
    </row>
    <row r="9001" spans="1:11">
      <c r="A9001" s="688" t="s">
        <v>24</v>
      </c>
      <c r="B9001" s="689">
        <v>52.5</v>
      </c>
      <c r="C9001" s="689">
        <v>52.7</v>
      </c>
      <c r="D9001" s="689">
        <v>52.5</v>
      </c>
      <c r="E9001" s="689">
        <v>53.2</v>
      </c>
      <c r="F9001" s="689">
        <v>53.1</v>
      </c>
      <c r="G9001" s="689">
        <v>53.4</v>
      </c>
      <c r="H9001" s="689">
        <v>53.6</v>
      </c>
      <c r="I9001" s="689">
        <v>52.8</v>
      </c>
      <c r="J9001" s="689">
        <v>53.3</v>
      </c>
      <c r="K9001" s="689">
        <v>53.3</v>
      </c>
    </row>
    <row r="9002" spans="1:11">
      <c r="A9002" s="688" t="s">
        <v>4059</v>
      </c>
      <c r="B9002" s="615">
        <v>51</v>
      </c>
      <c r="C9002" s="691">
        <v>51.3</v>
      </c>
      <c r="D9002" s="691">
        <v>51.1</v>
      </c>
      <c r="E9002" s="691">
        <v>51.2</v>
      </c>
      <c r="F9002" s="691">
        <v>51.3</v>
      </c>
      <c r="G9002" s="691">
        <v>51.3</v>
      </c>
      <c r="H9002" s="692" t="s">
        <v>4060</v>
      </c>
      <c r="I9002" s="692" t="s">
        <v>4060</v>
      </c>
      <c r="J9002" s="692" t="s">
        <v>4060</v>
      </c>
      <c r="K9002" s="692" t="s">
        <v>4060</v>
      </c>
    </row>
    <row r="9003" spans="1:11">
      <c r="A9003" s="688" t="s">
        <v>2324</v>
      </c>
      <c r="B9003" s="693">
        <v>46</v>
      </c>
      <c r="C9003" s="689">
        <v>46.1</v>
      </c>
      <c r="D9003" s="689">
        <v>46.1</v>
      </c>
      <c r="E9003" s="689">
        <v>45.8</v>
      </c>
      <c r="F9003" s="689">
        <v>45.7</v>
      </c>
      <c r="G9003" s="689">
        <v>46.2</v>
      </c>
      <c r="H9003" s="689">
        <v>45.8</v>
      </c>
      <c r="I9003" s="689">
        <v>44.9</v>
      </c>
      <c r="J9003" s="689">
        <v>42.4</v>
      </c>
      <c r="K9003" s="690" t="s">
        <v>4060</v>
      </c>
    </row>
    <row r="9004" spans="1:11">
      <c r="A9004" s="688" t="s">
        <v>2322</v>
      </c>
      <c r="B9004" s="692" t="s">
        <v>4060</v>
      </c>
      <c r="C9004" s="692" t="s">
        <v>4060</v>
      </c>
      <c r="D9004" s="692" t="s">
        <v>4060</v>
      </c>
      <c r="E9004" s="692" t="s">
        <v>4060</v>
      </c>
      <c r="F9004" s="692" t="s">
        <v>4060</v>
      </c>
      <c r="G9004" s="692" t="s">
        <v>4060</v>
      </c>
      <c r="H9004" s="692" t="s">
        <v>4060</v>
      </c>
      <c r="I9004" s="692" t="s">
        <v>4060</v>
      </c>
      <c r="J9004" s="692" t="s">
        <v>4060</v>
      </c>
      <c r="K9004" s="692" t="s">
        <v>4060</v>
      </c>
    </row>
    <row r="9005" spans="1:11">
      <c r="A9005" s="688" t="s">
        <v>2328</v>
      </c>
      <c r="B9005" s="689">
        <v>45.8</v>
      </c>
      <c r="C9005" s="689">
        <v>45.8</v>
      </c>
      <c r="D9005" s="689">
        <v>45.8</v>
      </c>
      <c r="E9005" s="689">
        <v>45.8</v>
      </c>
      <c r="F9005" s="689">
        <v>46.3</v>
      </c>
      <c r="G9005" s="689">
        <v>46.6</v>
      </c>
      <c r="H9005" s="689">
        <v>46.6</v>
      </c>
      <c r="I9005" s="693">
        <v>44</v>
      </c>
      <c r="J9005" s="693">
        <v>43</v>
      </c>
      <c r="K9005" s="690" t="s">
        <v>4060</v>
      </c>
    </row>
    <row r="9006" spans="1:11">
      <c r="A9006" s="688" t="s">
        <v>2496</v>
      </c>
      <c r="B9006" s="692" t="s">
        <v>4060</v>
      </c>
      <c r="C9006" s="691">
        <v>42.6</v>
      </c>
      <c r="D9006" s="691">
        <v>41.5</v>
      </c>
      <c r="E9006" s="691">
        <v>41.1</v>
      </c>
      <c r="F9006" s="615">
        <v>42</v>
      </c>
      <c r="G9006" s="691">
        <v>42.3</v>
      </c>
      <c r="H9006" s="691">
        <v>42.3</v>
      </c>
      <c r="I9006" s="692" t="s">
        <v>4060</v>
      </c>
      <c r="J9006" s="692" t="s">
        <v>4060</v>
      </c>
      <c r="K9006" s="691">
        <v>41.8</v>
      </c>
    </row>
    <row r="9007" spans="1:11">
      <c r="A9007" s="688" t="s">
        <v>2269</v>
      </c>
      <c r="B9007" s="689">
        <v>48.6</v>
      </c>
      <c r="C9007" s="689">
        <v>48.8</v>
      </c>
      <c r="D9007" s="689">
        <v>48.6</v>
      </c>
      <c r="E9007" s="689">
        <v>49.3</v>
      </c>
      <c r="F9007" s="689">
        <v>49.4</v>
      </c>
      <c r="G9007" s="689">
        <v>49.7</v>
      </c>
      <c r="H9007" s="693">
        <v>50</v>
      </c>
      <c r="I9007" s="689">
        <v>47.5</v>
      </c>
      <c r="J9007" s="689">
        <v>45.8</v>
      </c>
      <c r="K9007" s="689">
        <v>49.5</v>
      </c>
    </row>
    <row r="9008" spans="1:11">
      <c r="A9008" s="688" t="s">
        <v>2349</v>
      </c>
      <c r="B9008" s="691">
        <v>44.7</v>
      </c>
      <c r="C9008" s="691">
        <v>44.9</v>
      </c>
      <c r="D9008" s="691">
        <v>44.8</v>
      </c>
      <c r="E9008" s="691">
        <v>45.2</v>
      </c>
      <c r="F9008" s="691">
        <v>45.1</v>
      </c>
      <c r="G9008" s="691">
        <v>45.4</v>
      </c>
      <c r="H9008" s="691">
        <v>45.3</v>
      </c>
      <c r="I9008" s="691">
        <v>43.5</v>
      </c>
      <c r="J9008" s="615">
        <v>42</v>
      </c>
      <c r="K9008" s="691">
        <v>44.6</v>
      </c>
    </row>
    <row r="9009" spans="1:11">
      <c r="A9009" s="688" t="s">
        <v>2355</v>
      </c>
      <c r="B9009" s="689">
        <v>48.3</v>
      </c>
      <c r="C9009" s="689">
        <v>48.3</v>
      </c>
      <c r="D9009" s="689">
        <v>48.2</v>
      </c>
      <c r="E9009" s="689">
        <v>48.2</v>
      </c>
      <c r="F9009" s="689">
        <v>48.4</v>
      </c>
      <c r="G9009" s="689">
        <v>48.8</v>
      </c>
      <c r="H9009" s="693">
        <v>49</v>
      </c>
      <c r="I9009" s="690" t="s">
        <v>4060</v>
      </c>
      <c r="J9009" s="690" t="s">
        <v>4060</v>
      </c>
      <c r="K9009" s="690" t="s">
        <v>4060</v>
      </c>
    </row>
    <row r="9010" spans="1:11">
      <c r="A9010" s="688" t="s">
        <v>2357</v>
      </c>
      <c r="B9010" s="692" t="s">
        <v>4060</v>
      </c>
      <c r="C9010" s="691">
        <v>39.5</v>
      </c>
      <c r="D9010" s="691">
        <v>40.200000000000003</v>
      </c>
      <c r="E9010" s="691">
        <v>40.5</v>
      </c>
      <c r="F9010" s="691">
        <v>40.799999999999997</v>
      </c>
      <c r="G9010" s="691">
        <v>40.5</v>
      </c>
      <c r="H9010" s="691">
        <v>40.799999999999997</v>
      </c>
      <c r="I9010" s="692" t="s">
        <v>4060</v>
      </c>
      <c r="J9010" s="692" t="s">
        <v>4060</v>
      </c>
      <c r="K9010" s="692" t="s">
        <v>4060</v>
      </c>
    </row>
    <row r="9011" spans="1:11">
      <c r="A9011" s="688" t="s">
        <v>4070</v>
      </c>
      <c r="B9011" s="690" t="s">
        <v>4060</v>
      </c>
      <c r="C9011" s="690" t="s">
        <v>4060</v>
      </c>
      <c r="D9011" s="690" t="s">
        <v>4060</v>
      </c>
      <c r="E9011" s="689">
        <v>47.8</v>
      </c>
      <c r="F9011" s="690" t="s">
        <v>4060</v>
      </c>
      <c r="G9011" s="690" t="s">
        <v>4060</v>
      </c>
      <c r="H9011" s="690" t="s">
        <v>4060</v>
      </c>
      <c r="I9011" s="690" t="s">
        <v>4060</v>
      </c>
      <c r="J9011" s="690" t="s">
        <v>4060</v>
      </c>
      <c r="K9011" s="690" t="s">
        <v>4060</v>
      </c>
    </row>
    <row r="9012" spans="1:11">
      <c r="A9012" s="688" t="s">
        <v>2491</v>
      </c>
      <c r="B9012" s="691">
        <v>39.5</v>
      </c>
      <c r="C9012" s="691">
        <v>40.1</v>
      </c>
      <c r="D9012" s="691">
        <v>40.6</v>
      </c>
      <c r="E9012" s="615">
        <v>41</v>
      </c>
      <c r="F9012" s="691">
        <v>41.2</v>
      </c>
      <c r="G9012" s="691">
        <v>41.1</v>
      </c>
      <c r="H9012" s="692" t="s">
        <v>4060</v>
      </c>
      <c r="I9012" s="692" t="s">
        <v>4060</v>
      </c>
      <c r="J9012" s="692" t="s">
        <v>4060</v>
      </c>
      <c r="K9012" s="692" t="s">
        <v>4060</v>
      </c>
    </row>
    <row r="9013" spans="1:11">
      <c r="A9013" s="688" t="s">
        <v>2343</v>
      </c>
      <c r="B9013" s="690" t="s">
        <v>4060</v>
      </c>
      <c r="C9013" s="690" t="s">
        <v>4060</v>
      </c>
      <c r="D9013" s="690" t="s">
        <v>4060</v>
      </c>
      <c r="E9013" s="690" t="s">
        <v>4060</v>
      </c>
      <c r="F9013" s="690" t="s">
        <v>4060</v>
      </c>
      <c r="G9013" s="690" t="s">
        <v>4060</v>
      </c>
      <c r="H9013" s="690" t="s">
        <v>4060</v>
      </c>
      <c r="I9013" s="690" t="s">
        <v>4060</v>
      </c>
      <c r="J9013" s="690" t="s">
        <v>4060</v>
      </c>
      <c r="K9013" s="690" t="s">
        <v>4060</v>
      </c>
    </row>
    <row r="9014" spans="1:11">
      <c r="A9014" s="688" t="s">
        <v>4071</v>
      </c>
      <c r="B9014" s="692" t="s">
        <v>4060</v>
      </c>
      <c r="C9014" s="692" t="s">
        <v>4060</v>
      </c>
      <c r="D9014" s="692" t="s">
        <v>4060</v>
      </c>
      <c r="E9014" s="692" t="s">
        <v>4060</v>
      </c>
      <c r="F9014" s="692" t="s">
        <v>4060</v>
      </c>
      <c r="G9014" s="692" t="s">
        <v>4060</v>
      </c>
      <c r="H9014" s="692" t="s">
        <v>4060</v>
      </c>
      <c r="I9014" s="692" t="s">
        <v>4060</v>
      </c>
      <c r="J9014" s="692" t="s">
        <v>4060</v>
      </c>
      <c r="K9014" s="692" t="s">
        <v>4060</v>
      </c>
    </row>
    <row r="9015" spans="1:11">
      <c r="A9015" s="688" t="s">
        <v>2489</v>
      </c>
      <c r="B9015" s="690" t="s">
        <v>4060</v>
      </c>
      <c r="C9015" s="690" t="s">
        <v>4060</v>
      </c>
      <c r="D9015" s="689">
        <v>44.2</v>
      </c>
      <c r="E9015" s="689">
        <v>44.2</v>
      </c>
      <c r="F9015" s="689">
        <v>44.8</v>
      </c>
      <c r="G9015" s="689">
        <v>45.6</v>
      </c>
      <c r="H9015" s="689">
        <v>45.3</v>
      </c>
      <c r="I9015" s="690" t="s">
        <v>4060</v>
      </c>
      <c r="J9015" s="690" t="s">
        <v>4060</v>
      </c>
      <c r="K9015" s="690" t="s">
        <v>4060</v>
      </c>
    </row>
    <row r="9016" spans="1:11">
      <c r="A9016" s="688" t="s">
        <v>2490</v>
      </c>
      <c r="B9016" s="691">
        <v>44.9</v>
      </c>
      <c r="C9016" s="615">
        <v>45</v>
      </c>
      <c r="D9016" s="691">
        <v>45.8</v>
      </c>
      <c r="E9016" s="692" t="s">
        <v>4060</v>
      </c>
      <c r="F9016" s="615">
        <v>46</v>
      </c>
      <c r="G9016" s="691">
        <v>46.3</v>
      </c>
      <c r="H9016" s="691">
        <v>47.2</v>
      </c>
      <c r="I9016" s="692" t="s">
        <v>4060</v>
      </c>
      <c r="J9016" s="692" t="s">
        <v>4060</v>
      </c>
      <c r="K9016" s="692" t="s">
        <v>4060</v>
      </c>
    </row>
    <row r="9018" spans="1:11">
      <c r="A9018" s="683" t="s">
        <v>4233</v>
      </c>
    </row>
    <row r="9019" spans="1:11">
      <c r="A9019" s="683" t="s">
        <v>4060</v>
      </c>
      <c r="B9019" s="682" t="s">
        <v>4234</v>
      </c>
    </row>
    <row r="9021" spans="1:11">
      <c r="A9021" s="682" t="s">
        <v>4331</v>
      </c>
    </row>
    <row r="9022" spans="1:11">
      <c r="A9022" s="682" t="s">
        <v>4210</v>
      </c>
      <c r="B9022" s="683" t="s">
        <v>4211</v>
      </c>
    </row>
    <row r="9023" spans="1:11">
      <c r="A9023" s="682" t="s">
        <v>4212</v>
      </c>
      <c r="B9023" s="682" t="s">
        <v>4213</v>
      </c>
    </row>
    <row r="9025" spans="1:11">
      <c r="A9025" s="683" t="s">
        <v>4214</v>
      </c>
      <c r="C9025" s="682" t="s">
        <v>4215</v>
      </c>
    </row>
    <row r="9026" spans="1:11">
      <c r="A9026" s="683" t="s">
        <v>4216</v>
      </c>
      <c r="C9026" s="682" t="s">
        <v>2967</v>
      </c>
    </row>
    <row r="9027" spans="1:11">
      <c r="A9027" s="683" t="s">
        <v>3893</v>
      </c>
      <c r="C9027" s="682" t="s">
        <v>2168</v>
      </c>
    </row>
    <row r="9028" spans="1:11">
      <c r="A9028" s="683" t="s">
        <v>4218</v>
      </c>
      <c r="C9028" s="682" t="s">
        <v>4265</v>
      </c>
    </row>
    <row r="9030" spans="1:11">
      <c r="A9030" s="684" t="s">
        <v>4220</v>
      </c>
      <c r="B9030" s="685" t="s">
        <v>4221</v>
      </c>
      <c r="C9030" s="685" t="s">
        <v>4222</v>
      </c>
      <c r="D9030" s="685" t="s">
        <v>4223</v>
      </c>
      <c r="E9030" s="685" t="s">
        <v>4224</v>
      </c>
      <c r="F9030" s="685" t="s">
        <v>4225</v>
      </c>
      <c r="G9030" s="685" t="s">
        <v>4226</v>
      </c>
      <c r="H9030" s="685" t="s">
        <v>4227</v>
      </c>
      <c r="I9030" s="685" t="s">
        <v>4228</v>
      </c>
      <c r="J9030" s="685" t="s">
        <v>4229</v>
      </c>
      <c r="K9030" s="685" t="s">
        <v>4230</v>
      </c>
    </row>
    <row r="9031" spans="1:11">
      <c r="A9031" s="686" t="s">
        <v>4231</v>
      </c>
      <c r="B9031" s="687" t="s">
        <v>4232</v>
      </c>
      <c r="C9031" s="687" t="s">
        <v>4232</v>
      </c>
      <c r="D9031" s="687" t="s">
        <v>4232</v>
      </c>
      <c r="E9031" s="687" t="s">
        <v>4232</v>
      </c>
      <c r="F9031" s="687" t="s">
        <v>4232</v>
      </c>
      <c r="G9031" s="687" t="s">
        <v>4232</v>
      </c>
      <c r="H9031" s="687" t="s">
        <v>4232</v>
      </c>
      <c r="I9031" s="687" t="s">
        <v>4232</v>
      </c>
      <c r="J9031" s="687" t="s">
        <v>4232</v>
      </c>
      <c r="K9031" s="687" t="s">
        <v>4232</v>
      </c>
    </row>
    <row r="9032" spans="1:11">
      <c r="A9032" s="688" t="s">
        <v>4064</v>
      </c>
      <c r="B9032" s="691">
        <v>48.4</v>
      </c>
      <c r="C9032" s="691">
        <v>48.6</v>
      </c>
      <c r="D9032" s="691">
        <v>48.6</v>
      </c>
      <c r="E9032" s="691">
        <v>48.7</v>
      </c>
      <c r="F9032" s="691">
        <v>48.8</v>
      </c>
      <c r="G9032" s="691">
        <v>48.9</v>
      </c>
      <c r="H9032" s="691">
        <v>49.2</v>
      </c>
      <c r="I9032" s="691">
        <v>48.2</v>
      </c>
      <c r="J9032" s="691">
        <v>47.9</v>
      </c>
      <c r="K9032" s="691">
        <v>48.6</v>
      </c>
    </row>
    <row r="9033" spans="1:11">
      <c r="A9033" s="688" t="s">
        <v>4065</v>
      </c>
      <c r="B9033" s="689">
        <v>48.6</v>
      </c>
      <c r="C9033" s="693">
        <v>49</v>
      </c>
      <c r="D9033" s="689">
        <v>48.7</v>
      </c>
      <c r="E9033" s="689">
        <v>49.1</v>
      </c>
      <c r="F9033" s="689">
        <v>49.1</v>
      </c>
      <c r="G9033" s="689">
        <v>49.2</v>
      </c>
      <c r="H9033" s="690" t="s">
        <v>4060</v>
      </c>
      <c r="I9033" s="690" t="s">
        <v>4060</v>
      </c>
      <c r="J9033" s="690" t="s">
        <v>4060</v>
      </c>
      <c r="K9033" s="690" t="s">
        <v>4060</v>
      </c>
    </row>
    <row r="9034" spans="1:11">
      <c r="A9034" s="688" t="s">
        <v>4063</v>
      </c>
      <c r="B9034" s="691">
        <v>48.6</v>
      </c>
      <c r="C9034" s="615">
        <v>49</v>
      </c>
      <c r="D9034" s="691">
        <v>48.8</v>
      </c>
      <c r="E9034" s="691">
        <v>49.1</v>
      </c>
      <c r="F9034" s="691">
        <v>49.1</v>
      </c>
      <c r="G9034" s="691">
        <v>49.2</v>
      </c>
      <c r="H9034" s="692" t="s">
        <v>4060</v>
      </c>
      <c r="I9034" s="692" t="s">
        <v>4060</v>
      </c>
      <c r="J9034" s="692" t="s">
        <v>4060</v>
      </c>
      <c r="K9034" s="692" t="s">
        <v>4060</v>
      </c>
    </row>
    <row r="9035" spans="1:11">
      <c r="A9035" s="688" t="s">
        <v>4069</v>
      </c>
      <c r="B9035" s="690" t="s">
        <v>4060</v>
      </c>
      <c r="C9035" s="689">
        <v>49.7</v>
      </c>
      <c r="D9035" s="689">
        <v>49.5</v>
      </c>
      <c r="E9035" s="689">
        <v>49.8</v>
      </c>
      <c r="F9035" s="689">
        <v>49.9</v>
      </c>
      <c r="G9035" s="693">
        <v>50</v>
      </c>
      <c r="H9035" s="689">
        <v>50.3</v>
      </c>
      <c r="I9035" s="689">
        <v>49.6</v>
      </c>
      <c r="J9035" s="689">
        <v>49.5</v>
      </c>
      <c r="K9035" s="689">
        <v>49.8</v>
      </c>
    </row>
    <row r="9036" spans="1:11">
      <c r="A9036" s="688" t="s">
        <v>4068</v>
      </c>
      <c r="B9036" s="691">
        <v>49.6</v>
      </c>
      <c r="C9036" s="692" t="s">
        <v>4060</v>
      </c>
      <c r="D9036" s="692" t="s">
        <v>4060</v>
      </c>
      <c r="E9036" s="692" t="s">
        <v>4060</v>
      </c>
      <c r="F9036" s="692" t="s">
        <v>4060</v>
      </c>
      <c r="G9036" s="692" t="s">
        <v>4060</v>
      </c>
      <c r="H9036" s="692" t="s">
        <v>4060</v>
      </c>
      <c r="I9036" s="692" t="s">
        <v>4060</v>
      </c>
      <c r="J9036" s="692" t="s">
        <v>4060</v>
      </c>
      <c r="K9036" s="692" t="s">
        <v>4060</v>
      </c>
    </row>
    <row r="9037" spans="1:11">
      <c r="A9037" s="688" t="s">
        <v>0</v>
      </c>
      <c r="B9037" s="693">
        <v>49</v>
      </c>
      <c r="C9037" s="689">
        <v>49.5</v>
      </c>
      <c r="D9037" s="689">
        <v>49.4</v>
      </c>
      <c r="E9037" s="689">
        <v>49.6</v>
      </c>
      <c r="F9037" s="689">
        <v>49.9</v>
      </c>
      <c r="G9037" s="693">
        <v>50</v>
      </c>
      <c r="H9037" s="689">
        <v>50.4</v>
      </c>
      <c r="I9037" s="689">
        <v>49.2</v>
      </c>
      <c r="J9037" s="693">
        <v>50</v>
      </c>
      <c r="K9037" s="689">
        <v>50.3</v>
      </c>
    </row>
    <row r="9038" spans="1:11">
      <c r="A9038" s="688" t="s">
        <v>1</v>
      </c>
      <c r="B9038" s="691">
        <v>42.8</v>
      </c>
      <c r="C9038" s="691">
        <v>42.4</v>
      </c>
      <c r="D9038" s="691">
        <v>42.5</v>
      </c>
      <c r="E9038" s="691">
        <v>42.5</v>
      </c>
      <c r="F9038" s="691">
        <v>42.5</v>
      </c>
      <c r="G9038" s="691">
        <v>42.6</v>
      </c>
      <c r="H9038" s="691">
        <v>42.6</v>
      </c>
      <c r="I9038" s="691">
        <v>40.799999999999997</v>
      </c>
      <c r="J9038" s="691">
        <v>39.1</v>
      </c>
      <c r="K9038" s="691">
        <v>41.7</v>
      </c>
    </row>
    <row r="9039" spans="1:11">
      <c r="A9039" s="688" t="s">
        <v>2240</v>
      </c>
      <c r="B9039" s="689">
        <v>46.1</v>
      </c>
      <c r="C9039" s="689">
        <v>46.5</v>
      </c>
      <c r="D9039" s="689">
        <v>46.4</v>
      </c>
      <c r="E9039" s="689">
        <v>46.9</v>
      </c>
      <c r="F9039" s="689">
        <v>46.9</v>
      </c>
      <c r="G9039" s="689">
        <v>46.9</v>
      </c>
      <c r="H9039" s="689">
        <v>47.2</v>
      </c>
      <c r="I9039" s="693">
        <v>46</v>
      </c>
      <c r="J9039" s="689">
        <v>44.8</v>
      </c>
      <c r="K9039" s="689">
        <v>46.8</v>
      </c>
    </row>
    <row r="9040" spans="1:11">
      <c r="A9040" s="688" t="s">
        <v>2</v>
      </c>
      <c r="B9040" s="615">
        <v>49</v>
      </c>
      <c r="C9040" s="691">
        <v>49.3</v>
      </c>
      <c r="D9040" s="691">
        <v>49.5</v>
      </c>
      <c r="E9040" s="691">
        <v>49.6</v>
      </c>
      <c r="F9040" s="691">
        <v>49.9</v>
      </c>
      <c r="G9040" s="691">
        <v>49.7</v>
      </c>
      <c r="H9040" s="691">
        <v>50.1</v>
      </c>
      <c r="I9040" s="691">
        <v>50.3</v>
      </c>
      <c r="J9040" s="691">
        <v>50.2</v>
      </c>
      <c r="K9040" s="615">
        <v>50</v>
      </c>
    </row>
    <row r="9041" spans="1:11">
      <c r="A9041" s="688" t="s">
        <v>3</v>
      </c>
      <c r="B9041" s="689">
        <v>48.9</v>
      </c>
      <c r="C9041" s="689">
        <v>49.2</v>
      </c>
      <c r="D9041" s="689">
        <v>48.9</v>
      </c>
      <c r="E9041" s="689">
        <v>49.1</v>
      </c>
      <c r="F9041" s="689">
        <v>49.3</v>
      </c>
      <c r="G9041" s="689">
        <v>49.2</v>
      </c>
      <c r="H9041" s="689">
        <v>49.5</v>
      </c>
      <c r="I9041" s="689">
        <v>49.3</v>
      </c>
      <c r="J9041" s="689">
        <v>48.9</v>
      </c>
      <c r="K9041" s="689">
        <v>48.8</v>
      </c>
    </row>
    <row r="9042" spans="1:11">
      <c r="A9042" s="688" t="s">
        <v>4061</v>
      </c>
      <c r="B9042" s="691">
        <v>48.9</v>
      </c>
      <c r="C9042" s="691">
        <v>49.2</v>
      </c>
      <c r="D9042" s="691">
        <v>48.9</v>
      </c>
      <c r="E9042" s="691">
        <v>49.1</v>
      </c>
      <c r="F9042" s="691">
        <v>49.3</v>
      </c>
      <c r="G9042" s="691">
        <v>49.2</v>
      </c>
      <c r="H9042" s="691">
        <v>49.5</v>
      </c>
      <c r="I9042" s="691">
        <v>49.3</v>
      </c>
      <c r="J9042" s="691">
        <v>48.9</v>
      </c>
      <c r="K9042" s="691">
        <v>48.8</v>
      </c>
    </row>
    <row r="9043" spans="1:11">
      <c r="A9043" s="688" t="s">
        <v>4</v>
      </c>
      <c r="B9043" s="689">
        <v>43.8</v>
      </c>
      <c r="C9043" s="689">
        <v>43.6</v>
      </c>
      <c r="D9043" s="689">
        <v>44.1</v>
      </c>
      <c r="E9043" s="689">
        <v>44.2</v>
      </c>
      <c r="F9043" s="689">
        <v>44.6</v>
      </c>
      <c r="G9043" s="689">
        <v>44.7</v>
      </c>
      <c r="H9043" s="689">
        <v>45.3</v>
      </c>
      <c r="I9043" s="693">
        <v>45</v>
      </c>
      <c r="J9043" s="689">
        <v>43.7</v>
      </c>
      <c r="K9043" s="689">
        <v>44.4</v>
      </c>
    </row>
    <row r="9044" spans="1:11">
      <c r="A9044" s="688" t="s">
        <v>8</v>
      </c>
      <c r="B9044" s="691">
        <v>49.9</v>
      </c>
      <c r="C9044" s="691">
        <v>50.2</v>
      </c>
      <c r="D9044" s="691">
        <v>50.3</v>
      </c>
      <c r="E9044" s="691">
        <v>50.5</v>
      </c>
      <c r="F9044" s="691">
        <v>50.9</v>
      </c>
      <c r="G9044" s="691">
        <v>50.9</v>
      </c>
      <c r="H9044" s="691">
        <v>51.2</v>
      </c>
      <c r="I9044" s="691">
        <v>51.2</v>
      </c>
      <c r="J9044" s="691">
        <v>50.9</v>
      </c>
      <c r="K9044" s="691">
        <v>51.4</v>
      </c>
    </row>
    <row r="9045" spans="1:11">
      <c r="A9045" s="688" t="s">
        <v>7</v>
      </c>
      <c r="B9045" s="689">
        <v>49.6</v>
      </c>
      <c r="C9045" s="689">
        <v>49.1</v>
      </c>
      <c r="D9045" s="689">
        <v>48.9</v>
      </c>
      <c r="E9045" s="689">
        <v>49.3</v>
      </c>
      <c r="F9045" s="689">
        <v>49.2</v>
      </c>
      <c r="G9045" s="689">
        <v>49.6</v>
      </c>
      <c r="H9045" s="689">
        <v>49.6</v>
      </c>
      <c r="I9045" s="689">
        <v>49.3</v>
      </c>
      <c r="J9045" s="689">
        <v>48.2</v>
      </c>
      <c r="K9045" s="693">
        <v>49</v>
      </c>
    </row>
    <row r="9046" spans="1:11">
      <c r="A9046" s="688" t="s">
        <v>27</v>
      </c>
      <c r="B9046" s="691">
        <v>50.8</v>
      </c>
      <c r="C9046" s="691">
        <v>50.7</v>
      </c>
      <c r="D9046" s="691">
        <v>50.5</v>
      </c>
      <c r="E9046" s="691">
        <v>50.8</v>
      </c>
      <c r="F9046" s="691">
        <v>50.9</v>
      </c>
      <c r="G9046" s="615">
        <v>51</v>
      </c>
      <c r="H9046" s="691">
        <v>51.4</v>
      </c>
      <c r="I9046" s="691">
        <v>50.1</v>
      </c>
      <c r="J9046" s="691">
        <v>50.8</v>
      </c>
      <c r="K9046" s="615">
        <v>51</v>
      </c>
    </row>
    <row r="9047" spans="1:11">
      <c r="A9047" s="688" t="s">
        <v>6</v>
      </c>
      <c r="B9047" s="689">
        <v>49.9</v>
      </c>
      <c r="C9047" s="689">
        <v>50.1</v>
      </c>
      <c r="D9047" s="689">
        <v>49.9</v>
      </c>
      <c r="E9047" s="689">
        <v>50.2</v>
      </c>
      <c r="F9047" s="689">
        <v>50.3</v>
      </c>
      <c r="G9047" s="689">
        <v>50.4</v>
      </c>
      <c r="H9047" s="689">
        <v>50.6</v>
      </c>
      <c r="I9047" s="693">
        <v>50</v>
      </c>
      <c r="J9047" s="689">
        <v>50.1</v>
      </c>
      <c r="K9047" s="689">
        <v>50.3</v>
      </c>
    </row>
    <row r="9048" spans="1:11">
      <c r="A9048" s="688" t="s">
        <v>4058</v>
      </c>
      <c r="B9048" s="692" t="s">
        <v>4060</v>
      </c>
      <c r="C9048" s="692" t="s">
        <v>4060</v>
      </c>
      <c r="D9048" s="692" t="s">
        <v>4060</v>
      </c>
      <c r="E9048" s="692" t="s">
        <v>4060</v>
      </c>
      <c r="F9048" s="692" t="s">
        <v>4060</v>
      </c>
      <c r="G9048" s="692" t="s">
        <v>4060</v>
      </c>
      <c r="H9048" s="692" t="s">
        <v>4060</v>
      </c>
      <c r="I9048" s="692" t="s">
        <v>4060</v>
      </c>
      <c r="J9048" s="692" t="s">
        <v>4060</v>
      </c>
      <c r="K9048" s="692" t="s">
        <v>4060</v>
      </c>
    </row>
    <row r="9049" spans="1:11">
      <c r="A9049" s="688" t="s">
        <v>11</v>
      </c>
      <c r="B9049" s="689">
        <v>45.5</v>
      </c>
      <c r="C9049" s="689">
        <v>45.6</v>
      </c>
      <c r="D9049" s="689">
        <v>45.2</v>
      </c>
      <c r="E9049" s="689">
        <v>45.8</v>
      </c>
      <c r="F9049" s="689">
        <v>45.8</v>
      </c>
      <c r="G9049" s="689">
        <v>45.8</v>
      </c>
      <c r="H9049" s="689">
        <v>46.1</v>
      </c>
      <c r="I9049" s="689">
        <v>45.4</v>
      </c>
      <c r="J9049" s="689">
        <v>44.3</v>
      </c>
      <c r="K9049" s="689">
        <v>45.6</v>
      </c>
    </row>
    <row r="9050" spans="1:11">
      <c r="A9050" s="688" t="s">
        <v>10</v>
      </c>
      <c r="B9050" s="615">
        <v>51</v>
      </c>
      <c r="C9050" s="691">
        <v>51.1</v>
      </c>
      <c r="D9050" s="691">
        <v>50.8</v>
      </c>
      <c r="E9050" s="691">
        <v>51.4</v>
      </c>
      <c r="F9050" s="691">
        <v>51.2</v>
      </c>
      <c r="G9050" s="691">
        <v>51.6</v>
      </c>
      <c r="H9050" s="691">
        <v>51.8</v>
      </c>
      <c r="I9050" s="691">
        <v>50.5</v>
      </c>
      <c r="J9050" s="615">
        <v>51</v>
      </c>
      <c r="K9050" s="691">
        <v>51.2</v>
      </c>
    </row>
    <row r="9051" spans="1:11">
      <c r="A9051" s="688" t="s">
        <v>30</v>
      </c>
      <c r="B9051" s="689">
        <v>50.8</v>
      </c>
      <c r="C9051" s="689">
        <v>50.9</v>
      </c>
      <c r="D9051" s="689">
        <v>50.7</v>
      </c>
      <c r="E9051" s="689">
        <v>51.3</v>
      </c>
      <c r="F9051" s="693">
        <v>51</v>
      </c>
      <c r="G9051" s="689">
        <v>51.8</v>
      </c>
      <c r="H9051" s="689">
        <v>51.4</v>
      </c>
      <c r="I9051" s="689">
        <v>51.4</v>
      </c>
      <c r="J9051" s="689">
        <v>50.6</v>
      </c>
      <c r="K9051" s="689">
        <v>51.1</v>
      </c>
    </row>
    <row r="9052" spans="1:11">
      <c r="A9052" s="688" t="s">
        <v>12</v>
      </c>
      <c r="B9052" s="691">
        <v>40.6</v>
      </c>
      <c r="C9052" s="691">
        <v>40.5</v>
      </c>
      <c r="D9052" s="615">
        <v>41</v>
      </c>
      <c r="E9052" s="691">
        <v>41.1</v>
      </c>
      <c r="F9052" s="691">
        <v>41.1</v>
      </c>
      <c r="G9052" s="691">
        <v>41.2</v>
      </c>
      <c r="H9052" s="615">
        <v>42</v>
      </c>
      <c r="I9052" s="691">
        <v>41.7</v>
      </c>
      <c r="J9052" s="691">
        <v>39.299999999999997</v>
      </c>
      <c r="K9052" s="691">
        <v>40.5</v>
      </c>
    </row>
    <row r="9053" spans="1:11">
      <c r="A9053" s="688" t="s">
        <v>14</v>
      </c>
      <c r="B9053" s="689">
        <v>40.1</v>
      </c>
      <c r="C9053" s="689">
        <v>40.700000000000003</v>
      </c>
      <c r="D9053" s="689">
        <v>40.700000000000003</v>
      </c>
      <c r="E9053" s="689">
        <v>40.799999999999997</v>
      </c>
      <c r="F9053" s="689">
        <v>41.9</v>
      </c>
      <c r="G9053" s="689">
        <v>42.1</v>
      </c>
      <c r="H9053" s="689">
        <v>42.6</v>
      </c>
      <c r="I9053" s="689">
        <v>41.2</v>
      </c>
      <c r="J9053" s="689">
        <v>40.700000000000003</v>
      </c>
      <c r="K9053" s="689">
        <v>42.3</v>
      </c>
    </row>
    <row r="9054" spans="1:11">
      <c r="A9054" s="688" t="s">
        <v>15</v>
      </c>
      <c r="B9054" s="691">
        <v>50.6</v>
      </c>
      <c r="C9054" s="691">
        <v>49.7</v>
      </c>
      <c r="D9054" s="691">
        <v>50.7</v>
      </c>
      <c r="E9054" s="691">
        <v>50.5</v>
      </c>
      <c r="F9054" s="691">
        <v>50.4</v>
      </c>
      <c r="G9054" s="691">
        <v>50.5</v>
      </c>
      <c r="H9054" s="615">
        <v>51</v>
      </c>
      <c r="I9054" s="691">
        <v>50.5</v>
      </c>
      <c r="J9054" s="691">
        <v>50.9</v>
      </c>
      <c r="K9054" s="691">
        <v>51.5</v>
      </c>
    </row>
    <row r="9055" spans="1:11">
      <c r="A9055" s="688" t="s">
        <v>29</v>
      </c>
      <c r="B9055" s="689">
        <v>43.1</v>
      </c>
      <c r="C9055" s="689">
        <v>43.2</v>
      </c>
      <c r="D9055" s="689">
        <v>43.1</v>
      </c>
      <c r="E9055" s="689">
        <v>43.4</v>
      </c>
      <c r="F9055" s="689">
        <v>43.3</v>
      </c>
      <c r="G9055" s="689">
        <v>43.4</v>
      </c>
      <c r="H9055" s="689">
        <v>43.8</v>
      </c>
      <c r="I9055" s="693">
        <v>43</v>
      </c>
      <c r="J9055" s="689">
        <v>41.5</v>
      </c>
      <c r="K9055" s="689">
        <v>43.4</v>
      </c>
    </row>
    <row r="9056" spans="1:11">
      <c r="A9056" s="688" t="s">
        <v>16</v>
      </c>
      <c r="B9056" s="691">
        <v>50.5</v>
      </c>
      <c r="C9056" s="691">
        <v>50.4</v>
      </c>
      <c r="D9056" s="691">
        <v>50.6</v>
      </c>
      <c r="E9056" s="691">
        <v>51.3</v>
      </c>
      <c r="F9056" s="615">
        <v>51</v>
      </c>
      <c r="G9056" s="615">
        <v>51</v>
      </c>
      <c r="H9056" s="691">
        <v>51.5</v>
      </c>
      <c r="I9056" s="691">
        <v>50.5</v>
      </c>
      <c r="J9056" s="691">
        <v>50.9</v>
      </c>
      <c r="K9056" s="691">
        <v>51.1</v>
      </c>
    </row>
    <row r="9057" spans="1:11">
      <c r="A9057" s="688" t="s">
        <v>17</v>
      </c>
      <c r="B9057" s="689">
        <v>50.3</v>
      </c>
      <c r="C9057" s="689">
        <v>50.6</v>
      </c>
      <c r="D9057" s="689">
        <v>50.4</v>
      </c>
      <c r="E9057" s="689">
        <v>50.6</v>
      </c>
      <c r="F9057" s="689">
        <v>50.8</v>
      </c>
      <c r="G9057" s="689">
        <v>50.9</v>
      </c>
      <c r="H9057" s="689">
        <v>51.2</v>
      </c>
      <c r="I9057" s="689">
        <v>50.4</v>
      </c>
      <c r="J9057" s="689">
        <v>50.4</v>
      </c>
      <c r="K9057" s="689">
        <v>50.8</v>
      </c>
    </row>
    <row r="9058" spans="1:11">
      <c r="A9058" s="688" t="s">
        <v>19</v>
      </c>
      <c r="B9058" s="691">
        <v>49.5</v>
      </c>
      <c r="C9058" s="691">
        <v>49.7</v>
      </c>
      <c r="D9058" s="691">
        <v>49.5</v>
      </c>
      <c r="E9058" s="691">
        <v>49.9</v>
      </c>
      <c r="F9058" s="615">
        <v>50</v>
      </c>
      <c r="G9058" s="691">
        <v>50.1</v>
      </c>
      <c r="H9058" s="691">
        <v>50.4</v>
      </c>
      <c r="I9058" s="691">
        <v>49.7</v>
      </c>
      <c r="J9058" s="691">
        <v>49.5</v>
      </c>
      <c r="K9058" s="691">
        <v>49.8</v>
      </c>
    </row>
    <row r="9059" spans="1:11">
      <c r="A9059" s="688" t="s">
        <v>20</v>
      </c>
      <c r="B9059" s="689">
        <v>44.2</v>
      </c>
      <c r="C9059" s="689">
        <v>44.7</v>
      </c>
      <c r="D9059" s="689">
        <v>44.5</v>
      </c>
      <c r="E9059" s="689">
        <v>44.8</v>
      </c>
      <c r="F9059" s="689">
        <v>44.8</v>
      </c>
      <c r="G9059" s="689">
        <v>44.7</v>
      </c>
      <c r="H9059" s="693">
        <v>45</v>
      </c>
      <c r="I9059" s="689">
        <v>43.4</v>
      </c>
      <c r="J9059" s="689">
        <v>42.5</v>
      </c>
      <c r="K9059" s="689">
        <v>44.3</v>
      </c>
    </row>
    <row r="9060" spans="1:11">
      <c r="A9060" s="688" t="s">
        <v>21</v>
      </c>
      <c r="B9060" s="691">
        <v>48.4</v>
      </c>
      <c r="C9060" s="691">
        <v>48.9</v>
      </c>
      <c r="D9060" s="615">
        <v>49</v>
      </c>
      <c r="E9060" s="615">
        <v>49</v>
      </c>
      <c r="F9060" s="691">
        <v>49.3</v>
      </c>
      <c r="G9060" s="691">
        <v>49.3</v>
      </c>
      <c r="H9060" s="691">
        <v>49.7</v>
      </c>
      <c r="I9060" s="691">
        <v>49.1</v>
      </c>
      <c r="J9060" s="691">
        <v>49.1</v>
      </c>
      <c r="K9060" s="691">
        <v>49.6</v>
      </c>
    </row>
    <row r="9061" spans="1:11">
      <c r="A9061" s="688" t="s">
        <v>22</v>
      </c>
      <c r="B9061" s="689">
        <v>43.2</v>
      </c>
      <c r="C9061" s="689">
        <v>42.9</v>
      </c>
      <c r="D9061" s="689">
        <v>42.8</v>
      </c>
      <c r="E9061" s="693">
        <v>43</v>
      </c>
      <c r="F9061" s="693">
        <v>43</v>
      </c>
      <c r="G9061" s="689">
        <v>42.9</v>
      </c>
      <c r="H9061" s="689">
        <v>43.1</v>
      </c>
      <c r="I9061" s="689">
        <v>41.5</v>
      </c>
      <c r="J9061" s="689">
        <v>40.299999999999997</v>
      </c>
      <c r="K9061" s="689">
        <v>42.4</v>
      </c>
    </row>
    <row r="9062" spans="1:11">
      <c r="A9062" s="688" t="s">
        <v>26</v>
      </c>
      <c r="B9062" s="691">
        <v>48.1</v>
      </c>
      <c r="C9062" s="691">
        <v>48.6</v>
      </c>
      <c r="D9062" s="691">
        <v>48.3</v>
      </c>
      <c r="E9062" s="691">
        <v>48.8</v>
      </c>
      <c r="F9062" s="691">
        <v>48.7</v>
      </c>
      <c r="G9062" s="615">
        <v>49</v>
      </c>
      <c r="H9062" s="691">
        <v>49.3</v>
      </c>
      <c r="I9062" s="691">
        <v>48.4</v>
      </c>
      <c r="J9062" s="691">
        <v>48.2</v>
      </c>
      <c r="K9062" s="691">
        <v>49.2</v>
      </c>
    </row>
    <row r="9063" spans="1:11">
      <c r="A9063" s="688" t="s">
        <v>25</v>
      </c>
      <c r="B9063" s="689">
        <v>44.1</v>
      </c>
      <c r="C9063" s="689">
        <v>44.4</v>
      </c>
      <c r="D9063" s="689">
        <v>44.3</v>
      </c>
      <c r="E9063" s="689">
        <v>44.9</v>
      </c>
      <c r="F9063" s="689">
        <v>44.9</v>
      </c>
      <c r="G9063" s="693">
        <v>45</v>
      </c>
      <c r="H9063" s="689">
        <v>45.4</v>
      </c>
      <c r="I9063" s="689">
        <v>44.6</v>
      </c>
      <c r="J9063" s="689">
        <v>42.3</v>
      </c>
      <c r="K9063" s="689">
        <v>44.7</v>
      </c>
    </row>
    <row r="9064" spans="1:11">
      <c r="A9064" s="688" t="s">
        <v>5</v>
      </c>
      <c r="B9064" s="691">
        <v>48.9</v>
      </c>
      <c r="C9064" s="615">
        <v>49</v>
      </c>
      <c r="D9064" s="691">
        <v>49.3</v>
      </c>
      <c r="E9064" s="691">
        <v>49.2</v>
      </c>
      <c r="F9064" s="691">
        <v>49.6</v>
      </c>
      <c r="G9064" s="691">
        <v>49.7</v>
      </c>
      <c r="H9064" s="691">
        <v>50.1</v>
      </c>
      <c r="I9064" s="691">
        <v>49.9</v>
      </c>
      <c r="J9064" s="691">
        <v>49.9</v>
      </c>
      <c r="K9064" s="691">
        <v>49.5</v>
      </c>
    </row>
    <row r="9065" spans="1:11">
      <c r="A9065" s="688" t="s">
        <v>23</v>
      </c>
      <c r="B9065" s="693">
        <v>51</v>
      </c>
      <c r="C9065" s="689">
        <v>51.1</v>
      </c>
      <c r="D9065" s="689">
        <v>51.1</v>
      </c>
      <c r="E9065" s="689">
        <v>51.3</v>
      </c>
      <c r="F9065" s="689">
        <v>51.5</v>
      </c>
      <c r="G9065" s="689">
        <v>51.5</v>
      </c>
      <c r="H9065" s="689">
        <v>52.1</v>
      </c>
      <c r="I9065" s="689">
        <v>51.4</v>
      </c>
      <c r="J9065" s="689">
        <v>51.9</v>
      </c>
      <c r="K9065" s="689">
        <v>52.1</v>
      </c>
    </row>
    <row r="9066" spans="1:11">
      <c r="A9066" s="688" t="s">
        <v>4067</v>
      </c>
      <c r="B9066" s="691">
        <v>48.6</v>
      </c>
      <c r="C9066" s="615">
        <v>49</v>
      </c>
      <c r="D9066" s="691">
        <v>48.8</v>
      </c>
      <c r="E9066" s="691">
        <v>49.1</v>
      </c>
      <c r="F9066" s="691">
        <v>49.1</v>
      </c>
      <c r="G9066" s="691">
        <v>49.2</v>
      </c>
      <c r="H9066" s="692" t="s">
        <v>4060</v>
      </c>
      <c r="I9066" s="692" t="s">
        <v>4060</v>
      </c>
      <c r="J9066" s="692" t="s">
        <v>4060</v>
      </c>
      <c r="K9066" s="692" t="s">
        <v>4060</v>
      </c>
    </row>
    <row r="9067" spans="1:11">
      <c r="A9067" s="688" t="s">
        <v>4066</v>
      </c>
      <c r="B9067" s="689">
        <v>48.6</v>
      </c>
      <c r="C9067" s="693">
        <v>49</v>
      </c>
      <c r="D9067" s="689">
        <v>48.8</v>
      </c>
      <c r="E9067" s="689">
        <v>49.1</v>
      </c>
      <c r="F9067" s="689">
        <v>49.2</v>
      </c>
      <c r="G9067" s="689">
        <v>49.2</v>
      </c>
      <c r="H9067" s="690" t="s">
        <v>4060</v>
      </c>
      <c r="I9067" s="690" t="s">
        <v>4060</v>
      </c>
      <c r="J9067" s="690" t="s">
        <v>4060</v>
      </c>
      <c r="K9067" s="690" t="s">
        <v>4060</v>
      </c>
    </row>
    <row r="9068" spans="1:11">
      <c r="A9068" s="688" t="s">
        <v>4062</v>
      </c>
      <c r="B9068" s="691">
        <v>51.1</v>
      </c>
      <c r="C9068" s="691">
        <v>51.4</v>
      </c>
      <c r="D9068" s="691">
        <v>51.4</v>
      </c>
      <c r="E9068" s="691">
        <v>51.8</v>
      </c>
      <c r="F9068" s="691">
        <v>51.9</v>
      </c>
      <c r="G9068" s="691">
        <v>52.1</v>
      </c>
      <c r="H9068" s="691">
        <v>52.4</v>
      </c>
      <c r="I9068" s="691">
        <v>51.9</v>
      </c>
      <c r="J9068" s="691">
        <v>52.3</v>
      </c>
      <c r="K9068" s="691">
        <v>52.1</v>
      </c>
    </row>
    <row r="9069" spans="1:11">
      <c r="A9069" s="688" t="s">
        <v>9</v>
      </c>
      <c r="B9069" s="689">
        <v>51.1</v>
      </c>
      <c r="C9069" s="689">
        <v>51.6</v>
      </c>
      <c r="D9069" s="689">
        <v>51.9</v>
      </c>
      <c r="E9069" s="689">
        <v>51.1</v>
      </c>
      <c r="F9069" s="689">
        <v>51.5</v>
      </c>
      <c r="G9069" s="693">
        <v>52</v>
      </c>
      <c r="H9069" s="693">
        <v>52</v>
      </c>
      <c r="I9069" s="689">
        <v>52.2</v>
      </c>
      <c r="J9069" s="689">
        <v>52.6</v>
      </c>
      <c r="K9069" s="689">
        <v>51.4</v>
      </c>
    </row>
    <row r="9070" spans="1:11">
      <c r="A9070" s="688" t="s">
        <v>13</v>
      </c>
      <c r="B9070" s="615">
        <v>51</v>
      </c>
      <c r="C9070" s="615">
        <v>51</v>
      </c>
      <c r="D9070" s="691">
        <v>51.6</v>
      </c>
      <c r="E9070" s="691">
        <v>50.9</v>
      </c>
      <c r="F9070" s="691">
        <v>51.8</v>
      </c>
      <c r="G9070" s="691">
        <v>51.1</v>
      </c>
      <c r="H9070" s="691">
        <v>52.6</v>
      </c>
      <c r="I9070" s="691">
        <v>51.6</v>
      </c>
      <c r="J9070" s="691">
        <v>52.7</v>
      </c>
      <c r="K9070" s="691">
        <v>53.4</v>
      </c>
    </row>
    <row r="9071" spans="1:11">
      <c r="A9071" s="688" t="s">
        <v>18</v>
      </c>
      <c r="B9071" s="689">
        <v>50.5</v>
      </c>
      <c r="C9071" s="689">
        <v>50.8</v>
      </c>
      <c r="D9071" s="689">
        <v>51.1</v>
      </c>
      <c r="E9071" s="689">
        <v>51.3</v>
      </c>
      <c r="F9071" s="689">
        <v>51.6</v>
      </c>
      <c r="G9071" s="689">
        <v>51.7</v>
      </c>
      <c r="H9071" s="693">
        <v>52</v>
      </c>
      <c r="I9071" s="689">
        <v>52.2</v>
      </c>
      <c r="J9071" s="689">
        <v>52.2</v>
      </c>
      <c r="K9071" s="689">
        <v>51.6</v>
      </c>
    </row>
    <row r="9072" spans="1:11">
      <c r="A9072" s="688" t="s">
        <v>24</v>
      </c>
      <c r="B9072" s="691">
        <v>51.5</v>
      </c>
      <c r="C9072" s="691">
        <v>51.7</v>
      </c>
      <c r="D9072" s="691">
        <v>51.6</v>
      </c>
      <c r="E9072" s="691">
        <v>52.2</v>
      </c>
      <c r="F9072" s="691">
        <v>52.1</v>
      </c>
      <c r="G9072" s="691">
        <v>52.4</v>
      </c>
      <c r="H9072" s="691">
        <v>52.6</v>
      </c>
      <c r="I9072" s="691">
        <v>51.8</v>
      </c>
      <c r="J9072" s="691">
        <v>52.4</v>
      </c>
      <c r="K9072" s="691">
        <v>52.4</v>
      </c>
    </row>
    <row r="9073" spans="1:11">
      <c r="A9073" s="688" t="s">
        <v>4059</v>
      </c>
      <c r="B9073" s="693">
        <v>50</v>
      </c>
      <c r="C9073" s="689">
        <v>50.3</v>
      </c>
      <c r="D9073" s="689">
        <v>50.1</v>
      </c>
      <c r="E9073" s="689">
        <v>50.3</v>
      </c>
      <c r="F9073" s="689">
        <v>50.3</v>
      </c>
      <c r="G9073" s="689">
        <v>50.3</v>
      </c>
      <c r="H9073" s="690" t="s">
        <v>4060</v>
      </c>
      <c r="I9073" s="690" t="s">
        <v>4060</v>
      </c>
      <c r="J9073" s="690" t="s">
        <v>4060</v>
      </c>
      <c r="K9073" s="690" t="s">
        <v>4060</v>
      </c>
    </row>
    <row r="9074" spans="1:11">
      <c r="A9074" s="688" t="s">
        <v>2324</v>
      </c>
      <c r="B9074" s="691">
        <v>45.1</v>
      </c>
      <c r="C9074" s="691">
        <v>45.1</v>
      </c>
      <c r="D9074" s="691">
        <v>45.1</v>
      </c>
      <c r="E9074" s="691">
        <v>44.9</v>
      </c>
      <c r="F9074" s="691">
        <v>44.8</v>
      </c>
      <c r="G9074" s="691">
        <v>45.2</v>
      </c>
      <c r="H9074" s="691">
        <v>44.9</v>
      </c>
      <c r="I9074" s="691">
        <v>43.9</v>
      </c>
      <c r="J9074" s="691">
        <v>41.4</v>
      </c>
      <c r="K9074" s="692" t="s">
        <v>4060</v>
      </c>
    </row>
    <row r="9075" spans="1:11">
      <c r="A9075" s="688" t="s">
        <v>2322</v>
      </c>
      <c r="B9075" s="690" t="s">
        <v>4060</v>
      </c>
      <c r="C9075" s="690" t="s">
        <v>4060</v>
      </c>
      <c r="D9075" s="690" t="s">
        <v>4060</v>
      </c>
      <c r="E9075" s="690" t="s">
        <v>4060</v>
      </c>
      <c r="F9075" s="690" t="s">
        <v>4060</v>
      </c>
      <c r="G9075" s="690" t="s">
        <v>4060</v>
      </c>
      <c r="H9075" s="690" t="s">
        <v>4060</v>
      </c>
      <c r="I9075" s="690" t="s">
        <v>4060</v>
      </c>
      <c r="J9075" s="690" t="s">
        <v>4060</v>
      </c>
      <c r="K9075" s="690" t="s">
        <v>4060</v>
      </c>
    </row>
    <row r="9076" spans="1:11">
      <c r="A9076" s="688" t="s">
        <v>2328</v>
      </c>
      <c r="B9076" s="691">
        <v>44.8</v>
      </c>
      <c r="C9076" s="691">
        <v>44.9</v>
      </c>
      <c r="D9076" s="691">
        <v>44.8</v>
      </c>
      <c r="E9076" s="691">
        <v>44.9</v>
      </c>
      <c r="F9076" s="691">
        <v>45.4</v>
      </c>
      <c r="G9076" s="691">
        <v>45.6</v>
      </c>
      <c r="H9076" s="691">
        <v>45.7</v>
      </c>
      <c r="I9076" s="691">
        <v>43.1</v>
      </c>
      <c r="J9076" s="615">
        <v>42</v>
      </c>
      <c r="K9076" s="692" t="s">
        <v>4060</v>
      </c>
    </row>
    <row r="9077" spans="1:11">
      <c r="A9077" s="688" t="s">
        <v>2496</v>
      </c>
      <c r="B9077" s="690" t="s">
        <v>4060</v>
      </c>
      <c r="C9077" s="689">
        <v>41.7</v>
      </c>
      <c r="D9077" s="689">
        <v>40.5</v>
      </c>
      <c r="E9077" s="689">
        <v>40.200000000000003</v>
      </c>
      <c r="F9077" s="689">
        <v>41.1</v>
      </c>
      <c r="G9077" s="689">
        <v>41.4</v>
      </c>
      <c r="H9077" s="689">
        <v>41.4</v>
      </c>
      <c r="I9077" s="690" t="s">
        <v>4060</v>
      </c>
      <c r="J9077" s="690" t="s">
        <v>4060</v>
      </c>
      <c r="K9077" s="689">
        <v>40.799999999999997</v>
      </c>
    </row>
    <row r="9078" spans="1:11">
      <c r="A9078" s="688" t="s">
        <v>2269</v>
      </c>
      <c r="B9078" s="691">
        <v>47.7</v>
      </c>
      <c r="C9078" s="691">
        <v>47.8</v>
      </c>
      <c r="D9078" s="691">
        <v>47.7</v>
      </c>
      <c r="E9078" s="691">
        <v>48.4</v>
      </c>
      <c r="F9078" s="691">
        <v>48.4</v>
      </c>
      <c r="G9078" s="691">
        <v>48.8</v>
      </c>
      <c r="H9078" s="615">
        <v>49</v>
      </c>
      <c r="I9078" s="691">
        <v>46.5</v>
      </c>
      <c r="J9078" s="691">
        <v>44.8</v>
      </c>
      <c r="K9078" s="691">
        <v>48.5</v>
      </c>
    </row>
    <row r="9079" spans="1:11">
      <c r="A9079" s="688" t="s">
        <v>2349</v>
      </c>
      <c r="B9079" s="689">
        <v>43.8</v>
      </c>
      <c r="C9079" s="689">
        <v>43.9</v>
      </c>
      <c r="D9079" s="689">
        <v>43.8</v>
      </c>
      <c r="E9079" s="689">
        <v>44.3</v>
      </c>
      <c r="F9079" s="689">
        <v>44.2</v>
      </c>
      <c r="G9079" s="689">
        <v>44.5</v>
      </c>
      <c r="H9079" s="689">
        <v>44.4</v>
      </c>
      <c r="I9079" s="689">
        <v>42.6</v>
      </c>
      <c r="J9079" s="693">
        <v>41</v>
      </c>
      <c r="K9079" s="689">
        <v>43.7</v>
      </c>
    </row>
    <row r="9080" spans="1:11">
      <c r="A9080" s="688" t="s">
        <v>2355</v>
      </c>
      <c r="B9080" s="691">
        <v>47.3</v>
      </c>
      <c r="C9080" s="691">
        <v>47.3</v>
      </c>
      <c r="D9080" s="691">
        <v>47.2</v>
      </c>
      <c r="E9080" s="691">
        <v>47.2</v>
      </c>
      <c r="F9080" s="691">
        <v>47.4</v>
      </c>
      <c r="G9080" s="691">
        <v>47.9</v>
      </c>
      <c r="H9080" s="615">
        <v>48</v>
      </c>
      <c r="I9080" s="692" t="s">
        <v>4060</v>
      </c>
      <c r="J9080" s="692" t="s">
        <v>4060</v>
      </c>
      <c r="K9080" s="692" t="s">
        <v>4060</v>
      </c>
    </row>
    <row r="9081" spans="1:11">
      <c r="A9081" s="688" t="s">
        <v>2357</v>
      </c>
      <c r="B9081" s="690" t="s">
        <v>4060</v>
      </c>
      <c r="C9081" s="689">
        <v>38.6</v>
      </c>
      <c r="D9081" s="689">
        <v>39.299999999999997</v>
      </c>
      <c r="E9081" s="689">
        <v>39.6</v>
      </c>
      <c r="F9081" s="689">
        <v>39.9</v>
      </c>
      <c r="G9081" s="689">
        <v>39.6</v>
      </c>
      <c r="H9081" s="689">
        <v>39.799999999999997</v>
      </c>
      <c r="I9081" s="690" t="s">
        <v>4060</v>
      </c>
      <c r="J9081" s="690" t="s">
        <v>4060</v>
      </c>
      <c r="K9081" s="690" t="s">
        <v>4060</v>
      </c>
    </row>
    <row r="9082" spans="1:11">
      <c r="A9082" s="688" t="s">
        <v>4070</v>
      </c>
      <c r="B9082" s="692" t="s">
        <v>4060</v>
      </c>
      <c r="C9082" s="692" t="s">
        <v>4060</v>
      </c>
      <c r="D9082" s="692" t="s">
        <v>4060</v>
      </c>
      <c r="E9082" s="691">
        <v>46.9</v>
      </c>
      <c r="F9082" s="692" t="s">
        <v>4060</v>
      </c>
      <c r="G9082" s="692" t="s">
        <v>4060</v>
      </c>
      <c r="H9082" s="692" t="s">
        <v>4060</v>
      </c>
      <c r="I9082" s="692" t="s">
        <v>4060</v>
      </c>
      <c r="J9082" s="692" t="s">
        <v>4060</v>
      </c>
      <c r="K9082" s="692" t="s">
        <v>4060</v>
      </c>
    </row>
    <row r="9083" spans="1:11">
      <c r="A9083" s="688" t="s">
        <v>2491</v>
      </c>
      <c r="B9083" s="689">
        <v>38.6</v>
      </c>
      <c r="C9083" s="689">
        <v>39.200000000000003</v>
      </c>
      <c r="D9083" s="689">
        <v>39.700000000000003</v>
      </c>
      <c r="E9083" s="689">
        <v>40.1</v>
      </c>
      <c r="F9083" s="689">
        <v>40.200000000000003</v>
      </c>
      <c r="G9083" s="689">
        <v>40.200000000000003</v>
      </c>
      <c r="H9083" s="690" t="s">
        <v>4060</v>
      </c>
      <c r="I9083" s="690" t="s">
        <v>4060</v>
      </c>
      <c r="J9083" s="690" t="s">
        <v>4060</v>
      </c>
      <c r="K9083" s="690" t="s">
        <v>4060</v>
      </c>
    </row>
    <row r="9084" spans="1:11">
      <c r="A9084" s="688" t="s">
        <v>2343</v>
      </c>
      <c r="B9084" s="692" t="s">
        <v>4060</v>
      </c>
      <c r="C9084" s="692" t="s">
        <v>4060</v>
      </c>
      <c r="D9084" s="692" t="s">
        <v>4060</v>
      </c>
      <c r="E9084" s="692" t="s">
        <v>4060</v>
      </c>
      <c r="F9084" s="692" t="s">
        <v>4060</v>
      </c>
      <c r="G9084" s="692" t="s">
        <v>4060</v>
      </c>
      <c r="H9084" s="692" t="s">
        <v>4060</v>
      </c>
      <c r="I9084" s="692" t="s">
        <v>4060</v>
      </c>
      <c r="J9084" s="692" t="s">
        <v>4060</v>
      </c>
      <c r="K9084" s="692" t="s">
        <v>4060</v>
      </c>
    </row>
    <row r="9085" spans="1:11">
      <c r="A9085" s="688" t="s">
        <v>4071</v>
      </c>
      <c r="B9085" s="690" t="s">
        <v>4060</v>
      </c>
      <c r="C9085" s="690" t="s">
        <v>4060</v>
      </c>
      <c r="D9085" s="690" t="s">
        <v>4060</v>
      </c>
      <c r="E9085" s="690" t="s">
        <v>4060</v>
      </c>
      <c r="F9085" s="690" t="s">
        <v>4060</v>
      </c>
      <c r="G9085" s="690" t="s">
        <v>4060</v>
      </c>
      <c r="H9085" s="690" t="s">
        <v>4060</v>
      </c>
      <c r="I9085" s="690" t="s">
        <v>4060</v>
      </c>
      <c r="J9085" s="690" t="s">
        <v>4060</v>
      </c>
      <c r="K9085" s="690" t="s">
        <v>4060</v>
      </c>
    </row>
    <row r="9086" spans="1:11">
      <c r="A9086" s="688" t="s">
        <v>2489</v>
      </c>
      <c r="B9086" s="692" t="s">
        <v>4060</v>
      </c>
      <c r="C9086" s="692" t="s">
        <v>4060</v>
      </c>
      <c r="D9086" s="691">
        <v>43.3</v>
      </c>
      <c r="E9086" s="691">
        <v>43.3</v>
      </c>
      <c r="F9086" s="691">
        <v>43.9</v>
      </c>
      <c r="G9086" s="691">
        <v>44.7</v>
      </c>
      <c r="H9086" s="691">
        <v>44.3</v>
      </c>
      <c r="I9086" s="692" t="s">
        <v>4060</v>
      </c>
      <c r="J9086" s="692" t="s">
        <v>4060</v>
      </c>
      <c r="K9086" s="692" t="s">
        <v>4060</v>
      </c>
    </row>
    <row r="9087" spans="1:11">
      <c r="A9087" s="688" t="s">
        <v>2490</v>
      </c>
      <c r="B9087" s="693">
        <v>44</v>
      </c>
      <c r="C9087" s="689">
        <v>44.1</v>
      </c>
      <c r="D9087" s="689">
        <v>44.8</v>
      </c>
      <c r="E9087" s="690" t="s">
        <v>4060</v>
      </c>
      <c r="F9087" s="689">
        <v>45.1</v>
      </c>
      <c r="G9087" s="689">
        <v>45.3</v>
      </c>
      <c r="H9087" s="689">
        <v>46.2</v>
      </c>
      <c r="I9087" s="690" t="s">
        <v>4060</v>
      </c>
      <c r="J9087" s="690" t="s">
        <v>4060</v>
      </c>
      <c r="K9087" s="690" t="s">
        <v>4060</v>
      </c>
    </row>
    <row r="9089" spans="1:11">
      <c r="A9089" s="683" t="s">
        <v>4233</v>
      </c>
    </row>
    <row r="9090" spans="1:11">
      <c r="A9090" s="683" t="s">
        <v>4060</v>
      </c>
      <c r="B9090" s="682" t="s">
        <v>4234</v>
      </c>
    </row>
    <row r="9092" spans="1:11">
      <c r="A9092" s="682" t="s">
        <v>4331</v>
      </c>
    </row>
    <row r="9093" spans="1:11">
      <c r="A9093" s="682" t="s">
        <v>4210</v>
      </c>
      <c r="B9093" s="683" t="s">
        <v>4211</v>
      </c>
    </row>
    <row r="9094" spans="1:11">
      <c r="A9094" s="682" t="s">
        <v>4212</v>
      </c>
      <c r="B9094" s="682" t="s">
        <v>4213</v>
      </c>
    </row>
    <row r="9096" spans="1:11">
      <c r="A9096" s="683" t="s">
        <v>4214</v>
      </c>
      <c r="C9096" s="682" t="s">
        <v>4215</v>
      </c>
    </row>
    <row r="9097" spans="1:11">
      <c r="A9097" s="683" t="s">
        <v>4216</v>
      </c>
      <c r="C9097" s="682" t="s">
        <v>2967</v>
      </c>
    </row>
    <row r="9098" spans="1:11">
      <c r="A9098" s="683" t="s">
        <v>3893</v>
      </c>
      <c r="C9098" s="682" t="s">
        <v>2168</v>
      </c>
    </row>
    <row r="9099" spans="1:11">
      <c r="A9099" s="683" t="s">
        <v>4218</v>
      </c>
      <c r="C9099" s="682" t="s">
        <v>4266</v>
      </c>
    </row>
    <row r="9101" spans="1:11">
      <c r="A9101" s="684" t="s">
        <v>4220</v>
      </c>
      <c r="B9101" s="685" t="s">
        <v>4221</v>
      </c>
      <c r="C9101" s="685" t="s">
        <v>4222</v>
      </c>
      <c r="D9101" s="685" t="s">
        <v>4223</v>
      </c>
      <c r="E9101" s="685" t="s">
        <v>4224</v>
      </c>
      <c r="F9101" s="685" t="s">
        <v>4225</v>
      </c>
      <c r="G9101" s="685" t="s">
        <v>4226</v>
      </c>
      <c r="H9101" s="685" t="s">
        <v>4227</v>
      </c>
      <c r="I9101" s="685" t="s">
        <v>4228</v>
      </c>
      <c r="J9101" s="685" t="s">
        <v>4229</v>
      </c>
      <c r="K9101" s="685" t="s">
        <v>4230</v>
      </c>
    </row>
    <row r="9102" spans="1:11">
      <c r="A9102" s="686" t="s">
        <v>4231</v>
      </c>
      <c r="B9102" s="687" t="s">
        <v>4232</v>
      </c>
      <c r="C9102" s="687" t="s">
        <v>4232</v>
      </c>
      <c r="D9102" s="687" t="s">
        <v>4232</v>
      </c>
      <c r="E9102" s="687" t="s">
        <v>4232</v>
      </c>
      <c r="F9102" s="687" t="s">
        <v>4232</v>
      </c>
      <c r="G9102" s="687" t="s">
        <v>4232</v>
      </c>
      <c r="H9102" s="687" t="s">
        <v>4232</v>
      </c>
      <c r="I9102" s="687" t="s">
        <v>4232</v>
      </c>
      <c r="J9102" s="687" t="s">
        <v>4232</v>
      </c>
      <c r="K9102" s="687" t="s">
        <v>4232</v>
      </c>
    </row>
    <row r="9103" spans="1:11">
      <c r="A9103" s="688" t="s">
        <v>4064</v>
      </c>
      <c r="B9103" s="689">
        <v>47.4</v>
      </c>
      <c r="C9103" s="689">
        <v>47.6</v>
      </c>
      <c r="D9103" s="689">
        <v>47.6</v>
      </c>
      <c r="E9103" s="689">
        <v>47.7</v>
      </c>
      <c r="F9103" s="689">
        <v>47.8</v>
      </c>
      <c r="G9103" s="689">
        <v>47.9</v>
      </c>
      <c r="H9103" s="689">
        <v>48.2</v>
      </c>
      <c r="I9103" s="689">
        <v>47.3</v>
      </c>
      <c r="J9103" s="693">
        <v>47</v>
      </c>
      <c r="K9103" s="689">
        <v>47.7</v>
      </c>
    </row>
    <row r="9104" spans="1:11">
      <c r="A9104" s="688" t="s">
        <v>4065</v>
      </c>
      <c r="B9104" s="691">
        <v>47.6</v>
      </c>
      <c r="C9104" s="615">
        <v>48</v>
      </c>
      <c r="D9104" s="691">
        <v>47.8</v>
      </c>
      <c r="E9104" s="691">
        <v>48.1</v>
      </c>
      <c r="F9104" s="691">
        <v>48.1</v>
      </c>
      <c r="G9104" s="691">
        <v>48.2</v>
      </c>
      <c r="H9104" s="692" t="s">
        <v>4060</v>
      </c>
      <c r="I9104" s="692" t="s">
        <v>4060</v>
      </c>
      <c r="J9104" s="692" t="s">
        <v>4060</v>
      </c>
      <c r="K9104" s="692" t="s">
        <v>4060</v>
      </c>
    </row>
    <row r="9105" spans="1:11">
      <c r="A9105" s="688" t="s">
        <v>4063</v>
      </c>
      <c r="B9105" s="689">
        <v>47.7</v>
      </c>
      <c r="C9105" s="693">
        <v>48</v>
      </c>
      <c r="D9105" s="689">
        <v>47.8</v>
      </c>
      <c r="E9105" s="689">
        <v>48.1</v>
      </c>
      <c r="F9105" s="689">
        <v>48.2</v>
      </c>
      <c r="G9105" s="689">
        <v>48.2</v>
      </c>
      <c r="H9105" s="690" t="s">
        <v>4060</v>
      </c>
      <c r="I9105" s="690" t="s">
        <v>4060</v>
      </c>
      <c r="J9105" s="690" t="s">
        <v>4060</v>
      </c>
      <c r="K9105" s="690" t="s">
        <v>4060</v>
      </c>
    </row>
    <row r="9106" spans="1:11">
      <c r="A9106" s="688" t="s">
        <v>4069</v>
      </c>
      <c r="B9106" s="692" t="s">
        <v>4060</v>
      </c>
      <c r="C9106" s="691">
        <v>48.7</v>
      </c>
      <c r="D9106" s="691">
        <v>48.5</v>
      </c>
      <c r="E9106" s="691">
        <v>48.8</v>
      </c>
      <c r="F9106" s="691">
        <v>48.9</v>
      </c>
      <c r="G9106" s="691">
        <v>49.1</v>
      </c>
      <c r="H9106" s="691">
        <v>49.3</v>
      </c>
      <c r="I9106" s="691">
        <v>48.6</v>
      </c>
      <c r="J9106" s="691">
        <v>48.6</v>
      </c>
      <c r="K9106" s="691">
        <v>48.8</v>
      </c>
    </row>
    <row r="9107" spans="1:11">
      <c r="A9107" s="688" t="s">
        <v>4068</v>
      </c>
      <c r="B9107" s="689">
        <v>48.6</v>
      </c>
      <c r="C9107" s="690" t="s">
        <v>4060</v>
      </c>
      <c r="D9107" s="690" t="s">
        <v>4060</v>
      </c>
      <c r="E9107" s="690" t="s">
        <v>4060</v>
      </c>
      <c r="F9107" s="690" t="s">
        <v>4060</v>
      </c>
      <c r="G9107" s="690" t="s">
        <v>4060</v>
      </c>
      <c r="H9107" s="690" t="s">
        <v>4060</v>
      </c>
      <c r="I9107" s="690" t="s">
        <v>4060</v>
      </c>
      <c r="J9107" s="690" t="s">
        <v>4060</v>
      </c>
      <c r="K9107" s="690" t="s">
        <v>4060</v>
      </c>
    </row>
    <row r="9108" spans="1:11">
      <c r="A9108" s="688" t="s">
        <v>0</v>
      </c>
      <c r="B9108" s="615">
        <v>48</v>
      </c>
      <c r="C9108" s="691">
        <v>48.5</v>
      </c>
      <c r="D9108" s="691">
        <v>48.4</v>
      </c>
      <c r="E9108" s="691">
        <v>48.7</v>
      </c>
      <c r="F9108" s="691">
        <v>48.9</v>
      </c>
      <c r="G9108" s="691">
        <v>49.1</v>
      </c>
      <c r="H9108" s="691">
        <v>49.4</v>
      </c>
      <c r="I9108" s="691">
        <v>48.3</v>
      </c>
      <c r="J9108" s="615">
        <v>49</v>
      </c>
      <c r="K9108" s="691">
        <v>49.3</v>
      </c>
    </row>
    <row r="9109" spans="1:11">
      <c r="A9109" s="688" t="s">
        <v>1</v>
      </c>
      <c r="B9109" s="689">
        <v>41.9</v>
      </c>
      <c r="C9109" s="689">
        <v>41.5</v>
      </c>
      <c r="D9109" s="689">
        <v>41.5</v>
      </c>
      <c r="E9109" s="689">
        <v>41.6</v>
      </c>
      <c r="F9109" s="689">
        <v>41.6</v>
      </c>
      <c r="G9109" s="689">
        <v>41.6</v>
      </c>
      <c r="H9109" s="689">
        <v>41.6</v>
      </c>
      <c r="I9109" s="689">
        <v>39.799999999999997</v>
      </c>
      <c r="J9109" s="689">
        <v>38.1</v>
      </c>
      <c r="K9109" s="689">
        <v>40.700000000000003</v>
      </c>
    </row>
    <row r="9110" spans="1:11">
      <c r="A9110" s="688" t="s">
        <v>2240</v>
      </c>
      <c r="B9110" s="691">
        <v>45.1</v>
      </c>
      <c r="C9110" s="691">
        <v>45.6</v>
      </c>
      <c r="D9110" s="691">
        <v>45.5</v>
      </c>
      <c r="E9110" s="691">
        <v>45.9</v>
      </c>
      <c r="F9110" s="691">
        <v>45.9</v>
      </c>
      <c r="G9110" s="691">
        <v>45.9</v>
      </c>
      <c r="H9110" s="691">
        <v>46.2</v>
      </c>
      <c r="I9110" s="691">
        <v>45.1</v>
      </c>
      <c r="J9110" s="691">
        <v>43.9</v>
      </c>
      <c r="K9110" s="691">
        <v>45.9</v>
      </c>
    </row>
    <row r="9111" spans="1:11">
      <c r="A9111" s="688" t="s">
        <v>2</v>
      </c>
      <c r="B9111" s="693">
        <v>48</v>
      </c>
      <c r="C9111" s="689">
        <v>48.4</v>
      </c>
      <c r="D9111" s="689">
        <v>48.5</v>
      </c>
      <c r="E9111" s="689">
        <v>48.7</v>
      </c>
      <c r="F9111" s="689">
        <v>48.9</v>
      </c>
      <c r="G9111" s="689">
        <v>48.8</v>
      </c>
      <c r="H9111" s="689">
        <v>49.1</v>
      </c>
      <c r="I9111" s="689">
        <v>49.3</v>
      </c>
      <c r="J9111" s="689">
        <v>49.2</v>
      </c>
      <c r="K9111" s="689">
        <v>49.1</v>
      </c>
    </row>
    <row r="9112" spans="1:11">
      <c r="A9112" s="688" t="s">
        <v>3</v>
      </c>
      <c r="B9112" s="691">
        <v>47.9</v>
      </c>
      <c r="C9112" s="691">
        <v>48.2</v>
      </c>
      <c r="D9112" s="691">
        <v>47.9</v>
      </c>
      <c r="E9112" s="691">
        <v>48.2</v>
      </c>
      <c r="F9112" s="691">
        <v>48.3</v>
      </c>
      <c r="G9112" s="691">
        <v>48.3</v>
      </c>
      <c r="H9112" s="691">
        <v>48.6</v>
      </c>
      <c r="I9112" s="691">
        <v>48.3</v>
      </c>
      <c r="J9112" s="691">
        <v>47.9</v>
      </c>
      <c r="K9112" s="691">
        <v>47.9</v>
      </c>
    </row>
    <row r="9113" spans="1:11">
      <c r="A9113" s="688" t="s">
        <v>4061</v>
      </c>
      <c r="B9113" s="689">
        <v>47.9</v>
      </c>
      <c r="C9113" s="689">
        <v>48.2</v>
      </c>
      <c r="D9113" s="689">
        <v>47.9</v>
      </c>
      <c r="E9113" s="689">
        <v>48.2</v>
      </c>
      <c r="F9113" s="689">
        <v>48.3</v>
      </c>
      <c r="G9113" s="689">
        <v>48.3</v>
      </c>
      <c r="H9113" s="689">
        <v>48.6</v>
      </c>
      <c r="I9113" s="689">
        <v>48.3</v>
      </c>
      <c r="J9113" s="689">
        <v>47.9</v>
      </c>
      <c r="K9113" s="689">
        <v>47.9</v>
      </c>
    </row>
    <row r="9114" spans="1:11">
      <c r="A9114" s="688" t="s">
        <v>4</v>
      </c>
      <c r="B9114" s="691">
        <v>42.9</v>
      </c>
      <c r="C9114" s="691">
        <v>42.7</v>
      </c>
      <c r="D9114" s="691">
        <v>43.2</v>
      </c>
      <c r="E9114" s="691">
        <v>43.3</v>
      </c>
      <c r="F9114" s="691">
        <v>43.7</v>
      </c>
      <c r="G9114" s="691">
        <v>43.7</v>
      </c>
      <c r="H9114" s="691">
        <v>44.3</v>
      </c>
      <c r="I9114" s="691">
        <v>44.1</v>
      </c>
      <c r="J9114" s="691">
        <v>42.7</v>
      </c>
      <c r="K9114" s="691">
        <v>43.5</v>
      </c>
    </row>
    <row r="9115" spans="1:11">
      <c r="A9115" s="688" t="s">
        <v>8</v>
      </c>
      <c r="B9115" s="689">
        <v>48.9</v>
      </c>
      <c r="C9115" s="689">
        <v>49.2</v>
      </c>
      <c r="D9115" s="689">
        <v>49.4</v>
      </c>
      <c r="E9115" s="689">
        <v>49.5</v>
      </c>
      <c r="F9115" s="689">
        <v>49.9</v>
      </c>
      <c r="G9115" s="689">
        <v>49.9</v>
      </c>
      <c r="H9115" s="689">
        <v>50.3</v>
      </c>
      <c r="I9115" s="689">
        <v>50.2</v>
      </c>
      <c r="J9115" s="693">
        <v>50</v>
      </c>
      <c r="K9115" s="689">
        <v>50.4</v>
      </c>
    </row>
    <row r="9116" spans="1:11">
      <c r="A9116" s="688" t="s">
        <v>7</v>
      </c>
      <c r="B9116" s="691">
        <v>48.6</v>
      </c>
      <c r="C9116" s="691">
        <v>48.1</v>
      </c>
      <c r="D9116" s="691">
        <v>47.9</v>
      </c>
      <c r="E9116" s="691">
        <v>48.3</v>
      </c>
      <c r="F9116" s="691">
        <v>48.2</v>
      </c>
      <c r="G9116" s="691">
        <v>48.6</v>
      </c>
      <c r="H9116" s="691">
        <v>48.6</v>
      </c>
      <c r="I9116" s="691">
        <v>48.3</v>
      </c>
      <c r="J9116" s="691">
        <v>47.2</v>
      </c>
      <c r="K9116" s="615">
        <v>48</v>
      </c>
    </row>
    <row r="9117" spans="1:11">
      <c r="A9117" s="688" t="s">
        <v>27</v>
      </c>
      <c r="B9117" s="689">
        <v>49.8</v>
      </c>
      <c r="C9117" s="689">
        <v>49.7</v>
      </c>
      <c r="D9117" s="689">
        <v>49.5</v>
      </c>
      <c r="E9117" s="689">
        <v>49.9</v>
      </c>
      <c r="F9117" s="689">
        <v>49.9</v>
      </c>
      <c r="G9117" s="693">
        <v>50</v>
      </c>
      <c r="H9117" s="689">
        <v>50.4</v>
      </c>
      <c r="I9117" s="689">
        <v>49.1</v>
      </c>
      <c r="J9117" s="689">
        <v>49.8</v>
      </c>
      <c r="K9117" s="693">
        <v>50</v>
      </c>
    </row>
    <row r="9118" spans="1:11">
      <c r="A9118" s="688" t="s">
        <v>6</v>
      </c>
      <c r="B9118" s="615">
        <v>49</v>
      </c>
      <c r="C9118" s="691">
        <v>49.2</v>
      </c>
      <c r="D9118" s="615">
        <v>49</v>
      </c>
      <c r="E9118" s="691">
        <v>49.2</v>
      </c>
      <c r="F9118" s="691">
        <v>49.4</v>
      </c>
      <c r="G9118" s="691">
        <v>49.5</v>
      </c>
      <c r="H9118" s="691">
        <v>49.7</v>
      </c>
      <c r="I9118" s="615">
        <v>49</v>
      </c>
      <c r="J9118" s="691">
        <v>49.1</v>
      </c>
      <c r="K9118" s="691">
        <v>49.3</v>
      </c>
    </row>
    <row r="9119" spans="1:11">
      <c r="A9119" s="688" t="s">
        <v>4058</v>
      </c>
      <c r="B9119" s="690" t="s">
        <v>4060</v>
      </c>
      <c r="C9119" s="690" t="s">
        <v>4060</v>
      </c>
      <c r="D9119" s="690" t="s">
        <v>4060</v>
      </c>
      <c r="E9119" s="690" t="s">
        <v>4060</v>
      </c>
      <c r="F9119" s="690" t="s">
        <v>4060</v>
      </c>
      <c r="G9119" s="690" t="s">
        <v>4060</v>
      </c>
      <c r="H9119" s="690" t="s">
        <v>4060</v>
      </c>
      <c r="I9119" s="690" t="s">
        <v>4060</v>
      </c>
      <c r="J9119" s="690" t="s">
        <v>4060</v>
      </c>
      <c r="K9119" s="690" t="s">
        <v>4060</v>
      </c>
    </row>
    <row r="9120" spans="1:11">
      <c r="A9120" s="688" t="s">
        <v>11</v>
      </c>
      <c r="B9120" s="691">
        <v>44.5</v>
      </c>
      <c r="C9120" s="691">
        <v>44.6</v>
      </c>
      <c r="D9120" s="691">
        <v>44.2</v>
      </c>
      <c r="E9120" s="691">
        <v>44.8</v>
      </c>
      <c r="F9120" s="691">
        <v>44.8</v>
      </c>
      <c r="G9120" s="691">
        <v>44.8</v>
      </c>
      <c r="H9120" s="691">
        <v>45.2</v>
      </c>
      <c r="I9120" s="691">
        <v>44.5</v>
      </c>
      <c r="J9120" s="691">
        <v>43.4</v>
      </c>
      <c r="K9120" s="691">
        <v>44.6</v>
      </c>
    </row>
    <row r="9121" spans="1:11">
      <c r="A9121" s="688" t="s">
        <v>10</v>
      </c>
      <c r="B9121" s="693">
        <v>50</v>
      </c>
      <c r="C9121" s="689">
        <v>50.1</v>
      </c>
      <c r="D9121" s="689">
        <v>49.8</v>
      </c>
      <c r="E9121" s="689">
        <v>50.4</v>
      </c>
      <c r="F9121" s="689">
        <v>50.3</v>
      </c>
      <c r="G9121" s="689">
        <v>50.6</v>
      </c>
      <c r="H9121" s="689">
        <v>50.8</v>
      </c>
      <c r="I9121" s="689">
        <v>49.5</v>
      </c>
      <c r="J9121" s="693">
        <v>50</v>
      </c>
      <c r="K9121" s="689">
        <v>50.3</v>
      </c>
    </row>
    <row r="9122" spans="1:11">
      <c r="A9122" s="688" t="s">
        <v>30</v>
      </c>
      <c r="B9122" s="691">
        <v>49.8</v>
      </c>
      <c r="C9122" s="691">
        <v>49.9</v>
      </c>
      <c r="D9122" s="691">
        <v>49.7</v>
      </c>
      <c r="E9122" s="691">
        <v>50.3</v>
      </c>
      <c r="F9122" s="615">
        <v>50</v>
      </c>
      <c r="G9122" s="691">
        <v>50.8</v>
      </c>
      <c r="H9122" s="691">
        <v>50.5</v>
      </c>
      <c r="I9122" s="691">
        <v>50.5</v>
      </c>
      <c r="J9122" s="691">
        <v>49.6</v>
      </c>
      <c r="K9122" s="691">
        <v>50.1</v>
      </c>
    </row>
    <row r="9123" spans="1:11">
      <c r="A9123" s="688" t="s">
        <v>12</v>
      </c>
      <c r="B9123" s="689">
        <v>39.700000000000003</v>
      </c>
      <c r="C9123" s="689">
        <v>39.6</v>
      </c>
      <c r="D9123" s="689">
        <v>40.1</v>
      </c>
      <c r="E9123" s="689">
        <v>40.1</v>
      </c>
      <c r="F9123" s="689">
        <v>40.200000000000003</v>
      </c>
      <c r="G9123" s="689">
        <v>40.299999999999997</v>
      </c>
      <c r="H9123" s="689">
        <v>41.1</v>
      </c>
      <c r="I9123" s="689">
        <v>40.799999999999997</v>
      </c>
      <c r="J9123" s="689">
        <v>38.4</v>
      </c>
      <c r="K9123" s="689">
        <v>39.6</v>
      </c>
    </row>
    <row r="9124" spans="1:11">
      <c r="A9124" s="688" t="s">
        <v>14</v>
      </c>
      <c r="B9124" s="691">
        <v>39.200000000000003</v>
      </c>
      <c r="C9124" s="691">
        <v>39.799999999999997</v>
      </c>
      <c r="D9124" s="691">
        <v>39.799999999999997</v>
      </c>
      <c r="E9124" s="691">
        <v>39.9</v>
      </c>
      <c r="F9124" s="615">
        <v>41</v>
      </c>
      <c r="G9124" s="691">
        <v>41.2</v>
      </c>
      <c r="H9124" s="691">
        <v>41.7</v>
      </c>
      <c r="I9124" s="691">
        <v>40.299999999999997</v>
      </c>
      <c r="J9124" s="691">
        <v>39.799999999999997</v>
      </c>
      <c r="K9124" s="691">
        <v>41.3</v>
      </c>
    </row>
    <row r="9125" spans="1:11">
      <c r="A9125" s="688" t="s">
        <v>15</v>
      </c>
      <c r="B9125" s="689">
        <v>49.6</v>
      </c>
      <c r="C9125" s="689">
        <v>48.8</v>
      </c>
      <c r="D9125" s="689">
        <v>49.7</v>
      </c>
      <c r="E9125" s="689">
        <v>49.6</v>
      </c>
      <c r="F9125" s="689">
        <v>49.5</v>
      </c>
      <c r="G9125" s="689">
        <v>49.5</v>
      </c>
      <c r="H9125" s="689">
        <v>50.1</v>
      </c>
      <c r="I9125" s="689">
        <v>49.5</v>
      </c>
      <c r="J9125" s="689">
        <v>49.9</v>
      </c>
      <c r="K9125" s="689">
        <v>50.6</v>
      </c>
    </row>
    <row r="9126" spans="1:11">
      <c r="A9126" s="688" t="s">
        <v>29</v>
      </c>
      <c r="B9126" s="691">
        <v>42.1</v>
      </c>
      <c r="C9126" s="691">
        <v>42.2</v>
      </c>
      <c r="D9126" s="691">
        <v>42.2</v>
      </c>
      <c r="E9126" s="691">
        <v>42.4</v>
      </c>
      <c r="F9126" s="691">
        <v>42.3</v>
      </c>
      <c r="G9126" s="691">
        <v>42.4</v>
      </c>
      <c r="H9126" s="691">
        <v>42.8</v>
      </c>
      <c r="I9126" s="615">
        <v>42</v>
      </c>
      <c r="J9126" s="691">
        <v>40.6</v>
      </c>
      <c r="K9126" s="691">
        <v>42.4</v>
      </c>
    </row>
    <row r="9127" spans="1:11">
      <c r="A9127" s="688" t="s">
        <v>16</v>
      </c>
      <c r="B9127" s="689">
        <v>49.5</v>
      </c>
      <c r="C9127" s="689">
        <v>49.5</v>
      </c>
      <c r="D9127" s="689">
        <v>49.7</v>
      </c>
      <c r="E9127" s="689">
        <v>50.3</v>
      </c>
      <c r="F9127" s="689">
        <v>50.1</v>
      </c>
      <c r="G9127" s="693">
        <v>50</v>
      </c>
      <c r="H9127" s="689">
        <v>50.5</v>
      </c>
      <c r="I9127" s="689">
        <v>49.5</v>
      </c>
      <c r="J9127" s="693">
        <v>50</v>
      </c>
      <c r="K9127" s="689">
        <v>50.1</v>
      </c>
    </row>
    <row r="9128" spans="1:11">
      <c r="A9128" s="688" t="s">
        <v>17</v>
      </c>
      <c r="B9128" s="691">
        <v>49.3</v>
      </c>
      <c r="C9128" s="691">
        <v>49.6</v>
      </c>
      <c r="D9128" s="691">
        <v>49.4</v>
      </c>
      <c r="E9128" s="691">
        <v>49.6</v>
      </c>
      <c r="F9128" s="691">
        <v>49.8</v>
      </c>
      <c r="G9128" s="691">
        <v>49.9</v>
      </c>
      <c r="H9128" s="691">
        <v>50.2</v>
      </c>
      <c r="I9128" s="691">
        <v>49.4</v>
      </c>
      <c r="J9128" s="691">
        <v>49.4</v>
      </c>
      <c r="K9128" s="691">
        <v>49.8</v>
      </c>
    </row>
    <row r="9129" spans="1:11">
      <c r="A9129" s="688" t="s">
        <v>19</v>
      </c>
      <c r="B9129" s="689">
        <v>48.5</v>
      </c>
      <c r="C9129" s="689">
        <v>48.7</v>
      </c>
      <c r="D9129" s="689">
        <v>48.5</v>
      </c>
      <c r="E9129" s="693">
        <v>49</v>
      </c>
      <c r="F9129" s="689">
        <v>49.1</v>
      </c>
      <c r="G9129" s="689">
        <v>49.1</v>
      </c>
      <c r="H9129" s="689">
        <v>49.4</v>
      </c>
      <c r="I9129" s="689">
        <v>48.7</v>
      </c>
      <c r="J9129" s="689">
        <v>48.6</v>
      </c>
      <c r="K9129" s="689">
        <v>48.8</v>
      </c>
    </row>
    <row r="9130" spans="1:11">
      <c r="A9130" s="688" t="s">
        <v>20</v>
      </c>
      <c r="B9130" s="691">
        <v>43.2</v>
      </c>
      <c r="C9130" s="691">
        <v>43.8</v>
      </c>
      <c r="D9130" s="691">
        <v>43.6</v>
      </c>
      <c r="E9130" s="691">
        <v>43.9</v>
      </c>
      <c r="F9130" s="691">
        <v>43.9</v>
      </c>
      <c r="G9130" s="691">
        <v>43.8</v>
      </c>
      <c r="H9130" s="691">
        <v>44.1</v>
      </c>
      <c r="I9130" s="691">
        <v>42.4</v>
      </c>
      <c r="J9130" s="691">
        <v>41.6</v>
      </c>
      <c r="K9130" s="691">
        <v>43.4</v>
      </c>
    </row>
    <row r="9131" spans="1:11">
      <c r="A9131" s="688" t="s">
        <v>21</v>
      </c>
      <c r="B9131" s="689">
        <v>47.4</v>
      </c>
      <c r="C9131" s="689">
        <v>47.9</v>
      </c>
      <c r="D9131" s="693">
        <v>48</v>
      </c>
      <c r="E9131" s="693">
        <v>48</v>
      </c>
      <c r="F9131" s="689">
        <v>48.3</v>
      </c>
      <c r="G9131" s="689">
        <v>48.3</v>
      </c>
      <c r="H9131" s="689">
        <v>48.7</v>
      </c>
      <c r="I9131" s="689">
        <v>48.1</v>
      </c>
      <c r="J9131" s="689">
        <v>48.1</v>
      </c>
      <c r="K9131" s="689">
        <v>48.6</v>
      </c>
    </row>
    <row r="9132" spans="1:11">
      <c r="A9132" s="688" t="s">
        <v>22</v>
      </c>
      <c r="B9132" s="691">
        <v>42.3</v>
      </c>
      <c r="C9132" s="691">
        <v>41.9</v>
      </c>
      <c r="D9132" s="691">
        <v>41.9</v>
      </c>
      <c r="E9132" s="615">
        <v>42</v>
      </c>
      <c r="F9132" s="615">
        <v>42</v>
      </c>
      <c r="G9132" s="691">
        <v>41.9</v>
      </c>
      <c r="H9132" s="691">
        <v>42.2</v>
      </c>
      <c r="I9132" s="691">
        <v>40.5</v>
      </c>
      <c r="J9132" s="691">
        <v>39.4</v>
      </c>
      <c r="K9132" s="691">
        <v>41.5</v>
      </c>
    </row>
    <row r="9133" spans="1:11">
      <c r="A9133" s="688" t="s">
        <v>26</v>
      </c>
      <c r="B9133" s="689">
        <v>47.1</v>
      </c>
      <c r="C9133" s="689">
        <v>47.6</v>
      </c>
      <c r="D9133" s="689">
        <v>47.4</v>
      </c>
      <c r="E9133" s="689">
        <v>47.8</v>
      </c>
      <c r="F9133" s="689">
        <v>47.8</v>
      </c>
      <c r="G9133" s="689">
        <v>48.1</v>
      </c>
      <c r="H9133" s="689">
        <v>48.3</v>
      </c>
      <c r="I9133" s="689">
        <v>47.4</v>
      </c>
      <c r="J9133" s="689">
        <v>47.3</v>
      </c>
      <c r="K9133" s="689">
        <v>48.2</v>
      </c>
    </row>
    <row r="9134" spans="1:11">
      <c r="A9134" s="688" t="s">
        <v>25</v>
      </c>
      <c r="B9134" s="691">
        <v>43.1</v>
      </c>
      <c r="C9134" s="691">
        <v>43.5</v>
      </c>
      <c r="D9134" s="691">
        <v>43.3</v>
      </c>
      <c r="E9134" s="691">
        <v>43.9</v>
      </c>
      <c r="F9134" s="691">
        <v>43.9</v>
      </c>
      <c r="G9134" s="615">
        <v>44</v>
      </c>
      <c r="H9134" s="691">
        <v>44.4</v>
      </c>
      <c r="I9134" s="691">
        <v>43.7</v>
      </c>
      <c r="J9134" s="691">
        <v>41.3</v>
      </c>
      <c r="K9134" s="691">
        <v>43.7</v>
      </c>
    </row>
    <row r="9135" spans="1:11">
      <c r="A9135" s="688" t="s">
        <v>5</v>
      </c>
      <c r="B9135" s="689">
        <v>47.9</v>
      </c>
      <c r="C9135" s="689">
        <v>48.1</v>
      </c>
      <c r="D9135" s="689">
        <v>48.3</v>
      </c>
      <c r="E9135" s="689">
        <v>48.2</v>
      </c>
      <c r="F9135" s="689">
        <v>48.6</v>
      </c>
      <c r="G9135" s="689">
        <v>48.8</v>
      </c>
      <c r="H9135" s="689">
        <v>49.1</v>
      </c>
      <c r="I9135" s="693">
        <v>49</v>
      </c>
      <c r="J9135" s="693">
        <v>49</v>
      </c>
      <c r="K9135" s="689">
        <v>48.5</v>
      </c>
    </row>
    <row r="9136" spans="1:11">
      <c r="A9136" s="688" t="s">
        <v>23</v>
      </c>
      <c r="B9136" s="615">
        <v>50</v>
      </c>
      <c r="C9136" s="691">
        <v>50.1</v>
      </c>
      <c r="D9136" s="691">
        <v>50.2</v>
      </c>
      <c r="E9136" s="691">
        <v>50.3</v>
      </c>
      <c r="F9136" s="691">
        <v>50.5</v>
      </c>
      <c r="G9136" s="691">
        <v>50.6</v>
      </c>
      <c r="H9136" s="691">
        <v>51.1</v>
      </c>
      <c r="I9136" s="691">
        <v>50.4</v>
      </c>
      <c r="J9136" s="691">
        <v>50.9</v>
      </c>
      <c r="K9136" s="691">
        <v>51.1</v>
      </c>
    </row>
    <row r="9137" spans="1:11">
      <c r="A9137" s="688" t="s">
        <v>4067</v>
      </c>
      <c r="B9137" s="689">
        <v>47.7</v>
      </c>
      <c r="C9137" s="693">
        <v>48</v>
      </c>
      <c r="D9137" s="689">
        <v>47.8</v>
      </c>
      <c r="E9137" s="689">
        <v>48.1</v>
      </c>
      <c r="F9137" s="689">
        <v>48.2</v>
      </c>
      <c r="G9137" s="689">
        <v>48.2</v>
      </c>
      <c r="H9137" s="690" t="s">
        <v>4060</v>
      </c>
      <c r="I9137" s="690" t="s">
        <v>4060</v>
      </c>
      <c r="J9137" s="690" t="s">
        <v>4060</v>
      </c>
      <c r="K9137" s="690" t="s">
        <v>4060</v>
      </c>
    </row>
    <row r="9138" spans="1:11">
      <c r="A9138" s="688" t="s">
        <v>4066</v>
      </c>
      <c r="B9138" s="691">
        <v>47.7</v>
      </c>
      <c r="C9138" s="615">
        <v>48</v>
      </c>
      <c r="D9138" s="691">
        <v>47.8</v>
      </c>
      <c r="E9138" s="691">
        <v>48.1</v>
      </c>
      <c r="F9138" s="691">
        <v>48.2</v>
      </c>
      <c r="G9138" s="691">
        <v>48.3</v>
      </c>
      <c r="H9138" s="692" t="s">
        <v>4060</v>
      </c>
      <c r="I9138" s="692" t="s">
        <v>4060</v>
      </c>
      <c r="J9138" s="692" t="s">
        <v>4060</v>
      </c>
      <c r="K9138" s="692" t="s">
        <v>4060</v>
      </c>
    </row>
    <row r="9139" spans="1:11">
      <c r="A9139" s="688" t="s">
        <v>4062</v>
      </c>
      <c r="B9139" s="689">
        <v>50.2</v>
      </c>
      <c r="C9139" s="689">
        <v>50.4</v>
      </c>
      <c r="D9139" s="689">
        <v>50.4</v>
      </c>
      <c r="E9139" s="689">
        <v>50.8</v>
      </c>
      <c r="F9139" s="693">
        <v>51</v>
      </c>
      <c r="G9139" s="689">
        <v>51.2</v>
      </c>
      <c r="H9139" s="689">
        <v>51.4</v>
      </c>
      <c r="I9139" s="689">
        <v>50.9</v>
      </c>
      <c r="J9139" s="689">
        <v>51.3</v>
      </c>
      <c r="K9139" s="689">
        <v>51.1</v>
      </c>
    </row>
    <row r="9140" spans="1:11">
      <c r="A9140" s="688" t="s">
        <v>9</v>
      </c>
      <c r="B9140" s="691">
        <v>50.2</v>
      </c>
      <c r="C9140" s="691">
        <v>50.7</v>
      </c>
      <c r="D9140" s="615">
        <v>51</v>
      </c>
      <c r="E9140" s="691">
        <v>50.1</v>
      </c>
      <c r="F9140" s="691">
        <v>50.6</v>
      </c>
      <c r="G9140" s="615">
        <v>51</v>
      </c>
      <c r="H9140" s="615">
        <v>51</v>
      </c>
      <c r="I9140" s="691">
        <v>51.3</v>
      </c>
      <c r="J9140" s="691">
        <v>51.6</v>
      </c>
      <c r="K9140" s="691">
        <v>50.4</v>
      </c>
    </row>
    <row r="9141" spans="1:11">
      <c r="A9141" s="688" t="s">
        <v>13</v>
      </c>
      <c r="B9141" s="693">
        <v>50</v>
      </c>
      <c r="C9141" s="693">
        <v>50</v>
      </c>
      <c r="D9141" s="689">
        <v>50.6</v>
      </c>
      <c r="E9141" s="689">
        <v>49.9</v>
      </c>
      <c r="F9141" s="689">
        <v>50.8</v>
      </c>
      <c r="G9141" s="689">
        <v>50.1</v>
      </c>
      <c r="H9141" s="689">
        <v>51.6</v>
      </c>
      <c r="I9141" s="689">
        <v>50.6</v>
      </c>
      <c r="J9141" s="689">
        <v>51.7</v>
      </c>
      <c r="K9141" s="689">
        <v>52.4</v>
      </c>
    </row>
    <row r="9142" spans="1:11">
      <c r="A9142" s="688" t="s">
        <v>18</v>
      </c>
      <c r="B9142" s="691">
        <v>49.6</v>
      </c>
      <c r="C9142" s="691">
        <v>49.8</v>
      </c>
      <c r="D9142" s="691">
        <v>50.1</v>
      </c>
      <c r="E9142" s="691">
        <v>50.3</v>
      </c>
      <c r="F9142" s="691">
        <v>50.6</v>
      </c>
      <c r="G9142" s="691">
        <v>50.7</v>
      </c>
      <c r="H9142" s="615">
        <v>51</v>
      </c>
      <c r="I9142" s="691">
        <v>51.2</v>
      </c>
      <c r="J9142" s="691">
        <v>51.2</v>
      </c>
      <c r="K9142" s="691">
        <v>50.6</v>
      </c>
    </row>
    <row r="9143" spans="1:11">
      <c r="A9143" s="688" t="s">
        <v>24</v>
      </c>
      <c r="B9143" s="689">
        <v>50.5</v>
      </c>
      <c r="C9143" s="689">
        <v>50.7</v>
      </c>
      <c r="D9143" s="689">
        <v>50.6</v>
      </c>
      <c r="E9143" s="689">
        <v>51.2</v>
      </c>
      <c r="F9143" s="689">
        <v>51.2</v>
      </c>
      <c r="G9143" s="689">
        <v>51.4</v>
      </c>
      <c r="H9143" s="689">
        <v>51.6</v>
      </c>
      <c r="I9143" s="689">
        <v>50.8</v>
      </c>
      <c r="J9143" s="689">
        <v>51.4</v>
      </c>
      <c r="K9143" s="689">
        <v>51.4</v>
      </c>
    </row>
    <row r="9144" spans="1:11">
      <c r="A9144" s="688" t="s">
        <v>4059</v>
      </c>
      <c r="B9144" s="691">
        <v>49.1</v>
      </c>
      <c r="C9144" s="691">
        <v>49.4</v>
      </c>
      <c r="D9144" s="691">
        <v>49.1</v>
      </c>
      <c r="E9144" s="691">
        <v>49.3</v>
      </c>
      <c r="F9144" s="691">
        <v>49.3</v>
      </c>
      <c r="G9144" s="691">
        <v>49.4</v>
      </c>
      <c r="H9144" s="692" t="s">
        <v>4060</v>
      </c>
      <c r="I9144" s="692" t="s">
        <v>4060</v>
      </c>
      <c r="J9144" s="692" t="s">
        <v>4060</v>
      </c>
      <c r="K9144" s="692" t="s">
        <v>4060</v>
      </c>
    </row>
    <row r="9145" spans="1:11">
      <c r="A9145" s="688" t="s">
        <v>2324</v>
      </c>
      <c r="B9145" s="689">
        <v>44.1</v>
      </c>
      <c r="C9145" s="689">
        <v>44.2</v>
      </c>
      <c r="D9145" s="689">
        <v>44.2</v>
      </c>
      <c r="E9145" s="689">
        <v>43.9</v>
      </c>
      <c r="F9145" s="689">
        <v>43.8</v>
      </c>
      <c r="G9145" s="689">
        <v>44.3</v>
      </c>
      <c r="H9145" s="689">
        <v>43.9</v>
      </c>
      <c r="I9145" s="693">
        <v>43</v>
      </c>
      <c r="J9145" s="689">
        <v>40.5</v>
      </c>
      <c r="K9145" s="690" t="s">
        <v>4060</v>
      </c>
    </row>
    <row r="9146" spans="1:11">
      <c r="A9146" s="688" t="s">
        <v>2322</v>
      </c>
      <c r="B9146" s="692" t="s">
        <v>4060</v>
      </c>
      <c r="C9146" s="692" t="s">
        <v>4060</v>
      </c>
      <c r="D9146" s="692" t="s">
        <v>4060</v>
      </c>
      <c r="E9146" s="692" t="s">
        <v>4060</v>
      </c>
      <c r="F9146" s="692" t="s">
        <v>4060</v>
      </c>
      <c r="G9146" s="692" t="s">
        <v>4060</v>
      </c>
      <c r="H9146" s="692" t="s">
        <v>4060</v>
      </c>
      <c r="I9146" s="692" t="s">
        <v>4060</v>
      </c>
      <c r="J9146" s="692" t="s">
        <v>4060</v>
      </c>
      <c r="K9146" s="692" t="s">
        <v>4060</v>
      </c>
    </row>
    <row r="9147" spans="1:11">
      <c r="A9147" s="688" t="s">
        <v>2328</v>
      </c>
      <c r="B9147" s="689">
        <v>43.8</v>
      </c>
      <c r="C9147" s="689">
        <v>43.9</v>
      </c>
      <c r="D9147" s="689">
        <v>43.9</v>
      </c>
      <c r="E9147" s="689">
        <v>43.9</v>
      </c>
      <c r="F9147" s="689">
        <v>44.4</v>
      </c>
      <c r="G9147" s="689">
        <v>44.7</v>
      </c>
      <c r="H9147" s="689">
        <v>44.7</v>
      </c>
      <c r="I9147" s="689">
        <v>42.1</v>
      </c>
      <c r="J9147" s="689">
        <v>41.1</v>
      </c>
      <c r="K9147" s="690" t="s">
        <v>4060</v>
      </c>
    </row>
    <row r="9148" spans="1:11">
      <c r="A9148" s="688" t="s">
        <v>2496</v>
      </c>
      <c r="B9148" s="692" t="s">
        <v>4060</v>
      </c>
      <c r="C9148" s="691">
        <v>40.799999999999997</v>
      </c>
      <c r="D9148" s="691">
        <v>39.6</v>
      </c>
      <c r="E9148" s="691">
        <v>39.299999999999997</v>
      </c>
      <c r="F9148" s="691">
        <v>40.1</v>
      </c>
      <c r="G9148" s="691">
        <v>40.4</v>
      </c>
      <c r="H9148" s="691">
        <v>40.5</v>
      </c>
      <c r="I9148" s="692" t="s">
        <v>4060</v>
      </c>
      <c r="J9148" s="692" t="s">
        <v>4060</v>
      </c>
      <c r="K9148" s="691">
        <v>39.9</v>
      </c>
    </row>
    <row r="9149" spans="1:11">
      <c r="A9149" s="688" t="s">
        <v>2269</v>
      </c>
      <c r="B9149" s="689">
        <v>46.7</v>
      </c>
      <c r="C9149" s="689">
        <v>46.9</v>
      </c>
      <c r="D9149" s="689">
        <v>46.7</v>
      </c>
      <c r="E9149" s="689">
        <v>47.4</v>
      </c>
      <c r="F9149" s="689">
        <v>47.5</v>
      </c>
      <c r="G9149" s="689">
        <v>47.8</v>
      </c>
      <c r="H9149" s="689">
        <v>48.1</v>
      </c>
      <c r="I9149" s="689">
        <v>45.5</v>
      </c>
      <c r="J9149" s="689">
        <v>43.8</v>
      </c>
      <c r="K9149" s="689">
        <v>47.6</v>
      </c>
    </row>
    <row r="9150" spans="1:11">
      <c r="A9150" s="688" t="s">
        <v>2349</v>
      </c>
      <c r="B9150" s="691">
        <v>42.8</v>
      </c>
      <c r="C9150" s="615">
        <v>43</v>
      </c>
      <c r="D9150" s="691">
        <v>42.8</v>
      </c>
      <c r="E9150" s="691">
        <v>43.3</v>
      </c>
      <c r="F9150" s="691">
        <v>43.2</v>
      </c>
      <c r="G9150" s="691">
        <v>43.5</v>
      </c>
      <c r="H9150" s="691">
        <v>43.4</v>
      </c>
      <c r="I9150" s="691">
        <v>41.6</v>
      </c>
      <c r="J9150" s="691">
        <v>40.1</v>
      </c>
      <c r="K9150" s="691">
        <v>42.7</v>
      </c>
    </row>
    <row r="9151" spans="1:11">
      <c r="A9151" s="688" t="s">
        <v>2355</v>
      </c>
      <c r="B9151" s="689">
        <v>46.3</v>
      </c>
      <c r="C9151" s="689">
        <v>46.3</v>
      </c>
      <c r="D9151" s="689">
        <v>46.3</v>
      </c>
      <c r="E9151" s="689">
        <v>46.2</v>
      </c>
      <c r="F9151" s="689">
        <v>46.5</v>
      </c>
      <c r="G9151" s="689">
        <v>46.9</v>
      </c>
      <c r="H9151" s="693">
        <v>47</v>
      </c>
      <c r="I9151" s="690" t="s">
        <v>4060</v>
      </c>
      <c r="J9151" s="690" t="s">
        <v>4060</v>
      </c>
      <c r="K9151" s="690" t="s">
        <v>4060</v>
      </c>
    </row>
    <row r="9152" spans="1:11">
      <c r="A9152" s="688" t="s">
        <v>2357</v>
      </c>
      <c r="B9152" s="692" t="s">
        <v>4060</v>
      </c>
      <c r="C9152" s="691">
        <v>37.700000000000003</v>
      </c>
      <c r="D9152" s="691">
        <v>38.4</v>
      </c>
      <c r="E9152" s="691">
        <v>38.700000000000003</v>
      </c>
      <c r="F9152" s="615">
        <v>39</v>
      </c>
      <c r="G9152" s="691">
        <v>38.700000000000003</v>
      </c>
      <c r="H9152" s="691">
        <v>38.9</v>
      </c>
      <c r="I9152" s="692" t="s">
        <v>4060</v>
      </c>
      <c r="J9152" s="692" t="s">
        <v>4060</v>
      </c>
      <c r="K9152" s="692" t="s">
        <v>4060</v>
      </c>
    </row>
    <row r="9153" spans="1:11">
      <c r="A9153" s="688" t="s">
        <v>4070</v>
      </c>
      <c r="B9153" s="690" t="s">
        <v>4060</v>
      </c>
      <c r="C9153" s="690" t="s">
        <v>4060</v>
      </c>
      <c r="D9153" s="690" t="s">
        <v>4060</v>
      </c>
      <c r="E9153" s="689">
        <v>45.9</v>
      </c>
      <c r="F9153" s="690" t="s">
        <v>4060</v>
      </c>
      <c r="G9153" s="690" t="s">
        <v>4060</v>
      </c>
      <c r="H9153" s="690" t="s">
        <v>4060</v>
      </c>
      <c r="I9153" s="690" t="s">
        <v>4060</v>
      </c>
      <c r="J9153" s="690" t="s">
        <v>4060</v>
      </c>
      <c r="K9153" s="690" t="s">
        <v>4060</v>
      </c>
    </row>
    <row r="9154" spans="1:11">
      <c r="A9154" s="688" t="s">
        <v>2491</v>
      </c>
      <c r="B9154" s="691">
        <v>37.700000000000003</v>
      </c>
      <c r="C9154" s="691">
        <v>38.299999999999997</v>
      </c>
      <c r="D9154" s="691">
        <v>38.799999999999997</v>
      </c>
      <c r="E9154" s="691">
        <v>39.1</v>
      </c>
      <c r="F9154" s="691">
        <v>39.299999999999997</v>
      </c>
      <c r="G9154" s="691">
        <v>39.200000000000003</v>
      </c>
      <c r="H9154" s="692" t="s">
        <v>4060</v>
      </c>
      <c r="I9154" s="692" t="s">
        <v>4060</v>
      </c>
      <c r="J9154" s="692" t="s">
        <v>4060</v>
      </c>
      <c r="K9154" s="692" t="s">
        <v>4060</v>
      </c>
    </row>
    <row r="9155" spans="1:11">
      <c r="A9155" s="688" t="s">
        <v>2343</v>
      </c>
      <c r="B9155" s="690" t="s">
        <v>4060</v>
      </c>
      <c r="C9155" s="690" t="s">
        <v>4060</v>
      </c>
      <c r="D9155" s="690" t="s">
        <v>4060</v>
      </c>
      <c r="E9155" s="690" t="s">
        <v>4060</v>
      </c>
      <c r="F9155" s="690" t="s">
        <v>4060</v>
      </c>
      <c r="G9155" s="690" t="s">
        <v>4060</v>
      </c>
      <c r="H9155" s="690" t="s">
        <v>4060</v>
      </c>
      <c r="I9155" s="690" t="s">
        <v>4060</v>
      </c>
      <c r="J9155" s="690" t="s">
        <v>4060</v>
      </c>
      <c r="K9155" s="690" t="s">
        <v>4060</v>
      </c>
    </row>
    <row r="9156" spans="1:11">
      <c r="A9156" s="688" t="s">
        <v>4071</v>
      </c>
      <c r="B9156" s="692" t="s">
        <v>4060</v>
      </c>
      <c r="C9156" s="692" t="s">
        <v>4060</v>
      </c>
      <c r="D9156" s="692" t="s">
        <v>4060</v>
      </c>
      <c r="E9156" s="692" t="s">
        <v>4060</v>
      </c>
      <c r="F9156" s="692" t="s">
        <v>4060</v>
      </c>
      <c r="G9156" s="692" t="s">
        <v>4060</v>
      </c>
      <c r="H9156" s="692" t="s">
        <v>4060</v>
      </c>
      <c r="I9156" s="692" t="s">
        <v>4060</v>
      </c>
      <c r="J9156" s="692" t="s">
        <v>4060</v>
      </c>
      <c r="K9156" s="692" t="s">
        <v>4060</v>
      </c>
    </row>
    <row r="9157" spans="1:11">
      <c r="A9157" s="688" t="s">
        <v>2489</v>
      </c>
      <c r="B9157" s="690" t="s">
        <v>4060</v>
      </c>
      <c r="C9157" s="690" t="s">
        <v>4060</v>
      </c>
      <c r="D9157" s="689">
        <v>42.3</v>
      </c>
      <c r="E9157" s="689">
        <v>42.3</v>
      </c>
      <c r="F9157" s="689">
        <v>42.9</v>
      </c>
      <c r="G9157" s="689">
        <v>43.7</v>
      </c>
      <c r="H9157" s="689">
        <v>43.4</v>
      </c>
      <c r="I9157" s="690" t="s">
        <v>4060</v>
      </c>
      <c r="J9157" s="690" t="s">
        <v>4060</v>
      </c>
      <c r="K9157" s="690" t="s">
        <v>4060</v>
      </c>
    </row>
    <row r="9158" spans="1:11">
      <c r="A9158" s="688" t="s">
        <v>2490</v>
      </c>
      <c r="B9158" s="615">
        <v>43</v>
      </c>
      <c r="C9158" s="691">
        <v>43.1</v>
      </c>
      <c r="D9158" s="691">
        <v>43.9</v>
      </c>
      <c r="E9158" s="692" t="s">
        <v>4060</v>
      </c>
      <c r="F9158" s="691">
        <v>44.1</v>
      </c>
      <c r="G9158" s="691">
        <v>44.4</v>
      </c>
      <c r="H9158" s="691">
        <v>45.3</v>
      </c>
      <c r="I9158" s="692" t="s">
        <v>4060</v>
      </c>
      <c r="J9158" s="692" t="s">
        <v>4060</v>
      </c>
      <c r="K9158" s="692" t="s">
        <v>4060</v>
      </c>
    </row>
    <row r="9160" spans="1:11">
      <c r="A9160" s="683" t="s">
        <v>4233</v>
      </c>
    </row>
    <row r="9161" spans="1:11">
      <c r="A9161" s="683" t="s">
        <v>4060</v>
      </c>
      <c r="B9161" s="682" t="s">
        <v>4234</v>
      </c>
    </row>
    <row r="9163" spans="1:11">
      <c r="A9163" s="682" t="s">
        <v>4331</v>
      </c>
    </row>
    <row r="9164" spans="1:11">
      <c r="A9164" s="682" t="s">
        <v>4210</v>
      </c>
      <c r="B9164" s="683" t="s">
        <v>4211</v>
      </c>
    </row>
    <row r="9165" spans="1:11">
      <c r="A9165" s="682" t="s">
        <v>4212</v>
      </c>
      <c r="B9165" s="682" t="s">
        <v>4213</v>
      </c>
    </row>
    <row r="9167" spans="1:11">
      <c r="A9167" s="683" t="s">
        <v>4214</v>
      </c>
      <c r="C9167" s="682" t="s">
        <v>4215</v>
      </c>
    </row>
    <row r="9168" spans="1:11">
      <c r="A9168" s="683" t="s">
        <v>4216</v>
      </c>
      <c r="C9168" s="682" t="s">
        <v>2967</v>
      </c>
    </row>
    <row r="9169" spans="1:11">
      <c r="A9169" s="683" t="s">
        <v>3893</v>
      </c>
      <c r="C9169" s="682" t="s">
        <v>2168</v>
      </c>
    </row>
    <row r="9170" spans="1:11">
      <c r="A9170" s="683" t="s">
        <v>4218</v>
      </c>
      <c r="C9170" s="682" t="s">
        <v>4267</v>
      </c>
    </row>
    <row r="9172" spans="1:11">
      <c r="A9172" s="684" t="s">
        <v>4220</v>
      </c>
      <c r="B9172" s="685" t="s">
        <v>4221</v>
      </c>
      <c r="C9172" s="685" t="s">
        <v>4222</v>
      </c>
      <c r="D9172" s="685" t="s">
        <v>4223</v>
      </c>
      <c r="E9172" s="685" t="s">
        <v>4224</v>
      </c>
      <c r="F9172" s="685" t="s">
        <v>4225</v>
      </c>
      <c r="G9172" s="685" t="s">
        <v>4226</v>
      </c>
      <c r="H9172" s="685" t="s">
        <v>4227</v>
      </c>
      <c r="I9172" s="685" t="s">
        <v>4228</v>
      </c>
      <c r="J9172" s="685" t="s">
        <v>4229</v>
      </c>
      <c r="K9172" s="685" t="s">
        <v>4230</v>
      </c>
    </row>
    <row r="9173" spans="1:11">
      <c r="A9173" s="686" t="s">
        <v>4231</v>
      </c>
      <c r="B9173" s="687" t="s">
        <v>4232</v>
      </c>
      <c r="C9173" s="687" t="s">
        <v>4232</v>
      </c>
      <c r="D9173" s="687" t="s">
        <v>4232</v>
      </c>
      <c r="E9173" s="687" t="s">
        <v>4232</v>
      </c>
      <c r="F9173" s="687" t="s">
        <v>4232</v>
      </c>
      <c r="G9173" s="687" t="s">
        <v>4232</v>
      </c>
      <c r="H9173" s="687" t="s">
        <v>4232</v>
      </c>
      <c r="I9173" s="687" t="s">
        <v>4232</v>
      </c>
      <c r="J9173" s="687" t="s">
        <v>4232</v>
      </c>
      <c r="K9173" s="687" t="s">
        <v>4232</v>
      </c>
    </row>
    <row r="9174" spans="1:11">
      <c r="A9174" s="688" t="s">
        <v>4064</v>
      </c>
      <c r="B9174" s="691">
        <v>46.5</v>
      </c>
      <c r="C9174" s="691">
        <v>46.7</v>
      </c>
      <c r="D9174" s="691">
        <v>46.6</v>
      </c>
      <c r="E9174" s="691">
        <v>46.8</v>
      </c>
      <c r="F9174" s="691">
        <v>46.9</v>
      </c>
      <c r="G9174" s="691">
        <v>46.9</v>
      </c>
      <c r="H9174" s="691">
        <v>47.2</v>
      </c>
      <c r="I9174" s="691">
        <v>46.3</v>
      </c>
      <c r="J9174" s="615">
        <v>46</v>
      </c>
      <c r="K9174" s="691">
        <v>46.7</v>
      </c>
    </row>
    <row r="9175" spans="1:11">
      <c r="A9175" s="688" t="s">
        <v>4065</v>
      </c>
      <c r="B9175" s="689">
        <v>46.7</v>
      </c>
      <c r="C9175" s="693">
        <v>47</v>
      </c>
      <c r="D9175" s="689">
        <v>46.8</v>
      </c>
      <c r="E9175" s="689">
        <v>47.1</v>
      </c>
      <c r="F9175" s="689">
        <v>47.2</v>
      </c>
      <c r="G9175" s="689">
        <v>47.3</v>
      </c>
      <c r="H9175" s="690" t="s">
        <v>4060</v>
      </c>
      <c r="I9175" s="690" t="s">
        <v>4060</v>
      </c>
      <c r="J9175" s="690" t="s">
        <v>4060</v>
      </c>
      <c r="K9175" s="690" t="s">
        <v>4060</v>
      </c>
    </row>
    <row r="9176" spans="1:11">
      <c r="A9176" s="688" t="s">
        <v>4063</v>
      </c>
      <c r="B9176" s="691">
        <v>46.7</v>
      </c>
      <c r="C9176" s="691">
        <v>47.1</v>
      </c>
      <c r="D9176" s="691">
        <v>46.8</v>
      </c>
      <c r="E9176" s="691">
        <v>47.2</v>
      </c>
      <c r="F9176" s="691">
        <v>47.2</v>
      </c>
      <c r="G9176" s="691">
        <v>47.3</v>
      </c>
      <c r="H9176" s="692" t="s">
        <v>4060</v>
      </c>
      <c r="I9176" s="692" t="s">
        <v>4060</v>
      </c>
      <c r="J9176" s="692" t="s">
        <v>4060</v>
      </c>
      <c r="K9176" s="692" t="s">
        <v>4060</v>
      </c>
    </row>
    <row r="9177" spans="1:11">
      <c r="A9177" s="688" t="s">
        <v>4069</v>
      </c>
      <c r="B9177" s="690" t="s">
        <v>4060</v>
      </c>
      <c r="C9177" s="689">
        <v>47.8</v>
      </c>
      <c r="D9177" s="689">
        <v>47.6</v>
      </c>
      <c r="E9177" s="689">
        <v>47.9</v>
      </c>
      <c r="F9177" s="693">
        <v>48</v>
      </c>
      <c r="G9177" s="689">
        <v>48.1</v>
      </c>
      <c r="H9177" s="689">
        <v>48.4</v>
      </c>
      <c r="I9177" s="689">
        <v>47.6</v>
      </c>
      <c r="J9177" s="689">
        <v>47.6</v>
      </c>
      <c r="K9177" s="689">
        <v>47.9</v>
      </c>
    </row>
    <row r="9178" spans="1:11">
      <c r="A9178" s="688" t="s">
        <v>4068</v>
      </c>
      <c r="B9178" s="691">
        <v>47.7</v>
      </c>
      <c r="C9178" s="692" t="s">
        <v>4060</v>
      </c>
      <c r="D9178" s="692" t="s">
        <v>4060</v>
      </c>
      <c r="E9178" s="692" t="s">
        <v>4060</v>
      </c>
      <c r="F9178" s="692" t="s">
        <v>4060</v>
      </c>
      <c r="G9178" s="692" t="s">
        <v>4060</v>
      </c>
      <c r="H9178" s="692" t="s">
        <v>4060</v>
      </c>
      <c r="I9178" s="692" t="s">
        <v>4060</v>
      </c>
      <c r="J9178" s="692" t="s">
        <v>4060</v>
      </c>
      <c r="K9178" s="692" t="s">
        <v>4060</v>
      </c>
    </row>
    <row r="9179" spans="1:11">
      <c r="A9179" s="688" t="s">
        <v>0</v>
      </c>
      <c r="B9179" s="689">
        <v>47.1</v>
      </c>
      <c r="C9179" s="689">
        <v>47.6</v>
      </c>
      <c r="D9179" s="689">
        <v>47.4</v>
      </c>
      <c r="E9179" s="689">
        <v>47.7</v>
      </c>
      <c r="F9179" s="689">
        <v>47.9</v>
      </c>
      <c r="G9179" s="689">
        <v>48.1</v>
      </c>
      <c r="H9179" s="689">
        <v>48.5</v>
      </c>
      <c r="I9179" s="689">
        <v>47.3</v>
      </c>
      <c r="J9179" s="689">
        <v>48.1</v>
      </c>
      <c r="K9179" s="689">
        <v>48.4</v>
      </c>
    </row>
    <row r="9180" spans="1:11">
      <c r="A9180" s="688" t="s">
        <v>1</v>
      </c>
      <c r="B9180" s="615">
        <v>41</v>
      </c>
      <c r="C9180" s="691">
        <v>40.5</v>
      </c>
      <c r="D9180" s="691">
        <v>40.6</v>
      </c>
      <c r="E9180" s="691">
        <v>40.6</v>
      </c>
      <c r="F9180" s="691">
        <v>40.6</v>
      </c>
      <c r="G9180" s="691">
        <v>40.700000000000003</v>
      </c>
      <c r="H9180" s="691">
        <v>40.700000000000003</v>
      </c>
      <c r="I9180" s="691">
        <v>38.9</v>
      </c>
      <c r="J9180" s="691">
        <v>37.200000000000003</v>
      </c>
      <c r="K9180" s="691">
        <v>39.799999999999997</v>
      </c>
    </row>
    <row r="9181" spans="1:11">
      <c r="A9181" s="688" t="s">
        <v>2240</v>
      </c>
      <c r="B9181" s="689">
        <v>44.2</v>
      </c>
      <c r="C9181" s="689">
        <v>44.6</v>
      </c>
      <c r="D9181" s="689">
        <v>44.5</v>
      </c>
      <c r="E9181" s="689">
        <v>44.9</v>
      </c>
      <c r="F9181" s="689">
        <v>44.9</v>
      </c>
      <c r="G9181" s="693">
        <v>45</v>
      </c>
      <c r="H9181" s="689">
        <v>45.2</v>
      </c>
      <c r="I9181" s="689">
        <v>44.1</v>
      </c>
      <c r="J9181" s="689">
        <v>42.9</v>
      </c>
      <c r="K9181" s="689">
        <v>44.9</v>
      </c>
    </row>
    <row r="9182" spans="1:11">
      <c r="A9182" s="688" t="s">
        <v>2</v>
      </c>
      <c r="B9182" s="691">
        <v>47.1</v>
      </c>
      <c r="C9182" s="691">
        <v>47.4</v>
      </c>
      <c r="D9182" s="691">
        <v>47.5</v>
      </c>
      <c r="E9182" s="691">
        <v>47.7</v>
      </c>
      <c r="F9182" s="691">
        <v>47.9</v>
      </c>
      <c r="G9182" s="691">
        <v>47.8</v>
      </c>
      <c r="H9182" s="691">
        <v>48.2</v>
      </c>
      <c r="I9182" s="691">
        <v>48.3</v>
      </c>
      <c r="J9182" s="691">
        <v>48.3</v>
      </c>
      <c r="K9182" s="691">
        <v>48.1</v>
      </c>
    </row>
    <row r="9183" spans="1:11">
      <c r="A9183" s="688" t="s">
        <v>3</v>
      </c>
      <c r="B9183" s="693">
        <v>47</v>
      </c>
      <c r="C9183" s="689">
        <v>47.2</v>
      </c>
      <c r="D9183" s="689">
        <v>46.9</v>
      </c>
      <c r="E9183" s="689">
        <v>47.2</v>
      </c>
      <c r="F9183" s="689">
        <v>47.3</v>
      </c>
      <c r="G9183" s="689">
        <v>47.3</v>
      </c>
      <c r="H9183" s="689">
        <v>47.6</v>
      </c>
      <c r="I9183" s="689">
        <v>47.3</v>
      </c>
      <c r="J9183" s="693">
        <v>47</v>
      </c>
      <c r="K9183" s="689">
        <v>46.9</v>
      </c>
    </row>
    <row r="9184" spans="1:11">
      <c r="A9184" s="688" t="s">
        <v>4061</v>
      </c>
      <c r="B9184" s="615">
        <v>47</v>
      </c>
      <c r="C9184" s="691">
        <v>47.2</v>
      </c>
      <c r="D9184" s="691">
        <v>46.9</v>
      </c>
      <c r="E9184" s="691">
        <v>47.2</v>
      </c>
      <c r="F9184" s="691">
        <v>47.3</v>
      </c>
      <c r="G9184" s="691">
        <v>47.3</v>
      </c>
      <c r="H9184" s="691">
        <v>47.6</v>
      </c>
      <c r="I9184" s="691">
        <v>47.3</v>
      </c>
      <c r="J9184" s="615">
        <v>47</v>
      </c>
      <c r="K9184" s="691">
        <v>46.9</v>
      </c>
    </row>
    <row r="9185" spans="1:11">
      <c r="A9185" s="688" t="s">
        <v>4</v>
      </c>
      <c r="B9185" s="693">
        <v>42</v>
      </c>
      <c r="C9185" s="689">
        <v>41.8</v>
      </c>
      <c r="D9185" s="689">
        <v>42.3</v>
      </c>
      <c r="E9185" s="689">
        <v>42.4</v>
      </c>
      <c r="F9185" s="689">
        <v>42.7</v>
      </c>
      <c r="G9185" s="689">
        <v>42.8</v>
      </c>
      <c r="H9185" s="689">
        <v>43.4</v>
      </c>
      <c r="I9185" s="689">
        <v>43.1</v>
      </c>
      <c r="J9185" s="689">
        <v>41.7</v>
      </c>
      <c r="K9185" s="689">
        <v>42.5</v>
      </c>
    </row>
    <row r="9186" spans="1:11">
      <c r="A9186" s="688" t="s">
        <v>8</v>
      </c>
      <c r="B9186" s="691">
        <v>47.9</v>
      </c>
      <c r="C9186" s="691">
        <v>48.3</v>
      </c>
      <c r="D9186" s="691">
        <v>48.4</v>
      </c>
      <c r="E9186" s="691">
        <v>48.5</v>
      </c>
      <c r="F9186" s="691">
        <v>48.9</v>
      </c>
      <c r="G9186" s="615">
        <v>49</v>
      </c>
      <c r="H9186" s="691">
        <v>49.3</v>
      </c>
      <c r="I9186" s="691">
        <v>49.3</v>
      </c>
      <c r="J9186" s="615">
        <v>49</v>
      </c>
      <c r="K9186" s="691">
        <v>49.4</v>
      </c>
    </row>
    <row r="9187" spans="1:11">
      <c r="A9187" s="688" t="s">
        <v>7</v>
      </c>
      <c r="B9187" s="689">
        <v>47.7</v>
      </c>
      <c r="C9187" s="689">
        <v>47.2</v>
      </c>
      <c r="D9187" s="693">
        <v>47</v>
      </c>
      <c r="E9187" s="689">
        <v>47.3</v>
      </c>
      <c r="F9187" s="689">
        <v>47.3</v>
      </c>
      <c r="G9187" s="689">
        <v>47.7</v>
      </c>
      <c r="H9187" s="689">
        <v>47.6</v>
      </c>
      <c r="I9187" s="689">
        <v>47.4</v>
      </c>
      <c r="J9187" s="689">
        <v>46.2</v>
      </c>
      <c r="K9187" s="689">
        <v>47.1</v>
      </c>
    </row>
    <row r="9188" spans="1:11">
      <c r="A9188" s="688" t="s">
        <v>27</v>
      </c>
      <c r="B9188" s="691">
        <v>48.8</v>
      </c>
      <c r="C9188" s="691">
        <v>48.7</v>
      </c>
      <c r="D9188" s="691">
        <v>48.5</v>
      </c>
      <c r="E9188" s="691">
        <v>48.9</v>
      </c>
      <c r="F9188" s="615">
        <v>49</v>
      </c>
      <c r="G9188" s="615">
        <v>49</v>
      </c>
      <c r="H9188" s="691">
        <v>49.4</v>
      </c>
      <c r="I9188" s="691">
        <v>48.1</v>
      </c>
      <c r="J9188" s="691">
        <v>48.8</v>
      </c>
      <c r="K9188" s="615">
        <v>49</v>
      </c>
    </row>
    <row r="9189" spans="1:11">
      <c r="A9189" s="688" t="s">
        <v>6</v>
      </c>
      <c r="B9189" s="693">
        <v>48</v>
      </c>
      <c r="C9189" s="689">
        <v>48.2</v>
      </c>
      <c r="D9189" s="693">
        <v>48</v>
      </c>
      <c r="E9189" s="689">
        <v>48.3</v>
      </c>
      <c r="F9189" s="689">
        <v>48.4</v>
      </c>
      <c r="G9189" s="689">
        <v>48.5</v>
      </c>
      <c r="H9189" s="689">
        <v>48.7</v>
      </c>
      <c r="I9189" s="689">
        <v>48.1</v>
      </c>
      <c r="J9189" s="689">
        <v>48.1</v>
      </c>
      <c r="K9189" s="689">
        <v>48.3</v>
      </c>
    </row>
    <row r="9190" spans="1:11">
      <c r="A9190" s="688" t="s">
        <v>4058</v>
      </c>
      <c r="B9190" s="692" t="s">
        <v>4060</v>
      </c>
      <c r="C9190" s="692" t="s">
        <v>4060</v>
      </c>
      <c r="D9190" s="692" t="s">
        <v>4060</v>
      </c>
      <c r="E9190" s="692" t="s">
        <v>4060</v>
      </c>
      <c r="F9190" s="692" t="s">
        <v>4060</v>
      </c>
      <c r="G9190" s="692" t="s">
        <v>4060</v>
      </c>
      <c r="H9190" s="692" t="s">
        <v>4060</v>
      </c>
      <c r="I9190" s="692" t="s">
        <v>4060</v>
      </c>
      <c r="J9190" s="692" t="s">
        <v>4060</v>
      </c>
      <c r="K9190" s="692" t="s">
        <v>4060</v>
      </c>
    </row>
    <row r="9191" spans="1:11">
      <c r="A9191" s="688" t="s">
        <v>11</v>
      </c>
      <c r="B9191" s="689">
        <v>43.5</v>
      </c>
      <c r="C9191" s="689">
        <v>43.7</v>
      </c>
      <c r="D9191" s="689">
        <v>43.3</v>
      </c>
      <c r="E9191" s="689">
        <v>43.9</v>
      </c>
      <c r="F9191" s="689">
        <v>43.8</v>
      </c>
      <c r="G9191" s="689">
        <v>43.8</v>
      </c>
      <c r="H9191" s="689">
        <v>44.2</v>
      </c>
      <c r="I9191" s="689">
        <v>43.5</v>
      </c>
      <c r="J9191" s="689">
        <v>42.4</v>
      </c>
      <c r="K9191" s="689">
        <v>43.6</v>
      </c>
    </row>
    <row r="9192" spans="1:11">
      <c r="A9192" s="688" t="s">
        <v>10</v>
      </c>
      <c r="B9192" s="691">
        <v>49.1</v>
      </c>
      <c r="C9192" s="691">
        <v>49.1</v>
      </c>
      <c r="D9192" s="691">
        <v>48.9</v>
      </c>
      <c r="E9192" s="691">
        <v>49.4</v>
      </c>
      <c r="F9192" s="691">
        <v>49.3</v>
      </c>
      <c r="G9192" s="691">
        <v>49.6</v>
      </c>
      <c r="H9192" s="691">
        <v>49.9</v>
      </c>
      <c r="I9192" s="691">
        <v>48.5</v>
      </c>
      <c r="J9192" s="615">
        <v>49</v>
      </c>
      <c r="K9192" s="691">
        <v>49.3</v>
      </c>
    </row>
    <row r="9193" spans="1:11">
      <c r="A9193" s="688" t="s">
        <v>30</v>
      </c>
      <c r="B9193" s="689">
        <v>48.9</v>
      </c>
      <c r="C9193" s="693">
        <v>49</v>
      </c>
      <c r="D9193" s="689">
        <v>48.7</v>
      </c>
      <c r="E9193" s="689">
        <v>49.3</v>
      </c>
      <c r="F9193" s="693">
        <v>49</v>
      </c>
      <c r="G9193" s="689">
        <v>49.8</v>
      </c>
      <c r="H9193" s="689">
        <v>49.5</v>
      </c>
      <c r="I9193" s="689">
        <v>49.5</v>
      </c>
      <c r="J9193" s="689">
        <v>48.6</v>
      </c>
      <c r="K9193" s="689">
        <v>49.1</v>
      </c>
    </row>
    <row r="9194" spans="1:11">
      <c r="A9194" s="688" t="s">
        <v>12</v>
      </c>
      <c r="B9194" s="691">
        <v>38.799999999999997</v>
      </c>
      <c r="C9194" s="691">
        <v>38.700000000000003</v>
      </c>
      <c r="D9194" s="691">
        <v>39.200000000000003</v>
      </c>
      <c r="E9194" s="691">
        <v>39.200000000000003</v>
      </c>
      <c r="F9194" s="691">
        <v>39.299999999999997</v>
      </c>
      <c r="G9194" s="691">
        <v>39.4</v>
      </c>
      <c r="H9194" s="691">
        <v>40.200000000000003</v>
      </c>
      <c r="I9194" s="691">
        <v>39.9</v>
      </c>
      <c r="J9194" s="691">
        <v>37.4</v>
      </c>
      <c r="K9194" s="691">
        <v>38.700000000000003</v>
      </c>
    </row>
    <row r="9195" spans="1:11">
      <c r="A9195" s="688" t="s">
        <v>14</v>
      </c>
      <c r="B9195" s="689">
        <v>38.299999999999997</v>
      </c>
      <c r="C9195" s="689">
        <v>38.9</v>
      </c>
      <c r="D9195" s="689">
        <v>38.9</v>
      </c>
      <c r="E9195" s="689">
        <v>38.9</v>
      </c>
      <c r="F9195" s="689">
        <v>40.1</v>
      </c>
      <c r="G9195" s="689">
        <v>40.299999999999997</v>
      </c>
      <c r="H9195" s="689">
        <v>40.799999999999997</v>
      </c>
      <c r="I9195" s="689">
        <v>39.299999999999997</v>
      </c>
      <c r="J9195" s="689">
        <v>38.9</v>
      </c>
      <c r="K9195" s="689">
        <v>40.4</v>
      </c>
    </row>
    <row r="9196" spans="1:11">
      <c r="A9196" s="688" t="s">
        <v>15</v>
      </c>
      <c r="B9196" s="691">
        <v>48.7</v>
      </c>
      <c r="C9196" s="691">
        <v>47.8</v>
      </c>
      <c r="D9196" s="691">
        <v>48.7</v>
      </c>
      <c r="E9196" s="691">
        <v>48.6</v>
      </c>
      <c r="F9196" s="691">
        <v>48.5</v>
      </c>
      <c r="G9196" s="691">
        <v>48.6</v>
      </c>
      <c r="H9196" s="691">
        <v>49.1</v>
      </c>
      <c r="I9196" s="691">
        <v>48.5</v>
      </c>
      <c r="J9196" s="691">
        <v>48.9</v>
      </c>
      <c r="K9196" s="691">
        <v>49.6</v>
      </c>
    </row>
    <row r="9197" spans="1:11">
      <c r="A9197" s="688" t="s">
        <v>29</v>
      </c>
      <c r="B9197" s="689">
        <v>41.2</v>
      </c>
      <c r="C9197" s="689">
        <v>41.2</v>
      </c>
      <c r="D9197" s="689">
        <v>41.2</v>
      </c>
      <c r="E9197" s="689">
        <v>41.4</v>
      </c>
      <c r="F9197" s="689">
        <v>41.4</v>
      </c>
      <c r="G9197" s="689">
        <v>41.5</v>
      </c>
      <c r="H9197" s="689">
        <v>41.8</v>
      </c>
      <c r="I9197" s="689">
        <v>41.1</v>
      </c>
      <c r="J9197" s="689">
        <v>39.6</v>
      </c>
      <c r="K9197" s="689">
        <v>41.5</v>
      </c>
    </row>
    <row r="9198" spans="1:11">
      <c r="A9198" s="688" t="s">
        <v>16</v>
      </c>
      <c r="B9198" s="691">
        <v>48.5</v>
      </c>
      <c r="C9198" s="691">
        <v>48.5</v>
      </c>
      <c r="D9198" s="691">
        <v>48.7</v>
      </c>
      <c r="E9198" s="691">
        <v>49.3</v>
      </c>
      <c r="F9198" s="691">
        <v>49.1</v>
      </c>
      <c r="G9198" s="615">
        <v>49</v>
      </c>
      <c r="H9198" s="691">
        <v>49.5</v>
      </c>
      <c r="I9198" s="691">
        <v>48.6</v>
      </c>
      <c r="J9198" s="615">
        <v>49</v>
      </c>
      <c r="K9198" s="691">
        <v>49.1</v>
      </c>
    </row>
    <row r="9199" spans="1:11">
      <c r="A9199" s="688" t="s">
        <v>17</v>
      </c>
      <c r="B9199" s="689">
        <v>48.3</v>
      </c>
      <c r="C9199" s="689">
        <v>48.6</v>
      </c>
      <c r="D9199" s="689">
        <v>48.5</v>
      </c>
      <c r="E9199" s="689">
        <v>48.6</v>
      </c>
      <c r="F9199" s="689">
        <v>48.9</v>
      </c>
      <c r="G9199" s="689">
        <v>48.9</v>
      </c>
      <c r="H9199" s="689">
        <v>49.2</v>
      </c>
      <c r="I9199" s="689">
        <v>48.4</v>
      </c>
      <c r="J9199" s="689">
        <v>48.4</v>
      </c>
      <c r="K9199" s="689">
        <v>48.9</v>
      </c>
    </row>
    <row r="9200" spans="1:11">
      <c r="A9200" s="688" t="s">
        <v>19</v>
      </c>
      <c r="B9200" s="691">
        <v>47.5</v>
      </c>
      <c r="C9200" s="691">
        <v>47.8</v>
      </c>
      <c r="D9200" s="691">
        <v>47.5</v>
      </c>
      <c r="E9200" s="615">
        <v>48</v>
      </c>
      <c r="F9200" s="691">
        <v>48.1</v>
      </c>
      <c r="G9200" s="691">
        <v>48.1</v>
      </c>
      <c r="H9200" s="691">
        <v>48.4</v>
      </c>
      <c r="I9200" s="691">
        <v>47.7</v>
      </c>
      <c r="J9200" s="691">
        <v>47.6</v>
      </c>
      <c r="K9200" s="691">
        <v>47.8</v>
      </c>
    </row>
    <row r="9201" spans="1:11">
      <c r="A9201" s="688" t="s">
        <v>20</v>
      </c>
      <c r="B9201" s="689">
        <v>42.3</v>
      </c>
      <c r="C9201" s="689">
        <v>42.8</v>
      </c>
      <c r="D9201" s="689">
        <v>42.6</v>
      </c>
      <c r="E9201" s="689">
        <v>42.9</v>
      </c>
      <c r="F9201" s="689">
        <v>42.9</v>
      </c>
      <c r="G9201" s="689">
        <v>42.8</v>
      </c>
      <c r="H9201" s="689">
        <v>43.1</v>
      </c>
      <c r="I9201" s="689">
        <v>41.5</v>
      </c>
      <c r="J9201" s="689">
        <v>40.6</v>
      </c>
      <c r="K9201" s="689">
        <v>42.4</v>
      </c>
    </row>
    <row r="9202" spans="1:11">
      <c r="A9202" s="688" t="s">
        <v>21</v>
      </c>
      <c r="B9202" s="691">
        <v>46.5</v>
      </c>
      <c r="C9202" s="691">
        <v>46.9</v>
      </c>
      <c r="D9202" s="615">
        <v>47</v>
      </c>
      <c r="E9202" s="615">
        <v>47</v>
      </c>
      <c r="F9202" s="691">
        <v>47.4</v>
      </c>
      <c r="G9202" s="691">
        <v>47.3</v>
      </c>
      <c r="H9202" s="691">
        <v>47.8</v>
      </c>
      <c r="I9202" s="691">
        <v>47.1</v>
      </c>
      <c r="J9202" s="691">
        <v>47.2</v>
      </c>
      <c r="K9202" s="691">
        <v>47.6</v>
      </c>
    </row>
    <row r="9203" spans="1:11">
      <c r="A9203" s="688" t="s">
        <v>22</v>
      </c>
      <c r="B9203" s="689">
        <v>41.3</v>
      </c>
      <c r="C9203" s="693">
        <v>41</v>
      </c>
      <c r="D9203" s="689">
        <v>40.9</v>
      </c>
      <c r="E9203" s="693">
        <v>41</v>
      </c>
      <c r="F9203" s="689">
        <v>41.1</v>
      </c>
      <c r="G9203" s="693">
        <v>41</v>
      </c>
      <c r="H9203" s="689">
        <v>41.2</v>
      </c>
      <c r="I9203" s="689">
        <v>39.6</v>
      </c>
      <c r="J9203" s="689">
        <v>38.4</v>
      </c>
      <c r="K9203" s="689">
        <v>40.5</v>
      </c>
    </row>
    <row r="9204" spans="1:11">
      <c r="A9204" s="688" t="s">
        <v>26</v>
      </c>
      <c r="B9204" s="691">
        <v>46.1</v>
      </c>
      <c r="C9204" s="691">
        <v>46.7</v>
      </c>
      <c r="D9204" s="691">
        <v>46.4</v>
      </c>
      <c r="E9204" s="691">
        <v>46.9</v>
      </c>
      <c r="F9204" s="691">
        <v>46.8</v>
      </c>
      <c r="G9204" s="691">
        <v>47.1</v>
      </c>
      <c r="H9204" s="691">
        <v>47.3</v>
      </c>
      <c r="I9204" s="691">
        <v>46.4</v>
      </c>
      <c r="J9204" s="691">
        <v>46.3</v>
      </c>
      <c r="K9204" s="691">
        <v>47.2</v>
      </c>
    </row>
    <row r="9205" spans="1:11">
      <c r="A9205" s="688" t="s">
        <v>25</v>
      </c>
      <c r="B9205" s="689">
        <v>42.2</v>
      </c>
      <c r="C9205" s="689">
        <v>42.5</v>
      </c>
      <c r="D9205" s="689">
        <v>42.4</v>
      </c>
      <c r="E9205" s="693">
        <v>43</v>
      </c>
      <c r="F9205" s="693">
        <v>43</v>
      </c>
      <c r="G9205" s="693">
        <v>43</v>
      </c>
      <c r="H9205" s="689">
        <v>43.5</v>
      </c>
      <c r="I9205" s="689">
        <v>42.7</v>
      </c>
      <c r="J9205" s="689">
        <v>40.299999999999997</v>
      </c>
      <c r="K9205" s="689">
        <v>42.8</v>
      </c>
    </row>
    <row r="9206" spans="1:11">
      <c r="A9206" s="688" t="s">
        <v>5</v>
      </c>
      <c r="B9206" s="615">
        <v>47</v>
      </c>
      <c r="C9206" s="691">
        <v>47.1</v>
      </c>
      <c r="D9206" s="691">
        <v>47.4</v>
      </c>
      <c r="E9206" s="691">
        <v>47.3</v>
      </c>
      <c r="F9206" s="691">
        <v>47.7</v>
      </c>
      <c r="G9206" s="691">
        <v>47.8</v>
      </c>
      <c r="H9206" s="691">
        <v>48.2</v>
      </c>
      <c r="I9206" s="615">
        <v>48</v>
      </c>
      <c r="J9206" s="615">
        <v>48</v>
      </c>
      <c r="K9206" s="691">
        <v>47.6</v>
      </c>
    </row>
    <row r="9207" spans="1:11">
      <c r="A9207" s="688" t="s">
        <v>23</v>
      </c>
      <c r="B9207" s="693">
        <v>49</v>
      </c>
      <c r="C9207" s="689">
        <v>49.2</v>
      </c>
      <c r="D9207" s="689">
        <v>49.2</v>
      </c>
      <c r="E9207" s="689">
        <v>49.4</v>
      </c>
      <c r="F9207" s="689">
        <v>49.6</v>
      </c>
      <c r="G9207" s="689">
        <v>49.6</v>
      </c>
      <c r="H9207" s="689">
        <v>50.1</v>
      </c>
      <c r="I9207" s="689">
        <v>49.4</v>
      </c>
      <c r="J9207" s="693">
        <v>50</v>
      </c>
      <c r="K9207" s="689">
        <v>50.1</v>
      </c>
    </row>
    <row r="9208" spans="1:11">
      <c r="A9208" s="688" t="s">
        <v>4067</v>
      </c>
      <c r="B9208" s="691">
        <v>46.7</v>
      </c>
      <c r="C9208" s="691">
        <v>47.1</v>
      </c>
      <c r="D9208" s="691">
        <v>46.8</v>
      </c>
      <c r="E9208" s="691">
        <v>47.2</v>
      </c>
      <c r="F9208" s="691">
        <v>47.2</v>
      </c>
      <c r="G9208" s="691">
        <v>47.3</v>
      </c>
      <c r="H9208" s="692" t="s">
        <v>4060</v>
      </c>
      <c r="I9208" s="692" t="s">
        <v>4060</v>
      </c>
      <c r="J9208" s="692" t="s">
        <v>4060</v>
      </c>
      <c r="K9208" s="692" t="s">
        <v>4060</v>
      </c>
    </row>
    <row r="9209" spans="1:11">
      <c r="A9209" s="688" t="s">
        <v>4066</v>
      </c>
      <c r="B9209" s="689">
        <v>46.7</v>
      </c>
      <c r="C9209" s="689">
        <v>47.1</v>
      </c>
      <c r="D9209" s="689">
        <v>46.9</v>
      </c>
      <c r="E9209" s="689">
        <v>47.2</v>
      </c>
      <c r="F9209" s="689">
        <v>47.2</v>
      </c>
      <c r="G9209" s="689">
        <v>47.3</v>
      </c>
      <c r="H9209" s="690" t="s">
        <v>4060</v>
      </c>
      <c r="I9209" s="690" t="s">
        <v>4060</v>
      </c>
      <c r="J9209" s="690" t="s">
        <v>4060</v>
      </c>
      <c r="K9209" s="690" t="s">
        <v>4060</v>
      </c>
    </row>
    <row r="9210" spans="1:11">
      <c r="A9210" s="688" t="s">
        <v>4062</v>
      </c>
      <c r="B9210" s="691">
        <v>49.2</v>
      </c>
      <c r="C9210" s="691">
        <v>49.4</v>
      </c>
      <c r="D9210" s="691">
        <v>49.4</v>
      </c>
      <c r="E9210" s="691">
        <v>49.9</v>
      </c>
      <c r="F9210" s="615">
        <v>50</v>
      </c>
      <c r="G9210" s="691">
        <v>50.2</v>
      </c>
      <c r="H9210" s="691">
        <v>50.4</v>
      </c>
      <c r="I9210" s="615">
        <v>50</v>
      </c>
      <c r="J9210" s="691">
        <v>50.4</v>
      </c>
      <c r="K9210" s="691">
        <v>50.1</v>
      </c>
    </row>
    <row r="9211" spans="1:11">
      <c r="A9211" s="688" t="s">
        <v>9</v>
      </c>
      <c r="B9211" s="689">
        <v>49.2</v>
      </c>
      <c r="C9211" s="689">
        <v>49.8</v>
      </c>
      <c r="D9211" s="693">
        <v>50</v>
      </c>
      <c r="E9211" s="689">
        <v>49.2</v>
      </c>
      <c r="F9211" s="689">
        <v>49.6</v>
      </c>
      <c r="G9211" s="689">
        <v>50.1</v>
      </c>
      <c r="H9211" s="689">
        <v>50.1</v>
      </c>
      <c r="I9211" s="689">
        <v>50.3</v>
      </c>
      <c r="J9211" s="689">
        <v>50.7</v>
      </c>
      <c r="K9211" s="689">
        <v>49.5</v>
      </c>
    </row>
    <row r="9212" spans="1:11">
      <c r="A9212" s="688" t="s">
        <v>13</v>
      </c>
      <c r="B9212" s="615">
        <v>49</v>
      </c>
      <c r="C9212" s="691">
        <v>49.4</v>
      </c>
      <c r="D9212" s="691">
        <v>49.6</v>
      </c>
      <c r="E9212" s="691">
        <v>48.9</v>
      </c>
      <c r="F9212" s="691">
        <v>49.8</v>
      </c>
      <c r="G9212" s="691">
        <v>49.3</v>
      </c>
      <c r="H9212" s="691">
        <v>50.6</v>
      </c>
      <c r="I9212" s="691">
        <v>49.6</v>
      </c>
      <c r="J9212" s="691">
        <v>50.7</v>
      </c>
      <c r="K9212" s="691">
        <v>51.4</v>
      </c>
    </row>
    <row r="9213" spans="1:11">
      <c r="A9213" s="688" t="s">
        <v>18</v>
      </c>
      <c r="B9213" s="689">
        <v>48.6</v>
      </c>
      <c r="C9213" s="689">
        <v>48.9</v>
      </c>
      <c r="D9213" s="689">
        <v>49.1</v>
      </c>
      <c r="E9213" s="689">
        <v>49.3</v>
      </c>
      <c r="F9213" s="689">
        <v>49.7</v>
      </c>
      <c r="G9213" s="689">
        <v>49.8</v>
      </c>
      <c r="H9213" s="693">
        <v>50</v>
      </c>
      <c r="I9213" s="689">
        <v>50.2</v>
      </c>
      <c r="J9213" s="689">
        <v>50.3</v>
      </c>
      <c r="K9213" s="689">
        <v>49.7</v>
      </c>
    </row>
    <row r="9214" spans="1:11">
      <c r="A9214" s="688" t="s">
        <v>24</v>
      </c>
      <c r="B9214" s="691">
        <v>49.6</v>
      </c>
      <c r="C9214" s="691">
        <v>49.7</v>
      </c>
      <c r="D9214" s="691">
        <v>49.6</v>
      </c>
      <c r="E9214" s="691">
        <v>50.2</v>
      </c>
      <c r="F9214" s="691">
        <v>50.2</v>
      </c>
      <c r="G9214" s="691">
        <v>50.4</v>
      </c>
      <c r="H9214" s="691">
        <v>50.6</v>
      </c>
      <c r="I9214" s="691">
        <v>49.8</v>
      </c>
      <c r="J9214" s="691">
        <v>50.4</v>
      </c>
      <c r="K9214" s="691">
        <v>50.4</v>
      </c>
    </row>
    <row r="9215" spans="1:11">
      <c r="A9215" s="688" t="s">
        <v>4059</v>
      </c>
      <c r="B9215" s="689">
        <v>48.1</v>
      </c>
      <c r="C9215" s="689">
        <v>48.4</v>
      </c>
      <c r="D9215" s="689">
        <v>48.2</v>
      </c>
      <c r="E9215" s="689">
        <v>48.3</v>
      </c>
      <c r="F9215" s="689">
        <v>48.4</v>
      </c>
      <c r="G9215" s="689">
        <v>48.4</v>
      </c>
      <c r="H9215" s="690" t="s">
        <v>4060</v>
      </c>
      <c r="I9215" s="690" t="s">
        <v>4060</v>
      </c>
      <c r="J9215" s="690" t="s">
        <v>4060</v>
      </c>
      <c r="K9215" s="690" t="s">
        <v>4060</v>
      </c>
    </row>
    <row r="9216" spans="1:11">
      <c r="A9216" s="688" t="s">
        <v>2324</v>
      </c>
      <c r="B9216" s="691">
        <v>43.2</v>
      </c>
      <c r="C9216" s="691">
        <v>43.2</v>
      </c>
      <c r="D9216" s="691">
        <v>43.2</v>
      </c>
      <c r="E9216" s="691">
        <v>42.9</v>
      </c>
      <c r="F9216" s="691">
        <v>42.9</v>
      </c>
      <c r="G9216" s="691">
        <v>43.3</v>
      </c>
      <c r="H9216" s="615">
        <v>43</v>
      </c>
      <c r="I9216" s="691">
        <v>42.1</v>
      </c>
      <c r="J9216" s="691">
        <v>39.5</v>
      </c>
      <c r="K9216" s="692" t="s">
        <v>4060</v>
      </c>
    </row>
    <row r="9217" spans="1:11">
      <c r="A9217" s="688" t="s">
        <v>2322</v>
      </c>
      <c r="B9217" s="690" t="s">
        <v>4060</v>
      </c>
      <c r="C9217" s="690" t="s">
        <v>4060</v>
      </c>
      <c r="D9217" s="690" t="s">
        <v>4060</v>
      </c>
      <c r="E9217" s="690" t="s">
        <v>4060</v>
      </c>
      <c r="F9217" s="690" t="s">
        <v>4060</v>
      </c>
      <c r="G9217" s="690" t="s">
        <v>4060</v>
      </c>
      <c r="H9217" s="690" t="s">
        <v>4060</v>
      </c>
      <c r="I9217" s="690" t="s">
        <v>4060</v>
      </c>
      <c r="J9217" s="690" t="s">
        <v>4060</v>
      </c>
      <c r="K9217" s="690" t="s">
        <v>4060</v>
      </c>
    </row>
    <row r="9218" spans="1:11">
      <c r="A9218" s="688" t="s">
        <v>2328</v>
      </c>
      <c r="B9218" s="691">
        <v>42.9</v>
      </c>
      <c r="C9218" s="691">
        <v>42.9</v>
      </c>
      <c r="D9218" s="691">
        <v>42.9</v>
      </c>
      <c r="E9218" s="691">
        <v>42.9</v>
      </c>
      <c r="F9218" s="691">
        <v>43.4</v>
      </c>
      <c r="G9218" s="691">
        <v>43.7</v>
      </c>
      <c r="H9218" s="691">
        <v>43.7</v>
      </c>
      <c r="I9218" s="691">
        <v>41.1</v>
      </c>
      <c r="J9218" s="691">
        <v>40.1</v>
      </c>
      <c r="K9218" s="692" t="s">
        <v>4060</v>
      </c>
    </row>
    <row r="9219" spans="1:11">
      <c r="A9219" s="688" t="s">
        <v>2496</v>
      </c>
      <c r="B9219" s="690" t="s">
        <v>4060</v>
      </c>
      <c r="C9219" s="689">
        <v>39.799999999999997</v>
      </c>
      <c r="D9219" s="689">
        <v>38.700000000000003</v>
      </c>
      <c r="E9219" s="689">
        <v>38.299999999999997</v>
      </c>
      <c r="F9219" s="689">
        <v>39.200000000000003</v>
      </c>
      <c r="G9219" s="689">
        <v>39.5</v>
      </c>
      <c r="H9219" s="689">
        <v>39.5</v>
      </c>
      <c r="I9219" s="690" t="s">
        <v>4060</v>
      </c>
      <c r="J9219" s="690" t="s">
        <v>4060</v>
      </c>
      <c r="K9219" s="693">
        <v>39</v>
      </c>
    </row>
    <row r="9220" spans="1:11">
      <c r="A9220" s="688" t="s">
        <v>2269</v>
      </c>
      <c r="B9220" s="691">
        <v>45.8</v>
      </c>
      <c r="C9220" s="691">
        <v>45.9</v>
      </c>
      <c r="D9220" s="691">
        <v>45.8</v>
      </c>
      <c r="E9220" s="691">
        <v>46.4</v>
      </c>
      <c r="F9220" s="691">
        <v>46.5</v>
      </c>
      <c r="G9220" s="691">
        <v>46.9</v>
      </c>
      <c r="H9220" s="691">
        <v>47.1</v>
      </c>
      <c r="I9220" s="691">
        <v>44.6</v>
      </c>
      <c r="J9220" s="691">
        <v>42.9</v>
      </c>
      <c r="K9220" s="691">
        <v>46.6</v>
      </c>
    </row>
    <row r="9221" spans="1:11">
      <c r="A9221" s="688" t="s">
        <v>2349</v>
      </c>
      <c r="B9221" s="689">
        <v>41.9</v>
      </c>
      <c r="C9221" s="693">
        <v>42</v>
      </c>
      <c r="D9221" s="689">
        <v>41.9</v>
      </c>
      <c r="E9221" s="689">
        <v>42.4</v>
      </c>
      <c r="F9221" s="689">
        <v>42.3</v>
      </c>
      <c r="G9221" s="689">
        <v>42.5</v>
      </c>
      <c r="H9221" s="689">
        <v>42.5</v>
      </c>
      <c r="I9221" s="689">
        <v>40.6</v>
      </c>
      <c r="J9221" s="689">
        <v>39.1</v>
      </c>
      <c r="K9221" s="689">
        <v>41.7</v>
      </c>
    </row>
    <row r="9222" spans="1:11">
      <c r="A9222" s="688" t="s">
        <v>2355</v>
      </c>
      <c r="B9222" s="691">
        <v>45.3</v>
      </c>
      <c r="C9222" s="691">
        <v>45.4</v>
      </c>
      <c r="D9222" s="691">
        <v>45.3</v>
      </c>
      <c r="E9222" s="691">
        <v>45.3</v>
      </c>
      <c r="F9222" s="691">
        <v>45.5</v>
      </c>
      <c r="G9222" s="691">
        <v>45.9</v>
      </c>
      <c r="H9222" s="691">
        <v>46.1</v>
      </c>
      <c r="I9222" s="692" t="s">
        <v>4060</v>
      </c>
      <c r="J9222" s="692" t="s">
        <v>4060</v>
      </c>
      <c r="K9222" s="692" t="s">
        <v>4060</v>
      </c>
    </row>
    <row r="9223" spans="1:11">
      <c r="A9223" s="688" t="s">
        <v>2357</v>
      </c>
      <c r="B9223" s="690" t="s">
        <v>4060</v>
      </c>
      <c r="C9223" s="689">
        <v>36.799999999999997</v>
      </c>
      <c r="D9223" s="689">
        <v>37.5</v>
      </c>
      <c r="E9223" s="689">
        <v>37.799999999999997</v>
      </c>
      <c r="F9223" s="689">
        <v>38.1</v>
      </c>
      <c r="G9223" s="689">
        <v>37.799999999999997</v>
      </c>
      <c r="H9223" s="693">
        <v>38</v>
      </c>
      <c r="I9223" s="690" t="s">
        <v>4060</v>
      </c>
      <c r="J9223" s="690" t="s">
        <v>4060</v>
      </c>
      <c r="K9223" s="690" t="s">
        <v>4060</v>
      </c>
    </row>
    <row r="9224" spans="1:11">
      <c r="A9224" s="688" t="s">
        <v>4070</v>
      </c>
      <c r="B9224" s="692" t="s">
        <v>4060</v>
      </c>
      <c r="C9224" s="692" t="s">
        <v>4060</v>
      </c>
      <c r="D9224" s="692" t="s">
        <v>4060</v>
      </c>
      <c r="E9224" s="691">
        <v>44.9</v>
      </c>
      <c r="F9224" s="692" t="s">
        <v>4060</v>
      </c>
      <c r="G9224" s="692" t="s">
        <v>4060</v>
      </c>
      <c r="H9224" s="692" t="s">
        <v>4060</v>
      </c>
      <c r="I9224" s="692" t="s">
        <v>4060</v>
      </c>
      <c r="J9224" s="692" t="s">
        <v>4060</v>
      </c>
      <c r="K9224" s="692" t="s">
        <v>4060</v>
      </c>
    </row>
    <row r="9225" spans="1:11">
      <c r="A9225" s="688" t="s">
        <v>2491</v>
      </c>
      <c r="B9225" s="689">
        <v>36.799999999999997</v>
      </c>
      <c r="C9225" s="689">
        <v>37.4</v>
      </c>
      <c r="D9225" s="689">
        <v>37.9</v>
      </c>
      <c r="E9225" s="689">
        <v>38.200000000000003</v>
      </c>
      <c r="F9225" s="689">
        <v>38.4</v>
      </c>
      <c r="G9225" s="689">
        <v>38.299999999999997</v>
      </c>
      <c r="H9225" s="690" t="s">
        <v>4060</v>
      </c>
      <c r="I9225" s="690" t="s">
        <v>4060</v>
      </c>
      <c r="J9225" s="690" t="s">
        <v>4060</v>
      </c>
      <c r="K9225" s="690" t="s">
        <v>4060</v>
      </c>
    </row>
    <row r="9226" spans="1:11">
      <c r="A9226" s="688" t="s">
        <v>2343</v>
      </c>
      <c r="B9226" s="692" t="s">
        <v>4060</v>
      </c>
      <c r="C9226" s="692" t="s">
        <v>4060</v>
      </c>
      <c r="D9226" s="692" t="s">
        <v>4060</v>
      </c>
      <c r="E9226" s="692" t="s">
        <v>4060</v>
      </c>
      <c r="F9226" s="692" t="s">
        <v>4060</v>
      </c>
      <c r="G9226" s="692" t="s">
        <v>4060</v>
      </c>
      <c r="H9226" s="692" t="s">
        <v>4060</v>
      </c>
      <c r="I9226" s="692" t="s">
        <v>4060</v>
      </c>
      <c r="J9226" s="692" t="s">
        <v>4060</v>
      </c>
      <c r="K9226" s="692" t="s">
        <v>4060</v>
      </c>
    </row>
    <row r="9227" spans="1:11">
      <c r="A9227" s="688" t="s">
        <v>4071</v>
      </c>
      <c r="B9227" s="690" t="s">
        <v>4060</v>
      </c>
      <c r="C9227" s="690" t="s">
        <v>4060</v>
      </c>
      <c r="D9227" s="690" t="s">
        <v>4060</v>
      </c>
      <c r="E9227" s="690" t="s">
        <v>4060</v>
      </c>
      <c r="F9227" s="690" t="s">
        <v>4060</v>
      </c>
      <c r="G9227" s="690" t="s">
        <v>4060</v>
      </c>
      <c r="H9227" s="690" t="s">
        <v>4060</v>
      </c>
      <c r="I9227" s="690" t="s">
        <v>4060</v>
      </c>
      <c r="J9227" s="690" t="s">
        <v>4060</v>
      </c>
      <c r="K9227" s="690" t="s">
        <v>4060</v>
      </c>
    </row>
    <row r="9228" spans="1:11">
      <c r="A9228" s="688" t="s">
        <v>2489</v>
      </c>
      <c r="B9228" s="692" t="s">
        <v>4060</v>
      </c>
      <c r="C9228" s="692" t="s">
        <v>4060</v>
      </c>
      <c r="D9228" s="691">
        <v>41.4</v>
      </c>
      <c r="E9228" s="691">
        <v>41.4</v>
      </c>
      <c r="F9228" s="615">
        <v>42</v>
      </c>
      <c r="G9228" s="691">
        <v>42.8</v>
      </c>
      <c r="H9228" s="691">
        <v>42.4</v>
      </c>
      <c r="I9228" s="692" t="s">
        <v>4060</v>
      </c>
      <c r="J9228" s="692" t="s">
        <v>4060</v>
      </c>
      <c r="K9228" s="692" t="s">
        <v>4060</v>
      </c>
    </row>
    <row r="9229" spans="1:11">
      <c r="A9229" s="688" t="s">
        <v>2490</v>
      </c>
      <c r="B9229" s="689">
        <v>42.1</v>
      </c>
      <c r="C9229" s="689">
        <v>42.2</v>
      </c>
      <c r="D9229" s="689">
        <v>42.9</v>
      </c>
      <c r="E9229" s="690" t="s">
        <v>4060</v>
      </c>
      <c r="F9229" s="689">
        <v>43.2</v>
      </c>
      <c r="G9229" s="689">
        <v>43.4</v>
      </c>
      <c r="H9229" s="689">
        <v>44.3</v>
      </c>
      <c r="I9229" s="690" t="s">
        <v>4060</v>
      </c>
      <c r="J9229" s="690" t="s">
        <v>4060</v>
      </c>
      <c r="K9229" s="690" t="s">
        <v>4060</v>
      </c>
    </row>
    <row r="9231" spans="1:11">
      <c r="A9231" s="683" t="s">
        <v>4233</v>
      </c>
    </row>
    <row r="9232" spans="1:11">
      <c r="A9232" s="683" t="s">
        <v>4060</v>
      </c>
      <c r="B9232" s="682" t="s">
        <v>4234</v>
      </c>
    </row>
    <row r="9234" spans="1:11">
      <c r="A9234" s="682" t="s">
        <v>4331</v>
      </c>
    </row>
    <row r="9235" spans="1:11">
      <c r="A9235" s="682" t="s">
        <v>4210</v>
      </c>
      <c r="B9235" s="683" t="s">
        <v>4211</v>
      </c>
    </row>
    <row r="9236" spans="1:11">
      <c r="A9236" s="682" t="s">
        <v>4212</v>
      </c>
      <c r="B9236" s="682" t="s">
        <v>4213</v>
      </c>
    </row>
    <row r="9238" spans="1:11">
      <c r="A9238" s="683" t="s">
        <v>4214</v>
      </c>
      <c r="C9238" s="682" t="s">
        <v>4215</v>
      </c>
    </row>
    <row r="9239" spans="1:11">
      <c r="A9239" s="683" t="s">
        <v>4216</v>
      </c>
      <c r="C9239" s="682" t="s">
        <v>2967</v>
      </c>
    </row>
    <row r="9240" spans="1:11">
      <c r="A9240" s="683" t="s">
        <v>3893</v>
      </c>
      <c r="C9240" s="682" t="s">
        <v>2168</v>
      </c>
    </row>
    <row r="9241" spans="1:11">
      <c r="A9241" s="683" t="s">
        <v>4218</v>
      </c>
      <c r="C9241" s="682" t="s">
        <v>4268</v>
      </c>
    </row>
    <row r="9243" spans="1:11">
      <c r="A9243" s="684" t="s">
        <v>4220</v>
      </c>
      <c r="B9243" s="685" t="s">
        <v>4221</v>
      </c>
      <c r="C9243" s="685" t="s">
        <v>4222</v>
      </c>
      <c r="D9243" s="685" t="s">
        <v>4223</v>
      </c>
      <c r="E9243" s="685" t="s">
        <v>4224</v>
      </c>
      <c r="F9243" s="685" t="s">
        <v>4225</v>
      </c>
      <c r="G9243" s="685" t="s">
        <v>4226</v>
      </c>
      <c r="H9243" s="685" t="s">
        <v>4227</v>
      </c>
      <c r="I9243" s="685" t="s">
        <v>4228</v>
      </c>
      <c r="J9243" s="685" t="s">
        <v>4229</v>
      </c>
      <c r="K9243" s="685" t="s">
        <v>4230</v>
      </c>
    </row>
    <row r="9244" spans="1:11">
      <c r="A9244" s="686" t="s">
        <v>4231</v>
      </c>
      <c r="B9244" s="687" t="s">
        <v>4232</v>
      </c>
      <c r="C9244" s="687" t="s">
        <v>4232</v>
      </c>
      <c r="D9244" s="687" t="s">
        <v>4232</v>
      </c>
      <c r="E9244" s="687" t="s">
        <v>4232</v>
      </c>
      <c r="F9244" s="687" t="s">
        <v>4232</v>
      </c>
      <c r="G9244" s="687" t="s">
        <v>4232</v>
      </c>
      <c r="H9244" s="687" t="s">
        <v>4232</v>
      </c>
      <c r="I9244" s="687" t="s">
        <v>4232</v>
      </c>
      <c r="J9244" s="687" t="s">
        <v>4232</v>
      </c>
      <c r="K9244" s="687" t="s">
        <v>4232</v>
      </c>
    </row>
    <row r="9245" spans="1:11">
      <c r="A9245" s="688" t="s">
        <v>4064</v>
      </c>
      <c r="B9245" s="689">
        <v>45.5</v>
      </c>
      <c r="C9245" s="689">
        <v>45.7</v>
      </c>
      <c r="D9245" s="689">
        <v>45.7</v>
      </c>
      <c r="E9245" s="689">
        <v>45.8</v>
      </c>
      <c r="F9245" s="689">
        <v>45.9</v>
      </c>
      <c r="G9245" s="693">
        <v>46</v>
      </c>
      <c r="H9245" s="689">
        <v>46.3</v>
      </c>
      <c r="I9245" s="689">
        <v>45.3</v>
      </c>
      <c r="J9245" s="693">
        <v>45</v>
      </c>
      <c r="K9245" s="689">
        <v>45.8</v>
      </c>
    </row>
    <row r="9246" spans="1:11">
      <c r="A9246" s="688" t="s">
        <v>4065</v>
      </c>
      <c r="B9246" s="691">
        <v>45.7</v>
      </c>
      <c r="C9246" s="691">
        <v>46.1</v>
      </c>
      <c r="D9246" s="691">
        <v>45.8</v>
      </c>
      <c r="E9246" s="691">
        <v>46.2</v>
      </c>
      <c r="F9246" s="691">
        <v>46.2</v>
      </c>
      <c r="G9246" s="691">
        <v>46.3</v>
      </c>
      <c r="H9246" s="692" t="s">
        <v>4060</v>
      </c>
      <c r="I9246" s="692" t="s">
        <v>4060</v>
      </c>
      <c r="J9246" s="692" t="s">
        <v>4060</v>
      </c>
      <c r="K9246" s="692" t="s">
        <v>4060</v>
      </c>
    </row>
    <row r="9247" spans="1:11">
      <c r="A9247" s="688" t="s">
        <v>4063</v>
      </c>
      <c r="B9247" s="689">
        <v>45.7</v>
      </c>
      <c r="C9247" s="689">
        <v>46.1</v>
      </c>
      <c r="D9247" s="689">
        <v>45.9</v>
      </c>
      <c r="E9247" s="689">
        <v>46.2</v>
      </c>
      <c r="F9247" s="689">
        <v>46.2</v>
      </c>
      <c r="G9247" s="689">
        <v>46.3</v>
      </c>
      <c r="H9247" s="690" t="s">
        <v>4060</v>
      </c>
      <c r="I9247" s="690" t="s">
        <v>4060</v>
      </c>
      <c r="J9247" s="690" t="s">
        <v>4060</v>
      </c>
      <c r="K9247" s="690" t="s">
        <v>4060</v>
      </c>
    </row>
    <row r="9248" spans="1:11">
      <c r="A9248" s="688" t="s">
        <v>4069</v>
      </c>
      <c r="B9248" s="692" t="s">
        <v>4060</v>
      </c>
      <c r="C9248" s="691">
        <v>46.8</v>
      </c>
      <c r="D9248" s="691">
        <v>46.6</v>
      </c>
      <c r="E9248" s="691">
        <v>46.9</v>
      </c>
      <c r="F9248" s="615">
        <v>47</v>
      </c>
      <c r="G9248" s="691">
        <v>47.1</v>
      </c>
      <c r="H9248" s="691">
        <v>47.4</v>
      </c>
      <c r="I9248" s="691">
        <v>46.7</v>
      </c>
      <c r="J9248" s="691">
        <v>46.6</v>
      </c>
      <c r="K9248" s="691">
        <v>46.9</v>
      </c>
    </row>
    <row r="9249" spans="1:11">
      <c r="A9249" s="688" t="s">
        <v>4068</v>
      </c>
      <c r="B9249" s="689">
        <v>46.7</v>
      </c>
      <c r="C9249" s="690" t="s">
        <v>4060</v>
      </c>
      <c r="D9249" s="690" t="s">
        <v>4060</v>
      </c>
      <c r="E9249" s="690" t="s">
        <v>4060</v>
      </c>
      <c r="F9249" s="690" t="s">
        <v>4060</v>
      </c>
      <c r="G9249" s="690" t="s">
        <v>4060</v>
      </c>
      <c r="H9249" s="690" t="s">
        <v>4060</v>
      </c>
      <c r="I9249" s="690" t="s">
        <v>4060</v>
      </c>
      <c r="J9249" s="690" t="s">
        <v>4060</v>
      </c>
      <c r="K9249" s="690" t="s">
        <v>4060</v>
      </c>
    </row>
    <row r="9250" spans="1:11">
      <c r="A9250" s="688" t="s">
        <v>0</v>
      </c>
      <c r="B9250" s="691">
        <v>46.1</v>
      </c>
      <c r="C9250" s="691">
        <v>46.6</v>
      </c>
      <c r="D9250" s="691">
        <v>46.5</v>
      </c>
      <c r="E9250" s="691">
        <v>46.8</v>
      </c>
      <c r="F9250" s="615">
        <v>47</v>
      </c>
      <c r="G9250" s="691">
        <v>47.1</v>
      </c>
      <c r="H9250" s="691">
        <v>47.5</v>
      </c>
      <c r="I9250" s="691">
        <v>46.4</v>
      </c>
      <c r="J9250" s="691">
        <v>47.1</v>
      </c>
      <c r="K9250" s="691">
        <v>47.4</v>
      </c>
    </row>
    <row r="9251" spans="1:11">
      <c r="A9251" s="688" t="s">
        <v>1</v>
      </c>
      <c r="B9251" s="693">
        <v>40</v>
      </c>
      <c r="C9251" s="689">
        <v>39.6</v>
      </c>
      <c r="D9251" s="689">
        <v>39.6</v>
      </c>
      <c r="E9251" s="689">
        <v>39.700000000000003</v>
      </c>
      <c r="F9251" s="689">
        <v>39.700000000000003</v>
      </c>
      <c r="G9251" s="689">
        <v>39.700000000000003</v>
      </c>
      <c r="H9251" s="689">
        <v>39.700000000000003</v>
      </c>
      <c r="I9251" s="693">
        <v>38</v>
      </c>
      <c r="J9251" s="689">
        <v>36.299999999999997</v>
      </c>
      <c r="K9251" s="689">
        <v>38.799999999999997</v>
      </c>
    </row>
    <row r="9252" spans="1:11">
      <c r="A9252" s="688" t="s">
        <v>2240</v>
      </c>
      <c r="B9252" s="691">
        <v>43.2</v>
      </c>
      <c r="C9252" s="691">
        <v>43.7</v>
      </c>
      <c r="D9252" s="691">
        <v>43.6</v>
      </c>
      <c r="E9252" s="615">
        <v>44</v>
      </c>
      <c r="F9252" s="615">
        <v>44</v>
      </c>
      <c r="G9252" s="615">
        <v>44</v>
      </c>
      <c r="H9252" s="691">
        <v>44.3</v>
      </c>
      <c r="I9252" s="691">
        <v>43.1</v>
      </c>
      <c r="J9252" s="691">
        <v>41.9</v>
      </c>
      <c r="K9252" s="615">
        <v>44</v>
      </c>
    </row>
    <row r="9253" spans="1:11">
      <c r="A9253" s="688" t="s">
        <v>2</v>
      </c>
      <c r="B9253" s="689">
        <v>46.1</v>
      </c>
      <c r="C9253" s="689">
        <v>46.4</v>
      </c>
      <c r="D9253" s="689">
        <v>46.5</v>
      </c>
      <c r="E9253" s="689">
        <v>46.7</v>
      </c>
      <c r="F9253" s="689">
        <v>46.9</v>
      </c>
      <c r="G9253" s="689">
        <v>46.8</v>
      </c>
      <c r="H9253" s="689">
        <v>47.2</v>
      </c>
      <c r="I9253" s="689">
        <v>47.4</v>
      </c>
      <c r="J9253" s="689">
        <v>47.3</v>
      </c>
      <c r="K9253" s="689">
        <v>47.1</v>
      </c>
    </row>
    <row r="9254" spans="1:11">
      <c r="A9254" s="688" t="s">
        <v>3</v>
      </c>
      <c r="B9254" s="615">
        <v>46</v>
      </c>
      <c r="C9254" s="691">
        <v>46.3</v>
      </c>
      <c r="D9254" s="615">
        <v>46</v>
      </c>
      <c r="E9254" s="691">
        <v>46.2</v>
      </c>
      <c r="F9254" s="691">
        <v>46.4</v>
      </c>
      <c r="G9254" s="691">
        <v>46.3</v>
      </c>
      <c r="H9254" s="691">
        <v>46.6</v>
      </c>
      <c r="I9254" s="691">
        <v>46.3</v>
      </c>
      <c r="J9254" s="615">
        <v>46</v>
      </c>
      <c r="K9254" s="691">
        <v>45.9</v>
      </c>
    </row>
    <row r="9255" spans="1:11">
      <c r="A9255" s="688" t="s">
        <v>4061</v>
      </c>
      <c r="B9255" s="693">
        <v>46</v>
      </c>
      <c r="C9255" s="689">
        <v>46.3</v>
      </c>
      <c r="D9255" s="693">
        <v>46</v>
      </c>
      <c r="E9255" s="689">
        <v>46.2</v>
      </c>
      <c r="F9255" s="689">
        <v>46.4</v>
      </c>
      <c r="G9255" s="689">
        <v>46.3</v>
      </c>
      <c r="H9255" s="689">
        <v>46.6</v>
      </c>
      <c r="I9255" s="689">
        <v>46.3</v>
      </c>
      <c r="J9255" s="693">
        <v>46</v>
      </c>
      <c r="K9255" s="689">
        <v>45.9</v>
      </c>
    </row>
    <row r="9256" spans="1:11">
      <c r="A9256" s="688" t="s">
        <v>4</v>
      </c>
      <c r="B9256" s="691">
        <v>41.1</v>
      </c>
      <c r="C9256" s="691">
        <v>40.799999999999997</v>
      </c>
      <c r="D9256" s="691">
        <v>41.4</v>
      </c>
      <c r="E9256" s="691">
        <v>41.4</v>
      </c>
      <c r="F9256" s="691">
        <v>41.8</v>
      </c>
      <c r="G9256" s="691">
        <v>41.8</v>
      </c>
      <c r="H9256" s="691">
        <v>42.4</v>
      </c>
      <c r="I9256" s="691">
        <v>42.2</v>
      </c>
      <c r="J9256" s="691">
        <v>40.799999999999997</v>
      </c>
      <c r="K9256" s="691">
        <v>41.6</v>
      </c>
    </row>
    <row r="9257" spans="1:11">
      <c r="A9257" s="688" t="s">
        <v>8</v>
      </c>
      <c r="B9257" s="693">
        <v>47</v>
      </c>
      <c r="C9257" s="689">
        <v>47.3</v>
      </c>
      <c r="D9257" s="689">
        <v>47.4</v>
      </c>
      <c r="E9257" s="689">
        <v>47.5</v>
      </c>
      <c r="F9257" s="693">
        <v>48</v>
      </c>
      <c r="G9257" s="693">
        <v>48</v>
      </c>
      <c r="H9257" s="689">
        <v>48.3</v>
      </c>
      <c r="I9257" s="689">
        <v>48.3</v>
      </c>
      <c r="J9257" s="693">
        <v>48</v>
      </c>
      <c r="K9257" s="689">
        <v>48.4</v>
      </c>
    </row>
    <row r="9258" spans="1:11">
      <c r="A9258" s="688" t="s">
        <v>7</v>
      </c>
      <c r="B9258" s="691">
        <v>46.7</v>
      </c>
      <c r="C9258" s="691">
        <v>46.2</v>
      </c>
      <c r="D9258" s="615">
        <v>46</v>
      </c>
      <c r="E9258" s="691">
        <v>46.4</v>
      </c>
      <c r="F9258" s="691">
        <v>46.3</v>
      </c>
      <c r="G9258" s="691">
        <v>46.7</v>
      </c>
      <c r="H9258" s="691">
        <v>46.7</v>
      </c>
      <c r="I9258" s="691">
        <v>46.4</v>
      </c>
      <c r="J9258" s="691">
        <v>45.3</v>
      </c>
      <c r="K9258" s="691">
        <v>46.1</v>
      </c>
    </row>
    <row r="9259" spans="1:11">
      <c r="A9259" s="688" t="s">
        <v>27</v>
      </c>
      <c r="B9259" s="689">
        <v>47.8</v>
      </c>
      <c r="C9259" s="689">
        <v>47.8</v>
      </c>
      <c r="D9259" s="689">
        <v>47.5</v>
      </c>
      <c r="E9259" s="689">
        <v>47.9</v>
      </c>
      <c r="F9259" s="693">
        <v>48</v>
      </c>
      <c r="G9259" s="689">
        <v>48.1</v>
      </c>
      <c r="H9259" s="689">
        <v>48.4</v>
      </c>
      <c r="I9259" s="689">
        <v>47.2</v>
      </c>
      <c r="J9259" s="689">
        <v>47.9</v>
      </c>
      <c r="K9259" s="689">
        <v>48.1</v>
      </c>
    </row>
    <row r="9260" spans="1:11">
      <c r="A9260" s="688" t="s">
        <v>6</v>
      </c>
      <c r="B9260" s="691">
        <v>47.1</v>
      </c>
      <c r="C9260" s="691">
        <v>47.3</v>
      </c>
      <c r="D9260" s="691">
        <v>47.1</v>
      </c>
      <c r="E9260" s="691">
        <v>47.3</v>
      </c>
      <c r="F9260" s="691">
        <v>47.4</v>
      </c>
      <c r="G9260" s="691">
        <v>47.6</v>
      </c>
      <c r="H9260" s="691">
        <v>47.8</v>
      </c>
      <c r="I9260" s="691">
        <v>47.1</v>
      </c>
      <c r="J9260" s="691">
        <v>47.2</v>
      </c>
      <c r="K9260" s="691">
        <v>47.4</v>
      </c>
    </row>
    <row r="9261" spans="1:11">
      <c r="A9261" s="688" t="s">
        <v>4058</v>
      </c>
      <c r="B9261" s="690" t="s">
        <v>4060</v>
      </c>
      <c r="C9261" s="690" t="s">
        <v>4060</v>
      </c>
      <c r="D9261" s="690" t="s">
        <v>4060</v>
      </c>
      <c r="E9261" s="690" t="s">
        <v>4060</v>
      </c>
      <c r="F9261" s="690" t="s">
        <v>4060</v>
      </c>
      <c r="G9261" s="690" t="s">
        <v>4060</v>
      </c>
      <c r="H9261" s="690" t="s">
        <v>4060</v>
      </c>
      <c r="I9261" s="690" t="s">
        <v>4060</v>
      </c>
      <c r="J9261" s="690" t="s">
        <v>4060</v>
      </c>
      <c r="K9261" s="690" t="s">
        <v>4060</v>
      </c>
    </row>
    <row r="9262" spans="1:11">
      <c r="A9262" s="688" t="s">
        <v>11</v>
      </c>
      <c r="B9262" s="691">
        <v>42.6</v>
      </c>
      <c r="C9262" s="691">
        <v>42.7</v>
      </c>
      <c r="D9262" s="691">
        <v>42.3</v>
      </c>
      <c r="E9262" s="691">
        <v>42.9</v>
      </c>
      <c r="F9262" s="691">
        <v>42.9</v>
      </c>
      <c r="G9262" s="691">
        <v>42.9</v>
      </c>
      <c r="H9262" s="691">
        <v>43.2</v>
      </c>
      <c r="I9262" s="691">
        <v>42.5</v>
      </c>
      <c r="J9262" s="691">
        <v>41.5</v>
      </c>
      <c r="K9262" s="691">
        <v>42.7</v>
      </c>
    </row>
    <row r="9263" spans="1:11">
      <c r="A9263" s="688" t="s">
        <v>10</v>
      </c>
      <c r="B9263" s="689">
        <v>48.1</v>
      </c>
      <c r="C9263" s="689">
        <v>48.2</v>
      </c>
      <c r="D9263" s="689">
        <v>47.9</v>
      </c>
      <c r="E9263" s="689">
        <v>48.4</v>
      </c>
      <c r="F9263" s="689">
        <v>48.3</v>
      </c>
      <c r="G9263" s="689">
        <v>48.7</v>
      </c>
      <c r="H9263" s="689">
        <v>48.9</v>
      </c>
      <c r="I9263" s="689">
        <v>47.5</v>
      </c>
      <c r="J9263" s="693">
        <v>48</v>
      </c>
      <c r="K9263" s="689">
        <v>48.3</v>
      </c>
    </row>
    <row r="9264" spans="1:11">
      <c r="A9264" s="688" t="s">
        <v>30</v>
      </c>
      <c r="B9264" s="691">
        <v>47.9</v>
      </c>
      <c r="C9264" s="615">
        <v>48</v>
      </c>
      <c r="D9264" s="691">
        <v>47.8</v>
      </c>
      <c r="E9264" s="691">
        <v>48.3</v>
      </c>
      <c r="F9264" s="615">
        <v>48</v>
      </c>
      <c r="G9264" s="691">
        <v>48.8</v>
      </c>
      <c r="H9264" s="691">
        <v>48.5</v>
      </c>
      <c r="I9264" s="691">
        <v>48.5</v>
      </c>
      <c r="J9264" s="691">
        <v>47.6</v>
      </c>
      <c r="K9264" s="691">
        <v>48.2</v>
      </c>
    </row>
    <row r="9265" spans="1:11">
      <c r="A9265" s="688" t="s">
        <v>12</v>
      </c>
      <c r="B9265" s="689">
        <v>37.9</v>
      </c>
      <c r="C9265" s="689">
        <v>37.799999999999997</v>
      </c>
      <c r="D9265" s="689">
        <v>38.299999999999997</v>
      </c>
      <c r="E9265" s="689">
        <v>38.299999999999997</v>
      </c>
      <c r="F9265" s="689">
        <v>38.4</v>
      </c>
      <c r="G9265" s="689">
        <v>38.5</v>
      </c>
      <c r="H9265" s="689">
        <v>39.299999999999997</v>
      </c>
      <c r="I9265" s="693">
        <v>39</v>
      </c>
      <c r="J9265" s="689">
        <v>36.5</v>
      </c>
      <c r="K9265" s="689">
        <v>37.799999999999997</v>
      </c>
    </row>
    <row r="9266" spans="1:11">
      <c r="A9266" s="688" t="s">
        <v>14</v>
      </c>
      <c r="B9266" s="691">
        <v>37.4</v>
      </c>
      <c r="C9266" s="615">
        <v>38</v>
      </c>
      <c r="D9266" s="615">
        <v>38</v>
      </c>
      <c r="E9266" s="691">
        <v>38.1</v>
      </c>
      <c r="F9266" s="691">
        <v>39.200000000000003</v>
      </c>
      <c r="G9266" s="691">
        <v>39.4</v>
      </c>
      <c r="H9266" s="691">
        <v>39.9</v>
      </c>
      <c r="I9266" s="691">
        <v>38.4</v>
      </c>
      <c r="J9266" s="615">
        <v>38</v>
      </c>
      <c r="K9266" s="691">
        <v>39.5</v>
      </c>
    </row>
    <row r="9267" spans="1:11">
      <c r="A9267" s="688" t="s">
        <v>15</v>
      </c>
      <c r="B9267" s="689">
        <v>47.7</v>
      </c>
      <c r="C9267" s="689">
        <v>46.9</v>
      </c>
      <c r="D9267" s="689">
        <v>47.7</v>
      </c>
      <c r="E9267" s="689">
        <v>47.6</v>
      </c>
      <c r="F9267" s="689">
        <v>47.5</v>
      </c>
      <c r="G9267" s="689">
        <v>47.6</v>
      </c>
      <c r="H9267" s="689">
        <v>48.1</v>
      </c>
      <c r="I9267" s="689">
        <v>47.5</v>
      </c>
      <c r="J9267" s="689">
        <v>47.9</v>
      </c>
      <c r="K9267" s="689">
        <v>48.6</v>
      </c>
    </row>
    <row r="9268" spans="1:11">
      <c r="A9268" s="688" t="s">
        <v>29</v>
      </c>
      <c r="B9268" s="691">
        <v>40.200000000000003</v>
      </c>
      <c r="C9268" s="691">
        <v>40.299999999999997</v>
      </c>
      <c r="D9268" s="691">
        <v>40.200000000000003</v>
      </c>
      <c r="E9268" s="691">
        <v>40.5</v>
      </c>
      <c r="F9268" s="691">
        <v>40.4</v>
      </c>
      <c r="G9268" s="691">
        <v>40.5</v>
      </c>
      <c r="H9268" s="691">
        <v>40.9</v>
      </c>
      <c r="I9268" s="691">
        <v>40.1</v>
      </c>
      <c r="J9268" s="691">
        <v>38.700000000000003</v>
      </c>
      <c r="K9268" s="691">
        <v>40.5</v>
      </c>
    </row>
    <row r="9269" spans="1:11">
      <c r="A9269" s="688" t="s">
        <v>16</v>
      </c>
      <c r="B9269" s="689">
        <v>47.5</v>
      </c>
      <c r="C9269" s="689">
        <v>47.5</v>
      </c>
      <c r="D9269" s="689">
        <v>47.7</v>
      </c>
      <c r="E9269" s="689">
        <v>48.3</v>
      </c>
      <c r="F9269" s="689">
        <v>48.1</v>
      </c>
      <c r="G9269" s="693">
        <v>48</v>
      </c>
      <c r="H9269" s="689">
        <v>48.5</v>
      </c>
      <c r="I9269" s="689">
        <v>47.6</v>
      </c>
      <c r="J9269" s="693">
        <v>48</v>
      </c>
      <c r="K9269" s="689">
        <v>48.1</v>
      </c>
    </row>
    <row r="9270" spans="1:11">
      <c r="A9270" s="688" t="s">
        <v>17</v>
      </c>
      <c r="B9270" s="691">
        <v>47.4</v>
      </c>
      <c r="C9270" s="691">
        <v>47.7</v>
      </c>
      <c r="D9270" s="691">
        <v>47.5</v>
      </c>
      <c r="E9270" s="691">
        <v>47.6</v>
      </c>
      <c r="F9270" s="691">
        <v>47.9</v>
      </c>
      <c r="G9270" s="615">
        <v>48</v>
      </c>
      <c r="H9270" s="691">
        <v>48.2</v>
      </c>
      <c r="I9270" s="691">
        <v>47.5</v>
      </c>
      <c r="J9270" s="691">
        <v>47.5</v>
      </c>
      <c r="K9270" s="691">
        <v>47.9</v>
      </c>
    </row>
    <row r="9271" spans="1:11">
      <c r="A9271" s="688" t="s">
        <v>19</v>
      </c>
      <c r="B9271" s="689">
        <v>46.6</v>
      </c>
      <c r="C9271" s="689">
        <v>46.8</v>
      </c>
      <c r="D9271" s="689">
        <v>46.5</v>
      </c>
      <c r="E9271" s="693">
        <v>47</v>
      </c>
      <c r="F9271" s="689">
        <v>47.1</v>
      </c>
      <c r="G9271" s="689">
        <v>47.1</v>
      </c>
      <c r="H9271" s="689">
        <v>47.4</v>
      </c>
      <c r="I9271" s="689">
        <v>46.8</v>
      </c>
      <c r="J9271" s="689">
        <v>46.6</v>
      </c>
      <c r="K9271" s="689">
        <v>46.9</v>
      </c>
    </row>
    <row r="9272" spans="1:11">
      <c r="A9272" s="688" t="s">
        <v>20</v>
      </c>
      <c r="B9272" s="691">
        <v>41.4</v>
      </c>
      <c r="C9272" s="691">
        <v>41.9</v>
      </c>
      <c r="D9272" s="691">
        <v>41.7</v>
      </c>
      <c r="E9272" s="615">
        <v>42</v>
      </c>
      <c r="F9272" s="615">
        <v>42</v>
      </c>
      <c r="G9272" s="691">
        <v>41.9</v>
      </c>
      <c r="H9272" s="691">
        <v>42.2</v>
      </c>
      <c r="I9272" s="691">
        <v>40.6</v>
      </c>
      <c r="J9272" s="691">
        <v>39.700000000000003</v>
      </c>
      <c r="K9272" s="691">
        <v>41.5</v>
      </c>
    </row>
    <row r="9273" spans="1:11">
      <c r="A9273" s="688" t="s">
        <v>21</v>
      </c>
      <c r="B9273" s="689">
        <v>45.5</v>
      </c>
      <c r="C9273" s="693">
        <v>46</v>
      </c>
      <c r="D9273" s="689">
        <v>46.1</v>
      </c>
      <c r="E9273" s="689">
        <v>46.1</v>
      </c>
      <c r="F9273" s="689">
        <v>46.4</v>
      </c>
      <c r="G9273" s="689">
        <v>46.4</v>
      </c>
      <c r="H9273" s="689">
        <v>46.8</v>
      </c>
      <c r="I9273" s="689">
        <v>46.2</v>
      </c>
      <c r="J9273" s="689">
        <v>46.2</v>
      </c>
      <c r="K9273" s="689">
        <v>46.7</v>
      </c>
    </row>
    <row r="9274" spans="1:11">
      <c r="A9274" s="688" t="s">
        <v>22</v>
      </c>
      <c r="B9274" s="691">
        <v>40.299999999999997</v>
      </c>
      <c r="C9274" s="615">
        <v>40</v>
      </c>
      <c r="D9274" s="615">
        <v>40</v>
      </c>
      <c r="E9274" s="691">
        <v>40.1</v>
      </c>
      <c r="F9274" s="691">
        <v>40.1</v>
      </c>
      <c r="G9274" s="615">
        <v>40</v>
      </c>
      <c r="H9274" s="691">
        <v>40.299999999999997</v>
      </c>
      <c r="I9274" s="691">
        <v>38.6</v>
      </c>
      <c r="J9274" s="691">
        <v>37.5</v>
      </c>
      <c r="K9274" s="691">
        <v>39.6</v>
      </c>
    </row>
    <row r="9275" spans="1:11">
      <c r="A9275" s="688" t="s">
        <v>26</v>
      </c>
      <c r="B9275" s="689">
        <v>45.2</v>
      </c>
      <c r="C9275" s="689">
        <v>45.7</v>
      </c>
      <c r="D9275" s="689">
        <v>45.4</v>
      </c>
      <c r="E9275" s="689">
        <v>45.9</v>
      </c>
      <c r="F9275" s="689">
        <v>45.8</v>
      </c>
      <c r="G9275" s="689">
        <v>46.1</v>
      </c>
      <c r="H9275" s="689">
        <v>46.4</v>
      </c>
      <c r="I9275" s="689">
        <v>45.5</v>
      </c>
      <c r="J9275" s="689">
        <v>45.4</v>
      </c>
      <c r="K9275" s="689">
        <v>46.3</v>
      </c>
    </row>
    <row r="9276" spans="1:11">
      <c r="A9276" s="688" t="s">
        <v>25</v>
      </c>
      <c r="B9276" s="691">
        <v>41.2</v>
      </c>
      <c r="C9276" s="691">
        <v>41.5</v>
      </c>
      <c r="D9276" s="691">
        <v>41.4</v>
      </c>
      <c r="E9276" s="615">
        <v>42</v>
      </c>
      <c r="F9276" s="615">
        <v>42</v>
      </c>
      <c r="G9276" s="691">
        <v>42.1</v>
      </c>
      <c r="H9276" s="691">
        <v>42.5</v>
      </c>
      <c r="I9276" s="691">
        <v>41.8</v>
      </c>
      <c r="J9276" s="691">
        <v>39.4</v>
      </c>
      <c r="K9276" s="691">
        <v>41.8</v>
      </c>
    </row>
    <row r="9277" spans="1:11">
      <c r="A9277" s="688" t="s">
        <v>5</v>
      </c>
      <c r="B9277" s="689">
        <v>46.1</v>
      </c>
      <c r="C9277" s="689">
        <v>46.2</v>
      </c>
      <c r="D9277" s="689">
        <v>46.4</v>
      </c>
      <c r="E9277" s="689">
        <v>46.3</v>
      </c>
      <c r="F9277" s="689">
        <v>46.7</v>
      </c>
      <c r="G9277" s="689">
        <v>46.9</v>
      </c>
      <c r="H9277" s="689">
        <v>47.2</v>
      </c>
      <c r="I9277" s="689">
        <v>47.1</v>
      </c>
      <c r="J9277" s="689">
        <v>47.1</v>
      </c>
      <c r="K9277" s="689">
        <v>46.6</v>
      </c>
    </row>
    <row r="9278" spans="1:11">
      <c r="A9278" s="688" t="s">
        <v>23</v>
      </c>
      <c r="B9278" s="691">
        <v>48.1</v>
      </c>
      <c r="C9278" s="691">
        <v>48.2</v>
      </c>
      <c r="D9278" s="691">
        <v>48.2</v>
      </c>
      <c r="E9278" s="691">
        <v>48.4</v>
      </c>
      <c r="F9278" s="691">
        <v>48.6</v>
      </c>
      <c r="G9278" s="691">
        <v>48.6</v>
      </c>
      <c r="H9278" s="691">
        <v>49.2</v>
      </c>
      <c r="I9278" s="691">
        <v>48.5</v>
      </c>
      <c r="J9278" s="615">
        <v>49</v>
      </c>
      <c r="K9278" s="691">
        <v>49.2</v>
      </c>
    </row>
    <row r="9279" spans="1:11">
      <c r="A9279" s="688" t="s">
        <v>4067</v>
      </c>
      <c r="B9279" s="689">
        <v>45.7</v>
      </c>
      <c r="C9279" s="689">
        <v>46.1</v>
      </c>
      <c r="D9279" s="689">
        <v>45.9</v>
      </c>
      <c r="E9279" s="689">
        <v>46.2</v>
      </c>
      <c r="F9279" s="689">
        <v>46.2</v>
      </c>
      <c r="G9279" s="689">
        <v>46.3</v>
      </c>
      <c r="H9279" s="690" t="s">
        <v>4060</v>
      </c>
      <c r="I9279" s="690" t="s">
        <v>4060</v>
      </c>
      <c r="J9279" s="690" t="s">
        <v>4060</v>
      </c>
      <c r="K9279" s="690" t="s">
        <v>4060</v>
      </c>
    </row>
    <row r="9280" spans="1:11">
      <c r="A9280" s="688" t="s">
        <v>4066</v>
      </c>
      <c r="B9280" s="691">
        <v>45.8</v>
      </c>
      <c r="C9280" s="691">
        <v>46.1</v>
      </c>
      <c r="D9280" s="691">
        <v>45.9</v>
      </c>
      <c r="E9280" s="691">
        <v>46.2</v>
      </c>
      <c r="F9280" s="691">
        <v>46.3</v>
      </c>
      <c r="G9280" s="691">
        <v>46.3</v>
      </c>
      <c r="H9280" s="692" t="s">
        <v>4060</v>
      </c>
      <c r="I9280" s="692" t="s">
        <v>4060</v>
      </c>
      <c r="J9280" s="692" t="s">
        <v>4060</v>
      </c>
      <c r="K9280" s="692" t="s">
        <v>4060</v>
      </c>
    </row>
    <row r="9281" spans="1:11">
      <c r="A9281" s="688" t="s">
        <v>4062</v>
      </c>
      <c r="B9281" s="689">
        <v>48.2</v>
      </c>
      <c r="C9281" s="689">
        <v>48.5</v>
      </c>
      <c r="D9281" s="689">
        <v>48.5</v>
      </c>
      <c r="E9281" s="689">
        <v>48.9</v>
      </c>
      <c r="F9281" s="693">
        <v>49</v>
      </c>
      <c r="G9281" s="689">
        <v>49.2</v>
      </c>
      <c r="H9281" s="689">
        <v>49.4</v>
      </c>
      <c r="I9281" s="693">
        <v>49</v>
      </c>
      <c r="J9281" s="689">
        <v>49.4</v>
      </c>
      <c r="K9281" s="689">
        <v>49.1</v>
      </c>
    </row>
    <row r="9282" spans="1:11">
      <c r="A9282" s="688" t="s">
        <v>9</v>
      </c>
      <c r="B9282" s="691">
        <v>48.3</v>
      </c>
      <c r="C9282" s="691">
        <v>48.8</v>
      </c>
      <c r="D9282" s="615">
        <v>49</v>
      </c>
      <c r="E9282" s="691">
        <v>48.2</v>
      </c>
      <c r="F9282" s="691">
        <v>48.7</v>
      </c>
      <c r="G9282" s="691">
        <v>49.1</v>
      </c>
      <c r="H9282" s="691">
        <v>49.1</v>
      </c>
      <c r="I9282" s="691">
        <v>49.3</v>
      </c>
      <c r="J9282" s="691">
        <v>49.8</v>
      </c>
      <c r="K9282" s="691">
        <v>48.5</v>
      </c>
    </row>
    <row r="9283" spans="1:11">
      <c r="A9283" s="688" t="s">
        <v>13</v>
      </c>
      <c r="B9283" s="693">
        <v>48</v>
      </c>
      <c r="C9283" s="689">
        <v>48.4</v>
      </c>
      <c r="D9283" s="689">
        <v>48.6</v>
      </c>
      <c r="E9283" s="689">
        <v>47.9</v>
      </c>
      <c r="F9283" s="689">
        <v>48.8</v>
      </c>
      <c r="G9283" s="689">
        <v>48.3</v>
      </c>
      <c r="H9283" s="689">
        <v>49.6</v>
      </c>
      <c r="I9283" s="689">
        <v>48.6</v>
      </c>
      <c r="J9283" s="689">
        <v>49.7</v>
      </c>
      <c r="K9283" s="689">
        <v>50.4</v>
      </c>
    </row>
    <row r="9284" spans="1:11">
      <c r="A9284" s="688" t="s">
        <v>18</v>
      </c>
      <c r="B9284" s="691">
        <v>47.6</v>
      </c>
      <c r="C9284" s="691">
        <v>47.9</v>
      </c>
      <c r="D9284" s="691">
        <v>48.2</v>
      </c>
      <c r="E9284" s="691">
        <v>48.4</v>
      </c>
      <c r="F9284" s="691">
        <v>48.7</v>
      </c>
      <c r="G9284" s="691">
        <v>48.8</v>
      </c>
      <c r="H9284" s="691">
        <v>49.1</v>
      </c>
      <c r="I9284" s="691">
        <v>49.3</v>
      </c>
      <c r="J9284" s="691">
        <v>49.3</v>
      </c>
      <c r="K9284" s="691">
        <v>48.7</v>
      </c>
    </row>
    <row r="9285" spans="1:11">
      <c r="A9285" s="688" t="s">
        <v>24</v>
      </c>
      <c r="B9285" s="689">
        <v>48.6</v>
      </c>
      <c r="C9285" s="689">
        <v>48.8</v>
      </c>
      <c r="D9285" s="689">
        <v>48.6</v>
      </c>
      <c r="E9285" s="689">
        <v>49.2</v>
      </c>
      <c r="F9285" s="689">
        <v>49.2</v>
      </c>
      <c r="G9285" s="689">
        <v>49.5</v>
      </c>
      <c r="H9285" s="689">
        <v>49.7</v>
      </c>
      <c r="I9285" s="689">
        <v>48.9</v>
      </c>
      <c r="J9285" s="689">
        <v>49.4</v>
      </c>
      <c r="K9285" s="689">
        <v>49.4</v>
      </c>
    </row>
    <row r="9286" spans="1:11">
      <c r="A9286" s="688" t="s">
        <v>4059</v>
      </c>
      <c r="B9286" s="691">
        <v>47.2</v>
      </c>
      <c r="C9286" s="691">
        <v>47.4</v>
      </c>
      <c r="D9286" s="691">
        <v>47.2</v>
      </c>
      <c r="E9286" s="691">
        <v>47.4</v>
      </c>
      <c r="F9286" s="691">
        <v>47.4</v>
      </c>
      <c r="G9286" s="691">
        <v>47.4</v>
      </c>
      <c r="H9286" s="692" t="s">
        <v>4060</v>
      </c>
      <c r="I9286" s="692" t="s">
        <v>4060</v>
      </c>
      <c r="J9286" s="692" t="s">
        <v>4060</v>
      </c>
      <c r="K9286" s="692" t="s">
        <v>4060</v>
      </c>
    </row>
    <row r="9287" spans="1:11">
      <c r="A9287" s="688" t="s">
        <v>2324</v>
      </c>
      <c r="B9287" s="689">
        <v>42.2</v>
      </c>
      <c r="C9287" s="689">
        <v>42.3</v>
      </c>
      <c r="D9287" s="689">
        <v>42.2</v>
      </c>
      <c r="E9287" s="693">
        <v>42</v>
      </c>
      <c r="F9287" s="689">
        <v>41.9</v>
      </c>
      <c r="G9287" s="689">
        <v>42.4</v>
      </c>
      <c r="H9287" s="693">
        <v>42</v>
      </c>
      <c r="I9287" s="689">
        <v>41.1</v>
      </c>
      <c r="J9287" s="689">
        <v>38.6</v>
      </c>
      <c r="K9287" s="690" t="s">
        <v>4060</v>
      </c>
    </row>
    <row r="9288" spans="1:11">
      <c r="A9288" s="688" t="s">
        <v>2322</v>
      </c>
      <c r="B9288" s="692" t="s">
        <v>4060</v>
      </c>
      <c r="C9288" s="692" t="s">
        <v>4060</v>
      </c>
      <c r="D9288" s="692" t="s">
        <v>4060</v>
      </c>
      <c r="E9288" s="692" t="s">
        <v>4060</v>
      </c>
      <c r="F9288" s="692" t="s">
        <v>4060</v>
      </c>
      <c r="G9288" s="692" t="s">
        <v>4060</v>
      </c>
      <c r="H9288" s="692" t="s">
        <v>4060</v>
      </c>
      <c r="I9288" s="692" t="s">
        <v>4060</v>
      </c>
      <c r="J9288" s="692" t="s">
        <v>4060</v>
      </c>
      <c r="K9288" s="692" t="s">
        <v>4060</v>
      </c>
    </row>
    <row r="9289" spans="1:11">
      <c r="A9289" s="688" t="s">
        <v>2328</v>
      </c>
      <c r="B9289" s="689">
        <v>41.9</v>
      </c>
      <c r="C9289" s="693">
        <v>42</v>
      </c>
      <c r="D9289" s="689">
        <v>41.9</v>
      </c>
      <c r="E9289" s="693">
        <v>42</v>
      </c>
      <c r="F9289" s="689">
        <v>42.4</v>
      </c>
      <c r="G9289" s="689">
        <v>42.7</v>
      </c>
      <c r="H9289" s="689">
        <v>42.8</v>
      </c>
      <c r="I9289" s="689">
        <v>40.1</v>
      </c>
      <c r="J9289" s="689">
        <v>39.1</v>
      </c>
      <c r="K9289" s="690" t="s">
        <v>4060</v>
      </c>
    </row>
    <row r="9290" spans="1:11">
      <c r="A9290" s="688" t="s">
        <v>2496</v>
      </c>
      <c r="B9290" s="692" t="s">
        <v>4060</v>
      </c>
      <c r="C9290" s="691">
        <v>38.9</v>
      </c>
      <c r="D9290" s="691">
        <v>37.799999999999997</v>
      </c>
      <c r="E9290" s="691">
        <v>37.4</v>
      </c>
      <c r="F9290" s="691">
        <v>38.200000000000003</v>
      </c>
      <c r="G9290" s="691">
        <v>38.6</v>
      </c>
      <c r="H9290" s="691">
        <v>38.6</v>
      </c>
      <c r="I9290" s="692" t="s">
        <v>4060</v>
      </c>
      <c r="J9290" s="692" t="s">
        <v>4060</v>
      </c>
      <c r="K9290" s="691">
        <v>38.1</v>
      </c>
    </row>
    <row r="9291" spans="1:11">
      <c r="A9291" s="688" t="s">
        <v>2269</v>
      </c>
      <c r="B9291" s="689">
        <v>44.8</v>
      </c>
      <c r="C9291" s="693">
        <v>45</v>
      </c>
      <c r="D9291" s="689">
        <v>44.8</v>
      </c>
      <c r="E9291" s="689">
        <v>45.5</v>
      </c>
      <c r="F9291" s="689">
        <v>45.5</v>
      </c>
      <c r="G9291" s="689">
        <v>45.9</v>
      </c>
      <c r="H9291" s="689">
        <v>46.2</v>
      </c>
      <c r="I9291" s="689">
        <v>43.6</v>
      </c>
      <c r="J9291" s="689">
        <v>41.9</v>
      </c>
      <c r="K9291" s="689">
        <v>45.7</v>
      </c>
    </row>
    <row r="9292" spans="1:11">
      <c r="A9292" s="688" t="s">
        <v>2349</v>
      </c>
      <c r="B9292" s="691">
        <v>40.9</v>
      </c>
      <c r="C9292" s="691">
        <v>41.1</v>
      </c>
      <c r="D9292" s="691">
        <v>40.9</v>
      </c>
      <c r="E9292" s="691">
        <v>41.4</v>
      </c>
      <c r="F9292" s="691">
        <v>41.3</v>
      </c>
      <c r="G9292" s="691">
        <v>41.6</v>
      </c>
      <c r="H9292" s="691">
        <v>41.5</v>
      </c>
      <c r="I9292" s="691">
        <v>39.700000000000003</v>
      </c>
      <c r="J9292" s="691">
        <v>38.200000000000003</v>
      </c>
      <c r="K9292" s="691">
        <v>40.799999999999997</v>
      </c>
    </row>
    <row r="9293" spans="1:11">
      <c r="A9293" s="688" t="s">
        <v>2355</v>
      </c>
      <c r="B9293" s="689">
        <v>44.4</v>
      </c>
      <c r="C9293" s="689">
        <v>44.4</v>
      </c>
      <c r="D9293" s="689">
        <v>44.3</v>
      </c>
      <c r="E9293" s="689">
        <v>44.3</v>
      </c>
      <c r="F9293" s="689">
        <v>44.5</v>
      </c>
      <c r="G9293" s="693">
        <v>45</v>
      </c>
      <c r="H9293" s="689">
        <v>45.1</v>
      </c>
      <c r="I9293" s="690" t="s">
        <v>4060</v>
      </c>
      <c r="J9293" s="690" t="s">
        <v>4060</v>
      </c>
      <c r="K9293" s="690" t="s">
        <v>4060</v>
      </c>
    </row>
    <row r="9294" spans="1:11">
      <c r="A9294" s="688" t="s">
        <v>2357</v>
      </c>
      <c r="B9294" s="692" t="s">
        <v>4060</v>
      </c>
      <c r="C9294" s="615">
        <v>36</v>
      </c>
      <c r="D9294" s="691">
        <v>36.6</v>
      </c>
      <c r="E9294" s="691">
        <v>36.9</v>
      </c>
      <c r="F9294" s="691">
        <v>37.200000000000003</v>
      </c>
      <c r="G9294" s="691">
        <v>36.9</v>
      </c>
      <c r="H9294" s="691">
        <v>37.1</v>
      </c>
      <c r="I9294" s="692" t="s">
        <v>4060</v>
      </c>
      <c r="J9294" s="692" t="s">
        <v>4060</v>
      </c>
      <c r="K9294" s="692" t="s">
        <v>4060</v>
      </c>
    </row>
    <row r="9295" spans="1:11">
      <c r="A9295" s="688" t="s">
        <v>4070</v>
      </c>
      <c r="B9295" s="690" t="s">
        <v>4060</v>
      </c>
      <c r="C9295" s="690" t="s">
        <v>4060</v>
      </c>
      <c r="D9295" s="690" t="s">
        <v>4060</v>
      </c>
      <c r="E9295" s="693">
        <v>44</v>
      </c>
      <c r="F9295" s="690" t="s">
        <v>4060</v>
      </c>
      <c r="G9295" s="690" t="s">
        <v>4060</v>
      </c>
      <c r="H9295" s="690" t="s">
        <v>4060</v>
      </c>
      <c r="I9295" s="690" t="s">
        <v>4060</v>
      </c>
      <c r="J9295" s="690" t="s">
        <v>4060</v>
      </c>
      <c r="K9295" s="690" t="s">
        <v>4060</v>
      </c>
    </row>
    <row r="9296" spans="1:11">
      <c r="A9296" s="688" t="s">
        <v>2491</v>
      </c>
      <c r="B9296" s="691">
        <v>35.9</v>
      </c>
      <c r="C9296" s="691">
        <v>36.5</v>
      </c>
      <c r="D9296" s="615">
        <v>37</v>
      </c>
      <c r="E9296" s="691">
        <v>37.299999999999997</v>
      </c>
      <c r="F9296" s="691">
        <v>37.5</v>
      </c>
      <c r="G9296" s="691">
        <v>37.4</v>
      </c>
      <c r="H9296" s="692" t="s">
        <v>4060</v>
      </c>
      <c r="I9296" s="692" t="s">
        <v>4060</v>
      </c>
      <c r="J9296" s="692" t="s">
        <v>4060</v>
      </c>
      <c r="K9296" s="692" t="s">
        <v>4060</v>
      </c>
    </row>
    <row r="9297" spans="1:11">
      <c r="A9297" s="688" t="s">
        <v>2343</v>
      </c>
      <c r="B9297" s="690" t="s">
        <v>4060</v>
      </c>
      <c r="C9297" s="690" t="s">
        <v>4060</v>
      </c>
      <c r="D9297" s="690" t="s">
        <v>4060</v>
      </c>
      <c r="E9297" s="690" t="s">
        <v>4060</v>
      </c>
      <c r="F9297" s="690" t="s">
        <v>4060</v>
      </c>
      <c r="G9297" s="690" t="s">
        <v>4060</v>
      </c>
      <c r="H9297" s="690" t="s">
        <v>4060</v>
      </c>
      <c r="I9297" s="690" t="s">
        <v>4060</v>
      </c>
      <c r="J9297" s="690" t="s">
        <v>4060</v>
      </c>
      <c r="K9297" s="690" t="s">
        <v>4060</v>
      </c>
    </row>
    <row r="9298" spans="1:11">
      <c r="A9298" s="688" t="s">
        <v>4071</v>
      </c>
      <c r="B9298" s="692" t="s">
        <v>4060</v>
      </c>
      <c r="C9298" s="692" t="s">
        <v>4060</v>
      </c>
      <c r="D9298" s="692" t="s">
        <v>4060</v>
      </c>
      <c r="E9298" s="692" t="s">
        <v>4060</v>
      </c>
      <c r="F9298" s="692" t="s">
        <v>4060</v>
      </c>
      <c r="G9298" s="692" t="s">
        <v>4060</v>
      </c>
      <c r="H9298" s="692" t="s">
        <v>4060</v>
      </c>
      <c r="I9298" s="692" t="s">
        <v>4060</v>
      </c>
      <c r="J9298" s="692" t="s">
        <v>4060</v>
      </c>
      <c r="K9298" s="692" t="s">
        <v>4060</v>
      </c>
    </row>
    <row r="9299" spans="1:11">
      <c r="A9299" s="688" t="s">
        <v>2489</v>
      </c>
      <c r="B9299" s="690" t="s">
        <v>4060</v>
      </c>
      <c r="C9299" s="690" t="s">
        <v>4060</v>
      </c>
      <c r="D9299" s="689">
        <v>40.4</v>
      </c>
      <c r="E9299" s="689">
        <v>40.4</v>
      </c>
      <c r="F9299" s="693">
        <v>41</v>
      </c>
      <c r="G9299" s="689">
        <v>41.8</v>
      </c>
      <c r="H9299" s="689">
        <v>41.5</v>
      </c>
      <c r="I9299" s="690" t="s">
        <v>4060</v>
      </c>
      <c r="J9299" s="690" t="s">
        <v>4060</v>
      </c>
      <c r="K9299" s="690" t="s">
        <v>4060</v>
      </c>
    </row>
    <row r="9300" spans="1:11">
      <c r="A9300" s="688" t="s">
        <v>2490</v>
      </c>
      <c r="B9300" s="691">
        <v>41.1</v>
      </c>
      <c r="C9300" s="691">
        <v>41.2</v>
      </c>
      <c r="D9300" s="691">
        <v>41.9</v>
      </c>
      <c r="E9300" s="692" t="s">
        <v>4060</v>
      </c>
      <c r="F9300" s="691">
        <v>42.2</v>
      </c>
      <c r="G9300" s="691">
        <v>42.4</v>
      </c>
      <c r="H9300" s="691">
        <v>43.3</v>
      </c>
      <c r="I9300" s="692" t="s">
        <v>4060</v>
      </c>
      <c r="J9300" s="692" t="s">
        <v>4060</v>
      </c>
      <c r="K9300" s="692" t="s">
        <v>4060</v>
      </c>
    </row>
    <row r="9302" spans="1:11">
      <c r="A9302" s="683" t="s">
        <v>4233</v>
      </c>
    </row>
    <row r="9303" spans="1:11">
      <c r="A9303" s="683" t="s">
        <v>4060</v>
      </c>
      <c r="B9303" s="682" t="s">
        <v>4234</v>
      </c>
    </row>
    <row r="9305" spans="1:11">
      <c r="A9305" s="682" t="s">
        <v>4331</v>
      </c>
    </row>
    <row r="9306" spans="1:11">
      <c r="A9306" s="682" t="s">
        <v>4210</v>
      </c>
      <c r="B9306" s="683" t="s">
        <v>4211</v>
      </c>
    </row>
    <row r="9307" spans="1:11">
      <c r="A9307" s="682" t="s">
        <v>4212</v>
      </c>
      <c r="B9307" s="682" t="s">
        <v>4213</v>
      </c>
    </row>
    <row r="9309" spans="1:11">
      <c r="A9309" s="683" t="s">
        <v>4214</v>
      </c>
      <c r="C9309" s="682" t="s">
        <v>4215</v>
      </c>
    </row>
    <row r="9310" spans="1:11">
      <c r="A9310" s="683" t="s">
        <v>4216</v>
      </c>
      <c r="C9310" s="682" t="s">
        <v>2967</v>
      </c>
    </row>
    <row r="9311" spans="1:11">
      <c r="A9311" s="683" t="s">
        <v>3893</v>
      </c>
      <c r="C9311" s="682" t="s">
        <v>2168</v>
      </c>
    </row>
    <row r="9312" spans="1:11">
      <c r="A9312" s="683" t="s">
        <v>4218</v>
      </c>
      <c r="C9312" s="682" t="s">
        <v>4269</v>
      </c>
    </row>
    <row r="9314" spans="1:11">
      <c r="A9314" s="684" t="s">
        <v>4220</v>
      </c>
      <c r="B9314" s="685" t="s">
        <v>4221</v>
      </c>
      <c r="C9314" s="685" t="s">
        <v>4222</v>
      </c>
      <c r="D9314" s="685" t="s">
        <v>4223</v>
      </c>
      <c r="E9314" s="685" t="s">
        <v>4224</v>
      </c>
      <c r="F9314" s="685" t="s">
        <v>4225</v>
      </c>
      <c r="G9314" s="685" t="s">
        <v>4226</v>
      </c>
      <c r="H9314" s="685" t="s">
        <v>4227</v>
      </c>
      <c r="I9314" s="685" t="s">
        <v>4228</v>
      </c>
      <c r="J9314" s="685" t="s">
        <v>4229</v>
      </c>
      <c r="K9314" s="685" t="s">
        <v>4230</v>
      </c>
    </row>
    <row r="9315" spans="1:11">
      <c r="A9315" s="686" t="s">
        <v>4231</v>
      </c>
      <c r="B9315" s="687" t="s">
        <v>4232</v>
      </c>
      <c r="C9315" s="687" t="s">
        <v>4232</v>
      </c>
      <c r="D9315" s="687" t="s">
        <v>4232</v>
      </c>
      <c r="E9315" s="687" t="s">
        <v>4232</v>
      </c>
      <c r="F9315" s="687" t="s">
        <v>4232</v>
      </c>
      <c r="G9315" s="687" t="s">
        <v>4232</v>
      </c>
      <c r="H9315" s="687" t="s">
        <v>4232</v>
      </c>
      <c r="I9315" s="687" t="s">
        <v>4232</v>
      </c>
      <c r="J9315" s="687" t="s">
        <v>4232</v>
      </c>
      <c r="K9315" s="687" t="s">
        <v>4232</v>
      </c>
    </row>
    <row r="9316" spans="1:11">
      <c r="A9316" s="688" t="s">
        <v>4064</v>
      </c>
      <c r="B9316" s="691">
        <v>44.6</v>
      </c>
      <c r="C9316" s="691">
        <v>44.7</v>
      </c>
      <c r="D9316" s="691">
        <v>44.7</v>
      </c>
      <c r="E9316" s="691">
        <v>44.9</v>
      </c>
      <c r="F9316" s="691">
        <v>44.9</v>
      </c>
      <c r="G9316" s="615">
        <v>45</v>
      </c>
      <c r="H9316" s="691">
        <v>45.3</v>
      </c>
      <c r="I9316" s="691">
        <v>44.4</v>
      </c>
      <c r="J9316" s="691">
        <v>44.1</v>
      </c>
      <c r="K9316" s="691">
        <v>44.8</v>
      </c>
    </row>
    <row r="9317" spans="1:11">
      <c r="A9317" s="688" t="s">
        <v>4065</v>
      </c>
      <c r="B9317" s="689">
        <v>44.8</v>
      </c>
      <c r="C9317" s="689">
        <v>45.1</v>
      </c>
      <c r="D9317" s="689">
        <v>44.9</v>
      </c>
      <c r="E9317" s="689">
        <v>45.2</v>
      </c>
      <c r="F9317" s="689">
        <v>45.3</v>
      </c>
      <c r="G9317" s="689">
        <v>45.3</v>
      </c>
      <c r="H9317" s="690" t="s">
        <v>4060</v>
      </c>
      <c r="I9317" s="690" t="s">
        <v>4060</v>
      </c>
      <c r="J9317" s="690" t="s">
        <v>4060</v>
      </c>
      <c r="K9317" s="690" t="s">
        <v>4060</v>
      </c>
    </row>
    <row r="9318" spans="1:11">
      <c r="A9318" s="688" t="s">
        <v>4063</v>
      </c>
      <c r="B9318" s="691">
        <v>44.8</v>
      </c>
      <c r="C9318" s="691">
        <v>45.1</v>
      </c>
      <c r="D9318" s="691">
        <v>44.9</v>
      </c>
      <c r="E9318" s="691">
        <v>45.2</v>
      </c>
      <c r="F9318" s="691">
        <v>45.3</v>
      </c>
      <c r="G9318" s="691">
        <v>45.4</v>
      </c>
      <c r="H9318" s="692" t="s">
        <v>4060</v>
      </c>
      <c r="I9318" s="692" t="s">
        <v>4060</v>
      </c>
      <c r="J9318" s="692" t="s">
        <v>4060</v>
      </c>
      <c r="K9318" s="692" t="s">
        <v>4060</v>
      </c>
    </row>
    <row r="9319" spans="1:11">
      <c r="A9319" s="688" t="s">
        <v>4069</v>
      </c>
      <c r="B9319" s="690" t="s">
        <v>4060</v>
      </c>
      <c r="C9319" s="689">
        <v>45.8</v>
      </c>
      <c r="D9319" s="689">
        <v>45.6</v>
      </c>
      <c r="E9319" s="693">
        <v>46</v>
      </c>
      <c r="F9319" s="693">
        <v>46</v>
      </c>
      <c r="G9319" s="689">
        <v>46.2</v>
      </c>
      <c r="H9319" s="689">
        <v>46.4</v>
      </c>
      <c r="I9319" s="689">
        <v>45.7</v>
      </c>
      <c r="J9319" s="689">
        <v>45.7</v>
      </c>
      <c r="K9319" s="689">
        <v>45.9</v>
      </c>
    </row>
    <row r="9320" spans="1:11">
      <c r="A9320" s="688" t="s">
        <v>4068</v>
      </c>
      <c r="B9320" s="691">
        <v>45.7</v>
      </c>
      <c r="C9320" s="692" t="s">
        <v>4060</v>
      </c>
      <c r="D9320" s="692" t="s">
        <v>4060</v>
      </c>
      <c r="E9320" s="692" t="s">
        <v>4060</v>
      </c>
      <c r="F9320" s="692" t="s">
        <v>4060</v>
      </c>
      <c r="G9320" s="692" t="s">
        <v>4060</v>
      </c>
      <c r="H9320" s="692" t="s">
        <v>4060</v>
      </c>
      <c r="I9320" s="692" t="s">
        <v>4060</v>
      </c>
      <c r="J9320" s="692" t="s">
        <v>4060</v>
      </c>
      <c r="K9320" s="692" t="s">
        <v>4060</v>
      </c>
    </row>
    <row r="9321" spans="1:11">
      <c r="A9321" s="688" t="s">
        <v>0</v>
      </c>
      <c r="B9321" s="689">
        <v>45.1</v>
      </c>
      <c r="C9321" s="689">
        <v>45.6</v>
      </c>
      <c r="D9321" s="689">
        <v>45.5</v>
      </c>
      <c r="E9321" s="689">
        <v>45.8</v>
      </c>
      <c r="F9321" s="693">
        <v>46</v>
      </c>
      <c r="G9321" s="689">
        <v>46.2</v>
      </c>
      <c r="H9321" s="689">
        <v>46.5</v>
      </c>
      <c r="I9321" s="689">
        <v>45.4</v>
      </c>
      <c r="J9321" s="689">
        <v>46.2</v>
      </c>
      <c r="K9321" s="689">
        <v>46.4</v>
      </c>
    </row>
    <row r="9322" spans="1:11">
      <c r="A9322" s="688" t="s">
        <v>1</v>
      </c>
      <c r="B9322" s="691">
        <v>39.1</v>
      </c>
      <c r="C9322" s="691">
        <v>38.6</v>
      </c>
      <c r="D9322" s="691">
        <v>38.700000000000003</v>
      </c>
      <c r="E9322" s="691">
        <v>38.700000000000003</v>
      </c>
      <c r="F9322" s="691">
        <v>38.799999999999997</v>
      </c>
      <c r="G9322" s="691">
        <v>38.799999999999997</v>
      </c>
      <c r="H9322" s="691">
        <v>38.799999999999997</v>
      </c>
      <c r="I9322" s="615">
        <v>37</v>
      </c>
      <c r="J9322" s="691">
        <v>35.4</v>
      </c>
      <c r="K9322" s="691">
        <v>37.9</v>
      </c>
    </row>
    <row r="9323" spans="1:11">
      <c r="A9323" s="688" t="s">
        <v>2240</v>
      </c>
      <c r="B9323" s="689">
        <v>42.3</v>
      </c>
      <c r="C9323" s="689">
        <v>42.7</v>
      </c>
      <c r="D9323" s="689">
        <v>42.6</v>
      </c>
      <c r="E9323" s="693">
        <v>43</v>
      </c>
      <c r="F9323" s="693">
        <v>43</v>
      </c>
      <c r="G9323" s="693">
        <v>43</v>
      </c>
      <c r="H9323" s="689">
        <v>43.3</v>
      </c>
      <c r="I9323" s="689">
        <v>42.2</v>
      </c>
      <c r="J9323" s="693">
        <v>41</v>
      </c>
      <c r="K9323" s="693">
        <v>43</v>
      </c>
    </row>
    <row r="9324" spans="1:11">
      <c r="A9324" s="688" t="s">
        <v>2</v>
      </c>
      <c r="B9324" s="691">
        <v>45.1</v>
      </c>
      <c r="C9324" s="691">
        <v>45.4</v>
      </c>
      <c r="D9324" s="691">
        <v>45.6</v>
      </c>
      <c r="E9324" s="691">
        <v>45.8</v>
      </c>
      <c r="F9324" s="615">
        <v>46</v>
      </c>
      <c r="G9324" s="691">
        <v>45.9</v>
      </c>
      <c r="H9324" s="691">
        <v>46.2</v>
      </c>
      <c r="I9324" s="691">
        <v>46.4</v>
      </c>
      <c r="J9324" s="691">
        <v>46.3</v>
      </c>
      <c r="K9324" s="691">
        <v>46.2</v>
      </c>
    </row>
    <row r="9325" spans="1:11">
      <c r="A9325" s="688" t="s">
        <v>3</v>
      </c>
      <c r="B9325" s="693">
        <v>45</v>
      </c>
      <c r="C9325" s="689">
        <v>45.3</v>
      </c>
      <c r="D9325" s="693">
        <v>45</v>
      </c>
      <c r="E9325" s="689">
        <v>45.3</v>
      </c>
      <c r="F9325" s="689">
        <v>45.4</v>
      </c>
      <c r="G9325" s="689">
        <v>45.4</v>
      </c>
      <c r="H9325" s="689">
        <v>45.7</v>
      </c>
      <c r="I9325" s="689">
        <v>45.4</v>
      </c>
      <c r="J9325" s="693">
        <v>45</v>
      </c>
      <c r="K9325" s="693">
        <v>45</v>
      </c>
    </row>
    <row r="9326" spans="1:11">
      <c r="A9326" s="688" t="s">
        <v>4061</v>
      </c>
      <c r="B9326" s="615">
        <v>45</v>
      </c>
      <c r="C9326" s="691">
        <v>45.3</v>
      </c>
      <c r="D9326" s="615">
        <v>45</v>
      </c>
      <c r="E9326" s="691">
        <v>45.3</v>
      </c>
      <c r="F9326" s="691">
        <v>45.4</v>
      </c>
      <c r="G9326" s="691">
        <v>45.4</v>
      </c>
      <c r="H9326" s="691">
        <v>45.7</v>
      </c>
      <c r="I9326" s="691">
        <v>45.4</v>
      </c>
      <c r="J9326" s="615">
        <v>45</v>
      </c>
      <c r="K9326" s="615">
        <v>45</v>
      </c>
    </row>
    <row r="9327" spans="1:11">
      <c r="A9327" s="688" t="s">
        <v>4</v>
      </c>
      <c r="B9327" s="689">
        <v>40.200000000000003</v>
      </c>
      <c r="C9327" s="689">
        <v>39.9</v>
      </c>
      <c r="D9327" s="689">
        <v>40.5</v>
      </c>
      <c r="E9327" s="689">
        <v>40.5</v>
      </c>
      <c r="F9327" s="689">
        <v>40.9</v>
      </c>
      <c r="G9327" s="689">
        <v>40.9</v>
      </c>
      <c r="H9327" s="689">
        <v>41.4</v>
      </c>
      <c r="I9327" s="689">
        <v>41.3</v>
      </c>
      <c r="J9327" s="689">
        <v>39.799999999999997</v>
      </c>
      <c r="K9327" s="689">
        <v>40.6</v>
      </c>
    </row>
    <row r="9328" spans="1:11">
      <c r="A9328" s="688" t="s">
        <v>8</v>
      </c>
      <c r="B9328" s="615">
        <v>46</v>
      </c>
      <c r="C9328" s="691">
        <v>46.3</v>
      </c>
      <c r="D9328" s="691">
        <v>46.5</v>
      </c>
      <c r="E9328" s="691">
        <v>46.6</v>
      </c>
      <c r="F9328" s="615">
        <v>47</v>
      </c>
      <c r="G9328" s="615">
        <v>47</v>
      </c>
      <c r="H9328" s="691">
        <v>47.4</v>
      </c>
      <c r="I9328" s="691">
        <v>47.3</v>
      </c>
      <c r="J9328" s="691">
        <v>47.1</v>
      </c>
      <c r="K9328" s="691">
        <v>47.5</v>
      </c>
    </row>
    <row r="9329" spans="1:11">
      <c r="A9329" s="688" t="s">
        <v>7</v>
      </c>
      <c r="B9329" s="689">
        <v>45.8</v>
      </c>
      <c r="C9329" s="689">
        <v>45.3</v>
      </c>
      <c r="D9329" s="693">
        <v>45</v>
      </c>
      <c r="E9329" s="689">
        <v>45.4</v>
      </c>
      <c r="F9329" s="689">
        <v>45.3</v>
      </c>
      <c r="G9329" s="689">
        <v>45.7</v>
      </c>
      <c r="H9329" s="689">
        <v>45.7</v>
      </c>
      <c r="I9329" s="689">
        <v>45.4</v>
      </c>
      <c r="J9329" s="689">
        <v>44.3</v>
      </c>
      <c r="K9329" s="689">
        <v>45.2</v>
      </c>
    </row>
    <row r="9330" spans="1:11">
      <c r="A9330" s="688" t="s">
        <v>27</v>
      </c>
      <c r="B9330" s="691">
        <v>46.9</v>
      </c>
      <c r="C9330" s="691">
        <v>46.8</v>
      </c>
      <c r="D9330" s="691">
        <v>46.6</v>
      </c>
      <c r="E9330" s="691">
        <v>46.9</v>
      </c>
      <c r="F9330" s="615">
        <v>47</v>
      </c>
      <c r="G9330" s="691">
        <v>47.1</v>
      </c>
      <c r="H9330" s="691">
        <v>47.5</v>
      </c>
      <c r="I9330" s="691">
        <v>46.2</v>
      </c>
      <c r="J9330" s="691">
        <v>46.9</v>
      </c>
      <c r="K9330" s="691">
        <v>47.1</v>
      </c>
    </row>
    <row r="9331" spans="1:11">
      <c r="A9331" s="688" t="s">
        <v>6</v>
      </c>
      <c r="B9331" s="689">
        <v>46.1</v>
      </c>
      <c r="C9331" s="689">
        <v>46.3</v>
      </c>
      <c r="D9331" s="689">
        <v>46.1</v>
      </c>
      <c r="E9331" s="689">
        <v>46.3</v>
      </c>
      <c r="F9331" s="689">
        <v>46.5</v>
      </c>
      <c r="G9331" s="689">
        <v>46.6</v>
      </c>
      <c r="H9331" s="689">
        <v>46.8</v>
      </c>
      <c r="I9331" s="689">
        <v>46.1</v>
      </c>
      <c r="J9331" s="689">
        <v>46.2</v>
      </c>
      <c r="K9331" s="689">
        <v>46.4</v>
      </c>
    </row>
    <row r="9332" spans="1:11">
      <c r="A9332" s="688" t="s">
        <v>4058</v>
      </c>
      <c r="B9332" s="692" t="s">
        <v>4060</v>
      </c>
      <c r="C9332" s="692" t="s">
        <v>4060</v>
      </c>
      <c r="D9332" s="692" t="s">
        <v>4060</v>
      </c>
      <c r="E9332" s="692" t="s">
        <v>4060</v>
      </c>
      <c r="F9332" s="692" t="s">
        <v>4060</v>
      </c>
      <c r="G9332" s="692" t="s">
        <v>4060</v>
      </c>
      <c r="H9332" s="692" t="s">
        <v>4060</v>
      </c>
      <c r="I9332" s="692" t="s">
        <v>4060</v>
      </c>
      <c r="J9332" s="692" t="s">
        <v>4060</v>
      </c>
      <c r="K9332" s="692" t="s">
        <v>4060</v>
      </c>
    </row>
    <row r="9333" spans="1:11">
      <c r="A9333" s="688" t="s">
        <v>11</v>
      </c>
      <c r="B9333" s="689">
        <v>41.6</v>
      </c>
      <c r="C9333" s="689">
        <v>41.7</v>
      </c>
      <c r="D9333" s="689">
        <v>41.4</v>
      </c>
      <c r="E9333" s="689">
        <v>41.9</v>
      </c>
      <c r="F9333" s="689">
        <v>41.9</v>
      </c>
      <c r="G9333" s="689">
        <v>41.9</v>
      </c>
      <c r="H9333" s="689">
        <v>42.3</v>
      </c>
      <c r="I9333" s="689">
        <v>41.6</v>
      </c>
      <c r="J9333" s="689">
        <v>40.5</v>
      </c>
      <c r="K9333" s="689">
        <v>41.7</v>
      </c>
    </row>
    <row r="9334" spans="1:11">
      <c r="A9334" s="688" t="s">
        <v>10</v>
      </c>
      <c r="B9334" s="691">
        <v>47.1</v>
      </c>
      <c r="C9334" s="691">
        <v>47.2</v>
      </c>
      <c r="D9334" s="691">
        <v>46.9</v>
      </c>
      <c r="E9334" s="691">
        <v>47.5</v>
      </c>
      <c r="F9334" s="691">
        <v>47.3</v>
      </c>
      <c r="G9334" s="691">
        <v>47.7</v>
      </c>
      <c r="H9334" s="691">
        <v>47.9</v>
      </c>
      <c r="I9334" s="691">
        <v>46.6</v>
      </c>
      <c r="J9334" s="691">
        <v>47.1</v>
      </c>
      <c r="K9334" s="691">
        <v>47.3</v>
      </c>
    </row>
    <row r="9335" spans="1:11">
      <c r="A9335" s="688" t="s">
        <v>30</v>
      </c>
      <c r="B9335" s="689">
        <v>46.9</v>
      </c>
      <c r="C9335" s="693">
        <v>47</v>
      </c>
      <c r="D9335" s="689">
        <v>46.8</v>
      </c>
      <c r="E9335" s="689">
        <v>47.4</v>
      </c>
      <c r="F9335" s="693">
        <v>47</v>
      </c>
      <c r="G9335" s="689">
        <v>47.9</v>
      </c>
      <c r="H9335" s="689">
        <v>47.6</v>
      </c>
      <c r="I9335" s="689">
        <v>47.5</v>
      </c>
      <c r="J9335" s="689">
        <v>46.7</v>
      </c>
      <c r="K9335" s="689">
        <v>47.2</v>
      </c>
    </row>
    <row r="9336" spans="1:11">
      <c r="A9336" s="688" t="s">
        <v>12</v>
      </c>
      <c r="B9336" s="615">
        <v>37</v>
      </c>
      <c r="C9336" s="691">
        <v>36.9</v>
      </c>
      <c r="D9336" s="691">
        <v>37.4</v>
      </c>
      <c r="E9336" s="691">
        <v>37.5</v>
      </c>
      <c r="F9336" s="691">
        <v>37.5</v>
      </c>
      <c r="G9336" s="691">
        <v>37.6</v>
      </c>
      <c r="H9336" s="691">
        <v>38.4</v>
      </c>
      <c r="I9336" s="615">
        <v>38</v>
      </c>
      <c r="J9336" s="691">
        <v>35.6</v>
      </c>
      <c r="K9336" s="691">
        <v>36.9</v>
      </c>
    </row>
    <row r="9337" spans="1:11">
      <c r="A9337" s="688" t="s">
        <v>14</v>
      </c>
      <c r="B9337" s="689">
        <v>36.5</v>
      </c>
      <c r="C9337" s="689">
        <v>37.200000000000003</v>
      </c>
      <c r="D9337" s="689">
        <v>37.1</v>
      </c>
      <c r="E9337" s="689">
        <v>37.200000000000003</v>
      </c>
      <c r="F9337" s="689">
        <v>38.299999999999997</v>
      </c>
      <c r="G9337" s="689">
        <v>38.5</v>
      </c>
      <c r="H9337" s="689">
        <v>38.9</v>
      </c>
      <c r="I9337" s="689">
        <v>37.5</v>
      </c>
      <c r="J9337" s="689">
        <v>37.1</v>
      </c>
      <c r="K9337" s="689">
        <v>38.6</v>
      </c>
    </row>
    <row r="9338" spans="1:11">
      <c r="A9338" s="688" t="s">
        <v>15</v>
      </c>
      <c r="B9338" s="691">
        <v>46.7</v>
      </c>
      <c r="C9338" s="691">
        <v>45.9</v>
      </c>
      <c r="D9338" s="691">
        <v>46.7</v>
      </c>
      <c r="E9338" s="691">
        <v>46.7</v>
      </c>
      <c r="F9338" s="691">
        <v>46.5</v>
      </c>
      <c r="G9338" s="691">
        <v>46.7</v>
      </c>
      <c r="H9338" s="691">
        <v>47.1</v>
      </c>
      <c r="I9338" s="691">
        <v>46.6</v>
      </c>
      <c r="J9338" s="615">
        <v>47</v>
      </c>
      <c r="K9338" s="691">
        <v>47.6</v>
      </c>
    </row>
    <row r="9339" spans="1:11">
      <c r="A9339" s="688" t="s">
        <v>29</v>
      </c>
      <c r="B9339" s="689">
        <v>39.200000000000003</v>
      </c>
      <c r="C9339" s="689">
        <v>39.299999999999997</v>
      </c>
      <c r="D9339" s="689">
        <v>39.299999999999997</v>
      </c>
      <c r="E9339" s="689">
        <v>39.5</v>
      </c>
      <c r="F9339" s="689">
        <v>39.5</v>
      </c>
      <c r="G9339" s="689">
        <v>39.5</v>
      </c>
      <c r="H9339" s="689">
        <v>39.9</v>
      </c>
      <c r="I9339" s="689">
        <v>39.200000000000003</v>
      </c>
      <c r="J9339" s="689">
        <v>37.700000000000003</v>
      </c>
      <c r="K9339" s="689">
        <v>39.5</v>
      </c>
    </row>
    <row r="9340" spans="1:11">
      <c r="A9340" s="688" t="s">
        <v>16</v>
      </c>
      <c r="B9340" s="691">
        <v>46.5</v>
      </c>
      <c r="C9340" s="691">
        <v>46.6</v>
      </c>
      <c r="D9340" s="691">
        <v>46.8</v>
      </c>
      <c r="E9340" s="691">
        <v>47.4</v>
      </c>
      <c r="F9340" s="691">
        <v>47.1</v>
      </c>
      <c r="G9340" s="691">
        <v>47.1</v>
      </c>
      <c r="H9340" s="691">
        <v>47.6</v>
      </c>
      <c r="I9340" s="691">
        <v>46.6</v>
      </c>
      <c r="J9340" s="615">
        <v>47</v>
      </c>
      <c r="K9340" s="691">
        <v>47.1</v>
      </c>
    </row>
    <row r="9341" spans="1:11">
      <c r="A9341" s="688" t="s">
        <v>17</v>
      </c>
      <c r="B9341" s="689">
        <v>46.4</v>
      </c>
      <c r="C9341" s="689">
        <v>46.7</v>
      </c>
      <c r="D9341" s="689">
        <v>46.5</v>
      </c>
      <c r="E9341" s="689">
        <v>46.7</v>
      </c>
      <c r="F9341" s="689">
        <v>46.9</v>
      </c>
      <c r="G9341" s="693">
        <v>47</v>
      </c>
      <c r="H9341" s="689">
        <v>47.3</v>
      </c>
      <c r="I9341" s="689">
        <v>46.5</v>
      </c>
      <c r="J9341" s="689">
        <v>46.5</v>
      </c>
      <c r="K9341" s="689">
        <v>46.9</v>
      </c>
    </row>
    <row r="9342" spans="1:11">
      <c r="A9342" s="688" t="s">
        <v>19</v>
      </c>
      <c r="B9342" s="691">
        <v>45.6</v>
      </c>
      <c r="C9342" s="691">
        <v>45.8</v>
      </c>
      <c r="D9342" s="691">
        <v>45.6</v>
      </c>
      <c r="E9342" s="691">
        <v>46.1</v>
      </c>
      <c r="F9342" s="691">
        <v>46.2</v>
      </c>
      <c r="G9342" s="691">
        <v>46.2</v>
      </c>
      <c r="H9342" s="691">
        <v>46.5</v>
      </c>
      <c r="I9342" s="691">
        <v>45.8</v>
      </c>
      <c r="J9342" s="691">
        <v>45.7</v>
      </c>
      <c r="K9342" s="691">
        <v>45.9</v>
      </c>
    </row>
    <row r="9343" spans="1:11">
      <c r="A9343" s="688" t="s">
        <v>20</v>
      </c>
      <c r="B9343" s="689">
        <v>40.4</v>
      </c>
      <c r="C9343" s="689">
        <v>40.9</v>
      </c>
      <c r="D9343" s="689">
        <v>40.700000000000003</v>
      </c>
      <c r="E9343" s="689">
        <v>41.1</v>
      </c>
      <c r="F9343" s="689">
        <v>41.1</v>
      </c>
      <c r="G9343" s="693">
        <v>41</v>
      </c>
      <c r="H9343" s="689">
        <v>41.3</v>
      </c>
      <c r="I9343" s="689">
        <v>39.6</v>
      </c>
      <c r="J9343" s="689">
        <v>38.799999999999997</v>
      </c>
      <c r="K9343" s="689">
        <v>40.6</v>
      </c>
    </row>
    <row r="9344" spans="1:11">
      <c r="A9344" s="688" t="s">
        <v>21</v>
      </c>
      <c r="B9344" s="691">
        <v>44.5</v>
      </c>
      <c r="C9344" s="615">
        <v>45</v>
      </c>
      <c r="D9344" s="691">
        <v>45.1</v>
      </c>
      <c r="E9344" s="691">
        <v>45.1</v>
      </c>
      <c r="F9344" s="691">
        <v>45.4</v>
      </c>
      <c r="G9344" s="691">
        <v>45.4</v>
      </c>
      <c r="H9344" s="691">
        <v>45.8</v>
      </c>
      <c r="I9344" s="691">
        <v>45.2</v>
      </c>
      <c r="J9344" s="691">
        <v>45.2</v>
      </c>
      <c r="K9344" s="691">
        <v>45.7</v>
      </c>
    </row>
    <row r="9345" spans="1:11">
      <c r="A9345" s="688" t="s">
        <v>22</v>
      </c>
      <c r="B9345" s="689">
        <v>39.4</v>
      </c>
      <c r="C9345" s="689">
        <v>39.1</v>
      </c>
      <c r="D9345" s="693">
        <v>39</v>
      </c>
      <c r="E9345" s="689">
        <v>39.1</v>
      </c>
      <c r="F9345" s="689">
        <v>39.200000000000003</v>
      </c>
      <c r="G9345" s="689">
        <v>39.1</v>
      </c>
      <c r="H9345" s="689">
        <v>39.299999999999997</v>
      </c>
      <c r="I9345" s="689">
        <v>37.700000000000003</v>
      </c>
      <c r="J9345" s="689">
        <v>36.6</v>
      </c>
      <c r="K9345" s="689">
        <v>38.6</v>
      </c>
    </row>
    <row r="9346" spans="1:11">
      <c r="A9346" s="688" t="s">
        <v>26</v>
      </c>
      <c r="B9346" s="691">
        <v>44.2</v>
      </c>
      <c r="C9346" s="691">
        <v>44.7</v>
      </c>
      <c r="D9346" s="691">
        <v>44.5</v>
      </c>
      <c r="E9346" s="691">
        <v>44.9</v>
      </c>
      <c r="F9346" s="691">
        <v>44.8</v>
      </c>
      <c r="G9346" s="691">
        <v>45.1</v>
      </c>
      <c r="H9346" s="691">
        <v>45.4</v>
      </c>
      <c r="I9346" s="691">
        <v>44.5</v>
      </c>
      <c r="J9346" s="691">
        <v>44.4</v>
      </c>
      <c r="K9346" s="691">
        <v>45.3</v>
      </c>
    </row>
    <row r="9347" spans="1:11">
      <c r="A9347" s="688" t="s">
        <v>25</v>
      </c>
      <c r="B9347" s="689">
        <v>40.200000000000003</v>
      </c>
      <c r="C9347" s="689">
        <v>40.6</v>
      </c>
      <c r="D9347" s="689">
        <v>40.5</v>
      </c>
      <c r="E9347" s="693">
        <v>41</v>
      </c>
      <c r="F9347" s="693">
        <v>41</v>
      </c>
      <c r="G9347" s="689">
        <v>41.1</v>
      </c>
      <c r="H9347" s="689">
        <v>41.6</v>
      </c>
      <c r="I9347" s="689">
        <v>40.799999999999997</v>
      </c>
      <c r="J9347" s="689">
        <v>38.5</v>
      </c>
      <c r="K9347" s="689">
        <v>40.9</v>
      </c>
    </row>
    <row r="9348" spans="1:11">
      <c r="A9348" s="688" t="s">
        <v>5</v>
      </c>
      <c r="B9348" s="691">
        <v>45.1</v>
      </c>
      <c r="C9348" s="691">
        <v>45.2</v>
      </c>
      <c r="D9348" s="691">
        <v>45.5</v>
      </c>
      <c r="E9348" s="691">
        <v>45.4</v>
      </c>
      <c r="F9348" s="691">
        <v>45.8</v>
      </c>
      <c r="G9348" s="691">
        <v>45.9</v>
      </c>
      <c r="H9348" s="691">
        <v>46.3</v>
      </c>
      <c r="I9348" s="691">
        <v>46.1</v>
      </c>
      <c r="J9348" s="691">
        <v>46.1</v>
      </c>
      <c r="K9348" s="691">
        <v>45.6</v>
      </c>
    </row>
    <row r="9349" spans="1:11">
      <c r="A9349" s="688" t="s">
        <v>23</v>
      </c>
      <c r="B9349" s="689">
        <v>47.1</v>
      </c>
      <c r="C9349" s="689">
        <v>47.3</v>
      </c>
      <c r="D9349" s="689">
        <v>47.3</v>
      </c>
      <c r="E9349" s="689">
        <v>47.4</v>
      </c>
      <c r="F9349" s="689">
        <v>47.7</v>
      </c>
      <c r="G9349" s="689">
        <v>47.7</v>
      </c>
      <c r="H9349" s="689">
        <v>48.2</v>
      </c>
      <c r="I9349" s="689">
        <v>47.5</v>
      </c>
      <c r="J9349" s="693">
        <v>48</v>
      </c>
      <c r="K9349" s="689">
        <v>48.2</v>
      </c>
    </row>
    <row r="9350" spans="1:11">
      <c r="A9350" s="688" t="s">
        <v>4067</v>
      </c>
      <c r="B9350" s="691">
        <v>44.8</v>
      </c>
      <c r="C9350" s="691">
        <v>45.1</v>
      </c>
      <c r="D9350" s="691">
        <v>44.9</v>
      </c>
      <c r="E9350" s="691">
        <v>45.2</v>
      </c>
      <c r="F9350" s="691">
        <v>45.3</v>
      </c>
      <c r="G9350" s="691">
        <v>45.4</v>
      </c>
      <c r="H9350" s="692" t="s">
        <v>4060</v>
      </c>
      <c r="I9350" s="692" t="s">
        <v>4060</v>
      </c>
      <c r="J9350" s="692" t="s">
        <v>4060</v>
      </c>
      <c r="K9350" s="692" t="s">
        <v>4060</v>
      </c>
    </row>
    <row r="9351" spans="1:11">
      <c r="A9351" s="688" t="s">
        <v>4066</v>
      </c>
      <c r="B9351" s="689">
        <v>44.8</v>
      </c>
      <c r="C9351" s="689">
        <v>45.2</v>
      </c>
      <c r="D9351" s="689">
        <v>44.9</v>
      </c>
      <c r="E9351" s="689">
        <v>45.3</v>
      </c>
      <c r="F9351" s="689">
        <v>45.3</v>
      </c>
      <c r="G9351" s="689">
        <v>45.4</v>
      </c>
      <c r="H9351" s="690" t="s">
        <v>4060</v>
      </c>
      <c r="I9351" s="690" t="s">
        <v>4060</v>
      </c>
      <c r="J9351" s="690" t="s">
        <v>4060</v>
      </c>
      <c r="K9351" s="690" t="s">
        <v>4060</v>
      </c>
    </row>
    <row r="9352" spans="1:11">
      <c r="A9352" s="688" t="s">
        <v>4062</v>
      </c>
      <c r="B9352" s="691">
        <v>47.3</v>
      </c>
      <c r="C9352" s="691">
        <v>47.5</v>
      </c>
      <c r="D9352" s="691">
        <v>47.5</v>
      </c>
      <c r="E9352" s="691">
        <v>47.9</v>
      </c>
      <c r="F9352" s="615">
        <v>48</v>
      </c>
      <c r="G9352" s="691">
        <v>48.2</v>
      </c>
      <c r="H9352" s="691">
        <v>48.5</v>
      </c>
      <c r="I9352" s="615">
        <v>48</v>
      </c>
      <c r="J9352" s="691">
        <v>48.4</v>
      </c>
      <c r="K9352" s="691">
        <v>48.2</v>
      </c>
    </row>
    <row r="9353" spans="1:11">
      <c r="A9353" s="688" t="s">
        <v>9</v>
      </c>
      <c r="B9353" s="689">
        <v>47.3</v>
      </c>
      <c r="C9353" s="689">
        <v>47.8</v>
      </c>
      <c r="D9353" s="689">
        <v>48.1</v>
      </c>
      <c r="E9353" s="689">
        <v>47.3</v>
      </c>
      <c r="F9353" s="689">
        <v>47.8</v>
      </c>
      <c r="G9353" s="689">
        <v>48.2</v>
      </c>
      <c r="H9353" s="689">
        <v>48.2</v>
      </c>
      <c r="I9353" s="689">
        <v>48.4</v>
      </c>
      <c r="J9353" s="689">
        <v>48.8</v>
      </c>
      <c r="K9353" s="689">
        <v>47.5</v>
      </c>
    </row>
    <row r="9354" spans="1:11">
      <c r="A9354" s="688" t="s">
        <v>13</v>
      </c>
      <c r="B9354" s="615">
        <v>47</v>
      </c>
      <c r="C9354" s="691">
        <v>47.4</v>
      </c>
      <c r="D9354" s="691">
        <v>47.6</v>
      </c>
      <c r="E9354" s="691">
        <v>46.9</v>
      </c>
      <c r="F9354" s="691">
        <v>47.8</v>
      </c>
      <c r="G9354" s="691">
        <v>47.3</v>
      </c>
      <c r="H9354" s="691">
        <v>48.6</v>
      </c>
      <c r="I9354" s="691">
        <v>47.6</v>
      </c>
      <c r="J9354" s="691">
        <v>48.7</v>
      </c>
      <c r="K9354" s="691">
        <v>49.4</v>
      </c>
    </row>
    <row r="9355" spans="1:11">
      <c r="A9355" s="688" t="s">
        <v>18</v>
      </c>
      <c r="B9355" s="689">
        <v>46.7</v>
      </c>
      <c r="C9355" s="689">
        <v>46.9</v>
      </c>
      <c r="D9355" s="689">
        <v>47.2</v>
      </c>
      <c r="E9355" s="689">
        <v>47.4</v>
      </c>
      <c r="F9355" s="689">
        <v>47.7</v>
      </c>
      <c r="G9355" s="689">
        <v>47.8</v>
      </c>
      <c r="H9355" s="689">
        <v>48.1</v>
      </c>
      <c r="I9355" s="689">
        <v>48.3</v>
      </c>
      <c r="J9355" s="689">
        <v>48.3</v>
      </c>
      <c r="K9355" s="689">
        <v>47.7</v>
      </c>
    </row>
    <row r="9356" spans="1:11">
      <c r="A9356" s="688" t="s">
        <v>24</v>
      </c>
      <c r="B9356" s="691">
        <v>47.6</v>
      </c>
      <c r="C9356" s="691">
        <v>47.8</v>
      </c>
      <c r="D9356" s="691">
        <v>47.7</v>
      </c>
      <c r="E9356" s="691">
        <v>48.3</v>
      </c>
      <c r="F9356" s="691">
        <v>48.2</v>
      </c>
      <c r="G9356" s="691">
        <v>48.5</v>
      </c>
      <c r="H9356" s="691">
        <v>48.7</v>
      </c>
      <c r="I9356" s="691">
        <v>47.9</v>
      </c>
      <c r="J9356" s="691">
        <v>48.5</v>
      </c>
      <c r="K9356" s="691">
        <v>48.5</v>
      </c>
    </row>
    <row r="9357" spans="1:11">
      <c r="A9357" s="688" t="s">
        <v>4059</v>
      </c>
      <c r="B9357" s="689">
        <v>46.2</v>
      </c>
      <c r="C9357" s="689">
        <v>46.5</v>
      </c>
      <c r="D9357" s="689">
        <v>46.2</v>
      </c>
      <c r="E9357" s="689">
        <v>46.4</v>
      </c>
      <c r="F9357" s="689">
        <v>46.5</v>
      </c>
      <c r="G9357" s="689">
        <v>46.5</v>
      </c>
      <c r="H9357" s="690" t="s">
        <v>4060</v>
      </c>
      <c r="I9357" s="690" t="s">
        <v>4060</v>
      </c>
      <c r="J9357" s="690" t="s">
        <v>4060</v>
      </c>
      <c r="K9357" s="690" t="s">
        <v>4060</v>
      </c>
    </row>
    <row r="9358" spans="1:11">
      <c r="A9358" s="688" t="s">
        <v>2324</v>
      </c>
      <c r="B9358" s="691">
        <v>41.3</v>
      </c>
      <c r="C9358" s="691">
        <v>41.3</v>
      </c>
      <c r="D9358" s="691">
        <v>41.3</v>
      </c>
      <c r="E9358" s="615">
        <v>41</v>
      </c>
      <c r="F9358" s="615">
        <v>41</v>
      </c>
      <c r="G9358" s="691">
        <v>41.4</v>
      </c>
      <c r="H9358" s="615">
        <v>41</v>
      </c>
      <c r="I9358" s="691">
        <v>40.1</v>
      </c>
      <c r="J9358" s="691">
        <v>37.700000000000003</v>
      </c>
      <c r="K9358" s="692" t="s">
        <v>4060</v>
      </c>
    </row>
    <row r="9359" spans="1:11">
      <c r="A9359" s="688" t="s">
        <v>2322</v>
      </c>
      <c r="B9359" s="690" t="s">
        <v>4060</v>
      </c>
      <c r="C9359" s="690" t="s">
        <v>4060</v>
      </c>
      <c r="D9359" s="690" t="s">
        <v>4060</v>
      </c>
      <c r="E9359" s="690" t="s">
        <v>4060</v>
      </c>
      <c r="F9359" s="690" t="s">
        <v>4060</v>
      </c>
      <c r="G9359" s="690" t="s">
        <v>4060</v>
      </c>
      <c r="H9359" s="690" t="s">
        <v>4060</v>
      </c>
      <c r="I9359" s="690" t="s">
        <v>4060</v>
      </c>
      <c r="J9359" s="690" t="s">
        <v>4060</v>
      </c>
      <c r="K9359" s="690" t="s">
        <v>4060</v>
      </c>
    </row>
    <row r="9360" spans="1:11">
      <c r="A9360" s="688" t="s">
        <v>2328</v>
      </c>
      <c r="B9360" s="691">
        <v>40.9</v>
      </c>
      <c r="C9360" s="615">
        <v>41</v>
      </c>
      <c r="D9360" s="615">
        <v>41</v>
      </c>
      <c r="E9360" s="615">
        <v>41</v>
      </c>
      <c r="F9360" s="691">
        <v>41.4</v>
      </c>
      <c r="G9360" s="691">
        <v>41.8</v>
      </c>
      <c r="H9360" s="691">
        <v>41.8</v>
      </c>
      <c r="I9360" s="691">
        <v>39.200000000000003</v>
      </c>
      <c r="J9360" s="691">
        <v>38.200000000000003</v>
      </c>
      <c r="K9360" s="692" t="s">
        <v>4060</v>
      </c>
    </row>
    <row r="9361" spans="1:11">
      <c r="A9361" s="688" t="s">
        <v>2496</v>
      </c>
      <c r="B9361" s="690" t="s">
        <v>4060</v>
      </c>
      <c r="C9361" s="693">
        <v>38</v>
      </c>
      <c r="D9361" s="689">
        <v>36.9</v>
      </c>
      <c r="E9361" s="689">
        <v>36.5</v>
      </c>
      <c r="F9361" s="689">
        <v>37.299999999999997</v>
      </c>
      <c r="G9361" s="689">
        <v>37.700000000000003</v>
      </c>
      <c r="H9361" s="689">
        <v>37.700000000000003</v>
      </c>
      <c r="I9361" s="690" t="s">
        <v>4060</v>
      </c>
      <c r="J9361" s="690" t="s">
        <v>4060</v>
      </c>
      <c r="K9361" s="689">
        <v>37.1</v>
      </c>
    </row>
    <row r="9362" spans="1:11">
      <c r="A9362" s="688" t="s">
        <v>2269</v>
      </c>
      <c r="B9362" s="691">
        <v>43.9</v>
      </c>
      <c r="C9362" s="615">
        <v>44</v>
      </c>
      <c r="D9362" s="691">
        <v>43.8</v>
      </c>
      <c r="E9362" s="691">
        <v>44.5</v>
      </c>
      <c r="F9362" s="691">
        <v>44.6</v>
      </c>
      <c r="G9362" s="691">
        <v>44.9</v>
      </c>
      <c r="H9362" s="691">
        <v>45.2</v>
      </c>
      <c r="I9362" s="691">
        <v>42.7</v>
      </c>
      <c r="J9362" s="691">
        <v>40.9</v>
      </c>
      <c r="K9362" s="691">
        <v>44.7</v>
      </c>
    </row>
    <row r="9363" spans="1:11">
      <c r="A9363" s="688" t="s">
        <v>2349</v>
      </c>
      <c r="B9363" s="693">
        <v>40</v>
      </c>
      <c r="C9363" s="689">
        <v>40.1</v>
      </c>
      <c r="D9363" s="693">
        <v>40</v>
      </c>
      <c r="E9363" s="689">
        <v>40.4</v>
      </c>
      <c r="F9363" s="689">
        <v>40.4</v>
      </c>
      <c r="G9363" s="689">
        <v>40.6</v>
      </c>
      <c r="H9363" s="689">
        <v>40.5</v>
      </c>
      <c r="I9363" s="689">
        <v>38.700000000000003</v>
      </c>
      <c r="J9363" s="689">
        <v>37.200000000000003</v>
      </c>
      <c r="K9363" s="689">
        <v>39.799999999999997</v>
      </c>
    </row>
    <row r="9364" spans="1:11">
      <c r="A9364" s="688" t="s">
        <v>2355</v>
      </c>
      <c r="B9364" s="691">
        <v>43.4</v>
      </c>
      <c r="C9364" s="691">
        <v>43.4</v>
      </c>
      <c r="D9364" s="691">
        <v>43.4</v>
      </c>
      <c r="E9364" s="691">
        <v>43.3</v>
      </c>
      <c r="F9364" s="691">
        <v>43.6</v>
      </c>
      <c r="G9364" s="615">
        <v>44</v>
      </c>
      <c r="H9364" s="691">
        <v>44.1</v>
      </c>
      <c r="I9364" s="692" t="s">
        <v>4060</v>
      </c>
      <c r="J9364" s="692" t="s">
        <v>4060</v>
      </c>
      <c r="K9364" s="692" t="s">
        <v>4060</v>
      </c>
    </row>
    <row r="9365" spans="1:11">
      <c r="A9365" s="688" t="s">
        <v>2357</v>
      </c>
      <c r="B9365" s="690" t="s">
        <v>4060</v>
      </c>
      <c r="C9365" s="689">
        <v>35.200000000000003</v>
      </c>
      <c r="D9365" s="689">
        <v>35.700000000000003</v>
      </c>
      <c r="E9365" s="689">
        <v>36.1</v>
      </c>
      <c r="F9365" s="689">
        <v>36.4</v>
      </c>
      <c r="G9365" s="693">
        <v>36</v>
      </c>
      <c r="H9365" s="689">
        <v>36.299999999999997</v>
      </c>
      <c r="I9365" s="690" t="s">
        <v>4060</v>
      </c>
      <c r="J9365" s="690" t="s">
        <v>4060</v>
      </c>
      <c r="K9365" s="690" t="s">
        <v>4060</v>
      </c>
    </row>
    <row r="9366" spans="1:11">
      <c r="A9366" s="688" t="s">
        <v>4070</v>
      </c>
      <c r="B9366" s="692" t="s">
        <v>4060</v>
      </c>
      <c r="C9366" s="692" t="s">
        <v>4060</v>
      </c>
      <c r="D9366" s="692" t="s">
        <v>4060</v>
      </c>
      <c r="E9366" s="615">
        <v>43</v>
      </c>
      <c r="F9366" s="692" t="s">
        <v>4060</v>
      </c>
      <c r="G9366" s="692" t="s">
        <v>4060</v>
      </c>
      <c r="H9366" s="692" t="s">
        <v>4060</v>
      </c>
      <c r="I9366" s="692" t="s">
        <v>4060</v>
      </c>
      <c r="J9366" s="692" t="s">
        <v>4060</v>
      </c>
      <c r="K9366" s="692" t="s">
        <v>4060</v>
      </c>
    </row>
    <row r="9367" spans="1:11">
      <c r="A9367" s="688" t="s">
        <v>2491</v>
      </c>
      <c r="B9367" s="689">
        <v>35.1</v>
      </c>
      <c r="C9367" s="689">
        <v>35.6</v>
      </c>
      <c r="D9367" s="689">
        <v>36.1</v>
      </c>
      <c r="E9367" s="689">
        <v>36.4</v>
      </c>
      <c r="F9367" s="689">
        <v>36.5</v>
      </c>
      <c r="G9367" s="689">
        <v>36.5</v>
      </c>
      <c r="H9367" s="690" t="s">
        <v>4060</v>
      </c>
      <c r="I9367" s="690" t="s">
        <v>4060</v>
      </c>
      <c r="J9367" s="690" t="s">
        <v>4060</v>
      </c>
      <c r="K9367" s="690" t="s">
        <v>4060</v>
      </c>
    </row>
    <row r="9368" spans="1:11">
      <c r="A9368" s="688" t="s">
        <v>2343</v>
      </c>
      <c r="B9368" s="692" t="s">
        <v>4060</v>
      </c>
      <c r="C9368" s="692" t="s">
        <v>4060</v>
      </c>
      <c r="D9368" s="692" t="s">
        <v>4060</v>
      </c>
      <c r="E9368" s="692" t="s">
        <v>4060</v>
      </c>
      <c r="F9368" s="692" t="s">
        <v>4060</v>
      </c>
      <c r="G9368" s="692" t="s">
        <v>4060</v>
      </c>
      <c r="H9368" s="692" t="s">
        <v>4060</v>
      </c>
      <c r="I9368" s="692" t="s">
        <v>4060</v>
      </c>
      <c r="J9368" s="692" t="s">
        <v>4060</v>
      </c>
      <c r="K9368" s="692" t="s">
        <v>4060</v>
      </c>
    </row>
    <row r="9369" spans="1:11">
      <c r="A9369" s="688" t="s">
        <v>4071</v>
      </c>
      <c r="B9369" s="690" t="s">
        <v>4060</v>
      </c>
      <c r="C9369" s="690" t="s">
        <v>4060</v>
      </c>
      <c r="D9369" s="690" t="s">
        <v>4060</v>
      </c>
      <c r="E9369" s="690" t="s">
        <v>4060</v>
      </c>
      <c r="F9369" s="690" t="s">
        <v>4060</v>
      </c>
      <c r="G9369" s="690" t="s">
        <v>4060</v>
      </c>
      <c r="H9369" s="690" t="s">
        <v>4060</v>
      </c>
      <c r="I9369" s="690" t="s">
        <v>4060</v>
      </c>
      <c r="J9369" s="690" t="s">
        <v>4060</v>
      </c>
      <c r="K9369" s="690" t="s">
        <v>4060</v>
      </c>
    </row>
    <row r="9370" spans="1:11">
      <c r="A9370" s="688" t="s">
        <v>2489</v>
      </c>
      <c r="B9370" s="692" t="s">
        <v>4060</v>
      </c>
      <c r="C9370" s="692" t="s">
        <v>4060</v>
      </c>
      <c r="D9370" s="691">
        <v>39.5</v>
      </c>
      <c r="E9370" s="691">
        <v>39.4</v>
      </c>
      <c r="F9370" s="615">
        <v>40</v>
      </c>
      <c r="G9370" s="691">
        <v>40.9</v>
      </c>
      <c r="H9370" s="691">
        <v>40.5</v>
      </c>
      <c r="I9370" s="692" t="s">
        <v>4060</v>
      </c>
      <c r="J9370" s="692" t="s">
        <v>4060</v>
      </c>
      <c r="K9370" s="692" t="s">
        <v>4060</v>
      </c>
    </row>
    <row r="9371" spans="1:11">
      <c r="A9371" s="688" t="s">
        <v>2490</v>
      </c>
      <c r="B9371" s="689">
        <v>40.200000000000003</v>
      </c>
      <c r="C9371" s="689">
        <v>40.299999999999997</v>
      </c>
      <c r="D9371" s="693">
        <v>41</v>
      </c>
      <c r="E9371" s="690" t="s">
        <v>4060</v>
      </c>
      <c r="F9371" s="689">
        <v>41.3</v>
      </c>
      <c r="G9371" s="689">
        <v>41.5</v>
      </c>
      <c r="H9371" s="689">
        <v>42.4</v>
      </c>
      <c r="I9371" s="690" t="s">
        <v>4060</v>
      </c>
      <c r="J9371" s="690" t="s">
        <v>4060</v>
      </c>
      <c r="K9371" s="690" t="s">
        <v>4060</v>
      </c>
    </row>
    <row r="9373" spans="1:11">
      <c r="A9373" s="683" t="s">
        <v>4233</v>
      </c>
    </row>
    <row r="9374" spans="1:11">
      <c r="A9374" s="683" t="s">
        <v>4060</v>
      </c>
      <c r="B9374" s="682" t="s">
        <v>4234</v>
      </c>
    </row>
    <row r="9376" spans="1:11">
      <c r="A9376" s="682" t="s">
        <v>4331</v>
      </c>
    </row>
    <row r="9377" spans="1:11">
      <c r="A9377" s="682" t="s">
        <v>4210</v>
      </c>
      <c r="B9377" s="683" t="s">
        <v>4211</v>
      </c>
    </row>
    <row r="9378" spans="1:11">
      <c r="A9378" s="682" t="s">
        <v>4212</v>
      </c>
      <c r="B9378" s="682" t="s">
        <v>4213</v>
      </c>
    </row>
    <row r="9380" spans="1:11">
      <c r="A9380" s="683" t="s">
        <v>4214</v>
      </c>
      <c r="C9380" s="682" t="s">
        <v>4215</v>
      </c>
    </row>
    <row r="9381" spans="1:11">
      <c r="A9381" s="683" t="s">
        <v>4216</v>
      </c>
      <c r="C9381" s="682" t="s">
        <v>2967</v>
      </c>
    </row>
    <row r="9382" spans="1:11">
      <c r="A9382" s="683" t="s">
        <v>3893</v>
      </c>
      <c r="C9382" s="682" t="s">
        <v>2168</v>
      </c>
    </row>
    <row r="9383" spans="1:11">
      <c r="A9383" s="683" t="s">
        <v>4218</v>
      </c>
      <c r="C9383" s="682" t="s">
        <v>4270</v>
      </c>
    </row>
    <row r="9385" spans="1:11">
      <c r="A9385" s="684" t="s">
        <v>4220</v>
      </c>
      <c r="B9385" s="685" t="s">
        <v>4221</v>
      </c>
      <c r="C9385" s="685" t="s">
        <v>4222</v>
      </c>
      <c r="D9385" s="685" t="s">
        <v>4223</v>
      </c>
      <c r="E9385" s="685" t="s">
        <v>4224</v>
      </c>
      <c r="F9385" s="685" t="s">
        <v>4225</v>
      </c>
      <c r="G9385" s="685" t="s">
        <v>4226</v>
      </c>
      <c r="H9385" s="685" t="s">
        <v>4227</v>
      </c>
      <c r="I9385" s="685" t="s">
        <v>4228</v>
      </c>
      <c r="J9385" s="685" t="s">
        <v>4229</v>
      </c>
      <c r="K9385" s="685" t="s">
        <v>4230</v>
      </c>
    </row>
    <row r="9386" spans="1:11">
      <c r="A9386" s="686" t="s">
        <v>4231</v>
      </c>
      <c r="B9386" s="687" t="s">
        <v>4232</v>
      </c>
      <c r="C9386" s="687" t="s">
        <v>4232</v>
      </c>
      <c r="D9386" s="687" t="s">
        <v>4232</v>
      </c>
      <c r="E9386" s="687" t="s">
        <v>4232</v>
      </c>
      <c r="F9386" s="687" t="s">
        <v>4232</v>
      </c>
      <c r="G9386" s="687" t="s">
        <v>4232</v>
      </c>
      <c r="H9386" s="687" t="s">
        <v>4232</v>
      </c>
      <c r="I9386" s="687" t="s">
        <v>4232</v>
      </c>
      <c r="J9386" s="687" t="s">
        <v>4232</v>
      </c>
      <c r="K9386" s="687" t="s">
        <v>4232</v>
      </c>
    </row>
    <row r="9387" spans="1:11">
      <c r="A9387" s="688" t="s">
        <v>4064</v>
      </c>
      <c r="B9387" s="689">
        <v>43.6</v>
      </c>
      <c r="C9387" s="689">
        <v>43.8</v>
      </c>
      <c r="D9387" s="689">
        <v>43.8</v>
      </c>
      <c r="E9387" s="689">
        <v>43.9</v>
      </c>
      <c r="F9387" s="693">
        <v>44</v>
      </c>
      <c r="G9387" s="689">
        <v>44.1</v>
      </c>
      <c r="H9387" s="689">
        <v>44.3</v>
      </c>
      <c r="I9387" s="689">
        <v>43.4</v>
      </c>
      <c r="J9387" s="689">
        <v>43.1</v>
      </c>
      <c r="K9387" s="689">
        <v>43.8</v>
      </c>
    </row>
    <row r="9388" spans="1:11">
      <c r="A9388" s="688" t="s">
        <v>4065</v>
      </c>
      <c r="B9388" s="691">
        <v>43.8</v>
      </c>
      <c r="C9388" s="691">
        <v>44.2</v>
      </c>
      <c r="D9388" s="691">
        <v>43.9</v>
      </c>
      <c r="E9388" s="691">
        <v>44.3</v>
      </c>
      <c r="F9388" s="691">
        <v>44.3</v>
      </c>
      <c r="G9388" s="691">
        <v>44.4</v>
      </c>
      <c r="H9388" s="692" t="s">
        <v>4060</v>
      </c>
      <c r="I9388" s="692" t="s">
        <v>4060</v>
      </c>
      <c r="J9388" s="692" t="s">
        <v>4060</v>
      </c>
      <c r="K9388" s="692" t="s">
        <v>4060</v>
      </c>
    </row>
    <row r="9389" spans="1:11">
      <c r="A9389" s="688" t="s">
        <v>4063</v>
      </c>
      <c r="B9389" s="689">
        <v>43.8</v>
      </c>
      <c r="C9389" s="689">
        <v>44.2</v>
      </c>
      <c r="D9389" s="693">
        <v>44</v>
      </c>
      <c r="E9389" s="689">
        <v>44.3</v>
      </c>
      <c r="F9389" s="689">
        <v>44.3</v>
      </c>
      <c r="G9389" s="689">
        <v>44.4</v>
      </c>
      <c r="H9389" s="690" t="s">
        <v>4060</v>
      </c>
      <c r="I9389" s="690" t="s">
        <v>4060</v>
      </c>
      <c r="J9389" s="690" t="s">
        <v>4060</v>
      </c>
      <c r="K9389" s="690" t="s">
        <v>4060</v>
      </c>
    </row>
    <row r="9390" spans="1:11">
      <c r="A9390" s="688" t="s">
        <v>4069</v>
      </c>
      <c r="B9390" s="692" t="s">
        <v>4060</v>
      </c>
      <c r="C9390" s="691">
        <v>44.9</v>
      </c>
      <c r="D9390" s="691">
        <v>44.7</v>
      </c>
      <c r="E9390" s="615">
        <v>45</v>
      </c>
      <c r="F9390" s="691">
        <v>45.1</v>
      </c>
      <c r="G9390" s="691">
        <v>45.2</v>
      </c>
      <c r="H9390" s="691">
        <v>45.5</v>
      </c>
      <c r="I9390" s="691">
        <v>44.7</v>
      </c>
      <c r="J9390" s="691">
        <v>44.7</v>
      </c>
      <c r="K9390" s="615">
        <v>45</v>
      </c>
    </row>
    <row r="9391" spans="1:11">
      <c r="A9391" s="688" t="s">
        <v>4068</v>
      </c>
      <c r="B9391" s="689">
        <v>44.8</v>
      </c>
      <c r="C9391" s="690" t="s">
        <v>4060</v>
      </c>
      <c r="D9391" s="690" t="s">
        <v>4060</v>
      </c>
      <c r="E9391" s="690" t="s">
        <v>4060</v>
      </c>
      <c r="F9391" s="690" t="s">
        <v>4060</v>
      </c>
      <c r="G9391" s="690" t="s">
        <v>4060</v>
      </c>
      <c r="H9391" s="690" t="s">
        <v>4060</v>
      </c>
      <c r="I9391" s="690" t="s">
        <v>4060</v>
      </c>
      <c r="J9391" s="690" t="s">
        <v>4060</v>
      </c>
      <c r="K9391" s="690" t="s">
        <v>4060</v>
      </c>
    </row>
    <row r="9392" spans="1:11">
      <c r="A9392" s="688" t="s">
        <v>0</v>
      </c>
      <c r="B9392" s="691">
        <v>44.2</v>
      </c>
      <c r="C9392" s="691">
        <v>44.7</v>
      </c>
      <c r="D9392" s="691">
        <v>44.6</v>
      </c>
      <c r="E9392" s="691">
        <v>44.8</v>
      </c>
      <c r="F9392" s="615">
        <v>45</v>
      </c>
      <c r="G9392" s="691">
        <v>45.2</v>
      </c>
      <c r="H9392" s="691">
        <v>45.6</v>
      </c>
      <c r="I9392" s="691">
        <v>44.4</v>
      </c>
      <c r="J9392" s="691">
        <v>45.2</v>
      </c>
      <c r="K9392" s="691">
        <v>45.5</v>
      </c>
    </row>
    <row r="9393" spans="1:11">
      <c r="A9393" s="688" t="s">
        <v>1</v>
      </c>
      <c r="B9393" s="689">
        <v>38.1</v>
      </c>
      <c r="C9393" s="689">
        <v>37.700000000000003</v>
      </c>
      <c r="D9393" s="689">
        <v>37.799999999999997</v>
      </c>
      <c r="E9393" s="689">
        <v>37.799999999999997</v>
      </c>
      <c r="F9393" s="689">
        <v>37.799999999999997</v>
      </c>
      <c r="G9393" s="689">
        <v>37.9</v>
      </c>
      <c r="H9393" s="689">
        <v>37.9</v>
      </c>
      <c r="I9393" s="689">
        <v>36.1</v>
      </c>
      <c r="J9393" s="689">
        <v>34.4</v>
      </c>
      <c r="K9393" s="693">
        <v>37</v>
      </c>
    </row>
    <row r="9394" spans="1:11">
      <c r="A9394" s="688" t="s">
        <v>2240</v>
      </c>
      <c r="B9394" s="691">
        <v>41.3</v>
      </c>
      <c r="C9394" s="691">
        <v>41.7</v>
      </c>
      <c r="D9394" s="691">
        <v>41.6</v>
      </c>
      <c r="E9394" s="691">
        <v>42.1</v>
      </c>
      <c r="F9394" s="691">
        <v>42.1</v>
      </c>
      <c r="G9394" s="691">
        <v>42.1</v>
      </c>
      <c r="H9394" s="691">
        <v>42.4</v>
      </c>
      <c r="I9394" s="691">
        <v>41.2</v>
      </c>
      <c r="J9394" s="615">
        <v>40</v>
      </c>
      <c r="K9394" s="691">
        <v>42.1</v>
      </c>
    </row>
    <row r="9395" spans="1:11">
      <c r="A9395" s="688" t="s">
        <v>2</v>
      </c>
      <c r="B9395" s="689">
        <v>44.1</v>
      </c>
      <c r="C9395" s="689">
        <v>44.5</v>
      </c>
      <c r="D9395" s="689">
        <v>44.6</v>
      </c>
      <c r="E9395" s="689">
        <v>44.8</v>
      </c>
      <c r="F9395" s="693">
        <v>45</v>
      </c>
      <c r="G9395" s="689">
        <v>44.9</v>
      </c>
      <c r="H9395" s="689">
        <v>45.2</v>
      </c>
      <c r="I9395" s="689">
        <v>45.4</v>
      </c>
      <c r="J9395" s="689">
        <v>45.3</v>
      </c>
      <c r="K9395" s="689">
        <v>45.2</v>
      </c>
    </row>
    <row r="9396" spans="1:11">
      <c r="A9396" s="688" t="s">
        <v>3</v>
      </c>
      <c r="B9396" s="691">
        <v>44.1</v>
      </c>
      <c r="C9396" s="691">
        <v>44.3</v>
      </c>
      <c r="D9396" s="615">
        <v>44</v>
      </c>
      <c r="E9396" s="691">
        <v>44.3</v>
      </c>
      <c r="F9396" s="691">
        <v>44.4</v>
      </c>
      <c r="G9396" s="691">
        <v>44.4</v>
      </c>
      <c r="H9396" s="691">
        <v>44.7</v>
      </c>
      <c r="I9396" s="691">
        <v>44.4</v>
      </c>
      <c r="J9396" s="691">
        <v>44.1</v>
      </c>
      <c r="K9396" s="615">
        <v>44</v>
      </c>
    </row>
    <row r="9397" spans="1:11">
      <c r="A9397" s="688" t="s">
        <v>4061</v>
      </c>
      <c r="B9397" s="689">
        <v>44.1</v>
      </c>
      <c r="C9397" s="689">
        <v>44.3</v>
      </c>
      <c r="D9397" s="693">
        <v>44</v>
      </c>
      <c r="E9397" s="689">
        <v>44.3</v>
      </c>
      <c r="F9397" s="689">
        <v>44.4</v>
      </c>
      <c r="G9397" s="689">
        <v>44.4</v>
      </c>
      <c r="H9397" s="689">
        <v>44.7</v>
      </c>
      <c r="I9397" s="689">
        <v>44.4</v>
      </c>
      <c r="J9397" s="689">
        <v>44.1</v>
      </c>
      <c r="K9397" s="693">
        <v>44</v>
      </c>
    </row>
    <row r="9398" spans="1:11">
      <c r="A9398" s="688" t="s">
        <v>4</v>
      </c>
      <c r="B9398" s="691">
        <v>39.299999999999997</v>
      </c>
      <c r="C9398" s="615">
        <v>39</v>
      </c>
      <c r="D9398" s="691">
        <v>39.6</v>
      </c>
      <c r="E9398" s="691">
        <v>39.6</v>
      </c>
      <c r="F9398" s="615">
        <v>40</v>
      </c>
      <c r="G9398" s="615">
        <v>40</v>
      </c>
      <c r="H9398" s="691">
        <v>40.5</v>
      </c>
      <c r="I9398" s="691">
        <v>40.299999999999997</v>
      </c>
      <c r="J9398" s="691">
        <v>38.9</v>
      </c>
      <c r="K9398" s="691">
        <v>39.700000000000003</v>
      </c>
    </row>
    <row r="9399" spans="1:11">
      <c r="A9399" s="688" t="s">
        <v>8</v>
      </c>
      <c r="B9399" s="689">
        <v>45.1</v>
      </c>
      <c r="C9399" s="689">
        <v>45.4</v>
      </c>
      <c r="D9399" s="689">
        <v>45.5</v>
      </c>
      <c r="E9399" s="689">
        <v>45.6</v>
      </c>
      <c r="F9399" s="689">
        <v>46.1</v>
      </c>
      <c r="G9399" s="689">
        <v>46.1</v>
      </c>
      <c r="H9399" s="689">
        <v>46.4</v>
      </c>
      <c r="I9399" s="689">
        <v>46.4</v>
      </c>
      <c r="J9399" s="689">
        <v>46.1</v>
      </c>
      <c r="K9399" s="689">
        <v>46.5</v>
      </c>
    </row>
    <row r="9400" spans="1:11">
      <c r="A9400" s="688" t="s">
        <v>7</v>
      </c>
      <c r="B9400" s="691">
        <v>44.8</v>
      </c>
      <c r="C9400" s="691">
        <v>44.3</v>
      </c>
      <c r="D9400" s="691">
        <v>44.1</v>
      </c>
      <c r="E9400" s="691">
        <v>44.5</v>
      </c>
      <c r="F9400" s="691">
        <v>44.4</v>
      </c>
      <c r="G9400" s="691">
        <v>44.8</v>
      </c>
      <c r="H9400" s="691">
        <v>44.8</v>
      </c>
      <c r="I9400" s="691">
        <v>44.5</v>
      </c>
      <c r="J9400" s="691">
        <v>43.4</v>
      </c>
      <c r="K9400" s="691">
        <v>44.2</v>
      </c>
    </row>
    <row r="9401" spans="1:11">
      <c r="A9401" s="688" t="s">
        <v>27</v>
      </c>
      <c r="B9401" s="689">
        <v>45.9</v>
      </c>
      <c r="C9401" s="689">
        <v>45.8</v>
      </c>
      <c r="D9401" s="689">
        <v>45.6</v>
      </c>
      <c r="E9401" s="693">
        <v>46</v>
      </c>
      <c r="F9401" s="693">
        <v>46</v>
      </c>
      <c r="G9401" s="689">
        <v>46.1</v>
      </c>
      <c r="H9401" s="689">
        <v>46.5</v>
      </c>
      <c r="I9401" s="689">
        <v>45.2</v>
      </c>
      <c r="J9401" s="689">
        <v>45.9</v>
      </c>
      <c r="K9401" s="689">
        <v>46.1</v>
      </c>
    </row>
    <row r="9402" spans="1:11">
      <c r="A9402" s="688" t="s">
        <v>6</v>
      </c>
      <c r="B9402" s="691">
        <v>45.1</v>
      </c>
      <c r="C9402" s="691">
        <v>45.4</v>
      </c>
      <c r="D9402" s="691">
        <v>45.1</v>
      </c>
      <c r="E9402" s="691">
        <v>45.4</v>
      </c>
      <c r="F9402" s="691">
        <v>45.5</v>
      </c>
      <c r="G9402" s="691">
        <v>45.6</v>
      </c>
      <c r="H9402" s="691">
        <v>45.9</v>
      </c>
      <c r="I9402" s="691">
        <v>45.2</v>
      </c>
      <c r="J9402" s="691">
        <v>45.3</v>
      </c>
      <c r="K9402" s="691">
        <v>45.5</v>
      </c>
    </row>
    <row r="9403" spans="1:11">
      <c r="A9403" s="688" t="s">
        <v>4058</v>
      </c>
      <c r="B9403" s="690" t="s">
        <v>4060</v>
      </c>
      <c r="C9403" s="690" t="s">
        <v>4060</v>
      </c>
      <c r="D9403" s="690" t="s">
        <v>4060</v>
      </c>
      <c r="E9403" s="690" t="s">
        <v>4060</v>
      </c>
      <c r="F9403" s="690" t="s">
        <v>4060</v>
      </c>
      <c r="G9403" s="690" t="s">
        <v>4060</v>
      </c>
      <c r="H9403" s="690" t="s">
        <v>4060</v>
      </c>
      <c r="I9403" s="690" t="s">
        <v>4060</v>
      </c>
      <c r="J9403" s="690" t="s">
        <v>4060</v>
      </c>
      <c r="K9403" s="690" t="s">
        <v>4060</v>
      </c>
    </row>
    <row r="9404" spans="1:11">
      <c r="A9404" s="688" t="s">
        <v>11</v>
      </c>
      <c r="B9404" s="691">
        <v>40.700000000000003</v>
      </c>
      <c r="C9404" s="691">
        <v>40.799999999999997</v>
      </c>
      <c r="D9404" s="691">
        <v>40.4</v>
      </c>
      <c r="E9404" s="615">
        <v>41</v>
      </c>
      <c r="F9404" s="691">
        <v>40.9</v>
      </c>
      <c r="G9404" s="615">
        <v>41</v>
      </c>
      <c r="H9404" s="691">
        <v>41.3</v>
      </c>
      <c r="I9404" s="691">
        <v>40.6</v>
      </c>
      <c r="J9404" s="691">
        <v>39.5</v>
      </c>
      <c r="K9404" s="691">
        <v>40.799999999999997</v>
      </c>
    </row>
    <row r="9405" spans="1:11">
      <c r="A9405" s="688" t="s">
        <v>10</v>
      </c>
      <c r="B9405" s="689">
        <v>46.1</v>
      </c>
      <c r="C9405" s="689">
        <v>46.2</v>
      </c>
      <c r="D9405" s="689">
        <v>45.9</v>
      </c>
      <c r="E9405" s="689">
        <v>46.5</v>
      </c>
      <c r="F9405" s="689">
        <v>46.4</v>
      </c>
      <c r="G9405" s="689">
        <v>46.7</v>
      </c>
      <c r="H9405" s="689">
        <v>46.9</v>
      </c>
      <c r="I9405" s="689">
        <v>45.6</v>
      </c>
      <c r="J9405" s="689">
        <v>46.1</v>
      </c>
      <c r="K9405" s="689">
        <v>46.4</v>
      </c>
    </row>
    <row r="9406" spans="1:11">
      <c r="A9406" s="688" t="s">
        <v>30</v>
      </c>
      <c r="B9406" s="691">
        <v>45.9</v>
      </c>
      <c r="C9406" s="615">
        <v>46</v>
      </c>
      <c r="D9406" s="691">
        <v>45.8</v>
      </c>
      <c r="E9406" s="691">
        <v>46.4</v>
      </c>
      <c r="F9406" s="691">
        <v>46.1</v>
      </c>
      <c r="G9406" s="691">
        <v>46.9</v>
      </c>
      <c r="H9406" s="691">
        <v>46.6</v>
      </c>
      <c r="I9406" s="691">
        <v>46.5</v>
      </c>
      <c r="J9406" s="691">
        <v>45.7</v>
      </c>
      <c r="K9406" s="691">
        <v>46.2</v>
      </c>
    </row>
    <row r="9407" spans="1:11">
      <c r="A9407" s="688" t="s">
        <v>12</v>
      </c>
      <c r="B9407" s="689">
        <v>36.1</v>
      </c>
      <c r="C9407" s="693">
        <v>36</v>
      </c>
      <c r="D9407" s="689">
        <v>36.5</v>
      </c>
      <c r="E9407" s="689">
        <v>36.6</v>
      </c>
      <c r="F9407" s="689">
        <v>36.700000000000003</v>
      </c>
      <c r="G9407" s="689">
        <v>36.700000000000003</v>
      </c>
      <c r="H9407" s="689">
        <v>37.5</v>
      </c>
      <c r="I9407" s="689">
        <v>37.1</v>
      </c>
      <c r="J9407" s="689">
        <v>34.700000000000003</v>
      </c>
      <c r="K9407" s="693">
        <v>36</v>
      </c>
    </row>
    <row r="9408" spans="1:11">
      <c r="A9408" s="688" t="s">
        <v>14</v>
      </c>
      <c r="B9408" s="691">
        <v>35.700000000000003</v>
      </c>
      <c r="C9408" s="691">
        <v>36.299999999999997</v>
      </c>
      <c r="D9408" s="691">
        <v>36.200000000000003</v>
      </c>
      <c r="E9408" s="691">
        <v>36.299999999999997</v>
      </c>
      <c r="F9408" s="691">
        <v>37.4</v>
      </c>
      <c r="G9408" s="691">
        <v>37.6</v>
      </c>
      <c r="H9408" s="691">
        <v>38.1</v>
      </c>
      <c r="I9408" s="691">
        <v>36.6</v>
      </c>
      <c r="J9408" s="691">
        <v>36.200000000000003</v>
      </c>
      <c r="K9408" s="691">
        <v>37.700000000000003</v>
      </c>
    </row>
    <row r="9409" spans="1:11">
      <c r="A9409" s="688" t="s">
        <v>15</v>
      </c>
      <c r="B9409" s="689">
        <v>45.7</v>
      </c>
      <c r="C9409" s="689">
        <v>44.9</v>
      </c>
      <c r="D9409" s="689">
        <v>45.7</v>
      </c>
      <c r="E9409" s="689">
        <v>45.7</v>
      </c>
      <c r="F9409" s="689">
        <v>45.5</v>
      </c>
      <c r="G9409" s="689">
        <v>45.7</v>
      </c>
      <c r="H9409" s="689">
        <v>46.1</v>
      </c>
      <c r="I9409" s="689">
        <v>45.6</v>
      </c>
      <c r="J9409" s="693">
        <v>46</v>
      </c>
      <c r="K9409" s="689">
        <v>46.7</v>
      </c>
    </row>
    <row r="9410" spans="1:11">
      <c r="A9410" s="688" t="s">
        <v>29</v>
      </c>
      <c r="B9410" s="691">
        <v>38.299999999999997</v>
      </c>
      <c r="C9410" s="691">
        <v>38.4</v>
      </c>
      <c r="D9410" s="691">
        <v>38.299999999999997</v>
      </c>
      <c r="E9410" s="691">
        <v>38.5</v>
      </c>
      <c r="F9410" s="691">
        <v>38.5</v>
      </c>
      <c r="G9410" s="691">
        <v>38.6</v>
      </c>
      <c r="H9410" s="615">
        <v>39</v>
      </c>
      <c r="I9410" s="691">
        <v>38.200000000000003</v>
      </c>
      <c r="J9410" s="691">
        <v>36.799999999999997</v>
      </c>
      <c r="K9410" s="691">
        <v>38.6</v>
      </c>
    </row>
    <row r="9411" spans="1:11">
      <c r="A9411" s="688" t="s">
        <v>16</v>
      </c>
      <c r="B9411" s="689">
        <v>45.6</v>
      </c>
      <c r="C9411" s="689">
        <v>45.6</v>
      </c>
      <c r="D9411" s="689">
        <v>45.8</v>
      </c>
      <c r="E9411" s="689">
        <v>46.4</v>
      </c>
      <c r="F9411" s="689">
        <v>46.2</v>
      </c>
      <c r="G9411" s="689">
        <v>46.1</v>
      </c>
      <c r="H9411" s="689">
        <v>46.6</v>
      </c>
      <c r="I9411" s="689">
        <v>45.7</v>
      </c>
      <c r="J9411" s="693">
        <v>46</v>
      </c>
      <c r="K9411" s="689">
        <v>46.1</v>
      </c>
    </row>
    <row r="9412" spans="1:11">
      <c r="A9412" s="688" t="s">
        <v>17</v>
      </c>
      <c r="B9412" s="691">
        <v>45.4</v>
      </c>
      <c r="C9412" s="691">
        <v>45.7</v>
      </c>
      <c r="D9412" s="691">
        <v>45.6</v>
      </c>
      <c r="E9412" s="691">
        <v>45.7</v>
      </c>
      <c r="F9412" s="691">
        <v>45.9</v>
      </c>
      <c r="G9412" s="615">
        <v>46</v>
      </c>
      <c r="H9412" s="691">
        <v>46.3</v>
      </c>
      <c r="I9412" s="691">
        <v>45.5</v>
      </c>
      <c r="J9412" s="691">
        <v>45.5</v>
      </c>
      <c r="K9412" s="615">
        <v>46</v>
      </c>
    </row>
    <row r="9413" spans="1:11">
      <c r="A9413" s="688" t="s">
        <v>19</v>
      </c>
      <c r="B9413" s="689">
        <v>44.6</v>
      </c>
      <c r="C9413" s="689">
        <v>44.9</v>
      </c>
      <c r="D9413" s="689">
        <v>44.6</v>
      </c>
      <c r="E9413" s="689">
        <v>45.1</v>
      </c>
      <c r="F9413" s="689">
        <v>45.2</v>
      </c>
      <c r="G9413" s="689">
        <v>45.2</v>
      </c>
      <c r="H9413" s="689">
        <v>45.5</v>
      </c>
      <c r="I9413" s="689">
        <v>44.8</v>
      </c>
      <c r="J9413" s="689">
        <v>44.7</v>
      </c>
      <c r="K9413" s="689">
        <v>44.9</v>
      </c>
    </row>
    <row r="9414" spans="1:11">
      <c r="A9414" s="688" t="s">
        <v>20</v>
      </c>
      <c r="B9414" s="691">
        <v>39.5</v>
      </c>
      <c r="C9414" s="615">
        <v>40</v>
      </c>
      <c r="D9414" s="691">
        <v>39.799999999999997</v>
      </c>
      <c r="E9414" s="691">
        <v>40.1</v>
      </c>
      <c r="F9414" s="691">
        <v>40.1</v>
      </c>
      <c r="G9414" s="615">
        <v>40</v>
      </c>
      <c r="H9414" s="691">
        <v>40.4</v>
      </c>
      <c r="I9414" s="691">
        <v>38.700000000000003</v>
      </c>
      <c r="J9414" s="691">
        <v>37.9</v>
      </c>
      <c r="K9414" s="691">
        <v>39.700000000000003</v>
      </c>
    </row>
    <row r="9415" spans="1:11">
      <c r="A9415" s="688" t="s">
        <v>21</v>
      </c>
      <c r="B9415" s="689">
        <v>43.6</v>
      </c>
      <c r="C9415" s="693">
        <v>44</v>
      </c>
      <c r="D9415" s="689">
        <v>44.1</v>
      </c>
      <c r="E9415" s="689">
        <v>44.1</v>
      </c>
      <c r="F9415" s="689">
        <v>44.5</v>
      </c>
      <c r="G9415" s="689">
        <v>44.4</v>
      </c>
      <c r="H9415" s="689">
        <v>44.9</v>
      </c>
      <c r="I9415" s="689">
        <v>44.3</v>
      </c>
      <c r="J9415" s="689">
        <v>44.3</v>
      </c>
      <c r="K9415" s="689">
        <v>44.7</v>
      </c>
    </row>
    <row r="9416" spans="1:11">
      <c r="A9416" s="688" t="s">
        <v>22</v>
      </c>
      <c r="B9416" s="691">
        <v>38.5</v>
      </c>
      <c r="C9416" s="691">
        <v>38.1</v>
      </c>
      <c r="D9416" s="691">
        <v>38.1</v>
      </c>
      <c r="E9416" s="691">
        <v>38.200000000000003</v>
      </c>
      <c r="F9416" s="691">
        <v>38.200000000000003</v>
      </c>
      <c r="G9416" s="691">
        <v>38.1</v>
      </c>
      <c r="H9416" s="691">
        <v>38.4</v>
      </c>
      <c r="I9416" s="691">
        <v>36.700000000000003</v>
      </c>
      <c r="J9416" s="691">
        <v>35.6</v>
      </c>
      <c r="K9416" s="691">
        <v>37.700000000000003</v>
      </c>
    </row>
    <row r="9417" spans="1:11">
      <c r="A9417" s="688" t="s">
        <v>26</v>
      </c>
      <c r="B9417" s="689">
        <v>43.2</v>
      </c>
      <c r="C9417" s="689">
        <v>43.8</v>
      </c>
      <c r="D9417" s="689">
        <v>43.5</v>
      </c>
      <c r="E9417" s="693">
        <v>44</v>
      </c>
      <c r="F9417" s="689">
        <v>43.9</v>
      </c>
      <c r="G9417" s="689">
        <v>44.2</v>
      </c>
      <c r="H9417" s="689">
        <v>44.4</v>
      </c>
      <c r="I9417" s="689">
        <v>43.5</v>
      </c>
      <c r="J9417" s="689">
        <v>43.4</v>
      </c>
      <c r="K9417" s="689">
        <v>44.3</v>
      </c>
    </row>
    <row r="9418" spans="1:11">
      <c r="A9418" s="688" t="s">
        <v>25</v>
      </c>
      <c r="B9418" s="691">
        <v>39.299999999999997</v>
      </c>
      <c r="C9418" s="691">
        <v>39.700000000000003</v>
      </c>
      <c r="D9418" s="691">
        <v>39.5</v>
      </c>
      <c r="E9418" s="691">
        <v>40.1</v>
      </c>
      <c r="F9418" s="691">
        <v>40.1</v>
      </c>
      <c r="G9418" s="691">
        <v>40.200000000000003</v>
      </c>
      <c r="H9418" s="691">
        <v>40.700000000000003</v>
      </c>
      <c r="I9418" s="691">
        <v>39.9</v>
      </c>
      <c r="J9418" s="691">
        <v>37.5</v>
      </c>
      <c r="K9418" s="691">
        <v>39.9</v>
      </c>
    </row>
    <row r="9419" spans="1:11">
      <c r="A9419" s="688" t="s">
        <v>5</v>
      </c>
      <c r="B9419" s="689">
        <v>44.1</v>
      </c>
      <c r="C9419" s="689">
        <v>44.3</v>
      </c>
      <c r="D9419" s="689">
        <v>44.5</v>
      </c>
      <c r="E9419" s="689">
        <v>44.4</v>
      </c>
      <c r="F9419" s="689">
        <v>44.8</v>
      </c>
      <c r="G9419" s="693">
        <v>45</v>
      </c>
      <c r="H9419" s="689">
        <v>45.3</v>
      </c>
      <c r="I9419" s="689">
        <v>45.2</v>
      </c>
      <c r="J9419" s="689">
        <v>45.1</v>
      </c>
      <c r="K9419" s="689">
        <v>44.7</v>
      </c>
    </row>
    <row r="9420" spans="1:11">
      <c r="A9420" s="688" t="s">
        <v>23</v>
      </c>
      <c r="B9420" s="691">
        <v>46.1</v>
      </c>
      <c r="C9420" s="691">
        <v>46.3</v>
      </c>
      <c r="D9420" s="691">
        <v>46.3</v>
      </c>
      <c r="E9420" s="691">
        <v>46.5</v>
      </c>
      <c r="F9420" s="691">
        <v>46.7</v>
      </c>
      <c r="G9420" s="691">
        <v>46.7</v>
      </c>
      <c r="H9420" s="691">
        <v>47.2</v>
      </c>
      <c r="I9420" s="691">
        <v>46.5</v>
      </c>
      <c r="J9420" s="691">
        <v>47.1</v>
      </c>
      <c r="K9420" s="691">
        <v>47.2</v>
      </c>
    </row>
    <row r="9421" spans="1:11">
      <c r="A9421" s="688" t="s">
        <v>4067</v>
      </c>
      <c r="B9421" s="689">
        <v>43.8</v>
      </c>
      <c r="C9421" s="689">
        <v>44.2</v>
      </c>
      <c r="D9421" s="693">
        <v>44</v>
      </c>
      <c r="E9421" s="689">
        <v>44.3</v>
      </c>
      <c r="F9421" s="689">
        <v>44.3</v>
      </c>
      <c r="G9421" s="689">
        <v>44.4</v>
      </c>
      <c r="H9421" s="690" t="s">
        <v>4060</v>
      </c>
      <c r="I9421" s="690" t="s">
        <v>4060</v>
      </c>
      <c r="J9421" s="690" t="s">
        <v>4060</v>
      </c>
      <c r="K9421" s="690" t="s">
        <v>4060</v>
      </c>
    </row>
    <row r="9422" spans="1:11">
      <c r="A9422" s="688" t="s">
        <v>4066</v>
      </c>
      <c r="B9422" s="691">
        <v>43.8</v>
      </c>
      <c r="C9422" s="691">
        <v>44.2</v>
      </c>
      <c r="D9422" s="615">
        <v>44</v>
      </c>
      <c r="E9422" s="691">
        <v>44.3</v>
      </c>
      <c r="F9422" s="691">
        <v>44.4</v>
      </c>
      <c r="G9422" s="691">
        <v>44.4</v>
      </c>
      <c r="H9422" s="692" t="s">
        <v>4060</v>
      </c>
      <c r="I9422" s="692" t="s">
        <v>4060</v>
      </c>
      <c r="J9422" s="692" t="s">
        <v>4060</v>
      </c>
      <c r="K9422" s="692" t="s">
        <v>4060</v>
      </c>
    </row>
    <row r="9423" spans="1:11">
      <c r="A9423" s="688" t="s">
        <v>4062</v>
      </c>
      <c r="B9423" s="689">
        <v>46.3</v>
      </c>
      <c r="C9423" s="689">
        <v>46.5</v>
      </c>
      <c r="D9423" s="689">
        <v>46.5</v>
      </c>
      <c r="E9423" s="693">
        <v>47</v>
      </c>
      <c r="F9423" s="689">
        <v>47.1</v>
      </c>
      <c r="G9423" s="689">
        <v>47.3</v>
      </c>
      <c r="H9423" s="689">
        <v>47.5</v>
      </c>
      <c r="I9423" s="689">
        <v>47.1</v>
      </c>
      <c r="J9423" s="689">
        <v>47.4</v>
      </c>
      <c r="K9423" s="689">
        <v>47.2</v>
      </c>
    </row>
    <row r="9424" spans="1:11">
      <c r="A9424" s="688" t="s">
        <v>9</v>
      </c>
      <c r="B9424" s="691">
        <v>46.5</v>
      </c>
      <c r="C9424" s="691">
        <v>46.8</v>
      </c>
      <c r="D9424" s="691">
        <v>47.1</v>
      </c>
      <c r="E9424" s="691">
        <v>46.4</v>
      </c>
      <c r="F9424" s="691">
        <v>46.8</v>
      </c>
      <c r="G9424" s="691">
        <v>47.3</v>
      </c>
      <c r="H9424" s="691">
        <v>47.2</v>
      </c>
      <c r="I9424" s="691">
        <v>47.4</v>
      </c>
      <c r="J9424" s="691">
        <v>47.8</v>
      </c>
      <c r="K9424" s="691">
        <v>46.6</v>
      </c>
    </row>
    <row r="9425" spans="1:11">
      <c r="A9425" s="688" t="s">
        <v>13</v>
      </c>
      <c r="B9425" s="693">
        <v>46</v>
      </c>
      <c r="C9425" s="689">
        <v>46.4</v>
      </c>
      <c r="D9425" s="689">
        <v>46.6</v>
      </c>
      <c r="E9425" s="689">
        <v>45.9</v>
      </c>
      <c r="F9425" s="689">
        <v>46.8</v>
      </c>
      <c r="G9425" s="689">
        <v>46.3</v>
      </c>
      <c r="H9425" s="689">
        <v>47.6</v>
      </c>
      <c r="I9425" s="689">
        <v>46.6</v>
      </c>
      <c r="J9425" s="689">
        <v>47.7</v>
      </c>
      <c r="K9425" s="689">
        <v>48.4</v>
      </c>
    </row>
    <row r="9426" spans="1:11">
      <c r="A9426" s="688" t="s">
        <v>18</v>
      </c>
      <c r="B9426" s="691">
        <v>45.7</v>
      </c>
      <c r="C9426" s="615">
        <v>46</v>
      </c>
      <c r="D9426" s="691">
        <v>46.2</v>
      </c>
      <c r="E9426" s="691">
        <v>46.5</v>
      </c>
      <c r="F9426" s="691">
        <v>46.8</v>
      </c>
      <c r="G9426" s="691">
        <v>46.9</v>
      </c>
      <c r="H9426" s="691">
        <v>47.1</v>
      </c>
      <c r="I9426" s="691">
        <v>47.3</v>
      </c>
      <c r="J9426" s="691">
        <v>47.4</v>
      </c>
      <c r="K9426" s="691">
        <v>46.8</v>
      </c>
    </row>
    <row r="9427" spans="1:11">
      <c r="A9427" s="688" t="s">
        <v>24</v>
      </c>
      <c r="B9427" s="689">
        <v>46.6</v>
      </c>
      <c r="C9427" s="689">
        <v>46.8</v>
      </c>
      <c r="D9427" s="689">
        <v>46.7</v>
      </c>
      <c r="E9427" s="689">
        <v>47.3</v>
      </c>
      <c r="F9427" s="689">
        <v>47.3</v>
      </c>
      <c r="G9427" s="689">
        <v>47.5</v>
      </c>
      <c r="H9427" s="689">
        <v>47.7</v>
      </c>
      <c r="I9427" s="689">
        <v>46.9</v>
      </c>
      <c r="J9427" s="689">
        <v>47.5</v>
      </c>
      <c r="K9427" s="689">
        <v>47.5</v>
      </c>
    </row>
    <row r="9428" spans="1:11">
      <c r="A9428" s="688" t="s">
        <v>4059</v>
      </c>
      <c r="B9428" s="691">
        <v>45.2</v>
      </c>
      <c r="C9428" s="691">
        <v>45.5</v>
      </c>
      <c r="D9428" s="691">
        <v>45.3</v>
      </c>
      <c r="E9428" s="691">
        <v>45.5</v>
      </c>
      <c r="F9428" s="691">
        <v>45.5</v>
      </c>
      <c r="G9428" s="691">
        <v>45.5</v>
      </c>
      <c r="H9428" s="692" t="s">
        <v>4060</v>
      </c>
      <c r="I9428" s="692" t="s">
        <v>4060</v>
      </c>
      <c r="J9428" s="692" t="s">
        <v>4060</v>
      </c>
      <c r="K9428" s="692" t="s">
        <v>4060</v>
      </c>
    </row>
    <row r="9429" spans="1:11">
      <c r="A9429" s="688" t="s">
        <v>2324</v>
      </c>
      <c r="B9429" s="689">
        <v>40.299999999999997</v>
      </c>
      <c r="C9429" s="689">
        <v>40.4</v>
      </c>
      <c r="D9429" s="689">
        <v>40.299999999999997</v>
      </c>
      <c r="E9429" s="689">
        <v>40.1</v>
      </c>
      <c r="F9429" s="693">
        <v>40</v>
      </c>
      <c r="G9429" s="689">
        <v>40.4</v>
      </c>
      <c r="H9429" s="689">
        <v>40.1</v>
      </c>
      <c r="I9429" s="689">
        <v>39.200000000000003</v>
      </c>
      <c r="J9429" s="689">
        <v>36.700000000000003</v>
      </c>
      <c r="K9429" s="690" t="s">
        <v>4060</v>
      </c>
    </row>
    <row r="9430" spans="1:11">
      <c r="A9430" s="688" t="s">
        <v>2322</v>
      </c>
      <c r="B9430" s="692" t="s">
        <v>4060</v>
      </c>
      <c r="C9430" s="692" t="s">
        <v>4060</v>
      </c>
      <c r="D9430" s="692" t="s">
        <v>4060</v>
      </c>
      <c r="E9430" s="692" t="s">
        <v>4060</v>
      </c>
      <c r="F9430" s="692" t="s">
        <v>4060</v>
      </c>
      <c r="G9430" s="692" t="s">
        <v>4060</v>
      </c>
      <c r="H9430" s="692" t="s">
        <v>4060</v>
      </c>
      <c r="I9430" s="692" t="s">
        <v>4060</v>
      </c>
      <c r="J9430" s="692" t="s">
        <v>4060</v>
      </c>
      <c r="K9430" s="692" t="s">
        <v>4060</v>
      </c>
    </row>
    <row r="9431" spans="1:11">
      <c r="A9431" s="688" t="s">
        <v>2328</v>
      </c>
      <c r="B9431" s="693">
        <v>40</v>
      </c>
      <c r="C9431" s="693">
        <v>40</v>
      </c>
      <c r="D9431" s="693">
        <v>40</v>
      </c>
      <c r="E9431" s="689">
        <v>40.1</v>
      </c>
      <c r="F9431" s="689">
        <v>40.5</v>
      </c>
      <c r="G9431" s="689">
        <v>40.799999999999997</v>
      </c>
      <c r="H9431" s="689">
        <v>40.799999999999997</v>
      </c>
      <c r="I9431" s="689">
        <v>38.200000000000003</v>
      </c>
      <c r="J9431" s="689">
        <v>37.299999999999997</v>
      </c>
      <c r="K9431" s="690" t="s">
        <v>4060</v>
      </c>
    </row>
    <row r="9432" spans="1:11">
      <c r="A9432" s="688" t="s">
        <v>2496</v>
      </c>
      <c r="B9432" s="692" t="s">
        <v>4060</v>
      </c>
      <c r="C9432" s="691">
        <v>37.1</v>
      </c>
      <c r="D9432" s="691">
        <v>35.9</v>
      </c>
      <c r="E9432" s="691">
        <v>35.6</v>
      </c>
      <c r="F9432" s="691">
        <v>36.4</v>
      </c>
      <c r="G9432" s="691">
        <v>36.700000000000003</v>
      </c>
      <c r="H9432" s="691">
        <v>36.700000000000003</v>
      </c>
      <c r="I9432" s="692" t="s">
        <v>4060</v>
      </c>
      <c r="J9432" s="692" t="s">
        <v>4060</v>
      </c>
      <c r="K9432" s="691">
        <v>36.200000000000003</v>
      </c>
    </row>
    <row r="9433" spans="1:11">
      <c r="A9433" s="688" t="s">
        <v>2269</v>
      </c>
      <c r="B9433" s="693">
        <v>43</v>
      </c>
      <c r="C9433" s="689">
        <v>43.1</v>
      </c>
      <c r="D9433" s="689">
        <v>42.9</v>
      </c>
      <c r="E9433" s="689">
        <v>43.6</v>
      </c>
      <c r="F9433" s="689">
        <v>43.6</v>
      </c>
      <c r="G9433" s="693">
        <v>44</v>
      </c>
      <c r="H9433" s="689">
        <v>44.3</v>
      </c>
      <c r="I9433" s="689">
        <v>41.7</v>
      </c>
      <c r="J9433" s="689">
        <v>39.9</v>
      </c>
      <c r="K9433" s="689">
        <v>43.7</v>
      </c>
    </row>
    <row r="9434" spans="1:11">
      <c r="A9434" s="688" t="s">
        <v>2349</v>
      </c>
      <c r="B9434" s="615">
        <v>39</v>
      </c>
      <c r="C9434" s="691">
        <v>39.1</v>
      </c>
      <c r="D9434" s="615">
        <v>39</v>
      </c>
      <c r="E9434" s="691">
        <v>39.5</v>
      </c>
      <c r="F9434" s="691">
        <v>39.4</v>
      </c>
      <c r="G9434" s="691">
        <v>39.700000000000003</v>
      </c>
      <c r="H9434" s="691">
        <v>39.6</v>
      </c>
      <c r="I9434" s="691">
        <v>37.700000000000003</v>
      </c>
      <c r="J9434" s="691">
        <v>36.299999999999997</v>
      </c>
      <c r="K9434" s="691">
        <v>38.9</v>
      </c>
    </row>
    <row r="9435" spans="1:11">
      <c r="A9435" s="688" t="s">
        <v>2355</v>
      </c>
      <c r="B9435" s="689">
        <v>42.5</v>
      </c>
      <c r="C9435" s="689">
        <v>42.5</v>
      </c>
      <c r="D9435" s="689">
        <v>42.4</v>
      </c>
      <c r="E9435" s="689">
        <v>42.4</v>
      </c>
      <c r="F9435" s="689">
        <v>42.6</v>
      </c>
      <c r="G9435" s="693">
        <v>43</v>
      </c>
      <c r="H9435" s="689">
        <v>43.2</v>
      </c>
      <c r="I9435" s="690" t="s">
        <v>4060</v>
      </c>
      <c r="J9435" s="690" t="s">
        <v>4060</v>
      </c>
      <c r="K9435" s="690" t="s">
        <v>4060</v>
      </c>
    </row>
    <row r="9436" spans="1:11">
      <c r="A9436" s="688" t="s">
        <v>2357</v>
      </c>
      <c r="B9436" s="692" t="s">
        <v>4060</v>
      </c>
      <c r="C9436" s="691">
        <v>34.299999999999997</v>
      </c>
      <c r="D9436" s="691">
        <v>34.9</v>
      </c>
      <c r="E9436" s="691">
        <v>35.200000000000003</v>
      </c>
      <c r="F9436" s="691">
        <v>35.5</v>
      </c>
      <c r="G9436" s="691">
        <v>35.1</v>
      </c>
      <c r="H9436" s="691">
        <v>35.4</v>
      </c>
      <c r="I9436" s="692" t="s">
        <v>4060</v>
      </c>
      <c r="J9436" s="692" t="s">
        <v>4060</v>
      </c>
      <c r="K9436" s="692" t="s">
        <v>4060</v>
      </c>
    </row>
    <row r="9437" spans="1:11">
      <c r="A9437" s="688" t="s">
        <v>4070</v>
      </c>
      <c r="B9437" s="690" t="s">
        <v>4060</v>
      </c>
      <c r="C9437" s="690" t="s">
        <v>4060</v>
      </c>
      <c r="D9437" s="690" t="s">
        <v>4060</v>
      </c>
      <c r="E9437" s="693">
        <v>42</v>
      </c>
      <c r="F9437" s="690" t="s">
        <v>4060</v>
      </c>
      <c r="G9437" s="690" t="s">
        <v>4060</v>
      </c>
      <c r="H9437" s="690" t="s">
        <v>4060</v>
      </c>
      <c r="I9437" s="690" t="s">
        <v>4060</v>
      </c>
      <c r="J9437" s="690" t="s">
        <v>4060</v>
      </c>
      <c r="K9437" s="690" t="s">
        <v>4060</v>
      </c>
    </row>
    <row r="9438" spans="1:11">
      <c r="A9438" s="688" t="s">
        <v>2491</v>
      </c>
      <c r="B9438" s="691">
        <v>34.200000000000003</v>
      </c>
      <c r="C9438" s="691">
        <v>34.700000000000003</v>
      </c>
      <c r="D9438" s="691">
        <v>35.200000000000003</v>
      </c>
      <c r="E9438" s="691">
        <v>35.5</v>
      </c>
      <c r="F9438" s="691">
        <v>35.6</v>
      </c>
      <c r="G9438" s="691">
        <v>35.6</v>
      </c>
      <c r="H9438" s="692" t="s">
        <v>4060</v>
      </c>
      <c r="I9438" s="692" t="s">
        <v>4060</v>
      </c>
      <c r="J9438" s="692" t="s">
        <v>4060</v>
      </c>
      <c r="K9438" s="692" t="s">
        <v>4060</v>
      </c>
    </row>
    <row r="9439" spans="1:11">
      <c r="A9439" s="688" t="s">
        <v>2343</v>
      </c>
      <c r="B9439" s="690" t="s">
        <v>4060</v>
      </c>
      <c r="C9439" s="690" t="s">
        <v>4060</v>
      </c>
      <c r="D9439" s="690" t="s">
        <v>4060</v>
      </c>
      <c r="E9439" s="690" t="s">
        <v>4060</v>
      </c>
      <c r="F9439" s="690" t="s">
        <v>4060</v>
      </c>
      <c r="G9439" s="690" t="s">
        <v>4060</v>
      </c>
      <c r="H9439" s="690" t="s">
        <v>4060</v>
      </c>
      <c r="I9439" s="690" t="s">
        <v>4060</v>
      </c>
      <c r="J9439" s="690" t="s">
        <v>4060</v>
      </c>
      <c r="K9439" s="690" t="s">
        <v>4060</v>
      </c>
    </row>
    <row r="9440" spans="1:11">
      <c r="A9440" s="688" t="s">
        <v>4071</v>
      </c>
      <c r="B9440" s="692" t="s">
        <v>4060</v>
      </c>
      <c r="C9440" s="692" t="s">
        <v>4060</v>
      </c>
      <c r="D9440" s="692" t="s">
        <v>4060</v>
      </c>
      <c r="E9440" s="692" t="s">
        <v>4060</v>
      </c>
      <c r="F9440" s="692" t="s">
        <v>4060</v>
      </c>
      <c r="G9440" s="692" t="s">
        <v>4060</v>
      </c>
      <c r="H9440" s="692" t="s">
        <v>4060</v>
      </c>
      <c r="I9440" s="692" t="s">
        <v>4060</v>
      </c>
      <c r="J9440" s="692" t="s">
        <v>4060</v>
      </c>
      <c r="K9440" s="692" t="s">
        <v>4060</v>
      </c>
    </row>
    <row r="9441" spans="1:11">
      <c r="A9441" s="688" t="s">
        <v>2489</v>
      </c>
      <c r="B9441" s="690" t="s">
        <v>4060</v>
      </c>
      <c r="C9441" s="690" t="s">
        <v>4060</v>
      </c>
      <c r="D9441" s="689">
        <v>38.5</v>
      </c>
      <c r="E9441" s="689">
        <v>38.5</v>
      </c>
      <c r="F9441" s="689">
        <v>39.1</v>
      </c>
      <c r="G9441" s="689">
        <v>39.9</v>
      </c>
      <c r="H9441" s="689">
        <v>39.6</v>
      </c>
      <c r="I9441" s="690" t="s">
        <v>4060</v>
      </c>
      <c r="J9441" s="690" t="s">
        <v>4060</v>
      </c>
      <c r="K9441" s="690" t="s">
        <v>4060</v>
      </c>
    </row>
    <row r="9442" spans="1:11">
      <c r="A9442" s="688" t="s">
        <v>2490</v>
      </c>
      <c r="B9442" s="691">
        <v>39.200000000000003</v>
      </c>
      <c r="C9442" s="691">
        <v>39.4</v>
      </c>
      <c r="D9442" s="691">
        <v>40.1</v>
      </c>
      <c r="E9442" s="692" t="s">
        <v>4060</v>
      </c>
      <c r="F9442" s="691">
        <v>40.299999999999997</v>
      </c>
      <c r="G9442" s="691">
        <v>40.5</v>
      </c>
      <c r="H9442" s="691">
        <v>41.4</v>
      </c>
      <c r="I9442" s="692" t="s">
        <v>4060</v>
      </c>
      <c r="J9442" s="692" t="s">
        <v>4060</v>
      </c>
      <c r="K9442" s="692" t="s">
        <v>4060</v>
      </c>
    </row>
    <row r="9444" spans="1:11">
      <c r="A9444" s="683" t="s">
        <v>4233</v>
      </c>
    </row>
    <row r="9445" spans="1:11">
      <c r="A9445" s="683" t="s">
        <v>4060</v>
      </c>
      <c r="B9445" s="682" t="s">
        <v>4234</v>
      </c>
    </row>
    <row r="9447" spans="1:11">
      <c r="A9447" s="682" t="s">
        <v>4331</v>
      </c>
    </row>
    <row r="9448" spans="1:11">
      <c r="A9448" s="682" t="s">
        <v>4210</v>
      </c>
      <c r="B9448" s="683" t="s">
        <v>4211</v>
      </c>
    </row>
    <row r="9449" spans="1:11">
      <c r="A9449" s="682" t="s">
        <v>4212</v>
      </c>
      <c r="B9449" s="682" t="s">
        <v>4213</v>
      </c>
    </row>
    <row r="9451" spans="1:11">
      <c r="A9451" s="683" t="s">
        <v>4214</v>
      </c>
      <c r="C9451" s="682" t="s">
        <v>4215</v>
      </c>
    </row>
    <row r="9452" spans="1:11">
      <c r="A9452" s="683" t="s">
        <v>4216</v>
      </c>
      <c r="C9452" s="682" t="s">
        <v>2967</v>
      </c>
    </row>
    <row r="9453" spans="1:11">
      <c r="A9453" s="683" t="s">
        <v>3893</v>
      </c>
      <c r="C9453" s="682" t="s">
        <v>2168</v>
      </c>
    </row>
    <row r="9454" spans="1:11">
      <c r="A9454" s="683" t="s">
        <v>4218</v>
      </c>
      <c r="C9454" s="682" t="s">
        <v>4271</v>
      </c>
    </row>
    <row r="9456" spans="1:11">
      <c r="A9456" s="684" t="s">
        <v>4220</v>
      </c>
      <c r="B9456" s="685" t="s">
        <v>4221</v>
      </c>
      <c r="C9456" s="685" t="s">
        <v>4222</v>
      </c>
      <c r="D9456" s="685" t="s">
        <v>4223</v>
      </c>
      <c r="E9456" s="685" t="s">
        <v>4224</v>
      </c>
      <c r="F9456" s="685" t="s">
        <v>4225</v>
      </c>
      <c r="G9456" s="685" t="s">
        <v>4226</v>
      </c>
      <c r="H9456" s="685" t="s">
        <v>4227</v>
      </c>
      <c r="I9456" s="685" t="s">
        <v>4228</v>
      </c>
      <c r="J9456" s="685" t="s">
        <v>4229</v>
      </c>
      <c r="K9456" s="685" t="s">
        <v>4230</v>
      </c>
    </row>
    <row r="9457" spans="1:11">
      <c r="A9457" s="686" t="s">
        <v>4231</v>
      </c>
      <c r="B9457" s="687" t="s">
        <v>4232</v>
      </c>
      <c r="C9457" s="687" t="s">
        <v>4232</v>
      </c>
      <c r="D9457" s="687" t="s">
        <v>4232</v>
      </c>
      <c r="E9457" s="687" t="s">
        <v>4232</v>
      </c>
      <c r="F9457" s="687" t="s">
        <v>4232</v>
      </c>
      <c r="G9457" s="687" t="s">
        <v>4232</v>
      </c>
      <c r="H9457" s="687" t="s">
        <v>4232</v>
      </c>
      <c r="I9457" s="687" t="s">
        <v>4232</v>
      </c>
      <c r="J9457" s="687" t="s">
        <v>4232</v>
      </c>
      <c r="K9457" s="687" t="s">
        <v>4232</v>
      </c>
    </row>
    <row r="9458" spans="1:11">
      <c r="A9458" s="688" t="s">
        <v>4064</v>
      </c>
      <c r="B9458" s="691">
        <v>42.6</v>
      </c>
      <c r="C9458" s="691">
        <v>42.8</v>
      </c>
      <c r="D9458" s="691">
        <v>42.8</v>
      </c>
      <c r="E9458" s="691">
        <v>42.9</v>
      </c>
      <c r="F9458" s="615">
        <v>43</v>
      </c>
      <c r="G9458" s="691">
        <v>43.1</v>
      </c>
      <c r="H9458" s="691">
        <v>43.4</v>
      </c>
      <c r="I9458" s="691">
        <v>42.5</v>
      </c>
      <c r="J9458" s="691">
        <v>42.2</v>
      </c>
      <c r="K9458" s="691">
        <v>42.9</v>
      </c>
    </row>
    <row r="9459" spans="1:11">
      <c r="A9459" s="688" t="s">
        <v>4065</v>
      </c>
      <c r="B9459" s="689">
        <v>42.8</v>
      </c>
      <c r="C9459" s="689">
        <v>43.2</v>
      </c>
      <c r="D9459" s="693">
        <v>43</v>
      </c>
      <c r="E9459" s="689">
        <v>43.3</v>
      </c>
      <c r="F9459" s="689">
        <v>43.3</v>
      </c>
      <c r="G9459" s="689">
        <v>43.4</v>
      </c>
      <c r="H9459" s="690" t="s">
        <v>4060</v>
      </c>
      <c r="I9459" s="690" t="s">
        <v>4060</v>
      </c>
      <c r="J9459" s="690" t="s">
        <v>4060</v>
      </c>
      <c r="K9459" s="690" t="s">
        <v>4060</v>
      </c>
    </row>
    <row r="9460" spans="1:11">
      <c r="A9460" s="688" t="s">
        <v>4063</v>
      </c>
      <c r="B9460" s="691">
        <v>42.9</v>
      </c>
      <c r="C9460" s="691">
        <v>43.2</v>
      </c>
      <c r="D9460" s="615">
        <v>43</v>
      </c>
      <c r="E9460" s="691">
        <v>43.3</v>
      </c>
      <c r="F9460" s="691">
        <v>43.4</v>
      </c>
      <c r="G9460" s="691">
        <v>43.4</v>
      </c>
      <c r="H9460" s="692" t="s">
        <v>4060</v>
      </c>
      <c r="I9460" s="692" t="s">
        <v>4060</v>
      </c>
      <c r="J9460" s="692" t="s">
        <v>4060</v>
      </c>
      <c r="K9460" s="692" t="s">
        <v>4060</v>
      </c>
    </row>
    <row r="9461" spans="1:11">
      <c r="A9461" s="688" t="s">
        <v>4069</v>
      </c>
      <c r="B9461" s="690" t="s">
        <v>4060</v>
      </c>
      <c r="C9461" s="689">
        <v>43.9</v>
      </c>
      <c r="D9461" s="689">
        <v>43.7</v>
      </c>
      <c r="E9461" s="693">
        <v>44</v>
      </c>
      <c r="F9461" s="689">
        <v>44.1</v>
      </c>
      <c r="G9461" s="689">
        <v>44.2</v>
      </c>
      <c r="H9461" s="689">
        <v>44.5</v>
      </c>
      <c r="I9461" s="689">
        <v>43.8</v>
      </c>
      <c r="J9461" s="689">
        <v>43.7</v>
      </c>
      <c r="K9461" s="693">
        <v>44</v>
      </c>
    </row>
    <row r="9462" spans="1:11">
      <c r="A9462" s="688" t="s">
        <v>4068</v>
      </c>
      <c r="B9462" s="691">
        <v>43.8</v>
      </c>
      <c r="C9462" s="692" t="s">
        <v>4060</v>
      </c>
      <c r="D9462" s="692" t="s">
        <v>4060</v>
      </c>
      <c r="E9462" s="692" t="s">
        <v>4060</v>
      </c>
      <c r="F9462" s="692" t="s">
        <v>4060</v>
      </c>
      <c r="G9462" s="692" t="s">
        <v>4060</v>
      </c>
      <c r="H9462" s="692" t="s">
        <v>4060</v>
      </c>
      <c r="I9462" s="692" t="s">
        <v>4060</v>
      </c>
      <c r="J9462" s="692" t="s">
        <v>4060</v>
      </c>
      <c r="K9462" s="692" t="s">
        <v>4060</v>
      </c>
    </row>
    <row r="9463" spans="1:11">
      <c r="A9463" s="688" t="s">
        <v>0</v>
      </c>
      <c r="B9463" s="689">
        <v>43.2</v>
      </c>
      <c r="C9463" s="689">
        <v>43.7</v>
      </c>
      <c r="D9463" s="689">
        <v>43.6</v>
      </c>
      <c r="E9463" s="689">
        <v>43.9</v>
      </c>
      <c r="F9463" s="689">
        <v>44.1</v>
      </c>
      <c r="G9463" s="689">
        <v>44.3</v>
      </c>
      <c r="H9463" s="689">
        <v>44.6</v>
      </c>
      <c r="I9463" s="689">
        <v>43.5</v>
      </c>
      <c r="J9463" s="689">
        <v>44.2</v>
      </c>
      <c r="K9463" s="689">
        <v>44.5</v>
      </c>
    </row>
    <row r="9464" spans="1:11">
      <c r="A9464" s="688" t="s">
        <v>1</v>
      </c>
      <c r="B9464" s="691">
        <v>37.200000000000003</v>
      </c>
      <c r="C9464" s="691">
        <v>36.799999999999997</v>
      </c>
      <c r="D9464" s="691">
        <v>36.799999999999997</v>
      </c>
      <c r="E9464" s="691">
        <v>36.9</v>
      </c>
      <c r="F9464" s="691">
        <v>36.9</v>
      </c>
      <c r="G9464" s="691">
        <v>36.9</v>
      </c>
      <c r="H9464" s="615">
        <v>37</v>
      </c>
      <c r="I9464" s="691">
        <v>35.200000000000003</v>
      </c>
      <c r="J9464" s="691">
        <v>33.5</v>
      </c>
      <c r="K9464" s="615">
        <v>36</v>
      </c>
    </row>
    <row r="9465" spans="1:11">
      <c r="A9465" s="688" t="s">
        <v>2240</v>
      </c>
      <c r="B9465" s="689">
        <v>40.4</v>
      </c>
      <c r="C9465" s="689">
        <v>40.799999999999997</v>
      </c>
      <c r="D9465" s="689">
        <v>40.700000000000003</v>
      </c>
      <c r="E9465" s="689">
        <v>41.1</v>
      </c>
      <c r="F9465" s="689">
        <v>41.1</v>
      </c>
      <c r="G9465" s="689">
        <v>41.1</v>
      </c>
      <c r="H9465" s="689">
        <v>41.4</v>
      </c>
      <c r="I9465" s="689">
        <v>40.299999999999997</v>
      </c>
      <c r="J9465" s="689">
        <v>39.1</v>
      </c>
      <c r="K9465" s="689">
        <v>41.1</v>
      </c>
    </row>
    <row r="9466" spans="1:11">
      <c r="A9466" s="688" t="s">
        <v>2</v>
      </c>
      <c r="B9466" s="691">
        <v>43.2</v>
      </c>
      <c r="C9466" s="691">
        <v>43.5</v>
      </c>
      <c r="D9466" s="691">
        <v>43.6</v>
      </c>
      <c r="E9466" s="691">
        <v>43.8</v>
      </c>
      <c r="F9466" s="615">
        <v>44</v>
      </c>
      <c r="G9466" s="691">
        <v>43.9</v>
      </c>
      <c r="H9466" s="691">
        <v>44.3</v>
      </c>
      <c r="I9466" s="691">
        <v>44.5</v>
      </c>
      <c r="J9466" s="691">
        <v>44.4</v>
      </c>
      <c r="K9466" s="691">
        <v>44.2</v>
      </c>
    </row>
    <row r="9467" spans="1:11">
      <c r="A9467" s="688" t="s">
        <v>3</v>
      </c>
      <c r="B9467" s="689">
        <v>43.1</v>
      </c>
      <c r="C9467" s="689">
        <v>43.4</v>
      </c>
      <c r="D9467" s="689">
        <v>43.1</v>
      </c>
      <c r="E9467" s="689">
        <v>43.3</v>
      </c>
      <c r="F9467" s="689">
        <v>43.5</v>
      </c>
      <c r="G9467" s="689">
        <v>43.4</v>
      </c>
      <c r="H9467" s="689">
        <v>43.7</v>
      </c>
      <c r="I9467" s="689">
        <v>43.4</v>
      </c>
      <c r="J9467" s="689">
        <v>43.1</v>
      </c>
      <c r="K9467" s="693">
        <v>43</v>
      </c>
    </row>
    <row r="9468" spans="1:11">
      <c r="A9468" s="688" t="s">
        <v>4061</v>
      </c>
      <c r="B9468" s="691">
        <v>43.1</v>
      </c>
      <c r="C9468" s="691">
        <v>43.4</v>
      </c>
      <c r="D9468" s="691">
        <v>43.1</v>
      </c>
      <c r="E9468" s="691">
        <v>43.3</v>
      </c>
      <c r="F9468" s="691">
        <v>43.5</v>
      </c>
      <c r="G9468" s="691">
        <v>43.4</v>
      </c>
      <c r="H9468" s="691">
        <v>43.7</v>
      </c>
      <c r="I9468" s="691">
        <v>43.4</v>
      </c>
      <c r="J9468" s="691">
        <v>43.1</v>
      </c>
      <c r="K9468" s="615">
        <v>43</v>
      </c>
    </row>
    <row r="9469" spans="1:11">
      <c r="A9469" s="688" t="s">
        <v>4</v>
      </c>
      <c r="B9469" s="689">
        <v>38.4</v>
      </c>
      <c r="C9469" s="689">
        <v>38.1</v>
      </c>
      <c r="D9469" s="689">
        <v>38.700000000000003</v>
      </c>
      <c r="E9469" s="689">
        <v>38.700000000000003</v>
      </c>
      <c r="F9469" s="693">
        <v>39</v>
      </c>
      <c r="G9469" s="689">
        <v>39.1</v>
      </c>
      <c r="H9469" s="689">
        <v>39.6</v>
      </c>
      <c r="I9469" s="689">
        <v>39.4</v>
      </c>
      <c r="J9469" s="693">
        <v>38</v>
      </c>
      <c r="K9469" s="689">
        <v>38.799999999999997</v>
      </c>
    </row>
    <row r="9470" spans="1:11">
      <c r="A9470" s="688" t="s">
        <v>8</v>
      </c>
      <c r="B9470" s="691">
        <v>44.1</v>
      </c>
      <c r="C9470" s="691">
        <v>44.4</v>
      </c>
      <c r="D9470" s="691">
        <v>44.5</v>
      </c>
      <c r="E9470" s="691">
        <v>44.7</v>
      </c>
      <c r="F9470" s="691">
        <v>45.1</v>
      </c>
      <c r="G9470" s="691">
        <v>45.1</v>
      </c>
      <c r="H9470" s="691">
        <v>45.4</v>
      </c>
      <c r="I9470" s="691">
        <v>45.4</v>
      </c>
      <c r="J9470" s="691">
        <v>45.1</v>
      </c>
      <c r="K9470" s="691">
        <v>45.5</v>
      </c>
    </row>
    <row r="9471" spans="1:11">
      <c r="A9471" s="688" t="s">
        <v>7</v>
      </c>
      <c r="B9471" s="689">
        <v>43.8</v>
      </c>
      <c r="C9471" s="689">
        <v>43.3</v>
      </c>
      <c r="D9471" s="689">
        <v>43.1</v>
      </c>
      <c r="E9471" s="689">
        <v>43.5</v>
      </c>
      <c r="F9471" s="689">
        <v>43.4</v>
      </c>
      <c r="G9471" s="689">
        <v>43.8</v>
      </c>
      <c r="H9471" s="689">
        <v>43.8</v>
      </c>
      <c r="I9471" s="689">
        <v>43.5</v>
      </c>
      <c r="J9471" s="689">
        <v>42.4</v>
      </c>
      <c r="K9471" s="689">
        <v>43.2</v>
      </c>
    </row>
    <row r="9472" spans="1:11">
      <c r="A9472" s="688" t="s">
        <v>27</v>
      </c>
      <c r="B9472" s="691">
        <v>44.9</v>
      </c>
      <c r="C9472" s="691">
        <v>44.8</v>
      </c>
      <c r="D9472" s="691">
        <v>44.6</v>
      </c>
      <c r="E9472" s="615">
        <v>45</v>
      </c>
      <c r="F9472" s="691">
        <v>45.1</v>
      </c>
      <c r="G9472" s="691">
        <v>45.1</v>
      </c>
      <c r="H9472" s="691">
        <v>45.5</v>
      </c>
      <c r="I9472" s="691">
        <v>44.2</v>
      </c>
      <c r="J9472" s="691">
        <v>44.9</v>
      </c>
      <c r="K9472" s="691">
        <v>45.2</v>
      </c>
    </row>
    <row r="9473" spans="1:11">
      <c r="A9473" s="688" t="s">
        <v>6</v>
      </c>
      <c r="B9473" s="689">
        <v>44.2</v>
      </c>
      <c r="C9473" s="689">
        <v>44.4</v>
      </c>
      <c r="D9473" s="689">
        <v>44.2</v>
      </c>
      <c r="E9473" s="689">
        <v>44.4</v>
      </c>
      <c r="F9473" s="689">
        <v>44.6</v>
      </c>
      <c r="G9473" s="689">
        <v>44.7</v>
      </c>
      <c r="H9473" s="689">
        <v>44.9</v>
      </c>
      <c r="I9473" s="689">
        <v>44.2</v>
      </c>
      <c r="J9473" s="689">
        <v>44.3</v>
      </c>
      <c r="K9473" s="689">
        <v>44.5</v>
      </c>
    </row>
    <row r="9474" spans="1:11">
      <c r="A9474" s="688" t="s">
        <v>4058</v>
      </c>
      <c r="B9474" s="692" t="s">
        <v>4060</v>
      </c>
      <c r="C9474" s="692" t="s">
        <v>4060</v>
      </c>
      <c r="D9474" s="692" t="s">
        <v>4060</v>
      </c>
      <c r="E9474" s="692" t="s">
        <v>4060</v>
      </c>
      <c r="F9474" s="692" t="s">
        <v>4060</v>
      </c>
      <c r="G9474" s="692" t="s">
        <v>4060</v>
      </c>
      <c r="H9474" s="692" t="s">
        <v>4060</v>
      </c>
      <c r="I9474" s="692" t="s">
        <v>4060</v>
      </c>
      <c r="J9474" s="692" t="s">
        <v>4060</v>
      </c>
      <c r="K9474" s="692" t="s">
        <v>4060</v>
      </c>
    </row>
    <row r="9475" spans="1:11">
      <c r="A9475" s="688" t="s">
        <v>11</v>
      </c>
      <c r="B9475" s="689">
        <v>39.700000000000003</v>
      </c>
      <c r="C9475" s="689">
        <v>39.799999999999997</v>
      </c>
      <c r="D9475" s="689">
        <v>39.4</v>
      </c>
      <c r="E9475" s="693">
        <v>40</v>
      </c>
      <c r="F9475" s="693">
        <v>40</v>
      </c>
      <c r="G9475" s="693">
        <v>40</v>
      </c>
      <c r="H9475" s="689">
        <v>40.4</v>
      </c>
      <c r="I9475" s="689">
        <v>39.700000000000003</v>
      </c>
      <c r="J9475" s="689">
        <v>38.6</v>
      </c>
      <c r="K9475" s="689">
        <v>39.799999999999997</v>
      </c>
    </row>
    <row r="9476" spans="1:11">
      <c r="A9476" s="688" t="s">
        <v>10</v>
      </c>
      <c r="B9476" s="691">
        <v>45.2</v>
      </c>
      <c r="C9476" s="691">
        <v>45.3</v>
      </c>
      <c r="D9476" s="615">
        <v>45</v>
      </c>
      <c r="E9476" s="691">
        <v>45.5</v>
      </c>
      <c r="F9476" s="691">
        <v>45.4</v>
      </c>
      <c r="G9476" s="691">
        <v>45.7</v>
      </c>
      <c r="H9476" s="615">
        <v>46</v>
      </c>
      <c r="I9476" s="691">
        <v>44.6</v>
      </c>
      <c r="J9476" s="691">
        <v>45.1</v>
      </c>
      <c r="K9476" s="691">
        <v>45.4</v>
      </c>
    </row>
    <row r="9477" spans="1:11">
      <c r="A9477" s="688" t="s">
        <v>30</v>
      </c>
      <c r="B9477" s="693">
        <v>45</v>
      </c>
      <c r="C9477" s="689">
        <v>45.1</v>
      </c>
      <c r="D9477" s="689">
        <v>44.8</v>
      </c>
      <c r="E9477" s="689">
        <v>45.5</v>
      </c>
      <c r="F9477" s="689">
        <v>45.1</v>
      </c>
      <c r="G9477" s="689">
        <v>45.9</v>
      </c>
      <c r="H9477" s="689">
        <v>45.6</v>
      </c>
      <c r="I9477" s="689">
        <v>45.6</v>
      </c>
      <c r="J9477" s="689">
        <v>44.7</v>
      </c>
      <c r="K9477" s="689">
        <v>45.3</v>
      </c>
    </row>
    <row r="9478" spans="1:11">
      <c r="A9478" s="688" t="s">
        <v>12</v>
      </c>
      <c r="B9478" s="691">
        <v>35.299999999999997</v>
      </c>
      <c r="C9478" s="691">
        <v>35.200000000000003</v>
      </c>
      <c r="D9478" s="691">
        <v>35.6</v>
      </c>
      <c r="E9478" s="691">
        <v>35.700000000000003</v>
      </c>
      <c r="F9478" s="691">
        <v>35.799999999999997</v>
      </c>
      <c r="G9478" s="691">
        <v>35.9</v>
      </c>
      <c r="H9478" s="691">
        <v>36.6</v>
      </c>
      <c r="I9478" s="691">
        <v>36.200000000000003</v>
      </c>
      <c r="J9478" s="691">
        <v>33.799999999999997</v>
      </c>
      <c r="K9478" s="691">
        <v>35.1</v>
      </c>
    </row>
    <row r="9479" spans="1:11">
      <c r="A9479" s="688" t="s">
        <v>14</v>
      </c>
      <c r="B9479" s="689">
        <v>34.9</v>
      </c>
      <c r="C9479" s="689">
        <v>35.4</v>
      </c>
      <c r="D9479" s="689">
        <v>35.299999999999997</v>
      </c>
      <c r="E9479" s="689">
        <v>35.4</v>
      </c>
      <c r="F9479" s="689">
        <v>36.5</v>
      </c>
      <c r="G9479" s="689">
        <v>36.700000000000003</v>
      </c>
      <c r="H9479" s="689">
        <v>37.200000000000003</v>
      </c>
      <c r="I9479" s="689">
        <v>35.700000000000003</v>
      </c>
      <c r="J9479" s="689">
        <v>35.299999999999997</v>
      </c>
      <c r="K9479" s="689">
        <v>36.799999999999997</v>
      </c>
    </row>
    <row r="9480" spans="1:11">
      <c r="A9480" s="688" t="s">
        <v>15</v>
      </c>
      <c r="B9480" s="691">
        <v>44.8</v>
      </c>
      <c r="C9480" s="615">
        <v>44</v>
      </c>
      <c r="D9480" s="691">
        <v>44.8</v>
      </c>
      <c r="E9480" s="691">
        <v>44.7</v>
      </c>
      <c r="F9480" s="691">
        <v>44.6</v>
      </c>
      <c r="G9480" s="691">
        <v>44.7</v>
      </c>
      <c r="H9480" s="691">
        <v>45.2</v>
      </c>
      <c r="I9480" s="691">
        <v>44.6</v>
      </c>
      <c r="J9480" s="615">
        <v>45</v>
      </c>
      <c r="K9480" s="691">
        <v>45.7</v>
      </c>
    </row>
    <row r="9481" spans="1:11">
      <c r="A9481" s="688" t="s">
        <v>29</v>
      </c>
      <c r="B9481" s="689">
        <v>37.299999999999997</v>
      </c>
      <c r="C9481" s="689">
        <v>37.4</v>
      </c>
      <c r="D9481" s="689">
        <v>37.4</v>
      </c>
      <c r="E9481" s="689">
        <v>37.6</v>
      </c>
      <c r="F9481" s="689">
        <v>37.5</v>
      </c>
      <c r="G9481" s="689">
        <v>37.6</v>
      </c>
      <c r="H9481" s="693">
        <v>38</v>
      </c>
      <c r="I9481" s="689">
        <v>37.200000000000003</v>
      </c>
      <c r="J9481" s="689">
        <v>35.799999999999997</v>
      </c>
      <c r="K9481" s="689">
        <v>37.6</v>
      </c>
    </row>
    <row r="9482" spans="1:11">
      <c r="A9482" s="688" t="s">
        <v>16</v>
      </c>
      <c r="B9482" s="691">
        <v>44.6</v>
      </c>
      <c r="C9482" s="691">
        <v>44.6</v>
      </c>
      <c r="D9482" s="691">
        <v>44.9</v>
      </c>
      <c r="E9482" s="691">
        <v>45.4</v>
      </c>
      <c r="F9482" s="691">
        <v>45.2</v>
      </c>
      <c r="G9482" s="691">
        <v>45.1</v>
      </c>
      <c r="H9482" s="691">
        <v>45.6</v>
      </c>
      <c r="I9482" s="691">
        <v>44.7</v>
      </c>
      <c r="J9482" s="615">
        <v>45</v>
      </c>
      <c r="K9482" s="691">
        <v>45.2</v>
      </c>
    </row>
    <row r="9483" spans="1:11">
      <c r="A9483" s="688" t="s">
        <v>17</v>
      </c>
      <c r="B9483" s="689">
        <v>44.4</v>
      </c>
      <c r="C9483" s="689">
        <v>44.8</v>
      </c>
      <c r="D9483" s="689">
        <v>44.6</v>
      </c>
      <c r="E9483" s="689">
        <v>44.7</v>
      </c>
      <c r="F9483" s="693">
        <v>45</v>
      </c>
      <c r="G9483" s="693">
        <v>45</v>
      </c>
      <c r="H9483" s="689">
        <v>45.3</v>
      </c>
      <c r="I9483" s="689">
        <v>44.5</v>
      </c>
      <c r="J9483" s="689">
        <v>44.5</v>
      </c>
      <c r="K9483" s="693">
        <v>45</v>
      </c>
    </row>
    <row r="9484" spans="1:11">
      <c r="A9484" s="688" t="s">
        <v>19</v>
      </c>
      <c r="B9484" s="691">
        <v>43.7</v>
      </c>
      <c r="C9484" s="691">
        <v>43.9</v>
      </c>
      <c r="D9484" s="691">
        <v>43.7</v>
      </c>
      <c r="E9484" s="691">
        <v>44.1</v>
      </c>
      <c r="F9484" s="691">
        <v>44.2</v>
      </c>
      <c r="G9484" s="691">
        <v>44.2</v>
      </c>
      <c r="H9484" s="691">
        <v>44.6</v>
      </c>
      <c r="I9484" s="691">
        <v>43.9</v>
      </c>
      <c r="J9484" s="691">
        <v>43.8</v>
      </c>
      <c r="K9484" s="615">
        <v>44</v>
      </c>
    </row>
    <row r="9485" spans="1:11">
      <c r="A9485" s="688" t="s">
        <v>20</v>
      </c>
      <c r="B9485" s="689">
        <v>38.5</v>
      </c>
      <c r="C9485" s="689">
        <v>39.1</v>
      </c>
      <c r="D9485" s="689">
        <v>38.9</v>
      </c>
      <c r="E9485" s="689">
        <v>39.200000000000003</v>
      </c>
      <c r="F9485" s="689">
        <v>39.200000000000003</v>
      </c>
      <c r="G9485" s="689">
        <v>39.1</v>
      </c>
      <c r="H9485" s="689">
        <v>39.4</v>
      </c>
      <c r="I9485" s="689">
        <v>37.799999999999997</v>
      </c>
      <c r="J9485" s="689">
        <v>36.9</v>
      </c>
      <c r="K9485" s="689">
        <v>38.700000000000003</v>
      </c>
    </row>
    <row r="9486" spans="1:11">
      <c r="A9486" s="688" t="s">
        <v>21</v>
      </c>
      <c r="B9486" s="691">
        <v>42.6</v>
      </c>
      <c r="C9486" s="691">
        <v>43.1</v>
      </c>
      <c r="D9486" s="691">
        <v>43.2</v>
      </c>
      <c r="E9486" s="691">
        <v>43.2</v>
      </c>
      <c r="F9486" s="691">
        <v>43.5</v>
      </c>
      <c r="G9486" s="691">
        <v>43.5</v>
      </c>
      <c r="H9486" s="691">
        <v>43.9</v>
      </c>
      <c r="I9486" s="691">
        <v>43.3</v>
      </c>
      <c r="J9486" s="691">
        <v>43.3</v>
      </c>
      <c r="K9486" s="691">
        <v>43.8</v>
      </c>
    </row>
    <row r="9487" spans="1:11">
      <c r="A9487" s="688" t="s">
        <v>22</v>
      </c>
      <c r="B9487" s="689">
        <v>37.5</v>
      </c>
      <c r="C9487" s="689">
        <v>37.200000000000003</v>
      </c>
      <c r="D9487" s="689">
        <v>37.200000000000003</v>
      </c>
      <c r="E9487" s="689">
        <v>37.299999999999997</v>
      </c>
      <c r="F9487" s="689">
        <v>37.299999999999997</v>
      </c>
      <c r="G9487" s="689">
        <v>37.200000000000003</v>
      </c>
      <c r="H9487" s="689">
        <v>37.4</v>
      </c>
      <c r="I9487" s="689">
        <v>35.799999999999997</v>
      </c>
      <c r="J9487" s="689">
        <v>34.700000000000003</v>
      </c>
      <c r="K9487" s="689">
        <v>36.799999999999997</v>
      </c>
    </row>
    <row r="9488" spans="1:11">
      <c r="A9488" s="688" t="s">
        <v>26</v>
      </c>
      <c r="B9488" s="691">
        <v>42.3</v>
      </c>
      <c r="C9488" s="691">
        <v>42.8</v>
      </c>
      <c r="D9488" s="691">
        <v>42.5</v>
      </c>
      <c r="E9488" s="615">
        <v>43</v>
      </c>
      <c r="F9488" s="691">
        <v>42.9</v>
      </c>
      <c r="G9488" s="691">
        <v>43.2</v>
      </c>
      <c r="H9488" s="691">
        <v>43.5</v>
      </c>
      <c r="I9488" s="691">
        <v>42.6</v>
      </c>
      <c r="J9488" s="691">
        <v>42.5</v>
      </c>
      <c r="K9488" s="691">
        <v>43.4</v>
      </c>
    </row>
    <row r="9489" spans="1:11">
      <c r="A9489" s="688" t="s">
        <v>25</v>
      </c>
      <c r="B9489" s="689">
        <v>38.299999999999997</v>
      </c>
      <c r="C9489" s="689">
        <v>38.700000000000003</v>
      </c>
      <c r="D9489" s="689">
        <v>38.6</v>
      </c>
      <c r="E9489" s="689">
        <v>39.1</v>
      </c>
      <c r="F9489" s="689">
        <v>39.1</v>
      </c>
      <c r="G9489" s="689">
        <v>39.299999999999997</v>
      </c>
      <c r="H9489" s="689">
        <v>39.700000000000003</v>
      </c>
      <c r="I9489" s="689">
        <v>38.9</v>
      </c>
      <c r="J9489" s="689">
        <v>36.6</v>
      </c>
      <c r="K9489" s="693">
        <v>39</v>
      </c>
    </row>
    <row r="9490" spans="1:11">
      <c r="A9490" s="688" t="s">
        <v>5</v>
      </c>
      <c r="B9490" s="691">
        <v>43.2</v>
      </c>
      <c r="C9490" s="691">
        <v>43.3</v>
      </c>
      <c r="D9490" s="691">
        <v>43.5</v>
      </c>
      <c r="E9490" s="691">
        <v>43.5</v>
      </c>
      <c r="F9490" s="691">
        <v>43.8</v>
      </c>
      <c r="G9490" s="615">
        <v>44</v>
      </c>
      <c r="H9490" s="691">
        <v>44.4</v>
      </c>
      <c r="I9490" s="691">
        <v>44.2</v>
      </c>
      <c r="J9490" s="691">
        <v>44.2</v>
      </c>
      <c r="K9490" s="691">
        <v>43.7</v>
      </c>
    </row>
    <row r="9491" spans="1:11">
      <c r="A9491" s="688" t="s">
        <v>23</v>
      </c>
      <c r="B9491" s="689">
        <v>45.2</v>
      </c>
      <c r="C9491" s="689">
        <v>45.3</v>
      </c>
      <c r="D9491" s="689">
        <v>45.4</v>
      </c>
      <c r="E9491" s="689">
        <v>45.5</v>
      </c>
      <c r="F9491" s="689">
        <v>45.7</v>
      </c>
      <c r="G9491" s="689">
        <v>45.8</v>
      </c>
      <c r="H9491" s="689">
        <v>46.3</v>
      </c>
      <c r="I9491" s="689">
        <v>45.6</v>
      </c>
      <c r="J9491" s="689">
        <v>46.1</v>
      </c>
      <c r="K9491" s="689">
        <v>46.3</v>
      </c>
    </row>
    <row r="9492" spans="1:11">
      <c r="A9492" s="688" t="s">
        <v>4067</v>
      </c>
      <c r="B9492" s="691">
        <v>42.9</v>
      </c>
      <c r="C9492" s="691">
        <v>43.2</v>
      </c>
      <c r="D9492" s="615">
        <v>43</v>
      </c>
      <c r="E9492" s="691">
        <v>43.3</v>
      </c>
      <c r="F9492" s="691">
        <v>43.4</v>
      </c>
      <c r="G9492" s="691">
        <v>43.4</v>
      </c>
      <c r="H9492" s="692" t="s">
        <v>4060</v>
      </c>
      <c r="I9492" s="692" t="s">
        <v>4060</v>
      </c>
      <c r="J9492" s="692" t="s">
        <v>4060</v>
      </c>
      <c r="K9492" s="692" t="s">
        <v>4060</v>
      </c>
    </row>
    <row r="9493" spans="1:11">
      <c r="A9493" s="688" t="s">
        <v>4066</v>
      </c>
      <c r="B9493" s="689">
        <v>42.9</v>
      </c>
      <c r="C9493" s="689">
        <v>43.3</v>
      </c>
      <c r="D9493" s="693">
        <v>43</v>
      </c>
      <c r="E9493" s="689">
        <v>43.3</v>
      </c>
      <c r="F9493" s="689">
        <v>43.4</v>
      </c>
      <c r="G9493" s="689">
        <v>43.5</v>
      </c>
      <c r="H9493" s="690" t="s">
        <v>4060</v>
      </c>
      <c r="I9493" s="690" t="s">
        <v>4060</v>
      </c>
      <c r="J9493" s="690" t="s">
        <v>4060</v>
      </c>
      <c r="K9493" s="690" t="s">
        <v>4060</v>
      </c>
    </row>
    <row r="9494" spans="1:11">
      <c r="A9494" s="688" t="s">
        <v>4062</v>
      </c>
      <c r="B9494" s="691">
        <v>45.3</v>
      </c>
      <c r="C9494" s="691">
        <v>45.6</v>
      </c>
      <c r="D9494" s="691">
        <v>45.6</v>
      </c>
      <c r="E9494" s="615">
        <v>46</v>
      </c>
      <c r="F9494" s="691">
        <v>46.1</v>
      </c>
      <c r="G9494" s="691">
        <v>46.3</v>
      </c>
      <c r="H9494" s="691">
        <v>46.5</v>
      </c>
      <c r="I9494" s="691">
        <v>46.1</v>
      </c>
      <c r="J9494" s="691">
        <v>46.5</v>
      </c>
      <c r="K9494" s="691">
        <v>46.2</v>
      </c>
    </row>
    <row r="9495" spans="1:11">
      <c r="A9495" s="688" t="s">
        <v>9</v>
      </c>
      <c r="B9495" s="689">
        <v>45.5</v>
      </c>
      <c r="C9495" s="689">
        <v>45.9</v>
      </c>
      <c r="D9495" s="689">
        <v>46.1</v>
      </c>
      <c r="E9495" s="689">
        <v>45.4</v>
      </c>
      <c r="F9495" s="689">
        <v>45.9</v>
      </c>
      <c r="G9495" s="689">
        <v>46.3</v>
      </c>
      <c r="H9495" s="689">
        <v>46.3</v>
      </c>
      <c r="I9495" s="689">
        <v>46.4</v>
      </c>
      <c r="J9495" s="689">
        <v>46.9</v>
      </c>
      <c r="K9495" s="689">
        <v>45.7</v>
      </c>
    </row>
    <row r="9496" spans="1:11">
      <c r="A9496" s="688" t="s">
        <v>13</v>
      </c>
      <c r="B9496" s="615">
        <v>45</v>
      </c>
      <c r="C9496" s="691">
        <v>45.4</v>
      </c>
      <c r="D9496" s="691">
        <v>45.6</v>
      </c>
      <c r="E9496" s="691">
        <v>44.9</v>
      </c>
      <c r="F9496" s="691">
        <v>45.8</v>
      </c>
      <c r="G9496" s="691">
        <v>45.3</v>
      </c>
      <c r="H9496" s="691">
        <v>46.6</v>
      </c>
      <c r="I9496" s="691">
        <v>45.6</v>
      </c>
      <c r="J9496" s="691">
        <v>46.7</v>
      </c>
      <c r="K9496" s="691">
        <v>47.4</v>
      </c>
    </row>
    <row r="9497" spans="1:11">
      <c r="A9497" s="688" t="s">
        <v>18</v>
      </c>
      <c r="B9497" s="689">
        <v>44.8</v>
      </c>
      <c r="C9497" s="693">
        <v>45</v>
      </c>
      <c r="D9497" s="689">
        <v>45.3</v>
      </c>
      <c r="E9497" s="689">
        <v>45.5</v>
      </c>
      <c r="F9497" s="689">
        <v>45.8</v>
      </c>
      <c r="G9497" s="689">
        <v>45.9</v>
      </c>
      <c r="H9497" s="689">
        <v>46.1</v>
      </c>
      <c r="I9497" s="689">
        <v>46.4</v>
      </c>
      <c r="J9497" s="689">
        <v>46.4</v>
      </c>
      <c r="K9497" s="689">
        <v>45.8</v>
      </c>
    </row>
    <row r="9498" spans="1:11">
      <c r="A9498" s="688" t="s">
        <v>24</v>
      </c>
      <c r="B9498" s="691">
        <v>45.7</v>
      </c>
      <c r="C9498" s="691">
        <v>45.9</v>
      </c>
      <c r="D9498" s="691">
        <v>45.7</v>
      </c>
      <c r="E9498" s="691">
        <v>46.3</v>
      </c>
      <c r="F9498" s="691">
        <v>46.3</v>
      </c>
      <c r="G9498" s="691">
        <v>46.5</v>
      </c>
      <c r="H9498" s="691">
        <v>46.7</v>
      </c>
      <c r="I9498" s="691">
        <v>45.9</v>
      </c>
      <c r="J9498" s="691">
        <v>46.5</v>
      </c>
      <c r="K9498" s="691">
        <v>46.5</v>
      </c>
    </row>
    <row r="9499" spans="1:11">
      <c r="A9499" s="688" t="s">
        <v>4059</v>
      </c>
      <c r="B9499" s="689">
        <v>44.3</v>
      </c>
      <c r="C9499" s="689">
        <v>44.6</v>
      </c>
      <c r="D9499" s="689">
        <v>44.3</v>
      </c>
      <c r="E9499" s="689">
        <v>44.5</v>
      </c>
      <c r="F9499" s="689">
        <v>44.5</v>
      </c>
      <c r="G9499" s="689">
        <v>44.6</v>
      </c>
      <c r="H9499" s="690" t="s">
        <v>4060</v>
      </c>
      <c r="I9499" s="690" t="s">
        <v>4060</v>
      </c>
      <c r="J9499" s="690" t="s">
        <v>4060</v>
      </c>
      <c r="K9499" s="690" t="s">
        <v>4060</v>
      </c>
    </row>
    <row r="9500" spans="1:11">
      <c r="A9500" s="688" t="s">
        <v>2324</v>
      </c>
      <c r="B9500" s="691">
        <v>39.299999999999997</v>
      </c>
      <c r="C9500" s="691">
        <v>39.4</v>
      </c>
      <c r="D9500" s="691">
        <v>39.4</v>
      </c>
      <c r="E9500" s="691">
        <v>39.1</v>
      </c>
      <c r="F9500" s="691">
        <v>39.1</v>
      </c>
      <c r="G9500" s="691">
        <v>39.5</v>
      </c>
      <c r="H9500" s="691">
        <v>39.200000000000003</v>
      </c>
      <c r="I9500" s="691">
        <v>38.200000000000003</v>
      </c>
      <c r="J9500" s="691">
        <v>35.799999999999997</v>
      </c>
      <c r="K9500" s="692" t="s">
        <v>4060</v>
      </c>
    </row>
    <row r="9501" spans="1:11">
      <c r="A9501" s="688" t="s">
        <v>2322</v>
      </c>
      <c r="B9501" s="690" t="s">
        <v>4060</v>
      </c>
      <c r="C9501" s="690" t="s">
        <v>4060</v>
      </c>
      <c r="D9501" s="690" t="s">
        <v>4060</v>
      </c>
      <c r="E9501" s="690" t="s">
        <v>4060</v>
      </c>
      <c r="F9501" s="690" t="s">
        <v>4060</v>
      </c>
      <c r="G9501" s="690" t="s">
        <v>4060</v>
      </c>
      <c r="H9501" s="690" t="s">
        <v>4060</v>
      </c>
      <c r="I9501" s="690" t="s">
        <v>4060</v>
      </c>
      <c r="J9501" s="690" t="s">
        <v>4060</v>
      </c>
      <c r="K9501" s="690" t="s">
        <v>4060</v>
      </c>
    </row>
    <row r="9502" spans="1:11">
      <c r="A9502" s="688" t="s">
        <v>2328</v>
      </c>
      <c r="B9502" s="615">
        <v>39</v>
      </c>
      <c r="C9502" s="615">
        <v>39</v>
      </c>
      <c r="D9502" s="615">
        <v>39</v>
      </c>
      <c r="E9502" s="691">
        <v>39.1</v>
      </c>
      <c r="F9502" s="691">
        <v>39.5</v>
      </c>
      <c r="G9502" s="691">
        <v>39.799999999999997</v>
      </c>
      <c r="H9502" s="691">
        <v>39.799999999999997</v>
      </c>
      <c r="I9502" s="691">
        <v>37.299999999999997</v>
      </c>
      <c r="J9502" s="691">
        <v>36.299999999999997</v>
      </c>
      <c r="K9502" s="692" t="s">
        <v>4060</v>
      </c>
    </row>
    <row r="9503" spans="1:11">
      <c r="A9503" s="688" t="s">
        <v>2496</v>
      </c>
      <c r="B9503" s="690" t="s">
        <v>4060</v>
      </c>
      <c r="C9503" s="689">
        <v>36.200000000000003</v>
      </c>
      <c r="D9503" s="693">
        <v>35</v>
      </c>
      <c r="E9503" s="689">
        <v>34.700000000000003</v>
      </c>
      <c r="F9503" s="689">
        <v>35.5</v>
      </c>
      <c r="G9503" s="689">
        <v>35.799999999999997</v>
      </c>
      <c r="H9503" s="689">
        <v>35.799999999999997</v>
      </c>
      <c r="I9503" s="690" t="s">
        <v>4060</v>
      </c>
      <c r="J9503" s="690" t="s">
        <v>4060</v>
      </c>
      <c r="K9503" s="689">
        <v>35.299999999999997</v>
      </c>
    </row>
    <row r="9504" spans="1:11">
      <c r="A9504" s="688" t="s">
        <v>2269</v>
      </c>
      <c r="B9504" s="615">
        <v>42</v>
      </c>
      <c r="C9504" s="691">
        <v>42.2</v>
      </c>
      <c r="D9504" s="691">
        <v>41.9</v>
      </c>
      <c r="E9504" s="691">
        <v>42.6</v>
      </c>
      <c r="F9504" s="691">
        <v>42.7</v>
      </c>
      <c r="G9504" s="615">
        <v>43</v>
      </c>
      <c r="H9504" s="691">
        <v>43.3</v>
      </c>
      <c r="I9504" s="691">
        <v>40.700000000000003</v>
      </c>
      <c r="J9504" s="615">
        <v>39</v>
      </c>
      <c r="K9504" s="691">
        <v>42.8</v>
      </c>
    </row>
    <row r="9505" spans="1:11">
      <c r="A9505" s="688" t="s">
        <v>2349</v>
      </c>
      <c r="B9505" s="689">
        <v>38.1</v>
      </c>
      <c r="C9505" s="689">
        <v>38.200000000000003</v>
      </c>
      <c r="D9505" s="689">
        <v>38.1</v>
      </c>
      <c r="E9505" s="689">
        <v>38.5</v>
      </c>
      <c r="F9505" s="689">
        <v>38.5</v>
      </c>
      <c r="G9505" s="689">
        <v>38.700000000000003</v>
      </c>
      <c r="H9505" s="689">
        <v>38.6</v>
      </c>
      <c r="I9505" s="689">
        <v>36.799999999999997</v>
      </c>
      <c r="J9505" s="689">
        <v>35.299999999999997</v>
      </c>
      <c r="K9505" s="689">
        <v>37.9</v>
      </c>
    </row>
    <row r="9506" spans="1:11">
      <c r="A9506" s="688" t="s">
        <v>2355</v>
      </c>
      <c r="B9506" s="691">
        <v>41.5</v>
      </c>
      <c r="C9506" s="691">
        <v>41.5</v>
      </c>
      <c r="D9506" s="691">
        <v>41.5</v>
      </c>
      <c r="E9506" s="691">
        <v>41.4</v>
      </c>
      <c r="F9506" s="691">
        <v>41.7</v>
      </c>
      <c r="G9506" s="691">
        <v>42.1</v>
      </c>
      <c r="H9506" s="691">
        <v>42.2</v>
      </c>
      <c r="I9506" s="692" t="s">
        <v>4060</v>
      </c>
      <c r="J9506" s="692" t="s">
        <v>4060</v>
      </c>
      <c r="K9506" s="692" t="s">
        <v>4060</v>
      </c>
    </row>
    <row r="9507" spans="1:11">
      <c r="A9507" s="688" t="s">
        <v>2357</v>
      </c>
      <c r="B9507" s="690" t="s">
        <v>4060</v>
      </c>
      <c r="C9507" s="689">
        <v>33.5</v>
      </c>
      <c r="D9507" s="693">
        <v>34</v>
      </c>
      <c r="E9507" s="689">
        <v>34.299999999999997</v>
      </c>
      <c r="F9507" s="689">
        <v>34.6</v>
      </c>
      <c r="G9507" s="689">
        <v>34.299999999999997</v>
      </c>
      <c r="H9507" s="689">
        <v>34.5</v>
      </c>
      <c r="I9507" s="690" t="s">
        <v>4060</v>
      </c>
      <c r="J9507" s="690" t="s">
        <v>4060</v>
      </c>
      <c r="K9507" s="690" t="s">
        <v>4060</v>
      </c>
    </row>
    <row r="9508" spans="1:11">
      <c r="A9508" s="688" t="s">
        <v>4070</v>
      </c>
      <c r="B9508" s="692" t="s">
        <v>4060</v>
      </c>
      <c r="C9508" s="692" t="s">
        <v>4060</v>
      </c>
      <c r="D9508" s="692" t="s">
        <v>4060</v>
      </c>
      <c r="E9508" s="615">
        <v>41</v>
      </c>
      <c r="F9508" s="692" t="s">
        <v>4060</v>
      </c>
      <c r="G9508" s="692" t="s">
        <v>4060</v>
      </c>
      <c r="H9508" s="692" t="s">
        <v>4060</v>
      </c>
      <c r="I9508" s="692" t="s">
        <v>4060</v>
      </c>
      <c r="J9508" s="692" t="s">
        <v>4060</v>
      </c>
      <c r="K9508" s="692" t="s">
        <v>4060</v>
      </c>
    </row>
    <row r="9509" spans="1:11">
      <c r="A9509" s="688" t="s">
        <v>2491</v>
      </c>
      <c r="B9509" s="689">
        <v>33.4</v>
      </c>
      <c r="C9509" s="689">
        <v>33.799999999999997</v>
      </c>
      <c r="D9509" s="689">
        <v>34.299999999999997</v>
      </c>
      <c r="E9509" s="689">
        <v>34.6</v>
      </c>
      <c r="F9509" s="689">
        <v>34.700000000000003</v>
      </c>
      <c r="G9509" s="689">
        <v>34.700000000000003</v>
      </c>
      <c r="H9509" s="690" t="s">
        <v>4060</v>
      </c>
      <c r="I9509" s="690" t="s">
        <v>4060</v>
      </c>
      <c r="J9509" s="690" t="s">
        <v>4060</v>
      </c>
      <c r="K9509" s="690" t="s">
        <v>4060</v>
      </c>
    </row>
    <row r="9510" spans="1:11">
      <c r="A9510" s="688" t="s">
        <v>2343</v>
      </c>
      <c r="B9510" s="692" t="s">
        <v>4060</v>
      </c>
      <c r="C9510" s="692" t="s">
        <v>4060</v>
      </c>
      <c r="D9510" s="692" t="s">
        <v>4060</v>
      </c>
      <c r="E9510" s="692" t="s">
        <v>4060</v>
      </c>
      <c r="F9510" s="692" t="s">
        <v>4060</v>
      </c>
      <c r="G9510" s="692" t="s">
        <v>4060</v>
      </c>
      <c r="H9510" s="692" t="s">
        <v>4060</v>
      </c>
      <c r="I9510" s="692" t="s">
        <v>4060</v>
      </c>
      <c r="J9510" s="692" t="s">
        <v>4060</v>
      </c>
      <c r="K9510" s="692" t="s">
        <v>4060</v>
      </c>
    </row>
    <row r="9511" spans="1:11">
      <c r="A9511" s="688" t="s">
        <v>4071</v>
      </c>
      <c r="B9511" s="690" t="s">
        <v>4060</v>
      </c>
      <c r="C9511" s="690" t="s">
        <v>4060</v>
      </c>
      <c r="D9511" s="690" t="s">
        <v>4060</v>
      </c>
      <c r="E9511" s="690" t="s">
        <v>4060</v>
      </c>
      <c r="F9511" s="690" t="s">
        <v>4060</v>
      </c>
      <c r="G9511" s="690" t="s">
        <v>4060</v>
      </c>
      <c r="H9511" s="690" t="s">
        <v>4060</v>
      </c>
      <c r="I9511" s="690" t="s">
        <v>4060</v>
      </c>
      <c r="J9511" s="690" t="s">
        <v>4060</v>
      </c>
      <c r="K9511" s="690" t="s">
        <v>4060</v>
      </c>
    </row>
    <row r="9512" spans="1:11">
      <c r="A9512" s="688" t="s">
        <v>2489</v>
      </c>
      <c r="B9512" s="692" t="s">
        <v>4060</v>
      </c>
      <c r="C9512" s="692" t="s">
        <v>4060</v>
      </c>
      <c r="D9512" s="691">
        <v>37.6</v>
      </c>
      <c r="E9512" s="691">
        <v>37.5</v>
      </c>
      <c r="F9512" s="691">
        <v>38.1</v>
      </c>
      <c r="G9512" s="615">
        <v>39</v>
      </c>
      <c r="H9512" s="691">
        <v>38.6</v>
      </c>
      <c r="I9512" s="692" t="s">
        <v>4060</v>
      </c>
      <c r="J9512" s="692" t="s">
        <v>4060</v>
      </c>
      <c r="K9512" s="692" t="s">
        <v>4060</v>
      </c>
    </row>
    <row r="9513" spans="1:11">
      <c r="A9513" s="688" t="s">
        <v>2490</v>
      </c>
      <c r="B9513" s="689">
        <v>38.299999999999997</v>
      </c>
      <c r="C9513" s="689">
        <v>38.4</v>
      </c>
      <c r="D9513" s="689">
        <v>39.1</v>
      </c>
      <c r="E9513" s="690" t="s">
        <v>4060</v>
      </c>
      <c r="F9513" s="689">
        <v>39.4</v>
      </c>
      <c r="G9513" s="689">
        <v>39.6</v>
      </c>
      <c r="H9513" s="689">
        <v>40.5</v>
      </c>
      <c r="I9513" s="690" t="s">
        <v>4060</v>
      </c>
      <c r="J9513" s="690" t="s">
        <v>4060</v>
      </c>
      <c r="K9513" s="690" t="s">
        <v>4060</v>
      </c>
    </row>
    <row r="9515" spans="1:11">
      <c r="A9515" s="683" t="s">
        <v>4233</v>
      </c>
    </row>
    <row r="9516" spans="1:11">
      <c r="A9516" s="683" t="s">
        <v>4060</v>
      </c>
      <c r="B9516" s="682" t="s">
        <v>4234</v>
      </c>
    </row>
    <row r="9518" spans="1:11">
      <c r="A9518" s="682" t="s">
        <v>4331</v>
      </c>
    </row>
    <row r="9519" spans="1:11">
      <c r="A9519" s="682" t="s">
        <v>4210</v>
      </c>
      <c r="B9519" s="683" t="s">
        <v>4211</v>
      </c>
    </row>
    <row r="9520" spans="1:11">
      <c r="A9520" s="682" t="s">
        <v>4212</v>
      </c>
      <c r="B9520" s="682" t="s">
        <v>4213</v>
      </c>
    </row>
    <row r="9522" spans="1:11">
      <c r="A9522" s="683" t="s">
        <v>4214</v>
      </c>
      <c r="C9522" s="682" t="s">
        <v>4215</v>
      </c>
    </row>
    <row r="9523" spans="1:11">
      <c r="A9523" s="683" t="s">
        <v>4216</v>
      </c>
      <c r="C9523" s="682" t="s">
        <v>2967</v>
      </c>
    </row>
    <row r="9524" spans="1:11">
      <c r="A9524" s="683" t="s">
        <v>3893</v>
      </c>
      <c r="C9524" s="682" t="s">
        <v>2168</v>
      </c>
    </row>
    <row r="9525" spans="1:11">
      <c r="A9525" s="683" t="s">
        <v>4218</v>
      </c>
      <c r="C9525" s="682" t="s">
        <v>4272</v>
      </c>
    </row>
    <row r="9527" spans="1:11">
      <c r="A9527" s="684" t="s">
        <v>4220</v>
      </c>
      <c r="B9527" s="685" t="s">
        <v>4221</v>
      </c>
      <c r="C9527" s="685" t="s">
        <v>4222</v>
      </c>
      <c r="D9527" s="685" t="s">
        <v>4223</v>
      </c>
      <c r="E9527" s="685" t="s">
        <v>4224</v>
      </c>
      <c r="F9527" s="685" t="s">
        <v>4225</v>
      </c>
      <c r="G9527" s="685" t="s">
        <v>4226</v>
      </c>
      <c r="H9527" s="685" t="s">
        <v>4227</v>
      </c>
      <c r="I9527" s="685" t="s">
        <v>4228</v>
      </c>
      <c r="J9527" s="685" t="s">
        <v>4229</v>
      </c>
      <c r="K9527" s="685" t="s">
        <v>4230</v>
      </c>
    </row>
    <row r="9528" spans="1:11">
      <c r="A9528" s="686" t="s">
        <v>4231</v>
      </c>
      <c r="B9528" s="687" t="s">
        <v>4232</v>
      </c>
      <c r="C9528" s="687" t="s">
        <v>4232</v>
      </c>
      <c r="D9528" s="687" t="s">
        <v>4232</v>
      </c>
      <c r="E9528" s="687" t="s">
        <v>4232</v>
      </c>
      <c r="F9528" s="687" t="s">
        <v>4232</v>
      </c>
      <c r="G9528" s="687" t="s">
        <v>4232</v>
      </c>
      <c r="H9528" s="687" t="s">
        <v>4232</v>
      </c>
      <c r="I9528" s="687" t="s">
        <v>4232</v>
      </c>
      <c r="J9528" s="687" t="s">
        <v>4232</v>
      </c>
      <c r="K9528" s="687" t="s">
        <v>4232</v>
      </c>
    </row>
    <row r="9529" spans="1:11">
      <c r="A9529" s="688" t="s">
        <v>4064</v>
      </c>
      <c r="B9529" s="689">
        <v>41.7</v>
      </c>
      <c r="C9529" s="689">
        <v>41.9</v>
      </c>
      <c r="D9529" s="689">
        <v>41.8</v>
      </c>
      <c r="E9529" s="693">
        <v>42</v>
      </c>
      <c r="F9529" s="689">
        <v>42.1</v>
      </c>
      <c r="G9529" s="689">
        <v>42.1</v>
      </c>
      <c r="H9529" s="689">
        <v>42.4</v>
      </c>
      <c r="I9529" s="689">
        <v>41.5</v>
      </c>
      <c r="J9529" s="689">
        <v>41.2</v>
      </c>
      <c r="K9529" s="689">
        <v>41.9</v>
      </c>
    </row>
    <row r="9530" spans="1:11">
      <c r="A9530" s="688" t="s">
        <v>4065</v>
      </c>
      <c r="B9530" s="691">
        <v>41.9</v>
      </c>
      <c r="C9530" s="691">
        <v>42.2</v>
      </c>
      <c r="D9530" s="615">
        <v>42</v>
      </c>
      <c r="E9530" s="691">
        <v>42.3</v>
      </c>
      <c r="F9530" s="691">
        <v>42.4</v>
      </c>
      <c r="G9530" s="691">
        <v>42.5</v>
      </c>
      <c r="H9530" s="692" t="s">
        <v>4060</v>
      </c>
      <c r="I9530" s="692" t="s">
        <v>4060</v>
      </c>
      <c r="J9530" s="692" t="s">
        <v>4060</v>
      </c>
      <c r="K9530" s="692" t="s">
        <v>4060</v>
      </c>
    </row>
    <row r="9531" spans="1:11">
      <c r="A9531" s="688" t="s">
        <v>4063</v>
      </c>
      <c r="B9531" s="689">
        <v>41.9</v>
      </c>
      <c r="C9531" s="689">
        <v>42.3</v>
      </c>
      <c r="D9531" s="689">
        <v>42.1</v>
      </c>
      <c r="E9531" s="689">
        <v>42.4</v>
      </c>
      <c r="F9531" s="689">
        <v>42.4</v>
      </c>
      <c r="G9531" s="689">
        <v>42.5</v>
      </c>
      <c r="H9531" s="690" t="s">
        <v>4060</v>
      </c>
      <c r="I9531" s="690" t="s">
        <v>4060</v>
      </c>
      <c r="J9531" s="690" t="s">
        <v>4060</v>
      </c>
      <c r="K9531" s="690" t="s">
        <v>4060</v>
      </c>
    </row>
    <row r="9532" spans="1:11">
      <c r="A9532" s="688" t="s">
        <v>4069</v>
      </c>
      <c r="B9532" s="692" t="s">
        <v>4060</v>
      </c>
      <c r="C9532" s="615">
        <v>43</v>
      </c>
      <c r="D9532" s="691">
        <v>42.7</v>
      </c>
      <c r="E9532" s="691">
        <v>43.1</v>
      </c>
      <c r="F9532" s="691">
        <v>43.2</v>
      </c>
      <c r="G9532" s="691">
        <v>43.3</v>
      </c>
      <c r="H9532" s="691">
        <v>43.6</v>
      </c>
      <c r="I9532" s="691">
        <v>42.8</v>
      </c>
      <c r="J9532" s="691">
        <v>42.8</v>
      </c>
      <c r="K9532" s="691">
        <v>43.1</v>
      </c>
    </row>
    <row r="9533" spans="1:11">
      <c r="A9533" s="688" t="s">
        <v>4068</v>
      </c>
      <c r="B9533" s="689">
        <v>42.8</v>
      </c>
      <c r="C9533" s="690" t="s">
        <v>4060</v>
      </c>
      <c r="D9533" s="690" t="s">
        <v>4060</v>
      </c>
      <c r="E9533" s="690" t="s">
        <v>4060</v>
      </c>
      <c r="F9533" s="690" t="s">
        <v>4060</v>
      </c>
      <c r="G9533" s="690" t="s">
        <v>4060</v>
      </c>
      <c r="H9533" s="690" t="s">
        <v>4060</v>
      </c>
      <c r="I9533" s="690" t="s">
        <v>4060</v>
      </c>
      <c r="J9533" s="690" t="s">
        <v>4060</v>
      </c>
      <c r="K9533" s="690" t="s">
        <v>4060</v>
      </c>
    </row>
    <row r="9534" spans="1:11">
      <c r="A9534" s="688" t="s">
        <v>0</v>
      </c>
      <c r="B9534" s="691">
        <v>42.3</v>
      </c>
      <c r="C9534" s="691">
        <v>42.8</v>
      </c>
      <c r="D9534" s="691">
        <v>42.7</v>
      </c>
      <c r="E9534" s="691">
        <v>42.9</v>
      </c>
      <c r="F9534" s="691">
        <v>43.1</v>
      </c>
      <c r="G9534" s="691">
        <v>43.3</v>
      </c>
      <c r="H9534" s="691">
        <v>43.6</v>
      </c>
      <c r="I9534" s="691">
        <v>42.5</v>
      </c>
      <c r="J9534" s="691">
        <v>43.3</v>
      </c>
      <c r="K9534" s="691">
        <v>43.5</v>
      </c>
    </row>
    <row r="9535" spans="1:11">
      <c r="A9535" s="688" t="s">
        <v>1</v>
      </c>
      <c r="B9535" s="689">
        <v>36.200000000000003</v>
      </c>
      <c r="C9535" s="689">
        <v>35.9</v>
      </c>
      <c r="D9535" s="689">
        <v>35.9</v>
      </c>
      <c r="E9535" s="693">
        <v>36</v>
      </c>
      <c r="F9535" s="689">
        <v>35.9</v>
      </c>
      <c r="G9535" s="693">
        <v>36</v>
      </c>
      <c r="H9535" s="693">
        <v>36</v>
      </c>
      <c r="I9535" s="689">
        <v>34.200000000000003</v>
      </c>
      <c r="J9535" s="689">
        <v>32.6</v>
      </c>
      <c r="K9535" s="689">
        <v>35.1</v>
      </c>
    </row>
    <row r="9536" spans="1:11">
      <c r="A9536" s="688" t="s">
        <v>2240</v>
      </c>
      <c r="B9536" s="691">
        <v>39.4</v>
      </c>
      <c r="C9536" s="691">
        <v>39.799999999999997</v>
      </c>
      <c r="D9536" s="691">
        <v>39.700000000000003</v>
      </c>
      <c r="E9536" s="691">
        <v>40.1</v>
      </c>
      <c r="F9536" s="691">
        <v>40.1</v>
      </c>
      <c r="G9536" s="691">
        <v>40.200000000000003</v>
      </c>
      <c r="H9536" s="691">
        <v>40.5</v>
      </c>
      <c r="I9536" s="691">
        <v>39.299999999999997</v>
      </c>
      <c r="J9536" s="691">
        <v>38.1</v>
      </c>
      <c r="K9536" s="691">
        <v>40.200000000000003</v>
      </c>
    </row>
    <row r="9537" spans="1:11">
      <c r="A9537" s="688" t="s">
        <v>2</v>
      </c>
      <c r="B9537" s="689">
        <v>42.2</v>
      </c>
      <c r="C9537" s="689">
        <v>42.6</v>
      </c>
      <c r="D9537" s="689">
        <v>42.7</v>
      </c>
      <c r="E9537" s="689">
        <v>42.9</v>
      </c>
      <c r="F9537" s="689">
        <v>43.1</v>
      </c>
      <c r="G9537" s="693">
        <v>43</v>
      </c>
      <c r="H9537" s="689">
        <v>43.3</v>
      </c>
      <c r="I9537" s="689">
        <v>43.5</v>
      </c>
      <c r="J9537" s="689">
        <v>43.4</v>
      </c>
      <c r="K9537" s="689">
        <v>43.2</v>
      </c>
    </row>
    <row r="9538" spans="1:11">
      <c r="A9538" s="688" t="s">
        <v>3</v>
      </c>
      <c r="B9538" s="691">
        <v>42.1</v>
      </c>
      <c r="C9538" s="691">
        <v>42.4</v>
      </c>
      <c r="D9538" s="691">
        <v>42.1</v>
      </c>
      <c r="E9538" s="691">
        <v>42.4</v>
      </c>
      <c r="F9538" s="691">
        <v>42.5</v>
      </c>
      <c r="G9538" s="691">
        <v>42.5</v>
      </c>
      <c r="H9538" s="691">
        <v>42.8</v>
      </c>
      <c r="I9538" s="691">
        <v>42.5</v>
      </c>
      <c r="J9538" s="691">
        <v>42.1</v>
      </c>
      <c r="K9538" s="691">
        <v>42.1</v>
      </c>
    </row>
    <row r="9539" spans="1:11">
      <c r="A9539" s="688" t="s">
        <v>4061</v>
      </c>
      <c r="B9539" s="689">
        <v>42.1</v>
      </c>
      <c r="C9539" s="689">
        <v>42.4</v>
      </c>
      <c r="D9539" s="689">
        <v>42.1</v>
      </c>
      <c r="E9539" s="689">
        <v>42.4</v>
      </c>
      <c r="F9539" s="689">
        <v>42.5</v>
      </c>
      <c r="G9539" s="689">
        <v>42.5</v>
      </c>
      <c r="H9539" s="689">
        <v>42.8</v>
      </c>
      <c r="I9539" s="689">
        <v>42.5</v>
      </c>
      <c r="J9539" s="689">
        <v>42.1</v>
      </c>
      <c r="K9539" s="689">
        <v>42.1</v>
      </c>
    </row>
    <row r="9540" spans="1:11">
      <c r="A9540" s="688" t="s">
        <v>4</v>
      </c>
      <c r="B9540" s="691">
        <v>37.4</v>
      </c>
      <c r="C9540" s="691">
        <v>37.200000000000003</v>
      </c>
      <c r="D9540" s="691">
        <v>37.799999999999997</v>
      </c>
      <c r="E9540" s="691">
        <v>37.700000000000003</v>
      </c>
      <c r="F9540" s="691">
        <v>38.1</v>
      </c>
      <c r="G9540" s="691">
        <v>38.1</v>
      </c>
      <c r="H9540" s="691">
        <v>38.6</v>
      </c>
      <c r="I9540" s="691">
        <v>38.5</v>
      </c>
      <c r="J9540" s="691">
        <v>37.1</v>
      </c>
      <c r="K9540" s="691">
        <v>37.9</v>
      </c>
    </row>
    <row r="9541" spans="1:11">
      <c r="A9541" s="688" t="s">
        <v>8</v>
      </c>
      <c r="B9541" s="689">
        <v>43.2</v>
      </c>
      <c r="C9541" s="689">
        <v>43.5</v>
      </c>
      <c r="D9541" s="689">
        <v>43.6</v>
      </c>
      <c r="E9541" s="689">
        <v>43.7</v>
      </c>
      <c r="F9541" s="689">
        <v>44.1</v>
      </c>
      <c r="G9541" s="689">
        <v>44.1</v>
      </c>
      <c r="H9541" s="689">
        <v>44.5</v>
      </c>
      <c r="I9541" s="689">
        <v>44.4</v>
      </c>
      <c r="J9541" s="689">
        <v>44.2</v>
      </c>
      <c r="K9541" s="689">
        <v>44.6</v>
      </c>
    </row>
    <row r="9542" spans="1:11">
      <c r="A9542" s="688" t="s">
        <v>7</v>
      </c>
      <c r="B9542" s="691">
        <v>42.9</v>
      </c>
      <c r="C9542" s="691">
        <v>42.4</v>
      </c>
      <c r="D9542" s="691">
        <v>42.2</v>
      </c>
      <c r="E9542" s="691">
        <v>42.5</v>
      </c>
      <c r="F9542" s="691">
        <v>42.5</v>
      </c>
      <c r="G9542" s="691">
        <v>42.9</v>
      </c>
      <c r="H9542" s="691">
        <v>42.8</v>
      </c>
      <c r="I9542" s="691">
        <v>42.6</v>
      </c>
      <c r="J9542" s="691">
        <v>41.5</v>
      </c>
      <c r="K9542" s="691">
        <v>42.3</v>
      </c>
    </row>
    <row r="9543" spans="1:11">
      <c r="A9543" s="688" t="s">
        <v>27</v>
      </c>
      <c r="B9543" s="693">
        <v>44</v>
      </c>
      <c r="C9543" s="689">
        <v>43.9</v>
      </c>
      <c r="D9543" s="689">
        <v>43.7</v>
      </c>
      <c r="E9543" s="693">
        <v>44</v>
      </c>
      <c r="F9543" s="689">
        <v>44.1</v>
      </c>
      <c r="G9543" s="689">
        <v>44.2</v>
      </c>
      <c r="H9543" s="689">
        <v>44.5</v>
      </c>
      <c r="I9543" s="689">
        <v>43.3</v>
      </c>
      <c r="J9543" s="693">
        <v>44</v>
      </c>
      <c r="K9543" s="689">
        <v>44.2</v>
      </c>
    </row>
    <row r="9544" spans="1:11">
      <c r="A9544" s="688" t="s">
        <v>6</v>
      </c>
      <c r="B9544" s="691">
        <v>43.2</v>
      </c>
      <c r="C9544" s="691">
        <v>43.4</v>
      </c>
      <c r="D9544" s="691">
        <v>43.2</v>
      </c>
      <c r="E9544" s="691">
        <v>43.5</v>
      </c>
      <c r="F9544" s="691">
        <v>43.6</v>
      </c>
      <c r="G9544" s="691">
        <v>43.7</v>
      </c>
      <c r="H9544" s="691">
        <v>43.9</v>
      </c>
      <c r="I9544" s="691">
        <v>43.3</v>
      </c>
      <c r="J9544" s="691">
        <v>43.4</v>
      </c>
      <c r="K9544" s="691">
        <v>43.6</v>
      </c>
    </row>
    <row r="9545" spans="1:11">
      <c r="A9545" s="688" t="s">
        <v>4058</v>
      </c>
      <c r="B9545" s="690" t="s">
        <v>4060</v>
      </c>
      <c r="C9545" s="690" t="s">
        <v>4060</v>
      </c>
      <c r="D9545" s="690" t="s">
        <v>4060</v>
      </c>
      <c r="E9545" s="690" t="s">
        <v>4060</v>
      </c>
      <c r="F9545" s="690" t="s">
        <v>4060</v>
      </c>
      <c r="G9545" s="690" t="s">
        <v>4060</v>
      </c>
      <c r="H9545" s="690" t="s">
        <v>4060</v>
      </c>
      <c r="I9545" s="690" t="s">
        <v>4060</v>
      </c>
      <c r="J9545" s="690" t="s">
        <v>4060</v>
      </c>
      <c r="K9545" s="690" t="s">
        <v>4060</v>
      </c>
    </row>
    <row r="9546" spans="1:11">
      <c r="A9546" s="688" t="s">
        <v>11</v>
      </c>
      <c r="B9546" s="691">
        <v>38.799999999999997</v>
      </c>
      <c r="C9546" s="691">
        <v>38.9</v>
      </c>
      <c r="D9546" s="691">
        <v>38.5</v>
      </c>
      <c r="E9546" s="691">
        <v>39.1</v>
      </c>
      <c r="F9546" s="615">
        <v>39</v>
      </c>
      <c r="G9546" s="691">
        <v>39.1</v>
      </c>
      <c r="H9546" s="691">
        <v>39.4</v>
      </c>
      <c r="I9546" s="691">
        <v>38.700000000000003</v>
      </c>
      <c r="J9546" s="691">
        <v>37.6</v>
      </c>
      <c r="K9546" s="691">
        <v>38.9</v>
      </c>
    </row>
    <row r="9547" spans="1:11">
      <c r="A9547" s="688" t="s">
        <v>10</v>
      </c>
      <c r="B9547" s="689">
        <v>44.2</v>
      </c>
      <c r="C9547" s="689">
        <v>44.3</v>
      </c>
      <c r="D9547" s="693">
        <v>44</v>
      </c>
      <c r="E9547" s="689">
        <v>44.5</v>
      </c>
      <c r="F9547" s="689">
        <v>44.4</v>
      </c>
      <c r="G9547" s="689">
        <v>44.8</v>
      </c>
      <c r="H9547" s="693">
        <v>45</v>
      </c>
      <c r="I9547" s="689">
        <v>43.7</v>
      </c>
      <c r="J9547" s="689">
        <v>44.1</v>
      </c>
      <c r="K9547" s="689">
        <v>44.4</v>
      </c>
    </row>
    <row r="9548" spans="1:11">
      <c r="A9548" s="688" t="s">
        <v>30</v>
      </c>
      <c r="B9548" s="615">
        <v>44</v>
      </c>
      <c r="C9548" s="691">
        <v>44.1</v>
      </c>
      <c r="D9548" s="691">
        <v>43.9</v>
      </c>
      <c r="E9548" s="691">
        <v>44.5</v>
      </c>
      <c r="F9548" s="691">
        <v>44.1</v>
      </c>
      <c r="G9548" s="691">
        <v>44.9</v>
      </c>
      <c r="H9548" s="691">
        <v>44.7</v>
      </c>
      <c r="I9548" s="691">
        <v>44.6</v>
      </c>
      <c r="J9548" s="691">
        <v>43.7</v>
      </c>
      <c r="K9548" s="691">
        <v>44.3</v>
      </c>
    </row>
    <row r="9549" spans="1:11">
      <c r="A9549" s="688" t="s">
        <v>12</v>
      </c>
      <c r="B9549" s="689">
        <v>34.4</v>
      </c>
      <c r="C9549" s="689">
        <v>34.299999999999997</v>
      </c>
      <c r="D9549" s="689">
        <v>34.799999999999997</v>
      </c>
      <c r="E9549" s="689">
        <v>34.799999999999997</v>
      </c>
      <c r="F9549" s="689">
        <v>34.9</v>
      </c>
      <c r="G9549" s="689">
        <v>34.9</v>
      </c>
      <c r="H9549" s="689">
        <v>35.6</v>
      </c>
      <c r="I9549" s="689">
        <v>35.299999999999997</v>
      </c>
      <c r="J9549" s="693">
        <v>33</v>
      </c>
      <c r="K9549" s="689">
        <v>34.200000000000003</v>
      </c>
    </row>
    <row r="9550" spans="1:11">
      <c r="A9550" s="688" t="s">
        <v>14</v>
      </c>
      <c r="B9550" s="615">
        <v>34</v>
      </c>
      <c r="C9550" s="691">
        <v>34.6</v>
      </c>
      <c r="D9550" s="691">
        <v>34.5</v>
      </c>
      <c r="E9550" s="691">
        <v>34.6</v>
      </c>
      <c r="F9550" s="691">
        <v>35.6</v>
      </c>
      <c r="G9550" s="691">
        <v>35.799999999999997</v>
      </c>
      <c r="H9550" s="691">
        <v>36.299999999999997</v>
      </c>
      <c r="I9550" s="691">
        <v>34.799999999999997</v>
      </c>
      <c r="J9550" s="691">
        <v>34.4</v>
      </c>
      <c r="K9550" s="691">
        <v>35.9</v>
      </c>
    </row>
    <row r="9551" spans="1:11">
      <c r="A9551" s="688" t="s">
        <v>15</v>
      </c>
      <c r="B9551" s="689">
        <v>43.8</v>
      </c>
      <c r="C9551" s="693">
        <v>43</v>
      </c>
      <c r="D9551" s="689">
        <v>43.8</v>
      </c>
      <c r="E9551" s="689">
        <v>43.7</v>
      </c>
      <c r="F9551" s="689">
        <v>43.6</v>
      </c>
      <c r="G9551" s="689">
        <v>43.7</v>
      </c>
      <c r="H9551" s="689">
        <v>44.2</v>
      </c>
      <c r="I9551" s="689">
        <v>43.7</v>
      </c>
      <c r="J9551" s="693">
        <v>44</v>
      </c>
      <c r="K9551" s="689">
        <v>44.7</v>
      </c>
    </row>
    <row r="9552" spans="1:11">
      <c r="A9552" s="688" t="s">
        <v>29</v>
      </c>
      <c r="B9552" s="691">
        <v>36.4</v>
      </c>
      <c r="C9552" s="691">
        <v>36.4</v>
      </c>
      <c r="D9552" s="691">
        <v>36.4</v>
      </c>
      <c r="E9552" s="691">
        <v>36.6</v>
      </c>
      <c r="F9552" s="691">
        <v>36.6</v>
      </c>
      <c r="G9552" s="691">
        <v>36.700000000000003</v>
      </c>
      <c r="H9552" s="691">
        <v>37.1</v>
      </c>
      <c r="I9552" s="691">
        <v>36.299999999999997</v>
      </c>
      <c r="J9552" s="691">
        <v>34.9</v>
      </c>
      <c r="K9552" s="691">
        <v>36.700000000000003</v>
      </c>
    </row>
    <row r="9553" spans="1:11">
      <c r="A9553" s="688" t="s">
        <v>16</v>
      </c>
      <c r="B9553" s="689">
        <v>43.6</v>
      </c>
      <c r="C9553" s="689">
        <v>43.7</v>
      </c>
      <c r="D9553" s="689">
        <v>43.9</v>
      </c>
      <c r="E9553" s="689">
        <v>44.5</v>
      </c>
      <c r="F9553" s="689">
        <v>44.2</v>
      </c>
      <c r="G9553" s="689">
        <v>44.2</v>
      </c>
      <c r="H9553" s="689">
        <v>44.7</v>
      </c>
      <c r="I9553" s="689">
        <v>43.7</v>
      </c>
      <c r="J9553" s="689">
        <v>44.1</v>
      </c>
      <c r="K9553" s="689">
        <v>44.2</v>
      </c>
    </row>
    <row r="9554" spans="1:11">
      <c r="A9554" s="688" t="s">
        <v>17</v>
      </c>
      <c r="B9554" s="691">
        <v>43.5</v>
      </c>
      <c r="C9554" s="691">
        <v>43.8</v>
      </c>
      <c r="D9554" s="691">
        <v>43.6</v>
      </c>
      <c r="E9554" s="691">
        <v>43.8</v>
      </c>
      <c r="F9554" s="615">
        <v>44</v>
      </c>
      <c r="G9554" s="691">
        <v>44.1</v>
      </c>
      <c r="H9554" s="691">
        <v>44.4</v>
      </c>
      <c r="I9554" s="691">
        <v>43.6</v>
      </c>
      <c r="J9554" s="691">
        <v>43.6</v>
      </c>
      <c r="K9554" s="615">
        <v>44</v>
      </c>
    </row>
    <row r="9555" spans="1:11">
      <c r="A9555" s="688" t="s">
        <v>19</v>
      </c>
      <c r="B9555" s="689">
        <v>42.7</v>
      </c>
      <c r="C9555" s="689">
        <v>42.9</v>
      </c>
      <c r="D9555" s="689">
        <v>42.7</v>
      </c>
      <c r="E9555" s="689">
        <v>43.2</v>
      </c>
      <c r="F9555" s="689">
        <v>43.3</v>
      </c>
      <c r="G9555" s="689">
        <v>43.3</v>
      </c>
      <c r="H9555" s="689">
        <v>43.6</v>
      </c>
      <c r="I9555" s="689">
        <v>42.9</v>
      </c>
      <c r="J9555" s="689">
        <v>42.8</v>
      </c>
      <c r="K9555" s="693">
        <v>43</v>
      </c>
    </row>
    <row r="9556" spans="1:11">
      <c r="A9556" s="688" t="s">
        <v>20</v>
      </c>
      <c r="B9556" s="691">
        <v>37.6</v>
      </c>
      <c r="C9556" s="691">
        <v>38.1</v>
      </c>
      <c r="D9556" s="691">
        <v>37.9</v>
      </c>
      <c r="E9556" s="691">
        <v>38.299999999999997</v>
      </c>
      <c r="F9556" s="691">
        <v>38.299999999999997</v>
      </c>
      <c r="G9556" s="691">
        <v>38.200000000000003</v>
      </c>
      <c r="H9556" s="691">
        <v>38.5</v>
      </c>
      <c r="I9556" s="691">
        <v>36.9</v>
      </c>
      <c r="J9556" s="615">
        <v>36</v>
      </c>
      <c r="K9556" s="691">
        <v>37.799999999999997</v>
      </c>
    </row>
    <row r="9557" spans="1:11">
      <c r="A9557" s="688" t="s">
        <v>21</v>
      </c>
      <c r="B9557" s="689">
        <v>41.7</v>
      </c>
      <c r="C9557" s="689">
        <v>42.1</v>
      </c>
      <c r="D9557" s="689">
        <v>42.2</v>
      </c>
      <c r="E9557" s="689">
        <v>42.2</v>
      </c>
      <c r="F9557" s="689">
        <v>42.5</v>
      </c>
      <c r="G9557" s="689">
        <v>42.5</v>
      </c>
      <c r="H9557" s="689">
        <v>42.9</v>
      </c>
      <c r="I9557" s="689">
        <v>42.3</v>
      </c>
      <c r="J9557" s="689">
        <v>42.4</v>
      </c>
      <c r="K9557" s="689">
        <v>42.8</v>
      </c>
    </row>
    <row r="9558" spans="1:11">
      <c r="A9558" s="688" t="s">
        <v>22</v>
      </c>
      <c r="B9558" s="691">
        <v>36.6</v>
      </c>
      <c r="C9558" s="691">
        <v>36.299999999999997</v>
      </c>
      <c r="D9558" s="691">
        <v>36.200000000000003</v>
      </c>
      <c r="E9558" s="691">
        <v>36.299999999999997</v>
      </c>
      <c r="F9558" s="691">
        <v>36.4</v>
      </c>
      <c r="G9558" s="691">
        <v>36.200000000000003</v>
      </c>
      <c r="H9558" s="691">
        <v>36.5</v>
      </c>
      <c r="I9558" s="691">
        <v>34.9</v>
      </c>
      <c r="J9558" s="691">
        <v>33.799999999999997</v>
      </c>
      <c r="K9558" s="691">
        <v>35.799999999999997</v>
      </c>
    </row>
    <row r="9559" spans="1:11">
      <c r="A9559" s="688" t="s">
        <v>26</v>
      </c>
      <c r="B9559" s="689">
        <v>41.3</v>
      </c>
      <c r="C9559" s="689">
        <v>41.9</v>
      </c>
      <c r="D9559" s="689">
        <v>41.6</v>
      </c>
      <c r="E9559" s="693">
        <v>42</v>
      </c>
      <c r="F9559" s="689">
        <v>41.9</v>
      </c>
      <c r="G9559" s="689">
        <v>42.3</v>
      </c>
      <c r="H9559" s="689">
        <v>42.5</v>
      </c>
      <c r="I9559" s="689">
        <v>41.6</v>
      </c>
      <c r="J9559" s="689">
        <v>41.5</v>
      </c>
      <c r="K9559" s="689">
        <v>42.4</v>
      </c>
    </row>
    <row r="9560" spans="1:11">
      <c r="A9560" s="688" t="s">
        <v>25</v>
      </c>
      <c r="B9560" s="691">
        <v>37.4</v>
      </c>
      <c r="C9560" s="691">
        <v>37.799999999999997</v>
      </c>
      <c r="D9560" s="691">
        <v>37.6</v>
      </c>
      <c r="E9560" s="691">
        <v>38.200000000000003</v>
      </c>
      <c r="F9560" s="691">
        <v>38.200000000000003</v>
      </c>
      <c r="G9560" s="691">
        <v>38.299999999999997</v>
      </c>
      <c r="H9560" s="691">
        <v>38.799999999999997</v>
      </c>
      <c r="I9560" s="615">
        <v>38</v>
      </c>
      <c r="J9560" s="691">
        <v>35.6</v>
      </c>
      <c r="K9560" s="691">
        <v>38.1</v>
      </c>
    </row>
    <row r="9561" spans="1:11">
      <c r="A9561" s="688" t="s">
        <v>5</v>
      </c>
      <c r="B9561" s="689">
        <v>42.3</v>
      </c>
      <c r="C9561" s="689">
        <v>42.4</v>
      </c>
      <c r="D9561" s="689">
        <v>42.6</v>
      </c>
      <c r="E9561" s="689">
        <v>42.5</v>
      </c>
      <c r="F9561" s="689">
        <v>42.9</v>
      </c>
      <c r="G9561" s="693">
        <v>43</v>
      </c>
      <c r="H9561" s="689">
        <v>43.4</v>
      </c>
      <c r="I9561" s="689">
        <v>43.3</v>
      </c>
      <c r="J9561" s="689">
        <v>43.2</v>
      </c>
      <c r="K9561" s="689">
        <v>42.8</v>
      </c>
    </row>
    <row r="9562" spans="1:11">
      <c r="A9562" s="688" t="s">
        <v>23</v>
      </c>
      <c r="B9562" s="691">
        <v>44.2</v>
      </c>
      <c r="C9562" s="691">
        <v>44.4</v>
      </c>
      <c r="D9562" s="691">
        <v>44.4</v>
      </c>
      <c r="E9562" s="691">
        <v>44.6</v>
      </c>
      <c r="F9562" s="691">
        <v>44.8</v>
      </c>
      <c r="G9562" s="691">
        <v>44.8</v>
      </c>
      <c r="H9562" s="691">
        <v>45.3</v>
      </c>
      <c r="I9562" s="691">
        <v>44.6</v>
      </c>
      <c r="J9562" s="691">
        <v>45.2</v>
      </c>
      <c r="K9562" s="691">
        <v>45.3</v>
      </c>
    </row>
    <row r="9563" spans="1:11">
      <c r="A9563" s="688" t="s">
        <v>4067</v>
      </c>
      <c r="B9563" s="689">
        <v>41.9</v>
      </c>
      <c r="C9563" s="689">
        <v>42.3</v>
      </c>
      <c r="D9563" s="693">
        <v>42</v>
      </c>
      <c r="E9563" s="689">
        <v>42.4</v>
      </c>
      <c r="F9563" s="689">
        <v>42.4</v>
      </c>
      <c r="G9563" s="689">
        <v>42.5</v>
      </c>
      <c r="H9563" s="690" t="s">
        <v>4060</v>
      </c>
      <c r="I9563" s="690" t="s">
        <v>4060</v>
      </c>
      <c r="J9563" s="690" t="s">
        <v>4060</v>
      </c>
      <c r="K9563" s="690" t="s">
        <v>4060</v>
      </c>
    </row>
    <row r="9564" spans="1:11">
      <c r="A9564" s="688" t="s">
        <v>4066</v>
      </c>
      <c r="B9564" s="691">
        <v>41.9</v>
      </c>
      <c r="C9564" s="691">
        <v>42.3</v>
      </c>
      <c r="D9564" s="691">
        <v>42.1</v>
      </c>
      <c r="E9564" s="691">
        <v>42.4</v>
      </c>
      <c r="F9564" s="691">
        <v>42.4</v>
      </c>
      <c r="G9564" s="691">
        <v>42.5</v>
      </c>
      <c r="H9564" s="692" t="s">
        <v>4060</v>
      </c>
      <c r="I9564" s="692" t="s">
        <v>4060</v>
      </c>
      <c r="J9564" s="692" t="s">
        <v>4060</v>
      </c>
      <c r="K9564" s="692" t="s">
        <v>4060</v>
      </c>
    </row>
    <row r="9565" spans="1:11">
      <c r="A9565" s="688" t="s">
        <v>4062</v>
      </c>
      <c r="B9565" s="689">
        <v>44.4</v>
      </c>
      <c r="C9565" s="689">
        <v>44.6</v>
      </c>
      <c r="D9565" s="689">
        <v>44.6</v>
      </c>
      <c r="E9565" s="693">
        <v>45</v>
      </c>
      <c r="F9565" s="689">
        <v>45.1</v>
      </c>
      <c r="G9565" s="689">
        <v>45.3</v>
      </c>
      <c r="H9565" s="689">
        <v>45.5</v>
      </c>
      <c r="I9565" s="689">
        <v>45.1</v>
      </c>
      <c r="J9565" s="689">
        <v>45.5</v>
      </c>
      <c r="K9565" s="689">
        <v>45.3</v>
      </c>
    </row>
    <row r="9566" spans="1:11">
      <c r="A9566" s="688" t="s">
        <v>9</v>
      </c>
      <c r="B9566" s="691">
        <v>44.5</v>
      </c>
      <c r="C9566" s="691">
        <v>44.9</v>
      </c>
      <c r="D9566" s="691">
        <v>45.2</v>
      </c>
      <c r="E9566" s="691">
        <v>44.4</v>
      </c>
      <c r="F9566" s="615">
        <v>45</v>
      </c>
      <c r="G9566" s="691">
        <v>45.3</v>
      </c>
      <c r="H9566" s="691">
        <v>45.3</v>
      </c>
      <c r="I9566" s="691">
        <v>45.5</v>
      </c>
      <c r="J9566" s="691">
        <v>45.9</v>
      </c>
      <c r="K9566" s="691">
        <v>44.7</v>
      </c>
    </row>
    <row r="9567" spans="1:11">
      <c r="A9567" s="688" t="s">
        <v>13</v>
      </c>
      <c r="B9567" s="693">
        <v>44</v>
      </c>
      <c r="C9567" s="689">
        <v>44.4</v>
      </c>
      <c r="D9567" s="689">
        <v>44.6</v>
      </c>
      <c r="E9567" s="689">
        <v>43.9</v>
      </c>
      <c r="F9567" s="689">
        <v>44.8</v>
      </c>
      <c r="G9567" s="689">
        <v>44.5</v>
      </c>
      <c r="H9567" s="689">
        <v>45.6</v>
      </c>
      <c r="I9567" s="689">
        <v>44.6</v>
      </c>
      <c r="J9567" s="689">
        <v>45.7</v>
      </c>
      <c r="K9567" s="689">
        <v>46.4</v>
      </c>
    </row>
    <row r="9568" spans="1:11">
      <c r="A9568" s="688" t="s">
        <v>18</v>
      </c>
      <c r="B9568" s="691">
        <v>43.8</v>
      </c>
      <c r="C9568" s="615">
        <v>44</v>
      </c>
      <c r="D9568" s="691">
        <v>44.3</v>
      </c>
      <c r="E9568" s="691">
        <v>44.6</v>
      </c>
      <c r="F9568" s="691">
        <v>44.8</v>
      </c>
      <c r="G9568" s="691">
        <v>44.9</v>
      </c>
      <c r="H9568" s="691">
        <v>45.2</v>
      </c>
      <c r="I9568" s="691">
        <v>45.4</v>
      </c>
      <c r="J9568" s="691">
        <v>45.4</v>
      </c>
      <c r="K9568" s="691">
        <v>44.8</v>
      </c>
    </row>
    <row r="9569" spans="1:11">
      <c r="A9569" s="688" t="s">
        <v>24</v>
      </c>
      <c r="B9569" s="689">
        <v>44.7</v>
      </c>
      <c r="C9569" s="689">
        <v>44.9</v>
      </c>
      <c r="D9569" s="689">
        <v>44.7</v>
      </c>
      <c r="E9569" s="689">
        <v>45.3</v>
      </c>
      <c r="F9569" s="689">
        <v>45.3</v>
      </c>
      <c r="G9569" s="689">
        <v>45.5</v>
      </c>
      <c r="H9569" s="689">
        <v>45.8</v>
      </c>
      <c r="I9569" s="689">
        <v>44.9</v>
      </c>
      <c r="J9569" s="689">
        <v>45.5</v>
      </c>
      <c r="K9569" s="689">
        <v>45.5</v>
      </c>
    </row>
    <row r="9570" spans="1:11">
      <c r="A9570" s="688" t="s">
        <v>4059</v>
      </c>
      <c r="B9570" s="691">
        <v>43.3</v>
      </c>
      <c r="C9570" s="691">
        <v>43.6</v>
      </c>
      <c r="D9570" s="691">
        <v>43.4</v>
      </c>
      <c r="E9570" s="691">
        <v>43.6</v>
      </c>
      <c r="F9570" s="691">
        <v>43.6</v>
      </c>
      <c r="G9570" s="691">
        <v>43.6</v>
      </c>
      <c r="H9570" s="692" t="s">
        <v>4060</v>
      </c>
      <c r="I9570" s="692" t="s">
        <v>4060</v>
      </c>
      <c r="J9570" s="692" t="s">
        <v>4060</v>
      </c>
      <c r="K9570" s="692" t="s">
        <v>4060</v>
      </c>
    </row>
    <row r="9571" spans="1:11">
      <c r="A9571" s="688" t="s">
        <v>2324</v>
      </c>
      <c r="B9571" s="689">
        <v>38.4</v>
      </c>
      <c r="C9571" s="689">
        <v>38.4</v>
      </c>
      <c r="D9571" s="689">
        <v>38.4</v>
      </c>
      <c r="E9571" s="689">
        <v>38.200000000000003</v>
      </c>
      <c r="F9571" s="689">
        <v>38.1</v>
      </c>
      <c r="G9571" s="689">
        <v>38.5</v>
      </c>
      <c r="H9571" s="689">
        <v>38.200000000000003</v>
      </c>
      <c r="I9571" s="689">
        <v>37.299999999999997</v>
      </c>
      <c r="J9571" s="689">
        <v>34.799999999999997</v>
      </c>
      <c r="K9571" s="690" t="s">
        <v>4060</v>
      </c>
    </row>
    <row r="9572" spans="1:11">
      <c r="A9572" s="688" t="s">
        <v>2322</v>
      </c>
      <c r="B9572" s="692" t="s">
        <v>4060</v>
      </c>
      <c r="C9572" s="692" t="s">
        <v>4060</v>
      </c>
      <c r="D9572" s="692" t="s">
        <v>4060</v>
      </c>
      <c r="E9572" s="692" t="s">
        <v>4060</v>
      </c>
      <c r="F9572" s="692" t="s">
        <v>4060</v>
      </c>
      <c r="G9572" s="692" t="s">
        <v>4060</v>
      </c>
      <c r="H9572" s="692" t="s">
        <v>4060</v>
      </c>
      <c r="I9572" s="692" t="s">
        <v>4060</v>
      </c>
      <c r="J9572" s="692" t="s">
        <v>4060</v>
      </c>
      <c r="K9572" s="692" t="s">
        <v>4060</v>
      </c>
    </row>
    <row r="9573" spans="1:11">
      <c r="A9573" s="688" t="s">
        <v>2328</v>
      </c>
      <c r="B9573" s="693">
        <v>38</v>
      </c>
      <c r="C9573" s="689">
        <v>38.1</v>
      </c>
      <c r="D9573" s="689">
        <v>38.1</v>
      </c>
      <c r="E9573" s="689">
        <v>38.1</v>
      </c>
      <c r="F9573" s="689">
        <v>38.6</v>
      </c>
      <c r="G9573" s="689">
        <v>38.9</v>
      </c>
      <c r="H9573" s="689">
        <v>38.9</v>
      </c>
      <c r="I9573" s="689">
        <v>36.299999999999997</v>
      </c>
      <c r="J9573" s="689">
        <v>35.4</v>
      </c>
      <c r="K9573" s="690" t="s">
        <v>4060</v>
      </c>
    </row>
    <row r="9574" spans="1:11">
      <c r="A9574" s="688" t="s">
        <v>2496</v>
      </c>
      <c r="B9574" s="692" t="s">
        <v>4060</v>
      </c>
      <c r="C9574" s="691">
        <v>35.299999999999997</v>
      </c>
      <c r="D9574" s="691">
        <v>34.1</v>
      </c>
      <c r="E9574" s="691">
        <v>33.799999999999997</v>
      </c>
      <c r="F9574" s="691">
        <v>34.6</v>
      </c>
      <c r="G9574" s="691">
        <v>34.9</v>
      </c>
      <c r="H9574" s="691">
        <v>34.9</v>
      </c>
      <c r="I9574" s="692" t="s">
        <v>4060</v>
      </c>
      <c r="J9574" s="692" t="s">
        <v>4060</v>
      </c>
      <c r="K9574" s="691">
        <v>34.4</v>
      </c>
    </row>
    <row r="9575" spans="1:11">
      <c r="A9575" s="688" t="s">
        <v>2269</v>
      </c>
      <c r="B9575" s="689">
        <v>41.1</v>
      </c>
      <c r="C9575" s="689">
        <v>41.2</v>
      </c>
      <c r="D9575" s="693">
        <v>41</v>
      </c>
      <c r="E9575" s="689">
        <v>41.7</v>
      </c>
      <c r="F9575" s="689">
        <v>41.7</v>
      </c>
      <c r="G9575" s="693">
        <v>42</v>
      </c>
      <c r="H9575" s="689">
        <v>42.3</v>
      </c>
      <c r="I9575" s="689">
        <v>39.799999999999997</v>
      </c>
      <c r="J9575" s="693">
        <v>38</v>
      </c>
      <c r="K9575" s="689">
        <v>41.8</v>
      </c>
    </row>
    <row r="9576" spans="1:11">
      <c r="A9576" s="688" t="s">
        <v>2349</v>
      </c>
      <c r="B9576" s="691">
        <v>37.200000000000003</v>
      </c>
      <c r="C9576" s="691">
        <v>37.299999999999997</v>
      </c>
      <c r="D9576" s="691">
        <v>37.1</v>
      </c>
      <c r="E9576" s="691">
        <v>37.6</v>
      </c>
      <c r="F9576" s="691">
        <v>37.5</v>
      </c>
      <c r="G9576" s="691">
        <v>37.700000000000003</v>
      </c>
      <c r="H9576" s="691">
        <v>37.700000000000003</v>
      </c>
      <c r="I9576" s="691">
        <v>35.9</v>
      </c>
      <c r="J9576" s="691">
        <v>34.4</v>
      </c>
      <c r="K9576" s="615">
        <v>37</v>
      </c>
    </row>
    <row r="9577" spans="1:11">
      <c r="A9577" s="688" t="s">
        <v>2355</v>
      </c>
      <c r="B9577" s="689">
        <v>40.5</v>
      </c>
      <c r="C9577" s="689">
        <v>40.5</v>
      </c>
      <c r="D9577" s="689">
        <v>40.5</v>
      </c>
      <c r="E9577" s="689">
        <v>40.5</v>
      </c>
      <c r="F9577" s="689">
        <v>40.700000000000003</v>
      </c>
      <c r="G9577" s="689">
        <v>41.1</v>
      </c>
      <c r="H9577" s="689">
        <v>41.2</v>
      </c>
      <c r="I9577" s="690" t="s">
        <v>4060</v>
      </c>
      <c r="J9577" s="690" t="s">
        <v>4060</v>
      </c>
      <c r="K9577" s="690" t="s">
        <v>4060</v>
      </c>
    </row>
    <row r="9578" spans="1:11">
      <c r="A9578" s="688" t="s">
        <v>2357</v>
      </c>
      <c r="B9578" s="692" t="s">
        <v>4060</v>
      </c>
      <c r="C9578" s="691">
        <v>32.700000000000003</v>
      </c>
      <c r="D9578" s="691">
        <v>33.200000000000003</v>
      </c>
      <c r="E9578" s="691">
        <v>33.5</v>
      </c>
      <c r="F9578" s="691">
        <v>33.799999999999997</v>
      </c>
      <c r="G9578" s="691">
        <v>33.4</v>
      </c>
      <c r="H9578" s="691">
        <v>33.700000000000003</v>
      </c>
      <c r="I9578" s="692" t="s">
        <v>4060</v>
      </c>
      <c r="J9578" s="692" t="s">
        <v>4060</v>
      </c>
      <c r="K9578" s="692" t="s">
        <v>4060</v>
      </c>
    </row>
    <row r="9579" spans="1:11">
      <c r="A9579" s="688" t="s">
        <v>4070</v>
      </c>
      <c r="B9579" s="690" t="s">
        <v>4060</v>
      </c>
      <c r="C9579" s="690" t="s">
        <v>4060</v>
      </c>
      <c r="D9579" s="690" t="s">
        <v>4060</v>
      </c>
      <c r="E9579" s="689">
        <v>40.1</v>
      </c>
      <c r="F9579" s="690" t="s">
        <v>4060</v>
      </c>
      <c r="G9579" s="690" t="s">
        <v>4060</v>
      </c>
      <c r="H9579" s="690" t="s">
        <v>4060</v>
      </c>
      <c r="I9579" s="690" t="s">
        <v>4060</v>
      </c>
      <c r="J9579" s="690" t="s">
        <v>4060</v>
      </c>
      <c r="K9579" s="690" t="s">
        <v>4060</v>
      </c>
    </row>
    <row r="9580" spans="1:11">
      <c r="A9580" s="688" t="s">
        <v>2491</v>
      </c>
      <c r="B9580" s="691">
        <v>32.5</v>
      </c>
      <c r="C9580" s="615">
        <v>33</v>
      </c>
      <c r="D9580" s="691">
        <v>33.4</v>
      </c>
      <c r="E9580" s="691">
        <v>33.700000000000003</v>
      </c>
      <c r="F9580" s="691">
        <v>33.799999999999997</v>
      </c>
      <c r="G9580" s="691">
        <v>33.799999999999997</v>
      </c>
      <c r="H9580" s="692" t="s">
        <v>4060</v>
      </c>
      <c r="I9580" s="692" t="s">
        <v>4060</v>
      </c>
      <c r="J9580" s="692" t="s">
        <v>4060</v>
      </c>
      <c r="K9580" s="692" t="s">
        <v>4060</v>
      </c>
    </row>
    <row r="9581" spans="1:11">
      <c r="A9581" s="688" t="s">
        <v>2343</v>
      </c>
      <c r="B9581" s="690" t="s">
        <v>4060</v>
      </c>
      <c r="C9581" s="690" t="s">
        <v>4060</v>
      </c>
      <c r="D9581" s="690" t="s">
        <v>4060</v>
      </c>
      <c r="E9581" s="690" t="s">
        <v>4060</v>
      </c>
      <c r="F9581" s="690" t="s">
        <v>4060</v>
      </c>
      <c r="G9581" s="690" t="s">
        <v>4060</v>
      </c>
      <c r="H9581" s="690" t="s">
        <v>4060</v>
      </c>
      <c r="I9581" s="690" t="s">
        <v>4060</v>
      </c>
      <c r="J9581" s="690" t="s">
        <v>4060</v>
      </c>
      <c r="K9581" s="690" t="s">
        <v>4060</v>
      </c>
    </row>
    <row r="9582" spans="1:11">
      <c r="A9582" s="688" t="s">
        <v>4071</v>
      </c>
      <c r="B9582" s="692" t="s">
        <v>4060</v>
      </c>
      <c r="C9582" s="692" t="s">
        <v>4060</v>
      </c>
      <c r="D9582" s="692" t="s">
        <v>4060</v>
      </c>
      <c r="E9582" s="692" t="s">
        <v>4060</v>
      </c>
      <c r="F9582" s="692" t="s">
        <v>4060</v>
      </c>
      <c r="G9582" s="692" t="s">
        <v>4060</v>
      </c>
      <c r="H9582" s="692" t="s">
        <v>4060</v>
      </c>
      <c r="I9582" s="692" t="s">
        <v>4060</v>
      </c>
      <c r="J9582" s="692" t="s">
        <v>4060</v>
      </c>
      <c r="K9582" s="692" t="s">
        <v>4060</v>
      </c>
    </row>
    <row r="9583" spans="1:11">
      <c r="A9583" s="688" t="s">
        <v>2489</v>
      </c>
      <c r="B9583" s="690" t="s">
        <v>4060</v>
      </c>
      <c r="C9583" s="690" t="s">
        <v>4060</v>
      </c>
      <c r="D9583" s="689">
        <v>36.6</v>
      </c>
      <c r="E9583" s="689">
        <v>36.6</v>
      </c>
      <c r="F9583" s="689">
        <v>37.200000000000003</v>
      </c>
      <c r="G9583" s="689">
        <v>38.1</v>
      </c>
      <c r="H9583" s="689">
        <v>37.700000000000003</v>
      </c>
      <c r="I9583" s="690" t="s">
        <v>4060</v>
      </c>
      <c r="J9583" s="690" t="s">
        <v>4060</v>
      </c>
      <c r="K9583" s="690" t="s">
        <v>4060</v>
      </c>
    </row>
    <row r="9584" spans="1:11">
      <c r="A9584" s="688" t="s">
        <v>2490</v>
      </c>
      <c r="B9584" s="691">
        <v>37.4</v>
      </c>
      <c r="C9584" s="691">
        <v>37.5</v>
      </c>
      <c r="D9584" s="691">
        <v>38.200000000000003</v>
      </c>
      <c r="E9584" s="692" t="s">
        <v>4060</v>
      </c>
      <c r="F9584" s="691">
        <v>38.4</v>
      </c>
      <c r="G9584" s="691">
        <v>38.6</v>
      </c>
      <c r="H9584" s="691">
        <v>39.6</v>
      </c>
      <c r="I9584" s="692" t="s">
        <v>4060</v>
      </c>
      <c r="J9584" s="692" t="s">
        <v>4060</v>
      </c>
      <c r="K9584" s="692" t="s">
        <v>4060</v>
      </c>
    </row>
    <row r="9586" spans="1:11">
      <c r="A9586" s="683" t="s">
        <v>4233</v>
      </c>
    </row>
    <row r="9587" spans="1:11">
      <c r="A9587" s="683" t="s">
        <v>4060</v>
      </c>
      <c r="B9587" s="682" t="s">
        <v>4234</v>
      </c>
    </row>
    <row r="9589" spans="1:11">
      <c r="A9589" s="682" t="s">
        <v>4331</v>
      </c>
    </row>
    <row r="9590" spans="1:11">
      <c r="A9590" s="682" t="s">
        <v>4210</v>
      </c>
      <c r="B9590" s="683" t="s">
        <v>4211</v>
      </c>
    </row>
    <row r="9591" spans="1:11">
      <c r="A9591" s="682" t="s">
        <v>4212</v>
      </c>
      <c r="B9591" s="682" t="s">
        <v>4213</v>
      </c>
    </row>
    <row r="9593" spans="1:11">
      <c r="A9593" s="683" t="s">
        <v>4214</v>
      </c>
      <c r="C9593" s="682" t="s">
        <v>4215</v>
      </c>
    </row>
    <row r="9594" spans="1:11">
      <c r="A9594" s="683" t="s">
        <v>4216</v>
      </c>
      <c r="C9594" s="682" t="s">
        <v>2967</v>
      </c>
    </row>
    <row r="9595" spans="1:11">
      <c r="A9595" s="683" t="s">
        <v>3893</v>
      </c>
      <c r="C9595" s="682" t="s">
        <v>2168</v>
      </c>
    </row>
    <row r="9596" spans="1:11">
      <c r="A9596" s="683" t="s">
        <v>4218</v>
      </c>
      <c r="C9596" s="682" t="s">
        <v>4273</v>
      </c>
    </row>
    <row r="9598" spans="1:11">
      <c r="A9598" s="684" t="s">
        <v>4220</v>
      </c>
      <c r="B9598" s="685" t="s">
        <v>4221</v>
      </c>
      <c r="C9598" s="685" t="s">
        <v>4222</v>
      </c>
      <c r="D9598" s="685" t="s">
        <v>4223</v>
      </c>
      <c r="E9598" s="685" t="s">
        <v>4224</v>
      </c>
      <c r="F9598" s="685" t="s">
        <v>4225</v>
      </c>
      <c r="G9598" s="685" t="s">
        <v>4226</v>
      </c>
      <c r="H9598" s="685" t="s">
        <v>4227</v>
      </c>
      <c r="I9598" s="685" t="s">
        <v>4228</v>
      </c>
      <c r="J9598" s="685" t="s">
        <v>4229</v>
      </c>
      <c r="K9598" s="685" t="s">
        <v>4230</v>
      </c>
    </row>
    <row r="9599" spans="1:11">
      <c r="A9599" s="686" t="s">
        <v>4231</v>
      </c>
      <c r="B9599" s="687" t="s">
        <v>4232</v>
      </c>
      <c r="C9599" s="687" t="s">
        <v>4232</v>
      </c>
      <c r="D9599" s="687" t="s">
        <v>4232</v>
      </c>
      <c r="E9599" s="687" t="s">
        <v>4232</v>
      </c>
      <c r="F9599" s="687" t="s">
        <v>4232</v>
      </c>
      <c r="G9599" s="687" t="s">
        <v>4232</v>
      </c>
      <c r="H9599" s="687" t="s">
        <v>4232</v>
      </c>
      <c r="I9599" s="687" t="s">
        <v>4232</v>
      </c>
      <c r="J9599" s="687" t="s">
        <v>4232</v>
      </c>
      <c r="K9599" s="687" t="s">
        <v>4232</v>
      </c>
    </row>
    <row r="9600" spans="1:11">
      <c r="A9600" s="688" t="s">
        <v>4064</v>
      </c>
      <c r="B9600" s="691">
        <v>40.700000000000003</v>
      </c>
      <c r="C9600" s="691">
        <v>40.9</v>
      </c>
      <c r="D9600" s="691">
        <v>40.9</v>
      </c>
      <c r="E9600" s="615">
        <v>41</v>
      </c>
      <c r="F9600" s="691">
        <v>41.1</v>
      </c>
      <c r="G9600" s="691">
        <v>41.2</v>
      </c>
      <c r="H9600" s="691">
        <v>41.5</v>
      </c>
      <c r="I9600" s="691">
        <v>40.6</v>
      </c>
      <c r="J9600" s="691">
        <v>40.299999999999997</v>
      </c>
      <c r="K9600" s="615">
        <v>41</v>
      </c>
    </row>
    <row r="9601" spans="1:11">
      <c r="A9601" s="688" t="s">
        <v>4065</v>
      </c>
      <c r="B9601" s="689">
        <v>40.9</v>
      </c>
      <c r="C9601" s="689">
        <v>41.3</v>
      </c>
      <c r="D9601" s="689">
        <v>41.1</v>
      </c>
      <c r="E9601" s="689">
        <v>41.4</v>
      </c>
      <c r="F9601" s="689">
        <v>41.4</v>
      </c>
      <c r="G9601" s="689">
        <v>41.5</v>
      </c>
      <c r="H9601" s="690" t="s">
        <v>4060</v>
      </c>
      <c r="I9601" s="690" t="s">
        <v>4060</v>
      </c>
      <c r="J9601" s="690" t="s">
        <v>4060</v>
      </c>
      <c r="K9601" s="690" t="s">
        <v>4060</v>
      </c>
    </row>
    <row r="9602" spans="1:11">
      <c r="A9602" s="688" t="s">
        <v>4063</v>
      </c>
      <c r="B9602" s="615">
        <v>41</v>
      </c>
      <c r="C9602" s="691">
        <v>41.3</v>
      </c>
      <c r="D9602" s="691">
        <v>41.1</v>
      </c>
      <c r="E9602" s="691">
        <v>41.4</v>
      </c>
      <c r="F9602" s="691">
        <v>41.5</v>
      </c>
      <c r="G9602" s="691">
        <v>41.5</v>
      </c>
      <c r="H9602" s="692" t="s">
        <v>4060</v>
      </c>
      <c r="I9602" s="692" t="s">
        <v>4060</v>
      </c>
      <c r="J9602" s="692" t="s">
        <v>4060</v>
      </c>
      <c r="K9602" s="692" t="s">
        <v>4060</v>
      </c>
    </row>
    <row r="9603" spans="1:11">
      <c r="A9603" s="688" t="s">
        <v>4069</v>
      </c>
      <c r="B9603" s="690" t="s">
        <v>4060</v>
      </c>
      <c r="C9603" s="693">
        <v>42</v>
      </c>
      <c r="D9603" s="689">
        <v>41.8</v>
      </c>
      <c r="E9603" s="689">
        <v>42.1</v>
      </c>
      <c r="F9603" s="689">
        <v>42.2</v>
      </c>
      <c r="G9603" s="689">
        <v>42.3</v>
      </c>
      <c r="H9603" s="689">
        <v>42.6</v>
      </c>
      <c r="I9603" s="689">
        <v>41.8</v>
      </c>
      <c r="J9603" s="689">
        <v>41.8</v>
      </c>
      <c r="K9603" s="689">
        <v>42.1</v>
      </c>
    </row>
    <row r="9604" spans="1:11">
      <c r="A9604" s="688" t="s">
        <v>4068</v>
      </c>
      <c r="B9604" s="691">
        <v>41.9</v>
      </c>
      <c r="C9604" s="692" t="s">
        <v>4060</v>
      </c>
      <c r="D9604" s="692" t="s">
        <v>4060</v>
      </c>
      <c r="E9604" s="692" t="s">
        <v>4060</v>
      </c>
      <c r="F9604" s="692" t="s">
        <v>4060</v>
      </c>
      <c r="G9604" s="692" t="s">
        <v>4060</v>
      </c>
      <c r="H9604" s="692" t="s">
        <v>4060</v>
      </c>
      <c r="I9604" s="692" t="s">
        <v>4060</v>
      </c>
      <c r="J9604" s="692" t="s">
        <v>4060</v>
      </c>
      <c r="K9604" s="692" t="s">
        <v>4060</v>
      </c>
    </row>
    <row r="9605" spans="1:11">
      <c r="A9605" s="688" t="s">
        <v>0</v>
      </c>
      <c r="B9605" s="689">
        <v>41.3</v>
      </c>
      <c r="C9605" s="689">
        <v>41.8</v>
      </c>
      <c r="D9605" s="689">
        <v>41.7</v>
      </c>
      <c r="E9605" s="693">
        <v>42</v>
      </c>
      <c r="F9605" s="689">
        <v>42.2</v>
      </c>
      <c r="G9605" s="689">
        <v>42.3</v>
      </c>
      <c r="H9605" s="689">
        <v>42.7</v>
      </c>
      <c r="I9605" s="689">
        <v>41.6</v>
      </c>
      <c r="J9605" s="689">
        <v>42.3</v>
      </c>
      <c r="K9605" s="689">
        <v>42.6</v>
      </c>
    </row>
    <row r="9606" spans="1:11">
      <c r="A9606" s="688" t="s">
        <v>1</v>
      </c>
      <c r="B9606" s="691">
        <v>35.299999999999997</v>
      </c>
      <c r="C9606" s="691">
        <v>34.9</v>
      </c>
      <c r="D9606" s="615">
        <v>35</v>
      </c>
      <c r="E9606" s="615">
        <v>35</v>
      </c>
      <c r="F9606" s="615">
        <v>35</v>
      </c>
      <c r="G9606" s="691">
        <v>35.1</v>
      </c>
      <c r="H9606" s="691">
        <v>35.1</v>
      </c>
      <c r="I9606" s="691">
        <v>33.299999999999997</v>
      </c>
      <c r="J9606" s="691">
        <v>31.7</v>
      </c>
      <c r="K9606" s="691">
        <v>34.200000000000003</v>
      </c>
    </row>
    <row r="9607" spans="1:11">
      <c r="A9607" s="688" t="s">
        <v>2240</v>
      </c>
      <c r="B9607" s="689">
        <v>38.4</v>
      </c>
      <c r="C9607" s="689">
        <v>38.9</v>
      </c>
      <c r="D9607" s="689">
        <v>38.799999999999997</v>
      </c>
      <c r="E9607" s="689">
        <v>39.200000000000003</v>
      </c>
      <c r="F9607" s="689">
        <v>39.200000000000003</v>
      </c>
      <c r="G9607" s="689">
        <v>39.200000000000003</v>
      </c>
      <c r="H9607" s="689">
        <v>39.5</v>
      </c>
      <c r="I9607" s="689">
        <v>38.4</v>
      </c>
      <c r="J9607" s="689">
        <v>37.200000000000003</v>
      </c>
      <c r="K9607" s="689">
        <v>39.200000000000003</v>
      </c>
    </row>
    <row r="9608" spans="1:11">
      <c r="A9608" s="688" t="s">
        <v>2</v>
      </c>
      <c r="B9608" s="691">
        <v>41.3</v>
      </c>
      <c r="C9608" s="691">
        <v>41.6</v>
      </c>
      <c r="D9608" s="691">
        <v>41.7</v>
      </c>
      <c r="E9608" s="691">
        <v>41.9</v>
      </c>
      <c r="F9608" s="691">
        <v>42.1</v>
      </c>
      <c r="G9608" s="615">
        <v>42</v>
      </c>
      <c r="H9608" s="691">
        <v>42.3</v>
      </c>
      <c r="I9608" s="691">
        <v>42.5</v>
      </c>
      <c r="J9608" s="691">
        <v>42.4</v>
      </c>
      <c r="K9608" s="691">
        <v>42.3</v>
      </c>
    </row>
    <row r="9609" spans="1:11">
      <c r="A9609" s="688" t="s">
        <v>3</v>
      </c>
      <c r="B9609" s="689">
        <v>41.2</v>
      </c>
      <c r="C9609" s="689">
        <v>41.4</v>
      </c>
      <c r="D9609" s="689">
        <v>41.2</v>
      </c>
      <c r="E9609" s="689">
        <v>41.4</v>
      </c>
      <c r="F9609" s="689">
        <v>41.5</v>
      </c>
      <c r="G9609" s="689">
        <v>41.5</v>
      </c>
      <c r="H9609" s="689">
        <v>41.8</v>
      </c>
      <c r="I9609" s="689">
        <v>41.5</v>
      </c>
      <c r="J9609" s="689">
        <v>41.2</v>
      </c>
      <c r="K9609" s="689">
        <v>41.1</v>
      </c>
    </row>
    <row r="9610" spans="1:11">
      <c r="A9610" s="688" t="s">
        <v>4061</v>
      </c>
      <c r="B9610" s="691">
        <v>41.2</v>
      </c>
      <c r="C9610" s="691">
        <v>41.4</v>
      </c>
      <c r="D9610" s="691">
        <v>41.2</v>
      </c>
      <c r="E9610" s="691">
        <v>41.4</v>
      </c>
      <c r="F9610" s="691">
        <v>41.5</v>
      </c>
      <c r="G9610" s="691">
        <v>41.5</v>
      </c>
      <c r="H9610" s="691">
        <v>41.8</v>
      </c>
      <c r="I9610" s="691">
        <v>41.5</v>
      </c>
      <c r="J9610" s="691">
        <v>41.2</v>
      </c>
      <c r="K9610" s="691">
        <v>41.1</v>
      </c>
    </row>
    <row r="9611" spans="1:11">
      <c r="A9611" s="688" t="s">
        <v>4</v>
      </c>
      <c r="B9611" s="689">
        <v>36.5</v>
      </c>
      <c r="C9611" s="689">
        <v>36.299999999999997</v>
      </c>
      <c r="D9611" s="689">
        <v>36.9</v>
      </c>
      <c r="E9611" s="689">
        <v>36.799999999999997</v>
      </c>
      <c r="F9611" s="689">
        <v>37.200000000000003</v>
      </c>
      <c r="G9611" s="689">
        <v>37.200000000000003</v>
      </c>
      <c r="H9611" s="689">
        <v>37.700000000000003</v>
      </c>
      <c r="I9611" s="689">
        <v>37.6</v>
      </c>
      <c r="J9611" s="689">
        <v>36.200000000000003</v>
      </c>
      <c r="K9611" s="689">
        <v>36.9</v>
      </c>
    </row>
    <row r="9612" spans="1:11">
      <c r="A9612" s="688" t="s">
        <v>8</v>
      </c>
      <c r="B9612" s="691">
        <v>42.2</v>
      </c>
      <c r="C9612" s="691">
        <v>42.5</v>
      </c>
      <c r="D9612" s="691">
        <v>42.6</v>
      </c>
      <c r="E9612" s="691">
        <v>42.7</v>
      </c>
      <c r="F9612" s="691">
        <v>43.2</v>
      </c>
      <c r="G9612" s="691">
        <v>43.2</v>
      </c>
      <c r="H9612" s="691">
        <v>43.5</v>
      </c>
      <c r="I9612" s="691">
        <v>43.5</v>
      </c>
      <c r="J9612" s="691">
        <v>43.2</v>
      </c>
      <c r="K9612" s="691">
        <v>43.6</v>
      </c>
    </row>
    <row r="9613" spans="1:11">
      <c r="A9613" s="688" t="s">
        <v>7</v>
      </c>
      <c r="B9613" s="689">
        <v>41.9</v>
      </c>
      <c r="C9613" s="689">
        <v>41.4</v>
      </c>
      <c r="D9613" s="689">
        <v>41.2</v>
      </c>
      <c r="E9613" s="689">
        <v>41.6</v>
      </c>
      <c r="F9613" s="689">
        <v>41.5</v>
      </c>
      <c r="G9613" s="689">
        <v>41.9</v>
      </c>
      <c r="H9613" s="689">
        <v>41.9</v>
      </c>
      <c r="I9613" s="689">
        <v>41.6</v>
      </c>
      <c r="J9613" s="689">
        <v>40.5</v>
      </c>
      <c r="K9613" s="689">
        <v>41.3</v>
      </c>
    </row>
    <row r="9614" spans="1:11">
      <c r="A9614" s="688" t="s">
        <v>27</v>
      </c>
      <c r="B9614" s="615">
        <v>43</v>
      </c>
      <c r="C9614" s="691">
        <v>42.9</v>
      </c>
      <c r="D9614" s="691">
        <v>42.7</v>
      </c>
      <c r="E9614" s="691">
        <v>43.1</v>
      </c>
      <c r="F9614" s="691">
        <v>43.1</v>
      </c>
      <c r="G9614" s="691">
        <v>43.2</v>
      </c>
      <c r="H9614" s="691">
        <v>43.6</v>
      </c>
      <c r="I9614" s="691">
        <v>42.3</v>
      </c>
      <c r="J9614" s="615">
        <v>43</v>
      </c>
      <c r="K9614" s="691">
        <v>43.2</v>
      </c>
    </row>
    <row r="9615" spans="1:11">
      <c r="A9615" s="688" t="s">
        <v>6</v>
      </c>
      <c r="B9615" s="689">
        <v>42.3</v>
      </c>
      <c r="C9615" s="689">
        <v>42.5</v>
      </c>
      <c r="D9615" s="689">
        <v>42.3</v>
      </c>
      <c r="E9615" s="689">
        <v>42.5</v>
      </c>
      <c r="F9615" s="689">
        <v>42.7</v>
      </c>
      <c r="G9615" s="689">
        <v>42.8</v>
      </c>
      <c r="H9615" s="693">
        <v>43</v>
      </c>
      <c r="I9615" s="689">
        <v>42.3</v>
      </c>
      <c r="J9615" s="689">
        <v>42.4</v>
      </c>
      <c r="K9615" s="689">
        <v>42.6</v>
      </c>
    </row>
    <row r="9616" spans="1:11">
      <c r="A9616" s="688" t="s">
        <v>4058</v>
      </c>
      <c r="B9616" s="692" t="s">
        <v>4060</v>
      </c>
      <c r="C9616" s="692" t="s">
        <v>4060</v>
      </c>
      <c r="D9616" s="692" t="s">
        <v>4060</v>
      </c>
      <c r="E9616" s="692" t="s">
        <v>4060</v>
      </c>
      <c r="F9616" s="692" t="s">
        <v>4060</v>
      </c>
      <c r="G9616" s="692" t="s">
        <v>4060</v>
      </c>
      <c r="H9616" s="692" t="s">
        <v>4060</v>
      </c>
      <c r="I9616" s="692" t="s">
        <v>4060</v>
      </c>
      <c r="J9616" s="692" t="s">
        <v>4060</v>
      </c>
      <c r="K9616" s="692" t="s">
        <v>4060</v>
      </c>
    </row>
    <row r="9617" spans="1:11">
      <c r="A9617" s="688" t="s">
        <v>11</v>
      </c>
      <c r="B9617" s="689">
        <v>37.799999999999997</v>
      </c>
      <c r="C9617" s="689">
        <v>37.9</v>
      </c>
      <c r="D9617" s="689">
        <v>37.6</v>
      </c>
      <c r="E9617" s="689">
        <v>38.1</v>
      </c>
      <c r="F9617" s="689">
        <v>38.1</v>
      </c>
      <c r="G9617" s="689">
        <v>38.1</v>
      </c>
      <c r="H9617" s="689">
        <v>38.5</v>
      </c>
      <c r="I9617" s="689">
        <v>37.799999999999997</v>
      </c>
      <c r="J9617" s="689">
        <v>36.700000000000003</v>
      </c>
      <c r="K9617" s="689">
        <v>37.9</v>
      </c>
    </row>
    <row r="9618" spans="1:11">
      <c r="A9618" s="688" t="s">
        <v>10</v>
      </c>
      <c r="B9618" s="691">
        <v>43.2</v>
      </c>
      <c r="C9618" s="691">
        <v>43.3</v>
      </c>
      <c r="D9618" s="615">
        <v>43</v>
      </c>
      <c r="E9618" s="691">
        <v>43.6</v>
      </c>
      <c r="F9618" s="691">
        <v>43.5</v>
      </c>
      <c r="G9618" s="691">
        <v>43.8</v>
      </c>
      <c r="H9618" s="615">
        <v>44</v>
      </c>
      <c r="I9618" s="691">
        <v>42.7</v>
      </c>
      <c r="J9618" s="691">
        <v>43.2</v>
      </c>
      <c r="K9618" s="691">
        <v>43.5</v>
      </c>
    </row>
    <row r="9619" spans="1:11">
      <c r="A9619" s="688" t="s">
        <v>30</v>
      </c>
      <c r="B9619" s="689">
        <v>43.1</v>
      </c>
      <c r="C9619" s="689">
        <v>43.2</v>
      </c>
      <c r="D9619" s="689">
        <v>42.9</v>
      </c>
      <c r="E9619" s="689">
        <v>43.5</v>
      </c>
      <c r="F9619" s="689">
        <v>43.1</v>
      </c>
      <c r="G9619" s="693">
        <v>44</v>
      </c>
      <c r="H9619" s="689">
        <v>43.7</v>
      </c>
      <c r="I9619" s="689">
        <v>43.7</v>
      </c>
      <c r="J9619" s="689">
        <v>42.8</v>
      </c>
      <c r="K9619" s="689">
        <v>43.3</v>
      </c>
    </row>
    <row r="9620" spans="1:11">
      <c r="A9620" s="688" t="s">
        <v>12</v>
      </c>
      <c r="B9620" s="691">
        <v>33.5</v>
      </c>
      <c r="C9620" s="691">
        <v>33.4</v>
      </c>
      <c r="D9620" s="615">
        <v>34</v>
      </c>
      <c r="E9620" s="615">
        <v>34</v>
      </c>
      <c r="F9620" s="691">
        <v>34.1</v>
      </c>
      <c r="G9620" s="615">
        <v>34</v>
      </c>
      <c r="H9620" s="691">
        <v>34.700000000000003</v>
      </c>
      <c r="I9620" s="691">
        <v>34.4</v>
      </c>
      <c r="J9620" s="691">
        <v>32.1</v>
      </c>
      <c r="K9620" s="691">
        <v>33.299999999999997</v>
      </c>
    </row>
    <row r="9621" spans="1:11">
      <c r="A9621" s="688" t="s">
        <v>14</v>
      </c>
      <c r="B9621" s="689">
        <v>33.200000000000003</v>
      </c>
      <c r="C9621" s="689">
        <v>33.700000000000003</v>
      </c>
      <c r="D9621" s="689">
        <v>33.6</v>
      </c>
      <c r="E9621" s="689">
        <v>33.700000000000003</v>
      </c>
      <c r="F9621" s="689">
        <v>34.700000000000003</v>
      </c>
      <c r="G9621" s="693">
        <v>35</v>
      </c>
      <c r="H9621" s="689">
        <v>35.4</v>
      </c>
      <c r="I9621" s="689">
        <v>33.9</v>
      </c>
      <c r="J9621" s="689">
        <v>33.5</v>
      </c>
      <c r="K9621" s="689">
        <v>34.9</v>
      </c>
    </row>
    <row r="9622" spans="1:11">
      <c r="A9622" s="688" t="s">
        <v>15</v>
      </c>
      <c r="B9622" s="691">
        <v>42.8</v>
      </c>
      <c r="C9622" s="691">
        <v>42.1</v>
      </c>
      <c r="D9622" s="691">
        <v>42.9</v>
      </c>
      <c r="E9622" s="691">
        <v>42.7</v>
      </c>
      <c r="F9622" s="691">
        <v>42.6</v>
      </c>
      <c r="G9622" s="691">
        <v>42.8</v>
      </c>
      <c r="H9622" s="691">
        <v>43.2</v>
      </c>
      <c r="I9622" s="691">
        <v>42.7</v>
      </c>
      <c r="J9622" s="691">
        <v>43.1</v>
      </c>
      <c r="K9622" s="691">
        <v>43.7</v>
      </c>
    </row>
    <row r="9623" spans="1:11">
      <c r="A9623" s="688" t="s">
        <v>29</v>
      </c>
      <c r="B9623" s="689">
        <v>35.4</v>
      </c>
      <c r="C9623" s="689">
        <v>35.5</v>
      </c>
      <c r="D9623" s="689">
        <v>35.5</v>
      </c>
      <c r="E9623" s="689">
        <v>35.700000000000003</v>
      </c>
      <c r="F9623" s="689">
        <v>35.700000000000003</v>
      </c>
      <c r="G9623" s="689">
        <v>35.700000000000003</v>
      </c>
      <c r="H9623" s="689">
        <v>36.1</v>
      </c>
      <c r="I9623" s="689">
        <v>35.4</v>
      </c>
      <c r="J9623" s="689">
        <v>33.9</v>
      </c>
      <c r="K9623" s="689">
        <v>35.799999999999997</v>
      </c>
    </row>
    <row r="9624" spans="1:11">
      <c r="A9624" s="688" t="s">
        <v>16</v>
      </c>
      <c r="B9624" s="691">
        <v>42.7</v>
      </c>
      <c r="C9624" s="691">
        <v>42.7</v>
      </c>
      <c r="D9624" s="691">
        <v>42.9</v>
      </c>
      <c r="E9624" s="691">
        <v>43.5</v>
      </c>
      <c r="F9624" s="691">
        <v>43.3</v>
      </c>
      <c r="G9624" s="691">
        <v>43.2</v>
      </c>
      <c r="H9624" s="691">
        <v>43.7</v>
      </c>
      <c r="I9624" s="691">
        <v>42.7</v>
      </c>
      <c r="J9624" s="691">
        <v>43.1</v>
      </c>
      <c r="K9624" s="691">
        <v>43.2</v>
      </c>
    </row>
    <row r="9625" spans="1:11">
      <c r="A9625" s="688" t="s">
        <v>17</v>
      </c>
      <c r="B9625" s="689">
        <v>42.5</v>
      </c>
      <c r="C9625" s="689">
        <v>42.8</v>
      </c>
      <c r="D9625" s="689">
        <v>42.6</v>
      </c>
      <c r="E9625" s="689">
        <v>42.8</v>
      </c>
      <c r="F9625" s="693">
        <v>43</v>
      </c>
      <c r="G9625" s="689">
        <v>43.1</v>
      </c>
      <c r="H9625" s="689">
        <v>43.4</v>
      </c>
      <c r="I9625" s="689">
        <v>42.6</v>
      </c>
      <c r="J9625" s="689">
        <v>42.6</v>
      </c>
      <c r="K9625" s="693">
        <v>43</v>
      </c>
    </row>
    <row r="9626" spans="1:11">
      <c r="A9626" s="688" t="s">
        <v>19</v>
      </c>
      <c r="B9626" s="691">
        <v>41.8</v>
      </c>
      <c r="C9626" s="615">
        <v>42</v>
      </c>
      <c r="D9626" s="691">
        <v>41.7</v>
      </c>
      <c r="E9626" s="691">
        <v>42.2</v>
      </c>
      <c r="F9626" s="691">
        <v>42.3</v>
      </c>
      <c r="G9626" s="691">
        <v>42.3</v>
      </c>
      <c r="H9626" s="691">
        <v>42.6</v>
      </c>
      <c r="I9626" s="691">
        <v>41.9</v>
      </c>
      <c r="J9626" s="691">
        <v>41.8</v>
      </c>
      <c r="K9626" s="615">
        <v>42</v>
      </c>
    </row>
    <row r="9627" spans="1:11">
      <c r="A9627" s="688" t="s">
        <v>20</v>
      </c>
      <c r="B9627" s="689">
        <v>36.700000000000003</v>
      </c>
      <c r="C9627" s="689">
        <v>37.200000000000003</v>
      </c>
      <c r="D9627" s="693">
        <v>37</v>
      </c>
      <c r="E9627" s="689">
        <v>37.299999999999997</v>
      </c>
      <c r="F9627" s="689">
        <v>37.299999999999997</v>
      </c>
      <c r="G9627" s="689">
        <v>37.200000000000003</v>
      </c>
      <c r="H9627" s="689">
        <v>37.6</v>
      </c>
      <c r="I9627" s="693">
        <v>36</v>
      </c>
      <c r="J9627" s="689">
        <v>35.1</v>
      </c>
      <c r="K9627" s="689">
        <v>36.9</v>
      </c>
    </row>
    <row r="9628" spans="1:11">
      <c r="A9628" s="688" t="s">
        <v>21</v>
      </c>
      <c r="B9628" s="691">
        <v>40.700000000000003</v>
      </c>
      <c r="C9628" s="691">
        <v>41.2</v>
      </c>
      <c r="D9628" s="691">
        <v>41.3</v>
      </c>
      <c r="E9628" s="691">
        <v>41.2</v>
      </c>
      <c r="F9628" s="691">
        <v>41.6</v>
      </c>
      <c r="G9628" s="691">
        <v>41.5</v>
      </c>
      <c r="H9628" s="615">
        <v>42</v>
      </c>
      <c r="I9628" s="691">
        <v>41.4</v>
      </c>
      <c r="J9628" s="691">
        <v>41.4</v>
      </c>
      <c r="K9628" s="691">
        <v>41.8</v>
      </c>
    </row>
    <row r="9629" spans="1:11">
      <c r="A9629" s="688" t="s">
        <v>22</v>
      </c>
      <c r="B9629" s="689">
        <v>35.700000000000003</v>
      </c>
      <c r="C9629" s="689">
        <v>35.4</v>
      </c>
      <c r="D9629" s="689">
        <v>35.299999999999997</v>
      </c>
      <c r="E9629" s="689">
        <v>35.4</v>
      </c>
      <c r="F9629" s="689">
        <v>35.4</v>
      </c>
      <c r="G9629" s="689">
        <v>35.299999999999997</v>
      </c>
      <c r="H9629" s="689">
        <v>35.5</v>
      </c>
      <c r="I9629" s="689">
        <v>33.9</v>
      </c>
      <c r="J9629" s="689">
        <v>32.799999999999997</v>
      </c>
      <c r="K9629" s="689">
        <v>34.9</v>
      </c>
    </row>
    <row r="9630" spans="1:11">
      <c r="A9630" s="688" t="s">
        <v>26</v>
      </c>
      <c r="B9630" s="691">
        <v>40.4</v>
      </c>
      <c r="C9630" s="691">
        <v>40.9</v>
      </c>
      <c r="D9630" s="691">
        <v>40.6</v>
      </c>
      <c r="E9630" s="691">
        <v>41.1</v>
      </c>
      <c r="F9630" s="615">
        <v>41</v>
      </c>
      <c r="G9630" s="691">
        <v>41.3</v>
      </c>
      <c r="H9630" s="691">
        <v>41.6</v>
      </c>
      <c r="I9630" s="691">
        <v>40.700000000000003</v>
      </c>
      <c r="J9630" s="691">
        <v>40.5</v>
      </c>
      <c r="K9630" s="691">
        <v>41.5</v>
      </c>
    </row>
    <row r="9631" spans="1:11">
      <c r="A9631" s="688" t="s">
        <v>25</v>
      </c>
      <c r="B9631" s="689">
        <v>36.5</v>
      </c>
      <c r="C9631" s="689">
        <v>36.799999999999997</v>
      </c>
      <c r="D9631" s="689">
        <v>36.700000000000003</v>
      </c>
      <c r="E9631" s="689">
        <v>37.299999999999997</v>
      </c>
      <c r="F9631" s="689">
        <v>37.200000000000003</v>
      </c>
      <c r="G9631" s="689">
        <v>37.4</v>
      </c>
      <c r="H9631" s="689">
        <v>37.799999999999997</v>
      </c>
      <c r="I9631" s="689">
        <v>37.1</v>
      </c>
      <c r="J9631" s="689">
        <v>34.700000000000003</v>
      </c>
      <c r="K9631" s="689">
        <v>37.1</v>
      </c>
    </row>
    <row r="9632" spans="1:11">
      <c r="A9632" s="688" t="s">
        <v>5</v>
      </c>
      <c r="B9632" s="691">
        <v>41.3</v>
      </c>
      <c r="C9632" s="691">
        <v>41.4</v>
      </c>
      <c r="D9632" s="691">
        <v>41.6</v>
      </c>
      <c r="E9632" s="691">
        <v>41.6</v>
      </c>
      <c r="F9632" s="615">
        <v>42</v>
      </c>
      <c r="G9632" s="691">
        <v>42.1</v>
      </c>
      <c r="H9632" s="691">
        <v>42.5</v>
      </c>
      <c r="I9632" s="691">
        <v>42.3</v>
      </c>
      <c r="J9632" s="691">
        <v>42.3</v>
      </c>
      <c r="K9632" s="691">
        <v>41.8</v>
      </c>
    </row>
    <row r="9633" spans="1:11">
      <c r="A9633" s="688" t="s">
        <v>23</v>
      </c>
      <c r="B9633" s="689">
        <v>43.3</v>
      </c>
      <c r="C9633" s="689">
        <v>43.4</v>
      </c>
      <c r="D9633" s="689">
        <v>43.4</v>
      </c>
      <c r="E9633" s="689">
        <v>43.6</v>
      </c>
      <c r="F9633" s="689">
        <v>43.8</v>
      </c>
      <c r="G9633" s="689">
        <v>43.8</v>
      </c>
      <c r="H9633" s="689">
        <v>44.3</v>
      </c>
      <c r="I9633" s="689">
        <v>43.6</v>
      </c>
      <c r="J9633" s="689">
        <v>44.2</v>
      </c>
      <c r="K9633" s="689">
        <v>44.3</v>
      </c>
    </row>
    <row r="9634" spans="1:11">
      <c r="A9634" s="688" t="s">
        <v>4067</v>
      </c>
      <c r="B9634" s="615">
        <v>41</v>
      </c>
      <c r="C9634" s="691">
        <v>41.3</v>
      </c>
      <c r="D9634" s="691">
        <v>41.1</v>
      </c>
      <c r="E9634" s="691">
        <v>41.4</v>
      </c>
      <c r="F9634" s="691">
        <v>41.5</v>
      </c>
      <c r="G9634" s="691">
        <v>41.5</v>
      </c>
      <c r="H9634" s="692" t="s">
        <v>4060</v>
      </c>
      <c r="I9634" s="692" t="s">
        <v>4060</v>
      </c>
      <c r="J9634" s="692" t="s">
        <v>4060</v>
      </c>
      <c r="K9634" s="692" t="s">
        <v>4060</v>
      </c>
    </row>
    <row r="9635" spans="1:11">
      <c r="A9635" s="688" t="s">
        <v>4066</v>
      </c>
      <c r="B9635" s="693">
        <v>41</v>
      </c>
      <c r="C9635" s="689">
        <v>41.3</v>
      </c>
      <c r="D9635" s="689">
        <v>41.1</v>
      </c>
      <c r="E9635" s="689">
        <v>41.4</v>
      </c>
      <c r="F9635" s="689">
        <v>41.5</v>
      </c>
      <c r="G9635" s="689">
        <v>41.6</v>
      </c>
      <c r="H9635" s="690" t="s">
        <v>4060</v>
      </c>
      <c r="I9635" s="690" t="s">
        <v>4060</v>
      </c>
      <c r="J9635" s="690" t="s">
        <v>4060</v>
      </c>
      <c r="K9635" s="690" t="s">
        <v>4060</v>
      </c>
    </row>
    <row r="9636" spans="1:11">
      <c r="A9636" s="688" t="s">
        <v>4062</v>
      </c>
      <c r="B9636" s="691">
        <v>43.4</v>
      </c>
      <c r="C9636" s="691">
        <v>43.6</v>
      </c>
      <c r="D9636" s="691">
        <v>43.6</v>
      </c>
      <c r="E9636" s="691">
        <v>44.1</v>
      </c>
      <c r="F9636" s="691">
        <v>44.2</v>
      </c>
      <c r="G9636" s="691">
        <v>44.4</v>
      </c>
      <c r="H9636" s="691">
        <v>44.6</v>
      </c>
      <c r="I9636" s="691">
        <v>44.1</v>
      </c>
      <c r="J9636" s="691">
        <v>44.5</v>
      </c>
      <c r="K9636" s="691">
        <v>44.3</v>
      </c>
    </row>
    <row r="9637" spans="1:11">
      <c r="A9637" s="688" t="s">
        <v>9</v>
      </c>
      <c r="B9637" s="689">
        <v>43.6</v>
      </c>
      <c r="C9637" s="689">
        <v>43.9</v>
      </c>
      <c r="D9637" s="689">
        <v>44.2</v>
      </c>
      <c r="E9637" s="689">
        <v>43.5</v>
      </c>
      <c r="F9637" s="693">
        <v>44</v>
      </c>
      <c r="G9637" s="689">
        <v>44.4</v>
      </c>
      <c r="H9637" s="689">
        <v>44.4</v>
      </c>
      <c r="I9637" s="689">
        <v>44.5</v>
      </c>
      <c r="J9637" s="689">
        <v>44.9</v>
      </c>
      <c r="K9637" s="689">
        <v>43.8</v>
      </c>
    </row>
    <row r="9638" spans="1:11">
      <c r="A9638" s="688" t="s">
        <v>13</v>
      </c>
      <c r="B9638" s="615">
        <v>43</v>
      </c>
      <c r="C9638" s="691">
        <v>43.6</v>
      </c>
      <c r="D9638" s="691">
        <v>43.6</v>
      </c>
      <c r="E9638" s="691">
        <v>42.9</v>
      </c>
      <c r="F9638" s="691">
        <v>43.8</v>
      </c>
      <c r="G9638" s="691">
        <v>43.5</v>
      </c>
      <c r="H9638" s="691">
        <v>44.6</v>
      </c>
      <c r="I9638" s="691">
        <v>43.6</v>
      </c>
      <c r="J9638" s="691">
        <v>44.7</v>
      </c>
      <c r="K9638" s="691">
        <v>45.4</v>
      </c>
    </row>
    <row r="9639" spans="1:11">
      <c r="A9639" s="688" t="s">
        <v>18</v>
      </c>
      <c r="B9639" s="689">
        <v>42.8</v>
      </c>
      <c r="C9639" s="689">
        <v>43.1</v>
      </c>
      <c r="D9639" s="689">
        <v>43.3</v>
      </c>
      <c r="E9639" s="689">
        <v>43.6</v>
      </c>
      <c r="F9639" s="689">
        <v>43.9</v>
      </c>
      <c r="G9639" s="693">
        <v>44</v>
      </c>
      <c r="H9639" s="689">
        <v>44.2</v>
      </c>
      <c r="I9639" s="689">
        <v>44.4</v>
      </c>
      <c r="J9639" s="689">
        <v>44.5</v>
      </c>
      <c r="K9639" s="689">
        <v>43.8</v>
      </c>
    </row>
    <row r="9640" spans="1:11">
      <c r="A9640" s="688" t="s">
        <v>24</v>
      </c>
      <c r="B9640" s="691">
        <v>43.7</v>
      </c>
      <c r="C9640" s="691">
        <v>43.9</v>
      </c>
      <c r="D9640" s="691">
        <v>43.8</v>
      </c>
      <c r="E9640" s="691">
        <v>44.4</v>
      </c>
      <c r="F9640" s="691">
        <v>44.3</v>
      </c>
      <c r="G9640" s="691">
        <v>44.6</v>
      </c>
      <c r="H9640" s="691">
        <v>44.8</v>
      </c>
      <c r="I9640" s="615">
        <v>44</v>
      </c>
      <c r="J9640" s="691">
        <v>44.6</v>
      </c>
      <c r="K9640" s="691">
        <v>44.6</v>
      </c>
    </row>
    <row r="9641" spans="1:11">
      <c r="A9641" s="688" t="s">
        <v>4059</v>
      </c>
      <c r="B9641" s="689">
        <v>42.4</v>
      </c>
      <c r="C9641" s="689">
        <v>42.7</v>
      </c>
      <c r="D9641" s="689">
        <v>42.4</v>
      </c>
      <c r="E9641" s="689">
        <v>42.6</v>
      </c>
      <c r="F9641" s="689">
        <v>42.7</v>
      </c>
      <c r="G9641" s="689">
        <v>42.7</v>
      </c>
      <c r="H9641" s="690" t="s">
        <v>4060</v>
      </c>
      <c r="I9641" s="690" t="s">
        <v>4060</v>
      </c>
      <c r="J9641" s="690" t="s">
        <v>4060</v>
      </c>
      <c r="K9641" s="690" t="s">
        <v>4060</v>
      </c>
    </row>
    <row r="9642" spans="1:11">
      <c r="A9642" s="688" t="s">
        <v>2324</v>
      </c>
      <c r="B9642" s="691">
        <v>37.4</v>
      </c>
      <c r="C9642" s="691">
        <v>37.5</v>
      </c>
      <c r="D9642" s="691">
        <v>37.4</v>
      </c>
      <c r="E9642" s="691">
        <v>37.200000000000003</v>
      </c>
      <c r="F9642" s="691">
        <v>37.200000000000003</v>
      </c>
      <c r="G9642" s="691">
        <v>37.6</v>
      </c>
      <c r="H9642" s="691">
        <v>37.299999999999997</v>
      </c>
      <c r="I9642" s="691">
        <v>36.299999999999997</v>
      </c>
      <c r="J9642" s="691">
        <v>33.9</v>
      </c>
      <c r="K9642" s="692" t="s">
        <v>4060</v>
      </c>
    </row>
    <row r="9643" spans="1:11">
      <c r="A9643" s="688" t="s">
        <v>2322</v>
      </c>
      <c r="B9643" s="690" t="s">
        <v>4060</v>
      </c>
      <c r="C9643" s="690" t="s">
        <v>4060</v>
      </c>
      <c r="D9643" s="690" t="s">
        <v>4060</v>
      </c>
      <c r="E9643" s="690" t="s">
        <v>4060</v>
      </c>
      <c r="F9643" s="690" t="s">
        <v>4060</v>
      </c>
      <c r="G9643" s="690" t="s">
        <v>4060</v>
      </c>
      <c r="H9643" s="690" t="s">
        <v>4060</v>
      </c>
      <c r="I9643" s="690" t="s">
        <v>4060</v>
      </c>
      <c r="J9643" s="690" t="s">
        <v>4060</v>
      </c>
      <c r="K9643" s="690" t="s">
        <v>4060</v>
      </c>
    </row>
    <row r="9644" spans="1:11">
      <c r="A9644" s="688" t="s">
        <v>2328</v>
      </c>
      <c r="B9644" s="691">
        <v>37.1</v>
      </c>
      <c r="C9644" s="691">
        <v>37.1</v>
      </c>
      <c r="D9644" s="691">
        <v>37.1</v>
      </c>
      <c r="E9644" s="691">
        <v>37.200000000000003</v>
      </c>
      <c r="F9644" s="691">
        <v>37.6</v>
      </c>
      <c r="G9644" s="691">
        <v>37.9</v>
      </c>
      <c r="H9644" s="691">
        <v>37.9</v>
      </c>
      <c r="I9644" s="691">
        <v>35.299999999999997</v>
      </c>
      <c r="J9644" s="691">
        <v>34.4</v>
      </c>
      <c r="K9644" s="692" t="s">
        <v>4060</v>
      </c>
    </row>
    <row r="9645" spans="1:11">
      <c r="A9645" s="688" t="s">
        <v>2496</v>
      </c>
      <c r="B9645" s="690" t="s">
        <v>4060</v>
      </c>
      <c r="C9645" s="689">
        <v>34.4</v>
      </c>
      <c r="D9645" s="689">
        <v>33.200000000000003</v>
      </c>
      <c r="E9645" s="693">
        <v>33</v>
      </c>
      <c r="F9645" s="689">
        <v>33.700000000000003</v>
      </c>
      <c r="G9645" s="693">
        <v>34</v>
      </c>
      <c r="H9645" s="693">
        <v>34</v>
      </c>
      <c r="I9645" s="690" t="s">
        <v>4060</v>
      </c>
      <c r="J9645" s="690" t="s">
        <v>4060</v>
      </c>
      <c r="K9645" s="689">
        <v>33.5</v>
      </c>
    </row>
    <row r="9646" spans="1:11">
      <c r="A9646" s="688" t="s">
        <v>2269</v>
      </c>
      <c r="B9646" s="691">
        <v>40.200000000000003</v>
      </c>
      <c r="C9646" s="691">
        <v>40.299999999999997</v>
      </c>
      <c r="D9646" s="615">
        <v>40</v>
      </c>
      <c r="E9646" s="691">
        <v>40.700000000000003</v>
      </c>
      <c r="F9646" s="691">
        <v>40.799999999999997</v>
      </c>
      <c r="G9646" s="691">
        <v>41.1</v>
      </c>
      <c r="H9646" s="691">
        <v>41.4</v>
      </c>
      <c r="I9646" s="691">
        <v>38.9</v>
      </c>
      <c r="J9646" s="691">
        <v>37.1</v>
      </c>
      <c r="K9646" s="691">
        <v>40.9</v>
      </c>
    </row>
    <row r="9647" spans="1:11">
      <c r="A9647" s="688" t="s">
        <v>2349</v>
      </c>
      <c r="B9647" s="689">
        <v>36.200000000000003</v>
      </c>
      <c r="C9647" s="689">
        <v>36.299999999999997</v>
      </c>
      <c r="D9647" s="689">
        <v>36.200000000000003</v>
      </c>
      <c r="E9647" s="689">
        <v>36.6</v>
      </c>
      <c r="F9647" s="689">
        <v>36.6</v>
      </c>
      <c r="G9647" s="689">
        <v>36.799999999999997</v>
      </c>
      <c r="H9647" s="689">
        <v>36.700000000000003</v>
      </c>
      <c r="I9647" s="689">
        <v>34.9</v>
      </c>
      <c r="J9647" s="689">
        <v>33.5</v>
      </c>
      <c r="K9647" s="693">
        <v>36</v>
      </c>
    </row>
    <row r="9648" spans="1:11">
      <c r="A9648" s="688" t="s">
        <v>2355</v>
      </c>
      <c r="B9648" s="691">
        <v>39.6</v>
      </c>
      <c r="C9648" s="691">
        <v>39.6</v>
      </c>
      <c r="D9648" s="691">
        <v>39.5</v>
      </c>
      <c r="E9648" s="691">
        <v>39.5</v>
      </c>
      <c r="F9648" s="691">
        <v>39.700000000000003</v>
      </c>
      <c r="G9648" s="691">
        <v>40.1</v>
      </c>
      <c r="H9648" s="691">
        <v>40.299999999999997</v>
      </c>
      <c r="I9648" s="692" t="s">
        <v>4060</v>
      </c>
      <c r="J9648" s="692" t="s">
        <v>4060</v>
      </c>
      <c r="K9648" s="692" t="s">
        <v>4060</v>
      </c>
    </row>
    <row r="9649" spans="1:11">
      <c r="A9649" s="688" t="s">
        <v>2357</v>
      </c>
      <c r="B9649" s="690" t="s">
        <v>4060</v>
      </c>
      <c r="C9649" s="689">
        <v>31.9</v>
      </c>
      <c r="D9649" s="689">
        <v>32.4</v>
      </c>
      <c r="E9649" s="689">
        <v>32.700000000000003</v>
      </c>
      <c r="F9649" s="689">
        <v>32.9</v>
      </c>
      <c r="G9649" s="689">
        <v>32.6</v>
      </c>
      <c r="H9649" s="689">
        <v>32.799999999999997</v>
      </c>
      <c r="I9649" s="690" t="s">
        <v>4060</v>
      </c>
      <c r="J9649" s="690" t="s">
        <v>4060</v>
      </c>
      <c r="K9649" s="690" t="s">
        <v>4060</v>
      </c>
    </row>
    <row r="9650" spans="1:11">
      <c r="A9650" s="688" t="s">
        <v>4070</v>
      </c>
      <c r="B9650" s="692" t="s">
        <v>4060</v>
      </c>
      <c r="C9650" s="692" t="s">
        <v>4060</v>
      </c>
      <c r="D9650" s="692" t="s">
        <v>4060</v>
      </c>
      <c r="E9650" s="691">
        <v>39.1</v>
      </c>
      <c r="F9650" s="692" t="s">
        <v>4060</v>
      </c>
      <c r="G9650" s="692" t="s">
        <v>4060</v>
      </c>
      <c r="H9650" s="692" t="s">
        <v>4060</v>
      </c>
      <c r="I9650" s="692" t="s">
        <v>4060</v>
      </c>
      <c r="J9650" s="692" t="s">
        <v>4060</v>
      </c>
      <c r="K9650" s="692" t="s">
        <v>4060</v>
      </c>
    </row>
    <row r="9651" spans="1:11">
      <c r="A9651" s="688" t="s">
        <v>2491</v>
      </c>
      <c r="B9651" s="689">
        <v>31.7</v>
      </c>
      <c r="C9651" s="689">
        <v>32.1</v>
      </c>
      <c r="D9651" s="689">
        <v>32.6</v>
      </c>
      <c r="E9651" s="689">
        <v>32.799999999999997</v>
      </c>
      <c r="F9651" s="693">
        <v>33</v>
      </c>
      <c r="G9651" s="689">
        <v>32.9</v>
      </c>
      <c r="H9651" s="690" t="s">
        <v>4060</v>
      </c>
      <c r="I9651" s="690" t="s">
        <v>4060</v>
      </c>
      <c r="J9651" s="690" t="s">
        <v>4060</v>
      </c>
      <c r="K9651" s="690" t="s">
        <v>4060</v>
      </c>
    </row>
    <row r="9652" spans="1:11">
      <c r="A9652" s="688" t="s">
        <v>2343</v>
      </c>
      <c r="B9652" s="692" t="s">
        <v>4060</v>
      </c>
      <c r="C9652" s="692" t="s">
        <v>4060</v>
      </c>
      <c r="D9652" s="692" t="s">
        <v>4060</v>
      </c>
      <c r="E9652" s="692" t="s">
        <v>4060</v>
      </c>
      <c r="F9652" s="692" t="s">
        <v>4060</v>
      </c>
      <c r="G9652" s="692" t="s">
        <v>4060</v>
      </c>
      <c r="H9652" s="692" t="s">
        <v>4060</v>
      </c>
      <c r="I9652" s="692" t="s">
        <v>4060</v>
      </c>
      <c r="J9652" s="692" t="s">
        <v>4060</v>
      </c>
      <c r="K9652" s="692" t="s">
        <v>4060</v>
      </c>
    </row>
    <row r="9653" spans="1:11">
      <c r="A9653" s="688" t="s">
        <v>4071</v>
      </c>
      <c r="B9653" s="690" t="s">
        <v>4060</v>
      </c>
      <c r="C9653" s="690" t="s">
        <v>4060</v>
      </c>
      <c r="D9653" s="690" t="s">
        <v>4060</v>
      </c>
      <c r="E9653" s="690" t="s">
        <v>4060</v>
      </c>
      <c r="F9653" s="690" t="s">
        <v>4060</v>
      </c>
      <c r="G9653" s="690" t="s">
        <v>4060</v>
      </c>
      <c r="H9653" s="690" t="s">
        <v>4060</v>
      </c>
      <c r="I9653" s="690" t="s">
        <v>4060</v>
      </c>
      <c r="J9653" s="690" t="s">
        <v>4060</v>
      </c>
      <c r="K9653" s="690" t="s">
        <v>4060</v>
      </c>
    </row>
    <row r="9654" spans="1:11">
      <c r="A9654" s="688" t="s">
        <v>2489</v>
      </c>
      <c r="B9654" s="692" t="s">
        <v>4060</v>
      </c>
      <c r="C9654" s="692" t="s">
        <v>4060</v>
      </c>
      <c r="D9654" s="691">
        <v>35.700000000000003</v>
      </c>
      <c r="E9654" s="691">
        <v>35.6</v>
      </c>
      <c r="F9654" s="691">
        <v>36.299999999999997</v>
      </c>
      <c r="G9654" s="691">
        <v>37.1</v>
      </c>
      <c r="H9654" s="691">
        <v>36.700000000000003</v>
      </c>
      <c r="I9654" s="692" t="s">
        <v>4060</v>
      </c>
      <c r="J9654" s="692" t="s">
        <v>4060</v>
      </c>
      <c r="K9654" s="692" t="s">
        <v>4060</v>
      </c>
    </row>
    <row r="9655" spans="1:11">
      <c r="A9655" s="688" t="s">
        <v>2490</v>
      </c>
      <c r="B9655" s="689">
        <v>36.4</v>
      </c>
      <c r="C9655" s="689">
        <v>36.6</v>
      </c>
      <c r="D9655" s="689">
        <v>37.200000000000003</v>
      </c>
      <c r="E9655" s="690" t="s">
        <v>4060</v>
      </c>
      <c r="F9655" s="689">
        <v>37.5</v>
      </c>
      <c r="G9655" s="689">
        <v>37.700000000000003</v>
      </c>
      <c r="H9655" s="689">
        <v>38.6</v>
      </c>
      <c r="I9655" s="690" t="s">
        <v>4060</v>
      </c>
      <c r="J9655" s="690" t="s">
        <v>4060</v>
      </c>
      <c r="K9655" s="690" t="s">
        <v>4060</v>
      </c>
    </row>
    <row r="9657" spans="1:11">
      <c r="A9657" s="683" t="s">
        <v>4233</v>
      </c>
    </row>
    <row r="9658" spans="1:11">
      <c r="A9658" s="683" t="s">
        <v>4060</v>
      </c>
      <c r="B9658" s="682" t="s">
        <v>4234</v>
      </c>
    </row>
    <row r="9660" spans="1:11">
      <c r="A9660" s="682" t="s">
        <v>4331</v>
      </c>
    </row>
    <row r="9661" spans="1:11">
      <c r="A9661" s="682" t="s">
        <v>4210</v>
      </c>
      <c r="B9661" s="683" t="s">
        <v>4211</v>
      </c>
    </row>
    <row r="9662" spans="1:11">
      <c r="A9662" s="682" t="s">
        <v>4212</v>
      </c>
      <c r="B9662" s="682" t="s">
        <v>4213</v>
      </c>
    </row>
    <row r="9664" spans="1:11">
      <c r="A9664" s="683" t="s">
        <v>4214</v>
      </c>
      <c r="C9664" s="682" t="s">
        <v>4215</v>
      </c>
    </row>
    <row r="9665" spans="1:11">
      <c r="A9665" s="683" t="s">
        <v>4216</v>
      </c>
      <c r="C9665" s="682" t="s">
        <v>2967</v>
      </c>
    </row>
    <row r="9666" spans="1:11">
      <c r="A9666" s="683" t="s">
        <v>3893</v>
      </c>
      <c r="C9666" s="682" t="s">
        <v>2168</v>
      </c>
    </row>
    <row r="9667" spans="1:11">
      <c r="A9667" s="683" t="s">
        <v>4218</v>
      </c>
      <c r="C9667" s="682" t="s">
        <v>4274</v>
      </c>
    </row>
    <row r="9669" spans="1:11">
      <c r="A9669" s="684" t="s">
        <v>4220</v>
      </c>
      <c r="B9669" s="685" t="s">
        <v>4221</v>
      </c>
      <c r="C9669" s="685" t="s">
        <v>4222</v>
      </c>
      <c r="D9669" s="685" t="s">
        <v>4223</v>
      </c>
      <c r="E9669" s="685" t="s">
        <v>4224</v>
      </c>
      <c r="F9669" s="685" t="s">
        <v>4225</v>
      </c>
      <c r="G9669" s="685" t="s">
        <v>4226</v>
      </c>
      <c r="H9669" s="685" t="s">
        <v>4227</v>
      </c>
      <c r="I9669" s="685" t="s">
        <v>4228</v>
      </c>
      <c r="J9669" s="685" t="s">
        <v>4229</v>
      </c>
      <c r="K9669" s="685" t="s">
        <v>4230</v>
      </c>
    </row>
    <row r="9670" spans="1:11">
      <c r="A9670" s="686" t="s">
        <v>4231</v>
      </c>
      <c r="B9670" s="687" t="s">
        <v>4232</v>
      </c>
      <c r="C9670" s="687" t="s">
        <v>4232</v>
      </c>
      <c r="D9670" s="687" t="s">
        <v>4232</v>
      </c>
      <c r="E9670" s="687" t="s">
        <v>4232</v>
      </c>
      <c r="F9670" s="687" t="s">
        <v>4232</v>
      </c>
      <c r="G9670" s="687" t="s">
        <v>4232</v>
      </c>
      <c r="H9670" s="687" t="s">
        <v>4232</v>
      </c>
      <c r="I9670" s="687" t="s">
        <v>4232</v>
      </c>
      <c r="J9670" s="687" t="s">
        <v>4232</v>
      </c>
      <c r="K9670" s="687" t="s">
        <v>4232</v>
      </c>
    </row>
    <row r="9671" spans="1:11">
      <c r="A9671" s="688" t="s">
        <v>4064</v>
      </c>
      <c r="B9671" s="689">
        <v>39.799999999999997</v>
      </c>
      <c r="C9671" s="693">
        <v>40</v>
      </c>
      <c r="D9671" s="689">
        <v>39.9</v>
      </c>
      <c r="E9671" s="689">
        <v>40.1</v>
      </c>
      <c r="F9671" s="689">
        <v>40.200000000000003</v>
      </c>
      <c r="G9671" s="689">
        <v>40.200000000000003</v>
      </c>
      <c r="H9671" s="689">
        <v>40.5</v>
      </c>
      <c r="I9671" s="689">
        <v>39.6</v>
      </c>
      <c r="J9671" s="689">
        <v>39.299999999999997</v>
      </c>
      <c r="K9671" s="693">
        <v>40</v>
      </c>
    </row>
    <row r="9672" spans="1:11">
      <c r="A9672" s="688" t="s">
        <v>4065</v>
      </c>
      <c r="B9672" s="615">
        <v>40</v>
      </c>
      <c r="C9672" s="691">
        <v>40.299999999999997</v>
      </c>
      <c r="D9672" s="691">
        <v>40.1</v>
      </c>
      <c r="E9672" s="691">
        <v>40.4</v>
      </c>
      <c r="F9672" s="691">
        <v>40.5</v>
      </c>
      <c r="G9672" s="691">
        <v>40.6</v>
      </c>
      <c r="H9672" s="692" t="s">
        <v>4060</v>
      </c>
      <c r="I9672" s="692" t="s">
        <v>4060</v>
      </c>
      <c r="J9672" s="692" t="s">
        <v>4060</v>
      </c>
      <c r="K9672" s="692" t="s">
        <v>4060</v>
      </c>
    </row>
    <row r="9673" spans="1:11">
      <c r="A9673" s="688" t="s">
        <v>4063</v>
      </c>
      <c r="B9673" s="693">
        <v>40</v>
      </c>
      <c r="C9673" s="689">
        <v>40.4</v>
      </c>
      <c r="D9673" s="689">
        <v>40.200000000000003</v>
      </c>
      <c r="E9673" s="689">
        <v>40.5</v>
      </c>
      <c r="F9673" s="689">
        <v>40.5</v>
      </c>
      <c r="G9673" s="689">
        <v>40.6</v>
      </c>
      <c r="H9673" s="690" t="s">
        <v>4060</v>
      </c>
      <c r="I9673" s="690" t="s">
        <v>4060</v>
      </c>
      <c r="J9673" s="690" t="s">
        <v>4060</v>
      </c>
      <c r="K9673" s="690" t="s">
        <v>4060</v>
      </c>
    </row>
    <row r="9674" spans="1:11">
      <c r="A9674" s="688" t="s">
        <v>4069</v>
      </c>
      <c r="B9674" s="692" t="s">
        <v>4060</v>
      </c>
      <c r="C9674" s="615">
        <v>41</v>
      </c>
      <c r="D9674" s="691">
        <v>40.799999999999997</v>
      </c>
      <c r="E9674" s="691">
        <v>41.1</v>
      </c>
      <c r="F9674" s="691">
        <v>41.2</v>
      </c>
      <c r="G9674" s="691">
        <v>41.4</v>
      </c>
      <c r="H9674" s="691">
        <v>41.6</v>
      </c>
      <c r="I9674" s="691">
        <v>40.9</v>
      </c>
      <c r="J9674" s="691">
        <v>40.9</v>
      </c>
      <c r="K9674" s="691">
        <v>41.1</v>
      </c>
    </row>
    <row r="9675" spans="1:11">
      <c r="A9675" s="688" t="s">
        <v>4068</v>
      </c>
      <c r="B9675" s="689">
        <v>40.9</v>
      </c>
      <c r="C9675" s="690" t="s">
        <v>4060</v>
      </c>
      <c r="D9675" s="690" t="s">
        <v>4060</v>
      </c>
      <c r="E9675" s="690" t="s">
        <v>4060</v>
      </c>
      <c r="F9675" s="690" t="s">
        <v>4060</v>
      </c>
      <c r="G9675" s="690" t="s">
        <v>4060</v>
      </c>
      <c r="H9675" s="690" t="s">
        <v>4060</v>
      </c>
      <c r="I9675" s="690" t="s">
        <v>4060</v>
      </c>
      <c r="J9675" s="690" t="s">
        <v>4060</v>
      </c>
      <c r="K9675" s="690" t="s">
        <v>4060</v>
      </c>
    </row>
    <row r="9676" spans="1:11">
      <c r="A9676" s="688" t="s">
        <v>0</v>
      </c>
      <c r="B9676" s="691">
        <v>40.4</v>
      </c>
      <c r="C9676" s="691">
        <v>40.799999999999997</v>
      </c>
      <c r="D9676" s="691">
        <v>40.700000000000003</v>
      </c>
      <c r="E9676" s="615">
        <v>41</v>
      </c>
      <c r="F9676" s="691">
        <v>41.2</v>
      </c>
      <c r="G9676" s="691">
        <v>41.4</v>
      </c>
      <c r="H9676" s="691">
        <v>41.7</v>
      </c>
      <c r="I9676" s="691">
        <v>40.6</v>
      </c>
      <c r="J9676" s="691">
        <v>41.4</v>
      </c>
      <c r="K9676" s="691">
        <v>41.6</v>
      </c>
    </row>
    <row r="9677" spans="1:11">
      <c r="A9677" s="688" t="s">
        <v>1</v>
      </c>
      <c r="B9677" s="689">
        <v>34.4</v>
      </c>
      <c r="C9677" s="693">
        <v>34</v>
      </c>
      <c r="D9677" s="689">
        <v>34.1</v>
      </c>
      <c r="E9677" s="689">
        <v>34.1</v>
      </c>
      <c r="F9677" s="689">
        <v>34.1</v>
      </c>
      <c r="G9677" s="689">
        <v>34.200000000000003</v>
      </c>
      <c r="H9677" s="689">
        <v>34.200000000000003</v>
      </c>
      <c r="I9677" s="689">
        <v>32.4</v>
      </c>
      <c r="J9677" s="689">
        <v>30.8</v>
      </c>
      <c r="K9677" s="689">
        <v>33.299999999999997</v>
      </c>
    </row>
    <row r="9678" spans="1:11">
      <c r="A9678" s="688" t="s">
        <v>2240</v>
      </c>
      <c r="B9678" s="691">
        <v>37.5</v>
      </c>
      <c r="C9678" s="691">
        <v>37.9</v>
      </c>
      <c r="D9678" s="691">
        <v>37.799999999999997</v>
      </c>
      <c r="E9678" s="691">
        <v>38.200000000000003</v>
      </c>
      <c r="F9678" s="691">
        <v>38.200000000000003</v>
      </c>
      <c r="G9678" s="691">
        <v>38.299999999999997</v>
      </c>
      <c r="H9678" s="691">
        <v>38.5</v>
      </c>
      <c r="I9678" s="691">
        <v>37.4</v>
      </c>
      <c r="J9678" s="691">
        <v>36.200000000000003</v>
      </c>
      <c r="K9678" s="691">
        <v>38.299999999999997</v>
      </c>
    </row>
    <row r="9679" spans="1:11">
      <c r="A9679" s="688" t="s">
        <v>2</v>
      </c>
      <c r="B9679" s="689">
        <v>40.299999999999997</v>
      </c>
      <c r="C9679" s="689">
        <v>40.6</v>
      </c>
      <c r="D9679" s="689">
        <v>40.700000000000003</v>
      </c>
      <c r="E9679" s="689">
        <v>40.9</v>
      </c>
      <c r="F9679" s="689">
        <v>41.1</v>
      </c>
      <c r="G9679" s="693">
        <v>41</v>
      </c>
      <c r="H9679" s="689">
        <v>41.4</v>
      </c>
      <c r="I9679" s="689">
        <v>41.6</v>
      </c>
      <c r="J9679" s="689">
        <v>41.5</v>
      </c>
      <c r="K9679" s="689">
        <v>41.3</v>
      </c>
    </row>
    <row r="9680" spans="1:11">
      <c r="A9680" s="688" t="s">
        <v>3</v>
      </c>
      <c r="B9680" s="691">
        <v>40.200000000000003</v>
      </c>
      <c r="C9680" s="691">
        <v>40.5</v>
      </c>
      <c r="D9680" s="691">
        <v>40.200000000000003</v>
      </c>
      <c r="E9680" s="691">
        <v>40.5</v>
      </c>
      <c r="F9680" s="691">
        <v>40.6</v>
      </c>
      <c r="G9680" s="691">
        <v>40.5</v>
      </c>
      <c r="H9680" s="691">
        <v>40.799999999999997</v>
      </c>
      <c r="I9680" s="691">
        <v>40.6</v>
      </c>
      <c r="J9680" s="691">
        <v>40.200000000000003</v>
      </c>
      <c r="K9680" s="691">
        <v>40.200000000000003</v>
      </c>
    </row>
    <row r="9681" spans="1:11">
      <c r="A9681" s="688" t="s">
        <v>4061</v>
      </c>
      <c r="B9681" s="689">
        <v>40.200000000000003</v>
      </c>
      <c r="C9681" s="689">
        <v>40.5</v>
      </c>
      <c r="D9681" s="689">
        <v>40.200000000000003</v>
      </c>
      <c r="E9681" s="689">
        <v>40.5</v>
      </c>
      <c r="F9681" s="689">
        <v>40.6</v>
      </c>
      <c r="G9681" s="689">
        <v>40.5</v>
      </c>
      <c r="H9681" s="689">
        <v>40.799999999999997</v>
      </c>
      <c r="I9681" s="689">
        <v>40.6</v>
      </c>
      <c r="J9681" s="689">
        <v>40.200000000000003</v>
      </c>
      <c r="K9681" s="689">
        <v>40.200000000000003</v>
      </c>
    </row>
    <row r="9682" spans="1:11">
      <c r="A9682" s="688" t="s">
        <v>4</v>
      </c>
      <c r="B9682" s="691">
        <v>35.6</v>
      </c>
      <c r="C9682" s="691">
        <v>35.4</v>
      </c>
      <c r="D9682" s="615">
        <v>36</v>
      </c>
      <c r="E9682" s="691">
        <v>35.9</v>
      </c>
      <c r="F9682" s="691">
        <v>36.299999999999997</v>
      </c>
      <c r="G9682" s="691">
        <v>36.299999999999997</v>
      </c>
      <c r="H9682" s="691">
        <v>36.799999999999997</v>
      </c>
      <c r="I9682" s="691">
        <v>36.6</v>
      </c>
      <c r="J9682" s="691">
        <v>35.200000000000003</v>
      </c>
      <c r="K9682" s="691">
        <v>36.1</v>
      </c>
    </row>
    <row r="9683" spans="1:11">
      <c r="A9683" s="688" t="s">
        <v>8</v>
      </c>
      <c r="B9683" s="689">
        <v>41.2</v>
      </c>
      <c r="C9683" s="689">
        <v>41.5</v>
      </c>
      <c r="D9683" s="689">
        <v>41.7</v>
      </c>
      <c r="E9683" s="689">
        <v>41.8</v>
      </c>
      <c r="F9683" s="689">
        <v>42.2</v>
      </c>
      <c r="G9683" s="689">
        <v>42.2</v>
      </c>
      <c r="H9683" s="689">
        <v>42.5</v>
      </c>
      <c r="I9683" s="689">
        <v>42.5</v>
      </c>
      <c r="J9683" s="689">
        <v>42.2</v>
      </c>
      <c r="K9683" s="689">
        <v>42.6</v>
      </c>
    </row>
    <row r="9684" spans="1:11">
      <c r="A9684" s="688" t="s">
        <v>7</v>
      </c>
      <c r="B9684" s="615">
        <v>41</v>
      </c>
      <c r="C9684" s="691">
        <v>40.5</v>
      </c>
      <c r="D9684" s="691">
        <v>40.299999999999997</v>
      </c>
      <c r="E9684" s="691">
        <v>40.6</v>
      </c>
      <c r="F9684" s="691">
        <v>40.5</v>
      </c>
      <c r="G9684" s="615">
        <v>41</v>
      </c>
      <c r="H9684" s="691">
        <v>40.9</v>
      </c>
      <c r="I9684" s="691">
        <v>40.6</v>
      </c>
      <c r="J9684" s="691">
        <v>39.6</v>
      </c>
      <c r="K9684" s="691">
        <v>40.4</v>
      </c>
    </row>
    <row r="9685" spans="1:11">
      <c r="A9685" s="688" t="s">
        <v>27</v>
      </c>
      <c r="B9685" s="693">
        <v>42</v>
      </c>
      <c r="C9685" s="689">
        <v>41.9</v>
      </c>
      <c r="D9685" s="689">
        <v>41.7</v>
      </c>
      <c r="E9685" s="689">
        <v>42.1</v>
      </c>
      <c r="F9685" s="689">
        <v>42.2</v>
      </c>
      <c r="G9685" s="689">
        <v>42.2</v>
      </c>
      <c r="H9685" s="689">
        <v>42.6</v>
      </c>
      <c r="I9685" s="689">
        <v>41.3</v>
      </c>
      <c r="J9685" s="693">
        <v>42</v>
      </c>
      <c r="K9685" s="689">
        <v>42.3</v>
      </c>
    </row>
    <row r="9686" spans="1:11">
      <c r="A9686" s="688" t="s">
        <v>6</v>
      </c>
      <c r="B9686" s="691">
        <v>41.4</v>
      </c>
      <c r="C9686" s="691">
        <v>41.5</v>
      </c>
      <c r="D9686" s="691">
        <v>41.4</v>
      </c>
      <c r="E9686" s="691">
        <v>41.6</v>
      </c>
      <c r="F9686" s="691">
        <v>41.7</v>
      </c>
      <c r="G9686" s="691">
        <v>41.9</v>
      </c>
      <c r="H9686" s="691">
        <v>42.1</v>
      </c>
      <c r="I9686" s="691">
        <v>41.4</v>
      </c>
      <c r="J9686" s="691">
        <v>41.5</v>
      </c>
      <c r="K9686" s="691">
        <v>41.7</v>
      </c>
    </row>
    <row r="9687" spans="1:11">
      <c r="A9687" s="688" t="s">
        <v>4058</v>
      </c>
      <c r="B9687" s="690" t="s">
        <v>4060</v>
      </c>
      <c r="C9687" s="690" t="s">
        <v>4060</v>
      </c>
      <c r="D9687" s="690" t="s">
        <v>4060</v>
      </c>
      <c r="E9687" s="690" t="s">
        <v>4060</v>
      </c>
      <c r="F9687" s="690" t="s">
        <v>4060</v>
      </c>
      <c r="G9687" s="690" t="s">
        <v>4060</v>
      </c>
      <c r="H9687" s="690" t="s">
        <v>4060</v>
      </c>
      <c r="I9687" s="690" t="s">
        <v>4060</v>
      </c>
      <c r="J9687" s="690" t="s">
        <v>4060</v>
      </c>
      <c r="K9687" s="690" t="s">
        <v>4060</v>
      </c>
    </row>
    <row r="9688" spans="1:11">
      <c r="A9688" s="688" t="s">
        <v>11</v>
      </c>
      <c r="B9688" s="691">
        <v>36.9</v>
      </c>
      <c r="C9688" s="615">
        <v>37</v>
      </c>
      <c r="D9688" s="691">
        <v>36.6</v>
      </c>
      <c r="E9688" s="691">
        <v>37.200000000000003</v>
      </c>
      <c r="F9688" s="691">
        <v>37.1</v>
      </c>
      <c r="G9688" s="691">
        <v>37.200000000000003</v>
      </c>
      <c r="H9688" s="691">
        <v>37.6</v>
      </c>
      <c r="I9688" s="691">
        <v>36.799999999999997</v>
      </c>
      <c r="J9688" s="691">
        <v>35.799999999999997</v>
      </c>
      <c r="K9688" s="615">
        <v>37</v>
      </c>
    </row>
    <row r="9689" spans="1:11">
      <c r="A9689" s="688" t="s">
        <v>10</v>
      </c>
      <c r="B9689" s="689">
        <v>42.3</v>
      </c>
      <c r="C9689" s="689">
        <v>42.4</v>
      </c>
      <c r="D9689" s="689">
        <v>42.1</v>
      </c>
      <c r="E9689" s="689">
        <v>42.6</v>
      </c>
      <c r="F9689" s="689">
        <v>42.5</v>
      </c>
      <c r="G9689" s="689">
        <v>42.8</v>
      </c>
      <c r="H9689" s="693">
        <v>43</v>
      </c>
      <c r="I9689" s="689">
        <v>41.7</v>
      </c>
      <c r="J9689" s="689">
        <v>42.2</v>
      </c>
      <c r="K9689" s="689">
        <v>42.5</v>
      </c>
    </row>
    <row r="9690" spans="1:11">
      <c r="A9690" s="688" t="s">
        <v>30</v>
      </c>
      <c r="B9690" s="691">
        <v>42.1</v>
      </c>
      <c r="C9690" s="691">
        <v>42.2</v>
      </c>
      <c r="D9690" s="615">
        <v>42</v>
      </c>
      <c r="E9690" s="691">
        <v>42.6</v>
      </c>
      <c r="F9690" s="691">
        <v>42.2</v>
      </c>
      <c r="G9690" s="615">
        <v>43</v>
      </c>
      <c r="H9690" s="691">
        <v>42.7</v>
      </c>
      <c r="I9690" s="691">
        <v>42.7</v>
      </c>
      <c r="J9690" s="691">
        <v>41.8</v>
      </c>
      <c r="K9690" s="691">
        <v>42.3</v>
      </c>
    </row>
    <row r="9691" spans="1:11">
      <c r="A9691" s="688" t="s">
        <v>12</v>
      </c>
      <c r="B9691" s="689">
        <v>32.6</v>
      </c>
      <c r="C9691" s="689">
        <v>32.6</v>
      </c>
      <c r="D9691" s="689">
        <v>33.1</v>
      </c>
      <c r="E9691" s="689">
        <v>33.1</v>
      </c>
      <c r="F9691" s="689">
        <v>33.200000000000003</v>
      </c>
      <c r="G9691" s="689">
        <v>33.200000000000003</v>
      </c>
      <c r="H9691" s="689">
        <v>33.9</v>
      </c>
      <c r="I9691" s="689">
        <v>33.5</v>
      </c>
      <c r="J9691" s="689">
        <v>31.2</v>
      </c>
      <c r="K9691" s="689">
        <v>32.5</v>
      </c>
    </row>
    <row r="9692" spans="1:11">
      <c r="A9692" s="688" t="s">
        <v>14</v>
      </c>
      <c r="B9692" s="691">
        <v>32.299999999999997</v>
      </c>
      <c r="C9692" s="691">
        <v>32.9</v>
      </c>
      <c r="D9692" s="691">
        <v>32.799999999999997</v>
      </c>
      <c r="E9692" s="691">
        <v>32.9</v>
      </c>
      <c r="F9692" s="691">
        <v>33.9</v>
      </c>
      <c r="G9692" s="691">
        <v>34.1</v>
      </c>
      <c r="H9692" s="691">
        <v>34.5</v>
      </c>
      <c r="I9692" s="615">
        <v>33</v>
      </c>
      <c r="J9692" s="691">
        <v>32.6</v>
      </c>
      <c r="K9692" s="691">
        <v>34.1</v>
      </c>
    </row>
    <row r="9693" spans="1:11">
      <c r="A9693" s="688" t="s">
        <v>15</v>
      </c>
      <c r="B9693" s="689">
        <v>41.8</v>
      </c>
      <c r="C9693" s="689">
        <v>41.1</v>
      </c>
      <c r="D9693" s="689">
        <v>41.9</v>
      </c>
      <c r="E9693" s="689">
        <v>41.8</v>
      </c>
      <c r="F9693" s="689">
        <v>41.7</v>
      </c>
      <c r="G9693" s="689">
        <v>41.8</v>
      </c>
      <c r="H9693" s="689">
        <v>42.3</v>
      </c>
      <c r="I9693" s="689">
        <v>41.7</v>
      </c>
      <c r="J9693" s="689">
        <v>42.1</v>
      </c>
      <c r="K9693" s="689">
        <v>42.7</v>
      </c>
    </row>
    <row r="9694" spans="1:11">
      <c r="A9694" s="688" t="s">
        <v>29</v>
      </c>
      <c r="B9694" s="691">
        <v>34.5</v>
      </c>
      <c r="C9694" s="691">
        <v>34.5</v>
      </c>
      <c r="D9694" s="691">
        <v>34.5</v>
      </c>
      <c r="E9694" s="691">
        <v>34.700000000000003</v>
      </c>
      <c r="F9694" s="691">
        <v>34.700000000000003</v>
      </c>
      <c r="G9694" s="691">
        <v>34.799999999999997</v>
      </c>
      <c r="H9694" s="691">
        <v>35.200000000000003</v>
      </c>
      <c r="I9694" s="691">
        <v>34.4</v>
      </c>
      <c r="J9694" s="615">
        <v>33</v>
      </c>
      <c r="K9694" s="691">
        <v>34.799999999999997</v>
      </c>
    </row>
    <row r="9695" spans="1:11">
      <c r="A9695" s="688" t="s">
        <v>16</v>
      </c>
      <c r="B9695" s="689">
        <v>41.7</v>
      </c>
      <c r="C9695" s="689">
        <v>41.7</v>
      </c>
      <c r="D9695" s="693">
        <v>42</v>
      </c>
      <c r="E9695" s="689">
        <v>42.6</v>
      </c>
      <c r="F9695" s="689">
        <v>42.3</v>
      </c>
      <c r="G9695" s="689">
        <v>42.3</v>
      </c>
      <c r="H9695" s="689">
        <v>42.7</v>
      </c>
      <c r="I9695" s="689">
        <v>41.8</v>
      </c>
      <c r="J9695" s="689">
        <v>42.1</v>
      </c>
      <c r="K9695" s="689">
        <v>42.3</v>
      </c>
    </row>
    <row r="9696" spans="1:11">
      <c r="A9696" s="688" t="s">
        <v>17</v>
      </c>
      <c r="B9696" s="691">
        <v>41.5</v>
      </c>
      <c r="C9696" s="691">
        <v>41.9</v>
      </c>
      <c r="D9696" s="691">
        <v>41.7</v>
      </c>
      <c r="E9696" s="691">
        <v>41.8</v>
      </c>
      <c r="F9696" s="691">
        <v>42.1</v>
      </c>
      <c r="G9696" s="691">
        <v>42.1</v>
      </c>
      <c r="H9696" s="691">
        <v>42.4</v>
      </c>
      <c r="I9696" s="691">
        <v>41.6</v>
      </c>
      <c r="J9696" s="691">
        <v>41.6</v>
      </c>
      <c r="K9696" s="691">
        <v>42.1</v>
      </c>
    </row>
    <row r="9697" spans="1:11">
      <c r="A9697" s="688" t="s">
        <v>19</v>
      </c>
      <c r="B9697" s="689">
        <v>40.799999999999997</v>
      </c>
      <c r="C9697" s="693">
        <v>41</v>
      </c>
      <c r="D9697" s="689">
        <v>40.799999999999997</v>
      </c>
      <c r="E9697" s="689">
        <v>41.2</v>
      </c>
      <c r="F9697" s="689">
        <v>41.3</v>
      </c>
      <c r="G9697" s="689">
        <v>41.3</v>
      </c>
      <c r="H9697" s="689">
        <v>41.7</v>
      </c>
      <c r="I9697" s="693">
        <v>41</v>
      </c>
      <c r="J9697" s="689">
        <v>40.9</v>
      </c>
      <c r="K9697" s="689">
        <v>41.1</v>
      </c>
    </row>
    <row r="9698" spans="1:11">
      <c r="A9698" s="688" t="s">
        <v>20</v>
      </c>
      <c r="B9698" s="691">
        <v>35.799999999999997</v>
      </c>
      <c r="C9698" s="691">
        <v>36.299999999999997</v>
      </c>
      <c r="D9698" s="691">
        <v>36.1</v>
      </c>
      <c r="E9698" s="691">
        <v>36.4</v>
      </c>
      <c r="F9698" s="691">
        <v>36.4</v>
      </c>
      <c r="G9698" s="691">
        <v>36.299999999999997</v>
      </c>
      <c r="H9698" s="691">
        <v>36.700000000000003</v>
      </c>
      <c r="I9698" s="615">
        <v>35</v>
      </c>
      <c r="J9698" s="691">
        <v>34.200000000000003</v>
      </c>
      <c r="K9698" s="615">
        <v>36</v>
      </c>
    </row>
    <row r="9699" spans="1:11">
      <c r="A9699" s="688" t="s">
        <v>21</v>
      </c>
      <c r="B9699" s="689">
        <v>39.799999999999997</v>
      </c>
      <c r="C9699" s="689">
        <v>40.200000000000003</v>
      </c>
      <c r="D9699" s="689">
        <v>40.299999999999997</v>
      </c>
      <c r="E9699" s="689">
        <v>40.299999999999997</v>
      </c>
      <c r="F9699" s="689">
        <v>40.6</v>
      </c>
      <c r="G9699" s="689">
        <v>40.6</v>
      </c>
      <c r="H9699" s="693">
        <v>41</v>
      </c>
      <c r="I9699" s="689">
        <v>40.4</v>
      </c>
      <c r="J9699" s="689">
        <v>40.4</v>
      </c>
      <c r="K9699" s="689">
        <v>40.9</v>
      </c>
    </row>
    <row r="9700" spans="1:11">
      <c r="A9700" s="688" t="s">
        <v>22</v>
      </c>
      <c r="B9700" s="691">
        <v>34.700000000000003</v>
      </c>
      <c r="C9700" s="691">
        <v>34.4</v>
      </c>
      <c r="D9700" s="691">
        <v>34.4</v>
      </c>
      <c r="E9700" s="691">
        <v>34.5</v>
      </c>
      <c r="F9700" s="691">
        <v>34.5</v>
      </c>
      <c r="G9700" s="691">
        <v>34.4</v>
      </c>
      <c r="H9700" s="691">
        <v>34.6</v>
      </c>
      <c r="I9700" s="615">
        <v>33</v>
      </c>
      <c r="J9700" s="691">
        <v>31.9</v>
      </c>
      <c r="K9700" s="615">
        <v>34</v>
      </c>
    </row>
    <row r="9701" spans="1:11">
      <c r="A9701" s="688" t="s">
        <v>26</v>
      </c>
      <c r="B9701" s="689">
        <v>39.4</v>
      </c>
      <c r="C9701" s="693">
        <v>40</v>
      </c>
      <c r="D9701" s="689">
        <v>39.700000000000003</v>
      </c>
      <c r="E9701" s="689">
        <v>40.200000000000003</v>
      </c>
      <c r="F9701" s="693">
        <v>40</v>
      </c>
      <c r="G9701" s="689">
        <v>40.299999999999997</v>
      </c>
      <c r="H9701" s="689">
        <v>40.6</v>
      </c>
      <c r="I9701" s="689">
        <v>39.700000000000003</v>
      </c>
      <c r="J9701" s="689">
        <v>39.6</v>
      </c>
      <c r="K9701" s="689">
        <v>40.5</v>
      </c>
    </row>
    <row r="9702" spans="1:11">
      <c r="A9702" s="688" t="s">
        <v>25</v>
      </c>
      <c r="B9702" s="691">
        <v>35.5</v>
      </c>
      <c r="C9702" s="691">
        <v>35.9</v>
      </c>
      <c r="D9702" s="691">
        <v>35.700000000000003</v>
      </c>
      <c r="E9702" s="691">
        <v>36.299999999999997</v>
      </c>
      <c r="F9702" s="691">
        <v>36.299999999999997</v>
      </c>
      <c r="G9702" s="691">
        <v>36.4</v>
      </c>
      <c r="H9702" s="691">
        <v>36.9</v>
      </c>
      <c r="I9702" s="691">
        <v>36.1</v>
      </c>
      <c r="J9702" s="691">
        <v>33.799999999999997</v>
      </c>
      <c r="K9702" s="691">
        <v>36.200000000000003</v>
      </c>
    </row>
    <row r="9703" spans="1:11">
      <c r="A9703" s="688" t="s">
        <v>5</v>
      </c>
      <c r="B9703" s="689">
        <v>40.4</v>
      </c>
      <c r="C9703" s="689">
        <v>40.5</v>
      </c>
      <c r="D9703" s="689">
        <v>40.700000000000003</v>
      </c>
      <c r="E9703" s="689">
        <v>40.700000000000003</v>
      </c>
      <c r="F9703" s="693">
        <v>41</v>
      </c>
      <c r="G9703" s="689">
        <v>41.1</v>
      </c>
      <c r="H9703" s="689">
        <v>41.5</v>
      </c>
      <c r="I9703" s="689">
        <v>41.4</v>
      </c>
      <c r="J9703" s="689">
        <v>41.3</v>
      </c>
      <c r="K9703" s="689">
        <v>40.9</v>
      </c>
    </row>
    <row r="9704" spans="1:11">
      <c r="A9704" s="688" t="s">
        <v>23</v>
      </c>
      <c r="B9704" s="691">
        <v>42.3</v>
      </c>
      <c r="C9704" s="691">
        <v>42.4</v>
      </c>
      <c r="D9704" s="691">
        <v>42.5</v>
      </c>
      <c r="E9704" s="691">
        <v>42.6</v>
      </c>
      <c r="F9704" s="691">
        <v>42.8</v>
      </c>
      <c r="G9704" s="691">
        <v>42.9</v>
      </c>
      <c r="H9704" s="691">
        <v>43.4</v>
      </c>
      <c r="I9704" s="691">
        <v>42.7</v>
      </c>
      <c r="J9704" s="691">
        <v>43.2</v>
      </c>
      <c r="K9704" s="691">
        <v>43.4</v>
      </c>
    </row>
    <row r="9705" spans="1:11">
      <c r="A9705" s="688" t="s">
        <v>4067</v>
      </c>
      <c r="B9705" s="693">
        <v>40</v>
      </c>
      <c r="C9705" s="689">
        <v>40.4</v>
      </c>
      <c r="D9705" s="689">
        <v>40.1</v>
      </c>
      <c r="E9705" s="689">
        <v>40.5</v>
      </c>
      <c r="F9705" s="689">
        <v>40.5</v>
      </c>
      <c r="G9705" s="689">
        <v>40.6</v>
      </c>
      <c r="H9705" s="690" t="s">
        <v>4060</v>
      </c>
      <c r="I9705" s="690" t="s">
        <v>4060</v>
      </c>
      <c r="J9705" s="690" t="s">
        <v>4060</v>
      </c>
      <c r="K9705" s="690" t="s">
        <v>4060</v>
      </c>
    </row>
    <row r="9706" spans="1:11">
      <c r="A9706" s="688" t="s">
        <v>4066</v>
      </c>
      <c r="B9706" s="615">
        <v>40</v>
      </c>
      <c r="C9706" s="691">
        <v>40.4</v>
      </c>
      <c r="D9706" s="691">
        <v>40.200000000000003</v>
      </c>
      <c r="E9706" s="691">
        <v>40.5</v>
      </c>
      <c r="F9706" s="691">
        <v>40.5</v>
      </c>
      <c r="G9706" s="691">
        <v>40.6</v>
      </c>
      <c r="H9706" s="692" t="s">
        <v>4060</v>
      </c>
      <c r="I9706" s="692" t="s">
        <v>4060</v>
      </c>
      <c r="J9706" s="692" t="s">
        <v>4060</v>
      </c>
      <c r="K9706" s="692" t="s">
        <v>4060</v>
      </c>
    </row>
    <row r="9707" spans="1:11">
      <c r="A9707" s="688" t="s">
        <v>4062</v>
      </c>
      <c r="B9707" s="689">
        <v>42.4</v>
      </c>
      <c r="C9707" s="689">
        <v>42.7</v>
      </c>
      <c r="D9707" s="689">
        <v>42.7</v>
      </c>
      <c r="E9707" s="689">
        <v>43.1</v>
      </c>
      <c r="F9707" s="689">
        <v>43.2</v>
      </c>
      <c r="G9707" s="689">
        <v>43.4</v>
      </c>
      <c r="H9707" s="689">
        <v>43.6</v>
      </c>
      <c r="I9707" s="689">
        <v>43.2</v>
      </c>
      <c r="J9707" s="689">
        <v>43.6</v>
      </c>
      <c r="K9707" s="689">
        <v>43.3</v>
      </c>
    </row>
    <row r="9708" spans="1:11">
      <c r="A9708" s="688" t="s">
        <v>9</v>
      </c>
      <c r="B9708" s="691">
        <v>42.6</v>
      </c>
      <c r="C9708" s="691">
        <v>42.9</v>
      </c>
      <c r="D9708" s="691">
        <v>43.3</v>
      </c>
      <c r="E9708" s="691">
        <v>42.6</v>
      </c>
      <c r="F9708" s="691">
        <v>43.1</v>
      </c>
      <c r="G9708" s="691">
        <v>43.4</v>
      </c>
      <c r="H9708" s="691">
        <v>43.4</v>
      </c>
      <c r="I9708" s="691">
        <v>43.6</v>
      </c>
      <c r="J9708" s="615">
        <v>44</v>
      </c>
      <c r="K9708" s="691">
        <v>42.8</v>
      </c>
    </row>
    <row r="9709" spans="1:11">
      <c r="A9709" s="688" t="s">
        <v>13</v>
      </c>
      <c r="B9709" s="693">
        <v>42</v>
      </c>
      <c r="C9709" s="689">
        <v>42.6</v>
      </c>
      <c r="D9709" s="689">
        <v>42.6</v>
      </c>
      <c r="E9709" s="693">
        <v>42</v>
      </c>
      <c r="F9709" s="689">
        <v>42.8</v>
      </c>
      <c r="G9709" s="689">
        <v>42.5</v>
      </c>
      <c r="H9709" s="689">
        <v>43.6</v>
      </c>
      <c r="I9709" s="689">
        <v>42.6</v>
      </c>
      <c r="J9709" s="689">
        <v>43.7</v>
      </c>
      <c r="K9709" s="689">
        <v>44.4</v>
      </c>
    </row>
    <row r="9710" spans="1:11">
      <c r="A9710" s="688" t="s">
        <v>18</v>
      </c>
      <c r="B9710" s="691">
        <v>41.9</v>
      </c>
      <c r="C9710" s="691">
        <v>42.1</v>
      </c>
      <c r="D9710" s="691">
        <v>42.4</v>
      </c>
      <c r="E9710" s="691">
        <v>42.6</v>
      </c>
      <c r="F9710" s="691">
        <v>42.9</v>
      </c>
      <c r="G9710" s="615">
        <v>43</v>
      </c>
      <c r="H9710" s="691">
        <v>43.3</v>
      </c>
      <c r="I9710" s="691">
        <v>43.5</v>
      </c>
      <c r="J9710" s="691">
        <v>43.5</v>
      </c>
      <c r="K9710" s="691">
        <v>42.9</v>
      </c>
    </row>
    <row r="9711" spans="1:11">
      <c r="A9711" s="688" t="s">
        <v>24</v>
      </c>
      <c r="B9711" s="689">
        <v>42.8</v>
      </c>
      <c r="C9711" s="689">
        <v>42.9</v>
      </c>
      <c r="D9711" s="689">
        <v>42.8</v>
      </c>
      <c r="E9711" s="689">
        <v>43.4</v>
      </c>
      <c r="F9711" s="689">
        <v>43.4</v>
      </c>
      <c r="G9711" s="689">
        <v>43.6</v>
      </c>
      <c r="H9711" s="689">
        <v>43.8</v>
      </c>
      <c r="I9711" s="693">
        <v>43</v>
      </c>
      <c r="J9711" s="689">
        <v>43.6</v>
      </c>
      <c r="K9711" s="689">
        <v>43.6</v>
      </c>
    </row>
    <row r="9712" spans="1:11">
      <c r="A9712" s="688" t="s">
        <v>4059</v>
      </c>
      <c r="B9712" s="691">
        <v>41.4</v>
      </c>
      <c r="C9712" s="691">
        <v>41.7</v>
      </c>
      <c r="D9712" s="691">
        <v>41.5</v>
      </c>
      <c r="E9712" s="691">
        <v>41.7</v>
      </c>
      <c r="F9712" s="691">
        <v>41.7</v>
      </c>
      <c r="G9712" s="691">
        <v>41.7</v>
      </c>
      <c r="H9712" s="692" t="s">
        <v>4060</v>
      </c>
      <c r="I9712" s="692" t="s">
        <v>4060</v>
      </c>
      <c r="J9712" s="692" t="s">
        <v>4060</v>
      </c>
      <c r="K9712" s="692" t="s">
        <v>4060</v>
      </c>
    </row>
    <row r="9713" spans="1:11">
      <c r="A9713" s="688" t="s">
        <v>2324</v>
      </c>
      <c r="B9713" s="689">
        <v>36.5</v>
      </c>
      <c r="C9713" s="689">
        <v>36.5</v>
      </c>
      <c r="D9713" s="689">
        <v>36.5</v>
      </c>
      <c r="E9713" s="689">
        <v>36.200000000000003</v>
      </c>
      <c r="F9713" s="689">
        <v>36.299999999999997</v>
      </c>
      <c r="G9713" s="689">
        <v>36.6</v>
      </c>
      <c r="H9713" s="689">
        <v>36.4</v>
      </c>
      <c r="I9713" s="689">
        <v>35.4</v>
      </c>
      <c r="J9713" s="689">
        <v>32.9</v>
      </c>
      <c r="K9713" s="690" t="s">
        <v>4060</v>
      </c>
    </row>
    <row r="9714" spans="1:11">
      <c r="A9714" s="688" t="s">
        <v>2322</v>
      </c>
      <c r="B9714" s="692" t="s">
        <v>4060</v>
      </c>
      <c r="C9714" s="692" t="s">
        <v>4060</v>
      </c>
      <c r="D9714" s="692" t="s">
        <v>4060</v>
      </c>
      <c r="E9714" s="692" t="s">
        <v>4060</v>
      </c>
      <c r="F9714" s="692" t="s">
        <v>4060</v>
      </c>
      <c r="G9714" s="692" t="s">
        <v>4060</v>
      </c>
      <c r="H9714" s="692" t="s">
        <v>4060</v>
      </c>
      <c r="I9714" s="692" t="s">
        <v>4060</v>
      </c>
      <c r="J9714" s="692" t="s">
        <v>4060</v>
      </c>
      <c r="K9714" s="692" t="s">
        <v>4060</v>
      </c>
    </row>
    <row r="9715" spans="1:11">
      <c r="A9715" s="688" t="s">
        <v>2328</v>
      </c>
      <c r="B9715" s="689">
        <v>36.1</v>
      </c>
      <c r="C9715" s="689">
        <v>36.1</v>
      </c>
      <c r="D9715" s="689">
        <v>36.200000000000003</v>
      </c>
      <c r="E9715" s="689">
        <v>36.200000000000003</v>
      </c>
      <c r="F9715" s="689">
        <v>36.6</v>
      </c>
      <c r="G9715" s="693">
        <v>37</v>
      </c>
      <c r="H9715" s="693">
        <v>37</v>
      </c>
      <c r="I9715" s="689">
        <v>34.4</v>
      </c>
      <c r="J9715" s="689">
        <v>33.5</v>
      </c>
      <c r="K9715" s="690" t="s">
        <v>4060</v>
      </c>
    </row>
    <row r="9716" spans="1:11">
      <c r="A9716" s="688" t="s">
        <v>2496</v>
      </c>
      <c r="B9716" s="692" t="s">
        <v>4060</v>
      </c>
      <c r="C9716" s="691">
        <v>33.5</v>
      </c>
      <c r="D9716" s="691">
        <v>32.299999999999997</v>
      </c>
      <c r="E9716" s="691">
        <v>32.1</v>
      </c>
      <c r="F9716" s="691">
        <v>32.799999999999997</v>
      </c>
      <c r="G9716" s="691">
        <v>33.1</v>
      </c>
      <c r="H9716" s="691">
        <v>33.1</v>
      </c>
      <c r="I9716" s="692" t="s">
        <v>4060</v>
      </c>
      <c r="J9716" s="692" t="s">
        <v>4060</v>
      </c>
      <c r="K9716" s="691">
        <v>32.6</v>
      </c>
    </row>
    <row r="9717" spans="1:11">
      <c r="A9717" s="688" t="s">
        <v>2269</v>
      </c>
      <c r="B9717" s="689">
        <v>39.200000000000003</v>
      </c>
      <c r="C9717" s="689">
        <v>39.4</v>
      </c>
      <c r="D9717" s="689">
        <v>39.1</v>
      </c>
      <c r="E9717" s="689">
        <v>39.799999999999997</v>
      </c>
      <c r="F9717" s="689">
        <v>39.799999999999997</v>
      </c>
      <c r="G9717" s="689">
        <v>40.1</v>
      </c>
      <c r="H9717" s="689">
        <v>40.4</v>
      </c>
      <c r="I9717" s="689">
        <v>37.9</v>
      </c>
      <c r="J9717" s="689">
        <v>36.1</v>
      </c>
      <c r="K9717" s="689">
        <v>39.9</v>
      </c>
    </row>
    <row r="9718" spans="1:11">
      <c r="A9718" s="688" t="s">
        <v>2349</v>
      </c>
      <c r="B9718" s="691">
        <v>35.299999999999997</v>
      </c>
      <c r="C9718" s="691">
        <v>35.4</v>
      </c>
      <c r="D9718" s="691">
        <v>35.299999999999997</v>
      </c>
      <c r="E9718" s="691">
        <v>35.700000000000003</v>
      </c>
      <c r="F9718" s="691">
        <v>35.6</v>
      </c>
      <c r="G9718" s="691">
        <v>35.9</v>
      </c>
      <c r="H9718" s="691">
        <v>35.799999999999997</v>
      </c>
      <c r="I9718" s="615">
        <v>34</v>
      </c>
      <c r="J9718" s="691">
        <v>32.5</v>
      </c>
      <c r="K9718" s="691">
        <v>35.1</v>
      </c>
    </row>
    <row r="9719" spans="1:11">
      <c r="A9719" s="688" t="s">
        <v>2355</v>
      </c>
      <c r="B9719" s="689">
        <v>38.6</v>
      </c>
      <c r="C9719" s="689">
        <v>38.6</v>
      </c>
      <c r="D9719" s="689">
        <v>38.6</v>
      </c>
      <c r="E9719" s="689">
        <v>38.6</v>
      </c>
      <c r="F9719" s="689">
        <v>38.799999999999997</v>
      </c>
      <c r="G9719" s="689">
        <v>39.200000000000003</v>
      </c>
      <c r="H9719" s="689">
        <v>39.299999999999997</v>
      </c>
      <c r="I9719" s="690" t="s">
        <v>4060</v>
      </c>
      <c r="J9719" s="690" t="s">
        <v>4060</v>
      </c>
      <c r="K9719" s="690" t="s">
        <v>4060</v>
      </c>
    </row>
    <row r="9720" spans="1:11">
      <c r="A9720" s="688" t="s">
        <v>2357</v>
      </c>
      <c r="B9720" s="692" t="s">
        <v>4060</v>
      </c>
      <c r="C9720" s="691">
        <v>31.1</v>
      </c>
      <c r="D9720" s="691">
        <v>31.6</v>
      </c>
      <c r="E9720" s="691">
        <v>31.8</v>
      </c>
      <c r="F9720" s="691">
        <v>32.1</v>
      </c>
      <c r="G9720" s="691">
        <v>31.8</v>
      </c>
      <c r="H9720" s="615">
        <v>32</v>
      </c>
      <c r="I9720" s="692" t="s">
        <v>4060</v>
      </c>
      <c r="J9720" s="692" t="s">
        <v>4060</v>
      </c>
      <c r="K9720" s="692" t="s">
        <v>4060</v>
      </c>
    </row>
    <row r="9721" spans="1:11">
      <c r="A9721" s="688" t="s">
        <v>4070</v>
      </c>
      <c r="B9721" s="690" t="s">
        <v>4060</v>
      </c>
      <c r="C9721" s="690" t="s">
        <v>4060</v>
      </c>
      <c r="D9721" s="690" t="s">
        <v>4060</v>
      </c>
      <c r="E9721" s="689">
        <v>38.1</v>
      </c>
      <c r="F9721" s="690" t="s">
        <v>4060</v>
      </c>
      <c r="G9721" s="690" t="s">
        <v>4060</v>
      </c>
      <c r="H9721" s="690" t="s">
        <v>4060</v>
      </c>
      <c r="I9721" s="690" t="s">
        <v>4060</v>
      </c>
      <c r="J9721" s="690" t="s">
        <v>4060</v>
      </c>
      <c r="K9721" s="690" t="s">
        <v>4060</v>
      </c>
    </row>
    <row r="9722" spans="1:11">
      <c r="A9722" s="688" t="s">
        <v>2491</v>
      </c>
      <c r="B9722" s="691">
        <v>30.8</v>
      </c>
      <c r="C9722" s="691">
        <v>31.3</v>
      </c>
      <c r="D9722" s="691">
        <v>31.7</v>
      </c>
      <c r="E9722" s="615">
        <v>32</v>
      </c>
      <c r="F9722" s="691">
        <v>32.1</v>
      </c>
      <c r="G9722" s="615">
        <v>32</v>
      </c>
      <c r="H9722" s="692" t="s">
        <v>4060</v>
      </c>
      <c r="I9722" s="692" t="s">
        <v>4060</v>
      </c>
      <c r="J9722" s="692" t="s">
        <v>4060</v>
      </c>
      <c r="K9722" s="692" t="s">
        <v>4060</v>
      </c>
    </row>
    <row r="9723" spans="1:11">
      <c r="A9723" s="688" t="s">
        <v>2343</v>
      </c>
      <c r="B9723" s="690" t="s">
        <v>4060</v>
      </c>
      <c r="C9723" s="690" t="s">
        <v>4060</v>
      </c>
      <c r="D9723" s="690" t="s">
        <v>4060</v>
      </c>
      <c r="E9723" s="690" t="s">
        <v>4060</v>
      </c>
      <c r="F9723" s="690" t="s">
        <v>4060</v>
      </c>
      <c r="G9723" s="690" t="s">
        <v>4060</v>
      </c>
      <c r="H9723" s="690" t="s">
        <v>4060</v>
      </c>
      <c r="I9723" s="690" t="s">
        <v>4060</v>
      </c>
      <c r="J9723" s="690" t="s">
        <v>4060</v>
      </c>
      <c r="K9723" s="690" t="s">
        <v>4060</v>
      </c>
    </row>
    <row r="9724" spans="1:11">
      <c r="A9724" s="688" t="s">
        <v>4071</v>
      </c>
      <c r="B9724" s="692" t="s">
        <v>4060</v>
      </c>
      <c r="C9724" s="692" t="s">
        <v>4060</v>
      </c>
      <c r="D9724" s="692" t="s">
        <v>4060</v>
      </c>
      <c r="E9724" s="692" t="s">
        <v>4060</v>
      </c>
      <c r="F9724" s="692" t="s">
        <v>4060</v>
      </c>
      <c r="G9724" s="692" t="s">
        <v>4060</v>
      </c>
      <c r="H9724" s="692" t="s">
        <v>4060</v>
      </c>
      <c r="I9724" s="692" t="s">
        <v>4060</v>
      </c>
      <c r="J9724" s="692" t="s">
        <v>4060</v>
      </c>
      <c r="K9724" s="692" t="s">
        <v>4060</v>
      </c>
    </row>
    <row r="9725" spans="1:11">
      <c r="A9725" s="688" t="s">
        <v>2489</v>
      </c>
      <c r="B9725" s="690" t="s">
        <v>4060</v>
      </c>
      <c r="C9725" s="690" t="s">
        <v>4060</v>
      </c>
      <c r="D9725" s="689">
        <v>34.799999999999997</v>
      </c>
      <c r="E9725" s="689">
        <v>34.700000000000003</v>
      </c>
      <c r="F9725" s="689">
        <v>35.299999999999997</v>
      </c>
      <c r="G9725" s="689">
        <v>36.200000000000003</v>
      </c>
      <c r="H9725" s="689">
        <v>35.799999999999997</v>
      </c>
      <c r="I9725" s="690" t="s">
        <v>4060</v>
      </c>
      <c r="J9725" s="690" t="s">
        <v>4060</v>
      </c>
      <c r="K9725" s="690" t="s">
        <v>4060</v>
      </c>
    </row>
    <row r="9726" spans="1:11">
      <c r="A9726" s="688" t="s">
        <v>2490</v>
      </c>
      <c r="B9726" s="691">
        <v>35.5</v>
      </c>
      <c r="C9726" s="691">
        <v>35.6</v>
      </c>
      <c r="D9726" s="691">
        <v>36.299999999999997</v>
      </c>
      <c r="E9726" s="692" t="s">
        <v>4060</v>
      </c>
      <c r="F9726" s="691">
        <v>36.5</v>
      </c>
      <c r="G9726" s="691">
        <v>36.700000000000003</v>
      </c>
      <c r="H9726" s="691">
        <v>37.700000000000003</v>
      </c>
      <c r="I9726" s="692" t="s">
        <v>4060</v>
      </c>
      <c r="J9726" s="692" t="s">
        <v>4060</v>
      </c>
      <c r="K9726" s="692" t="s">
        <v>4060</v>
      </c>
    </row>
    <row r="9728" spans="1:11">
      <c r="A9728" s="683" t="s">
        <v>4233</v>
      </c>
    </row>
    <row r="9729" spans="1:11">
      <c r="A9729" s="683" t="s">
        <v>4060</v>
      </c>
      <c r="B9729" s="682" t="s">
        <v>4234</v>
      </c>
    </row>
    <row r="9731" spans="1:11">
      <c r="A9731" s="682" t="s">
        <v>4331</v>
      </c>
    </row>
    <row r="9732" spans="1:11">
      <c r="A9732" s="682" t="s">
        <v>4210</v>
      </c>
      <c r="B9732" s="683" t="s">
        <v>4211</v>
      </c>
    </row>
    <row r="9733" spans="1:11">
      <c r="A9733" s="682" t="s">
        <v>4212</v>
      </c>
      <c r="B9733" s="682" t="s">
        <v>4213</v>
      </c>
    </row>
    <row r="9735" spans="1:11">
      <c r="A9735" s="683" t="s">
        <v>4214</v>
      </c>
      <c r="C9735" s="682" t="s">
        <v>4215</v>
      </c>
    </row>
    <row r="9736" spans="1:11">
      <c r="A9736" s="683" t="s">
        <v>4216</v>
      </c>
      <c r="C9736" s="682" t="s">
        <v>2967</v>
      </c>
    </row>
    <row r="9737" spans="1:11">
      <c r="A9737" s="683" t="s">
        <v>3893</v>
      </c>
      <c r="C9737" s="682" t="s">
        <v>2168</v>
      </c>
    </row>
    <row r="9738" spans="1:11">
      <c r="A9738" s="683" t="s">
        <v>4218</v>
      </c>
      <c r="C9738" s="682" t="s">
        <v>4275</v>
      </c>
    </row>
    <row r="9740" spans="1:11">
      <c r="A9740" s="684" t="s">
        <v>4220</v>
      </c>
      <c r="B9740" s="685" t="s">
        <v>4221</v>
      </c>
      <c r="C9740" s="685" t="s">
        <v>4222</v>
      </c>
      <c r="D9740" s="685" t="s">
        <v>4223</v>
      </c>
      <c r="E9740" s="685" t="s">
        <v>4224</v>
      </c>
      <c r="F9740" s="685" t="s">
        <v>4225</v>
      </c>
      <c r="G9740" s="685" t="s">
        <v>4226</v>
      </c>
      <c r="H9740" s="685" t="s">
        <v>4227</v>
      </c>
      <c r="I9740" s="685" t="s">
        <v>4228</v>
      </c>
      <c r="J9740" s="685" t="s">
        <v>4229</v>
      </c>
      <c r="K9740" s="685" t="s">
        <v>4230</v>
      </c>
    </row>
    <row r="9741" spans="1:11">
      <c r="A9741" s="686" t="s">
        <v>4231</v>
      </c>
      <c r="B9741" s="687" t="s">
        <v>4232</v>
      </c>
      <c r="C9741" s="687" t="s">
        <v>4232</v>
      </c>
      <c r="D9741" s="687" t="s">
        <v>4232</v>
      </c>
      <c r="E9741" s="687" t="s">
        <v>4232</v>
      </c>
      <c r="F9741" s="687" t="s">
        <v>4232</v>
      </c>
      <c r="G9741" s="687" t="s">
        <v>4232</v>
      </c>
      <c r="H9741" s="687" t="s">
        <v>4232</v>
      </c>
      <c r="I9741" s="687" t="s">
        <v>4232</v>
      </c>
      <c r="J9741" s="687" t="s">
        <v>4232</v>
      </c>
      <c r="K9741" s="687" t="s">
        <v>4232</v>
      </c>
    </row>
    <row r="9742" spans="1:11">
      <c r="A9742" s="688" t="s">
        <v>4064</v>
      </c>
      <c r="B9742" s="691">
        <v>38.799999999999997</v>
      </c>
      <c r="C9742" s="615">
        <v>39</v>
      </c>
      <c r="D9742" s="615">
        <v>39</v>
      </c>
      <c r="E9742" s="691">
        <v>39.1</v>
      </c>
      <c r="F9742" s="691">
        <v>39.200000000000003</v>
      </c>
      <c r="G9742" s="691">
        <v>39.299999999999997</v>
      </c>
      <c r="H9742" s="691">
        <v>39.6</v>
      </c>
      <c r="I9742" s="691">
        <v>38.700000000000003</v>
      </c>
      <c r="J9742" s="691">
        <v>38.4</v>
      </c>
      <c r="K9742" s="691">
        <v>39.1</v>
      </c>
    </row>
    <row r="9743" spans="1:11">
      <c r="A9743" s="688" t="s">
        <v>4065</v>
      </c>
      <c r="B9743" s="693">
        <v>39</v>
      </c>
      <c r="C9743" s="689">
        <v>39.4</v>
      </c>
      <c r="D9743" s="689">
        <v>39.200000000000003</v>
      </c>
      <c r="E9743" s="689">
        <v>39.5</v>
      </c>
      <c r="F9743" s="689">
        <v>39.5</v>
      </c>
      <c r="G9743" s="689">
        <v>39.6</v>
      </c>
      <c r="H9743" s="690" t="s">
        <v>4060</v>
      </c>
      <c r="I9743" s="690" t="s">
        <v>4060</v>
      </c>
      <c r="J9743" s="690" t="s">
        <v>4060</v>
      </c>
      <c r="K9743" s="690" t="s">
        <v>4060</v>
      </c>
    </row>
    <row r="9744" spans="1:11">
      <c r="A9744" s="688" t="s">
        <v>4063</v>
      </c>
      <c r="B9744" s="691">
        <v>39.1</v>
      </c>
      <c r="C9744" s="691">
        <v>39.4</v>
      </c>
      <c r="D9744" s="691">
        <v>39.200000000000003</v>
      </c>
      <c r="E9744" s="691">
        <v>39.5</v>
      </c>
      <c r="F9744" s="691">
        <v>39.6</v>
      </c>
      <c r="G9744" s="691">
        <v>39.6</v>
      </c>
      <c r="H9744" s="692" t="s">
        <v>4060</v>
      </c>
      <c r="I9744" s="692" t="s">
        <v>4060</v>
      </c>
      <c r="J9744" s="692" t="s">
        <v>4060</v>
      </c>
      <c r="K9744" s="692" t="s">
        <v>4060</v>
      </c>
    </row>
    <row r="9745" spans="1:11">
      <c r="A9745" s="688" t="s">
        <v>4069</v>
      </c>
      <c r="B9745" s="690" t="s">
        <v>4060</v>
      </c>
      <c r="C9745" s="689">
        <v>40.1</v>
      </c>
      <c r="D9745" s="689">
        <v>39.9</v>
      </c>
      <c r="E9745" s="689">
        <v>40.200000000000003</v>
      </c>
      <c r="F9745" s="689">
        <v>40.299999999999997</v>
      </c>
      <c r="G9745" s="689">
        <v>40.4</v>
      </c>
      <c r="H9745" s="689">
        <v>40.700000000000003</v>
      </c>
      <c r="I9745" s="689">
        <v>39.9</v>
      </c>
      <c r="J9745" s="689">
        <v>39.9</v>
      </c>
      <c r="K9745" s="689">
        <v>40.200000000000003</v>
      </c>
    </row>
    <row r="9746" spans="1:11">
      <c r="A9746" s="688" t="s">
        <v>4068</v>
      </c>
      <c r="B9746" s="615">
        <v>40</v>
      </c>
      <c r="C9746" s="692" t="s">
        <v>4060</v>
      </c>
      <c r="D9746" s="692" t="s">
        <v>4060</v>
      </c>
      <c r="E9746" s="692" t="s">
        <v>4060</v>
      </c>
      <c r="F9746" s="692" t="s">
        <v>4060</v>
      </c>
      <c r="G9746" s="692" t="s">
        <v>4060</v>
      </c>
      <c r="H9746" s="692" t="s">
        <v>4060</v>
      </c>
      <c r="I9746" s="692" t="s">
        <v>4060</v>
      </c>
      <c r="J9746" s="692" t="s">
        <v>4060</v>
      </c>
      <c r="K9746" s="692" t="s">
        <v>4060</v>
      </c>
    </row>
    <row r="9747" spans="1:11">
      <c r="A9747" s="688" t="s">
        <v>0</v>
      </c>
      <c r="B9747" s="689">
        <v>39.4</v>
      </c>
      <c r="C9747" s="689">
        <v>39.9</v>
      </c>
      <c r="D9747" s="689">
        <v>39.799999999999997</v>
      </c>
      <c r="E9747" s="689">
        <v>40.1</v>
      </c>
      <c r="F9747" s="689">
        <v>40.299999999999997</v>
      </c>
      <c r="G9747" s="689">
        <v>40.4</v>
      </c>
      <c r="H9747" s="689">
        <v>40.799999999999997</v>
      </c>
      <c r="I9747" s="689">
        <v>39.6</v>
      </c>
      <c r="J9747" s="689">
        <v>40.4</v>
      </c>
      <c r="K9747" s="689">
        <v>40.700000000000003</v>
      </c>
    </row>
    <row r="9748" spans="1:11">
      <c r="A9748" s="688" t="s">
        <v>1</v>
      </c>
      <c r="B9748" s="691">
        <v>33.5</v>
      </c>
      <c r="C9748" s="691">
        <v>33.1</v>
      </c>
      <c r="D9748" s="691">
        <v>33.1</v>
      </c>
      <c r="E9748" s="691">
        <v>33.200000000000003</v>
      </c>
      <c r="F9748" s="691">
        <v>33.200000000000003</v>
      </c>
      <c r="G9748" s="691">
        <v>33.299999999999997</v>
      </c>
      <c r="H9748" s="691">
        <v>33.299999999999997</v>
      </c>
      <c r="I9748" s="691">
        <v>31.5</v>
      </c>
      <c r="J9748" s="691">
        <v>29.9</v>
      </c>
      <c r="K9748" s="691">
        <v>32.4</v>
      </c>
    </row>
    <row r="9749" spans="1:11">
      <c r="A9749" s="688" t="s">
        <v>2240</v>
      </c>
      <c r="B9749" s="689">
        <v>36.5</v>
      </c>
      <c r="C9749" s="693">
        <v>37</v>
      </c>
      <c r="D9749" s="689">
        <v>36.9</v>
      </c>
      <c r="E9749" s="689">
        <v>37.299999999999997</v>
      </c>
      <c r="F9749" s="689">
        <v>37.299999999999997</v>
      </c>
      <c r="G9749" s="689">
        <v>37.4</v>
      </c>
      <c r="H9749" s="689">
        <v>37.6</v>
      </c>
      <c r="I9749" s="689">
        <v>36.5</v>
      </c>
      <c r="J9749" s="689">
        <v>35.299999999999997</v>
      </c>
      <c r="K9749" s="689">
        <v>37.4</v>
      </c>
    </row>
    <row r="9750" spans="1:11">
      <c r="A9750" s="688" t="s">
        <v>2</v>
      </c>
      <c r="B9750" s="691">
        <v>39.299999999999997</v>
      </c>
      <c r="C9750" s="691">
        <v>39.700000000000003</v>
      </c>
      <c r="D9750" s="691">
        <v>39.799999999999997</v>
      </c>
      <c r="E9750" s="615">
        <v>40</v>
      </c>
      <c r="F9750" s="691">
        <v>40.200000000000003</v>
      </c>
      <c r="G9750" s="691">
        <v>40.1</v>
      </c>
      <c r="H9750" s="691">
        <v>40.4</v>
      </c>
      <c r="I9750" s="691">
        <v>40.6</v>
      </c>
      <c r="J9750" s="691">
        <v>40.5</v>
      </c>
      <c r="K9750" s="691">
        <v>40.4</v>
      </c>
    </row>
    <row r="9751" spans="1:11">
      <c r="A9751" s="688" t="s">
        <v>3</v>
      </c>
      <c r="B9751" s="689">
        <v>39.299999999999997</v>
      </c>
      <c r="C9751" s="689">
        <v>39.5</v>
      </c>
      <c r="D9751" s="689">
        <v>39.200000000000003</v>
      </c>
      <c r="E9751" s="689">
        <v>39.5</v>
      </c>
      <c r="F9751" s="689">
        <v>39.6</v>
      </c>
      <c r="G9751" s="689">
        <v>39.6</v>
      </c>
      <c r="H9751" s="689">
        <v>39.9</v>
      </c>
      <c r="I9751" s="689">
        <v>39.6</v>
      </c>
      <c r="J9751" s="689">
        <v>39.299999999999997</v>
      </c>
      <c r="K9751" s="689">
        <v>39.200000000000003</v>
      </c>
    </row>
    <row r="9752" spans="1:11">
      <c r="A9752" s="688" t="s">
        <v>4061</v>
      </c>
      <c r="B9752" s="691">
        <v>39.299999999999997</v>
      </c>
      <c r="C9752" s="691">
        <v>39.5</v>
      </c>
      <c r="D9752" s="691">
        <v>39.200000000000003</v>
      </c>
      <c r="E9752" s="691">
        <v>39.5</v>
      </c>
      <c r="F9752" s="691">
        <v>39.6</v>
      </c>
      <c r="G9752" s="691">
        <v>39.6</v>
      </c>
      <c r="H9752" s="691">
        <v>39.9</v>
      </c>
      <c r="I9752" s="691">
        <v>39.6</v>
      </c>
      <c r="J9752" s="691">
        <v>39.299999999999997</v>
      </c>
      <c r="K9752" s="691">
        <v>39.200000000000003</v>
      </c>
    </row>
    <row r="9753" spans="1:11">
      <c r="A9753" s="688" t="s">
        <v>4</v>
      </c>
      <c r="B9753" s="689">
        <v>34.700000000000003</v>
      </c>
      <c r="C9753" s="689">
        <v>34.5</v>
      </c>
      <c r="D9753" s="693">
        <v>35</v>
      </c>
      <c r="E9753" s="693">
        <v>35</v>
      </c>
      <c r="F9753" s="689">
        <v>35.4</v>
      </c>
      <c r="G9753" s="689">
        <v>35.4</v>
      </c>
      <c r="H9753" s="689">
        <v>35.799999999999997</v>
      </c>
      <c r="I9753" s="689">
        <v>35.700000000000003</v>
      </c>
      <c r="J9753" s="689">
        <v>34.299999999999997</v>
      </c>
      <c r="K9753" s="689">
        <v>35.1</v>
      </c>
    </row>
    <row r="9754" spans="1:11">
      <c r="A9754" s="688" t="s">
        <v>8</v>
      </c>
      <c r="B9754" s="691">
        <v>40.299999999999997</v>
      </c>
      <c r="C9754" s="691">
        <v>40.6</v>
      </c>
      <c r="D9754" s="691">
        <v>40.700000000000003</v>
      </c>
      <c r="E9754" s="691">
        <v>40.799999999999997</v>
      </c>
      <c r="F9754" s="691">
        <v>41.2</v>
      </c>
      <c r="G9754" s="691">
        <v>41.2</v>
      </c>
      <c r="H9754" s="691">
        <v>41.6</v>
      </c>
      <c r="I9754" s="691">
        <v>41.6</v>
      </c>
      <c r="J9754" s="691">
        <v>41.3</v>
      </c>
      <c r="K9754" s="691">
        <v>41.7</v>
      </c>
    </row>
    <row r="9755" spans="1:11">
      <c r="A9755" s="688" t="s">
        <v>7</v>
      </c>
      <c r="B9755" s="693">
        <v>40</v>
      </c>
      <c r="C9755" s="689">
        <v>39.5</v>
      </c>
      <c r="D9755" s="689">
        <v>39.299999999999997</v>
      </c>
      <c r="E9755" s="689">
        <v>39.700000000000003</v>
      </c>
      <c r="F9755" s="689">
        <v>39.6</v>
      </c>
      <c r="G9755" s="693">
        <v>40</v>
      </c>
      <c r="H9755" s="693">
        <v>40</v>
      </c>
      <c r="I9755" s="689">
        <v>39.700000000000003</v>
      </c>
      <c r="J9755" s="689">
        <v>38.6</v>
      </c>
      <c r="K9755" s="689">
        <v>39.4</v>
      </c>
    </row>
    <row r="9756" spans="1:11">
      <c r="A9756" s="688" t="s">
        <v>27</v>
      </c>
      <c r="B9756" s="691">
        <v>41.1</v>
      </c>
      <c r="C9756" s="615">
        <v>41</v>
      </c>
      <c r="D9756" s="691">
        <v>40.700000000000003</v>
      </c>
      <c r="E9756" s="691">
        <v>41.1</v>
      </c>
      <c r="F9756" s="691">
        <v>41.2</v>
      </c>
      <c r="G9756" s="691">
        <v>41.3</v>
      </c>
      <c r="H9756" s="691">
        <v>41.6</v>
      </c>
      <c r="I9756" s="691">
        <v>40.4</v>
      </c>
      <c r="J9756" s="691">
        <v>41.1</v>
      </c>
      <c r="K9756" s="691">
        <v>41.3</v>
      </c>
    </row>
    <row r="9757" spans="1:11">
      <c r="A9757" s="688" t="s">
        <v>6</v>
      </c>
      <c r="B9757" s="689">
        <v>40.4</v>
      </c>
      <c r="C9757" s="689">
        <v>40.6</v>
      </c>
      <c r="D9757" s="689">
        <v>40.4</v>
      </c>
      <c r="E9757" s="689">
        <v>40.6</v>
      </c>
      <c r="F9757" s="689">
        <v>40.799999999999997</v>
      </c>
      <c r="G9757" s="689">
        <v>40.9</v>
      </c>
      <c r="H9757" s="689">
        <v>41.1</v>
      </c>
      <c r="I9757" s="689">
        <v>40.4</v>
      </c>
      <c r="J9757" s="689">
        <v>40.5</v>
      </c>
      <c r="K9757" s="689">
        <v>40.700000000000003</v>
      </c>
    </row>
    <row r="9758" spans="1:11">
      <c r="A9758" s="688" t="s">
        <v>4058</v>
      </c>
      <c r="B9758" s="692" t="s">
        <v>4060</v>
      </c>
      <c r="C9758" s="692" t="s">
        <v>4060</v>
      </c>
      <c r="D9758" s="692" t="s">
        <v>4060</v>
      </c>
      <c r="E9758" s="692" t="s">
        <v>4060</v>
      </c>
      <c r="F9758" s="692" t="s">
        <v>4060</v>
      </c>
      <c r="G9758" s="692" t="s">
        <v>4060</v>
      </c>
      <c r="H9758" s="692" t="s">
        <v>4060</v>
      </c>
      <c r="I9758" s="692" t="s">
        <v>4060</v>
      </c>
      <c r="J9758" s="692" t="s">
        <v>4060</v>
      </c>
      <c r="K9758" s="692" t="s">
        <v>4060</v>
      </c>
    </row>
    <row r="9759" spans="1:11">
      <c r="A9759" s="688" t="s">
        <v>11</v>
      </c>
      <c r="B9759" s="689">
        <v>35.9</v>
      </c>
      <c r="C9759" s="693">
        <v>36</v>
      </c>
      <c r="D9759" s="689">
        <v>35.700000000000003</v>
      </c>
      <c r="E9759" s="689">
        <v>36.200000000000003</v>
      </c>
      <c r="F9759" s="689">
        <v>36.200000000000003</v>
      </c>
      <c r="G9759" s="689">
        <v>36.200000000000003</v>
      </c>
      <c r="H9759" s="689">
        <v>36.6</v>
      </c>
      <c r="I9759" s="689">
        <v>35.9</v>
      </c>
      <c r="J9759" s="689">
        <v>34.799999999999997</v>
      </c>
      <c r="K9759" s="693">
        <v>36</v>
      </c>
    </row>
    <row r="9760" spans="1:11">
      <c r="A9760" s="688" t="s">
        <v>10</v>
      </c>
      <c r="B9760" s="691">
        <v>41.3</v>
      </c>
      <c r="C9760" s="691">
        <v>41.4</v>
      </c>
      <c r="D9760" s="691">
        <v>41.1</v>
      </c>
      <c r="E9760" s="691">
        <v>41.6</v>
      </c>
      <c r="F9760" s="691">
        <v>41.5</v>
      </c>
      <c r="G9760" s="691">
        <v>41.9</v>
      </c>
      <c r="H9760" s="691">
        <v>42.1</v>
      </c>
      <c r="I9760" s="691">
        <v>40.700000000000003</v>
      </c>
      <c r="J9760" s="691">
        <v>41.3</v>
      </c>
      <c r="K9760" s="691">
        <v>41.5</v>
      </c>
    </row>
    <row r="9761" spans="1:11">
      <c r="A9761" s="688" t="s">
        <v>30</v>
      </c>
      <c r="B9761" s="689">
        <v>41.1</v>
      </c>
      <c r="C9761" s="689">
        <v>41.2</v>
      </c>
      <c r="D9761" s="693">
        <v>41</v>
      </c>
      <c r="E9761" s="689">
        <v>41.6</v>
      </c>
      <c r="F9761" s="689">
        <v>41.2</v>
      </c>
      <c r="G9761" s="689">
        <v>42.1</v>
      </c>
      <c r="H9761" s="689">
        <v>41.8</v>
      </c>
      <c r="I9761" s="689">
        <v>41.7</v>
      </c>
      <c r="J9761" s="689">
        <v>40.9</v>
      </c>
      <c r="K9761" s="689">
        <v>41.3</v>
      </c>
    </row>
    <row r="9762" spans="1:11">
      <c r="A9762" s="688" t="s">
        <v>12</v>
      </c>
      <c r="B9762" s="691">
        <v>31.8</v>
      </c>
      <c r="C9762" s="691">
        <v>31.8</v>
      </c>
      <c r="D9762" s="691">
        <v>32.299999999999997</v>
      </c>
      <c r="E9762" s="691">
        <v>32.299999999999997</v>
      </c>
      <c r="F9762" s="691">
        <v>32.299999999999997</v>
      </c>
      <c r="G9762" s="691">
        <v>32.299999999999997</v>
      </c>
      <c r="H9762" s="615">
        <v>33</v>
      </c>
      <c r="I9762" s="691">
        <v>32.6</v>
      </c>
      <c r="J9762" s="691">
        <v>30.4</v>
      </c>
      <c r="K9762" s="691">
        <v>31.7</v>
      </c>
    </row>
    <row r="9763" spans="1:11">
      <c r="A9763" s="688" t="s">
        <v>14</v>
      </c>
      <c r="B9763" s="689">
        <v>31.5</v>
      </c>
      <c r="C9763" s="689">
        <v>32.1</v>
      </c>
      <c r="D9763" s="689">
        <v>31.9</v>
      </c>
      <c r="E9763" s="693">
        <v>32</v>
      </c>
      <c r="F9763" s="693">
        <v>33</v>
      </c>
      <c r="G9763" s="689">
        <v>33.299999999999997</v>
      </c>
      <c r="H9763" s="689">
        <v>33.6</v>
      </c>
      <c r="I9763" s="689">
        <v>32.200000000000003</v>
      </c>
      <c r="J9763" s="689">
        <v>31.7</v>
      </c>
      <c r="K9763" s="689">
        <v>33.200000000000003</v>
      </c>
    </row>
    <row r="9764" spans="1:11">
      <c r="A9764" s="688" t="s">
        <v>15</v>
      </c>
      <c r="B9764" s="691">
        <v>40.9</v>
      </c>
      <c r="C9764" s="691">
        <v>40.200000000000003</v>
      </c>
      <c r="D9764" s="691">
        <v>40.9</v>
      </c>
      <c r="E9764" s="691">
        <v>40.799999999999997</v>
      </c>
      <c r="F9764" s="691">
        <v>40.700000000000003</v>
      </c>
      <c r="G9764" s="691">
        <v>40.799999999999997</v>
      </c>
      <c r="H9764" s="691">
        <v>41.3</v>
      </c>
      <c r="I9764" s="691">
        <v>40.799999999999997</v>
      </c>
      <c r="J9764" s="691">
        <v>41.1</v>
      </c>
      <c r="K9764" s="691">
        <v>41.8</v>
      </c>
    </row>
    <row r="9765" spans="1:11">
      <c r="A9765" s="688" t="s">
        <v>29</v>
      </c>
      <c r="B9765" s="689">
        <v>33.6</v>
      </c>
      <c r="C9765" s="689">
        <v>33.6</v>
      </c>
      <c r="D9765" s="689">
        <v>33.6</v>
      </c>
      <c r="E9765" s="689">
        <v>33.799999999999997</v>
      </c>
      <c r="F9765" s="689">
        <v>33.799999999999997</v>
      </c>
      <c r="G9765" s="689">
        <v>33.799999999999997</v>
      </c>
      <c r="H9765" s="689">
        <v>34.200000000000003</v>
      </c>
      <c r="I9765" s="689">
        <v>33.5</v>
      </c>
      <c r="J9765" s="689">
        <v>32.1</v>
      </c>
      <c r="K9765" s="689">
        <v>33.9</v>
      </c>
    </row>
    <row r="9766" spans="1:11">
      <c r="A9766" s="688" t="s">
        <v>16</v>
      </c>
      <c r="B9766" s="691">
        <v>40.799999999999997</v>
      </c>
      <c r="C9766" s="691">
        <v>40.799999999999997</v>
      </c>
      <c r="D9766" s="615">
        <v>41</v>
      </c>
      <c r="E9766" s="691">
        <v>41.6</v>
      </c>
      <c r="F9766" s="691">
        <v>41.4</v>
      </c>
      <c r="G9766" s="691">
        <v>41.3</v>
      </c>
      <c r="H9766" s="691">
        <v>41.7</v>
      </c>
      <c r="I9766" s="691">
        <v>40.799999999999997</v>
      </c>
      <c r="J9766" s="691">
        <v>41.2</v>
      </c>
      <c r="K9766" s="691">
        <v>41.3</v>
      </c>
    </row>
    <row r="9767" spans="1:11">
      <c r="A9767" s="688" t="s">
        <v>17</v>
      </c>
      <c r="B9767" s="689">
        <v>40.6</v>
      </c>
      <c r="C9767" s="689">
        <v>40.9</v>
      </c>
      <c r="D9767" s="689">
        <v>40.700000000000003</v>
      </c>
      <c r="E9767" s="689">
        <v>40.799999999999997</v>
      </c>
      <c r="F9767" s="689">
        <v>41.1</v>
      </c>
      <c r="G9767" s="689">
        <v>41.2</v>
      </c>
      <c r="H9767" s="689">
        <v>41.5</v>
      </c>
      <c r="I9767" s="689">
        <v>40.700000000000003</v>
      </c>
      <c r="J9767" s="689">
        <v>40.700000000000003</v>
      </c>
      <c r="K9767" s="689">
        <v>41.1</v>
      </c>
    </row>
    <row r="9768" spans="1:11">
      <c r="A9768" s="688" t="s">
        <v>19</v>
      </c>
      <c r="B9768" s="691">
        <v>39.799999999999997</v>
      </c>
      <c r="C9768" s="615">
        <v>40</v>
      </c>
      <c r="D9768" s="691">
        <v>39.799999999999997</v>
      </c>
      <c r="E9768" s="691">
        <v>40.299999999999997</v>
      </c>
      <c r="F9768" s="691">
        <v>40.4</v>
      </c>
      <c r="G9768" s="691">
        <v>40.4</v>
      </c>
      <c r="H9768" s="691">
        <v>40.700000000000003</v>
      </c>
      <c r="I9768" s="615">
        <v>40</v>
      </c>
      <c r="J9768" s="691">
        <v>39.9</v>
      </c>
      <c r="K9768" s="691">
        <v>40.1</v>
      </c>
    </row>
    <row r="9769" spans="1:11">
      <c r="A9769" s="688" t="s">
        <v>20</v>
      </c>
      <c r="B9769" s="689">
        <v>34.9</v>
      </c>
      <c r="C9769" s="689">
        <v>35.4</v>
      </c>
      <c r="D9769" s="689">
        <v>35.200000000000003</v>
      </c>
      <c r="E9769" s="689">
        <v>35.5</v>
      </c>
      <c r="F9769" s="689">
        <v>35.5</v>
      </c>
      <c r="G9769" s="689">
        <v>35.4</v>
      </c>
      <c r="H9769" s="689">
        <v>35.799999999999997</v>
      </c>
      <c r="I9769" s="689">
        <v>34.1</v>
      </c>
      <c r="J9769" s="689">
        <v>33.299999999999997</v>
      </c>
      <c r="K9769" s="689">
        <v>35.1</v>
      </c>
    </row>
    <row r="9770" spans="1:11">
      <c r="A9770" s="688" t="s">
        <v>21</v>
      </c>
      <c r="B9770" s="691">
        <v>38.799999999999997</v>
      </c>
      <c r="C9770" s="691">
        <v>39.299999999999997</v>
      </c>
      <c r="D9770" s="691">
        <v>39.4</v>
      </c>
      <c r="E9770" s="691">
        <v>39.299999999999997</v>
      </c>
      <c r="F9770" s="691">
        <v>39.700000000000003</v>
      </c>
      <c r="G9770" s="691">
        <v>39.6</v>
      </c>
      <c r="H9770" s="691">
        <v>40.1</v>
      </c>
      <c r="I9770" s="691">
        <v>39.5</v>
      </c>
      <c r="J9770" s="691">
        <v>39.5</v>
      </c>
      <c r="K9770" s="691">
        <v>39.9</v>
      </c>
    </row>
    <row r="9771" spans="1:11">
      <c r="A9771" s="688" t="s">
        <v>22</v>
      </c>
      <c r="B9771" s="689">
        <v>33.799999999999997</v>
      </c>
      <c r="C9771" s="689">
        <v>33.5</v>
      </c>
      <c r="D9771" s="689">
        <v>33.4</v>
      </c>
      <c r="E9771" s="689">
        <v>33.6</v>
      </c>
      <c r="F9771" s="689">
        <v>33.6</v>
      </c>
      <c r="G9771" s="689">
        <v>33.5</v>
      </c>
      <c r="H9771" s="689">
        <v>33.700000000000003</v>
      </c>
      <c r="I9771" s="689">
        <v>32.1</v>
      </c>
      <c r="J9771" s="693">
        <v>31</v>
      </c>
      <c r="K9771" s="689">
        <v>33.1</v>
      </c>
    </row>
    <row r="9772" spans="1:11">
      <c r="A9772" s="688" t="s">
        <v>26</v>
      </c>
      <c r="B9772" s="691">
        <v>38.5</v>
      </c>
      <c r="C9772" s="615">
        <v>39</v>
      </c>
      <c r="D9772" s="691">
        <v>38.700000000000003</v>
      </c>
      <c r="E9772" s="691">
        <v>39.200000000000003</v>
      </c>
      <c r="F9772" s="691">
        <v>39.1</v>
      </c>
      <c r="G9772" s="691">
        <v>39.4</v>
      </c>
      <c r="H9772" s="691">
        <v>39.700000000000003</v>
      </c>
      <c r="I9772" s="691">
        <v>38.700000000000003</v>
      </c>
      <c r="J9772" s="691">
        <v>38.6</v>
      </c>
      <c r="K9772" s="691">
        <v>39.6</v>
      </c>
    </row>
    <row r="9773" spans="1:11">
      <c r="A9773" s="688" t="s">
        <v>25</v>
      </c>
      <c r="B9773" s="689">
        <v>34.6</v>
      </c>
      <c r="C9773" s="693">
        <v>35</v>
      </c>
      <c r="D9773" s="689">
        <v>34.799999999999997</v>
      </c>
      <c r="E9773" s="689">
        <v>35.4</v>
      </c>
      <c r="F9773" s="689">
        <v>35.4</v>
      </c>
      <c r="G9773" s="689">
        <v>35.5</v>
      </c>
      <c r="H9773" s="693">
        <v>36</v>
      </c>
      <c r="I9773" s="689">
        <v>35.200000000000003</v>
      </c>
      <c r="J9773" s="689">
        <v>32.9</v>
      </c>
      <c r="K9773" s="689">
        <v>35.299999999999997</v>
      </c>
    </row>
    <row r="9774" spans="1:11">
      <c r="A9774" s="688" t="s">
        <v>5</v>
      </c>
      <c r="B9774" s="691">
        <v>39.4</v>
      </c>
      <c r="C9774" s="691">
        <v>39.5</v>
      </c>
      <c r="D9774" s="691">
        <v>39.700000000000003</v>
      </c>
      <c r="E9774" s="691">
        <v>39.700000000000003</v>
      </c>
      <c r="F9774" s="691">
        <v>40.1</v>
      </c>
      <c r="G9774" s="691">
        <v>40.200000000000003</v>
      </c>
      <c r="H9774" s="691">
        <v>40.6</v>
      </c>
      <c r="I9774" s="691">
        <v>40.4</v>
      </c>
      <c r="J9774" s="691">
        <v>40.4</v>
      </c>
      <c r="K9774" s="691">
        <v>39.9</v>
      </c>
    </row>
    <row r="9775" spans="1:11">
      <c r="A9775" s="688" t="s">
        <v>23</v>
      </c>
      <c r="B9775" s="689">
        <v>41.3</v>
      </c>
      <c r="C9775" s="689">
        <v>41.5</v>
      </c>
      <c r="D9775" s="689">
        <v>41.5</v>
      </c>
      <c r="E9775" s="689">
        <v>41.7</v>
      </c>
      <c r="F9775" s="689">
        <v>41.9</v>
      </c>
      <c r="G9775" s="689">
        <v>41.9</v>
      </c>
      <c r="H9775" s="689">
        <v>42.4</v>
      </c>
      <c r="I9775" s="689">
        <v>41.7</v>
      </c>
      <c r="J9775" s="689">
        <v>42.2</v>
      </c>
      <c r="K9775" s="689">
        <v>42.4</v>
      </c>
    </row>
    <row r="9776" spans="1:11">
      <c r="A9776" s="688" t="s">
        <v>4067</v>
      </c>
      <c r="B9776" s="691">
        <v>39.1</v>
      </c>
      <c r="C9776" s="691">
        <v>39.4</v>
      </c>
      <c r="D9776" s="691">
        <v>39.200000000000003</v>
      </c>
      <c r="E9776" s="691">
        <v>39.5</v>
      </c>
      <c r="F9776" s="691">
        <v>39.6</v>
      </c>
      <c r="G9776" s="691">
        <v>39.6</v>
      </c>
      <c r="H9776" s="692" t="s">
        <v>4060</v>
      </c>
      <c r="I9776" s="692" t="s">
        <v>4060</v>
      </c>
      <c r="J9776" s="692" t="s">
        <v>4060</v>
      </c>
      <c r="K9776" s="692" t="s">
        <v>4060</v>
      </c>
    </row>
    <row r="9777" spans="1:11">
      <c r="A9777" s="688" t="s">
        <v>4066</v>
      </c>
      <c r="B9777" s="689">
        <v>39.1</v>
      </c>
      <c r="C9777" s="689">
        <v>39.5</v>
      </c>
      <c r="D9777" s="689">
        <v>39.200000000000003</v>
      </c>
      <c r="E9777" s="689">
        <v>39.5</v>
      </c>
      <c r="F9777" s="689">
        <v>39.6</v>
      </c>
      <c r="G9777" s="689">
        <v>39.700000000000003</v>
      </c>
      <c r="H9777" s="690" t="s">
        <v>4060</v>
      </c>
      <c r="I9777" s="690" t="s">
        <v>4060</v>
      </c>
      <c r="J9777" s="690" t="s">
        <v>4060</v>
      </c>
      <c r="K9777" s="690" t="s">
        <v>4060</v>
      </c>
    </row>
    <row r="9778" spans="1:11">
      <c r="A9778" s="688" t="s">
        <v>4062</v>
      </c>
      <c r="B9778" s="691">
        <v>41.5</v>
      </c>
      <c r="C9778" s="691">
        <v>41.7</v>
      </c>
      <c r="D9778" s="691">
        <v>41.7</v>
      </c>
      <c r="E9778" s="691">
        <v>42.1</v>
      </c>
      <c r="F9778" s="691">
        <v>42.2</v>
      </c>
      <c r="G9778" s="691">
        <v>42.4</v>
      </c>
      <c r="H9778" s="691">
        <v>42.6</v>
      </c>
      <c r="I9778" s="691">
        <v>42.2</v>
      </c>
      <c r="J9778" s="691">
        <v>42.6</v>
      </c>
      <c r="K9778" s="691">
        <v>42.4</v>
      </c>
    </row>
    <row r="9779" spans="1:11">
      <c r="A9779" s="688" t="s">
        <v>9</v>
      </c>
      <c r="B9779" s="689">
        <v>41.6</v>
      </c>
      <c r="C9779" s="693">
        <v>42</v>
      </c>
      <c r="D9779" s="689">
        <v>42.3</v>
      </c>
      <c r="E9779" s="689">
        <v>41.7</v>
      </c>
      <c r="F9779" s="689">
        <v>42.2</v>
      </c>
      <c r="G9779" s="689">
        <v>42.5</v>
      </c>
      <c r="H9779" s="689">
        <v>42.4</v>
      </c>
      <c r="I9779" s="689">
        <v>42.7</v>
      </c>
      <c r="J9779" s="693">
        <v>43</v>
      </c>
      <c r="K9779" s="689">
        <v>41.8</v>
      </c>
    </row>
    <row r="9780" spans="1:11">
      <c r="A9780" s="688" t="s">
        <v>13</v>
      </c>
      <c r="B9780" s="615">
        <v>41</v>
      </c>
      <c r="C9780" s="691">
        <v>41.6</v>
      </c>
      <c r="D9780" s="691">
        <v>41.6</v>
      </c>
      <c r="E9780" s="615">
        <v>41</v>
      </c>
      <c r="F9780" s="691">
        <v>41.8</v>
      </c>
      <c r="G9780" s="691">
        <v>41.7</v>
      </c>
      <c r="H9780" s="691">
        <v>42.8</v>
      </c>
      <c r="I9780" s="691">
        <v>41.8</v>
      </c>
      <c r="J9780" s="691">
        <v>42.7</v>
      </c>
      <c r="K9780" s="691">
        <v>43.4</v>
      </c>
    </row>
    <row r="9781" spans="1:11">
      <c r="A9781" s="688" t="s">
        <v>18</v>
      </c>
      <c r="B9781" s="689">
        <v>40.9</v>
      </c>
      <c r="C9781" s="689">
        <v>41.2</v>
      </c>
      <c r="D9781" s="689">
        <v>41.4</v>
      </c>
      <c r="E9781" s="689">
        <v>41.7</v>
      </c>
      <c r="F9781" s="689">
        <v>41.9</v>
      </c>
      <c r="G9781" s="689">
        <v>42.1</v>
      </c>
      <c r="H9781" s="689">
        <v>42.3</v>
      </c>
      <c r="I9781" s="689">
        <v>42.5</v>
      </c>
      <c r="J9781" s="689">
        <v>42.5</v>
      </c>
      <c r="K9781" s="689">
        <v>41.9</v>
      </c>
    </row>
    <row r="9782" spans="1:11">
      <c r="A9782" s="688" t="s">
        <v>24</v>
      </c>
      <c r="B9782" s="691">
        <v>41.8</v>
      </c>
      <c r="C9782" s="615">
        <v>42</v>
      </c>
      <c r="D9782" s="691">
        <v>41.8</v>
      </c>
      <c r="E9782" s="691">
        <v>42.4</v>
      </c>
      <c r="F9782" s="691">
        <v>42.4</v>
      </c>
      <c r="G9782" s="691">
        <v>42.7</v>
      </c>
      <c r="H9782" s="691">
        <v>42.8</v>
      </c>
      <c r="I9782" s="615">
        <v>42</v>
      </c>
      <c r="J9782" s="691">
        <v>42.6</v>
      </c>
      <c r="K9782" s="691">
        <v>42.6</v>
      </c>
    </row>
    <row r="9783" spans="1:11">
      <c r="A9783" s="688" t="s">
        <v>4059</v>
      </c>
      <c r="B9783" s="689">
        <v>40.5</v>
      </c>
      <c r="C9783" s="689">
        <v>40.799999999999997</v>
      </c>
      <c r="D9783" s="689">
        <v>40.5</v>
      </c>
      <c r="E9783" s="689">
        <v>40.700000000000003</v>
      </c>
      <c r="F9783" s="689">
        <v>40.799999999999997</v>
      </c>
      <c r="G9783" s="689">
        <v>40.799999999999997</v>
      </c>
      <c r="H9783" s="690" t="s">
        <v>4060</v>
      </c>
      <c r="I9783" s="690" t="s">
        <v>4060</v>
      </c>
      <c r="J9783" s="690" t="s">
        <v>4060</v>
      </c>
      <c r="K9783" s="690" t="s">
        <v>4060</v>
      </c>
    </row>
    <row r="9784" spans="1:11">
      <c r="A9784" s="688" t="s">
        <v>2324</v>
      </c>
      <c r="B9784" s="691">
        <v>35.5</v>
      </c>
      <c r="C9784" s="691">
        <v>35.6</v>
      </c>
      <c r="D9784" s="691">
        <v>35.6</v>
      </c>
      <c r="E9784" s="691">
        <v>35.299999999999997</v>
      </c>
      <c r="F9784" s="691">
        <v>35.4</v>
      </c>
      <c r="G9784" s="691">
        <v>35.700000000000003</v>
      </c>
      <c r="H9784" s="691">
        <v>35.4</v>
      </c>
      <c r="I9784" s="691">
        <v>34.5</v>
      </c>
      <c r="J9784" s="615">
        <v>32</v>
      </c>
      <c r="K9784" s="692" t="s">
        <v>4060</v>
      </c>
    </row>
    <row r="9785" spans="1:11">
      <c r="A9785" s="688" t="s">
        <v>2322</v>
      </c>
      <c r="B9785" s="690" t="s">
        <v>4060</v>
      </c>
      <c r="C9785" s="690" t="s">
        <v>4060</v>
      </c>
      <c r="D9785" s="690" t="s">
        <v>4060</v>
      </c>
      <c r="E9785" s="690" t="s">
        <v>4060</v>
      </c>
      <c r="F9785" s="690" t="s">
        <v>4060</v>
      </c>
      <c r="G9785" s="690" t="s">
        <v>4060</v>
      </c>
      <c r="H9785" s="690" t="s">
        <v>4060</v>
      </c>
      <c r="I9785" s="690" t="s">
        <v>4060</v>
      </c>
      <c r="J9785" s="690" t="s">
        <v>4060</v>
      </c>
      <c r="K9785" s="690" t="s">
        <v>4060</v>
      </c>
    </row>
    <row r="9786" spans="1:11">
      <c r="A9786" s="688" t="s">
        <v>2328</v>
      </c>
      <c r="B9786" s="691">
        <v>35.200000000000003</v>
      </c>
      <c r="C9786" s="691">
        <v>35.200000000000003</v>
      </c>
      <c r="D9786" s="691">
        <v>35.200000000000003</v>
      </c>
      <c r="E9786" s="691">
        <v>35.299999999999997</v>
      </c>
      <c r="F9786" s="691">
        <v>35.700000000000003</v>
      </c>
      <c r="G9786" s="615">
        <v>36</v>
      </c>
      <c r="H9786" s="615">
        <v>36</v>
      </c>
      <c r="I9786" s="691">
        <v>33.4</v>
      </c>
      <c r="J9786" s="691">
        <v>32.6</v>
      </c>
      <c r="K9786" s="692" t="s">
        <v>4060</v>
      </c>
    </row>
    <row r="9787" spans="1:11">
      <c r="A9787" s="688" t="s">
        <v>2496</v>
      </c>
      <c r="B9787" s="690" t="s">
        <v>4060</v>
      </c>
      <c r="C9787" s="689">
        <v>32.6</v>
      </c>
      <c r="D9787" s="689">
        <v>31.5</v>
      </c>
      <c r="E9787" s="689">
        <v>31.2</v>
      </c>
      <c r="F9787" s="693">
        <v>32</v>
      </c>
      <c r="G9787" s="689">
        <v>32.200000000000003</v>
      </c>
      <c r="H9787" s="689">
        <v>32.200000000000003</v>
      </c>
      <c r="I9787" s="690" t="s">
        <v>4060</v>
      </c>
      <c r="J9787" s="690" t="s">
        <v>4060</v>
      </c>
      <c r="K9787" s="689">
        <v>31.7</v>
      </c>
    </row>
    <row r="9788" spans="1:11">
      <c r="A9788" s="688" t="s">
        <v>2269</v>
      </c>
      <c r="B9788" s="691">
        <v>38.299999999999997</v>
      </c>
      <c r="C9788" s="691">
        <v>38.4</v>
      </c>
      <c r="D9788" s="691">
        <v>38.1</v>
      </c>
      <c r="E9788" s="691">
        <v>38.799999999999997</v>
      </c>
      <c r="F9788" s="691">
        <v>38.9</v>
      </c>
      <c r="G9788" s="691">
        <v>39.200000000000003</v>
      </c>
      <c r="H9788" s="691">
        <v>39.5</v>
      </c>
      <c r="I9788" s="615">
        <v>37</v>
      </c>
      <c r="J9788" s="691">
        <v>35.200000000000003</v>
      </c>
      <c r="K9788" s="691">
        <v>38.9</v>
      </c>
    </row>
    <row r="9789" spans="1:11">
      <c r="A9789" s="688" t="s">
        <v>2349</v>
      </c>
      <c r="B9789" s="689">
        <v>34.299999999999997</v>
      </c>
      <c r="C9789" s="689">
        <v>34.4</v>
      </c>
      <c r="D9789" s="689">
        <v>34.299999999999997</v>
      </c>
      <c r="E9789" s="689">
        <v>34.700000000000003</v>
      </c>
      <c r="F9789" s="689">
        <v>34.700000000000003</v>
      </c>
      <c r="G9789" s="689">
        <v>34.9</v>
      </c>
      <c r="H9789" s="689">
        <v>34.9</v>
      </c>
      <c r="I9789" s="689">
        <v>33.1</v>
      </c>
      <c r="J9789" s="689">
        <v>31.6</v>
      </c>
      <c r="K9789" s="689">
        <v>34.200000000000003</v>
      </c>
    </row>
    <row r="9790" spans="1:11">
      <c r="A9790" s="688" t="s">
        <v>2355</v>
      </c>
      <c r="B9790" s="691">
        <v>37.700000000000003</v>
      </c>
      <c r="C9790" s="691">
        <v>37.700000000000003</v>
      </c>
      <c r="D9790" s="691">
        <v>37.6</v>
      </c>
      <c r="E9790" s="691">
        <v>37.6</v>
      </c>
      <c r="F9790" s="691">
        <v>37.799999999999997</v>
      </c>
      <c r="G9790" s="691">
        <v>38.200000000000003</v>
      </c>
      <c r="H9790" s="691">
        <v>38.299999999999997</v>
      </c>
      <c r="I9790" s="692" t="s">
        <v>4060</v>
      </c>
      <c r="J9790" s="692" t="s">
        <v>4060</v>
      </c>
      <c r="K9790" s="692" t="s">
        <v>4060</v>
      </c>
    </row>
    <row r="9791" spans="1:11">
      <c r="A9791" s="688" t="s">
        <v>2357</v>
      </c>
      <c r="B9791" s="690" t="s">
        <v>4060</v>
      </c>
      <c r="C9791" s="689">
        <v>30.3</v>
      </c>
      <c r="D9791" s="689">
        <v>30.7</v>
      </c>
      <c r="E9791" s="693">
        <v>31</v>
      </c>
      <c r="F9791" s="689">
        <v>31.3</v>
      </c>
      <c r="G9791" s="693">
        <v>31</v>
      </c>
      <c r="H9791" s="689">
        <v>31.2</v>
      </c>
      <c r="I9791" s="690" t="s">
        <v>4060</v>
      </c>
      <c r="J9791" s="690" t="s">
        <v>4060</v>
      </c>
      <c r="K9791" s="690" t="s">
        <v>4060</v>
      </c>
    </row>
    <row r="9792" spans="1:11">
      <c r="A9792" s="688" t="s">
        <v>4070</v>
      </c>
      <c r="B9792" s="692" t="s">
        <v>4060</v>
      </c>
      <c r="C9792" s="692" t="s">
        <v>4060</v>
      </c>
      <c r="D9792" s="692" t="s">
        <v>4060</v>
      </c>
      <c r="E9792" s="691">
        <v>37.200000000000003</v>
      </c>
      <c r="F9792" s="692" t="s">
        <v>4060</v>
      </c>
      <c r="G9792" s="692" t="s">
        <v>4060</v>
      </c>
      <c r="H9792" s="692" t="s">
        <v>4060</v>
      </c>
      <c r="I9792" s="692" t="s">
        <v>4060</v>
      </c>
      <c r="J9792" s="692" t="s">
        <v>4060</v>
      </c>
      <c r="K9792" s="692" t="s">
        <v>4060</v>
      </c>
    </row>
    <row r="9793" spans="1:11">
      <c r="A9793" s="688" t="s">
        <v>2491</v>
      </c>
      <c r="B9793" s="693">
        <v>30</v>
      </c>
      <c r="C9793" s="689">
        <v>30.4</v>
      </c>
      <c r="D9793" s="689">
        <v>30.8</v>
      </c>
      <c r="E9793" s="689">
        <v>31.1</v>
      </c>
      <c r="F9793" s="689">
        <v>31.2</v>
      </c>
      <c r="G9793" s="689">
        <v>31.1</v>
      </c>
      <c r="H9793" s="690" t="s">
        <v>4060</v>
      </c>
      <c r="I9793" s="690" t="s">
        <v>4060</v>
      </c>
      <c r="J9793" s="690" t="s">
        <v>4060</v>
      </c>
      <c r="K9793" s="690" t="s">
        <v>4060</v>
      </c>
    </row>
    <row r="9794" spans="1:11">
      <c r="A9794" s="688" t="s">
        <v>2343</v>
      </c>
      <c r="B9794" s="692" t="s">
        <v>4060</v>
      </c>
      <c r="C9794" s="692" t="s">
        <v>4060</v>
      </c>
      <c r="D9794" s="692" t="s">
        <v>4060</v>
      </c>
      <c r="E9794" s="692" t="s">
        <v>4060</v>
      </c>
      <c r="F9794" s="692" t="s">
        <v>4060</v>
      </c>
      <c r="G9794" s="692" t="s">
        <v>4060</v>
      </c>
      <c r="H9794" s="692" t="s">
        <v>4060</v>
      </c>
      <c r="I9794" s="692" t="s">
        <v>4060</v>
      </c>
      <c r="J9794" s="692" t="s">
        <v>4060</v>
      </c>
      <c r="K9794" s="692" t="s">
        <v>4060</v>
      </c>
    </row>
    <row r="9795" spans="1:11">
      <c r="A9795" s="688" t="s">
        <v>4071</v>
      </c>
      <c r="B9795" s="690" t="s">
        <v>4060</v>
      </c>
      <c r="C9795" s="690" t="s">
        <v>4060</v>
      </c>
      <c r="D9795" s="690" t="s">
        <v>4060</v>
      </c>
      <c r="E9795" s="690" t="s">
        <v>4060</v>
      </c>
      <c r="F9795" s="690" t="s">
        <v>4060</v>
      </c>
      <c r="G9795" s="690" t="s">
        <v>4060</v>
      </c>
      <c r="H9795" s="690" t="s">
        <v>4060</v>
      </c>
      <c r="I9795" s="690" t="s">
        <v>4060</v>
      </c>
      <c r="J9795" s="690" t="s">
        <v>4060</v>
      </c>
      <c r="K9795" s="690" t="s">
        <v>4060</v>
      </c>
    </row>
    <row r="9796" spans="1:11">
      <c r="A9796" s="688" t="s">
        <v>2489</v>
      </c>
      <c r="B9796" s="692" t="s">
        <v>4060</v>
      </c>
      <c r="C9796" s="692" t="s">
        <v>4060</v>
      </c>
      <c r="D9796" s="691">
        <v>33.9</v>
      </c>
      <c r="E9796" s="691">
        <v>33.799999999999997</v>
      </c>
      <c r="F9796" s="691">
        <v>34.4</v>
      </c>
      <c r="G9796" s="691">
        <v>35.200000000000003</v>
      </c>
      <c r="H9796" s="691">
        <v>34.799999999999997</v>
      </c>
      <c r="I9796" s="692" t="s">
        <v>4060</v>
      </c>
      <c r="J9796" s="692" t="s">
        <v>4060</v>
      </c>
      <c r="K9796" s="692" t="s">
        <v>4060</v>
      </c>
    </row>
    <row r="9797" spans="1:11">
      <c r="A9797" s="688" t="s">
        <v>2490</v>
      </c>
      <c r="B9797" s="689">
        <v>34.6</v>
      </c>
      <c r="C9797" s="689">
        <v>34.700000000000003</v>
      </c>
      <c r="D9797" s="689">
        <v>35.4</v>
      </c>
      <c r="E9797" s="690" t="s">
        <v>4060</v>
      </c>
      <c r="F9797" s="689">
        <v>35.6</v>
      </c>
      <c r="G9797" s="689">
        <v>35.799999999999997</v>
      </c>
      <c r="H9797" s="689">
        <v>36.799999999999997</v>
      </c>
      <c r="I9797" s="690" t="s">
        <v>4060</v>
      </c>
      <c r="J9797" s="690" t="s">
        <v>4060</v>
      </c>
      <c r="K9797" s="690" t="s">
        <v>4060</v>
      </c>
    </row>
    <row r="9799" spans="1:11">
      <c r="A9799" s="683" t="s">
        <v>4233</v>
      </c>
    </row>
    <row r="9800" spans="1:11">
      <c r="A9800" s="683" t="s">
        <v>4060</v>
      </c>
      <c r="B9800" s="682" t="s">
        <v>4234</v>
      </c>
    </row>
    <row r="9802" spans="1:11">
      <c r="A9802" s="682" t="s">
        <v>4331</v>
      </c>
    </row>
    <row r="9803" spans="1:11">
      <c r="A9803" s="682" t="s">
        <v>4210</v>
      </c>
      <c r="B9803" s="683" t="s">
        <v>4211</v>
      </c>
    </row>
    <row r="9804" spans="1:11">
      <c r="A9804" s="682" t="s">
        <v>4212</v>
      </c>
      <c r="B9804" s="682" t="s">
        <v>4213</v>
      </c>
    </row>
    <row r="9806" spans="1:11">
      <c r="A9806" s="683" t="s">
        <v>4214</v>
      </c>
      <c r="C9806" s="682" t="s">
        <v>4215</v>
      </c>
    </row>
    <row r="9807" spans="1:11">
      <c r="A9807" s="683" t="s">
        <v>4216</v>
      </c>
      <c r="C9807" s="682" t="s">
        <v>2967</v>
      </c>
    </row>
    <row r="9808" spans="1:11">
      <c r="A9808" s="683" t="s">
        <v>3893</v>
      </c>
      <c r="C9808" s="682" t="s">
        <v>2168</v>
      </c>
    </row>
    <row r="9809" spans="1:11">
      <c r="A9809" s="683" t="s">
        <v>4218</v>
      </c>
      <c r="C9809" s="682" t="s">
        <v>4276</v>
      </c>
    </row>
    <row r="9811" spans="1:11">
      <c r="A9811" s="684" t="s">
        <v>4220</v>
      </c>
      <c r="B9811" s="685" t="s">
        <v>4221</v>
      </c>
      <c r="C9811" s="685" t="s">
        <v>4222</v>
      </c>
      <c r="D9811" s="685" t="s">
        <v>4223</v>
      </c>
      <c r="E9811" s="685" t="s">
        <v>4224</v>
      </c>
      <c r="F9811" s="685" t="s">
        <v>4225</v>
      </c>
      <c r="G9811" s="685" t="s">
        <v>4226</v>
      </c>
      <c r="H9811" s="685" t="s">
        <v>4227</v>
      </c>
      <c r="I9811" s="685" t="s">
        <v>4228</v>
      </c>
      <c r="J9811" s="685" t="s">
        <v>4229</v>
      </c>
      <c r="K9811" s="685" t="s">
        <v>4230</v>
      </c>
    </row>
    <row r="9812" spans="1:11">
      <c r="A9812" s="686" t="s">
        <v>4231</v>
      </c>
      <c r="B9812" s="687" t="s">
        <v>4232</v>
      </c>
      <c r="C9812" s="687" t="s">
        <v>4232</v>
      </c>
      <c r="D9812" s="687" t="s">
        <v>4232</v>
      </c>
      <c r="E9812" s="687" t="s">
        <v>4232</v>
      </c>
      <c r="F9812" s="687" t="s">
        <v>4232</v>
      </c>
      <c r="G9812" s="687" t="s">
        <v>4232</v>
      </c>
      <c r="H9812" s="687" t="s">
        <v>4232</v>
      </c>
      <c r="I9812" s="687" t="s">
        <v>4232</v>
      </c>
      <c r="J9812" s="687" t="s">
        <v>4232</v>
      </c>
      <c r="K9812" s="687" t="s">
        <v>4232</v>
      </c>
    </row>
    <row r="9813" spans="1:11">
      <c r="A9813" s="688" t="s">
        <v>4064</v>
      </c>
      <c r="B9813" s="689">
        <v>37.9</v>
      </c>
      <c r="C9813" s="689">
        <v>38.1</v>
      </c>
      <c r="D9813" s="689">
        <v>38.1</v>
      </c>
      <c r="E9813" s="689">
        <v>38.200000000000003</v>
      </c>
      <c r="F9813" s="689">
        <v>38.299999999999997</v>
      </c>
      <c r="G9813" s="689">
        <v>38.4</v>
      </c>
      <c r="H9813" s="689">
        <v>38.6</v>
      </c>
      <c r="I9813" s="689">
        <v>37.700000000000003</v>
      </c>
      <c r="J9813" s="689">
        <v>37.5</v>
      </c>
      <c r="K9813" s="689">
        <v>38.200000000000003</v>
      </c>
    </row>
    <row r="9814" spans="1:11">
      <c r="A9814" s="688" t="s">
        <v>4065</v>
      </c>
      <c r="B9814" s="691">
        <v>38.1</v>
      </c>
      <c r="C9814" s="691">
        <v>38.5</v>
      </c>
      <c r="D9814" s="691">
        <v>38.200000000000003</v>
      </c>
      <c r="E9814" s="691">
        <v>38.5</v>
      </c>
      <c r="F9814" s="691">
        <v>38.6</v>
      </c>
      <c r="G9814" s="691">
        <v>38.700000000000003</v>
      </c>
      <c r="H9814" s="692" t="s">
        <v>4060</v>
      </c>
      <c r="I9814" s="692" t="s">
        <v>4060</v>
      </c>
      <c r="J9814" s="692" t="s">
        <v>4060</v>
      </c>
      <c r="K9814" s="692" t="s">
        <v>4060</v>
      </c>
    </row>
    <row r="9815" spans="1:11">
      <c r="A9815" s="688" t="s">
        <v>4063</v>
      </c>
      <c r="B9815" s="689">
        <v>38.1</v>
      </c>
      <c r="C9815" s="689">
        <v>38.5</v>
      </c>
      <c r="D9815" s="689">
        <v>38.299999999999997</v>
      </c>
      <c r="E9815" s="689">
        <v>38.6</v>
      </c>
      <c r="F9815" s="689">
        <v>38.6</v>
      </c>
      <c r="G9815" s="689">
        <v>38.700000000000003</v>
      </c>
      <c r="H9815" s="690" t="s">
        <v>4060</v>
      </c>
      <c r="I9815" s="690" t="s">
        <v>4060</v>
      </c>
      <c r="J9815" s="690" t="s">
        <v>4060</v>
      </c>
      <c r="K9815" s="690" t="s">
        <v>4060</v>
      </c>
    </row>
    <row r="9816" spans="1:11">
      <c r="A9816" s="688" t="s">
        <v>4069</v>
      </c>
      <c r="B9816" s="692" t="s">
        <v>4060</v>
      </c>
      <c r="C9816" s="691">
        <v>39.1</v>
      </c>
      <c r="D9816" s="691">
        <v>38.9</v>
      </c>
      <c r="E9816" s="691">
        <v>39.200000000000003</v>
      </c>
      <c r="F9816" s="691">
        <v>39.299999999999997</v>
      </c>
      <c r="G9816" s="691">
        <v>39.5</v>
      </c>
      <c r="H9816" s="691">
        <v>39.700000000000003</v>
      </c>
      <c r="I9816" s="615">
        <v>39</v>
      </c>
      <c r="J9816" s="615">
        <v>39</v>
      </c>
      <c r="K9816" s="691">
        <v>39.200000000000003</v>
      </c>
    </row>
    <row r="9817" spans="1:11">
      <c r="A9817" s="688" t="s">
        <v>4068</v>
      </c>
      <c r="B9817" s="693">
        <v>39</v>
      </c>
      <c r="C9817" s="690" t="s">
        <v>4060</v>
      </c>
      <c r="D9817" s="690" t="s">
        <v>4060</v>
      </c>
      <c r="E9817" s="690" t="s">
        <v>4060</v>
      </c>
      <c r="F9817" s="690" t="s">
        <v>4060</v>
      </c>
      <c r="G9817" s="690" t="s">
        <v>4060</v>
      </c>
      <c r="H9817" s="690" t="s">
        <v>4060</v>
      </c>
      <c r="I9817" s="690" t="s">
        <v>4060</v>
      </c>
      <c r="J9817" s="690" t="s">
        <v>4060</v>
      </c>
      <c r="K9817" s="690" t="s">
        <v>4060</v>
      </c>
    </row>
    <row r="9818" spans="1:11">
      <c r="A9818" s="688" t="s">
        <v>0</v>
      </c>
      <c r="B9818" s="691">
        <v>38.5</v>
      </c>
      <c r="C9818" s="691">
        <v>38.9</v>
      </c>
      <c r="D9818" s="691">
        <v>38.799999999999997</v>
      </c>
      <c r="E9818" s="691">
        <v>39.1</v>
      </c>
      <c r="F9818" s="691">
        <v>39.299999999999997</v>
      </c>
      <c r="G9818" s="691">
        <v>39.5</v>
      </c>
      <c r="H9818" s="691">
        <v>39.799999999999997</v>
      </c>
      <c r="I9818" s="691">
        <v>38.700000000000003</v>
      </c>
      <c r="J9818" s="691">
        <v>39.5</v>
      </c>
      <c r="K9818" s="691">
        <v>39.700000000000003</v>
      </c>
    </row>
    <row r="9819" spans="1:11">
      <c r="A9819" s="688" t="s">
        <v>1</v>
      </c>
      <c r="B9819" s="689">
        <v>32.5</v>
      </c>
      <c r="C9819" s="689">
        <v>32.200000000000003</v>
      </c>
      <c r="D9819" s="689">
        <v>32.200000000000003</v>
      </c>
      <c r="E9819" s="689">
        <v>32.299999999999997</v>
      </c>
      <c r="F9819" s="689">
        <v>32.299999999999997</v>
      </c>
      <c r="G9819" s="689">
        <v>32.4</v>
      </c>
      <c r="H9819" s="689">
        <v>32.4</v>
      </c>
      <c r="I9819" s="689">
        <v>30.6</v>
      </c>
      <c r="J9819" s="693">
        <v>29</v>
      </c>
      <c r="K9819" s="689">
        <v>31.5</v>
      </c>
    </row>
    <row r="9820" spans="1:11">
      <c r="A9820" s="688" t="s">
        <v>2240</v>
      </c>
      <c r="B9820" s="691">
        <v>35.6</v>
      </c>
      <c r="C9820" s="615">
        <v>36</v>
      </c>
      <c r="D9820" s="691">
        <v>35.9</v>
      </c>
      <c r="E9820" s="691">
        <v>36.299999999999997</v>
      </c>
      <c r="F9820" s="691">
        <v>36.299999999999997</v>
      </c>
      <c r="G9820" s="691">
        <v>36.4</v>
      </c>
      <c r="H9820" s="691">
        <v>36.700000000000003</v>
      </c>
      <c r="I9820" s="691">
        <v>35.5</v>
      </c>
      <c r="J9820" s="691">
        <v>34.4</v>
      </c>
      <c r="K9820" s="691">
        <v>36.4</v>
      </c>
    </row>
    <row r="9821" spans="1:11">
      <c r="A9821" s="688" t="s">
        <v>2</v>
      </c>
      <c r="B9821" s="689">
        <v>38.4</v>
      </c>
      <c r="C9821" s="689">
        <v>38.700000000000003</v>
      </c>
      <c r="D9821" s="689">
        <v>38.799999999999997</v>
      </c>
      <c r="E9821" s="693">
        <v>39</v>
      </c>
      <c r="F9821" s="689">
        <v>39.200000000000003</v>
      </c>
      <c r="G9821" s="689">
        <v>39.1</v>
      </c>
      <c r="H9821" s="689">
        <v>39.4</v>
      </c>
      <c r="I9821" s="689">
        <v>39.6</v>
      </c>
      <c r="J9821" s="689">
        <v>39.5</v>
      </c>
      <c r="K9821" s="689">
        <v>39.4</v>
      </c>
    </row>
    <row r="9822" spans="1:11">
      <c r="A9822" s="688" t="s">
        <v>3</v>
      </c>
      <c r="B9822" s="691">
        <v>38.299999999999997</v>
      </c>
      <c r="C9822" s="691">
        <v>38.6</v>
      </c>
      <c r="D9822" s="691">
        <v>38.299999999999997</v>
      </c>
      <c r="E9822" s="691">
        <v>38.6</v>
      </c>
      <c r="F9822" s="691">
        <v>38.700000000000003</v>
      </c>
      <c r="G9822" s="691">
        <v>38.6</v>
      </c>
      <c r="H9822" s="691">
        <v>38.9</v>
      </c>
      <c r="I9822" s="691">
        <v>38.700000000000003</v>
      </c>
      <c r="J9822" s="691">
        <v>38.299999999999997</v>
      </c>
      <c r="K9822" s="691">
        <v>38.299999999999997</v>
      </c>
    </row>
    <row r="9823" spans="1:11">
      <c r="A9823" s="688" t="s">
        <v>4061</v>
      </c>
      <c r="B9823" s="689">
        <v>38.299999999999997</v>
      </c>
      <c r="C9823" s="689">
        <v>38.6</v>
      </c>
      <c r="D9823" s="689">
        <v>38.299999999999997</v>
      </c>
      <c r="E9823" s="689">
        <v>38.6</v>
      </c>
      <c r="F9823" s="689">
        <v>38.700000000000003</v>
      </c>
      <c r="G9823" s="689">
        <v>38.6</v>
      </c>
      <c r="H9823" s="689">
        <v>38.9</v>
      </c>
      <c r="I9823" s="689">
        <v>38.700000000000003</v>
      </c>
      <c r="J9823" s="689">
        <v>38.299999999999997</v>
      </c>
      <c r="K9823" s="689">
        <v>38.299999999999997</v>
      </c>
    </row>
    <row r="9824" spans="1:11">
      <c r="A9824" s="688" t="s">
        <v>4</v>
      </c>
      <c r="B9824" s="691">
        <v>33.799999999999997</v>
      </c>
      <c r="C9824" s="691">
        <v>33.6</v>
      </c>
      <c r="D9824" s="691">
        <v>34.1</v>
      </c>
      <c r="E9824" s="691">
        <v>34.1</v>
      </c>
      <c r="F9824" s="691">
        <v>34.5</v>
      </c>
      <c r="G9824" s="691">
        <v>34.4</v>
      </c>
      <c r="H9824" s="691">
        <v>34.9</v>
      </c>
      <c r="I9824" s="691">
        <v>34.799999999999997</v>
      </c>
      <c r="J9824" s="691">
        <v>33.4</v>
      </c>
      <c r="K9824" s="691">
        <v>34.200000000000003</v>
      </c>
    </row>
    <row r="9825" spans="1:11">
      <c r="A9825" s="688" t="s">
        <v>8</v>
      </c>
      <c r="B9825" s="689">
        <v>39.299999999999997</v>
      </c>
      <c r="C9825" s="689">
        <v>39.6</v>
      </c>
      <c r="D9825" s="689">
        <v>39.799999999999997</v>
      </c>
      <c r="E9825" s="689">
        <v>39.9</v>
      </c>
      <c r="F9825" s="689">
        <v>40.299999999999997</v>
      </c>
      <c r="G9825" s="689">
        <v>40.299999999999997</v>
      </c>
      <c r="H9825" s="689">
        <v>40.6</v>
      </c>
      <c r="I9825" s="689">
        <v>40.6</v>
      </c>
      <c r="J9825" s="689">
        <v>40.299999999999997</v>
      </c>
      <c r="K9825" s="689">
        <v>40.700000000000003</v>
      </c>
    </row>
    <row r="9826" spans="1:11">
      <c r="A9826" s="688" t="s">
        <v>7</v>
      </c>
      <c r="B9826" s="691">
        <v>39.1</v>
      </c>
      <c r="C9826" s="691">
        <v>38.6</v>
      </c>
      <c r="D9826" s="691">
        <v>38.4</v>
      </c>
      <c r="E9826" s="691">
        <v>38.700000000000003</v>
      </c>
      <c r="F9826" s="691">
        <v>38.6</v>
      </c>
      <c r="G9826" s="691">
        <v>39.1</v>
      </c>
      <c r="H9826" s="615">
        <v>39</v>
      </c>
      <c r="I9826" s="691">
        <v>38.700000000000003</v>
      </c>
      <c r="J9826" s="691">
        <v>37.700000000000003</v>
      </c>
      <c r="K9826" s="691">
        <v>38.5</v>
      </c>
    </row>
    <row r="9827" spans="1:11">
      <c r="A9827" s="688" t="s">
        <v>27</v>
      </c>
      <c r="B9827" s="689">
        <v>40.1</v>
      </c>
      <c r="C9827" s="693">
        <v>40</v>
      </c>
      <c r="D9827" s="689">
        <v>39.799999999999997</v>
      </c>
      <c r="E9827" s="689">
        <v>40.200000000000003</v>
      </c>
      <c r="F9827" s="689">
        <v>40.200000000000003</v>
      </c>
      <c r="G9827" s="689">
        <v>40.299999999999997</v>
      </c>
      <c r="H9827" s="689">
        <v>40.700000000000003</v>
      </c>
      <c r="I9827" s="689">
        <v>39.4</v>
      </c>
      <c r="J9827" s="689">
        <v>40.1</v>
      </c>
      <c r="K9827" s="689">
        <v>40.299999999999997</v>
      </c>
    </row>
    <row r="9828" spans="1:11">
      <c r="A9828" s="688" t="s">
        <v>6</v>
      </c>
      <c r="B9828" s="691">
        <v>39.5</v>
      </c>
      <c r="C9828" s="691">
        <v>39.700000000000003</v>
      </c>
      <c r="D9828" s="691">
        <v>39.5</v>
      </c>
      <c r="E9828" s="691">
        <v>39.700000000000003</v>
      </c>
      <c r="F9828" s="691">
        <v>39.799999999999997</v>
      </c>
      <c r="G9828" s="615">
        <v>40</v>
      </c>
      <c r="H9828" s="691">
        <v>40.200000000000003</v>
      </c>
      <c r="I9828" s="691">
        <v>39.5</v>
      </c>
      <c r="J9828" s="691">
        <v>39.6</v>
      </c>
      <c r="K9828" s="691">
        <v>39.799999999999997</v>
      </c>
    </row>
    <row r="9829" spans="1:11">
      <c r="A9829" s="688" t="s">
        <v>4058</v>
      </c>
      <c r="B9829" s="690" t="s">
        <v>4060</v>
      </c>
      <c r="C9829" s="690" t="s">
        <v>4060</v>
      </c>
      <c r="D9829" s="690" t="s">
        <v>4060</v>
      </c>
      <c r="E9829" s="690" t="s">
        <v>4060</v>
      </c>
      <c r="F9829" s="690" t="s">
        <v>4060</v>
      </c>
      <c r="G9829" s="690" t="s">
        <v>4060</v>
      </c>
      <c r="H9829" s="690" t="s">
        <v>4060</v>
      </c>
      <c r="I9829" s="690" t="s">
        <v>4060</v>
      </c>
      <c r="J9829" s="690" t="s">
        <v>4060</v>
      </c>
      <c r="K9829" s="690" t="s">
        <v>4060</v>
      </c>
    </row>
    <row r="9830" spans="1:11">
      <c r="A9830" s="688" t="s">
        <v>11</v>
      </c>
      <c r="B9830" s="615">
        <v>35</v>
      </c>
      <c r="C9830" s="691">
        <v>35.1</v>
      </c>
      <c r="D9830" s="691">
        <v>34.700000000000003</v>
      </c>
      <c r="E9830" s="691">
        <v>35.299999999999997</v>
      </c>
      <c r="F9830" s="691">
        <v>35.200000000000003</v>
      </c>
      <c r="G9830" s="691">
        <v>35.299999999999997</v>
      </c>
      <c r="H9830" s="691">
        <v>35.700000000000003</v>
      </c>
      <c r="I9830" s="691">
        <v>34.9</v>
      </c>
      <c r="J9830" s="691">
        <v>33.9</v>
      </c>
      <c r="K9830" s="691">
        <v>35.1</v>
      </c>
    </row>
    <row r="9831" spans="1:11">
      <c r="A9831" s="688" t="s">
        <v>10</v>
      </c>
      <c r="B9831" s="689">
        <v>40.299999999999997</v>
      </c>
      <c r="C9831" s="689">
        <v>40.4</v>
      </c>
      <c r="D9831" s="689">
        <v>40.1</v>
      </c>
      <c r="E9831" s="689">
        <v>40.700000000000003</v>
      </c>
      <c r="F9831" s="689">
        <v>40.6</v>
      </c>
      <c r="G9831" s="689">
        <v>40.9</v>
      </c>
      <c r="H9831" s="689">
        <v>41.1</v>
      </c>
      <c r="I9831" s="689">
        <v>39.799999999999997</v>
      </c>
      <c r="J9831" s="689">
        <v>40.299999999999997</v>
      </c>
      <c r="K9831" s="689">
        <v>40.6</v>
      </c>
    </row>
    <row r="9832" spans="1:11">
      <c r="A9832" s="688" t="s">
        <v>30</v>
      </c>
      <c r="B9832" s="691">
        <v>40.200000000000003</v>
      </c>
      <c r="C9832" s="691">
        <v>40.299999999999997</v>
      </c>
      <c r="D9832" s="691">
        <v>40.1</v>
      </c>
      <c r="E9832" s="691">
        <v>40.6</v>
      </c>
      <c r="F9832" s="691">
        <v>40.299999999999997</v>
      </c>
      <c r="G9832" s="691">
        <v>41.1</v>
      </c>
      <c r="H9832" s="691">
        <v>40.799999999999997</v>
      </c>
      <c r="I9832" s="691">
        <v>40.799999999999997</v>
      </c>
      <c r="J9832" s="691">
        <v>39.9</v>
      </c>
      <c r="K9832" s="691">
        <v>40.4</v>
      </c>
    </row>
    <row r="9833" spans="1:11">
      <c r="A9833" s="688" t="s">
        <v>12</v>
      </c>
      <c r="B9833" s="689">
        <v>30.9</v>
      </c>
      <c r="C9833" s="693">
        <v>31</v>
      </c>
      <c r="D9833" s="689">
        <v>31.4</v>
      </c>
      <c r="E9833" s="689">
        <v>31.4</v>
      </c>
      <c r="F9833" s="689">
        <v>31.5</v>
      </c>
      <c r="G9833" s="689">
        <v>31.5</v>
      </c>
      <c r="H9833" s="689">
        <v>32.1</v>
      </c>
      <c r="I9833" s="689">
        <v>31.8</v>
      </c>
      <c r="J9833" s="689">
        <v>29.5</v>
      </c>
      <c r="K9833" s="689">
        <v>30.8</v>
      </c>
    </row>
    <row r="9834" spans="1:11">
      <c r="A9834" s="688" t="s">
        <v>14</v>
      </c>
      <c r="B9834" s="691">
        <v>30.7</v>
      </c>
      <c r="C9834" s="691">
        <v>31.3</v>
      </c>
      <c r="D9834" s="691">
        <v>31.1</v>
      </c>
      <c r="E9834" s="691">
        <v>31.2</v>
      </c>
      <c r="F9834" s="691">
        <v>32.1</v>
      </c>
      <c r="G9834" s="691">
        <v>32.4</v>
      </c>
      <c r="H9834" s="691">
        <v>32.700000000000003</v>
      </c>
      <c r="I9834" s="691">
        <v>31.3</v>
      </c>
      <c r="J9834" s="691">
        <v>30.8</v>
      </c>
      <c r="K9834" s="691">
        <v>32.299999999999997</v>
      </c>
    </row>
    <row r="9835" spans="1:11">
      <c r="A9835" s="688" t="s">
        <v>15</v>
      </c>
      <c r="B9835" s="689">
        <v>39.9</v>
      </c>
      <c r="C9835" s="689">
        <v>39.200000000000003</v>
      </c>
      <c r="D9835" s="693">
        <v>40</v>
      </c>
      <c r="E9835" s="689">
        <v>39.799999999999997</v>
      </c>
      <c r="F9835" s="689">
        <v>39.799999999999997</v>
      </c>
      <c r="G9835" s="689">
        <v>39.799999999999997</v>
      </c>
      <c r="H9835" s="689">
        <v>40.299999999999997</v>
      </c>
      <c r="I9835" s="689">
        <v>39.799999999999997</v>
      </c>
      <c r="J9835" s="689">
        <v>40.200000000000003</v>
      </c>
      <c r="K9835" s="689">
        <v>40.799999999999997</v>
      </c>
    </row>
    <row r="9836" spans="1:11">
      <c r="A9836" s="688" t="s">
        <v>29</v>
      </c>
      <c r="B9836" s="691">
        <v>32.6</v>
      </c>
      <c r="C9836" s="691">
        <v>32.700000000000003</v>
      </c>
      <c r="D9836" s="691">
        <v>32.700000000000003</v>
      </c>
      <c r="E9836" s="691">
        <v>32.799999999999997</v>
      </c>
      <c r="F9836" s="691">
        <v>32.799999999999997</v>
      </c>
      <c r="G9836" s="691">
        <v>32.9</v>
      </c>
      <c r="H9836" s="691">
        <v>33.299999999999997</v>
      </c>
      <c r="I9836" s="691">
        <v>32.5</v>
      </c>
      <c r="J9836" s="691">
        <v>31.1</v>
      </c>
      <c r="K9836" s="691">
        <v>32.9</v>
      </c>
    </row>
    <row r="9837" spans="1:11">
      <c r="A9837" s="688" t="s">
        <v>16</v>
      </c>
      <c r="B9837" s="689">
        <v>39.799999999999997</v>
      </c>
      <c r="C9837" s="689">
        <v>39.799999999999997</v>
      </c>
      <c r="D9837" s="693">
        <v>40</v>
      </c>
      <c r="E9837" s="689">
        <v>40.700000000000003</v>
      </c>
      <c r="F9837" s="689">
        <v>40.4</v>
      </c>
      <c r="G9837" s="689">
        <v>40.299999999999997</v>
      </c>
      <c r="H9837" s="689">
        <v>40.799999999999997</v>
      </c>
      <c r="I9837" s="689">
        <v>39.799999999999997</v>
      </c>
      <c r="J9837" s="689">
        <v>40.200000000000003</v>
      </c>
      <c r="K9837" s="689">
        <v>40.4</v>
      </c>
    </row>
    <row r="9838" spans="1:11">
      <c r="A9838" s="688" t="s">
        <v>17</v>
      </c>
      <c r="B9838" s="691">
        <v>39.6</v>
      </c>
      <c r="C9838" s="691">
        <v>39.9</v>
      </c>
      <c r="D9838" s="691">
        <v>39.799999999999997</v>
      </c>
      <c r="E9838" s="691">
        <v>39.9</v>
      </c>
      <c r="F9838" s="691">
        <v>40.1</v>
      </c>
      <c r="G9838" s="691">
        <v>40.200000000000003</v>
      </c>
      <c r="H9838" s="691">
        <v>40.5</v>
      </c>
      <c r="I9838" s="691">
        <v>39.700000000000003</v>
      </c>
      <c r="J9838" s="691">
        <v>39.700000000000003</v>
      </c>
      <c r="K9838" s="691">
        <v>40.200000000000003</v>
      </c>
    </row>
    <row r="9839" spans="1:11">
      <c r="A9839" s="688" t="s">
        <v>19</v>
      </c>
      <c r="B9839" s="689">
        <v>38.9</v>
      </c>
      <c r="C9839" s="689">
        <v>39.1</v>
      </c>
      <c r="D9839" s="689">
        <v>38.9</v>
      </c>
      <c r="E9839" s="689">
        <v>39.299999999999997</v>
      </c>
      <c r="F9839" s="689">
        <v>39.4</v>
      </c>
      <c r="G9839" s="689">
        <v>39.4</v>
      </c>
      <c r="H9839" s="689">
        <v>39.799999999999997</v>
      </c>
      <c r="I9839" s="693">
        <v>39</v>
      </c>
      <c r="J9839" s="693">
        <v>39</v>
      </c>
      <c r="K9839" s="689">
        <v>39.200000000000003</v>
      </c>
    </row>
    <row r="9840" spans="1:11">
      <c r="A9840" s="688" t="s">
        <v>20</v>
      </c>
      <c r="B9840" s="615">
        <v>34</v>
      </c>
      <c r="C9840" s="691">
        <v>34.5</v>
      </c>
      <c r="D9840" s="691">
        <v>34.200000000000003</v>
      </c>
      <c r="E9840" s="691">
        <v>34.6</v>
      </c>
      <c r="F9840" s="691">
        <v>34.6</v>
      </c>
      <c r="G9840" s="691">
        <v>34.5</v>
      </c>
      <c r="H9840" s="691">
        <v>34.799999999999997</v>
      </c>
      <c r="I9840" s="691">
        <v>33.200000000000003</v>
      </c>
      <c r="J9840" s="691">
        <v>32.4</v>
      </c>
      <c r="K9840" s="691">
        <v>34.200000000000003</v>
      </c>
    </row>
    <row r="9841" spans="1:11">
      <c r="A9841" s="688" t="s">
        <v>21</v>
      </c>
      <c r="B9841" s="689">
        <v>37.9</v>
      </c>
      <c r="C9841" s="689">
        <v>38.299999999999997</v>
      </c>
      <c r="D9841" s="689">
        <v>38.4</v>
      </c>
      <c r="E9841" s="689">
        <v>38.4</v>
      </c>
      <c r="F9841" s="689">
        <v>38.700000000000003</v>
      </c>
      <c r="G9841" s="689">
        <v>38.700000000000003</v>
      </c>
      <c r="H9841" s="689">
        <v>39.1</v>
      </c>
      <c r="I9841" s="689">
        <v>38.5</v>
      </c>
      <c r="J9841" s="689">
        <v>38.5</v>
      </c>
      <c r="K9841" s="693">
        <v>39</v>
      </c>
    </row>
    <row r="9842" spans="1:11">
      <c r="A9842" s="688" t="s">
        <v>22</v>
      </c>
      <c r="B9842" s="691">
        <v>32.9</v>
      </c>
      <c r="C9842" s="691">
        <v>32.6</v>
      </c>
      <c r="D9842" s="691">
        <v>32.5</v>
      </c>
      <c r="E9842" s="691">
        <v>32.6</v>
      </c>
      <c r="F9842" s="691">
        <v>32.700000000000003</v>
      </c>
      <c r="G9842" s="691">
        <v>32.6</v>
      </c>
      <c r="H9842" s="691">
        <v>32.799999999999997</v>
      </c>
      <c r="I9842" s="691">
        <v>31.2</v>
      </c>
      <c r="J9842" s="691">
        <v>30.1</v>
      </c>
      <c r="K9842" s="691">
        <v>32.1</v>
      </c>
    </row>
    <row r="9843" spans="1:11">
      <c r="A9843" s="688" t="s">
        <v>26</v>
      </c>
      <c r="B9843" s="689">
        <v>37.5</v>
      </c>
      <c r="C9843" s="689">
        <v>38.1</v>
      </c>
      <c r="D9843" s="689">
        <v>37.799999999999997</v>
      </c>
      <c r="E9843" s="689">
        <v>38.200000000000003</v>
      </c>
      <c r="F9843" s="689">
        <v>38.1</v>
      </c>
      <c r="G9843" s="689">
        <v>38.4</v>
      </c>
      <c r="H9843" s="689">
        <v>38.700000000000003</v>
      </c>
      <c r="I9843" s="689">
        <v>37.799999999999997</v>
      </c>
      <c r="J9843" s="689">
        <v>37.700000000000003</v>
      </c>
      <c r="K9843" s="689">
        <v>38.6</v>
      </c>
    </row>
    <row r="9844" spans="1:11">
      <c r="A9844" s="688" t="s">
        <v>25</v>
      </c>
      <c r="B9844" s="691">
        <v>33.700000000000003</v>
      </c>
      <c r="C9844" s="615">
        <v>34</v>
      </c>
      <c r="D9844" s="691">
        <v>33.9</v>
      </c>
      <c r="E9844" s="691">
        <v>34.5</v>
      </c>
      <c r="F9844" s="691">
        <v>34.4</v>
      </c>
      <c r="G9844" s="691">
        <v>34.6</v>
      </c>
      <c r="H9844" s="615">
        <v>35</v>
      </c>
      <c r="I9844" s="691">
        <v>34.200000000000003</v>
      </c>
      <c r="J9844" s="691">
        <v>31.9</v>
      </c>
      <c r="K9844" s="691">
        <v>34.4</v>
      </c>
    </row>
    <row r="9845" spans="1:11">
      <c r="A9845" s="688" t="s">
        <v>5</v>
      </c>
      <c r="B9845" s="689">
        <v>38.5</v>
      </c>
      <c r="C9845" s="689">
        <v>38.6</v>
      </c>
      <c r="D9845" s="689">
        <v>38.799999999999997</v>
      </c>
      <c r="E9845" s="689">
        <v>38.799999999999997</v>
      </c>
      <c r="F9845" s="689">
        <v>39.1</v>
      </c>
      <c r="G9845" s="689">
        <v>39.200000000000003</v>
      </c>
      <c r="H9845" s="689">
        <v>39.6</v>
      </c>
      <c r="I9845" s="689">
        <v>39.5</v>
      </c>
      <c r="J9845" s="689">
        <v>39.4</v>
      </c>
      <c r="K9845" s="693">
        <v>39</v>
      </c>
    </row>
    <row r="9846" spans="1:11">
      <c r="A9846" s="688" t="s">
        <v>23</v>
      </c>
      <c r="B9846" s="691">
        <v>40.4</v>
      </c>
      <c r="C9846" s="691">
        <v>40.5</v>
      </c>
      <c r="D9846" s="691">
        <v>40.5</v>
      </c>
      <c r="E9846" s="691">
        <v>40.700000000000003</v>
      </c>
      <c r="F9846" s="691">
        <v>40.9</v>
      </c>
      <c r="G9846" s="691">
        <v>40.9</v>
      </c>
      <c r="H9846" s="691">
        <v>41.4</v>
      </c>
      <c r="I9846" s="691">
        <v>40.700000000000003</v>
      </c>
      <c r="J9846" s="691">
        <v>41.3</v>
      </c>
      <c r="K9846" s="691">
        <v>41.4</v>
      </c>
    </row>
    <row r="9847" spans="1:11">
      <c r="A9847" s="688" t="s">
        <v>4067</v>
      </c>
      <c r="B9847" s="689">
        <v>38.1</v>
      </c>
      <c r="C9847" s="689">
        <v>38.5</v>
      </c>
      <c r="D9847" s="689">
        <v>38.299999999999997</v>
      </c>
      <c r="E9847" s="689">
        <v>38.6</v>
      </c>
      <c r="F9847" s="689">
        <v>38.6</v>
      </c>
      <c r="G9847" s="689">
        <v>38.700000000000003</v>
      </c>
      <c r="H9847" s="690" t="s">
        <v>4060</v>
      </c>
      <c r="I9847" s="690" t="s">
        <v>4060</v>
      </c>
      <c r="J9847" s="690" t="s">
        <v>4060</v>
      </c>
      <c r="K9847" s="690" t="s">
        <v>4060</v>
      </c>
    </row>
    <row r="9848" spans="1:11">
      <c r="A9848" s="688" t="s">
        <v>4066</v>
      </c>
      <c r="B9848" s="691">
        <v>38.1</v>
      </c>
      <c r="C9848" s="691">
        <v>38.5</v>
      </c>
      <c r="D9848" s="691">
        <v>38.299999999999997</v>
      </c>
      <c r="E9848" s="691">
        <v>38.6</v>
      </c>
      <c r="F9848" s="691">
        <v>38.6</v>
      </c>
      <c r="G9848" s="691">
        <v>38.700000000000003</v>
      </c>
      <c r="H9848" s="692" t="s">
        <v>4060</v>
      </c>
      <c r="I9848" s="692" t="s">
        <v>4060</v>
      </c>
      <c r="J9848" s="692" t="s">
        <v>4060</v>
      </c>
      <c r="K9848" s="692" t="s">
        <v>4060</v>
      </c>
    </row>
    <row r="9849" spans="1:11">
      <c r="A9849" s="688" t="s">
        <v>4062</v>
      </c>
      <c r="B9849" s="689">
        <v>40.5</v>
      </c>
      <c r="C9849" s="689">
        <v>40.700000000000003</v>
      </c>
      <c r="D9849" s="689">
        <v>40.700000000000003</v>
      </c>
      <c r="E9849" s="689">
        <v>41.2</v>
      </c>
      <c r="F9849" s="689">
        <v>41.3</v>
      </c>
      <c r="G9849" s="689">
        <v>41.5</v>
      </c>
      <c r="H9849" s="689">
        <v>41.7</v>
      </c>
      <c r="I9849" s="689">
        <v>41.2</v>
      </c>
      <c r="J9849" s="689">
        <v>41.6</v>
      </c>
      <c r="K9849" s="689">
        <v>41.4</v>
      </c>
    </row>
    <row r="9850" spans="1:11">
      <c r="A9850" s="688" t="s">
        <v>9</v>
      </c>
      <c r="B9850" s="691">
        <v>40.700000000000003</v>
      </c>
      <c r="C9850" s="615">
        <v>41</v>
      </c>
      <c r="D9850" s="691">
        <v>41.4</v>
      </c>
      <c r="E9850" s="691">
        <v>40.700000000000003</v>
      </c>
      <c r="F9850" s="691">
        <v>41.2</v>
      </c>
      <c r="G9850" s="691">
        <v>41.6</v>
      </c>
      <c r="H9850" s="691">
        <v>41.5</v>
      </c>
      <c r="I9850" s="691">
        <v>41.8</v>
      </c>
      <c r="J9850" s="691">
        <v>42.1</v>
      </c>
      <c r="K9850" s="691">
        <v>40.9</v>
      </c>
    </row>
    <row r="9851" spans="1:11">
      <c r="A9851" s="688" t="s">
        <v>13</v>
      </c>
      <c r="B9851" s="689">
        <v>40.200000000000003</v>
      </c>
      <c r="C9851" s="689">
        <v>40.6</v>
      </c>
      <c r="D9851" s="689">
        <v>40.700000000000003</v>
      </c>
      <c r="E9851" s="693">
        <v>40</v>
      </c>
      <c r="F9851" s="693">
        <v>41</v>
      </c>
      <c r="G9851" s="689">
        <v>40.700000000000003</v>
      </c>
      <c r="H9851" s="693">
        <v>42</v>
      </c>
      <c r="I9851" s="689">
        <v>40.799999999999997</v>
      </c>
      <c r="J9851" s="689">
        <v>41.8</v>
      </c>
      <c r="K9851" s="689">
        <v>42.6</v>
      </c>
    </row>
    <row r="9852" spans="1:11">
      <c r="A9852" s="688" t="s">
        <v>18</v>
      </c>
      <c r="B9852" s="615">
        <v>40</v>
      </c>
      <c r="C9852" s="691">
        <v>40.200000000000003</v>
      </c>
      <c r="D9852" s="691">
        <v>40.5</v>
      </c>
      <c r="E9852" s="691">
        <v>40.700000000000003</v>
      </c>
      <c r="F9852" s="615">
        <v>41</v>
      </c>
      <c r="G9852" s="691">
        <v>41.1</v>
      </c>
      <c r="H9852" s="691">
        <v>41.3</v>
      </c>
      <c r="I9852" s="691">
        <v>41.5</v>
      </c>
      <c r="J9852" s="691">
        <v>41.6</v>
      </c>
      <c r="K9852" s="615">
        <v>41</v>
      </c>
    </row>
    <row r="9853" spans="1:11">
      <c r="A9853" s="688" t="s">
        <v>24</v>
      </c>
      <c r="B9853" s="689">
        <v>40.799999999999997</v>
      </c>
      <c r="C9853" s="693">
        <v>41</v>
      </c>
      <c r="D9853" s="689">
        <v>40.9</v>
      </c>
      <c r="E9853" s="689">
        <v>41.5</v>
      </c>
      <c r="F9853" s="689">
        <v>41.4</v>
      </c>
      <c r="G9853" s="689">
        <v>41.7</v>
      </c>
      <c r="H9853" s="689">
        <v>41.9</v>
      </c>
      <c r="I9853" s="689">
        <v>41.1</v>
      </c>
      <c r="J9853" s="689">
        <v>41.6</v>
      </c>
      <c r="K9853" s="689">
        <v>41.7</v>
      </c>
    </row>
    <row r="9854" spans="1:11">
      <c r="A9854" s="688" t="s">
        <v>4059</v>
      </c>
      <c r="B9854" s="691">
        <v>39.6</v>
      </c>
      <c r="C9854" s="691">
        <v>39.799999999999997</v>
      </c>
      <c r="D9854" s="691">
        <v>39.6</v>
      </c>
      <c r="E9854" s="691">
        <v>39.799999999999997</v>
      </c>
      <c r="F9854" s="691">
        <v>39.799999999999997</v>
      </c>
      <c r="G9854" s="691">
        <v>39.9</v>
      </c>
      <c r="H9854" s="692" t="s">
        <v>4060</v>
      </c>
      <c r="I9854" s="692" t="s">
        <v>4060</v>
      </c>
      <c r="J9854" s="692" t="s">
        <v>4060</v>
      </c>
      <c r="K9854" s="692" t="s">
        <v>4060</v>
      </c>
    </row>
    <row r="9855" spans="1:11">
      <c r="A9855" s="688" t="s">
        <v>2324</v>
      </c>
      <c r="B9855" s="689">
        <v>34.6</v>
      </c>
      <c r="C9855" s="689">
        <v>34.700000000000003</v>
      </c>
      <c r="D9855" s="689">
        <v>34.6</v>
      </c>
      <c r="E9855" s="689">
        <v>34.4</v>
      </c>
      <c r="F9855" s="689">
        <v>34.5</v>
      </c>
      <c r="G9855" s="689">
        <v>34.700000000000003</v>
      </c>
      <c r="H9855" s="689">
        <v>34.5</v>
      </c>
      <c r="I9855" s="689">
        <v>33.5</v>
      </c>
      <c r="J9855" s="689">
        <v>31.1</v>
      </c>
      <c r="K9855" s="690" t="s">
        <v>4060</v>
      </c>
    </row>
    <row r="9856" spans="1:11">
      <c r="A9856" s="688" t="s">
        <v>2322</v>
      </c>
      <c r="B9856" s="692" t="s">
        <v>4060</v>
      </c>
      <c r="C9856" s="692" t="s">
        <v>4060</v>
      </c>
      <c r="D9856" s="692" t="s">
        <v>4060</v>
      </c>
      <c r="E9856" s="692" t="s">
        <v>4060</v>
      </c>
      <c r="F9856" s="692" t="s">
        <v>4060</v>
      </c>
      <c r="G9856" s="692" t="s">
        <v>4060</v>
      </c>
      <c r="H9856" s="692" t="s">
        <v>4060</v>
      </c>
      <c r="I9856" s="692" t="s">
        <v>4060</v>
      </c>
      <c r="J9856" s="692" t="s">
        <v>4060</v>
      </c>
      <c r="K9856" s="692" t="s">
        <v>4060</v>
      </c>
    </row>
    <row r="9857" spans="1:11">
      <c r="A9857" s="688" t="s">
        <v>2328</v>
      </c>
      <c r="B9857" s="689">
        <v>34.200000000000003</v>
      </c>
      <c r="C9857" s="689">
        <v>34.299999999999997</v>
      </c>
      <c r="D9857" s="689">
        <v>34.200000000000003</v>
      </c>
      <c r="E9857" s="689">
        <v>34.299999999999997</v>
      </c>
      <c r="F9857" s="689">
        <v>34.700000000000003</v>
      </c>
      <c r="G9857" s="689">
        <v>35.1</v>
      </c>
      <c r="H9857" s="689">
        <v>35.1</v>
      </c>
      <c r="I9857" s="689">
        <v>32.5</v>
      </c>
      <c r="J9857" s="689">
        <v>31.6</v>
      </c>
      <c r="K9857" s="690" t="s">
        <v>4060</v>
      </c>
    </row>
    <row r="9858" spans="1:11">
      <c r="A9858" s="688" t="s">
        <v>2496</v>
      </c>
      <c r="B9858" s="692" t="s">
        <v>4060</v>
      </c>
      <c r="C9858" s="691">
        <v>31.7</v>
      </c>
      <c r="D9858" s="691">
        <v>30.6</v>
      </c>
      <c r="E9858" s="691">
        <v>30.4</v>
      </c>
      <c r="F9858" s="691">
        <v>31.1</v>
      </c>
      <c r="G9858" s="691">
        <v>31.4</v>
      </c>
      <c r="H9858" s="691">
        <v>31.4</v>
      </c>
      <c r="I9858" s="692" t="s">
        <v>4060</v>
      </c>
      <c r="J9858" s="692" t="s">
        <v>4060</v>
      </c>
      <c r="K9858" s="691">
        <v>30.8</v>
      </c>
    </row>
    <row r="9859" spans="1:11">
      <c r="A9859" s="688" t="s">
        <v>2269</v>
      </c>
      <c r="B9859" s="689">
        <v>37.4</v>
      </c>
      <c r="C9859" s="689">
        <v>37.5</v>
      </c>
      <c r="D9859" s="689">
        <v>37.200000000000003</v>
      </c>
      <c r="E9859" s="689">
        <v>37.9</v>
      </c>
      <c r="F9859" s="689">
        <v>37.9</v>
      </c>
      <c r="G9859" s="689">
        <v>38.299999999999997</v>
      </c>
      <c r="H9859" s="689">
        <v>38.5</v>
      </c>
      <c r="I9859" s="689">
        <v>36.1</v>
      </c>
      <c r="J9859" s="689">
        <v>34.299999999999997</v>
      </c>
      <c r="K9859" s="693">
        <v>38</v>
      </c>
    </row>
    <row r="9860" spans="1:11">
      <c r="A9860" s="688" t="s">
        <v>2349</v>
      </c>
      <c r="B9860" s="691">
        <v>33.4</v>
      </c>
      <c r="C9860" s="691">
        <v>33.5</v>
      </c>
      <c r="D9860" s="691">
        <v>33.4</v>
      </c>
      <c r="E9860" s="691">
        <v>33.799999999999997</v>
      </c>
      <c r="F9860" s="691">
        <v>33.799999999999997</v>
      </c>
      <c r="G9860" s="615">
        <v>34</v>
      </c>
      <c r="H9860" s="691">
        <v>33.9</v>
      </c>
      <c r="I9860" s="691">
        <v>32.200000000000003</v>
      </c>
      <c r="J9860" s="691">
        <v>30.7</v>
      </c>
      <c r="K9860" s="691">
        <v>33.200000000000003</v>
      </c>
    </row>
    <row r="9861" spans="1:11">
      <c r="A9861" s="688" t="s">
        <v>2355</v>
      </c>
      <c r="B9861" s="689">
        <v>36.700000000000003</v>
      </c>
      <c r="C9861" s="689">
        <v>36.700000000000003</v>
      </c>
      <c r="D9861" s="689">
        <v>36.700000000000003</v>
      </c>
      <c r="E9861" s="689">
        <v>36.6</v>
      </c>
      <c r="F9861" s="689">
        <v>36.9</v>
      </c>
      <c r="G9861" s="689">
        <v>37.299999999999997</v>
      </c>
      <c r="H9861" s="689">
        <v>37.4</v>
      </c>
      <c r="I9861" s="690" t="s">
        <v>4060</v>
      </c>
      <c r="J9861" s="690" t="s">
        <v>4060</v>
      </c>
      <c r="K9861" s="690" t="s">
        <v>4060</v>
      </c>
    </row>
    <row r="9862" spans="1:11">
      <c r="A9862" s="688" t="s">
        <v>2357</v>
      </c>
      <c r="B9862" s="692" t="s">
        <v>4060</v>
      </c>
      <c r="C9862" s="691">
        <v>29.5</v>
      </c>
      <c r="D9862" s="691">
        <v>29.9</v>
      </c>
      <c r="E9862" s="691">
        <v>30.2</v>
      </c>
      <c r="F9862" s="691">
        <v>30.5</v>
      </c>
      <c r="G9862" s="691">
        <v>30.2</v>
      </c>
      <c r="H9862" s="691">
        <v>30.4</v>
      </c>
      <c r="I9862" s="692" t="s">
        <v>4060</v>
      </c>
      <c r="J9862" s="692" t="s">
        <v>4060</v>
      </c>
      <c r="K9862" s="692" t="s">
        <v>4060</v>
      </c>
    </row>
    <row r="9863" spans="1:11">
      <c r="A9863" s="688" t="s">
        <v>4070</v>
      </c>
      <c r="B9863" s="690" t="s">
        <v>4060</v>
      </c>
      <c r="C9863" s="690" t="s">
        <v>4060</v>
      </c>
      <c r="D9863" s="690" t="s">
        <v>4060</v>
      </c>
      <c r="E9863" s="689">
        <v>36.200000000000003</v>
      </c>
      <c r="F9863" s="690" t="s">
        <v>4060</v>
      </c>
      <c r="G9863" s="690" t="s">
        <v>4060</v>
      </c>
      <c r="H9863" s="690" t="s">
        <v>4060</v>
      </c>
      <c r="I9863" s="690" t="s">
        <v>4060</v>
      </c>
      <c r="J9863" s="690" t="s">
        <v>4060</v>
      </c>
      <c r="K9863" s="690" t="s">
        <v>4060</v>
      </c>
    </row>
    <row r="9864" spans="1:11">
      <c r="A9864" s="688" t="s">
        <v>2491</v>
      </c>
      <c r="B9864" s="691">
        <v>29.2</v>
      </c>
      <c r="C9864" s="691">
        <v>29.6</v>
      </c>
      <c r="D9864" s="615">
        <v>30</v>
      </c>
      <c r="E9864" s="691">
        <v>30.2</v>
      </c>
      <c r="F9864" s="691">
        <v>30.3</v>
      </c>
      <c r="G9864" s="691">
        <v>30.3</v>
      </c>
      <c r="H9864" s="692" t="s">
        <v>4060</v>
      </c>
      <c r="I9864" s="692" t="s">
        <v>4060</v>
      </c>
      <c r="J9864" s="692" t="s">
        <v>4060</v>
      </c>
      <c r="K9864" s="692" t="s">
        <v>4060</v>
      </c>
    </row>
    <row r="9865" spans="1:11">
      <c r="A9865" s="688" t="s">
        <v>2343</v>
      </c>
      <c r="B9865" s="690" t="s">
        <v>4060</v>
      </c>
      <c r="C9865" s="690" t="s">
        <v>4060</v>
      </c>
      <c r="D9865" s="690" t="s">
        <v>4060</v>
      </c>
      <c r="E9865" s="690" t="s">
        <v>4060</v>
      </c>
      <c r="F9865" s="690" t="s">
        <v>4060</v>
      </c>
      <c r="G9865" s="690" t="s">
        <v>4060</v>
      </c>
      <c r="H9865" s="690" t="s">
        <v>4060</v>
      </c>
      <c r="I9865" s="690" t="s">
        <v>4060</v>
      </c>
      <c r="J9865" s="690" t="s">
        <v>4060</v>
      </c>
      <c r="K9865" s="690" t="s">
        <v>4060</v>
      </c>
    </row>
    <row r="9866" spans="1:11">
      <c r="A9866" s="688" t="s">
        <v>4071</v>
      </c>
      <c r="B9866" s="692" t="s">
        <v>4060</v>
      </c>
      <c r="C9866" s="692" t="s">
        <v>4060</v>
      </c>
      <c r="D9866" s="692" t="s">
        <v>4060</v>
      </c>
      <c r="E9866" s="692" t="s">
        <v>4060</v>
      </c>
      <c r="F9866" s="692" t="s">
        <v>4060</v>
      </c>
      <c r="G9866" s="692" t="s">
        <v>4060</v>
      </c>
      <c r="H9866" s="692" t="s">
        <v>4060</v>
      </c>
      <c r="I9866" s="692" t="s">
        <v>4060</v>
      </c>
      <c r="J9866" s="692" t="s">
        <v>4060</v>
      </c>
      <c r="K9866" s="692" t="s">
        <v>4060</v>
      </c>
    </row>
    <row r="9867" spans="1:11">
      <c r="A9867" s="688" t="s">
        <v>2489</v>
      </c>
      <c r="B9867" s="690" t="s">
        <v>4060</v>
      </c>
      <c r="C9867" s="690" t="s">
        <v>4060</v>
      </c>
      <c r="D9867" s="693">
        <v>33</v>
      </c>
      <c r="E9867" s="689">
        <v>32.9</v>
      </c>
      <c r="F9867" s="689">
        <v>33.5</v>
      </c>
      <c r="G9867" s="689">
        <v>34.299999999999997</v>
      </c>
      <c r="H9867" s="689">
        <v>33.9</v>
      </c>
      <c r="I9867" s="690" t="s">
        <v>4060</v>
      </c>
      <c r="J9867" s="690" t="s">
        <v>4060</v>
      </c>
      <c r="K9867" s="690" t="s">
        <v>4060</v>
      </c>
    </row>
    <row r="9868" spans="1:11">
      <c r="A9868" s="688" t="s">
        <v>2490</v>
      </c>
      <c r="B9868" s="691">
        <v>33.700000000000003</v>
      </c>
      <c r="C9868" s="691">
        <v>33.799999999999997</v>
      </c>
      <c r="D9868" s="691">
        <v>34.5</v>
      </c>
      <c r="E9868" s="692" t="s">
        <v>4060</v>
      </c>
      <c r="F9868" s="691">
        <v>34.700000000000003</v>
      </c>
      <c r="G9868" s="691">
        <v>34.9</v>
      </c>
      <c r="H9868" s="691">
        <v>35.799999999999997</v>
      </c>
      <c r="I9868" s="692" t="s">
        <v>4060</v>
      </c>
      <c r="J9868" s="692" t="s">
        <v>4060</v>
      </c>
      <c r="K9868" s="692" t="s">
        <v>4060</v>
      </c>
    </row>
    <row r="9870" spans="1:11">
      <c r="A9870" s="683" t="s">
        <v>4233</v>
      </c>
    </row>
    <row r="9871" spans="1:11">
      <c r="A9871" s="683" t="s">
        <v>4060</v>
      </c>
      <c r="B9871" s="682" t="s">
        <v>4234</v>
      </c>
    </row>
    <row r="9873" spans="1:11">
      <c r="A9873" s="682" t="s">
        <v>4331</v>
      </c>
    </row>
    <row r="9874" spans="1:11">
      <c r="A9874" s="682" t="s">
        <v>4210</v>
      </c>
      <c r="B9874" s="683" t="s">
        <v>4211</v>
      </c>
    </row>
    <row r="9875" spans="1:11">
      <c r="A9875" s="682" t="s">
        <v>4212</v>
      </c>
      <c r="B9875" s="682" t="s">
        <v>4213</v>
      </c>
    </row>
    <row r="9877" spans="1:11">
      <c r="A9877" s="683" t="s">
        <v>4214</v>
      </c>
      <c r="C9877" s="682" t="s">
        <v>4215</v>
      </c>
    </row>
    <row r="9878" spans="1:11">
      <c r="A9878" s="683" t="s">
        <v>4216</v>
      </c>
      <c r="C9878" s="682" t="s">
        <v>2967</v>
      </c>
    </row>
    <row r="9879" spans="1:11">
      <c r="A9879" s="683" t="s">
        <v>3893</v>
      </c>
      <c r="C9879" s="682" t="s">
        <v>2168</v>
      </c>
    </row>
    <row r="9880" spans="1:11">
      <c r="A9880" s="683" t="s">
        <v>4218</v>
      </c>
      <c r="C9880" s="682" t="s">
        <v>4277</v>
      </c>
    </row>
    <row r="9882" spans="1:11">
      <c r="A9882" s="684" t="s">
        <v>4220</v>
      </c>
      <c r="B9882" s="685" t="s">
        <v>4221</v>
      </c>
      <c r="C9882" s="685" t="s">
        <v>4222</v>
      </c>
      <c r="D9882" s="685" t="s">
        <v>4223</v>
      </c>
      <c r="E9882" s="685" t="s">
        <v>4224</v>
      </c>
      <c r="F9882" s="685" t="s">
        <v>4225</v>
      </c>
      <c r="G9882" s="685" t="s">
        <v>4226</v>
      </c>
      <c r="H9882" s="685" t="s">
        <v>4227</v>
      </c>
      <c r="I9882" s="685" t="s">
        <v>4228</v>
      </c>
      <c r="J9882" s="685" t="s">
        <v>4229</v>
      </c>
      <c r="K9882" s="685" t="s">
        <v>4230</v>
      </c>
    </row>
    <row r="9883" spans="1:11">
      <c r="A9883" s="686" t="s">
        <v>4231</v>
      </c>
      <c r="B9883" s="687" t="s">
        <v>4232</v>
      </c>
      <c r="C9883" s="687" t="s">
        <v>4232</v>
      </c>
      <c r="D9883" s="687" t="s">
        <v>4232</v>
      </c>
      <c r="E9883" s="687" t="s">
        <v>4232</v>
      </c>
      <c r="F9883" s="687" t="s">
        <v>4232</v>
      </c>
      <c r="G9883" s="687" t="s">
        <v>4232</v>
      </c>
      <c r="H9883" s="687" t="s">
        <v>4232</v>
      </c>
      <c r="I9883" s="687" t="s">
        <v>4232</v>
      </c>
      <c r="J9883" s="687" t="s">
        <v>4232</v>
      </c>
      <c r="K9883" s="687" t="s">
        <v>4232</v>
      </c>
    </row>
    <row r="9884" spans="1:11">
      <c r="A9884" s="688" t="s">
        <v>4064</v>
      </c>
      <c r="B9884" s="615">
        <v>37</v>
      </c>
      <c r="C9884" s="691">
        <v>37.1</v>
      </c>
      <c r="D9884" s="691">
        <v>37.1</v>
      </c>
      <c r="E9884" s="691">
        <v>37.299999999999997</v>
      </c>
      <c r="F9884" s="691">
        <v>37.299999999999997</v>
      </c>
      <c r="G9884" s="691">
        <v>37.4</v>
      </c>
      <c r="H9884" s="691">
        <v>37.700000000000003</v>
      </c>
      <c r="I9884" s="691">
        <v>36.799999999999997</v>
      </c>
      <c r="J9884" s="691">
        <v>36.5</v>
      </c>
      <c r="K9884" s="691">
        <v>37.200000000000003</v>
      </c>
    </row>
    <row r="9885" spans="1:11">
      <c r="A9885" s="688" t="s">
        <v>4065</v>
      </c>
      <c r="B9885" s="689">
        <v>37.200000000000003</v>
      </c>
      <c r="C9885" s="689">
        <v>37.5</v>
      </c>
      <c r="D9885" s="689">
        <v>37.299999999999997</v>
      </c>
      <c r="E9885" s="689">
        <v>37.6</v>
      </c>
      <c r="F9885" s="689">
        <v>37.700000000000003</v>
      </c>
      <c r="G9885" s="689">
        <v>37.700000000000003</v>
      </c>
      <c r="H9885" s="690" t="s">
        <v>4060</v>
      </c>
      <c r="I9885" s="690" t="s">
        <v>4060</v>
      </c>
      <c r="J9885" s="690" t="s">
        <v>4060</v>
      </c>
      <c r="K9885" s="690" t="s">
        <v>4060</v>
      </c>
    </row>
    <row r="9886" spans="1:11">
      <c r="A9886" s="688" t="s">
        <v>4063</v>
      </c>
      <c r="B9886" s="691">
        <v>37.200000000000003</v>
      </c>
      <c r="C9886" s="691">
        <v>37.6</v>
      </c>
      <c r="D9886" s="691">
        <v>37.299999999999997</v>
      </c>
      <c r="E9886" s="691">
        <v>37.6</v>
      </c>
      <c r="F9886" s="691">
        <v>37.700000000000003</v>
      </c>
      <c r="G9886" s="691">
        <v>37.799999999999997</v>
      </c>
      <c r="H9886" s="692" t="s">
        <v>4060</v>
      </c>
      <c r="I9886" s="692" t="s">
        <v>4060</v>
      </c>
      <c r="J9886" s="692" t="s">
        <v>4060</v>
      </c>
      <c r="K9886" s="692" t="s">
        <v>4060</v>
      </c>
    </row>
    <row r="9887" spans="1:11">
      <c r="A9887" s="688" t="s">
        <v>4069</v>
      </c>
      <c r="B9887" s="690" t="s">
        <v>4060</v>
      </c>
      <c r="C9887" s="689">
        <v>38.200000000000003</v>
      </c>
      <c r="D9887" s="693">
        <v>38</v>
      </c>
      <c r="E9887" s="689">
        <v>38.299999999999997</v>
      </c>
      <c r="F9887" s="689">
        <v>38.4</v>
      </c>
      <c r="G9887" s="689">
        <v>38.5</v>
      </c>
      <c r="H9887" s="689">
        <v>38.799999999999997</v>
      </c>
      <c r="I9887" s="693">
        <v>38</v>
      </c>
      <c r="J9887" s="693">
        <v>38</v>
      </c>
      <c r="K9887" s="689">
        <v>38.299999999999997</v>
      </c>
    </row>
    <row r="9888" spans="1:11">
      <c r="A9888" s="688" t="s">
        <v>4068</v>
      </c>
      <c r="B9888" s="691">
        <v>38.1</v>
      </c>
      <c r="C9888" s="692" t="s">
        <v>4060</v>
      </c>
      <c r="D9888" s="692" t="s">
        <v>4060</v>
      </c>
      <c r="E9888" s="692" t="s">
        <v>4060</v>
      </c>
      <c r="F9888" s="692" t="s">
        <v>4060</v>
      </c>
      <c r="G9888" s="692" t="s">
        <v>4060</v>
      </c>
      <c r="H9888" s="692" t="s">
        <v>4060</v>
      </c>
      <c r="I9888" s="692" t="s">
        <v>4060</v>
      </c>
      <c r="J9888" s="692" t="s">
        <v>4060</v>
      </c>
      <c r="K9888" s="692" t="s">
        <v>4060</v>
      </c>
    </row>
    <row r="9889" spans="1:11">
      <c r="A9889" s="688" t="s">
        <v>0</v>
      </c>
      <c r="B9889" s="689">
        <v>37.5</v>
      </c>
      <c r="C9889" s="693">
        <v>38</v>
      </c>
      <c r="D9889" s="689">
        <v>37.9</v>
      </c>
      <c r="E9889" s="689">
        <v>38.200000000000003</v>
      </c>
      <c r="F9889" s="689">
        <v>38.4</v>
      </c>
      <c r="G9889" s="689">
        <v>38.5</v>
      </c>
      <c r="H9889" s="689">
        <v>38.9</v>
      </c>
      <c r="I9889" s="689">
        <v>37.700000000000003</v>
      </c>
      <c r="J9889" s="689">
        <v>38.5</v>
      </c>
      <c r="K9889" s="689">
        <v>38.799999999999997</v>
      </c>
    </row>
    <row r="9890" spans="1:11">
      <c r="A9890" s="688" t="s">
        <v>1</v>
      </c>
      <c r="B9890" s="691">
        <v>31.6</v>
      </c>
      <c r="C9890" s="691">
        <v>31.3</v>
      </c>
      <c r="D9890" s="691">
        <v>31.3</v>
      </c>
      <c r="E9890" s="691">
        <v>31.4</v>
      </c>
      <c r="F9890" s="691">
        <v>31.4</v>
      </c>
      <c r="G9890" s="691">
        <v>31.5</v>
      </c>
      <c r="H9890" s="691">
        <v>31.5</v>
      </c>
      <c r="I9890" s="691">
        <v>29.7</v>
      </c>
      <c r="J9890" s="691">
        <v>28.1</v>
      </c>
      <c r="K9890" s="691">
        <v>30.6</v>
      </c>
    </row>
    <row r="9891" spans="1:11">
      <c r="A9891" s="688" t="s">
        <v>2240</v>
      </c>
      <c r="B9891" s="689">
        <v>34.700000000000003</v>
      </c>
      <c r="C9891" s="689">
        <v>35.1</v>
      </c>
      <c r="D9891" s="693">
        <v>35</v>
      </c>
      <c r="E9891" s="689">
        <v>35.4</v>
      </c>
      <c r="F9891" s="689">
        <v>35.4</v>
      </c>
      <c r="G9891" s="689">
        <v>35.5</v>
      </c>
      <c r="H9891" s="689">
        <v>35.700000000000003</v>
      </c>
      <c r="I9891" s="689">
        <v>34.6</v>
      </c>
      <c r="J9891" s="689">
        <v>33.4</v>
      </c>
      <c r="K9891" s="689">
        <v>35.5</v>
      </c>
    </row>
    <row r="9892" spans="1:11">
      <c r="A9892" s="688" t="s">
        <v>2</v>
      </c>
      <c r="B9892" s="691">
        <v>37.4</v>
      </c>
      <c r="C9892" s="691">
        <v>37.799999999999997</v>
      </c>
      <c r="D9892" s="691">
        <v>37.9</v>
      </c>
      <c r="E9892" s="691">
        <v>38.1</v>
      </c>
      <c r="F9892" s="691">
        <v>38.200000000000003</v>
      </c>
      <c r="G9892" s="691">
        <v>38.200000000000003</v>
      </c>
      <c r="H9892" s="691">
        <v>38.5</v>
      </c>
      <c r="I9892" s="691">
        <v>38.700000000000003</v>
      </c>
      <c r="J9892" s="691">
        <v>38.6</v>
      </c>
      <c r="K9892" s="691">
        <v>38.4</v>
      </c>
    </row>
    <row r="9893" spans="1:11">
      <c r="A9893" s="688" t="s">
        <v>3</v>
      </c>
      <c r="B9893" s="689">
        <v>37.4</v>
      </c>
      <c r="C9893" s="689">
        <v>37.6</v>
      </c>
      <c r="D9893" s="689">
        <v>37.299999999999997</v>
      </c>
      <c r="E9893" s="689">
        <v>37.6</v>
      </c>
      <c r="F9893" s="689">
        <v>37.700000000000003</v>
      </c>
      <c r="G9893" s="689">
        <v>37.700000000000003</v>
      </c>
      <c r="H9893" s="693">
        <v>38</v>
      </c>
      <c r="I9893" s="689">
        <v>37.700000000000003</v>
      </c>
      <c r="J9893" s="689">
        <v>37.4</v>
      </c>
      <c r="K9893" s="689">
        <v>37.299999999999997</v>
      </c>
    </row>
    <row r="9894" spans="1:11">
      <c r="A9894" s="688" t="s">
        <v>4061</v>
      </c>
      <c r="B9894" s="691">
        <v>37.4</v>
      </c>
      <c r="C9894" s="691">
        <v>37.6</v>
      </c>
      <c r="D9894" s="691">
        <v>37.299999999999997</v>
      </c>
      <c r="E9894" s="691">
        <v>37.6</v>
      </c>
      <c r="F9894" s="691">
        <v>37.700000000000003</v>
      </c>
      <c r="G9894" s="691">
        <v>37.700000000000003</v>
      </c>
      <c r="H9894" s="615">
        <v>38</v>
      </c>
      <c r="I9894" s="691">
        <v>37.700000000000003</v>
      </c>
      <c r="J9894" s="691">
        <v>37.4</v>
      </c>
      <c r="K9894" s="691">
        <v>37.299999999999997</v>
      </c>
    </row>
    <row r="9895" spans="1:11">
      <c r="A9895" s="688" t="s">
        <v>4</v>
      </c>
      <c r="B9895" s="689">
        <v>32.9</v>
      </c>
      <c r="C9895" s="689">
        <v>32.700000000000003</v>
      </c>
      <c r="D9895" s="689">
        <v>33.200000000000003</v>
      </c>
      <c r="E9895" s="689">
        <v>33.299999999999997</v>
      </c>
      <c r="F9895" s="689">
        <v>33.6</v>
      </c>
      <c r="G9895" s="689">
        <v>33.5</v>
      </c>
      <c r="H9895" s="693">
        <v>34</v>
      </c>
      <c r="I9895" s="689">
        <v>33.9</v>
      </c>
      <c r="J9895" s="689">
        <v>32.5</v>
      </c>
      <c r="K9895" s="689">
        <v>33.299999999999997</v>
      </c>
    </row>
    <row r="9896" spans="1:11">
      <c r="A9896" s="688" t="s">
        <v>8</v>
      </c>
      <c r="B9896" s="691">
        <v>38.4</v>
      </c>
      <c r="C9896" s="691">
        <v>38.700000000000003</v>
      </c>
      <c r="D9896" s="691">
        <v>38.799999999999997</v>
      </c>
      <c r="E9896" s="691">
        <v>38.9</v>
      </c>
      <c r="F9896" s="691">
        <v>39.299999999999997</v>
      </c>
      <c r="G9896" s="691">
        <v>39.299999999999997</v>
      </c>
      <c r="H9896" s="691">
        <v>39.6</v>
      </c>
      <c r="I9896" s="691">
        <v>39.700000000000003</v>
      </c>
      <c r="J9896" s="691">
        <v>39.4</v>
      </c>
      <c r="K9896" s="691">
        <v>39.799999999999997</v>
      </c>
    </row>
    <row r="9897" spans="1:11">
      <c r="A9897" s="688" t="s">
        <v>7</v>
      </c>
      <c r="B9897" s="689">
        <v>38.1</v>
      </c>
      <c r="C9897" s="689">
        <v>37.6</v>
      </c>
      <c r="D9897" s="689">
        <v>37.4</v>
      </c>
      <c r="E9897" s="689">
        <v>37.799999999999997</v>
      </c>
      <c r="F9897" s="689">
        <v>37.700000000000003</v>
      </c>
      <c r="G9897" s="689">
        <v>38.1</v>
      </c>
      <c r="H9897" s="689">
        <v>38.1</v>
      </c>
      <c r="I9897" s="689">
        <v>37.799999999999997</v>
      </c>
      <c r="J9897" s="689">
        <v>36.700000000000003</v>
      </c>
      <c r="K9897" s="689">
        <v>37.5</v>
      </c>
    </row>
    <row r="9898" spans="1:11">
      <c r="A9898" s="688" t="s">
        <v>27</v>
      </c>
      <c r="B9898" s="691">
        <v>39.1</v>
      </c>
      <c r="C9898" s="615">
        <v>39</v>
      </c>
      <c r="D9898" s="691">
        <v>38.799999999999997</v>
      </c>
      <c r="E9898" s="691">
        <v>39.200000000000003</v>
      </c>
      <c r="F9898" s="691">
        <v>39.299999999999997</v>
      </c>
      <c r="G9898" s="691">
        <v>39.299999999999997</v>
      </c>
      <c r="H9898" s="691">
        <v>39.700000000000003</v>
      </c>
      <c r="I9898" s="691">
        <v>38.4</v>
      </c>
      <c r="J9898" s="691">
        <v>39.200000000000003</v>
      </c>
      <c r="K9898" s="691">
        <v>39.4</v>
      </c>
    </row>
    <row r="9899" spans="1:11">
      <c r="A9899" s="688" t="s">
        <v>6</v>
      </c>
      <c r="B9899" s="689">
        <v>38.5</v>
      </c>
      <c r="C9899" s="689">
        <v>38.700000000000003</v>
      </c>
      <c r="D9899" s="689">
        <v>38.5</v>
      </c>
      <c r="E9899" s="689">
        <v>38.799999999999997</v>
      </c>
      <c r="F9899" s="689">
        <v>38.9</v>
      </c>
      <c r="G9899" s="693">
        <v>39</v>
      </c>
      <c r="H9899" s="689">
        <v>39.200000000000003</v>
      </c>
      <c r="I9899" s="689">
        <v>38.6</v>
      </c>
      <c r="J9899" s="689">
        <v>38.700000000000003</v>
      </c>
      <c r="K9899" s="689">
        <v>38.9</v>
      </c>
    </row>
    <row r="9900" spans="1:11">
      <c r="A9900" s="688" t="s">
        <v>4058</v>
      </c>
      <c r="B9900" s="692" t="s">
        <v>4060</v>
      </c>
      <c r="C9900" s="692" t="s">
        <v>4060</v>
      </c>
      <c r="D9900" s="692" t="s">
        <v>4060</v>
      </c>
      <c r="E9900" s="692" t="s">
        <v>4060</v>
      </c>
      <c r="F9900" s="692" t="s">
        <v>4060</v>
      </c>
      <c r="G9900" s="692" t="s">
        <v>4060</v>
      </c>
      <c r="H9900" s="692" t="s">
        <v>4060</v>
      </c>
      <c r="I9900" s="692" t="s">
        <v>4060</v>
      </c>
      <c r="J9900" s="692" t="s">
        <v>4060</v>
      </c>
      <c r="K9900" s="692" t="s">
        <v>4060</v>
      </c>
    </row>
    <row r="9901" spans="1:11">
      <c r="A9901" s="688" t="s">
        <v>11</v>
      </c>
      <c r="B9901" s="693">
        <v>34</v>
      </c>
      <c r="C9901" s="689">
        <v>34.1</v>
      </c>
      <c r="D9901" s="689">
        <v>33.799999999999997</v>
      </c>
      <c r="E9901" s="689">
        <v>34.299999999999997</v>
      </c>
      <c r="F9901" s="689">
        <v>34.299999999999997</v>
      </c>
      <c r="G9901" s="689">
        <v>34.4</v>
      </c>
      <c r="H9901" s="689">
        <v>34.799999999999997</v>
      </c>
      <c r="I9901" s="693">
        <v>34</v>
      </c>
      <c r="J9901" s="689">
        <v>32.9</v>
      </c>
      <c r="K9901" s="689">
        <v>34.200000000000003</v>
      </c>
    </row>
    <row r="9902" spans="1:11">
      <c r="A9902" s="688" t="s">
        <v>10</v>
      </c>
      <c r="B9902" s="691">
        <v>39.4</v>
      </c>
      <c r="C9902" s="691">
        <v>39.5</v>
      </c>
      <c r="D9902" s="691">
        <v>39.200000000000003</v>
      </c>
      <c r="E9902" s="691">
        <v>39.700000000000003</v>
      </c>
      <c r="F9902" s="691">
        <v>39.6</v>
      </c>
      <c r="G9902" s="691">
        <v>39.9</v>
      </c>
      <c r="H9902" s="691">
        <v>40.200000000000003</v>
      </c>
      <c r="I9902" s="691">
        <v>38.799999999999997</v>
      </c>
      <c r="J9902" s="691">
        <v>39.299999999999997</v>
      </c>
      <c r="K9902" s="691">
        <v>39.6</v>
      </c>
    </row>
    <row r="9903" spans="1:11">
      <c r="A9903" s="688" t="s">
        <v>30</v>
      </c>
      <c r="B9903" s="689">
        <v>39.200000000000003</v>
      </c>
      <c r="C9903" s="689">
        <v>39.299999999999997</v>
      </c>
      <c r="D9903" s="689">
        <v>39.200000000000003</v>
      </c>
      <c r="E9903" s="689">
        <v>39.700000000000003</v>
      </c>
      <c r="F9903" s="689">
        <v>39.299999999999997</v>
      </c>
      <c r="G9903" s="689">
        <v>40.200000000000003</v>
      </c>
      <c r="H9903" s="689">
        <v>39.799999999999997</v>
      </c>
      <c r="I9903" s="689">
        <v>39.799999999999997</v>
      </c>
      <c r="J9903" s="689">
        <v>38.9</v>
      </c>
      <c r="K9903" s="689">
        <v>39.4</v>
      </c>
    </row>
    <row r="9904" spans="1:11">
      <c r="A9904" s="688" t="s">
        <v>12</v>
      </c>
      <c r="B9904" s="691">
        <v>30.1</v>
      </c>
      <c r="C9904" s="691">
        <v>30.1</v>
      </c>
      <c r="D9904" s="691">
        <v>30.6</v>
      </c>
      <c r="E9904" s="691">
        <v>30.6</v>
      </c>
      <c r="F9904" s="691">
        <v>30.6</v>
      </c>
      <c r="G9904" s="691">
        <v>30.6</v>
      </c>
      <c r="H9904" s="691">
        <v>31.3</v>
      </c>
      <c r="I9904" s="615">
        <v>31</v>
      </c>
      <c r="J9904" s="691">
        <v>28.7</v>
      </c>
      <c r="K9904" s="615">
        <v>30</v>
      </c>
    </row>
    <row r="9905" spans="1:11">
      <c r="A9905" s="688" t="s">
        <v>14</v>
      </c>
      <c r="B9905" s="689">
        <v>29.9</v>
      </c>
      <c r="C9905" s="689">
        <v>30.4</v>
      </c>
      <c r="D9905" s="689">
        <v>30.2</v>
      </c>
      <c r="E9905" s="689">
        <v>30.4</v>
      </c>
      <c r="F9905" s="689">
        <v>31.3</v>
      </c>
      <c r="G9905" s="689">
        <v>31.5</v>
      </c>
      <c r="H9905" s="689">
        <v>31.9</v>
      </c>
      <c r="I9905" s="689">
        <v>30.5</v>
      </c>
      <c r="J9905" s="693">
        <v>30</v>
      </c>
      <c r="K9905" s="689">
        <v>31.4</v>
      </c>
    </row>
    <row r="9906" spans="1:11">
      <c r="A9906" s="688" t="s">
        <v>15</v>
      </c>
      <c r="B9906" s="615">
        <v>39</v>
      </c>
      <c r="C9906" s="691">
        <v>38.299999999999997</v>
      </c>
      <c r="D9906" s="615">
        <v>39</v>
      </c>
      <c r="E9906" s="691">
        <v>38.799999999999997</v>
      </c>
      <c r="F9906" s="691">
        <v>38.799999999999997</v>
      </c>
      <c r="G9906" s="691">
        <v>38.9</v>
      </c>
      <c r="H9906" s="691">
        <v>39.4</v>
      </c>
      <c r="I9906" s="691">
        <v>38.799999999999997</v>
      </c>
      <c r="J9906" s="691">
        <v>39.200000000000003</v>
      </c>
      <c r="K9906" s="691">
        <v>39.799999999999997</v>
      </c>
    </row>
    <row r="9907" spans="1:11">
      <c r="A9907" s="688" t="s">
        <v>29</v>
      </c>
      <c r="B9907" s="689">
        <v>31.7</v>
      </c>
      <c r="C9907" s="689">
        <v>31.8</v>
      </c>
      <c r="D9907" s="689">
        <v>31.7</v>
      </c>
      <c r="E9907" s="689">
        <v>31.9</v>
      </c>
      <c r="F9907" s="689">
        <v>31.9</v>
      </c>
      <c r="G9907" s="693">
        <v>32</v>
      </c>
      <c r="H9907" s="689">
        <v>32.299999999999997</v>
      </c>
      <c r="I9907" s="689">
        <v>31.6</v>
      </c>
      <c r="J9907" s="689">
        <v>30.2</v>
      </c>
      <c r="K9907" s="693">
        <v>32</v>
      </c>
    </row>
    <row r="9908" spans="1:11">
      <c r="A9908" s="688" t="s">
        <v>16</v>
      </c>
      <c r="B9908" s="691">
        <v>38.799999999999997</v>
      </c>
      <c r="C9908" s="691">
        <v>38.9</v>
      </c>
      <c r="D9908" s="615">
        <v>39</v>
      </c>
      <c r="E9908" s="691">
        <v>39.799999999999997</v>
      </c>
      <c r="F9908" s="691">
        <v>39.4</v>
      </c>
      <c r="G9908" s="691">
        <v>39.299999999999997</v>
      </c>
      <c r="H9908" s="691">
        <v>39.799999999999997</v>
      </c>
      <c r="I9908" s="691">
        <v>38.9</v>
      </c>
      <c r="J9908" s="691">
        <v>39.299999999999997</v>
      </c>
      <c r="K9908" s="691">
        <v>39.4</v>
      </c>
    </row>
    <row r="9909" spans="1:11">
      <c r="A9909" s="688" t="s">
        <v>17</v>
      </c>
      <c r="B9909" s="689">
        <v>38.700000000000003</v>
      </c>
      <c r="C9909" s="693">
        <v>39</v>
      </c>
      <c r="D9909" s="689">
        <v>38.799999999999997</v>
      </c>
      <c r="E9909" s="689">
        <v>38.9</v>
      </c>
      <c r="F9909" s="689">
        <v>39.200000000000003</v>
      </c>
      <c r="G9909" s="689">
        <v>39.200000000000003</v>
      </c>
      <c r="H9909" s="689">
        <v>39.5</v>
      </c>
      <c r="I9909" s="689">
        <v>38.799999999999997</v>
      </c>
      <c r="J9909" s="689">
        <v>38.799999999999997</v>
      </c>
      <c r="K9909" s="689">
        <v>39.200000000000003</v>
      </c>
    </row>
    <row r="9910" spans="1:11">
      <c r="A9910" s="688" t="s">
        <v>19</v>
      </c>
      <c r="B9910" s="691">
        <v>37.9</v>
      </c>
      <c r="C9910" s="691">
        <v>38.200000000000003</v>
      </c>
      <c r="D9910" s="691">
        <v>37.9</v>
      </c>
      <c r="E9910" s="691">
        <v>38.4</v>
      </c>
      <c r="F9910" s="691">
        <v>38.5</v>
      </c>
      <c r="G9910" s="691">
        <v>38.5</v>
      </c>
      <c r="H9910" s="691">
        <v>38.799999999999997</v>
      </c>
      <c r="I9910" s="691">
        <v>38.1</v>
      </c>
      <c r="J9910" s="615">
        <v>38</v>
      </c>
      <c r="K9910" s="691">
        <v>38.200000000000003</v>
      </c>
    </row>
    <row r="9911" spans="1:11">
      <c r="A9911" s="688" t="s">
        <v>20</v>
      </c>
      <c r="B9911" s="689">
        <v>33.1</v>
      </c>
      <c r="C9911" s="689">
        <v>33.6</v>
      </c>
      <c r="D9911" s="689">
        <v>33.299999999999997</v>
      </c>
      <c r="E9911" s="689">
        <v>33.700000000000003</v>
      </c>
      <c r="F9911" s="689">
        <v>33.700000000000003</v>
      </c>
      <c r="G9911" s="689">
        <v>33.6</v>
      </c>
      <c r="H9911" s="689">
        <v>33.9</v>
      </c>
      <c r="I9911" s="689">
        <v>32.299999999999997</v>
      </c>
      <c r="J9911" s="689">
        <v>31.5</v>
      </c>
      <c r="K9911" s="689">
        <v>33.299999999999997</v>
      </c>
    </row>
    <row r="9912" spans="1:11">
      <c r="A9912" s="688" t="s">
        <v>21</v>
      </c>
      <c r="B9912" s="615">
        <v>37</v>
      </c>
      <c r="C9912" s="691">
        <v>37.4</v>
      </c>
      <c r="D9912" s="691">
        <v>37.5</v>
      </c>
      <c r="E9912" s="691">
        <v>37.4</v>
      </c>
      <c r="F9912" s="691">
        <v>37.799999999999997</v>
      </c>
      <c r="G9912" s="691">
        <v>37.700000000000003</v>
      </c>
      <c r="H9912" s="691">
        <v>38.200000000000003</v>
      </c>
      <c r="I9912" s="691">
        <v>37.6</v>
      </c>
      <c r="J9912" s="691">
        <v>37.6</v>
      </c>
      <c r="K9912" s="615">
        <v>38</v>
      </c>
    </row>
    <row r="9913" spans="1:11">
      <c r="A9913" s="688" t="s">
        <v>22</v>
      </c>
      <c r="B9913" s="693">
        <v>32</v>
      </c>
      <c r="C9913" s="689">
        <v>31.7</v>
      </c>
      <c r="D9913" s="689">
        <v>31.6</v>
      </c>
      <c r="E9913" s="689">
        <v>31.7</v>
      </c>
      <c r="F9913" s="689">
        <v>31.8</v>
      </c>
      <c r="G9913" s="689">
        <v>31.7</v>
      </c>
      <c r="H9913" s="689">
        <v>31.9</v>
      </c>
      <c r="I9913" s="689">
        <v>30.3</v>
      </c>
      <c r="J9913" s="689">
        <v>29.2</v>
      </c>
      <c r="K9913" s="689">
        <v>31.2</v>
      </c>
    </row>
    <row r="9914" spans="1:11">
      <c r="A9914" s="688" t="s">
        <v>26</v>
      </c>
      <c r="B9914" s="691">
        <v>36.6</v>
      </c>
      <c r="C9914" s="691">
        <v>37.1</v>
      </c>
      <c r="D9914" s="691">
        <v>36.799999999999997</v>
      </c>
      <c r="E9914" s="691">
        <v>37.299999999999997</v>
      </c>
      <c r="F9914" s="691">
        <v>37.1</v>
      </c>
      <c r="G9914" s="691">
        <v>37.5</v>
      </c>
      <c r="H9914" s="691">
        <v>37.700000000000003</v>
      </c>
      <c r="I9914" s="691">
        <v>36.799999999999997</v>
      </c>
      <c r="J9914" s="691">
        <v>36.700000000000003</v>
      </c>
      <c r="K9914" s="691">
        <v>37.700000000000003</v>
      </c>
    </row>
    <row r="9915" spans="1:11">
      <c r="A9915" s="688" t="s">
        <v>25</v>
      </c>
      <c r="B9915" s="689">
        <v>32.700000000000003</v>
      </c>
      <c r="C9915" s="689">
        <v>33.1</v>
      </c>
      <c r="D9915" s="693">
        <v>33</v>
      </c>
      <c r="E9915" s="689">
        <v>33.5</v>
      </c>
      <c r="F9915" s="689">
        <v>33.5</v>
      </c>
      <c r="G9915" s="689">
        <v>33.700000000000003</v>
      </c>
      <c r="H9915" s="689">
        <v>34.1</v>
      </c>
      <c r="I9915" s="689">
        <v>33.299999999999997</v>
      </c>
      <c r="J9915" s="693">
        <v>31</v>
      </c>
      <c r="K9915" s="689">
        <v>33.4</v>
      </c>
    </row>
    <row r="9916" spans="1:11">
      <c r="A9916" s="688" t="s">
        <v>5</v>
      </c>
      <c r="B9916" s="691">
        <v>37.6</v>
      </c>
      <c r="C9916" s="691">
        <v>37.700000000000003</v>
      </c>
      <c r="D9916" s="691">
        <v>37.9</v>
      </c>
      <c r="E9916" s="691">
        <v>37.799999999999997</v>
      </c>
      <c r="F9916" s="691">
        <v>38.200000000000003</v>
      </c>
      <c r="G9916" s="691">
        <v>38.299999999999997</v>
      </c>
      <c r="H9916" s="691">
        <v>38.700000000000003</v>
      </c>
      <c r="I9916" s="691">
        <v>38.5</v>
      </c>
      <c r="J9916" s="691">
        <v>38.5</v>
      </c>
      <c r="K9916" s="615">
        <v>38</v>
      </c>
    </row>
    <row r="9917" spans="1:11">
      <c r="A9917" s="688" t="s">
        <v>23</v>
      </c>
      <c r="B9917" s="689">
        <v>39.4</v>
      </c>
      <c r="C9917" s="689">
        <v>39.5</v>
      </c>
      <c r="D9917" s="689">
        <v>39.6</v>
      </c>
      <c r="E9917" s="689">
        <v>39.799999999999997</v>
      </c>
      <c r="F9917" s="693">
        <v>40</v>
      </c>
      <c r="G9917" s="693">
        <v>40</v>
      </c>
      <c r="H9917" s="689">
        <v>40.5</v>
      </c>
      <c r="I9917" s="689">
        <v>39.799999999999997</v>
      </c>
      <c r="J9917" s="689">
        <v>40.299999999999997</v>
      </c>
      <c r="K9917" s="689">
        <v>40.5</v>
      </c>
    </row>
    <row r="9918" spans="1:11">
      <c r="A9918" s="688" t="s">
        <v>4067</v>
      </c>
      <c r="B9918" s="691">
        <v>37.200000000000003</v>
      </c>
      <c r="C9918" s="691">
        <v>37.5</v>
      </c>
      <c r="D9918" s="691">
        <v>37.299999999999997</v>
      </c>
      <c r="E9918" s="691">
        <v>37.6</v>
      </c>
      <c r="F9918" s="691">
        <v>37.700000000000003</v>
      </c>
      <c r="G9918" s="691">
        <v>37.799999999999997</v>
      </c>
      <c r="H9918" s="692" t="s">
        <v>4060</v>
      </c>
      <c r="I9918" s="692" t="s">
        <v>4060</v>
      </c>
      <c r="J9918" s="692" t="s">
        <v>4060</v>
      </c>
      <c r="K9918" s="692" t="s">
        <v>4060</v>
      </c>
    </row>
    <row r="9919" spans="1:11">
      <c r="A9919" s="688" t="s">
        <v>4066</v>
      </c>
      <c r="B9919" s="689">
        <v>37.200000000000003</v>
      </c>
      <c r="C9919" s="689">
        <v>37.6</v>
      </c>
      <c r="D9919" s="689">
        <v>37.299999999999997</v>
      </c>
      <c r="E9919" s="689">
        <v>37.700000000000003</v>
      </c>
      <c r="F9919" s="689">
        <v>37.700000000000003</v>
      </c>
      <c r="G9919" s="689">
        <v>37.799999999999997</v>
      </c>
      <c r="H9919" s="690" t="s">
        <v>4060</v>
      </c>
      <c r="I9919" s="690" t="s">
        <v>4060</v>
      </c>
      <c r="J9919" s="690" t="s">
        <v>4060</v>
      </c>
      <c r="K9919" s="690" t="s">
        <v>4060</v>
      </c>
    </row>
    <row r="9920" spans="1:11">
      <c r="A9920" s="688" t="s">
        <v>4062</v>
      </c>
      <c r="B9920" s="691">
        <v>39.6</v>
      </c>
      <c r="C9920" s="691">
        <v>39.799999999999997</v>
      </c>
      <c r="D9920" s="691">
        <v>39.799999999999997</v>
      </c>
      <c r="E9920" s="691">
        <v>40.200000000000003</v>
      </c>
      <c r="F9920" s="691">
        <v>40.299999999999997</v>
      </c>
      <c r="G9920" s="691">
        <v>40.5</v>
      </c>
      <c r="H9920" s="691">
        <v>40.700000000000003</v>
      </c>
      <c r="I9920" s="691">
        <v>40.299999999999997</v>
      </c>
      <c r="J9920" s="691">
        <v>40.700000000000003</v>
      </c>
      <c r="K9920" s="691">
        <v>40.4</v>
      </c>
    </row>
    <row r="9921" spans="1:11">
      <c r="A9921" s="688" t="s">
        <v>9</v>
      </c>
      <c r="B9921" s="689">
        <v>39.700000000000003</v>
      </c>
      <c r="C9921" s="689">
        <v>40.1</v>
      </c>
      <c r="D9921" s="689">
        <v>40.4</v>
      </c>
      <c r="E9921" s="689">
        <v>39.700000000000003</v>
      </c>
      <c r="F9921" s="689">
        <v>40.200000000000003</v>
      </c>
      <c r="G9921" s="689">
        <v>40.6</v>
      </c>
      <c r="H9921" s="689">
        <v>40.6</v>
      </c>
      <c r="I9921" s="689">
        <v>40.799999999999997</v>
      </c>
      <c r="J9921" s="689">
        <v>41.1</v>
      </c>
      <c r="K9921" s="693">
        <v>40</v>
      </c>
    </row>
    <row r="9922" spans="1:11">
      <c r="A9922" s="688" t="s">
        <v>13</v>
      </c>
      <c r="B9922" s="691">
        <v>39.200000000000003</v>
      </c>
      <c r="C9922" s="691">
        <v>39.6</v>
      </c>
      <c r="D9922" s="691">
        <v>39.700000000000003</v>
      </c>
      <c r="E9922" s="615">
        <v>39</v>
      </c>
      <c r="F9922" s="691">
        <v>40.1</v>
      </c>
      <c r="G9922" s="691">
        <v>39.700000000000003</v>
      </c>
      <c r="H9922" s="615">
        <v>41</v>
      </c>
      <c r="I9922" s="691">
        <v>39.799999999999997</v>
      </c>
      <c r="J9922" s="691">
        <v>40.799999999999997</v>
      </c>
      <c r="K9922" s="691">
        <v>41.6</v>
      </c>
    </row>
    <row r="9923" spans="1:11">
      <c r="A9923" s="688" t="s">
        <v>18</v>
      </c>
      <c r="B9923" s="693">
        <v>39</v>
      </c>
      <c r="C9923" s="689">
        <v>39.299999999999997</v>
      </c>
      <c r="D9923" s="689">
        <v>39.5</v>
      </c>
      <c r="E9923" s="689">
        <v>39.700000000000003</v>
      </c>
      <c r="F9923" s="693">
        <v>40</v>
      </c>
      <c r="G9923" s="689">
        <v>40.200000000000003</v>
      </c>
      <c r="H9923" s="689">
        <v>40.4</v>
      </c>
      <c r="I9923" s="689">
        <v>40.6</v>
      </c>
      <c r="J9923" s="689">
        <v>40.6</v>
      </c>
      <c r="K9923" s="693">
        <v>40</v>
      </c>
    </row>
    <row r="9924" spans="1:11">
      <c r="A9924" s="688" t="s">
        <v>24</v>
      </c>
      <c r="B9924" s="691">
        <v>39.9</v>
      </c>
      <c r="C9924" s="691">
        <v>40.1</v>
      </c>
      <c r="D9924" s="691">
        <v>39.9</v>
      </c>
      <c r="E9924" s="691">
        <v>40.5</v>
      </c>
      <c r="F9924" s="691">
        <v>40.5</v>
      </c>
      <c r="G9924" s="691">
        <v>40.700000000000003</v>
      </c>
      <c r="H9924" s="691">
        <v>40.9</v>
      </c>
      <c r="I9924" s="691">
        <v>40.1</v>
      </c>
      <c r="J9924" s="691">
        <v>40.700000000000003</v>
      </c>
      <c r="K9924" s="691">
        <v>40.700000000000003</v>
      </c>
    </row>
    <row r="9925" spans="1:11">
      <c r="A9925" s="688" t="s">
        <v>4059</v>
      </c>
      <c r="B9925" s="689">
        <v>38.6</v>
      </c>
      <c r="C9925" s="689">
        <v>38.9</v>
      </c>
      <c r="D9925" s="689">
        <v>38.700000000000003</v>
      </c>
      <c r="E9925" s="689">
        <v>38.799999999999997</v>
      </c>
      <c r="F9925" s="689">
        <v>38.9</v>
      </c>
      <c r="G9925" s="689">
        <v>38.9</v>
      </c>
      <c r="H9925" s="690" t="s">
        <v>4060</v>
      </c>
      <c r="I9925" s="690" t="s">
        <v>4060</v>
      </c>
      <c r="J9925" s="690" t="s">
        <v>4060</v>
      </c>
      <c r="K9925" s="690" t="s">
        <v>4060</v>
      </c>
    </row>
    <row r="9926" spans="1:11">
      <c r="A9926" s="688" t="s">
        <v>2324</v>
      </c>
      <c r="B9926" s="691">
        <v>33.700000000000003</v>
      </c>
      <c r="C9926" s="691">
        <v>33.799999999999997</v>
      </c>
      <c r="D9926" s="691">
        <v>33.700000000000003</v>
      </c>
      <c r="E9926" s="691">
        <v>33.4</v>
      </c>
      <c r="F9926" s="691">
        <v>33.5</v>
      </c>
      <c r="G9926" s="691">
        <v>33.799999999999997</v>
      </c>
      <c r="H9926" s="691">
        <v>33.6</v>
      </c>
      <c r="I9926" s="691">
        <v>32.6</v>
      </c>
      <c r="J9926" s="691">
        <v>30.2</v>
      </c>
      <c r="K9926" s="692" t="s">
        <v>4060</v>
      </c>
    </row>
    <row r="9927" spans="1:11">
      <c r="A9927" s="688" t="s">
        <v>2322</v>
      </c>
      <c r="B9927" s="690" t="s">
        <v>4060</v>
      </c>
      <c r="C9927" s="690" t="s">
        <v>4060</v>
      </c>
      <c r="D9927" s="690" t="s">
        <v>4060</v>
      </c>
      <c r="E9927" s="690" t="s">
        <v>4060</v>
      </c>
      <c r="F9927" s="690" t="s">
        <v>4060</v>
      </c>
      <c r="G9927" s="690" t="s">
        <v>4060</v>
      </c>
      <c r="H9927" s="690" t="s">
        <v>4060</v>
      </c>
      <c r="I9927" s="690" t="s">
        <v>4060</v>
      </c>
      <c r="J9927" s="690" t="s">
        <v>4060</v>
      </c>
      <c r="K9927" s="690" t="s">
        <v>4060</v>
      </c>
    </row>
    <row r="9928" spans="1:11">
      <c r="A9928" s="688" t="s">
        <v>2328</v>
      </c>
      <c r="B9928" s="691">
        <v>33.299999999999997</v>
      </c>
      <c r="C9928" s="691">
        <v>33.299999999999997</v>
      </c>
      <c r="D9928" s="691">
        <v>33.299999999999997</v>
      </c>
      <c r="E9928" s="691">
        <v>33.4</v>
      </c>
      <c r="F9928" s="691">
        <v>33.799999999999997</v>
      </c>
      <c r="G9928" s="691">
        <v>34.1</v>
      </c>
      <c r="H9928" s="691">
        <v>34.1</v>
      </c>
      <c r="I9928" s="691">
        <v>31.6</v>
      </c>
      <c r="J9928" s="691">
        <v>30.7</v>
      </c>
      <c r="K9928" s="692" t="s">
        <v>4060</v>
      </c>
    </row>
    <row r="9929" spans="1:11">
      <c r="A9929" s="688" t="s">
        <v>2496</v>
      </c>
      <c r="B9929" s="690" t="s">
        <v>4060</v>
      </c>
      <c r="C9929" s="689">
        <v>30.8</v>
      </c>
      <c r="D9929" s="689">
        <v>29.7</v>
      </c>
      <c r="E9929" s="689">
        <v>29.5</v>
      </c>
      <c r="F9929" s="689">
        <v>30.2</v>
      </c>
      <c r="G9929" s="689">
        <v>30.5</v>
      </c>
      <c r="H9929" s="689">
        <v>30.5</v>
      </c>
      <c r="I9929" s="690" t="s">
        <v>4060</v>
      </c>
      <c r="J9929" s="690" t="s">
        <v>4060</v>
      </c>
      <c r="K9929" s="693">
        <v>30</v>
      </c>
    </row>
    <row r="9930" spans="1:11">
      <c r="A9930" s="688" t="s">
        <v>2269</v>
      </c>
      <c r="B9930" s="691">
        <v>36.5</v>
      </c>
      <c r="C9930" s="691">
        <v>36.6</v>
      </c>
      <c r="D9930" s="691">
        <v>36.200000000000003</v>
      </c>
      <c r="E9930" s="615">
        <v>37</v>
      </c>
      <c r="F9930" s="615">
        <v>37</v>
      </c>
      <c r="G9930" s="691">
        <v>37.299999999999997</v>
      </c>
      <c r="H9930" s="691">
        <v>37.6</v>
      </c>
      <c r="I9930" s="691">
        <v>35.1</v>
      </c>
      <c r="J9930" s="691">
        <v>33.299999999999997</v>
      </c>
      <c r="K9930" s="691">
        <v>37.1</v>
      </c>
    </row>
    <row r="9931" spans="1:11">
      <c r="A9931" s="688" t="s">
        <v>2349</v>
      </c>
      <c r="B9931" s="689">
        <v>32.5</v>
      </c>
      <c r="C9931" s="689">
        <v>32.6</v>
      </c>
      <c r="D9931" s="689">
        <v>32.5</v>
      </c>
      <c r="E9931" s="689">
        <v>32.9</v>
      </c>
      <c r="F9931" s="689">
        <v>32.799999999999997</v>
      </c>
      <c r="G9931" s="689">
        <v>33.1</v>
      </c>
      <c r="H9931" s="693">
        <v>33</v>
      </c>
      <c r="I9931" s="689">
        <v>31.2</v>
      </c>
      <c r="J9931" s="689">
        <v>29.8</v>
      </c>
      <c r="K9931" s="689">
        <v>32.299999999999997</v>
      </c>
    </row>
    <row r="9932" spans="1:11">
      <c r="A9932" s="688" t="s">
        <v>2355</v>
      </c>
      <c r="B9932" s="691">
        <v>35.799999999999997</v>
      </c>
      <c r="C9932" s="691">
        <v>35.799999999999997</v>
      </c>
      <c r="D9932" s="691">
        <v>35.700000000000003</v>
      </c>
      <c r="E9932" s="691">
        <v>35.700000000000003</v>
      </c>
      <c r="F9932" s="691">
        <v>35.9</v>
      </c>
      <c r="G9932" s="691">
        <v>36.299999999999997</v>
      </c>
      <c r="H9932" s="691">
        <v>36.4</v>
      </c>
      <c r="I9932" s="692" t="s">
        <v>4060</v>
      </c>
      <c r="J9932" s="692" t="s">
        <v>4060</v>
      </c>
      <c r="K9932" s="692" t="s">
        <v>4060</v>
      </c>
    </row>
    <row r="9933" spans="1:11">
      <c r="A9933" s="688" t="s">
        <v>2357</v>
      </c>
      <c r="B9933" s="690" t="s">
        <v>4060</v>
      </c>
      <c r="C9933" s="689">
        <v>28.7</v>
      </c>
      <c r="D9933" s="689">
        <v>29.1</v>
      </c>
      <c r="E9933" s="689">
        <v>29.4</v>
      </c>
      <c r="F9933" s="689">
        <v>29.7</v>
      </c>
      <c r="G9933" s="689">
        <v>29.4</v>
      </c>
      <c r="H9933" s="689">
        <v>29.6</v>
      </c>
      <c r="I9933" s="690" t="s">
        <v>4060</v>
      </c>
      <c r="J9933" s="690" t="s">
        <v>4060</v>
      </c>
      <c r="K9933" s="690" t="s">
        <v>4060</v>
      </c>
    </row>
    <row r="9934" spans="1:11">
      <c r="A9934" s="688" t="s">
        <v>4070</v>
      </c>
      <c r="B9934" s="692" t="s">
        <v>4060</v>
      </c>
      <c r="C9934" s="692" t="s">
        <v>4060</v>
      </c>
      <c r="D9934" s="692" t="s">
        <v>4060</v>
      </c>
      <c r="E9934" s="691">
        <v>35.200000000000003</v>
      </c>
      <c r="F9934" s="692" t="s">
        <v>4060</v>
      </c>
      <c r="G9934" s="692" t="s">
        <v>4060</v>
      </c>
      <c r="H9934" s="692" t="s">
        <v>4060</v>
      </c>
      <c r="I9934" s="692" t="s">
        <v>4060</v>
      </c>
      <c r="J9934" s="692" t="s">
        <v>4060</v>
      </c>
      <c r="K9934" s="692" t="s">
        <v>4060</v>
      </c>
    </row>
    <row r="9935" spans="1:11">
      <c r="A9935" s="688" t="s">
        <v>2491</v>
      </c>
      <c r="B9935" s="689">
        <v>28.4</v>
      </c>
      <c r="C9935" s="689">
        <v>28.8</v>
      </c>
      <c r="D9935" s="689">
        <v>29.1</v>
      </c>
      <c r="E9935" s="689">
        <v>29.4</v>
      </c>
      <c r="F9935" s="689">
        <v>29.5</v>
      </c>
      <c r="G9935" s="689">
        <v>29.4</v>
      </c>
      <c r="H9935" s="690" t="s">
        <v>4060</v>
      </c>
      <c r="I9935" s="690" t="s">
        <v>4060</v>
      </c>
      <c r="J9935" s="690" t="s">
        <v>4060</v>
      </c>
      <c r="K9935" s="690" t="s">
        <v>4060</v>
      </c>
    </row>
    <row r="9936" spans="1:11">
      <c r="A9936" s="688" t="s">
        <v>2343</v>
      </c>
      <c r="B9936" s="692" t="s">
        <v>4060</v>
      </c>
      <c r="C9936" s="692" t="s">
        <v>4060</v>
      </c>
      <c r="D9936" s="692" t="s">
        <v>4060</v>
      </c>
      <c r="E9936" s="692" t="s">
        <v>4060</v>
      </c>
      <c r="F9936" s="692" t="s">
        <v>4060</v>
      </c>
      <c r="G9936" s="692" t="s">
        <v>4060</v>
      </c>
      <c r="H9936" s="692" t="s">
        <v>4060</v>
      </c>
      <c r="I9936" s="692" t="s">
        <v>4060</v>
      </c>
      <c r="J9936" s="692" t="s">
        <v>4060</v>
      </c>
      <c r="K9936" s="692" t="s">
        <v>4060</v>
      </c>
    </row>
    <row r="9937" spans="1:11">
      <c r="A9937" s="688" t="s">
        <v>4071</v>
      </c>
      <c r="B9937" s="690" t="s">
        <v>4060</v>
      </c>
      <c r="C9937" s="690" t="s">
        <v>4060</v>
      </c>
      <c r="D9937" s="690" t="s">
        <v>4060</v>
      </c>
      <c r="E9937" s="690" t="s">
        <v>4060</v>
      </c>
      <c r="F9937" s="690" t="s">
        <v>4060</v>
      </c>
      <c r="G9937" s="690" t="s">
        <v>4060</v>
      </c>
      <c r="H9937" s="690" t="s">
        <v>4060</v>
      </c>
      <c r="I9937" s="690" t="s">
        <v>4060</v>
      </c>
      <c r="J9937" s="690" t="s">
        <v>4060</v>
      </c>
      <c r="K9937" s="690" t="s">
        <v>4060</v>
      </c>
    </row>
    <row r="9938" spans="1:11">
      <c r="A9938" s="688" t="s">
        <v>2489</v>
      </c>
      <c r="B9938" s="692" t="s">
        <v>4060</v>
      </c>
      <c r="C9938" s="692" t="s">
        <v>4060</v>
      </c>
      <c r="D9938" s="691">
        <v>32.1</v>
      </c>
      <c r="E9938" s="615">
        <v>32</v>
      </c>
      <c r="F9938" s="691">
        <v>32.6</v>
      </c>
      <c r="G9938" s="691">
        <v>33.4</v>
      </c>
      <c r="H9938" s="615">
        <v>33</v>
      </c>
      <c r="I9938" s="692" t="s">
        <v>4060</v>
      </c>
      <c r="J9938" s="692" t="s">
        <v>4060</v>
      </c>
      <c r="K9938" s="692" t="s">
        <v>4060</v>
      </c>
    </row>
    <row r="9939" spans="1:11">
      <c r="A9939" s="688" t="s">
        <v>2490</v>
      </c>
      <c r="B9939" s="689">
        <v>32.799999999999997</v>
      </c>
      <c r="C9939" s="689">
        <v>32.9</v>
      </c>
      <c r="D9939" s="689">
        <v>33.6</v>
      </c>
      <c r="E9939" s="690" t="s">
        <v>4060</v>
      </c>
      <c r="F9939" s="689">
        <v>33.799999999999997</v>
      </c>
      <c r="G9939" s="693">
        <v>34</v>
      </c>
      <c r="H9939" s="689">
        <v>34.9</v>
      </c>
      <c r="I9939" s="690" t="s">
        <v>4060</v>
      </c>
      <c r="J9939" s="690" t="s">
        <v>4060</v>
      </c>
      <c r="K9939" s="690" t="s">
        <v>4060</v>
      </c>
    </row>
    <row r="9941" spans="1:11">
      <c r="A9941" s="683" t="s">
        <v>4233</v>
      </c>
    </row>
    <row r="9942" spans="1:11">
      <c r="A9942" s="683" t="s">
        <v>4060</v>
      </c>
      <c r="B9942" s="682" t="s">
        <v>4234</v>
      </c>
    </row>
    <row r="9944" spans="1:11">
      <c r="A9944" s="682" t="s">
        <v>4331</v>
      </c>
    </row>
    <row r="9945" spans="1:11">
      <c r="A9945" s="682" t="s">
        <v>4210</v>
      </c>
      <c r="B9945" s="683" t="s">
        <v>4211</v>
      </c>
    </row>
    <row r="9946" spans="1:11">
      <c r="A9946" s="682" t="s">
        <v>4212</v>
      </c>
      <c r="B9946" s="682" t="s">
        <v>4213</v>
      </c>
    </row>
    <row r="9948" spans="1:11">
      <c r="A9948" s="683" t="s">
        <v>4214</v>
      </c>
      <c r="C9948" s="682" t="s">
        <v>4215</v>
      </c>
    </row>
    <row r="9949" spans="1:11">
      <c r="A9949" s="683" t="s">
        <v>4216</v>
      </c>
      <c r="C9949" s="682" t="s">
        <v>2967</v>
      </c>
    </row>
    <row r="9950" spans="1:11">
      <c r="A9950" s="683" t="s">
        <v>3893</v>
      </c>
      <c r="C9950" s="682" t="s">
        <v>2168</v>
      </c>
    </row>
    <row r="9951" spans="1:11">
      <c r="A9951" s="683" t="s">
        <v>4218</v>
      </c>
      <c r="C9951" s="682" t="s">
        <v>4278</v>
      </c>
    </row>
    <row r="9953" spans="1:11">
      <c r="A9953" s="684" t="s">
        <v>4220</v>
      </c>
      <c r="B9953" s="685" t="s">
        <v>4221</v>
      </c>
      <c r="C9953" s="685" t="s">
        <v>4222</v>
      </c>
      <c r="D9953" s="685" t="s">
        <v>4223</v>
      </c>
      <c r="E9953" s="685" t="s">
        <v>4224</v>
      </c>
      <c r="F9953" s="685" t="s">
        <v>4225</v>
      </c>
      <c r="G9953" s="685" t="s">
        <v>4226</v>
      </c>
      <c r="H9953" s="685" t="s">
        <v>4227</v>
      </c>
      <c r="I9953" s="685" t="s">
        <v>4228</v>
      </c>
      <c r="J9953" s="685" t="s">
        <v>4229</v>
      </c>
      <c r="K9953" s="685" t="s">
        <v>4230</v>
      </c>
    </row>
    <row r="9954" spans="1:11">
      <c r="A9954" s="686" t="s">
        <v>4231</v>
      </c>
      <c r="B9954" s="687" t="s">
        <v>4232</v>
      </c>
      <c r="C9954" s="687" t="s">
        <v>4232</v>
      </c>
      <c r="D9954" s="687" t="s">
        <v>4232</v>
      </c>
      <c r="E9954" s="687" t="s">
        <v>4232</v>
      </c>
      <c r="F9954" s="687" t="s">
        <v>4232</v>
      </c>
      <c r="G9954" s="687" t="s">
        <v>4232</v>
      </c>
      <c r="H9954" s="687" t="s">
        <v>4232</v>
      </c>
      <c r="I9954" s="687" t="s">
        <v>4232</v>
      </c>
      <c r="J9954" s="687" t="s">
        <v>4232</v>
      </c>
      <c r="K9954" s="687" t="s">
        <v>4232</v>
      </c>
    </row>
    <row r="9955" spans="1:11">
      <c r="A9955" s="688" t="s">
        <v>4064</v>
      </c>
      <c r="B9955" s="693">
        <v>36</v>
      </c>
      <c r="C9955" s="689">
        <v>36.200000000000003</v>
      </c>
      <c r="D9955" s="689">
        <v>36.200000000000003</v>
      </c>
      <c r="E9955" s="689">
        <v>36.299999999999997</v>
      </c>
      <c r="F9955" s="689">
        <v>36.4</v>
      </c>
      <c r="G9955" s="689">
        <v>36.5</v>
      </c>
      <c r="H9955" s="689">
        <v>36.799999999999997</v>
      </c>
      <c r="I9955" s="689">
        <v>35.9</v>
      </c>
      <c r="J9955" s="689">
        <v>35.6</v>
      </c>
      <c r="K9955" s="689">
        <v>36.299999999999997</v>
      </c>
    </row>
    <row r="9956" spans="1:11">
      <c r="A9956" s="688" t="s">
        <v>4065</v>
      </c>
      <c r="B9956" s="691">
        <v>36.200000000000003</v>
      </c>
      <c r="C9956" s="691">
        <v>36.6</v>
      </c>
      <c r="D9956" s="691">
        <v>36.4</v>
      </c>
      <c r="E9956" s="691">
        <v>36.700000000000003</v>
      </c>
      <c r="F9956" s="691">
        <v>36.700000000000003</v>
      </c>
      <c r="G9956" s="691">
        <v>36.799999999999997</v>
      </c>
      <c r="H9956" s="692" t="s">
        <v>4060</v>
      </c>
      <c r="I9956" s="692" t="s">
        <v>4060</v>
      </c>
      <c r="J9956" s="692" t="s">
        <v>4060</v>
      </c>
      <c r="K9956" s="692" t="s">
        <v>4060</v>
      </c>
    </row>
    <row r="9957" spans="1:11">
      <c r="A9957" s="688" t="s">
        <v>4063</v>
      </c>
      <c r="B9957" s="689">
        <v>36.299999999999997</v>
      </c>
      <c r="C9957" s="689">
        <v>36.6</v>
      </c>
      <c r="D9957" s="689">
        <v>36.4</v>
      </c>
      <c r="E9957" s="689">
        <v>36.700000000000003</v>
      </c>
      <c r="F9957" s="689">
        <v>36.700000000000003</v>
      </c>
      <c r="G9957" s="689">
        <v>36.799999999999997</v>
      </c>
      <c r="H9957" s="690" t="s">
        <v>4060</v>
      </c>
      <c r="I9957" s="690" t="s">
        <v>4060</v>
      </c>
      <c r="J9957" s="690" t="s">
        <v>4060</v>
      </c>
      <c r="K9957" s="690" t="s">
        <v>4060</v>
      </c>
    </row>
    <row r="9958" spans="1:11">
      <c r="A9958" s="688" t="s">
        <v>4069</v>
      </c>
      <c r="B9958" s="692" t="s">
        <v>4060</v>
      </c>
      <c r="C9958" s="691">
        <v>37.200000000000003</v>
      </c>
      <c r="D9958" s="615">
        <v>37</v>
      </c>
      <c r="E9958" s="691">
        <v>37.4</v>
      </c>
      <c r="F9958" s="691">
        <v>37.4</v>
      </c>
      <c r="G9958" s="691">
        <v>37.6</v>
      </c>
      <c r="H9958" s="691">
        <v>37.799999999999997</v>
      </c>
      <c r="I9958" s="691">
        <v>37.1</v>
      </c>
      <c r="J9958" s="691">
        <v>37.1</v>
      </c>
      <c r="K9958" s="691">
        <v>37.4</v>
      </c>
    </row>
    <row r="9959" spans="1:11">
      <c r="A9959" s="688" t="s">
        <v>4068</v>
      </c>
      <c r="B9959" s="689">
        <v>37.1</v>
      </c>
      <c r="C9959" s="690" t="s">
        <v>4060</v>
      </c>
      <c r="D9959" s="690" t="s">
        <v>4060</v>
      </c>
      <c r="E9959" s="690" t="s">
        <v>4060</v>
      </c>
      <c r="F9959" s="690" t="s">
        <v>4060</v>
      </c>
      <c r="G9959" s="690" t="s">
        <v>4060</v>
      </c>
      <c r="H9959" s="690" t="s">
        <v>4060</v>
      </c>
      <c r="I9959" s="690" t="s">
        <v>4060</v>
      </c>
      <c r="J9959" s="690" t="s">
        <v>4060</v>
      </c>
      <c r="K9959" s="690" t="s">
        <v>4060</v>
      </c>
    </row>
    <row r="9960" spans="1:11">
      <c r="A9960" s="688" t="s">
        <v>0</v>
      </c>
      <c r="B9960" s="691">
        <v>36.6</v>
      </c>
      <c r="C9960" s="691">
        <v>37.1</v>
      </c>
      <c r="D9960" s="691">
        <v>36.9</v>
      </c>
      <c r="E9960" s="691">
        <v>37.200000000000003</v>
      </c>
      <c r="F9960" s="691">
        <v>37.4</v>
      </c>
      <c r="G9960" s="691">
        <v>37.6</v>
      </c>
      <c r="H9960" s="615">
        <v>38</v>
      </c>
      <c r="I9960" s="691">
        <v>36.799999999999997</v>
      </c>
      <c r="J9960" s="691">
        <v>37.6</v>
      </c>
      <c r="K9960" s="691">
        <v>37.9</v>
      </c>
    </row>
    <row r="9961" spans="1:11">
      <c r="A9961" s="688" t="s">
        <v>1</v>
      </c>
      <c r="B9961" s="689">
        <v>30.7</v>
      </c>
      <c r="C9961" s="689">
        <v>30.4</v>
      </c>
      <c r="D9961" s="689">
        <v>30.4</v>
      </c>
      <c r="E9961" s="689">
        <v>30.5</v>
      </c>
      <c r="F9961" s="689">
        <v>30.5</v>
      </c>
      <c r="G9961" s="689">
        <v>30.6</v>
      </c>
      <c r="H9961" s="689">
        <v>30.6</v>
      </c>
      <c r="I9961" s="689">
        <v>28.9</v>
      </c>
      <c r="J9961" s="689">
        <v>27.3</v>
      </c>
      <c r="K9961" s="689">
        <v>29.7</v>
      </c>
    </row>
    <row r="9962" spans="1:11">
      <c r="A9962" s="688" t="s">
        <v>2240</v>
      </c>
      <c r="B9962" s="691">
        <v>33.700000000000003</v>
      </c>
      <c r="C9962" s="691">
        <v>34.200000000000003</v>
      </c>
      <c r="D9962" s="691">
        <v>34.1</v>
      </c>
      <c r="E9962" s="691">
        <v>34.5</v>
      </c>
      <c r="F9962" s="691">
        <v>34.5</v>
      </c>
      <c r="G9962" s="691">
        <v>34.5</v>
      </c>
      <c r="H9962" s="691">
        <v>34.799999999999997</v>
      </c>
      <c r="I9962" s="691">
        <v>33.700000000000003</v>
      </c>
      <c r="J9962" s="691">
        <v>32.5</v>
      </c>
      <c r="K9962" s="691">
        <v>34.6</v>
      </c>
    </row>
    <row r="9963" spans="1:11">
      <c r="A9963" s="688" t="s">
        <v>2</v>
      </c>
      <c r="B9963" s="689">
        <v>36.5</v>
      </c>
      <c r="C9963" s="689">
        <v>36.799999999999997</v>
      </c>
      <c r="D9963" s="689">
        <v>36.9</v>
      </c>
      <c r="E9963" s="689">
        <v>37.1</v>
      </c>
      <c r="F9963" s="689">
        <v>37.299999999999997</v>
      </c>
      <c r="G9963" s="689">
        <v>37.200000000000003</v>
      </c>
      <c r="H9963" s="689">
        <v>37.5</v>
      </c>
      <c r="I9963" s="689">
        <v>37.700000000000003</v>
      </c>
      <c r="J9963" s="689">
        <v>37.6</v>
      </c>
      <c r="K9963" s="689">
        <v>37.5</v>
      </c>
    </row>
    <row r="9964" spans="1:11">
      <c r="A9964" s="688" t="s">
        <v>3</v>
      </c>
      <c r="B9964" s="691">
        <v>36.4</v>
      </c>
      <c r="C9964" s="691">
        <v>36.700000000000003</v>
      </c>
      <c r="D9964" s="691">
        <v>36.4</v>
      </c>
      <c r="E9964" s="691">
        <v>36.700000000000003</v>
      </c>
      <c r="F9964" s="691">
        <v>36.799999999999997</v>
      </c>
      <c r="G9964" s="691">
        <v>36.700000000000003</v>
      </c>
      <c r="H9964" s="615">
        <v>37</v>
      </c>
      <c r="I9964" s="691">
        <v>36.799999999999997</v>
      </c>
      <c r="J9964" s="691">
        <v>36.4</v>
      </c>
      <c r="K9964" s="691">
        <v>36.4</v>
      </c>
    </row>
    <row r="9965" spans="1:11">
      <c r="A9965" s="688" t="s">
        <v>4061</v>
      </c>
      <c r="B9965" s="689">
        <v>36.4</v>
      </c>
      <c r="C9965" s="689">
        <v>36.700000000000003</v>
      </c>
      <c r="D9965" s="689">
        <v>36.4</v>
      </c>
      <c r="E9965" s="689">
        <v>36.700000000000003</v>
      </c>
      <c r="F9965" s="689">
        <v>36.799999999999997</v>
      </c>
      <c r="G9965" s="689">
        <v>36.700000000000003</v>
      </c>
      <c r="H9965" s="693">
        <v>37</v>
      </c>
      <c r="I9965" s="689">
        <v>36.799999999999997</v>
      </c>
      <c r="J9965" s="689">
        <v>36.4</v>
      </c>
      <c r="K9965" s="689">
        <v>36.4</v>
      </c>
    </row>
    <row r="9966" spans="1:11">
      <c r="A9966" s="688" t="s">
        <v>4</v>
      </c>
      <c r="B9966" s="615">
        <v>32</v>
      </c>
      <c r="C9966" s="691">
        <v>31.8</v>
      </c>
      <c r="D9966" s="691">
        <v>32.299999999999997</v>
      </c>
      <c r="E9966" s="691">
        <v>32.299999999999997</v>
      </c>
      <c r="F9966" s="691">
        <v>32.700000000000003</v>
      </c>
      <c r="G9966" s="691">
        <v>32.700000000000003</v>
      </c>
      <c r="H9966" s="691">
        <v>33.1</v>
      </c>
      <c r="I9966" s="615">
        <v>33</v>
      </c>
      <c r="J9966" s="691">
        <v>31.6</v>
      </c>
      <c r="K9966" s="691">
        <v>32.4</v>
      </c>
    </row>
    <row r="9967" spans="1:11">
      <c r="A9967" s="688" t="s">
        <v>8</v>
      </c>
      <c r="B9967" s="689">
        <v>37.5</v>
      </c>
      <c r="C9967" s="689">
        <v>37.700000000000003</v>
      </c>
      <c r="D9967" s="689">
        <v>37.9</v>
      </c>
      <c r="E9967" s="693">
        <v>38</v>
      </c>
      <c r="F9967" s="689">
        <v>38.4</v>
      </c>
      <c r="G9967" s="689">
        <v>38.4</v>
      </c>
      <c r="H9967" s="689">
        <v>38.700000000000003</v>
      </c>
      <c r="I9967" s="689">
        <v>38.700000000000003</v>
      </c>
      <c r="J9967" s="689">
        <v>38.4</v>
      </c>
      <c r="K9967" s="689">
        <v>38.799999999999997</v>
      </c>
    </row>
    <row r="9968" spans="1:11">
      <c r="A9968" s="688" t="s">
        <v>7</v>
      </c>
      <c r="B9968" s="691">
        <v>37.200000000000003</v>
      </c>
      <c r="C9968" s="691">
        <v>36.700000000000003</v>
      </c>
      <c r="D9968" s="691">
        <v>36.5</v>
      </c>
      <c r="E9968" s="691">
        <v>36.799999999999997</v>
      </c>
      <c r="F9968" s="691">
        <v>36.799999999999997</v>
      </c>
      <c r="G9968" s="691">
        <v>37.200000000000003</v>
      </c>
      <c r="H9968" s="691">
        <v>37.200000000000003</v>
      </c>
      <c r="I9968" s="691">
        <v>36.9</v>
      </c>
      <c r="J9968" s="691">
        <v>35.799999999999997</v>
      </c>
      <c r="K9968" s="691">
        <v>36.6</v>
      </c>
    </row>
    <row r="9969" spans="1:11">
      <c r="A9969" s="688" t="s">
        <v>27</v>
      </c>
      <c r="B9969" s="689">
        <v>38.200000000000003</v>
      </c>
      <c r="C9969" s="689">
        <v>38.1</v>
      </c>
      <c r="D9969" s="689">
        <v>37.9</v>
      </c>
      <c r="E9969" s="689">
        <v>38.200000000000003</v>
      </c>
      <c r="F9969" s="689">
        <v>38.299999999999997</v>
      </c>
      <c r="G9969" s="689">
        <v>38.4</v>
      </c>
      <c r="H9969" s="689">
        <v>38.700000000000003</v>
      </c>
      <c r="I9969" s="689">
        <v>37.5</v>
      </c>
      <c r="J9969" s="689">
        <v>38.200000000000003</v>
      </c>
      <c r="K9969" s="689">
        <v>38.4</v>
      </c>
    </row>
    <row r="9970" spans="1:11">
      <c r="A9970" s="688" t="s">
        <v>6</v>
      </c>
      <c r="B9970" s="691">
        <v>37.6</v>
      </c>
      <c r="C9970" s="691">
        <v>37.799999999999997</v>
      </c>
      <c r="D9970" s="691">
        <v>37.6</v>
      </c>
      <c r="E9970" s="691">
        <v>37.799999999999997</v>
      </c>
      <c r="F9970" s="615">
        <v>38</v>
      </c>
      <c r="G9970" s="691">
        <v>38.1</v>
      </c>
      <c r="H9970" s="691">
        <v>38.299999999999997</v>
      </c>
      <c r="I9970" s="691">
        <v>37.6</v>
      </c>
      <c r="J9970" s="691">
        <v>37.700000000000003</v>
      </c>
      <c r="K9970" s="691">
        <v>37.9</v>
      </c>
    </row>
    <row r="9971" spans="1:11">
      <c r="A9971" s="688" t="s">
        <v>4058</v>
      </c>
      <c r="B9971" s="690" t="s">
        <v>4060</v>
      </c>
      <c r="C9971" s="690" t="s">
        <v>4060</v>
      </c>
      <c r="D9971" s="690" t="s">
        <v>4060</v>
      </c>
      <c r="E9971" s="690" t="s">
        <v>4060</v>
      </c>
      <c r="F9971" s="690" t="s">
        <v>4060</v>
      </c>
      <c r="G9971" s="690" t="s">
        <v>4060</v>
      </c>
      <c r="H9971" s="690" t="s">
        <v>4060</v>
      </c>
      <c r="I9971" s="690" t="s">
        <v>4060</v>
      </c>
      <c r="J9971" s="690" t="s">
        <v>4060</v>
      </c>
      <c r="K9971" s="690" t="s">
        <v>4060</v>
      </c>
    </row>
    <row r="9972" spans="1:11">
      <c r="A9972" s="688" t="s">
        <v>11</v>
      </c>
      <c r="B9972" s="691">
        <v>33.1</v>
      </c>
      <c r="C9972" s="691">
        <v>33.200000000000003</v>
      </c>
      <c r="D9972" s="691">
        <v>32.9</v>
      </c>
      <c r="E9972" s="691">
        <v>33.4</v>
      </c>
      <c r="F9972" s="691">
        <v>33.4</v>
      </c>
      <c r="G9972" s="691">
        <v>33.4</v>
      </c>
      <c r="H9972" s="691">
        <v>33.799999999999997</v>
      </c>
      <c r="I9972" s="615">
        <v>33</v>
      </c>
      <c r="J9972" s="615">
        <v>32</v>
      </c>
      <c r="K9972" s="691">
        <v>33.299999999999997</v>
      </c>
    </row>
    <row r="9973" spans="1:11">
      <c r="A9973" s="688" t="s">
        <v>10</v>
      </c>
      <c r="B9973" s="689">
        <v>38.4</v>
      </c>
      <c r="C9973" s="689">
        <v>38.5</v>
      </c>
      <c r="D9973" s="689">
        <v>38.200000000000003</v>
      </c>
      <c r="E9973" s="689">
        <v>38.799999999999997</v>
      </c>
      <c r="F9973" s="689">
        <v>38.6</v>
      </c>
      <c r="G9973" s="693">
        <v>39</v>
      </c>
      <c r="H9973" s="689">
        <v>39.200000000000003</v>
      </c>
      <c r="I9973" s="689">
        <v>37.9</v>
      </c>
      <c r="J9973" s="689">
        <v>38.4</v>
      </c>
      <c r="K9973" s="689">
        <v>38.700000000000003</v>
      </c>
    </row>
    <row r="9974" spans="1:11">
      <c r="A9974" s="688" t="s">
        <v>30</v>
      </c>
      <c r="B9974" s="691">
        <v>38.299999999999997</v>
      </c>
      <c r="C9974" s="691">
        <v>38.4</v>
      </c>
      <c r="D9974" s="691">
        <v>38.299999999999997</v>
      </c>
      <c r="E9974" s="691">
        <v>38.700000000000003</v>
      </c>
      <c r="F9974" s="691">
        <v>38.4</v>
      </c>
      <c r="G9974" s="691">
        <v>39.200000000000003</v>
      </c>
      <c r="H9974" s="691">
        <v>38.799999999999997</v>
      </c>
      <c r="I9974" s="691">
        <v>38.799999999999997</v>
      </c>
      <c r="J9974" s="615">
        <v>38</v>
      </c>
      <c r="K9974" s="691">
        <v>38.5</v>
      </c>
    </row>
    <row r="9975" spans="1:11">
      <c r="A9975" s="688" t="s">
        <v>12</v>
      </c>
      <c r="B9975" s="689">
        <v>29.2</v>
      </c>
      <c r="C9975" s="689">
        <v>29.3</v>
      </c>
      <c r="D9975" s="689">
        <v>29.7</v>
      </c>
      <c r="E9975" s="689">
        <v>29.8</v>
      </c>
      <c r="F9975" s="689">
        <v>29.8</v>
      </c>
      <c r="G9975" s="689">
        <v>29.8</v>
      </c>
      <c r="H9975" s="689">
        <v>30.5</v>
      </c>
      <c r="I9975" s="689">
        <v>30.1</v>
      </c>
      <c r="J9975" s="689">
        <v>27.9</v>
      </c>
      <c r="K9975" s="689">
        <v>29.2</v>
      </c>
    </row>
    <row r="9976" spans="1:11">
      <c r="A9976" s="688" t="s">
        <v>14</v>
      </c>
      <c r="B9976" s="691">
        <v>29.1</v>
      </c>
      <c r="C9976" s="691">
        <v>29.6</v>
      </c>
      <c r="D9976" s="691">
        <v>29.4</v>
      </c>
      <c r="E9976" s="691">
        <v>29.6</v>
      </c>
      <c r="F9976" s="691">
        <v>30.5</v>
      </c>
      <c r="G9976" s="691">
        <v>30.7</v>
      </c>
      <c r="H9976" s="691">
        <v>31.1</v>
      </c>
      <c r="I9976" s="691">
        <v>29.6</v>
      </c>
      <c r="J9976" s="691">
        <v>29.2</v>
      </c>
      <c r="K9976" s="691">
        <v>30.5</v>
      </c>
    </row>
    <row r="9977" spans="1:11">
      <c r="A9977" s="688" t="s">
        <v>15</v>
      </c>
      <c r="B9977" s="693">
        <v>38</v>
      </c>
      <c r="C9977" s="689">
        <v>37.4</v>
      </c>
      <c r="D9977" s="689">
        <v>38.1</v>
      </c>
      <c r="E9977" s="689">
        <v>37.9</v>
      </c>
      <c r="F9977" s="689">
        <v>37.799999999999997</v>
      </c>
      <c r="G9977" s="693">
        <v>38</v>
      </c>
      <c r="H9977" s="689">
        <v>38.4</v>
      </c>
      <c r="I9977" s="689">
        <v>37.9</v>
      </c>
      <c r="J9977" s="689">
        <v>38.299999999999997</v>
      </c>
      <c r="K9977" s="689">
        <v>38.799999999999997</v>
      </c>
    </row>
    <row r="9978" spans="1:11">
      <c r="A9978" s="688" t="s">
        <v>29</v>
      </c>
      <c r="B9978" s="691">
        <v>30.8</v>
      </c>
      <c r="C9978" s="691">
        <v>30.8</v>
      </c>
      <c r="D9978" s="691">
        <v>30.8</v>
      </c>
      <c r="E9978" s="615">
        <v>31</v>
      </c>
      <c r="F9978" s="615">
        <v>31</v>
      </c>
      <c r="G9978" s="615">
        <v>31</v>
      </c>
      <c r="H9978" s="691">
        <v>31.4</v>
      </c>
      <c r="I9978" s="691">
        <v>30.7</v>
      </c>
      <c r="J9978" s="691">
        <v>29.3</v>
      </c>
      <c r="K9978" s="691">
        <v>31.1</v>
      </c>
    </row>
    <row r="9979" spans="1:11">
      <c r="A9979" s="688" t="s">
        <v>16</v>
      </c>
      <c r="B9979" s="689">
        <v>37.9</v>
      </c>
      <c r="C9979" s="693">
        <v>38</v>
      </c>
      <c r="D9979" s="689">
        <v>38.1</v>
      </c>
      <c r="E9979" s="689">
        <v>38.799999999999997</v>
      </c>
      <c r="F9979" s="689">
        <v>38.5</v>
      </c>
      <c r="G9979" s="689">
        <v>38.299999999999997</v>
      </c>
      <c r="H9979" s="689">
        <v>38.799999999999997</v>
      </c>
      <c r="I9979" s="689">
        <v>37.9</v>
      </c>
      <c r="J9979" s="689">
        <v>38.299999999999997</v>
      </c>
      <c r="K9979" s="689">
        <v>38.5</v>
      </c>
    </row>
    <row r="9980" spans="1:11">
      <c r="A9980" s="688" t="s">
        <v>17</v>
      </c>
      <c r="B9980" s="691">
        <v>37.700000000000003</v>
      </c>
      <c r="C9980" s="615">
        <v>38</v>
      </c>
      <c r="D9980" s="691">
        <v>37.799999999999997</v>
      </c>
      <c r="E9980" s="615">
        <v>38</v>
      </c>
      <c r="F9980" s="691">
        <v>38.200000000000003</v>
      </c>
      <c r="G9980" s="691">
        <v>38.299999999999997</v>
      </c>
      <c r="H9980" s="691">
        <v>38.6</v>
      </c>
      <c r="I9980" s="691">
        <v>37.799999999999997</v>
      </c>
      <c r="J9980" s="691">
        <v>37.799999999999997</v>
      </c>
      <c r="K9980" s="691">
        <v>38.299999999999997</v>
      </c>
    </row>
    <row r="9981" spans="1:11">
      <c r="A9981" s="688" t="s">
        <v>19</v>
      </c>
      <c r="B9981" s="693">
        <v>37</v>
      </c>
      <c r="C9981" s="689">
        <v>37.200000000000003</v>
      </c>
      <c r="D9981" s="693">
        <v>37</v>
      </c>
      <c r="E9981" s="689">
        <v>37.4</v>
      </c>
      <c r="F9981" s="689">
        <v>37.5</v>
      </c>
      <c r="G9981" s="689">
        <v>37.5</v>
      </c>
      <c r="H9981" s="689">
        <v>37.9</v>
      </c>
      <c r="I9981" s="689">
        <v>37.1</v>
      </c>
      <c r="J9981" s="689">
        <v>37.1</v>
      </c>
      <c r="K9981" s="689">
        <v>37.299999999999997</v>
      </c>
    </row>
    <row r="9982" spans="1:11">
      <c r="A9982" s="688" t="s">
        <v>20</v>
      </c>
      <c r="B9982" s="691">
        <v>32.200000000000003</v>
      </c>
      <c r="C9982" s="691">
        <v>32.700000000000003</v>
      </c>
      <c r="D9982" s="691">
        <v>32.4</v>
      </c>
      <c r="E9982" s="691">
        <v>32.799999999999997</v>
      </c>
      <c r="F9982" s="691">
        <v>32.799999999999997</v>
      </c>
      <c r="G9982" s="691">
        <v>32.700000000000003</v>
      </c>
      <c r="H9982" s="615">
        <v>33</v>
      </c>
      <c r="I9982" s="691">
        <v>31.4</v>
      </c>
      <c r="J9982" s="691">
        <v>30.6</v>
      </c>
      <c r="K9982" s="691">
        <v>32.4</v>
      </c>
    </row>
    <row r="9983" spans="1:11">
      <c r="A9983" s="688" t="s">
        <v>21</v>
      </c>
      <c r="B9983" s="689">
        <v>36.1</v>
      </c>
      <c r="C9983" s="689">
        <v>36.5</v>
      </c>
      <c r="D9983" s="689">
        <v>36.6</v>
      </c>
      <c r="E9983" s="689">
        <v>36.5</v>
      </c>
      <c r="F9983" s="689">
        <v>36.9</v>
      </c>
      <c r="G9983" s="689">
        <v>36.799999999999997</v>
      </c>
      <c r="H9983" s="689">
        <v>37.200000000000003</v>
      </c>
      <c r="I9983" s="689">
        <v>36.6</v>
      </c>
      <c r="J9983" s="689">
        <v>36.700000000000003</v>
      </c>
      <c r="K9983" s="689">
        <v>37.1</v>
      </c>
    </row>
    <row r="9984" spans="1:11">
      <c r="A9984" s="688" t="s">
        <v>22</v>
      </c>
      <c r="B9984" s="691">
        <v>31.1</v>
      </c>
      <c r="C9984" s="691">
        <v>30.8</v>
      </c>
      <c r="D9984" s="691">
        <v>30.7</v>
      </c>
      <c r="E9984" s="691">
        <v>30.8</v>
      </c>
      <c r="F9984" s="691">
        <v>30.9</v>
      </c>
      <c r="G9984" s="691">
        <v>30.8</v>
      </c>
      <c r="H9984" s="615">
        <v>31</v>
      </c>
      <c r="I9984" s="691">
        <v>29.4</v>
      </c>
      <c r="J9984" s="691">
        <v>28.3</v>
      </c>
      <c r="K9984" s="691">
        <v>30.4</v>
      </c>
    </row>
    <row r="9985" spans="1:11">
      <c r="A9985" s="688" t="s">
        <v>26</v>
      </c>
      <c r="B9985" s="689">
        <v>35.6</v>
      </c>
      <c r="C9985" s="689">
        <v>36.200000000000003</v>
      </c>
      <c r="D9985" s="689">
        <v>35.9</v>
      </c>
      <c r="E9985" s="689">
        <v>36.299999999999997</v>
      </c>
      <c r="F9985" s="689">
        <v>36.200000000000003</v>
      </c>
      <c r="G9985" s="689">
        <v>36.5</v>
      </c>
      <c r="H9985" s="689">
        <v>36.799999999999997</v>
      </c>
      <c r="I9985" s="689">
        <v>35.9</v>
      </c>
      <c r="J9985" s="689">
        <v>35.799999999999997</v>
      </c>
      <c r="K9985" s="689">
        <v>36.700000000000003</v>
      </c>
    </row>
    <row r="9986" spans="1:11">
      <c r="A9986" s="688" t="s">
        <v>25</v>
      </c>
      <c r="B9986" s="691">
        <v>31.8</v>
      </c>
      <c r="C9986" s="691">
        <v>32.200000000000003</v>
      </c>
      <c r="D9986" s="691">
        <v>32.1</v>
      </c>
      <c r="E9986" s="691">
        <v>32.6</v>
      </c>
      <c r="F9986" s="691">
        <v>32.6</v>
      </c>
      <c r="G9986" s="691">
        <v>32.700000000000003</v>
      </c>
      <c r="H9986" s="691">
        <v>33.200000000000003</v>
      </c>
      <c r="I9986" s="691">
        <v>32.4</v>
      </c>
      <c r="J9986" s="691">
        <v>30.1</v>
      </c>
      <c r="K9986" s="691">
        <v>32.5</v>
      </c>
    </row>
    <row r="9987" spans="1:11">
      <c r="A9987" s="688" t="s">
        <v>5</v>
      </c>
      <c r="B9987" s="689">
        <v>36.6</v>
      </c>
      <c r="C9987" s="689">
        <v>36.700000000000003</v>
      </c>
      <c r="D9987" s="689">
        <v>36.9</v>
      </c>
      <c r="E9987" s="689">
        <v>36.9</v>
      </c>
      <c r="F9987" s="689">
        <v>37.200000000000003</v>
      </c>
      <c r="G9987" s="689">
        <v>37.4</v>
      </c>
      <c r="H9987" s="689">
        <v>37.799999999999997</v>
      </c>
      <c r="I9987" s="689">
        <v>37.6</v>
      </c>
      <c r="J9987" s="689">
        <v>37.5</v>
      </c>
      <c r="K9987" s="689">
        <v>37.1</v>
      </c>
    </row>
    <row r="9988" spans="1:11">
      <c r="A9988" s="688" t="s">
        <v>23</v>
      </c>
      <c r="B9988" s="691">
        <v>38.4</v>
      </c>
      <c r="C9988" s="691">
        <v>38.6</v>
      </c>
      <c r="D9988" s="691">
        <v>38.6</v>
      </c>
      <c r="E9988" s="691">
        <v>38.799999999999997</v>
      </c>
      <c r="F9988" s="615">
        <v>39</v>
      </c>
      <c r="G9988" s="615">
        <v>39</v>
      </c>
      <c r="H9988" s="691">
        <v>39.5</v>
      </c>
      <c r="I9988" s="691">
        <v>38.799999999999997</v>
      </c>
      <c r="J9988" s="691">
        <v>39.4</v>
      </c>
      <c r="K9988" s="691">
        <v>39.5</v>
      </c>
    </row>
    <row r="9989" spans="1:11">
      <c r="A9989" s="688" t="s">
        <v>4067</v>
      </c>
      <c r="B9989" s="689">
        <v>36.200000000000003</v>
      </c>
      <c r="C9989" s="689">
        <v>36.6</v>
      </c>
      <c r="D9989" s="689">
        <v>36.4</v>
      </c>
      <c r="E9989" s="689">
        <v>36.700000000000003</v>
      </c>
      <c r="F9989" s="689">
        <v>36.700000000000003</v>
      </c>
      <c r="G9989" s="689">
        <v>36.799999999999997</v>
      </c>
      <c r="H9989" s="690" t="s">
        <v>4060</v>
      </c>
      <c r="I9989" s="690" t="s">
        <v>4060</v>
      </c>
      <c r="J9989" s="690" t="s">
        <v>4060</v>
      </c>
      <c r="K9989" s="690" t="s">
        <v>4060</v>
      </c>
    </row>
    <row r="9990" spans="1:11">
      <c r="A9990" s="688" t="s">
        <v>4066</v>
      </c>
      <c r="B9990" s="691">
        <v>36.299999999999997</v>
      </c>
      <c r="C9990" s="691">
        <v>36.6</v>
      </c>
      <c r="D9990" s="691">
        <v>36.4</v>
      </c>
      <c r="E9990" s="691">
        <v>36.700000000000003</v>
      </c>
      <c r="F9990" s="691">
        <v>36.799999999999997</v>
      </c>
      <c r="G9990" s="691">
        <v>36.9</v>
      </c>
      <c r="H9990" s="692" t="s">
        <v>4060</v>
      </c>
      <c r="I9990" s="692" t="s">
        <v>4060</v>
      </c>
      <c r="J9990" s="692" t="s">
        <v>4060</v>
      </c>
      <c r="K9990" s="692" t="s">
        <v>4060</v>
      </c>
    </row>
    <row r="9991" spans="1:11">
      <c r="A9991" s="688" t="s">
        <v>4062</v>
      </c>
      <c r="B9991" s="689">
        <v>38.6</v>
      </c>
      <c r="C9991" s="689">
        <v>38.799999999999997</v>
      </c>
      <c r="D9991" s="689">
        <v>38.799999999999997</v>
      </c>
      <c r="E9991" s="689">
        <v>39.200000000000003</v>
      </c>
      <c r="F9991" s="689">
        <v>39.299999999999997</v>
      </c>
      <c r="G9991" s="689">
        <v>39.6</v>
      </c>
      <c r="H9991" s="689">
        <v>39.799999999999997</v>
      </c>
      <c r="I9991" s="689">
        <v>39.299999999999997</v>
      </c>
      <c r="J9991" s="689">
        <v>39.700000000000003</v>
      </c>
      <c r="K9991" s="689">
        <v>39.5</v>
      </c>
    </row>
    <row r="9992" spans="1:11">
      <c r="A9992" s="688" t="s">
        <v>9</v>
      </c>
      <c r="B9992" s="691">
        <v>38.799999999999997</v>
      </c>
      <c r="C9992" s="691">
        <v>39.1</v>
      </c>
      <c r="D9992" s="691">
        <v>39.5</v>
      </c>
      <c r="E9992" s="691">
        <v>38.799999999999997</v>
      </c>
      <c r="F9992" s="691">
        <v>39.200000000000003</v>
      </c>
      <c r="G9992" s="691">
        <v>39.6</v>
      </c>
      <c r="H9992" s="691">
        <v>39.6</v>
      </c>
      <c r="I9992" s="691">
        <v>39.9</v>
      </c>
      <c r="J9992" s="691">
        <v>40.200000000000003</v>
      </c>
      <c r="K9992" s="691">
        <v>39.1</v>
      </c>
    </row>
    <row r="9993" spans="1:11">
      <c r="A9993" s="688" t="s">
        <v>13</v>
      </c>
      <c r="B9993" s="689">
        <v>38.200000000000003</v>
      </c>
      <c r="C9993" s="689">
        <v>38.6</v>
      </c>
      <c r="D9993" s="689">
        <v>38.9</v>
      </c>
      <c r="E9993" s="693">
        <v>38</v>
      </c>
      <c r="F9993" s="689">
        <v>39.1</v>
      </c>
      <c r="G9993" s="689">
        <v>38.799999999999997</v>
      </c>
      <c r="H9993" s="693">
        <v>40</v>
      </c>
      <c r="I9993" s="689">
        <v>38.799999999999997</v>
      </c>
      <c r="J9993" s="689">
        <v>39.799999999999997</v>
      </c>
      <c r="K9993" s="689">
        <v>40.6</v>
      </c>
    </row>
    <row r="9994" spans="1:11">
      <c r="A9994" s="688" t="s">
        <v>18</v>
      </c>
      <c r="B9994" s="691">
        <v>38.1</v>
      </c>
      <c r="C9994" s="691">
        <v>38.299999999999997</v>
      </c>
      <c r="D9994" s="691">
        <v>38.5</v>
      </c>
      <c r="E9994" s="691">
        <v>38.799999999999997</v>
      </c>
      <c r="F9994" s="615">
        <v>39</v>
      </c>
      <c r="G9994" s="691">
        <v>39.200000000000003</v>
      </c>
      <c r="H9994" s="691">
        <v>39.4</v>
      </c>
      <c r="I9994" s="691">
        <v>39.6</v>
      </c>
      <c r="J9994" s="691">
        <v>39.700000000000003</v>
      </c>
      <c r="K9994" s="615">
        <v>39</v>
      </c>
    </row>
    <row r="9995" spans="1:11">
      <c r="A9995" s="688" t="s">
        <v>24</v>
      </c>
      <c r="B9995" s="689">
        <v>38.9</v>
      </c>
      <c r="C9995" s="689">
        <v>39.1</v>
      </c>
      <c r="D9995" s="689">
        <v>38.9</v>
      </c>
      <c r="E9995" s="689">
        <v>39.5</v>
      </c>
      <c r="F9995" s="689">
        <v>39.5</v>
      </c>
      <c r="G9995" s="689">
        <v>39.799999999999997</v>
      </c>
      <c r="H9995" s="693">
        <v>40</v>
      </c>
      <c r="I9995" s="689">
        <v>39.1</v>
      </c>
      <c r="J9995" s="689">
        <v>39.700000000000003</v>
      </c>
      <c r="K9995" s="689">
        <v>39.799999999999997</v>
      </c>
    </row>
    <row r="9996" spans="1:11">
      <c r="A9996" s="688" t="s">
        <v>4059</v>
      </c>
      <c r="B9996" s="691">
        <v>37.700000000000003</v>
      </c>
      <c r="C9996" s="615">
        <v>38</v>
      </c>
      <c r="D9996" s="691">
        <v>37.700000000000003</v>
      </c>
      <c r="E9996" s="691">
        <v>37.9</v>
      </c>
      <c r="F9996" s="615">
        <v>38</v>
      </c>
      <c r="G9996" s="615">
        <v>38</v>
      </c>
      <c r="H9996" s="692" t="s">
        <v>4060</v>
      </c>
      <c r="I9996" s="692" t="s">
        <v>4060</v>
      </c>
      <c r="J9996" s="692" t="s">
        <v>4060</v>
      </c>
      <c r="K9996" s="692" t="s">
        <v>4060</v>
      </c>
    </row>
    <row r="9997" spans="1:11">
      <c r="A9997" s="688" t="s">
        <v>2324</v>
      </c>
      <c r="B9997" s="689">
        <v>32.799999999999997</v>
      </c>
      <c r="C9997" s="689">
        <v>32.799999999999997</v>
      </c>
      <c r="D9997" s="689">
        <v>32.700000000000003</v>
      </c>
      <c r="E9997" s="689">
        <v>32.5</v>
      </c>
      <c r="F9997" s="689">
        <v>32.6</v>
      </c>
      <c r="G9997" s="689">
        <v>32.9</v>
      </c>
      <c r="H9997" s="689">
        <v>32.700000000000003</v>
      </c>
      <c r="I9997" s="689">
        <v>31.7</v>
      </c>
      <c r="J9997" s="689">
        <v>29.3</v>
      </c>
      <c r="K9997" s="690" t="s">
        <v>4060</v>
      </c>
    </row>
    <row r="9998" spans="1:11">
      <c r="A9998" s="688" t="s">
        <v>2322</v>
      </c>
      <c r="B9998" s="692" t="s">
        <v>4060</v>
      </c>
      <c r="C9998" s="692" t="s">
        <v>4060</v>
      </c>
      <c r="D9998" s="692" t="s">
        <v>4060</v>
      </c>
      <c r="E9998" s="692" t="s">
        <v>4060</v>
      </c>
      <c r="F9998" s="692" t="s">
        <v>4060</v>
      </c>
      <c r="G9998" s="692" t="s">
        <v>4060</v>
      </c>
      <c r="H9998" s="692" t="s">
        <v>4060</v>
      </c>
      <c r="I9998" s="692" t="s">
        <v>4060</v>
      </c>
      <c r="J9998" s="692" t="s">
        <v>4060</v>
      </c>
      <c r="K9998" s="692" t="s">
        <v>4060</v>
      </c>
    </row>
    <row r="9999" spans="1:11">
      <c r="A9999" s="688" t="s">
        <v>2328</v>
      </c>
      <c r="B9999" s="689">
        <v>32.299999999999997</v>
      </c>
      <c r="C9999" s="689">
        <v>32.4</v>
      </c>
      <c r="D9999" s="689">
        <v>32.4</v>
      </c>
      <c r="E9999" s="689">
        <v>32.5</v>
      </c>
      <c r="F9999" s="689">
        <v>32.799999999999997</v>
      </c>
      <c r="G9999" s="689">
        <v>33.200000000000003</v>
      </c>
      <c r="H9999" s="689">
        <v>33.200000000000003</v>
      </c>
      <c r="I9999" s="689">
        <v>30.6</v>
      </c>
      <c r="J9999" s="689">
        <v>29.8</v>
      </c>
      <c r="K9999" s="690" t="s">
        <v>4060</v>
      </c>
    </row>
    <row r="10000" spans="1:11">
      <c r="A10000" s="688" t="s">
        <v>2496</v>
      </c>
      <c r="B10000" s="692" t="s">
        <v>4060</v>
      </c>
      <c r="C10000" s="615">
        <v>30</v>
      </c>
      <c r="D10000" s="691">
        <v>28.9</v>
      </c>
      <c r="E10000" s="691">
        <v>28.7</v>
      </c>
      <c r="F10000" s="691">
        <v>29.4</v>
      </c>
      <c r="G10000" s="691">
        <v>29.7</v>
      </c>
      <c r="H10000" s="691">
        <v>29.6</v>
      </c>
      <c r="I10000" s="692" t="s">
        <v>4060</v>
      </c>
      <c r="J10000" s="692" t="s">
        <v>4060</v>
      </c>
      <c r="K10000" s="691">
        <v>29.1</v>
      </c>
    </row>
    <row r="10001" spans="1:11">
      <c r="A10001" s="688" t="s">
        <v>2269</v>
      </c>
      <c r="B10001" s="689">
        <v>35.5</v>
      </c>
      <c r="C10001" s="689">
        <v>35.700000000000003</v>
      </c>
      <c r="D10001" s="689">
        <v>35.299999999999997</v>
      </c>
      <c r="E10001" s="693">
        <v>36</v>
      </c>
      <c r="F10001" s="689">
        <v>36.1</v>
      </c>
      <c r="G10001" s="689">
        <v>36.4</v>
      </c>
      <c r="H10001" s="689">
        <v>36.700000000000003</v>
      </c>
      <c r="I10001" s="689">
        <v>34.200000000000003</v>
      </c>
      <c r="J10001" s="689">
        <v>32.4</v>
      </c>
      <c r="K10001" s="689">
        <v>36.1</v>
      </c>
    </row>
    <row r="10002" spans="1:11">
      <c r="A10002" s="688" t="s">
        <v>2349</v>
      </c>
      <c r="B10002" s="691">
        <v>31.6</v>
      </c>
      <c r="C10002" s="691">
        <v>31.6</v>
      </c>
      <c r="D10002" s="691">
        <v>31.6</v>
      </c>
      <c r="E10002" s="615">
        <v>32</v>
      </c>
      <c r="F10002" s="691">
        <v>31.9</v>
      </c>
      <c r="G10002" s="691">
        <v>32.1</v>
      </c>
      <c r="H10002" s="691">
        <v>32.1</v>
      </c>
      <c r="I10002" s="691">
        <v>30.3</v>
      </c>
      <c r="J10002" s="691">
        <v>28.9</v>
      </c>
      <c r="K10002" s="691">
        <v>31.4</v>
      </c>
    </row>
    <row r="10003" spans="1:11">
      <c r="A10003" s="688" t="s">
        <v>2355</v>
      </c>
      <c r="B10003" s="689">
        <v>34.799999999999997</v>
      </c>
      <c r="C10003" s="689">
        <v>34.799999999999997</v>
      </c>
      <c r="D10003" s="689">
        <v>34.799999999999997</v>
      </c>
      <c r="E10003" s="689">
        <v>34.799999999999997</v>
      </c>
      <c r="F10003" s="693">
        <v>35</v>
      </c>
      <c r="G10003" s="689">
        <v>35.4</v>
      </c>
      <c r="H10003" s="689">
        <v>35.5</v>
      </c>
      <c r="I10003" s="690" t="s">
        <v>4060</v>
      </c>
      <c r="J10003" s="690" t="s">
        <v>4060</v>
      </c>
      <c r="K10003" s="690" t="s">
        <v>4060</v>
      </c>
    </row>
    <row r="10004" spans="1:11">
      <c r="A10004" s="688" t="s">
        <v>2357</v>
      </c>
      <c r="B10004" s="692" t="s">
        <v>4060</v>
      </c>
      <c r="C10004" s="691">
        <v>27.9</v>
      </c>
      <c r="D10004" s="691">
        <v>28.3</v>
      </c>
      <c r="E10004" s="691">
        <v>28.6</v>
      </c>
      <c r="F10004" s="691">
        <v>28.9</v>
      </c>
      <c r="G10004" s="691">
        <v>28.6</v>
      </c>
      <c r="H10004" s="691">
        <v>28.8</v>
      </c>
      <c r="I10004" s="692" t="s">
        <v>4060</v>
      </c>
      <c r="J10004" s="692" t="s">
        <v>4060</v>
      </c>
      <c r="K10004" s="692" t="s">
        <v>4060</v>
      </c>
    </row>
    <row r="10005" spans="1:11">
      <c r="A10005" s="688" t="s">
        <v>4070</v>
      </c>
      <c r="B10005" s="690" t="s">
        <v>4060</v>
      </c>
      <c r="C10005" s="690" t="s">
        <v>4060</v>
      </c>
      <c r="D10005" s="690" t="s">
        <v>4060</v>
      </c>
      <c r="E10005" s="689">
        <v>34.299999999999997</v>
      </c>
      <c r="F10005" s="690" t="s">
        <v>4060</v>
      </c>
      <c r="G10005" s="690" t="s">
        <v>4060</v>
      </c>
      <c r="H10005" s="690" t="s">
        <v>4060</v>
      </c>
      <c r="I10005" s="690" t="s">
        <v>4060</v>
      </c>
      <c r="J10005" s="690" t="s">
        <v>4060</v>
      </c>
      <c r="K10005" s="690" t="s">
        <v>4060</v>
      </c>
    </row>
    <row r="10006" spans="1:11">
      <c r="A10006" s="688" t="s">
        <v>2491</v>
      </c>
      <c r="B10006" s="691">
        <v>27.5</v>
      </c>
      <c r="C10006" s="615">
        <v>28</v>
      </c>
      <c r="D10006" s="691">
        <v>28.3</v>
      </c>
      <c r="E10006" s="691">
        <v>28.5</v>
      </c>
      <c r="F10006" s="691">
        <v>28.6</v>
      </c>
      <c r="G10006" s="691">
        <v>28.6</v>
      </c>
      <c r="H10006" s="692" t="s">
        <v>4060</v>
      </c>
      <c r="I10006" s="692" t="s">
        <v>4060</v>
      </c>
      <c r="J10006" s="692" t="s">
        <v>4060</v>
      </c>
      <c r="K10006" s="692" t="s">
        <v>4060</v>
      </c>
    </row>
    <row r="10007" spans="1:11">
      <c r="A10007" s="688" t="s">
        <v>2343</v>
      </c>
      <c r="B10007" s="690" t="s">
        <v>4060</v>
      </c>
      <c r="C10007" s="690" t="s">
        <v>4060</v>
      </c>
      <c r="D10007" s="690" t="s">
        <v>4060</v>
      </c>
      <c r="E10007" s="690" t="s">
        <v>4060</v>
      </c>
      <c r="F10007" s="690" t="s">
        <v>4060</v>
      </c>
      <c r="G10007" s="690" t="s">
        <v>4060</v>
      </c>
      <c r="H10007" s="690" t="s">
        <v>4060</v>
      </c>
      <c r="I10007" s="690" t="s">
        <v>4060</v>
      </c>
      <c r="J10007" s="690" t="s">
        <v>4060</v>
      </c>
      <c r="K10007" s="690" t="s">
        <v>4060</v>
      </c>
    </row>
    <row r="10008" spans="1:11">
      <c r="A10008" s="688" t="s">
        <v>4071</v>
      </c>
      <c r="B10008" s="692" t="s">
        <v>4060</v>
      </c>
      <c r="C10008" s="692" t="s">
        <v>4060</v>
      </c>
      <c r="D10008" s="692" t="s">
        <v>4060</v>
      </c>
      <c r="E10008" s="692" t="s">
        <v>4060</v>
      </c>
      <c r="F10008" s="692" t="s">
        <v>4060</v>
      </c>
      <c r="G10008" s="692" t="s">
        <v>4060</v>
      </c>
      <c r="H10008" s="692" t="s">
        <v>4060</v>
      </c>
      <c r="I10008" s="692" t="s">
        <v>4060</v>
      </c>
      <c r="J10008" s="692" t="s">
        <v>4060</v>
      </c>
      <c r="K10008" s="692" t="s">
        <v>4060</v>
      </c>
    </row>
    <row r="10009" spans="1:11">
      <c r="A10009" s="688" t="s">
        <v>2489</v>
      </c>
      <c r="B10009" s="690" t="s">
        <v>4060</v>
      </c>
      <c r="C10009" s="690" t="s">
        <v>4060</v>
      </c>
      <c r="D10009" s="689">
        <v>31.2</v>
      </c>
      <c r="E10009" s="689">
        <v>31.1</v>
      </c>
      <c r="F10009" s="689">
        <v>31.6</v>
      </c>
      <c r="G10009" s="689">
        <v>32.5</v>
      </c>
      <c r="H10009" s="689">
        <v>32.1</v>
      </c>
      <c r="I10009" s="690" t="s">
        <v>4060</v>
      </c>
      <c r="J10009" s="690" t="s">
        <v>4060</v>
      </c>
      <c r="K10009" s="690" t="s">
        <v>4060</v>
      </c>
    </row>
    <row r="10010" spans="1:11">
      <c r="A10010" s="688" t="s">
        <v>2490</v>
      </c>
      <c r="B10010" s="691">
        <v>31.9</v>
      </c>
      <c r="C10010" s="615">
        <v>32</v>
      </c>
      <c r="D10010" s="691">
        <v>32.700000000000003</v>
      </c>
      <c r="E10010" s="692" t="s">
        <v>4060</v>
      </c>
      <c r="F10010" s="691">
        <v>32.9</v>
      </c>
      <c r="G10010" s="615">
        <v>33</v>
      </c>
      <c r="H10010" s="615">
        <v>34</v>
      </c>
      <c r="I10010" s="692" t="s">
        <v>4060</v>
      </c>
      <c r="J10010" s="692" t="s">
        <v>4060</v>
      </c>
      <c r="K10010" s="692" t="s">
        <v>4060</v>
      </c>
    </row>
    <row r="10012" spans="1:11">
      <c r="A10012" s="683" t="s">
        <v>4233</v>
      </c>
    </row>
    <row r="10013" spans="1:11">
      <c r="A10013" s="683" t="s">
        <v>4060</v>
      </c>
      <c r="B10013" s="682" t="s">
        <v>4234</v>
      </c>
    </row>
    <row r="10015" spans="1:11">
      <c r="A10015" s="682" t="s">
        <v>4331</v>
      </c>
    </row>
    <row r="10016" spans="1:11">
      <c r="A10016" s="682" t="s">
        <v>4210</v>
      </c>
      <c r="B10016" s="683" t="s">
        <v>4211</v>
      </c>
    </row>
    <row r="10017" spans="1:11">
      <c r="A10017" s="682" t="s">
        <v>4212</v>
      </c>
      <c r="B10017" s="682" t="s">
        <v>4213</v>
      </c>
    </row>
    <row r="10019" spans="1:11">
      <c r="A10019" s="683" t="s">
        <v>4214</v>
      </c>
      <c r="C10019" s="682" t="s">
        <v>4215</v>
      </c>
    </row>
    <row r="10020" spans="1:11">
      <c r="A10020" s="683" t="s">
        <v>4216</v>
      </c>
      <c r="C10020" s="682" t="s">
        <v>2967</v>
      </c>
    </row>
    <row r="10021" spans="1:11">
      <c r="A10021" s="683" t="s">
        <v>3893</v>
      </c>
      <c r="C10021" s="682" t="s">
        <v>2168</v>
      </c>
    </row>
    <row r="10022" spans="1:11">
      <c r="A10022" s="683" t="s">
        <v>4218</v>
      </c>
      <c r="C10022" s="682" t="s">
        <v>4279</v>
      </c>
    </row>
    <row r="10024" spans="1:11">
      <c r="A10024" s="684" t="s">
        <v>4220</v>
      </c>
      <c r="B10024" s="685" t="s">
        <v>4221</v>
      </c>
      <c r="C10024" s="685" t="s">
        <v>4222</v>
      </c>
      <c r="D10024" s="685" t="s">
        <v>4223</v>
      </c>
      <c r="E10024" s="685" t="s">
        <v>4224</v>
      </c>
      <c r="F10024" s="685" t="s">
        <v>4225</v>
      </c>
      <c r="G10024" s="685" t="s">
        <v>4226</v>
      </c>
      <c r="H10024" s="685" t="s">
        <v>4227</v>
      </c>
      <c r="I10024" s="685" t="s">
        <v>4228</v>
      </c>
      <c r="J10024" s="685" t="s">
        <v>4229</v>
      </c>
      <c r="K10024" s="685" t="s">
        <v>4230</v>
      </c>
    </row>
    <row r="10025" spans="1:11">
      <c r="A10025" s="686" t="s">
        <v>4231</v>
      </c>
      <c r="B10025" s="687" t="s">
        <v>4232</v>
      </c>
      <c r="C10025" s="687" t="s">
        <v>4232</v>
      </c>
      <c r="D10025" s="687" t="s">
        <v>4232</v>
      </c>
      <c r="E10025" s="687" t="s">
        <v>4232</v>
      </c>
      <c r="F10025" s="687" t="s">
        <v>4232</v>
      </c>
      <c r="G10025" s="687" t="s">
        <v>4232</v>
      </c>
      <c r="H10025" s="687" t="s">
        <v>4232</v>
      </c>
      <c r="I10025" s="687" t="s">
        <v>4232</v>
      </c>
      <c r="J10025" s="687" t="s">
        <v>4232</v>
      </c>
      <c r="K10025" s="687" t="s">
        <v>4232</v>
      </c>
    </row>
    <row r="10026" spans="1:11">
      <c r="A10026" s="688" t="s">
        <v>4064</v>
      </c>
      <c r="B10026" s="691">
        <v>35.1</v>
      </c>
      <c r="C10026" s="691">
        <v>35.299999999999997</v>
      </c>
      <c r="D10026" s="691">
        <v>35.200000000000003</v>
      </c>
      <c r="E10026" s="691">
        <v>35.4</v>
      </c>
      <c r="F10026" s="691">
        <v>35.5</v>
      </c>
      <c r="G10026" s="691">
        <v>35.5</v>
      </c>
      <c r="H10026" s="691">
        <v>35.799999999999997</v>
      </c>
      <c r="I10026" s="691">
        <v>34.9</v>
      </c>
      <c r="J10026" s="691">
        <v>34.700000000000003</v>
      </c>
      <c r="K10026" s="691">
        <v>35.4</v>
      </c>
    </row>
    <row r="10027" spans="1:11">
      <c r="A10027" s="688" t="s">
        <v>4065</v>
      </c>
      <c r="B10027" s="689">
        <v>35.299999999999997</v>
      </c>
      <c r="C10027" s="689">
        <v>35.700000000000003</v>
      </c>
      <c r="D10027" s="689">
        <v>35.4</v>
      </c>
      <c r="E10027" s="689">
        <v>35.700000000000003</v>
      </c>
      <c r="F10027" s="689">
        <v>35.799999999999997</v>
      </c>
      <c r="G10027" s="689">
        <v>35.9</v>
      </c>
      <c r="H10027" s="690" t="s">
        <v>4060</v>
      </c>
      <c r="I10027" s="690" t="s">
        <v>4060</v>
      </c>
      <c r="J10027" s="690" t="s">
        <v>4060</v>
      </c>
      <c r="K10027" s="690" t="s">
        <v>4060</v>
      </c>
    </row>
    <row r="10028" spans="1:11">
      <c r="A10028" s="688" t="s">
        <v>4063</v>
      </c>
      <c r="B10028" s="691">
        <v>35.299999999999997</v>
      </c>
      <c r="C10028" s="691">
        <v>35.700000000000003</v>
      </c>
      <c r="D10028" s="691">
        <v>35.5</v>
      </c>
      <c r="E10028" s="691">
        <v>35.799999999999997</v>
      </c>
      <c r="F10028" s="691">
        <v>35.799999999999997</v>
      </c>
      <c r="G10028" s="691">
        <v>35.9</v>
      </c>
      <c r="H10028" s="692" t="s">
        <v>4060</v>
      </c>
      <c r="I10028" s="692" t="s">
        <v>4060</v>
      </c>
      <c r="J10028" s="692" t="s">
        <v>4060</v>
      </c>
      <c r="K10028" s="692" t="s">
        <v>4060</v>
      </c>
    </row>
    <row r="10029" spans="1:11">
      <c r="A10029" s="688" t="s">
        <v>4069</v>
      </c>
      <c r="B10029" s="690" t="s">
        <v>4060</v>
      </c>
      <c r="C10029" s="689">
        <v>36.299999999999997</v>
      </c>
      <c r="D10029" s="689">
        <v>36.1</v>
      </c>
      <c r="E10029" s="689">
        <v>36.4</v>
      </c>
      <c r="F10029" s="689">
        <v>36.5</v>
      </c>
      <c r="G10029" s="689">
        <v>36.6</v>
      </c>
      <c r="H10029" s="689">
        <v>36.9</v>
      </c>
      <c r="I10029" s="689">
        <v>36.1</v>
      </c>
      <c r="J10029" s="689">
        <v>36.1</v>
      </c>
      <c r="K10029" s="689">
        <v>36.4</v>
      </c>
    </row>
    <row r="10030" spans="1:11">
      <c r="A10030" s="688" t="s">
        <v>4068</v>
      </c>
      <c r="B10030" s="691">
        <v>36.200000000000003</v>
      </c>
      <c r="C10030" s="692" t="s">
        <v>4060</v>
      </c>
      <c r="D10030" s="692" t="s">
        <v>4060</v>
      </c>
      <c r="E10030" s="692" t="s">
        <v>4060</v>
      </c>
      <c r="F10030" s="692" t="s">
        <v>4060</v>
      </c>
      <c r="G10030" s="692" t="s">
        <v>4060</v>
      </c>
      <c r="H10030" s="692" t="s">
        <v>4060</v>
      </c>
      <c r="I10030" s="692" t="s">
        <v>4060</v>
      </c>
      <c r="J10030" s="692" t="s">
        <v>4060</v>
      </c>
      <c r="K10030" s="692" t="s">
        <v>4060</v>
      </c>
    </row>
    <row r="10031" spans="1:11">
      <c r="A10031" s="688" t="s">
        <v>0</v>
      </c>
      <c r="B10031" s="689">
        <v>35.700000000000003</v>
      </c>
      <c r="C10031" s="689">
        <v>36.1</v>
      </c>
      <c r="D10031" s="693">
        <v>36</v>
      </c>
      <c r="E10031" s="689">
        <v>36.299999999999997</v>
      </c>
      <c r="F10031" s="689">
        <v>36.5</v>
      </c>
      <c r="G10031" s="689">
        <v>36.700000000000003</v>
      </c>
      <c r="H10031" s="693">
        <v>37</v>
      </c>
      <c r="I10031" s="689">
        <v>35.9</v>
      </c>
      <c r="J10031" s="689">
        <v>36.6</v>
      </c>
      <c r="K10031" s="689">
        <v>36.9</v>
      </c>
    </row>
    <row r="10032" spans="1:11">
      <c r="A10032" s="688" t="s">
        <v>1</v>
      </c>
      <c r="B10032" s="691">
        <v>29.8</v>
      </c>
      <c r="C10032" s="691">
        <v>29.5</v>
      </c>
      <c r="D10032" s="691">
        <v>29.5</v>
      </c>
      <c r="E10032" s="691">
        <v>29.6</v>
      </c>
      <c r="F10032" s="691">
        <v>29.6</v>
      </c>
      <c r="G10032" s="691">
        <v>29.7</v>
      </c>
      <c r="H10032" s="691">
        <v>29.7</v>
      </c>
      <c r="I10032" s="615">
        <v>28</v>
      </c>
      <c r="J10032" s="691">
        <v>26.4</v>
      </c>
      <c r="K10032" s="691">
        <v>28.8</v>
      </c>
    </row>
    <row r="10033" spans="1:11">
      <c r="A10033" s="688" t="s">
        <v>2240</v>
      </c>
      <c r="B10033" s="689">
        <v>32.799999999999997</v>
      </c>
      <c r="C10033" s="689">
        <v>33.200000000000003</v>
      </c>
      <c r="D10033" s="689">
        <v>33.1</v>
      </c>
      <c r="E10033" s="689">
        <v>33.5</v>
      </c>
      <c r="F10033" s="689">
        <v>33.5</v>
      </c>
      <c r="G10033" s="689">
        <v>33.6</v>
      </c>
      <c r="H10033" s="689">
        <v>33.799999999999997</v>
      </c>
      <c r="I10033" s="689">
        <v>32.700000000000003</v>
      </c>
      <c r="J10033" s="689">
        <v>31.6</v>
      </c>
      <c r="K10033" s="689">
        <v>33.6</v>
      </c>
    </row>
    <row r="10034" spans="1:11">
      <c r="A10034" s="688" t="s">
        <v>2</v>
      </c>
      <c r="B10034" s="691">
        <v>35.6</v>
      </c>
      <c r="C10034" s="691">
        <v>35.9</v>
      </c>
      <c r="D10034" s="691">
        <v>35.9</v>
      </c>
      <c r="E10034" s="691">
        <v>36.200000000000003</v>
      </c>
      <c r="F10034" s="691">
        <v>36.299999999999997</v>
      </c>
      <c r="G10034" s="691">
        <v>36.200000000000003</v>
      </c>
      <c r="H10034" s="691">
        <v>36.6</v>
      </c>
      <c r="I10034" s="691">
        <v>36.799999999999997</v>
      </c>
      <c r="J10034" s="691">
        <v>36.700000000000003</v>
      </c>
      <c r="K10034" s="691">
        <v>36.6</v>
      </c>
    </row>
    <row r="10035" spans="1:11">
      <c r="A10035" s="688" t="s">
        <v>3</v>
      </c>
      <c r="B10035" s="689">
        <v>35.5</v>
      </c>
      <c r="C10035" s="689">
        <v>35.700000000000003</v>
      </c>
      <c r="D10035" s="689">
        <v>35.5</v>
      </c>
      <c r="E10035" s="689">
        <v>35.700000000000003</v>
      </c>
      <c r="F10035" s="689">
        <v>35.799999999999997</v>
      </c>
      <c r="G10035" s="689">
        <v>35.799999999999997</v>
      </c>
      <c r="H10035" s="689">
        <v>36.1</v>
      </c>
      <c r="I10035" s="689">
        <v>35.799999999999997</v>
      </c>
      <c r="J10035" s="689">
        <v>35.5</v>
      </c>
      <c r="K10035" s="689">
        <v>35.4</v>
      </c>
    </row>
    <row r="10036" spans="1:11">
      <c r="A10036" s="688" t="s">
        <v>4061</v>
      </c>
      <c r="B10036" s="691">
        <v>35.5</v>
      </c>
      <c r="C10036" s="691">
        <v>35.700000000000003</v>
      </c>
      <c r="D10036" s="691">
        <v>35.5</v>
      </c>
      <c r="E10036" s="691">
        <v>35.700000000000003</v>
      </c>
      <c r="F10036" s="691">
        <v>35.799999999999997</v>
      </c>
      <c r="G10036" s="691">
        <v>35.799999999999997</v>
      </c>
      <c r="H10036" s="691">
        <v>36.1</v>
      </c>
      <c r="I10036" s="691">
        <v>35.799999999999997</v>
      </c>
      <c r="J10036" s="691">
        <v>35.5</v>
      </c>
      <c r="K10036" s="691">
        <v>35.4</v>
      </c>
    </row>
    <row r="10037" spans="1:11">
      <c r="A10037" s="688" t="s">
        <v>4</v>
      </c>
      <c r="B10037" s="689">
        <v>31.1</v>
      </c>
      <c r="C10037" s="689">
        <v>30.9</v>
      </c>
      <c r="D10037" s="689">
        <v>31.4</v>
      </c>
      <c r="E10037" s="689">
        <v>31.4</v>
      </c>
      <c r="F10037" s="689">
        <v>31.8</v>
      </c>
      <c r="G10037" s="689">
        <v>31.8</v>
      </c>
      <c r="H10037" s="689">
        <v>32.200000000000003</v>
      </c>
      <c r="I10037" s="689">
        <v>32.1</v>
      </c>
      <c r="J10037" s="689">
        <v>30.8</v>
      </c>
      <c r="K10037" s="689">
        <v>31.5</v>
      </c>
    </row>
    <row r="10038" spans="1:11">
      <c r="A10038" s="688" t="s">
        <v>8</v>
      </c>
      <c r="B10038" s="691">
        <v>36.5</v>
      </c>
      <c r="C10038" s="691">
        <v>36.799999999999997</v>
      </c>
      <c r="D10038" s="691">
        <v>36.9</v>
      </c>
      <c r="E10038" s="615">
        <v>37</v>
      </c>
      <c r="F10038" s="691">
        <v>37.4</v>
      </c>
      <c r="G10038" s="691">
        <v>37.4</v>
      </c>
      <c r="H10038" s="691">
        <v>37.700000000000003</v>
      </c>
      <c r="I10038" s="691">
        <v>37.799999999999997</v>
      </c>
      <c r="J10038" s="691">
        <v>37.5</v>
      </c>
      <c r="K10038" s="691">
        <v>37.9</v>
      </c>
    </row>
    <row r="10039" spans="1:11">
      <c r="A10039" s="688" t="s">
        <v>7</v>
      </c>
      <c r="B10039" s="689">
        <v>36.299999999999997</v>
      </c>
      <c r="C10039" s="689">
        <v>35.700000000000003</v>
      </c>
      <c r="D10039" s="689">
        <v>35.5</v>
      </c>
      <c r="E10039" s="689">
        <v>35.9</v>
      </c>
      <c r="F10039" s="689">
        <v>35.799999999999997</v>
      </c>
      <c r="G10039" s="689">
        <v>36.200000000000003</v>
      </c>
      <c r="H10039" s="689">
        <v>36.200000000000003</v>
      </c>
      <c r="I10039" s="689">
        <v>35.9</v>
      </c>
      <c r="J10039" s="689">
        <v>34.9</v>
      </c>
      <c r="K10039" s="689">
        <v>35.700000000000003</v>
      </c>
    </row>
    <row r="10040" spans="1:11">
      <c r="A10040" s="688" t="s">
        <v>27</v>
      </c>
      <c r="B10040" s="691">
        <v>37.200000000000003</v>
      </c>
      <c r="C10040" s="691">
        <v>37.1</v>
      </c>
      <c r="D10040" s="691">
        <v>36.9</v>
      </c>
      <c r="E10040" s="691">
        <v>37.299999999999997</v>
      </c>
      <c r="F10040" s="691">
        <v>37.299999999999997</v>
      </c>
      <c r="G10040" s="691">
        <v>37.4</v>
      </c>
      <c r="H10040" s="691">
        <v>37.799999999999997</v>
      </c>
      <c r="I10040" s="691">
        <v>36.5</v>
      </c>
      <c r="J10040" s="691">
        <v>37.200000000000003</v>
      </c>
      <c r="K10040" s="691">
        <v>37.5</v>
      </c>
    </row>
    <row r="10041" spans="1:11">
      <c r="A10041" s="688" t="s">
        <v>6</v>
      </c>
      <c r="B10041" s="689">
        <v>36.700000000000003</v>
      </c>
      <c r="C10041" s="689">
        <v>36.9</v>
      </c>
      <c r="D10041" s="689">
        <v>36.700000000000003</v>
      </c>
      <c r="E10041" s="689">
        <v>36.9</v>
      </c>
      <c r="F10041" s="693">
        <v>37</v>
      </c>
      <c r="G10041" s="689">
        <v>37.200000000000003</v>
      </c>
      <c r="H10041" s="689">
        <v>37.4</v>
      </c>
      <c r="I10041" s="689">
        <v>36.700000000000003</v>
      </c>
      <c r="J10041" s="689">
        <v>36.799999999999997</v>
      </c>
      <c r="K10041" s="693">
        <v>37</v>
      </c>
    </row>
    <row r="10042" spans="1:11">
      <c r="A10042" s="688" t="s">
        <v>4058</v>
      </c>
      <c r="B10042" s="692" t="s">
        <v>4060</v>
      </c>
      <c r="C10042" s="692" t="s">
        <v>4060</v>
      </c>
      <c r="D10042" s="692" t="s">
        <v>4060</v>
      </c>
      <c r="E10042" s="692" t="s">
        <v>4060</v>
      </c>
      <c r="F10042" s="692" t="s">
        <v>4060</v>
      </c>
      <c r="G10042" s="692" t="s">
        <v>4060</v>
      </c>
      <c r="H10042" s="692" t="s">
        <v>4060</v>
      </c>
      <c r="I10042" s="692" t="s">
        <v>4060</v>
      </c>
      <c r="J10042" s="692" t="s">
        <v>4060</v>
      </c>
      <c r="K10042" s="692" t="s">
        <v>4060</v>
      </c>
    </row>
    <row r="10043" spans="1:11">
      <c r="A10043" s="688" t="s">
        <v>11</v>
      </c>
      <c r="B10043" s="689">
        <v>32.200000000000003</v>
      </c>
      <c r="C10043" s="689">
        <v>32.299999999999997</v>
      </c>
      <c r="D10043" s="693">
        <v>32</v>
      </c>
      <c r="E10043" s="689">
        <v>32.5</v>
      </c>
      <c r="F10043" s="689">
        <v>32.4</v>
      </c>
      <c r="G10043" s="689">
        <v>32.5</v>
      </c>
      <c r="H10043" s="689">
        <v>32.9</v>
      </c>
      <c r="I10043" s="689">
        <v>32.1</v>
      </c>
      <c r="J10043" s="689">
        <v>31.1</v>
      </c>
      <c r="K10043" s="689">
        <v>32.4</v>
      </c>
    </row>
    <row r="10044" spans="1:11">
      <c r="A10044" s="688" t="s">
        <v>10</v>
      </c>
      <c r="B10044" s="691">
        <v>37.5</v>
      </c>
      <c r="C10044" s="691">
        <v>37.6</v>
      </c>
      <c r="D10044" s="691">
        <v>37.299999999999997</v>
      </c>
      <c r="E10044" s="691">
        <v>37.799999999999997</v>
      </c>
      <c r="F10044" s="691">
        <v>37.700000000000003</v>
      </c>
      <c r="G10044" s="615">
        <v>38</v>
      </c>
      <c r="H10044" s="691">
        <v>38.200000000000003</v>
      </c>
      <c r="I10044" s="691">
        <v>36.9</v>
      </c>
      <c r="J10044" s="691">
        <v>37.4</v>
      </c>
      <c r="K10044" s="691">
        <v>37.700000000000003</v>
      </c>
    </row>
    <row r="10045" spans="1:11">
      <c r="A10045" s="688" t="s">
        <v>30</v>
      </c>
      <c r="B10045" s="689">
        <v>37.4</v>
      </c>
      <c r="C10045" s="689">
        <v>37.5</v>
      </c>
      <c r="D10045" s="689">
        <v>37.299999999999997</v>
      </c>
      <c r="E10045" s="689">
        <v>37.799999999999997</v>
      </c>
      <c r="F10045" s="689">
        <v>37.4</v>
      </c>
      <c r="G10045" s="689">
        <v>38.200000000000003</v>
      </c>
      <c r="H10045" s="689">
        <v>37.9</v>
      </c>
      <c r="I10045" s="689">
        <v>37.9</v>
      </c>
      <c r="J10045" s="689">
        <v>37.1</v>
      </c>
      <c r="K10045" s="689">
        <v>37.5</v>
      </c>
    </row>
    <row r="10046" spans="1:11">
      <c r="A10046" s="688" t="s">
        <v>12</v>
      </c>
      <c r="B10046" s="691">
        <v>28.4</v>
      </c>
      <c r="C10046" s="691">
        <v>28.5</v>
      </c>
      <c r="D10046" s="691">
        <v>28.9</v>
      </c>
      <c r="E10046" s="691">
        <v>28.9</v>
      </c>
      <c r="F10046" s="691">
        <v>28.9</v>
      </c>
      <c r="G10046" s="615">
        <v>29</v>
      </c>
      <c r="H10046" s="691">
        <v>29.6</v>
      </c>
      <c r="I10046" s="691">
        <v>29.3</v>
      </c>
      <c r="J10046" s="691">
        <v>27.1</v>
      </c>
      <c r="K10046" s="691">
        <v>28.4</v>
      </c>
    </row>
    <row r="10047" spans="1:11">
      <c r="A10047" s="688" t="s">
        <v>14</v>
      </c>
      <c r="B10047" s="689">
        <v>28.2</v>
      </c>
      <c r="C10047" s="689">
        <v>28.8</v>
      </c>
      <c r="D10047" s="689">
        <v>28.6</v>
      </c>
      <c r="E10047" s="689">
        <v>28.8</v>
      </c>
      <c r="F10047" s="689">
        <v>29.6</v>
      </c>
      <c r="G10047" s="689">
        <v>29.8</v>
      </c>
      <c r="H10047" s="689">
        <v>30.2</v>
      </c>
      <c r="I10047" s="689">
        <v>28.8</v>
      </c>
      <c r="J10047" s="689">
        <v>28.3</v>
      </c>
      <c r="K10047" s="689">
        <v>29.7</v>
      </c>
    </row>
    <row r="10048" spans="1:11">
      <c r="A10048" s="688" t="s">
        <v>15</v>
      </c>
      <c r="B10048" s="691">
        <v>37.1</v>
      </c>
      <c r="C10048" s="691">
        <v>36.4</v>
      </c>
      <c r="D10048" s="691">
        <v>37.1</v>
      </c>
      <c r="E10048" s="691">
        <v>36.9</v>
      </c>
      <c r="F10048" s="691">
        <v>36.9</v>
      </c>
      <c r="G10048" s="615">
        <v>37</v>
      </c>
      <c r="H10048" s="691">
        <v>37.4</v>
      </c>
      <c r="I10048" s="691">
        <v>36.9</v>
      </c>
      <c r="J10048" s="691">
        <v>37.299999999999997</v>
      </c>
      <c r="K10048" s="691">
        <v>37.799999999999997</v>
      </c>
    </row>
    <row r="10049" spans="1:11">
      <c r="A10049" s="688" t="s">
        <v>29</v>
      </c>
      <c r="B10049" s="689">
        <v>29.9</v>
      </c>
      <c r="C10049" s="689">
        <v>29.9</v>
      </c>
      <c r="D10049" s="689">
        <v>29.9</v>
      </c>
      <c r="E10049" s="689">
        <v>30.1</v>
      </c>
      <c r="F10049" s="693">
        <v>30</v>
      </c>
      <c r="G10049" s="689">
        <v>30.1</v>
      </c>
      <c r="H10049" s="689">
        <v>30.5</v>
      </c>
      <c r="I10049" s="689">
        <v>29.7</v>
      </c>
      <c r="J10049" s="689">
        <v>28.4</v>
      </c>
      <c r="K10049" s="689">
        <v>30.2</v>
      </c>
    </row>
    <row r="10050" spans="1:11">
      <c r="A10050" s="688" t="s">
        <v>16</v>
      </c>
      <c r="B10050" s="691">
        <v>36.9</v>
      </c>
      <c r="C10050" s="615">
        <v>37</v>
      </c>
      <c r="D10050" s="691">
        <v>37.1</v>
      </c>
      <c r="E10050" s="691">
        <v>37.799999999999997</v>
      </c>
      <c r="F10050" s="691">
        <v>37.6</v>
      </c>
      <c r="G10050" s="691">
        <v>37.4</v>
      </c>
      <c r="H10050" s="691">
        <v>37.9</v>
      </c>
      <c r="I10050" s="615">
        <v>37</v>
      </c>
      <c r="J10050" s="691">
        <v>37.4</v>
      </c>
      <c r="K10050" s="691">
        <v>37.5</v>
      </c>
    </row>
    <row r="10051" spans="1:11">
      <c r="A10051" s="688" t="s">
        <v>17</v>
      </c>
      <c r="B10051" s="689">
        <v>36.700000000000003</v>
      </c>
      <c r="C10051" s="689">
        <v>37.1</v>
      </c>
      <c r="D10051" s="689">
        <v>36.9</v>
      </c>
      <c r="E10051" s="693">
        <v>37</v>
      </c>
      <c r="F10051" s="689">
        <v>37.299999999999997</v>
      </c>
      <c r="G10051" s="689">
        <v>37.299999999999997</v>
      </c>
      <c r="H10051" s="689">
        <v>37.6</v>
      </c>
      <c r="I10051" s="689">
        <v>36.9</v>
      </c>
      <c r="J10051" s="689">
        <v>36.799999999999997</v>
      </c>
      <c r="K10051" s="689">
        <v>37.299999999999997</v>
      </c>
    </row>
    <row r="10052" spans="1:11">
      <c r="A10052" s="688" t="s">
        <v>19</v>
      </c>
      <c r="B10052" s="615">
        <v>36</v>
      </c>
      <c r="C10052" s="691">
        <v>36.299999999999997</v>
      </c>
      <c r="D10052" s="615">
        <v>36</v>
      </c>
      <c r="E10052" s="691">
        <v>36.5</v>
      </c>
      <c r="F10052" s="691">
        <v>36.6</v>
      </c>
      <c r="G10052" s="691">
        <v>36.6</v>
      </c>
      <c r="H10052" s="691">
        <v>36.9</v>
      </c>
      <c r="I10052" s="691">
        <v>36.200000000000003</v>
      </c>
      <c r="J10052" s="691">
        <v>36.1</v>
      </c>
      <c r="K10052" s="691">
        <v>36.4</v>
      </c>
    </row>
    <row r="10053" spans="1:11">
      <c r="A10053" s="688" t="s">
        <v>20</v>
      </c>
      <c r="B10053" s="689">
        <v>31.3</v>
      </c>
      <c r="C10053" s="689">
        <v>31.8</v>
      </c>
      <c r="D10053" s="689">
        <v>31.6</v>
      </c>
      <c r="E10053" s="689">
        <v>31.9</v>
      </c>
      <c r="F10053" s="689">
        <v>31.9</v>
      </c>
      <c r="G10053" s="689">
        <v>31.8</v>
      </c>
      <c r="H10053" s="689">
        <v>32.1</v>
      </c>
      <c r="I10053" s="689">
        <v>30.5</v>
      </c>
      <c r="J10053" s="689">
        <v>29.8</v>
      </c>
      <c r="K10053" s="689">
        <v>31.5</v>
      </c>
    </row>
    <row r="10054" spans="1:11">
      <c r="A10054" s="688" t="s">
        <v>21</v>
      </c>
      <c r="B10054" s="691">
        <v>35.200000000000003</v>
      </c>
      <c r="C10054" s="691">
        <v>35.6</v>
      </c>
      <c r="D10054" s="691">
        <v>35.700000000000003</v>
      </c>
      <c r="E10054" s="691">
        <v>35.6</v>
      </c>
      <c r="F10054" s="691">
        <v>35.9</v>
      </c>
      <c r="G10054" s="691">
        <v>35.9</v>
      </c>
      <c r="H10054" s="691">
        <v>36.299999999999997</v>
      </c>
      <c r="I10054" s="691">
        <v>35.700000000000003</v>
      </c>
      <c r="J10054" s="691">
        <v>35.700000000000003</v>
      </c>
      <c r="K10054" s="691">
        <v>36.200000000000003</v>
      </c>
    </row>
    <row r="10055" spans="1:11">
      <c r="A10055" s="688" t="s">
        <v>22</v>
      </c>
      <c r="B10055" s="689">
        <v>30.2</v>
      </c>
      <c r="C10055" s="689">
        <v>29.9</v>
      </c>
      <c r="D10055" s="689">
        <v>29.9</v>
      </c>
      <c r="E10055" s="693">
        <v>30</v>
      </c>
      <c r="F10055" s="693">
        <v>30</v>
      </c>
      <c r="G10055" s="689">
        <v>29.9</v>
      </c>
      <c r="H10055" s="689">
        <v>30.1</v>
      </c>
      <c r="I10055" s="689">
        <v>28.5</v>
      </c>
      <c r="J10055" s="689">
        <v>27.5</v>
      </c>
      <c r="K10055" s="689">
        <v>29.5</v>
      </c>
    </row>
    <row r="10056" spans="1:11">
      <c r="A10056" s="688" t="s">
        <v>26</v>
      </c>
      <c r="B10056" s="691">
        <v>34.700000000000003</v>
      </c>
      <c r="C10056" s="691">
        <v>35.200000000000003</v>
      </c>
      <c r="D10056" s="615">
        <v>35</v>
      </c>
      <c r="E10056" s="691">
        <v>35.4</v>
      </c>
      <c r="F10056" s="691">
        <v>35.200000000000003</v>
      </c>
      <c r="G10056" s="691">
        <v>35.6</v>
      </c>
      <c r="H10056" s="691">
        <v>35.9</v>
      </c>
      <c r="I10056" s="691">
        <v>34.9</v>
      </c>
      <c r="J10056" s="691">
        <v>34.9</v>
      </c>
      <c r="K10056" s="691">
        <v>35.799999999999997</v>
      </c>
    </row>
    <row r="10057" spans="1:11">
      <c r="A10057" s="688" t="s">
        <v>25</v>
      </c>
      <c r="B10057" s="689">
        <v>30.9</v>
      </c>
      <c r="C10057" s="689">
        <v>31.3</v>
      </c>
      <c r="D10057" s="689">
        <v>31.1</v>
      </c>
      <c r="E10057" s="689">
        <v>31.7</v>
      </c>
      <c r="F10057" s="689">
        <v>31.7</v>
      </c>
      <c r="G10057" s="689">
        <v>31.8</v>
      </c>
      <c r="H10057" s="689">
        <v>32.299999999999997</v>
      </c>
      <c r="I10057" s="689">
        <v>31.5</v>
      </c>
      <c r="J10057" s="689">
        <v>29.2</v>
      </c>
      <c r="K10057" s="689">
        <v>31.6</v>
      </c>
    </row>
    <row r="10058" spans="1:11">
      <c r="A10058" s="688" t="s">
        <v>5</v>
      </c>
      <c r="B10058" s="691">
        <v>35.700000000000003</v>
      </c>
      <c r="C10058" s="691">
        <v>35.799999999999997</v>
      </c>
      <c r="D10058" s="615">
        <v>36</v>
      </c>
      <c r="E10058" s="615">
        <v>36</v>
      </c>
      <c r="F10058" s="691">
        <v>36.299999999999997</v>
      </c>
      <c r="G10058" s="691">
        <v>36.4</v>
      </c>
      <c r="H10058" s="691">
        <v>36.799999999999997</v>
      </c>
      <c r="I10058" s="691">
        <v>36.700000000000003</v>
      </c>
      <c r="J10058" s="691">
        <v>36.6</v>
      </c>
      <c r="K10058" s="691">
        <v>36.1</v>
      </c>
    </row>
    <row r="10059" spans="1:11">
      <c r="A10059" s="688" t="s">
        <v>23</v>
      </c>
      <c r="B10059" s="689">
        <v>37.5</v>
      </c>
      <c r="C10059" s="689">
        <v>37.6</v>
      </c>
      <c r="D10059" s="689">
        <v>37.700000000000003</v>
      </c>
      <c r="E10059" s="689">
        <v>37.799999999999997</v>
      </c>
      <c r="F10059" s="689">
        <v>38.1</v>
      </c>
      <c r="G10059" s="689">
        <v>38.1</v>
      </c>
      <c r="H10059" s="689">
        <v>38.6</v>
      </c>
      <c r="I10059" s="689">
        <v>37.799999999999997</v>
      </c>
      <c r="J10059" s="689">
        <v>38.4</v>
      </c>
      <c r="K10059" s="689">
        <v>38.6</v>
      </c>
    </row>
    <row r="10060" spans="1:11">
      <c r="A10060" s="688" t="s">
        <v>4067</v>
      </c>
      <c r="B10060" s="691">
        <v>35.299999999999997</v>
      </c>
      <c r="C10060" s="691">
        <v>35.700000000000003</v>
      </c>
      <c r="D10060" s="691">
        <v>35.5</v>
      </c>
      <c r="E10060" s="691">
        <v>35.799999999999997</v>
      </c>
      <c r="F10060" s="691">
        <v>35.799999999999997</v>
      </c>
      <c r="G10060" s="691">
        <v>35.9</v>
      </c>
      <c r="H10060" s="692" t="s">
        <v>4060</v>
      </c>
      <c r="I10060" s="692" t="s">
        <v>4060</v>
      </c>
      <c r="J10060" s="692" t="s">
        <v>4060</v>
      </c>
      <c r="K10060" s="692" t="s">
        <v>4060</v>
      </c>
    </row>
    <row r="10061" spans="1:11">
      <c r="A10061" s="688" t="s">
        <v>4066</v>
      </c>
      <c r="B10061" s="689">
        <v>35.299999999999997</v>
      </c>
      <c r="C10061" s="689">
        <v>35.700000000000003</v>
      </c>
      <c r="D10061" s="689">
        <v>35.5</v>
      </c>
      <c r="E10061" s="689">
        <v>35.799999999999997</v>
      </c>
      <c r="F10061" s="689">
        <v>35.799999999999997</v>
      </c>
      <c r="G10061" s="689">
        <v>35.9</v>
      </c>
      <c r="H10061" s="690" t="s">
        <v>4060</v>
      </c>
      <c r="I10061" s="690" t="s">
        <v>4060</v>
      </c>
      <c r="J10061" s="690" t="s">
        <v>4060</v>
      </c>
      <c r="K10061" s="690" t="s">
        <v>4060</v>
      </c>
    </row>
    <row r="10062" spans="1:11">
      <c r="A10062" s="688" t="s">
        <v>4062</v>
      </c>
      <c r="B10062" s="691">
        <v>37.700000000000003</v>
      </c>
      <c r="C10062" s="691">
        <v>37.9</v>
      </c>
      <c r="D10062" s="691">
        <v>37.9</v>
      </c>
      <c r="E10062" s="691">
        <v>38.299999999999997</v>
      </c>
      <c r="F10062" s="691">
        <v>38.4</v>
      </c>
      <c r="G10062" s="691">
        <v>38.6</v>
      </c>
      <c r="H10062" s="691">
        <v>38.799999999999997</v>
      </c>
      <c r="I10062" s="691">
        <v>38.4</v>
      </c>
      <c r="J10062" s="691">
        <v>38.799999999999997</v>
      </c>
      <c r="K10062" s="691">
        <v>38.5</v>
      </c>
    </row>
    <row r="10063" spans="1:11">
      <c r="A10063" s="688" t="s">
        <v>9</v>
      </c>
      <c r="B10063" s="689">
        <v>37.799999999999997</v>
      </c>
      <c r="C10063" s="689">
        <v>38.1</v>
      </c>
      <c r="D10063" s="689">
        <v>38.6</v>
      </c>
      <c r="E10063" s="689">
        <v>37.799999999999997</v>
      </c>
      <c r="F10063" s="689">
        <v>38.299999999999997</v>
      </c>
      <c r="G10063" s="689">
        <v>38.700000000000003</v>
      </c>
      <c r="H10063" s="689">
        <v>38.700000000000003</v>
      </c>
      <c r="I10063" s="693">
        <v>39</v>
      </c>
      <c r="J10063" s="689">
        <v>39.200000000000003</v>
      </c>
      <c r="K10063" s="689">
        <v>38.1</v>
      </c>
    </row>
    <row r="10064" spans="1:11">
      <c r="A10064" s="688" t="s">
        <v>13</v>
      </c>
      <c r="B10064" s="691">
        <v>37.299999999999997</v>
      </c>
      <c r="C10064" s="691">
        <v>37.700000000000003</v>
      </c>
      <c r="D10064" s="615">
        <v>38</v>
      </c>
      <c r="E10064" s="615">
        <v>37</v>
      </c>
      <c r="F10064" s="691">
        <v>38.299999999999997</v>
      </c>
      <c r="G10064" s="615">
        <v>38</v>
      </c>
      <c r="H10064" s="615">
        <v>39</v>
      </c>
      <c r="I10064" s="691">
        <v>37.799999999999997</v>
      </c>
      <c r="J10064" s="691">
        <v>38.799999999999997</v>
      </c>
      <c r="K10064" s="691">
        <v>39.700000000000003</v>
      </c>
    </row>
    <row r="10065" spans="1:11">
      <c r="A10065" s="688" t="s">
        <v>18</v>
      </c>
      <c r="B10065" s="689">
        <v>37.1</v>
      </c>
      <c r="C10065" s="689">
        <v>37.4</v>
      </c>
      <c r="D10065" s="689">
        <v>37.6</v>
      </c>
      <c r="E10065" s="689">
        <v>37.799999999999997</v>
      </c>
      <c r="F10065" s="689">
        <v>38.1</v>
      </c>
      <c r="G10065" s="689">
        <v>38.200000000000003</v>
      </c>
      <c r="H10065" s="689">
        <v>38.5</v>
      </c>
      <c r="I10065" s="689">
        <v>38.700000000000003</v>
      </c>
      <c r="J10065" s="689">
        <v>38.700000000000003</v>
      </c>
      <c r="K10065" s="689">
        <v>38.1</v>
      </c>
    </row>
    <row r="10066" spans="1:11">
      <c r="A10066" s="688" t="s">
        <v>24</v>
      </c>
      <c r="B10066" s="615">
        <v>38</v>
      </c>
      <c r="C10066" s="691">
        <v>38.200000000000003</v>
      </c>
      <c r="D10066" s="615">
        <v>38</v>
      </c>
      <c r="E10066" s="691">
        <v>38.6</v>
      </c>
      <c r="F10066" s="691">
        <v>38.5</v>
      </c>
      <c r="G10066" s="691">
        <v>38.799999999999997</v>
      </c>
      <c r="H10066" s="615">
        <v>39</v>
      </c>
      <c r="I10066" s="691">
        <v>38.200000000000003</v>
      </c>
      <c r="J10066" s="691">
        <v>38.799999999999997</v>
      </c>
      <c r="K10066" s="691">
        <v>38.799999999999997</v>
      </c>
    </row>
    <row r="10067" spans="1:11">
      <c r="A10067" s="688" t="s">
        <v>4059</v>
      </c>
      <c r="B10067" s="689">
        <v>36.799999999999997</v>
      </c>
      <c r="C10067" s="693">
        <v>37</v>
      </c>
      <c r="D10067" s="689">
        <v>36.799999999999997</v>
      </c>
      <c r="E10067" s="693">
        <v>37</v>
      </c>
      <c r="F10067" s="693">
        <v>37</v>
      </c>
      <c r="G10067" s="689">
        <v>37.1</v>
      </c>
      <c r="H10067" s="690" t="s">
        <v>4060</v>
      </c>
      <c r="I10067" s="690" t="s">
        <v>4060</v>
      </c>
      <c r="J10067" s="690" t="s">
        <v>4060</v>
      </c>
      <c r="K10067" s="690" t="s">
        <v>4060</v>
      </c>
    </row>
    <row r="10068" spans="1:11">
      <c r="A10068" s="688" t="s">
        <v>2324</v>
      </c>
      <c r="B10068" s="691">
        <v>31.9</v>
      </c>
      <c r="C10068" s="691">
        <v>31.9</v>
      </c>
      <c r="D10068" s="691">
        <v>31.8</v>
      </c>
      <c r="E10068" s="691">
        <v>31.5</v>
      </c>
      <c r="F10068" s="691">
        <v>31.7</v>
      </c>
      <c r="G10068" s="615">
        <v>32</v>
      </c>
      <c r="H10068" s="691">
        <v>31.8</v>
      </c>
      <c r="I10068" s="691">
        <v>30.7</v>
      </c>
      <c r="J10068" s="691">
        <v>28.4</v>
      </c>
      <c r="K10068" s="692" t="s">
        <v>4060</v>
      </c>
    </row>
    <row r="10069" spans="1:11">
      <c r="A10069" s="688" t="s">
        <v>2322</v>
      </c>
      <c r="B10069" s="690" t="s">
        <v>4060</v>
      </c>
      <c r="C10069" s="690" t="s">
        <v>4060</v>
      </c>
      <c r="D10069" s="690" t="s">
        <v>4060</v>
      </c>
      <c r="E10069" s="690" t="s">
        <v>4060</v>
      </c>
      <c r="F10069" s="690" t="s">
        <v>4060</v>
      </c>
      <c r="G10069" s="690" t="s">
        <v>4060</v>
      </c>
      <c r="H10069" s="690" t="s">
        <v>4060</v>
      </c>
      <c r="I10069" s="690" t="s">
        <v>4060</v>
      </c>
      <c r="J10069" s="690" t="s">
        <v>4060</v>
      </c>
      <c r="K10069" s="690" t="s">
        <v>4060</v>
      </c>
    </row>
    <row r="10070" spans="1:11">
      <c r="A10070" s="688" t="s">
        <v>2328</v>
      </c>
      <c r="B10070" s="691">
        <v>31.4</v>
      </c>
      <c r="C10070" s="691">
        <v>31.4</v>
      </c>
      <c r="D10070" s="691">
        <v>31.4</v>
      </c>
      <c r="E10070" s="691">
        <v>31.6</v>
      </c>
      <c r="F10070" s="691">
        <v>31.9</v>
      </c>
      <c r="G10070" s="691">
        <v>32.299999999999997</v>
      </c>
      <c r="H10070" s="691">
        <v>32.200000000000003</v>
      </c>
      <c r="I10070" s="691">
        <v>29.7</v>
      </c>
      <c r="J10070" s="691">
        <v>28.9</v>
      </c>
      <c r="K10070" s="692" t="s">
        <v>4060</v>
      </c>
    </row>
    <row r="10071" spans="1:11">
      <c r="A10071" s="688" t="s">
        <v>2496</v>
      </c>
      <c r="B10071" s="690" t="s">
        <v>4060</v>
      </c>
      <c r="C10071" s="689">
        <v>29.1</v>
      </c>
      <c r="D10071" s="693">
        <v>28</v>
      </c>
      <c r="E10071" s="689">
        <v>27.8</v>
      </c>
      <c r="F10071" s="689">
        <v>28.5</v>
      </c>
      <c r="G10071" s="689">
        <v>28.8</v>
      </c>
      <c r="H10071" s="689">
        <v>28.8</v>
      </c>
      <c r="I10071" s="690" t="s">
        <v>4060</v>
      </c>
      <c r="J10071" s="690" t="s">
        <v>4060</v>
      </c>
      <c r="K10071" s="689">
        <v>28.3</v>
      </c>
    </row>
    <row r="10072" spans="1:11">
      <c r="A10072" s="688" t="s">
        <v>2269</v>
      </c>
      <c r="B10072" s="691">
        <v>34.6</v>
      </c>
      <c r="C10072" s="691">
        <v>34.700000000000003</v>
      </c>
      <c r="D10072" s="691">
        <v>34.4</v>
      </c>
      <c r="E10072" s="691">
        <v>35.1</v>
      </c>
      <c r="F10072" s="691">
        <v>35.1</v>
      </c>
      <c r="G10072" s="691">
        <v>35.5</v>
      </c>
      <c r="H10072" s="691">
        <v>35.700000000000003</v>
      </c>
      <c r="I10072" s="691">
        <v>33.299999999999997</v>
      </c>
      <c r="J10072" s="691">
        <v>31.5</v>
      </c>
      <c r="K10072" s="691">
        <v>35.200000000000003</v>
      </c>
    </row>
    <row r="10073" spans="1:11">
      <c r="A10073" s="688" t="s">
        <v>2349</v>
      </c>
      <c r="B10073" s="689">
        <v>30.6</v>
      </c>
      <c r="C10073" s="689">
        <v>30.7</v>
      </c>
      <c r="D10073" s="689">
        <v>30.6</v>
      </c>
      <c r="E10073" s="693">
        <v>31</v>
      </c>
      <c r="F10073" s="693">
        <v>31</v>
      </c>
      <c r="G10073" s="689">
        <v>31.2</v>
      </c>
      <c r="H10073" s="689">
        <v>31.2</v>
      </c>
      <c r="I10073" s="689">
        <v>29.4</v>
      </c>
      <c r="J10073" s="693">
        <v>28</v>
      </c>
      <c r="K10073" s="689">
        <v>30.5</v>
      </c>
    </row>
    <row r="10074" spans="1:11">
      <c r="A10074" s="688" t="s">
        <v>2355</v>
      </c>
      <c r="B10074" s="691">
        <v>33.9</v>
      </c>
      <c r="C10074" s="691">
        <v>33.9</v>
      </c>
      <c r="D10074" s="691">
        <v>33.799999999999997</v>
      </c>
      <c r="E10074" s="691">
        <v>33.799999999999997</v>
      </c>
      <c r="F10074" s="615">
        <v>34</v>
      </c>
      <c r="G10074" s="691">
        <v>34.4</v>
      </c>
      <c r="H10074" s="691">
        <v>34.5</v>
      </c>
      <c r="I10074" s="692" t="s">
        <v>4060</v>
      </c>
      <c r="J10074" s="692" t="s">
        <v>4060</v>
      </c>
      <c r="K10074" s="692" t="s">
        <v>4060</v>
      </c>
    </row>
    <row r="10075" spans="1:11">
      <c r="A10075" s="688" t="s">
        <v>2357</v>
      </c>
      <c r="B10075" s="690" t="s">
        <v>4060</v>
      </c>
      <c r="C10075" s="689">
        <v>27.1</v>
      </c>
      <c r="D10075" s="689">
        <v>27.5</v>
      </c>
      <c r="E10075" s="689">
        <v>27.8</v>
      </c>
      <c r="F10075" s="689">
        <v>28.1</v>
      </c>
      <c r="G10075" s="689">
        <v>27.8</v>
      </c>
      <c r="H10075" s="693">
        <v>28</v>
      </c>
      <c r="I10075" s="690" t="s">
        <v>4060</v>
      </c>
      <c r="J10075" s="690" t="s">
        <v>4060</v>
      </c>
      <c r="K10075" s="690" t="s">
        <v>4060</v>
      </c>
    </row>
    <row r="10076" spans="1:11">
      <c r="A10076" s="688" t="s">
        <v>4070</v>
      </c>
      <c r="B10076" s="692" t="s">
        <v>4060</v>
      </c>
      <c r="C10076" s="692" t="s">
        <v>4060</v>
      </c>
      <c r="D10076" s="692" t="s">
        <v>4060</v>
      </c>
      <c r="E10076" s="691">
        <v>33.299999999999997</v>
      </c>
      <c r="F10076" s="692" t="s">
        <v>4060</v>
      </c>
      <c r="G10076" s="692" t="s">
        <v>4060</v>
      </c>
      <c r="H10076" s="692" t="s">
        <v>4060</v>
      </c>
      <c r="I10076" s="692" t="s">
        <v>4060</v>
      </c>
      <c r="J10076" s="692" t="s">
        <v>4060</v>
      </c>
      <c r="K10076" s="692" t="s">
        <v>4060</v>
      </c>
    </row>
    <row r="10077" spans="1:11">
      <c r="A10077" s="688" t="s">
        <v>2491</v>
      </c>
      <c r="B10077" s="689">
        <v>26.7</v>
      </c>
      <c r="C10077" s="689">
        <v>27.1</v>
      </c>
      <c r="D10077" s="689">
        <v>27.5</v>
      </c>
      <c r="E10077" s="689">
        <v>27.7</v>
      </c>
      <c r="F10077" s="689">
        <v>27.8</v>
      </c>
      <c r="G10077" s="689">
        <v>27.8</v>
      </c>
      <c r="H10077" s="690" t="s">
        <v>4060</v>
      </c>
      <c r="I10077" s="690" t="s">
        <v>4060</v>
      </c>
      <c r="J10077" s="690" t="s">
        <v>4060</v>
      </c>
      <c r="K10077" s="690" t="s">
        <v>4060</v>
      </c>
    </row>
    <row r="10078" spans="1:11">
      <c r="A10078" s="688" t="s">
        <v>2343</v>
      </c>
      <c r="B10078" s="692" t="s">
        <v>4060</v>
      </c>
      <c r="C10078" s="692" t="s">
        <v>4060</v>
      </c>
      <c r="D10078" s="692" t="s">
        <v>4060</v>
      </c>
      <c r="E10078" s="692" t="s">
        <v>4060</v>
      </c>
      <c r="F10078" s="692" t="s">
        <v>4060</v>
      </c>
      <c r="G10078" s="692" t="s">
        <v>4060</v>
      </c>
      <c r="H10078" s="692" t="s">
        <v>4060</v>
      </c>
      <c r="I10078" s="692" t="s">
        <v>4060</v>
      </c>
      <c r="J10078" s="692" t="s">
        <v>4060</v>
      </c>
      <c r="K10078" s="692" t="s">
        <v>4060</v>
      </c>
    </row>
    <row r="10079" spans="1:11">
      <c r="A10079" s="688" t="s">
        <v>4071</v>
      </c>
      <c r="B10079" s="690" t="s">
        <v>4060</v>
      </c>
      <c r="C10079" s="690" t="s">
        <v>4060</v>
      </c>
      <c r="D10079" s="690" t="s">
        <v>4060</v>
      </c>
      <c r="E10079" s="690" t="s">
        <v>4060</v>
      </c>
      <c r="F10079" s="690" t="s">
        <v>4060</v>
      </c>
      <c r="G10079" s="690" t="s">
        <v>4060</v>
      </c>
      <c r="H10079" s="690" t="s">
        <v>4060</v>
      </c>
      <c r="I10079" s="690" t="s">
        <v>4060</v>
      </c>
      <c r="J10079" s="690" t="s">
        <v>4060</v>
      </c>
      <c r="K10079" s="690" t="s">
        <v>4060</v>
      </c>
    </row>
    <row r="10080" spans="1:11">
      <c r="A10080" s="688" t="s">
        <v>2489</v>
      </c>
      <c r="B10080" s="692" t="s">
        <v>4060</v>
      </c>
      <c r="C10080" s="692" t="s">
        <v>4060</v>
      </c>
      <c r="D10080" s="691">
        <v>30.3</v>
      </c>
      <c r="E10080" s="691">
        <v>30.2</v>
      </c>
      <c r="F10080" s="691">
        <v>30.7</v>
      </c>
      <c r="G10080" s="691">
        <v>31.6</v>
      </c>
      <c r="H10080" s="691">
        <v>31.2</v>
      </c>
      <c r="I10080" s="692" t="s">
        <v>4060</v>
      </c>
      <c r="J10080" s="692" t="s">
        <v>4060</v>
      </c>
      <c r="K10080" s="692" t="s">
        <v>4060</v>
      </c>
    </row>
    <row r="10081" spans="1:11">
      <c r="A10081" s="688" t="s">
        <v>2490</v>
      </c>
      <c r="B10081" s="693">
        <v>31</v>
      </c>
      <c r="C10081" s="689">
        <v>31.1</v>
      </c>
      <c r="D10081" s="689">
        <v>31.8</v>
      </c>
      <c r="E10081" s="690" t="s">
        <v>4060</v>
      </c>
      <c r="F10081" s="693">
        <v>32</v>
      </c>
      <c r="G10081" s="689">
        <v>32.200000000000003</v>
      </c>
      <c r="H10081" s="689">
        <v>33.1</v>
      </c>
      <c r="I10081" s="690" t="s">
        <v>4060</v>
      </c>
      <c r="J10081" s="690" t="s">
        <v>4060</v>
      </c>
      <c r="K10081" s="690" t="s">
        <v>4060</v>
      </c>
    </row>
    <row r="10083" spans="1:11">
      <c r="A10083" s="683" t="s">
        <v>4233</v>
      </c>
    </row>
    <row r="10084" spans="1:11">
      <c r="A10084" s="683" t="s">
        <v>4060</v>
      </c>
      <c r="B10084" s="682" t="s">
        <v>4234</v>
      </c>
    </row>
    <row r="10086" spans="1:11">
      <c r="A10086" s="682" t="s">
        <v>4331</v>
      </c>
    </row>
    <row r="10087" spans="1:11">
      <c r="A10087" s="682" t="s">
        <v>4210</v>
      </c>
      <c r="B10087" s="683" t="s">
        <v>4211</v>
      </c>
    </row>
    <row r="10088" spans="1:11">
      <c r="A10088" s="682" t="s">
        <v>4212</v>
      </c>
      <c r="B10088" s="682" t="s">
        <v>4213</v>
      </c>
    </row>
    <row r="10090" spans="1:11">
      <c r="A10090" s="683" t="s">
        <v>4214</v>
      </c>
      <c r="C10090" s="682" t="s">
        <v>4215</v>
      </c>
    </row>
    <row r="10091" spans="1:11">
      <c r="A10091" s="683" t="s">
        <v>4216</v>
      </c>
      <c r="C10091" s="682" t="s">
        <v>2967</v>
      </c>
    </row>
    <row r="10092" spans="1:11">
      <c r="A10092" s="683" t="s">
        <v>3893</v>
      </c>
      <c r="C10092" s="682" t="s">
        <v>2168</v>
      </c>
    </row>
    <row r="10093" spans="1:11">
      <c r="A10093" s="683" t="s">
        <v>4218</v>
      </c>
      <c r="C10093" s="682" t="s">
        <v>4280</v>
      </c>
    </row>
    <row r="10095" spans="1:11">
      <c r="A10095" s="684" t="s">
        <v>4220</v>
      </c>
      <c r="B10095" s="685" t="s">
        <v>4221</v>
      </c>
      <c r="C10095" s="685" t="s">
        <v>4222</v>
      </c>
      <c r="D10095" s="685" t="s">
        <v>4223</v>
      </c>
      <c r="E10095" s="685" t="s">
        <v>4224</v>
      </c>
      <c r="F10095" s="685" t="s">
        <v>4225</v>
      </c>
      <c r="G10095" s="685" t="s">
        <v>4226</v>
      </c>
      <c r="H10095" s="685" t="s">
        <v>4227</v>
      </c>
      <c r="I10095" s="685" t="s">
        <v>4228</v>
      </c>
      <c r="J10095" s="685" t="s">
        <v>4229</v>
      </c>
      <c r="K10095" s="685" t="s">
        <v>4230</v>
      </c>
    </row>
    <row r="10096" spans="1:11">
      <c r="A10096" s="686" t="s">
        <v>4231</v>
      </c>
      <c r="B10096" s="687" t="s">
        <v>4232</v>
      </c>
      <c r="C10096" s="687" t="s">
        <v>4232</v>
      </c>
      <c r="D10096" s="687" t="s">
        <v>4232</v>
      </c>
      <c r="E10096" s="687" t="s">
        <v>4232</v>
      </c>
      <c r="F10096" s="687" t="s">
        <v>4232</v>
      </c>
      <c r="G10096" s="687" t="s">
        <v>4232</v>
      </c>
      <c r="H10096" s="687" t="s">
        <v>4232</v>
      </c>
      <c r="I10096" s="687" t="s">
        <v>4232</v>
      </c>
      <c r="J10096" s="687" t="s">
        <v>4232</v>
      </c>
      <c r="K10096" s="687" t="s">
        <v>4232</v>
      </c>
    </row>
    <row r="10097" spans="1:11">
      <c r="A10097" s="688" t="s">
        <v>4064</v>
      </c>
      <c r="B10097" s="689">
        <v>34.200000000000003</v>
      </c>
      <c r="C10097" s="689">
        <v>34.299999999999997</v>
      </c>
      <c r="D10097" s="689">
        <v>34.299999999999997</v>
      </c>
      <c r="E10097" s="689">
        <v>34.5</v>
      </c>
      <c r="F10097" s="689">
        <v>34.5</v>
      </c>
      <c r="G10097" s="689">
        <v>34.6</v>
      </c>
      <c r="H10097" s="689">
        <v>34.9</v>
      </c>
      <c r="I10097" s="693">
        <v>34</v>
      </c>
      <c r="J10097" s="689">
        <v>33.700000000000003</v>
      </c>
      <c r="K10097" s="689">
        <v>34.4</v>
      </c>
    </row>
    <row r="10098" spans="1:11">
      <c r="A10098" s="688" t="s">
        <v>4065</v>
      </c>
      <c r="B10098" s="691">
        <v>34.4</v>
      </c>
      <c r="C10098" s="691">
        <v>34.700000000000003</v>
      </c>
      <c r="D10098" s="691">
        <v>34.5</v>
      </c>
      <c r="E10098" s="691">
        <v>34.799999999999997</v>
      </c>
      <c r="F10098" s="691">
        <v>34.9</v>
      </c>
      <c r="G10098" s="691">
        <v>34.9</v>
      </c>
      <c r="H10098" s="692" t="s">
        <v>4060</v>
      </c>
      <c r="I10098" s="692" t="s">
        <v>4060</v>
      </c>
      <c r="J10098" s="692" t="s">
        <v>4060</v>
      </c>
      <c r="K10098" s="692" t="s">
        <v>4060</v>
      </c>
    </row>
    <row r="10099" spans="1:11">
      <c r="A10099" s="688" t="s">
        <v>4063</v>
      </c>
      <c r="B10099" s="689">
        <v>34.4</v>
      </c>
      <c r="C10099" s="689">
        <v>34.799999999999997</v>
      </c>
      <c r="D10099" s="689">
        <v>34.5</v>
      </c>
      <c r="E10099" s="689">
        <v>34.9</v>
      </c>
      <c r="F10099" s="689">
        <v>34.9</v>
      </c>
      <c r="G10099" s="693">
        <v>35</v>
      </c>
      <c r="H10099" s="690" t="s">
        <v>4060</v>
      </c>
      <c r="I10099" s="690" t="s">
        <v>4060</v>
      </c>
      <c r="J10099" s="690" t="s">
        <v>4060</v>
      </c>
      <c r="K10099" s="690" t="s">
        <v>4060</v>
      </c>
    </row>
    <row r="10100" spans="1:11">
      <c r="A10100" s="688" t="s">
        <v>4069</v>
      </c>
      <c r="B10100" s="692" t="s">
        <v>4060</v>
      </c>
      <c r="C10100" s="691">
        <v>35.4</v>
      </c>
      <c r="D10100" s="691">
        <v>35.200000000000003</v>
      </c>
      <c r="E10100" s="691">
        <v>35.5</v>
      </c>
      <c r="F10100" s="691">
        <v>35.6</v>
      </c>
      <c r="G10100" s="691">
        <v>35.700000000000003</v>
      </c>
      <c r="H10100" s="615">
        <v>36</v>
      </c>
      <c r="I10100" s="691">
        <v>35.200000000000003</v>
      </c>
      <c r="J10100" s="691">
        <v>35.200000000000003</v>
      </c>
      <c r="K10100" s="691">
        <v>35.5</v>
      </c>
    </row>
    <row r="10101" spans="1:11">
      <c r="A10101" s="688" t="s">
        <v>4068</v>
      </c>
      <c r="B10101" s="689">
        <v>35.299999999999997</v>
      </c>
      <c r="C10101" s="690" t="s">
        <v>4060</v>
      </c>
      <c r="D10101" s="690" t="s">
        <v>4060</v>
      </c>
      <c r="E10101" s="690" t="s">
        <v>4060</v>
      </c>
      <c r="F10101" s="690" t="s">
        <v>4060</v>
      </c>
      <c r="G10101" s="690" t="s">
        <v>4060</v>
      </c>
      <c r="H10101" s="690" t="s">
        <v>4060</v>
      </c>
      <c r="I10101" s="690" t="s">
        <v>4060</v>
      </c>
      <c r="J10101" s="690" t="s">
        <v>4060</v>
      </c>
      <c r="K10101" s="690" t="s">
        <v>4060</v>
      </c>
    </row>
    <row r="10102" spans="1:11">
      <c r="A10102" s="688" t="s">
        <v>0</v>
      </c>
      <c r="B10102" s="691">
        <v>34.700000000000003</v>
      </c>
      <c r="C10102" s="691">
        <v>35.200000000000003</v>
      </c>
      <c r="D10102" s="691">
        <v>35.1</v>
      </c>
      <c r="E10102" s="691">
        <v>35.4</v>
      </c>
      <c r="F10102" s="691">
        <v>35.6</v>
      </c>
      <c r="G10102" s="691">
        <v>35.700000000000003</v>
      </c>
      <c r="H10102" s="691">
        <v>36.1</v>
      </c>
      <c r="I10102" s="691">
        <v>34.9</v>
      </c>
      <c r="J10102" s="691">
        <v>35.700000000000003</v>
      </c>
      <c r="K10102" s="615">
        <v>36</v>
      </c>
    </row>
    <row r="10103" spans="1:11">
      <c r="A10103" s="688" t="s">
        <v>1</v>
      </c>
      <c r="B10103" s="693">
        <v>29</v>
      </c>
      <c r="C10103" s="689">
        <v>28.6</v>
      </c>
      <c r="D10103" s="689">
        <v>28.7</v>
      </c>
      <c r="E10103" s="689">
        <v>28.8</v>
      </c>
      <c r="F10103" s="689">
        <v>28.7</v>
      </c>
      <c r="G10103" s="689">
        <v>28.8</v>
      </c>
      <c r="H10103" s="689">
        <v>28.8</v>
      </c>
      <c r="I10103" s="689">
        <v>27.1</v>
      </c>
      <c r="J10103" s="689">
        <v>25.5</v>
      </c>
      <c r="K10103" s="689">
        <v>27.9</v>
      </c>
    </row>
    <row r="10104" spans="1:11">
      <c r="A10104" s="688" t="s">
        <v>2240</v>
      </c>
      <c r="B10104" s="691">
        <v>31.9</v>
      </c>
      <c r="C10104" s="691">
        <v>32.299999999999997</v>
      </c>
      <c r="D10104" s="691">
        <v>32.200000000000003</v>
      </c>
      <c r="E10104" s="691">
        <v>32.6</v>
      </c>
      <c r="F10104" s="691">
        <v>32.6</v>
      </c>
      <c r="G10104" s="691">
        <v>32.700000000000003</v>
      </c>
      <c r="H10104" s="691">
        <v>32.9</v>
      </c>
      <c r="I10104" s="691">
        <v>31.8</v>
      </c>
      <c r="J10104" s="691">
        <v>30.7</v>
      </c>
      <c r="K10104" s="691">
        <v>32.700000000000003</v>
      </c>
    </row>
    <row r="10105" spans="1:11">
      <c r="A10105" s="688" t="s">
        <v>2</v>
      </c>
      <c r="B10105" s="689">
        <v>34.6</v>
      </c>
      <c r="C10105" s="693">
        <v>35</v>
      </c>
      <c r="D10105" s="693">
        <v>35</v>
      </c>
      <c r="E10105" s="689">
        <v>35.200000000000003</v>
      </c>
      <c r="F10105" s="689">
        <v>35.4</v>
      </c>
      <c r="G10105" s="689">
        <v>35.299999999999997</v>
      </c>
      <c r="H10105" s="689">
        <v>35.6</v>
      </c>
      <c r="I10105" s="689">
        <v>35.799999999999997</v>
      </c>
      <c r="J10105" s="689">
        <v>35.700000000000003</v>
      </c>
      <c r="K10105" s="689">
        <v>35.6</v>
      </c>
    </row>
    <row r="10106" spans="1:11">
      <c r="A10106" s="688" t="s">
        <v>3</v>
      </c>
      <c r="B10106" s="691">
        <v>34.5</v>
      </c>
      <c r="C10106" s="691">
        <v>34.799999999999997</v>
      </c>
      <c r="D10106" s="691">
        <v>34.5</v>
      </c>
      <c r="E10106" s="691">
        <v>34.799999999999997</v>
      </c>
      <c r="F10106" s="691">
        <v>34.9</v>
      </c>
      <c r="G10106" s="691">
        <v>34.9</v>
      </c>
      <c r="H10106" s="691">
        <v>35.200000000000003</v>
      </c>
      <c r="I10106" s="691">
        <v>34.9</v>
      </c>
      <c r="J10106" s="691">
        <v>34.6</v>
      </c>
      <c r="K10106" s="691">
        <v>34.5</v>
      </c>
    </row>
    <row r="10107" spans="1:11">
      <c r="A10107" s="688" t="s">
        <v>4061</v>
      </c>
      <c r="B10107" s="689">
        <v>34.5</v>
      </c>
      <c r="C10107" s="689">
        <v>34.799999999999997</v>
      </c>
      <c r="D10107" s="689">
        <v>34.5</v>
      </c>
      <c r="E10107" s="689">
        <v>34.799999999999997</v>
      </c>
      <c r="F10107" s="689">
        <v>34.9</v>
      </c>
      <c r="G10107" s="689">
        <v>34.9</v>
      </c>
      <c r="H10107" s="689">
        <v>35.200000000000003</v>
      </c>
      <c r="I10107" s="689">
        <v>34.9</v>
      </c>
      <c r="J10107" s="689">
        <v>34.6</v>
      </c>
      <c r="K10107" s="689">
        <v>34.5</v>
      </c>
    </row>
    <row r="10108" spans="1:11">
      <c r="A10108" s="688" t="s">
        <v>4</v>
      </c>
      <c r="B10108" s="691">
        <v>30.3</v>
      </c>
      <c r="C10108" s="615">
        <v>30</v>
      </c>
      <c r="D10108" s="691">
        <v>30.6</v>
      </c>
      <c r="E10108" s="691">
        <v>30.6</v>
      </c>
      <c r="F10108" s="691">
        <v>30.9</v>
      </c>
      <c r="G10108" s="691">
        <v>30.8</v>
      </c>
      <c r="H10108" s="691">
        <v>31.3</v>
      </c>
      <c r="I10108" s="691">
        <v>31.2</v>
      </c>
      <c r="J10108" s="691">
        <v>29.9</v>
      </c>
      <c r="K10108" s="691">
        <v>30.7</v>
      </c>
    </row>
    <row r="10109" spans="1:11">
      <c r="A10109" s="688" t="s">
        <v>8</v>
      </c>
      <c r="B10109" s="689">
        <v>35.6</v>
      </c>
      <c r="C10109" s="689">
        <v>35.799999999999997</v>
      </c>
      <c r="D10109" s="693">
        <v>36</v>
      </c>
      <c r="E10109" s="689">
        <v>36.1</v>
      </c>
      <c r="F10109" s="689">
        <v>36.5</v>
      </c>
      <c r="G10109" s="689">
        <v>36.5</v>
      </c>
      <c r="H10109" s="689">
        <v>36.799999999999997</v>
      </c>
      <c r="I10109" s="689">
        <v>36.799999999999997</v>
      </c>
      <c r="J10109" s="689">
        <v>36.5</v>
      </c>
      <c r="K10109" s="689">
        <v>36.9</v>
      </c>
    </row>
    <row r="10110" spans="1:11">
      <c r="A10110" s="688" t="s">
        <v>7</v>
      </c>
      <c r="B10110" s="691">
        <v>35.299999999999997</v>
      </c>
      <c r="C10110" s="691">
        <v>34.799999999999997</v>
      </c>
      <c r="D10110" s="691">
        <v>34.6</v>
      </c>
      <c r="E10110" s="615">
        <v>35</v>
      </c>
      <c r="F10110" s="691">
        <v>34.9</v>
      </c>
      <c r="G10110" s="691">
        <v>35.299999999999997</v>
      </c>
      <c r="H10110" s="691">
        <v>35.299999999999997</v>
      </c>
      <c r="I10110" s="615">
        <v>35</v>
      </c>
      <c r="J10110" s="615">
        <v>34</v>
      </c>
      <c r="K10110" s="691">
        <v>34.700000000000003</v>
      </c>
    </row>
    <row r="10111" spans="1:11">
      <c r="A10111" s="688" t="s">
        <v>27</v>
      </c>
      <c r="B10111" s="689">
        <v>36.299999999999997</v>
      </c>
      <c r="C10111" s="689">
        <v>36.200000000000003</v>
      </c>
      <c r="D10111" s="693">
        <v>36</v>
      </c>
      <c r="E10111" s="689">
        <v>36.299999999999997</v>
      </c>
      <c r="F10111" s="689">
        <v>36.4</v>
      </c>
      <c r="G10111" s="689">
        <v>36.5</v>
      </c>
      <c r="H10111" s="689">
        <v>36.799999999999997</v>
      </c>
      <c r="I10111" s="689">
        <v>35.6</v>
      </c>
      <c r="J10111" s="689">
        <v>36.299999999999997</v>
      </c>
      <c r="K10111" s="689">
        <v>36.5</v>
      </c>
    </row>
    <row r="10112" spans="1:11">
      <c r="A10112" s="688" t="s">
        <v>6</v>
      </c>
      <c r="B10112" s="691">
        <v>35.799999999999997</v>
      </c>
      <c r="C10112" s="691">
        <v>35.9</v>
      </c>
      <c r="D10112" s="691">
        <v>35.799999999999997</v>
      </c>
      <c r="E10112" s="615">
        <v>36</v>
      </c>
      <c r="F10112" s="691">
        <v>36.1</v>
      </c>
      <c r="G10112" s="691">
        <v>36.200000000000003</v>
      </c>
      <c r="H10112" s="691">
        <v>36.4</v>
      </c>
      <c r="I10112" s="691">
        <v>35.799999999999997</v>
      </c>
      <c r="J10112" s="691">
        <v>35.9</v>
      </c>
      <c r="K10112" s="691">
        <v>36.1</v>
      </c>
    </row>
    <row r="10113" spans="1:11">
      <c r="A10113" s="688" t="s">
        <v>4058</v>
      </c>
      <c r="B10113" s="690" t="s">
        <v>4060</v>
      </c>
      <c r="C10113" s="690" t="s">
        <v>4060</v>
      </c>
      <c r="D10113" s="690" t="s">
        <v>4060</v>
      </c>
      <c r="E10113" s="690" t="s">
        <v>4060</v>
      </c>
      <c r="F10113" s="690" t="s">
        <v>4060</v>
      </c>
      <c r="G10113" s="690" t="s">
        <v>4060</v>
      </c>
      <c r="H10113" s="690" t="s">
        <v>4060</v>
      </c>
      <c r="I10113" s="690" t="s">
        <v>4060</v>
      </c>
      <c r="J10113" s="690" t="s">
        <v>4060</v>
      </c>
      <c r="K10113" s="690" t="s">
        <v>4060</v>
      </c>
    </row>
    <row r="10114" spans="1:11">
      <c r="A10114" s="688" t="s">
        <v>11</v>
      </c>
      <c r="B10114" s="691">
        <v>31.2</v>
      </c>
      <c r="C10114" s="691">
        <v>31.3</v>
      </c>
      <c r="D10114" s="615">
        <v>31</v>
      </c>
      <c r="E10114" s="691">
        <v>31.6</v>
      </c>
      <c r="F10114" s="691">
        <v>31.5</v>
      </c>
      <c r="G10114" s="691">
        <v>31.6</v>
      </c>
      <c r="H10114" s="615">
        <v>32</v>
      </c>
      <c r="I10114" s="691">
        <v>31.2</v>
      </c>
      <c r="J10114" s="691">
        <v>30.2</v>
      </c>
      <c r="K10114" s="691">
        <v>31.4</v>
      </c>
    </row>
    <row r="10115" spans="1:11">
      <c r="A10115" s="688" t="s">
        <v>10</v>
      </c>
      <c r="B10115" s="689">
        <v>36.5</v>
      </c>
      <c r="C10115" s="689">
        <v>36.6</v>
      </c>
      <c r="D10115" s="689">
        <v>36.299999999999997</v>
      </c>
      <c r="E10115" s="689">
        <v>36.9</v>
      </c>
      <c r="F10115" s="689">
        <v>36.700000000000003</v>
      </c>
      <c r="G10115" s="689">
        <v>37.1</v>
      </c>
      <c r="H10115" s="689">
        <v>37.299999999999997</v>
      </c>
      <c r="I10115" s="693">
        <v>36</v>
      </c>
      <c r="J10115" s="689">
        <v>36.5</v>
      </c>
      <c r="K10115" s="689">
        <v>36.700000000000003</v>
      </c>
    </row>
    <row r="10116" spans="1:11">
      <c r="A10116" s="688" t="s">
        <v>30</v>
      </c>
      <c r="B10116" s="691">
        <v>36.5</v>
      </c>
      <c r="C10116" s="691">
        <v>36.5</v>
      </c>
      <c r="D10116" s="691">
        <v>36.299999999999997</v>
      </c>
      <c r="E10116" s="691">
        <v>36.799999999999997</v>
      </c>
      <c r="F10116" s="691">
        <v>36.5</v>
      </c>
      <c r="G10116" s="691">
        <v>37.299999999999997</v>
      </c>
      <c r="H10116" s="615">
        <v>37</v>
      </c>
      <c r="I10116" s="691">
        <v>36.9</v>
      </c>
      <c r="J10116" s="691">
        <v>36.1</v>
      </c>
      <c r="K10116" s="691">
        <v>36.6</v>
      </c>
    </row>
    <row r="10117" spans="1:11">
      <c r="A10117" s="688" t="s">
        <v>12</v>
      </c>
      <c r="B10117" s="689">
        <v>27.6</v>
      </c>
      <c r="C10117" s="689">
        <v>27.6</v>
      </c>
      <c r="D10117" s="689">
        <v>28.1</v>
      </c>
      <c r="E10117" s="689">
        <v>28.1</v>
      </c>
      <c r="F10117" s="689">
        <v>28.1</v>
      </c>
      <c r="G10117" s="689">
        <v>28.2</v>
      </c>
      <c r="H10117" s="689">
        <v>28.8</v>
      </c>
      <c r="I10117" s="689">
        <v>28.4</v>
      </c>
      <c r="J10117" s="689">
        <v>26.3</v>
      </c>
      <c r="K10117" s="689">
        <v>27.6</v>
      </c>
    </row>
    <row r="10118" spans="1:11">
      <c r="A10118" s="688" t="s">
        <v>14</v>
      </c>
      <c r="B10118" s="691">
        <v>27.4</v>
      </c>
      <c r="C10118" s="615">
        <v>28</v>
      </c>
      <c r="D10118" s="691">
        <v>27.8</v>
      </c>
      <c r="E10118" s="615">
        <v>28</v>
      </c>
      <c r="F10118" s="691">
        <v>28.8</v>
      </c>
      <c r="G10118" s="615">
        <v>29</v>
      </c>
      <c r="H10118" s="691">
        <v>29.3</v>
      </c>
      <c r="I10118" s="691">
        <v>27.9</v>
      </c>
      <c r="J10118" s="691">
        <v>27.5</v>
      </c>
      <c r="K10118" s="691">
        <v>28.8</v>
      </c>
    </row>
    <row r="10119" spans="1:11">
      <c r="A10119" s="688" t="s">
        <v>15</v>
      </c>
      <c r="B10119" s="689">
        <v>36.1</v>
      </c>
      <c r="C10119" s="689">
        <v>35.5</v>
      </c>
      <c r="D10119" s="689">
        <v>36.200000000000003</v>
      </c>
      <c r="E10119" s="693">
        <v>36</v>
      </c>
      <c r="F10119" s="689">
        <v>35.9</v>
      </c>
      <c r="G10119" s="689">
        <v>36.1</v>
      </c>
      <c r="H10119" s="689">
        <v>36.4</v>
      </c>
      <c r="I10119" s="689">
        <v>35.9</v>
      </c>
      <c r="J10119" s="689">
        <v>36.299999999999997</v>
      </c>
      <c r="K10119" s="689">
        <v>36.9</v>
      </c>
    </row>
    <row r="10120" spans="1:11">
      <c r="A10120" s="688" t="s">
        <v>29</v>
      </c>
      <c r="B10120" s="615">
        <v>29</v>
      </c>
      <c r="C10120" s="615">
        <v>29</v>
      </c>
      <c r="D10120" s="615">
        <v>29</v>
      </c>
      <c r="E10120" s="691">
        <v>29.2</v>
      </c>
      <c r="F10120" s="691">
        <v>29.1</v>
      </c>
      <c r="G10120" s="691">
        <v>29.2</v>
      </c>
      <c r="H10120" s="691">
        <v>29.6</v>
      </c>
      <c r="I10120" s="691">
        <v>28.8</v>
      </c>
      <c r="J10120" s="691">
        <v>27.5</v>
      </c>
      <c r="K10120" s="691">
        <v>29.2</v>
      </c>
    </row>
    <row r="10121" spans="1:11">
      <c r="A10121" s="688" t="s">
        <v>16</v>
      </c>
      <c r="B10121" s="693">
        <v>36</v>
      </c>
      <c r="C10121" s="689">
        <v>36.1</v>
      </c>
      <c r="D10121" s="689">
        <v>36.1</v>
      </c>
      <c r="E10121" s="689">
        <v>36.799999999999997</v>
      </c>
      <c r="F10121" s="689">
        <v>36.6</v>
      </c>
      <c r="G10121" s="689">
        <v>36.4</v>
      </c>
      <c r="H10121" s="689">
        <v>36.9</v>
      </c>
      <c r="I10121" s="693">
        <v>36</v>
      </c>
      <c r="J10121" s="689">
        <v>36.4</v>
      </c>
      <c r="K10121" s="689">
        <v>36.5</v>
      </c>
    </row>
    <row r="10122" spans="1:11">
      <c r="A10122" s="688" t="s">
        <v>17</v>
      </c>
      <c r="B10122" s="691">
        <v>35.799999999999997</v>
      </c>
      <c r="C10122" s="691">
        <v>36.1</v>
      </c>
      <c r="D10122" s="691">
        <v>35.9</v>
      </c>
      <c r="E10122" s="691">
        <v>36.1</v>
      </c>
      <c r="F10122" s="691">
        <v>36.299999999999997</v>
      </c>
      <c r="G10122" s="691">
        <v>36.4</v>
      </c>
      <c r="H10122" s="691">
        <v>36.700000000000003</v>
      </c>
      <c r="I10122" s="691">
        <v>35.9</v>
      </c>
      <c r="J10122" s="691">
        <v>35.9</v>
      </c>
      <c r="K10122" s="691">
        <v>36.299999999999997</v>
      </c>
    </row>
    <row r="10123" spans="1:11">
      <c r="A10123" s="688" t="s">
        <v>19</v>
      </c>
      <c r="B10123" s="689">
        <v>35.1</v>
      </c>
      <c r="C10123" s="689">
        <v>35.299999999999997</v>
      </c>
      <c r="D10123" s="689">
        <v>35.1</v>
      </c>
      <c r="E10123" s="689">
        <v>35.5</v>
      </c>
      <c r="F10123" s="689">
        <v>35.6</v>
      </c>
      <c r="G10123" s="689">
        <v>35.6</v>
      </c>
      <c r="H10123" s="693">
        <v>36</v>
      </c>
      <c r="I10123" s="689">
        <v>35.299999999999997</v>
      </c>
      <c r="J10123" s="689">
        <v>35.200000000000003</v>
      </c>
      <c r="K10123" s="689">
        <v>35.4</v>
      </c>
    </row>
    <row r="10124" spans="1:11">
      <c r="A10124" s="688" t="s">
        <v>20</v>
      </c>
      <c r="B10124" s="691">
        <v>30.4</v>
      </c>
      <c r="C10124" s="691">
        <v>30.9</v>
      </c>
      <c r="D10124" s="691">
        <v>30.7</v>
      </c>
      <c r="E10124" s="615">
        <v>31</v>
      </c>
      <c r="F10124" s="615">
        <v>31</v>
      </c>
      <c r="G10124" s="691">
        <v>30.9</v>
      </c>
      <c r="H10124" s="691">
        <v>31.3</v>
      </c>
      <c r="I10124" s="691">
        <v>29.7</v>
      </c>
      <c r="J10124" s="691">
        <v>28.9</v>
      </c>
      <c r="K10124" s="691">
        <v>30.6</v>
      </c>
    </row>
    <row r="10125" spans="1:11">
      <c r="A10125" s="688" t="s">
        <v>21</v>
      </c>
      <c r="B10125" s="689">
        <v>34.200000000000003</v>
      </c>
      <c r="C10125" s="689">
        <v>34.700000000000003</v>
      </c>
      <c r="D10125" s="689">
        <v>34.700000000000003</v>
      </c>
      <c r="E10125" s="689">
        <v>34.700000000000003</v>
      </c>
      <c r="F10125" s="693">
        <v>35</v>
      </c>
      <c r="G10125" s="693">
        <v>35</v>
      </c>
      <c r="H10125" s="689">
        <v>35.4</v>
      </c>
      <c r="I10125" s="689">
        <v>34.799999999999997</v>
      </c>
      <c r="J10125" s="689">
        <v>34.799999999999997</v>
      </c>
      <c r="K10125" s="689">
        <v>35.200000000000003</v>
      </c>
    </row>
    <row r="10126" spans="1:11">
      <c r="A10126" s="688" t="s">
        <v>22</v>
      </c>
      <c r="B10126" s="691">
        <v>29.3</v>
      </c>
      <c r="C10126" s="691">
        <v>29.1</v>
      </c>
      <c r="D10126" s="615">
        <v>29</v>
      </c>
      <c r="E10126" s="691">
        <v>29.1</v>
      </c>
      <c r="F10126" s="691">
        <v>29.1</v>
      </c>
      <c r="G10126" s="615">
        <v>29</v>
      </c>
      <c r="H10126" s="691">
        <v>29.2</v>
      </c>
      <c r="I10126" s="691">
        <v>27.6</v>
      </c>
      <c r="J10126" s="691">
        <v>26.6</v>
      </c>
      <c r="K10126" s="691">
        <v>28.6</v>
      </c>
    </row>
    <row r="10127" spans="1:11">
      <c r="A10127" s="688" t="s">
        <v>26</v>
      </c>
      <c r="B10127" s="689">
        <v>33.799999999999997</v>
      </c>
      <c r="C10127" s="689">
        <v>34.299999999999997</v>
      </c>
      <c r="D10127" s="693">
        <v>34</v>
      </c>
      <c r="E10127" s="689">
        <v>34.4</v>
      </c>
      <c r="F10127" s="689">
        <v>34.299999999999997</v>
      </c>
      <c r="G10127" s="689">
        <v>34.700000000000003</v>
      </c>
      <c r="H10127" s="689">
        <v>34.9</v>
      </c>
      <c r="I10127" s="693">
        <v>34</v>
      </c>
      <c r="J10127" s="689">
        <v>33.9</v>
      </c>
      <c r="K10127" s="689">
        <v>34.799999999999997</v>
      </c>
    </row>
    <row r="10128" spans="1:11">
      <c r="A10128" s="688" t="s">
        <v>25</v>
      </c>
      <c r="B10128" s="615">
        <v>30</v>
      </c>
      <c r="C10128" s="691">
        <v>30.4</v>
      </c>
      <c r="D10128" s="691">
        <v>30.3</v>
      </c>
      <c r="E10128" s="691">
        <v>30.8</v>
      </c>
      <c r="F10128" s="691">
        <v>30.8</v>
      </c>
      <c r="G10128" s="691">
        <v>30.9</v>
      </c>
      <c r="H10128" s="691">
        <v>31.3</v>
      </c>
      <c r="I10128" s="691">
        <v>30.6</v>
      </c>
      <c r="J10128" s="691">
        <v>28.3</v>
      </c>
      <c r="K10128" s="691">
        <v>30.7</v>
      </c>
    </row>
    <row r="10129" spans="1:11">
      <c r="A10129" s="688" t="s">
        <v>5</v>
      </c>
      <c r="B10129" s="689">
        <v>34.799999999999997</v>
      </c>
      <c r="C10129" s="689">
        <v>34.9</v>
      </c>
      <c r="D10129" s="689">
        <v>35.1</v>
      </c>
      <c r="E10129" s="693">
        <v>35</v>
      </c>
      <c r="F10129" s="689">
        <v>35.4</v>
      </c>
      <c r="G10129" s="689">
        <v>35.5</v>
      </c>
      <c r="H10129" s="689">
        <v>35.9</v>
      </c>
      <c r="I10129" s="689">
        <v>35.799999999999997</v>
      </c>
      <c r="J10129" s="689">
        <v>35.700000000000003</v>
      </c>
      <c r="K10129" s="689">
        <v>35.200000000000003</v>
      </c>
    </row>
    <row r="10130" spans="1:11">
      <c r="A10130" s="688" t="s">
        <v>23</v>
      </c>
      <c r="B10130" s="691">
        <v>36.5</v>
      </c>
      <c r="C10130" s="691">
        <v>36.700000000000003</v>
      </c>
      <c r="D10130" s="691">
        <v>36.700000000000003</v>
      </c>
      <c r="E10130" s="691">
        <v>36.9</v>
      </c>
      <c r="F10130" s="691">
        <v>37.1</v>
      </c>
      <c r="G10130" s="691">
        <v>37.1</v>
      </c>
      <c r="H10130" s="691">
        <v>37.6</v>
      </c>
      <c r="I10130" s="691">
        <v>36.9</v>
      </c>
      <c r="J10130" s="691">
        <v>37.4</v>
      </c>
      <c r="K10130" s="691">
        <v>37.6</v>
      </c>
    </row>
    <row r="10131" spans="1:11">
      <c r="A10131" s="688" t="s">
        <v>4067</v>
      </c>
      <c r="B10131" s="689">
        <v>34.4</v>
      </c>
      <c r="C10131" s="689">
        <v>34.799999999999997</v>
      </c>
      <c r="D10131" s="689">
        <v>34.5</v>
      </c>
      <c r="E10131" s="689">
        <v>34.799999999999997</v>
      </c>
      <c r="F10131" s="689">
        <v>34.9</v>
      </c>
      <c r="G10131" s="693">
        <v>35</v>
      </c>
      <c r="H10131" s="690" t="s">
        <v>4060</v>
      </c>
      <c r="I10131" s="690" t="s">
        <v>4060</v>
      </c>
      <c r="J10131" s="690" t="s">
        <v>4060</v>
      </c>
      <c r="K10131" s="690" t="s">
        <v>4060</v>
      </c>
    </row>
    <row r="10132" spans="1:11">
      <c r="A10132" s="688" t="s">
        <v>4066</v>
      </c>
      <c r="B10132" s="691">
        <v>34.4</v>
      </c>
      <c r="C10132" s="691">
        <v>34.799999999999997</v>
      </c>
      <c r="D10132" s="691">
        <v>34.6</v>
      </c>
      <c r="E10132" s="691">
        <v>34.9</v>
      </c>
      <c r="F10132" s="691">
        <v>34.9</v>
      </c>
      <c r="G10132" s="615">
        <v>35</v>
      </c>
      <c r="H10132" s="692" t="s">
        <v>4060</v>
      </c>
      <c r="I10132" s="692" t="s">
        <v>4060</v>
      </c>
      <c r="J10132" s="692" t="s">
        <v>4060</v>
      </c>
      <c r="K10132" s="692" t="s">
        <v>4060</v>
      </c>
    </row>
    <row r="10133" spans="1:11">
      <c r="A10133" s="688" t="s">
        <v>4062</v>
      </c>
      <c r="B10133" s="689">
        <v>36.700000000000003</v>
      </c>
      <c r="C10133" s="689">
        <v>36.9</v>
      </c>
      <c r="D10133" s="689">
        <v>36.9</v>
      </c>
      <c r="E10133" s="689">
        <v>37.299999999999997</v>
      </c>
      <c r="F10133" s="689">
        <v>37.4</v>
      </c>
      <c r="G10133" s="689">
        <v>37.700000000000003</v>
      </c>
      <c r="H10133" s="689">
        <v>37.799999999999997</v>
      </c>
      <c r="I10133" s="689">
        <v>37.4</v>
      </c>
      <c r="J10133" s="689">
        <v>37.799999999999997</v>
      </c>
      <c r="K10133" s="689">
        <v>37.6</v>
      </c>
    </row>
    <row r="10134" spans="1:11">
      <c r="A10134" s="688" t="s">
        <v>9</v>
      </c>
      <c r="B10134" s="691">
        <v>36.9</v>
      </c>
      <c r="C10134" s="691">
        <v>37.200000000000003</v>
      </c>
      <c r="D10134" s="691">
        <v>37.6</v>
      </c>
      <c r="E10134" s="691">
        <v>36.9</v>
      </c>
      <c r="F10134" s="691">
        <v>37.4</v>
      </c>
      <c r="G10134" s="691">
        <v>37.799999999999997</v>
      </c>
      <c r="H10134" s="691">
        <v>37.799999999999997</v>
      </c>
      <c r="I10134" s="615">
        <v>38</v>
      </c>
      <c r="J10134" s="691">
        <v>38.299999999999997</v>
      </c>
      <c r="K10134" s="691">
        <v>37.1</v>
      </c>
    </row>
    <row r="10135" spans="1:11">
      <c r="A10135" s="688" t="s">
        <v>13</v>
      </c>
      <c r="B10135" s="689">
        <v>36.4</v>
      </c>
      <c r="C10135" s="689">
        <v>36.799999999999997</v>
      </c>
      <c r="D10135" s="689">
        <v>37.299999999999997</v>
      </c>
      <c r="E10135" s="693">
        <v>36</v>
      </c>
      <c r="F10135" s="689">
        <v>37.299999999999997</v>
      </c>
      <c r="G10135" s="693">
        <v>37</v>
      </c>
      <c r="H10135" s="693">
        <v>38</v>
      </c>
      <c r="I10135" s="689">
        <v>36.799999999999997</v>
      </c>
      <c r="J10135" s="689">
        <v>37.799999999999997</v>
      </c>
      <c r="K10135" s="689">
        <v>38.9</v>
      </c>
    </row>
    <row r="10136" spans="1:11">
      <c r="A10136" s="688" t="s">
        <v>18</v>
      </c>
      <c r="B10136" s="691">
        <v>36.200000000000003</v>
      </c>
      <c r="C10136" s="691">
        <v>36.4</v>
      </c>
      <c r="D10136" s="691">
        <v>36.6</v>
      </c>
      <c r="E10136" s="691">
        <v>36.9</v>
      </c>
      <c r="F10136" s="691">
        <v>37.1</v>
      </c>
      <c r="G10136" s="691">
        <v>37.299999999999997</v>
      </c>
      <c r="H10136" s="691">
        <v>37.5</v>
      </c>
      <c r="I10136" s="691">
        <v>37.700000000000003</v>
      </c>
      <c r="J10136" s="691">
        <v>37.700000000000003</v>
      </c>
      <c r="K10136" s="691">
        <v>37.200000000000003</v>
      </c>
    </row>
    <row r="10137" spans="1:11">
      <c r="A10137" s="688" t="s">
        <v>24</v>
      </c>
      <c r="B10137" s="693">
        <v>37</v>
      </c>
      <c r="C10137" s="689">
        <v>37.200000000000003</v>
      </c>
      <c r="D10137" s="693">
        <v>37</v>
      </c>
      <c r="E10137" s="689">
        <v>37.6</v>
      </c>
      <c r="F10137" s="689">
        <v>37.6</v>
      </c>
      <c r="G10137" s="689">
        <v>37.9</v>
      </c>
      <c r="H10137" s="693">
        <v>38</v>
      </c>
      <c r="I10137" s="689">
        <v>37.200000000000003</v>
      </c>
      <c r="J10137" s="689">
        <v>37.799999999999997</v>
      </c>
      <c r="K10137" s="689">
        <v>37.799999999999997</v>
      </c>
    </row>
    <row r="10138" spans="1:11">
      <c r="A10138" s="688" t="s">
        <v>4059</v>
      </c>
      <c r="B10138" s="691">
        <v>35.799999999999997</v>
      </c>
      <c r="C10138" s="691">
        <v>36.1</v>
      </c>
      <c r="D10138" s="691">
        <v>35.9</v>
      </c>
      <c r="E10138" s="691">
        <v>36.1</v>
      </c>
      <c r="F10138" s="691">
        <v>36.1</v>
      </c>
      <c r="G10138" s="691">
        <v>36.1</v>
      </c>
      <c r="H10138" s="692" t="s">
        <v>4060</v>
      </c>
      <c r="I10138" s="692" t="s">
        <v>4060</v>
      </c>
      <c r="J10138" s="692" t="s">
        <v>4060</v>
      </c>
      <c r="K10138" s="692" t="s">
        <v>4060</v>
      </c>
    </row>
    <row r="10139" spans="1:11">
      <c r="A10139" s="688" t="s">
        <v>2324</v>
      </c>
      <c r="B10139" s="689">
        <v>30.9</v>
      </c>
      <c r="C10139" s="689">
        <v>30.9</v>
      </c>
      <c r="D10139" s="689">
        <v>30.8</v>
      </c>
      <c r="E10139" s="689">
        <v>30.6</v>
      </c>
      <c r="F10139" s="689">
        <v>30.8</v>
      </c>
      <c r="G10139" s="689">
        <v>31.1</v>
      </c>
      <c r="H10139" s="689">
        <v>30.8</v>
      </c>
      <c r="I10139" s="689">
        <v>29.8</v>
      </c>
      <c r="J10139" s="689">
        <v>27.5</v>
      </c>
      <c r="K10139" s="690" t="s">
        <v>4060</v>
      </c>
    </row>
    <row r="10140" spans="1:11">
      <c r="A10140" s="688" t="s">
        <v>2322</v>
      </c>
      <c r="B10140" s="692" t="s">
        <v>4060</v>
      </c>
      <c r="C10140" s="692" t="s">
        <v>4060</v>
      </c>
      <c r="D10140" s="692" t="s">
        <v>4060</v>
      </c>
      <c r="E10140" s="692" t="s">
        <v>4060</v>
      </c>
      <c r="F10140" s="692" t="s">
        <v>4060</v>
      </c>
      <c r="G10140" s="692" t="s">
        <v>4060</v>
      </c>
      <c r="H10140" s="692" t="s">
        <v>4060</v>
      </c>
      <c r="I10140" s="692" t="s">
        <v>4060</v>
      </c>
      <c r="J10140" s="692" t="s">
        <v>4060</v>
      </c>
      <c r="K10140" s="692" t="s">
        <v>4060</v>
      </c>
    </row>
    <row r="10141" spans="1:11">
      <c r="A10141" s="688" t="s">
        <v>2328</v>
      </c>
      <c r="B10141" s="689">
        <v>30.5</v>
      </c>
      <c r="C10141" s="689">
        <v>30.5</v>
      </c>
      <c r="D10141" s="689">
        <v>30.5</v>
      </c>
      <c r="E10141" s="689">
        <v>30.7</v>
      </c>
      <c r="F10141" s="693">
        <v>31</v>
      </c>
      <c r="G10141" s="689">
        <v>31.3</v>
      </c>
      <c r="H10141" s="689">
        <v>31.3</v>
      </c>
      <c r="I10141" s="689">
        <v>28.8</v>
      </c>
      <c r="J10141" s="693">
        <v>28</v>
      </c>
      <c r="K10141" s="690" t="s">
        <v>4060</v>
      </c>
    </row>
    <row r="10142" spans="1:11">
      <c r="A10142" s="688" t="s">
        <v>2496</v>
      </c>
      <c r="B10142" s="692" t="s">
        <v>4060</v>
      </c>
      <c r="C10142" s="691">
        <v>28.3</v>
      </c>
      <c r="D10142" s="691">
        <v>27.2</v>
      </c>
      <c r="E10142" s="615">
        <v>27</v>
      </c>
      <c r="F10142" s="691">
        <v>27.7</v>
      </c>
      <c r="G10142" s="615">
        <v>28</v>
      </c>
      <c r="H10142" s="691">
        <v>27.9</v>
      </c>
      <c r="I10142" s="692" t="s">
        <v>4060</v>
      </c>
      <c r="J10142" s="692" t="s">
        <v>4060</v>
      </c>
      <c r="K10142" s="691">
        <v>27.4</v>
      </c>
    </row>
    <row r="10143" spans="1:11">
      <c r="A10143" s="688" t="s">
        <v>2269</v>
      </c>
      <c r="B10143" s="689">
        <v>33.700000000000003</v>
      </c>
      <c r="C10143" s="689">
        <v>33.799999999999997</v>
      </c>
      <c r="D10143" s="689">
        <v>33.5</v>
      </c>
      <c r="E10143" s="689">
        <v>34.200000000000003</v>
      </c>
      <c r="F10143" s="689">
        <v>34.200000000000003</v>
      </c>
      <c r="G10143" s="689">
        <v>34.5</v>
      </c>
      <c r="H10143" s="689">
        <v>34.799999999999997</v>
      </c>
      <c r="I10143" s="689">
        <v>32.4</v>
      </c>
      <c r="J10143" s="689">
        <v>30.6</v>
      </c>
      <c r="K10143" s="689">
        <v>34.299999999999997</v>
      </c>
    </row>
    <row r="10144" spans="1:11">
      <c r="A10144" s="688" t="s">
        <v>2349</v>
      </c>
      <c r="B10144" s="691">
        <v>29.7</v>
      </c>
      <c r="C10144" s="691">
        <v>29.8</v>
      </c>
      <c r="D10144" s="691">
        <v>29.7</v>
      </c>
      <c r="E10144" s="691">
        <v>30.1</v>
      </c>
      <c r="F10144" s="691">
        <v>30.1</v>
      </c>
      <c r="G10144" s="691">
        <v>30.3</v>
      </c>
      <c r="H10144" s="691">
        <v>30.3</v>
      </c>
      <c r="I10144" s="691">
        <v>28.5</v>
      </c>
      <c r="J10144" s="691">
        <v>27.1</v>
      </c>
      <c r="K10144" s="691">
        <v>29.6</v>
      </c>
    </row>
    <row r="10145" spans="1:11">
      <c r="A10145" s="688" t="s">
        <v>2355</v>
      </c>
      <c r="B10145" s="693">
        <v>33</v>
      </c>
      <c r="C10145" s="693">
        <v>33</v>
      </c>
      <c r="D10145" s="689">
        <v>32.9</v>
      </c>
      <c r="E10145" s="689">
        <v>32.9</v>
      </c>
      <c r="F10145" s="689">
        <v>33.1</v>
      </c>
      <c r="G10145" s="689">
        <v>33.5</v>
      </c>
      <c r="H10145" s="689">
        <v>33.6</v>
      </c>
      <c r="I10145" s="690" t="s">
        <v>4060</v>
      </c>
      <c r="J10145" s="690" t="s">
        <v>4060</v>
      </c>
      <c r="K10145" s="690" t="s">
        <v>4060</v>
      </c>
    </row>
    <row r="10146" spans="1:11">
      <c r="A10146" s="688" t="s">
        <v>2357</v>
      </c>
      <c r="B10146" s="692" t="s">
        <v>4060</v>
      </c>
      <c r="C10146" s="691">
        <v>26.3</v>
      </c>
      <c r="D10146" s="691">
        <v>26.7</v>
      </c>
      <c r="E10146" s="615">
        <v>27</v>
      </c>
      <c r="F10146" s="691">
        <v>27.3</v>
      </c>
      <c r="G10146" s="615">
        <v>27</v>
      </c>
      <c r="H10146" s="691">
        <v>27.2</v>
      </c>
      <c r="I10146" s="692" t="s">
        <v>4060</v>
      </c>
      <c r="J10146" s="692" t="s">
        <v>4060</v>
      </c>
      <c r="K10146" s="692" t="s">
        <v>4060</v>
      </c>
    </row>
    <row r="10147" spans="1:11">
      <c r="A10147" s="688" t="s">
        <v>4070</v>
      </c>
      <c r="B10147" s="690" t="s">
        <v>4060</v>
      </c>
      <c r="C10147" s="690" t="s">
        <v>4060</v>
      </c>
      <c r="D10147" s="690" t="s">
        <v>4060</v>
      </c>
      <c r="E10147" s="689">
        <v>32.4</v>
      </c>
      <c r="F10147" s="690" t="s">
        <v>4060</v>
      </c>
      <c r="G10147" s="690" t="s">
        <v>4060</v>
      </c>
      <c r="H10147" s="690" t="s">
        <v>4060</v>
      </c>
      <c r="I10147" s="690" t="s">
        <v>4060</v>
      </c>
      <c r="J10147" s="690" t="s">
        <v>4060</v>
      </c>
      <c r="K10147" s="690" t="s">
        <v>4060</v>
      </c>
    </row>
    <row r="10148" spans="1:11">
      <c r="A10148" s="688" t="s">
        <v>2491</v>
      </c>
      <c r="B10148" s="691">
        <v>25.9</v>
      </c>
      <c r="C10148" s="691">
        <v>26.3</v>
      </c>
      <c r="D10148" s="691">
        <v>26.7</v>
      </c>
      <c r="E10148" s="691">
        <v>26.9</v>
      </c>
      <c r="F10148" s="615">
        <v>27</v>
      </c>
      <c r="G10148" s="691">
        <v>26.9</v>
      </c>
      <c r="H10148" s="692" t="s">
        <v>4060</v>
      </c>
      <c r="I10148" s="692" t="s">
        <v>4060</v>
      </c>
      <c r="J10148" s="692" t="s">
        <v>4060</v>
      </c>
      <c r="K10148" s="692" t="s">
        <v>4060</v>
      </c>
    </row>
    <row r="10149" spans="1:11">
      <c r="A10149" s="688" t="s">
        <v>2343</v>
      </c>
      <c r="B10149" s="690" t="s">
        <v>4060</v>
      </c>
      <c r="C10149" s="690" t="s">
        <v>4060</v>
      </c>
      <c r="D10149" s="690" t="s">
        <v>4060</v>
      </c>
      <c r="E10149" s="690" t="s">
        <v>4060</v>
      </c>
      <c r="F10149" s="690" t="s">
        <v>4060</v>
      </c>
      <c r="G10149" s="690" t="s">
        <v>4060</v>
      </c>
      <c r="H10149" s="690" t="s">
        <v>4060</v>
      </c>
      <c r="I10149" s="690" t="s">
        <v>4060</v>
      </c>
      <c r="J10149" s="690" t="s">
        <v>4060</v>
      </c>
      <c r="K10149" s="690" t="s">
        <v>4060</v>
      </c>
    </row>
    <row r="10150" spans="1:11">
      <c r="A10150" s="688" t="s">
        <v>4071</v>
      </c>
      <c r="B10150" s="692" t="s">
        <v>4060</v>
      </c>
      <c r="C10150" s="692" t="s">
        <v>4060</v>
      </c>
      <c r="D10150" s="692" t="s">
        <v>4060</v>
      </c>
      <c r="E10150" s="692" t="s">
        <v>4060</v>
      </c>
      <c r="F10150" s="692" t="s">
        <v>4060</v>
      </c>
      <c r="G10150" s="692" t="s">
        <v>4060</v>
      </c>
      <c r="H10150" s="692" t="s">
        <v>4060</v>
      </c>
      <c r="I10150" s="692" t="s">
        <v>4060</v>
      </c>
      <c r="J10150" s="692" t="s">
        <v>4060</v>
      </c>
      <c r="K10150" s="692" t="s">
        <v>4060</v>
      </c>
    </row>
    <row r="10151" spans="1:11">
      <c r="A10151" s="688" t="s">
        <v>2489</v>
      </c>
      <c r="B10151" s="690" t="s">
        <v>4060</v>
      </c>
      <c r="C10151" s="690" t="s">
        <v>4060</v>
      </c>
      <c r="D10151" s="689">
        <v>29.4</v>
      </c>
      <c r="E10151" s="689">
        <v>29.4</v>
      </c>
      <c r="F10151" s="689">
        <v>29.8</v>
      </c>
      <c r="G10151" s="689">
        <v>30.7</v>
      </c>
      <c r="H10151" s="689">
        <v>30.3</v>
      </c>
      <c r="I10151" s="690" t="s">
        <v>4060</v>
      </c>
      <c r="J10151" s="690" t="s">
        <v>4060</v>
      </c>
      <c r="K10151" s="690" t="s">
        <v>4060</v>
      </c>
    </row>
    <row r="10152" spans="1:11">
      <c r="A10152" s="688" t="s">
        <v>2490</v>
      </c>
      <c r="B10152" s="691">
        <v>30.1</v>
      </c>
      <c r="C10152" s="691">
        <v>30.2</v>
      </c>
      <c r="D10152" s="691">
        <v>30.9</v>
      </c>
      <c r="E10152" s="692" t="s">
        <v>4060</v>
      </c>
      <c r="F10152" s="691">
        <v>31.1</v>
      </c>
      <c r="G10152" s="691">
        <v>31.3</v>
      </c>
      <c r="H10152" s="691">
        <v>32.200000000000003</v>
      </c>
      <c r="I10152" s="692" t="s">
        <v>4060</v>
      </c>
      <c r="J10152" s="692" t="s">
        <v>4060</v>
      </c>
      <c r="K10152" s="692" t="s">
        <v>4060</v>
      </c>
    </row>
    <row r="10154" spans="1:11">
      <c r="A10154" s="683" t="s">
        <v>4233</v>
      </c>
    </row>
    <row r="10155" spans="1:11">
      <c r="A10155" s="683" t="s">
        <v>4060</v>
      </c>
      <c r="B10155" s="682" t="s">
        <v>4234</v>
      </c>
    </row>
    <row r="10157" spans="1:11">
      <c r="A10157" s="682" t="s">
        <v>4331</v>
      </c>
    </row>
    <row r="10158" spans="1:11">
      <c r="A10158" s="682" t="s">
        <v>4210</v>
      </c>
      <c r="B10158" s="683" t="s">
        <v>4211</v>
      </c>
    </row>
    <row r="10159" spans="1:11">
      <c r="A10159" s="682" t="s">
        <v>4212</v>
      </c>
      <c r="B10159" s="682" t="s">
        <v>4213</v>
      </c>
    </row>
    <row r="10161" spans="1:11">
      <c r="A10161" s="683" t="s">
        <v>4214</v>
      </c>
      <c r="C10161" s="682" t="s">
        <v>4215</v>
      </c>
    </row>
    <row r="10162" spans="1:11">
      <c r="A10162" s="683" t="s">
        <v>4216</v>
      </c>
      <c r="C10162" s="682" t="s">
        <v>2967</v>
      </c>
    </row>
    <row r="10163" spans="1:11">
      <c r="A10163" s="683" t="s">
        <v>3893</v>
      </c>
      <c r="C10163" s="682" t="s">
        <v>2168</v>
      </c>
    </row>
    <row r="10164" spans="1:11">
      <c r="A10164" s="683" t="s">
        <v>4218</v>
      </c>
      <c r="C10164" s="682" t="s">
        <v>4281</v>
      </c>
    </row>
    <row r="10166" spans="1:11">
      <c r="A10166" s="684" t="s">
        <v>4220</v>
      </c>
      <c r="B10166" s="685" t="s">
        <v>4221</v>
      </c>
      <c r="C10166" s="685" t="s">
        <v>4222</v>
      </c>
      <c r="D10166" s="685" t="s">
        <v>4223</v>
      </c>
      <c r="E10166" s="685" t="s">
        <v>4224</v>
      </c>
      <c r="F10166" s="685" t="s">
        <v>4225</v>
      </c>
      <c r="G10166" s="685" t="s">
        <v>4226</v>
      </c>
      <c r="H10166" s="685" t="s">
        <v>4227</v>
      </c>
      <c r="I10166" s="685" t="s">
        <v>4228</v>
      </c>
      <c r="J10166" s="685" t="s">
        <v>4229</v>
      </c>
      <c r="K10166" s="685" t="s">
        <v>4230</v>
      </c>
    </row>
    <row r="10167" spans="1:11">
      <c r="A10167" s="686" t="s">
        <v>4231</v>
      </c>
      <c r="B10167" s="687" t="s">
        <v>4232</v>
      </c>
      <c r="C10167" s="687" t="s">
        <v>4232</v>
      </c>
      <c r="D10167" s="687" t="s">
        <v>4232</v>
      </c>
      <c r="E10167" s="687" t="s">
        <v>4232</v>
      </c>
      <c r="F10167" s="687" t="s">
        <v>4232</v>
      </c>
      <c r="G10167" s="687" t="s">
        <v>4232</v>
      </c>
      <c r="H10167" s="687" t="s">
        <v>4232</v>
      </c>
      <c r="I10167" s="687" t="s">
        <v>4232</v>
      </c>
      <c r="J10167" s="687" t="s">
        <v>4232</v>
      </c>
      <c r="K10167" s="687" t="s">
        <v>4232</v>
      </c>
    </row>
    <row r="10168" spans="1:11">
      <c r="A10168" s="688" t="s">
        <v>4064</v>
      </c>
      <c r="B10168" s="691">
        <v>33.299999999999997</v>
      </c>
      <c r="C10168" s="691">
        <v>33.4</v>
      </c>
      <c r="D10168" s="691">
        <v>33.4</v>
      </c>
      <c r="E10168" s="691">
        <v>33.5</v>
      </c>
      <c r="F10168" s="691">
        <v>33.6</v>
      </c>
      <c r="G10168" s="691">
        <v>33.700000000000003</v>
      </c>
      <c r="H10168" s="615">
        <v>34</v>
      </c>
      <c r="I10168" s="691">
        <v>33.1</v>
      </c>
      <c r="J10168" s="691">
        <v>32.799999999999997</v>
      </c>
      <c r="K10168" s="691">
        <v>33.5</v>
      </c>
    </row>
    <row r="10169" spans="1:11">
      <c r="A10169" s="688" t="s">
        <v>4065</v>
      </c>
      <c r="B10169" s="689">
        <v>33.5</v>
      </c>
      <c r="C10169" s="689">
        <v>33.799999999999997</v>
      </c>
      <c r="D10169" s="689">
        <v>33.6</v>
      </c>
      <c r="E10169" s="689">
        <v>33.9</v>
      </c>
      <c r="F10169" s="689">
        <v>33.9</v>
      </c>
      <c r="G10169" s="693">
        <v>34</v>
      </c>
      <c r="H10169" s="690" t="s">
        <v>4060</v>
      </c>
      <c r="I10169" s="690" t="s">
        <v>4060</v>
      </c>
      <c r="J10169" s="690" t="s">
        <v>4060</v>
      </c>
      <c r="K10169" s="690" t="s">
        <v>4060</v>
      </c>
    </row>
    <row r="10170" spans="1:11">
      <c r="A10170" s="688" t="s">
        <v>4063</v>
      </c>
      <c r="B10170" s="691">
        <v>33.5</v>
      </c>
      <c r="C10170" s="691">
        <v>33.799999999999997</v>
      </c>
      <c r="D10170" s="691">
        <v>33.6</v>
      </c>
      <c r="E10170" s="691">
        <v>33.9</v>
      </c>
      <c r="F10170" s="615">
        <v>34</v>
      </c>
      <c r="G10170" s="691">
        <v>34.1</v>
      </c>
      <c r="H10170" s="692" t="s">
        <v>4060</v>
      </c>
      <c r="I10170" s="692" t="s">
        <v>4060</v>
      </c>
      <c r="J10170" s="692" t="s">
        <v>4060</v>
      </c>
      <c r="K10170" s="692" t="s">
        <v>4060</v>
      </c>
    </row>
    <row r="10171" spans="1:11">
      <c r="A10171" s="688" t="s">
        <v>4069</v>
      </c>
      <c r="B10171" s="690" t="s">
        <v>4060</v>
      </c>
      <c r="C10171" s="689">
        <v>34.4</v>
      </c>
      <c r="D10171" s="689">
        <v>34.200000000000003</v>
      </c>
      <c r="E10171" s="689">
        <v>34.5</v>
      </c>
      <c r="F10171" s="689">
        <v>34.6</v>
      </c>
      <c r="G10171" s="689">
        <v>34.700000000000003</v>
      </c>
      <c r="H10171" s="693">
        <v>35</v>
      </c>
      <c r="I10171" s="689">
        <v>34.299999999999997</v>
      </c>
      <c r="J10171" s="689">
        <v>34.299999999999997</v>
      </c>
      <c r="K10171" s="689">
        <v>34.5</v>
      </c>
    </row>
    <row r="10172" spans="1:11">
      <c r="A10172" s="688" t="s">
        <v>4068</v>
      </c>
      <c r="B10172" s="691">
        <v>34.299999999999997</v>
      </c>
      <c r="C10172" s="692" t="s">
        <v>4060</v>
      </c>
      <c r="D10172" s="692" t="s">
        <v>4060</v>
      </c>
      <c r="E10172" s="692" t="s">
        <v>4060</v>
      </c>
      <c r="F10172" s="692" t="s">
        <v>4060</v>
      </c>
      <c r="G10172" s="692" t="s">
        <v>4060</v>
      </c>
      <c r="H10172" s="692" t="s">
        <v>4060</v>
      </c>
      <c r="I10172" s="692" t="s">
        <v>4060</v>
      </c>
      <c r="J10172" s="692" t="s">
        <v>4060</v>
      </c>
      <c r="K10172" s="692" t="s">
        <v>4060</v>
      </c>
    </row>
    <row r="10173" spans="1:11">
      <c r="A10173" s="688" t="s">
        <v>0</v>
      </c>
      <c r="B10173" s="689">
        <v>33.799999999999997</v>
      </c>
      <c r="C10173" s="689">
        <v>34.299999999999997</v>
      </c>
      <c r="D10173" s="689">
        <v>34.200000000000003</v>
      </c>
      <c r="E10173" s="689">
        <v>34.4</v>
      </c>
      <c r="F10173" s="689">
        <v>34.6</v>
      </c>
      <c r="G10173" s="689">
        <v>34.799999999999997</v>
      </c>
      <c r="H10173" s="689">
        <v>35.1</v>
      </c>
      <c r="I10173" s="693">
        <v>34</v>
      </c>
      <c r="J10173" s="689">
        <v>34.799999999999997</v>
      </c>
      <c r="K10173" s="689">
        <v>35.1</v>
      </c>
    </row>
    <row r="10174" spans="1:11">
      <c r="A10174" s="688" t="s">
        <v>1</v>
      </c>
      <c r="B10174" s="691">
        <v>28.1</v>
      </c>
      <c r="C10174" s="691">
        <v>27.8</v>
      </c>
      <c r="D10174" s="691">
        <v>27.8</v>
      </c>
      <c r="E10174" s="691">
        <v>27.9</v>
      </c>
      <c r="F10174" s="691">
        <v>27.9</v>
      </c>
      <c r="G10174" s="691">
        <v>27.9</v>
      </c>
      <c r="H10174" s="615">
        <v>28</v>
      </c>
      <c r="I10174" s="691">
        <v>26.3</v>
      </c>
      <c r="J10174" s="691">
        <v>24.7</v>
      </c>
      <c r="K10174" s="691">
        <v>27.1</v>
      </c>
    </row>
    <row r="10175" spans="1:11">
      <c r="A10175" s="688" t="s">
        <v>2240</v>
      </c>
      <c r="B10175" s="693">
        <v>31</v>
      </c>
      <c r="C10175" s="689">
        <v>31.4</v>
      </c>
      <c r="D10175" s="689">
        <v>31.3</v>
      </c>
      <c r="E10175" s="689">
        <v>31.7</v>
      </c>
      <c r="F10175" s="689">
        <v>31.7</v>
      </c>
      <c r="G10175" s="689">
        <v>31.8</v>
      </c>
      <c r="H10175" s="693">
        <v>32</v>
      </c>
      <c r="I10175" s="689">
        <v>30.9</v>
      </c>
      <c r="J10175" s="689">
        <v>29.8</v>
      </c>
      <c r="K10175" s="689">
        <v>31.8</v>
      </c>
    </row>
    <row r="10176" spans="1:11">
      <c r="A10176" s="688" t="s">
        <v>2</v>
      </c>
      <c r="B10176" s="691">
        <v>33.700000000000003</v>
      </c>
      <c r="C10176" s="615">
        <v>34</v>
      </c>
      <c r="D10176" s="691">
        <v>34.1</v>
      </c>
      <c r="E10176" s="691">
        <v>34.299999999999997</v>
      </c>
      <c r="F10176" s="691">
        <v>34.4</v>
      </c>
      <c r="G10176" s="691">
        <v>34.4</v>
      </c>
      <c r="H10176" s="691">
        <v>34.700000000000003</v>
      </c>
      <c r="I10176" s="691">
        <v>34.9</v>
      </c>
      <c r="J10176" s="691">
        <v>34.799999999999997</v>
      </c>
      <c r="K10176" s="691">
        <v>34.700000000000003</v>
      </c>
    </row>
    <row r="10177" spans="1:11">
      <c r="A10177" s="688" t="s">
        <v>3</v>
      </c>
      <c r="B10177" s="689">
        <v>33.6</v>
      </c>
      <c r="C10177" s="689">
        <v>33.9</v>
      </c>
      <c r="D10177" s="689">
        <v>33.6</v>
      </c>
      <c r="E10177" s="689">
        <v>33.9</v>
      </c>
      <c r="F10177" s="693">
        <v>34</v>
      </c>
      <c r="G10177" s="689">
        <v>33.9</v>
      </c>
      <c r="H10177" s="689">
        <v>34.200000000000003</v>
      </c>
      <c r="I10177" s="693">
        <v>34</v>
      </c>
      <c r="J10177" s="689">
        <v>33.6</v>
      </c>
      <c r="K10177" s="689">
        <v>33.6</v>
      </c>
    </row>
    <row r="10178" spans="1:11">
      <c r="A10178" s="688" t="s">
        <v>4061</v>
      </c>
      <c r="B10178" s="691">
        <v>33.6</v>
      </c>
      <c r="C10178" s="691">
        <v>33.9</v>
      </c>
      <c r="D10178" s="691">
        <v>33.6</v>
      </c>
      <c r="E10178" s="691">
        <v>33.9</v>
      </c>
      <c r="F10178" s="615">
        <v>34</v>
      </c>
      <c r="G10178" s="691">
        <v>33.9</v>
      </c>
      <c r="H10178" s="691">
        <v>34.200000000000003</v>
      </c>
      <c r="I10178" s="615">
        <v>34</v>
      </c>
      <c r="J10178" s="691">
        <v>33.6</v>
      </c>
      <c r="K10178" s="691">
        <v>33.6</v>
      </c>
    </row>
    <row r="10179" spans="1:11">
      <c r="A10179" s="688" t="s">
        <v>4</v>
      </c>
      <c r="B10179" s="689">
        <v>29.4</v>
      </c>
      <c r="C10179" s="689">
        <v>29.1</v>
      </c>
      <c r="D10179" s="689">
        <v>29.7</v>
      </c>
      <c r="E10179" s="689">
        <v>29.7</v>
      </c>
      <c r="F10179" s="693">
        <v>30</v>
      </c>
      <c r="G10179" s="693">
        <v>30</v>
      </c>
      <c r="H10179" s="689">
        <v>30.4</v>
      </c>
      <c r="I10179" s="689">
        <v>30.3</v>
      </c>
      <c r="J10179" s="693">
        <v>29</v>
      </c>
      <c r="K10179" s="689">
        <v>29.8</v>
      </c>
    </row>
    <row r="10180" spans="1:11">
      <c r="A10180" s="688" t="s">
        <v>8</v>
      </c>
      <c r="B10180" s="691">
        <v>34.6</v>
      </c>
      <c r="C10180" s="691">
        <v>34.9</v>
      </c>
      <c r="D10180" s="615">
        <v>35</v>
      </c>
      <c r="E10180" s="691">
        <v>35.1</v>
      </c>
      <c r="F10180" s="691">
        <v>35.6</v>
      </c>
      <c r="G10180" s="691">
        <v>35.6</v>
      </c>
      <c r="H10180" s="691">
        <v>35.9</v>
      </c>
      <c r="I10180" s="691">
        <v>35.9</v>
      </c>
      <c r="J10180" s="691">
        <v>35.5</v>
      </c>
      <c r="K10180" s="615">
        <v>36</v>
      </c>
    </row>
    <row r="10181" spans="1:11">
      <c r="A10181" s="688" t="s">
        <v>7</v>
      </c>
      <c r="B10181" s="689">
        <v>34.4</v>
      </c>
      <c r="C10181" s="689">
        <v>33.9</v>
      </c>
      <c r="D10181" s="689">
        <v>33.700000000000003</v>
      </c>
      <c r="E10181" s="693">
        <v>34</v>
      </c>
      <c r="F10181" s="689">
        <v>33.9</v>
      </c>
      <c r="G10181" s="689">
        <v>34.4</v>
      </c>
      <c r="H10181" s="689">
        <v>34.4</v>
      </c>
      <c r="I10181" s="693">
        <v>34</v>
      </c>
      <c r="J10181" s="693">
        <v>33</v>
      </c>
      <c r="K10181" s="689">
        <v>33.799999999999997</v>
      </c>
    </row>
    <row r="10182" spans="1:11">
      <c r="A10182" s="688" t="s">
        <v>27</v>
      </c>
      <c r="B10182" s="691">
        <v>35.4</v>
      </c>
      <c r="C10182" s="691">
        <v>35.299999999999997</v>
      </c>
      <c r="D10182" s="615">
        <v>35</v>
      </c>
      <c r="E10182" s="691">
        <v>35.4</v>
      </c>
      <c r="F10182" s="691">
        <v>35.4</v>
      </c>
      <c r="G10182" s="691">
        <v>35.5</v>
      </c>
      <c r="H10182" s="691">
        <v>35.9</v>
      </c>
      <c r="I10182" s="691">
        <v>34.6</v>
      </c>
      <c r="J10182" s="691">
        <v>35.299999999999997</v>
      </c>
      <c r="K10182" s="691">
        <v>35.6</v>
      </c>
    </row>
    <row r="10183" spans="1:11">
      <c r="A10183" s="688" t="s">
        <v>6</v>
      </c>
      <c r="B10183" s="689">
        <v>34.9</v>
      </c>
      <c r="C10183" s="693">
        <v>35</v>
      </c>
      <c r="D10183" s="689">
        <v>34.9</v>
      </c>
      <c r="E10183" s="689">
        <v>35.1</v>
      </c>
      <c r="F10183" s="689">
        <v>35.200000000000003</v>
      </c>
      <c r="G10183" s="689">
        <v>35.299999999999997</v>
      </c>
      <c r="H10183" s="689">
        <v>35.5</v>
      </c>
      <c r="I10183" s="689">
        <v>34.9</v>
      </c>
      <c r="J10183" s="693">
        <v>35</v>
      </c>
      <c r="K10183" s="689">
        <v>35.200000000000003</v>
      </c>
    </row>
    <row r="10184" spans="1:11">
      <c r="A10184" s="688" t="s">
        <v>4058</v>
      </c>
      <c r="B10184" s="692" t="s">
        <v>4060</v>
      </c>
      <c r="C10184" s="692" t="s">
        <v>4060</v>
      </c>
      <c r="D10184" s="692" t="s">
        <v>4060</v>
      </c>
      <c r="E10184" s="692" t="s">
        <v>4060</v>
      </c>
      <c r="F10184" s="692" t="s">
        <v>4060</v>
      </c>
      <c r="G10184" s="692" t="s">
        <v>4060</v>
      </c>
      <c r="H10184" s="692" t="s">
        <v>4060</v>
      </c>
      <c r="I10184" s="692" t="s">
        <v>4060</v>
      </c>
      <c r="J10184" s="692" t="s">
        <v>4060</v>
      </c>
      <c r="K10184" s="692" t="s">
        <v>4060</v>
      </c>
    </row>
    <row r="10185" spans="1:11">
      <c r="A10185" s="688" t="s">
        <v>11</v>
      </c>
      <c r="B10185" s="689">
        <v>30.3</v>
      </c>
      <c r="C10185" s="689">
        <v>30.4</v>
      </c>
      <c r="D10185" s="689">
        <v>30.1</v>
      </c>
      <c r="E10185" s="689">
        <v>30.6</v>
      </c>
      <c r="F10185" s="689">
        <v>30.6</v>
      </c>
      <c r="G10185" s="689">
        <v>30.7</v>
      </c>
      <c r="H10185" s="689">
        <v>31.1</v>
      </c>
      <c r="I10185" s="689">
        <v>30.3</v>
      </c>
      <c r="J10185" s="689">
        <v>29.3</v>
      </c>
      <c r="K10185" s="689">
        <v>30.5</v>
      </c>
    </row>
    <row r="10186" spans="1:11">
      <c r="A10186" s="688" t="s">
        <v>10</v>
      </c>
      <c r="B10186" s="691">
        <v>35.6</v>
      </c>
      <c r="C10186" s="691">
        <v>35.700000000000003</v>
      </c>
      <c r="D10186" s="691">
        <v>35.4</v>
      </c>
      <c r="E10186" s="691">
        <v>35.9</v>
      </c>
      <c r="F10186" s="691">
        <v>35.799999999999997</v>
      </c>
      <c r="G10186" s="691">
        <v>36.1</v>
      </c>
      <c r="H10186" s="691">
        <v>36.299999999999997</v>
      </c>
      <c r="I10186" s="615">
        <v>35</v>
      </c>
      <c r="J10186" s="691">
        <v>35.5</v>
      </c>
      <c r="K10186" s="691">
        <v>35.799999999999997</v>
      </c>
    </row>
    <row r="10187" spans="1:11">
      <c r="A10187" s="688" t="s">
        <v>30</v>
      </c>
      <c r="B10187" s="689">
        <v>35.5</v>
      </c>
      <c r="C10187" s="689">
        <v>35.6</v>
      </c>
      <c r="D10187" s="689">
        <v>35.4</v>
      </c>
      <c r="E10187" s="689">
        <v>35.799999999999997</v>
      </c>
      <c r="F10187" s="689">
        <v>35.5</v>
      </c>
      <c r="G10187" s="689">
        <v>36.299999999999997</v>
      </c>
      <c r="H10187" s="693">
        <v>36</v>
      </c>
      <c r="I10187" s="693">
        <v>36</v>
      </c>
      <c r="J10187" s="689">
        <v>35.200000000000003</v>
      </c>
      <c r="K10187" s="689">
        <v>35.6</v>
      </c>
    </row>
    <row r="10188" spans="1:11">
      <c r="A10188" s="688" t="s">
        <v>12</v>
      </c>
      <c r="B10188" s="691">
        <v>26.8</v>
      </c>
      <c r="C10188" s="691">
        <v>26.8</v>
      </c>
      <c r="D10188" s="691">
        <v>27.3</v>
      </c>
      <c r="E10188" s="691">
        <v>27.3</v>
      </c>
      <c r="F10188" s="691">
        <v>27.3</v>
      </c>
      <c r="G10188" s="691">
        <v>27.4</v>
      </c>
      <c r="H10188" s="615">
        <v>28</v>
      </c>
      <c r="I10188" s="691">
        <v>27.6</v>
      </c>
      <c r="J10188" s="691">
        <v>25.5</v>
      </c>
      <c r="K10188" s="691">
        <v>26.7</v>
      </c>
    </row>
    <row r="10189" spans="1:11">
      <c r="A10189" s="688" t="s">
        <v>14</v>
      </c>
      <c r="B10189" s="689">
        <v>26.7</v>
      </c>
      <c r="C10189" s="689">
        <v>27.2</v>
      </c>
      <c r="D10189" s="693">
        <v>27</v>
      </c>
      <c r="E10189" s="689">
        <v>27.1</v>
      </c>
      <c r="F10189" s="693">
        <v>28</v>
      </c>
      <c r="G10189" s="689">
        <v>28.2</v>
      </c>
      <c r="H10189" s="689">
        <v>28.5</v>
      </c>
      <c r="I10189" s="689">
        <v>27.1</v>
      </c>
      <c r="J10189" s="689">
        <v>26.7</v>
      </c>
      <c r="K10189" s="693">
        <v>28</v>
      </c>
    </row>
    <row r="10190" spans="1:11">
      <c r="A10190" s="688" t="s">
        <v>15</v>
      </c>
      <c r="B10190" s="691">
        <v>35.1</v>
      </c>
      <c r="C10190" s="691">
        <v>34.5</v>
      </c>
      <c r="D10190" s="691">
        <v>35.200000000000003</v>
      </c>
      <c r="E10190" s="615">
        <v>35</v>
      </c>
      <c r="F10190" s="615">
        <v>35</v>
      </c>
      <c r="G10190" s="691">
        <v>35.1</v>
      </c>
      <c r="H10190" s="691">
        <v>35.5</v>
      </c>
      <c r="I10190" s="615">
        <v>35</v>
      </c>
      <c r="J10190" s="691">
        <v>35.4</v>
      </c>
      <c r="K10190" s="615">
        <v>36</v>
      </c>
    </row>
    <row r="10191" spans="1:11">
      <c r="A10191" s="688" t="s">
        <v>29</v>
      </c>
      <c r="B10191" s="689">
        <v>28.1</v>
      </c>
      <c r="C10191" s="689">
        <v>28.1</v>
      </c>
      <c r="D10191" s="689">
        <v>28.1</v>
      </c>
      <c r="E10191" s="689">
        <v>28.2</v>
      </c>
      <c r="F10191" s="689">
        <v>28.2</v>
      </c>
      <c r="G10191" s="689">
        <v>28.3</v>
      </c>
      <c r="H10191" s="689">
        <v>28.7</v>
      </c>
      <c r="I10191" s="689">
        <v>27.9</v>
      </c>
      <c r="J10191" s="689">
        <v>26.7</v>
      </c>
      <c r="K10191" s="689">
        <v>28.3</v>
      </c>
    </row>
    <row r="10192" spans="1:11">
      <c r="A10192" s="688" t="s">
        <v>16</v>
      </c>
      <c r="B10192" s="691">
        <v>35.1</v>
      </c>
      <c r="C10192" s="691">
        <v>35.1</v>
      </c>
      <c r="D10192" s="691">
        <v>35.200000000000003</v>
      </c>
      <c r="E10192" s="691">
        <v>35.9</v>
      </c>
      <c r="F10192" s="691">
        <v>35.700000000000003</v>
      </c>
      <c r="G10192" s="691">
        <v>35.5</v>
      </c>
      <c r="H10192" s="615">
        <v>36</v>
      </c>
      <c r="I10192" s="691">
        <v>35.1</v>
      </c>
      <c r="J10192" s="691">
        <v>35.5</v>
      </c>
      <c r="K10192" s="691">
        <v>35.6</v>
      </c>
    </row>
    <row r="10193" spans="1:11">
      <c r="A10193" s="688" t="s">
        <v>17</v>
      </c>
      <c r="B10193" s="689">
        <v>34.799999999999997</v>
      </c>
      <c r="C10193" s="689">
        <v>35.200000000000003</v>
      </c>
      <c r="D10193" s="693">
        <v>35</v>
      </c>
      <c r="E10193" s="689">
        <v>35.1</v>
      </c>
      <c r="F10193" s="689">
        <v>35.4</v>
      </c>
      <c r="G10193" s="689">
        <v>35.4</v>
      </c>
      <c r="H10193" s="689">
        <v>35.700000000000003</v>
      </c>
      <c r="I10193" s="693">
        <v>35</v>
      </c>
      <c r="J10193" s="689">
        <v>34.9</v>
      </c>
      <c r="K10193" s="689">
        <v>35.4</v>
      </c>
    </row>
    <row r="10194" spans="1:11">
      <c r="A10194" s="688" t="s">
        <v>19</v>
      </c>
      <c r="B10194" s="691">
        <v>34.200000000000003</v>
      </c>
      <c r="C10194" s="691">
        <v>34.4</v>
      </c>
      <c r="D10194" s="691">
        <v>34.1</v>
      </c>
      <c r="E10194" s="691">
        <v>34.6</v>
      </c>
      <c r="F10194" s="691">
        <v>34.700000000000003</v>
      </c>
      <c r="G10194" s="691">
        <v>34.700000000000003</v>
      </c>
      <c r="H10194" s="615">
        <v>35</v>
      </c>
      <c r="I10194" s="691">
        <v>34.299999999999997</v>
      </c>
      <c r="J10194" s="691">
        <v>34.299999999999997</v>
      </c>
      <c r="K10194" s="691">
        <v>34.5</v>
      </c>
    </row>
    <row r="10195" spans="1:11">
      <c r="A10195" s="688" t="s">
        <v>20</v>
      </c>
      <c r="B10195" s="689">
        <v>29.6</v>
      </c>
      <c r="C10195" s="693">
        <v>30</v>
      </c>
      <c r="D10195" s="689">
        <v>29.8</v>
      </c>
      <c r="E10195" s="689">
        <v>30.1</v>
      </c>
      <c r="F10195" s="689">
        <v>30.1</v>
      </c>
      <c r="G10195" s="689">
        <v>30.1</v>
      </c>
      <c r="H10195" s="689">
        <v>30.4</v>
      </c>
      <c r="I10195" s="689">
        <v>28.8</v>
      </c>
      <c r="J10195" s="693">
        <v>28</v>
      </c>
      <c r="K10195" s="689">
        <v>29.7</v>
      </c>
    </row>
    <row r="10196" spans="1:11">
      <c r="A10196" s="688" t="s">
        <v>21</v>
      </c>
      <c r="B10196" s="691">
        <v>33.299999999999997</v>
      </c>
      <c r="C10196" s="691">
        <v>33.799999999999997</v>
      </c>
      <c r="D10196" s="691">
        <v>33.799999999999997</v>
      </c>
      <c r="E10196" s="691">
        <v>33.799999999999997</v>
      </c>
      <c r="F10196" s="691">
        <v>34.1</v>
      </c>
      <c r="G10196" s="615">
        <v>34</v>
      </c>
      <c r="H10196" s="691">
        <v>34.4</v>
      </c>
      <c r="I10196" s="691">
        <v>33.9</v>
      </c>
      <c r="J10196" s="691">
        <v>33.9</v>
      </c>
      <c r="K10196" s="691">
        <v>34.299999999999997</v>
      </c>
    </row>
    <row r="10197" spans="1:11">
      <c r="A10197" s="688" t="s">
        <v>22</v>
      </c>
      <c r="B10197" s="689">
        <v>28.5</v>
      </c>
      <c r="C10197" s="689">
        <v>28.2</v>
      </c>
      <c r="D10197" s="689">
        <v>28.1</v>
      </c>
      <c r="E10197" s="689">
        <v>28.2</v>
      </c>
      <c r="F10197" s="689">
        <v>28.2</v>
      </c>
      <c r="G10197" s="689">
        <v>28.2</v>
      </c>
      <c r="H10197" s="689">
        <v>28.4</v>
      </c>
      <c r="I10197" s="689">
        <v>26.8</v>
      </c>
      <c r="J10197" s="689">
        <v>25.7</v>
      </c>
      <c r="K10197" s="689">
        <v>27.7</v>
      </c>
    </row>
    <row r="10198" spans="1:11">
      <c r="A10198" s="688" t="s">
        <v>26</v>
      </c>
      <c r="B10198" s="691">
        <v>32.799999999999997</v>
      </c>
      <c r="C10198" s="691">
        <v>33.299999999999997</v>
      </c>
      <c r="D10198" s="691">
        <v>33.1</v>
      </c>
      <c r="E10198" s="691">
        <v>33.5</v>
      </c>
      <c r="F10198" s="691">
        <v>33.299999999999997</v>
      </c>
      <c r="G10198" s="691">
        <v>33.700000000000003</v>
      </c>
      <c r="H10198" s="615">
        <v>34</v>
      </c>
      <c r="I10198" s="691">
        <v>33.1</v>
      </c>
      <c r="J10198" s="615">
        <v>33</v>
      </c>
      <c r="K10198" s="691">
        <v>33.9</v>
      </c>
    </row>
    <row r="10199" spans="1:11">
      <c r="A10199" s="688" t="s">
        <v>25</v>
      </c>
      <c r="B10199" s="689">
        <v>29.1</v>
      </c>
      <c r="C10199" s="689">
        <v>29.5</v>
      </c>
      <c r="D10199" s="689">
        <v>29.4</v>
      </c>
      <c r="E10199" s="689">
        <v>29.9</v>
      </c>
      <c r="F10199" s="689">
        <v>29.9</v>
      </c>
      <c r="G10199" s="693">
        <v>30</v>
      </c>
      <c r="H10199" s="689">
        <v>30.5</v>
      </c>
      <c r="I10199" s="689">
        <v>29.7</v>
      </c>
      <c r="J10199" s="689">
        <v>27.4</v>
      </c>
      <c r="K10199" s="689">
        <v>29.8</v>
      </c>
    </row>
    <row r="10200" spans="1:11">
      <c r="A10200" s="688" t="s">
        <v>5</v>
      </c>
      <c r="B10200" s="691">
        <v>33.9</v>
      </c>
      <c r="C10200" s="615">
        <v>34</v>
      </c>
      <c r="D10200" s="691">
        <v>34.200000000000003</v>
      </c>
      <c r="E10200" s="691">
        <v>34.1</v>
      </c>
      <c r="F10200" s="691">
        <v>34.5</v>
      </c>
      <c r="G10200" s="691">
        <v>34.5</v>
      </c>
      <c r="H10200" s="615">
        <v>35</v>
      </c>
      <c r="I10200" s="691">
        <v>34.799999999999997</v>
      </c>
      <c r="J10200" s="691">
        <v>34.700000000000003</v>
      </c>
      <c r="K10200" s="691">
        <v>34.299999999999997</v>
      </c>
    </row>
    <row r="10201" spans="1:11">
      <c r="A10201" s="688" t="s">
        <v>23</v>
      </c>
      <c r="B10201" s="689">
        <v>35.6</v>
      </c>
      <c r="C10201" s="689">
        <v>35.700000000000003</v>
      </c>
      <c r="D10201" s="689">
        <v>35.700000000000003</v>
      </c>
      <c r="E10201" s="689">
        <v>35.9</v>
      </c>
      <c r="F10201" s="689">
        <v>36.1</v>
      </c>
      <c r="G10201" s="689">
        <v>36.200000000000003</v>
      </c>
      <c r="H10201" s="689">
        <v>36.700000000000003</v>
      </c>
      <c r="I10201" s="689">
        <v>35.9</v>
      </c>
      <c r="J10201" s="689">
        <v>36.5</v>
      </c>
      <c r="K10201" s="689">
        <v>36.700000000000003</v>
      </c>
    </row>
    <row r="10202" spans="1:11">
      <c r="A10202" s="688" t="s">
        <v>4067</v>
      </c>
      <c r="B10202" s="691">
        <v>33.5</v>
      </c>
      <c r="C10202" s="691">
        <v>33.799999999999997</v>
      </c>
      <c r="D10202" s="691">
        <v>33.6</v>
      </c>
      <c r="E10202" s="691">
        <v>33.9</v>
      </c>
      <c r="F10202" s="615">
        <v>34</v>
      </c>
      <c r="G10202" s="691">
        <v>34.1</v>
      </c>
      <c r="H10202" s="692" t="s">
        <v>4060</v>
      </c>
      <c r="I10202" s="692" t="s">
        <v>4060</v>
      </c>
      <c r="J10202" s="692" t="s">
        <v>4060</v>
      </c>
      <c r="K10202" s="692" t="s">
        <v>4060</v>
      </c>
    </row>
    <row r="10203" spans="1:11">
      <c r="A10203" s="688" t="s">
        <v>4066</v>
      </c>
      <c r="B10203" s="689">
        <v>33.5</v>
      </c>
      <c r="C10203" s="689">
        <v>33.9</v>
      </c>
      <c r="D10203" s="689">
        <v>33.6</v>
      </c>
      <c r="E10203" s="693">
        <v>34</v>
      </c>
      <c r="F10203" s="693">
        <v>34</v>
      </c>
      <c r="G10203" s="689">
        <v>34.1</v>
      </c>
      <c r="H10203" s="690" t="s">
        <v>4060</v>
      </c>
      <c r="I10203" s="690" t="s">
        <v>4060</v>
      </c>
      <c r="J10203" s="690" t="s">
        <v>4060</v>
      </c>
      <c r="K10203" s="690" t="s">
        <v>4060</v>
      </c>
    </row>
    <row r="10204" spans="1:11">
      <c r="A10204" s="688" t="s">
        <v>4062</v>
      </c>
      <c r="B10204" s="691">
        <v>35.799999999999997</v>
      </c>
      <c r="C10204" s="615">
        <v>36</v>
      </c>
      <c r="D10204" s="615">
        <v>36</v>
      </c>
      <c r="E10204" s="691">
        <v>36.4</v>
      </c>
      <c r="F10204" s="691">
        <v>36.5</v>
      </c>
      <c r="G10204" s="691">
        <v>36.700000000000003</v>
      </c>
      <c r="H10204" s="691">
        <v>36.9</v>
      </c>
      <c r="I10204" s="691">
        <v>36.4</v>
      </c>
      <c r="J10204" s="691">
        <v>36.799999999999997</v>
      </c>
      <c r="K10204" s="691">
        <v>36.6</v>
      </c>
    </row>
    <row r="10205" spans="1:11">
      <c r="A10205" s="688" t="s">
        <v>9</v>
      </c>
      <c r="B10205" s="689">
        <v>35.9</v>
      </c>
      <c r="C10205" s="689">
        <v>36.200000000000003</v>
      </c>
      <c r="D10205" s="689">
        <v>36.6</v>
      </c>
      <c r="E10205" s="689">
        <v>35.9</v>
      </c>
      <c r="F10205" s="689">
        <v>36.4</v>
      </c>
      <c r="G10205" s="689">
        <v>36.799999999999997</v>
      </c>
      <c r="H10205" s="689">
        <v>36.799999999999997</v>
      </c>
      <c r="I10205" s="693">
        <v>37</v>
      </c>
      <c r="J10205" s="689">
        <v>37.299999999999997</v>
      </c>
      <c r="K10205" s="689">
        <v>36.200000000000003</v>
      </c>
    </row>
    <row r="10206" spans="1:11">
      <c r="A10206" s="688" t="s">
        <v>13</v>
      </c>
      <c r="B10206" s="691">
        <v>35.4</v>
      </c>
      <c r="C10206" s="615">
        <v>36</v>
      </c>
      <c r="D10206" s="691">
        <v>36.299999999999997</v>
      </c>
      <c r="E10206" s="691">
        <v>35.1</v>
      </c>
      <c r="F10206" s="691">
        <v>36.4</v>
      </c>
      <c r="G10206" s="615">
        <v>36</v>
      </c>
      <c r="H10206" s="691">
        <v>37.1</v>
      </c>
      <c r="I10206" s="691">
        <v>35.9</v>
      </c>
      <c r="J10206" s="691">
        <v>36.799999999999997</v>
      </c>
      <c r="K10206" s="691">
        <v>37.9</v>
      </c>
    </row>
    <row r="10207" spans="1:11">
      <c r="A10207" s="688" t="s">
        <v>18</v>
      </c>
      <c r="B10207" s="689">
        <v>35.200000000000003</v>
      </c>
      <c r="C10207" s="689">
        <v>35.5</v>
      </c>
      <c r="D10207" s="689">
        <v>35.700000000000003</v>
      </c>
      <c r="E10207" s="689">
        <v>35.9</v>
      </c>
      <c r="F10207" s="689">
        <v>36.200000000000003</v>
      </c>
      <c r="G10207" s="689">
        <v>36.299999999999997</v>
      </c>
      <c r="H10207" s="689">
        <v>36.6</v>
      </c>
      <c r="I10207" s="689">
        <v>36.799999999999997</v>
      </c>
      <c r="J10207" s="689">
        <v>36.799999999999997</v>
      </c>
      <c r="K10207" s="689">
        <v>36.200000000000003</v>
      </c>
    </row>
    <row r="10208" spans="1:11">
      <c r="A10208" s="688" t="s">
        <v>24</v>
      </c>
      <c r="B10208" s="691">
        <v>36.1</v>
      </c>
      <c r="C10208" s="691">
        <v>36.200000000000003</v>
      </c>
      <c r="D10208" s="691">
        <v>36.1</v>
      </c>
      <c r="E10208" s="691">
        <v>36.700000000000003</v>
      </c>
      <c r="F10208" s="691">
        <v>36.700000000000003</v>
      </c>
      <c r="G10208" s="691">
        <v>36.9</v>
      </c>
      <c r="H10208" s="691">
        <v>37.1</v>
      </c>
      <c r="I10208" s="691">
        <v>36.299999999999997</v>
      </c>
      <c r="J10208" s="691">
        <v>36.799999999999997</v>
      </c>
      <c r="K10208" s="691">
        <v>36.9</v>
      </c>
    </row>
    <row r="10209" spans="1:11">
      <c r="A10209" s="688" t="s">
        <v>4059</v>
      </c>
      <c r="B10209" s="689">
        <v>34.9</v>
      </c>
      <c r="C10209" s="689">
        <v>35.200000000000003</v>
      </c>
      <c r="D10209" s="689">
        <v>34.9</v>
      </c>
      <c r="E10209" s="689">
        <v>35.200000000000003</v>
      </c>
      <c r="F10209" s="689">
        <v>35.200000000000003</v>
      </c>
      <c r="G10209" s="689">
        <v>35.200000000000003</v>
      </c>
      <c r="H10209" s="690" t="s">
        <v>4060</v>
      </c>
      <c r="I10209" s="690" t="s">
        <v>4060</v>
      </c>
      <c r="J10209" s="690" t="s">
        <v>4060</v>
      </c>
      <c r="K10209" s="690" t="s">
        <v>4060</v>
      </c>
    </row>
    <row r="10210" spans="1:11">
      <c r="A10210" s="688" t="s">
        <v>2324</v>
      </c>
      <c r="B10210" s="615">
        <v>30</v>
      </c>
      <c r="C10210" s="615">
        <v>30</v>
      </c>
      <c r="D10210" s="691">
        <v>29.9</v>
      </c>
      <c r="E10210" s="691">
        <v>29.7</v>
      </c>
      <c r="F10210" s="691">
        <v>29.9</v>
      </c>
      <c r="G10210" s="691">
        <v>30.2</v>
      </c>
      <c r="H10210" s="615">
        <v>30</v>
      </c>
      <c r="I10210" s="691">
        <v>28.9</v>
      </c>
      <c r="J10210" s="691">
        <v>26.7</v>
      </c>
      <c r="K10210" s="692" t="s">
        <v>4060</v>
      </c>
    </row>
    <row r="10211" spans="1:11">
      <c r="A10211" s="688" t="s">
        <v>2322</v>
      </c>
      <c r="B10211" s="690" t="s">
        <v>4060</v>
      </c>
      <c r="C10211" s="690" t="s">
        <v>4060</v>
      </c>
      <c r="D10211" s="690" t="s">
        <v>4060</v>
      </c>
      <c r="E10211" s="690" t="s">
        <v>4060</v>
      </c>
      <c r="F10211" s="690" t="s">
        <v>4060</v>
      </c>
      <c r="G10211" s="690" t="s">
        <v>4060</v>
      </c>
      <c r="H10211" s="690" t="s">
        <v>4060</v>
      </c>
      <c r="I10211" s="690" t="s">
        <v>4060</v>
      </c>
      <c r="J10211" s="690" t="s">
        <v>4060</v>
      </c>
      <c r="K10211" s="690" t="s">
        <v>4060</v>
      </c>
    </row>
    <row r="10212" spans="1:11">
      <c r="A10212" s="688" t="s">
        <v>2328</v>
      </c>
      <c r="B10212" s="691">
        <v>29.6</v>
      </c>
      <c r="C10212" s="691">
        <v>29.6</v>
      </c>
      <c r="D10212" s="691">
        <v>29.6</v>
      </c>
      <c r="E10212" s="691">
        <v>29.7</v>
      </c>
      <c r="F10212" s="691">
        <v>30.1</v>
      </c>
      <c r="G10212" s="691">
        <v>30.4</v>
      </c>
      <c r="H10212" s="691">
        <v>30.4</v>
      </c>
      <c r="I10212" s="691">
        <v>27.9</v>
      </c>
      <c r="J10212" s="691">
        <v>27.1</v>
      </c>
      <c r="K10212" s="692" t="s">
        <v>4060</v>
      </c>
    </row>
    <row r="10213" spans="1:11">
      <c r="A10213" s="688" t="s">
        <v>2496</v>
      </c>
      <c r="B10213" s="690" t="s">
        <v>4060</v>
      </c>
      <c r="C10213" s="689">
        <v>27.5</v>
      </c>
      <c r="D10213" s="689">
        <v>26.4</v>
      </c>
      <c r="E10213" s="689">
        <v>26.2</v>
      </c>
      <c r="F10213" s="689">
        <v>26.9</v>
      </c>
      <c r="G10213" s="689">
        <v>27.1</v>
      </c>
      <c r="H10213" s="689">
        <v>27.1</v>
      </c>
      <c r="I10213" s="690" t="s">
        <v>4060</v>
      </c>
      <c r="J10213" s="690" t="s">
        <v>4060</v>
      </c>
      <c r="K10213" s="689">
        <v>26.6</v>
      </c>
    </row>
    <row r="10214" spans="1:11">
      <c r="A10214" s="688" t="s">
        <v>2269</v>
      </c>
      <c r="B10214" s="691">
        <v>32.799999999999997</v>
      </c>
      <c r="C10214" s="691">
        <v>32.9</v>
      </c>
      <c r="D10214" s="691">
        <v>32.6</v>
      </c>
      <c r="E10214" s="691">
        <v>33.299999999999997</v>
      </c>
      <c r="F10214" s="691">
        <v>33.299999999999997</v>
      </c>
      <c r="G10214" s="691">
        <v>33.6</v>
      </c>
      <c r="H10214" s="691">
        <v>33.9</v>
      </c>
      <c r="I10214" s="691">
        <v>31.4</v>
      </c>
      <c r="J10214" s="691">
        <v>29.7</v>
      </c>
      <c r="K10214" s="691">
        <v>33.299999999999997</v>
      </c>
    </row>
    <row r="10215" spans="1:11">
      <c r="A10215" s="688" t="s">
        <v>2349</v>
      </c>
      <c r="B10215" s="689">
        <v>28.8</v>
      </c>
      <c r="C10215" s="689">
        <v>28.9</v>
      </c>
      <c r="D10215" s="689">
        <v>28.8</v>
      </c>
      <c r="E10215" s="689">
        <v>29.2</v>
      </c>
      <c r="F10215" s="689">
        <v>29.2</v>
      </c>
      <c r="G10215" s="689">
        <v>29.4</v>
      </c>
      <c r="H10215" s="689">
        <v>29.4</v>
      </c>
      <c r="I10215" s="689">
        <v>27.6</v>
      </c>
      <c r="J10215" s="689">
        <v>26.3</v>
      </c>
      <c r="K10215" s="689">
        <v>28.7</v>
      </c>
    </row>
    <row r="10216" spans="1:11">
      <c r="A10216" s="688" t="s">
        <v>2355</v>
      </c>
      <c r="B10216" s="615">
        <v>32</v>
      </c>
      <c r="C10216" s="615">
        <v>32</v>
      </c>
      <c r="D10216" s="615">
        <v>32</v>
      </c>
      <c r="E10216" s="615">
        <v>32</v>
      </c>
      <c r="F10216" s="691">
        <v>32.200000000000003</v>
      </c>
      <c r="G10216" s="691">
        <v>32.6</v>
      </c>
      <c r="H10216" s="691">
        <v>32.700000000000003</v>
      </c>
      <c r="I10216" s="692" t="s">
        <v>4060</v>
      </c>
      <c r="J10216" s="692" t="s">
        <v>4060</v>
      </c>
      <c r="K10216" s="692" t="s">
        <v>4060</v>
      </c>
    </row>
    <row r="10217" spans="1:11">
      <c r="A10217" s="688" t="s">
        <v>2357</v>
      </c>
      <c r="B10217" s="690" t="s">
        <v>4060</v>
      </c>
      <c r="C10217" s="689">
        <v>25.5</v>
      </c>
      <c r="D10217" s="693">
        <v>26</v>
      </c>
      <c r="E10217" s="689">
        <v>26.2</v>
      </c>
      <c r="F10217" s="689">
        <v>26.5</v>
      </c>
      <c r="G10217" s="689">
        <v>26.2</v>
      </c>
      <c r="H10217" s="689">
        <v>26.4</v>
      </c>
      <c r="I10217" s="690" t="s">
        <v>4060</v>
      </c>
      <c r="J10217" s="690" t="s">
        <v>4060</v>
      </c>
      <c r="K10217" s="690" t="s">
        <v>4060</v>
      </c>
    </row>
    <row r="10218" spans="1:11">
      <c r="A10218" s="688" t="s">
        <v>4070</v>
      </c>
      <c r="B10218" s="692" t="s">
        <v>4060</v>
      </c>
      <c r="C10218" s="692" t="s">
        <v>4060</v>
      </c>
      <c r="D10218" s="692" t="s">
        <v>4060</v>
      </c>
      <c r="E10218" s="691">
        <v>31.5</v>
      </c>
      <c r="F10218" s="692" t="s">
        <v>4060</v>
      </c>
      <c r="G10218" s="692" t="s">
        <v>4060</v>
      </c>
      <c r="H10218" s="692" t="s">
        <v>4060</v>
      </c>
      <c r="I10218" s="692" t="s">
        <v>4060</v>
      </c>
      <c r="J10218" s="692" t="s">
        <v>4060</v>
      </c>
      <c r="K10218" s="692" t="s">
        <v>4060</v>
      </c>
    </row>
    <row r="10219" spans="1:11">
      <c r="A10219" s="688" t="s">
        <v>2491</v>
      </c>
      <c r="B10219" s="689">
        <v>25.2</v>
      </c>
      <c r="C10219" s="689">
        <v>25.5</v>
      </c>
      <c r="D10219" s="689">
        <v>25.8</v>
      </c>
      <c r="E10219" s="689">
        <v>26.1</v>
      </c>
      <c r="F10219" s="689">
        <v>26.2</v>
      </c>
      <c r="G10219" s="689">
        <v>26.1</v>
      </c>
      <c r="H10219" s="690" t="s">
        <v>4060</v>
      </c>
      <c r="I10219" s="690" t="s">
        <v>4060</v>
      </c>
      <c r="J10219" s="690" t="s">
        <v>4060</v>
      </c>
      <c r="K10219" s="690" t="s">
        <v>4060</v>
      </c>
    </row>
    <row r="10220" spans="1:11">
      <c r="A10220" s="688" t="s">
        <v>2343</v>
      </c>
      <c r="B10220" s="692" t="s">
        <v>4060</v>
      </c>
      <c r="C10220" s="692" t="s">
        <v>4060</v>
      </c>
      <c r="D10220" s="692" t="s">
        <v>4060</v>
      </c>
      <c r="E10220" s="692" t="s">
        <v>4060</v>
      </c>
      <c r="F10220" s="692" t="s">
        <v>4060</v>
      </c>
      <c r="G10220" s="692" t="s">
        <v>4060</v>
      </c>
      <c r="H10220" s="692" t="s">
        <v>4060</v>
      </c>
      <c r="I10220" s="692" t="s">
        <v>4060</v>
      </c>
      <c r="J10220" s="692" t="s">
        <v>4060</v>
      </c>
      <c r="K10220" s="692" t="s">
        <v>4060</v>
      </c>
    </row>
    <row r="10221" spans="1:11">
      <c r="A10221" s="688" t="s">
        <v>4071</v>
      </c>
      <c r="B10221" s="690" t="s">
        <v>4060</v>
      </c>
      <c r="C10221" s="690" t="s">
        <v>4060</v>
      </c>
      <c r="D10221" s="690" t="s">
        <v>4060</v>
      </c>
      <c r="E10221" s="690" t="s">
        <v>4060</v>
      </c>
      <c r="F10221" s="690" t="s">
        <v>4060</v>
      </c>
      <c r="G10221" s="690" t="s">
        <v>4060</v>
      </c>
      <c r="H10221" s="690" t="s">
        <v>4060</v>
      </c>
      <c r="I10221" s="690" t="s">
        <v>4060</v>
      </c>
      <c r="J10221" s="690" t="s">
        <v>4060</v>
      </c>
      <c r="K10221" s="690" t="s">
        <v>4060</v>
      </c>
    </row>
    <row r="10222" spans="1:11">
      <c r="A10222" s="688" t="s">
        <v>2489</v>
      </c>
      <c r="B10222" s="692" t="s">
        <v>4060</v>
      </c>
      <c r="C10222" s="692" t="s">
        <v>4060</v>
      </c>
      <c r="D10222" s="691">
        <v>28.6</v>
      </c>
      <c r="E10222" s="691">
        <v>28.5</v>
      </c>
      <c r="F10222" s="615">
        <v>29</v>
      </c>
      <c r="G10222" s="691">
        <v>29.8</v>
      </c>
      <c r="H10222" s="691">
        <v>29.4</v>
      </c>
      <c r="I10222" s="692" t="s">
        <v>4060</v>
      </c>
      <c r="J10222" s="692" t="s">
        <v>4060</v>
      </c>
      <c r="K10222" s="692" t="s">
        <v>4060</v>
      </c>
    </row>
    <row r="10223" spans="1:11">
      <c r="A10223" s="688" t="s">
        <v>2490</v>
      </c>
      <c r="B10223" s="689">
        <v>29.2</v>
      </c>
      <c r="C10223" s="689">
        <v>29.3</v>
      </c>
      <c r="D10223" s="693">
        <v>30</v>
      </c>
      <c r="E10223" s="690" t="s">
        <v>4060</v>
      </c>
      <c r="F10223" s="689">
        <v>30.2</v>
      </c>
      <c r="G10223" s="689">
        <v>30.4</v>
      </c>
      <c r="H10223" s="689">
        <v>31.3</v>
      </c>
      <c r="I10223" s="690" t="s">
        <v>4060</v>
      </c>
      <c r="J10223" s="690" t="s">
        <v>4060</v>
      </c>
      <c r="K10223" s="690" t="s">
        <v>4060</v>
      </c>
    </row>
    <row r="10225" spans="1:11">
      <c r="A10225" s="683" t="s">
        <v>4233</v>
      </c>
    </row>
    <row r="10226" spans="1:11">
      <c r="A10226" s="683" t="s">
        <v>4060</v>
      </c>
      <c r="B10226" s="682" t="s">
        <v>4234</v>
      </c>
    </row>
    <row r="10228" spans="1:11">
      <c r="A10228" s="682" t="s">
        <v>4331</v>
      </c>
    </row>
    <row r="10229" spans="1:11">
      <c r="A10229" s="682" t="s">
        <v>4210</v>
      </c>
      <c r="B10229" s="683" t="s">
        <v>4211</v>
      </c>
    </row>
    <row r="10230" spans="1:11">
      <c r="A10230" s="682" t="s">
        <v>4212</v>
      </c>
      <c r="B10230" s="682" t="s">
        <v>4213</v>
      </c>
    </row>
    <row r="10232" spans="1:11">
      <c r="A10232" s="683" t="s">
        <v>4214</v>
      </c>
      <c r="C10232" s="682" t="s">
        <v>4215</v>
      </c>
    </row>
    <row r="10233" spans="1:11">
      <c r="A10233" s="683" t="s">
        <v>4216</v>
      </c>
      <c r="C10233" s="682" t="s">
        <v>2967</v>
      </c>
    </row>
    <row r="10234" spans="1:11">
      <c r="A10234" s="683" t="s">
        <v>3893</v>
      </c>
      <c r="C10234" s="682" t="s">
        <v>2168</v>
      </c>
    </row>
    <row r="10235" spans="1:11">
      <c r="A10235" s="683" t="s">
        <v>4218</v>
      </c>
      <c r="C10235" s="682" t="s">
        <v>4282</v>
      </c>
    </row>
    <row r="10237" spans="1:11">
      <c r="A10237" s="684" t="s">
        <v>4220</v>
      </c>
      <c r="B10237" s="685" t="s">
        <v>4221</v>
      </c>
      <c r="C10237" s="685" t="s">
        <v>4222</v>
      </c>
      <c r="D10237" s="685" t="s">
        <v>4223</v>
      </c>
      <c r="E10237" s="685" t="s">
        <v>4224</v>
      </c>
      <c r="F10237" s="685" t="s">
        <v>4225</v>
      </c>
      <c r="G10237" s="685" t="s">
        <v>4226</v>
      </c>
      <c r="H10237" s="685" t="s">
        <v>4227</v>
      </c>
      <c r="I10237" s="685" t="s">
        <v>4228</v>
      </c>
      <c r="J10237" s="685" t="s">
        <v>4229</v>
      </c>
      <c r="K10237" s="685" t="s">
        <v>4230</v>
      </c>
    </row>
    <row r="10238" spans="1:11">
      <c r="A10238" s="686" t="s">
        <v>4231</v>
      </c>
      <c r="B10238" s="687" t="s">
        <v>4232</v>
      </c>
      <c r="C10238" s="687" t="s">
        <v>4232</v>
      </c>
      <c r="D10238" s="687" t="s">
        <v>4232</v>
      </c>
      <c r="E10238" s="687" t="s">
        <v>4232</v>
      </c>
      <c r="F10238" s="687" t="s">
        <v>4232</v>
      </c>
      <c r="G10238" s="687" t="s">
        <v>4232</v>
      </c>
      <c r="H10238" s="687" t="s">
        <v>4232</v>
      </c>
      <c r="I10238" s="687" t="s">
        <v>4232</v>
      </c>
      <c r="J10238" s="687" t="s">
        <v>4232</v>
      </c>
      <c r="K10238" s="687" t="s">
        <v>4232</v>
      </c>
    </row>
    <row r="10239" spans="1:11">
      <c r="A10239" s="688" t="s">
        <v>4064</v>
      </c>
      <c r="B10239" s="689">
        <v>32.4</v>
      </c>
      <c r="C10239" s="689">
        <v>32.5</v>
      </c>
      <c r="D10239" s="689">
        <v>32.5</v>
      </c>
      <c r="E10239" s="689">
        <v>32.6</v>
      </c>
      <c r="F10239" s="689">
        <v>32.700000000000003</v>
      </c>
      <c r="G10239" s="689">
        <v>32.799999999999997</v>
      </c>
      <c r="H10239" s="689">
        <v>33.1</v>
      </c>
      <c r="I10239" s="689">
        <v>32.200000000000003</v>
      </c>
      <c r="J10239" s="689">
        <v>31.9</v>
      </c>
      <c r="K10239" s="689">
        <v>32.6</v>
      </c>
    </row>
    <row r="10240" spans="1:11">
      <c r="A10240" s="688" t="s">
        <v>4065</v>
      </c>
      <c r="B10240" s="691">
        <v>32.6</v>
      </c>
      <c r="C10240" s="691">
        <v>32.9</v>
      </c>
      <c r="D10240" s="691">
        <v>32.700000000000003</v>
      </c>
      <c r="E10240" s="615">
        <v>33</v>
      </c>
      <c r="F10240" s="615">
        <v>33</v>
      </c>
      <c r="G10240" s="691">
        <v>33.1</v>
      </c>
      <c r="H10240" s="692" t="s">
        <v>4060</v>
      </c>
      <c r="I10240" s="692" t="s">
        <v>4060</v>
      </c>
      <c r="J10240" s="692" t="s">
        <v>4060</v>
      </c>
      <c r="K10240" s="692" t="s">
        <v>4060</v>
      </c>
    </row>
    <row r="10241" spans="1:11">
      <c r="A10241" s="688" t="s">
        <v>4063</v>
      </c>
      <c r="B10241" s="689">
        <v>32.6</v>
      </c>
      <c r="C10241" s="689">
        <v>32.9</v>
      </c>
      <c r="D10241" s="689">
        <v>32.700000000000003</v>
      </c>
      <c r="E10241" s="693">
        <v>33</v>
      </c>
      <c r="F10241" s="689">
        <v>33.1</v>
      </c>
      <c r="G10241" s="689">
        <v>33.1</v>
      </c>
      <c r="H10241" s="690" t="s">
        <v>4060</v>
      </c>
      <c r="I10241" s="690" t="s">
        <v>4060</v>
      </c>
      <c r="J10241" s="690" t="s">
        <v>4060</v>
      </c>
      <c r="K10241" s="690" t="s">
        <v>4060</v>
      </c>
    </row>
    <row r="10242" spans="1:11">
      <c r="A10242" s="688" t="s">
        <v>4069</v>
      </c>
      <c r="B10242" s="692" t="s">
        <v>4060</v>
      </c>
      <c r="C10242" s="691">
        <v>33.5</v>
      </c>
      <c r="D10242" s="691">
        <v>33.299999999999997</v>
      </c>
      <c r="E10242" s="691">
        <v>33.6</v>
      </c>
      <c r="F10242" s="691">
        <v>33.700000000000003</v>
      </c>
      <c r="G10242" s="691">
        <v>33.799999999999997</v>
      </c>
      <c r="H10242" s="691">
        <v>34.1</v>
      </c>
      <c r="I10242" s="691">
        <v>33.299999999999997</v>
      </c>
      <c r="J10242" s="691">
        <v>33.4</v>
      </c>
      <c r="K10242" s="691">
        <v>33.6</v>
      </c>
    </row>
    <row r="10243" spans="1:11">
      <c r="A10243" s="688" t="s">
        <v>4068</v>
      </c>
      <c r="B10243" s="689">
        <v>33.4</v>
      </c>
      <c r="C10243" s="690" t="s">
        <v>4060</v>
      </c>
      <c r="D10243" s="690" t="s">
        <v>4060</v>
      </c>
      <c r="E10243" s="690" t="s">
        <v>4060</v>
      </c>
      <c r="F10243" s="690" t="s">
        <v>4060</v>
      </c>
      <c r="G10243" s="690" t="s">
        <v>4060</v>
      </c>
      <c r="H10243" s="690" t="s">
        <v>4060</v>
      </c>
      <c r="I10243" s="690" t="s">
        <v>4060</v>
      </c>
      <c r="J10243" s="690" t="s">
        <v>4060</v>
      </c>
      <c r="K10243" s="690" t="s">
        <v>4060</v>
      </c>
    </row>
    <row r="10244" spans="1:11">
      <c r="A10244" s="688" t="s">
        <v>0</v>
      </c>
      <c r="B10244" s="691">
        <v>32.9</v>
      </c>
      <c r="C10244" s="691">
        <v>33.299999999999997</v>
      </c>
      <c r="D10244" s="691">
        <v>33.200000000000003</v>
      </c>
      <c r="E10244" s="691">
        <v>33.5</v>
      </c>
      <c r="F10244" s="691">
        <v>33.700000000000003</v>
      </c>
      <c r="G10244" s="691">
        <v>33.799999999999997</v>
      </c>
      <c r="H10244" s="691">
        <v>34.200000000000003</v>
      </c>
      <c r="I10244" s="691">
        <v>33.1</v>
      </c>
      <c r="J10244" s="691">
        <v>33.9</v>
      </c>
      <c r="K10244" s="691">
        <v>34.1</v>
      </c>
    </row>
    <row r="10245" spans="1:11">
      <c r="A10245" s="688" t="s">
        <v>1</v>
      </c>
      <c r="B10245" s="689">
        <v>27.2</v>
      </c>
      <c r="C10245" s="689">
        <v>26.9</v>
      </c>
      <c r="D10245" s="689">
        <v>26.9</v>
      </c>
      <c r="E10245" s="693">
        <v>27</v>
      </c>
      <c r="F10245" s="693">
        <v>27</v>
      </c>
      <c r="G10245" s="693">
        <v>27</v>
      </c>
      <c r="H10245" s="689">
        <v>27.1</v>
      </c>
      <c r="I10245" s="689">
        <v>25.5</v>
      </c>
      <c r="J10245" s="689">
        <v>23.9</v>
      </c>
      <c r="K10245" s="689">
        <v>26.2</v>
      </c>
    </row>
    <row r="10246" spans="1:11">
      <c r="A10246" s="688" t="s">
        <v>2240</v>
      </c>
      <c r="B10246" s="691">
        <v>30.1</v>
      </c>
      <c r="C10246" s="691">
        <v>30.5</v>
      </c>
      <c r="D10246" s="691">
        <v>30.4</v>
      </c>
      <c r="E10246" s="691">
        <v>30.8</v>
      </c>
      <c r="F10246" s="691">
        <v>30.7</v>
      </c>
      <c r="G10246" s="691">
        <v>30.8</v>
      </c>
      <c r="H10246" s="691">
        <v>31.1</v>
      </c>
      <c r="I10246" s="615">
        <v>30</v>
      </c>
      <c r="J10246" s="691">
        <v>28.9</v>
      </c>
      <c r="K10246" s="691">
        <v>30.9</v>
      </c>
    </row>
    <row r="10247" spans="1:11">
      <c r="A10247" s="688" t="s">
        <v>2</v>
      </c>
      <c r="B10247" s="689">
        <v>32.799999999999997</v>
      </c>
      <c r="C10247" s="689">
        <v>33.1</v>
      </c>
      <c r="D10247" s="689">
        <v>33.200000000000003</v>
      </c>
      <c r="E10247" s="689">
        <v>33.4</v>
      </c>
      <c r="F10247" s="689">
        <v>33.5</v>
      </c>
      <c r="G10247" s="689">
        <v>33.4</v>
      </c>
      <c r="H10247" s="689">
        <v>33.700000000000003</v>
      </c>
      <c r="I10247" s="689">
        <v>33.9</v>
      </c>
      <c r="J10247" s="689">
        <v>33.799999999999997</v>
      </c>
      <c r="K10247" s="689">
        <v>33.799999999999997</v>
      </c>
    </row>
    <row r="10248" spans="1:11">
      <c r="A10248" s="688" t="s">
        <v>3</v>
      </c>
      <c r="B10248" s="691">
        <v>32.700000000000003</v>
      </c>
      <c r="C10248" s="691">
        <v>32.9</v>
      </c>
      <c r="D10248" s="691">
        <v>32.700000000000003</v>
      </c>
      <c r="E10248" s="691">
        <v>32.9</v>
      </c>
      <c r="F10248" s="615">
        <v>33</v>
      </c>
      <c r="G10248" s="615">
        <v>33</v>
      </c>
      <c r="H10248" s="691">
        <v>33.299999999999997</v>
      </c>
      <c r="I10248" s="615">
        <v>33</v>
      </c>
      <c r="J10248" s="691">
        <v>32.700000000000003</v>
      </c>
      <c r="K10248" s="691">
        <v>32.6</v>
      </c>
    </row>
    <row r="10249" spans="1:11">
      <c r="A10249" s="688" t="s">
        <v>4061</v>
      </c>
      <c r="B10249" s="689">
        <v>32.700000000000003</v>
      </c>
      <c r="C10249" s="689">
        <v>32.9</v>
      </c>
      <c r="D10249" s="689">
        <v>32.700000000000003</v>
      </c>
      <c r="E10249" s="689">
        <v>32.9</v>
      </c>
      <c r="F10249" s="693">
        <v>33</v>
      </c>
      <c r="G10249" s="693">
        <v>33</v>
      </c>
      <c r="H10249" s="689">
        <v>33.299999999999997</v>
      </c>
      <c r="I10249" s="693">
        <v>33</v>
      </c>
      <c r="J10249" s="689">
        <v>32.700000000000003</v>
      </c>
      <c r="K10249" s="689">
        <v>32.6</v>
      </c>
    </row>
    <row r="10250" spans="1:11">
      <c r="A10250" s="688" t="s">
        <v>4</v>
      </c>
      <c r="B10250" s="691">
        <v>28.5</v>
      </c>
      <c r="C10250" s="691">
        <v>28.3</v>
      </c>
      <c r="D10250" s="691">
        <v>28.8</v>
      </c>
      <c r="E10250" s="691">
        <v>28.9</v>
      </c>
      <c r="F10250" s="691">
        <v>29.2</v>
      </c>
      <c r="G10250" s="691">
        <v>29.2</v>
      </c>
      <c r="H10250" s="691">
        <v>29.5</v>
      </c>
      <c r="I10250" s="691">
        <v>29.5</v>
      </c>
      <c r="J10250" s="691">
        <v>28.1</v>
      </c>
      <c r="K10250" s="691">
        <v>28.9</v>
      </c>
    </row>
    <row r="10251" spans="1:11">
      <c r="A10251" s="688" t="s">
        <v>8</v>
      </c>
      <c r="B10251" s="689">
        <v>33.700000000000003</v>
      </c>
      <c r="C10251" s="693">
        <v>34</v>
      </c>
      <c r="D10251" s="689">
        <v>34.1</v>
      </c>
      <c r="E10251" s="689">
        <v>34.200000000000003</v>
      </c>
      <c r="F10251" s="689">
        <v>34.6</v>
      </c>
      <c r="G10251" s="689">
        <v>34.6</v>
      </c>
      <c r="H10251" s="689">
        <v>34.9</v>
      </c>
      <c r="I10251" s="689">
        <v>34.9</v>
      </c>
      <c r="J10251" s="689">
        <v>34.6</v>
      </c>
      <c r="K10251" s="693">
        <v>35</v>
      </c>
    </row>
    <row r="10252" spans="1:11">
      <c r="A10252" s="688" t="s">
        <v>7</v>
      </c>
      <c r="B10252" s="691">
        <v>33.5</v>
      </c>
      <c r="C10252" s="615">
        <v>33</v>
      </c>
      <c r="D10252" s="691">
        <v>32.799999999999997</v>
      </c>
      <c r="E10252" s="691">
        <v>33.1</v>
      </c>
      <c r="F10252" s="615">
        <v>33</v>
      </c>
      <c r="G10252" s="691">
        <v>33.5</v>
      </c>
      <c r="H10252" s="691">
        <v>33.4</v>
      </c>
      <c r="I10252" s="691">
        <v>33.1</v>
      </c>
      <c r="J10252" s="691">
        <v>32.1</v>
      </c>
      <c r="K10252" s="691">
        <v>32.9</v>
      </c>
    </row>
    <row r="10253" spans="1:11">
      <c r="A10253" s="688" t="s">
        <v>27</v>
      </c>
      <c r="B10253" s="689">
        <v>34.4</v>
      </c>
      <c r="C10253" s="689">
        <v>34.299999999999997</v>
      </c>
      <c r="D10253" s="689">
        <v>34.1</v>
      </c>
      <c r="E10253" s="689">
        <v>34.4</v>
      </c>
      <c r="F10253" s="689">
        <v>34.5</v>
      </c>
      <c r="G10253" s="689">
        <v>34.6</v>
      </c>
      <c r="H10253" s="689">
        <v>34.9</v>
      </c>
      <c r="I10253" s="689">
        <v>33.700000000000003</v>
      </c>
      <c r="J10253" s="689">
        <v>34.4</v>
      </c>
      <c r="K10253" s="689">
        <v>34.6</v>
      </c>
    </row>
    <row r="10254" spans="1:11">
      <c r="A10254" s="688" t="s">
        <v>6</v>
      </c>
      <c r="B10254" s="615">
        <v>34</v>
      </c>
      <c r="C10254" s="691">
        <v>34.1</v>
      </c>
      <c r="D10254" s="615">
        <v>34</v>
      </c>
      <c r="E10254" s="691">
        <v>34.200000000000003</v>
      </c>
      <c r="F10254" s="691">
        <v>34.299999999999997</v>
      </c>
      <c r="G10254" s="691">
        <v>34.4</v>
      </c>
      <c r="H10254" s="691">
        <v>34.6</v>
      </c>
      <c r="I10254" s="691">
        <v>33.9</v>
      </c>
      <c r="J10254" s="615">
        <v>34</v>
      </c>
      <c r="K10254" s="691">
        <v>34.200000000000003</v>
      </c>
    </row>
    <row r="10255" spans="1:11">
      <c r="A10255" s="688" t="s">
        <v>4058</v>
      </c>
      <c r="B10255" s="690" t="s">
        <v>4060</v>
      </c>
      <c r="C10255" s="690" t="s">
        <v>4060</v>
      </c>
      <c r="D10255" s="690" t="s">
        <v>4060</v>
      </c>
      <c r="E10255" s="690" t="s">
        <v>4060</v>
      </c>
      <c r="F10255" s="690" t="s">
        <v>4060</v>
      </c>
      <c r="G10255" s="690" t="s">
        <v>4060</v>
      </c>
      <c r="H10255" s="690" t="s">
        <v>4060</v>
      </c>
      <c r="I10255" s="690" t="s">
        <v>4060</v>
      </c>
      <c r="J10255" s="690" t="s">
        <v>4060</v>
      </c>
      <c r="K10255" s="690" t="s">
        <v>4060</v>
      </c>
    </row>
    <row r="10256" spans="1:11">
      <c r="A10256" s="688" t="s">
        <v>11</v>
      </c>
      <c r="B10256" s="691">
        <v>29.4</v>
      </c>
      <c r="C10256" s="691">
        <v>29.5</v>
      </c>
      <c r="D10256" s="691">
        <v>29.2</v>
      </c>
      <c r="E10256" s="691">
        <v>29.7</v>
      </c>
      <c r="F10256" s="691">
        <v>29.7</v>
      </c>
      <c r="G10256" s="691">
        <v>29.8</v>
      </c>
      <c r="H10256" s="691">
        <v>30.2</v>
      </c>
      <c r="I10256" s="691">
        <v>29.3</v>
      </c>
      <c r="J10256" s="691">
        <v>28.4</v>
      </c>
      <c r="K10256" s="691">
        <v>29.6</v>
      </c>
    </row>
    <row r="10257" spans="1:11">
      <c r="A10257" s="688" t="s">
        <v>10</v>
      </c>
      <c r="B10257" s="689">
        <v>34.700000000000003</v>
      </c>
      <c r="C10257" s="689">
        <v>34.700000000000003</v>
      </c>
      <c r="D10257" s="689">
        <v>34.4</v>
      </c>
      <c r="E10257" s="693">
        <v>35</v>
      </c>
      <c r="F10257" s="689">
        <v>34.799999999999997</v>
      </c>
      <c r="G10257" s="689">
        <v>35.200000000000003</v>
      </c>
      <c r="H10257" s="689">
        <v>35.4</v>
      </c>
      <c r="I10257" s="689">
        <v>34.1</v>
      </c>
      <c r="J10257" s="689">
        <v>34.6</v>
      </c>
      <c r="K10257" s="689">
        <v>34.9</v>
      </c>
    </row>
    <row r="10258" spans="1:11">
      <c r="A10258" s="688" t="s">
        <v>30</v>
      </c>
      <c r="B10258" s="691">
        <v>34.6</v>
      </c>
      <c r="C10258" s="691">
        <v>34.6</v>
      </c>
      <c r="D10258" s="691">
        <v>34.4</v>
      </c>
      <c r="E10258" s="691">
        <v>34.9</v>
      </c>
      <c r="F10258" s="691">
        <v>34.6</v>
      </c>
      <c r="G10258" s="691">
        <v>35.4</v>
      </c>
      <c r="H10258" s="691">
        <v>35.1</v>
      </c>
      <c r="I10258" s="615">
        <v>35</v>
      </c>
      <c r="J10258" s="691">
        <v>34.200000000000003</v>
      </c>
      <c r="K10258" s="691">
        <v>34.700000000000003</v>
      </c>
    </row>
    <row r="10259" spans="1:11">
      <c r="A10259" s="688" t="s">
        <v>12</v>
      </c>
      <c r="B10259" s="693">
        <v>26</v>
      </c>
      <c r="C10259" s="693">
        <v>26</v>
      </c>
      <c r="D10259" s="689">
        <v>26.5</v>
      </c>
      <c r="E10259" s="689">
        <v>26.5</v>
      </c>
      <c r="F10259" s="689">
        <v>26.4</v>
      </c>
      <c r="G10259" s="689">
        <v>26.6</v>
      </c>
      <c r="H10259" s="689">
        <v>27.1</v>
      </c>
      <c r="I10259" s="689">
        <v>26.8</v>
      </c>
      <c r="J10259" s="689">
        <v>24.8</v>
      </c>
      <c r="K10259" s="689">
        <v>25.9</v>
      </c>
    </row>
    <row r="10260" spans="1:11">
      <c r="A10260" s="688" t="s">
        <v>14</v>
      </c>
      <c r="B10260" s="691">
        <v>25.9</v>
      </c>
      <c r="C10260" s="691">
        <v>26.4</v>
      </c>
      <c r="D10260" s="691">
        <v>26.2</v>
      </c>
      <c r="E10260" s="691">
        <v>26.3</v>
      </c>
      <c r="F10260" s="691">
        <v>27.2</v>
      </c>
      <c r="G10260" s="691">
        <v>27.4</v>
      </c>
      <c r="H10260" s="691">
        <v>27.7</v>
      </c>
      <c r="I10260" s="691">
        <v>26.3</v>
      </c>
      <c r="J10260" s="691">
        <v>25.9</v>
      </c>
      <c r="K10260" s="691">
        <v>27.1</v>
      </c>
    </row>
    <row r="10261" spans="1:11">
      <c r="A10261" s="688" t="s">
        <v>15</v>
      </c>
      <c r="B10261" s="689">
        <v>34.200000000000003</v>
      </c>
      <c r="C10261" s="689">
        <v>33.6</v>
      </c>
      <c r="D10261" s="689">
        <v>34.299999999999997</v>
      </c>
      <c r="E10261" s="689">
        <v>34.1</v>
      </c>
      <c r="F10261" s="693">
        <v>34</v>
      </c>
      <c r="G10261" s="689">
        <v>34.200000000000003</v>
      </c>
      <c r="H10261" s="689">
        <v>34.5</v>
      </c>
      <c r="I10261" s="693">
        <v>34</v>
      </c>
      <c r="J10261" s="689">
        <v>34.4</v>
      </c>
      <c r="K10261" s="693">
        <v>35</v>
      </c>
    </row>
    <row r="10262" spans="1:11">
      <c r="A10262" s="688" t="s">
        <v>29</v>
      </c>
      <c r="B10262" s="691">
        <v>27.2</v>
      </c>
      <c r="C10262" s="691">
        <v>27.3</v>
      </c>
      <c r="D10262" s="691">
        <v>27.2</v>
      </c>
      <c r="E10262" s="691">
        <v>27.4</v>
      </c>
      <c r="F10262" s="691">
        <v>27.3</v>
      </c>
      <c r="G10262" s="691">
        <v>27.4</v>
      </c>
      <c r="H10262" s="691">
        <v>27.8</v>
      </c>
      <c r="I10262" s="615">
        <v>27</v>
      </c>
      <c r="J10262" s="691">
        <v>25.8</v>
      </c>
      <c r="K10262" s="691">
        <v>27.5</v>
      </c>
    </row>
    <row r="10263" spans="1:11">
      <c r="A10263" s="688" t="s">
        <v>16</v>
      </c>
      <c r="B10263" s="689">
        <v>34.1</v>
      </c>
      <c r="C10263" s="689">
        <v>34.200000000000003</v>
      </c>
      <c r="D10263" s="689">
        <v>34.299999999999997</v>
      </c>
      <c r="E10263" s="693">
        <v>35</v>
      </c>
      <c r="F10263" s="689">
        <v>34.700000000000003</v>
      </c>
      <c r="G10263" s="689">
        <v>34.5</v>
      </c>
      <c r="H10263" s="693">
        <v>35</v>
      </c>
      <c r="I10263" s="689">
        <v>34.1</v>
      </c>
      <c r="J10263" s="689">
        <v>34.6</v>
      </c>
      <c r="K10263" s="689">
        <v>34.6</v>
      </c>
    </row>
    <row r="10264" spans="1:11">
      <c r="A10264" s="688" t="s">
        <v>17</v>
      </c>
      <c r="B10264" s="691">
        <v>33.9</v>
      </c>
      <c r="C10264" s="691">
        <v>34.200000000000003</v>
      </c>
      <c r="D10264" s="615">
        <v>34</v>
      </c>
      <c r="E10264" s="691">
        <v>34.200000000000003</v>
      </c>
      <c r="F10264" s="691">
        <v>34.4</v>
      </c>
      <c r="G10264" s="691">
        <v>34.5</v>
      </c>
      <c r="H10264" s="691">
        <v>34.799999999999997</v>
      </c>
      <c r="I10264" s="615">
        <v>34</v>
      </c>
      <c r="J10264" s="615">
        <v>34</v>
      </c>
      <c r="K10264" s="691">
        <v>34.5</v>
      </c>
    </row>
    <row r="10265" spans="1:11">
      <c r="A10265" s="688" t="s">
        <v>19</v>
      </c>
      <c r="B10265" s="689">
        <v>33.200000000000003</v>
      </c>
      <c r="C10265" s="689">
        <v>33.4</v>
      </c>
      <c r="D10265" s="689">
        <v>33.200000000000003</v>
      </c>
      <c r="E10265" s="689">
        <v>33.6</v>
      </c>
      <c r="F10265" s="689">
        <v>33.700000000000003</v>
      </c>
      <c r="G10265" s="689">
        <v>33.799999999999997</v>
      </c>
      <c r="H10265" s="689">
        <v>34.1</v>
      </c>
      <c r="I10265" s="689">
        <v>33.4</v>
      </c>
      <c r="J10265" s="689">
        <v>33.299999999999997</v>
      </c>
      <c r="K10265" s="689">
        <v>33.5</v>
      </c>
    </row>
    <row r="10266" spans="1:11">
      <c r="A10266" s="688" t="s">
        <v>20</v>
      </c>
      <c r="B10266" s="691">
        <v>28.7</v>
      </c>
      <c r="C10266" s="691">
        <v>29.2</v>
      </c>
      <c r="D10266" s="691">
        <v>28.9</v>
      </c>
      <c r="E10266" s="691">
        <v>29.3</v>
      </c>
      <c r="F10266" s="691">
        <v>29.3</v>
      </c>
      <c r="G10266" s="691">
        <v>29.2</v>
      </c>
      <c r="H10266" s="691">
        <v>29.5</v>
      </c>
      <c r="I10266" s="691">
        <v>27.9</v>
      </c>
      <c r="J10266" s="691">
        <v>27.2</v>
      </c>
      <c r="K10266" s="691">
        <v>28.9</v>
      </c>
    </row>
    <row r="10267" spans="1:11">
      <c r="A10267" s="688" t="s">
        <v>21</v>
      </c>
      <c r="B10267" s="689">
        <v>32.5</v>
      </c>
      <c r="C10267" s="689">
        <v>32.9</v>
      </c>
      <c r="D10267" s="689">
        <v>32.9</v>
      </c>
      <c r="E10267" s="689">
        <v>32.9</v>
      </c>
      <c r="F10267" s="689">
        <v>33.200000000000003</v>
      </c>
      <c r="G10267" s="689">
        <v>33.1</v>
      </c>
      <c r="H10267" s="689">
        <v>33.5</v>
      </c>
      <c r="I10267" s="693">
        <v>33</v>
      </c>
      <c r="J10267" s="689">
        <v>32.9</v>
      </c>
      <c r="K10267" s="689">
        <v>33.4</v>
      </c>
    </row>
    <row r="10268" spans="1:11">
      <c r="A10268" s="688" t="s">
        <v>22</v>
      </c>
      <c r="B10268" s="691">
        <v>27.6</v>
      </c>
      <c r="C10268" s="691">
        <v>27.4</v>
      </c>
      <c r="D10268" s="691">
        <v>27.3</v>
      </c>
      <c r="E10268" s="691">
        <v>27.4</v>
      </c>
      <c r="F10268" s="691">
        <v>27.4</v>
      </c>
      <c r="G10268" s="691">
        <v>27.3</v>
      </c>
      <c r="H10268" s="691">
        <v>27.5</v>
      </c>
      <c r="I10268" s="691">
        <v>25.9</v>
      </c>
      <c r="J10268" s="691">
        <v>24.9</v>
      </c>
      <c r="K10268" s="691">
        <v>26.9</v>
      </c>
    </row>
    <row r="10269" spans="1:11">
      <c r="A10269" s="688" t="s">
        <v>26</v>
      </c>
      <c r="B10269" s="689">
        <v>31.9</v>
      </c>
      <c r="C10269" s="689">
        <v>32.4</v>
      </c>
      <c r="D10269" s="689">
        <v>32.200000000000003</v>
      </c>
      <c r="E10269" s="689">
        <v>32.6</v>
      </c>
      <c r="F10269" s="689">
        <v>32.4</v>
      </c>
      <c r="G10269" s="689">
        <v>32.799999999999997</v>
      </c>
      <c r="H10269" s="689">
        <v>33.1</v>
      </c>
      <c r="I10269" s="689">
        <v>32.1</v>
      </c>
      <c r="J10269" s="689">
        <v>32.1</v>
      </c>
      <c r="K10269" s="693">
        <v>33</v>
      </c>
    </row>
    <row r="10270" spans="1:11">
      <c r="A10270" s="688" t="s">
        <v>25</v>
      </c>
      <c r="B10270" s="691">
        <v>28.2</v>
      </c>
      <c r="C10270" s="691">
        <v>28.7</v>
      </c>
      <c r="D10270" s="691">
        <v>28.5</v>
      </c>
      <c r="E10270" s="615">
        <v>29</v>
      </c>
      <c r="F10270" s="615">
        <v>29</v>
      </c>
      <c r="G10270" s="691">
        <v>29.1</v>
      </c>
      <c r="H10270" s="691">
        <v>29.6</v>
      </c>
      <c r="I10270" s="691">
        <v>28.8</v>
      </c>
      <c r="J10270" s="691">
        <v>26.6</v>
      </c>
      <c r="K10270" s="691">
        <v>28.9</v>
      </c>
    </row>
    <row r="10271" spans="1:11">
      <c r="A10271" s="688" t="s">
        <v>5</v>
      </c>
      <c r="B10271" s="693">
        <v>33</v>
      </c>
      <c r="C10271" s="693">
        <v>33</v>
      </c>
      <c r="D10271" s="689">
        <v>33.200000000000003</v>
      </c>
      <c r="E10271" s="689">
        <v>33.200000000000003</v>
      </c>
      <c r="F10271" s="689">
        <v>33.5</v>
      </c>
      <c r="G10271" s="689">
        <v>33.6</v>
      </c>
      <c r="H10271" s="693">
        <v>34</v>
      </c>
      <c r="I10271" s="689">
        <v>33.9</v>
      </c>
      <c r="J10271" s="689">
        <v>33.799999999999997</v>
      </c>
      <c r="K10271" s="689">
        <v>33.4</v>
      </c>
    </row>
    <row r="10272" spans="1:11">
      <c r="A10272" s="688" t="s">
        <v>23</v>
      </c>
      <c r="B10272" s="691">
        <v>34.6</v>
      </c>
      <c r="C10272" s="691">
        <v>34.799999999999997</v>
      </c>
      <c r="D10272" s="691">
        <v>34.799999999999997</v>
      </c>
      <c r="E10272" s="615">
        <v>35</v>
      </c>
      <c r="F10272" s="691">
        <v>35.200000000000003</v>
      </c>
      <c r="G10272" s="691">
        <v>35.200000000000003</v>
      </c>
      <c r="H10272" s="691">
        <v>35.700000000000003</v>
      </c>
      <c r="I10272" s="615">
        <v>35</v>
      </c>
      <c r="J10272" s="691">
        <v>35.5</v>
      </c>
      <c r="K10272" s="691">
        <v>35.700000000000003</v>
      </c>
    </row>
    <row r="10273" spans="1:11">
      <c r="A10273" s="688" t="s">
        <v>4067</v>
      </c>
      <c r="B10273" s="689">
        <v>32.6</v>
      </c>
      <c r="C10273" s="689">
        <v>32.9</v>
      </c>
      <c r="D10273" s="689">
        <v>32.700000000000003</v>
      </c>
      <c r="E10273" s="693">
        <v>33</v>
      </c>
      <c r="F10273" s="693">
        <v>33</v>
      </c>
      <c r="G10273" s="689">
        <v>33.1</v>
      </c>
      <c r="H10273" s="690" t="s">
        <v>4060</v>
      </c>
      <c r="I10273" s="690" t="s">
        <v>4060</v>
      </c>
      <c r="J10273" s="690" t="s">
        <v>4060</v>
      </c>
      <c r="K10273" s="690" t="s">
        <v>4060</v>
      </c>
    </row>
    <row r="10274" spans="1:11">
      <c r="A10274" s="688" t="s">
        <v>4066</v>
      </c>
      <c r="B10274" s="691">
        <v>32.6</v>
      </c>
      <c r="C10274" s="615">
        <v>33</v>
      </c>
      <c r="D10274" s="691">
        <v>32.700000000000003</v>
      </c>
      <c r="E10274" s="615">
        <v>33</v>
      </c>
      <c r="F10274" s="691">
        <v>33.1</v>
      </c>
      <c r="G10274" s="691">
        <v>33.200000000000003</v>
      </c>
      <c r="H10274" s="692" t="s">
        <v>4060</v>
      </c>
      <c r="I10274" s="692" t="s">
        <v>4060</v>
      </c>
      <c r="J10274" s="692" t="s">
        <v>4060</v>
      </c>
      <c r="K10274" s="692" t="s">
        <v>4060</v>
      </c>
    </row>
    <row r="10275" spans="1:11">
      <c r="A10275" s="688" t="s">
        <v>4062</v>
      </c>
      <c r="B10275" s="689">
        <v>34.799999999999997</v>
      </c>
      <c r="C10275" s="693">
        <v>35</v>
      </c>
      <c r="D10275" s="693">
        <v>35</v>
      </c>
      <c r="E10275" s="689">
        <v>35.4</v>
      </c>
      <c r="F10275" s="689">
        <v>35.5</v>
      </c>
      <c r="G10275" s="689">
        <v>35.799999999999997</v>
      </c>
      <c r="H10275" s="689">
        <v>35.9</v>
      </c>
      <c r="I10275" s="689">
        <v>35.5</v>
      </c>
      <c r="J10275" s="689">
        <v>35.9</v>
      </c>
      <c r="K10275" s="689">
        <v>35.700000000000003</v>
      </c>
    </row>
    <row r="10276" spans="1:11">
      <c r="A10276" s="688" t="s">
        <v>9</v>
      </c>
      <c r="B10276" s="691">
        <v>34.9</v>
      </c>
      <c r="C10276" s="691">
        <v>35.200000000000003</v>
      </c>
      <c r="D10276" s="691">
        <v>35.6</v>
      </c>
      <c r="E10276" s="615">
        <v>35</v>
      </c>
      <c r="F10276" s="691">
        <v>35.4</v>
      </c>
      <c r="G10276" s="691">
        <v>35.799999999999997</v>
      </c>
      <c r="H10276" s="691">
        <v>35.9</v>
      </c>
      <c r="I10276" s="615">
        <v>36</v>
      </c>
      <c r="J10276" s="691">
        <v>36.299999999999997</v>
      </c>
      <c r="K10276" s="691">
        <v>35.299999999999997</v>
      </c>
    </row>
    <row r="10277" spans="1:11">
      <c r="A10277" s="688" t="s">
        <v>13</v>
      </c>
      <c r="B10277" s="689">
        <v>34.5</v>
      </c>
      <c r="C10277" s="693">
        <v>35</v>
      </c>
      <c r="D10277" s="689">
        <v>35.4</v>
      </c>
      <c r="E10277" s="689">
        <v>34.1</v>
      </c>
      <c r="F10277" s="689">
        <v>35.6</v>
      </c>
      <c r="G10277" s="689">
        <v>35.1</v>
      </c>
      <c r="H10277" s="689">
        <v>36.1</v>
      </c>
      <c r="I10277" s="689">
        <v>34.9</v>
      </c>
      <c r="J10277" s="693">
        <v>36</v>
      </c>
      <c r="K10277" s="689">
        <v>36.9</v>
      </c>
    </row>
    <row r="10278" spans="1:11">
      <c r="A10278" s="688" t="s">
        <v>18</v>
      </c>
      <c r="B10278" s="691">
        <v>34.299999999999997</v>
      </c>
      <c r="C10278" s="691">
        <v>34.5</v>
      </c>
      <c r="D10278" s="691">
        <v>34.700000000000003</v>
      </c>
      <c r="E10278" s="615">
        <v>35</v>
      </c>
      <c r="F10278" s="691">
        <v>35.200000000000003</v>
      </c>
      <c r="G10278" s="691">
        <v>35.4</v>
      </c>
      <c r="H10278" s="691">
        <v>35.6</v>
      </c>
      <c r="I10278" s="691">
        <v>35.799999999999997</v>
      </c>
      <c r="J10278" s="691">
        <v>35.799999999999997</v>
      </c>
      <c r="K10278" s="691">
        <v>35.299999999999997</v>
      </c>
    </row>
    <row r="10279" spans="1:11">
      <c r="A10279" s="688" t="s">
        <v>24</v>
      </c>
      <c r="B10279" s="689">
        <v>35.200000000000003</v>
      </c>
      <c r="C10279" s="689">
        <v>35.299999999999997</v>
      </c>
      <c r="D10279" s="689">
        <v>35.1</v>
      </c>
      <c r="E10279" s="689">
        <v>35.700000000000003</v>
      </c>
      <c r="F10279" s="689">
        <v>35.700000000000003</v>
      </c>
      <c r="G10279" s="693">
        <v>36</v>
      </c>
      <c r="H10279" s="689">
        <v>36.1</v>
      </c>
      <c r="I10279" s="689">
        <v>35.299999999999997</v>
      </c>
      <c r="J10279" s="689">
        <v>35.9</v>
      </c>
      <c r="K10279" s="689">
        <v>35.9</v>
      </c>
    </row>
    <row r="10280" spans="1:11">
      <c r="A10280" s="688" t="s">
        <v>4059</v>
      </c>
      <c r="B10280" s="615">
        <v>34</v>
      </c>
      <c r="C10280" s="691">
        <v>34.299999999999997</v>
      </c>
      <c r="D10280" s="615">
        <v>34</v>
      </c>
      <c r="E10280" s="691">
        <v>34.200000000000003</v>
      </c>
      <c r="F10280" s="691">
        <v>34.299999999999997</v>
      </c>
      <c r="G10280" s="691">
        <v>34.299999999999997</v>
      </c>
      <c r="H10280" s="692" t="s">
        <v>4060</v>
      </c>
      <c r="I10280" s="692" t="s">
        <v>4060</v>
      </c>
      <c r="J10280" s="692" t="s">
        <v>4060</v>
      </c>
      <c r="K10280" s="692" t="s">
        <v>4060</v>
      </c>
    </row>
    <row r="10281" spans="1:11">
      <c r="A10281" s="688" t="s">
        <v>2324</v>
      </c>
      <c r="B10281" s="689">
        <v>29.1</v>
      </c>
      <c r="C10281" s="689">
        <v>29.1</v>
      </c>
      <c r="D10281" s="693">
        <v>29</v>
      </c>
      <c r="E10281" s="689">
        <v>28.8</v>
      </c>
      <c r="F10281" s="693">
        <v>29</v>
      </c>
      <c r="G10281" s="689">
        <v>29.3</v>
      </c>
      <c r="H10281" s="689">
        <v>29.1</v>
      </c>
      <c r="I10281" s="693">
        <v>28</v>
      </c>
      <c r="J10281" s="689">
        <v>25.9</v>
      </c>
      <c r="K10281" s="690" t="s">
        <v>4060</v>
      </c>
    </row>
    <row r="10282" spans="1:11">
      <c r="A10282" s="688" t="s">
        <v>2322</v>
      </c>
      <c r="B10282" s="692" t="s">
        <v>4060</v>
      </c>
      <c r="C10282" s="692" t="s">
        <v>4060</v>
      </c>
      <c r="D10282" s="692" t="s">
        <v>4060</v>
      </c>
      <c r="E10282" s="692" t="s">
        <v>4060</v>
      </c>
      <c r="F10282" s="692" t="s">
        <v>4060</v>
      </c>
      <c r="G10282" s="692" t="s">
        <v>4060</v>
      </c>
      <c r="H10282" s="692" t="s">
        <v>4060</v>
      </c>
      <c r="I10282" s="692" t="s">
        <v>4060</v>
      </c>
      <c r="J10282" s="692" t="s">
        <v>4060</v>
      </c>
      <c r="K10282" s="692" t="s">
        <v>4060</v>
      </c>
    </row>
    <row r="10283" spans="1:11">
      <c r="A10283" s="688" t="s">
        <v>2328</v>
      </c>
      <c r="B10283" s="689">
        <v>28.7</v>
      </c>
      <c r="C10283" s="689">
        <v>28.7</v>
      </c>
      <c r="D10283" s="689">
        <v>28.7</v>
      </c>
      <c r="E10283" s="689">
        <v>28.8</v>
      </c>
      <c r="F10283" s="689">
        <v>29.2</v>
      </c>
      <c r="G10283" s="689">
        <v>29.5</v>
      </c>
      <c r="H10283" s="689">
        <v>29.4</v>
      </c>
      <c r="I10283" s="693">
        <v>27</v>
      </c>
      <c r="J10283" s="689">
        <v>26.2</v>
      </c>
      <c r="K10283" s="690" t="s">
        <v>4060</v>
      </c>
    </row>
    <row r="10284" spans="1:11">
      <c r="A10284" s="688" t="s">
        <v>2496</v>
      </c>
      <c r="B10284" s="692" t="s">
        <v>4060</v>
      </c>
      <c r="C10284" s="691">
        <v>26.7</v>
      </c>
      <c r="D10284" s="691">
        <v>25.6</v>
      </c>
      <c r="E10284" s="691">
        <v>25.4</v>
      </c>
      <c r="F10284" s="691">
        <v>26.1</v>
      </c>
      <c r="G10284" s="691">
        <v>26.3</v>
      </c>
      <c r="H10284" s="691">
        <v>26.3</v>
      </c>
      <c r="I10284" s="692" t="s">
        <v>4060</v>
      </c>
      <c r="J10284" s="692" t="s">
        <v>4060</v>
      </c>
      <c r="K10284" s="691">
        <v>25.8</v>
      </c>
    </row>
    <row r="10285" spans="1:11">
      <c r="A10285" s="688" t="s">
        <v>2269</v>
      </c>
      <c r="B10285" s="689">
        <v>31.9</v>
      </c>
      <c r="C10285" s="693">
        <v>32</v>
      </c>
      <c r="D10285" s="689">
        <v>31.6</v>
      </c>
      <c r="E10285" s="689">
        <v>32.299999999999997</v>
      </c>
      <c r="F10285" s="689">
        <v>32.299999999999997</v>
      </c>
      <c r="G10285" s="689">
        <v>32.700000000000003</v>
      </c>
      <c r="H10285" s="693">
        <v>33</v>
      </c>
      <c r="I10285" s="689">
        <v>30.5</v>
      </c>
      <c r="J10285" s="689">
        <v>28.8</v>
      </c>
      <c r="K10285" s="689">
        <v>32.4</v>
      </c>
    </row>
    <row r="10286" spans="1:11">
      <c r="A10286" s="688" t="s">
        <v>2349</v>
      </c>
      <c r="B10286" s="691">
        <v>27.9</v>
      </c>
      <c r="C10286" s="615">
        <v>28</v>
      </c>
      <c r="D10286" s="615">
        <v>28</v>
      </c>
      <c r="E10286" s="691">
        <v>28.3</v>
      </c>
      <c r="F10286" s="691">
        <v>28.3</v>
      </c>
      <c r="G10286" s="691">
        <v>28.5</v>
      </c>
      <c r="H10286" s="691">
        <v>28.5</v>
      </c>
      <c r="I10286" s="691">
        <v>26.8</v>
      </c>
      <c r="J10286" s="691">
        <v>25.4</v>
      </c>
      <c r="K10286" s="691">
        <v>27.8</v>
      </c>
    </row>
    <row r="10287" spans="1:11">
      <c r="A10287" s="688" t="s">
        <v>2355</v>
      </c>
      <c r="B10287" s="689">
        <v>31.1</v>
      </c>
      <c r="C10287" s="689">
        <v>31.1</v>
      </c>
      <c r="D10287" s="693">
        <v>31</v>
      </c>
      <c r="E10287" s="693">
        <v>31</v>
      </c>
      <c r="F10287" s="689">
        <v>31.2</v>
      </c>
      <c r="G10287" s="689">
        <v>31.6</v>
      </c>
      <c r="H10287" s="689">
        <v>31.7</v>
      </c>
      <c r="I10287" s="690" t="s">
        <v>4060</v>
      </c>
      <c r="J10287" s="690" t="s">
        <v>4060</v>
      </c>
      <c r="K10287" s="690" t="s">
        <v>4060</v>
      </c>
    </row>
    <row r="10288" spans="1:11">
      <c r="A10288" s="688" t="s">
        <v>2357</v>
      </c>
      <c r="B10288" s="692" t="s">
        <v>4060</v>
      </c>
      <c r="C10288" s="691">
        <v>24.8</v>
      </c>
      <c r="D10288" s="691">
        <v>25.2</v>
      </c>
      <c r="E10288" s="691">
        <v>25.4</v>
      </c>
      <c r="F10288" s="691">
        <v>25.7</v>
      </c>
      <c r="G10288" s="691">
        <v>25.5</v>
      </c>
      <c r="H10288" s="691">
        <v>25.7</v>
      </c>
      <c r="I10288" s="692" t="s">
        <v>4060</v>
      </c>
      <c r="J10288" s="692" t="s">
        <v>4060</v>
      </c>
      <c r="K10288" s="692" t="s">
        <v>4060</v>
      </c>
    </row>
    <row r="10289" spans="1:11">
      <c r="A10289" s="688" t="s">
        <v>4070</v>
      </c>
      <c r="B10289" s="690" t="s">
        <v>4060</v>
      </c>
      <c r="C10289" s="690" t="s">
        <v>4060</v>
      </c>
      <c r="D10289" s="690" t="s">
        <v>4060</v>
      </c>
      <c r="E10289" s="689">
        <v>30.5</v>
      </c>
      <c r="F10289" s="690" t="s">
        <v>4060</v>
      </c>
      <c r="G10289" s="690" t="s">
        <v>4060</v>
      </c>
      <c r="H10289" s="690" t="s">
        <v>4060</v>
      </c>
      <c r="I10289" s="690" t="s">
        <v>4060</v>
      </c>
      <c r="J10289" s="690" t="s">
        <v>4060</v>
      </c>
      <c r="K10289" s="690" t="s">
        <v>4060</v>
      </c>
    </row>
    <row r="10290" spans="1:11">
      <c r="A10290" s="688" t="s">
        <v>2491</v>
      </c>
      <c r="B10290" s="691">
        <v>24.4</v>
      </c>
      <c r="C10290" s="691">
        <v>24.7</v>
      </c>
      <c r="D10290" s="691">
        <v>25.1</v>
      </c>
      <c r="E10290" s="691">
        <v>25.2</v>
      </c>
      <c r="F10290" s="691">
        <v>25.4</v>
      </c>
      <c r="G10290" s="691">
        <v>25.3</v>
      </c>
      <c r="H10290" s="692" t="s">
        <v>4060</v>
      </c>
      <c r="I10290" s="692" t="s">
        <v>4060</v>
      </c>
      <c r="J10290" s="692" t="s">
        <v>4060</v>
      </c>
      <c r="K10290" s="692" t="s">
        <v>4060</v>
      </c>
    </row>
    <row r="10291" spans="1:11">
      <c r="A10291" s="688" t="s">
        <v>2343</v>
      </c>
      <c r="B10291" s="690" t="s">
        <v>4060</v>
      </c>
      <c r="C10291" s="690" t="s">
        <v>4060</v>
      </c>
      <c r="D10291" s="690" t="s">
        <v>4060</v>
      </c>
      <c r="E10291" s="690" t="s">
        <v>4060</v>
      </c>
      <c r="F10291" s="690" t="s">
        <v>4060</v>
      </c>
      <c r="G10291" s="690" t="s">
        <v>4060</v>
      </c>
      <c r="H10291" s="690" t="s">
        <v>4060</v>
      </c>
      <c r="I10291" s="690" t="s">
        <v>4060</v>
      </c>
      <c r="J10291" s="690" t="s">
        <v>4060</v>
      </c>
      <c r="K10291" s="690" t="s">
        <v>4060</v>
      </c>
    </row>
    <row r="10292" spans="1:11">
      <c r="A10292" s="688" t="s">
        <v>4071</v>
      </c>
      <c r="B10292" s="692" t="s">
        <v>4060</v>
      </c>
      <c r="C10292" s="692" t="s">
        <v>4060</v>
      </c>
      <c r="D10292" s="692" t="s">
        <v>4060</v>
      </c>
      <c r="E10292" s="692" t="s">
        <v>4060</v>
      </c>
      <c r="F10292" s="692" t="s">
        <v>4060</v>
      </c>
      <c r="G10292" s="692" t="s">
        <v>4060</v>
      </c>
      <c r="H10292" s="692" t="s">
        <v>4060</v>
      </c>
      <c r="I10292" s="692" t="s">
        <v>4060</v>
      </c>
      <c r="J10292" s="692" t="s">
        <v>4060</v>
      </c>
      <c r="K10292" s="692" t="s">
        <v>4060</v>
      </c>
    </row>
    <row r="10293" spans="1:11">
      <c r="A10293" s="688" t="s">
        <v>2489</v>
      </c>
      <c r="B10293" s="690" t="s">
        <v>4060</v>
      </c>
      <c r="C10293" s="690" t="s">
        <v>4060</v>
      </c>
      <c r="D10293" s="689">
        <v>27.7</v>
      </c>
      <c r="E10293" s="689">
        <v>27.6</v>
      </c>
      <c r="F10293" s="689">
        <v>28.1</v>
      </c>
      <c r="G10293" s="689">
        <v>28.9</v>
      </c>
      <c r="H10293" s="689">
        <v>28.6</v>
      </c>
      <c r="I10293" s="690" t="s">
        <v>4060</v>
      </c>
      <c r="J10293" s="690" t="s">
        <v>4060</v>
      </c>
      <c r="K10293" s="690" t="s">
        <v>4060</v>
      </c>
    </row>
    <row r="10294" spans="1:11">
      <c r="A10294" s="688" t="s">
        <v>2490</v>
      </c>
      <c r="B10294" s="691">
        <v>28.4</v>
      </c>
      <c r="C10294" s="691">
        <v>28.4</v>
      </c>
      <c r="D10294" s="691">
        <v>29.1</v>
      </c>
      <c r="E10294" s="692" t="s">
        <v>4060</v>
      </c>
      <c r="F10294" s="691">
        <v>29.3</v>
      </c>
      <c r="G10294" s="691">
        <v>29.5</v>
      </c>
      <c r="H10294" s="691">
        <v>30.4</v>
      </c>
      <c r="I10294" s="692" t="s">
        <v>4060</v>
      </c>
      <c r="J10294" s="692" t="s">
        <v>4060</v>
      </c>
      <c r="K10294" s="692" t="s">
        <v>4060</v>
      </c>
    </row>
    <row r="10296" spans="1:11">
      <c r="A10296" s="683" t="s">
        <v>4233</v>
      </c>
    </row>
    <row r="10297" spans="1:11">
      <c r="A10297" s="683" t="s">
        <v>4060</v>
      </c>
      <c r="B10297" s="682" t="s">
        <v>4234</v>
      </c>
    </row>
    <row r="10299" spans="1:11">
      <c r="A10299" s="682" t="s">
        <v>4331</v>
      </c>
    </row>
    <row r="10300" spans="1:11">
      <c r="A10300" s="682" t="s">
        <v>4210</v>
      </c>
      <c r="B10300" s="683" t="s">
        <v>4211</v>
      </c>
    </row>
    <row r="10301" spans="1:11">
      <c r="A10301" s="682" t="s">
        <v>4212</v>
      </c>
      <c r="B10301" s="682" t="s">
        <v>4213</v>
      </c>
    </row>
    <row r="10303" spans="1:11">
      <c r="A10303" s="683" t="s">
        <v>4214</v>
      </c>
      <c r="C10303" s="682" t="s">
        <v>4215</v>
      </c>
    </row>
    <row r="10304" spans="1:11">
      <c r="A10304" s="683" t="s">
        <v>4216</v>
      </c>
      <c r="C10304" s="682" t="s">
        <v>2967</v>
      </c>
    </row>
    <row r="10305" spans="1:11">
      <c r="A10305" s="683" t="s">
        <v>3893</v>
      </c>
      <c r="C10305" s="682" t="s">
        <v>2168</v>
      </c>
    </row>
    <row r="10306" spans="1:11">
      <c r="A10306" s="683" t="s">
        <v>4218</v>
      </c>
      <c r="C10306" s="682" t="s">
        <v>4283</v>
      </c>
    </row>
    <row r="10308" spans="1:11">
      <c r="A10308" s="684" t="s">
        <v>4220</v>
      </c>
      <c r="B10308" s="685" t="s">
        <v>4221</v>
      </c>
      <c r="C10308" s="685" t="s">
        <v>4222</v>
      </c>
      <c r="D10308" s="685" t="s">
        <v>4223</v>
      </c>
      <c r="E10308" s="685" t="s">
        <v>4224</v>
      </c>
      <c r="F10308" s="685" t="s">
        <v>4225</v>
      </c>
      <c r="G10308" s="685" t="s">
        <v>4226</v>
      </c>
      <c r="H10308" s="685" t="s">
        <v>4227</v>
      </c>
      <c r="I10308" s="685" t="s">
        <v>4228</v>
      </c>
      <c r="J10308" s="685" t="s">
        <v>4229</v>
      </c>
      <c r="K10308" s="685" t="s">
        <v>4230</v>
      </c>
    </row>
    <row r="10309" spans="1:11">
      <c r="A10309" s="686" t="s">
        <v>4231</v>
      </c>
      <c r="B10309" s="687" t="s">
        <v>4232</v>
      </c>
      <c r="C10309" s="687" t="s">
        <v>4232</v>
      </c>
      <c r="D10309" s="687" t="s">
        <v>4232</v>
      </c>
      <c r="E10309" s="687" t="s">
        <v>4232</v>
      </c>
      <c r="F10309" s="687" t="s">
        <v>4232</v>
      </c>
      <c r="G10309" s="687" t="s">
        <v>4232</v>
      </c>
      <c r="H10309" s="687" t="s">
        <v>4232</v>
      </c>
      <c r="I10309" s="687" t="s">
        <v>4232</v>
      </c>
      <c r="J10309" s="687" t="s">
        <v>4232</v>
      </c>
      <c r="K10309" s="687" t="s">
        <v>4232</v>
      </c>
    </row>
    <row r="10310" spans="1:11">
      <c r="A10310" s="688" t="s">
        <v>4064</v>
      </c>
      <c r="B10310" s="691">
        <v>31.5</v>
      </c>
      <c r="C10310" s="691">
        <v>31.6</v>
      </c>
      <c r="D10310" s="691">
        <v>31.6</v>
      </c>
      <c r="E10310" s="691">
        <v>31.7</v>
      </c>
      <c r="F10310" s="691">
        <v>31.8</v>
      </c>
      <c r="G10310" s="691">
        <v>31.9</v>
      </c>
      <c r="H10310" s="691">
        <v>32.200000000000003</v>
      </c>
      <c r="I10310" s="691">
        <v>31.3</v>
      </c>
      <c r="J10310" s="615">
        <v>31</v>
      </c>
      <c r="K10310" s="691">
        <v>31.7</v>
      </c>
    </row>
    <row r="10311" spans="1:11">
      <c r="A10311" s="688" t="s">
        <v>4065</v>
      </c>
      <c r="B10311" s="689">
        <v>31.7</v>
      </c>
      <c r="C10311" s="693">
        <v>32</v>
      </c>
      <c r="D10311" s="689">
        <v>31.8</v>
      </c>
      <c r="E10311" s="689">
        <v>32.1</v>
      </c>
      <c r="F10311" s="689">
        <v>32.1</v>
      </c>
      <c r="G10311" s="689">
        <v>32.200000000000003</v>
      </c>
      <c r="H10311" s="690" t="s">
        <v>4060</v>
      </c>
      <c r="I10311" s="690" t="s">
        <v>4060</v>
      </c>
      <c r="J10311" s="690" t="s">
        <v>4060</v>
      </c>
      <c r="K10311" s="690" t="s">
        <v>4060</v>
      </c>
    </row>
    <row r="10312" spans="1:11">
      <c r="A10312" s="688" t="s">
        <v>4063</v>
      </c>
      <c r="B10312" s="691">
        <v>31.7</v>
      </c>
      <c r="C10312" s="615">
        <v>32</v>
      </c>
      <c r="D10312" s="691">
        <v>31.8</v>
      </c>
      <c r="E10312" s="691">
        <v>32.1</v>
      </c>
      <c r="F10312" s="691">
        <v>32.1</v>
      </c>
      <c r="G10312" s="691">
        <v>32.200000000000003</v>
      </c>
      <c r="H10312" s="692" t="s">
        <v>4060</v>
      </c>
      <c r="I10312" s="692" t="s">
        <v>4060</v>
      </c>
      <c r="J10312" s="692" t="s">
        <v>4060</v>
      </c>
      <c r="K10312" s="692" t="s">
        <v>4060</v>
      </c>
    </row>
    <row r="10313" spans="1:11">
      <c r="A10313" s="688" t="s">
        <v>4069</v>
      </c>
      <c r="B10313" s="690" t="s">
        <v>4060</v>
      </c>
      <c r="C10313" s="689">
        <v>32.6</v>
      </c>
      <c r="D10313" s="689">
        <v>32.4</v>
      </c>
      <c r="E10313" s="689">
        <v>32.700000000000003</v>
      </c>
      <c r="F10313" s="689">
        <v>32.799999999999997</v>
      </c>
      <c r="G10313" s="689">
        <v>32.9</v>
      </c>
      <c r="H10313" s="689">
        <v>33.200000000000003</v>
      </c>
      <c r="I10313" s="689">
        <v>32.4</v>
      </c>
      <c r="J10313" s="689">
        <v>32.4</v>
      </c>
      <c r="K10313" s="689">
        <v>32.700000000000003</v>
      </c>
    </row>
    <row r="10314" spans="1:11">
      <c r="A10314" s="688" t="s">
        <v>4068</v>
      </c>
      <c r="B10314" s="691">
        <v>32.5</v>
      </c>
      <c r="C10314" s="692" t="s">
        <v>4060</v>
      </c>
      <c r="D10314" s="692" t="s">
        <v>4060</v>
      </c>
      <c r="E10314" s="692" t="s">
        <v>4060</v>
      </c>
      <c r="F10314" s="692" t="s">
        <v>4060</v>
      </c>
      <c r="G10314" s="692" t="s">
        <v>4060</v>
      </c>
      <c r="H10314" s="692" t="s">
        <v>4060</v>
      </c>
      <c r="I10314" s="692" t="s">
        <v>4060</v>
      </c>
      <c r="J10314" s="692" t="s">
        <v>4060</v>
      </c>
      <c r="K10314" s="692" t="s">
        <v>4060</v>
      </c>
    </row>
    <row r="10315" spans="1:11">
      <c r="A10315" s="688" t="s">
        <v>0</v>
      </c>
      <c r="B10315" s="693">
        <v>32</v>
      </c>
      <c r="C10315" s="689">
        <v>32.4</v>
      </c>
      <c r="D10315" s="689">
        <v>32.299999999999997</v>
      </c>
      <c r="E10315" s="689">
        <v>32.6</v>
      </c>
      <c r="F10315" s="689">
        <v>32.799999999999997</v>
      </c>
      <c r="G10315" s="689">
        <v>32.9</v>
      </c>
      <c r="H10315" s="689">
        <v>33.299999999999997</v>
      </c>
      <c r="I10315" s="689">
        <v>32.1</v>
      </c>
      <c r="J10315" s="689">
        <v>32.9</v>
      </c>
      <c r="K10315" s="689">
        <v>33.200000000000003</v>
      </c>
    </row>
    <row r="10316" spans="1:11">
      <c r="A10316" s="688" t="s">
        <v>1</v>
      </c>
      <c r="B10316" s="691">
        <v>26.4</v>
      </c>
      <c r="C10316" s="691">
        <v>26.1</v>
      </c>
      <c r="D10316" s="691">
        <v>26.1</v>
      </c>
      <c r="E10316" s="691">
        <v>26.2</v>
      </c>
      <c r="F10316" s="691">
        <v>26.2</v>
      </c>
      <c r="G10316" s="691">
        <v>26.2</v>
      </c>
      <c r="H10316" s="691">
        <v>26.3</v>
      </c>
      <c r="I10316" s="691">
        <v>24.6</v>
      </c>
      <c r="J10316" s="691">
        <v>23.1</v>
      </c>
      <c r="K10316" s="691">
        <v>25.4</v>
      </c>
    </row>
    <row r="10317" spans="1:11">
      <c r="A10317" s="688" t="s">
        <v>2240</v>
      </c>
      <c r="B10317" s="689">
        <v>29.2</v>
      </c>
      <c r="C10317" s="689">
        <v>29.6</v>
      </c>
      <c r="D10317" s="689">
        <v>29.5</v>
      </c>
      <c r="E10317" s="689">
        <v>29.9</v>
      </c>
      <c r="F10317" s="689">
        <v>29.8</v>
      </c>
      <c r="G10317" s="689">
        <v>29.9</v>
      </c>
      <c r="H10317" s="689">
        <v>30.2</v>
      </c>
      <c r="I10317" s="693">
        <v>29</v>
      </c>
      <c r="J10317" s="693">
        <v>28</v>
      </c>
      <c r="K10317" s="693">
        <v>30</v>
      </c>
    </row>
    <row r="10318" spans="1:11">
      <c r="A10318" s="688" t="s">
        <v>2</v>
      </c>
      <c r="B10318" s="691">
        <v>31.8</v>
      </c>
      <c r="C10318" s="691">
        <v>32.200000000000003</v>
      </c>
      <c r="D10318" s="691">
        <v>32.200000000000003</v>
      </c>
      <c r="E10318" s="691">
        <v>32.4</v>
      </c>
      <c r="F10318" s="691">
        <v>32.6</v>
      </c>
      <c r="G10318" s="691">
        <v>32.5</v>
      </c>
      <c r="H10318" s="691">
        <v>32.799999999999997</v>
      </c>
      <c r="I10318" s="615">
        <v>33</v>
      </c>
      <c r="J10318" s="691">
        <v>32.9</v>
      </c>
      <c r="K10318" s="691">
        <v>32.799999999999997</v>
      </c>
    </row>
    <row r="10319" spans="1:11">
      <c r="A10319" s="688" t="s">
        <v>3</v>
      </c>
      <c r="B10319" s="689">
        <v>31.8</v>
      </c>
      <c r="C10319" s="693">
        <v>32</v>
      </c>
      <c r="D10319" s="689">
        <v>31.8</v>
      </c>
      <c r="E10319" s="693">
        <v>32</v>
      </c>
      <c r="F10319" s="689">
        <v>32.1</v>
      </c>
      <c r="G10319" s="689">
        <v>32.1</v>
      </c>
      <c r="H10319" s="689">
        <v>32.4</v>
      </c>
      <c r="I10319" s="689">
        <v>32.1</v>
      </c>
      <c r="J10319" s="689">
        <v>31.8</v>
      </c>
      <c r="K10319" s="689">
        <v>31.7</v>
      </c>
    </row>
    <row r="10320" spans="1:11">
      <c r="A10320" s="688" t="s">
        <v>4061</v>
      </c>
      <c r="B10320" s="691">
        <v>31.8</v>
      </c>
      <c r="C10320" s="615">
        <v>32</v>
      </c>
      <c r="D10320" s="691">
        <v>31.8</v>
      </c>
      <c r="E10320" s="615">
        <v>32</v>
      </c>
      <c r="F10320" s="691">
        <v>32.1</v>
      </c>
      <c r="G10320" s="691">
        <v>32.1</v>
      </c>
      <c r="H10320" s="691">
        <v>32.4</v>
      </c>
      <c r="I10320" s="691">
        <v>32.1</v>
      </c>
      <c r="J10320" s="691">
        <v>31.8</v>
      </c>
      <c r="K10320" s="691">
        <v>31.7</v>
      </c>
    </row>
    <row r="10321" spans="1:11">
      <c r="A10321" s="688" t="s">
        <v>4</v>
      </c>
      <c r="B10321" s="689">
        <v>27.7</v>
      </c>
      <c r="C10321" s="689">
        <v>27.5</v>
      </c>
      <c r="D10321" s="693">
        <v>28</v>
      </c>
      <c r="E10321" s="693">
        <v>28</v>
      </c>
      <c r="F10321" s="689">
        <v>28.3</v>
      </c>
      <c r="G10321" s="689">
        <v>28.3</v>
      </c>
      <c r="H10321" s="689">
        <v>28.6</v>
      </c>
      <c r="I10321" s="689">
        <v>28.6</v>
      </c>
      <c r="J10321" s="689">
        <v>27.2</v>
      </c>
      <c r="K10321" s="689">
        <v>28.1</v>
      </c>
    </row>
    <row r="10322" spans="1:11">
      <c r="A10322" s="688" t="s">
        <v>8</v>
      </c>
      <c r="B10322" s="691">
        <v>32.799999999999997</v>
      </c>
      <c r="C10322" s="615">
        <v>33</v>
      </c>
      <c r="D10322" s="691">
        <v>33.1</v>
      </c>
      <c r="E10322" s="691">
        <v>33.299999999999997</v>
      </c>
      <c r="F10322" s="691">
        <v>33.700000000000003</v>
      </c>
      <c r="G10322" s="691">
        <v>33.700000000000003</v>
      </c>
      <c r="H10322" s="615">
        <v>34</v>
      </c>
      <c r="I10322" s="615">
        <v>34</v>
      </c>
      <c r="J10322" s="691">
        <v>33.700000000000003</v>
      </c>
      <c r="K10322" s="691">
        <v>34.1</v>
      </c>
    </row>
    <row r="10323" spans="1:11">
      <c r="A10323" s="688" t="s">
        <v>7</v>
      </c>
      <c r="B10323" s="689">
        <v>32.6</v>
      </c>
      <c r="C10323" s="689">
        <v>32.1</v>
      </c>
      <c r="D10323" s="689">
        <v>31.8</v>
      </c>
      <c r="E10323" s="689">
        <v>32.200000000000003</v>
      </c>
      <c r="F10323" s="689">
        <v>32.1</v>
      </c>
      <c r="G10323" s="689">
        <v>32.5</v>
      </c>
      <c r="H10323" s="689">
        <v>32.5</v>
      </c>
      <c r="I10323" s="689">
        <v>32.200000000000003</v>
      </c>
      <c r="J10323" s="689">
        <v>31.2</v>
      </c>
      <c r="K10323" s="693">
        <v>32</v>
      </c>
    </row>
    <row r="10324" spans="1:11">
      <c r="A10324" s="688" t="s">
        <v>27</v>
      </c>
      <c r="B10324" s="691">
        <v>33.5</v>
      </c>
      <c r="C10324" s="691">
        <v>33.4</v>
      </c>
      <c r="D10324" s="691">
        <v>33.200000000000003</v>
      </c>
      <c r="E10324" s="691">
        <v>33.5</v>
      </c>
      <c r="F10324" s="691">
        <v>33.6</v>
      </c>
      <c r="G10324" s="691">
        <v>33.6</v>
      </c>
      <c r="H10324" s="615">
        <v>34</v>
      </c>
      <c r="I10324" s="691">
        <v>32.700000000000003</v>
      </c>
      <c r="J10324" s="691">
        <v>33.5</v>
      </c>
      <c r="K10324" s="691">
        <v>33.700000000000003</v>
      </c>
    </row>
    <row r="10325" spans="1:11">
      <c r="A10325" s="688" t="s">
        <v>6</v>
      </c>
      <c r="B10325" s="689">
        <v>33.1</v>
      </c>
      <c r="C10325" s="689">
        <v>33.200000000000003</v>
      </c>
      <c r="D10325" s="689">
        <v>33.1</v>
      </c>
      <c r="E10325" s="689">
        <v>33.299999999999997</v>
      </c>
      <c r="F10325" s="689">
        <v>33.4</v>
      </c>
      <c r="G10325" s="689">
        <v>33.5</v>
      </c>
      <c r="H10325" s="689">
        <v>33.700000000000003</v>
      </c>
      <c r="I10325" s="693">
        <v>33</v>
      </c>
      <c r="J10325" s="689">
        <v>33.1</v>
      </c>
      <c r="K10325" s="689">
        <v>33.299999999999997</v>
      </c>
    </row>
    <row r="10326" spans="1:11">
      <c r="A10326" s="688" t="s">
        <v>4058</v>
      </c>
      <c r="B10326" s="692" t="s">
        <v>4060</v>
      </c>
      <c r="C10326" s="692" t="s">
        <v>4060</v>
      </c>
      <c r="D10326" s="692" t="s">
        <v>4060</v>
      </c>
      <c r="E10326" s="692" t="s">
        <v>4060</v>
      </c>
      <c r="F10326" s="692" t="s">
        <v>4060</v>
      </c>
      <c r="G10326" s="692" t="s">
        <v>4060</v>
      </c>
      <c r="H10326" s="692" t="s">
        <v>4060</v>
      </c>
      <c r="I10326" s="692" t="s">
        <v>4060</v>
      </c>
      <c r="J10326" s="692" t="s">
        <v>4060</v>
      </c>
      <c r="K10326" s="692" t="s">
        <v>4060</v>
      </c>
    </row>
    <row r="10327" spans="1:11">
      <c r="A10327" s="688" t="s">
        <v>11</v>
      </c>
      <c r="B10327" s="689">
        <v>28.6</v>
      </c>
      <c r="C10327" s="689">
        <v>28.6</v>
      </c>
      <c r="D10327" s="689">
        <v>28.3</v>
      </c>
      <c r="E10327" s="689">
        <v>28.8</v>
      </c>
      <c r="F10327" s="689">
        <v>28.8</v>
      </c>
      <c r="G10327" s="689">
        <v>28.9</v>
      </c>
      <c r="H10327" s="689">
        <v>29.3</v>
      </c>
      <c r="I10327" s="689">
        <v>28.4</v>
      </c>
      <c r="J10327" s="689">
        <v>27.5</v>
      </c>
      <c r="K10327" s="689">
        <v>28.7</v>
      </c>
    </row>
    <row r="10328" spans="1:11">
      <c r="A10328" s="688" t="s">
        <v>10</v>
      </c>
      <c r="B10328" s="691">
        <v>33.700000000000003</v>
      </c>
      <c r="C10328" s="691">
        <v>33.799999999999997</v>
      </c>
      <c r="D10328" s="691">
        <v>33.5</v>
      </c>
      <c r="E10328" s="615">
        <v>34</v>
      </c>
      <c r="F10328" s="691">
        <v>33.9</v>
      </c>
      <c r="G10328" s="691">
        <v>34.299999999999997</v>
      </c>
      <c r="H10328" s="691">
        <v>34.5</v>
      </c>
      <c r="I10328" s="691">
        <v>33.1</v>
      </c>
      <c r="J10328" s="691">
        <v>33.6</v>
      </c>
      <c r="K10328" s="691">
        <v>33.9</v>
      </c>
    </row>
    <row r="10329" spans="1:11">
      <c r="A10329" s="688" t="s">
        <v>30</v>
      </c>
      <c r="B10329" s="689">
        <v>33.700000000000003</v>
      </c>
      <c r="C10329" s="689">
        <v>33.700000000000003</v>
      </c>
      <c r="D10329" s="689">
        <v>33.5</v>
      </c>
      <c r="E10329" s="693">
        <v>34</v>
      </c>
      <c r="F10329" s="689">
        <v>33.700000000000003</v>
      </c>
      <c r="G10329" s="689">
        <v>34.5</v>
      </c>
      <c r="H10329" s="689">
        <v>34.1</v>
      </c>
      <c r="I10329" s="689">
        <v>34.1</v>
      </c>
      <c r="J10329" s="689">
        <v>33.4</v>
      </c>
      <c r="K10329" s="689">
        <v>33.799999999999997</v>
      </c>
    </row>
    <row r="10330" spans="1:11">
      <c r="A10330" s="688" t="s">
        <v>12</v>
      </c>
      <c r="B10330" s="691">
        <v>25.2</v>
      </c>
      <c r="C10330" s="691">
        <v>25.2</v>
      </c>
      <c r="D10330" s="691">
        <v>25.6</v>
      </c>
      <c r="E10330" s="691">
        <v>25.7</v>
      </c>
      <c r="F10330" s="691">
        <v>25.6</v>
      </c>
      <c r="G10330" s="691">
        <v>25.7</v>
      </c>
      <c r="H10330" s="691">
        <v>26.3</v>
      </c>
      <c r="I10330" s="615">
        <v>26</v>
      </c>
      <c r="J10330" s="615">
        <v>24</v>
      </c>
      <c r="K10330" s="691">
        <v>25.1</v>
      </c>
    </row>
    <row r="10331" spans="1:11">
      <c r="A10331" s="688" t="s">
        <v>14</v>
      </c>
      <c r="B10331" s="689">
        <v>25.2</v>
      </c>
      <c r="C10331" s="689">
        <v>25.6</v>
      </c>
      <c r="D10331" s="689">
        <v>25.4</v>
      </c>
      <c r="E10331" s="689">
        <v>25.6</v>
      </c>
      <c r="F10331" s="689">
        <v>26.4</v>
      </c>
      <c r="G10331" s="689">
        <v>26.5</v>
      </c>
      <c r="H10331" s="689">
        <v>26.8</v>
      </c>
      <c r="I10331" s="689">
        <v>25.6</v>
      </c>
      <c r="J10331" s="689">
        <v>25.1</v>
      </c>
      <c r="K10331" s="689">
        <v>26.4</v>
      </c>
    </row>
    <row r="10332" spans="1:11">
      <c r="A10332" s="688" t="s">
        <v>15</v>
      </c>
      <c r="B10332" s="691">
        <v>33.200000000000003</v>
      </c>
      <c r="C10332" s="691">
        <v>32.6</v>
      </c>
      <c r="D10332" s="691">
        <v>33.4</v>
      </c>
      <c r="E10332" s="691">
        <v>33.200000000000003</v>
      </c>
      <c r="F10332" s="691">
        <v>33.1</v>
      </c>
      <c r="G10332" s="691">
        <v>33.200000000000003</v>
      </c>
      <c r="H10332" s="691">
        <v>33.6</v>
      </c>
      <c r="I10332" s="691">
        <v>33.1</v>
      </c>
      <c r="J10332" s="691">
        <v>33.5</v>
      </c>
      <c r="K10332" s="691">
        <v>34.1</v>
      </c>
    </row>
    <row r="10333" spans="1:11">
      <c r="A10333" s="688" t="s">
        <v>29</v>
      </c>
      <c r="B10333" s="689">
        <v>26.4</v>
      </c>
      <c r="C10333" s="689">
        <v>26.4</v>
      </c>
      <c r="D10333" s="689">
        <v>26.3</v>
      </c>
      <c r="E10333" s="689">
        <v>26.5</v>
      </c>
      <c r="F10333" s="689">
        <v>26.4</v>
      </c>
      <c r="G10333" s="689">
        <v>26.5</v>
      </c>
      <c r="H10333" s="689">
        <v>26.9</v>
      </c>
      <c r="I10333" s="689">
        <v>26.2</v>
      </c>
      <c r="J10333" s="689">
        <v>24.9</v>
      </c>
      <c r="K10333" s="689">
        <v>26.6</v>
      </c>
    </row>
    <row r="10334" spans="1:11">
      <c r="A10334" s="688" t="s">
        <v>16</v>
      </c>
      <c r="B10334" s="691">
        <v>33.200000000000003</v>
      </c>
      <c r="C10334" s="691">
        <v>33.200000000000003</v>
      </c>
      <c r="D10334" s="691">
        <v>33.299999999999997</v>
      </c>
      <c r="E10334" s="615">
        <v>34</v>
      </c>
      <c r="F10334" s="691">
        <v>33.799999999999997</v>
      </c>
      <c r="G10334" s="691">
        <v>33.6</v>
      </c>
      <c r="H10334" s="691">
        <v>34.1</v>
      </c>
      <c r="I10334" s="691">
        <v>33.200000000000003</v>
      </c>
      <c r="J10334" s="691">
        <v>33.700000000000003</v>
      </c>
      <c r="K10334" s="691">
        <v>33.700000000000003</v>
      </c>
    </row>
    <row r="10335" spans="1:11">
      <c r="A10335" s="688" t="s">
        <v>17</v>
      </c>
      <c r="B10335" s="693">
        <v>33</v>
      </c>
      <c r="C10335" s="689">
        <v>33.299999999999997</v>
      </c>
      <c r="D10335" s="689">
        <v>33.1</v>
      </c>
      <c r="E10335" s="689">
        <v>33.200000000000003</v>
      </c>
      <c r="F10335" s="689">
        <v>33.5</v>
      </c>
      <c r="G10335" s="689">
        <v>33.5</v>
      </c>
      <c r="H10335" s="689">
        <v>33.799999999999997</v>
      </c>
      <c r="I10335" s="689">
        <v>33.1</v>
      </c>
      <c r="J10335" s="689">
        <v>33.1</v>
      </c>
      <c r="K10335" s="689">
        <v>33.5</v>
      </c>
    </row>
    <row r="10336" spans="1:11">
      <c r="A10336" s="688" t="s">
        <v>19</v>
      </c>
      <c r="B10336" s="691">
        <v>32.299999999999997</v>
      </c>
      <c r="C10336" s="691">
        <v>32.5</v>
      </c>
      <c r="D10336" s="691">
        <v>32.299999999999997</v>
      </c>
      <c r="E10336" s="691">
        <v>32.700000000000003</v>
      </c>
      <c r="F10336" s="691">
        <v>32.799999999999997</v>
      </c>
      <c r="G10336" s="691">
        <v>32.799999999999997</v>
      </c>
      <c r="H10336" s="691">
        <v>33.200000000000003</v>
      </c>
      <c r="I10336" s="691">
        <v>32.4</v>
      </c>
      <c r="J10336" s="691">
        <v>32.4</v>
      </c>
      <c r="K10336" s="691">
        <v>32.6</v>
      </c>
    </row>
    <row r="10337" spans="1:11">
      <c r="A10337" s="688" t="s">
        <v>20</v>
      </c>
      <c r="B10337" s="689">
        <v>27.8</v>
      </c>
      <c r="C10337" s="689">
        <v>28.3</v>
      </c>
      <c r="D10337" s="689">
        <v>28.1</v>
      </c>
      <c r="E10337" s="689">
        <v>28.4</v>
      </c>
      <c r="F10337" s="689">
        <v>28.4</v>
      </c>
      <c r="G10337" s="689">
        <v>28.4</v>
      </c>
      <c r="H10337" s="689">
        <v>28.6</v>
      </c>
      <c r="I10337" s="689">
        <v>27.1</v>
      </c>
      <c r="J10337" s="689">
        <v>26.3</v>
      </c>
      <c r="K10337" s="693">
        <v>28</v>
      </c>
    </row>
    <row r="10338" spans="1:11">
      <c r="A10338" s="688" t="s">
        <v>21</v>
      </c>
      <c r="B10338" s="691">
        <v>31.6</v>
      </c>
      <c r="C10338" s="615">
        <v>32</v>
      </c>
      <c r="D10338" s="691">
        <v>32.1</v>
      </c>
      <c r="E10338" s="615">
        <v>32</v>
      </c>
      <c r="F10338" s="691">
        <v>32.299999999999997</v>
      </c>
      <c r="G10338" s="691">
        <v>32.299999999999997</v>
      </c>
      <c r="H10338" s="691">
        <v>32.6</v>
      </c>
      <c r="I10338" s="691">
        <v>32.1</v>
      </c>
      <c r="J10338" s="615">
        <v>32</v>
      </c>
      <c r="K10338" s="691">
        <v>32.5</v>
      </c>
    </row>
    <row r="10339" spans="1:11">
      <c r="A10339" s="688" t="s">
        <v>22</v>
      </c>
      <c r="B10339" s="689">
        <v>26.8</v>
      </c>
      <c r="C10339" s="689">
        <v>26.5</v>
      </c>
      <c r="D10339" s="689">
        <v>26.5</v>
      </c>
      <c r="E10339" s="689">
        <v>26.5</v>
      </c>
      <c r="F10339" s="689">
        <v>26.5</v>
      </c>
      <c r="G10339" s="689">
        <v>26.5</v>
      </c>
      <c r="H10339" s="689">
        <v>26.7</v>
      </c>
      <c r="I10339" s="689">
        <v>25.1</v>
      </c>
      <c r="J10339" s="689">
        <v>24.1</v>
      </c>
      <c r="K10339" s="693">
        <v>26</v>
      </c>
    </row>
    <row r="10340" spans="1:11">
      <c r="A10340" s="688" t="s">
        <v>26</v>
      </c>
      <c r="B10340" s="615">
        <v>31</v>
      </c>
      <c r="C10340" s="691">
        <v>31.5</v>
      </c>
      <c r="D10340" s="691">
        <v>31.3</v>
      </c>
      <c r="E10340" s="691">
        <v>31.7</v>
      </c>
      <c r="F10340" s="691">
        <v>31.5</v>
      </c>
      <c r="G10340" s="691">
        <v>31.8</v>
      </c>
      <c r="H10340" s="691">
        <v>32.1</v>
      </c>
      <c r="I10340" s="691">
        <v>31.2</v>
      </c>
      <c r="J10340" s="691">
        <v>31.1</v>
      </c>
      <c r="K10340" s="691">
        <v>32.1</v>
      </c>
    </row>
    <row r="10341" spans="1:11">
      <c r="A10341" s="688" t="s">
        <v>25</v>
      </c>
      <c r="B10341" s="689">
        <v>27.4</v>
      </c>
      <c r="C10341" s="689">
        <v>27.8</v>
      </c>
      <c r="D10341" s="689">
        <v>27.7</v>
      </c>
      <c r="E10341" s="689">
        <v>28.2</v>
      </c>
      <c r="F10341" s="689">
        <v>28.1</v>
      </c>
      <c r="G10341" s="689">
        <v>28.3</v>
      </c>
      <c r="H10341" s="689">
        <v>28.7</v>
      </c>
      <c r="I10341" s="689">
        <v>27.9</v>
      </c>
      <c r="J10341" s="689">
        <v>25.7</v>
      </c>
      <c r="K10341" s="693">
        <v>28</v>
      </c>
    </row>
    <row r="10342" spans="1:11">
      <c r="A10342" s="688" t="s">
        <v>5</v>
      </c>
      <c r="B10342" s="691">
        <v>32.1</v>
      </c>
      <c r="C10342" s="691">
        <v>32.1</v>
      </c>
      <c r="D10342" s="691">
        <v>32.299999999999997</v>
      </c>
      <c r="E10342" s="691">
        <v>32.299999999999997</v>
      </c>
      <c r="F10342" s="691">
        <v>32.6</v>
      </c>
      <c r="G10342" s="691">
        <v>32.700000000000003</v>
      </c>
      <c r="H10342" s="691">
        <v>33.1</v>
      </c>
      <c r="I10342" s="615">
        <v>33</v>
      </c>
      <c r="J10342" s="691">
        <v>32.9</v>
      </c>
      <c r="K10342" s="691">
        <v>32.4</v>
      </c>
    </row>
    <row r="10343" spans="1:11">
      <c r="A10343" s="688" t="s">
        <v>23</v>
      </c>
      <c r="B10343" s="689">
        <v>33.700000000000003</v>
      </c>
      <c r="C10343" s="689">
        <v>33.799999999999997</v>
      </c>
      <c r="D10343" s="689">
        <v>33.9</v>
      </c>
      <c r="E10343" s="693">
        <v>34</v>
      </c>
      <c r="F10343" s="689">
        <v>34.200000000000003</v>
      </c>
      <c r="G10343" s="689">
        <v>34.299999999999997</v>
      </c>
      <c r="H10343" s="689">
        <v>34.700000000000003</v>
      </c>
      <c r="I10343" s="693">
        <v>34</v>
      </c>
      <c r="J10343" s="689">
        <v>34.6</v>
      </c>
      <c r="K10343" s="689">
        <v>34.799999999999997</v>
      </c>
    </row>
    <row r="10344" spans="1:11">
      <c r="A10344" s="688" t="s">
        <v>4067</v>
      </c>
      <c r="B10344" s="691">
        <v>31.7</v>
      </c>
      <c r="C10344" s="615">
        <v>32</v>
      </c>
      <c r="D10344" s="691">
        <v>31.8</v>
      </c>
      <c r="E10344" s="691">
        <v>32.1</v>
      </c>
      <c r="F10344" s="691">
        <v>32.1</v>
      </c>
      <c r="G10344" s="691">
        <v>32.200000000000003</v>
      </c>
      <c r="H10344" s="692" t="s">
        <v>4060</v>
      </c>
      <c r="I10344" s="692" t="s">
        <v>4060</v>
      </c>
      <c r="J10344" s="692" t="s">
        <v>4060</v>
      </c>
      <c r="K10344" s="692" t="s">
        <v>4060</v>
      </c>
    </row>
    <row r="10345" spans="1:11">
      <c r="A10345" s="688" t="s">
        <v>4066</v>
      </c>
      <c r="B10345" s="689">
        <v>31.7</v>
      </c>
      <c r="C10345" s="689">
        <v>32.1</v>
      </c>
      <c r="D10345" s="689">
        <v>31.8</v>
      </c>
      <c r="E10345" s="689">
        <v>32.1</v>
      </c>
      <c r="F10345" s="689">
        <v>32.200000000000003</v>
      </c>
      <c r="G10345" s="689">
        <v>32.299999999999997</v>
      </c>
      <c r="H10345" s="690" t="s">
        <v>4060</v>
      </c>
      <c r="I10345" s="690" t="s">
        <v>4060</v>
      </c>
      <c r="J10345" s="690" t="s">
        <v>4060</v>
      </c>
      <c r="K10345" s="690" t="s">
        <v>4060</v>
      </c>
    </row>
    <row r="10346" spans="1:11">
      <c r="A10346" s="688" t="s">
        <v>4062</v>
      </c>
      <c r="B10346" s="691">
        <v>33.9</v>
      </c>
      <c r="C10346" s="691">
        <v>34.1</v>
      </c>
      <c r="D10346" s="691">
        <v>34.1</v>
      </c>
      <c r="E10346" s="691">
        <v>34.5</v>
      </c>
      <c r="F10346" s="691">
        <v>34.6</v>
      </c>
      <c r="G10346" s="691">
        <v>34.799999999999997</v>
      </c>
      <c r="H10346" s="615">
        <v>35</v>
      </c>
      <c r="I10346" s="691">
        <v>34.6</v>
      </c>
      <c r="J10346" s="691">
        <v>34.9</v>
      </c>
      <c r="K10346" s="691">
        <v>34.700000000000003</v>
      </c>
    </row>
    <row r="10347" spans="1:11">
      <c r="A10347" s="688" t="s">
        <v>9</v>
      </c>
      <c r="B10347" s="693">
        <v>34</v>
      </c>
      <c r="C10347" s="689">
        <v>34.299999999999997</v>
      </c>
      <c r="D10347" s="689">
        <v>34.700000000000003</v>
      </c>
      <c r="E10347" s="693">
        <v>34</v>
      </c>
      <c r="F10347" s="689">
        <v>34.4</v>
      </c>
      <c r="G10347" s="689">
        <v>34.799999999999997</v>
      </c>
      <c r="H10347" s="689">
        <v>34.9</v>
      </c>
      <c r="I10347" s="689">
        <v>35.1</v>
      </c>
      <c r="J10347" s="689">
        <v>35.4</v>
      </c>
      <c r="K10347" s="689">
        <v>34.4</v>
      </c>
    </row>
    <row r="10348" spans="1:11">
      <c r="A10348" s="688" t="s">
        <v>13</v>
      </c>
      <c r="B10348" s="691">
        <v>33.6</v>
      </c>
      <c r="C10348" s="691">
        <v>34.1</v>
      </c>
      <c r="D10348" s="691">
        <v>34.5</v>
      </c>
      <c r="E10348" s="691">
        <v>33.1</v>
      </c>
      <c r="F10348" s="691">
        <v>34.9</v>
      </c>
      <c r="G10348" s="691">
        <v>34.1</v>
      </c>
      <c r="H10348" s="691">
        <v>35.1</v>
      </c>
      <c r="I10348" s="691">
        <v>33.9</v>
      </c>
      <c r="J10348" s="615">
        <v>35</v>
      </c>
      <c r="K10348" s="691">
        <v>35.9</v>
      </c>
    </row>
    <row r="10349" spans="1:11">
      <c r="A10349" s="688" t="s">
        <v>18</v>
      </c>
      <c r="B10349" s="689">
        <v>33.299999999999997</v>
      </c>
      <c r="C10349" s="689">
        <v>33.6</v>
      </c>
      <c r="D10349" s="689">
        <v>33.799999999999997</v>
      </c>
      <c r="E10349" s="693">
        <v>34</v>
      </c>
      <c r="F10349" s="689">
        <v>34.299999999999997</v>
      </c>
      <c r="G10349" s="689">
        <v>34.4</v>
      </c>
      <c r="H10349" s="689">
        <v>34.700000000000003</v>
      </c>
      <c r="I10349" s="689">
        <v>34.9</v>
      </c>
      <c r="J10349" s="689">
        <v>34.9</v>
      </c>
      <c r="K10349" s="689">
        <v>34.299999999999997</v>
      </c>
    </row>
    <row r="10350" spans="1:11">
      <c r="A10350" s="688" t="s">
        <v>24</v>
      </c>
      <c r="B10350" s="691">
        <v>34.200000000000003</v>
      </c>
      <c r="C10350" s="691">
        <v>34.4</v>
      </c>
      <c r="D10350" s="691">
        <v>34.200000000000003</v>
      </c>
      <c r="E10350" s="691">
        <v>34.799999999999997</v>
      </c>
      <c r="F10350" s="691">
        <v>34.799999999999997</v>
      </c>
      <c r="G10350" s="615">
        <v>35</v>
      </c>
      <c r="H10350" s="691">
        <v>35.200000000000003</v>
      </c>
      <c r="I10350" s="691">
        <v>34.4</v>
      </c>
      <c r="J10350" s="691">
        <v>34.9</v>
      </c>
      <c r="K10350" s="615">
        <v>35</v>
      </c>
    </row>
    <row r="10351" spans="1:11">
      <c r="A10351" s="688" t="s">
        <v>4059</v>
      </c>
      <c r="B10351" s="689">
        <v>33.1</v>
      </c>
      <c r="C10351" s="689">
        <v>33.4</v>
      </c>
      <c r="D10351" s="689">
        <v>33.1</v>
      </c>
      <c r="E10351" s="689">
        <v>33.299999999999997</v>
      </c>
      <c r="F10351" s="689">
        <v>33.4</v>
      </c>
      <c r="G10351" s="689">
        <v>33.4</v>
      </c>
      <c r="H10351" s="690" t="s">
        <v>4060</v>
      </c>
      <c r="I10351" s="690" t="s">
        <v>4060</v>
      </c>
      <c r="J10351" s="690" t="s">
        <v>4060</v>
      </c>
      <c r="K10351" s="690" t="s">
        <v>4060</v>
      </c>
    </row>
    <row r="10352" spans="1:11">
      <c r="A10352" s="688" t="s">
        <v>2324</v>
      </c>
      <c r="B10352" s="691">
        <v>28.2</v>
      </c>
      <c r="C10352" s="691">
        <v>28.2</v>
      </c>
      <c r="D10352" s="691">
        <v>28.2</v>
      </c>
      <c r="E10352" s="691">
        <v>27.9</v>
      </c>
      <c r="F10352" s="691">
        <v>28.1</v>
      </c>
      <c r="G10352" s="691">
        <v>28.4</v>
      </c>
      <c r="H10352" s="691">
        <v>28.2</v>
      </c>
      <c r="I10352" s="691">
        <v>27.1</v>
      </c>
      <c r="J10352" s="615">
        <v>25</v>
      </c>
      <c r="K10352" s="692" t="s">
        <v>4060</v>
      </c>
    </row>
    <row r="10353" spans="1:11">
      <c r="A10353" s="688" t="s">
        <v>2322</v>
      </c>
      <c r="B10353" s="690" t="s">
        <v>4060</v>
      </c>
      <c r="C10353" s="690" t="s">
        <v>4060</v>
      </c>
      <c r="D10353" s="690" t="s">
        <v>4060</v>
      </c>
      <c r="E10353" s="690" t="s">
        <v>4060</v>
      </c>
      <c r="F10353" s="690" t="s">
        <v>4060</v>
      </c>
      <c r="G10353" s="690" t="s">
        <v>4060</v>
      </c>
      <c r="H10353" s="690" t="s">
        <v>4060</v>
      </c>
      <c r="I10353" s="690" t="s">
        <v>4060</v>
      </c>
      <c r="J10353" s="690" t="s">
        <v>4060</v>
      </c>
      <c r="K10353" s="690" t="s">
        <v>4060</v>
      </c>
    </row>
    <row r="10354" spans="1:11">
      <c r="A10354" s="688" t="s">
        <v>2328</v>
      </c>
      <c r="B10354" s="691">
        <v>27.8</v>
      </c>
      <c r="C10354" s="691">
        <v>27.8</v>
      </c>
      <c r="D10354" s="691">
        <v>27.8</v>
      </c>
      <c r="E10354" s="691">
        <v>27.9</v>
      </c>
      <c r="F10354" s="691">
        <v>28.3</v>
      </c>
      <c r="G10354" s="691">
        <v>28.6</v>
      </c>
      <c r="H10354" s="691">
        <v>28.5</v>
      </c>
      <c r="I10354" s="691">
        <v>26.1</v>
      </c>
      <c r="J10354" s="691">
        <v>25.3</v>
      </c>
      <c r="K10354" s="692" t="s">
        <v>4060</v>
      </c>
    </row>
    <row r="10355" spans="1:11">
      <c r="A10355" s="688" t="s">
        <v>2496</v>
      </c>
      <c r="B10355" s="690" t="s">
        <v>4060</v>
      </c>
      <c r="C10355" s="689">
        <v>25.9</v>
      </c>
      <c r="D10355" s="689">
        <v>24.8</v>
      </c>
      <c r="E10355" s="689">
        <v>24.6</v>
      </c>
      <c r="F10355" s="689">
        <v>25.3</v>
      </c>
      <c r="G10355" s="689">
        <v>25.5</v>
      </c>
      <c r="H10355" s="689">
        <v>25.5</v>
      </c>
      <c r="I10355" s="690" t="s">
        <v>4060</v>
      </c>
      <c r="J10355" s="690" t="s">
        <v>4060</v>
      </c>
      <c r="K10355" s="693">
        <v>25</v>
      </c>
    </row>
    <row r="10356" spans="1:11">
      <c r="A10356" s="688" t="s">
        <v>2269</v>
      </c>
      <c r="B10356" s="615">
        <v>31</v>
      </c>
      <c r="C10356" s="691">
        <v>31.1</v>
      </c>
      <c r="D10356" s="691">
        <v>30.7</v>
      </c>
      <c r="E10356" s="691">
        <v>31.4</v>
      </c>
      <c r="F10356" s="691">
        <v>31.4</v>
      </c>
      <c r="G10356" s="691">
        <v>31.7</v>
      </c>
      <c r="H10356" s="691">
        <v>32.1</v>
      </c>
      <c r="I10356" s="691">
        <v>29.6</v>
      </c>
      <c r="J10356" s="691">
        <v>27.9</v>
      </c>
      <c r="K10356" s="691">
        <v>31.5</v>
      </c>
    </row>
    <row r="10357" spans="1:11">
      <c r="A10357" s="688" t="s">
        <v>2349</v>
      </c>
      <c r="B10357" s="689">
        <v>27.1</v>
      </c>
      <c r="C10357" s="689">
        <v>27.2</v>
      </c>
      <c r="D10357" s="689">
        <v>27.1</v>
      </c>
      <c r="E10357" s="689">
        <v>27.4</v>
      </c>
      <c r="F10357" s="689">
        <v>27.4</v>
      </c>
      <c r="G10357" s="689">
        <v>27.6</v>
      </c>
      <c r="H10357" s="689">
        <v>27.6</v>
      </c>
      <c r="I10357" s="689">
        <v>25.9</v>
      </c>
      <c r="J10357" s="689">
        <v>24.5</v>
      </c>
      <c r="K10357" s="689">
        <v>26.9</v>
      </c>
    </row>
    <row r="10358" spans="1:11">
      <c r="A10358" s="688" t="s">
        <v>2355</v>
      </c>
      <c r="B10358" s="691">
        <v>30.2</v>
      </c>
      <c r="C10358" s="691">
        <v>30.2</v>
      </c>
      <c r="D10358" s="691">
        <v>30.1</v>
      </c>
      <c r="E10358" s="691">
        <v>30.1</v>
      </c>
      <c r="F10358" s="691">
        <v>30.3</v>
      </c>
      <c r="G10358" s="691">
        <v>30.7</v>
      </c>
      <c r="H10358" s="691">
        <v>30.8</v>
      </c>
      <c r="I10358" s="692" t="s">
        <v>4060</v>
      </c>
      <c r="J10358" s="692" t="s">
        <v>4060</v>
      </c>
      <c r="K10358" s="692" t="s">
        <v>4060</v>
      </c>
    </row>
    <row r="10359" spans="1:11">
      <c r="A10359" s="688" t="s">
        <v>2357</v>
      </c>
      <c r="B10359" s="690" t="s">
        <v>4060</v>
      </c>
      <c r="C10359" s="693">
        <v>24</v>
      </c>
      <c r="D10359" s="689">
        <v>24.4</v>
      </c>
      <c r="E10359" s="689">
        <v>24.7</v>
      </c>
      <c r="F10359" s="689">
        <v>24.9</v>
      </c>
      <c r="G10359" s="689">
        <v>24.7</v>
      </c>
      <c r="H10359" s="689">
        <v>24.9</v>
      </c>
      <c r="I10359" s="690" t="s">
        <v>4060</v>
      </c>
      <c r="J10359" s="690" t="s">
        <v>4060</v>
      </c>
      <c r="K10359" s="690" t="s">
        <v>4060</v>
      </c>
    </row>
    <row r="10360" spans="1:11">
      <c r="A10360" s="688" t="s">
        <v>4070</v>
      </c>
      <c r="B10360" s="692" t="s">
        <v>4060</v>
      </c>
      <c r="C10360" s="692" t="s">
        <v>4060</v>
      </c>
      <c r="D10360" s="692" t="s">
        <v>4060</v>
      </c>
      <c r="E10360" s="691">
        <v>29.6</v>
      </c>
      <c r="F10360" s="692" t="s">
        <v>4060</v>
      </c>
      <c r="G10360" s="692" t="s">
        <v>4060</v>
      </c>
      <c r="H10360" s="692" t="s">
        <v>4060</v>
      </c>
      <c r="I10360" s="692" t="s">
        <v>4060</v>
      </c>
      <c r="J10360" s="692" t="s">
        <v>4060</v>
      </c>
      <c r="K10360" s="692" t="s">
        <v>4060</v>
      </c>
    </row>
    <row r="10361" spans="1:11">
      <c r="A10361" s="688" t="s">
        <v>2491</v>
      </c>
      <c r="B10361" s="689">
        <v>23.6</v>
      </c>
      <c r="C10361" s="689">
        <v>23.9</v>
      </c>
      <c r="D10361" s="689">
        <v>24.3</v>
      </c>
      <c r="E10361" s="689">
        <v>24.4</v>
      </c>
      <c r="F10361" s="689">
        <v>24.6</v>
      </c>
      <c r="G10361" s="689">
        <v>24.5</v>
      </c>
      <c r="H10361" s="690" t="s">
        <v>4060</v>
      </c>
      <c r="I10361" s="690" t="s">
        <v>4060</v>
      </c>
      <c r="J10361" s="690" t="s">
        <v>4060</v>
      </c>
      <c r="K10361" s="690" t="s">
        <v>4060</v>
      </c>
    </row>
    <row r="10362" spans="1:11">
      <c r="A10362" s="688" t="s">
        <v>2343</v>
      </c>
      <c r="B10362" s="692" t="s">
        <v>4060</v>
      </c>
      <c r="C10362" s="692" t="s">
        <v>4060</v>
      </c>
      <c r="D10362" s="692" t="s">
        <v>4060</v>
      </c>
      <c r="E10362" s="692" t="s">
        <v>4060</v>
      </c>
      <c r="F10362" s="692" t="s">
        <v>4060</v>
      </c>
      <c r="G10362" s="692" t="s">
        <v>4060</v>
      </c>
      <c r="H10362" s="692" t="s">
        <v>4060</v>
      </c>
      <c r="I10362" s="692" t="s">
        <v>4060</v>
      </c>
      <c r="J10362" s="692" t="s">
        <v>4060</v>
      </c>
      <c r="K10362" s="692" t="s">
        <v>4060</v>
      </c>
    </row>
    <row r="10363" spans="1:11">
      <c r="A10363" s="688" t="s">
        <v>4071</v>
      </c>
      <c r="B10363" s="690" t="s">
        <v>4060</v>
      </c>
      <c r="C10363" s="690" t="s">
        <v>4060</v>
      </c>
      <c r="D10363" s="690" t="s">
        <v>4060</v>
      </c>
      <c r="E10363" s="690" t="s">
        <v>4060</v>
      </c>
      <c r="F10363" s="690" t="s">
        <v>4060</v>
      </c>
      <c r="G10363" s="690" t="s">
        <v>4060</v>
      </c>
      <c r="H10363" s="690" t="s">
        <v>4060</v>
      </c>
      <c r="I10363" s="690" t="s">
        <v>4060</v>
      </c>
      <c r="J10363" s="690" t="s">
        <v>4060</v>
      </c>
      <c r="K10363" s="690" t="s">
        <v>4060</v>
      </c>
    </row>
    <row r="10364" spans="1:11">
      <c r="A10364" s="688" t="s">
        <v>2489</v>
      </c>
      <c r="B10364" s="692" t="s">
        <v>4060</v>
      </c>
      <c r="C10364" s="692" t="s">
        <v>4060</v>
      </c>
      <c r="D10364" s="691">
        <v>26.8</v>
      </c>
      <c r="E10364" s="691">
        <v>26.8</v>
      </c>
      <c r="F10364" s="691">
        <v>27.2</v>
      </c>
      <c r="G10364" s="691">
        <v>28.1</v>
      </c>
      <c r="H10364" s="691">
        <v>27.8</v>
      </c>
      <c r="I10364" s="692" t="s">
        <v>4060</v>
      </c>
      <c r="J10364" s="692" t="s">
        <v>4060</v>
      </c>
      <c r="K10364" s="692" t="s">
        <v>4060</v>
      </c>
    </row>
    <row r="10365" spans="1:11">
      <c r="A10365" s="688" t="s">
        <v>2490</v>
      </c>
      <c r="B10365" s="689">
        <v>27.5</v>
      </c>
      <c r="C10365" s="689">
        <v>27.6</v>
      </c>
      <c r="D10365" s="689">
        <v>28.2</v>
      </c>
      <c r="E10365" s="690" t="s">
        <v>4060</v>
      </c>
      <c r="F10365" s="689">
        <v>28.5</v>
      </c>
      <c r="G10365" s="689">
        <v>28.6</v>
      </c>
      <c r="H10365" s="689">
        <v>29.6</v>
      </c>
      <c r="I10365" s="690" t="s">
        <v>4060</v>
      </c>
      <c r="J10365" s="690" t="s">
        <v>4060</v>
      </c>
      <c r="K10365" s="690" t="s">
        <v>4060</v>
      </c>
    </row>
    <row r="10367" spans="1:11">
      <c r="A10367" s="683" t="s">
        <v>4233</v>
      </c>
    </row>
    <row r="10368" spans="1:11">
      <c r="A10368" s="683" t="s">
        <v>4060</v>
      </c>
      <c r="B10368" s="682" t="s">
        <v>4234</v>
      </c>
    </row>
    <row r="10370" spans="1:11">
      <c r="A10370" s="682" t="s">
        <v>4331</v>
      </c>
    </row>
    <row r="10371" spans="1:11">
      <c r="A10371" s="682" t="s">
        <v>4210</v>
      </c>
      <c r="B10371" s="683" t="s">
        <v>4211</v>
      </c>
    </row>
    <row r="10372" spans="1:11">
      <c r="A10372" s="682" t="s">
        <v>4212</v>
      </c>
      <c r="B10372" s="682" t="s">
        <v>4213</v>
      </c>
    </row>
    <row r="10374" spans="1:11">
      <c r="A10374" s="683" t="s">
        <v>4214</v>
      </c>
      <c r="C10374" s="682" t="s">
        <v>4215</v>
      </c>
    </row>
    <row r="10375" spans="1:11">
      <c r="A10375" s="683" t="s">
        <v>4216</v>
      </c>
      <c r="C10375" s="682" t="s">
        <v>2967</v>
      </c>
    </row>
    <row r="10376" spans="1:11">
      <c r="A10376" s="683" t="s">
        <v>3893</v>
      </c>
      <c r="C10376" s="682" t="s">
        <v>2168</v>
      </c>
    </row>
    <row r="10377" spans="1:11">
      <c r="A10377" s="683" t="s">
        <v>4218</v>
      </c>
      <c r="C10377" s="682" t="s">
        <v>4284</v>
      </c>
    </row>
    <row r="10379" spans="1:11">
      <c r="A10379" s="684" t="s">
        <v>4220</v>
      </c>
      <c r="B10379" s="685" t="s">
        <v>4221</v>
      </c>
      <c r="C10379" s="685" t="s">
        <v>4222</v>
      </c>
      <c r="D10379" s="685" t="s">
        <v>4223</v>
      </c>
      <c r="E10379" s="685" t="s">
        <v>4224</v>
      </c>
      <c r="F10379" s="685" t="s">
        <v>4225</v>
      </c>
      <c r="G10379" s="685" t="s">
        <v>4226</v>
      </c>
      <c r="H10379" s="685" t="s">
        <v>4227</v>
      </c>
      <c r="I10379" s="685" t="s">
        <v>4228</v>
      </c>
      <c r="J10379" s="685" t="s">
        <v>4229</v>
      </c>
      <c r="K10379" s="685" t="s">
        <v>4230</v>
      </c>
    </row>
    <row r="10380" spans="1:11">
      <c r="A10380" s="686" t="s">
        <v>4231</v>
      </c>
      <c r="B10380" s="687" t="s">
        <v>4232</v>
      </c>
      <c r="C10380" s="687" t="s">
        <v>4232</v>
      </c>
      <c r="D10380" s="687" t="s">
        <v>4232</v>
      </c>
      <c r="E10380" s="687" t="s">
        <v>4232</v>
      </c>
      <c r="F10380" s="687" t="s">
        <v>4232</v>
      </c>
      <c r="G10380" s="687" t="s">
        <v>4232</v>
      </c>
      <c r="H10380" s="687" t="s">
        <v>4232</v>
      </c>
      <c r="I10380" s="687" t="s">
        <v>4232</v>
      </c>
      <c r="J10380" s="687" t="s">
        <v>4232</v>
      </c>
      <c r="K10380" s="687" t="s">
        <v>4232</v>
      </c>
    </row>
    <row r="10381" spans="1:11">
      <c r="A10381" s="688" t="s">
        <v>4064</v>
      </c>
      <c r="B10381" s="689">
        <v>30.6</v>
      </c>
      <c r="C10381" s="689">
        <v>30.7</v>
      </c>
      <c r="D10381" s="689">
        <v>30.7</v>
      </c>
      <c r="E10381" s="689">
        <v>30.8</v>
      </c>
      <c r="F10381" s="689">
        <v>30.9</v>
      </c>
      <c r="G10381" s="693">
        <v>31</v>
      </c>
      <c r="H10381" s="689">
        <v>31.3</v>
      </c>
      <c r="I10381" s="689">
        <v>30.4</v>
      </c>
      <c r="J10381" s="689">
        <v>30.1</v>
      </c>
      <c r="K10381" s="689">
        <v>30.8</v>
      </c>
    </row>
    <row r="10382" spans="1:11">
      <c r="A10382" s="688" t="s">
        <v>4065</v>
      </c>
      <c r="B10382" s="691">
        <v>30.8</v>
      </c>
      <c r="C10382" s="691">
        <v>31.1</v>
      </c>
      <c r="D10382" s="691">
        <v>30.9</v>
      </c>
      <c r="E10382" s="691">
        <v>31.2</v>
      </c>
      <c r="F10382" s="691">
        <v>31.2</v>
      </c>
      <c r="G10382" s="691">
        <v>31.3</v>
      </c>
      <c r="H10382" s="692" t="s">
        <v>4060</v>
      </c>
      <c r="I10382" s="692" t="s">
        <v>4060</v>
      </c>
      <c r="J10382" s="692" t="s">
        <v>4060</v>
      </c>
      <c r="K10382" s="692" t="s">
        <v>4060</v>
      </c>
    </row>
    <row r="10383" spans="1:11">
      <c r="A10383" s="688" t="s">
        <v>4063</v>
      </c>
      <c r="B10383" s="689">
        <v>30.8</v>
      </c>
      <c r="C10383" s="689">
        <v>31.1</v>
      </c>
      <c r="D10383" s="689">
        <v>30.9</v>
      </c>
      <c r="E10383" s="689">
        <v>31.2</v>
      </c>
      <c r="F10383" s="689">
        <v>31.2</v>
      </c>
      <c r="G10383" s="689">
        <v>31.3</v>
      </c>
      <c r="H10383" s="690" t="s">
        <v>4060</v>
      </c>
      <c r="I10383" s="690" t="s">
        <v>4060</v>
      </c>
      <c r="J10383" s="690" t="s">
        <v>4060</v>
      </c>
      <c r="K10383" s="690" t="s">
        <v>4060</v>
      </c>
    </row>
    <row r="10384" spans="1:11">
      <c r="A10384" s="688" t="s">
        <v>4069</v>
      </c>
      <c r="B10384" s="692" t="s">
        <v>4060</v>
      </c>
      <c r="C10384" s="691">
        <v>31.7</v>
      </c>
      <c r="D10384" s="691">
        <v>31.5</v>
      </c>
      <c r="E10384" s="691">
        <v>31.8</v>
      </c>
      <c r="F10384" s="691">
        <v>31.9</v>
      </c>
      <c r="G10384" s="615">
        <v>32</v>
      </c>
      <c r="H10384" s="691">
        <v>32.299999999999997</v>
      </c>
      <c r="I10384" s="691">
        <v>31.5</v>
      </c>
      <c r="J10384" s="691">
        <v>31.5</v>
      </c>
      <c r="K10384" s="691">
        <v>31.8</v>
      </c>
    </row>
    <row r="10385" spans="1:11">
      <c r="A10385" s="688" t="s">
        <v>4068</v>
      </c>
      <c r="B10385" s="689">
        <v>31.6</v>
      </c>
      <c r="C10385" s="690" t="s">
        <v>4060</v>
      </c>
      <c r="D10385" s="690" t="s">
        <v>4060</v>
      </c>
      <c r="E10385" s="690" t="s">
        <v>4060</v>
      </c>
      <c r="F10385" s="690" t="s">
        <v>4060</v>
      </c>
      <c r="G10385" s="690" t="s">
        <v>4060</v>
      </c>
      <c r="H10385" s="690" t="s">
        <v>4060</v>
      </c>
      <c r="I10385" s="690" t="s">
        <v>4060</v>
      </c>
      <c r="J10385" s="690" t="s">
        <v>4060</v>
      </c>
      <c r="K10385" s="690" t="s">
        <v>4060</v>
      </c>
    </row>
    <row r="10386" spans="1:11">
      <c r="A10386" s="688" t="s">
        <v>0</v>
      </c>
      <c r="B10386" s="615">
        <v>31</v>
      </c>
      <c r="C10386" s="691">
        <v>31.5</v>
      </c>
      <c r="D10386" s="691">
        <v>31.4</v>
      </c>
      <c r="E10386" s="691">
        <v>31.7</v>
      </c>
      <c r="F10386" s="691">
        <v>31.9</v>
      </c>
      <c r="G10386" s="615">
        <v>32</v>
      </c>
      <c r="H10386" s="691">
        <v>32.4</v>
      </c>
      <c r="I10386" s="691">
        <v>31.2</v>
      </c>
      <c r="J10386" s="615">
        <v>32</v>
      </c>
      <c r="K10386" s="691">
        <v>32.299999999999997</v>
      </c>
    </row>
    <row r="10387" spans="1:11">
      <c r="A10387" s="688" t="s">
        <v>1</v>
      </c>
      <c r="B10387" s="689">
        <v>25.6</v>
      </c>
      <c r="C10387" s="689">
        <v>25.3</v>
      </c>
      <c r="D10387" s="689">
        <v>25.3</v>
      </c>
      <c r="E10387" s="689">
        <v>25.4</v>
      </c>
      <c r="F10387" s="689">
        <v>25.3</v>
      </c>
      <c r="G10387" s="689">
        <v>25.4</v>
      </c>
      <c r="H10387" s="689">
        <v>25.5</v>
      </c>
      <c r="I10387" s="689">
        <v>23.8</v>
      </c>
      <c r="J10387" s="689">
        <v>22.3</v>
      </c>
      <c r="K10387" s="689">
        <v>24.5</v>
      </c>
    </row>
    <row r="10388" spans="1:11">
      <c r="A10388" s="688" t="s">
        <v>2240</v>
      </c>
      <c r="B10388" s="691">
        <v>28.3</v>
      </c>
      <c r="C10388" s="691">
        <v>28.7</v>
      </c>
      <c r="D10388" s="691">
        <v>28.6</v>
      </c>
      <c r="E10388" s="615">
        <v>29</v>
      </c>
      <c r="F10388" s="691">
        <v>28.9</v>
      </c>
      <c r="G10388" s="615">
        <v>29</v>
      </c>
      <c r="H10388" s="691">
        <v>29.3</v>
      </c>
      <c r="I10388" s="691">
        <v>28.1</v>
      </c>
      <c r="J10388" s="691">
        <v>27.1</v>
      </c>
      <c r="K10388" s="691">
        <v>29.1</v>
      </c>
    </row>
    <row r="10389" spans="1:11">
      <c r="A10389" s="688" t="s">
        <v>2</v>
      </c>
      <c r="B10389" s="689">
        <v>30.9</v>
      </c>
      <c r="C10389" s="689">
        <v>31.3</v>
      </c>
      <c r="D10389" s="689">
        <v>31.3</v>
      </c>
      <c r="E10389" s="689">
        <v>31.5</v>
      </c>
      <c r="F10389" s="689">
        <v>31.7</v>
      </c>
      <c r="G10389" s="689">
        <v>31.6</v>
      </c>
      <c r="H10389" s="689">
        <v>31.9</v>
      </c>
      <c r="I10389" s="689">
        <v>32.1</v>
      </c>
      <c r="J10389" s="689">
        <v>31.9</v>
      </c>
      <c r="K10389" s="689">
        <v>31.9</v>
      </c>
    </row>
    <row r="10390" spans="1:11">
      <c r="A10390" s="688" t="s">
        <v>3</v>
      </c>
      <c r="B10390" s="691">
        <v>30.9</v>
      </c>
      <c r="C10390" s="691">
        <v>31.1</v>
      </c>
      <c r="D10390" s="691">
        <v>30.8</v>
      </c>
      <c r="E10390" s="691">
        <v>31.1</v>
      </c>
      <c r="F10390" s="691">
        <v>31.2</v>
      </c>
      <c r="G10390" s="691">
        <v>31.2</v>
      </c>
      <c r="H10390" s="691">
        <v>31.5</v>
      </c>
      <c r="I10390" s="691">
        <v>31.2</v>
      </c>
      <c r="J10390" s="691">
        <v>30.9</v>
      </c>
      <c r="K10390" s="691">
        <v>30.8</v>
      </c>
    </row>
    <row r="10391" spans="1:11">
      <c r="A10391" s="688" t="s">
        <v>4061</v>
      </c>
      <c r="B10391" s="689">
        <v>30.9</v>
      </c>
      <c r="C10391" s="689">
        <v>31.1</v>
      </c>
      <c r="D10391" s="689">
        <v>30.8</v>
      </c>
      <c r="E10391" s="689">
        <v>31.1</v>
      </c>
      <c r="F10391" s="689">
        <v>31.2</v>
      </c>
      <c r="G10391" s="689">
        <v>31.2</v>
      </c>
      <c r="H10391" s="689">
        <v>31.5</v>
      </c>
      <c r="I10391" s="689">
        <v>31.2</v>
      </c>
      <c r="J10391" s="689">
        <v>30.9</v>
      </c>
      <c r="K10391" s="689">
        <v>30.8</v>
      </c>
    </row>
    <row r="10392" spans="1:11">
      <c r="A10392" s="688" t="s">
        <v>4</v>
      </c>
      <c r="B10392" s="691">
        <v>26.8</v>
      </c>
      <c r="C10392" s="691">
        <v>26.6</v>
      </c>
      <c r="D10392" s="691">
        <v>27.1</v>
      </c>
      <c r="E10392" s="691">
        <v>27.1</v>
      </c>
      <c r="F10392" s="691">
        <v>27.4</v>
      </c>
      <c r="G10392" s="691">
        <v>27.4</v>
      </c>
      <c r="H10392" s="691">
        <v>27.8</v>
      </c>
      <c r="I10392" s="691">
        <v>27.8</v>
      </c>
      <c r="J10392" s="691">
        <v>26.4</v>
      </c>
      <c r="K10392" s="691">
        <v>27.3</v>
      </c>
    </row>
    <row r="10393" spans="1:11">
      <c r="A10393" s="688" t="s">
        <v>8</v>
      </c>
      <c r="B10393" s="689">
        <v>31.9</v>
      </c>
      <c r="C10393" s="689">
        <v>32.1</v>
      </c>
      <c r="D10393" s="689">
        <v>32.200000000000003</v>
      </c>
      <c r="E10393" s="689">
        <v>32.4</v>
      </c>
      <c r="F10393" s="689">
        <v>32.799999999999997</v>
      </c>
      <c r="G10393" s="689">
        <v>32.799999999999997</v>
      </c>
      <c r="H10393" s="693">
        <v>33</v>
      </c>
      <c r="I10393" s="689">
        <v>33.1</v>
      </c>
      <c r="J10393" s="689">
        <v>32.799999999999997</v>
      </c>
      <c r="K10393" s="689">
        <v>33.1</v>
      </c>
    </row>
    <row r="10394" spans="1:11">
      <c r="A10394" s="688" t="s">
        <v>7</v>
      </c>
      <c r="B10394" s="691">
        <v>31.7</v>
      </c>
      <c r="C10394" s="691">
        <v>31.2</v>
      </c>
      <c r="D10394" s="691">
        <v>30.9</v>
      </c>
      <c r="E10394" s="691">
        <v>31.3</v>
      </c>
      <c r="F10394" s="691">
        <v>31.2</v>
      </c>
      <c r="G10394" s="691">
        <v>31.6</v>
      </c>
      <c r="H10394" s="691">
        <v>31.6</v>
      </c>
      <c r="I10394" s="691">
        <v>31.3</v>
      </c>
      <c r="J10394" s="691">
        <v>30.3</v>
      </c>
      <c r="K10394" s="691">
        <v>31.1</v>
      </c>
    </row>
    <row r="10395" spans="1:11">
      <c r="A10395" s="688" t="s">
        <v>27</v>
      </c>
      <c r="B10395" s="689">
        <v>32.6</v>
      </c>
      <c r="C10395" s="689">
        <v>32.5</v>
      </c>
      <c r="D10395" s="689">
        <v>32.200000000000003</v>
      </c>
      <c r="E10395" s="689">
        <v>32.6</v>
      </c>
      <c r="F10395" s="689">
        <v>32.700000000000003</v>
      </c>
      <c r="G10395" s="689">
        <v>32.700000000000003</v>
      </c>
      <c r="H10395" s="689">
        <v>33.1</v>
      </c>
      <c r="I10395" s="689">
        <v>31.8</v>
      </c>
      <c r="J10395" s="689">
        <v>32.5</v>
      </c>
      <c r="K10395" s="689">
        <v>32.700000000000003</v>
      </c>
    </row>
    <row r="10396" spans="1:11">
      <c r="A10396" s="688" t="s">
        <v>6</v>
      </c>
      <c r="B10396" s="691">
        <v>32.200000000000003</v>
      </c>
      <c r="C10396" s="691">
        <v>32.299999999999997</v>
      </c>
      <c r="D10396" s="691">
        <v>32.200000000000003</v>
      </c>
      <c r="E10396" s="691">
        <v>32.4</v>
      </c>
      <c r="F10396" s="691">
        <v>32.5</v>
      </c>
      <c r="G10396" s="691">
        <v>32.6</v>
      </c>
      <c r="H10396" s="691">
        <v>32.799999999999997</v>
      </c>
      <c r="I10396" s="691">
        <v>32.1</v>
      </c>
      <c r="J10396" s="691">
        <v>32.200000000000003</v>
      </c>
      <c r="K10396" s="691">
        <v>32.4</v>
      </c>
    </row>
    <row r="10397" spans="1:11">
      <c r="A10397" s="688" t="s">
        <v>4058</v>
      </c>
      <c r="B10397" s="690" t="s">
        <v>4060</v>
      </c>
      <c r="C10397" s="690" t="s">
        <v>4060</v>
      </c>
      <c r="D10397" s="690" t="s">
        <v>4060</v>
      </c>
      <c r="E10397" s="690" t="s">
        <v>4060</v>
      </c>
      <c r="F10397" s="690" t="s">
        <v>4060</v>
      </c>
      <c r="G10397" s="690" t="s">
        <v>4060</v>
      </c>
      <c r="H10397" s="690" t="s">
        <v>4060</v>
      </c>
      <c r="I10397" s="690" t="s">
        <v>4060</v>
      </c>
      <c r="J10397" s="690" t="s">
        <v>4060</v>
      </c>
      <c r="K10397" s="690" t="s">
        <v>4060</v>
      </c>
    </row>
    <row r="10398" spans="1:11">
      <c r="A10398" s="688" t="s">
        <v>11</v>
      </c>
      <c r="B10398" s="691">
        <v>27.7</v>
      </c>
      <c r="C10398" s="691">
        <v>27.7</v>
      </c>
      <c r="D10398" s="691">
        <v>27.4</v>
      </c>
      <c r="E10398" s="691">
        <v>27.9</v>
      </c>
      <c r="F10398" s="691">
        <v>27.9</v>
      </c>
      <c r="G10398" s="615">
        <v>28</v>
      </c>
      <c r="H10398" s="691">
        <v>28.4</v>
      </c>
      <c r="I10398" s="691">
        <v>27.6</v>
      </c>
      <c r="J10398" s="691">
        <v>26.7</v>
      </c>
      <c r="K10398" s="691">
        <v>27.9</v>
      </c>
    </row>
    <row r="10399" spans="1:11">
      <c r="A10399" s="688" t="s">
        <v>10</v>
      </c>
      <c r="B10399" s="689">
        <v>32.799999999999997</v>
      </c>
      <c r="C10399" s="689">
        <v>32.799999999999997</v>
      </c>
      <c r="D10399" s="689">
        <v>32.6</v>
      </c>
      <c r="E10399" s="689">
        <v>33.1</v>
      </c>
      <c r="F10399" s="693">
        <v>33</v>
      </c>
      <c r="G10399" s="689">
        <v>33.299999999999997</v>
      </c>
      <c r="H10399" s="689">
        <v>33.5</v>
      </c>
      <c r="I10399" s="689">
        <v>32.200000000000003</v>
      </c>
      <c r="J10399" s="689">
        <v>32.700000000000003</v>
      </c>
      <c r="K10399" s="693">
        <v>33</v>
      </c>
    </row>
    <row r="10400" spans="1:11">
      <c r="A10400" s="688" t="s">
        <v>30</v>
      </c>
      <c r="B10400" s="691">
        <v>32.700000000000003</v>
      </c>
      <c r="C10400" s="691">
        <v>32.799999999999997</v>
      </c>
      <c r="D10400" s="691">
        <v>32.5</v>
      </c>
      <c r="E10400" s="615">
        <v>33</v>
      </c>
      <c r="F10400" s="691">
        <v>32.700000000000003</v>
      </c>
      <c r="G10400" s="691">
        <v>33.5</v>
      </c>
      <c r="H10400" s="691">
        <v>33.200000000000003</v>
      </c>
      <c r="I10400" s="691">
        <v>33.200000000000003</v>
      </c>
      <c r="J10400" s="691">
        <v>32.4</v>
      </c>
      <c r="K10400" s="691">
        <v>32.9</v>
      </c>
    </row>
    <row r="10401" spans="1:11">
      <c r="A10401" s="688" t="s">
        <v>12</v>
      </c>
      <c r="B10401" s="689">
        <v>24.4</v>
      </c>
      <c r="C10401" s="689">
        <v>24.4</v>
      </c>
      <c r="D10401" s="689">
        <v>24.9</v>
      </c>
      <c r="E10401" s="689">
        <v>24.9</v>
      </c>
      <c r="F10401" s="689">
        <v>24.9</v>
      </c>
      <c r="G10401" s="689">
        <v>24.9</v>
      </c>
      <c r="H10401" s="689">
        <v>25.5</v>
      </c>
      <c r="I10401" s="689">
        <v>25.2</v>
      </c>
      <c r="J10401" s="689">
        <v>23.2</v>
      </c>
      <c r="K10401" s="689">
        <v>24.4</v>
      </c>
    </row>
    <row r="10402" spans="1:11">
      <c r="A10402" s="688" t="s">
        <v>14</v>
      </c>
      <c r="B10402" s="691">
        <v>24.5</v>
      </c>
      <c r="C10402" s="691">
        <v>24.9</v>
      </c>
      <c r="D10402" s="691">
        <v>24.6</v>
      </c>
      <c r="E10402" s="691">
        <v>24.8</v>
      </c>
      <c r="F10402" s="691">
        <v>25.6</v>
      </c>
      <c r="G10402" s="691">
        <v>25.7</v>
      </c>
      <c r="H10402" s="615">
        <v>26</v>
      </c>
      <c r="I10402" s="691">
        <v>24.8</v>
      </c>
      <c r="J10402" s="691">
        <v>24.3</v>
      </c>
      <c r="K10402" s="691">
        <v>25.6</v>
      </c>
    </row>
    <row r="10403" spans="1:11">
      <c r="A10403" s="688" t="s">
        <v>15</v>
      </c>
      <c r="B10403" s="689">
        <v>32.299999999999997</v>
      </c>
      <c r="C10403" s="689">
        <v>31.8</v>
      </c>
      <c r="D10403" s="689">
        <v>32.4</v>
      </c>
      <c r="E10403" s="689">
        <v>32.200000000000003</v>
      </c>
      <c r="F10403" s="689">
        <v>32.200000000000003</v>
      </c>
      <c r="G10403" s="689">
        <v>32.299999999999997</v>
      </c>
      <c r="H10403" s="689">
        <v>32.700000000000003</v>
      </c>
      <c r="I10403" s="689">
        <v>32.200000000000003</v>
      </c>
      <c r="J10403" s="689">
        <v>32.6</v>
      </c>
      <c r="K10403" s="689">
        <v>33.1</v>
      </c>
    </row>
    <row r="10404" spans="1:11">
      <c r="A10404" s="688" t="s">
        <v>29</v>
      </c>
      <c r="B10404" s="691">
        <v>25.6</v>
      </c>
      <c r="C10404" s="691">
        <v>25.6</v>
      </c>
      <c r="D10404" s="691">
        <v>25.5</v>
      </c>
      <c r="E10404" s="691">
        <v>25.7</v>
      </c>
      <c r="F10404" s="691">
        <v>25.6</v>
      </c>
      <c r="G10404" s="691">
        <v>25.7</v>
      </c>
      <c r="H10404" s="615">
        <v>26</v>
      </c>
      <c r="I10404" s="691">
        <v>25.3</v>
      </c>
      <c r="J10404" s="691">
        <v>24.1</v>
      </c>
      <c r="K10404" s="691">
        <v>25.7</v>
      </c>
    </row>
    <row r="10405" spans="1:11">
      <c r="A10405" s="688" t="s">
        <v>16</v>
      </c>
      <c r="B10405" s="689">
        <v>32.299999999999997</v>
      </c>
      <c r="C10405" s="689">
        <v>32.299999999999997</v>
      </c>
      <c r="D10405" s="689">
        <v>32.299999999999997</v>
      </c>
      <c r="E10405" s="689">
        <v>33.1</v>
      </c>
      <c r="F10405" s="689">
        <v>32.799999999999997</v>
      </c>
      <c r="G10405" s="689">
        <v>32.6</v>
      </c>
      <c r="H10405" s="689">
        <v>33.200000000000003</v>
      </c>
      <c r="I10405" s="689">
        <v>32.299999999999997</v>
      </c>
      <c r="J10405" s="689">
        <v>32.700000000000003</v>
      </c>
      <c r="K10405" s="689">
        <v>32.799999999999997</v>
      </c>
    </row>
    <row r="10406" spans="1:11">
      <c r="A10406" s="688" t="s">
        <v>17</v>
      </c>
      <c r="B10406" s="615">
        <v>32</v>
      </c>
      <c r="C10406" s="691">
        <v>32.4</v>
      </c>
      <c r="D10406" s="691">
        <v>32.200000000000003</v>
      </c>
      <c r="E10406" s="691">
        <v>32.299999999999997</v>
      </c>
      <c r="F10406" s="691">
        <v>32.6</v>
      </c>
      <c r="G10406" s="691">
        <v>32.6</v>
      </c>
      <c r="H10406" s="691">
        <v>32.9</v>
      </c>
      <c r="I10406" s="691">
        <v>32.1</v>
      </c>
      <c r="J10406" s="691">
        <v>32.1</v>
      </c>
      <c r="K10406" s="691">
        <v>32.6</v>
      </c>
    </row>
    <row r="10407" spans="1:11">
      <c r="A10407" s="688" t="s">
        <v>19</v>
      </c>
      <c r="B10407" s="689">
        <v>31.4</v>
      </c>
      <c r="C10407" s="689">
        <v>31.6</v>
      </c>
      <c r="D10407" s="689">
        <v>31.4</v>
      </c>
      <c r="E10407" s="689">
        <v>31.8</v>
      </c>
      <c r="F10407" s="689">
        <v>31.9</v>
      </c>
      <c r="G10407" s="689">
        <v>31.9</v>
      </c>
      <c r="H10407" s="689">
        <v>32.299999999999997</v>
      </c>
      <c r="I10407" s="689">
        <v>31.5</v>
      </c>
      <c r="J10407" s="689">
        <v>31.5</v>
      </c>
      <c r="K10407" s="689">
        <v>31.7</v>
      </c>
    </row>
    <row r="10408" spans="1:11">
      <c r="A10408" s="688" t="s">
        <v>20</v>
      </c>
      <c r="B10408" s="615">
        <v>27</v>
      </c>
      <c r="C10408" s="691">
        <v>27.5</v>
      </c>
      <c r="D10408" s="691">
        <v>27.3</v>
      </c>
      <c r="E10408" s="691">
        <v>27.6</v>
      </c>
      <c r="F10408" s="691">
        <v>27.6</v>
      </c>
      <c r="G10408" s="691">
        <v>27.5</v>
      </c>
      <c r="H10408" s="691">
        <v>27.8</v>
      </c>
      <c r="I10408" s="691">
        <v>26.2</v>
      </c>
      <c r="J10408" s="691">
        <v>25.5</v>
      </c>
      <c r="K10408" s="691">
        <v>27.2</v>
      </c>
    </row>
    <row r="10409" spans="1:11">
      <c r="A10409" s="688" t="s">
        <v>21</v>
      </c>
      <c r="B10409" s="689">
        <v>30.7</v>
      </c>
      <c r="C10409" s="689">
        <v>31.1</v>
      </c>
      <c r="D10409" s="689">
        <v>31.2</v>
      </c>
      <c r="E10409" s="689">
        <v>31.1</v>
      </c>
      <c r="F10409" s="689">
        <v>31.4</v>
      </c>
      <c r="G10409" s="689">
        <v>31.4</v>
      </c>
      <c r="H10409" s="689">
        <v>31.7</v>
      </c>
      <c r="I10409" s="689">
        <v>31.2</v>
      </c>
      <c r="J10409" s="689">
        <v>31.1</v>
      </c>
      <c r="K10409" s="689">
        <v>31.6</v>
      </c>
    </row>
    <row r="10410" spans="1:11">
      <c r="A10410" s="688" t="s">
        <v>22</v>
      </c>
      <c r="B10410" s="691">
        <v>25.9</v>
      </c>
      <c r="C10410" s="691">
        <v>25.7</v>
      </c>
      <c r="D10410" s="691">
        <v>25.6</v>
      </c>
      <c r="E10410" s="691">
        <v>25.7</v>
      </c>
      <c r="F10410" s="691">
        <v>25.7</v>
      </c>
      <c r="G10410" s="691">
        <v>25.6</v>
      </c>
      <c r="H10410" s="691">
        <v>25.9</v>
      </c>
      <c r="I10410" s="691">
        <v>24.3</v>
      </c>
      <c r="J10410" s="691">
        <v>23.3</v>
      </c>
      <c r="K10410" s="691">
        <v>25.2</v>
      </c>
    </row>
    <row r="10411" spans="1:11">
      <c r="A10411" s="688" t="s">
        <v>26</v>
      </c>
      <c r="B10411" s="689">
        <v>30.1</v>
      </c>
      <c r="C10411" s="689">
        <v>30.6</v>
      </c>
      <c r="D10411" s="689">
        <v>30.4</v>
      </c>
      <c r="E10411" s="689">
        <v>30.7</v>
      </c>
      <c r="F10411" s="689">
        <v>30.6</v>
      </c>
      <c r="G10411" s="689">
        <v>30.9</v>
      </c>
      <c r="H10411" s="689">
        <v>31.2</v>
      </c>
      <c r="I10411" s="689">
        <v>30.3</v>
      </c>
      <c r="J10411" s="689">
        <v>30.2</v>
      </c>
      <c r="K10411" s="689">
        <v>31.2</v>
      </c>
    </row>
    <row r="10412" spans="1:11">
      <c r="A10412" s="688" t="s">
        <v>25</v>
      </c>
      <c r="B10412" s="691">
        <v>26.5</v>
      </c>
      <c r="C10412" s="691">
        <v>26.9</v>
      </c>
      <c r="D10412" s="691">
        <v>26.8</v>
      </c>
      <c r="E10412" s="691">
        <v>27.3</v>
      </c>
      <c r="F10412" s="691">
        <v>27.2</v>
      </c>
      <c r="G10412" s="691">
        <v>27.4</v>
      </c>
      <c r="H10412" s="691">
        <v>27.8</v>
      </c>
      <c r="I10412" s="615">
        <v>27</v>
      </c>
      <c r="J10412" s="691">
        <v>24.9</v>
      </c>
      <c r="K10412" s="691">
        <v>27.2</v>
      </c>
    </row>
    <row r="10413" spans="1:11">
      <c r="A10413" s="688" t="s">
        <v>5</v>
      </c>
      <c r="B10413" s="689">
        <v>31.2</v>
      </c>
      <c r="C10413" s="689">
        <v>31.2</v>
      </c>
      <c r="D10413" s="689">
        <v>31.4</v>
      </c>
      <c r="E10413" s="689">
        <v>31.4</v>
      </c>
      <c r="F10413" s="689">
        <v>31.7</v>
      </c>
      <c r="G10413" s="689">
        <v>31.8</v>
      </c>
      <c r="H10413" s="689">
        <v>32.200000000000003</v>
      </c>
      <c r="I10413" s="689">
        <v>32.1</v>
      </c>
      <c r="J10413" s="693">
        <v>32</v>
      </c>
      <c r="K10413" s="689">
        <v>31.5</v>
      </c>
    </row>
    <row r="10414" spans="1:11">
      <c r="A10414" s="688" t="s">
        <v>23</v>
      </c>
      <c r="B10414" s="691">
        <v>32.799999999999997</v>
      </c>
      <c r="C10414" s="691">
        <v>32.9</v>
      </c>
      <c r="D10414" s="691">
        <v>32.9</v>
      </c>
      <c r="E10414" s="691">
        <v>33.1</v>
      </c>
      <c r="F10414" s="691">
        <v>33.299999999999997</v>
      </c>
      <c r="G10414" s="691">
        <v>33.299999999999997</v>
      </c>
      <c r="H10414" s="691">
        <v>33.799999999999997</v>
      </c>
      <c r="I10414" s="691">
        <v>33.1</v>
      </c>
      <c r="J10414" s="691">
        <v>33.6</v>
      </c>
      <c r="K10414" s="691">
        <v>33.799999999999997</v>
      </c>
    </row>
    <row r="10415" spans="1:11">
      <c r="A10415" s="688" t="s">
        <v>4067</v>
      </c>
      <c r="B10415" s="689">
        <v>30.8</v>
      </c>
      <c r="C10415" s="689">
        <v>31.1</v>
      </c>
      <c r="D10415" s="689">
        <v>30.9</v>
      </c>
      <c r="E10415" s="689">
        <v>31.2</v>
      </c>
      <c r="F10415" s="689">
        <v>31.2</v>
      </c>
      <c r="G10415" s="689">
        <v>31.3</v>
      </c>
      <c r="H10415" s="690" t="s">
        <v>4060</v>
      </c>
      <c r="I10415" s="690" t="s">
        <v>4060</v>
      </c>
      <c r="J10415" s="690" t="s">
        <v>4060</v>
      </c>
      <c r="K10415" s="690" t="s">
        <v>4060</v>
      </c>
    </row>
    <row r="10416" spans="1:11">
      <c r="A10416" s="688" t="s">
        <v>4066</v>
      </c>
      <c r="B10416" s="691">
        <v>30.8</v>
      </c>
      <c r="C10416" s="691">
        <v>31.2</v>
      </c>
      <c r="D10416" s="691">
        <v>30.9</v>
      </c>
      <c r="E10416" s="691">
        <v>31.2</v>
      </c>
      <c r="F10416" s="691">
        <v>31.3</v>
      </c>
      <c r="G10416" s="691">
        <v>31.4</v>
      </c>
      <c r="H10416" s="692" t="s">
        <v>4060</v>
      </c>
      <c r="I10416" s="692" t="s">
        <v>4060</v>
      </c>
      <c r="J10416" s="692" t="s">
        <v>4060</v>
      </c>
      <c r="K10416" s="692" t="s">
        <v>4060</v>
      </c>
    </row>
    <row r="10417" spans="1:11">
      <c r="A10417" s="688" t="s">
        <v>4062</v>
      </c>
      <c r="B10417" s="693">
        <v>33</v>
      </c>
      <c r="C10417" s="689">
        <v>33.1</v>
      </c>
      <c r="D10417" s="689">
        <v>33.1</v>
      </c>
      <c r="E10417" s="689">
        <v>33.6</v>
      </c>
      <c r="F10417" s="689">
        <v>33.6</v>
      </c>
      <c r="G10417" s="689">
        <v>33.9</v>
      </c>
      <c r="H10417" s="693">
        <v>34</v>
      </c>
      <c r="I10417" s="689">
        <v>33.6</v>
      </c>
      <c r="J10417" s="693">
        <v>34</v>
      </c>
      <c r="K10417" s="689">
        <v>33.799999999999997</v>
      </c>
    </row>
    <row r="10418" spans="1:11">
      <c r="A10418" s="688" t="s">
        <v>9</v>
      </c>
      <c r="B10418" s="691">
        <v>33.1</v>
      </c>
      <c r="C10418" s="691">
        <v>33.4</v>
      </c>
      <c r="D10418" s="691">
        <v>33.799999999999997</v>
      </c>
      <c r="E10418" s="691">
        <v>33.1</v>
      </c>
      <c r="F10418" s="691">
        <v>33.5</v>
      </c>
      <c r="G10418" s="615">
        <v>34</v>
      </c>
      <c r="H10418" s="615">
        <v>34</v>
      </c>
      <c r="I10418" s="691">
        <v>34.200000000000003</v>
      </c>
      <c r="J10418" s="691">
        <v>34.4</v>
      </c>
      <c r="K10418" s="691">
        <v>33.5</v>
      </c>
    </row>
    <row r="10419" spans="1:11">
      <c r="A10419" s="688" t="s">
        <v>13</v>
      </c>
      <c r="B10419" s="689">
        <v>32.700000000000003</v>
      </c>
      <c r="C10419" s="689">
        <v>33.299999999999997</v>
      </c>
      <c r="D10419" s="689">
        <v>33.5</v>
      </c>
      <c r="E10419" s="689">
        <v>32.1</v>
      </c>
      <c r="F10419" s="693">
        <v>34</v>
      </c>
      <c r="G10419" s="689">
        <v>33.299999999999997</v>
      </c>
      <c r="H10419" s="689">
        <v>34.200000000000003</v>
      </c>
      <c r="I10419" s="689">
        <v>32.9</v>
      </c>
      <c r="J10419" s="689">
        <v>34.200000000000003</v>
      </c>
      <c r="K10419" s="689">
        <v>34.9</v>
      </c>
    </row>
    <row r="10420" spans="1:11">
      <c r="A10420" s="688" t="s">
        <v>18</v>
      </c>
      <c r="B10420" s="691">
        <v>32.4</v>
      </c>
      <c r="C10420" s="691">
        <v>32.700000000000003</v>
      </c>
      <c r="D10420" s="691">
        <v>32.9</v>
      </c>
      <c r="E10420" s="691">
        <v>33.1</v>
      </c>
      <c r="F10420" s="691">
        <v>33.299999999999997</v>
      </c>
      <c r="G10420" s="691">
        <v>33.5</v>
      </c>
      <c r="H10420" s="691">
        <v>33.700000000000003</v>
      </c>
      <c r="I10420" s="615">
        <v>34</v>
      </c>
      <c r="J10420" s="615">
        <v>34</v>
      </c>
      <c r="K10420" s="691">
        <v>33.4</v>
      </c>
    </row>
    <row r="10421" spans="1:11">
      <c r="A10421" s="688" t="s">
        <v>24</v>
      </c>
      <c r="B10421" s="689">
        <v>33.299999999999997</v>
      </c>
      <c r="C10421" s="689">
        <v>33.4</v>
      </c>
      <c r="D10421" s="689">
        <v>33.299999999999997</v>
      </c>
      <c r="E10421" s="689">
        <v>33.799999999999997</v>
      </c>
      <c r="F10421" s="689">
        <v>33.799999999999997</v>
      </c>
      <c r="G10421" s="689">
        <v>34.1</v>
      </c>
      <c r="H10421" s="689">
        <v>34.200000000000003</v>
      </c>
      <c r="I10421" s="689">
        <v>33.4</v>
      </c>
      <c r="J10421" s="693">
        <v>34</v>
      </c>
      <c r="K10421" s="693">
        <v>34</v>
      </c>
    </row>
    <row r="10422" spans="1:11">
      <c r="A10422" s="688" t="s">
        <v>4059</v>
      </c>
      <c r="B10422" s="691">
        <v>32.200000000000003</v>
      </c>
      <c r="C10422" s="691">
        <v>32.4</v>
      </c>
      <c r="D10422" s="691">
        <v>32.200000000000003</v>
      </c>
      <c r="E10422" s="691">
        <v>32.4</v>
      </c>
      <c r="F10422" s="691">
        <v>32.5</v>
      </c>
      <c r="G10422" s="691">
        <v>32.5</v>
      </c>
      <c r="H10422" s="692" t="s">
        <v>4060</v>
      </c>
      <c r="I10422" s="692" t="s">
        <v>4060</v>
      </c>
      <c r="J10422" s="692" t="s">
        <v>4060</v>
      </c>
      <c r="K10422" s="692" t="s">
        <v>4060</v>
      </c>
    </row>
    <row r="10423" spans="1:11">
      <c r="A10423" s="688" t="s">
        <v>2324</v>
      </c>
      <c r="B10423" s="689">
        <v>27.4</v>
      </c>
      <c r="C10423" s="689">
        <v>27.3</v>
      </c>
      <c r="D10423" s="689">
        <v>27.3</v>
      </c>
      <c r="E10423" s="693">
        <v>27</v>
      </c>
      <c r="F10423" s="689">
        <v>27.3</v>
      </c>
      <c r="G10423" s="689">
        <v>27.6</v>
      </c>
      <c r="H10423" s="689">
        <v>27.4</v>
      </c>
      <c r="I10423" s="689">
        <v>26.2</v>
      </c>
      <c r="J10423" s="689">
        <v>24.1</v>
      </c>
      <c r="K10423" s="690" t="s">
        <v>4060</v>
      </c>
    </row>
    <row r="10424" spans="1:11">
      <c r="A10424" s="688" t="s">
        <v>2322</v>
      </c>
      <c r="B10424" s="692" t="s">
        <v>4060</v>
      </c>
      <c r="C10424" s="692" t="s">
        <v>4060</v>
      </c>
      <c r="D10424" s="692" t="s">
        <v>4060</v>
      </c>
      <c r="E10424" s="692" t="s">
        <v>4060</v>
      </c>
      <c r="F10424" s="692" t="s">
        <v>4060</v>
      </c>
      <c r="G10424" s="692" t="s">
        <v>4060</v>
      </c>
      <c r="H10424" s="692" t="s">
        <v>4060</v>
      </c>
      <c r="I10424" s="692" t="s">
        <v>4060</v>
      </c>
      <c r="J10424" s="692" t="s">
        <v>4060</v>
      </c>
      <c r="K10424" s="692" t="s">
        <v>4060</v>
      </c>
    </row>
    <row r="10425" spans="1:11">
      <c r="A10425" s="688" t="s">
        <v>2328</v>
      </c>
      <c r="B10425" s="689">
        <v>26.9</v>
      </c>
      <c r="C10425" s="693">
        <v>27</v>
      </c>
      <c r="D10425" s="689">
        <v>26.9</v>
      </c>
      <c r="E10425" s="693">
        <v>27</v>
      </c>
      <c r="F10425" s="689">
        <v>27.4</v>
      </c>
      <c r="G10425" s="689">
        <v>27.7</v>
      </c>
      <c r="H10425" s="689">
        <v>27.6</v>
      </c>
      <c r="I10425" s="689">
        <v>25.2</v>
      </c>
      <c r="J10425" s="689">
        <v>24.5</v>
      </c>
      <c r="K10425" s="690" t="s">
        <v>4060</v>
      </c>
    </row>
    <row r="10426" spans="1:11">
      <c r="A10426" s="688" t="s">
        <v>2496</v>
      </c>
      <c r="B10426" s="692" t="s">
        <v>4060</v>
      </c>
      <c r="C10426" s="691">
        <v>25.1</v>
      </c>
      <c r="D10426" s="615">
        <v>24</v>
      </c>
      <c r="E10426" s="691">
        <v>23.8</v>
      </c>
      <c r="F10426" s="691">
        <v>24.4</v>
      </c>
      <c r="G10426" s="691">
        <v>24.7</v>
      </c>
      <c r="H10426" s="691">
        <v>24.7</v>
      </c>
      <c r="I10426" s="692" t="s">
        <v>4060</v>
      </c>
      <c r="J10426" s="692" t="s">
        <v>4060</v>
      </c>
      <c r="K10426" s="691">
        <v>24.2</v>
      </c>
    </row>
    <row r="10427" spans="1:11">
      <c r="A10427" s="688" t="s">
        <v>2269</v>
      </c>
      <c r="B10427" s="689">
        <v>30.1</v>
      </c>
      <c r="C10427" s="689">
        <v>30.2</v>
      </c>
      <c r="D10427" s="689">
        <v>29.8</v>
      </c>
      <c r="E10427" s="689">
        <v>30.5</v>
      </c>
      <c r="F10427" s="689">
        <v>30.5</v>
      </c>
      <c r="G10427" s="689">
        <v>30.8</v>
      </c>
      <c r="H10427" s="689">
        <v>31.1</v>
      </c>
      <c r="I10427" s="689">
        <v>28.7</v>
      </c>
      <c r="J10427" s="693">
        <v>27</v>
      </c>
      <c r="K10427" s="689">
        <v>30.6</v>
      </c>
    </row>
    <row r="10428" spans="1:11">
      <c r="A10428" s="688" t="s">
        <v>2349</v>
      </c>
      <c r="B10428" s="691">
        <v>26.2</v>
      </c>
      <c r="C10428" s="691">
        <v>26.3</v>
      </c>
      <c r="D10428" s="691">
        <v>26.2</v>
      </c>
      <c r="E10428" s="691">
        <v>26.6</v>
      </c>
      <c r="F10428" s="691">
        <v>26.5</v>
      </c>
      <c r="G10428" s="691">
        <v>26.7</v>
      </c>
      <c r="H10428" s="691">
        <v>26.7</v>
      </c>
      <c r="I10428" s="615">
        <v>25</v>
      </c>
      <c r="J10428" s="691">
        <v>23.7</v>
      </c>
      <c r="K10428" s="691">
        <v>26.1</v>
      </c>
    </row>
    <row r="10429" spans="1:11">
      <c r="A10429" s="688" t="s">
        <v>2355</v>
      </c>
      <c r="B10429" s="689">
        <v>29.3</v>
      </c>
      <c r="C10429" s="689">
        <v>29.3</v>
      </c>
      <c r="D10429" s="689">
        <v>29.2</v>
      </c>
      <c r="E10429" s="689">
        <v>29.2</v>
      </c>
      <c r="F10429" s="689">
        <v>29.4</v>
      </c>
      <c r="G10429" s="689">
        <v>29.8</v>
      </c>
      <c r="H10429" s="689">
        <v>29.9</v>
      </c>
      <c r="I10429" s="690" t="s">
        <v>4060</v>
      </c>
      <c r="J10429" s="690" t="s">
        <v>4060</v>
      </c>
      <c r="K10429" s="690" t="s">
        <v>4060</v>
      </c>
    </row>
    <row r="10430" spans="1:11">
      <c r="A10430" s="688" t="s">
        <v>2357</v>
      </c>
      <c r="B10430" s="692" t="s">
        <v>4060</v>
      </c>
      <c r="C10430" s="691">
        <v>23.3</v>
      </c>
      <c r="D10430" s="691">
        <v>23.7</v>
      </c>
      <c r="E10430" s="691">
        <v>23.9</v>
      </c>
      <c r="F10430" s="691">
        <v>24.2</v>
      </c>
      <c r="G10430" s="615">
        <v>24</v>
      </c>
      <c r="H10430" s="691">
        <v>24.1</v>
      </c>
      <c r="I10430" s="692" t="s">
        <v>4060</v>
      </c>
      <c r="J10430" s="692" t="s">
        <v>4060</v>
      </c>
      <c r="K10430" s="692" t="s">
        <v>4060</v>
      </c>
    </row>
    <row r="10431" spans="1:11">
      <c r="A10431" s="688" t="s">
        <v>4070</v>
      </c>
      <c r="B10431" s="690" t="s">
        <v>4060</v>
      </c>
      <c r="C10431" s="690" t="s">
        <v>4060</v>
      </c>
      <c r="D10431" s="690" t="s">
        <v>4060</v>
      </c>
      <c r="E10431" s="689">
        <v>28.7</v>
      </c>
      <c r="F10431" s="690" t="s">
        <v>4060</v>
      </c>
      <c r="G10431" s="690" t="s">
        <v>4060</v>
      </c>
      <c r="H10431" s="690" t="s">
        <v>4060</v>
      </c>
      <c r="I10431" s="690" t="s">
        <v>4060</v>
      </c>
      <c r="J10431" s="690" t="s">
        <v>4060</v>
      </c>
      <c r="K10431" s="690" t="s">
        <v>4060</v>
      </c>
    </row>
    <row r="10432" spans="1:11">
      <c r="A10432" s="688" t="s">
        <v>2491</v>
      </c>
      <c r="B10432" s="691">
        <v>22.8</v>
      </c>
      <c r="C10432" s="691">
        <v>23.2</v>
      </c>
      <c r="D10432" s="691">
        <v>23.5</v>
      </c>
      <c r="E10432" s="691">
        <v>23.7</v>
      </c>
      <c r="F10432" s="691">
        <v>23.7</v>
      </c>
      <c r="G10432" s="691">
        <v>23.7</v>
      </c>
      <c r="H10432" s="692" t="s">
        <v>4060</v>
      </c>
      <c r="I10432" s="692" t="s">
        <v>4060</v>
      </c>
      <c r="J10432" s="692" t="s">
        <v>4060</v>
      </c>
      <c r="K10432" s="692" t="s">
        <v>4060</v>
      </c>
    </row>
    <row r="10433" spans="1:11">
      <c r="A10433" s="688" t="s">
        <v>2343</v>
      </c>
      <c r="B10433" s="690" t="s">
        <v>4060</v>
      </c>
      <c r="C10433" s="690" t="s">
        <v>4060</v>
      </c>
      <c r="D10433" s="690" t="s">
        <v>4060</v>
      </c>
      <c r="E10433" s="690" t="s">
        <v>4060</v>
      </c>
      <c r="F10433" s="690" t="s">
        <v>4060</v>
      </c>
      <c r="G10433" s="690" t="s">
        <v>4060</v>
      </c>
      <c r="H10433" s="690" t="s">
        <v>4060</v>
      </c>
      <c r="I10433" s="690" t="s">
        <v>4060</v>
      </c>
      <c r="J10433" s="690" t="s">
        <v>4060</v>
      </c>
      <c r="K10433" s="690" t="s">
        <v>4060</v>
      </c>
    </row>
    <row r="10434" spans="1:11">
      <c r="A10434" s="688" t="s">
        <v>4071</v>
      </c>
      <c r="B10434" s="692" t="s">
        <v>4060</v>
      </c>
      <c r="C10434" s="692" t="s">
        <v>4060</v>
      </c>
      <c r="D10434" s="692" t="s">
        <v>4060</v>
      </c>
      <c r="E10434" s="692" t="s">
        <v>4060</v>
      </c>
      <c r="F10434" s="692" t="s">
        <v>4060</v>
      </c>
      <c r="G10434" s="692" t="s">
        <v>4060</v>
      </c>
      <c r="H10434" s="692" t="s">
        <v>4060</v>
      </c>
      <c r="I10434" s="692" t="s">
        <v>4060</v>
      </c>
      <c r="J10434" s="692" t="s">
        <v>4060</v>
      </c>
      <c r="K10434" s="692" t="s">
        <v>4060</v>
      </c>
    </row>
    <row r="10435" spans="1:11">
      <c r="A10435" s="688" t="s">
        <v>2489</v>
      </c>
      <c r="B10435" s="690" t="s">
        <v>4060</v>
      </c>
      <c r="C10435" s="690" t="s">
        <v>4060</v>
      </c>
      <c r="D10435" s="693">
        <v>26</v>
      </c>
      <c r="E10435" s="689">
        <v>25.9</v>
      </c>
      <c r="F10435" s="689">
        <v>26.4</v>
      </c>
      <c r="G10435" s="689">
        <v>27.2</v>
      </c>
      <c r="H10435" s="693">
        <v>27</v>
      </c>
      <c r="I10435" s="690" t="s">
        <v>4060</v>
      </c>
      <c r="J10435" s="690" t="s">
        <v>4060</v>
      </c>
      <c r="K10435" s="690" t="s">
        <v>4060</v>
      </c>
    </row>
    <row r="10436" spans="1:11">
      <c r="A10436" s="688" t="s">
        <v>2490</v>
      </c>
      <c r="B10436" s="691">
        <v>26.6</v>
      </c>
      <c r="C10436" s="691">
        <v>26.7</v>
      </c>
      <c r="D10436" s="691">
        <v>27.4</v>
      </c>
      <c r="E10436" s="692" t="s">
        <v>4060</v>
      </c>
      <c r="F10436" s="691">
        <v>27.6</v>
      </c>
      <c r="G10436" s="691">
        <v>27.8</v>
      </c>
      <c r="H10436" s="691">
        <v>28.7</v>
      </c>
      <c r="I10436" s="692" t="s">
        <v>4060</v>
      </c>
      <c r="J10436" s="692" t="s">
        <v>4060</v>
      </c>
      <c r="K10436" s="692" t="s">
        <v>4060</v>
      </c>
    </row>
    <row r="10438" spans="1:11">
      <c r="A10438" s="683" t="s">
        <v>4233</v>
      </c>
    </row>
    <row r="10439" spans="1:11">
      <c r="A10439" s="683" t="s">
        <v>4060</v>
      </c>
      <c r="B10439" s="682" t="s">
        <v>4234</v>
      </c>
    </row>
    <row r="10441" spans="1:11">
      <c r="A10441" s="682" t="s">
        <v>4331</v>
      </c>
    </row>
    <row r="10442" spans="1:11">
      <c r="A10442" s="682" t="s">
        <v>4210</v>
      </c>
      <c r="B10442" s="683" t="s">
        <v>4211</v>
      </c>
    </row>
    <row r="10443" spans="1:11">
      <c r="A10443" s="682" t="s">
        <v>4212</v>
      </c>
      <c r="B10443" s="682" t="s">
        <v>4213</v>
      </c>
    </row>
    <row r="10445" spans="1:11">
      <c r="A10445" s="683" t="s">
        <v>4214</v>
      </c>
      <c r="C10445" s="682" t="s">
        <v>4215</v>
      </c>
    </row>
    <row r="10446" spans="1:11">
      <c r="A10446" s="683" t="s">
        <v>4216</v>
      </c>
      <c r="C10446" s="682" t="s">
        <v>2967</v>
      </c>
    </row>
    <row r="10447" spans="1:11">
      <c r="A10447" s="683" t="s">
        <v>3893</v>
      </c>
      <c r="C10447" s="682" t="s">
        <v>2168</v>
      </c>
    </row>
    <row r="10448" spans="1:11">
      <c r="A10448" s="683" t="s">
        <v>4218</v>
      </c>
      <c r="C10448" s="682" t="s">
        <v>4285</v>
      </c>
    </row>
    <row r="10450" spans="1:11">
      <c r="A10450" s="684" t="s">
        <v>4220</v>
      </c>
      <c r="B10450" s="685" t="s">
        <v>4221</v>
      </c>
      <c r="C10450" s="685" t="s">
        <v>4222</v>
      </c>
      <c r="D10450" s="685" t="s">
        <v>4223</v>
      </c>
      <c r="E10450" s="685" t="s">
        <v>4224</v>
      </c>
      <c r="F10450" s="685" t="s">
        <v>4225</v>
      </c>
      <c r="G10450" s="685" t="s">
        <v>4226</v>
      </c>
      <c r="H10450" s="685" t="s">
        <v>4227</v>
      </c>
      <c r="I10450" s="685" t="s">
        <v>4228</v>
      </c>
      <c r="J10450" s="685" t="s">
        <v>4229</v>
      </c>
      <c r="K10450" s="685" t="s">
        <v>4230</v>
      </c>
    </row>
    <row r="10451" spans="1:11">
      <c r="A10451" s="686" t="s">
        <v>4231</v>
      </c>
      <c r="B10451" s="687" t="s">
        <v>4232</v>
      </c>
      <c r="C10451" s="687" t="s">
        <v>4232</v>
      </c>
      <c r="D10451" s="687" t="s">
        <v>4232</v>
      </c>
      <c r="E10451" s="687" t="s">
        <v>4232</v>
      </c>
      <c r="F10451" s="687" t="s">
        <v>4232</v>
      </c>
      <c r="G10451" s="687" t="s">
        <v>4232</v>
      </c>
      <c r="H10451" s="687" t="s">
        <v>4232</v>
      </c>
      <c r="I10451" s="687" t="s">
        <v>4232</v>
      </c>
      <c r="J10451" s="687" t="s">
        <v>4232</v>
      </c>
      <c r="K10451" s="687" t="s">
        <v>4232</v>
      </c>
    </row>
    <row r="10452" spans="1:11">
      <c r="A10452" s="688" t="s">
        <v>4064</v>
      </c>
      <c r="B10452" s="691">
        <v>29.7</v>
      </c>
      <c r="C10452" s="691">
        <v>29.8</v>
      </c>
      <c r="D10452" s="691">
        <v>29.8</v>
      </c>
      <c r="E10452" s="691">
        <v>29.9</v>
      </c>
      <c r="F10452" s="615">
        <v>30</v>
      </c>
      <c r="G10452" s="691">
        <v>30.1</v>
      </c>
      <c r="H10452" s="691">
        <v>30.4</v>
      </c>
      <c r="I10452" s="691">
        <v>29.5</v>
      </c>
      <c r="J10452" s="691">
        <v>29.2</v>
      </c>
      <c r="K10452" s="691">
        <v>29.9</v>
      </c>
    </row>
    <row r="10453" spans="1:11">
      <c r="A10453" s="688" t="s">
        <v>4065</v>
      </c>
      <c r="B10453" s="689">
        <v>29.9</v>
      </c>
      <c r="C10453" s="689">
        <v>30.2</v>
      </c>
      <c r="D10453" s="693">
        <v>30</v>
      </c>
      <c r="E10453" s="689">
        <v>30.3</v>
      </c>
      <c r="F10453" s="689">
        <v>30.3</v>
      </c>
      <c r="G10453" s="689">
        <v>30.4</v>
      </c>
      <c r="H10453" s="690" t="s">
        <v>4060</v>
      </c>
      <c r="I10453" s="690" t="s">
        <v>4060</v>
      </c>
      <c r="J10453" s="690" t="s">
        <v>4060</v>
      </c>
      <c r="K10453" s="690" t="s">
        <v>4060</v>
      </c>
    </row>
    <row r="10454" spans="1:11">
      <c r="A10454" s="688" t="s">
        <v>4063</v>
      </c>
      <c r="B10454" s="691">
        <v>29.9</v>
      </c>
      <c r="C10454" s="691">
        <v>30.2</v>
      </c>
      <c r="D10454" s="615">
        <v>30</v>
      </c>
      <c r="E10454" s="691">
        <v>30.3</v>
      </c>
      <c r="F10454" s="691">
        <v>30.4</v>
      </c>
      <c r="G10454" s="691">
        <v>30.4</v>
      </c>
      <c r="H10454" s="692" t="s">
        <v>4060</v>
      </c>
      <c r="I10454" s="692" t="s">
        <v>4060</v>
      </c>
      <c r="J10454" s="692" t="s">
        <v>4060</v>
      </c>
      <c r="K10454" s="692" t="s">
        <v>4060</v>
      </c>
    </row>
    <row r="10455" spans="1:11">
      <c r="A10455" s="688" t="s">
        <v>4069</v>
      </c>
      <c r="B10455" s="690" t="s">
        <v>4060</v>
      </c>
      <c r="C10455" s="689">
        <v>30.8</v>
      </c>
      <c r="D10455" s="689">
        <v>30.6</v>
      </c>
      <c r="E10455" s="689">
        <v>30.9</v>
      </c>
      <c r="F10455" s="693">
        <v>31</v>
      </c>
      <c r="G10455" s="689">
        <v>31.1</v>
      </c>
      <c r="H10455" s="689">
        <v>31.3</v>
      </c>
      <c r="I10455" s="689">
        <v>30.6</v>
      </c>
      <c r="J10455" s="689">
        <v>30.6</v>
      </c>
      <c r="K10455" s="689">
        <v>30.9</v>
      </c>
    </row>
    <row r="10456" spans="1:11">
      <c r="A10456" s="688" t="s">
        <v>4068</v>
      </c>
      <c r="B10456" s="691">
        <v>30.7</v>
      </c>
      <c r="C10456" s="692" t="s">
        <v>4060</v>
      </c>
      <c r="D10456" s="692" t="s">
        <v>4060</v>
      </c>
      <c r="E10456" s="692" t="s">
        <v>4060</v>
      </c>
      <c r="F10456" s="692" t="s">
        <v>4060</v>
      </c>
      <c r="G10456" s="692" t="s">
        <v>4060</v>
      </c>
      <c r="H10456" s="692" t="s">
        <v>4060</v>
      </c>
      <c r="I10456" s="692" t="s">
        <v>4060</v>
      </c>
      <c r="J10456" s="692" t="s">
        <v>4060</v>
      </c>
      <c r="K10456" s="692" t="s">
        <v>4060</v>
      </c>
    </row>
    <row r="10457" spans="1:11">
      <c r="A10457" s="688" t="s">
        <v>0</v>
      </c>
      <c r="B10457" s="689">
        <v>30.1</v>
      </c>
      <c r="C10457" s="689">
        <v>30.6</v>
      </c>
      <c r="D10457" s="689">
        <v>30.5</v>
      </c>
      <c r="E10457" s="689">
        <v>30.8</v>
      </c>
      <c r="F10457" s="693">
        <v>31</v>
      </c>
      <c r="G10457" s="689">
        <v>31.1</v>
      </c>
      <c r="H10457" s="689">
        <v>31.5</v>
      </c>
      <c r="I10457" s="689">
        <v>30.3</v>
      </c>
      <c r="J10457" s="689">
        <v>31.1</v>
      </c>
      <c r="K10457" s="689">
        <v>31.4</v>
      </c>
    </row>
    <row r="10458" spans="1:11">
      <c r="A10458" s="688" t="s">
        <v>1</v>
      </c>
      <c r="B10458" s="691">
        <v>24.8</v>
      </c>
      <c r="C10458" s="691">
        <v>24.5</v>
      </c>
      <c r="D10458" s="691">
        <v>24.5</v>
      </c>
      <c r="E10458" s="691">
        <v>24.6</v>
      </c>
      <c r="F10458" s="691">
        <v>24.5</v>
      </c>
      <c r="G10458" s="691">
        <v>24.6</v>
      </c>
      <c r="H10458" s="691">
        <v>24.6</v>
      </c>
      <c r="I10458" s="615">
        <v>23</v>
      </c>
      <c r="J10458" s="691">
        <v>21.5</v>
      </c>
      <c r="K10458" s="691">
        <v>23.7</v>
      </c>
    </row>
    <row r="10459" spans="1:11">
      <c r="A10459" s="688" t="s">
        <v>2240</v>
      </c>
      <c r="B10459" s="689">
        <v>27.4</v>
      </c>
      <c r="C10459" s="689">
        <v>27.8</v>
      </c>
      <c r="D10459" s="689">
        <v>27.7</v>
      </c>
      <c r="E10459" s="689">
        <v>28.1</v>
      </c>
      <c r="F10459" s="689">
        <v>28.1</v>
      </c>
      <c r="G10459" s="689">
        <v>28.1</v>
      </c>
      <c r="H10459" s="689">
        <v>28.4</v>
      </c>
      <c r="I10459" s="689">
        <v>27.3</v>
      </c>
      <c r="J10459" s="689">
        <v>26.2</v>
      </c>
      <c r="K10459" s="689">
        <v>28.2</v>
      </c>
    </row>
    <row r="10460" spans="1:11">
      <c r="A10460" s="688" t="s">
        <v>2</v>
      </c>
      <c r="B10460" s="615">
        <v>30</v>
      </c>
      <c r="C10460" s="691">
        <v>30.3</v>
      </c>
      <c r="D10460" s="691">
        <v>30.4</v>
      </c>
      <c r="E10460" s="691">
        <v>30.6</v>
      </c>
      <c r="F10460" s="691">
        <v>30.8</v>
      </c>
      <c r="G10460" s="691">
        <v>30.6</v>
      </c>
      <c r="H10460" s="615">
        <v>31</v>
      </c>
      <c r="I10460" s="691">
        <v>31.2</v>
      </c>
      <c r="J10460" s="615">
        <v>31</v>
      </c>
      <c r="K10460" s="615">
        <v>31</v>
      </c>
    </row>
    <row r="10461" spans="1:11">
      <c r="A10461" s="688" t="s">
        <v>3</v>
      </c>
      <c r="B10461" s="693">
        <v>30</v>
      </c>
      <c r="C10461" s="689">
        <v>30.2</v>
      </c>
      <c r="D10461" s="689">
        <v>29.9</v>
      </c>
      <c r="E10461" s="689">
        <v>30.2</v>
      </c>
      <c r="F10461" s="689">
        <v>30.3</v>
      </c>
      <c r="G10461" s="689">
        <v>30.2</v>
      </c>
      <c r="H10461" s="689">
        <v>30.5</v>
      </c>
      <c r="I10461" s="689">
        <v>30.3</v>
      </c>
      <c r="J10461" s="693">
        <v>30</v>
      </c>
      <c r="K10461" s="689">
        <v>29.9</v>
      </c>
    </row>
    <row r="10462" spans="1:11">
      <c r="A10462" s="688" t="s">
        <v>4061</v>
      </c>
      <c r="B10462" s="615">
        <v>30</v>
      </c>
      <c r="C10462" s="691">
        <v>30.2</v>
      </c>
      <c r="D10462" s="691">
        <v>29.9</v>
      </c>
      <c r="E10462" s="691">
        <v>30.2</v>
      </c>
      <c r="F10462" s="691">
        <v>30.3</v>
      </c>
      <c r="G10462" s="691">
        <v>30.2</v>
      </c>
      <c r="H10462" s="691">
        <v>30.5</v>
      </c>
      <c r="I10462" s="691">
        <v>30.3</v>
      </c>
      <c r="J10462" s="615">
        <v>30</v>
      </c>
      <c r="K10462" s="691">
        <v>29.9</v>
      </c>
    </row>
    <row r="10463" spans="1:11">
      <c r="A10463" s="688" t="s">
        <v>4</v>
      </c>
      <c r="B10463" s="693">
        <v>26</v>
      </c>
      <c r="C10463" s="689">
        <v>25.8</v>
      </c>
      <c r="D10463" s="689">
        <v>26.3</v>
      </c>
      <c r="E10463" s="689">
        <v>26.3</v>
      </c>
      <c r="F10463" s="689">
        <v>26.6</v>
      </c>
      <c r="G10463" s="689">
        <v>26.5</v>
      </c>
      <c r="H10463" s="689">
        <v>26.9</v>
      </c>
      <c r="I10463" s="689">
        <v>26.9</v>
      </c>
      <c r="J10463" s="689">
        <v>25.5</v>
      </c>
      <c r="K10463" s="689">
        <v>26.4</v>
      </c>
    </row>
    <row r="10464" spans="1:11">
      <c r="A10464" s="688" t="s">
        <v>8</v>
      </c>
      <c r="B10464" s="615">
        <v>31</v>
      </c>
      <c r="C10464" s="691">
        <v>31.2</v>
      </c>
      <c r="D10464" s="691">
        <v>31.3</v>
      </c>
      <c r="E10464" s="691">
        <v>31.4</v>
      </c>
      <c r="F10464" s="691">
        <v>31.8</v>
      </c>
      <c r="G10464" s="691">
        <v>31.8</v>
      </c>
      <c r="H10464" s="691">
        <v>32.1</v>
      </c>
      <c r="I10464" s="691">
        <v>32.1</v>
      </c>
      <c r="J10464" s="691">
        <v>31.8</v>
      </c>
      <c r="K10464" s="691">
        <v>32.200000000000003</v>
      </c>
    </row>
    <row r="10465" spans="1:11">
      <c r="A10465" s="688" t="s">
        <v>7</v>
      </c>
      <c r="B10465" s="689">
        <v>30.8</v>
      </c>
      <c r="C10465" s="689">
        <v>30.3</v>
      </c>
      <c r="D10465" s="693">
        <v>30</v>
      </c>
      <c r="E10465" s="689">
        <v>30.4</v>
      </c>
      <c r="F10465" s="689">
        <v>30.3</v>
      </c>
      <c r="G10465" s="689">
        <v>30.7</v>
      </c>
      <c r="H10465" s="689">
        <v>30.7</v>
      </c>
      <c r="I10465" s="689">
        <v>30.4</v>
      </c>
      <c r="J10465" s="689">
        <v>29.4</v>
      </c>
      <c r="K10465" s="689">
        <v>30.2</v>
      </c>
    </row>
    <row r="10466" spans="1:11">
      <c r="A10466" s="688" t="s">
        <v>27</v>
      </c>
      <c r="B10466" s="691">
        <v>31.7</v>
      </c>
      <c r="C10466" s="691">
        <v>31.6</v>
      </c>
      <c r="D10466" s="691">
        <v>31.3</v>
      </c>
      <c r="E10466" s="691">
        <v>31.7</v>
      </c>
      <c r="F10466" s="691">
        <v>31.7</v>
      </c>
      <c r="G10466" s="691">
        <v>31.8</v>
      </c>
      <c r="H10466" s="691">
        <v>32.1</v>
      </c>
      <c r="I10466" s="691">
        <v>30.9</v>
      </c>
      <c r="J10466" s="691">
        <v>31.6</v>
      </c>
      <c r="K10466" s="691">
        <v>31.8</v>
      </c>
    </row>
    <row r="10467" spans="1:11">
      <c r="A10467" s="688" t="s">
        <v>6</v>
      </c>
      <c r="B10467" s="689">
        <v>31.3</v>
      </c>
      <c r="C10467" s="689">
        <v>31.5</v>
      </c>
      <c r="D10467" s="689">
        <v>31.3</v>
      </c>
      <c r="E10467" s="689">
        <v>31.5</v>
      </c>
      <c r="F10467" s="689">
        <v>31.6</v>
      </c>
      <c r="G10467" s="689">
        <v>31.7</v>
      </c>
      <c r="H10467" s="689">
        <v>31.9</v>
      </c>
      <c r="I10467" s="689">
        <v>31.2</v>
      </c>
      <c r="J10467" s="689">
        <v>31.3</v>
      </c>
      <c r="K10467" s="689">
        <v>31.5</v>
      </c>
    </row>
    <row r="10468" spans="1:11">
      <c r="A10468" s="688" t="s">
        <v>4058</v>
      </c>
      <c r="B10468" s="692" t="s">
        <v>4060</v>
      </c>
      <c r="C10468" s="692" t="s">
        <v>4060</v>
      </c>
      <c r="D10468" s="692" t="s">
        <v>4060</v>
      </c>
      <c r="E10468" s="692" t="s">
        <v>4060</v>
      </c>
      <c r="F10468" s="692" t="s">
        <v>4060</v>
      </c>
      <c r="G10468" s="692" t="s">
        <v>4060</v>
      </c>
      <c r="H10468" s="692" t="s">
        <v>4060</v>
      </c>
      <c r="I10468" s="692" t="s">
        <v>4060</v>
      </c>
      <c r="J10468" s="692" t="s">
        <v>4060</v>
      </c>
      <c r="K10468" s="692" t="s">
        <v>4060</v>
      </c>
    </row>
    <row r="10469" spans="1:11">
      <c r="A10469" s="688" t="s">
        <v>11</v>
      </c>
      <c r="B10469" s="689">
        <v>26.8</v>
      </c>
      <c r="C10469" s="689">
        <v>26.8</v>
      </c>
      <c r="D10469" s="689">
        <v>26.6</v>
      </c>
      <c r="E10469" s="689">
        <v>27.1</v>
      </c>
      <c r="F10469" s="693">
        <v>27</v>
      </c>
      <c r="G10469" s="689">
        <v>27.1</v>
      </c>
      <c r="H10469" s="689">
        <v>27.5</v>
      </c>
      <c r="I10469" s="689">
        <v>26.7</v>
      </c>
      <c r="J10469" s="689">
        <v>25.8</v>
      </c>
      <c r="K10469" s="693">
        <v>27</v>
      </c>
    </row>
    <row r="10470" spans="1:11">
      <c r="A10470" s="688" t="s">
        <v>10</v>
      </c>
      <c r="B10470" s="691">
        <v>31.9</v>
      </c>
      <c r="C10470" s="691">
        <v>31.9</v>
      </c>
      <c r="D10470" s="691">
        <v>31.7</v>
      </c>
      <c r="E10470" s="691">
        <v>32.200000000000003</v>
      </c>
      <c r="F10470" s="691">
        <v>32.1</v>
      </c>
      <c r="G10470" s="691">
        <v>32.4</v>
      </c>
      <c r="H10470" s="691">
        <v>32.6</v>
      </c>
      <c r="I10470" s="691">
        <v>31.3</v>
      </c>
      <c r="J10470" s="691">
        <v>31.8</v>
      </c>
      <c r="K10470" s="691">
        <v>32.1</v>
      </c>
    </row>
    <row r="10471" spans="1:11">
      <c r="A10471" s="688" t="s">
        <v>30</v>
      </c>
      <c r="B10471" s="689">
        <v>31.7</v>
      </c>
      <c r="C10471" s="689">
        <v>31.8</v>
      </c>
      <c r="D10471" s="689">
        <v>31.6</v>
      </c>
      <c r="E10471" s="689">
        <v>32.200000000000003</v>
      </c>
      <c r="F10471" s="689">
        <v>31.8</v>
      </c>
      <c r="G10471" s="689">
        <v>32.6</v>
      </c>
      <c r="H10471" s="689">
        <v>32.200000000000003</v>
      </c>
      <c r="I10471" s="689">
        <v>32.299999999999997</v>
      </c>
      <c r="J10471" s="689">
        <v>31.6</v>
      </c>
      <c r="K10471" s="689">
        <v>31.9</v>
      </c>
    </row>
    <row r="10472" spans="1:11">
      <c r="A10472" s="688" t="s">
        <v>12</v>
      </c>
      <c r="B10472" s="691">
        <v>23.7</v>
      </c>
      <c r="C10472" s="691">
        <v>23.6</v>
      </c>
      <c r="D10472" s="691">
        <v>24.1</v>
      </c>
      <c r="E10472" s="691">
        <v>24.1</v>
      </c>
      <c r="F10472" s="691">
        <v>24.1</v>
      </c>
      <c r="G10472" s="691">
        <v>24.1</v>
      </c>
      <c r="H10472" s="691">
        <v>24.7</v>
      </c>
      <c r="I10472" s="691">
        <v>24.4</v>
      </c>
      <c r="J10472" s="691">
        <v>22.5</v>
      </c>
      <c r="K10472" s="691">
        <v>23.6</v>
      </c>
    </row>
    <row r="10473" spans="1:11">
      <c r="A10473" s="688" t="s">
        <v>14</v>
      </c>
      <c r="B10473" s="689">
        <v>23.7</v>
      </c>
      <c r="C10473" s="689">
        <v>24.1</v>
      </c>
      <c r="D10473" s="689">
        <v>23.8</v>
      </c>
      <c r="E10473" s="689">
        <v>24.1</v>
      </c>
      <c r="F10473" s="689">
        <v>24.8</v>
      </c>
      <c r="G10473" s="689">
        <v>24.9</v>
      </c>
      <c r="H10473" s="689">
        <v>25.2</v>
      </c>
      <c r="I10473" s="693">
        <v>24</v>
      </c>
      <c r="J10473" s="689">
        <v>23.6</v>
      </c>
      <c r="K10473" s="689">
        <v>24.7</v>
      </c>
    </row>
    <row r="10474" spans="1:11">
      <c r="A10474" s="688" t="s">
        <v>15</v>
      </c>
      <c r="B10474" s="691">
        <v>31.4</v>
      </c>
      <c r="C10474" s="691">
        <v>30.8</v>
      </c>
      <c r="D10474" s="691">
        <v>31.5</v>
      </c>
      <c r="E10474" s="691">
        <v>31.3</v>
      </c>
      <c r="F10474" s="691">
        <v>31.3</v>
      </c>
      <c r="G10474" s="691">
        <v>31.4</v>
      </c>
      <c r="H10474" s="691">
        <v>31.7</v>
      </c>
      <c r="I10474" s="691">
        <v>31.3</v>
      </c>
      <c r="J10474" s="691">
        <v>31.7</v>
      </c>
      <c r="K10474" s="691">
        <v>32.200000000000003</v>
      </c>
    </row>
    <row r="10475" spans="1:11">
      <c r="A10475" s="688" t="s">
        <v>29</v>
      </c>
      <c r="B10475" s="689">
        <v>24.7</v>
      </c>
      <c r="C10475" s="689">
        <v>24.7</v>
      </c>
      <c r="D10475" s="689">
        <v>24.7</v>
      </c>
      <c r="E10475" s="689">
        <v>24.8</v>
      </c>
      <c r="F10475" s="689">
        <v>24.8</v>
      </c>
      <c r="G10475" s="689">
        <v>24.8</v>
      </c>
      <c r="H10475" s="689">
        <v>25.2</v>
      </c>
      <c r="I10475" s="689">
        <v>24.4</v>
      </c>
      <c r="J10475" s="689">
        <v>23.2</v>
      </c>
      <c r="K10475" s="689">
        <v>24.8</v>
      </c>
    </row>
    <row r="10476" spans="1:11">
      <c r="A10476" s="688" t="s">
        <v>16</v>
      </c>
      <c r="B10476" s="691">
        <v>31.4</v>
      </c>
      <c r="C10476" s="691">
        <v>31.3</v>
      </c>
      <c r="D10476" s="691">
        <v>31.4</v>
      </c>
      <c r="E10476" s="691">
        <v>32.200000000000003</v>
      </c>
      <c r="F10476" s="691">
        <v>31.8</v>
      </c>
      <c r="G10476" s="691">
        <v>31.7</v>
      </c>
      <c r="H10476" s="691">
        <v>32.200000000000003</v>
      </c>
      <c r="I10476" s="691">
        <v>31.4</v>
      </c>
      <c r="J10476" s="691">
        <v>31.8</v>
      </c>
      <c r="K10476" s="691">
        <v>31.8</v>
      </c>
    </row>
    <row r="10477" spans="1:11">
      <c r="A10477" s="688" t="s">
        <v>17</v>
      </c>
      <c r="B10477" s="689">
        <v>31.1</v>
      </c>
      <c r="C10477" s="689">
        <v>31.4</v>
      </c>
      <c r="D10477" s="689">
        <v>31.2</v>
      </c>
      <c r="E10477" s="689">
        <v>31.4</v>
      </c>
      <c r="F10477" s="689">
        <v>31.6</v>
      </c>
      <c r="G10477" s="689">
        <v>31.7</v>
      </c>
      <c r="H10477" s="693">
        <v>32</v>
      </c>
      <c r="I10477" s="689">
        <v>31.2</v>
      </c>
      <c r="J10477" s="689">
        <v>31.2</v>
      </c>
      <c r="K10477" s="689">
        <v>31.7</v>
      </c>
    </row>
    <row r="10478" spans="1:11">
      <c r="A10478" s="688" t="s">
        <v>19</v>
      </c>
      <c r="B10478" s="691">
        <v>30.5</v>
      </c>
      <c r="C10478" s="691">
        <v>30.7</v>
      </c>
      <c r="D10478" s="691">
        <v>30.4</v>
      </c>
      <c r="E10478" s="691">
        <v>30.9</v>
      </c>
      <c r="F10478" s="615">
        <v>31</v>
      </c>
      <c r="G10478" s="615">
        <v>31</v>
      </c>
      <c r="H10478" s="691">
        <v>31.3</v>
      </c>
      <c r="I10478" s="691">
        <v>30.6</v>
      </c>
      <c r="J10478" s="691">
        <v>30.6</v>
      </c>
      <c r="K10478" s="691">
        <v>30.7</v>
      </c>
    </row>
    <row r="10479" spans="1:11">
      <c r="A10479" s="688" t="s">
        <v>20</v>
      </c>
      <c r="B10479" s="689">
        <v>26.2</v>
      </c>
      <c r="C10479" s="689">
        <v>26.6</v>
      </c>
      <c r="D10479" s="689">
        <v>26.4</v>
      </c>
      <c r="E10479" s="689">
        <v>26.7</v>
      </c>
      <c r="F10479" s="689">
        <v>26.7</v>
      </c>
      <c r="G10479" s="689">
        <v>26.7</v>
      </c>
      <c r="H10479" s="693">
        <v>27</v>
      </c>
      <c r="I10479" s="689">
        <v>25.4</v>
      </c>
      <c r="J10479" s="689">
        <v>24.7</v>
      </c>
      <c r="K10479" s="689">
        <v>26.3</v>
      </c>
    </row>
    <row r="10480" spans="1:11">
      <c r="A10480" s="688" t="s">
        <v>21</v>
      </c>
      <c r="B10480" s="691">
        <v>29.8</v>
      </c>
      <c r="C10480" s="691">
        <v>30.2</v>
      </c>
      <c r="D10480" s="691">
        <v>30.3</v>
      </c>
      <c r="E10480" s="691">
        <v>30.2</v>
      </c>
      <c r="F10480" s="691">
        <v>30.5</v>
      </c>
      <c r="G10480" s="691">
        <v>30.5</v>
      </c>
      <c r="H10480" s="691">
        <v>30.8</v>
      </c>
      <c r="I10480" s="691">
        <v>30.3</v>
      </c>
      <c r="J10480" s="691">
        <v>30.3</v>
      </c>
      <c r="K10480" s="691">
        <v>30.7</v>
      </c>
    </row>
    <row r="10481" spans="1:11">
      <c r="A10481" s="688" t="s">
        <v>22</v>
      </c>
      <c r="B10481" s="689">
        <v>25.1</v>
      </c>
      <c r="C10481" s="689">
        <v>24.9</v>
      </c>
      <c r="D10481" s="689">
        <v>24.8</v>
      </c>
      <c r="E10481" s="689">
        <v>24.9</v>
      </c>
      <c r="F10481" s="689">
        <v>24.9</v>
      </c>
      <c r="G10481" s="689">
        <v>24.8</v>
      </c>
      <c r="H10481" s="689">
        <v>25.1</v>
      </c>
      <c r="I10481" s="689">
        <v>23.5</v>
      </c>
      <c r="J10481" s="689">
        <v>22.5</v>
      </c>
      <c r="K10481" s="689">
        <v>24.4</v>
      </c>
    </row>
    <row r="10482" spans="1:11">
      <c r="A10482" s="688" t="s">
        <v>26</v>
      </c>
      <c r="B10482" s="691">
        <v>29.2</v>
      </c>
      <c r="C10482" s="691">
        <v>29.7</v>
      </c>
      <c r="D10482" s="691">
        <v>29.5</v>
      </c>
      <c r="E10482" s="691">
        <v>29.8</v>
      </c>
      <c r="F10482" s="691">
        <v>29.7</v>
      </c>
      <c r="G10482" s="615">
        <v>30</v>
      </c>
      <c r="H10482" s="691">
        <v>30.3</v>
      </c>
      <c r="I10482" s="691">
        <v>29.4</v>
      </c>
      <c r="J10482" s="691">
        <v>29.3</v>
      </c>
      <c r="K10482" s="691">
        <v>30.2</v>
      </c>
    </row>
    <row r="10483" spans="1:11">
      <c r="A10483" s="688" t="s">
        <v>25</v>
      </c>
      <c r="B10483" s="689">
        <v>25.7</v>
      </c>
      <c r="C10483" s="689">
        <v>26.1</v>
      </c>
      <c r="D10483" s="693">
        <v>26</v>
      </c>
      <c r="E10483" s="689">
        <v>26.4</v>
      </c>
      <c r="F10483" s="689">
        <v>26.4</v>
      </c>
      <c r="G10483" s="689">
        <v>26.5</v>
      </c>
      <c r="H10483" s="693">
        <v>27</v>
      </c>
      <c r="I10483" s="689">
        <v>26.2</v>
      </c>
      <c r="J10483" s="693">
        <v>24</v>
      </c>
      <c r="K10483" s="689">
        <v>26.3</v>
      </c>
    </row>
    <row r="10484" spans="1:11">
      <c r="A10484" s="688" t="s">
        <v>5</v>
      </c>
      <c r="B10484" s="691">
        <v>30.3</v>
      </c>
      <c r="C10484" s="691">
        <v>30.3</v>
      </c>
      <c r="D10484" s="691">
        <v>30.5</v>
      </c>
      <c r="E10484" s="691">
        <v>30.5</v>
      </c>
      <c r="F10484" s="691">
        <v>30.8</v>
      </c>
      <c r="G10484" s="691">
        <v>30.9</v>
      </c>
      <c r="H10484" s="691">
        <v>31.3</v>
      </c>
      <c r="I10484" s="691">
        <v>31.2</v>
      </c>
      <c r="J10484" s="691">
        <v>31.1</v>
      </c>
      <c r="K10484" s="691">
        <v>30.6</v>
      </c>
    </row>
    <row r="10485" spans="1:11">
      <c r="A10485" s="688" t="s">
        <v>23</v>
      </c>
      <c r="B10485" s="689">
        <v>31.8</v>
      </c>
      <c r="C10485" s="693">
        <v>32</v>
      </c>
      <c r="D10485" s="693">
        <v>32</v>
      </c>
      <c r="E10485" s="689">
        <v>32.200000000000003</v>
      </c>
      <c r="F10485" s="689">
        <v>32.4</v>
      </c>
      <c r="G10485" s="689">
        <v>32.4</v>
      </c>
      <c r="H10485" s="689">
        <v>32.799999999999997</v>
      </c>
      <c r="I10485" s="689">
        <v>32.1</v>
      </c>
      <c r="J10485" s="689">
        <v>32.700000000000003</v>
      </c>
      <c r="K10485" s="689">
        <v>32.9</v>
      </c>
    </row>
    <row r="10486" spans="1:11">
      <c r="A10486" s="688" t="s">
        <v>4067</v>
      </c>
      <c r="B10486" s="691">
        <v>29.9</v>
      </c>
      <c r="C10486" s="691">
        <v>30.2</v>
      </c>
      <c r="D10486" s="615">
        <v>30</v>
      </c>
      <c r="E10486" s="691">
        <v>30.3</v>
      </c>
      <c r="F10486" s="691">
        <v>30.3</v>
      </c>
      <c r="G10486" s="691">
        <v>30.4</v>
      </c>
      <c r="H10486" s="692" t="s">
        <v>4060</v>
      </c>
      <c r="I10486" s="692" t="s">
        <v>4060</v>
      </c>
      <c r="J10486" s="692" t="s">
        <v>4060</v>
      </c>
      <c r="K10486" s="692" t="s">
        <v>4060</v>
      </c>
    </row>
    <row r="10487" spans="1:11">
      <c r="A10487" s="688" t="s">
        <v>4066</v>
      </c>
      <c r="B10487" s="689">
        <v>29.9</v>
      </c>
      <c r="C10487" s="689">
        <v>30.3</v>
      </c>
      <c r="D10487" s="693">
        <v>30</v>
      </c>
      <c r="E10487" s="689">
        <v>30.3</v>
      </c>
      <c r="F10487" s="689">
        <v>30.4</v>
      </c>
      <c r="G10487" s="689">
        <v>30.5</v>
      </c>
      <c r="H10487" s="690" t="s">
        <v>4060</v>
      </c>
      <c r="I10487" s="690" t="s">
        <v>4060</v>
      </c>
      <c r="J10487" s="690" t="s">
        <v>4060</v>
      </c>
      <c r="K10487" s="690" t="s">
        <v>4060</v>
      </c>
    </row>
    <row r="10488" spans="1:11">
      <c r="A10488" s="688" t="s">
        <v>4062</v>
      </c>
      <c r="B10488" s="615">
        <v>32</v>
      </c>
      <c r="C10488" s="691">
        <v>32.200000000000003</v>
      </c>
      <c r="D10488" s="691">
        <v>32.200000000000003</v>
      </c>
      <c r="E10488" s="691">
        <v>32.6</v>
      </c>
      <c r="F10488" s="691">
        <v>32.700000000000003</v>
      </c>
      <c r="G10488" s="691">
        <v>32.9</v>
      </c>
      <c r="H10488" s="691">
        <v>33.1</v>
      </c>
      <c r="I10488" s="691">
        <v>32.700000000000003</v>
      </c>
      <c r="J10488" s="691">
        <v>33.1</v>
      </c>
      <c r="K10488" s="691">
        <v>32.799999999999997</v>
      </c>
    </row>
    <row r="10489" spans="1:11">
      <c r="A10489" s="688" t="s">
        <v>9</v>
      </c>
      <c r="B10489" s="689">
        <v>32.200000000000003</v>
      </c>
      <c r="C10489" s="689">
        <v>32.4</v>
      </c>
      <c r="D10489" s="689">
        <v>32.9</v>
      </c>
      <c r="E10489" s="689">
        <v>32.200000000000003</v>
      </c>
      <c r="F10489" s="689">
        <v>32.6</v>
      </c>
      <c r="G10489" s="693">
        <v>33</v>
      </c>
      <c r="H10489" s="693">
        <v>33</v>
      </c>
      <c r="I10489" s="689">
        <v>33.200000000000003</v>
      </c>
      <c r="J10489" s="689">
        <v>33.6</v>
      </c>
      <c r="K10489" s="689">
        <v>32.5</v>
      </c>
    </row>
    <row r="10490" spans="1:11">
      <c r="A10490" s="688" t="s">
        <v>13</v>
      </c>
      <c r="B10490" s="615">
        <v>32</v>
      </c>
      <c r="C10490" s="691">
        <v>32.299999999999997</v>
      </c>
      <c r="D10490" s="691">
        <v>32.5</v>
      </c>
      <c r="E10490" s="691">
        <v>31.1</v>
      </c>
      <c r="F10490" s="691">
        <v>33.1</v>
      </c>
      <c r="G10490" s="691">
        <v>32.4</v>
      </c>
      <c r="H10490" s="691">
        <v>33.200000000000003</v>
      </c>
      <c r="I10490" s="691">
        <v>31.9</v>
      </c>
      <c r="J10490" s="691">
        <v>33.200000000000003</v>
      </c>
      <c r="K10490" s="615">
        <v>34</v>
      </c>
    </row>
    <row r="10491" spans="1:11">
      <c r="A10491" s="688" t="s">
        <v>18</v>
      </c>
      <c r="B10491" s="689">
        <v>31.5</v>
      </c>
      <c r="C10491" s="689">
        <v>31.7</v>
      </c>
      <c r="D10491" s="689">
        <v>31.9</v>
      </c>
      <c r="E10491" s="689">
        <v>32.200000000000003</v>
      </c>
      <c r="F10491" s="689">
        <v>32.4</v>
      </c>
      <c r="G10491" s="689">
        <v>32.6</v>
      </c>
      <c r="H10491" s="689">
        <v>32.799999999999997</v>
      </c>
      <c r="I10491" s="693">
        <v>33</v>
      </c>
      <c r="J10491" s="693">
        <v>33</v>
      </c>
      <c r="K10491" s="689">
        <v>32.4</v>
      </c>
    </row>
    <row r="10492" spans="1:11">
      <c r="A10492" s="688" t="s">
        <v>24</v>
      </c>
      <c r="B10492" s="691">
        <v>32.299999999999997</v>
      </c>
      <c r="C10492" s="691">
        <v>32.5</v>
      </c>
      <c r="D10492" s="691">
        <v>32.299999999999997</v>
      </c>
      <c r="E10492" s="691">
        <v>32.9</v>
      </c>
      <c r="F10492" s="691">
        <v>32.9</v>
      </c>
      <c r="G10492" s="691">
        <v>33.1</v>
      </c>
      <c r="H10492" s="691">
        <v>33.299999999999997</v>
      </c>
      <c r="I10492" s="691">
        <v>32.5</v>
      </c>
      <c r="J10492" s="691">
        <v>33.1</v>
      </c>
      <c r="K10492" s="691">
        <v>33.1</v>
      </c>
    </row>
    <row r="10493" spans="1:11">
      <c r="A10493" s="688" t="s">
        <v>4059</v>
      </c>
      <c r="B10493" s="689">
        <v>31.3</v>
      </c>
      <c r="C10493" s="689">
        <v>31.5</v>
      </c>
      <c r="D10493" s="689">
        <v>31.3</v>
      </c>
      <c r="E10493" s="689">
        <v>31.5</v>
      </c>
      <c r="F10493" s="689">
        <v>31.6</v>
      </c>
      <c r="G10493" s="689">
        <v>31.6</v>
      </c>
      <c r="H10493" s="690" t="s">
        <v>4060</v>
      </c>
      <c r="I10493" s="690" t="s">
        <v>4060</v>
      </c>
      <c r="J10493" s="690" t="s">
        <v>4060</v>
      </c>
      <c r="K10493" s="690" t="s">
        <v>4060</v>
      </c>
    </row>
    <row r="10494" spans="1:11">
      <c r="A10494" s="688" t="s">
        <v>2324</v>
      </c>
      <c r="B10494" s="691">
        <v>26.5</v>
      </c>
      <c r="C10494" s="691">
        <v>26.5</v>
      </c>
      <c r="D10494" s="691">
        <v>26.4</v>
      </c>
      <c r="E10494" s="691">
        <v>26.1</v>
      </c>
      <c r="F10494" s="691">
        <v>26.4</v>
      </c>
      <c r="G10494" s="691">
        <v>26.7</v>
      </c>
      <c r="H10494" s="691">
        <v>26.5</v>
      </c>
      <c r="I10494" s="691">
        <v>25.3</v>
      </c>
      <c r="J10494" s="691">
        <v>23.3</v>
      </c>
      <c r="K10494" s="692" t="s">
        <v>4060</v>
      </c>
    </row>
    <row r="10495" spans="1:11">
      <c r="A10495" s="688" t="s">
        <v>2322</v>
      </c>
      <c r="B10495" s="690" t="s">
        <v>4060</v>
      </c>
      <c r="C10495" s="690" t="s">
        <v>4060</v>
      </c>
      <c r="D10495" s="690" t="s">
        <v>4060</v>
      </c>
      <c r="E10495" s="690" t="s">
        <v>4060</v>
      </c>
      <c r="F10495" s="690" t="s">
        <v>4060</v>
      </c>
      <c r="G10495" s="690" t="s">
        <v>4060</v>
      </c>
      <c r="H10495" s="690" t="s">
        <v>4060</v>
      </c>
      <c r="I10495" s="690" t="s">
        <v>4060</v>
      </c>
      <c r="J10495" s="690" t="s">
        <v>4060</v>
      </c>
      <c r="K10495" s="690" t="s">
        <v>4060</v>
      </c>
    </row>
    <row r="10496" spans="1:11">
      <c r="A10496" s="688" t="s">
        <v>2328</v>
      </c>
      <c r="B10496" s="615">
        <v>26</v>
      </c>
      <c r="C10496" s="691">
        <v>26.1</v>
      </c>
      <c r="D10496" s="615">
        <v>26</v>
      </c>
      <c r="E10496" s="691">
        <v>26.1</v>
      </c>
      <c r="F10496" s="691">
        <v>26.4</v>
      </c>
      <c r="G10496" s="691">
        <v>26.8</v>
      </c>
      <c r="H10496" s="691">
        <v>26.8</v>
      </c>
      <c r="I10496" s="691">
        <v>24.3</v>
      </c>
      <c r="J10496" s="691">
        <v>23.6</v>
      </c>
      <c r="K10496" s="692" t="s">
        <v>4060</v>
      </c>
    </row>
    <row r="10497" spans="1:11">
      <c r="A10497" s="688" t="s">
        <v>2496</v>
      </c>
      <c r="B10497" s="690" t="s">
        <v>4060</v>
      </c>
      <c r="C10497" s="689">
        <v>24.3</v>
      </c>
      <c r="D10497" s="689">
        <v>23.2</v>
      </c>
      <c r="E10497" s="693">
        <v>23</v>
      </c>
      <c r="F10497" s="689">
        <v>23.7</v>
      </c>
      <c r="G10497" s="689">
        <v>23.9</v>
      </c>
      <c r="H10497" s="689">
        <v>23.9</v>
      </c>
      <c r="I10497" s="690" t="s">
        <v>4060</v>
      </c>
      <c r="J10497" s="690" t="s">
        <v>4060</v>
      </c>
      <c r="K10497" s="689">
        <v>23.4</v>
      </c>
    </row>
    <row r="10498" spans="1:11">
      <c r="A10498" s="688" t="s">
        <v>2269</v>
      </c>
      <c r="B10498" s="691">
        <v>29.2</v>
      </c>
      <c r="C10498" s="691">
        <v>29.3</v>
      </c>
      <c r="D10498" s="691">
        <v>28.9</v>
      </c>
      <c r="E10498" s="691">
        <v>29.6</v>
      </c>
      <c r="F10498" s="691">
        <v>29.6</v>
      </c>
      <c r="G10498" s="691">
        <v>29.9</v>
      </c>
      <c r="H10498" s="691">
        <v>30.2</v>
      </c>
      <c r="I10498" s="691">
        <v>27.8</v>
      </c>
      <c r="J10498" s="691">
        <v>26.1</v>
      </c>
      <c r="K10498" s="691">
        <v>29.7</v>
      </c>
    </row>
    <row r="10499" spans="1:11">
      <c r="A10499" s="688" t="s">
        <v>2349</v>
      </c>
      <c r="B10499" s="689">
        <v>25.4</v>
      </c>
      <c r="C10499" s="689">
        <v>25.5</v>
      </c>
      <c r="D10499" s="689">
        <v>25.4</v>
      </c>
      <c r="E10499" s="689">
        <v>25.7</v>
      </c>
      <c r="F10499" s="689">
        <v>25.7</v>
      </c>
      <c r="G10499" s="689">
        <v>25.9</v>
      </c>
      <c r="H10499" s="689">
        <v>25.8</v>
      </c>
      <c r="I10499" s="689">
        <v>24.2</v>
      </c>
      <c r="J10499" s="689">
        <v>22.9</v>
      </c>
      <c r="K10499" s="689">
        <v>25.2</v>
      </c>
    </row>
    <row r="10500" spans="1:11">
      <c r="A10500" s="688" t="s">
        <v>2355</v>
      </c>
      <c r="B10500" s="691">
        <v>28.4</v>
      </c>
      <c r="C10500" s="691">
        <v>28.4</v>
      </c>
      <c r="D10500" s="691">
        <v>28.3</v>
      </c>
      <c r="E10500" s="691">
        <v>28.3</v>
      </c>
      <c r="F10500" s="691">
        <v>28.5</v>
      </c>
      <c r="G10500" s="691">
        <v>28.9</v>
      </c>
      <c r="H10500" s="615">
        <v>29</v>
      </c>
      <c r="I10500" s="692" t="s">
        <v>4060</v>
      </c>
      <c r="J10500" s="692" t="s">
        <v>4060</v>
      </c>
      <c r="K10500" s="692" t="s">
        <v>4060</v>
      </c>
    </row>
    <row r="10501" spans="1:11">
      <c r="A10501" s="688" t="s">
        <v>2357</v>
      </c>
      <c r="B10501" s="690" t="s">
        <v>4060</v>
      </c>
      <c r="C10501" s="689">
        <v>22.6</v>
      </c>
      <c r="D10501" s="689">
        <v>22.9</v>
      </c>
      <c r="E10501" s="689">
        <v>23.2</v>
      </c>
      <c r="F10501" s="689">
        <v>23.4</v>
      </c>
      <c r="G10501" s="689">
        <v>23.2</v>
      </c>
      <c r="H10501" s="689">
        <v>23.4</v>
      </c>
      <c r="I10501" s="690" t="s">
        <v>4060</v>
      </c>
      <c r="J10501" s="690" t="s">
        <v>4060</v>
      </c>
      <c r="K10501" s="690" t="s">
        <v>4060</v>
      </c>
    </row>
    <row r="10502" spans="1:11">
      <c r="A10502" s="688" t="s">
        <v>4070</v>
      </c>
      <c r="B10502" s="692" t="s">
        <v>4060</v>
      </c>
      <c r="C10502" s="692" t="s">
        <v>4060</v>
      </c>
      <c r="D10502" s="692" t="s">
        <v>4060</v>
      </c>
      <c r="E10502" s="691">
        <v>27.8</v>
      </c>
      <c r="F10502" s="692" t="s">
        <v>4060</v>
      </c>
      <c r="G10502" s="692" t="s">
        <v>4060</v>
      </c>
      <c r="H10502" s="692" t="s">
        <v>4060</v>
      </c>
      <c r="I10502" s="692" t="s">
        <v>4060</v>
      </c>
      <c r="J10502" s="692" t="s">
        <v>4060</v>
      </c>
      <c r="K10502" s="692" t="s">
        <v>4060</v>
      </c>
    </row>
    <row r="10503" spans="1:11">
      <c r="A10503" s="688" t="s">
        <v>2491</v>
      </c>
      <c r="B10503" s="689">
        <v>22.1</v>
      </c>
      <c r="C10503" s="689">
        <v>22.4</v>
      </c>
      <c r="D10503" s="689">
        <v>22.7</v>
      </c>
      <c r="E10503" s="689">
        <v>22.9</v>
      </c>
      <c r="F10503" s="693">
        <v>23</v>
      </c>
      <c r="G10503" s="689">
        <v>22.9</v>
      </c>
      <c r="H10503" s="690" t="s">
        <v>4060</v>
      </c>
      <c r="I10503" s="690" t="s">
        <v>4060</v>
      </c>
      <c r="J10503" s="690" t="s">
        <v>4060</v>
      </c>
      <c r="K10503" s="690" t="s">
        <v>4060</v>
      </c>
    </row>
    <row r="10504" spans="1:11">
      <c r="A10504" s="688" t="s">
        <v>2343</v>
      </c>
      <c r="B10504" s="692" t="s">
        <v>4060</v>
      </c>
      <c r="C10504" s="692" t="s">
        <v>4060</v>
      </c>
      <c r="D10504" s="692" t="s">
        <v>4060</v>
      </c>
      <c r="E10504" s="692" t="s">
        <v>4060</v>
      </c>
      <c r="F10504" s="692" t="s">
        <v>4060</v>
      </c>
      <c r="G10504" s="692" t="s">
        <v>4060</v>
      </c>
      <c r="H10504" s="692" t="s">
        <v>4060</v>
      </c>
      <c r="I10504" s="692" t="s">
        <v>4060</v>
      </c>
      <c r="J10504" s="692" t="s">
        <v>4060</v>
      </c>
      <c r="K10504" s="692" t="s">
        <v>4060</v>
      </c>
    </row>
    <row r="10505" spans="1:11">
      <c r="A10505" s="688" t="s">
        <v>4071</v>
      </c>
      <c r="B10505" s="690" t="s">
        <v>4060</v>
      </c>
      <c r="C10505" s="690" t="s">
        <v>4060</v>
      </c>
      <c r="D10505" s="690" t="s">
        <v>4060</v>
      </c>
      <c r="E10505" s="690" t="s">
        <v>4060</v>
      </c>
      <c r="F10505" s="690" t="s">
        <v>4060</v>
      </c>
      <c r="G10505" s="690" t="s">
        <v>4060</v>
      </c>
      <c r="H10505" s="690" t="s">
        <v>4060</v>
      </c>
      <c r="I10505" s="690" t="s">
        <v>4060</v>
      </c>
      <c r="J10505" s="690" t="s">
        <v>4060</v>
      </c>
      <c r="K10505" s="690" t="s">
        <v>4060</v>
      </c>
    </row>
    <row r="10506" spans="1:11">
      <c r="A10506" s="688" t="s">
        <v>2489</v>
      </c>
      <c r="B10506" s="692" t="s">
        <v>4060</v>
      </c>
      <c r="C10506" s="692" t="s">
        <v>4060</v>
      </c>
      <c r="D10506" s="691">
        <v>25.2</v>
      </c>
      <c r="E10506" s="691">
        <v>25.1</v>
      </c>
      <c r="F10506" s="691">
        <v>25.5</v>
      </c>
      <c r="G10506" s="691">
        <v>26.3</v>
      </c>
      <c r="H10506" s="691">
        <v>26.1</v>
      </c>
      <c r="I10506" s="692" t="s">
        <v>4060</v>
      </c>
      <c r="J10506" s="692" t="s">
        <v>4060</v>
      </c>
      <c r="K10506" s="692" t="s">
        <v>4060</v>
      </c>
    </row>
    <row r="10507" spans="1:11">
      <c r="A10507" s="688" t="s">
        <v>2490</v>
      </c>
      <c r="B10507" s="689">
        <v>25.8</v>
      </c>
      <c r="C10507" s="689">
        <v>25.8</v>
      </c>
      <c r="D10507" s="689">
        <v>26.5</v>
      </c>
      <c r="E10507" s="690" t="s">
        <v>4060</v>
      </c>
      <c r="F10507" s="689">
        <v>26.8</v>
      </c>
      <c r="G10507" s="689">
        <v>26.9</v>
      </c>
      <c r="H10507" s="689">
        <v>27.9</v>
      </c>
      <c r="I10507" s="690" t="s">
        <v>4060</v>
      </c>
      <c r="J10507" s="690" t="s">
        <v>4060</v>
      </c>
      <c r="K10507" s="690" t="s">
        <v>4060</v>
      </c>
    </row>
    <row r="10509" spans="1:11">
      <c r="A10509" s="683" t="s">
        <v>4233</v>
      </c>
    </row>
    <row r="10510" spans="1:11">
      <c r="A10510" s="683" t="s">
        <v>4060</v>
      </c>
      <c r="B10510" s="682" t="s">
        <v>4234</v>
      </c>
    </row>
    <row r="10512" spans="1:11">
      <c r="A10512" s="682" t="s">
        <v>4331</v>
      </c>
    </row>
    <row r="10513" spans="1:11">
      <c r="A10513" s="682" t="s">
        <v>4210</v>
      </c>
      <c r="B10513" s="683" t="s">
        <v>4211</v>
      </c>
    </row>
    <row r="10514" spans="1:11">
      <c r="A10514" s="682" t="s">
        <v>4212</v>
      </c>
      <c r="B10514" s="682" t="s">
        <v>4213</v>
      </c>
    </row>
    <row r="10516" spans="1:11">
      <c r="A10516" s="683" t="s">
        <v>4214</v>
      </c>
      <c r="C10516" s="682" t="s">
        <v>4215</v>
      </c>
    </row>
    <row r="10517" spans="1:11">
      <c r="A10517" s="683" t="s">
        <v>4216</v>
      </c>
      <c r="C10517" s="682" t="s">
        <v>2967</v>
      </c>
    </row>
    <row r="10518" spans="1:11">
      <c r="A10518" s="683" t="s">
        <v>3893</v>
      </c>
      <c r="C10518" s="682" t="s">
        <v>2168</v>
      </c>
    </row>
    <row r="10519" spans="1:11">
      <c r="A10519" s="683" t="s">
        <v>4218</v>
      </c>
      <c r="C10519" s="682" t="s">
        <v>4286</v>
      </c>
    </row>
    <row r="10521" spans="1:11">
      <c r="A10521" s="684" t="s">
        <v>4220</v>
      </c>
      <c r="B10521" s="685" t="s">
        <v>4221</v>
      </c>
      <c r="C10521" s="685" t="s">
        <v>4222</v>
      </c>
      <c r="D10521" s="685" t="s">
        <v>4223</v>
      </c>
      <c r="E10521" s="685" t="s">
        <v>4224</v>
      </c>
      <c r="F10521" s="685" t="s">
        <v>4225</v>
      </c>
      <c r="G10521" s="685" t="s">
        <v>4226</v>
      </c>
      <c r="H10521" s="685" t="s">
        <v>4227</v>
      </c>
      <c r="I10521" s="685" t="s">
        <v>4228</v>
      </c>
      <c r="J10521" s="685" t="s">
        <v>4229</v>
      </c>
      <c r="K10521" s="685" t="s">
        <v>4230</v>
      </c>
    </row>
    <row r="10522" spans="1:11">
      <c r="A10522" s="686" t="s">
        <v>4231</v>
      </c>
      <c r="B10522" s="687" t="s">
        <v>4232</v>
      </c>
      <c r="C10522" s="687" t="s">
        <v>4232</v>
      </c>
      <c r="D10522" s="687" t="s">
        <v>4232</v>
      </c>
      <c r="E10522" s="687" t="s">
        <v>4232</v>
      </c>
      <c r="F10522" s="687" t="s">
        <v>4232</v>
      </c>
      <c r="G10522" s="687" t="s">
        <v>4232</v>
      </c>
      <c r="H10522" s="687" t="s">
        <v>4232</v>
      </c>
      <c r="I10522" s="687" t="s">
        <v>4232</v>
      </c>
      <c r="J10522" s="687" t="s">
        <v>4232</v>
      </c>
      <c r="K10522" s="687" t="s">
        <v>4232</v>
      </c>
    </row>
    <row r="10523" spans="1:11">
      <c r="A10523" s="688" t="s">
        <v>4064</v>
      </c>
      <c r="B10523" s="689">
        <v>28.8</v>
      </c>
      <c r="C10523" s="689">
        <v>28.9</v>
      </c>
      <c r="D10523" s="689">
        <v>28.9</v>
      </c>
      <c r="E10523" s="689">
        <v>29.1</v>
      </c>
      <c r="F10523" s="689">
        <v>29.1</v>
      </c>
      <c r="G10523" s="689">
        <v>29.2</v>
      </c>
      <c r="H10523" s="689">
        <v>29.5</v>
      </c>
      <c r="I10523" s="689">
        <v>28.6</v>
      </c>
      <c r="J10523" s="689">
        <v>28.4</v>
      </c>
      <c r="K10523" s="693">
        <v>29</v>
      </c>
    </row>
    <row r="10524" spans="1:11">
      <c r="A10524" s="688" t="s">
        <v>4065</v>
      </c>
      <c r="B10524" s="615">
        <v>29</v>
      </c>
      <c r="C10524" s="691">
        <v>29.3</v>
      </c>
      <c r="D10524" s="691">
        <v>29.1</v>
      </c>
      <c r="E10524" s="691">
        <v>29.4</v>
      </c>
      <c r="F10524" s="691">
        <v>29.4</v>
      </c>
      <c r="G10524" s="691">
        <v>29.5</v>
      </c>
      <c r="H10524" s="692" t="s">
        <v>4060</v>
      </c>
      <c r="I10524" s="692" t="s">
        <v>4060</v>
      </c>
      <c r="J10524" s="692" t="s">
        <v>4060</v>
      </c>
      <c r="K10524" s="692" t="s">
        <v>4060</v>
      </c>
    </row>
    <row r="10525" spans="1:11">
      <c r="A10525" s="688" t="s">
        <v>4063</v>
      </c>
      <c r="B10525" s="693">
        <v>29</v>
      </c>
      <c r="C10525" s="689">
        <v>29.4</v>
      </c>
      <c r="D10525" s="689">
        <v>29.1</v>
      </c>
      <c r="E10525" s="689">
        <v>29.4</v>
      </c>
      <c r="F10525" s="689">
        <v>29.5</v>
      </c>
      <c r="G10525" s="689">
        <v>29.6</v>
      </c>
      <c r="H10525" s="690" t="s">
        <v>4060</v>
      </c>
      <c r="I10525" s="690" t="s">
        <v>4060</v>
      </c>
      <c r="J10525" s="690" t="s">
        <v>4060</v>
      </c>
      <c r="K10525" s="690" t="s">
        <v>4060</v>
      </c>
    </row>
    <row r="10526" spans="1:11">
      <c r="A10526" s="688" t="s">
        <v>4069</v>
      </c>
      <c r="B10526" s="692" t="s">
        <v>4060</v>
      </c>
      <c r="C10526" s="691">
        <v>29.9</v>
      </c>
      <c r="D10526" s="691">
        <v>29.7</v>
      </c>
      <c r="E10526" s="615">
        <v>30</v>
      </c>
      <c r="F10526" s="691">
        <v>30.1</v>
      </c>
      <c r="G10526" s="691">
        <v>30.2</v>
      </c>
      <c r="H10526" s="691">
        <v>30.4</v>
      </c>
      <c r="I10526" s="691">
        <v>29.7</v>
      </c>
      <c r="J10526" s="691">
        <v>29.7</v>
      </c>
      <c r="K10526" s="615">
        <v>30</v>
      </c>
    </row>
    <row r="10527" spans="1:11">
      <c r="A10527" s="688" t="s">
        <v>4068</v>
      </c>
      <c r="B10527" s="689">
        <v>29.8</v>
      </c>
      <c r="C10527" s="690" t="s">
        <v>4060</v>
      </c>
      <c r="D10527" s="690" t="s">
        <v>4060</v>
      </c>
      <c r="E10527" s="690" t="s">
        <v>4060</v>
      </c>
      <c r="F10527" s="690" t="s">
        <v>4060</v>
      </c>
      <c r="G10527" s="690" t="s">
        <v>4060</v>
      </c>
      <c r="H10527" s="690" t="s">
        <v>4060</v>
      </c>
      <c r="I10527" s="690" t="s">
        <v>4060</v>
      </c>
      <c r="J10527" s="690" t="s">
        <v>4060</v>
      </c>
      <c r="K10527" s="690" t="s">
        <v>4060</v>
      </c>
    </row>
    <row r="10528" spans="1:11">
      <c r="A10528" s="688" t="s">
        <v>0</v>
      </c>
      <c r="B10528" s="691">
        <v>29.2</v>
      </c>
      <c r="C10528" s="691">
        <v>29.7</v>
      </c>
      <c r="D10528" s="691">
        <v>29.6</v>
      </c>
      <c r="E10528" s="691">
        <v>29.9</v>
      </c>
      <c r="F10528" s="615">
        <v>30</v>
      </c>
      <c r="G10528" s="691">
        <v>30.2</v>
      </c>
      <c r="H10528" s="691">
        <v>30.6</v>
      </c>
      <c r="I10528" s="691">
        <v>29.4</v>
      </c>
      <c r="J10528" s="691">
        <v>30.2</v>
      </c>
      <c r="K10528" s="691">
        <v>30.5</v>
      </c>
    </row>
    <row r="10529" spans="1:11">
      <c r="A10529" s="688" t="s">
        <v>1</v>
      </c>
      <c r="B10529" s="689">
        <v>23.9</v>
      </c>
      <c r="C10529" s="689">
        <v>23.7</v>
      </c>
      <c r="D10529" s="689">
        <v>23.7</v>
      </c>
      <c r="E10529" s="689">
        <v>23.8</v>
      </c>
      <c r="F10529" s="689">
        <v>23.7</v>
      </c>
      <c r="G10529" s="689">
        <v>23.8</v>
      </c>
      <c r="H10529" s="689">
        <v>23.9</v>
      </c>
      <c r="I10529" s="689">
        <v>22.2</v>
      </c>
      <c r="J10529" s="689">
        <v>20.7</v>
      </c>
      <c r="K10529" s="689">
        <v>22.9</v>
      </c>
    </row>
    <row r="10530" spans="1:11">
      <c r="A10530" s="688" t="s">
        <v>2240</v>
      </c>
      <c r="B10530" s="691">
        <v>26.5</v>
      </c>
      <c r="C10530" s="691">
        <v>26.9</v>
      </c>
      <c r="D10530" s="691">
        <v>26.8</v>
      </c>
      <c r="E10530" s="691">
        <v>27.2</v>
      </c>
      <c r="F10530" s="691">
        <v>27.2</v>
      </c>
      <c r="G10530" s="691">
        <v>27.3</v>
      </c>
      <c r="H10530" s="691">
        <v>27.5</v>
      </c>
      <c r="I10530" s="691">
        <v>26.4</v>
      </c>
      <c r="J10530" s="691">
        <v>25.3</v>
      </c>
      <c r="K10530" s="691">
        <v>27.3</v>
      </c>
    </row>
    <row r="10531" spans="1:11">
      <c r="A10531" s="688" t="s">
        <v>2</v>
      </c>
      <c r="B10531" s="689">
        <v>29.1</v>
      </c>
      <c r="C10531" s="689">
        <v>29.4</v>
      </c>
      <c r="D10531" s="689">
        <v>29.5</v>
      </c>
      <c r="E10531" s="689">
        <v>29.7</v>
      </c>
      <c r="F10531" s="689">
        <v>29.8</v>
      </c>
      <c r="G10531" s="689">
        <v>29.7</v>
      </c>
      <c r="H10531" s="689">
        <v>30.1</v>
      </c>
      <c r="I10531" s="689">
        <v>30.2</v>
      </c>
      <c r="J10531" s="689">
        <v>30.1</v>
      </c>
      <c r="K10531" s="693">
        <v>30</v>
      </c>
    </row>
    <row r="10532" spans="1:11">
      <c r="A10532" s="688" t="s">
        <v>3</v>
      </c>
      <c r="B10532" s="691">
        <v>29.1</v>
      </c>
      <c r="C10532" s="691">
        <v>29.3</v>
      </c>
      <c r="D10532" s="615">
        <v>29</v>
      </c>
      <c r="E10532" s="691">
        <v>29.3</v>
      </c>
      <c r="F10532" s="691">
        <v>29.4</v>
      </c>
      <c r="G10532" s="691">
        <v>29.3</v>
      </c>
      <c r="H10532" s="691">
        <v>29.6</v>
      </c>
      <c r="I10532" s="691">
        <v>29.4</v>
      </c>
      <c r="J10532" s="691">
        <v>29.1</v>
      </c>
      <c r="K10532" s="615">
        <v>29</v>
      </c>
    </row>
    <row r="10533" spans="1:11">
      <c r="A10533" s="688" t="s">
        <v>4061</v>
      </c>
      <c r="B10533" s="689">
        <v>29.1</v>
      </c>
      <c r="C10533" s="689">
        <v>29.3</v>
      </c>
      <c r="D10533" s="693">
        <v>29</v>
      </c>
      <c r="E10533" s="689">
        <v>29.3</v>
      </c>
      <c r="F10533" s="689">
        <v>29.4</v>
      </c>
      <c r="G10533" s="689">
        <v>29.3</v>
      </c>
      <c r="H10533" s="689">
        <v>29.6</v>
      </c>
      <c r="I10533" s="689">
        <v>29.4</v>
      </c>
      <c r="J10533" s="689">
        <v>29.1</v>
      </c>
      <c r="K10533" s="693">
        <v>29</v>
      </c>
    </row>
    <row r="10534" spans="1:11">
      <c r="A10534" s="688" t="s">
        <v>4</v>
      </c>
      <c r="B10534" s="691">
        <v>25.1</v>
      </c>
      <c r="C10534" s="615">
        <v>25</v>
      </c>
      <c r="D10534" s="691">
        <v>25.5</v>
      </c>
      <c r="E10534" s="691">
        <v>25.4</v>
      </c>
      <c r="F10534" s="691">
        <v>25.7</v>
      </c>
      <c r="G10534" s="691">
        <v>25.7</v>
      </c>
      <c r="H10534" s="691">
        <v>26.1</v>
      </c>
      <c r="I10534" s="615">
        <v>26</v>
      </c>
      <c r="J10534" s="691">
        <v>24.7</v>
      </c>
      <c r="K10534" s="691">
        <v>25.6</v>
      </c>
    </row>
    <row r="10535" spans="1:11">
      <c r="A10535" s="688" t="s">
        <v>8</v>
      </c>
      <c r="B10535" s="689">
        <v>30.1</v>
      </c>
      <c r="C10535" s="689">
        <v>30.3</v>
      </c>
      <c r="D10535" s="689">
        <v>30.4</v>
      </c>
      <c r="E10535" s="689">
        <v>30.5</v>
      </c>
      <c r="F10535" s="689">
        <v>30.9</v>
      </c>
      <c r="G10535" s="689">
        <v>30.9</v>
      </c>
      <c r="H10535" s="689">
        <v>31.2</v>
      </c>
      <c r="I10535" s="689">
        <v>31.2</v>
      </c>
      <c r="J10535" s="689">
        <v>30.9</v>
      </c>
      <c r="K10535" s="689">
        <v>31.3</v>
      </c>
    </row>
    <row r="10536" spans="1:11">
      <c r="A10536" s="688" t="s">
        <v>7</v>
      </c>
      <c r="B10536" s="615">
        <v>30</v>
      </c>
      <c r="C10536" s="691">
        <v>29.4</v>
      </c>
      <c r="D10536" s="691">
        <v>29.2</v>
      </c>
      <c r="E10536" s="691">
        <v>29.5</v>
      </c>
      <c r="F10536" s="691">
        <v>29.4</v>
      </c>
      <c r="G10536" s="691">
        <v>29.8</v>
      </c>
      <c r="H10536" s="691">
        <v>29.8</v>
      </c>
      <c r="I10536" s="691">
        <v>29.5</v>
      </c>
      <c r="J10536" s="691">
        <v>28.6</v>
      </c>
      <c r="K10536" s="691">
        <v>29.3</v>
      </c>
    </row>
    <row r="10537" spans="1:11">
      <c r="A10537" s="688" t="s">
        <v>27</v>
      </c>
      <c r="B10537" s="689">
        <v>30.8</v>
      </c>
      <c r="C10537" s="689">
        <v>30.7</v>
      </c>
      <c r="D10537" s="689">
        <v>30.4</v>
      </c>
      <c r="E10537" s="689">
        <v>30.8</v>
      </c>
      <c r="F10537" s="689">
        <v>30.8</v>
      </c>
      <c r="G10537" s="689">
        <v>30.9</v>
      </c>
      <c r="H10537" s="689">
        <v>31.2</v>
      </c>
      <c r="I10537" s="693">
        <v>30</v>
      </c>
      <c r="J10537" s="689">
        <v>30.7</v>
      </c>
      <c r="K10537" s="689">
        <v>30.9</v>
      </c>
    </row>
    <row r="10538" spans="1:11">
      <c r="A10538" s="688" t="s">
        <v>6</v>
      </c>
      <c r="B10538" s="691">
        <v>30.4</v>
      </c>
      <c r="C10538" s="691">
        <v>30.6</v>
      </c>
      <c r="D10538" s="691">
        <v>30.4</v>
      </c>
      <c r="E10538" s="691">
        <v>30.6</v>
      </c>
      <c r="F10538" s="691">
        <v>30.7</v>
      </c>
      <c r="G10538" s="691">
        <v>30.8</v>
      </c>
      <c r="H10538" s="615">
        <v>31</v>
      </c>
      <c r="I10538" s="691">
        <v>30.3</v>
      </c>
      <c r="J10538" s="691">
        <v>30.5</v>
      </c>
      <c r="K10538" s="691">
        <v>30.7</v>
      </c>
    </row>
    <row r="10539" spans="1:11">
      <c r="A10539" s="688" t="s">
        <v>4058</v>
      </c>
      <c r="B10539" s="690" t="s">
        <v>4060</v>
      </c>
      <c r="C10539" s="690" t="s">
        <v>4060</v>
      </c>
      <c r="D10539" s="690" t="s">
        <v>4060</v>
      </c>
      <c r="E10539" s="690" t="s">
        <v>4060</v>
      </c>
      <c r="F10539" s="690" t="s">
        <v>4060</v>
      </c>
      <c r="G10539" s="690" t="s">
        <v>4060</v>
      </c>
      <c r="H10539" s="690" t="s">
        <v>4060</v>
      </c>
      <c r="I10539" s="690" t="s">
        <v>4060</v>
      </c>
      <c r="J10539" s="690" t="s">
        <v>4060</v>
      </c>
      <c r="K10539" s="690" t="s">
        <v>4060</v>
      </c>
    </row>
    <row r="10540" spans="1:11">
      <c r="A10540" s="688" t="s">
        <v>11</v>
      </c>
      <c r="B10540" s="691">
        <v>25.9</v>
      </c>
      <c r="C10540" s="615">
        <v>26</v>
      </c>
      <c r="D10540" s="691">
        <v>25.7</v>
      </c>
      <c r="E10540" s="691">
        <v>26.2</v>
      </c>
      <c r="F10540" s="691">
        <v>26.2</v>
      </c>
      <c r="G10540" s="691">
        <v>26.3</v>
      </c>
      <c r="H10540" s="691">
        <v>26.6</v>
      </c>
      <c r="I10540" s="691">
        <v>25.8</v>
      </c>
      <c r="J10540" s="691">
        <v>24.9</v>
      </c>
      <c r="K10540" s="691">
        <v>26.1</v>
      </c>
    </row>
    <row r="10541" spans="1:11">
      <c r="A10541" s="688" t="s">
        <v>10</v>
      </c>
      <c r="B10541" s="693">
        <v>31</v>
      </c>
      <c r="C10541" s="693">
        <v>31</v>
      </c>
      <c r="D10541" s="689">
        <v>30.7</v>
      </c>
      <c r="E10541" s="689">
        <v>31.2</v>
      </c>
      <c r="F10541" s="689">
        <v>31.1</v>
      </c>
      <c r="G10541" s="689">
        <v>31.5</v>
      </c>
      <c r="H10541" s="689">
        <v>31.7</v>
      </c>
      <c r="I10541" s="689">
        <v>30.3</v>
      </c>
      <c r="J10541" s="689">
        <v>30.9</v>
      </c>
      <c r="K10541" s="689">
        <v>31.1</v>
      </c>
    </row>
    <row r="10542" spans="1:11">
      <c r="A10542" s="688" t="s">
        <v>30</v>
      </c>
      <c r="B10542" s="691">
        <v>30.8</v>
      </c>
      <c r="C10542" s="691">
        <v>30.9</v>
      </c>
      <c r="D10542" s="691">
        <v>30.7</v>
      </c>
      <c r="E10542" s="691">
        <v>31.2</v>
      </c>
      <c r="F10542" s="691">
        <v>30.9</v>
      </c>
      <c r="G10542" s="691">
        <v>31.7</v>
      </c>
      <c r="H10542" s="691">
        <v>31.3</v>
      </c>
      <c r="I10542" s="691">
        <v>31.3</v>
      </c>
      <c r="J10542" s="691">
        <v>30.6</v>
      </c>
      <c r="K10542" s="615">
        <v>31</v>
      </c>
    </row>
    <row r="10543" spans="1:11">
      <c r="A10543" s="688" t="s">
        <v>12</v>
      </c>
      <c r="B10543" s="689">
        <v>22.9</v>
      </c>
      <c r="C10543" s="689">
        <v>22.9</v>
      </c>
      <c r="D10543" s="689">
        <v>23.3</v>
      </c>
      <c r="E10543" s="689">
        <v>23.3</v>
      </c>
      <c r="F10543" s="689">
        <v>23.3</v>
      </c>
      <c r="G10543" s="689">
        <v>23.4</v>
      </c>
      <c r="H10543" s="689">
        <v>23.9</v>
      </c>
      <c r="I10543" s="689">
        <v>23.6</v>
      </c>
      <c r="J10543" s="689">
        <v>21.7</v>
      </c>
      <c r="K10543" s="689">
        <v>22.8</v>
      </c>
    </row>
    <row r="10544" spans="1:11">
      <c r="A10544" s="688" t="s">
        <v>14</v>
      </c>
      <c r="B10544" s="615">
        <v>23</v>
      </c>
      <c r="C10544" s="691">
        <v>23.3</v>
      </c>
      <c r="D10544" s="691">
        <v>23.1</v>
      </c>
      <c r="E10544" s="691">
        <v>23.3</v>
      </c>
      <c r="F10544" s="615">
        <v>24</v>
      </c>
      <c r="G10544" s="691">
        <v>24.1</v>
      </c>
      <c r="H10544" s="691">
        <v>24.4</v>
      </c>
      <c r="I10544" s="691">
        <v>23.2</v>
      </c>
      <c r="J10544" s="691">
        <v>22.8</v>
      </c>
      <c r="K10544" s="691">
        <v>23.9</v>
      </c>
    </row>
    <row r="10545" spans="1:11">
      <c r="A10545" s="688" t="s">
        <v>15</v>
      </c>
      <c r="B10545" s="689">
        <v>30.5</v>
      </c>
      <c r="C10545" s="693">
        <v>30</v>
      </c>
      <c r="D10545" s="689">
        <v>30.6</v>
      </c>
      <c r="E10545" s="689">
        <v>30.4</v>
      </c>
      <c r="F10545" s="689">
        <v>30.4</v>
      </c>
      <c r="G10545" s="689">
        <v>30.5</v>
      </c>
      <c r="H10545" s="689">
        <v>30.8</v>
      </c>
      <c r="I10545" s="689">
        <v>30.4</v>
      </c>
      <c r="J10545" s="689">
        <v>30.7</v>
      </c>
      <c r="K10545" s="689">
        <v>31.2</v>
      </c>
    </row>
    <row r="10546" spans="1:11">
      <c r="A10546" s="688" t="s">
        <v>29</v>
      </c>
      <c r="B10546" s="691">
        <v>23.9</v>
      </c>
      <c r="C10546" s="691">
        <v>23.9</v>
      </c>
      <c r="D10546" s="691">
        <v>23.8</v>
      </c>
      <c r="E10546" s="615">
        <v>24</v>
      </c>
      <c r="F10546" s="691">
        <v>23.9</v>
      </c>
      <c r="G10546" s="615">
        <v>24</v>
      </c>
      <c r="H10546" s="691">
        <v>24.3</v>
      </c>
      <c r="I10546" s="691">
        <v>23.6</v>
      </c>
      <c r="J10546" s="691">
        <v>22.4</v>
      </c>
      <c r="K10546" s="615">
        <v>24</v>
      </c>
    </row>
    <row r="10547" spans="1:11">
      <c r="A10547" s="688" t="s">
        <v>16</v>
      </c>
      <c r="B10547" s="689">
        <v>30.4</v>
      </c>
      <c r="C10547" s="689">
        <v>30.4</v>
      </c>
      <c r="D10547" s="689">
        <v>30.5</v>
      </c>
      <c r="E10547" s="689">
        <v>31.3</v>
      </c>
      <c r="F10547" s="689">
        <v>30.9</v>
      </c>
      <c r="G10547" s="689">
        <v>30.8</v>
      </c>
      <c r="H10547" s="689">
        <v>31.3</v>
      </c>
      <c r="I10547" s="689">
        <v>30.5</v>
      </c>
      <c r="J10547" s="689">
        <v>30.8</v>
      </c>
      <c r="K10547" s="689">
        <v>30.9</v>
      </c>
    </row>
    <row r="10548" spans="1:11">
      <c r="A10548" s="688" t="s">
        <v>17</v>
      </c>
      <c r="B10548" s="691">
        <v>30.2</v>
      </c>
      <c r="C10548" s="691">
        <v>30.5</v>
      </c>
      <c r="D10548" s="691">
        <v>30.3</v>
      </c>
      <c r="E10548" s="691">
        <v>30.4</v>
      </c>
      <c r="F10548" s="691">
        <v>30.7</v>
      </c>
      <c r="G10548" s="691">
        <v>30.7</v>
      </c>
      <c r="H10548" s="615">
        <v>31</v>
      </c>
      <c r="I10548" s="691">
        <v>30.3</v>
      </c>
      <c r="J10548" s="691">
        <v>30.3</v>
      </c>
      <c r="K10548" s="691">
        <v>30.7</v>
      </c>
    </row>
    <row r="10549" spans="1:11">
      <c r="A10549" s="688" t="s">
        <v>19</v>
      </c>
      <c r="B10549" s="689">
        <v>29.6</v>
      </c>
      <c r="C10549" s="689">
        <v>29.8</v>
      </c>
      <c r="D10549" s="689">
        <v>29.5</v>
      </c>
      <c r="E10549" s="693">
        <v>30</v>
      </c>
      <c r="F10549" s="689">
        <v>30.1</v>
      </c>
      <c r="G10549" s="689">
        <v>30.1</v>
      </c>
      <c r="H10549" s="689">
        <v>30.4</v>
      </c>
      <c r="I10549" s="689">
        <v>29.7</v>
      </c>
      <c r="J10549" s="689">
        <v>29.6</v>
      </c>
      <c r="K10549" s="689">
        <v>29.8</v>
      </c>
    </row>
    <row r="10550" spans="1:11">
      <c r="A10550" s="688" t="s">
        <v>20</v>
      </c>
      <c r="B10550" s="691">
        <v>25.4</v>
      </c>
      <c r="C10550" s="691">
        <v>25.8</v>
      </c>
      <c r="D10550" s="691">
        <v>25.6</v>
      </c>
      <c r="E10550" s="691">
        <v>25.9</v>
      </c>
      <c r="F10550" s="691">
        <v>25.9</v>
      </c>
      <c r="G10550" s="691">
        <v>25.8</v>
      </c>
      <c r="H10550" s="691">
        <v>26.1</v>
      </c>
      <c r="I10550" s="691">
        <v>24.6</v>
      </c>
      <c r="J10550" s="691">
        <v>23.9</v>
      </c>
      <c r="K10550" s="691">
        <v>25.5</v>
      </c>
    </row>
    <row r="10551" spans="1:11">
      <c r="A10551" s="688" t="s">
        <v>21</v>
      </c>
      <c r="B10551" s="693">
        <v>29</v>
      </c>
      <c r="C10551" s="689">
        <v>29.4</v>
      </c>
      <c r="D10551" s="689">
        <v>29.4</v>
      </c>
      <c r="E10551" s="689">
        <v>29.3</v>
      </c>
      <c r="F10551" s="689">
        <v>29.6</v>
      </c>
      <c r="G10551" s="689">
        <v>29.6</v>
      </c>
      <c r="H10551" s="693">
        <v>30</v>
      </c>
      <c r="I10551" s="689">
        <v>29.4</v>
      </c>
      <c r="J10551" s="689">
        <v>29.4</v>
      </c>
      <c r="K10551" s="689">
        <v>29.8</v>
      </c>
    </row>
    <row r="10552" spans="1:11">
      <c r="A10552" s="688" t="s">
        <v>22</v>
      </c>
      <c r="B10552" s="691">
        <v>24.3</v>
      </c>
      <c r="C10552" s="691">
        <v>24.1</v>
      </c>
      <c r="D10552" s="615">
        <v>24</v>
      </c>
      <c r="E10552" s="691">
        <v>24.1</v>
      </c>
      <c r="F10552" s="691">
        <v>24.1</v>
      </c>
      <c r="G10552" s="691">
        <v>24.1</v>
      </c>
      <c r="H10552" s="691">
        <v>24.3</v>
      </c>
      <c r="I10552" s="691">
        <v>22.7</v>
      </c>
      <c r="J10552" s="691">
        <v>21.7</v>
      </c>
      <c r="K10552" s="691">
        <v>23.6</v>
      </c>
    </row>
    <row r="10553" spans="1:11">
      <c r="A10553" s="688" t="s">
        <v>26</v>
      </c>
      <c r="B10553" s="689">
        <v>28.3</v>
      </c>
      <c r="C10553" s="689">
        <v>28.8</v>
      </c>
      <c r="D10553" s="689">
        <v>28.6</v>
      </c>
      <c r="E10553" s="689">
        <v>28.9</v>
      </c>
      <c r="F10553" s="689">
        <v>28.8</v>
      </c>
      <c r="G10553" s="689">
        <v>29.1</v>
      </c>
      <c r="H10553" s="689">
        <v>29.4</v>
      </c>
      <c r="I10553" s="689">
        <v>28.5</v>
      </c>
      <c r="J10553" s="689">
        <v>28.4</v>
      </c>
      <c r="K10553" s="689">
        <v>29.3</v>
      </c>
    </row>
    <row r="10554" spans="1:11">
      <c r="A10554" s="688" t="s">
        <v>25</v>
      </c>
      <c r="B10554" s="691">
        <v>24.8</v>
      </c>
      <c r="C10554" s="691">
        <v>25.2</v>
      </c>
      <c r="D10554" s="691">
        <v>25.1</v>
      </c>
      <c r="E10554" s="691">
        <v>25.6</v>
      </c>
      <c r="F10554" s="691">
        <v>25.5</v>
      </c>
      <c r="G10554" s="691">
        <v>25.7</v>
      </c>
      <c r="H10554" s="691">
        <v>26.1</v>
      </c>
      <c r="I10554" s="691">
        <v>25.3</v>
      </c>
      <c r="J10554" s="691">
        <v>23.2</v>
      </c>
      <c r="K10554" s="691">
        <v>25.5</v>
      </c>
    </row>
    <row r="10555" spans="1:11">
      <c r="A10555" s="688" t="s">
        <v>5</v>
      </c>
      <c r="B10555" s="689">
        <v>29.4</v>
      </c>
      <c r="C10555" s="689">
        <v>29.4</v>
      </c>
      <c r="D10555" s="689">
        <v>29.6</v>
      </c>
      <c r="E10555" s="689">
        <v>29.6</v>
      </c>
      <c r="F10555" s="689">
        <v>29.9</v>
      </c>
      <c r="G10555" s="693">
        <v>30</v>
      </c>
      <c r="H10555" s="689">
        <v>30.4</v>
      </c>
      <c r="I10555" s="689">
        <v>30.3</v>
      </c>
      <c r="J10555" s="689">
        <v>30.2</v>
      </c>
      <c r="K10555" s="689">
        <v>29.7</v>
      </c>
    </row>
    <row r="10556" spans="1:11">
      <c r="A10556" s="688" t="s">
        <v>23</v>
      </c>
      <c r="B10556" s="691">
        <v>30.9</v>
      </c>
      <c r="C10556" s="691">
        <v>31.1</v>
      </c>
      <c r="D10556" s="691">
        <v>31.1</v>
      </c>
      <c r="E10556" s="691">
        <v>31.3</v>
      </c>
      <c r="F10556" s="691">
        <v>31.4</v>
      </c>
      <c r="G10556" s="691">
        <v>31.4</v>
      </c>
      <c r="H10556" s="691">
        <v>31.9</v>
      </c>
      <c r="I10556" s="691">
        <v>31.2</v>
      </c>
      <c r="J10556" s="691">
        <v>31.8</v>
      </c>
      <c r="K10556" s="691">
        <v>31.9</v>
      </c>
    </row>
    <row r="10557" spans="1:11">
      <c r="A10557" s="688" t="s">
        <v>4067</v>
      </c>
      <c r="B10557" s="693">
        <v>29</v>
      </c>
      <c r="C10557" s="689">
        <v>29.3</v>
      </c>
      <c r="D10557" s="689">
        <v>29.1</v>
      </c>
      <c r="E10557" s="689">
        <v>29.4</v>
      </c>
      <c r="F10557" s="689">
        <v>29.5</v>
      </c>
      <c r="G10557" s="689">
        <v>29.6</v>
      </c>
      <c r="H10557" s="690" t="s">
        <v>4060</v>
      </c>
      <c r="I10557" s="690" t="s">
        <v>4060</v>
      </c>
      <c r="J10557" s="690" t="s">
        <v>4060</v>
      </c>
      <c r="K10557" s="690" t="s">
        <v>4060</v>
      </c>
    </row>
    <row r="10558" spans="1:11">
      <c r="A10558" s="688" t="s">
        <v>4066</v>
      </c>
      <c r="B10558" s="615">
        <v>29</v>
      </c>
      <c r="C10558" s="691">
        <v>29.4</v>
      </c>
      <c r="D10558" s="691">
        <v>29.2</v>
      </c>
      <c r="E10558" s="691">
        <v>29.5</v>
      </c>
      <c r="F10558" s="691">
        <v>29.5</v>
      </c>
      <c r="G10558" s="691">
        <v>29.6</v>
      </c>
      <c r="H10558" s="692" t="s">
        <v>4060</v>
      </c>
      <c r="I10558" s="692" t="s">
        <v>4060</v>
      </c>
      <c r="J10558" s="692" t="s">
        <v>4060</v>
      </c>
      <c r="K10558" s="692" t="s">
        <v>4060</v>
      </c>
    </row>
    <row r="10559" spans="1:11">
      <c r="A10559" s="688" t="s">
        <v>4062</v>
      </c>
      <c r="B10559" s="689">
        <v>31.1</v>
      </c>
      <c r="C10559" s="689">
        <v>31.3</v>
      </c>
      <c r="D10559" s="689">
        <v>31.3</v>
      </c>
      <c r="E10559" s="689">
        <v>31.7</v>
      </c>
      <c r="F10559" s="689">
        <v>31.8</v>
      </c>
      <c r="G10559" s="693">
        <v>32</v>
      </c>
      <c r="H10559" s="689">
        <v>32.200000000000003</v>
      </c>
      <c r="I10559" s="689">
        <v>31.7</v>
      </c>
      <c r="J10559" s="689">
        <v>32.1</v>
      </c>
      <c r="K10559" s="689">
        <v>31.9</v>
      </c>
    </row>
    <row r="10560" spans="1:11">
      <c r="A10560" s="688" t="s">
        <v>9</v>
      </c>
      <c r="B10560" s="691">
        <v>31.2</v>
      </c>
      <c r="C10560" s="691">
        <v>31.5</v>
      </c>
      <c r="D10560" s="615">
        <v>32</v>
      </c>
      <c r="E10560" s="691">
        <v>31.2</v>
      </c>
      <c r="F10560" s="691">
        <v>31.7</v>
      </c>
      <c r="G10560" s="691">
        <v>32.1</v>
      </c>
      <c r="H10560" s="691">
        <v>32.1</v>
      </c>
      <c r="I10560" s="691">
        <v>32.299999999999997</v>
      </c>
      <c r="J10560" s="691">
        <v>32.6</v>
      </c>
      <c r="K10560" s="691">
        <v>31.6</v>
      </c>
    </row>
    <row r="10561" spans="1:11">
      <c r="A10561" s="688" t="s">
        <v>13</v>
      </c>
      <c r="B10561" s="693">
        <v>31</v>
      </c>
      <c r="C10561" s="689">
        <v>31.3</v>
      </c>
      <c r="D10561" s="689">
        <v>31.7</v>
      </c>
      <c r="E10561" s="689">
        <v>30.1</v>
      </c>
      <c r="F10561" s="689">
        <v>32.1</v>
      </c>
      <c r="G10561" s="689">
        <v>31.5</v>
      </c>
      <c r="H10561" s="689">
        <v>32.200000000000003</v>
      </c>
      <c r="I10561" s="693">
        <v>31</v>
      </c>
      <c r="J10561" s="689">
        <v>32.200000000000003</v>
      </c>
      <c r="K10561" s="689">
        <v>33.1</v>
      </c>
    </row>
    <row r="10562" spans="1:11">
      <c r="A10562" s="688" t="s">
        <v>18</v>
      </c>
      <c r="B10562" s="691">
        <v>30.6</v>
      </c>
      <c r="C10562" s="691">
        <v>30.8</v>
      </c>
      <c r="D10562" s="615">
        <v>31</v>
      </c>
      <c r="E10562" s="691">
        <v>31.3</v>
      </c>
      <c r="F10562" s="691">
        <v>31.5</v>
      </c>
      <c r="G10562" s="691">
        <v>31.6</v>
      </c>
      <c r="H10562" s="691">
        <v>31.8</v>
      </c>
      <c r="I10562" s="691">
        <v>32.1</v>
      </c>
      <c r="J10562" s="691">
        <v>32.1</v>
      </c>
      <c r="K10562" s="691">
        <v>31.5</v>
      </c>
    </row>
    <row r="10563" spans="1:11">
      <c r="A10563" s="688" t="s">
        <v>24</v>
      </c>
      <c r="B10563" s="689">
        <v>31.4</v>
      </c>
      <c r="C10563" s="689">
        <v>31.6</v>
      </c>
      <c r="D10563" s="689">
        <v>31.4</v>
      </c>
      <c r="E10563" s="693">
        <v>32</v>
      </c>
      <c r="F10563" s="693">
        <v>32</v>
      </c>
      <c r="G10563" s="689">
        <v>32.200000000000003</v>
      </c>
      <c r="H10563" s="689">
        <v>32.4</v>
      </c>
      <c r="I10563" s="689">
        <v>31.5</v>
      </c>
      <c r="J10563" s="689">
        <v>32.1</v>
      </c>
      <c r="K10563" s="689">
        <v>32.200000000000003</v>
      </c>
    </row>
    <row r="10564" spans="1:11">
      <c r="A10564" s="688" t="s">
        <v>4059</v>
      </c>
      <c r="B10564" s="691">
        <v>30.4</v>
      </c>
      <c r="C10564" s="691">
        <v>30.6</v>
      </c>
      <c r="D10564" s="691">
        <v>30.4</v>
      </c>
      <c r="E10564" s="691">
        <v>30.6</v>
      </c>
      <c r="F10564" s="691">
        <v>30.7</v>
      </c>
      <c r="G10564" s="691">
        <v>30.7</v>
      </c>
      <c r="H10564" s="692" t="s">
        <v>4060</v>
      </c>
      <c r="I10564" s="692" t="s">
        <v>4060</v>
      </c>
      <c r="J10564" s="692" t="s">
        <v>4060</v>
      </c>
      <c r="K10564" s="692" t="s">
        <v>4060</v>
      </c>
    </row>
    <row r="10565" spans="1:11">
      <c r="A10565" s="688" t="s">
        <v>2324</v>
      </c>
      <c r="B10565" s="689">
        <v>25.6</v>
      </c>
      <c r="C10565" s="689">
        <v>25.7</v>
      </c>
      <c r="D10565" s="689">
        <v>25.5</v>
      </c>
      <c r="E10565" s="689">
        <v>25.2</v>
      </c>
      <c r="F10565" s="689">
        <v>25.5</v>
      </c>
      <c r="G10565" s="689">
        <v>25.9</v>
      </c>
      <c r="H10565" s="689">
        <v>25.7</v>
      </c>
      <c r="I10565" s="689">
        <v>24.5</v>
      </c>
      <c r="J10565" s="689">
        <v>22.5</v>
      </c>
      <c r="K10565" s="690" t="s">
        <v>4060</v>
      </c>
    </row>
    <row r="10566" spans="1:11">
      <c r="A10566" s="688" t="s">
        <v>2322</v>
      </c>
      <c r="B10566" s="692" t="s">
        <v>4060</v>
      </c>
      <c r="C10566" s="692" t="s">
        <v>4060</v>
      </c>
      <c r="D10566" s="692" t="s">
        <v>4060</v>
      </c>
      <c r="E10566" s="692" t="s">
        <v>4060</v>
      </c>
      <c r="F10566" s="692" t="s">
        <v>4060</v>
      </c>
      <c r="G10566" s="692" t="s">
        <v>4060</v>
      </c>
      <c r="H10566" s="692" t="s">
        <v>4060</v>
      </c>
      <c r="I10566" s="692" t="s">
        <v>4060</v>
      </c>
      <c r="J10566" s="692" t="s">
        <v>4060</v>
      </c>
      <c r="K10566" s="692" t="s">
        <v>4060</v>
      </c>
    </row>
    <row r="10567" spans="1:11">
      <c r="A10567" s="688" t="s">
        <v>2328</v>
      </c>
      <c r="B10567" s="689">
        <v>25.2</v>
      </c>
      <c r="C10567" s="689">
        <v>25.2</v>
      </c>
      <c r="D10567" s="689">
        <v>25.1</v>
      </c>
      <c r="E10567" s="689">
        <v>25.2</v>
      </c>
      <c r="F10567" s="689">
        <v>25.6</v>
      </c>
      <c r="G10567" s="689">
        <v>25.9</v>
      </c>
      <c r="H10567" s="689">
        <v>25.9</v>
      </c>
      <c r="I10567" s="689">
        <v>23.5</v>
      </c>
      <c r="J10567" s="689">
        <v>22.7</v>
      </c>
      <c r="K10567" s="690" t="s">
        <v>4060</v>
      </c>
    </row>
    <row r="10568" spans="1:11">
      <c r="A10568" s="688" t="s">
        <v>2496</v>
      </c>
      <c r="B10568" s="692" t="s">
        <v>4060</v>
      </c>
      <c r="C10568" s="691">
        <v>23.5</v>
      </c>
      <c r="D10568" s="691">
        <v>22.5</v>
      </c>
      <c r="E10568" s="691">
        <v>22.3</v>
      </c>
      <c r="F10568" s="691">
        <v>22.9</v>
      </c>
      <c r="G10568" s="691">
        <v>23.1</v>
      </c>
      <c r="H10568" s="691">
        <v>23.1</v>
      </c>
      <c r="I10568" s="692" t="s">
        <v>4060</v>
      </c>
      <c r="J10568" s="692" t="s">
        <v>4060</v>
      </c>
      <c r="K10568" s="691">
        <v>22.6</v>
      </c>
    </row>
    <row r="10569" spans="1:11">
      <c r="A10569" s="688" t="s">
        <v>2269</v>
      </c>
      <c r="B10569" s="689">
        <v>28.3</v>
      </c>
      <c r="C10569" s="689">
        <v>28.4</v>
      </c>
      <c r="D10569" s="693">
        <v>28</v>
      </c>
      <c r="E10569" s="689">
        <v>28.7</v>
      </c>
      <c r="F10569" s="689">
        <v>28.7</v>
      </c>
      <c r="G10569" s="693">
        <v>29</v>
      </c>
      <c r="H10569" s="689">
        <v>29.3</v>
      </c>
      <c r="I10569" s="693">
        <v>27</v>
      </c>
      <c r="J10569" s="689">
        <v>25.2</v>
      </c>
      <c r="K10569" s="689">
        <v>28.8</v>
      </c>
    </row>
    <row r="10570" spans="1:11">
      <c r="A10570" s="688" t="s">
        <v>2349</v>
      </c>
      <c r="B10570" s="691">
        <v>24.5</v>
      </c>
      <c r="C10570" s="691">
        <v>24.6</v>
      </c>
      <c r="D10570" s="691">
        <v>24.5</v>
      </c>
      <c r="E10570" s="691">
        <v>24.9</v>
      </c>
      <c r="F10570" s="691">
        <v>24.8</v>
      </c>
      <c r="G10570" s="615">
        <v>25</v>
      </c>
      <c r="H10570" s="615">
        <v>25</v>
      </c>
      <c r="I10570" s="691">
        <v>23.3</v>
      </c>
      <c r="J10570" s="615">
        <v>22</v>
      </c>
      <c r="K10570" s="691">
        <v>24.4</v>
      </c>
    </row>
    <row r="10571" spans="1:11">
      <c r="A10571" s="688" t="s">
        <v>2355</v>
      </c>
      <c r="B10571" s="689">
        <v>27.5</v>
      </c>
      <c r="C10571" s="689">
        <v>27.5</v>
      </c>
      <c r="D10571" s="689">
        <v>27.4</v>
      </c>
      <c r="E10571" s="689">
        <v>27.4</v>
      </c>
      <c r="F10571" s="689">
        <v>27.6</v>
      </c>
      <c r="G10571" s="693">
        <v>28</v>
      </c>
      <c r="H10571" s="689">
        <v>28.1</v>
      </c>
      <c r="I10571" s="690" t="s">
        <v>4060</v>
      </c>
      <c r="J10571" s="690" t="s">
        <v>4060</v>
      </c>
      <c r="K10571" s="690" t="s">
        <v>4060</v>
      </c>
    </row>
    <row r="10572" spans="1:11">
      <c r="A10572" s="688" t="s">
        <v>2357</v>
      </c>
      <c r="B10572" s="692" t="s">
        <v>4060</v>
      </c>
      <c r="C10572" s="691">
        <v>21.8</v>
      </c>
      <c r="D10572" s="691">
        <v>22.2</v>
      </c>
      <c r="E10572" s="691">
        <v>22.4</v>
      </c>
      <c r="F10572" s="691">
        <v>22.7</v>
      </c>
      <c r="G10572" s="691">
        <v>22.5</v>
      </c>
      <c r="H10572" s="691">
        <v>22.7</v>
      </c>
      <c r="I10572" s="692" t="s">
        <v>4060</v>
      </c>
      <c r="J10572" s="692" t="s">
        <v>4060</v>
      </c>
      <c r="K10572" s="692" t="s">
        <v>4060</v>
      </c>
    </row>
    <row r="10573" spans="1:11">
      <c r="A10573" s="688" t="s">
        <v>4070</v>
      </c>
      <c r="B10573" s="690" t="s">
        <v>4060</v>
      </c>
      <c r="C10573" s="690" t="s">
        <v>4060</v>
      </c>
      <c r="D10573" s="690" t="s">
        <v>4060</v>
      </c>
      <c r="E10573" s="689">
        <v>26.9</v>
      </c>
      <c r="F10573" s="690" t="s">
        <v>4060</v>
      </c>
      <c r="G10573" s="690" t="s">
        <v>4060</v>
      </c>
      <c r="H10573" s="690" t="s">
        <v>4060</v>
      </c>
      <c r="I10573" s="690" t="s">
        <v>4060</v>
      </c>
      <c r="J10573" s="690" t="s">
        <v>4060</v>
      </c>
      <c r="K10573" s="690" t="s">
        <v>4060</v>
      </c>
    </row>
    <row r="10574" spans="1:11">
      <c r="A10574" s="688" t="s">
        <v>2491</v>
      </c>
      <c r="B10574" s="691">
        <v>21.3</v>
      </c>
      <c r="C10574" s="691">
        <v>21.7</v>
      </c>
      <c r="D10574" s="615">
        <v>22</v>
      </c>
      <c r="E10574" s="691">
        <v>22.1</v>
      </c>
      <c r="F10574" s="691">
        <v>22.2</v>
      </c>
      <c r="G10574" s="691">
        <v>22.2</v>
      </c>
      <c r="H10574" s="692" t="s">
        <v>4060</v>
      </c>
      <c r="I10574" s="692" t="s">
        <v>4060</v>
      </c>
      <c r="J10574" s="692" t="s">
        <v>4060</v>
      </c>
      <c r="K10574" s="692" t="s">
        <v>4060</v>
      </c>
    </row>
    <row r="10575" spans="1:11">
      <c r="A10575" s="688" t="s">
        <v>2343</v>
      </c>
      <c r="B10575" s="690" t="s">
        <v>4060</v>
      </c>
      <c r="C10575" s="690" t="s">
        <v>4060</v>
      </c>
      <c r="D10575" s="690" t="s">
        <v>4060</v>
      </c>
      <c r="E10575" s="690" t="s">
        <v>4060</v>
      </c>
      <c r="F10575" s="690" t="s">
        <v>4060</v>
      </c>
      <c r="G10575" s="690" t="s">
        <v>4060</v>
      </c>
      <c r="H10575" s="690" t="s">
        <v>4060</v>
      </c>
      <c r="I10575" s="690" t="s">
        <v>4060</v>
      </c>
      <c r="J10575" s="690" t="s">
        <v>4060</v>
      </c>
      <c r="K10575" s="690" t="s">
        <v>4060</v>
      </c>
    </row>
    <row r="10576" spans="1:11">
      <c r="A10576" s="688" t="s">
        <v>4071</v>
      </c>
      <c r="B10576" s="692" t="s">
        <v>4060</v>
      </c>
      <c r="C10576" s="692" t="s">
        <v>4060</v>
      </c>
      <c r="D10576" s="692" t="s">
        <v>4060</v>
      </c>
      <c r="E10576" s="692" t="s">
        <v>4060</v>
      </c>
      <c r="F10576" s="692" t="s">
        <v>4060</v>
      </c>
      <c r="G10576" s="692" t="s">
        <v>4060</v>
      </c>
      <c r="H10576" s="692" t="s">
        <v>4060</v>
      </c>
      <c r="I10576" s="692" t="s">
        <v>4060</v>
      </c>
      <c r="J10576" s="692" t="s">
        <v>4060</v>
      </c>
      <c r="K10576" s="692" t="s">
        <v>4060</v>
      </c>
    </row>
    <row r="10577" spans="1:11">
      <c r="A10577" s="688" t="s">
        <v>2489</v>
      </c>
      <c r="B10577" s="690" t="s">
        <v>4060</v>
      </c>
      <c r="C10577" s="690" t="s">
        <v>4060</v>
      </c>
      <c r="D10577" s="689">
        <v>24.5</v>
      </c>
      <c r="E10577" s="689">
        <v>24.3</v>
      </c>
      <c r="F10577" s="689">
        <v>24.7</v>
      </c>
      <c r="G10577" s="689">
        <v>25.5</v>
      </c>
      <c r="H10577" s="689">
        <v>25.3</v>
      </c>
      <c r="I10577" s="690" t="s">
        <v>4060</v>
      </c>
      <c r="J10577" s="690" t="s">
        <v>4060</v>
      </c>
      <c r="K10577" s="690" t="s">
        <v>4060</v>
      </c>
    </row>
    <row r="10578" spans="1:11">
      <c r="A10578" s="688" t="s">
        <v>2490</v>
      </c>
      <c r="B10578" s="615">
        <v>25</v>
      </c>
      <c r="C10578" s="615">
        <v>25</v>
      </c>
      <c r="D10578" s="691">
        <v>25.7</v>
      </c>
      <c r="E10578" s="692" t="s">
        <v>4060</v>
      </c>
      <c r="F10578" s="691">
        <v>25.9</v>
      </c>
      <c r="G10578" s="691">
        <v>26.1</v>
      </c>
      <c r="H10578" s="615">
        <v>27</v>
      </c>
      <c r="I10578" s="692" t="s">
        <v>4060</v>
      </c>
      <c r="J10578" s="692" t="s">
        <v>4060</v>
      </c>
      <c r="K10578" s="692" t="s">
        <v>4060</v>
      </c>
    </row>
    <row r="10580" spans="1:11">
      <c r="A10580" s="683" t="s">
        <v>4233</v>
      </c>
    </row>
    <row r="10581" spans="1:11">
      <c r="A10581" s="683" t="s">
        <v>4060</v>
      </c>
      <c r="B10581" s="682" t="s">
        <v>4234</v>
      </c>
    </row>
    <row r="10583" spans="1:11">
      <c r="A10583" s="682" t="s">
        <v>4331</v>
      </c>
    </row>
    <row r="10584" spans="1:11">
      <c r="A10584" s="682" t="s">
        <v>4210</v>
      </c>
      <c r="B10584" s="683" t="s">
        <v>4211</v>
      </c>
    </row>
    <row r="10585" spans="1:11">
      <c r="A10585" s="682" t="s">
        <v>4212</v>
      </c>
      <c r="B10585" s="682" t="s">
        <v>4213</v>
      </c>
    </row>
    <row r="10587" spans="1:11">
      <c r="A10587" s="683" t="s">
        <v>4214</v>
      </c>
      <c r="C10587" s="682" t="s">
        <v>4215</v>
      </c>
    </row>
    <row r="10588" spans="1:11">
      <c r="A10588" s="683" t="s">
        <v>4216</v>
      </c>
      <c r="C10588" s="682" t="s">
        <v>2967</v>
      </c>
    </row>
    <row r="10589" spans="1:11">
      <c r="A10589" s="683" t="s">
        <v>3893</v>
      </c>
      <c r="C10589" s="682" t="s">
        <v>2168</v>
      </c>
    </row>
    <row r="10590" spans="1:11">
      <c r="A10590" s="683" t="s">
        <v>4218</v>
      </c>
      <c r="C10590" s="682" t="s">
        <v>4287</v>
      </c>
    </row>
    <row r="10592" spans="1:11">
      <c r="A10592" s="684" t="s">
        <v>4220</v>
      </c>
      <c r="B10592" s="685" t="s">
        <v>4221</v>
      </c>
      <c r="C10592" s="685" t="s">
        <v>4222</v>
      </c>
      <c r="D10592" s="685" t="s">
        <v>4223</v>
      </c>
      <c r="E10592" s="685" t="s">
        <v>4224</v>
      </c>
      <c r="F10592" s="685" t="s">
        <v>4225</v>
      </c>
      <c r="G10592" s="685" t="s">
        <v>4226</v>
      </c>
      <c r="H10592" s="685" t="s">
        <v>4227</v>
      </c>
      <c r="I10592" s="685" t="s">
        <v>4228</v>
      </c>
      <c r="J10592" s="685" t="s">
        <v>4229</v>
      </c>
      <c r="K10592" s="685" t="s">
        <v>4230</v>
      </c>
    </row>
    <row r="10593" spans="1:11">
      <c r="A10593" s="686" t="s">
        <v>4231</v>
      </c>
      <c r="B10593" s="687" t="s">
        <v>4232</v>
      </c>
      <c r="C10593" s="687" t="s">
        <v>4232</v>
      </c>
      <c r="D10593" s="687" t="s">
        <v>4232</v>
      </c>
      <c r="E10593" s="687" t="s">
        <v>4232</v>
      </c>
      <c r="F10593" s="687" t="s">
        <v>4232</v>
      </c>
      <c r="G10593" s="687" t="s">
        <v>4232</v>
      </c>
      <c r="H10593" s="687" t="s">
        <v>4232</v>
      </c>
      <c r="I10593" s="687" t="s">
        <v>4232</v>
      </c>
      <c r="J10593" s="687" t="s">
        <v>4232</v>
      </c>
      <c r="K10593" s="687" t="s">
        <v>4232</v>
      </c>
    </row>
    <row r="10594" spans="1:11">
      <c r="A10594" s="688" t="s">
        <v>4064</v>
      </c>
      <c r="B10594" s="691">
        <v>27.9</v>
      </c>
      <c r="C10594" s="691">
        <v>28.1</v>
      </c>
      <c r="D10594" s="691">
        <v>28.1</v>
      </c>
      <c r="E10594" s="691">
        <v>28.2</v>
      </c>
      <c r="F10594" s="691">
        <v>28.2</v>
      </c>
      <c r="G10594" s="691">
        <v>28.3</v>
      </c>
      <c r="H10594" s="691">
        <v>28.6</v>
      </c>
      <c r="I10594" s="691">
        <v>27.7</v>
      </c>
      <c r="J10594" s="691">
        <v>27.5</v>
      </c>
      <c r="K10594" s="691">
        <v>28.1</v>
      </c>
    </row>
    <row r="10595" spans="1:11">
      <c r="A10595" s="688" t="s">
        <v>4065</v>
      </c>
      <c r="B10595" s="689">
        <v>28.1</v>
      </c>
      <c r="C10595" s="689">
        <v>28.5</v>
      </c>
      <c r="D10595" s="689">
        <v>28.2</v>
      </c>
      <c r="E10595" s="689">
        <v>28.5</v>
      </c>
      <c r="F10595" s="689">
        <v>28.6</v>
      </c>
      <c r="G10595" s="689">
        <v>28.6</v>
      </c>
      <c r="H10595" s="690" t="s">
        <v>4060</v>
      </c>
      <c r="I10595" s="690" t="s">
        <v>4060</v>
      </c>
      <c r="J10595" s="690" t="s">
        <v>4060</v>
      </c>
      <c r="K10595" s="690" t="s">
        <v>4060</v>
      </c>
    </row>
    <row r="10596" spans="1:11">
      <c r="A10596" s="688" t="s">
        <v>4063</v>
      </c>
      <c r="B10596" s="691">
        <v>28.2</v>
      </c>
      <c r="C10596" s="691">
        <v>28.5</v>
      </c>
      <c r="D10596" s="691">
        <v>28.3</v>
      </c>
      <c r="E10596" s="691">
        <v>28.6</v>
      </c>
      <c r="F10596" s="691">
        <v>28.6</v>
      </c>
      <c r="G10596" s="691">
        <v>28.7</v>
      </c>
      <c r="H10596" s="692" t="s">
        <v>4060</v>
      </c>
      <c r="I10596" s="692" t="s">
        <v>4060</v>
      </c>
      <c r="J10596" s="692" t="s">
        <v>4060</v>
      </c>
      <c r="K10596" s="692" t="s">
        <v>4060</v>
      </c>
    </row>
    <row r="10597" spans="1:11">
      <c r="A10597" s="688" t="s">
        <v>4069</v>
      </c>
      <c r="B10597" s="690" t="s">
        <v>4060</v>
      </c>
      <c r="C10597" s="693">
        <v>29</v>
      </c>
      <c r="D10597" s="689">
        <v>28.8</v>
      </c>
      <c r="E10597" s="689">
        <v>29.1</v>
      </c>
      <c r="F10597" s="689">
        <v>29.2</v>
      </c>
      <c r="G10597" s="689">
        <v>29.3</v>
      </c>
      <c r="H10597" s="689">
        <v>29.5</v>
      </c>
      <c r="I10597" s="689">
        <v>28.8</v>
      </c>
      <c r="J10597" s="689">
        <v>28.8</v>
      </c>
      <c r="K10597" s="689">
        <v>29.1</v>
      </c>
    </row>
    <row r="10598" spans="1:11">
      <c r="A10598" s="688" t="s">
        <v>4068</v>
      </c>
      <c r="B10598" s="691">
        <v>28.9</v>
      </c>
      <c r="C10598" s="692" t="s">
        <v>4060</v>
      </c>
      <c r="D10598" s="692" t="s">
        <v>4060</v>
      </c>
      <c r="E10598" s="692" t="s">
        <v>4060</v>
      </c>
      <c r="F10598" s="692" t="s">
        <v>4060</v>
      </c>
      <c r="G10598" s="692" t="s">
        <v>4060</v>
      </c>
      <c r="H10598" s="692" t="s">
        <v>4060</v>
      </c>
      <c r="I10598" s="692" t="s">
        <v>4060</v>
      </c>
      <c r="J10598" s="692" t="s">
        <v>4060</v>
      </c>
      <c r="K10598" s="692" t="s">
        <v>4060</v>
      </c>
    </row>
    <row r="10599" spans="1:11">
      <c r="A10599" s="688" t="s">
        <v>0</v>
      </c>
      <c r="B10599" s="689">
        <v>28.3</v>
      </c>
      <c r="C10599" s="689">
        <v>28.8</v>
      </c>
      <c r="D10599" s="689">
        <v>28.7</v>
      </c>
      <c r="E10599" s="693">
        <v>29</v>
      </c>
      <c r="F10599" s="689">
        <v>29.2</v>
      </c>
      <c r="G10599" s="689">
        <v>29.3</v>
      </c>
      <c r="H10599" s="689">
        <v>29.7</v>
      </c>
      <c r="I10599" s="689">
        <v>28.5</v>
      </c>
      <c r="J10599" s="689">
        <v>29.3</v>
      </c>
      <c r="K10599" s="689">
        <v>29.6</v>
      </c>
    </row>
    <row r="10600" spans="1:11">
      <c r="A10600" s="688" t="s">
        <v>1</v>
      </c>
      <c r="B10600" s="691">
        <v>23.2</v>
      </c>
      <c r="C10600" s="691">
        <v>22.9</v>
      </c>
      <c r="D10600" s="691">
        <v>22.9</v>
      </c>
      <c r="E10600" s="615">
        <v>23</v>
      </c>
      <c r="F10600" s="691">
        <v>22.9</v>
      </c>
      <c r="G10600" s="615">
        <v>23</v>
      </c>
      <c r="H10600" s="691">
        <v>23.1</v>
      </c>
      <c r="I10600" s="691">
        <v>21.5</v>
      </c>
      <c r="J10600" s="615">
        <v>20</v>
      </c>
      <c r="K10600" s="691">
        <v>22.2</v>
      </c>
    </row>
    <row r="10601" spans="1:11">
      <c r="A10601" s="688" t="s">
        <v>2240</v>
      </c>
      <c r="B10601" s="689">
        <v>25.7</v>
      </c>
      <c r="C10601" s="689">
        <v>26.1</v>
      </c>
      <c r="D10601" s="689">
        <v>25.9</v>
      </c>
      <c r="E10601" s="689">
        <v>26.3</v>
      </c>
      <c r="F10601" s="689">
        <v>26.3</v>
      </c>
      <c r="G10601" s="689">
        <v>26.4</v>
      </c>
      <c r="H10601" s="689">
        <v>26.6</v>
      </c>
      <c r="I10601" s="689">
        <v>25.5</v>
      </c>
      <c r="J10601" s="689">
        <v>24.5</v>
      </c>
      <c r="K10601" s="689">
        <v>26.4</v>
      </c>
    </row>
    <row r="10602" spans="1:11">
      <c r="A10602" s="688" t="s">
        <v>2</v>
      </c>
      <c r="B10602" s="691">
        <v>28.3</v>
      </c>
      <c r="C10602" s="691">
        <v>28.6</v>
      </c>
      <c r="D10602" s="691">
        <v>28.6</v>
      </c>
      <c r="E10602" s="691">
        <v>28.8</v>
      </c>
      <c r="F10602" s="691">
        <v>28.9</v>
      </c>
      <c r="G10602" s="691">
        <v>28.8</v>
      </c>
      <c r="H10602" s="691">
        <v>29.2</v>
      </c>
      <c r="I10602" s="691">
        <v>29.3</v>
      </c>
      <c r="J10602" s="691">
        <v>29.2</v>
      </c>
      <c r="K10602" s="691">
        <v>29.1</v>
      </c>
    </row>
    <row r="10603" spans="1:11">
      <c r="A10603" s="688" t="s">
        <v>3</v>
      </c>
      <c r="B10603" s="689">
        <v>28.2</v>
      </c>
      <c r="C10603" s="689">
        <v>28.4</v>
      </c>
      <c r="D10603" s="689">
        <v>28.1</v>
      </c>
      <c r="E10603" s="689">
        <v>28.4</v>
      </c>
      <c r="F10603" s="689">
        <v>28.5</v>
      </c>
      <c r="G10603" s="689">
        <v>28.4</v>
      </c>
      <c r="H10603" s="689">
        <v>28.7</v>
      </c>
      <c r="I10603" s="689">
        <v>28.5</v>
      </c>
      <c r="J10603" s="689">
        <v>28.2</v>
      </c>
      <c r="K10603" s="689">
        <v>28.1</v>
      </c>
    </row>
    <row r="10604" spans="1:11">
      <c r="A10604" s="688" t="s">
        <v>4061</v>
      </c>
      <c r="B10604" s="691">
        <v>28.2</v>
      </c>
      <c r="C10604" s="691">
        <v>28.4</v>
      </c>
      <c r="D10604" s="691">
        <v>28.1</v>
      </c>
      <c r="E10604" s="691">
        <v>28.4</v>
      </c>
      <c r="F10604" s="691">
        <v>28.5</v>
      </c>
      <c r="G10604" s="691">
        <v>28.4</v>
      </c>
      <c r="H10604" s="691">
        <v>28.7</v>
      </c>
      <c r="I10604" s="691">
        <v>28.5</v>
      </c>
      <c r="J10604" s="691">
        <v>28.2</v>
      </c>
      <c r="K10604" s="691">
        <v>28.1</v>
      </c>
    </row>
    <row r="10605" spans="1:11">
      <c r="A10605" s="688" t="s">
        <v>4</v>
      </c>
      <c r="B10605" s="689">
        <v>24.3</v>
      </c>
      <c r="C10605" s="689">
        <v>24.2</v>
      </c>
      <c r="D10605" s="689">
        <v>24.6</v>
      </c>
      <c r="E10605" s="689">
        <v>24.6</v>
      </c>
      <c r="F10605" s="689">
        <v>24.9</v>
      </c>
      <c r="G10605" s="689">
        <v>24.8</v>
      </c>
      <c r="H10605" s="689">
        <v>25.2</v>
      </c>
      <c r="I10605" s="689">
        <v>25.2</v>
      </c>
      <c r="J10605" s="689">
        <v>23.9</v>
      </c>
      <c r="K10605" s="689">
        <v>24.8</v>
      </c>
    </row>
    <row r="10606" spans="1:11">
      <c r="A10606" s="688" t="s">
        <v>8</v>
      </c>
      <c r="B10606" s="691">
        <v>29.2</v>
      </c>
      <c r="C10606" s="691">
        <v>29.4</v>
      </c>
      <c r="D10606" s="691">
        <v>29.5</v>
      </c>
      <c r="E10606" s="691">
        <v>29.6</v>
      </c>
      <c r="F10606" s="615">
        <v>30</v>
      </c>
      <c r="G10606" s="615">
        <v>30</v>
      </c>
      <c r="H10606" s="691">
        <v>30.3</v>
      </c>
      <c r="I10606" s="691">
        <v>30.3</v>
      </c>
      <c r="J10606" s="615">
        <v>30</v>
      </c>
      <c r="K10606" s="691">
        <v>30.4</v>
      </c>
    </row>
    <row r="10607" spans="1:11">
      <c r="A10607" s="688" t="s">
        <v>7</v>
      </c>
      <c r="B10607" s="689">
        <v>29.1</v>
      </c>
      <c r="C10607" s="689">
        <v>28.5</v>
      </c>
      <c r="D10607" s="689">
        <v>28.3</v>
      </c>
      <c r="E10607" s="689">
        <v>28.6</v>
      </c>
      <c r="F10607" s="689">
        <v>28.5</v>
      </c>
      <c r="G10607" s="689">
        <v>28.9</v>
      </c>
      <c r="H10607" s="689">
        <v>28.9</v>
      </c>
      <c r="I10607" s="689">
        <v>28.6</v>
      </c>
      <c r="J10607" s="689">
        <v>27.7</v>
      </c>
      <c r="K10607" s="689">
        <v>28.4</v>
      </c>
    </row>
    <row r="10608" spans="1:11">
      <c r="A10608" s="688" t="s">
        <v>27</v>
      </c>
      <c r="B10608" s="691">
        <v>29.9</v>
      </c>
      <c r="C10608" s="691">
        <v>29.8</v>
      </c>
      <c r="D10608" s="691">
        <v>29.5</v>
      </c>
      <c r="E10608" s="691">
        <v>29.9</v>
      </c>
      <c r="F10608" s="691">
        <v>29.9</v>
      </c>
      <c r="G10608" s="615">
        <v>30</v>
      </c>
      <c r="H10608" s="691">
        <v>30.3</v>
      </c>
      <c r="I10608" s="691">
        <v>29.1</v>
      </c>
      <c r="J10608" s="691">
        <v>29.8</v>
      </c>
      <c r="K10608" s="615">
        <v>30</v>
      </c>
    </row>
    <row r="10609" spans="1:11">
      <c r="A10609" s="688" t="s">
        <v>6</v>
      </c>
      <c r="B10609" s="689">
        <v>29.6</v>
      </c>
      <c r="C10609" s="689">
        <v>29.7</v>
      </c>
      <c r="D10609" s="689">
        <v>29.5</v>
      </c>
      <c r="E10609" s="689">
        <v>29.7</v>
      </c>
      <c r="F10609" s="689">
        <v>29.8</v>
      </c>
      <c r="G10609" s="693">
        <v>30</v>
      </c>
      <c r="H10609" s="689">
        <v>30.1</v>
      </c>
      <c r="I10609" s="689">
        <v>29.5</v>
      </c>
      <c r="J10609" s="689">
        <v>29.6</v>
      </c>
      <c r="K10609" s="689">
        <v>29.8</v>
      </c>
    </row>
    <row r="10610" spans="1:11">
      <c r="A10610" s="688" t="s">
        <v>4058</v>
      </c>
      <c r="B10610" s="692" t="s">
        <v>4060</v>
      </c>
      <c r="C10610" s="692" t="s">
        <v>4060</v>
      </c>
      <c r="D10610" s="692" t="s">
        <v>4060</v>
      </c>
      <c r="E10610" s="692" t="s">
        <v>4060</v>
      </c>
      <c r="F10610" s="692" t="s">
        <v>4060</v>
      </c>
      <c r="G10610" s="692" t="s">
        <v>4060</v>
      </c>
      <c r="H10610" s="692" t="s">
        <v>4060</v>
      </c>
      <c r="I10610" s="692" t="s">
        <v>4060</v>
      </c>
      <c r="J10610" s="692" t="s">
        <v>4060</v>
      </c>
      <c r="K10610" s="692" t="s">
        <v>4060</v>
      </c>
    </row>
    <row r="10611" spans="1:11">
      <c r="A10611" s="688" t="s">
        <v>11</v>
      </c>
      <c r="B10611" s="689">
        <v>25.1</v>
      </c>
      <c r="C10611" s="689">
        <v>25.2</v>
      </c>
      <c r="D10611" s="689">
        <v>24.9</v>
      </c>
      <c r="E10611" s="689">
        <v>25.4</v>
      </c>
      <c r="F10611" s="689">
        <v>25.3</v>
      </c>
      <c r="G10611" s="689">
        <v>25.4</v>
      </c>
      <c r="H10611" s="689">
        <v>25.8</v>
      </c>
      <c r="I10611" s="689">
        <v>24.9</v>
      </c>
      <c r="J10611" s="689">
        <v>24.1</v>
      </c>
      <c r="K10611" s="689">
        <v>25.2</v>
      </c>
    </row>
    <row r="10612" spans="1:11">
      <c r="A10612" s="688" t="s">
        <v>10</v>
      </c>
      <c r="B10612" s="615">
        <v>30</v>
      </c>
      <c r="C10612" s="691">
        <v>30.1</v>
      </c>
      <c r="D10612" s="691">
        <v>29.8</v>
      </c>
      <c r="E10612" s="691">
        <v>30.3</v>
      </c>
      <c r="F10612" s="691">
        <v>30.2</v>
      </c>
      <c r="G10612" s="691">
        <v>30.5</v>
      </c>
      <c r="H10612" s="691">
        <v>30.7</v>
      </c>
      <c r="I10612" s="691">
        <v>29.4</v>
      </c>
      <c r="J10612" s="615">
        <v>30</v>
      </c>
      <c r="K10612" s="691">
        <v>30.2</v>
      </c>
    </row>
    <row r="10613" spans="1:11">
      <c r="A10613" s="688" t="s">
        <v>30</v>
      </c>
      <c r="B10613" s="689">
        <v>29.9</v>
      </c>
      <c r="C10613" s="693">
        <v>30</v>
      </c>
      <c r="D10613" s="689">
        <v>29.7</v>
      </c>
      <c r="E10613" s="689">
        <v>30.3</v>
      </c>
      <c r="F10613" s="693">
        <v>30</v>
      </c>
      <c r="G10613" s="689">
        <v>30.8</v>
      </c>
      <c r="H10613" s="689">
        <v>30.4</v>
      </c>
      <c r="I10613" s="689">
        <v>30.4</v>
      </c>
      <c r="J10613" s="689">
        <v>29.7</v>
      </c>
      <c r="K10613" s="689">
        <v>30.1</v>
      </c>
    </row>
    <row r="10614" spans="1:11">
      <c r="A10614" s="688" t="s">
        <v>12</v>
      </c>
      <c r="B10614" s="691">
        <v>22.2</v>
      </c>
      <c r="C10614" s="691">
        <v>22.2</v>
      </c>
      <c r="D10614" s="691">
        <v>22.6</v>
      </c>
      <c r="E10614" s="691">
        <v>22.6</v>
      </c>
      <c r="F10614" s="691">
        <v>22.5</v>
      </c>
      <c r="G10614" s="691">
        <v>22.6</v>
      </c>
      <c r="H10614" s="691">
        <v>23.1</v>
      </c>
      <c r="I10614" s="691">
        <v>22.9</v>
      </c>
      <c r="J10614" s="615">
        <v>21</v>
      </c>
      <c r="K10614" s="691">
        <v>22.1</v>
      </c>
    </row>
    <row r="10615" spans="1:11">
      <c r="A10615" s="688" t="s">
        <v>14</v>
      </c>
      <c r="B10615" s="689">
        <v>22.2</v>
      </c>
      <c r="C10615" s="689">
        <v>22.6</v>
      </c>
      <c r="D10615" s="689">
        <v>22.3</v>
      </c>
      <c r="E10615" s="689">
        <v>22.5</v>
      </c>
      <c r="F10615" s="689">
        <v>23.2</v>
      </c>
      <c r="G10615" s="689">
        <v>23.4</v>
      </c>
      <c r="H10615" s="689">
        <v>23.6</v>
      </c>
      <c r="I10615" s="689">
        <v>22.4</v>
      </c>
      <c r="J10615" s="689">
        <v>22.1</v>
      </c>
      <c r="K10615" s="689">
        <v>23.1</v>
      </c>
    </row>
    <row r="10616" spans="1:11">
      <c r="A10616" s="688" t="s">
        <v>15</v>
      </c>
      <c r="B10616" s="691">
        <v>29.6</v>
      </c>
      <c r="C10616" s="615">
        <v>29</v>
      </c>
      <c r="D10616" s="691">
        <v>29.7</v>
      </c>
      <c r="E10616" s="691">
        <v>29.5</v>
      </c>
      <c r="F10616" s="691">
        <v>29.5</v>
      </c>
      <c r="G10616" s="691">
        <v>29.6</v>
      </c>
      <c r="H10616" s="691">
        <v>29.9</v>
      </c>
      <c r="I10616" s="691">
        <v>29.5</v>
      </c>
      <c r="J10616" s="691">
        <v>29.8</v>
      </c>
      <c r="K10616" s="691">
        <v>30.3</v>
      </c>
    </row>
    <row r="10617" spans="1:11">
      <c r="A10617" s="688" t="s">
        <v>29</v>
      </c>
      <c r="B10617" s="689">
        <v>23.1</v>
      </c>
      <c r="C10617" s="689">
        <v>23.1</v>
      </c>
      <c r="D10617" s="689">
        <v>23.1</v>
      </c>
      <c r="E10617" s="689">
        <v>23.2</v>
      </c>
      <c r="F10617" s="689">
        <v>23.1</v>
      </c>
      <c r="G10617" s="689">
        <v>23.2</v>
      </c>
      <c r="H10617" s="689">
        <v>23.5</v>
      </c>
      <c r="I10617" s="689">
        <v>22.8</v>
      </c>
      <c r="J10617" s="689">
        <v>21.6</v>
      </c>
      <c r="K10617" s="689">
        <v>23.2</v>
      </c>
    </row>
    <row r="10618" spans="1:11">
      <c r="A10618" s="688" t="s">
        <v>16</v>
      </c>
      <c r="B10618" s="691">
        <v>29.5</v>
      </c>
      <c r="C10618" s="691">
        <v>29.5</v>
      </c>
      <c r="D10618" s="691">
        <v>29.6</v>
      </c>
      <c r="E10618" s="691">
        <v>30.4</v>
      </c>
      <c r="F10618" s="615">
        <v>30</v>
      </c>
      <c r="G10618" s="691">
        <v>29.9</v>
      </c>
      <c r="H10618" s="691">
        <v>30.3</v>
      </c>
      <c r="I10618" s="691">
        <v>29.6</v>
      </c>
      <c r="J10618" s="691">
        <v>29.9</v>
      </c>
      <c r="K10618" s="615">
        <v>30</v>
      </c>
    </row>
    <row r="10619" spans="1:11">
      <c r="A10619" s="688" t="s">
        <v>17</v>
      </c>
      <c r="B10619" s="689">
        <v>29.3</v>
      </c>
      <c r="C10619" s="689">
        <v>29.6</v>
      </c>
      <c r="D10619" s="689">
        <v>29.4</v>
      </c>
      <c r="E10619" s="689">
        <v>29.5</v>
      </c>
      <c r="F10619" s="689">
        <v>29.8</v>
      </c>
      <c r="G10619" s="689">
        <v>29.8</v>
      </c>
      <c r="H10619" s="689">
        <v>30.1</v>
      </c>
      <c r="I10619" s="689">
        <v>29.4</v>
      </c>
      <c r="J10619" s="689">
        <v>29.4</v>
      </c>
      <c r="K10619" s="689">
        <v>29.8</v>
      </c>
    </row>
    <row r="10620" spans="1:11">
      <c r="A10620" s="688" t="s">
        <v>19</v>
      </c>
      <c r="B10620" s="691">
        <v>28.7</v>
      </c>
      <c r="C10620" s="691">
        <v>28.9</v>
      </c>
      <c r="D10620" s="691">
        <v>28.6</v>
      </c>
      <c r="E10620" s="691">
        <v>29.1</v>
      </c>
      <c r="F10620" s="691">
        <v>29.2</v>
      </c>
      <c r="G10620" s="691">
        <v>29.2</v>
      </c>
      <c r="H10620" s="691">
        <v>29.5</v>
      </c>
      <c r="I10620" s="691">
        <v>28.8</v>
      </c>
      <c r="J10620" s="691">
        <v>28.7</v>
      </c>
      <c r="K10620" s="691">
        <v>28.9</v>
      </c>
    </row>
    <row r="10621" spans="1:11">
      <c r="A10621" s="688" t="s">
        <v>20</v>
      </c>
      <c r="B10621" s="689">
        <v>24.6</v>
      </c>
      <c r="C10621" s="693">
        <v>25</v>
      </c>
      <c r="D10621" s="689">
        <v>24.8</v>
      </c>
      <c r="E10621" s="689">
        <v>25.1</v>
      </c>
      <c r="F10621" s="689">
        <v>25.1</v>
      </c>
      <c r="G10621" s="693">
        <v>25</v>
      </c>
      <c r="H10621" s="689">
        <v>25.3</v>
      </c>
      <c r="I10621" s="689">
        <v>23.8</v>
      </c>
      <c r="J10621" s="693">
        <v>23</v>
      </c>
      <c r="K10621" s="689">
        <v>24.7</v>
      </c>
    </row>
    <row r="10622" spans="1:11">
      <c r="A10622" s="688" t="s">
        <v>21</v>
      </c>
      <c r="B10622" s="691">
        <v>28.1</v>
      </c>
      <c r="C10622" s="691">
        <v>28.5</v>
      </c>
      <c r="D10622" s="691">
        <v>28.6</v>
      </c>
      <c r="E10622" s="691">
        <v>28.5</v>
      </c>
      <c r="F10622" s="691">
        <v>28.8</v>
      </c>
      <c r="G10622" s="691">
        <v>28.7</v>
      </c>
      <c r="H10622" s="691">
        <v>29.1</v>
      </c>
      <c r="I10622" s="691">
        <v>28.5</v>
      </c>
      <c r="J10622" s="691">
        <v>28.5</v>
      </c>
      <c r="K10622" s="691">
        <v>28.9</v>
      </c>
    </row>
    <row r="10623" spans="1:11">
      <c r="A10623" s="688" t="s">
        <v>22</v>
      </c>
      <c r="B10623" s="689">
        <v>23.6</v>
      </c>
      <c r="C10623" s="689">
        <v>23.3</v>
      </c>
      <c r="D10623" s="689">
        <v>23.2</v>
      </c>
      <c r="E10623" s="689">
        <v>23.3</v>
      </c>
      <c r="F10623" s="689">
        <v>23.3</v>
      </c>
      <c r="G10623" s="689">
        <v>23.2</v>
      </c>
      <c r="H10623" s="689">
        <v>23.5</v>
      </c>
      <c r="I10623" s="689">
        <v>21.9</v>
      </c>
      <c r="J10623" s="689">
        <v>20.9</v>
      </c>
      <c r="K10623" s="689">
        <v>22.8</v>
      </c>
    </row>
    <row r="10624" spans="1:11">
      <c r="A10624" s="688" t="s">
        <v>26</v>
      </c>
      <c r="B10624" s="691">
        <v>27.4</v>
      </c>
      <c r="C10624" s="691">
        <v>27.9</v>
      </c>
      <c r="D10624" s="691">
        <v>27.7</v>
      </c>
      <c r="E10624" s="691">
        <v>28.1</v>
      </c>
      <c r="F10624" s="691">
        <v>27.9</v>
      </c>
      <c r="G10624" s="691">
        <v>28.2</v>
      </c>
      <c r="H10624" s="691">
        <v>28.5</v>
      </c>
      <c r="I10624" s="691">
        <v>27.6</v>
      </c>
      <c r="J10624" s="691">
        <v>27.5</v>
      </c>
      <c r="K10624" s="691">
        <v>28.4</v>
      </c>
    </row>
    <row r="10625" spans="1:11">
      <c r="A10625" s="688" t="s">
        <v>25</v>
      </c>
      <c r="B10625" s="693">
        <v>24</v>
      </c>
      <c r="C10625" s="689">
        <v>24.4</v>
      </c>
      <c r="D10625" s="689">
        <v>24.3</v>
      </c>
      <c r="E10625" s="689">
        <v>24.8</v>
      </c>
      <c r="F10625" s="689">
        <v>24.7</v>
      </c>
      <c r="G10625" s="689">
        <v>24.9</v>
      </c>
      <c r="H10625" s="689">
        <v>25.3</v>
      </c>
      <c r="I10625" s="689">
        <v>24.5</v>
      </c>
      <c r="J10625" s="689">
        <v>22.4</v>
      </c>
      <c r="K10625" s="689">
        <v>24.7</v>
      </c>
    </row>
    <row r="10626" spans="1:11">
      <c r="A10626" s="688" t="s">
        <v>5</v>
      </c>
      <c r="B10626" s="691">
        <v>28.5</v>
      </c>
      <c r="C10626" s="691">
        <v>28.6</v>
      </c>
      <c r="D10626" s="691">
        <v>28.7</v>
      </c>
      <c r="E10626" s="691">
        <v>28.7</v>
      </c>
      <c r="F10626" s="615">
        <v>29</v>
      </c>
      <c r="G10626" s="691">
        <v>29.1</v>
      </c>
      <c r="H10626" s="691">
        <v>29.5</v>
      </c>
      <c r="I10626" s="691">
        <v>29.4</v>
      </c>
      <c r="J10626" s="691">
        <v>29.3</v>
      </c>
      <c r="K10626" s="691">
        <v>28.8</v>
      </c>
    </row>
    <row r="10627" spans="1:11">
      <c r="A10627" s="688" t="s">
        <v>23</v>
      </c>
      <c r="B10627" s="693">
        <v>30</v>
      </c>
      <c r="C10627" s="689">
        <v>30.2</v>
      </c>
      <c r="D10627" s="689">
        <v>30.1</v>
      </c>
      <c r="E10627" s="689">
        <v>30.3</v>
      </c>
      <c r="F10627" s="689">
        <v>30.5</v>
      </c>
      <c r="G10627" s="689">
        <v>30.5</v>
      </c>
      <c r="H10627" s="693">
        <v>31</v>
      </c>
      <c r="I10627" s="689">
        <v>30.3</v>
      </c>
      <c r="J10627" s="689">
        <v>30.9</v>
      </c>
      <c r="K10627" s="693">
        <v>31</v>
      </c>
    </row>
    <row r="10628" spans="1:11">
      <c r="A10628" s="688" t="s">
        <v>4067</v>
      </c>
      <c r="B10628" s="691">
        <v>28.1</v>
      </c>
      <c r="C10628" s="691">
        <v>28.5</v>
      </c>
      <c r="D10628" s="691">
        <v>28.2</v>
      </c>
      <c r="E10628" s="691">
        <v>28.6</v>
      </c>
      <c r="F10628" s="691">
        <v>28.6</v>
      </c>
      <c r="G10628" s="691">
        <v>28.7</v>
      </c>
      <c r="H10628" s="692" t="s">
        <v>4060</v>
      </c>
      <c r="I10628" s="692" t="s">
        <v>4060</v>
      </c>
      <c r="J10628" s="692" t="s">
        <v>4060</v>
      </c>
      <c r="K10628" s="692" t="s">
        <v>4060</v>
      </c>
    </row>
    <row r="10629" spans="1:11">
      <c r="A10629" s="688" t="s">
        <v>4066</v>
      </c>
      <c r="B10629" s="689">
        <v>28.2</v>
      </c>
      <c r="C10629" s="689">
        <v>28.5</v>
      </c>
      <c r="D10629" s="689">
        <v>28.3</v>
      </c>
      <c r="E10629" s="689">
        <v>28.6</v>
      </c>
      <c r="F10629" s="689">
        <v>28.6</v>
      </c>
      <c r="G10629" s="689">
        <v>28.7</v>
      </c>
      <c r="H10629" s="690" t="s">
        <v>4060</v>
      </c>
      <c r="I10629" s="690" t="s">
        <v>4060</v>
      </c>
      <c r="J10629" s="690" t="s">
        <v>4060</v>
      </c>
      <c r="K10629" s="690" t="s">
        <v>4060</v>
      </c>
    </row>
    <row r="10630" spans="1:11">
      <c r="A10630" s="688" t="s">
        <v>4062</v>
      </c>
      <c r="B10630" s="691">
        <v>30.2</v>
      </c>
      <c r="C10630" s="691">
        <v>30.4</v>
      </c>
      <c r="D10630" s="691">
        <v>30.4</v>
      </c>
      <c r="E10630" s="691">
        <v>30.8</v>
      </c>
      <c r="F10630" s="691">
        <v>30.9</v>
      </c>
      <c r="G10630" s="691">
        <v>31.1</v>
      </c>
      <c r="H10630" s="691">
        <v>31.2</v>
      </c>
      <c r="I10630" s="691">
        <v>30.8</v>
      </c>
      <c r="J10630" s="691">
        <v>31.2</v>
      </c>
      <c r="K10630" s="615">
        <v>31</v>
      </c>
    </row>
    <row r="10631" spans="1:11">
      <c r="A10631" s="688" t="s">
        <v>9</v>
      </c>
      <c r="B10631" s="689">
        <v>30.3</v>
      </c>
      <c r="C10631" s="689">
        <v>30.6</v>
      </c>
      <c r="D10631" s="689">
        <v>31.1</v>
      </c>
      <c r="E10631" s="689">
        <v>30.3</v>
      </c>
      <c r="F10631" s="689">
        <v>30.8</v>
      </c>
      <c r="G10631" s="689">
        <v>31.1</v>
      </c>
      <c r="H10631" s="689">
        <v>31.1</v>
      </c>
      <c r="I10631" s="689">
        <v>31.4</v>
      </c>
      <c r="J10631" s="689">
        <v>31.6</v>
      </c>
      <c r="K10631" s="689">
        <v>30.6</v>
      </c>
    </row>
    <row r="10632" spans="1:11">
      <c r="A10632" s="688" t="s">
        <v>13</v>
      </c>
      <c r="B10632" s="691">
        <v>30.1</v>
      </c>
      <c r="C10632" s="691">
        <v>30.3</v>
      </c>
      <c r="D10632" s="691">
        <v>30.7</v>
      </c>
      <c r="E10632" s="691">
        <v>29.2</v>
      </c>
      <c r="F10632" s="691">
        <v>31.1</v>
      </c>
      <c r="G10632" s="691">
        <v>30.7</v>
      </c>
      <c r="H10632" s="691">
        <v>31.4</v>
      </c>
      <c r="I10632" s="691">
        <v>30.2</v>
      </c>
      <c r="J10632" s="691">
        <v>31.4</v>
      </c>
      <c r="K10632" s="691">
        <v>32.1</v>
      </c>
    </row>
    <row r="10633" spans="1:11">
      <c r="A10633" s="688" t="s">
        <v>18</v>
      </c>
      <c r="B10633" s="689">
        <v>29.6</v>
      </c>
      <c r="C10633" s="689">
        <v>29.9</v>
      </c>
      <c r="D10633" s="689">
        <v>30.1</v>
      </c>
      <c r="E10633" s="689">
        <v>30.3</v>
      </c>
      <c r="F10633" s="689">
        <v>30.5</v>
      </c>
      <c r="G10633" s="689">
        <v>30.7</v>
      </c>
      <c r="H10633" s="689">
        <v>30.9</v>
      </c>
      <c r="I10633" s="689">
        <v>31.2</v>
      </c>
      <c r="J10633" s="689">
        <v>31.2</v>
      </c>
      <c r="K10633" s="689">
        <v>30.6</v>
      </c>
    </row>
    <row r="10634" spans="1:11">
      <c r="A10634" s="688" t="s">
        <v>24</v>
      </c>
      <c r="B10634" s="691">
        <v>30.5</v>
      </c>
      <c r="C10634" s="691">
        <v>30.7</v>
      </c>
      <c r="D10634" s="691">
        <v>30.5</v>
      </c>
      <c r="E10634" s="691">
        <v>31.1</v>
      </c>
      <c r="F10634" s="615">
        <v>31</v>
      </c>
      <c r="G10634" s="691">
        <v>31.3</v>
      </c>
      <c r="H10634" s="691">
        <v>31.4</v>
      </c>
      <c r="I10634" s="691">
        <v>30.6</v>
      </c>
      <c r="J10634" s="691">
        <v>31.2</v>
      </c>
      <c r="K10634" s="691">
        <v>31.2</v>
      </c>
    </row>
    <row r="10635" spans="1:11">
      <c r="A10635" s="688" t="s">
        <v>4059</v>
      </c>
      <c r="B10635" s="689">
        <v>29.5</v>
      </c>
      <c r="C10635" s="689">
        <v>29.7</v>
      </c>
      <c r="D10635" s="689">
        <v>29.5</v>
      </c>
      <c r="E10635" s="689">
        <v>29.7</v>
      </c>
      <c r="F10635" s="689">
        <v>29.8</v>
      </c>
      <c r="G10635" s="689">
        <v>29.8</v>
      </c>
      <c r="H10635" s="690" t="s">
        <v>4060</v>
      </c>
      <c r="I10635" s="690" t="s">
        <v>4060</v>
      </c>
      <c r="J10635" s="690" t="s">
        <v>4060</v>
      </c>
      <c r="K10635" s="690" t="s">
        <v>4060</v>
      </c>
    </row>
    <row r="10636" spans="1:11">
      <c r="A10636" s="688" t="s">
        <v>2324</v>
      </c>
      <c r="B10636" s="691">
        <v>24.8</v>
      </c>
      <c r="C10636" s="691">
        <v>24.8</v>
      </c>
      <c r="D10636" s="691">
        <v>24.6</v>
      </c>
      <c r="E10636" s="691">
        <v>24.4</v>
      </c>
      <c r="F10636" s="691">
        <v>24.6</v>
      </c>
      <c r="G10636" s="615">
        <v>25</v>
      </c>
      <c r="H10636" s="691">
        <v>24.8</v>
      </c>
      <c r="I10636" s="691">
        <v>23.6</v>
      </c>
      <c r="J10636" s="691">
        <v>21.6</v>
      </c>
      <c r="K10636" s="692" t="s">
        <v>4060</v>
      </c>
    </row>
    <row r="10637" spans="1:11">
      <c r="A10637" s="688" t="s">
        <v>2322</v>
      </c>
      <c r="B10637" s="690" t="s">
        <v>4060</v>
      </c>
      <c r="C10637" s="690" t="s">
        <v>4060</v>
      </c>
      <c r="D10637" s="690" t="s">
        <v>4060</v>
      </c>
      <c r="E10637" s="690" t="s">
        <v>4060</v>
      </c>
      <c r="F10637" s="690" t="s">
        <v>4060</v>
      </c>
      <c r="G10637" s="690" t="s">
        <v>4060</v>
      </c>
      <c r="H10637" s="690" t="s">
        <v>4060</v>
      </c>
      <c r="I10637" s="690" t="s">
        <v>4060</v>
      </c>
      <c r="J10637" s="690" t="s">
        <v>4060</v>
      </c>
      <c r="K10637" s="690" t="s">
        <v>4060</v>
      </c>
    </row>
    <row r="10638" spans="1:11">
      <c r="A10638" s="688" t="s">
        <v>2328</v>
      </c>
      <c r="B10638" s="691">
        <v>24.3</v>
      </c>
      <c r="C10638" s="691">
        <v>24.4</v>
      </c>
      <c r="D10638" s="691">
        <v>24.3</v>
      </c>
      <c r="E10638" s="691">
        <v>24.3</v>
      </c>
      <c r="F10638" s="691">
        <v>24.7</v>
      </c>
      <c r="G10638" s="615">
        <v>25</v>
      </c>
      <c r="H10638" s="615">
        <v>25</v>
      </c>
      <c r="I10638" s="691">
        <v>22.6</v>
      </c>
      <c r="J10638" s="691">
        <v>21.9</v>
      </c>
      <c r="K10638" s="692" t="s">
        <v>4060</v>
      </c>
    </row>
    <row r="10639" spans="1:11">
      <c r="A10639" s="688" t="s">
        <v>2496</v>
      </c>
      <c r="B10639" s="690" t="s">
        <v>4060</v>
      </c>
      <c r="C10639" s="689">
        <v>22.8</v>
      </c>
      <c r="D10639" s="689">
        <v>21.7</v>
      </c>
      <c r="E10639" s="689">
        <v>21.5</v>
      </c>
      <c r="F10639" s="689">
        <v>22.1</v>
      </c>
      <c r="G10639" s="689">
        <v>22.4</v>
      </c>
      <c r="H10639" s="689">
        <v>22.3</v>
      </c>
      <c r="I10639" s="690" t="s">
        <v>4060</v>
      </c>
      <c r="J10639" s="690" t="s">
        <v>4060</v>
      </c>
      <c r="K10639" s="689">
        <v>21.8</v>
      </c>
    </row>
    <row r="10640" spans="1:11">
      <c r="A10640" s="688" t="s">
        <v>2269</v>
      </c>
      <c r="B10640" s="691">
        <v>27.4</v>
      </c>
      <c r="C10640" s="691">
        <v>27.5</v>
      </c>
      <c r="D10640" s="691">
        <v>27.2</v>
      </c>
      <c r="E10640" s="691">
        <v>27.8</v>
      </c>
      <c r="F10640" s="691">
        <v>27.9</v>
      </c>
      <c r="G10640" s="691">
        <v>28.1</v>
      </c>
      <c r="H10640" s="691">
        <v>28.4</v>
      </c>
      <c r="I10640" s="691">
        <v>26.1</v>
      </c>
      <c r="J10640" s="691">
        <v>24.4</v>
      </c>
      <c r="K10640" s="691">
        <v>27.9</v>
      </c>
    </row>
    <row r="10641" spans="1:11">
      <c r="A10641" s="688" t="s">
        <v>2349</v>
      </c>
      <c r="B10641" s="689">
        <v>23.7</v>
      </c>
      <c r="C10641" s="689">
        <v>23.8</v>
      </c>
      <c r="D10641" s="689">
        <v>23.7</v>
      </c>
      <c r="E10641" s="693">
        <v>24</v>
      </c>
      <c r="F10641" s="693">
        <v>24</v>
      </c>
      <c r="G10641" s="689">
        <v>24.2</v>
      </c>
      <c r="H10641" s="689">
        <v>24.1</v>
      </c>
      <c r="I10641" s="689">
        <v>22.5</v>
      </c>
      <c r="J10641" s="689">
        <v>21.2</v>
      </c>
      <c r="K10641" s="689">
        <v>23.5</v>
      </c>
    </row>
    <row r="10642" spans="1:11">
      <c r="A10642" s="688" t="s">
        <v>2355</v>
      </c>
      <c r="B10642" s="691">
        <v>26.6</v>
      </c>
      <c r="C10642" s="691">
        <v>26.6</v>
      </c>
      <c r="D10642" s="691">
        <v>26.5</v>
      </c>
      <c r="E10642" s="691">
        <v>26.5</v>
      </c>
      <c r="F10642" s="691">
        <v>26.7</v>
      </c>
      <c r="G10642" s="691">
        <v>27.1</v>
      </c>
      <c r="H10642" s="691">
        <v>27.2</v>
      </c>
      <c r="I10642" s="692" t="s">
        <v>4060</v>
      </c>
      <c r="J10642" s="692" t="s">
        <v>4060</v>
      </c>
      <c r="K10642" s="692" t="s">
        <v>4060</v>
      </c>
    </row>
    <row r="10643" spans="1:11">
      <c r="A10643" s="688" t="s">
        <v>2357</v>
      </c>
      <c r="B10643" s="690" t="s">
        <v>4060</v>
      </c>
      <c r="C10643" s="689">
        <v>21.1</v>
      </c>
      <c r="D10643" s="689">
        <v>21.5</v>
      </c>
      <c r="E10643" s="689">
        <v>21.7</v>
      </c>
      <c r="F10643" s="693">
        <v>22</v>
      </c>
      <c r="G10643" s="689">
        <v>21.8</v>
      </c>
      <c r="H10643" s="689">
        <v>21.9</v>
      </c>
      <c r="I10643" s="690" t="s">
        <v>4060</v>
      </c>
      <c r="J10643" s="690" t="s">
        <v>4060</v>
      </c>
      <c r="K10643" s="690" t="s">
        <v>4060</v>
      </c>
    </row>
    <row r="10644" spans="1:11">
      <c r="A10644" s="688" t="s">
        <v>4070</v>
      </c>
      <c r="B10644" s="692" t="s">
        <v>4060</v>
      </c>
      <c r="C10644" s="692" t="s">
        <v>4060</v>
      </c>
      <c r="D10644" s="692" t="s">
        <v>4060</v>
      </c>
      <c r="E10644" s="615">
        <v>26</v>
      </c>
      <c r="F10644" s="692" t="s">
        <v>4060</v>
      </c>
      <c r="G10644" s="692" t="s">
        <v>4060</v>
      </c>
      <c r="H10644" s="692" t="s">
        <v>4060</v>
      </c>
      <c r="I10644" s="692" t="s">
        <v>4060</v>
      </c>
      <c r="J10644" s="692" t="s">
        <v>4060</v>
      </c>
      <c r="K10644" s="692" t="s">
        <v>4060</v>
      </c>
    </row>
    <row r="10645" spans="1:11">
      <c r="A10645" s="688" t="s">
        <v>2491</v>
      </c>
      <c r="B10645" s="689">
        <v>20.6</v>
      </c>
      <c r="C10645" s="693">
        <v>21</v>
      </c>
      <c r="D10645" s="689">
        <v>21.2</v>
      </c>
      <c r="E10645" s="689">
        <v>21.4</v>
      </c>
      <c r="F10645" s="689">
        <v>21.4</v>
      </c>
      <c r="G10645" s="689">
        <v>21.4</v>
      </c>
      <c r="H10645" s="690" t="s">
        <v>4060</v>
      </c>
      <c r="I10645" s="690" t="s">
        <v>4060</v>
      </c>
      <c r="J10645" s="690" t="s">
        <v>4060</v>
      </c>
      <c r="K10645" s="690" t="s">
        <v>4060</v>
      </c>
    </row>
    <row r="10646" spans="1:11">
      <c r="A10646" s="688" t="s">
        <v>2343</v>
      </c>
      <c r="B10646" s="692" t="s">
        <v>4060</v>
      </c>
      <c r="C10646" s="692" t="s">
        <v>4060</v>
      </c>
      <c r="D10646" s="692" t="s">
        <v>4060</v>
      </c>
      <c r="E10646" s="692" t="s">
        <v>4060</v>
      </c>
      <c r="F10646" s="692" t="s">
        <v>4060</v>
      </c>
      <c r="G10646" s="692" t="s">
        <v>4060</v>
      </c>
      <c r="H10646" s="692" t="s">
        <v>4060</v>
      </c>
      <c r="I10646" s="692" t="s">
        <v>4060</v>
      </c>
      <c r="J10646" s="692" t="s">
        <v>4060</v>
      </c>
      <c r="K10646" s="692" t="s">
        <v>4060</v>
      </c>
    </row>
    <row r="10647" spans="1:11">
      <c r="A10647" s="688" t="s">
        <v>4071</v>
      </c>
      <c r="B10647" s="690" t="s">
        <v>4060</v>
      </c>
      <c r="C10647" s="690" t="s">
        <v>4060</v>
      </c>
      <c r="D10647" s="690" t="s">
        <v>4060</v>
      </c>
      <c r="E10647" s="690" t="s">
        <v>4060</v>
      </c>
      <c r="F10647" s="690" t="s">
        <v>4060</v>
      </c>
      <c r="G10647" s="690" t="s">
        <v>4060</v>
      </c>
      <c r="H10647" s="690" t="s">
        <v>4060</v>
      </c>
      <c r="I10647" s="690" t="s">
        <v>4060</v>
      </c>
      <c r="J10647" s="690" t="s">
        <v>4060</v>
      </c>
      <c r="K10647" s="690" t="s">
        <v>4060</v>
      </c>
    </row>
    <row r="10648" spans="1:11">
      <c r="A10648" s="688" t="s">
        <v>2489</v>
      </c>
      <c r="B10648" s="692" t="s">
        <v>4060</v>
      </c>
      <c r="C10648" s="692" t="s">
        <v>4060</v>
      </c>
      <c r="D10648" s="691">
        <v>23.7</v>
      </c>
      <c r="E10648" s="691">
        <v>23.5</v>
      </c>
      <c r="F10648" s="691">
        <v>23.9</v>
      </c>
      <c r="G10648" s="691">
        <v>24.7</v>
      </c>
      <c r="H10648" s="691">
        <v>24.5</v>
      </c>
      <c r="I10648" s="692" t="s">
        <v>4060</v>
      </c>
      <c r="J10648" s="692" t="s">
        <v>4060</v>
      </c>
      <c r="K10648" s="692" t="s">
        <v>4060</v>
      </c>
    </row>
    <row r="10649" spans="1:11">
      <c r="A10649" s="688" t="s">
        <v>2490</v>
      </c>
      <c r="B10649" s="689">
        <v>24.2</v>
      </c>
      <c r="C10649" s="689">
        <v>24.2</v>
      </c>
      <c r="D10649" s="689">
        <v>24.9</v>
      </c>
      <c r="E10649" s="690" t="s">
        <v>4060</v>
      </c>
      <c r="F10649" s="689">
        <v>25.1</v>
      </c>
      <c r="G10649" s="689">
        <v>25.2</v>
      </c>
      <c r="H10649" s="689">
        <v>26.2</v>
      </c>
      <c r="I10649" s="690" t="s">
        <v>4060</v>
      </c>
      <c r="J10649" s="690" t="s">
        <v>4060</v>
      </c>
      <c r="K10649" s="690" t="s">
        <v>4060</v>
      </c>
    </row>
    <row r="10651" spans="1:11">
      <c r="A10651" s="683" t="s">
        <v>4233</v>
      </c>
    </row>
    <row r="10652" spans="1:11">
      <c r="A10652" s="683" t="s">
        <v>4060</v>
      </c>
      <c r="B10652" s="682" t="s">
        <v>4234</v>
      </c>
    </row>
    <row r="10654" spans="1:11">
      <c r="A10654" s="682" t="s">
        <v>4331</v>
      </c>
    </row>
    <row r="10655" spans="1:11">
      <c r="A10655" s="682" t="s">
        <v>4210</v>
      </c>
      <c r="B10655" s="683" t="s">
        <v>4211</v>
      </c>
    </row>
    <row r="10656" spans="1:11">
      <c r="A10656" s="682" t="s">
        <v>4212</v>
      </c>
      <c r="B10656" s="682" t="s">
        <v>4213</v>
      </c>
    </row>
    <row r="10658" spans="1:11">
      <c r="A10658" s="683" t="s">
        <v>4214</v>
      </c>
      <c r="C10658" s="682" t="s">
        <v>4215</v>
      </c>
    </row>
    <row r="10659" spans="1:11">
      <c r="A10659" s="683" t="s">
        <v>4216</v>
      </c>
      <c r="C10659" s="682" t="s">
        <v>2967</v>
      </c>
    </row>
    <row r="10660" spans="1:11">
      <c r="A10660" s="683" t="s">
        <v>3893</v>
      </c>
      <c r="C10660" s="682" t="s">
        <v>2168</v>
      </c>
    </row>
    <row r="10661" spans="1:11">
      <c r="A10661" s="683" t="s">
        <v>4218</v>
      </c>
      <c r="C10661" s="682" t="s">
        <v>4288</v>
      </c>
    </row>
    <row r="10663" spans="1:11">
      <c r="A10663" s="684" t="s">
        <v>4220</v>
      </c>
      <c r="B10663" s="685" t="s">
        <v>4221</v>
      </c>
      <c r="C10663" s="685" t="s">
        <v>4222</v>
      </c>
      <c r="D10663" s="685" t="s">
        <v>4223</v>
      </c>
      <c r="E10663" s="685" t="s">
        <v>4224</v>
      </c>
      <c r="F10663" s="685" t="s">
        <v>4225</v>
      </c>
      <c r="G10663" s="685" t="s">
        <v>4226</v>
      </c>
      <c r="H10663" s="685" t="s">
        <v>4227</v>
      </c>
      <c r="I10663" s="685" t="s">
        <v>4228</v>
      </c>
      <c r="J10663" s="685" t="s">
        <v>4229</v>
      </c>
      <c r="K10663" s="685" t="s">
        <v>4230</v>
      </c>
    </row>
    <row r="10664" spans="1:11">
      <c r="A10664" s="686" t="s">
        <v>4231</v>
      </c>
      <c r="B10664" s="687" t="s">
        <v>4232</v>
      </c>
      <c r="C10664" s="687" t="s">
        <v>4232</v>
      </c>
      <c r="D10664" s="687" t="s">
        <v>4232</v>
      </c>
      <c r="E10664" s="687" t="s">
        <v>4232</v>
      </c>
      <c r="F10664" s="687" t="s">
        <v>4232</v>
      </c>
      <c r="G10664" s="687" t="s">
        <v>4232</v>
      </c>
      <c r="H10664" s="687" t="s">
        <v>4232</v>
      </c>
      <c r="I10664" s="687" t="s">
        <v>4232</v>
      </c>
      <c r="J10664" s="687" t="s">
        <v>4232</v>
      </c>
      <c r="K10664" s="687" t="s">
        <v>4232</v>
      </c>
    </row>
    <row r="10665" spans="1:11">
      <c r="A10665" s="688" t="s">
        <v>4064</v>
      </c>
      <c r="B10665" s="689">
        <v>27.1</v>
      </c>
      <c r="C10665" s="689">
        <v>27.2</v>
      </c>
      <c r="D10665" s="689">
        <v>27.2</v>
      </c>
      <c r="E10665" s="689">
        <v>27.3</v>
      </c>
      <c r="F10665" s="689">
        <v>27.4</v>
      </c>
      <c r="G10665" s="689">
        <v>27.4</v>
      </c>
      <c r="H10665" s="689">
        <v>27.7</v>
      </c>
      <c r="I10665" s="689">
        <v>26.8</v>
      </c>
      <c r="J10665" s="689">
        <v>26.6</v>
      </c>
      <c r="K10665" s="689">
        <v>27.3</v>
      </c>
    </row>
    <row r="10666" spans="1:11">
      <c r="A10666" s="688" t="s">
        <v>4065</v>
      </c>
      <c r="B10666" s="691">
        <v>27.3</v>
      </c>
      <c r="C10666" s="691">
        <v>27.6</v>
      </c>
      <c r="D10666" s="691">
        <v>27.4</v>
      </c>
      <c r="E10666" s="691">
        <v>27.7</v>
      </c>
      <c r="F10666" s="691">
        <v>27.7</v>
      </c>
      <c r="G10666" s="691">
        <v>27.8</v>
      </c>
      <c r="H10666" s="692" t="s">
        <v>4060</v>
      </c>
      <c r="I10666" s="692" t="s">
        <v>4060</v>
      </c>
      <c r="J10666" s="692" t="s">
        <v>4060</v>
      </c>
      <c r="K10666" s="692" t="s">
        <v>4060</v>
      </c>
    </row>
    <row r="10667" spans="1:11">
      <c r="A10667" s="688" t="s">
        <v>4063</v>
      </c>
      <c r="B10667" s="689">
        <v>27.3</v>
      </c>
      <c r="C10667" s="689">
        <v>27.6</v>
      </c>
      <c r="D10667" s="689">
        <v>27.4</v>
      </c>
      <c r="E10667" s="689">
        <v>27.7</v>
      </c>
      <c r="F10667" s="689">
        <v>27.7</v>
      </c>
      <c r="G10667" s="689">
        <v>27.8</v>
      </c>
      <c r="H10667" s="690" t="s">
        <v>4060</v>
      </c>
      <c r="I10667" s="690" t="s">
        <v>4060</v>
      </c>
      <c r="J10667" s="690" t="s">
        <v>4060</v>
      </c>
      <c r="K10667" s="690" t="s">
        <v>4060</v>
      </c>
    </row>
    <row r="10668" spans="1:11">
      <c r="A10668" s="688" t="s">
        <v>4069</v>
      </c>
      <c r="B10668" s="692" t="s">
        <v>4060</v>
      </c>
      <c r="C10668" s="691">
        <v>28.1</v>
      </c>
      <c r="D10668" s="691">
        <v>27.9</v>
      </c>
      <c r="E10668" s="691">
        <v>28.2</v>
      </c>
      <c r="F10668" s="691">
        <v>28.3</v>
      </c>
      <c r="G10668" s="691">
        <v>28.4</v>
      </c>
      <c r="H10668" s="691">
        <v>28.7</v>
      </c>
      <c r="I10668" s="691">
        <v>27.9</v>
      </c>
      <c r="J10668" s="691">
        <v>27.9</v>
      </c>
      <c r="K10668" s="691">
        <v>28.2</v>
      </c>
    </row>
    <row r="10669" spans="1:11">
      <c r="A10669" s="688" t="s">
        <v>4068</v>
      </c>
      <c r="B10669" s="689">
        <v>28.1</v>
      </c>
      <c r="C10669" s="690" t="s">
        <v>4060</v>
      </c>
      <c r="D10669" s="690" t="s">
        <v>4060</v>
      </c>
      <c r="E10669" s="690" t="s">
        <v>4060</v>
      </c>
      <c r="F10669" s="690" t="s">
        <v>4060</v>
      </c>
      <c r="G10669" s="690" t="s">
        <v>4060</v>
      </c>
      <c r="H10669" s="690" t="s">
        <v>4060</v>
      </c>
      <c r="I10669" s="690" t="s">
        <v>4060</v>
      </c>
      <c r="J10669" s="690" t="s">
        <v>4060</v>
      </c>
      <c r="K10669" s="690" t="s">
        <v>4060</v>
      </c>
    </row>
    <row r="10670" spans="1:11">
      <c r="A10670" s="688" t="s">
        <v>0</v>
      </c>
      <c r="B10670" s="691">
        <v>27.5</v>
      </c>
      <c r="C10670" s="691">
        <v>27.9</v>
      </c>
      <c r="D10670" s="691">
        <v>27.8</v>
      </c>
      <c r="E10670" s="691">
        <v>28.1</v>
      </c>
      <c r="F10670" s="691">
        <v>28.3</v>
      </c>
      <c r="G10670" s="691">
        <v>28.4</v>
      </c>
      <c r="H10670" s="691">
        <v>28.8</v>
      </c>
      <c r="I10670" s="691">
        <v>27.6</v>
      </c>
      <c r="J10670" s="691">
        <v>28.4</v>
      </c>
      <c r="K10670" s="691">
        <v>28.7</v>
      </c>
    </row>
    <row r="10671" spans="1:11">
      <c r="A10671" s="688" t="s">
        <v>1</v>
      </c>
      <c r="B10671" s="689">
        <v>22.4</v>
      </c>
      <c r="C10671" s="689">
        <v>22.1</v>
      </c>
      <c r="D10671" s="689">
        <v>22.1</v>
      </c>
      <c r="E10671" s="689">
        <v>22.2</v>
      </c>
      <c r="F10671" s="689">
        <v>22.2</v>
      </c>
      <c r="G10671" s="689">
        <v>22.2</v>
      </c>
      <c r="H10671" s="689">
        <v>22.3</v>
      </c>
      <c r="I10671" s="689">
        <v>20.7</v>
      </c>
      <c r="J10671" s="689">
        <v>19.2</v>
      </c>
      <c r="K10671" s="689">
        <v>21.4</v>
      </c>
    </row>
    <row r="10672" spans="1:11">
      <c r="A10672" s="688" t="s">
        <v>2240</v>
      </c>
      <c r="B10672" s="691">
        <v>24.8</v>
      </c>
      <c r="C10672" s="691">
        <v>25.2</v>
      </c>
      <c r="D10672" s="691">
        <v>25.1</v>
      </c>
      <c r="E10672" s="691">
        <v>25.5</v>
      </c>
      <c r="F10672" s="691">
        <v>25.4</v>
      </c>
      <c r="G10672" s="691">
        <v>25.5</v>
      </c>
      <c r="H10672" s="691">
        <v>25.8</v>
      </c>
      <c r="I10672" s="691">
        <v>24.6</v>
      </c>
      <c r="J10672" s="691">
        <v>23.6</v>
      </c>
      <c r="K10672" s="691">
        <v>25.5</v>
      </c>
    </row>
    <row r="10673" spans="1:11">
      <c r="A10673" s="688" t="s">
        <v>2</v>
      </c>
      <c r="B10673" s="689">
        <v>27.4</v>
      </c>
      <c r="C10673" s="689">
        <v>27.7</v>
      </c>
      <c r="D10673" s="689">
        <v>27.7</v>
      </c>
      <c r="E10673" s="689">
        <v>27.9</v>
      </c>
      <c r="F10673" s="693">
        <v>28</v>
      </c>
      <c r="G10673" s="689">
        <v>27.9</v>
      </c>
      <c r="H10673" s="689">
        <v>28.3</v>
      </c>
      <c r="I10673" s="689">
        <v>28.4</v>
      </c>
      <c r="J10673" s="689">
        <v>28.3</v>
      </c>
      <c r="K10673" s="689">
        <v>28.2</v>
      </c>
    </row>
    <row r="10674" spans="1:11">
      <c r="A10674" s="688" t="s">
        <v>3</v>
      </c>
      <c r="B10674" s="691">
        <v>27.3</v>
      </c>
      <c r="C10674" s="691">
        <v>27.6</v>
      </c>
      <c r="D10674" s="691">
        <v>27.3</v>
      </c>
      <c r="E10674" s="691">
        <v>27.5</v>
      </c>
      <c r="F10674" s="691">
        <v>27.6</v>
      </c>
      <c r="G10674" s="691">
        <v>27.6</v>
      </c>
      <c r="H10674" s="691">
        <v>27.9</v>
      </c>
      <c r="I10674" s="691">
        <v>27.6</v>
      </c>
      <c r="J10674" s="691">
        <v>27.3</v>
      </c>
      <c r="K10674" s="691">
        <v>27.2</v>
      </c>
    </row>
    <row r="10675" spans="1:11">
      <c r="A10675" s="688" t="s">
        <v>4061</v>
      </c>
      <c r="B10675" s="689">
        <v>27.3</v>
      </c>
      <c r="C10675" s="689">
        <v>27.6</v>
      </c>
      <c r="D10675" s="689">
        <v>27.3</v>
      </c>
      <c r="E10675" s="689">
        <v>27.5</v>
      </c>
      <c r="F10675" s="689">
        <v>27.6</v>
      </c>
      <c r="G10675" s="689">
        <v>27.6</v>
      </c>
      <c r="H10675" s="689">
        <v>27.9</v>
      </c>
      <c r="I10675" s="689">
        <v>27.6</v>
      </c>
      <c r="J10675" s="689">
        <v>27.3</v>
      </c>
      <c r="K10675" s="689">
        <v>27.2</v>
      </c>
    </row>
    <row r="10676" spans="1:11">
      <c r="A10676" s="688" t="s">
        <v>4</v>
      </c>
      <c r="B10676" s="691">
        <v>23.5</v>
      </c>
      <c r="C10676" s="691">
        <v>23.4</v>
      </c>
      <c r="D10676" s="691">
        <v>23.8</v>
      </c>
      <c r="E10676" s="691">
        <v>23.8</v>
      </c>
      <c r="F10676" s="691">
        <v>24.1</v>
      </c>
      <c r="G10676" s="615">
        <v>24</v>
      </c>
      <c r="H10676" s="691">
        <v>24.5</v>
      </c>
      <c r="I10676" s="691">
        <v>24.4</v>
      </c>
      <c r="J10676" s="691">
        <v>23.1</v>
      </c>
      <c r="K10676" s="615">
        <v>24</v>
      </c>
    </row>
    <row r="10677" spans="1:11">
      <c r="A10677" s="688" t="s">
        <v>8</v>
      </c>
      <c r="B10677" s="689">
        <v>28.3</v>
      </c>
      <c r="C10677" s="689">
        <v>28.5</v>
      </c>
      <c r="D10677" s="689">
        <v>28.6</v>
      </c>
      <c r="E10677" s="689">
        <v>28.7</v>
      </c>
      <c r="F10677" s="689">
        <v>29.1</v>
      </c>
      <c r="G10677" s="689">
        <v>29.1</v>
      </c>
      <c r="H10677" s="689">
        <v>29.4</v>
      </c>
      <c r="I10677" s="689">
        <v>29.4</v>
      </c>
      <c r="J10677" s="689">
        <v>29.1</v>
      </c>
      <c r="K10677" s="689">
        <v>29.4</v>
      </c>
    </row>
    <row r="10678" spans="1:11">
      <c r="A10678" s="688" t="s">
        <v>7</v>
      </c>
      <c r="B10678" s="691">
        <v>28.2</v>
      </c>
      <c r="C10678" s="691">
        <v>27.6</v>
      </c>
      <c r="D10678" s="691">
        <v>27.4</v>
      </c>
      <c r="E10678" s="691">
        <v>27.8</v>
      </c>
      <c r="F10678" s="691">
        <v>27.7</v>
      </c>
      <c r="G10678" s="691">
        <v>28.1</v>
      </c>
      <c r="H10678" s="691">
        <v>28.1</v>
      </c>
      <c r="I10678" s="691">
        <v>27.7</v>
      </c>
      <c r="J10678" s="691">
        <v>26.8</v>
      </c>
      <c r="K10678" s="691">
        <v>27.5</v>
      </c>
    </row>
    <row r="10679" spans="1:11">
      <c r="A10679" s="688" t="s">
        <v>27</v>
      </c>
      <c r="B10679" s="689">
        <v>29.1</v>
      </c>
      <c r="C10679" s="689">
        <v>28.9</v>
      </c>
      <c r="D10679" s="689">
        <v>28.7</v>
      </c>
      <c r="E10679" s="693">
        <v>29</v>
      </c>
      <c r="F10679" s="693">
        <v>29</v>
      </c>
      <c r="G10679" s="689">
        <v>29.1</v>
      </c>
      <c r="H10679" s="689">
        <v>29.4</v>
      </c>
      <c r="I10679" s="689">
        <v>28.2</v>
      </c>
      <c r="J10679" s="689">
        <v>28.9</v>
      </c>
      <c r="K10679" s="689">
        <v>29.1</v>
      </c>
    </row>
    <row r="10680" spans="1:11">
      <c r="A10680" s="688" t="s">
        <v>6</v>
      </c>
      <c r="B10680" s="691">
        <v>28.7</v>
      </c>
      <c r="C10680" s="691">
        <v>28.9</v>
      </c>
      <c r="D10680" s="691">
        <v>28.7</v>
      </c>
      <c r="E10680" s="691">
        <v>28.9</v>
      </c>
      <c r="F10680" s="615">
        <v>29</v>
      </c>
      <c r="G10680" s="691">
        <v>29.1</v>
      </c>
      <c r="H10680" s="691">
        <v>29.3</v>
      </c>
      <c r="I10680" s="691">
        <v>28.6</v>
      </c>
      <c r="J10680" s="691">
        <v>28.7</v>
      </c>
      <c r="K10680" s="691">
        <v>28.9</v>
      </c>
    </row>
    <row r="10681" spans="1:11">
      <c r="A10681" s="688" t="s">
        <v>4058</v>
      </c>
      <c r="B10681" s="690" t="s">
        <v>4060</v>
      </c>
      <c r="C10681" s="690" t="s">
        <v>4060</v>
      </c>
      <c r="D10681" s="690" t="s">
        <v>4060</v>
      </c>
      <c r="E10681" s="690" t="s">
        <v>4060</v>
      </c>
      <c r="F10681" s="690" t="s">
        <v>4060</v>
      </c>
      <c r="G10681" s="690" t="s">
        <v>4060</v>
      </c>
      <c r="H10681" s="690" t="s">
        <v>4060</v>
      </c>
      <c r="I10681" s="690" t="s">
        <v>4060</v>
      </c>
      <c r="J10681" s="690" t="s">
        <v>4060</v>
      </c>
      <c r="K10681" s="690" t="s">
        <v>4060</v>
      </c>
    </row>
    <row r="10682" spans="1:11">
      <c r="A10682" s="688" t="s">
        <v>11</v>
      </c>
      <c r="B10682" s="691">
        <v>24.3</v>
      </c>
      <c r="C10682" s="691">
        <v>24.3</v>
      </c>
      <c r="D10682" s="615">
        <v>24</v>
      </c>
      <c r="E10682" s="691">
        <v>24.5</v>
      </c>
      <c r="F10682" s="691">
        <v>24.5</v>
      </c>
      <c r="G10682" s="691">
        <v>24.6</v>
      </c>
      <c r="H10682" s="691">
        <v>24.9</v>
      </c>
      <c r="I10682" s="691">
        <v>24.1</v>
      </c>
      <c r="J10682" s="691">
        <v>23.2</v>
      </c>
      <c r="K10682" s="691">
        <v>24.4</v>
      </c>
    </row>
    <row r="10683" spans="1:11">
      <c r="A10683" s="688" t="s">
        <v>10</v>
      </c>
      <c r="B10683" s="689">
        <v>29.1</v>
      </c>
      <c r="C10683" s="689">
        <v>29.2</v>
      </c>
      <c r="D10683" s="689">
        <v>28.9</v>
      </c>
      <c r="E10683" s="689">
        <v>29.4</v>
      </c>
      <c r="F10683" s="689">
        <v>29.3</v>
      </c>
      <c r="G10683" s="689">
        <v>29.6</v>
      </c>
      <c r="H10683" s="689">
        <v>29.8</v>
      </c>
      <c r="I10683" s="689">
        <v>28.5</v>
      </c>
      <c r="J10683" s="693">
        <v>29</v>
      </c>
      <c r="K10683" s="689">
        <v>29.3</v>
      </c>
    </row>
    <row r="10684" spans="1:11">
      <c r="A10684" s="688" t="s">
        <v>30</v>
      </c>
      <c r="B10684" s="691">
        <v>28.9</v>
      </c>
      <c r="C10684" s="691">
        <v>29.1</v>
      </c>
      <c r="D10684" s="691">
        <v>28.9</v>
      </c>
      <c r="E10684" s="691">
        <v>29.5</v>
      </c>
      <c r="F10684" s="691">
        <v>29.1</v>
      </c>
      <c r="G10684" s="691">
        <v>29.8</v>
      </c>
      <c r="H10684" s="691">
        <v>29.5</v>
      </c>
      <c r="I10684" s="691">
        <v>29.5</v>
      </c>
      <c r="J10684" s="691">
        <v>28.8</v>
      </c>
      <c r="K10684" s="691">
        <v>29.2</v>
      </c>
    </row>
    <row r="10685" spans="1:11">
      <c r="A10685" s="688" t="s">
        <v>12</v>
      </c>
      <c r="B10685" s="689">
        <v>21.5</v>
      </c>
      <c r="C10685" s="689">
        <v>21.4</v>
      </c>
      <c r="D10685" s="689">
        <v>21.8</v>
      </c>
      <c r="E10685" s="689">
        <v>21.8</v>
      </c>
      <c r="F10685" s="689">
        <v>21.8</v>
      </c>
      <c r="G10685" s="689">
        <v>21.9</v>
      </c>
      <c r="H10685" s="689">
        <v>22.3</v>
      </c>
      <c r="I10685" s="689">
        <v>22.1</v>
      </c>
      <c r="J10685" s="689">
        <v>20.3</v>
      </c>
      <c r="K10685" s="689">
        <v>21.5</v>
      </c>
    </row>
    <row r="10686" spans="1:11">
      <c r="A10686" s="688" t="s">
        <v>14</v>
      </c>
      <c r="B10686" s="691">
        <v>21.6</v>
      </c>
      <c r="C10686" s="691">
        <v>21.9</v>
      </c>
      <c r="D10686" s="691">
        <v>21.6</v>
      </c>
      <c r="E10686" s="691">
        <v>21.8</v>
      </c>
      <c r="F10686" s="691">
        <v>22.4</v>
      </c>
      <c r="G10686" s="691">
        <v>22.6</v>
      </c>
      <c r="H10686" s="691">
        <v>22.8</v>
      </c>
      <c r="I10686" s="691">
        <v>21.7</v>
      </c>
      <c r="J10686" s="691">
        <v>21.3</v>
      </c>
      <c r="K10686" s="691">
        <v>22.4</v>
      </c>
    </row>
    <row r="10687" spans="1:11">
      <c r="A10687" s="688" t="s">
        <v>15</v>
      </c>
      <c r="B10687" s="689">
        <v>28.8</v>
      </c>
      <c r="C10687" s="689">
        <v>28.1</v>
      </c>
      <c r="D10687" s="689">
        <v>28.8</v>
      </c>
      <c r="E10687" s="689">
        <v>28.6</v>
      </c>
      <c r="F10687" s="689">
        <v>28.6</v>
      </c>
      <c r="G10687" s="689">
        <v>28.7</v>
      </c>
      <c r="H10687" s="693">
        <v>29</v>
      </c>
      <c r="I10687" s="689">
        <v>28.6</v>
      </c>
      <c r="J10687" s="689">
        <v>28.9</v>
      </c>
      <c r="K10687" s="689">
        <v>29.4</v>
      </c>
    </row>
    <row r="10688" spans="1:11">
      <c r="A10688" s="688" t="s">
        <v>29</v>
      </c>
      <c r="B10688" s="691">
        <v>22.4</v>
      </c>
      <c r="C10688" s="691">
        <v>22.4</v>
      </c>
      <c r="D10688" s="691">
        <v>22.3</v>
      </c>
      <c r="E10688" s="691">
        <v>22.4</v>
      </c>
      <c r="F10688" s="691">
        <v>22.3</v>
      </c>
      <c r="G10688" s="691">
        <v>22.4</v>
      </c>
      <c r="H10688" s="691">
        <v>22.7</v>
      </c>
      <c r="I10688" s="615">
        <v>22</v>
      </c>
      <c r="J10688" s="691">
        <v>20.8</v>
      </c>
      <c r="K10688" s="691">
        <v>22.3</v>
      </c>
    </row>
    <row r="10689" spans="1:11">
      <c r="A10689" s="688" t="s">
        <v>16</v>
      </c>
      <c r="B10689" s="689">
        <v>28.6</v>
      </c>
      <c r="C10689" s="689">
        <v>28.6</v>
      </c>
      <c r="D10689" s="689">
        <v>28.7</v>
      </c>
      <c r="E10689" s="689">
        <v>29.5</v>
      </c>
      <c r="F10689" s="693">
        <v>29</v>
      </c>
      <c r="G10689" s="693">
        <v>29</v>
      </c>
      <c r="H10689" s="689">
        <v>29.3</v>
      </c>
      <c r="I10689" s="689">
        <v>28.7</v>
      </c>
      <c r="J10689" s="689">
        <v>28.9</v>
      </c>
      <c r="K10689" s="689">
        <v>29.2</v>
      </c>
    </row>
    <row r="10690" spans="1:11">
      <c r="A10690" s="688" t="s">
        <v>17</v>
      </c>
      <c r="B10690" s="691">
        <v>28.4</v>
      </c>
      <c r="C10690" s="691">
        <v>28.7</v>
      </c>
      <c r="D10690" s="691">
        <v>28.5</v>
      </c>
      <c r="E10690" s="691">
        <v>28.6</v>
      </c>
      <c r="F10690" s="691">
        <v>28.9</v>
      </c>
      <c r="G10690" s="691">
        <v>28.9</v>
      </c>
      <c r="H10690" s="691">
        <v>29.2</v>
      </c>
      <c r="I10690" s="691">
        <v>28.5</v>
      </c>
      <c r="J10690" s="691">
        <v>28.5</v>
      </c>
      <c r="K10690" s="691">
        <v>28.9</v>
      </c>
    </row>
    <row r="10691" spans="1:11">
      <c r="A10691" s="688" t="s">
        <v>19</v>
      </c>
      <c r="B10691" s="689">
        <v>27.9</v>
      </c>
      <c r="C10691" s="693">
        <v>28</v>
      </c>
      <c r="D10691" s="689">
        <v>27.8</v>
      </c>
      <c r="E10691" s="689">
        <v>28.2</v>
      </c>
      <c r="F10691" s="689">
        <v>28.3</v>
      </c>
      <c r="G10691" s="689">
        <v>28.3</v>
      </c>
      <c r="H10691" s="689">
        <v>28.6</v>
      </c>
      <c r="I10691" s="689">
        <v>27.9</v>
      </c>
      <c r="J10691" s="689">
        <v>27.9</v>
      </c>
      <c r="K10691" s="693">
        <v>28</v>
      </c>
    </row>
    <row r="10692" spans="1:11">
      <c r="A10692" s="688" t="s">
        <v>20</v>
      </c>
      <c r="B10692" s="691">
        <v>23.8</v>
      </c>
      <c r="C10692" s="691">
        <v>24.2</v>
      </c>
      <c r="D10692" s="615">
        <v>24</v>
      </c>
      <c r="E10692" s="691">
        <v>24.3</v>
      </c>
      <c r="F10692" s="691">
        <v>24.3</v>
      </c>
      <c r="G10692" s="691">
        <v>24.2</v>
      </c>
      <c r="H10692" s="691">
        <v>24.5</v>
      </c>
      <c r="I10692" s="615">
        <v>23</v>
      </c>
      <c r="J10692" s="691">
        <v>22.3</v>
      </c>
      <c r="K10692" s="691">
        <v>23.9</v>
      </c>
    </row>
    <row r="10693" spans="1:11">
      <c r="A10693" s="688" t="s">
        <v>21</v>
      </c>
      <c r="B10693" s="689">
        <v>27.3</v>
      </c>
      <c r="C10693" s="689">
        <v>27.7</v>
      </c>
      <c r="D10693" s="689">
        <v>27.7</v>
      </c>
      <c r="E10693" s="689">
        <v>27.6</v>
      </c>
      <c r="F10693" s="693">
        <v>28</v>
      </c>
      <c r="G10693" s="689">
        <v>27.9</v>
      </c>
      <c r="H10693" s="689">
        <v>28.2</v>
      </c>
      <c r="I10693" s="689">
        <v>27.7</v>
      </c>
      <c r="J10693" s="689">
        <v>27.7</v>
      </c>
      <c r="K10693" s="689">
        <v>28.1</v>
      </c>
    </row>
    <row r="10694" spans="1:11">
      <c r="A10694" s="688" t="s">
        <v>22</v>
      </c>
      <c r="B10694" s="691">
        <v>22.8</v>
      </c>
      <c r="C10694" s="691">
        <v>22.6</v>
      </c>
      <c r="D10694" s="691">
        <v>22.4</v>
      </c>
      <c r="E10694" s="691">
        <v>22.6</v>
      </c>
      <c r="F10694" s="691">
        <v>22.6</v>
      </c>
      <c r="G10694" s="691">
        <v>22.5</v>
      </c>
      <c r="H10694" s="691">
        <v>22.7</v>
      </c>
      <c r="I10694" s="691">
        <v>21.1</v>
      </c>
      <c r="J10694" s="691">
        <v>20.2</v>
      </c>
      <c r="K10694" s="615">
        <v>22</v>
      </c>
    </row>
    <row r="10695" spans="1:11">
      <c r="A10695" s="688" t="s">
        <v>26</v>
      </c>
      <c r="B10695" s="689">
        <v>26.6</v>
      </c>
      <c r="C10695" s="693">
        <v>27</v>
      </c>
      <c r="D10695" s="689">
        <v>26.8</v>
      </c>
      <c r="E10695" s="689">
        <v>27.2</v>
      </c>
      <c r="F10695" s="693">
        <v>27</v>
      </c>
      <c r="G10695" s="689">
        <v>27.3</v>
      </c>
      <c r="H10695" s="689">
        <v>27.6</v>
      </c>
      <c r="I10695" s="689">
        <v>26.8</v>
      </c>
      <c r="J10695" s="689">
        <v>26.7</v>
      </c>
      <c r="K10695" s="689">
        <v>27.5</v>
      </c>
    </row>
    <row r="10696" spans="1:11">
      <c r="A10696" s="688" t="s">
        <v>25</v>
      </c>
      <c r="B10696" s="691">
        <v>23.2</v>
      </c>
      <c r="C10696" s="691">
        <v>23.6</v>
      </c>
      <c r="D10696" s="691">
        <v>23.5</v>
      </c>
      <c r="E10696" s="691">
        <v>23.9</v>
      </c>
      <c r="F10696" s="691">
        <v>23.9</v>
      </c>
      <c r="G10696" s="691">
        <v>24.1</v>
      </c>
      <c r="H10696" s="691">
        <v>24.5</v>
      </c>
      <c r="I10696" s="691">
        <v>23.7</v>
      </c>
      <c r="J10696" s="691">
        <v>21.6</v>
      </c>
      <c r="K10696" s="691">
        <v>23.8</v>
      </c>
    </row>
    <row r="10697" spans="1:11">
      <c r="A10697" s="688" t="s">
        <v>5</v>
      </c>
      <c r="B10697" s="689">
        <v>27.6</v>
      </c>
      <c r="C10697" s="689">
        <v>27.7</v>
      </c>
      <c r="D10697" s="689">
        <v>27.9</v>
      </c>
      <c r="E10697" s="689">
        <v>27.9</v>
      </c>
      <c r="F10697" s="689">
        <v>28.1</v>
      </c>
      <c r="G10697" s="689">
        <v>28.2</v>
      </c>
      <c r="H10697" s="689">
        <v>28.6</v>
      </c>
      <c r="I10697" s="689">
        <v>28.5</v>
      </c>
      <c r="J10697" s="689">
        <v>28.4</v>
      </c>
      <c r="K10697" s="693">
        <v>28</v>
      </c>
    </row>
    <row r="10698" spans="1:11">
      <c r="A10698" s="688" t="s">
        <v>23</v>
      </c>
      <c r="B10698" s="691">
        <v>29.1</v>
      </c>
      <c r="C10698" s="691">
        <v>29.2</v>
      </c>
      <c r="D10698" s="691">
        <v>29.2</v>
      </c>
      <c r="E10698" s="691">
        <v>29.4</v>
      </c>
      <c r="F10698" s="691">
        <v>29.6</v>
      </c>
      <c r="G10698" s="691">
        <v>29.6</v>
      </c>
      <c r="H10698" s="615">
        <v>30</v>
      </c>
      <c r="I10698" s="691">
        <v>29.3</v>
      </c>
      <c r="J10698" s="691">
        <v>29.9</v>
      </c>
      <c r="K10698" s="691">
        <v>30.1</v>
      </c>
    </row>
    <row r="10699" spans="1:11">
      <c r="A10699" s="688" t="s">
        <v>4067</v>
      </c>
      <c r="B10699" s="689">
        <v>27.3</v>
      </c>
      <c r="C10699" s="689">
        <v>27.6</v>
      </c>
      <c r="D10699" s="689">
        <v>27.4</v>
      </c>
      <c r="E10699" s="689">
        <v>27.7</v>
      </c>
      <c r="F10699" s="689">
        <v>27.7</v>
      </c>
      <c r="G10699" s="689">
        <v>27.8</v>
      </c>
      <c r="H10699" s="690" t="s">
        <v>4060</v>
      </c>
      <c r="I10699" s="690" t="s">
        <v>4060</v>
      </c>
      <c r="J10699" s="690" t="s">
        <v>4060</v>
      </c>
      <c r="K10699" s="690" t="s">
        <v>4060</v>
      </c>
    </row>
    <row r="10700" spans="1:11">
      <c r="A10700" s="688" t="s">
        <v>4066</v>
      </c>
      <c r="B10700" s="691">
        <v>27.3</v>
      </c>
      <c r="C10700" s="691">
        <v>27.6</v>
      </c>
      <c r="D10700" s="691">
        <v>27.4</v>
      </c>
      <c r="E10700" s="691">
        <v>27.7</v>
      </c>
      <c r="F10700" s="691">
        <v>27.7</v>
      </c>
      <c r="G10700" s="691">
        <v>27.8</v>
      </c>
      <c r="H10700" s="692" t="s">
        <v>4060</v>
      </c>
      <c r="I10700" s="692" t="s">
        <v>4060</v>
      </c>
      <c r="J10700" s="692" t="s">
        <v>4060</v>
      </c>
      <c r="K10700" s="692" t="s">
        <v>4060</v>
      </c>
    </row>
    <row r="10701" spans="1:11">
      <c r="A10701" s="688" t="s">
        <v>4062</v>
      </c>
      <c r="B10701" s="689">
        <v>29.3</v>
      </c>
      <c r="C10701" s="689">
        <v>29.5</v>
      </c>
      <c r="D10701" s="689">
        <v>29.4</v>
      </c>
      <c r="E10701" s="689">
        <v>29.8</v>
      </c>
      <c r="F10701" s="693">
        <v>30</v>
      </c>
      <c r="G10701" s="689">
        <v>30.2</v>
      </c>
      <c r="H10701" s="689">
        <v>30.3</v>
      </c>
      <c r="I10701" s="689">
        <v>29.9</v>
      </c>
      <c r="J10701" s="689">
        <v>30.3</v>
      </c>
      <c r="K10701" s="689">
        <v>30.1</v>
      </c>
    </row>
    <row r="10702" spans="1:11">
      <c r="A10702" s="688" t="s">
        <v>9</v>
      </c>
      <c r="B10702" s="691">
        <v>29.4</v>
      </c>
      <c r="C10702" s="691">
        <v>29.7</v>
      </c>
      <c r="D10702" s="691">
        <v>30.1</v>
      </c>
      <c r="E10702" s="691">
        <v>29.3</v>
      </c>
      <c r="F10702" s="691">
        <v>29.9</v>
      </c>
      <c r="G10702" s="691">
        <v>30.2</v>
      </c>
      <c r="H10702" s="691">
        <v>30.2</v>
      </c>
      <c r="I10702" s="691">
        <v>30.4</v>
      </c>
      <c r="J10702" s="691">
        <v>30.7</v>
      </c>
      <c r="K10702" s="691">
        <v>29.7</v>
      </c>
    </row>
    <row r="10703" spans="1:11">
      <c r="A10703" s="688" t="s">
        <v>13</v>
      </c>
      <c r="B10703" s="689">
        <v>29.1</v>
      </c>
      <c r="C10703" s="689">
        <v>29.3</v>
      </c>
      <c r="D10703" s="689">
        <v>29.7</v>
      </c>
      <c r="E10703" s="689">
        <v>28.2</v>
      </c>
      <c r="F10703" s="689">
        <v>30.2</v>
      </c>
      <c r="G10703" s="689">
        <v>29.8</v>
      </c>
      <c r="H10703" s="689">
        <v>30.4</v>
      </c>
      <c r="I10703" s="689">
        <v>29.2</v>
      </c>
      <c r="J10703" s="689">
        <v>30.4</v>
      </c>
      <c r="K10703" s="689">
        <v>31.2</v>
      </c>
    </row>
    <row r="10704" spans="1:11">
      <c r="A10704" s="688" t="s">
        <v>18</v>
      </c>
      <c r="B10704" s="691">
        <v>28.7</v>
      </c>
      <c r="C10704" s="615">
        <v>29</v>
      </c>
      <c r="D10704" s="691">
        <v>29.2</v>
      </c>
      <c r="E10704" s="691">
        <v>29.4</v>
      </c>
      <c r="F10704" s="691">
        <v>29.6</v>
      </c>
      <c r="G10704" s="691">
        <v>29.8</v>
      </c>
      <c r="H10704" s="615">
        <v>30</v>
      </c>
      <c r="I10704" s="691">
        <v>30.2</v>
      </c>
      <c r="J10704" s="691">
        <v>30.2</v>
      </c>
      <c r="K10704" s="691">
        <v>29.7</v>
      </c>
    </row>
    <row r="10705" spans="1:11">
      <c r="A10705" s="688" t="s">
        <v>24</v>
      </c>
      <c r="B10705" s="689">
        <v>29.6</v>
      </c>
      <c r="C10705" s="689">
        <v>29.7</v>
      </c>
      <c r="D10705" s="689">
        <v>29.6</v>
      </c>
      <c r="E10705" s="689">
        <v>30.1</v>
      </c>
      <c r="F10705" s="689">
        <v>30.1</v>
      </c>
      <c r="G10705" s="689">
        <v>30.4</v>
      </c>
      <c r="H10705" s="689">
        <v>30.5</v>
      </c>
      <c r="I10705" s="689">
        <v>29.7</v>
      </c>
      <c r="J10705" s="689">
        <v>30.3</v>
      </c>
      <c r="K10705" s="689">
        <v>30.3</v>
      </c>
    </row>
    <row r="10706" spans="1:11">
      <c r="A10706" s="688" t="s">
        <v>4059</v>
      </c>
      <c r="B10706" s="691">
        <v>28.6</v>
      </c>
      <c r="C10706" s="691">
        <v>28.9</v>
      </c>
      <c r="D10706" s="691">
        <v>28.6</v>
      </c>
      <c r="E10706" s="691">
        <v>28.8</v>
      </c>
      <c r="F10706" s="691">
        <v>28.9</v>
      </c>
      <c r="G10706" s="691">
        <v>28.9</v>
      </c>
      <c r="H10706" s="692" t="s">
        <v>4060</v>
      </c>
      <c r="I10706" s="692" t="s">
        <v>4060</v>
      </c>
      <c r="J10706" s="692" t="s">
        <v>4060</v>
      </c>
      <c r="K10706" s="692" t="s">
        <v>4060</v>
      </c>
    </row>
    <row r="10707" spans="1:11">
      <c r="A10707" s="688" t="s">
        <v>2324</v>
      </c>
      <c r="B10707" s="693">
        <v>24</v>
      </c>
      <c r="C10707" s="693">
        <v>24</v>
      </c>
      <c r="D10707" s="689">
        <v>23.8</v>
      </c>
      <c r="E10707" s="689">
        <v>23.6</v>
      </c>
      <c r="F10707" s="689">
        <v>23.8</v>
      </c>
      <c r="G10707" s="689">
        <v>24.1</v>
      </c>
      <c r="H10707" s="689">
        <v>23.9</v>
      </c>
      <c r="I10707" s="689">
        <v>22.7</v>
      </c>
      <c r="J10707" s="689">
        <v>20.8</v>
      </c>
      <c r="K10707" s="690" t="s">
        <v>4060</v>
      </c>
    </row>
    <row r="10708" spans="1:11">
      <c r="A10708" s="688" t="s">
        <v>2322</v>
      </c>
      <c r="B10708" s="692" t="s">
        <v>4060</v>
      </c>
      <c r="C10708" s="692" t="s">
        <v>4060</v>
      </c>
      <c r="D10708" s="692" t="s">
        <v>4060</v>
      </c>
      <c r="E10708" s="692" t="s">
        <v>4060</v>
      </c>
      <c r="F10708" s="692" t="s">
        <v>4060</v>
      </c>
      <c r="G10708" s="692" t="s">
        <v>4060</v>
      </c>
      <c r="H10708" s="692" t="s">
        <v>4060</v>
      </c>
      <c r="I10708" s="692" t="s">
        <v>4060</v>
      </c>
      <c r="J10708" s="692" t="s">
        <v>4060</v>
      </c>
      <c r="K10708" s="692" t="s">
        <v>4060</v>
      </c>
    </row>
    <row r="10709" spans="1:11">
      <c r="A10709" s="688" t="s">
        <v>2328</v>
      </c>
      <c r="B10709" s="689">
        <v>23.4</v>
      </c>
      <c r="C10709" s="689">
        <v>23.5</v>
      </c>
      <c r="D10709" s="689">
        <v>23.5</v>
      </c>
      <c r="E10709" s="689">
        <v>23.5</v>
      </c>
      <c r="F10709" s="689">
        <v>23.8</v>
      </c>
      <c r="G10709" s="689">
        <v>24.2</v>
      </c>
      <c r="H10709" s="689">
        <v>24.1</v>
      </c>
      <c r="I10709" s="689">
        <v>21.8</v>
      </c>
      <c r="J10709" s="689">
        <v>21.1</v>
      </c>
      <c r="K10709" s="690" t="s">
        <v>4060</v>
      </c>
    </row>
    <row r="10710" spans="1:11">
      <c r="A10710" s="688" t="s">
        <v>2496</v>
      </c>
      <c r="B10710" s="692" t="s">
        <v>4060</v>
      </c>
      <c r="C10710" s="691">
        <v>22.1</v>
      </c>
      <c r="D10710" s="615">
        <v>21</v>
      </c>
      <c r="E10710" s="691">
        <v>20.8</v>
      </c>
      <c r="F10710" s="691">
        <v>21.4</v>
      </c>
      <c r="G10710" s="691">
        <v>21.6</v>
      </c>
      <c r="H10710" s="691">
        <v>21.6</v>
      </c>
      <c r="I10710" s="692" t="s">
        <v>4060</v>
      </c>
      <c r="J10710" s="692" t="s">
        <v>4060</v>
      </c>
      <c r="K10710" s="691">
        <v>21.1</v>
      </c>
    </row>
    <row r="10711" spans="1:11">
      <c r="A10711" s="688" t="s">
        <v>2269</v>
      </c>
      <c r="B10711" s="689">
        <v>26.5</v>
      </c>
      <c r="C10711" s="689">
        <v>26.7</v>
      </c>
      <c r="D10711" s="689">
        <v>26.3</v>
      </c>
      <c r="E10711" s="689">
        <v>26.9</v>
      </c>
      <c r="F10711" s="693">
        <v>27</v>
      </c>
      <c r="G10711" s="689">
        <v>27.2</v>
      </c>
      <c r="H10711" s="689">
        <v>27.5</v>
      </c>
      <c r="I10711" s="689">
        <v>25.2</v>
      </c>
      <c r="J10711" s="689">
        <v>23.5</v>
      </c>
      <c r="K10711" s="689">
        <v>27.1</v>
      </c>
    </row>
    <row r="10712" spans="1:11">
      <c r="A10712" s="688" t="s">
        <v>2349</v>
      </c>
      <c r="B10712" s="691">
        <v>22.9</v>
      </c>
      <c r="C10712" s="615">
        <v>23</v>
      </c>
      <c r="D10712" s="691">
        <v>22.9</v>
      </c>
      <c r="E10712" s="691">
        <v>23.2</v>
      </c>
      <c r="F10712" s="691">
        <v>23.2</v>
      </c>
      <c r="G10712" s="691">
        <v>23.4</v>
      </c>
      <c r="H10712" s="691">
        <v>23.3</v>
      </c>
      <c r="I10712" s="691">
        <v>21.7</v>
      </c>
      <c r="J10712" s="691">
        <v>20.399999999999999</v>
      </c>
      <c r="K10712" s="691">
        <v>22.7</v>
      </c>
    </row>
    <row r="10713" spans="1:11">
      <c r="A10713" s="688" t="s">
        <v>2355</v>
      </c>
      <c r="B10713" s="689">
        <v>25.8</v>
      </c>
      <c r="C10713" s="689">
        <v>25.7</v>
      </c>
      <c r="D10713" s="689">
        <v>25.7</v>
      </c>
      <c r="E10713" s="689">
        <v>25.6</v>
      </c>
      <c r="F10713" s="689">
        <v>25.8</v>
      </c>
      <c r="G10713" s="689">
        <v>26.2</v>
      </c>
      <c r="H10713" s="689">
        <v>26.3</v>
      </c>
      <c r="I10713" s="690" t="s">
        <v>4060</v>
      </c>
      <c r="J10713" s="690" t="s">
        <v>4060</v>
      </c>
      <c r="K10713" s="690" t="s">
        <v>4060</v>
      </c>
    </row>
    <row r="10714" spans="1:11">
      <c r="A10714" s="688" t="s">
        <v>2357</v>
      </c>
      <c r="B10714" s="692" t="s">
        <v>4060</v>
      </c>
      <c r="C10714" s="691">
        <v>20.399999999999999</v>
      </c>
      <c r="D10714" s="691">
        <v>20.7</v>
      </c>
      <c r="E10714" s="615">
        <v>21</v>
      </c>
      <c r="F10714" s="691">
        <v>21.2</v>
      </c>
      <c r="G10714" s="615">
        <v>21</v>
      </c>
      <c r="H10714" s="691">
        <v>21.2</v>
      </c>
      <c r="I10714" s="692" t="s">
        <v>4060</v>
      </c>
      <c r="J10714" s="692" t="s">
        <v>4060</v>
      </c>
      <c r="K10714" s="692" t="s">
        <v>4060</v>
      </c>
    </row>
    <row r="10715" spans="1:11">
      <c r="A10715" s="688" t="s">
        <v>4070</v>
      </c>
      <c r="B10715" s="690" t="s">
        <v>4060</v>
      </c>
      <c r="C10715" s="690" t="s">
        <v>4060</v>
      </c>
      <c r="D10715" s="690" t="s">
        <v>4060</v>
      </c>
      <c r="E10715" s="689">
        <v>25.1</v>
      </c>
      <c r="F10715" s="690" t="s">
        <v>4060</v>
      </c>
      <c r="G10715" s="690" t="s">
        <v>4060</v>
      </c>
      <c r="H10715" s="690" t="s">
        <v>4060</v>
      </c>
      <c r="I10715" s="690" t="s">
        <v>4060</v>
      </c>
      <c r="J10715" s="690" t="s">
        <v>4060</v>
      </c>
      <c r="K10715" s="690" t="s">
        <v>4060</v>
      </c>
    </row>
    <row r="10716" spans="1:11">
      <c r="A10716" s="688" t="s">
        <v>2491</v>
      </c>
      <c r="B10716" s="691">
        <v>19.899999999999999</v>
      </c>
      <c r="C10716" s="691">
        <v>20.2</v>
      </c>
      <c r="D10716" s="691">
        <v>20.5</v>
      </c>
      <c r="E10716" s="691">
        <v>20.6</v>
      </c>
      <c r="F10716" s="691">
        <v>20.7</v>
      </c>
      <c r="G10716" s="691">
        <v>20.7</v>
      </c>
      <c r="H10716" s="692" t="s">
        <v>4060</v>
      </c>
      <c r="I10716" s="692" t="s">
        <v>4060</v>
      </c>
      <c r="J10716" s="692" t="s">
        <v>4060</v>
      </c>
      <c r="K10716" s="692" t="s">
        <v>4060</v>
      </c>
    </row>
    <row r="10717" spans="1:11">
      <c r="A10717" s="688" t="s">
        <v>2343</v>
      </c>
      <c r="B10717" s="690" t="s">
        <v>4060</v>
      </c>
      <c r="C10717" s="690" t="s">
        <v>4060</v>
      </c>
      <c r="D10717" s="690" t="s">
        <v>4060</v>
      </c>
      <c r="E10717" s="690" t="s">
        <v>4060</v>
      </c>
      <c r="F10717" s="690" t="s">
        <v>4060</v>
      </c>
      <c r="G10717" s="690" t="s">
        <v>4060</v>
      </c>
      <c r="H10717" s="690" t="s">
        <v>4060</v>
      </c>
      <c r="I10717" s="690" t="s">
        <v>4060</v>
      </c>
      <c r="J10717" s="690" t="s">
        <v>4060</v>
      </c>
      <c r="K10717" s="690" t="s">
        <v>4060</v>
      </c>
    </row>
    <row r="10718" spans="1:11">
      <c r="A10718" s="688" t="s">
        <v>4071</v>
      </c>
      <c r="B10718" s="692" t="s">
        <v>4060</v>
      </c>
      <c r="C10718" s="692" t="s">
        <v>4060</v>
      </c>
      <c r="D10718" s="692" t="s">
        <v>4060</v>
      </c>
      <c r="E10718" s="692" t="s">
        <v>4060</v>
      </c>
      <c r="F10718" s="692" t="s">
        <v>4060</v>
      </c>
      <c r="G10718" s="692" t="s">
        <v>4060</v>
      </c>
      <c r="H10718" s="692" t="s">
        <v>4060</v>
      </c>
      <c r="I10718" s="692" t="s">
        <v>4060</v>
      </c>
      <c r="J10718" s="692" t="s">
        <v>4060</v>
      </c>
      <c r="K10718" s="692" t="s">
        <v>4060</v>
      </c>
    </row>
    <row r="10719" spans="1:11">
      <c r="A10719" s="688" t="s">
        <v>2489</v>
      </c>
      <c r="B10719" s="690" t="s">
        <v>4060</v>
      </c>
      <c r="C10719" s="690" t="s">
        <v>4060</v>
      </c>
      <c r="D10719" s="689">
        <v>22.9</v>
      </c>
      <c r="E10719" s="689">
        <v>22.8</v>
      </c>
      <c r="F10719" s="689">
        <v>23.2</v>
      </c>
      <c r="G10719" s="689">
        <v>23.9</v>
      </c>
      <c r="H10719" s="689">
        <v>23.8</v>
      </c>
      <c r="I10719" s="690" t="s">
        <v>4060</v>
      </c>
      <c r="J10719" s="690" t="s">
        <v>4060</v>
      </c>
      <c r="K10719" s="690" t="s">
        <v>4060</v>
      </c>
    </row>
    <row r="10720" spans="1:11">
      <c r="A10720" s="688" t="s">
        <v>2490</v>
      </c>
      <c r="B10720" s="691">
        <v>23.3</v>
      </c>
      <c r="C10720" s="691">
        <v>23.3</v>
      </c>
      <c r="D10720" s="691">
        <v>24.1</v>
      </c>
      <c r="E10720" s="692" t="s">
        <v>4060</v>
      </c>
      <c r="F10720" s="691">
        <v>24.3</v>
      </c>
      <c r="G10720" s="691">
        <v>24.4</v>
      </c>
      <c r="H10720" s="691">
        <v>25.3</v>
      </c>
      <c r="I10720" s="692" t="s">
        <v>4060</v>
      </c>
      <c r="J10720" s="692" t="s">
        <v>4060</v>
      </c>
      <c r="K10720" s="692" t="s">
        <v>4060</v>
      </c>
    </row>
    <row r="10722" spans="1:11">
      <c r="A10722" s="683" t="s">
        <v>4233</v>
      </c>
    </row>
    <row r="10723" spans="1:11">
      <c r="A10723" s="683" t="s">
        <v>4060</v>
      </c>
      <c r="B10723" s="682" t="s">
        <v>4234</v>
      </c>
    </row>
    <row r="10725" spans="1:11">
      <c r="A10725" s="682" t="s">
        <v>4331</v>
      </c>
    </row>
    <row r="10726" spans="1:11">
      <c r="A10726" s="682" t="s">
        <v>4210</v>
      </c>
      <c r="B10726" s="683" t="s">
        <v>4211</v>
      </c>
    </row>
    <row r="10727" spans="1:11">
      <c r="A10727" s="682" t="s">
        <v>4212</v>
      </c>
      <c r="B10727" s="682" t="s">
        <v>4213</v>
      </c>
    </row>
    <row r="10729" spans="1:11">
      <c r="A10729" s="683" t="s">
        <v>4214</v>
      </c>
      <c r="C10729" s="682" t="s">
        <v>4215</v>
      </c>
    </row>
    <row r="10730" spans="1:11">
      <c r="A10730" s="683" t="s">
        <v>4216</v>
      </c>
      <c r="C10730" s="682" t="s">
        <v>2967</v>
      </c>
    </row>
    <row r="10731" spans="1:11">
      <c r="A10731" s="683" t="s">
        <v>3893</v>
      </c>
      <c r="C10731" s="682" t="s">
        <v>2168</v>
      </c>
    </row>
    <row r="10732" spans="1:11">
      <c r="A10732" s="683" t="s">
        <v>4218</v>
      </c>
      <c r="C10732" s="682" t="s">
        <v>4289</v>
      </c>
    </row>
    <row r="10734" spans="1:11">
      <c r="A10734" s="684" t="s">
        <v>4220</v>
      </c>
      <c r="B10734" s="685" t="s">
        <v>4221</v>
      </c>
      <c r="C10734" s="685" t="s">
        <v>4222</v>
      </c>
      <c r="D10734" s="685" t="s">
        <v>4223</v>
      </c>
      <c r="E10734" s="685" t="s">
        <v>4224</v>
      </c>
      <c r="F10734" s="685" t="s">
        <v>4225</v>
      </c>
      <c r="G10734" s="685" t="s">
        <v>4226</v>
      </c>
      <c r="H10734" s="685" t="s">
        <v>4227</v>
      </c>
      <c r="I10734" s="685" t="s">
        <v>4228</v>
      </c>
      <c r="J10734" s="685" t="s">
        <v>4229</v>
      </c>
      <c r="K10734" s="685" t="s">
        <v>4230</v>
      </c>
    </row>
    <row r="10735" spans="1:11">
      <c r="A10735" s="686" t="s">
        <v>4231</v>
      </c>
      <c r="B10735" s="687" t="s">
        <v>4232</v>
      </c>
      <c r="C10735" s="687" t="s">
        <v>4232</v>
      </c>
      <c r="D10735" s="687" t="s">
        <v>4232</v>
      </c>
      <c r="E10735" s="687" t="s">
        <v>4232</v>
      </c>
      <c r="F10735" s="687" t="s">
        <v>4232</v>
      </c>
      <c r="G10735" s="687" t="s">
        <v>4232</v>
      </c>
      <c r="H10735" s="687" t="s">
        <v>4232</v>
      </c>
      <c r="I10735" s="687" t="s">
        <v>4232</v>
      </c>
      <c r="J10735" s="687" t="s">
        <v>4232</v>
      </c>
      <c r="K10735" s="687" t="s">
        <v>4232</v>
      </c>
    </row>
    <row r="10736" spans="1:11">
      <c r="A10736" s="688" t="s">
        <v>4064</v>
      </c>
      <c r="B10736" s="691">
        <v>26.3</v>
      </c>
      <c r="C10736" s="691">
        <v>26.4</v>
      </c>
      <c r="D10736" s="691">
        <v>26.3</v>
      </c>
      <c r="E10736" s="691">
        <v>26.5</v>
      </c>
      <c r="F10736" s="691">
        <v>26.5</v>
      </c>
      <c r="G10736" s="691">
        <v>26.6</v>
      </c>
      <c r="H10736" s="691">
        <v>26.9</v>
      </c>
      <c r="I10736" s="615">
        <v>26</v>
      </c>
      <c r="J10736" s="691">
        <v>25.8</v>
      </c>
      <c r="K10736" s="691">
        <v>26.4</v>
      </c>
    </row>
    <row r="10737" spans="1:11">
      <c r="A10737" s="688" t="s">
        <v>4065</v>
      </c>
      <c r="B10737" s="689">
        <v>26.4</v>
      </c>
      <c r="C10737" s="689">
        <v>26.7</v>
      </c>
      <c r="D10737" s="689">
        <v>26.5</v>
      </c>
      <c r="E10737" s="689">
        <v>26.8</v>
      </c>
      <c r="F10737" s="689">
        <v>26.8</v>
      </c>
      <c r="G10737" s="689">
        <v>26.9</v>
      </c>
      <c r="H10737" s="690" t="s">
        <v>4060</v>
      </c>
      <c r="I10737" s="690" t="s">
        <v>4060</v>
      </c>
      <c r="J10737" s="690" t="s">
        <v>4060</v>
      </c>
      <c r="K10737" s="690" t="s">
        <v>4060</v>
      </c>
    </row>
    <row r="10738" spans="1:11">
      <c r="A10738" s="688" t="s">
        <v>4063</v>
      </c>
      <c r="B10738" s="691">
        <v>26.5</v>
      </c>
      <c r="C10738" s="691">
        <v>26.8</v>
      </c>
      <c r="D10738" s="691">
        <v>26.5</v>
      </c>
      <c r="E10738" s="691">
        <v>26.8</v>
      </c>
      <c r="F10738" s="691">
        <v>26.9</v>
      </c>
      <c r="G10738" s="691">
        <v>26.9</v>
      </c>
      <c r="H10738" s="692" t="s">
        <v>4060</v>
      </c>
      <c r="I10738" s="692" t="s">
        <v>4060</v>
      </c>
      <c r="J10738" s="692" t="s">
        <v>4060</v>
      </c>
      <c r="K10738" s="692" t="s">
        <v>4060</v>
      </c>
    </row>
    <row r="10739" spans="1:11">
      <c r="A10739" s="688" t="s">
        <v>4069</v>
      </c>
      <c r="B10739" s="690" t="s">
        <v>4060</v>
      </c>
      <c r="C10739" s="689">
        <v>27.3</v>
      </c>
      <c r="D10739" s="689">
        <v>27.1</v>
      </c>
      <c r="E10739" s="689">
        <v>27.3</v>
      </c>
      <c r="F10739" s="689">
        <v>27.4</v>
      </c>
      <c r="G10739" s="689">
        <v>27.5</v>
      </c>
      <c r="H10739" s="689">
        <v>27.8</v>
      </c>
      <c r="I10739" s="693">
        <v>27</v>
      </c>
      <c r="J10739" s="689">
        <v>27.1</v>
      </c>
      <c r="K10739" s="689">
        <v>27.3</v>
      </c>
    </row>
    <row r="10740" spans="1:11">
      <c r="A10740" s="688" t="s">
        <v>4068</v>
      </c>
      <c r="B10740" s="691">
        <v>27.2</v>
      </c>
      <c r="C10740" s="692" t="s">
        <v>4060</v>
      </c>
      <c r="D10740" s="692" t="s">
        <v>4060</v>
      </c>
      <c r="E10740" s="692" t="s">
        <v>4060</v>
      </c>
      <c r="F10740" s="692" t="s">
        <v>4060</v>
      </c>
      <c r="G10740" s="692" t="s">
        <v>4060</v>
      </c>
      <c r="H10740" s="692" t="s">
        <v>4060</v>
      </c>
      <c r="I10740" s="692" t="s">
        <v>4060</v>
      </c>
      <c r="J10740" s="692" t="s">
        <v>4060</v>
      </c>
      <c r="K10740" s="692" t="s">
        <v>4060</v>
      </c>
    </row>
    <row r="10741" spans="1:11">
      <c r="A10741" s="688" t="s">
        <v>0</v>
      </c>
      <c r="B10741" s="689">
        <v>26.6</v>
      </c>
      <c r="C10741" s="693">
        <v>27</v>
      </c>
      <c r="D10741" s="689">
        <v>26.9</v>
      </c>
      <c r="E10741" s="689">
        <v>27.2</v>
      </c>
      <c r="F10741" s="689">
        <v>27.4</v>
      </c>
      <c r="G10741" s="689">
        <v>27.5</v>
      </c>
      <c r="H10741" s="689">
        <v>27.9</v>
      </c>
      <c r="I10741" s="689">
        <v>26.7</v>
      </c>
      <c r="J10741" s="689">
        <v>27.5</v>
      </c>
      <c r="K10741" s="689">
        <v>27.8</v>
      </c>
    </row>
    <row r="10742" spans="1:11">
      <c r="A10742" s="688" t="s">
        <v>1</v>
      </c>
      <c r="B10742" s="691">
        <v>21.6</v>
      </c>
      <c r="C10742" s="691">
        <v>21.4</v>
      </c>
      <c r="D10742" s="691">
        <v>21.4</v>
      </c>
      <c r="E10742" s="691">
        <v>21.5</v>
      </c>
      <c r="F10742" s="691">
        <v>21.4</v>
      </c>
      <c r="G10742" s="691">
        <v>21.5</v>
      </c>
      <c r="H10742" s="691">
        <v>21.5</v>
      </c>
      <c r="I10742" s="691">
        <v>19.899999999999999</v>
      </c>
      <c r="J10742" s="691">
        <v>18.5</v>
      </c>
      <c r="K10742" s="691">
        <v>20.6</v>
      </c>
    </row>
    <row r="10743" spans="1:11">
      <c r="A10743" s="688" t="s">
        <v>2240</v>
      </c>
      <c r="B10743" s="693">
        <v>24</v>
      </c>
      <c r="C10743" s="689">
        <v>24.3</v>
      </c>
      <c r="D10743" s="689">
        <v>24.2</v>
      </c>
      <c r="E10743" s="689">
        <v>24.6</v>
      </c>
      <c r="F10743" s="689">
        <v>24.6</v>
      </c>
      <c r="G10743" s="689">
        <v>24.7</v>
      </c>
      <c r="H10743" s="689">
        <v>24.9</v>
      </c>
      <c r="I10743" s="689">
        <v>23.8</v>
      </c>
      <c r="J10743" s="689">
        <v>22.8</v>
      </c>
      <c r="K10743" s="689">
        <v>24.7</v>
      </c>
    </row>
    <row r="10744" spans="1:11">
      <c r="A10744" s="688" t="s">
        <v>2</v>
      </c>
      <c r="B10744" s="691">
        <v>26.5</v>
      </c>
      <c r="C10744" s="691">
        <v>26.8</v>
      </c>
      <c r="D10744" s="691">
        <v>26.9</v>
      </c>
      <c r="E10744" s="615">
        <v>27</v>
      </c>
      <c r="F10744" s="691">
        <v>27.1</v>
      </c>
      <c r="G10744" s="615">
        <v>27</v>
      </c>
      <c r="H10744" s="691">
        <v>27.4</v>
      </c>
      <c r="I10744" s="691">
        <v>27.5</v>
      </c>
      <c r="J10744" s="691">
        <v>27.4</v>
      </c>
      <c r="K10744" s="691">
        <v>27.3</v>
      </c>
    </row>
    <row r="10745" spans="1:11">
      <c r="A10745" s="688" t="s">
        <v>3</v>
      </c>
      <c r="B10745" s="689">
        <v>26.5</v>
      </c>
      <c r="C10745" s="689">
        <v>26.7</v>
      </c>
      <c r="D10745" s="689">
        <v>26.4</v>
      </c>
      <c r="E10745" s="689">
        <v>26.7</v>
      </c>
      <c r="F10745" s="689">
        <v>26.7</v>
      </c>
      <c r="G10745" s="689">
        <v>26.7</v>
      </c>
      <c r="H10745" s="693">
        <v>27</v>
      </c>
      <c r="I10745" s="689">
        <v>26.7</v>
      </c>
      <c r="J10745" s="689">
        <v>26.4</v>
      </c>
      <c r="K10745" s="689">
        <v>26.3</v>
      </c>
    </row>
    <row r="10746" spans="1:11">
      <c r="A10746" s="688" t="s">
        <v>4061</v>
      </c>
      <c r="B10746" s="691">
        <v>26.5</v>
      </c>
      <c r="C10746" s="691">
        <v>26.7</v>
      </c>
      <c r="D10746" s="691">
        <v>26.4</v>
      </c>
      <c r="E10746" s="691">
        <v>26.7</v>
      </c>
      <c r="F10746" s="691">
        <v>26.7</v>
      </c>
      <c r="G10746" s="691">
        <v>26.7</v>
      </c>
      <c r="H10746" s="615">
        <v>27</v>
      </c>
      <c r="I10746" s="691">
        <v>26.7</v>
      </c>
      <c r="J10746" s="691">
        <v>26.4</v>
      </c>
      <c r="K10746" s="691">
        <v>26.3</v>
      </c>
    </row>
    <row r="10747" spans="1:11">
      <c r="A10747" s="688" t="s">
        <v>4</v>
      </c>
      <c r="B10747" s="689">
        <v>22.7</v>
      </c>
      <c r="C10747" s="689">
        <v>22.6</v>
      </c>
      <c r="D10747" s="693">
        <v>23</v>
      </c>
      <c r="E10747" s="693">
        <v>23</v>
      </c>
      <c r="F10747" s="689">
        <v>23.3</v>
      </c>
      <c r="G10747" s="689">
        <v>23.2</v>
      </c>
      <c r="H10747" s="689">
        <v>23.7</v>
      </c>
      <c r="I10747" s="689">
        <v>23.6</v>
      </c>
      <c r="J10747" s="689">
        <v>22.3</v>
      </c>
      <c r="K10747" s="689">
        <v>23.2</v>
      </c>
    </row>
    <row r="10748" spans="1:11">
      <c r="A10748" s="688" t="s">
        <v>8</v>
      </c>
      <c r="B10748" s="691">
        <v>27.4</v>
      </c>
      <c r="C10748" s="691">
        <v>27.6</v>
      </c>
      <c r="D10748" s="691">
        <v>27.7</v>
      </c>
      <c r="E10748" s="691">
        <v>27.8</v>
      </c>
      <c r="F10748" s="691">
        <v>28.2</v>
      </c>
      <c r="G10748" s="691">
        <v>28.2</v>
      </c>
      <c r="H10748" s="691">
        <v>28.4</v>
      </c>
      <c r="I10748" s="691">
        <v>28.5</v>
      </c>
      <c r="J10748" s="691">
        <v>28.2</v>
      </c>
      <c r="K10748" s="691">
        <v>28.6</v>
      </c>
    </row>
    <row r="10749" spans="1:11">
      <c r="A10749" s="688" t="s">
        <v>7</v>
      </c>
      <c r="B10749" s="689">
        <v>27.4</v>
      </c>
      <c r="C10749" s="689">
        <v>26.8</v>
      </c>
      <c r="D10749" s="689">
        <v>26.5</v>
      </c>
      <c r="E10749" s="689">
        <v>26.9</v>
      </c>
      <c r="F10749" s="689">
        <v>26.8</v>
      </c>
      <c r="G10749" s="689">
        <v>27.2</v>
      </c>
      <c r="H10749" s="689">
        <v>27.2</v>
      </c>
      <c r="I10749" s="689">
        <v>26.9</v>
      </c>
      <c r="J10749" s="693">
        <v>26</v>
      </c>
      <c r="K10749" s="689">
        <v>26.6</v>
      </c>
    </row>
    <row r="10750" spans="1:11">
      <c r="A10750" s="688" t="s">
        <v>27</v>
      </c>
      <c r="B10750" s="691">
        <v>28.2</v>
      </c>
      <c r="C10750" s="615">
        <v>28</v>
      </c>
      <c r="D10750" s="691">
        <v>27.8</v>
      </c>
      <c r="E10750" s="691">
        <v>28.1</v>
      </c>
      <c r="F10750" s="691">
        <v>28.2</v>
      </c>
      <c r="G10750" s="691">
        <v>28.2</v>
      </c>
      <c r="H10750" s="691">
        <v>28.5</v>
      </c>
      <c r="I10750" s="691">
        <v>27.3</v>
      </c>
      <c r="J10750" s="615">
        <v>28</v>
      </c>
      <c r="K10750" s="691">
        <v>28.2</v>
      </c>
    </row>
    <row r="10751" spans="1:11">
      <c r="A10751" s="688" t="s">
        <v>6</v>
      </c>
      <c r="B10751" s="689">
        <v>27.9</v>
      </c>
      <c r="C10751" s="693">
        <v>28</v>
      </c>
      <c r="D10751" s="689">
        <v>27.8</v>
      </c>
      <c r="E10751" s="693">
        <v>28</v>
      </c>
      <c r="F10751" s="689">
        <v>28.1</v>
      </c>
      <c r="G10751" s="689">
        <v>28.2</v>
      </c>
      <c r="H10751" s="689">
        <v>28.4</v>
      </c>
      <c r="I10751" s="689">
        <v>27.7</v>
      </c>
      <c r="J10751" s="689">
        <v>27.9</v>
      </c>
      <c r="K10751" s="693">
        <v>28</v>
      </c>
    </row>
    <row r="10752" spans="1:11">
      <c r="A10752" s="688" t="s">
        <v>4058</v>
      </c>
      <c r="B10752" s="692" t="s">
        <v>4060</v>
      </c>
      <c r="C10752" s="692" t="s">
        <v>4060</v>
      </c>
      <c r="D10752" s="692" t="s">
        <v>4060</v>
      </c>
      <c r="E10752" s="692" t="s">
        <v>4060</v>
      </c>
      <c r="F10752" s="692" t="s">
        <v>4060</v>
      </c>
      <c r="G10752" s="692" t="s">
        <v>4060</v>
      </c>
      <c r="H10752" s="692" t="s">
        <v>4060</v>
      </c>
      <c r="I10752" s="692" t="s">
        <v>4060</v>
      </c>
      <c r="J10752" s="692" t="s">
        <v>4060</v>
      </c>
      <c r="K10752" s="692" t="s">
        <v>4060</v>
      </c>
    </row>
    <row r="10753" spans="1:11">
      <c r="A10753" s="688" t="s">
        <v>11</v>
      </c>
      <c r="B10753" s="689">
        <v>23.5</v>
      </c>
      <c r="C10753" s="689">
        <v>23.5</v>
      </c>
      <c r="D10753" s="689">
        <v>23.2</v>
      </c>
      <c r="E10753" s="689">
        <v>23.7</v>
      </c>
      <c r="F10753" s="689">
        <v>23.6</v>
      </c>
      <c r="G10753" s="689">
        <v>23.7</v>
      </c>
      <c r="H10753" s="689">
        <v>24.1</v>
      </c>
      <c r="I10753" s="689">
        <v>23.3</v>
      </c>
      <c r="J10753" s="689">
        <v>22.4</v>
      </c>
      <c r="K10753" s="689">
        <v>23.5</v>
      </c>
    </row>
    <row r="10754" spans="1:11">
      <c r="A10754" s="688" t="s">
        <v>10</v>
      </c>
      <c r="B10754" s="691">
        <v>28.2</v>
      </c>
      <c r="C10754" s="691">
        <v>28.3</v>
      </c>
      <c r="D10754" s="615">
        <v>28</v>
      </c>
      <c r="E10754" s="691">
        <v>28.5</v>
      </c>
      <c r="F10754" s="691">
        <v>28.4</v>
      </c>
      <c r="G10754" s="691">
        <v>28.7</v>
      </c>
      <c r="H10754" s="691">
        <v>28.9</v>
      </c>
      <c r="I10754" s="691">
        <v>27.6</v>
      </c>
      <c r="J10754" s="691">
        <v>28.1</v>
      </c>
      <c r="K10754" s="691">
        <v>28.4</v>
      </c>
    </row>
    <row r="10755" spans="1:11">
      <c r="A10755" s="688" t="s">
        <v>30</v>
      </c>
      <c r="B10755" s="693">
        <v>28</v>
      </c>
      <c r="C10755" s="689">
        <v>28.1</v>
      </c>
      <c r="D10755" s="689">
        <v>27.9</v>
      </c>
      <c r="E10755" s="689">
        <v>28.5</v>
      </c>
      <c r="F10755" s="689">
        <v>28.2</v>
      </c>
      <c r="G10755" s="689">
        <v>28.9</v>
      </c>
      <c r="H10755" s="689">
        <v>28.6</v>
      </c>
      <c r="I10755" s="689">
        <v>28.6</v>
      </c>
      <c r="J10755" s="689">
        <v>27.9</v>
      </c>
      <c r="K10755" s="689">
        <v>28.3</v>
      </c>
    </row>
    <row r="10756" spans="1:11">
      <c r="A10756" s="688" t="s">
        <v>12</v>
      </c>
      <c r="B10756" s="691">
        <v>20.8</v>
      </c>
      <c r="C10756" s="691">
        <v>20.7</v>
      </c>
      <c r="D10756" s="691">
        <v>21.1</v>
      </c>
      <c r="E10756" s="691">
        <v>21.1</v>
      </c>
      <c r="F10756" s="691">
        <v>21.1</v>
      </c>
      <c r="G10756" s="691">
        <v>21.2</v>
      </c>
      <c r="H10756" s="691">
        <v>21.6</v>
      </c>
      <c r="I10756" s="691">
        <v>21.4</v>
      </c>
      <c r="J10756" s="691">
        <v>19.600000000000001</v>
      </c>
      <c r="K10756" s="691">
        <v>20.8</v>
      </c>
    </row>
    <row r="10757" spans="1:11">
      <c r="A10757" s="688" t="s">
        <v>14</v>
      </c>
      <c r="B10757" s="689">
        <v>20.8</v>
      </c>
      <c r="C10757" s="689">
        <v>21.1</v>
      </c>
      <c r="D10757" s="689">
        <v>20.9</v>
      </c>
      <c r="E10757" s="693">
        <v>21</v>
      </c>
      <c r="F10757" s="689">
        <v>21.7</v>
      </c>
      <c r="G10757" s="689">
        <v>21.8</v>
      </c>
      <c r="H10757" s="689">
        <v>22.1</v>
      </c>
      <c r="I10757" s="693">
        <v>21</v>
      </c>
      <c r="J10757" s="689">
        <v>20.6</v>
      </c>
      <c r="K10757" s="689">
        <v>21.6</v>
      </c>
    </row>
    <row r="10758" spans="1:11">
      <c r="A10758" s="688" t="s">
        <v>15</v>
      </c>
      <c r="B10758" s="691">
        <v>27.9</v>
      </c>
      <c r="C10758" s="691">
        <v>27.3</v>
      </c>
      <c r="D10758" s="691">
        <v>27.9</v>
      </c>
      <c r="E10758" s="691">
        <v>27.7</v>
      </c>
      <c r="F10758" s="691">
        <v>27.7</v>
      </c>
      <c r="G10758" s="691">
        <v>27.8</v>
      </c>
      <c r="H10758" s="691">
        <v>28.1</v>
      </c>
      <c r="I10758" s="691">
        <v>27.6</v>
      </c>
      <c r="J10758" s="615">
        <v>28</v>
      </c>
      <c r="K10758" s="691">
        <v>28.5</v>
      </c>
    </row>
    <row r="10759" spans="1:11">
      <c r="A10759" s="688" t="s">
        <v>29</v>
      </c>
      <c r="B10759" s="689">
        <v>21.7</v>
      </c>
      <c r="C10759" s="689">
        <v>21.6</v>
      </c>
      <c r="D10759" s="689">
        <v>21.5</v>
      </c>
      <c r="E10759" s="689">
        <v>21.7</v>
      </c>
      <c r="F10759" s="689">
        <v>21.6</v>
      </c>
      <c r="G10759" s="689">
        <v>21.6</v>
      </c>
      <c r="H10759" s="689">
        <v>21.9</v>
      </c>
      <c r="I10759" s="689">
        <v>21.2</v>
      </c>
      <c r="J10759" s="693">
        <v>20</v>
      </c>
      <c r="K10759" s="689">
        <v>21.5</v>
      </c>
    </row>
    <row r="10760" spans="1:11">
      <c r="A10760" s="688" t="s">
        <v>16</v>
      </c>
      <c r="B10760" s="691">
        <v>27.7</v>
      </c>
      <c r="C10760" s="691">
        <v>27.7</v>
      </c>
      <c r="D10760" s="691">
        <v>27.8</v>
      </c>
      <c r="E10760" s="691">
        <v>28.6</v>
      </c>
      <c r="F10760" s="691">
        <v>28.2</v>
      </c>
      <c r="G10760" s="691">
        <v>28.1</v>
      </c>
      <c r="H10760" s="691">
        <v>28.4</v>
      </c>
      <c r="I10760" s="691">
        <v>27.7</v>
      </c>
      <c r="J10760" s="691">
        <v>28.1</v>
      </c>
      <c r="K10760" s="691">
        <v>28.2</v>
      </c>
    </row>
    <row r="10761" spans="1:11">
      <c r="A10761" s="688" t="s">
        <v>17</v>
      </c>
      <c r="B10761" s="689">
        <v>27.5</v>
      </c>
      <c r="C10761" s="689">
        <v>27.8</v>
      </c>
      <c r="D10761" s="689">
        <v>27.6</v>
      </c>
      <c r="E10761" s="689">
        <v>27.7</v>
      </c>
      <c r="F10761" s="693">
        <v>28</v>
      </c>
      <c r="G10761" s="693">
        <v>28</v>
      </c>
      <c r="H10761" s="689">
        <v>28.3</v>
      </c>
      <c r="I10761" s="689">
        <v>27.6</v>
      </c>
      <c r="J10761" s="689">
        <v>27.6</v>
      </c>
      <c r="K10761" s="693">
        <v>28</v>
      </c>
    </row>
    <row r="10762" spans="1:11">
      <c r="A10762" s="688" t="s">
        <v>19</v>
      </c>
      <c r="B10762" s="615">
        <v>27</v>
      </c>
      <c r="C10762" s="691">
        <v>27.2</v>
      </c>
      <c r="D10762" s="691">
        <v>26.9</v>
      </c>
      <c r="E10762" s="691">
        <v>27.3</v>
      </c>
      <c r="F10762" s="691">
        <v>27.4</v>
      </c>
      <c r="G10762" s="691">
        <v>27.4</v>
      </c>
      <c r="H10762" s="691">
        <v>27.7</v>
      </c>
      <c r="I10762" s="615">
        <v>27</v>
      </c>
      <c r="J10762" s="615">
        <v>27</v>
      </c>
      <c r="K10762" s="691">
        <v>27.1</v>
      </c>
    </row>
    <row r="10763" spans="1:11">
      <c r="A10763" s="688" t="s">
        <v>20</v>
      </c>
      <c r="B10763" s="693">
        <v>23</v>
      </c>
      <c r="C10763" s="689">
        <v>23.4</v>
      </c>
      <c r="D10763" s="689">
        <v>23.2</v>
      </c>
      <c r="E10763" s="689">
        <v>23.5</v>
      </c>
      <c r="F10763" s="689">
        <v>23.5</v>
      </c>
      <c r="G10763" s="689">
        <v>23.4</v>
      </c>
      <c r="H10763" s="689">
        <v>23.7</v>
      </c>
      <c r="I10763" s="689">
        <v>22.2</v>
      </c>
      <c r="J10763" s="689">
        <v>21.5</v>
      </c>
      <c r="K10763" s="689">
        <v>23.1</v>
      </c>
    </row>
    <row r="10764" spans="1:11">
      <c r="A10764" s="688" t="s">
        <v>21</v>
      </c>
      <c r="B10764" s="691">
        <v>26.5</v>
      </c>
      <c r="C10764" s="691">
        <v>26.9</v>
      </c>
      <c r="D10764" s="691">
        <v>26.9</v>
      </c>
      <c r="E10764" s="691">
        <v>26.8</v>
      </c>
      <c r="F10764" s="691">
        <v>27.1</v>
      </c>
      <c r="G10764" s="691">
        <v>27.1</v>
      </c>
      <c r="H10764" s="691">
        <v>27.4</v>
      </c>
      <c r="I10764" s="691">
        <v>26.9</v>
      </c>
      <c r="J10764" s="691">
        <v>26.8</v>
      </c>
      <c r="K10764" s="691">
        <v>27.2</v>
      </c>
    </row>
    <row r="10765" spans="1:11">
      <c r="A10765" s="688" t="s">
        <v>22</v>
      </c>
      <c r="B10765" s="693">
        <v>22</v>
      </c>
      <c r="C10765" s="689">
        <v>21.8</v>
      </c>
      <c r="D10765" s="689">
        <v>21.7</v>
      </c>
      <c r="E10765" s="689">
        <v>21.8</v>
      </c>
      <c r="F10765" s="689">
        <v>21.8</v>
      </c>
      <c r="G10765" s="689">
        <v>21.7</v>
      </c>
      <c r="H10765" s="693">
        <v>22</v>
      </c>
      <c r="I10765" s="689">
        <v>20.399999999999999</v>
      </c>
      <c r="J10765" s="689">
        <v>19.5</v>
      </c>
      <c r="K10765" s="689">
        <v>21.3</v>
      </c>
    </row>
    <row r="10766" spans="1:11">
      <c r="A10766" s="688" t="s">
        <v>26</v>
      </c>
      <c r="B10766" s="691">
        <v>25.8</v>
      </c>
      <c r="C10766" s="691">
        <v>26.2</v>
      </c>
      <c r="D10766" s="615">
        <v>26</v>
      </c>
      <c r="E10766" s="691">
        <v>26.4</v>
      </c>
      <c r="F10766" s="691">
        <v>26.2</v>
      </c>
      <c r="G10766" s="691">
        <v>26.5</v>
      </c>
      <c r="H10766" s="691">
        <v>26.7</v>
      </c>
      <c r="I10766" s="691">
        <v>25.9</v>
      </c>
      <c r="J10766" s="691">
        <v>25.8</v>
      </c>
      <c r="K10766" s="691">
        <v>26.6</v>
      </c>
    </row>
    <row r="10767" spans="1:11">
      <c r="A10767" s="688" t="s">
        <v>25</v>
      </c>
      <c r="B10767" s="689">
        <v>22.4</v>
      </c>
      <c r="C10767" s="689">
        <v>22.8</v>
      </c>
      <c r="D10767" s="689">
        <v>22.7</v>
      </c>
      <c r="E10767" s="689">
        <v>23.1</v>
      </c>
      <c r="F10767" s="689">
        <v>23.1</v>
      </c>
      <c r="G10767" s="689">
        <v>23.3</v>
      </c>
      <c r="H10767" s="689">
        <v>23.7</v>
      </c>
      <c r="I10767" s="689">
        <v>22.9</v>
      </c>
      <c r="J10767" s="689">
        <v>20.8</v>
      </c>
      <c r="K10767" s="693">
        <v>23</v>
      </c>
    </row>
    <row r="10768" spans="1:11">
      <c r="A10768" s="688" t="s">
        <v>5</v>
      </c>
      <c r="B10768" s="691">
        <v>26.8</v>
      </c>
      <c r="C10768" s="691">
        <v>26.8</v>
      </c>
      <c r="D10768" s="615">
        <v>27</v>
      </c>
      <c r="E10768" s="615">
        <v>27</v>
      </c>
      <c r="F10768" s="691">
        <v>27.2</v>
      </c>
      <c r="G10768" s="691">
        <v>27.4</v>
      </c>
      <c r="H10768" s="691">
        <v>27.7</v>
      </c>
      <c r="I10768" s="691">
        <v>27.6</v>
      </c>
      <c r="J10768" s="691">
        <v>27.5</v>
      </c>
      <c r="K10768" s="691">
        <v>27.1</v>
      </c>
    </row>
    <row r="10769" spans="1:11">
      <c r="A10769" s="688" t="s">
        <v>23</v>
      </c>
      <c r="B10769" s="689">
        <v>28.2</v>
      </c>
      <c r="C10769" s="689">
        <v>28.3</v>
      </c>
      <c r="D10769" s="689">
        <v>28.3</v>
      </c>
      <c r="E10769" s="689">
        <v>28.5</v>
      </c>
      <c r="F10769" s="689">
        <v>28.7</v>
      </c>
      <c r="G10769" s="689">
        <v>28.7</v>
      </c>
      <c r="H10769" s="689">
        <v>29.1</v>
      </c>
      <c r="I10769" s="689">
        <v>28.4</v>
      </c>
      <c r="J10769" s="693">
        <v>29</v>
      </c>
      <c r="K10769" s="689">
        <v>29.1</v>
      </c>
    </row>
    <row r="10770" spans="1:11">
      <c r="A10770" s="688" t="s">
        <v>4067</v>
      </c>
      <c r="B10770" s="691">
        <v>26.4</v>
      </c>
      <c r="C10770" s="691">
        <v>26.8</v>
      </c>
      <c r="D10770" s="691">
        <v>26.5</v>
      </c>
      <c r="E10770" s="691">
        <v>26.8</v>
      </c>
      <c r="F10770" s="691">
        <v>26.8</v>
      </c>
      <c r="G10770" s="691">
        <v>26.9</v>
      </c>
      <c r="H10770" s="692" t="s">
        <v>4060</v>
      </c>
      <c r="I10770" s="692" t="s">
        <v>4060</v>
      </c>
      <c r="J10770" s="692" t="s">
        <v>4060</v>
      </c>
      <c r="K10770" s="692" t="s">
        <v>4060</v>
      </c>
    </row>
    <row r="10771" spans="1:11">
      <c r="A10771" s="688" t="s">
        <v>4066</v>
      </c>
      <c r="B10771" s="689">
        <v>26.5</v>
      </c>
      <c r="C10771" s="689">
        <v>26.8</v>
      </c>
      <c r="D10771" s="689">
        <v>26.6</v>
      </c>
      <c r="E10771" s="689">
        <v>26.8</v>
      </c>
      <c r="F10771" s="689">
        <v>26.9</v>
      </c>
      <c r="G10771" s="693">
        <v>27</v>
      </c>
      <c r="H10771" s="690" t="s">
        <v>4060</v>
      </c>
      <c r="I10771" s="690" t="s">
        <v>4060</v>
      </c>
      <c r="J10771" s="690" t="s">
        <v>4060</v>
      </c>
      <c r="K10771" s="690" t="s">
        <v>4060</v>
      </c>
    </row>
    <row r="10772" spans="1:11">
      <c r="A10772" s="688" t="s">
        <v>4062</v>
      </c>
      <c r="B10772" s="691">
        <v>28.4</v>
      </c>
      <c r="C10772" s="691">
        <v>28.6</v>
      </c>
      <c r="D10772" s="691">
        <v>28.5</v>
      </c>
      <c r="E10772" s="691">
        <v>28.9</v>
      </c>
      <c r="F10772" s="615">
        <v>29</v>
      </c>
      <c r="G10772" s="691">
        <v>29.2</v>
      </c>
      <c r="H10772" s="691">
        <v>29.4</v>
      </c>
      <c r="I10772" s="615">
        <v>29</v>
      </c>
      <c r="J10772" s="691">
        <v>29.4</v>
      </c>
      <c r="K10772" s="691">
        <v>29.2</v>
      </c>
    </row>
    <row r="10773" spans="1:11">
      <c r="A10773" s="688" t="s">
        <v>9</v>
      </c>
      <c r="B10773" s="689">
        <v>28.6</v>
      </c>
      <c r="C10773" s="689">
        <v>28.8</v>
      </c>
      <c r="D10773" s="689">
        <v>29.2</v>
      </c>
      <c r="E10773" s="689">
        <v>28.3</v>
      </c>
      <c r="F10773" s="693">
        <v>29</v>
      </c>
      <c r="G10773" s="689">
        <v>29.3</v>
      </c>
      <c r="H10773" s="689">
        <v>29.3</v>
      </c>
      <c r="I10773" s="689">
        <v>29.6</v>
      </c>
      <c r="J10773" s="689">
        <v>29.8</v>
      </c>
      <c r="K10773" s="689">
        <v>28.8</v>
      </c>
    </row>
    <row r="10774" spans="1:11">
      <c r="A10774" s="688" t="s">
        <v>13</v>
      </c>
      <c r="B10774" s="691">
        <v>28.3</v>
      </c>
      <c r="C10774" s="691">
        <v>28.5</v>
      </c>
      <c r="D10774" s="691">
        <v>28.8</v>
      </c>
      <c r="E10774" s="691">
        <v>27.2</v>
      </c>
      <c r="F10774" s="691">
        <v>29.3</v>
      </c>
      <c r="G10774" s="691">
        <v>28.8</v>
      </c>
      <c r="H10774" s="691">
        <v>29.5</v>
      </c>
      <c r="I10774" s="691">
        <v>28.2</v>
      </c>
      <c r="J10774" s="691">
        <v>29.5</v>
      </c>
      <c r="K10774" s="691">
        <v>30.5</v>
      </c>
    </row>
    <row r="10775" spans="1:11">
      <c r="A10775" s="688" t="s">
        <v>18</v>
      </c>
      <c r="B10775" s="689">
        <v>27.8</v>
      </c>
      <c r="C10775" s="689">
        <v>28.1</v>
      </c>
      <c r="D10775" s="689">
        <v>28.3</v>
      </c>
      <c r="E10775" s="689">
        <v>28.5</v>
      </c>
      <c r="F10775" s="689">
        <v>28.7</v>
      </c>
      <c r="G10775" s="689">
        <v>28.9</v>
      </c>
      <c r="H10775" s="689">
        <v>29.1</v>
      </c>
      <c r="I10775" s="689">
        <v>29.3</v>
      </c>
      <c r="J10775" s="689">
        <v>29.3</v>
      </c>
      <c r="K10775" s="689">
        <v>28.7</v>
      </c>
    </row>
    <row r="10776" spans="1:11">
      <c r="A10776" s="688" t="s">
        <v>24</v>
      </c>
      <c r="B10776" s="691">
        <v>28.7</v>
      </c>
      <c r="C10776" s="691">
        <v>28.8</v>
      </c>
      <c r="D10776" s="691">
        <v>28.7</v>
      </c>
      <c r="E10776" s="691">
        <v>29.2</v>
      </c>
      <c r="F10776" s="691">
        <v>29.2</v>
      </c>
      <c r="G10776" s="691">
        <v>29.5</v>
      </c>
      <c r="H10776" s="691">
        <v>29.6</v>
      </c>
      <c r="I10776" s="691">
        <v>28.8</v>
      </c>
      <c r="J10776" s="691">
        <v>29.4</v>
      </c>
      <c r="K10776" s="691">
        <v>29.4</v>
      </c>
    </row>
    <row r="10777" spans="1:11">
      <c r="A10777" s="688" t="s">
        <v>4059</v>
      </c>
      <c r="B10777" s="689">
        <v>27.7</v>
      </c>
      <c r="C10777" s="693">
        <v>28</v>
      </c>
      <c r="D10777" s="689">
        <v>27.7</v>
      </c>
      <c r="E10777" s="693">
        <v>28</v>
      </c>
      <c r="F10777" s="693">
        <v>28</v>
      </c>
      <c r="G10777" s="689">
        <v>28.1</v>
      </c>
      <c r="H10777" s="690" t="s">
        <v>4060</v>
      </c>
      <c r="I10777" s="690" t="s">
        <v>4060</v>
      </c>
      <c r="J10777" s="690" t="s">
        <v>4060</v>
      </c>
      <c r="K10777" s="690" t="s">
        <v>4060</v>
      </c>
    </row>
    <row r="10778" spans="1:11">
      <c r="A10778" s="688" t="s">
        <v>2324</v>
      </c>
      <c r="B10778" s="691">
        <v>23.2</v>
      </c>
      <c r="C10778" s="691">
        <v>23.2</v>
      </c>
      <c r="D10778" s="615">
        <v>23</v>
      </c>
      <c r="E10778" s="691">
        <v>22.7</v>
      </c>
      <c r="F10778" s="691">
        <v>22.9</v>
      </c>
      <c r="G10778" s="691">
        <v>23.3</v>
      </c>
      <c r="H10778" s="691">
        <v>23.1</v>
      </c>
      <c r="I10778" s="691">
        <v>21.9</v>
      </c>
      <c r="J10778" s="615">
        <v>20</v>
      </c>
      <c r="K10778" s="692" t="s">
        <v>4060</v>
      </c>
    </row>
    <row r="10779" spans="1:11">
      <c r="A10779" s="688" t="s">
        <v>2322</v>
      </c>
      <c r="B10779" s="690" t="s">
        <v>4060</v>
      </c>
      <c r="C10779" s="690" t="s">
        <v>4060</v>
      </c>
      <c r="D10779" s="690" t="s">
        <v>4060</v>
      </c>
      <c r="E10779" s="690" t="s">
        <v>4060</v>
      </c>
      <c r="F10779" s="690" t="s">
        <v>4060</v>
      </c>
      <c r="G10779" s="690" t="s">
        <v>4060</v>
      </c>
      <c r="H10779" s="690" t="s">
        <v>4060</v>
      </c>
      <c r="I10779" s="690" t="s">
        <v>4060</v>
      </c>
      <c r="J10779" s="690" t="s">
        <v>4060</v>
      </c>
      <c r="K10779" s="690" t="s">
        <v>4060</v>
      </c>
    </row>
    <row r="10780" spans="1:11">
      <c r="A10780" s="688" t="s">
        <v>2328</v>
      </c>
      <c r="B10780" s="691">
        <v>22.6</v>
      </c>
      <c r="C10780" s="691">
        <v>22.7</v>
      </c>
      <c r="D10780" s="691">
        <v>22.6</v>
      </c>
      <c r="E10780" s="691">
        <v>22.7</v>
      </c>
      <c r="F10780" s="615">
        <v>23</v>
      </c>
      <c r="G10780" s="691">
        <v>23.3</v>
      </c>
      <c r="H10780" s="691">
        <v>23.3</v>
      </c>
      <c r="I10780" s="615">
        <v>21</v>
      </c>
      <c r="J10780" s="691">
        <v>20.3</v>
      </c>
      <c r="K10780" s="692" t="s">
        <v>4060</v>
      </c>
    </row>
    <row r="10781" spans="1:11">
      <c r="A10781" s="688" t="s">
        <v>2496</v>
      </c>
      <c r="B10781" s="690" t="s">
        <v>4060</v>
      </c>
      <c r="C10781" s="689">
        <v>21.3</v>
      </c>
      <c r="D10781" s="689">
        <v>20.3</v>
      </c>
      <c r="E10781" s="689">
        <v>20.100000000000001</v>
      </c>
      <c r="F10781" s="689">
        <v>20.6</v>
      </c>
      <c r="G10781" s="689">
        <v>20.9</v>
      </c>
      <c r="H10781" s="689">
        <v>20.8</v>
      </c>
      <c r="I10781" s="690" t="s">
        <v>4060</v>
      </c>
      <c r="J10781" s="690" t="s">
        <v>4060</v>
      </c>
      <c r="K10781" s="689">
        <v>20.3</v>
      </c>
    </row>
    <row r="10782" spans="1:11">
      <c r="A10782" s="688" t="s">
        <v>2269</v>
      </c>
      <c r="B10782" s="691">
        <v>25.6</v>
      </c>
      <c r="C10782" s="691">
        <v>25.8</v>
      </c>
      <c r="D10782" s="691">
        <v>25.4</v>
      </c>
      <c r="E10782" s="691">
        <v>26.1</v>
      </c>
      <c r="F10782" s="691">
        <v>26.1</v>
      </c>
      <c r="G10782" s="691">
        <v>26.3</v>
      </c>
      <c r="H10782" s="691">
        <v>26.6</v>
      </c>
      <c r="I10782" s="691">
        <v>24.3</v>
      </c>
      <c r="J10782" s="691">
        <v>22.7</v>
      </c>
      <c r="K10782" s="691">
        <v>26.2</v>
      </c>
    </row>
    <row r="10783" spans="1:11">
      <c r="A10783" s="688" t="s">
        <v>2349</v>
      </c>
      <c r="B10783" s="689">
        <v>22.1</v>
      </c>
      <c r="C10783" s="689">
        <v>22.2</v>
      </c>
      <c r="D10783" s="689">
        <v>22.1</v>
      </c>
      <c r="E10783" s="689">
        <v>22.4</v>
      </c>
      <c r="F10783" s="689">
        <v>22.4</v>
      </c>
      <c r="G10783" s="689">
        <v>22.6</v>
      </c>
      <c r="H10783" s="689">
        <v>22.5</v>
      </c>
      <c r="I10783" s="689">
        <v>20.9</v>
      </c>
      <c r="J10783" s="689">
        <v>19.7</v>
      </c>
      <c r="K10783" s="689">
        <v>21.9</v>
      </c>
    </row>
    <row r="10784" spans="1:11">
      <c r="A10784" s="688" t="s">
        <v>2355</v>
      </c>
      <c r="B10784" s="691">
        <v>24.9</v>
      </c>
      <c r="C10784" s="691">
        <v>24.9</v>
      </c>
      <c r="D10784" s="691">
        <v>24.8</v>
      </c>
      <c r="E10784" s="691">
        <v>24.8</v>
      </c>
      <c r="F10784" s="615">
        <v>25</v>
      </c>
      <c r="G10784" s="691">
        <v>25.3</v>
      </c>
      <c r="H10784" s="691">
        <v>25.4</v>
      </c>
      <c r="I10784" s="692" t="s">
        <v>4060</v>
      </c>
      <c r="J10784" s="692" t="s">
        <v>4060</v>
      </c>
      <c r="K10784" s="692" t="s">
        <v>4060</v>
      </c>
    </row>
    <row r="10785" spans="1:11">
      <c r="A10785" s="688" t="s">
        <v>2357</v>
      </c>
      <c r="B10785" s="690" t="s">
        <v>4060</v>
      </c>
      <c r="C10785" s="689">
        <v>19.7</v>
      </c>
      <c r="D10785" s="693">
        <v>20</v>
      </c>
      <c r="E10785" s="689">
        <v>20.3</v>
      </c>
      <c r="F10785" s="689">
        <v>20.5</v>
      </c>
      <c r="G10785" s="689">
        <v>20.3</v>
      </c>
      <c r="H10785" s="689">
        <v>20.5</v>
      </c>
      <c r="I10785" s="690" t="s">
        <v>4060</v>
      </c>
      <c r="J10785" s="690" t="s">
        <v>4060</v>
      </c>
      <c r="K10785" s="690" t="s">
        <v>4060</v>
      </c>
    </row>
    <row r="10786" spans="1:11">
      <c r="A10786" s="688" t="s">
        <v>4070</v>
      </c>
      <c r="B10786" s="692" t="s">
        <v>4060</v>
      </c>
      <c r="C10786" s="692" t="s">
        <v>4060</v>
      </c>
      <c r="D10786" s="692" t="s">
        <v>4060</v>
      </c>
      <c r="E10786" s="691">
        <v>24.2</v>
      </c>
      <c r="F10786" s="692" t="s">
        <v>4060</v>
      </c>
      <c r="G10786" s="692" t="s">
        <v>4060</v>
      </c>
      <c r="H10786" s="692" t="s">
        <v>4060</v>
      </c>
      <c r="I10786" s="692" t="s">
        <v>4060</v>
      </c>
      <c r="J10786" s="692" t="s">
        <v>4060</v>
      </c>
      <c r="K10786" s="692" t="s">
        <v>4060</v>
      </c>
    </row>
    <row r="10787" spans="1:11">
      <c r="A10787" s="688" t="s">
        <v>2491</v>
      </c>
      <c r="B10787" s="689">
        <v>19.2</v>
      </c>
      <c r="C10787" s="689">
        <v>19.5</v>
      </c>
      <c r="D10787" s="689">
        <v>19.8</v>
      </c>
      <c r="E10787" s="689">
        <v>19.899999999999999</v>
      </c>
      <c r="F10787" s="693">
        <v>20</v>
      </c>
      <c r="G10787" s="689">
        <v>19.899999999999999</v>
      </c>
      <c r="H10787" s="690" t="s">
        <v>4060</v>
      </c>
      <c r="I10787" s="690" t="s">
        <v>4060</v>
      </c>
      <c r="J10787" s="690" t="s">
        <v>4060</v>
      </c>
      <c r="K10787" s="690" t="s">
        <v>4060</v>
      </c>
    </row>
    <row r="10788" spans="1:11">
      <c r="A10788" s="688" t="s">
        <v>2343</v>
      </c>
      <c r="B10788" s="692" t="s">
        <v>4060</v>
      </c>
      <c r="C10788" s="692" t="s">
        <v>4060</v>
      </c>
      <c r="D10788" s="692" t="s">
        <v>4060</v>
      </c>
      <c r="E10788" s="692" t="s">
        <v>4060</v>
      </c>
      <c r="F10788" s="692" t="s">
        <v>4060</v>
      </c>
      <c r="G10788" s="692" t="s">
        <v>4060</v>
      </c>
      <c r="H10788" s="692" t="s">
        <v>4060</v>
      </c>
      <c r="I10788" s="692" t="s">
        <v>4060</v>
      </c>
      <c r="J10788" s="692" t="s">
        <v>4060</v>
      </c>
      <c r="K10788" s="692" t="s">
        <v>4060</v>
      </c>
    </row>
    <row r="10789" spans="1:11">
      <c r="A10789" s="688" t="s">
        <v>4071</v>
      </c>
      <c r="B10789" s="690" t="s">
        <v>4060</v>
      </c>
      <c r="C10789" s="690" t="s">
        <v>4060</v>
      </c>
      <c r="D10789" s="690" t="s">
        <v>4060</v>
      </c>
      <c r="E10789" s="690" t="s">
        <v>4060</v>
      </c>
      <c r="F10789" s="690" t="s">
        <v>4060</v>
      </c>
      <c r="G10789" s="690" t="s">
        <v>4060</v>
      </c>
      <c r="H10789" s="690" t="s">
        <v>4060</v>
      </c>
      <c r="I10789" s="690" t="s">
        <v>4060</v>
      </c>
      <c r="J10789" s="690" t="s">
        <v>4060</v>
      </c>
      <c r="K10789" s="690" t="s">
        <v>4060</v>
      </c>
    </row>
    <row r="10790" spans="1:11">
      <c r="A10790" s="688" t="s">
        <v>2489</v>
      </c>
      <c r="B10790" s="692" t="s">
        <v>4060</v>
      </c>
      <c r="C10790" s="692" t="s">
        <v>4060</v>
      </c>
      <c r="D10790" s="691">
        <v>22.1</v>
      </c>
      <c r="E10790" s="615">
        <v>22</v>
      </c>
      <c r="F10790" s="691">
        <v>22.4</v>
      </c>
      <c r="G10790" s="691">
        <v>23.1</v>
      </c>
      <c r="H10790" s="615">
        <v>23</v>
      </c>
      <c r="I10790" s="692" t="s">
        <v>4060</v>
      </c>
      <c r="J10790" s="692" t="s">
        <v>4060</v>
      </c>
      <c r="K10790" s="692" t="s">
        <v>4060</v>
      </c>
    </row>
    <row r="10791" spans="1:11">
      <c r="A10791" s="688" t="s">
        <v>2490</v>
      </c>
      <c r="B10791" s="689">
        <v>22.5</v>
      </c>
      <c r="C10791" s="689">
        <v>22.5</v>
      </c>
      <c r="D10791" s="689">
        <v>23.2</v>
      </c>
      <c r="E10791" s="690" t="s">
        <v>4060</v>
      </c>
      <c r="F10791" s="689">
        <v>23.5</v>
      </c>
      <c r="G10791" s="689">
        <v>23.6</v>
      </c>
      <c r="H10791" s="689">
        <v>24.5</v>
      </c>
      <c r="I10791" s="690" t="s">
        <v>4060</v>
      </c>
      <c r="J10791" s="690" t="s">
        <v>4060</v>
      </c>
      <c r="K10791" s="690" t="s">
        <v>4060</v>
      </c>
    </row>
    <row r="10793" spans="1:11">
      <c r="A10793" s="683" t="s">
        <v>4233</v>
      </c>
    </row>
    <row r="10794" spans="1:11">
      <c r="A10794" s="683" t="s">
        <v>4060</v>
      </c>
      <c r="B10794" s="682" t="s">
        <v>4234</v>
      </c>
    </row>
    <row r="10796" spans="1:11">
      <c r="A10796" s="682" t="s">
        <v>4331</v>
      </c>
    </row>
    <row r="10797" spans="1:11">
      <c r="A10797" s="682" t="s">
        <v>4210</v>
      </c>
      <c r="B10797" s="683" t="s">
        <v>4211</v>
      </c>
    </row>
    <row r="10798" spans="1:11">
      <c r="A10798" s="682" t="s">
        <v>4212</v>
      </c>
      <c r="B10798" s="682" t="s">
        <v>4213</v>
      </c>
    </row>
    <row r="10800" spans="1:11">
      <c r="A10800" s="683" t="s">
        <v>4214</v>
      </c>
      <c r="C10800" s="682" t="s">
        <v>4215</v>
      </c>
    </row>
    <row r="10801" spans="1:11">
      <c r="A10801" s="683" t="s">
        <v>4216</v>
      </c>
      <c r="C10801" s="682" t="s">
        <v>2967</v>
      </c>
    </row>
    <row r="10802" spans="1:11">
      <c r="A10802" s="683" t="s">
        <v>3893</v>
      </c>
      <c r="C10802" s="682" t="s">
        <v>2168</v>
      </c>
    </row>
    <row r="10803" spans="1:11">
      <c r="A10803" s="683" t="s">
        <v>4218</v>
      </c>
      <c r="C10803" s="682" t="s">
        <v>4290</v>
      </c>
    </row>
    <row r="10805" spans="1:11">
      <c r="A10805" s="684" t="s">
        <v>4220</v>
      </c>
      <c r="B10805" s="685" t="s">
        <v>4221</v>
      </c>
      <c r="C10805" s="685" t="s">
        <v>4222</v>
      </c>
      <c r="D10805" s="685" t="s">
        <v>4223</v>
      </c>
      <c r="E10805" s="685" t="s">
        <v>4224</v>
      </c>
      <c r="F10805" s="685" t="s">
        <v>4225</v>
      </c>
      <c r="G10805" s="685" t="s">
        <v>4226</v>
      </c>
      <c r="H10805" s="685" t="s">
        <v>4227</v>
      </c>
      <c r="I10805" s="685" t="s">
        <v>4228</v>
      </c>
      <c r="J10805" s="685" t="s">
        <v>4229</v>
      </c>
      <c r="K10805" s="685" t="s">
        <v>4230</v>
      </c>
    </row>
    <row r="10806" spans="1:11">
      <c r="A10806" s="686" t="s">
        <v>4231</v>
      </c>
      <c r="B10806" s="687" t="s">
        <v>4232</v>
      </c>
      <c r="C10806" s="687" t="s">
        <v>4232</v>
      </c>
      <c r="D10806" s="687" t="s">
        <v>4232</v>
      </c>
      <c r="E10806" s="687" t="s">
        <v>4232</v>
      </c>
      <c r="F10806" s="687" t="s">
        <v>4232</v>
      </c>
      <c r="G10806" s="687" t="s">
        <v>4232</v>
      </c>
      <c r="H10806" s="687" t="s">
        <v>4232</v>
      </c>
      <c r="I10806" s="687" t="s">
        <v>4232</v>
      </c>
      <c r="J10806" s="687" t="s">
        <v>4232</v>
      </c>
      <c r="K10806" s="687" t="s">
        <v>4232</v>
      </c>
    </row>
    <row r="10807" spans="1:11">
      <c r="A10807" s="688" t="s">
        <v>4064</v>
      </c>
      <c r="B10807" s="689">
        <v>25.4</v>
      </c>
      <c r="C10807" s="689">
        <v>25.5</v>
      </c>
      <c r="D10807" s="689">
        <v>25.5</v>
      </c>
      <c r="E10807" s="689">
        <v>25.6</v>
      </c>
      <c r="F10807" s="689">
        <v>25.7</v>
      </c>
      <c r="G10807" s="689">
        <v>25.7</v>
      </c>
      <c r="H10807" s="693">
        <v>26</v>
      </c>
      <c r="I10807" s="689">
        <v>25.1</v>
      </c>
      <c r="J10807" s="689">
        <v>24.9</v>
      </c>
      <c r="K10807" s="689">
        <v>25.6</v>
      </c>
    </row>
    <row r="10808" spans="1:11">
      <c r="A10808" s="688" t="s">
        <v>4065</v>
      </c>
      <c r="B10808" s="691">
        <v>25.6</v>
      </c>
      <c r="C10808" s="691">
        <v>25.9</v>
      </c>
      <c r="D10808" s="691">
        <v>25.7</v>
      </c>
      <c r="E10808" s="615">
        <v>26</v>
      </c>
      <c r="F10808" s="615">
        <v>26</v>
      </c>
      <c r="G10808" s="691">
        <v>26.1</v>
      </c>
      <c r="H10808" s="692" t="s">
        <v>4060</v>
      </c>
      <c r="I10808" s="692" t="s">
        <v>4060</v>
      </c>
      <c r="J10808" s="692" t="s">
        <v>4060</v>
      </c>
      <c r="K10808" s="692" t="s">
        <v>4060</v>
      </c>
    </row>
    <row r="10809" spans="1:11">
      <c r="A10809" s="688" t="s">
        <v>4063</v>
      </c>
      <c r="B10809" s="689">
        <v>25.6</v>
      </c>
      <c r="C10809" s="689">
        <v>25.9</v>
      </c>
      <c r="D10809" s="689">
        <v>25.7</v>
      </c>
      <c r="E10809" s="693">
        <v>26</v>
      </c>
      <c r="F10809" s="693">
        <v>26</v>
      </c>
      <c r="G10809" s="689">
        <v>26.1</v>
      </c>
      <c r="H10809" s="690" t="s">
        <v>4060</v>
      </c>
      <c r="I10809" s="690" t="s">
        <v>4060</v>
      </c>
      <c r="J10809" s="690" t="s">
        <v>4060</v>
      </c>
      <c r="K10809" s="690" t="s">
        <v>4060</v>
      </c>
    </row>
    <row r="10810" spans="1:11">
      <c r="A10810" s="688" t="s">
        <v>4069</v>
      </c>
      <c r="B10810" s="692" t="s">
        <v>4060</v>
      </c>
      <c r="C10810" s="691">
        <v>26.4</v>
      </c>
      <c r="D10810" s="691">
        <v>26.2</v>
      </c>
      <c r="E10810" s="691">
        <v>26.5</v>
      </c>
      <c r="F10810" s="691">
        <v>26.5</v>
      </c>
      <c r="G10810" s="691">
        <v>26.6</v>
      </c>
      <c r="H10810" s="691">
        <v>26.9</v>
      </c>
      <c r="I10810" s="691">
        <v>26.2</v>
      </c>
      <c r="J10810" s="691">
        <v>26.2</v>
      </c>
      <c r="K10810" s="691">
        <v>26.4</v>
      </c>
    </row>
    <row r="10811" spans="1:11">
      <c r="A10811" s="688" t="s">
        <v>4068</v>
      </c>
      <c r="B10811" s="689">
        <v>26.4</v>
      </c>
      <c r="C10811" s="690" t="s">
        <v>4060</v>
      </c>
      <c r="D10811" s="690" t="s">
        <v>4060</v>
      </c>
      <c r="E10811" s="690" t="s">
        <v>4060</v>
      </c>
      <c r="F10811" s="690" t="s">
        <v>4060</v>
      </c>
      <c r="G10811" s="690" t="s">
        <v>4060</v>
      </c>
      <c r="H10811" s="690" t="s">
        <v>4060</v>
      </c>
      <c r="I10811" s="690" t="s">
        <v>4060</v>
      </c>
      <c r="J10811" s="690" t="s">
        <v>4060</v>
      </c>
      <c r="K10811" s="690" t="s">
        <v>4060</v>
      </c>
    </row>
    <row r="10812" spans="1:11">
      <c r="A10812" s="688" t="s">
        <v>0</v>
      </c>
      <c r="B10812" s="691">
        <v>25.8</v>
      </c>
      <c r="C10812" s="691">
        <v>26.2</v>
      </c>
      <c r="D10812" s="691">
        <v>26.1</v>
      </c>
      <c r="E10812" s="691">
        <v>26.3</v>
      </c>
      <c r="F10812" s="691">
        <v>26.5</v>
      </c>
      <c r="G10812" s="691">
        <v>26.6</v>
      </c>
      <c r="H10812" s="615">
        <v>27</v>
      </c>
      <c r="I10812" s="691">
        <v>25.8</v>
      </c>
      <c r="J10812" s="691">
        <v>26.6</v>
      </c>
      <c r="K10812" s="691">
        <v>26.9</v>
      </c>
    </row>
    <row r="10813" spans="1:11">
      <c r="A10813" s="688" t="s">
        <v>1</v>
      </c>
      <c r="B10813" s="689">
        <v>20.9</v>
      </c>
      <c r="C10813" s="689">
        <v>20.6</v>
      </c>
      <c r="D10813" s="689">
        <v>20.6</v>
      </c>
      <c r="E10813" s="689">
        <v>20.7</v>
      </c>
      <c r="F10813" s="689">
        <v>20.7</v>
      </c>
      <c r="G10813" s="689">
        <v>20.7</v>
      </c>
      <c r="H10813" s="689">
        <v>20.8</v>
      </c>
      <c r="I10813" s="689">
        <v>19.2</v>
      </c>
      <c r="J10813" s="689">
        <v>17.8</v>
      </c>
      <c r="K10813" s="689">
        <v>19.899999999999999</v>
      </c>
    </row>
    <row r="10814" spans="1:11">
      <c r="A10814" s="688" t="s">
        <v>2240</v>
      </c>
      <c r="B10814" s="691">
        <v>23.1</v>
      </c>
      <c r="C10814" s="691">
        <v>23.5</v>
      </c>
      <c r="D10814" s="691">
        <v>23.4</v>
      </c>
      <c r="E10814" s="691">
        <v>23.7</v>
      </c>
      <c r="F10814" s="691">
        <v>23.7</v>
      </c>
      <c r="G10814" s="691">
        <v>23.9</v>
      </c>
      <c r="H10814" s="691">
        <v>24.1</v>
      </c>
      <c r="I10814" s="691">
        <v>22.9</v>
      </c>
      <c r="J10814" s="615">
        <v>22</v>
      </c>
      <c r="K10814" s="691">
        <v>23.8</v>
      </c>
    </row>
    <row r="10815" spans="1:11">
      <c r="A10815" s="688" t="s">
        <v>2</v>
      </c>
      <c r="B10815" s="689">
        <v>25.7</v>
      </c>
      <c r="C10815" s="689">
        <v>25.9</v>
      </c>
      <c r="D10815" s="693">
        <v>26</v>
      </c>
      <c r="E10815" s="689">
        <v>26.1</v>
      </c>
      <c r="F10815" s="689">
        <v>26.3</v>
      </c>
      <c r="G10815" s="689">
        <v>26.2</v>
      </c>
      <c r="H10815" s="689">
        <v>26.5</v>
      </c>
      <c r="I10815" s="689">
        <v>26.6</v>
      </c>
      <c r="J10815" s="689">
        <v>26.5</v>
      </c>
      <c r="K10815" s="689">
        <v>26.4</v>
      </c>
    </row>
    <row r="10816" spans="1:11">
      <c r="A10816" s="688" t="s">
        <v>3</v>
      </c>
      <c r="B10816" s="691">
        <v>25.6</v>
      </c>
      <c r="C10816" s="691">
        <v>25.8</v>
      </c>
      <c r="D10816" s="691">
        <v>25.6</v>
      </c>
      <c r="E10816" s="691">
        <v>25.8</v>
      </c>
      <c r="F10816" s="691">
        <v>25.9</v>
      </c>
      <c r="G10816" s="691">
        <v>25.8</v>
      </c>
      <c r="H10816" s="691">
        <v>26.1</v>
      </c>
      <c r="I10816" s="691">
        <v>25.8</v>
      </c>
      <c r="J10816" s="691">
        <v>25.6</v>
      </c>
      <c r="K10816" s="691">
        <v>25.5</v>
      </c>
    </row>
    <row r="10817" spans="1:11">
      <c r="A10817" s="688" t="s">
        <v>4061</v>
      </c>
      <c r="B10817" s="689">
        <v>25.6</v>
      </c>
      <c r="C10817" s="689">
        <v>25.8</v>
      </c>
      <c r="D10817" s="689">
        <v>25.6</v>
      </c>
      <c r="E10817" s="689">
        <v>25.8</v>
      </c>
      <c r="F10817" s="689">
        <v>25.9</v>
      </c>
      <c r="G10817" s="689">
        <v>25.8</v>
      </c>
      <c r="H10817" s="689">
        <v>26.1</v>
      </c>
      <c r="I10817" s="689">
        <v>25.8</v>
      </c>
      <c r="J10817" s="689">
        <v>25.6</v>
      </c>
      <c r="K10817" s="689">
        <v>25.5</v>
      </c>
    </row>
    <row r="10818" spans="1:11">
      <c r="A10818" s="688" t="s">
        <v>4</v>
      </c>
      <c r="B10818" s="691">
        <v>21.9</v>
      </c>
      <c r="C10818" s="691">
        <v>21.8</v>
      </c>
      <c r="D10818" s="691">
        <v>22.2</v>
      </c>
      <c r="E10818" s="691">
        <v>22.3</v>
      </c>
      <c r="F10818" s="691">
        <v>22.5</v>
      </c>
      <c r="G10818" s="691">
        <v>22.5</v>
      </c>
      <c r="H10818" s="691">
        <v>22.9</v>
      </c>
      <c r="I10818" s="691">
        <v>22.9</v>
      </c>
      <c r="J10818" s="691">
        <v>21.5</v>
      </c>
      <c r="K10818" s="691">
        <v>22.4</v>
      </c>
    </row>
    <row r="10819" spans="1:11">
      <c r="A10819" s="688" t="s">
        <v>8</v>
      </c>
      <c r="B10819" s="689">
        <v>26.5</v>
      </c>
      <c r="C10819" s="689">
        <v>26.7</v>
      </c>
      <c r="D10819" s="689">
        <v>26.8</v>
      </c>
      <c r="E10819" s="689">
        <v>26.9</v>
      </c>
      <c r="F10819" s="689">
        <v>27.3</v>
      </c>
      <c r="G10819" s="689">
        <v>27.3</v>
      </c>
      <c r="H10819" s="689">
        <v>27.5</v>
      </c>
      <c r="I10819" s="689">
        <v>27.6</v>
      </c>
      <c r="J10819" s="689">
        <v>27.3</v>
      </c>
      <c r="K10819" s="689">
        <v>27.7</v>
      </c>
    </row>
    <row r="10820" spans="1:11">
      <c r="A10820" s="688" t="s">
        <v>7</v>
      </c>
      <c r="B10820" s="691">
        <v>26.5</v>
      </c>
      <c r="C10820" s="615">
        <v>26</v>
      </c>
      <c r="D10820" s="691">
        <v>25.7</v>
      </c>
      <c r="E10820" s="691">
        <v>26.1</v>
      </c>
      <c r="F10820" s="615">
        <v>26</v>
      </c>
      <c r="G10820" s="691">
        <v>26.3</v>
      </c>
      <c r="H10820" s="691">
        <v>26.3</v>
      </c>
      <c r="I10820" s="615">
        <v>26</v>
      </c>
      <c r="J10820" s="691">
        <v>25.1</v>
      </c>
      <c r="K10820" s="691">
        <v>25.8</v>
      </c>
    </row>
    <row r="10821" spans="1:11">
      <c r="A10821" s="688" t="s">
        <v>27</v>
      </c>
      <c r="B10821" s="689">
        <v>27.3</v>
      </c>
      <c r="C10821" s="689">
        <v>27.2</v>
      </c>
      <c r="D10821" s="689">
        <v>26.9</v>
      </c>
      <c r="E10821" s="689">
        <v>27.3</v>
      </c>
      <c r="F10821" s="689">
        <v>27.3</v>
      </c>
      <c r="G10821" s="689">
        <v>27.3</v>
      </c>
      <c r="H10821" s="689">
        <v>27.7</v>
      </c>
      <c r="I10821" s="689">
        <v>26.4</v>
      </c>
      <c r="J10821" s="689">
        <v>27.1</v>
      </c>
      <c r="K10821" s="689">
        <v>27.3</v>
      </c>
    </row>
    <row r="10822" spans="1:11">
      <c r="A10822" s="688" t="s">
        <v>6</v>
      </c>
      <c r="B10822" s="691">
        <v>27.1</v>
      </c>
      <c r="C10822" s="691">
        <v>27.2</v>
      </c>
      <c r="D10822" s="615">
        <v>27</v>
      </c>
      <c r="E10822" s="691">
        <v>27.2</v>
      </c>
      <c r="F10822" s="691">
        <v>27.3</v>
      </c>
      <c r="G10822" s="691">
        <v>27.4</v>
      </c>
      <c r="H10822" s="691">
        <v>27.5</v>
      </c>
      <c r="I10822" s="691">
        <v>26.9</v>
      </c>
      <c r="J10822" s="615">
        <v>27</v>
      </c>
      <c r="K10822" s="691">
        <v>27.2</v>
      </c>
    </row>
    <row r="10823" spans="1:11">
      <c r="A10823" s="688" t="s">
        <v>4058</v>
      </c>
      <c r="B10823" s="690" t="s">
        <v>4060</v>
      </c>
      <c r="C10823" s="690" t="s">
        <v>4060</v>
      </c>
      <c r="D10823" s="690" t="s">
        <v>4060</v>
      </c>
      <c r="E10823" s="690" t="s">
        <v>4060</v>
      </c>
      <c r="F10823" s="690" t="s">
        <v>4060</v>
      </c>
      <c r="G10823" s="690" t="s">
        <v>4060</v>
      </c>
      <c r="H10823" s="690" t="s">
        <v>4060</v>
      </c>
      <c r="I10823" s="690" t="s">
        <v>4060</v>
      </c>
      <c r="J10823" s="690" t="s">
        <v>4060</v>
      </c>
      <c r="K10823" s="690" t="s">
        <v>4060</v>
      </c>
    </row>
    <row r="10824" spans="1:11">
      <c r="A10824" s="688" t="s">
        <v>11</v>
      </c>
      <c r="B10824" s="691">
        <v>22.6</v>
      </c>
      <c r="C10824" s="691">
        <v>22.7</v>
      </c>
      <c r="D10824" s="691">
        <v>22.4</v>
      </c>
      <c r="E10824" s="691">
        <v>22.9</v>
      </c>
      <c r="F10824" s="691">
        <v>22.8</v>
      </c>
      <c r="G10824" s="691">
        <v>22.9</v>
      </c>
      <c r="H10824" s="691">
        <v>23.3</v>
      </c>
      <c r="I10824" s="691">
        <v>22.5</v>
      </c>
      <c r="J10824" s="691">
        <v>21.6</v>
      </c>
      <c r="K10824" s="691">
        <v>22.7</v>
      </c>
    </row>
    <row r="10825" spans="1:11">
      <c r="A10825" s="688" t="s">
        <v>10</v>
      </c>
      <c r="B10825" s="689">
        <v>27.4</v>
      </c>
      <c r="C10825" s="689">
        <v>27.4</v>
      </c>
      <c r="D10825" s="689">
        <v>27.1</v>
      </c>
      <c r="E10825" s="689">
        <v>27.6</v>
      </c>
      <c r="F10825" s="689">
        <v>27.5</v>
      </c>
      <c r="G10825" s="689">
        <v>27.8</v>
      </c>
      <c r="H10825" s="693">
        <v>28</v>
      </c>
      <c r="I10825" s="689">
        <v>26.7</v>
      </c>
      <c r="J10825" s="689">
        <v>27.2</v>
      </c>
      <c r="K10825" s="689">
        <v>27.5</v>
      </c>
    </row>
    <row r="10826" spans="1:11">
      <c r="A10826" s="688" t="s">
        <v>30</v>
      </c>
      <c r="B10826" s="691">
        <v>27.2</v>
      </c>
      <c r="C10826" s="691">
        <v>27.3</v>
      </c>
      <c r="D10826" s="691">
        <v>27.1</v>
      </c>
      <c r="E10826" s="691">
        <v>27.6</v>
      </c>
      <c r="F10826" s="691">
        <v>27.3</v>
      </c>
      <c r="G10826" s="615">
        <v>28</v>
      </c>
      <c r="H10826" s="691">
        <v>27.7</v>
      </c>
      <c r="I10826" s="691">
        <v>27.7</v>
      </c>
      <c r="J10826" s="691">
        <v>27.1</v>
      </c>
      <c r="K10826" s="691">
        <v>27.4</v>
      </c>
    </row>
    <row r="10827" spans="1:11">
      <c r="A10827" s="688" t="s">
        <v>12</v>
      </c>
      <c r="B10827" s="689">
        <v>20.100000000000001</v>
      </c>
      <c r="C10827" s="693">
        <v>20</v>
      </c>
      <c r="D10827" s="689">
        <v>20.399999999999999</v>
      </c>
      <c r="E10827" s="689">
        <v>20.3</v>
      </c>
      <c r="F10827" s="689">
        <v>20.399999999999999</v>
      </c>
      <c r="G10827" s="689">
        <v>20.5</v>
      </c>
      <c r="H10827" s="689">
        <v>20.8</v>
      </c>
      <c r="I10827" s="689">
        <v>20.6</v>
      </c>
      <c r="J10827" s="689">
        <v>18.899999999999999</v>
      </c>
      <c r="K10827" s="689">
        <v>20.100000000000001</v>
      </c>
    </row>
    <row r="10828" spans="1:11">
      <c r="A10828" s="688" t="s">
        <v>14</v>
      </c>
      <c r="B10828" s="691">
        <v>20.2</v>
      </c>
      <c r="C10828" s="691">
        <v>20.399999999999999</v>
      </c>
      <c r="D10828" s="691">
        <v>20.2</v>
      </c>
      <c r="E10828" s="691">
        <v>20.3</v>
      </c>
      <c r="F10828" s="691">
        <v>20.9</v>
      </c>
      <c r="G10828" s="691">
        <v>21.1</v>
      </c>
      <c r="H10828" s="691">
        <v>21.3</v>
      </c>
      <c r="I10828" s="691">
        <v>20.2</v>
      </c>
      <c r="J10828" s="691">
        <v>19.899999999999999</v>
      </c>
      <c r="K10828" s="691">
        <v>20.9</v>
      </c>
    </row>
    <row r="10829" spans="1:11">
      <c r="A10829" s="688" t="s">
        <v>15</v>
      </c>
      <c r="B10829" s="689">
        <v>27.1</v>
      </c>
      <c r="C10829" s="689">
        <v>26.4</v>
      </c>
      <c r="D10829" s="693">
        <v>27</v>
      </c>
      <c r="E10829" s="689">
        <v>26.8</v>
      </c>
      <c r="F10829" s="689">
        <v>26.8</v>
      </c>
      <c r="G10829" s="689">
        <v>26.9</v>
      </c>
      <c r="H10829" s="689">
        <v>27.2</v>
      </c>
      <c r="I10829" s="689">
        <v>26.7</v>
      </c>
      <c r="J10829" s="689">
        <v>27.1</v>
      </c>
      <c r="K10829" s="689">
        <v>27.6</v>
      </c>
    </row>
    <row r="10830" spans="1:11">
      <c r="A10830" s="688" t="s">
        <v>29</v>
      </c>
      <c r="B10830" s="615">
        <v>21</v>
      </c>
      <c r="C10830" s="691">
        <v>20.9</v>
      </c>
      <c r="D10830" s="691">
        <v>20.8</v>
      </c>
      <c r="E10830" s="691">
        <v>20.9</v>
      </c>
      <c r="F10830" s="691">
        <v>20.8</v>
      </c>
      <c r="G10830" s="691">
        <v>20.9</v>
      </c>
      <c r="H10830" s="691">
        <v>21.2</v>
      </c>
      <c r="I10830" s="691">
        <v>20.399999999999999</v>
      </c>
      <c r="J10830" s="691">
        <v>19.3</v>
      </c>
      <c r="K10830" s="691">
        <v>20.8</v>
      </c>
    </row>
    <row r="10831" spans="1:11">
      <c r="A10831" s="688" t="s">
        <v>16</v>
      </c>
      <c r="B10831" s="689">
        <v>26.8</v>
      </c>
      <c r="C10831" s="689">
        <v>26.8</v>
      </c>
      <c r="D10831" s="689">
        <v>26.9</v>
      </c>
      <c r="E10831" s="689">
        <v>27.8</v>
      </c>
      <c r="F10831" s="689">
        <v>27.2</v>
      </c>
      <c r="G10831" s="689">
        <v>27.2</v>
      </c>
      <c r="H10831" s="689">
        <v>27.5</v>
      </c>
      <c r="I10831" s="689">
        <v>26.8</v>
      </c>
      <c r="J10831" s="689">
        <v>27.2</v>
      </c>
      <c r="K10831" s="689">
        <v>27.3</v>
      </c>
    </row>
    <row r="10832" spans="1:11">
      <c r="A10832" s="688" t="s">
        <v>17</v>
      </c>
      <c r="B10832" s="691">
        <v>26.6</v>
      </c>
      <c r="C10832" s="691">
        <v>26.9</v>
      </c>
      <c r="D10832" s="691">
        <v>26.7</v>
      </c>
      <c r="E10832" s="691">
        <v>26.8</v>
      </c>
      <c r="F10832" s="691">
        <v>27.1</v>
      </c>
      <c r="G10832" s="691">
        <v>27.1</v>
      </c>
      <c r="H10832" s="691">
        <v>27.4</v>
      </c>
      <c r="I10832" s="691">
        <v>26.7</v>
      </c>
      <c r="J10832" s="691">
        <v>26.7</v>
      </c>
      <c r="K10832" s="691">
        <v>27.1</v>
      </c>
    </row>
    <row r="10833" spans="1:11">
      <c r="A10833" s="688" t="s">
        <v>19</v>
      </c>
      <c r="B10833" s="689">
        <v>26.1</v>
      </c>
      <c r="C10833" s="689">
        <v>26.3</v>
      </c>
      <c r="D10833" s="693">
        <v>26</v>
      </c>
      <c r="E10833" s="689">
        <v>26.4</v>
      </c>
      <c r="F10833" s="689">
        <v>26.5</v>
      </c>
      <c r="G10833" s="689">
        <v>26.5</v>
      </c>
      <c r="H10833" s="689">
        <v>26.8</v>
      </c>
      <c r="I10833" s="689">
        <v>26.1</v>
      </c>
      <c r="J10833" s="689">
        <v>26.1</v>
      </c>
      <c r="K10833" s="689">
        <v>26.2</v>
      </c>
    </row>
    <row r="10834" spans="1:11">
      <c r="A10834" s="688" t="s">
        <v>20</v>
      </c>
      <c r="B10834" s="691">
        <v>22.3</v>
      </c>
      <c r="C10834" s="691">
        <v>22.7</v>
      </c>
      <c r="D10834" s="691">
        <v>22.5</v>
      </c>
      <c r="E10834" s="691">
        <v>22.8</v>
      </c>
      <c r="F10834" s="691">
        <v>22.7</v>
      </c>
      <c r="G10834" s="691">
        <v>22.7</v>
      </c>
      <c r="H10834" s="691">
        <v>22.9</v>
      </c>
      <c r="I10834" s="691">
        <v>21.4</v>
      </c>
      <c r="J10834" s="691">
        <v>20.7</v>
      </c>
      <c r="K10834" s="691">
        <v>22.3</v>
      </c>
    </row>
    <row r="10835" spans="1:11">
      <c r="A10835" s="688" t="s">
        <v>21</v>
      </c>
      <c r="B10835" s="689">
        <v>25.6</v>
      </c>
      <c r="C10835" s="693">
        <v>26</v>
      </c>
      <c r="D10835" s="693">
        <v>26</v>
      </c>
      <c r="E10835" s="693">
        <v>26</v>
      </c>
      <c r="F10835" s="689">
        <v>26.3</v>
      </c>
      <c r="G10835" s="689">
        <v>26.2</v>
      </c>
      <c r="H10835" s="689">
        <v>26.6</v>
      </c>
      <c r="I10835" s="693">
        <v>26</v>
      </c>
      <c r="J10835" s="693">
        <v>26</v>
      </c>
      <c r="K10835" s="689">
        <v>26.4</v>
      </c>
    </row>
    <row r="10836" spans="1:11">
      <c r="A10836" s="688" t="s">
        <v>22</v>
      </c>
      <c r="B10836" s="691">
        <v>21.3</v>
      </c>
      <c r="C10836" s="691">
        <v>21.1</v>
      </c>
      <c r="D10836" s="615">
        <v>21</v>
      </c>
      <c r="E10836" s="691">
        <v>21.1</v>
      </c>
      <c r="F10836" s="691">
        <v>21.1</v>
      </c>
      <c r="G10836" s="615">
        <v>21</v>
      </c>
      <c r="H10836" s="691">
        <v>21.2</v>
      </c>
      <c r="I10836" s="691">
        <v>19.600000000000001</v>
      </c>
      <c r="J10836" s="691">
        <v>18.7</v>
      </c>
      <c r="K10836" s="691">
        <v>20.6</v>
      </c>
    </row>
    <row r="10837" spans="1:11">
      <c r="A10837" s="688" t="s">
        <v>26</v>
      </c>
      <c r="B10837" s="689">
        <v>24.9</v>
      </c>
      <c r="C10837" s="689">
        <v>25.3</v>
      </c>
      <c r="D10837" s="689">
        <v>25.2</v>
      </c>
      <c r="E10837" s="689">
        <v>25.5</v>
      </c>
      <c r="F10837" s="689">
        <v>25.3</v>
      </c>
      <c r="G10837" s="689">
        <v>25.6</v>
      </c>
      <c r="H10837" s="689">
        <v>25.8</v>
      </c>
      <c r="I10837" s="693">
        <v>25</v>
      </c>
      <c r="J10837" s="689">
        <v>24.9</v>
      </c>
      <c r="K10837" s="689">
        <v>25.8</v>
      </c>
    </row>
    <row r="10838" spans="1:11">
      <c r="A10838" s="688" t="s">
        <v>25</v>
      </c>
      <c r="B10838" s="691">
        <v>21.7</v>
      </c>
      <c r="C10838" s="615">
        <v>22</v>
      </c>
      <c r="D10838" s="691">
        <v>21.9</v>
      </c>
      <c r="E10838" s="691">
        <v>22.3</v>
      </c>
      <c r="F10838" s="691">
        <v>22.3</v>
      </c>
      <c r="G10838" s="691">
        <v>22.5</v>
      </c>
      <c r="H10838" s="691">
        <v>22.9</v>
      </c>
      <c r="I10838" s="691">
        <v>22.1</v>
      </c>
      <c r="J10838" s="615">
        <v>20</v>
      </c>
      <c r="K10838" s="691">
        <v>22.2</v>
      </c>
    </row>
    <row r="10839" spans="1:11">
      <c r="A10839" s="688" t="s">
        <v>5</v>
      </c>
      <c r="B10839" s="689">
        <v>25.9</v>
      </c>
      <c r="C10839" s="693">
        <v>26</v>
      </c>
      <c r="D10839" s="689">
        <v>26.1</v>
      </c>
      <c r="E10839" s="689">
        <v>26.1</v>
      </c>
      <c r="F10839" s="689">
        <v>26.4</v>
      </c>
      <c r="G10839" s="689">
        <v>26.5</v>
      </c>
      <c r="H10839" s="689">
        <v>26.8</v>
      </c>
      <c r="I10839" s="689">
        <v>26.8</v>
      </c>
      <c r="J10839" s="689">
        <v>26.6</v>
      </c>
      <c r="K10839" s="689">
        <v>26.2</v>
      </c>
    </row>
    <row r="10840" spans="1:11">
      <c r="A10840" s="688" t="s">
        <v>23</v>
      </c>
      <c r="B10840" s="691">
        <v>27.3</v>
      </c>
      <c r="C10840" s="691">
        <v>27.4</v>
      </c>
      <c r="D10840" s="691">
        <v>27.4</v>
      </c>
      <c r="E10840" s="691">
        <v>27.6</v>
      </c>
      <c r="F10840" s="691">
        <v>27.8</v>
      </c>
      <c r="G10840" s="691">
        <v>27.8</v>
      </c>
      <c r="H10840" s="691">
        <v>28.2</v>
      </c>
      <c r="I10840" s="691">
        <v>27.5</v>
      </c>
      <c r="J10840" s="691">
        <v>28.1</v>
      </c>
      <c r="K10840" s="691">
        <v>28.2</v>
      </c>
    </row>
    <row r="10841" spans="1:11">
      <c r="A10841" s="688" t="s">
        <v>4067</v>
      </c>
      <c r="B10841" s="689">
        <v>25.6</v>
      </c>
      <c r="C10841" s="689">
        <v>25.9</v>
      </c>
      <c r="D10841" s="689">
        <v>25.7</v>
      </c>
      <c r="E10841" s="693">
        <v>26</v>
      </c>
      <c r="F10841" s="693">
        <v>26</v>
      </c>
      <c r="G10841" s="689">
        <v>26.1</v>
      </c>
      <c r="H10841" s="690" t="s">
        <v>4060</v>
      </c>
      <c r="I10841" s="690" t="s">
        <v>4060</v>
      </c>
      <c r="J10841" s="690" t="s">
        <v>4060</v>
      </c>
      <c r="K10841" s="690" t="s">
        <v>4060</v>
      </c>
    </row>
    <row r="10842" spans="1:11">
      <c r="A10842" s="688" t="s">
        <v>4066</v>
      </c>
      <c r="B10842" s="691">
        <v>25.6</v>
      </c>
      <c r="C10842" s="615">
        <v>26</v>
      </c>
      <c r="D10842" s="691">
        <v>25.7</v>
      </c>
      <c r="E10842" s="615">
        <v>26</v>
      </c>
      <c r="F10842" s="615">
        <v>26</v>
      </c>
      <c r="G10842" s="691">
        <v>26.1</v>
      </c>
      <c r="H10842" s="692" t="s">
        <v>4060</v>
      </c>
      <c r="I10842" s="692" t="s">
        <v>4060</v>
      </c>
      <c r="J10842" s="692" t="s">
        <v>4060</v>
      </c>
      <c r="K10842" s="692" t="s">
        <v>4060</v>
      </c>
    </row>
    <row r="10843" spans="1:11">
      <c r="A10843" s="688" t="s">
        <v>4062</v>
      </c>
      <c r="B10843" s="689">
        <v>27.5</v>
      </c>
      <c r="C10843" s="689">
        <v>27.7</v>
      </c>
      <c r="D10843" s="689">
        <v>27.6</v>
      </c>
      <c r="E10843" s="693">
        <v>28</v>
      </c>
      <c r="F10843" s="689">
        <v>28.1</v>
      </c>
      <c r="G10843" s="689">
        <v>28.3</v>
      </c>
      <c r="H10843" s="689">
        <v>28.5</v>
      </c>
      <c r="I10843" s="689">
        <v>28.1</v>
      </c>
      <c r="J10843" s="689">
        <v>28.4</v>
      </c>
      <c r="K10843" s="689">
        <v>28.2</v>
      </c>
    </row>
    <row r="10844" spans="1:11">
      <c r="A10844" s="688" t="s">
        <v>9</v>
      </c>
      <c r="B10844" s="691">
        <v>27.6</v>
      </c>
      <c r="C10844" s="691">
        <v>27.9</v>
      </c>
      <c r="D10844" s="691">
        <v>28.3</v>
      </c>
      <c r="E10844" s="691">
        <v>27.4</v>
      </c>
      <c r="F10844" s="691">
        <v>28.2</v>
      </c>
      <c r="G10844" s="691">
        <v>28.3</v>
      </c>
      <c r="H10844" s="691">
        <v>28.4</v>
      </c>
      <c r="I10844" s="691">
        <v>28.7</v>
      </c>
      <c r="J10844" s="691">
        <v>28.9</v>
      </c>
      <c r="K10844" s="691">
        <v>27.9</v>
      </c>
    </row>
    <row r="10845" spans="1:11">
      <c r="A10845" s="688" t="s">
        <v>13</v>
      </c>
      <c r="B10845" s="689">
        <v>27.4</v>
      </c>
      <c r="C10845" s="689">
        <v>27.7</v>
      </c>
      <c r="D10845" s="689">
        <v>27.8</v>
      </c>
      <c r="E10845" s="689">
        <v>26.3</v>
      </c>
      <c r="F10845" s="689">
        <v>28.4</v>
      </c>
      <c r="G10845" s="693">
        <v>28</v>
      </c>
      <c r="H10845" s="689">
        <v>28.5</v>
      </c>
      <c r="I10845" s="689">
        <v>27.2</v>
      </c>
      <c r="J10845" s="689">
        <v>28.7</v>
      </c>
      <c r="K10845" s="689">
        <v>29.6</v>
      </c>
    </row>
    <row r="10846" spans="1:11">
      <c r="A10846" s="688" t="s">
        <v>18</v>
      </c>
      <c r="B10846" s="691">
        <v>26.9</v>
      </c>
      <c r="C10846" s="691">
        <v>27.2</v>
      </c>
      <c r="D10846" s="691">
        <v>27.4</v>
      </c>
      <c r="E10846" s="691">
        <v>27.6</v>
      </c>
      <c r="F10846" s="691">
        <v>27.8</v>
      </c>
      <c r="G10846" s="691">
        <v>27.9</v>
      </c>
      <c r="H10846" s="691">
        <v>28.2</v>
      </c>
      <c r="I10846" s="691">
        <v>28.4</v>
      </c>
      <c r="J10846" s="691">
        <v>28.4</v>
      </c>
      <c r="K10846" s="691">
        <v>27.8</v>
      </c>
    </row>
    <row r="10847" spans="1:11">
      <c r="A10847" s="688" t="s">
        <v>24</v>
      </c>
      <c r="B10847" s="689">
        <v>27.8</v>
      </c>
      <c r="C10847" s="689">
        <v>27.9</v>
      </c>
      <c r="D10847" s="689">
        <v>27.7</v>
      </c>
      <c r="E10847" s="689">
        <v>28.3</v>
      </c>
      <c r="F10847" s="689">
        <v>28.3</v>
      </c>
      <c r="G10847" s="689">
        <v>28.6</v>
      </c>
      <c r="H10847" s="689">
        <v>28.7</v>
      </c>
      <c r="I10847" s="689">
        <v>27.9</v>
      </c>
      <c r="J10847" s="689">
        <v>28.4</v>
      </c>
      <c r="K10847" s="689">
        <v>28.5</v>
      </c>
    </row>
    <row r="10848" spans="1:11">
      <c r="A10848" s="688" t="s">
        <v>4059</v>
      </c>
      <c r="B10848" s="691">
        <v>26.8</v>
      </c>
      <c r="C10848" s="691">
        <v>27.1</v>
      </c>
      <c r="D10848" s="691">
        <v>26.9</v>
      </c>
      <c r="E10848" s="691">
        <v>27.1</v>
      </c>
      <c r="F10848" s="691">
        <v>27.1</v>
      </c>
      <c r="G10848" s="691">
        <v>27.2</v>
      </c>
      <c r="H10848" s="692" t="s">
        <v>4060</v>
      </c>
      <c r="I10848" s="692" t="s">
        <v>4060</v>
      </c>
      <c r="J10848" s="692" t="s">
        <v>4060</v>
      </c>
      <c r="K10848" s="692" t="s">
        <v>4060</v>
      </c>
    </row>
    <row r="10849" spans="1:11">
      <c r="A10849" s="688" t="s">
        <v>2324</v>
      </c>
      <c r="B10849" s="689">
        <v>22.4</v>
      </c>
      <c r="C10849" s="689">
        <v>22.4</v>
      </c>
      <c r="D10849" s="689">
        <v>22.1</v>
      </c>
      <c r="E10849" s="693">
        <v>22</v>
      </c>
      <c r="F10849" s="689">
        <v>22.1</v>
      </c>
      <c r="G10849" s="689">
        <v>22.4</v>
      </c>
      <c r="H10849" s="689">
        <v>22.3</v>
      </c>
      <c r="I10849" s="689">
        <v>21.1</v>
      </c>
      <c r="J10849" s="689">
        <v>19.2</v>
      </c>
      <c r="K10849" s="690" t="s">
        <v>4060</v>
      </c>
    </row>
    <row r="10850" spans="1:11">
      <c r="A10850" s="688" t="s">
        <v>2322</v>
      </c>
      <c r="B10850" s="692" t="s">
        <v>4060</v>
      </c>
      <c r="C10850" s="692" t="s">
        <v>4060</v>
      </c>
      <c r="D10850" s="692" t="s">
        <v>4060</v>
      </c>
      <c r="E10850" s="692" t="s">
        <v>4060</v>
      </c>
      <c r="F10850" s="692" t="s">
        <v>4060</v>
      </c>
      <c r="G10850" s="692" t="s">
        <v>4060</v>
      </c>
      <c r="H10850" s="692" t="s">
        <v>4060</v>
      </c>
      <c r="I10850" s="692" t="s">
        <v>4060</v>
      </c>
      <c r="J10850" s="692" t="s">
        <v>4060</v>
      </c>
      <c r="K10850" s="692" t="s">
        <v>4060</v>
      </c>
    </row>
    <row r="10851" spans="1:11">
      <c r="A10851" s="688" t="s">
        <v>2328</v>
      </c>
      <c r="B10851" s="689">
        <v>21.8</v>
      </c>
      <c r="C10851" s="689">
        <v>21.9</v>
      </c>
      <c r="D10851" s="689">
        <v>21.8</v>
      </c>
      <c r="E10851" s="689">
        <v>21.9</v>
      </c>
      <c r="F10851" s="689">
        <v>22.1</v>
      </c>
      <c r="G10851" s="689">
        <v>22.5</v>
      </c>
      <c r="H10851" s="689">
        <v>22.5</v>
      </c>
      <c r="I10851" s="689">
        <v>20.100000000000001</v>
      </c>
      <c r="J10851" s="689">
        <v>19.5</v>
      </c>
      <c r="K10851" s="690" t="s">
        <v>4060</v>
      </c>
    </row>
    <row r="10852" spans="1:11">
      <c r="A10852" s="688" t="s">
        <v>2496</v>
      </c>
      <c r="B10852" s="692" t="s">
        <v>4060</v>
      </c>
      <c r="C10852" s="691">
        <v>20.6</v>
      </c>
      <c r="D10852" s="691">
        <v>19.600000000000001</v>
      </c>
      <c r="E10852" s="691">
        <v>19.399999999999999</v>
      </c>
      <c r="F10852" s="691">
        <v>19.899999999999999</v>
      </c>
      <c r="G10852" s="691">
        <v>20.100000000000001</v>
      </c>
      <c r="H10852" s="691">
        <v>20.100000000000001</v>
      </c>
      <c r="I10852" s="692" t="s">
        <v>4060</v>
      </c>
      <c r="J10852" s="692" t="s">
        <v>4060</v>
      </c>
      <c r="K10852" s="691">
        <v>19.600000000000001</v>
      </c>
    </row>
    <row r="10853" spans="1:11">
      <c r="A10853" s="688" t="s">
        <v>2269</v>
      </c>
      <c r="B10853" s="689">
        <v>24.8</v>
      </c>
      <c r="C10853" s="693">
        <v>25</v>
      </c>
      <c r="D10853" s="689">
        <v>24.6</v>
      </c>
      <c r="E10853" s="689">
        <v>25.2</v>
      </c>
      <c r="F10853" s="689">
        <v>25.2</v>
      </c>
      <c r="G10853" s="689">
        <v>25.5</v>
      </c>
      <c r="H10853" s="689">
        <v>25.7</v>
      </c>
      <c r="I10853" s="689">
        <v>23.4</v>
      </c>
      <c r="J10853" s="689">
        <v>21.8</v>
      </c>
      <c r="K10853" s="689">
        <v>25.3</v>
      </c>
    </row>
    <row r="10854" spans="1:11">
      <c r="A10854" s="688" t="s">
        <v>2349</v>
      </c>
      <c r="B10854" s="691">
        <v>21.3</v>
      </c>
      <c r="C10854" s="691">
        <v>21.4</v>
      </c>
      <c r="D10854" s="691">
        <v>21.3</v>
      </c>
      <c r="E10854" s="691">
        <v>21.6</v>
      </c>
      <c r="F10854" s="691">
        <v>21.6</v>
      </c>
      <c r="G10854" s="691">
        <v>21.8</v>
      </c>
      <c r="H10854" s="691">
        <v>21.7</v>
      </c>
      <c r="I10854" s="691">
        <v>20.2</v>
      </c>
      <c r="J10854" s="691">
        <v>18.899999999999999</v>
      </c>
      <c r="K10854" s="691">
        <v>21.1</v>
      </c>
    </row>
    <row r="10855" spans="1:11">
      <c r="A10855" s="688" t="s">
        <v>2355</v>
      </c>
      <c r="B10855" s="689">
        <v>24.1</v>
      </c>
      <c r="C10855" s="693">
        <v>24</v>
      </c>
      <c r="D10855" s="689">
        <v>23.9</v>
      </c>
      <c r="E10855" s="689">
        <v>23.9</v>
      </c>
      <c r="F10855" s="689">
        <v>24.1</v>
      </c>
      <c r="G10855" s="689">
        <v>24.5</v>
      </c>
      <c r="H10855" s="689">
        <v>24.6</v>
      </c>
      <c r="I10855" s="690" t="s">
        <v>4060</v>
      </c>
      <c r="J10855" s="690" t="s">
        <v>4060</v>
      </c>
      <c r="K10855" s="690" t="s">
        <v>4060</v>
      </c>
    </row>
    <row r="10856" spans="1:11">
      <c r="A10856" s="688" t="s">
        <v>2357</v>
      </c>
      <c r="B10856" s="692" t="s">
        <v>4060</v>
      </c>
      <c r="C10856" s="615">
        <v>19</v>
      </c>
      <c r="D10856" s="691">
        <v>19.3</v>
      </c>
      <c r="E10856" s="691">
        <v>19.600000000000001</v>
      </c>
      <c r="F10856" s="691">
        <v>19.8</v>
      </c>
      <c r="G10856" s="691">
        <v>19.600000000000001</v>
      </c>
      <c r="H10856" s="691">
        <v>19.8</v>
      </c>
      <c r="I10856" s="692" t="s">
        <v>4060</v>
      </c>
      <c r="J10856" s="692" t="s">
        <v>4060</v>
      </c>
      <c r="K10856" s="692" t="s">
        <v>4060</v>
      </c>
    </row>
    <row r="10857" spans="1:11">
      <c r="A10857" s="688" t="s">
        <v>4070</v>
      </c>
      <c r="B10857" s="690" t="s">
        <v>4060</v>
      </c>
      <c r="C10857" s="690" t="s">
        <v>4060</v>
      </c>
      <c r="D10857" s="690" t="s">
        <v>4060</v>
      </c>
      <c r="E10857" s="689">
        <v>23.4</v>
      </c>
      <c r="F10857" s="690" t="s">
        <v>4060</v>
      </c>
      <c r="G10857" s="690" t="s">
        <v>4060</v>
      </c>
      <c r="H10857" s="690" t="s">
        <v>4060</v>
      </c>
      <c r="I10857" s="690" t="s">
        <v>4060</v>
      </c>
      <c r="J10857" s="690" t="s">
        <v>4060</v>
      </c>
      <c r="K10857" s="690" t="s">
        <v>4060</v>
      </c>
    </row>
    <row r="10858" spans="1:11">
      <c r="A10858" s="688" t="s">
        <v>2491</v>
      </c>
      <c r="B10858" s="691">
        <v>18.5</v>
      </c>
      <c r="C10858" s="691">
        <v>18.8</v>
      </c>
      <c r="D10858" s="691">
        <v>19.100000000000001</v>
      </c>
      <c r="E10858" s="691">
        <v>19.2</v>
      </c>
      <c r="F10858" s="691">
        <v>19.2</v>
      </c>
      <c r="G10858" s="691">
        <v>19.2</v>
      </c>
      <c r="H10858" s="692" t="s">
        <v>4060</v>
      </c>
      <c r="I10858" s="692" t="s">
        <v>4060</v>
      </c>
      <c r="J10858" s="692" t="s">
        <v>4060</v>
      </c>
      <c r="K10858" s="692" t="s">
        <v>4060</v>
      </c>
    </row>
    <row r="10859" spans="1:11">
      <c r="A10859" s="688" t="s">
        <v>2343</v>
      </c>
      <c r="B10859" s="690" t="s">
        <v>4060</v>
      </c>
      <c r="C10859" s="690" t="s">
        <v>4060</v>
      </c>
      <c r="D10859" s="690" t="s">
        <v>4060</v>
      </c>
      <c r="E10859" s="690" t="s">
        <v>4060</v>
      </c>
      <c r="F10859" s="690" t="s">
        <v>4060</v>
      </c>
      <c r="G10859" s="690" t="s">
        <v>4060</v>
      </c>
      <c r="H10859" s="690" t="s">
        <v>4060</v>
      </c>
      <c r="I10859" s="690" t="s">
        <v>4060</v>
      </c>
      <c r="J10859" s="690" t="s">
        <v>4060</v>
      </c>
      <c r="K10859" s="690" t="s">
        <v>4060</v>
      </c>
    </row>
    <row r="10860" spans="1:11">
      <c r="A10860" s="688" t="s">
        <v>4071</v>
      </c>
      <c r="B10860" s="692" t="s">
        <v>4060</v>
      </c>
      <c r="C10860" s="692" t="s">
        <v>4060</v>
      </c>
      <c r="D10860" s="692" t="s">
        <v>4060</v>
      </c>
      <c r="E10860" s="692" t="s">
        <v>4060</v>
      </c>
      <c r="F10860" s="692" t="s">
        <v>4060</v>
      </c>
      <c r="G10860" s="692" t="s">
        <v>4060</v>
      </c>
      <c r="H10860" s="692" t="s">
        <v>4060</v>
      </c>
      <c r="I10860" s="692" t="s">
        <v>4060</v>
      </c>
      <c r="J10860" s="692" t="s">
        <v>4060</v>
      </c>
      <c r="K10860" s="692" t="s">
        <v>4060</v>
      </c>
    </row>
    <row r="10861" spans="1:11">
      <c r="A10861" s="688" t="s">
        <v>2489</v>
      </c>
      <c r="B10861" s="690" t="s">
        <v>4060</v>
      </c>
      <c r="C10861" s="690" t="s">
        <v>4060</v>
      </c>
      <c r="D10861" s="689">
        <v>21.3</v>
      </c>
      <c r="E10861" s="689">
        <v>21.2</v>
      </c>
      <c r="F10861" s="689">
        <v>21.6</v>
      </c>
      <c r="G10861" s="689">
        <v>22.3</v>
      </c>
      <c r="H10861" s="689">
        <v>22.2</v>
      </c>
      <c r="I10861" s="690" t="s">
        <v>4060</v>
      </c>
      <c r="J10861" s="690" t="s">
        <v>4060</v>
      </c>
      <c r="K10861" s="690" t="s">
        <v>4060</v>
      </c>
    </row>
    <row r="10862" spans="1:11">
      <c r="A10862" s="688" t="s">
        <v>2490</v>
      </c>
      <c r="B10862" s="691">
        <v>21.8</v>
      </c>
      <c r="C10862" s="691">
        <v>21.7</v>
      </c>
      <c r="D10862" s="691">
        <v>22.5</v>
      </c>
      <c r="E10862" s="692" t="s">
        <v>4060</v>
      </c>
      <c r="F10862" s="691">
        <v>22.7</v>
      </c>
      <c r="G10862" s="691">
        <v>22.8</v>
      </c>
      <c r="H10862" s="691">
        <v>23.7</v>
      </c>
      <c r="I10862" s="692" t="s">
        <v>4060</v>
      </c>
      <c r="J10862" s="692" t="s">
        <v>4060</v>
      </c>
      <c r="K10862" s="692" t="s">
        <v>4060</v>
      </c>
    </row>
    <row r="10864" spans="1:11">
      <c r="A10864" s="683" t="s">
        <v>4233</v>
      </c>
    </row>
    <row r="10865" spans="1:11">
      <c r="A10865" s="683" t="s">
        <v>4060</v>
      </c>
      <c r="B10865" s="682" t="s">
        <v>4234</v>
      </c>
    </row>
    <row r="10867" spans="1:11">
      <c r="A10867" s="682" t="s">
        <v>4331</v>
      </c>
    </row>
    <row r="10868" spans="1:11">
      <c r="A10868" s="682" t="s">
        <v>4210</v>
      </c>
      <c r="B10868" s="683" t="s">
        <v>4211</v>
      </c>
    </row>
    <row r="10869" spans="1:11">
      <c r="A10869" s="682" t="s">
        <v>4212</v>
      </c>
      <c r="B10869" s="682" t="s">
        <v>4213</v>
      </c>
    </row>
    <row r="10871" spans="1:11">
      <c r="A10871" s="683" t="s">
        <v>4214</v>
      </c>
      <c r="C10871" s="682" t="s">
        <v>4215</v>
      </c>
    </row>
    <row r="10872" spans="1:11">
      <c r="A10872" s="683" t="s">
        <v>4216</v>
      </c>
      <c r="C10872" s="682" t="s">
        <v>2967</v>
      </c>
    </row>
    <row r="10873" spans="1:11">
      <c r="A10873" s="683" t="s">
        <v>3893</v>
      </c>
      <c r="C10873" s="682" t="s">
        <v>2168</v>
      </c>
    </row>
    <row r="10874" spans="1:11">
      <c r="A10874" s="683" t="s">
        <v>4218</v>
      </c>
      <c r="C10874" s="682" t="s">
        <v>4291</v>
      </c>
    </row>
    <row r="10876" spans="1:11">
      <c r="A10876" s="684" t="s">
        <v>4220</v>
      </c>
      <c r="B10876" s="685" t="s">
        <v>4221</v>
      </c>
      <c r="C10876" s="685" t="s">
        <v>4222</v>
      </c>
      <c r="D10876" s="685" t="s">
        <v>4223</v>
      </c>
      <c r="E10876" s="685" t="s">
        <v>4224</v>
      </c>
      <c r="F10876" s="685" t="s">
        <v>4225</v>
      </c>
      <c r="G10876" s="685" t="s">
        <v>4226</v>
      </c>
      <c r="H10876" s="685" t="s">
        <v>4227</v>
      </c>
      <c r="I10876" s="685" t="s">
        <v>4228</v>
      </c>
      <c r="J10876" s="685" t="s">
        <v>4229</v>
      </c>
      <c r="K10876" s="685" t="s">
        <v>4230</v>
      </c>
    </row>
    <row r="10877" spans="1:11">
      <c r="A10877" s="686" t="s">
        <v>4231</v>
      </c>
      <c r="B10877" s="687" t="s">
        <v>4232</v>
      </c>
      <c r="C10877" s="687" t="s">
        <v>4232</v>
      </c>
      <c r="D10877" s="687" t="s">
        <v>4232</v>
      </c>
      <c r="E10877" s="687" t="s">
        <v>4232</v>
      </c>
      <c r="F10877" s="687" t="s">
        <v>4232</v>
      </c>
      <c r="G10877" s="687" t="s">
        <v>4232</v>
      </c>
      <c r="H10877" s="687" t="s">
        <v>4232</v>
      </c>
      <c r="I10877" s="687" t="s">
        <v>4232</v>
      </c>
      <c r="J10877" s="687" t="s">
        <v>4232</v>
      </c>
      <c r="K10877" s="687" t="s">
        <v>4232</v>
      </c>
    </row>
    <row r="10878" spans="1:11">
      <c r="A10878" s="688" t="s">
        <v>4064</v>
      </c>
      <c r="B10878" s="691">
        <v>24.6</v>
      </c>
      <c r="C10878" s="691">
        <v>24.7</v>
      </c>
      <c r="D10878" s="691">
        <v>24.7</v>
      </c>
      <c r="E10878" s="691">
        <v>24.8</v>
      </c>
      <c r="F10878" s="691">
        <v>24.8</v>
      </c>
      <c r="G10878" s="691">
        <v>24.9</v>
      </c>
      <c r="H10878" s="691">
        <v>25.2</v>
      </c>
      <c r="I10878" s="691">
        <v>24.3</v>
      </c>
      <c r="J10878" s="691">
        <v>24.1</v>
      </c>
      <c r="K10878" s="691">
        <v>24.7</v>
      </c>
    </row>
    <row r="10879" spans="1:11">
      <c r="A10879" s="688" t="s">
        <v>4065</v>
      </c>
      <c r="B10879" s="689">
        <v>24.8</v>
      </c>
      <c r="C10879" s="689">
        <v>25.1</v>
      </c>
      <c r="D10879" s="689">
        <v>24.8</v>
      </c>
      <c r="E10879" s="689">
        <v>25.1</v>
      </c>
      <c r="F10879" s="689">
        <v>25.1</v>
      </c>
      <c r="G10879" s="689">
        <v>25.2</v>
      </c>
      <c r="H10879" s="690" t="s">
        <v>4060</v>
      </c>
      <c r="I10879" s="690" t="s">
        <v>4060</v>
      </c>
      <c r="J10879" s="690" t="s">
        <v>4060</v>
      </c>
      <c r="K10879" s="690" t="s">
        <v>4060</v>
      </c>
    </row>
    <row r="10880" spans="1:11">
      <c r="A10880" s="688" t="s">
        <v>4063</v>
      </c>
      <c r="B10880" s="691">
        <v>24.8</v>
      </c>
      <c r="C10880" s="691">
        <v>25.1</v>
      </c>
      <c r="D10880" s="691">
        <v>24.9</v>
      </c>
      <c r="E10880" s="691">
        <v>25.2</v>
      </c>
      <c r="F10880" s="691">
        <v>25.2</v>
      </c>
      <c r="G10880" s="691">
        <v>25.2</v>
      </c>
      <c r="H10880" s="692" t="s">
        <v>4060</v>
      </c>
      <c r="I10880" s="692" t="s">
        <v>4060</v>
      </c>
      <c r="J10880" s="692" t="s">
        <v>4060</v>
      </c>
      <c r="K10880" s="692" t="s">
        <v>4060</v>
      </c>
    </row>
    <row r="10881" spans="1:11">
      <c r="A10881" s="688" t="s">
        <v>4069</v>
      </c>
      <c r="B10881" s="690" t="s">
        <v>4060</v>
      </c>
      <c r="C10881" s="689">
        <v>25.6</v>
      </c>
      <c r="D10881" s="689">
        <v>25.4</v>
      </c>
      <c r="E10881" s="689">
        <v>25.6</v>
      </c>
      <c r="F10881" s="689">
        <v>25.7</v>
      </c>
      <c r="G10881" s="689">
        <v>25.8</v>
      </c>
      <c r="H10881" s="693">
        <v>26</v>
      </c>
      <c r="I10881" s="689">
        <v>25.3</v>
      </c>
      <c r="J10881" s="689">
        <v>25.3</v>
      </c>
      <c r="K10881" s="689">
        <v>25.6</v>
      </c>
    </row>
    <row r="10882" spans="1:11">
      <c r="A10882" s="688" t="s">
        <v>4068</v>
      </c>
      <c r="B10882" s="691">
        <v>25.5</v>
      </c>
      <c r="C10882" s="692" t="s">
        <v>4060</v>
      </c>
      <c r="D10882" s="692" t="s">
        <v>4060</v>
      </c>
      <c r="E10882" s="692" t="s">
        <v>4060</v>
      </c>
      <c r="F10882" s="692" t="s">
        <v>4060</v>
      </c>
      <c r="G10882" s="692" t="s">
        <v>4060</v>
      </c>
      <c r="H10882" s="692" t="s">
        <v>4060</v>
      </c>
      <c r="I10882" s="692" t="s">
        <v>4060</v>
      </c>
      <c r="J10882" s="692" t="s">
        <v>4060</v>
      </c>
      <c r="K10882" s="692" t="s">
        <v>4060</v>
      </c>
    </row>
    <row r="10883" spans="1:11">
      <c r="A10883" s="688" t="s">
        <v>0</v>
      </c>
      <c r="B10883" s="689">
        <v>24.9</v>
      </c>
      <c r="C10883" s="689">
        <v>25.3</v>
      </c>
      <c r="D10883" s="689">
        <v>25.2</v>
      </c>
      <c r="E10883" s="689">
        <v>25.5</v>
      </c>
      <c r="F10883" s="689">
        <v>25.6</v>
      </c>
      <c r="G10883" s="689">
        <v>25.8</v>
      </c>
      <c r="H10883" s="689">
        <v>26.1</v>
      </c>
      <c r="I10883" s="693">
        <v>25</v>
      </c>
      <c r="J10883" s="689">
        <v>25.8</v>
      </c>
      <c r="K10883" s="693">
        <v>26</v>
      </c>
    </row>
    <row r="10884" spans="1:11">
      <c r="A10884" s="688" t="s">
        <v>1</v>
      </c>
      <c r="B10884" s="691">
        <v>20.2</v>
      </c>
      <c r="C10884" s="691">
        <v>19.899999999999999</v>
      </c>
      <c r="D10884" s="691">
        <v>19.899999999999999</v>
      </c>
      <c r="E10884" s="615">
        <v>20</v>
      </c>
      <c r="F10884" s="615">
        <v>20</v>
      </c>
      <c r="G10884" s="615">
        <v>20</v>
      </c>
      <c r="H10884" s="615">
        <v>20</v>
      </c>
      <c r="I10884" s="691">
        <v>18.5</v>
      </c>
      <c r="J10884" s="691">
        <v>17.100000000000001</v>
      </c>
      <c r="K10884" s="691">
        <v>19.100000000000001</v>
      </c>
    </row>
    <row r="10885" spans="1:11">
      <c r="A10885" s="688" t="s">
        <v>2240</v>
      </c>
      <c r="B10885" s="689">
        <v>22.3</v>
      </c>
      <c r="C10885" s="689">
        <v>22.7</v>
      </c>
      <c r="D10885" s="689">
        <v>22.6</v>
      </c>
      <c r="E10885" s="689">
        <v>22.9</v>
      </c>
      <c r="F10885" s="689">
        <v>22.9</v>
      </c>
      <c r="G10885" s="693">
        <v>23</v>
      </c>
      <c r="H10885" s="689">
        <v>23.2</v>
      </c>
      <c r="I10885" s="689">
        <v>22.1</v>
      </c>
      <c r="J10885" s="689">
        <v>21.1</v>
      </c>
      <c r="K10885" s="693">
        <v>23</v>
      </c>
    </row>
    <row r="10886" spans="1:11">
      <c r="A10886" s="688" t="s">
        <v>2</v>
      </c>
      <c r="B10886" s="691">
        <v>24.8</v>
      </c>
      <c r="C10886" s="691">
        <v>25.1</v>
      </c>
      <c r="D10886" s="691">
        <v>25.1</v>
      </c>
      <c r="E10886" s="691">
        <v>25.3</v>
      </c>
      <c r="F10886" s="691">
        <v>25.4</v>
      </c>
      <c r="G10886" s="691">
        <v>25.3</v>
      </c>
      <c r="H10886" s="691">
        <v>25.6</v>
      </c>
      <c r="I10886" s="691">
        <v>25.8</v>
      </c>
      <c r="J10886" s="691">
        <v>25.6</v>
      </c>
      <c r="K10886" s="691">
        <v>25.5</v>
      </c>
    </row>
    <row r="10887" spans="1:11">
      <c r="A10887" s="688" t="s">
        <v>3</v>
      </c>
      <c r="B10887" s="689">
        <v>24.8</v>
      </c>
      <c r="C10887" s="693">
        <v>25</v>
      </c>
      <c r="D10887" s="689">
        <v>24.7</v>
      </c>
      <c r="E10887" s="693">
        <v>25</v>
      </c>
      <c r="F10887" s="693">
        <v>25</v>
      </c>
      <c r="G10887" s="693">
        <v>25</v>
      </c>
      <c r="H10887" s="689">
        <v>25.2</v>
      </c>
      <c r="I10887" s="693">
        <v>25</v>
      </c>
      <c r="J10887" s="689">
        <v>24.7</v>
      </c>
      <c r="K10887" s="689">
        <v>24.6</v>
      </c>
    </row>
    <row r="10888" spans="1:11">
      <c r="A10888" s="688" t="s">
        <v>4061</v>
      </c>
      <c r="B10888" s="691">
        <v>24.8</v>
      </c>
      <c r="C10888" s="615">
        <v>25</v>
      </c>
      <c r="D10888" s="691">
        <v>24.7</v>
      </c>
      <c r="E10888" s="615">
        <v>25</v>
      </c>
      <c r="F10888" s="615">
        <v>25</v>
      </c>
      <c r="G10888" s="615">
        <v>25</v>
      </c>
      <c r="H10888" s="691">
        <v>25.2</v>
      </c>
      <c r="I10888" s="615">
        <v>25</v>
      </c>
      <c r="J10888" s="691">
        <v>24.7</v>
      </c>
      <c r="K10888" s="691">
        <v>24.6</v>
      </c>
    </row>
    <row r="10889" spans="1:11">
      <c r="A10889" s="688" t="s">
        <v>4</v>
      </c>
      <c r="B10889" s="689">
        <v>21.2</v>
      </c>
      <c r="C10889" s="693">
        <v>21</v>
      </c>
      <c r="D10889" s="689">
        <v>21.5</v>
      </c>
      <c r="E10889" s="689">
        <v>21.6</v>
      </c>
      <c r="F10889" s="689">
        <v>21.7</v>
      </c>
      <c r="G10889" s="689">
        <v>21.7</v>
      </c>
      <c r="H10889" s="689">
        <v>22.1</v>
      </c>
      <c r="I10889" s="689">
        <v>22.1</v>
      </c>
      <c r="J10889" s="689">
        <v>20.7</v>
      </c>
      <c r="K10889" s="689">
        <v>21.6</v>
      </c>
    </row>
    <row r="10890" spans="1:11">
      <c r="A10890" s="688" t="s">
        <v>8</v>
      </c>
      <c r="B10890" s="691">
        <v>25.6</v>
      </c>
      <c r="C10890" s="691">
        <v>25.8</v>
      </c>
      <c r="D10890" s="691">
        <v>25.9</v>
      </c>
      <c r="E10890" s="615">
        <v>26</v>
      </c>
      <c r="F10890" s="691">
        <v>26.4</v>
      </c>
      <c r="G10890" s="691">
        <v>26.4</v>
      </c>
      <c r="H10890" s="691">
        <v>26.7</v>
      </c>
      <c r="I10890" s="691">
        <v>26.7</v>
      </c>
      <c r="J10890" s="691">
        <v>26.4</v>
      </c>
      <c r="K10890" s="691">
        <v>26.8</v>
      </c>
    </row>
    <row r="10891" spans="1:11">
      <c r="A10891" s="688" t="s">
        <v>7</v>
      </c>
      <c r="B10891" s="689">
        <v>25.7</v>
      </c>
      <c r="C10891" s="689">
        <v>25.1</v>
      </c>
      <c r="D10891" s="689">
        <v>24.8</v>
      </c>
      <c r="E10891" s="689">
        <v>25.2</v>
      </c>
      <c r="F10891" s="689">
        <v>25.1</v>
      </c>
      <c r="G10891" s="689">
        <v>25.5</v>
      </c>
      <c r="H10891" s="689">
        <v>25.5</v>
      </c>
      <c r="I10891" s="689">
        <v>25.2</v>
      </c>
      <c r="J10891" s="689">
        <v>24.3</v>
      </c>
      <c r="K10891" s="689">
        <v>24.9</v>
      </c>
    </row>
    <row r="10892" spans="1:11">
      <c r="A10892" s="688" t="s">
        <v>27</v>
      </c>
      <c r="B10892" s="691">
        <v>26.5</v>
      </c>
      <c r="C10892" s="691">
        <v>26.3</v>
      </c>
      <c r="D10892" s="615">
        <v>26</v>
      </c>
      <c r="E10892" s="691">
        <v>26.4</v>
      </c>
      <c r="F10892" s="691">
        <v>26.4</v>
      </c>
      <c r="G10892" s="691">
        <v>26.5</v>
      </c>
      <c r="H10892" s="691">
        <v>26.8</v>
      </c>
      <c r="I10892" s="691">
        <v>25.6</v>
      </c>
      <c r="J10892" s="691">
        <v>26.2</v>
      </c>
      <c r="K10892" s="691">
        <v>26.4</v>
      </c>
    </row>
    <row r="10893" spans="1:11">
      <c r="A10893" s="688" t="s">
        <v>6</v>
      </c>
      <c r="B10893" s="689">
        <v>26.2</v>
      </c>
      <c r="C10893" s="689">
        <v>26.3</v>
      </c>
      <c r="D10893" s="689">
        <v>26.1</v>
      </c>
      <c r="E10893" s="689">
        <v>26.3</v>
      </c>
      <c r="F10893" s="689">
        <v>26.4</v>
      </c>
      <c r="G10893" s="689">
        <v>26.5</v>
      </c>
      <c r="H10893" s="689">
        <v>26.7</v>
      </c>
      <c r="I10893" s="693">
        <v>26</v>
      </c>
      <c r="J10893" s="689">
        <v>26.2</v>
      </c>
      <c r="K10893" s="689">
        <v>26.3</v>
      </c>
    </row>
    <row r="10894" spans="1:11">
      <c r="A10894" s="688" t="s">
        <v>4058</v>
      </c>
      <c r="B10894" s="692" t="s">
        <v>4060</v>
      </c>
      <c r="C10894" s="692" t="s">
        <v>4060</v>
      </c>
      <c r="D10894" s="692" t="s">
        <v>4060</v>
      </c>
      <c r="E10894" s="692" t="s">
        <v>4060</v>
      </c>
      <c r="F10894" s="692" t="s">
        <v>4060</v>
      </c>
      <c r="G10894" s="692" t="s">
        <v>4060</v>
      </c>
      <c r="H10894" s="692" t="s">
        <v>4060</v>
      </c>
      <c r="I10894" s="692" t="s">
        <v>4060</v>
      </c>
      <c r="J10894" s="692" t="s">
        <v>4060</v>
      </c>
      <c r="K10894" s="692" t="s">
        <v>4060</v>
      </c>
    </row>
    <row r="10895" spans="1:11">
      <c r="A10895" s="688" t="s">
        <v>11</v>
      </c>
      <c r="B10895" s="689">
        <v>21.8</v>
      </c>
      <c r="C10895" s="689">
        <v>21.9</v>
      </c>
      <c r="D10895" s="689">
        <v>21.6</v>
      </c>
      <c r="E10895" s="693">
        <v>22</v>
      </c>
      <c r="F10895" s="693">
        <v>22</v>
      </c>
      <c r="G10895" s="689">
        <v>22.1</v>
      </c>
      <c r="H10895" s="689">
        <v>22.5</v>
      </c>
      <c r="I10895" s="689">
        <v>21.7</v>
      </c>
      <c r="J10895" s="689">
        <v>20.9</v>
      </c>
      <c r="K10895" s="689">
        <v>21.9</v>
      </c>
    </row>
    <row r="10896" spans="1:11">
      <c r="A10896" s="688" t="s">
        <v>10</v>
      </c>
      <c r="B10896" s="691">
        <v>26.5</v>
      </c>
      <c r="C10896" s="691">
        <v>26.5</v>
      </c>
      <c r="D10896" s="691">
        <v>26.2</v>
      </c>
      <c r="E10896" s="691">
        <v>26.7</v>
      </c>
      <c r="F10896" s="691">
        <v>26.6</v>
      </c>
      <c r="G10896" s="691">
        <v>26.9</v>
      </c>
      <c r="H10896" s="691">
        <v>27.1</v>
      </c>
      <c r="I10896" s="691">
        <v>25.8</v>
      </c>
      <c r="J10896" s="691">
        <v>26.4</v>
      </c>
      <c r="K10896" s="691">
        <v>26.6</v>
      </c>
    </row>
    <row r="10897" spans="1:11">
      <c r="A10897" s="688" t="s">
        <v>30</v>
      </c>
      <c r="B10897" s="689">
        <v>26.3</v>
      </c>
      <c r="C10897" s="689">
        <v>26.4</v>
      </c>
      <c r="D10897" s="689">
        <v>26.2</v>
      </c>
      <c r="E10897" s="689">
        <v>26.8</v>
      </c>
      <c r="F10897" s="689">
        <v>26.4</v>
      </c>
      <c r="G10897" s="689">
        <v>27.1</v>
      </c>
      <c r="H10897" s="689">
        <v>26.8</v>
      </c>
      <c r="I10897" s="689">
        <v>26.8</v>
      </c>
      <c r="J10897" s="689">
        <v>26.2</v>
      </c>
      <c r="K10897" s="689">
        <v>26.5</v>
      </c>
    </row>
    <row r="10898" spans="1:11">
      <c r="A10898" s="688" t="s">
        <v>12</v>
      </c>
      <c r="B10898" s="691">
        <v>19.399999999999999</v>
      </c>
      <c r="C10898" s="691">
        <v>19.399999999999999</v>
      </c>
      <c r="D10898" s="691">
        <v>19.7</v>
      </c>
      <c r="E10898" s="691">
        <v>19.600000000000001</v>
      </c>
      <c r="F10898" s="691">
        <v>19.7</v>
      </c>
      <c r="G10898" s="691">
        <v>19.8</v>
      </c>
      <c r="H10898" s="691">
        <v>20.2</v>
      </c>
      <c r="I10898" s="691">
        <v>19.899999999999999</v>
      </c>
      <c r="J10898" s="691">
        <v>18.2</v>
      </c>
      <c r="K10898" s="691">
        <v>19.399999999999999</v>
      </c>
    </row>
    <row r="10899" spans="1:11">
      <c r="A10899" s="688" t="s">
        <v>14</v>
      </c>
      <c r="B10899" s="689">
        <v>19.5</v>
      </c>
      <c r="C10899" s="689">
        <v>19.7</v>
      </c>
      <c r="D10899" s="689">
        <v>19.5</v>
      </c>
      <c r="E10899" s="689">
        <v>19.600000000000001</v>
      </c>
      <c r="F10899" s="689">
        <v>20.2</v>
      </c>
      <c r="G10899" s="689">
        <v>20.3</v>
      </c>
      <c r="H10899" s="689">
        <v>20.6</v>
      </c>
      <c r="I10899" s="689">
        <v>19.5</v>
      </c>
      <c r="J10899" s="689">
        <v>19.2</v>
      </c>
      <c r="K10899" s="689">
        <v>20.100000000000001</v>
      </c>
    </row>
    <row r="10900" spans="1:11">
      <c r="A10900" s="688" t="s">
        <v>15</v>
      </c>
      <c r="B10900" s="691">
        <v>26.2</v>
      </c>
      <c r="C10900" s="691">
        <v>25.5</v>
      </c>
      <c r="D10900" s="691">
        <v>26.1</v>
      </c>
      <c r="E10900" s="691">
        <v>25.9</v>
      </c>
      <c r="F10900" s="691">
        <v>25.9</v>
      </c>
      <c r="G10900" s="615">
        <v>26</v>
      </c>
      <c r="H10900" s="691">
        <v>26.3</v>
      </c>
      <c r="I10900" s="691">
        <v>25.8</v>
      </c>
      <c r="J10900" s="691">
        <v>26.3</v>
      </c>
      <c r="K10900" s="691">
        <v>26.7</v>
      </c>
    </row>
    <row r="10901" spans="1:11">
      <c r="A10901" s="688" t="s">
        <v>29</v>
      </c>
      <c r="B10901" s="689">
        <v>20.3</v>
      </c>
      <c r="C10901" s="689">
        <v>20.2</v>
      </c>
      <c r="D10901" s="689">
        <v>20.100000000000001</v>
      </c>
      <c r="E10901" s="689">
        <v>20.2</v>
      </c>
      <c r="F10901" s="689">
        <v>20.100000000000001</v>
      </c>
      <c r="G10901" s="689">
        <v>20.100000000000001</v>
      </c>
      <c r="H10901" s="689">
        <v>20.399999999999999</v>
      </c>
      <c r="I10901" s="689">
        <v>19.7</v>
      </c>
      <c r="J10901" s="689">
        <v>18.600000000000001</v>
      </c>
      <c r="K10901" s="693">
        <v>20</v>
      </c>
    </row>
    <row r="10902" spans="1:11">
      <c r="A10902" s="688" t="s">
        <v>16</v>
      </c>
      <c r="B10902" s="691">
        <v>25.9</v>
      </c>
      <c r="C10902" s="691">
        <v>25.9</v>
      </c>
      <c r="D10902" s="615">
        <v>26</v>
      </c>
      <c r="E10902" s="691">
        <v>26.9</v>
      </c>
      <c r="F10902" s="691">
        <v>26.3</v>
      </c>
      <c r="G10902" s="691">
        <v>26.4</v>
      </c>
      <c r="H10902" s="691">
        <v>26.6</v>
      </c>
      <c r="I10902" s="615">
        <v>26</v>
      </c>
      <c r="J10902" s="691">
        <v>26.4</v>
      </c>
      <c r="K10902" s="691">
        <v>26.4</v>
      </c>
    </row>
    <row r="10903" spans="1:11">
      <c r="A10903" s="688" t="s">
        <v>17</v>
      </c>
      <c r="B10903" s="689">
        <v>25.7</v>
      </c>
      <c r="C10903" s="693">
        <v>26</v>
      </c>
      <c r="D10903" s="689">
        <v>25.8</v>
      </c>
      <c r="E10903" s="689">
        <v>25.9</v>
      </c>
      <c r="F10903" s="689">
        <v>26.2</v>
      </c>
      <c r="G10903" s="689">
        <v>26.2</v>
      </c>
      <c r="H10903" s="689">
        <v>26.5</v>
      </c>
      <c r="I10903" s="689">
        <v>25.8</v>
      </c>
      <c r="J10903" s="689">
        <v>25.8</v>
      </c>
      <c r="K10903" s="689">
        <v>26.2</v>
      </c>
    </row>
    <row r="10904" spans="1:11">
      <c r="A10904" s="688" t="s">
        <v>19</v>
      </c>
      <c r="B10904" s="691">
        <v>25.3</v>
      </c>
      <c r="C10904" s="691">
        <v>25.4</v>
      </c>
      <c r="D10904" s="691">
        <v>25.2</v>
      </c>
      <c r="E10904" s="691">
        <v>25.5</v>
      </c>
      <c r="F10904" s="691">
        <v>25.6</v>
      </c>
      <c r="G10904" s="691">
        <v>25.6</v>
      </c>
      <c r="H10904" s="691">
        <v>25.9</v>
      </c>
      <c r="I10904" s="691">
        <v>25.2</v>
      </c>
      <c r="J10904" s="691">
        <v>25.2</v>
      </c>
      <c r="K10904" s="691">
        <v>25.3</v>
      </c>
    </row>
    <row r="10905" spans="1:11">
      <c r="A10905" s="688" t="s">
        <v>20</v>
      </c>
      <c r="B10905" s="689">
        <v>21.5</v>
      </c>
      <c r="C10905" s="689">
        <v>21.9</v>
      </c>
      <c r="D10905" s="689">
        <v>21.7</v>
      </c>
      <c r="E10905" s="693">
        <v>22</v>
      </c>
      <c r="F10905" s="693">
        <v>22</v>
      </c>
      <c r="G10905" s="689">
        <v>21.9</v>
      </c>
      <c r="H10905" s="689">
        <v>22.2</v>
      </c>
      <c r="I10905" s="689">
        <v>20.7</v>
      </c>
      <c r="J10905" s="693">
        <v>20</v>
      </c>
      <c r="K10905" s="689">
        <v>21.6</v>
      </c>
    </row>
    <row r="10906" spans="1:11">
      <c r="A10906" s="688" t="s">
        <v>21</v>
      </c>
      <c r="B10906" s="691">
        <v>24.8</v>
      </c>
      <c r="C10906" s="691">
        <v>25.2</v>
      </c>
      <c r="D10906" s="691">
        <v>25.2</v>
      </c>
      <c r="E10906" s="691">
        <v>25.1</v>
      </c>
      <c r="F10906" s="691">
        <v>25.5</v>
      </c>
      <c r="G10906" s="691">
        <v>25.4</v>
      </c>
      <c r="H10906" s="691">
        <v>25.7</v>
      </c>
      <c r="I10906" s="691">
        <v>25.2</v>
      </c>
      <c r="J10906" s="691">
        <v>25.2</v>
      </c>
      <c r="K10906" s="691">
        <v>25.6</v>
      </c>
    </row>
    <row r="10907" spans="1:11">
      <c r="A10907" s="688" t="s">
        <v>22</v>
      </c>
      <c r="B10907" s="689">
        <v>20.6</v>
      </c>
      <c r="C10907" s="689">
        <v>20.399999999999999</v>
      </c>
      <c r="D10907" s="689">
        <v>20.2</v>
      </c>
      <c r="E10907" s="689">
        <v>20.399999999999999</v>
      </c>
      <c r="F10907" s="689">
        <v>20.399999999999999</v>
      </c>
      <c r="G10907" s="689">
        <v>20.3</v>
      </c>
      <c r="H10907" s="689">
        <v>20.5</v>
      </c>
      <c r="I10907" s="689">
        <v>18.899999999999999</v>
      </c>
      <c r="J10907" s="693">
        <v>18</v>
      </c>
      <c r="K10907" s="689">
        <v>19.8</v>
      </c>
    </row>
    <row r="10908" spans="1:11">
      <c r="A10908" s="688" t="s">
        <v>26</v>
      </c>
      <c r="B10908" s="691">
        <v>24.1</v>
      </c>
      <c r="C10908" s="691">
        <v>24.5</v>
      </c>
      <c r="D10908" s="691">
        <v>24.3</v>
      </c>
      <c r="E10908" s="691">
        <v>24.7</v>
      </c>
      <c r="F10908" s="691">
        <v>24.5</v>
      </c>
      <c r="G10908" s="691">
        <v>24.7</v>
      </c>
      <c r="H10908" s="615">
        <v>25</v>
      </c>
      <c r="I10908" s="691">
        <v>24.2</v>
      </c>
      <c r="J10908" s="691">
        <v>24.1</v>
      </c>
      <c r="K10908" s="691">
        <v>24.9</v>
      </c>
    </row>
    <row r="10909" spans="1:11">
      <c r="A10909" s="688" t="s">
        <v>25</v>
      </c>
      <c r="B10909" s="689">
        <v>20.9</v>
      </c>
      <c r="C10909" s="689">
        <v>21.3</v>
      </c>
      <c r="D10909" s="689">
        <v>21.2</v>
      </c>
      <c r="E10909" s="689">
        <v>21.5</v>
      </c>
      <c r="F10909" s="689">
        <v>21.5</v>
      </c>
      <c r="G10909" s="689">
        <v>21.7</v>
      </c>
      <c r="H10909" s="689">
        <v>22.1</v>
      </c>
      <c r="I10909" s="689">
        <v>21.3</v>
      </c>
      <c r="J10909" s="689">
        <v>19.3</v>
      </c>
      <c r="K10909" s="689">
        <v>21.4</v>
      </c>
    </row>
    <row r="10910" spans="1:11">
      <c r="A10910" s="688" t="s">
        <v>5</v>
      </c>
      <c r="B10910" s="691">
        <v>25.1</v>
      </c>
      <c r="C10910" s="691">
        <v>25.1</v>
      </c>
      <c r="D10910" s="691">
        <v>25.2</v>
      </c>
      <c r="E10910" s="691">
        <v>25.3</v>
      </c>
      <c r="F10910" s="691">
        <v>25.5</v>
      </c>
      <c r="G10910" s="691">
        <v>25.6</v>
      </c>
      <c r="H10910" s="615">
        <v>26</v>
      </c>
      <c r="I10910" s="691">
        <v>25.9</v>
      </c>
      <c r="J10910" s="691">
        <v>25.8</v>
      </c>
      <c r="K10910" s="691">
        <v>25.3</v>
      </c>
    </row>
    <row r="10911" spans="1:11">
      <c r="A10911" s="688" t="s">
        <v>23</v>
      </c>
      <c r="B10911" s="689">
        <v>26.4</v>
      </c>
      <c r="C10911" s="689">
        <v>26.5</v>
      </c>
      <c r="D10911" s="689">
        <v>26.5</v>
      </c>
      <c r="E10911" s="689">
        <v>26.7</v>
      </c>
      <c r="F10911" s="689">
        <v>26.9</v>
      </c>
      <c r="G10911" s="689">
        <v>26.9</v>
      </c>
      <c r="H10911" s="689">
        <v>27.3</v>
      </c>
      <c r="I10911" s="689">
        <v>26.6</v>
      </c>
      <c r="J10911" s="689">
        <v>27.2</v>
      </c>
      <c r="K10911" s="689">
        <v>27.3</v>
      </c>
    </row>
    <row r="10912" spans="1:11">
      <c r="A10912" s="688" t="s">
        <v>4067</v>
      </c>
      <c r="B10912" s="691">
        <v>24.8</v>
      </c>
      <c r="C10912" s="691">
        <v>25.1</v>
      </c>
      <c r="D10912" s="691">
        <v>24.9</v>
      </c>
      <c r="E10912" s="691">
        <v>25.1</v>
      </c>
      <c r="F10912" s="691">
        <v>25.2</v>
      </c>
      <c r="G10912" s="691">
        <v>25.2</v>
      </c>
      <c r="H10912" s="692" t="s">
        <v>4060</v>
      </c>
      <c r="I10912" s="692" t="s">
        <v>4060</v>
      </c>
      <c r="J10912" s="692" t="s">
        <v>4060</v>
      </c>
      <c r="K10912" s="692" t="s">
        <v>4060</v>
      </c>
    </row>
    <row r="10913" spans="1:11">
      <c r="A10913" s="688" t="s">
        <v>4066</v>
      </c>
      <c r="B10913" s="689">
        <v>24.8</v>
      </c>
      <c r="C10913" s="689">
        <v>25.1</v>
      </c>
      <c r="D10913" s="689">
        <v>24.9</v>
      </c>
      <c r="E10913" s="689">
        <v>25.2</v>
      </c>
      <c r="F10913" s="689">
        <v>25.2</v>
      </c>
      <c r="G10913" s="689">
        <v>25.3</v>
      </c>
      <c r="H10913" s="690" t="s">
        <v>4060</v>
      </c>
      <c r="I10913" s="690" t="s">
        <v>4060</v>
      </c>
      <c r="J10913" s="690" t="s">
        <v>4060</v>
      </c>
      <c r="K10913" s="690" t="s">
        <v>4060</v>
      </c>
    </row>
    <row r="10914" spans="1:11">
      <c r="A10914" s="688" t="s">
        <v>4062</v>
      </c>
      <c r="B10914" s="691">
        <v>26.6</v>
      </c>
      <c r="C10914" s="691">
        <v>26.8</v>
      </c>
      <c r="D10914" s="691">
        <v>26.7</v>
      </c>
      <c r="E10914" s="691">
        <v>27.1</v>
      </c>
      <c r="F10914" s="691">
        <v>27.2</v>
      </c>
      <c r="G10914" s="691">
        <v>27.4</v>
      </c>
      <c r="H10914" s="691">
        <v>27.6</v>
      </c>
      <c r="I10914" s="691">
        <v>27.2</v>
      </c>
      <c r="J10914" s="691">
        <v>27.5</v>
      </c>
      <c r="K10914" s="691">
        <v>27.3</v>
      </c>
    </row>
    <row r="10915" spans="1:11">
      <c r="A10915" s="688" t="s">
        <v>9</v>
      </c>
      <c r="B10915" s="689">
        <v>26.7</v>
      </c>
      <c r="C10915" s="693">
        <v>27</v>
      </c>
      <c r="D10915" s="689">
        <v>27.4</v>
      </c>
      <c r="E10915" s="689">
        <v>26.6</v>
      </c>
      <c r="F10915" s="689">
        <v>27.4</v>
      </c>
      <c r="G10915" s="689">
        <v>27.5</v>
      </c>
      <c r="H10915" s="689">
        <v>27.5</v>
      </c>
      <c r="I10915" s="689">
        <v>27.8</v>
      </c>
      <c r="J10915" s="689">
        <v>28.1</v>
      </c>
      <c r="K10915" s="693">
        <v>27</v>
      </c>
    </row>
    <row r="10916" spans="1:11">
      <c r="A10916" s="688" t="s">
        <v>13</v>
      </c>
      <c r="B10916" s="691">
        <v>26.7</v>
      </c>
      <c r="C10916" s="691">
        <v>26.9</v>
      </c>
      <c r="D10916" s="691">
        <v>26.9</v>
      </c>
      <c r="E10916" s="691">
        <v>25.5</v>
      </c>
      <c r="F10916" s="691">
        <v>27.5</v>
      </c>
      <c r="G10916" s="691">
        <v>27.1</v>
      </c>
      <c r="H10916" s="691">
        <v>27.5</v>
      </c>
      <c r="I10916" s="691">
        <v>26.2</v>
      </c>
      <c r="J10916" s="691">
        <v>27.7</v>
      </c>
      <c r="K10916" s="691">
        <v>28.7</v>
      </c>
    </row>
    <row r="10917" spans="1:11">
      <c r="A10917" s="688" t="s">
        <v>18</v>
      </c>
      <c r="B10917" s="689">
        <v>26.1</v>
      </c>
      <c r="C10917" s="689">
        <v>26.3</v>
      </c>
      <c r="D10917" s="689">
        <v>26.5</v>
      </c>
      <c r="E10917" s="689">
        <v>26.7</v>
      </c>
      <c r="F10917" s="689">
        <v>26.9</v>
      </c>
      <c r="G10917" s="689">
        <v>27.1</v>
      </c>
      <c r="H10917" s="689">
        <v>27.3</v>
      </c>
      <c r="I10917" s="689">
        <v>27.5</v>
      </c>
      <c r="J10917" s="689">
        <v>27.5</v>
      </c>
      <c r="K10917" s="689">
        <v>26.9</v>
      </c>
    </row>
    <row r="10918" spans="1:11">
      <c r="A10918" s="688" t="s">
        <v>24</v>
      </c>
      <c r="B10918" s="691">
        <v>26.9</v>
      </c>
      <c r="C10918" s="615">
        <v>27</v>
      </c>
      <c r="D10918" s="691">
        <v>26.9</v>
      </c>
      <c r="E10918" s="691">
        <v>27.4</v>
      </c>
      <c r="F10918" s="691">
        <v>27.4</v>
      </c>
      <c r="G10918" s="691">
        <v>27.7</v>
      </c>
      <c r="H10918" s="691">
        <v>27.8</v>
      </c>
      <c r="I10918" s="615">
        <v>27</v>
      </c>
      <c r="J10918" s="691">
        <v>27.6</v>
      </c>
      <c r="K10918" s="691">
        <v>27.6</v>
      </c>
    </row>
    <row r="10919" spans="1:11">
      <c r="A10919" s="688" t="s">
        <v>4059</v>
      </c>
      <c r="B10919" s="689">
        <v>25.9</v>
      </c>
      <c r="C10919" s="689">
        <v>26.2</v>
      </c>
      <c r="D10919" s="693">
        <v>26</v>
      </c>
      <c r="E10919" s="689">
        <v>26.2</v>
      </c>
      <c r="F10919" s="689">
        <v>26.2</v>
      </c>
      <c r="G10919" s="689">
        <v>26.3</v>
      </c>
      <c r="H10919" s="690" t="s">
        <v>4060</v>
      </c>
      <c r="I10919" s="690" t="s">
        <v>4060</v>
      </c>
      <c r="J10919" s="690" t="s">
        <v>4060</v>
      </c>
      <c r="K10919" s="690" t="s">
        <v>4060</v>
      </c>
    </row>
    <row r="10920" spans="1:11">
      <c r="A10920" s="688" t="s">
        <v>2324</v>
      </c>
      <c r="B10920" s="691">
        <v>21.6</v>
      </c>
      <c r="C10920" s="691">
        <v>21.7</v>
      </c>
      <c r="D10920" s="691">
        <v>21.3</v>
      </c>
      <c r="E10920" s="691">
        <v>21.2</v>
      </c>
      <c r="F10920" s="691">
        <v>21.3</v>
      </c>
      <c r="G10920" s="691">
        <v>21.6</v>
      </c>
      <c r="H10920" s="691">
        <v>21.5</v>
      </c>
      <c r="I10920" s="691">
        <v>20.399999999999999</v>
      </c>
      <c r="J10920" s="691">
        <v>18.399999999999999</v>
      </c>
      <c r="K10920" s="692" t="s">
        <v>4060</v>
      </c>
    </row>
    <row r="10921" spans="1:11">
      <c r="A10921" s="688" t="s">
        <v>2322</v>
      </c>
      <c r="B10921" s="690" t="s">
        <v>4060</v>
      </c>
      <c r="C10921" s="690" t="s">
        <v>4060</v>
      </c>
      <c r="D10921" s="690" t="s">
        <v>4060</v>
      </c>
      <c r="E10921" s="690" t="s">
        <v>4060</v>
      </c>
      <c r="F10921" s="690" t="s">
        <v>4060</v>
      </c>
      <c r="G10921" s="690" t="s">
        <v>4060</v>
      </c>
      <c r="H10921" s="690" t="s">
        <v>4060</v>
      </c>
      <c r="I10921" s="690" t="s">
        <v>4060</v>
      </c>
      <c r="J10921" s="690" t="s">
        <v>4060</v>
      </c>
      <c r="K10921" s="690" t="s">
        <v>4060</v>
      </c>
    </row>
    <row r="10922" spans="1:11">
      <c r="A10922" s="688" t="s">
        <v>2328</v>
      </c>
      <c r="B10922" s="615">
        <v>21</v>
      </c>
      <c r="C10922" s="691">
        <v>21.1</v>
      </c>
      <c r="D10922" s="615">
        <v>21</v>
      </c>
      <c r="E10922" s="691">
        <v>21.1</v>
      </c>
      <c r="F10922" s="691">
        <v>21.3</v>
      </c>
      <c r="G10922" s="691">
        <v>21.7</v>
      </c>
      <c r="H10922" s="691">
        <v>21.6</v>
      </c>
      <c r="I10922" s="691">
        <v>19.3</v>
      </c>
      <c r="J10922" s="691">
        <v>18.7</v>
      </c>
      <c r="K10922" s="692" t="s">
        <v>4060</v>
      </c>
    </row>
    <row r="10923" spans="1:11">
      <c r="A10923" s="688" t="s">
        <v>2496</v>
      </c>
      <c r="B10923" s="690" t="s">
        <v>4060</v>
      </c>
      <c r="C10923" s="689">
        <v>19.899999999999999</v>
      </c>
      <c r="D10923" s="689">
        <v>18.899999999999999</v>
      </c>
      <c r="E10923" s="689">
        <v>18.7</v>
      </c>
      <c r="F10923" s="689">
        <v>19.2</v>
      </c>
      <c r="G10923" s="689">
        <v>19.5</v>
      </c>
      <c r="H10923" s="689">
        <v>19.399999999999999</v>
      </c>
      <c r="I10923" s="690" t="s">
        <v>4060</v>
      </c>
      <c r="J10923" s="690" t="s">
        <v>4060</v>
      </c>
      <c r="K10923" s="689">
        <v>18.899999999999999</v>
      </c>
    </row>
    <row r="10924" spans="1:11">
      <c r="A10924" s="688" t="s">
        <v>2269</v>
      </c>
      <c r="B10924" s="691">
        <v>23.9</v>
      </c>
      <c r="C10924" s="691">
        <v>24.1</v>
      </c>
      <c r="D10924" s="691">
        <v>23.7</v>
      </c>
      <c r="E10924" s="691">
        <v>24.3</v>
      </c>
      <c r="F10924" s="691">
        <v>24.4</v>
      </c>
      <c r="G10924" s="691">
        <v>24.6</v>
      </c>
      <c r="H10924" s="691">
        <v>24.9</v>
      </c>
      <c r="I10924" s="691">
        <v>22.6</v>
      </c>
      <c r="J10924" s="691">
        <v>20.9</v>
      </c>
      <c r="K10924" s="691">
        <v>24.5</v>
      </c>
    </row>
    <row r="10925" spans="1:11">
      <c r="A10925" s="688" t="s">
        <v>2349</v>
      </c>
      <c r="B10925" s="689">
        <v>20.5</v>
      </c>
      <c r="C10925" s="689">
        <v>20.6</v>
      </c>
      <c r="D10925" s="689">
        <v>20.6</v>
      </c>
      <c r="E10925" s="689">
        <v>20.8</v>
      </c>
      <c r="F10925" s="689">
        <v>20.8</v>
      </c>
      <c r="G10925" s="693">
        <v>21</v>
      </c>
      <c r="H10925" s="689">
        <v>20.9</v>
      </c>
      <c r="I10925" s="689">
        <v>19.399999999999999</v>
      </c>
      <c r="J10925" s="689">
        <v>18.2</v>
      </c>
      <c r="K10925" s="689">
        <v>20.3</v>
      </c>
    </row>
    <row r="10926" spans="1:11">
      <c r="A10926" s="688" t="s">
        <v>2355</v>
      </c>
      <c r="B10926" s="691">
        <v>23.2</v>
      </c>
      <c r="C10926" s="691">
        <v>23.2</v>
      </c>
      <c r="D10926" s="691">
        <v>23.1</v>
      </c>
      <c r="E10926" s="691">
        <v>23.1</v>
      </c>
      <c r="F10926" s="691">
        <v>23.3</v>
      </c>
      <c r="G10926" s="691">
        <v>23.6</v>
      </c>
      <c r="H10926" s="691">
        <v>23.7</v>
      </c>
      <c r="I10926" s="692" t="s">
        <v>4060</v>
      </c>
      <c r="J10926" s="692" t="s">
        <v>4060</v>
      </c>
      <c r="K10926" s="692" t="s">
        <v>4060</v>
      </c>
    </row>
    <row r="10927" spans="1:11">
      <c r="A10927" s="688" t="s">
        <v>2357</v>
      </c>
      <c r="B10927" s="690" t="s">
        <v>4060</v>
      </c>
      <c r="C10927" s="689">
        <v>18.399999999999999</v>
      </c>
      <c r="D10927" s="689">
        <v>18.600000000000001</v>
      </c>
      <c r="E10927" s="689">
        <v>18.899999999999999</v>
      </c>
      <c r="F10927" s="689">
        <v>19.2</v>
      </c>
      <c r="G10927" s="689">
        <v>18.899999999999999</v>
      </c>
      <c r="H10927" s="689">
        <v>19.100000000000001</v>
      </c>
      <c r="I10927" s="690" t="s">
        <v>4060</v>
      </c>
      <c r="J10927" s="690" t="s">
        <v>4060</v>
      </c>
      <c r="K10927" s="690" t="s">
        <v>4060</v>
      </c>
    </row>
    <row r="10928" spans="1:11">
      <c r="A10928" s="688" t="s">
        <v>4070</v>
      </c>
      <c r="B10928" s="692" t="s">
        <v>4060</v>
      </c>
      <c r="C10928" s="692" t="s">
        <v>4060</v>
      </c>
      <c r="D10928" s="692" t="s">
        <v>4060</v>
      </c>
      <c r="E10928" s="691">
        <v>22.6</v>
      </c>
      <c r="F10928" s="692" t="s">
        <v>4060</v>
      </c>
      <c r="G10928" s="692" t="s">
        <v>4060</v>
      </c>
      <c r="H10928" s="692" t="s">
        <v>4060</v>
      </c>
      <c r="I10928" s="692" t="s">
        <v>4060</v>
      </c>
      <c r="J10928" s="692" t="s">
        <v>4060</v>
      </c>
      <c r="K10928" s="692" t="s">
        <v>4060</v>
      </c>
    </row>
    <row r="10929" spans="1:11">
      <c r="A10929" s="688" t="s">
        <v>2491</v>
      </c>
      <c r="B10929" s="689">
        <v>17.8</v>
      </c>
      <c r="C10929" s="689">
        <v>18.2</v>
      </c>
      <c r="D10929" s="689">
        <v>18.3</v>
      </c>
      <c r="E10929" s="689">
        <v>18.5</v>
      </c>
      <c r="F10929" s="689">
        <v>18.5</v>
      </c>
      <c r="G10929" s="689">
        <v>18.5</v>
      </c>
      <c r="H10929" s="690" t="s">
        <v>4060</v>
      </c>
      <c r="I10929" s="690" t="s">
        <v>4060</v>
      </c>
      <c r="J10929" s="690" t="s">
        <v>4060</v>
      </c>
      <c r="K10929" s="690" t="s">
        <v>4060</v>
      </c>
    </row>
    <row r="10930" spans="1:11">
      <c r="A10930" s="688" t="s">
        <v>2343</v>
      </c>
      <c r="B10930" s="692" t="s">
        <v>4060</v>
      </c>
      <c r="C10930" s="692" t="s">
        <v>4060</v>
      </c>
      <c r="D10930" s="692" t="s">
        <v>4060</v>
      </c>
      <c r="E10930" s="692" t="s">
        <v>4060</v>
      </c>
      <c r="F10930" s="692" t="s">
        <v>4060</v>
      </c>
      <c r="G10930" s="692" t="s">
        <v>4060</v>
      </c>
      <c r="H10930" s="692" t="s">
        <v>4060</v>
      </c>
      <c r="I10930" s="692" t="s">
        <v>4060</v>
      </c>
      <c r="J10930" s="692" t="s">
        <v>4060</v>
      </c>
      <c r="K10930" s="692" t="s">
        <v>4060</v>
      </c>
    </row>
    <row r="10931" spans="1:11">
      <c r="A10931" s="688" t="s">
        <v>4071</v>
      </c>
      <c r="B10931" s="690" t="s">
        <v>4060</v>
      </c>
      <c r="C10931" s="690" t="s">
        <v>4060</v>
      </c>
      <c r="D10931" s="690" t="s">
        <v>4060</v>
      </c>
      <c r="E10931" s="690" t="s">
        <v>4060</v>
      </c>
      <c r="F10931" s="690" t="s">
        <v>4060</v>
      </c>
      <c r="G10931" s="690" t="s">
        <v>4060</v>
      </c>
      <c r="H10931" s="690" t="s">
        <v>4060</v>
      </c>
      <c r="I10931" s="690" t="s">
        <v>4060</v>
      </c>
      <c r="J10931" s="690" t="s">
        <v>4060</v>
      </c>
      <c r="K10931" s="690" t="s">
        <v>4060</v>
      </c>
    </row>
    <row r="10932" spans="1:11">
      <c r="A10932" s="688" t="s">
        <v>2489</v>
      </c>
      <c r="B10932" s="692" t="s">
        <v>4060</v>
      </c>
      <c r="C10932" s="692" t="s">
        <v>4060</v>
      </c>
      <c r="D10932" s="691">
        <v>20.6</v>
      </c>
      <c r="E10932" s="691">
        <v>20.5</v>
      </c>
      <c r="F10932" s="691">
        <v>20.9</v>
      </c>
      <c r="G10932" s="691">
        <v>21.6</v>
      </c>
      <c r="H10932" s="691">
        <v>21.5</v>
      </c>
      <c r="I10932" s="692" t="s">
        <v>4060</v>
      </c>
      <c r="J10932" s="692" t="s">
        <v>4060</v>
      </c>
      <c r="K10932" s="692" t="s">
        <v>4060</v>
      </c>
    </row>
    <row r="10933" spans="1:11">
      <c r="A10933" s="688" t="s">
        <v>2490</v>
      </c>
      <c r="B10933" s="693">
        <v>21</v>
      </c>
      <c r="C10933" s="689">
        <v>20.9</v>
      </c>
      <c r="D10933" s="689">
        <v>21.7</v>
      </c>
      <c r="E10933" s="690" t="s">
        <v>4060</v>
      </c>
      <c r="F10933" s="689">
        <v>21.9</v>
      </c>
      <c r="G10933" s="693">
        <v>22</v>
      </c>
      <c r="H10933" s="689">
        <v>22.9</v>
      </c>
      <c r="I10933" s="690" t="s">
        <v>4060</v>
      </c>
      <c r="J10933" s="690" t="s">
        <v>4060</v>
      </c>
      <c r="K10933" s="690" t="s">
        <v>4060</v>
      </c>
    </row>
    <row r="10935" spans="1:11">
      <c r="A10935" s="683" t="s">
        <v>4233</v>
      </c>
    </row>
    <row r="10936" spans="1:11">
      <c r="A10936" s="683" t="s">
        <v>4060</v>
      </c>
      <c r="B10936" s="682" t="s">
        <v>4234</v>
      </c>
    </row>
    <row r="10938" spans="1:11">
      <c r="A10938" s="682" t="s">
        <v>4331</v>
      </c>
    </row>
    <row r="10939" spans="1:11">
      <c r="A10939" s="682" t="s">
        <v>4210</v>
      </c>
      <c r="B10939" s="683" t="s">
        <v>4211</v>
      </c>
    </row>
    <row r="10940" spans="1:11">
      <c r="A10940" s="682" t="s">
        <v>4212</v>
      </c>
      <c r="B10940" s="682" t="s">
        <v>4213</v>
      </c>
    </row>
    <row r="10942" spans="1:11">
      <c r="A10942" s="683" t="s">
        <v>4214</v>
      </c>
      <c r="C10942" s="682" t="s">
        <v>4215</v>
      </c>
    </row>
    <row r="10943" spans="1:11">
      <c r="A10943" s="683" t="s">
        <v>4216</v>
      </c>
      <c r="C10943" s="682" t="s">
        <v>2967</v>
      </c>
    </row>
    <row r="10944" spans="1:11">
      <c r="A10944" s="683" t="s">
        <v>3893</v>
      </c>
      <c r="C10944" s="682" t="s">
        <v>2168</v>
      </c>
    </row>
    <row r="10945" spans="1:11">
      <c r="A10945" s="683" t="s">
        <v>4218</v>
      </c>
      <c r="C10945" s="682" t="s">
        <v>4292</v>
      </c>
    </row>
    <row r="10947" spans="1:11">
      <c r="A10947" s="684" t="s">
        <v>4220</v>
      </c>
      <c r="B10947" s="685" t="s">
        <v>4221</v>
      </c>
      <c r="C10947" s="685" t="s">
        <v>4222</v>
      </c>
      <c r="D10947" s="685" t="s">
        <v>4223</v>
      </c>
      <c r="E10947" s="685" t="s">
        <v>4224</v>
      </c>
      <c r="F10947" s="685" t="s">
        <v>4225</v>
      </c>
      <c r="G10947" s="685" t="s">
        <v>4226</v>
      </c>
      <c r="H10947" s="685" t="s">
        <v>4227</v>
      </c>
      <c r="I10947" s="685" t="s">
        <v>4228</v>
      </c>
      <c r="J10947" s="685" t="s">
        <v>4229</v>
      </c>
      <c r="K10947" s="685" t="s">
        <v>4230</v>
      </c>
    </row>
    <row r="10948" spans="1:11">
      <c r="A10948" s="686" t="s">
        <v>4231</v>
      </c>
      <c r="B10948" s="687" t="s">
        <v>4232</v>
      </c>
      <c r="C10948" s="687" t="s">
        <v>4232</v>
      </c>
      <c r="D10948" s="687" t="s">
        <v>4232</v>
      </c>
      <c r="E10948" s="687" t="s">
        <v>4232</v>
      </c>
      <c r="F10948" s="687" t="s">
        <v>4232</v>
      </c>
      <c r="G10948" s="687" t="s">
        <v>4232</v>
      </c>
      <c r="H10948" s="687" t="s">
        <v>4232</v>
      </c>
      <c r="I10948" s="687" t="s">
        <v>4232</v>
      </c>
      <c r="J10948" s="687" t="s">
        <v>4232</v>
      </c>
      <c r="K10948" s="687" t="s">
        <v>4232</v>
      </c>
    </row>
    <row r="10949" spans="1:11">
      <c r="A10949" s="688" t="s">
        <v>4064</v>
      </c>
      <c r="B10949" s="689">
        <v>23.8</v>
      </c>
      <c r="C10949" s="689">
        <v>23.9</v>
      </c>
      <c r="D10949" s="689">
        <v>23.9</v>
      </c>
      <c r="E10949" s="693">
        <v>24</v>
      </c>
      <c r="F10949" s="693">
        <v>24</v>
      </c>
      <c r="G10949" s="689">
        <v>24.1</v>
      </c>
      <c r="H10949" s="689">
        <v>24.3</v>
      </c>
      <c r="I10949" s="689">
        <v>23.5</v>
      </c>
      <c r="J10949" s="689">
        <v>23.3</v>
      </c>
      <c r="K10949" s="689">
        <v>23.9</v>
      </c>
    </row>
    <row r="10950" spans="1:11">
      <c r="A10950" s="688" t="s">
        <v>4065</v>
      </c>
      <c r="B10950" s="615">
        <v>24</v>
      </c>
      <c r="C10950" s="691">
        <v>24.3</v>
      </c>
      <c r="D10950" s="615">
        <v>24</v>
      </c>
      <c r="E10950" s="691">
        <v>24.3</v>
      </c>
      <c r="F10950" s="691">
        <v>24.3</v>
      </c>
      <c r="G10950" s="691">
        <v>24.4</v>
      </c>
      <c r="H10950" s="692" t="s">
        <v>4060</v>
      </c>
      <c r="I10950" s="692" t="s">
        <v>4060</v>
      </c>
      <c r="J10950" s="692" t="s">
        <v>4060</v>
      </c>
      <c r="K10950" s="692" t="s">
        <v>4060</v>
      </c>
    </row>
    <row r="10951" spans="1:11">
      <c r="A10951" s="688" t="s">
        <v>4063</v>
      </c>
      <c r="B10951" s="693">
        <v>24</v>
      </c>
      <c r="C10951" s="689">
        <v>24.3</v>
      </c>
      <c r="D10951" s="693">
        <v>24</v>
      </c>
      <c r="E10951" s="689">
        <v>24.3</v>
      </c>
      <c r="F10951" s="689">
        <v>24.3</v>
      </c>
      <c r="G10951" s="689">
        <v>24.4</v>
      </c>
      <c r="H10951" s="690" t="s">
        <v>4060</v>
      </c>
      <c r="I10951" s="690" t="s">
        <v>4060</v>
      </c>
      <c r="J10951" s="690" t="s">
        <v>4060</v>
      </c>
      <c r="K10951" s="690" t="s">
        <v>4060</v>
      </c>
    </row>
    <row r="10952" spans="1:11">
      <c r="A10952" s="688" t="s">
        <v>4069</v>
      </c>
      <c r="B10952" s="692" t="s">
        <v>4060</v>
      </c>
      <c r="C10952" s="691">
        <v>24.7</v>
      </c>
      <c r="D10952" s="691">
        <v>24.5</v>
      </c>
      <c r="E10952" s="691">
        <v>24.8</v>
      </c>
      <c r="F10952" s="691">
        <v>24.8</v>
      </c>
      <c r="G10952" s="691">
        <v>24.9</v>
      </c>
      <c r="H10952" s="691">
        <v>25.2</v>
      </c>
      <c r="I10952" s="691">
        <v>24.5</v>
      </c>
      <c r="J10952" s="691">
        <v>24.5</v>
      </c>
      <c r="K10952" s="691">
        <v>24.7</v>
      </c>
    </row>
    <row r="10953" spans="1:11">
      <c r="A10953" s="688" t="s">
        <v>4068</v>
      </c>
      <c r="B10953" s="689">
        <v>24.7</v>
      </c>
      <c r="C10953" s="690" t="s">
        <v>4060</v>
      </c>
      <c r="D10953" s="690" t="s">
        <v>4060</v>
      </c>
      <c r="E10953" s="690" t="s">
        <v>4060</v>
      </c>
      <c r="F10953" s="690" t="s">
        <v>4060</v>
      </c>
      <c r="G10953" s="690" t="s">
        <v>4060</v>
      </c>
      <c r="H10953" s="690" t="s">
        <v>4060</v>
      </c>
      <c r="I10953" s="690" t="s">
        <v>4060</v>
      </c>
      <c r="J10953" s="690" t="s">
        <v>4060</v>
      </c>
      <c r="K10953" s="690" t="s">
        <v>4060</v>
      </c>
    </row>
    <row r="10954" spans="1:11">
      <c r="A10954" s="688" t="s">
        <v>0</v>
      </c>
      <c r="B10954" s="691">
        <v>24.1</v>
      </c>
      <c r="C10954" s="691">
        <v>24.5</v>
      </c>
      <c r="D10954" s="691">
        <v>24.4</v>
      </c>
      <c r="E10954" s="691">
        <v>24.6</v>
      </c>
      <c r="F10954" s="691">
        <v>24.7</v>
      </c>
      <c r="G10954" s="691">
        <v>24.9</v>
      </c>
      <c r="H10954" s="691">
        <v>25.2</v>
      </c>
      <c r="I10954" s="691">
        <v>24.1</v>
      </c>
      <c r="J10954" s="691">
        <v>24.9</v>
      </c>
      <c r="K10954" s="691">
        <v>25.2</v>
      </c>
    </row>
    <row r="10955" spans="1:11">
      <c r="A10955" s="688" t="s">
        <v>1</v>
      </c>
      <c r="B10955" s="689">
        <v>19.399999999999999</v>
      </c>
      <c r="C10955" s="689">
        <v>19.2</v>
      </c>
      <c r="D10955" s="689">
        <v>19.2</v>
      </c>
      <c r="E10955" s="689">
        <v>19.3</v>
      </c>
      <c r="F10955" s="689">
        <v>19.3</v>
      </c>
      <c r="G10955" s="689">
        <v>19.3</v>
      </c>
      <c r="H10955" s="689">
        <v>19.3</v>
      </c>
      <c r="I10955" s="689">
        <v>17.8</v>
      </c>
      <c r="J10955" s="689">
        <v>16.5</v>
      </c>
      <c r="K10955" s="689">
        <v>18.399999999999999</v>
      </c>
    </row>
    <row r="10956" spans="1:11">
      <c r="A10956" s="688" t="s">
        <v>2240</v>
      </c>
      <c r="B10956" s="691">
        <v>21.5</v>
      </c>
      <c r="C10956" s="691">
        <v>21.9</v>
      </c>
      <c r="D10956" s="691">
        <v>21.7</v>
      </c>
      <c r="E10956" s="691">
        <v>22.1</v>
      </c>
      <c r="F10956" s="691">
        <v>22.1</v>
      </c>
      <c r="G10956" s="691">
        <v>22.2</v>
      </c>
      <c r="H10956" s="691">
        <v>22.4</v>
      </c>
      <c r="I10956" s="691">
        <v>21.3</v>
      </c>
      <c r="J10956" s="691">
        <v>20.3</v>
      </c>
      <c r="K10956" s="691">
        <v>22.2</v>
      </c>
    </row>
    <row r="10957" spans="1:11">
      <c r="A10957" s="688" t="s">
        <v>2</v>
      </c>
      <c r="B10957" s="693">
        <v>24</v>
      </c>
      <c r="C10957" s="689">
        <v>24.3</v>
      </c>
      <c r="D10957" s="689">
        <v>24.3</v>
      </c>
      <c r="E10957" s="689">
        <v>24.4</v>
      </c>
      <c r="F10957" s="689">
        <v>24.6</v>
      </c>
      <c r="G10957" s="689">
        <v>24.4</v>
      </c>
      <c r="H10957" s="689">
        <v>24.7</v>
      </c>
      <c r="I10957" s="689">
        <v>24.9</v>
      </c>
      <c r="J10957" s="689">
        <v>24.7</v>
      </c>
      <c r="K10957" s="689">
        <v>24.7</v>
      </c>
    </row>
    <row r="10958" spans="1:11">
      <c r="A10958" s="688" t="s">
        <v>3</v>
      </c>
      <c r="B10958" s="615">
        <v>24</v>
      </c>
      <c r="C10958" s="691">
        <v>24.2</v>
      </c>
      <c r="D10958" s="691">
        <v>23.9</v>
      </c>
      <c r="E10958" s="691">
        <v>24.1</v>
      </c>
      <c r="F10958" s="691">
        <v>24.2</v>
      </c>
      <c r="G10958" s="691">
        <v>24.1</v>
      </c>
      <c r="H10958" s="691">
        <v>24.4</v>
      </c>
      <c r="I10958" s="691">
        <v>24.1</v>
      </c>
      <c r="J10958" s="691">
        <v>23.9</v>
      </c>
      <c r="K10958" s="691">
        <v>23.8</v>
      </c>
    </row>
    <row r="10959" spans="1:11">
      <c r="A10959" s="688" t="s">
        <v>4061</v>
      </c>
      <c r="B10959" s="693">
        <v>24</v>
      </c>
      <c r="C10959" s="689">
        <v>24.2</v>
      </c>
      <c r="D10959" s="689">
        <v>23.9</v>
      </c>
      <c r="E10959" s="689">
        <v>24.1</v>
      </c>
      <c r="F10959" s="689">
        <v>24.2</v>
      </c>
      <c r="G10959" s="689">
        <v>24.1</v>
      </c>
      <c r="H10959" s="689">
        <v>24.4</v>
      </c>
      <c r="I10959" s="689">
        <v>24.1</v>
      </c>
      <c r="J10959" s="689">
        <v>23.9</v>
      </c>
      <c r="K10959" s="689">
        <v>23.8</v>
      </c>
    </row>
    <row r="10960" spans="1:11">
      <c r="A10960" s="688" t="s">
        <v>4</v>
      </c>
      <c r="B10960" s="691">
        <v>20.5</v>
      </c>
      <c r="C10960" s="691">
        <v>20.3</v>
      </c>
      <c r="D10960" s="691">
        <v>20.7</v>
      </c>
      <c r="E10960" s="691">
        <v>20.8</v>
      </c>
      <c r="F10960" s="691">
        <v>20.9</v>
      </c>
      <c r="G10960" s="691">
        <v>20.9</v>
      </c>
      <c r="H10960" s="691">
        <v>21.4</v>
      </c>
      <c r="I10960" s="691">
        <v>21.3</v>
      </c>
      <c r="J10960" s="691">
        <v>19.899999999999999</v>
      </c>
      <c r="K10960" s="691">
        <v>20.8</v>
      </c>
    </row>
    <row r="10961" spans="1:11">
      <c r="A10961" s="688" t="s">
        <v>8</v>
      </c>
      <c r="B10961" s="689">
        <v>24.7</v>
      </c>
      <c r="C10961" s="689">
        <v>24.9</v>
      </c>
      <c r="D10961" s="693">
        <v>25</v>
      </c>
      <c r="E10961" s="689">
        <v>25.1</v>
      </c>
      <c r="F10961" s="689">
        <v>25.6</v>
      </c>
      <c r="G10961" s="689">
        <v>25.6</v>
      </c>
      <c r="H10961" s="689">
        <v>25.8</v>
      </c>
      <c r="I10961" s="689">
        <v>25.8</v>
      </c>
      <c r="J10961" s="689">
        <v>25.6</v>
      </c>
      <c r="K10961" s="689">
        <v>25.9</v>
      </c>
    </row>
    <row r="10962" spans="1:11">
      <c r="A10962" s="688" t="s">
        <v>7</v>
      </c>
      <c r="B10962" s="691">
        <v>24.9</v>
      </c>
      <c r="C10962" s="691">
        <v>24.3</v>
      </c>
      <c r="D10962" s="615">
        <v>24</v>
      </c>
      <c r="E10962" s="691">
        <v>24.4</v>
      </c>
      <c r="F10962" s="691">
        <v>24.3</v>
      </c>
      <c r="G10962" s="691">
        <v>24.6</v>
      </c>
      <c r="H10962" s="691">
        <v>24.7</v>
      </c>
      <c r="I10962" s="691">
        <v>24.3</v>
      </c>
      <c r="J10962" s="691">
        <v>23.5</v>
      </c>
      <c r="K10962" s="691">
        <v>24.1</v>
      </c>
    </row>
    <row r="10963" spans="1:11">
      <c r="A10963" s="688" t="s">
        <v>27</v>
      </c>
      <c r="B10963" s="689">
        <v>25.6</v>
      </c>
      <c r="C10963" s="689">
        <v>25.5</v>
      </c>
      <c r="D10963" s="689">
        <v>25.2</v>
      </c>
      <c r="E10963" s="689">
        <v>25.5</v>
      </c>
      <c r="F10963" s="689">
        <v>25.6</v>
      </c>
      <c r="G10963" s="689">
        <v>25.6</v>
      </c>
      <c r="H10963" s="693">
        <v>26</v>
      </c>
      <c r="I10963" s="689">
        <v>24.7</v>
      </c>
      <c r="J10963" s="689">
        <v>25.4</v>
      </c>
      <c r="K10963" s="689">
        <v>25.6</v>
      </c>
    </row>
    <row r="10964" spans="1:11">
      <c r="A10964" s="688" t="s">
        <v>6</v>
      </c>
      <c r="B10964" s="691">
        <v>25.4</v>
      </c>
      <c r="C10964" s="691">
        <v>25.5</v>
      </c>
      <c r="D10964" s="691">
        <v>25.3</v>
      </c>
      <c r="E10964" s="691">
        <v>25.5</v>
      </c>
      <c r="F10964" s="691">
        <v>25.6</v>
      </c>
      <c r="G10964" s="691">
        <v>25.7</v>
      </c>
      <c r="H10964" s="691">
        <v>25.9</v>
      </c>
      <c r="I10964" s="691">
        <v>25.2</v>
      </c>
      <c r="J10964" s="691">
        <v>25.3</v>
      </c>
      <c r="K10964" s="691">
        <v>25.5</v>
      </c>
    </row>
    <row r="10965" spans="1:11">
      <c r="A10965" s="688" t="s">
        <v>4058</v>
      </c>
      <c r="B10965" s="690" t="s">
        <v>4060</v>
      </c>
      <c r="C10965" s="690" t="s">
        <v>4060</v>
      </c>
      <c r="D10965" s="690" t="s">
        <v>4060</v>
      </c>
      <c r="E10965" s="690" t="s">
        <v>4060</v>
      </c>
      <c r="F10965" s="690" t="s">
        <v>4060</v>
      </c>
      <c r="G10965" s="690" t="s">
        <v>4060</v>
      </c>
      <c r="H10965" s="690" t="s">
        <v>4060</v>
      </c>
      <c r="I10965" s="690" t="s">
        <v>4060</v>
      </c>
      <c r="J10965" s="690" t="s">
        <v>4060</v>
      </c>
      <c r="K10965" s="690" t="s">
        <v>4060</v>
      </c>
    </row>
    <row r="10966" spans="1:11">
      <c r="A10966" s="688" t="s">
        <v>11</v>
      </c>
      <c r="B10966" s="691">
        <v>21.1</v>
      </c>
      <c r="C10966" s="691">
        <v>21.1</v>
      </c>
      <c r="D10966" s="691">
        <v>20.8</v>
      </c>
      <c r="E10966" s="691">
        <v>21.3</v>
      </c>
      <c r="F10966" s="691">
        <v>21.2</v>
      </c>
      <c r="G10966" s="691">
        <v>21.3</v>
      </c>
      <c r="H10966" s="691">
        <v>21.7</v>
      </c>
      <c r="I10966" s="691">
        <v>20.9</v>
      </c>
      <c r="J10966" s="691">
        <v>20.100000000000001</v>
      </c>
      <c r="K10966" s="691">
        <v>21.1</v>
      </c>
    </row>
    <row r="10967" spans="1:11">
      <c r="A10967" s="688" t="s">
        <v>10</v>
      </c>
      <c r="B10967" s="689">
        <v>25.6</v>
      </c>
      <c r="C10967" s="689">
        <v>25.6</v>
      </c>
      <c r="D10967" s="689">
        <v>25.4</v>
      </c>
      <c r="E10967" s="689">
        <v>25.9</v>
      </c>
      <c r="F10967" s="689">
        <v>25.7</v>
      </c>
      <c r="G10967" s="689">
        <v>26.1</v>
      </c>
      <c r="H10967" s="689">
        <v>26.2</v>
      </c>
      <c r="I10967" s="689">
        <v>24.9</v>
      </c>
      <c r="J10967" s="689">
        <v>25.5</v>
      </c>
      <c r="K10967" s="689">
        <v>25.7</v>
      </c>
    </row>
    <row r="10968" spans="1:11">
      <c r="A10968" s="688" t="s">
        <v>30</v>
      </c>
      <c r="B10968" s="691">
        <v>25.4</v>
      </c>
      <c r="C10968" s="691">
        <v>25.5</v>
      </c>
      <c r="D10968" s="691">
        <v>25.3</v>
      </c>
      <c r="E10968" s="691">
        <v>25.9</v>
      </c>
      <c r="F10968" s="691">
        <v>25.5</v>
      </c>
      <c r="G10968" s="691">
        <v>26.2</v>
      </c>
      <c r="H10968" s="691">
        <v>25.9</v>
      </c>
      <c r="I10968" s="615">
        <v>26</v>
      </c>
      <c r="J10968" s="691">
        <v>25.4</v>
      </c>
      <c r="K10968" s="691">
        <v>25.6</v>
      </c>
    </row>
    <row r="10969" spans="1:11">
      <c r="A10969" s="688" t="s">
        <v>12</v>
      </c>
      <c r="B10969" s="689">
        <v>18.8</v>
      </c>
      <c r="C10969" s="689">
        <v>18.600000000000001</v>
      </c>
      <c r="D10969" s="693">
        <v>19</v>
      </c>
      <c r="E10969" s="689">
        <v>18.899999999999999</v>
      </c>
      <c r="F10969" s="693">
        <v>19</v>
      </c>
      <c r="G10969" s="689">
        <v>19.100000000000001</v>
      </c>
      <c r="H10969" s="689">
        <v>19.399999999999999</v>
      </c>
      <c r="I10969" s="689">
        <v>19.2</v>
      </c>
      <c r="J10969" s="689">
        <v>17.5</v>
      </c>
      <c r="K10969" s="689">
        <v>18.7</v>
      </c>
    </row>
    <row r="10970" spans="1:11">
      <c r="A10970" s="688" t="s">
        <v>14</v>
      </c>
      <c r="B10970" s="691">
        <v>18.8</v>
      </c>
      <c r="C10970" s="615">
        <v>19</v>
      </c>
      <c r="D10970" s="691">
        <v>18.8</v>
      </c>
      <c r="E10970" s="615">
        <v>19</v>
      </c>
      <c r="F10970" s="691">
        <v>19.5</v>
      </c>
      <c r="G10970" s="691">
        <v>19.600000000000001</v>
      </c>
      <c r="H10970" s="691">
        <v>19.899999999999999</v>
      </c>
      <c r="I10970" s="691">
        <v>18.8</v>
      </c>
      <c r="J10970" s="691">
        <v>18.5</v>
      </c>
      <c r="K10970" s="691">
        <v>19.399999999999999</v>
      </c>
    </row>
    <row r="10971" spans="1:11">
      <c r="A10971" s="688" t="s">
        <v>15</v>
      </c>
      <c r="B10971" s="689">
        <v>25.4</v>
      </c>
      <c r="C10971" s="689">
        <v>24.6</v>
      </c>
      <c r="D10971" s="689">
        <v>25.2</v>
      </c>
      <c r="E10971" s="689">
        <v>25.1</v>
      </c>
      <c r="F10971" s="693">
        <v>25</v>
      </c>
      <c r="G10971" s="689">
        <v>25.1</v>
      </c>
      <c r="H10971" s="689">
        <v>25.4</v>
      </c>
      <c r="I10971" s="693">
        <v>25</v>
      </c>
      <c r="J10971" s="689">
        <v>25.4</v>
      </c>
      <c r="K10971" s="689">
        <v>25.8</v>
      </c>
    </row>
    <row r="10972" spans="1:11">
      <c r="A10972" s="688" t="s">
        <v>29</v>
      </c>
      <c r="B10972" s="691">
        <v>19.600000000000001</v>
      </c>
      <c r="C10972" s="691">
        <v>19.5</v>
      </c>
      <c r="D10972" s="691">
        <v>19.399999999999999</v>
      </c>
      <c r="E10972" s="691">
        <v>19.5</v>
      </c>
      <c r="F10972" s="691">
        <v>19.399999999999999</v>
      </c>
      <c r="G10972" s="691">
        <v>19.399999999999999</v>
      </c>
      <c r="H10972" s="691">
        <v>19.7</v>
      </c>
      <c r="I10972" s="615">
        <v>19</v>
      </c>
      <c r="J10972" s="691">
        <v>17.899999999999999</v>
      </c>
      <c r="K10972" s="691">
        <v>19.3</v>
      </c>
    </row>
    <row r="10973" spans="1:11">
      <c r="A10973" s="688" t="s">
        <v>16</v>
      </c>
      <c r="B10973" s="693">
        <v>25</v>
      </c>
      <c r="C10973" s="689">
        <v>25.1</v>
      </c>
      <c r="D10973" s="689">
        <v>25.1</v>
      </c>
      <c r="E10973" s="689">
        <v>26.1</v>
      </c>
      <c r="F10973" s="689">
        <v>25.4</v>
      </c>
      <c r="G10973" s="689">
        <v>25.5</v>
      </c>
      <c r="H10973" s="689">
        <v>25.7</v>
      </c>
      <c r="I10973" s="689">
        <v>25.1</v>
      </c>
      <c r="J10973" s="689">
        <v>25.5</v>
      </c>
      <c r="K10973" s="689">
        <v>25.5</v>
      </c>
    </row>
    <row r="10974" spans="1:11">
      <c r="A10974" s="688" t="s">
        <v>17</v>
      </c>
      <c r="B10974" s="691">
        <v>24.8</v>
      </c>
      <c r="C10974" s="691">
        <v>25.1</v>
      </c>
      <c r="D10974" s="691">
        <v>24.9</v>
      </c>
      <c r="E10974" s="691">
        <v>25.1</v>
      </c>
      <c r="F10974" s="691">
        <v>25.3</v>
      </c>
      <c r="G10974" s="691">
        <v>25.3</v>
      </c>
      <c r="H10974" s="691">
        <v>25.6</v>
      </c>
      <c r="I10974" s="691">
        <v>24.9</v>
      </c>
      <c r="J10974" s="691">
        <v>24.9</v>
      </c>
      <c r="K10974" s="691">
        <v>25.4</v>
      </c>
    </row>
    <row r="10975" spans="1:11">
      <c r="A10975" s="688" t="s">
        <v>19</v>
      </c>
      <c r="B10975" s="689">
        <v>24.4</v>
      </c>
      <c r="C10975" s="689">
        <v>24.6</v>
      </c>
      <c r="D10975" s="689">
        <v>24.3</v>
      </c>
      <c r="E10975" s="689">
        <v>24.7</v>
      </c>
      <c r="F10975" s="689">
        <v>24.8</v>
      </c>
      <c r="G10975" s="689">
        <v>24.8</v>
      </c>
      <c r="H10975" s="689">
        <v>25.1</v>
      </c>
      <c r="I10975" s="689">
        <v>24.4</v>
      </c>
      <c r="J10975" s="689">
        <v>24.3</v>
      </c>
      <c r="K10975" s="689">
        <v>24.5</v>
      </c>
    </row>
    <row r="10976" spans="1:11">
      <c r="A10976" s="688" t="s">
        <v>20</v>
      </c>
      <c r="B10976" s="691">
        <v>20.8</v>
      </c>
      <c r="C10976" s="691">
        <v>21.2</v>
      </c>
      <c r="D10976" s="615">
        <v>21</v>
      </c>
      <c r="E10976" s="691">
        <v>21.3</v>
      </c>
      <c r="F10976" s="691">
        <v>21.2</v>
      </c>
      <c r="G10976" s="691">
        <v>21.1</v>
      </c>
      <c r="H10976" s="691">
        <v>21.4</v>
      </c>
      <c r="I10976" s="691">
        <v>19.899999999999999</v>
      </c>
      <c r="J10976" s="691">
        <v>19.2</v>
      </c>
      <c r="K10976" s="691">
        <v>20.8</v>
      </c>
    </row>
    <row r="10977" spans="1:11">
      <c r="A10977" s="688" t="s">
        <v>21</v>
      </c>
      <c r="B10977" s="693">
        <v>24</v>
      </c>
      <c r="C10977" s="689">
        <v>24.4</v>
      </c>
      <c r="D10977" s="689">
        <v>24.4</v>
      </c>
      <c r="E10977" s="689">
        <v>24.3</v>
      </c>
      <c r="F10977" s="689">
        <v>24.6</v>
      </c>
      <c r="G10977" s="689">
        <v>24.6</v>
      </c>
      <c r="H10977" s="689">
        <v>24.9</v>
      </c>
      <c r="I10977" s="689">
        <v>24.4</v>
      </c>
      <c r="J10977" s="689">
        <v>24.4</v>
      </c>
      <c r="K10977" s="689">
        <v>24.8</v>
      </c>
    </row>
    <row r="10978" spans="1:11">
      <c r="A10978" s="688" t="s">
        <v>22</v>
      </c>
      <c r="B10978" s="691">
        <v>19.899999999999999</v>
      </c>
      <c r="C10978" s="691">
        <v>19.7</v>
      </c>
      <c r="D10978" s="691">
        <v>19.600000000000001</v>
      </c>
      <c r="E10978" s="691">
        <v>19.7</v>
      </c>
      <c r="F10978" s="691">
        <v>19.7</v>
      </c>
      <c r="G10978" s="691">
        <v>19.600000000000001</v>
      </c>
      <c r="H10978" s="691">
        <v>19.8</v>
      </c>
      <c r="I10978" s="691">
        <v>18.2</v>
      </c>
      <c r="J10978" s="691">
        <v>17.3</v>
      </c>
      <c r="K10978" s="691">
        <v>19.100000000000001</v>
      </c>
    </row>
    <row r="10979" spans="1:11">
      <c r="A10979" s="688" t="s">
        <v>26</v>
      </c>
      <c r="B10979" s="689">
        <v>23.2</v>
      </c>
      <c r="C10979" s="689">
        <v>23.6</v>
      </c>
      <c r="D10979" s="689">
        <v>23.5</v>
      </c>
      <c r="E10979" s="689">
        <v>23.9</v>
      </c>
      <c r="F10979" s="689">
        <v>23.6</v>
      </c>
      <c r="G10979" s="689">
        <v>23.9</v>
      </c>
      <c r="H10979" s="689">
        <v>24.1</v>
      </c>
      <c r="I10979" s="689">
        <v>23.3</v>
      </c>
      <c r="J10979" s="689">
        <v>23.3</v>
      </c>
      <c r="K10979" s="693">
        <v>24</v>
      </c>
    </row>
    <row r="10980" spans="1:11">
      <c r="A10980" s="688" t="s">
        <v>25</v>
      </c>
      <c r="B10980" s="691">
        <v>20.100000000000001</v>
      </c>
      <c r="C10980" s="691">
        <v>20.5</v>
      </c>
      <c r="D10980" s="691">
        <v>20.399999999999999</v>
      </c>
      <c r="E10980" s="691">
        <v>20.8</v>
      </c>
      <c r="F10980" s="691">
        <v>20.8</v>
      </c>
      <c r="G10980" s="615">
        <v>21</v>
      </c>
      <c r="H10980" s="691">
        <v>21.3</v>
      </c>
      <c r="I10980" s="691">
        <v>20.5</v>
      </c>
      <c r="J10980" s="691">
        <v>18.600000000000001</v>
      </c>
      <c r="K10980" s="691">
        <v>20.6</v>
      </c>
    </row>
    <row r="10981" spans="1:11">
      <c r="A10981" s="688" t="s">
        <v>5</v>
      </c>
      <c r="B10981" s="689">
        <v>24.3</v>
      </c>
      <c r="C10981" s="689">
        <v>24.3</v>
      </c>
      <c r="D10981" s="689">
        <v>24.4</v>
      </c>
      <c r="E10981" s="689">
        <v>24.4</v>
      </c>
      <c r="F10981" s="689">
        <v>24.6</v>
      </c>
      <c r="G10981" s="689">
        <v>24.8</v>
      </c>
      <c r="H10981" s="689">
        <v>25.1</v>
      </c>
      <c r="I10981" s="689">
        <v>25.1</v>
      </c>
      <c r="J10981" s="689">
        <v>24.9</v>
      </c>
      <c r="K10981" s="689">
        <v>24.5</v>
      </c>
    </row>
    <row r="10982" spans="1:11">
      <c r="A10982" s="688" t="s">
        <v>23</v>
      </c>
      <c r="B10982" s="691">
        <v>25.5</v>
      </c>
      <c r="C10982" s="691">
        <v>25.6</v>
      </c>
      <c r="D10982" s="691">
        <v>25.6</v>
      </c>
      <c r="E10982" s="691">
        <v>25.8</v>
      </c>
      <c r="F10982" s="615">
        <v>26</v>
      </c>
      <c r="G10982" s="615">
        <v>26</v>
      </c>
      <c r="H10982" s="691">
        <v>26.4</v>
      </c>
      <c r="I10982" s="691">
        <v>25.7</v>
      </c>
      <c r="J10982" s="691">
        <v>26.3</v>
      </c>
      <c r="K10982" s="691">
        <v>26.4</v>
      </c>
    </row>
    <row r="10983" spans="1:11">
      <c r="A10983" s="688" t="s">
        <v>4067</v>
      </c>
      <c r="B10983" s="693">
        <v>24</v>
      </c>
      <c r="C10983" s="689">
        <v>24.3</v>
      </c>
      <c r="D10983" s="693">
        <v>24</v>
      </c>
      <c r="E10983" s="689">
        <v>24.3</v>
      </c>
      <c r="F10983" s="689">
        <v>24.3</v>
      </c>
      <c r="G10983" s="689">
        <v>24.4</v>
      </c>
      <c r="H10983" s="690" t="s">
        <v>4060</v>
      </c>
      <c r="I10983" s="690" t="s">
        <v>4060</v>
      </c>
      <c r="J10983" s="690" t="s">
        <v>4060</v>
      </c>
      <c r="K10983" s="690" t="s">
        <v>4060</v>
      </c>
    </row>
    <row r="10984" spans="1:11">
      <c r="A10984" s="688" t="s">
        <v>4066</v>
      </c>
      <c r="B10984" s="615">
        <v>24</v>
      </c>
      <c r="C10984" s="691">
        <v>24.3</v>
      </c>
      <c r="D10984" s="691">
        <v>24.1</v>
      </c>
      <c r="E10984" s="691">
        <v>24.3</v>
      </c>
      <c r="F10984" s="691">
        <v>24.4</v>
      </c>
      <c r="G10984" s="691">
        <v>24.4</v>
      </c>
      <c r="H10984" s="692" t="s">
        <v>4060</v>
      </c>
      <c r="I10984" s="692" t="s">
        <v>4060</v>
      </c>
      <c r="J10984" s="692" t="s">
        <v>4060</v>
      </c>
      <c r="K10984" s="692" t="s">
        <v>4060</v>
      </c>
    </row>
    <row r="10985" spans="1:11">
      <c r="A10985" s="688" t="s">
        <v>4062</v>
      </c>
      <c r="B10985" s="689">
        <v>25.7</v>
      </c>
      <c r="C10985" s="689">
        <v>25.9</v>
      </c>
      <c r="D10985" s="689">
        <v>25.9</v>
      </c>
      <c r="E10985" s="689">
        <v>26.2</v>
      </c>
      <c r="F10985" s="689">
        <v>26.4</v>
      </c>
      <c r="G10985" s="689">
        <v>26.5</v>
      </c>
      <c r="H10985" s="689">
        <v>26.7</v>
      </c>
      <c r="I10985" s="689">
        <v>26.3</v>
      </c>
      <c r="J10985" s="689">
        <v>26.6</v>
      </c>
      <c r="K10985" s="689">
        <v>26.4</v>
      </c>
    </row>
    <row r="10986" spans="1:11">
      <c r="A10986" s="688" t="s">
        <v>9</v>
      </c>
      <c r="B10986" s="691">
        <v>25.8</v>
      </c>
      <c r="C10986" s="691">
        <v>26.2</v>
      </c>
      <c r="D10986" s="691">
        <v>26.5</v>
      </c>
      <c r="E10986" s="691">
        <v>25.6</v>
      </c>
      <c r="F10986" s="691">
        <v>26.5</v>
      </c>
      <c r="G10986" s="691">
        <v>26.6</v>
      </c>
      <c r="H10986" s="691">
        <v>26.6</v>
      </c>
      <c r="I10986" s="691">
        <v>26.9</v>
      </c>
      <c r="J10986" s="691">
        <v>27.3</v>
      </c>
      <c r="K10986" s="691">
        <v>26.1</v>
      </c>
    </row>
    <row r="10987" spans="1:11">
      <c r="A10987" s="688" t="s">
        <v>13</v>
      </c>
      <c r="B10987" s="689">
        <v>25.9</v>
      </c>
      <c r="C10987" s="689">
        <v>26.1</v>
      </c>
      <c r="D10987" s="693">
        <v>26</v>
      </c>
      <c r="E10987" s="689">
        <v>24.6</v>
      </c>
      <c r="F10987" s="689">
        <v>26.6</v>
      </c>
      <c r="G10987" s="689">
        <v>26.1</v>
      </c>
      <c r="H10987" s="689">
        <v>26.7</v>
      </c>
      <c r="I10987" s="689">
        <v>25.3</v>
      </c>
      <c r="J10987" s="689">
        <v>26.9</v>
      </c>
      <c r="K10987" s="689">
        <v>27.8</v>
      </c>
    </row>
    <row r="10988" spans="1:11">
      <c r="A10988" s="688" t="s">
        <v>18</v>
      </c>
      <c r="B10988" s="691">
        <v>25.2</v>
      </c>
      <c r="C10988" s="691">
        <v>25.4</v>
      </c>
      <c r="D10988" s="691">
        <v>25.6</v>
      </c>
      <c r="E10988" s="691">
        <v>25.8</v>
      </c>
      <c r="F10988" s="615">
        <v>26</v>
      </c>
      <c r="G10988" s="691">
        <v>26.1</v>
      </c>
      <c r="H10988" s="691">
        <v>26.4</v>
      </c>
      <c r="I10988" s="691">
        <v>26.6</v>
      </c>
      <c r="J10988" s="691">
        <v>26.6</v>
      </c>
      <c r="K10988" s="615">
        <v>26</v>
      </c>
    </row>
    <row r="10989" spans="1:11">
      <c r="A10989" s="688" t="s">
        <v>24</v>
      </c>
      <c r="B10989" s="693">
        <v>26</v>
      </c>
      <c r="C10989" s="689">
        <v>26.2</v>
      </c>
      <c r="D10989" s="693">
        <v>26</v>
      </c>
      <c r="E10989" s="689">
        <v>26.5</v>
      </c>
      <c r="F10989" s="689">
        <v>26.5</v>
      </c>
      <c r="G10989" s="689">
        <v>26.8</v>
      </c>
      <c r="H10989" s="689">
        <v>26.9</v>
      </c>
      <c r="I10989" s="689">
        <v>26.1</v>
      </c>
      <c r="J10989" s="689">
        <v>26.7</v>
      </c>
      <c r="K10989" s="689">
        <v>26.7</v>
      </c>
    </row>
    <row r="10990" spans="1:11">
      <c r="A10990" s="688" t="s">
        <v>4059</v>
      </c>
      <c r="B10990" s="691">
        <v>25.1</v>
      </c>
      <c r="C10990" s="691">
        <v>25.3</v>
      </c>
      <c r="D10990" s="691">
        <v>25.1</v>
      </c>
      <c r="E10990" s="691">
        <v>25.4</v>
      </c>
      <c r="F10990" s="691">
        <v>25.4</v>
      </c>
      <c r="G10990" s="691">
        <v>25.5</v>
      </c>
      <c r="H10990" s="692" t="s">
        <v>4060</v>
      </c>
      <c r="I10990" s="692" t="s">
        <v>4060</v>
      </c>
      <c r="J10990" s="692" t="s">
        <v>4060</v>
      </c>
      <c r="K10990" s="692" t="s">
        <v>4060</v>
      </c>
    </row>
    <row r="10991" spans="1:11">
      <c r="A10991" s="688" t="s">
        <v>2324</v>
      </c>
      <c r="B10991" s="689">
        <v>20.8</v>
      </c>
      <c r="C10991" s="689">
        <v>20.9</v>
      </c>
      <c r="D10991" s="689">
        <v>20.6</v>
      </c>
      <c r="E10991" s="689">
        <v>20.5</v>
      </c>
      <c r="F10991" s="689">
        <v>20.5</v>
      </c>
      <c r="G10991" s="689">
        <v>20.9</v>
      </c>
      <c r="H10991" s="689">
        <v>20.8</v>
      </c>
      <c r="I10991" s="689">
        <v>19.600000000000001</v>
      </c>
      <c r="J10991" s="689">
        <v>17.7</v>
      </c>
      <c r="K10991" s="690" t="s">
        <v>4060</v>
      </c>
    </row>
    <row r="10992" spans="1:11">
      <c r="A10992" s="688" t="s">
        <v>2322</v>
      </c>
      <c r="B10992" s="692" t="s">
        <v>4060</v>
      </c>
      <c r="C10992" s="692" t="s">
        <v>4060</v>
      </c>
      <c r="D10992" s="692" t="s">
        <v>4060</v>
      </c>
      <c r="E10992" s="692" t="s">
        <v>4060</v>
      </c>
      <c r="F10992" s="692" t="s">
        <v>4060</v>
      </c>
      <c r="G10992" s="692" t="s">
        <v>4060</v>
      </c>
      <c r="H10992" s="692" t="s">
        <v>4060</v>
      </c>
      <c r="I10992" s="692" t="s">
        <v>4060</v>
      </c>
      <c r="J10992" s="692" t="s">
        <v>4060</v>
      </c>
      <c r="K10992" s="692" t="s">
        <v>4060</v>
      </c>
    </row>
    <row r="10993" spans="1:11">
      <c r="A10993" s="688" t="s">
        <v>2328</v>
      </c>
      <c r="B10993" s="689">
        <v>20.2</v>
      </c>
      <c r="C10993" s="689">
        <v>20.3</v>
      </c>
      <c r="D10993" s="689">
        <v>20.2</v>
      </c>
      <c r="E10993" s="689">
        <v>20.3</v>
      </c>
      <c r="F10993" s="689">
        <v>20.5</v>
      </c>
      <c r="G10993" s="689">
        <v>20.9</v>
      </c>
      <c r="H10993" s="689">
        <v>20.8</v>
      </c>
      <c r="I10993" s="689">
        <v>18.5</v>
      </c>
      <c r="J10993" s="693">
        <v>18</v>
      </c>
      <c r="K10993" s="690" t="s">
        <v>4060</v>
      </c>
    </row>
    <row r="10994" spans="1:11">
      <c r="A10994" s="688" t="s">
        <v>2496</v>
      </c>
      <c r="B10994" s="692" t="s">
        <v>4060</v>
      </c>
      <c r="C10994" s="691">
        <v>19.2</v>
      </c>
      <c r="D10994" s="691">
        <v>18.2</v>
      </c>
      <c r="E10994" s="615">
        <v>18</v>
      </c>
      <c r="F10994" s="691">
        <v>18.5</v>
      </c>
      <c r="G10994" s="691">
        <v>18.8</v>
      </c>
      <c r="H10994" s="691">
        <v>18.7</v>
      </c>
      <c r="I10994" s="692" t="s">
        <v>4060</v>
      </c>
      <c r="J10994" s="692" t="s">
        <v>4060</v>
      </c>
      <c r="K10994" s="691">
        <v>18.2</v>
      </c>
    </row>
    <row r="10995" spans="1:11">
      <c r="A10995" s="688" t="s">
        <v>2269</v>
      </c>
      <c r="B10995" s="689">
        <v>23.1</v>
      </c>
      <c r="C10995" s="689">
        <v>23.2</v>
      </c>
      <c r="D10995" s="689">
        <v>22.8</v>
      </c>
      <c r="E10995" s="689">
        <v>23.5</v>
      </c>
      <c r="F10995" s="689">
        <v>23.6</v>
      </c>
      <c r="G10995" s="689">
        <v>23.7</v>
      </c>
      <c r="H10995" s="693">
        <v>24</v>
      </c>
      <c r="I10995" s="689">
        <v>21.8</v>
      </c>
      <c r="J10995" s="689">
        <v>20.100000000000001</v>
      </c>
      <c r="K10995" s="689">
        <v>23.6</v>
      </c>
    </row>
    <row r="10996" spans="1:11">
      <c r="A10996" s="688" t="s">
        <v>2349</v>
      </c>
      <c r="B10996" s="691">
        <v>19.8</v>
      </c>
      <c r="C10996" s="691">
        <v>19.899999999999999</v>
      </c>
      <c r="D10996" s="691">
        <v>19.8</v>
      </c>
      <c r="E10996" s="691">
        <v>20.100000000000001</v>
      </c>
      <c r="F10996" s="691">
        <v>20.100000000000001</v>
      </c>
      <c r="G10996" s="691">
        <v>20.2</v>
      </c>
      <c r="H10996" s="691">
        <v>20.2</v>
      </c>
      <c r="I10996" s="691">
        <v>18.7</v>
      </c>
      <c r="J10996" s="691">
        <v>17.399999999999999</v>
      </c>
      <c r="K10996" s="691">
        <v>19.600000000000001</v>
      </c>
    </row>
    <row r="10997" spans="1:11">
      <c r="A10997" s="688" t="s">
        <v>2355</v>
      </c>
      <c r="B10997" s="689">
        <v>22.4</v>
      </c>
      <c r="C10997" s="689">
        <v>22.4</v>
      </c>
      <c r="D10997" s="689">
        <v>22.3</v>
      </c>
      <c r="E10997" s="689">
        <v>22.3</v>
      </c>
      <c r="F10997" s="689">
        <v>22.4</v>
      </c>
      <c r="G10997" s="689">
        <v>22.8</v>
      </c>
      <c r="H10997" s="689">
        <v>22.9</v>
      </c>
      <c r="I10997" s="690" t="s">
        <v>4060</v>
      </c>
      <c r="J10997" s="690" t="s">
        <v>4060</v>
      </c>
      <c r="K10997" s="690" t="s">
        <v>4060</v>
      </c>
    </row>
    <row r="10998" spans="1:11">
      <c r="A10998" s="688" t="s">
        <v>2357</v>
      </c>
      <c r="B10998" s="692" t="s">
        <v>4060</v>
      </c>
      <c r="C10998" s="691">
        <v>17.7</v>
      </c>
      <c r="D10998" s="615">
        <v>18</v>
      </c>
      <c r="E10998" s="691">
        <v>18.2</v>
      </c>
      <c r="F10998" s="691">
        <v>18.5</v>
      </c>
      <c r="G10998" s="691">
        <v>18.2</v>
      </c>
      <c r="H10998" s="691">
        <v>18.399999999999999</v>
      </c>
      <c r="I10998" s="692" t="s">
        <v>4060</v>
      </c>
      <c r="J10998" s="692" t="s">
        <v>4060</v>
      </c>
      <c r="K10998" s="692" t="s">
        <v>4060</v>
      </c>
    </row>
    <row r="10999" spans="1:11">
      <c r="A10999" s="688" t="s">
        <v>4070</v>
      </c>
      <c r="B10999" s="690" t="s">
        <v>4060</v>
      </c>
      <c r="C10999" s="690" t="s">
        <v>4060</v>
      </c>
      <c r="D10999" s="690" t="s">
        <v>4060</v>
      </c>
      <c r="E10999" s="689">
        <v>21.7</v>
      </c>
      <c r="F10999" s="690" t="s">
        <v>4060</v>
      </c>
      <c r="G10999" s="690" t="s">
        <v>4060</v>
      </c>
      <c r="H10999" s="690" t="s">
        <v>4060</v>
      </c>
      <c r="I10999" s="690" t="s">
        <v>4060</v>
      </c>
      <c r="J10999" s="690" t="s">
        <v>4060</v>
      </c>
      <c r="K10999" s="690" t="s">
        <v>4060</v>
      </c>
    </row>
    <row r="11000" spans="1:11">
      <c r="A11000" s="688" t="s">
        <v>2491</v>
      </c>
      <c r="B11000" s="691">
        <v>17.2</v>
      </c>
      <c r="C11000" s="691">
        <v>17.5</v>
      </c>
      <c r="D11000" s="691">
        <v>17.7</v>
      </c>
      <c r="E11000" s="691">
        <v>17.8</v>
      </c>
      <c r="F11000" s="691">
        <v>17.8</v>
      </c>
      <c r="G11000" s="691">
        <v>17.8</v>
      </c>
      <c r="H11000" s="692" t="s">
        <v>4060</v>
      </c>
      <c r="I11000" s="692" t="s">
        <v>4060</v>
      </c>
      <c r="J11000" s="692" t="s">
        <v>4060</v>
      </c>
      <c r="K11000" s="692" t="s">
        <v>4060</v>
      </c>
    </row>
    <row r="11001" spans="1:11">
      <c r="A11001" s="688" t="s">
        <v>2343</v>
      </c>
      <c r="B11001" s="690" t="s">
        <v>4060</v>
      </c>
      <c r="C11001" s="690" t="s">
        <v>4060</v>
      </c>
      <c r="D11001" s="690" t="s">
        <v>4060</v>
      </c>
      <c r="E11001" s="690" t="s">
        <v>4060</v>
      </c>
      <c r="F11001" s="690" t="s">
        <v>4060</v>
      </c>
      <c r="G11001" s="690" t="s">
        <v>4060</v>
      </c>
      <c r="H11001" s="690" t="s">
        <v>4060</v>
      </c>
      <c r="I11001" s="690" t="s">
        <v>4060</v>
      </c>
      <c r="J11001" s="690" t="s">
        <v>4060</v>
      </c>
      <c r="K11001" s="690" t="s">
        <v>4060</v>
      </c>
    </row>
    <row r="11002" spans="1:11">
      <c r="A11002" s="688" t="s">
        <v>4071</v>
      </c>
      <c r="B11002" s="692" t="s">
        <v>4060</v>
      </c>
      <c r="C11002" s="692" t="s">
        <v>4060</v>
      </c>
      <c r="D11002" s="692" t="s">
        <v>4060</v>
      </c>
      <c r="E11002" s="692" t="s">
        <v>4060</v>
      </c>
      <c r="F11002" s="692" t="s">
        <v>4060</v>
      </c>
      <c r="G11002" s="692" t="s">
        <v>4060</v>
      </c>
      <c r="H11002" s="692" t="s">
        <v>4060</v>
      </c>
      <c r="I11002" s="692" t="s">
        <v>4060</v>
      </c>
      <c r="J11002" s="692" t="s">
        <v>4060</v>
      </c>
      <c r="K11002" s="692" t="s">
        <v>4060</v>
      </c>
    </row>
    <row r="11003" spans="1:11">
      <c r="A11003" s="688" t="s">
        <v>2489</v>
      </c>
      <c r="B11003" s="690" t="s">
        <v>4060</v>
      </c>
      <c r="C11003" s="690" t="s">
        <v>4060</v>
      </c>
      <c r="D11003" s="689">
        <v>19.899999999999999</v>
      </c>
      <c r="E11003" s="689">
        <v>19.7</v>
      </c>
      <c r="F11003" s="689">
        <v>20.100000000000001</v>
      </c>
      <c r="G11003" s="689">
        <v>20.8</v>
      </c>
      <c r="H11003" s="689">
        <v>20.8</v>
      </c>
      <c r="I11003" s="690" t="s">
        <v>4060</v>
      </c>
      <c r="J11003" s="690" t="s">
        <v>4060</v>
      </c>
      <c r="K11003" s="690" t="s">
        <v>4060</v>
      </c>
    </row>
    <row r="11004" spans="1:11">
      <c r="A11004" s="688" t="s">
        <v>2490</v>
      </c>
      <c r="B11004" s="691">
        <v>20.2</v>
      </c>
      <c r="C11004" s="691">
        <v>20.100000000000001</v>
      </c>
      <c r="D11004" s="691">
        <v>20.9</v>
      </c>
      <c r="E11004" s="692" t="s">
        <v>4060</v>
      </c>
      <c r="F11004" s="691">
        <v>21.2</v>
      </c>
      <c r="G11004" s="691">
        <v>21.2</v>
      </c>
      <c r="H11004" s="691">
        <v>22.1</v>
      </c>
      <c r="I11004" s="692" t="s">
        <v>4060</v>
      </c>
      <c r="J11004" s="692" t="s">
        <v>4060</v>
      </c>
      <c r="K11004" s="692" t="s">
        <v>4060</v>
      </c>
    </row>
    <row r="11006" spans="1:11">
      <c r="A11006" s="683" t="s">
        <v>4233</v>
      </c>
    </row>
    <row r="11007" spans="1:11">
      <c r="A11007" s="683" t="s">
        <v>4060</v>
      </c>
      <c r="B11007" s="682" t="s">
        <v>4234</v>
      </c>
    </row>
    <row r="11009" spans="1:11">
      <c r="A11009" s="682" t="s">
        <v>4331</v>
      </c>
    </row>
    <row r="11010" spans="1:11">
      <c r="A11010" s="682" t="s">
        <v>4210</v>
      </c>
      <c r="B11010" s="683" t="s">
        <v>4211</v>
      </c>
    </row>
    <row r="11011" spans="1:11">
      <c r="A11011" s="682" t="s">
        <v>4212</v>
      </c>
      <c r="B11011" s="682" t="s">
        <v>4213</v>
      </c>
    </row>
    <row r="11013" spans="1:11">
      <c r="A11013" s="683" t="s">
        <v>4214</v>
      </c>
      <c r="C11013" s="682" t="s">
        <v>4215</v>
      </c>
    </row>
    <row r="11014" spans="1:11">
      <c r="A11014" s="683" t="s">
        <v>4216</v>
      </c>
      <c r="C11014" s="682" t="s">
        <v>2967</v>
      </c>
    </row>
    <row r="11015" spans="1:11">
      <c r="A11015" s="683" t="s">
        <v>3893</v>
      </c>
      <c r="C11015" s="682" t="s">
        <v>2168</v>
      </c>
    </row>
    <row r="11016" spans="1:11">
      <c r="A11016" s="683" t="s">
        <v>4218</v>
      </c>
      <c r="C11016" s="682" t="s">
        <v>4293</v>
      </c>
    </row>
    <row r="11018" spans="1:11">
      <c r="A11018" s="684" t="s">
        <v>4220</v>
      </c>
      <c r="B11018" s="685" t="s">
        <v>4221</v>
      </c>
      <c r="C11018" s="685" t="s">
        <v>4222</v>
      </c>
      <c r="D11018" s="685" t="s">
        <v>4223</v>
      </c>
      <c r="E11018" s="685" t="s">
        <v>4224</v>
      </c>
      <c r="F11018" s="685" t="s">
        <v>4225</v>
      </c>
      <c r="G11018" s="685" t="s">
        <v>4226</v>
      </c>
      <c r="H11018" s="685" t="s">
        <v>4227</v>
      </c>
      <c r="I11018" s="685" t="s">
        <v>4228</v>
      </c>
      <c r="J11018" s="685" t="s">
        <v>4229</v>
      </c>
      <c r="K11018" s="685" t="s">
        <v>4230</v>
      </c>
    </row>
    <row r="11019" spans="1:11">
      <c r="A11019" s="686" t="s">
        <v>4231</v>
      </c>
      <c r="B11019" s="687" t="s">
        <v>4232</v>
      </c>
      <c r="C11019" s="687" t="s">
        <v>4232</v>
      </c>
      <c r="D11019" s="687" t="s">
        <v>4232</v>
      </c>
      <c r="E11019" s="687" t="s">
        <v>4232</v>
      </c>
      <c r="F11019" s="687" t="s">
        <v>4232</v>
      </c>
      <c r="G11019" s="687" t="s">
        <v>4232</v>
      </c>
      <c r="H11019" s="687" t="s">
        <v>4232</v>
      </c>
      <c r="I11019" s="687" t="s">
        <v>4232</v>
      </c>
      <c r="J11019" s="687" t="s">
        <v>4232</v>
      </c>
      <c r="K11019" s="687" t="s">
        <v>4232</v>
      </c>
    </row>
    <row r="11020" spans="1:11">
      <c r="A11020" s="688" t="s">
        <v>4064</v>
      </c>
      <c r="B11020" s="615">
        <v>23</v>
      </c>
      <c r="C11020" s="691">
        <v>23.1</v>
      </c>
      <c r="D11020" s="691">
        <v>23.1</v>
      </c>
      <c r="E11020" s="691">
        <v>23.2</v>
      </c>
      <c r="F11020" s="691">
        <v>23.2</v>
      </c>
      <c r="G11020" s="691">
        <v>23.3</v>
      </c>
      <c r="H11020" s="691">
        <v>23.5</v>
      </c>
      <c r="I11020" s="691">
        <v>22.6</v>
      </c>
      <c r="J11020" s="691">
        <v>22.5</v>
      </c>
      <c r="K11020" s="615">
        <v>23</v>
      </c>
    </row>
    <row r="11021" spans="1:11">
      <c r="A11021" s="688" t="s">
        <v>4065</v>
      </c>
      <c r="B11021" s="689">
        <v>23.2</v>
      </c>
      <c r="C11021" s="689">
        <v>23.5</v>
      </c>
      <c r="D11021" s="689">
        <v>23.2</v>
      </c>
      <c r="E11021" s="689">
        <v>23.5</v>
      </c>
      <c r="F11021" s="689">
        <v>23.5</v>
      </c>
      <c r="G11021" s="689">
        <v>23.6</v>
      </c>
      <c r="H11021" s="690" t="s">
        <v>4060</v>
      </c>
      <c r="I11021" s="690" t="s">
        <v>4060</v>
      </c>
      <c r="J11021" s="690" t="s">
        <v>4060</v>
      </c>
      <c r="K11021" s="690" t="s">
        <v>4060</v>
      </c>
    </row>
    <row r="11022" spans="1:11">
      <c r="A11022" s="688" t="s">
        <v>4063</v>
      </c>
      <c r="B11022" s="691">
        <v>23.2</v>
      </c>
      <c r="C11022" s="691">
        <v>23.5</v>
      </c>
      <c r="D11022" s="691">
        <v>23.2</v>
      </c>
      <c r="E11022" s="691">
        <v>23.5</v>
      </c>
      <c r="F11022" s="691">
        <v>23.5</v>
      </c>
      <c r="G11022" s="691">
        <v>23.6</v>
      </c>
      <c r="H11022" s="692" t="s">
        <v>4060</v>
      </c>
      <c r="I11022" s="692" t="s">
        <v>4060</v>
      </c>
      <c r="J11022" s="692" t="s">
        <v>4060</v>
      </c>
      <c r="K11022" s="692" t="s">
        <v>4060</v>
      </c>
    </row>
    <row r="11023" spans="1:11">
      <c r="A11023" s="688" t="s">
        <v>4069</v>
      </c>
      <c r="B11023" s="690" t="s">
        <v>4060</v>
      </c>
      <c r="C11023" s="689">
        <v>23.9</v>
      </c>
      <c r="D11023" s="689">
        <v>23.7</v>
      </c>
      <c r="E11023" s="693">
        <v>24</v>
      </c>
      <c r="F11023" s="693">
        <v>24</v>
      </c>
      <c r="G11023" s="689">
        <v>24.1</v>
      </c>
      <c r="H11023" s="689">
        <v>24.3</v>
      </c>
      <c r="I11023" s="689">
        <v>23.6</v>
      </c>
      <c r="J11023" s="689">
        <v>23.7</v>
      </c>
      <c r="K11023" s="689">
        <v>23.9</v>
      </c>
    </row>
    <row r="11024" spans="1:11">
      <c r="A11024" s="688" t="s">
        <v>4068</v>
      </c>
      <c r="B11024" s="691">
        <v>23.9</v>
      </c>
      <c r="C11024" s="692" t="s">
        <v>4060</v>
      </c>
      <c r="D11024" s="692" t="s">
        <v>4060</v>
      </c>
      <c r="E11024" s="692" t="s">
        <v>4060</v>
      </c>
      <c r="F11024" s="692" t="s">
        <v>4060</v>
      </c>
      <c r="G11024" s="692" t="s">
        <v>4060</v>
      </c>
      <c r="H11024" s="692" t="s">
        <v>4060</v>
      </c>
      <c r="I11024" s="692" t="s">
        <v>4060</v>
      </c>
      <c r="J11024" s="692" t="s">
        <v>4060</v>
      </c>
      <c r="K11024" s="692" t="s">
        <v>4060</v>
      </c>
    </row>
    <row r="11025" spans="1:11">
      <c r="A11025" s="688" t="s">
        <v>0</v>
      </c>
      <c r="B11025" s="689">
        <v>23.3</v>
      </c>
      <c r="C11025" s="689">
        <v>23.7</v>
      </c>
      <c r="D11025" s="689">
        <v>23.5</v>
      </c>
      <c r="E11025" s="689">
        <v>23.8</v>
      </c>
      <c r="F11025" s="689">
        <v>23.9</v>
      </c>
      <c r="G11025" s="693">
        <v>24</v>
      </c>
      <c r="H11025" s="689">
        <v>24.4</v>
      </c>
      <c r="I11025" s="689">
        <v>23.2</v>
      </c>
      <c r="J11025" s="693">
        <v>24</v>
      </c>
      <c r="K11025" s="689">
        <v>24.3</v>
      </c>
    </row>
    <row r="11026" spans="1:11">
      <c r="A11026" s="688" t="s">
        <v>1</v>
      </c>
      <c r="B11026" s="691">
        <v>18.7</v>
      </c>
      <c r="C11026" s="691">
        <v>18.5</v>
      </c>
      <c r="D11026" s="691">
        <v>18.5</v>
      </c>
      <c r="E11026" s="691">
        <v>18.600000000000001</v>
      </c>
      <c r="F11026" s="691">
        <v>18.5</v>
      </c>
      <c r="G11026" s="691">
        <v>18.600000000000001</v>
      </c>
      <c r="H11026" s="691">
        <v>18.600000000000001</v>
      </c>
      <c r="I11026" s="691">
        <v>17.2</v>
      </c>
      <c r="J11026" s="691">
        <v>15.8</v>
      </c>
      <c r="K11026" s="691">
        <v>17.7</v>
      </c>
    </row>
    <row r="11027" spans="1:11">
      <c r="A11027" s="688" t="s">
        <v>2240</v>
      </c>
      <c r="B11027" s="689">
        <v>20.7</v>
      </c>
      <c r="C11027" s="689">
        <v>21.1</v>
      </c>
      <c r="D11027" s="689">
        <v>20.9</v>
      </c>
      <c r="E11027" s="689">
        <v>21.3</v>
      </c>
      <c r="F11027" s="689">
        <v>21.3</v>
      </c>
      <c r="G11027" s="689">
        <v>21.4</v>
      </c>
      <c r="H11027" s="689">
        <v>21.6</v>
      </c>
      <c r="I11027" s="689">
        <v>20.5</v>
      </c>
      <c r="J11027" s="689">
        <v>19.600000000000001</v>
      </c>
      <c r="K11027" s="689">
        <v>21.4</v>
      </c>
    </row>
    <row r="11028" spans="1:11">
      <c r="A11028" s="688" t="s">
        <v>2</v>
      </c>
      <c r="B11028" s="691">
        <v>23.2</v>
      </c>
      <c r="C11028" s="691">
        <v>23.4</v>
      </c>
      <c r="D11028" s="691">
        <v>23.4</v>
      </c>
      <c r="E11028" s="691">
        <v>23.6</v>
      </c>
      <c r="F11028" s="691">
        <v>23.7</v>
      </c>
      <c r="G11028" s="691">
        <v>23.6</v>
      </c>
      <c r="H11028" s="691">
        <v>23.9</v>
      </c>
      <c r="I11028" s="615">
        <v>24</v>
      </c>
      <c r="J11028" s="691">
        <v>23.9</v>
      </c>
      <c r="K11028" s="691">
        <v>23.8</v>
      </c>
    </row>
    <row r="11029" spans="1:11">
      <c r="A11029" s="688" t="s">
        <v>3</v>
      </c>
      <c r="B11029" s="689">
        <v>23.2</v>
      </c>
      <c r="C11029" s="689">
        <v>23.4</v>
      </c>
      <c r="D11029" s="689">
        <v>23.1</v>
      </c>
      <c r="E11029" s="689">
        <v>23.3</v>
      </c>
      <c r="F11029" s="689">
        <v>23.3</v>
      </c>
      <c r="G11029" s="689">
        <v>23.3</v>
      </c>
      <c r="H11029" s="689">
        <v>23.6</v>
      </c>
      <c r="I11029" s="689">
        <v>23.3</v>
      </c>
      <c r="J11029" s="693">
        <v>23</v>
      </c>
      <c r="K11029" s="689">
        <v>22.9</v>
      </c>
    </row>
    <row r="11030" spans="1:11">
      <c r="A11030" s="688" t="s">
        <v>4061</v>
      </c>
      <c r="B11030" s="691">
        <v>23.2</v>
      </c>
      <c r="C11030" s="691">
        <v>23.4</v>
      </c>
      <c r="D11030" s="691">
        <v>23.1</v>
      </c>
      <c r="E11030" s="691">
        <v>23.3</v>
      </c>
      <c r="F11030" s="691">
        <v>23.3</v>
      </c>
      <c r="G11030" s="691">
        <v>23.3</v>
      </c>
      <c r="H11030" s="691">
        <v>23.6</v>
      </c>
      <c r="I11030" s="691">
        <v>23.3</v>
      </c>
      <c r="J11030" s="615">
        <v>23</v>
      </c>
      <c r="K11030" s="691">
        <v>22.9</v>
      </c>
    </row>
    <row r="11031" spans="1:11">
      <c r="A11031" s="688" t="s">
        <v>4</v>
      </c>
      <c r="B11031" s="689">
        <v>19.7</v>
      </c>
      <c r="C11031" s="689">
        <v>19.600000000000001</v>
      </c>
      <c r="D11031" s="693">
        <v>20</v>
      </c>
      <c r="E11031" s="689">
        <v>20.100000000000001</v>
      </c>
      <c r="F11031" s="689">
        <v>20.2</v>
      </c>
      <c r="G11031" s="689">
        <v>20.2</v>
      </c>
      <c r="H11031" s="689">
        <v>20.6</v>
      </c>
      <c r="I11031" s="689">
        <v>20.5</v>
      </c>
      <c r="J11031" s="689">
        <v>19.2</v>
      </c>
      <c r="K11031" s="693">
        <v>20</v>
      </c>
    </row>
    <row r="11032" spans="1:11">
      <c r="A11032" s="688" t="s">
        <v>8</v>
      </c>
      <c r="B11032" s="691">
        <v>23.9</v>
      </c>
      <c r="C11032" s="691">
        <v>24.1</v>
      </c>
      <c r="D11032" s="691">
        <v>24.2</v>
      </c>
      <c r="E11032" s="691">
        <v>24.2</v>
      </c>
      <c r="F11032" s="691">
        <v>24.7</v>
      </c>
      <c r="G11032" s="691">
        <v>24.7</v>
      </c>
      <c r="H11032" s="691">
        <v>24.9</v>
      </c>
      <c r="I11032" s="615">
        <v>25</v>
      </c>
      <c r="J11032" s="691">
        <v>24.7</v>
      </c>
      <c r="K11032" s="615">
        <v>25</v>
      </c>
    </row>
    <row r="11033" spans="1:11">
      <c r="A11033" s="688" t="s">
        <v>7</v>
      </c>
      <c r="B11033" s="689">
        <v>24.1</v>
      </c>
      <c r="C11033" s="689">
        <v>23.5</v>
      </c>
      <c r="D11033" s="689">
        <v>23.2</v>
      </c>
      <c r="E11033" s="689">
        <v>23.6</v>
      </c>
      <c r="F11033" s="689">
        <v>23.5</v>
      </c>
      <c r="G11033" s="689">
        <v>23.8</v>
      </c>
      <c r="H11033" s="689">
        <v>23.8</v>
      </c>
      <c r="I11033" s="689">
        <v>23.5</v>
      </c>
      <c r="J11033" s="689">
        <v>22.7</v>
      </c>
      <c r="K11033" s="689">
        <v>23.3</v>
      </c>
    </row>
    <row r="11034" spans="1:11">
      <c r="A11034" s="688" t="s">
        <v>27</v>
      </c>
      <c r="B11034" s="691">
        <v>24.8</v>
      </c>
      <c r="C11034" s="691">
        <v>24.6</v>
      </c>
      <c r="D11034" s="691">
        <v>24.4</v>
      </c>
      <c r="E11034" s="691">
        <v>24.7</v>
      </c>
      <c r="F11034" s="691">
        <v>24.7</v>
      </c>
      <c r="G11034" s="691">
        <v>24.8</v>
      </c>
      <c r="H11034" s="691">
        <v>25.1</v>
      </c>
      <c r="I11034" s="691">
        <v>23.9</v>
      </c>
      <c r="J11034" s="691">
        <v>24.5</v>
      </c>
      <c r="K11034" s="691">
        <v>24.7</v>
      </c>
    </row>
    <row r="11035" spans="1:11">
      <c r="A11035" s="688" t="s">
        <v>6</v>
      </c>
      <c r="B11035" s="689">
        <v>24.6</v>
      </c>
      <c r="C11035" s="689">
        <v>24.7</v>
      </c>
      <c r="D11035" s="689">
        <v>24.5</v>
      </c>
      <c r="E11035" s="689">
        <v>24.7</v>
      </c>
      <c r="F11035" s="689">
        <v>24.8</v>
      </c>
      <c r="G11035" s="689">
        <v>24.9</v>
      </c>
      <c r="H11035" s="693">
        <v>25</v>
      </c>
      <c r="I11035" s="689">
        <v>24.4</v>
      </c>
      <c r="J11035" s="689">
        <v>24.5</v>
      </c>
      <c r="K11035" s="689">
        <v>24.7</v>
      </c>
    </row>
    <row r="11036" spans="1:11">
      <c r="A11036" s="688" t="s">
        <v>4058</v>
      </c>
      <c r="B11036" s="692" t="s">
        <v>4060</v>
      </c>
      <c r="C11036" s="692" t="s">
        <v>4060</v>
      </c>
      <c r="D11036" s="692" t="s">
        <v>4060</v>
      </c>
      <c r="E11036" s="692" t="s">
        <v>4060</v>
      </c>
      <c r="F11036" s="692" t="s">
        <v>4060</v>
      </c>
      <c r="G11036" s="692" t="s">
        <v>4060</v>
      </c>
      <c r="H11036" s="692" t="s">
        <v>4060</v>
      </c>
      <c r="I11036" s="692" t="s">
        <v>4060</v>
      </c>
      <c r="J11036" s="692" t="s">
        <v>4060</v>
      </c>
      <c r="K11036" s="692" t="s">
        <v>4060</v>
      </c>
    </row>
    <row r="11037" spans="1:11">
      <c r="A11037" s="688" t="s">
        <v>11</v>
      </c>
      <c r="B11037" s="689">
        <v>20.3</v>
      </c>
      <c r="C11037" s="689">
        <v>20.399999999999999</v>
      </c>
      <c r="D11037" s="693">
        <v>20</v>
      </c>
      <c r="E11037" s="689">
        <v>20.5</v>
      </c>
      <c r="F11037" s="689">
        <v>20.5</v>
      </c>
      <c r="G11037" s="689">
        <v>20.6</v>
      </c>
      <c r="H11037" s="689">
        <v>20.9</v>
      </c>
      <c r="I11037" s="689">
        <v>20.100000000000001</v>
      </c>
      <c r="J11037" s="689">
        <v>19.3</v>
      </c>
      <c r="K11037" s="689">
        <v>20.3</v>
      </c>
    </row>
    <row r="11038" spans="1:11">
      <c r="A11038" s="688" t="s">
        <v>10</v>
      </c>
      <c r="B11038" s="691">
        <v>24.7</v>
      </c>
      <c r="C11038" s="691">
        <v>24.8</v>
      </c>
      <c r="D11038" s="691">
        <v>24.5</v>
      </c>
      <c r="E11038" s="615">
        <v>25</v>
      </c>
      <c r="F11038" s="691">
        <v>24.8</v>
      </c>
      <c r="G11038" s="691">
        <v>25.2</v>
      </c>
      <c r="H11038" s="691">
        <v>25.4</v>
      </c>
      <c r="I11038" s="691">
        <v>24.1</v>
      </c>
      <c r="J11038" s="691">
        <v>24.6</v>
      </c>
      <c r="K11038" s="691">
        <v>24.8</v>
      </c>
    </row>
    <row r="11039" spans="1:11">
      <c r="A11039" s="688" t="s">
        <v>30</v>
      </c>
      <c r="B11039" s="689">
        <v>24.5</v>
      </c>
      <c r="C11039" s="689">
        <v>24.6</v>
      </c>
      <c r="D11039" s="689">
        <v>24.4</v>
      </c>
      <c r="E11039" s="689">
        <v>25.1</v>
      </c>
      <c r="F11039" s="689">
        <v>24.6</v>
      </c>
      <c r="G11039" s="689">
        <v>25.3</v>
      </c>
      <c r="H11039" s="693">
        <v>25</v>
      </c>
      <c r="I11039" s="689">
        <v>25.1</v>
      </c>
      <c r="J11039" s="689">
        <v>24.5</v>
      </c>
      <c r="K11039" s="689">
        <v>24.7</v>
      </c>
    </row>
    <row r="11040" spans="1:11">
      <c r="A11040" s="688" t="s">
        <v>12</v>
      </c>
      <c r="B11040" s="691">
        <v>18.100000000000001</v>
      </c>
      <c r="C11040" s="615">
        <v>18</v>
      </c>
      <c r="D11040" s="691">
        <v>18.3</v>
      </c>
      <c r="E11040" s="691">
        <v>18.2</v>
      </c>
      <c r="F11040" s="691">
        <v>18.3</v>
      </c>
      <c r="G11040" s="691">
        <v>18.399999999999999</v>
      </c>
      <c r="H11040" s="691">
        <v>18.7</v>
      </c>
      <c r="I11040" s="691">
        <v>18.5</v>
      </c>
      <c r="J11040" s="691">
        <v>16.899999999999999</v>
      </c>
      <c r="K11040" s="615">
        <v>18</v>
      </c>
    </row>
    <row r="11041" spans="1:11">
      <c r="A11041" s="688" t="s">
        <v>14</v>
      </c>
      <c r="B11041" s="689">
        <v>18.2</v>
      </c>
      <c r="C11041" s="689">
        <v>18.399999999999999</v>
      </c>
      <c r="D11041" s="689">
        <v>18.2</v>
      </c>
      <c r="E11041" s="689">
        <v>18.3</v>
      </c>
      <c r="F11041" s="689">
        <v>18.7</v>
      </c>
      <c r="G11041" s="689">
        <v>18.899999999999999</v>
      </c>
      <c r="H11041" s="689">
        <v>19.100000000000001</v>
      </c>
      <c r="I11041" s="689">
        <v>18.100000000000001</v>
      </c>
      <c r="J11041" s="689">
        <v>17.8</v>
      </c>
      <c r="K11041" s="689">
        <v>18.7</v>
      </c>
    </row>
    <row r="11042" spans="1:11">
      <c r="A11042" s="688" t="s">
        <v>15</v>
      </c>
      <c r="B11042" s="691">
        <v>24.6</v>
      </c>
      <c r="C11042" s="691">
        <v>23.8</v>
      </c>
      <c r="D11042" s="691">
        <v>24.3</v>
      </c>
      <c r="E11042" s="691">
        <v>24.2</v>
      </c>
      <c r="F11042" s="691">
        <v>24.1</v>
      </c>
      <c r="G11042" s="691">
        <v>24.2</v>
      </c>
      <c r="H11042" s="691">
        <v>24.6</v>
      </c>
      <c r="I11042" s="691">
        <v>24.1</v>
      </c>
      <c r="J11042" s="691">
        <v>24.5</v>
      </c>
      <c r="K11042" s="615">
        <v>25</v>
      </c>
    </row>
    <row r="11043" spans="1:11">
      <c r="A11043" s="688" t="s">
        <v>29</v>
      </c>
      <c r="B11043" s="689">
        <v>18.899999999999999</v>
      </c>
      <c r="C11043" s="689">
        <v>18.899999999999999</v>
      </c>
      <c r="D11043" s="689">
        <v>18.7</v>
      </c>
      <c r="E11043" s="689">
        <v>18.8</v>
      </c>
      <c r="F11043" s="689">
        <v>18.7</v>
      </c>
      <c r="G11043" s="689">
        <v>18.7</v>
      </c>
      <c r="H11043" s="693">
        <v>19</v>
      </c>
      <c r="I11043" s="689">
        <v>18.2</v>
      </c>
      <c r="J11043" s="689">
        <v>17.2</v>
      </c>
      <c r="K11043" s="689">
        <v>18.5</v>
      </c>
    </row>
    <row r="11044" spans="1:11">
      <c r="A11044" s="688" t="s">
        <v>16</v>
      </c>
      <c r="B11044" s="691">
        <v>24.1</v>
      </c>
      <c r="C11044" s="691">
        <v>24.2</v>
      </c>
      <c r="D11044" s="691">
        <v>24.2</v>
      </c>
      <c r="E11044" s="691">
        <v>25.2</v>
      </c>
      <c r="F11044" s="691">
        <v>24.6</v>
      </c>
      <c r="G11044" s="691">
        <v>24.6</v>
      </c>
      <c r="H11044" s="691">
        <v>24.9</v>
      </c>
      <c r="I11044" s="691">
        <v>24.2</v>
      </c>
      <c r="J11044" s="691">
        <v>24.6</v>
      </c>
      <c r="K11044" s="691">
        <v>24.6</v>
      </c>
    </row>
    <row r="11045" spans="1:11">
      <c r="A11045" s="688" t="s">
        <v>17</v>
      </c>
      <c r="B11045" s="693">
        <v>24</v>
      </c>
      <c r="C11045" s="689">
        <v>24.3</v>
      </c>
      <c r="D11045" s="693">
        <v>24</v>
      </c>
      <c r="E11045" s="689">
        <v>24.2</v>
      </c>
      <c r="F11045" s="689">
        <v>24.4</v>
      </c>
      <c r="G11045" s="689">
        <v>24.4</v>
      </c>
      <c r="H11045" s="689">
        <v>24.7</v>
      </c>
      <c r="I11045" s="693">
        <v>24</v>
      </c>
      <c r="J11045" s="693">
        <v>24</v>
      </c>
      <c r="K11045" s="689">
        <v>24.5</v>
      </c>
    </row>
    <row r="11046" spans="1:11">
      <c r="A11046" s="688" t="s">
        <v>19</v>
      </c>
      <c r="B11046" s="691">
        <v>23.6</v>
      </c>
      <c r="C11046" s="691">
        <v>23.8</v>
      </c>
      <c r="D11046" s="691">
        <v>23.5</v>
      </c>
      <c r="E11046" s="691">
        <v>23.8</v>
      </c>
      <c r="F11046" s="691">
        <v>23.9</v>
      </c>
      <c r="G11046" s="615">
        <v>24</v>
      </c>
      <c r="H11046" s="691">
        <v>24.2</v>
      </c>
      <c r="I11046" s="691">
        <v>23.5</v>
      </c>
      <c r="J11046" s="691">
        <v>23.5</v>
      </c>
      <c r="K11046" s="691">
        <v>23.6</v>
      </c>
    </row>
    <row r="11047" spans="1:11">
      <c r="A11047" s="688" t="s">
        <v>20</v>
      </c>
      <c r="B11047" s="689">
        <v>20.100000000000001</v>
      </c>
      <c r="C11047" s="689">
        <v>20.5</v>
      </c>
      <c r="D11047" s="689">
        <v>20.2</v>
      </c>
      <c r="E11047" s="689">
        <v>20.5</v>
      </c>
      <c r="F11047" s="689">
        <v>20.5</v>
      </c>
      <c r="G11047" s="689">
        <v>20.399999999999999</v>
      </c>
      <c r="H11047" s="689">
        <v>20.7</v>
      </c>
      <c r="I11047" s="689">
        <v>19.2</v>
      </c>
      <c r="J11047" s="689">
        <v>18.5</v>
      </c>
      <c r="K11047" s="689">
        <v>20.100000000000001</v>
      </c>
    </row>
    <row r="11048" spans="1:11">
      <c r="A11048" s="688" t="s">
        <v>21</v>
      </c>
      <c r="B11048" s="691">
        <v>23.2</v>
      </c>
      <c r="C11048" s="691">
        <v>23.6</v>
      </c>
      <c r="D11048" s="691">
        <v>23.6</v>
      </c>
      <c r="E11048" s="691">
        <v>23.5</v>
      </c>
      <c r="F11048" s="691">
        <v>23.8</v>
      </c>
      <c r="G11048" s="691">
        <v>23.8</v>
      </c>
      <c r="H11048" s="691">
        <v>24.1</v>
      </c>
      <c r="I11048" s="691">
        <v>23.6</v>
      </c>
      <c r="J11048" s="691">
        <v>23.6</v>
      </c>
      <c r="K11048" s="615">
        <v>24</v>
      </c>
    </row>
    <row r="11049" spans="1:11">
      <c r="A11049" s="688" t="s">
        <v>22</v>
      </c>
      <c r="B11049" s="689">
        <v>19.2</v>
      </c>
      <c r="C11049" s="693">
        <v>19</v>
      </c>
      <c r="D11049" s="689">
        <v>18.899999999999999</v>
      </c>
      <c r="E11049" s="693">
        <v>19</v>
      </c>
      <c r="F11049" s="693">
        <v>19</v>
      </c>
      <c r="G11049" s="689">
        <v>18.899999999999999</v>
      </c>
      <c r="H11049" s="689">
        <v>19.100000000000001</v>
      </c>
      <c r="I11049" s="689">
        <v>17.600000000000001</v>
      </c>
      <c r="J11049" s="689">
        <v>16.600000000000001</v>
      </c>
      <c r="K11049" s="689">
        <v>18.399999999999999</v>
      </c>
    </row>
    <row r="11050" spans="1:11">
      <c r="A11050" s="688" t="s">
        <v>26</v>
      </c>
      <c r="B11050" s="691">
        <v>22.5</v>
      </c>
      <c r="C11050" s="691">
        <v>22.8</v>
      </c>
      <c r="D11050" s="691">
        <v>22.7</v>
      </c>
      <c r="E11050" s="691">
        <v>23.1</v>
      </c>
      <c r="F11050" s="691">
        <v>22.8</v>
      </c>
      <c r="G11050" s="615">
        <v>23</v>
      </c>
      <c r="H11050" s="691">
        <v>23.3</v>
      </c>
      <c r="I11050" s="691">
        <v>22.5</v>
      </c>
      <c r="J11050" s="691">
        <v>22.4</v>
      </c>
      <c r="K11050" s="691">
        <v>23.2</v>
      </c>
    </row>
    <row r="11051" spans="1:11">
      <c r="A11051" s="688" t="s">
        <v>25</v>
      </c>
      <c r="B11051" s="689">
        <v>19.399999999999999</v>
      </c>
      <c r="C11051" s="689">
        <v>19.8</v>
      </c>
      <c r="D11051" s="689">
        <v>19.7</v>
      </c>
      <c r="E11051" s="693">
        <v>20</v>
      </c>
      <c r="F11051" s="693">
        <v>20</v>
      </c>
      <c r="G11051" s="689">
        <v>20.2</v>
      </c>
      <c r="H11051" s="689">
        <v>20.5</v>
      </c>
      <c r="I11051" s="689">
        <v>19.7</v>
      </c>
      <c r="J11051" s="689">
        <v>17.8</v>
      </c>
      <c r="K11051" s="689">
        <v>19.899999999999999</v>
      </c>
    </row>
    <row r="11052" spans="1:11">
      <c r="A11052" s="688" t="s">
        <v>5</v>
      </c>
      <c r="B11052" s="691">
        <v>23.5</v>
      </c>
      <c r="C11052" s="691">
        <v>23.4</v>
      </c>
      <c r="D11052" s="691">
        <v>23.6</v>
      </c>
      <c r="E11052" s="691">
        <v>23.6</v>
      </c>
      <c r="F11052" s="691">
        <v>23.8</v>
      </c>
      <c r="G11052" s="691">
        <v>23.9</v>
      </c>
      <c r="H11052" s="691">
        <v>24.3</v>
      </c>
      <c r="I11052" s="691">
        <v>24.2</v>
      </c>
      <c r="J11052" s="615">
        <v>24</v>
      </c>
      <c r="K11052" s="691">
        <v>23.6</v>
      </c>
    </row>
    <row r="11053" spans="1:11">
      <c r="A11053" s="688" t="s">
        <v>23</v>
      </c>
      <c r="B11053" s="689">
        <v>24.6</v>
      </c>
      <c r="C11053" s="689">
        <v>24.8</v>
      </c>
      <c r="D11053" s="689">
        <v>24.8</v>
      </c>
      <c r="E11053" s="689">
        <v>24.9</v>
      </c>
      <c r="F11053" s="689">
        <v>25.1</v>
      </c>
      <c r="G11053" s="689">
        <v>25.1</v>
      </c>
      <c r="H11053" s="689">
        <v>25.5</v>
      </c>
      <c r="I11053" s="689">
        <v>24.8</v>
      </c>
      <c r="J11053" s="689">
        <v>25.4</v>
      </c>
      <c r="K11053" s="689">
        <v>25.5</v>
      </c>
    </row>
    <row r="11054" spans="1:11">
      <c r="A11054" s="688" t="s">
        <v>4067</v>
      </c>
      <c r="B11054" s="691">
        <v>23.2</v>
      </c>
      <c r="C11054" s="691">
        <v>23.5</v>
      </c>
      <c r="D11054" s="691">
        <v>23.2</v>
      </c>
      <c r="E11054" s="691">
        <v>23.5</v>
      </c>
      <c r="F11054" s="691">
        <v>23.5</v>
      </c>
      <c r="G11054" s="691">
        <v>23.6</v>
      </c>
      <c r="H11054" s="692" t="s">
        <v>4060</v>
      </c>
      <c r="I11054" s="692" t="s">
        <v>4060</v>
      </c>
      <c r="J11054" s="692" t="s">
        <v>4060</v>
      </c>
      <c r="K11054" s="692" t="s">
        <v>4060</v>
      </c>
    </row>
    <row r="11055" spans="1:11">
      <c r="A11055" s="688" t="s">
        <v>4066</v>
      </c>
      <c r="B11055" s="689">
        <v>23.2</v>
      </c>
      <c r="C11055" s="689">
        <v>23.5</v>
      </c>
      <c r="D11055" s="689">
        <v>23.3</v>
      </c>
      <c r="E11055" s="689">
        <v>23.5</v>
      </c>
      <c r="F11055" s="689">
        <v>23.5</v>
      </c>
      <c r="G11055" s="689">
        <v>23.6</v>
      </c>
      <c r="H11055" s="690" t="s">
        <v>4060</v>
      </c>
      <c r="I11055" s="690" t="s">
        <v>4060</v>
      </c>
      <c r="J11055" s="690" t="s">
        <v>4060</v>
      </c>
      <c r="K11055" s="690" t="s">
        <v>4060</v>
      </c>
    </row>
    <row r="11056" spans="1:11">
      <c r="A11056" s="688" t="s">
        <v>4062</v>
      </c>
      <c r="B11056" s="691">
        <v>24.9</v>
      </c>
      <c r="C11056" s="615">
        <v>25</v>
      </c>
      <c r="D11056" s="615">
        <v>25</v>
      </c>
      <c r="E11056" s="691">
        <v>25.4</v>
      </c>
      <c r="F11056" s="691">
        <v>25.5</v>
      </c>
      <c r="G11056" s="691">
        <v>25.7</v>
      </c>
      <c r="H11056" s="691">
        <v>25.8</v>
      </c>
      <c r="I11056" s="691">
        <v>25.4</v>
      </c>
      <c r="J11056" s="691">
        <v>25.8</v>
      </c>
      <c r="K11056" s="691">
        <v>25.6</v>
      </c>
    </row>
    <row r="11057" spans="1:11">
      <c r="A11057" s="688" t="s">
        <v>9</v>
      </c>
      <c r="B11057" s="689">
        <v>24.9</v>
      </c>
      <c r="C11057" s="689">
        <v>25.3</v>
      </c>
      <c r="D11057" s="689">
        <v>25.7</v>
      </c>
      <c r="E11057" s="689">
        <v>24.8</v>
      </c>
      <c r="F11057" s="689">
        <v>25.6</v>
      </c>
      <c r="G11057" s="689">
        <v>25.7</v>
      </c>
      <c r="H11057" s="689">
        <v>25.7</v>
      </c>
      <c r="I11057" s="689">
        <v>26.1</v>
      </c>
      <c r="J11057" s="689">
        <v>26.4</v>
      </c>
      <c r="K11057" s="689">
        <v>25.2</v>
      </c>
    </row>
    <row r="11058" spans="1:11">
      <c r="A11058" s="688" t="s">
        <v>13</v>
      </c>
      <c r="B11058" s="691">
        <v>24.9</v>
      </c>
      <c r="C11058" s="691">
        <v>25.1</v>
      </c>
      <c r="D11058" s="691">
        <v>25.1</v>
      </c>
      <c r="E11058" s="691">
        <v>23.7</v>
      </c>
      <c r="F11058" s="691">
        <v>25.6</v>
      </c>
      <c r="G11058" s="691">
        <v>25.2</v>
      </c>
      <c r="H11058" s="691">
        <v>25.8</v>
      </c>
      <c r="I11058" s="691">
        <v>24.3</v>
      </c>
      <c r="J11058" s="691">
        <v>25.9</v>
      </c>
      <c r="K11058" s="691">
        <v>26.9</v>
      </c>
    </row>
    <row r="11059" spans="1:11">
      <c r="A11059" s="688" t="s">
        <v>18</v>
      </c>
      <c r="B11059" s="689">
        <v>24.3</v>
      </c>
      <c r="C11059" s="689">
        <v>24.6</v>
      </c>
      <c r="D11059" s="689">
        <v>24.7</v>
      </c>
      <c r="E11059" s="689">
        <v>24.9</v>
      </c>
      <c r="F11059" s="689">
        <v>25.1</v>
      </c>
      <c r="G11059" s="689">
        <v>25.3</v>
      </c>
      <c r="H11059" s="689">
        <v>25.5</v>
      </c>
      <c r="I11059" s="689">
        <v>25.7</v>
      </c>
      <c r="J11059" s="689">
        <v>25.7</v>
      </c>
      <c r="K11059" s="689">
        <v>25.2</v>
      </c>
    </row>
    <row r="11060" spans="1:11">
      <c r="A11060" s="688" t="s">
        <v>24</v>
      </c>
      <c r="B11060" s="691">
        <v>25.2</v>
      </c>
      <c r="C11060" s="691">
        <v>25.3</v>
      </c>
      <c r="D11060" s="691">
        <v>25.1</v>
      </c>
      <c r="E11060" s="691">
        <v>25.7</v>
      </c>
      <c r="F11060" s="691">
        <v>25.7</v>
      </c>
      <c r="G11060" s="691">
        <v>25.9</v>
      </c>
      <c r="H11060" s="615">
        <v>26</v>
      </c>
      <c r="I11060" s="691">
        <v>25.2</v>
      </c>
      <c r="J11060" s="691">
        <v>25.8</v>
      </c>
      <c r="K11060" s="691">
        <v>25.8</v>
      </c>
    </row>
    <row r="11061" spans="1:11">
      <c r="A11061" s="688" t="s">
        <v>4059</v>
      </c>
      <c r="B11061" s="689">
        <v>24.2</v>
      </c>
      <c r="C11061" s="689">
        <v>24.5</v>
      </c>
      <c r="D11061" s="689">
        <v>24.3</v>
      </c>
      <c r="E11061" s="689">
        <v>24.5</v>
      </c>
      <c r="F11061" s="689">
        <v>24.5</v>
      </c>
      <c r="G11061" s="689">
        <v>24.6</v>
      </c>
      <c r="H11061" s="690" t="s">
        <v>4060</v>
      </c>
      <c r="I11061" s="690" t="s">
        <v>4060</v>
      </c>
      <c r="J11061" s="690" t="s">
        <v>4060</v>
      </c>
      <c r="K11061" s="690" t="s">
        <v>4060</v>
      </c>
    </row>
    <row r="11062" spans="1:11">
      <c r="A11062" s="688" t="s">
        <v>2324</v>
      </c>
      <c r="B11062" s="615">
        <v>20</v>
      </c>
      <c r="C11062" s="691">
        <v>20.100000000000001</v>
      </c>
      <c r="D11062" s="691">
        <v>19.8</v>
      </c>
      <c r="E11062" s="691">
        <v>19.7</v>
      </c>
      <c r="F11062" s="691">
        <v>19.7</v>
      </c>
      <c r="G11062" s="691">
        <v>20.100000000000001</v>
      </c>
      <c r="H11062" s="615">
        <v>20</v>
      </c>
      <c r="I11062" s="691">
        <v>18.8</v>
      </c>
      <c r="J11062" s="691">
        <v>16.899999999999999</v>
      </c>
      <c r="K11062" s="692" t="s">
        <v>4060</v>
      </c>
    </row>
    <row r="11063" spans="1:11">
      <c r="A11063" s="688" t="s">
        <v>2322</v>
      </c>
      <c r="B11063" s="690" t="s">
        <v>4060</v>
      </c>
      <c r="C11063" s="690" t="s">
        <v>4060</v>
      </c>
      <c r="D11063" s="690" t="s">
        <v>4060</v>
      </c>
      <c r="E11063" s="690" t="s">
        <v>4060</v>
      </c>
      <c r="F11063" s="690" t="s">
        <v>4060</v>
      </c>
      <c r="G11063" s="690" t="s">
        <v>4060</v>
      </c>
      <c r="H11063" s="690" t="s">
        <v>4060</v>
      </c>
      <c r="I11063" s="690" t="s">
        <v>4060</v>
      </c>
      <c r="J11063" s="690" t="s">
        <v>4060</v>
      </c>
      <c r="K11063" s="690" t="s">
        <v>4060</v>
      </c>
    </row>
    <row r="11064" spans="1:11">
      <c r="A11064" s="688" t="s">
        <v>2328</v>
      </c>
      <c r="B11064" s="691">
        <v>19.5</v>
      </c>
      <c r="C11064" s="691">
        <v>19.5</v>
      </c>
      <c r="D11064" s="691">
        <v>19.399999999999999</v>
      </c>
      <c r="E11064" s="691">
        <v>19.5</v>
      </c>
      <c r="F11064" s="691">
        <v>19.7</v>
      </c>
      <c r="G11064" s="691">
        <v>20.100000000000001</v>
      </c>
      <c r="H11064" s="615">
        <v>20</v>
      </c>
      <c r="I11064" s="691">
        <v>17.8</v>
      </c>
      <c r="J11064" s="691">
        <v>17.2</v>
      </c>
      <c r="K11064" s="692" t="s">
        <v>4060</v>
      </c>
    </row>
    <row r="11065" spans="1:11">
      <c r="A11065" s="688" t="s">
        <v>2496</v>
      </c>
      <c r="B11065" s="690" t="s">
        <v>4060</v>
      </c>
      <c r="C11065" s="689">
        <v>18.5</v>
      </c>
      <c r="D11065" s="689">
        <v>17.5</v>
      </c>
      <c r="E11065" s="689">
        <v>17.3</v>
      </c>
      <c r="F11065" s="689">
        <v>17.899999999999999</v>
      </c>
      <c r="G11065" s="689">
        <v>18.100000000000001</v>
      </c>
      <c r="H11065" s="693">
        <v>18</v>
      </c>
      <c r="I11065" s="690" t="s">
        <v>4060</v>
      </c>
      <c r="J11065" s="690" t="s">
        <v>4060</v>
      </c>
      <c r="K11065" s="689">
        <v>17.5</v>
      </c>
    </row>
    <row r="11066" spans="1:11">
      <c r="A11066" s="688" t="s">
        <v>2269</v>
      </c>
      <c r="B11066" s="691">
        <v>22.2</v>
      </c>
      <c r="C11066" s="691">
        <v>22.4</v>
      </c>
      <c r="D11066" s="615">
        <v>22</v>
      </c>
      <c r="E11066" s="691">
        <v>22.6</v>
      </c>
      <c r="F11066" s="691">
        <v>22.7</v>
      </c>
      <c r="G11066" s="691">
        <v>22.9</v>
      </c>
      <c r="H11066" s="691">
        <v>23.2</v>
      </c>
      <c r="I11066" s="615">
        <v>21</v>
      </c>
      <c r="J11066" s="691">
        <v>19.3</v>
      </c>
      <c r="K11066" s="691">
        <v>22.8</v>
      </c>
    </row>
    <row r="11067" spans="1:11">
      <c r="A11067" s="688" t="s">
        <v>2349</v>
      </c>
      <c r="B11067" s="689">
        <v>19.100000000000001</v>
      </c>
      <c r="C11067" s="689">
        <v>19.2</v>
      </c>
      <c r="D11067" s="689">
        <v>19.100000000000001</v>
      </c>
      <c r="E11067" s="689">
        <v>19.3</v>
      </c>
      <c r="F11067" s="689">
        <v>19.3</v>
      </c>
      <c r="G11067" s="689">
        <v>19.5</v>
      </c>
      <c r="H11067" s="689">
        <v>19.5</v>
      </c>
      <c r="I11067" s="693">
        <v>18</v>
      </c>
      <c r="J11067" s="689">
        <v>16.7</v>
      </c>
      <c r="K11067" s="689">
        <v>18.8</v>
      </c>
    </row>
    <row r="11068" spans="1:11">
      <c r="A11068" s="688" t="s">
        <v>2355</v>
      </c>
      <c r="B11068" s="691">
        <v>21.6</v>
      </c>
      <c r="C11068" s="691">
        <v>21.5</v>
      </c>
      <c r="D11068" s="691">
        <v>21.5</v>
      </c>
      <c r="E11068" s="691">
        <v>21.5</v>
      </c>
      <c r="F11068" s="691">
        <v>21.6</v>
      </c>
      <c r="G11068" s="615">
        <v>22</v>
      </c>
      <c r="H11068" s="615">
        <v>22</v>
      </c>
      <c r="I11068" s="692" t="s">
        <v>4060</v>
      </c>
      <c r="J11068" s="692" t="s">
        <v>4060</v>
      </c>
      <c r="K11068" s="692" t="s">
        <v>4060</v>
      </c>
    </row>
    <row r="11069" spans="1:11">
      <c r="A11069" s="688" t="s">
        <v>2357</v>
      </c>
      <c r="B11069" s="690" t="s">
        <v>4060</v>
      </c>
      <c r="C11069" s="689">
        <v>17.100000000000001</v>
      </c>
      <c r="D11069" s="689">
        <v>17.3</v>
      </c>
      <c r="E11069" s="689">
        <v>17.5</v>
      </c>
      <c r="F11069" s="689">
        <v>17.8</v>
      </c>
      <c r="G11069" s="689">
        <v>17.600000000000001</v>
      </c>
      <c r="H11069" s="689">
        <v>17.7</v>
      </c>
      <c r="I11069" s="690" t="s">
        <v>4060</v>
      </c>
      <c r="J11069" s="690" t="s">
        <v>4060</v>
      </c>
      <c r="K11069" s="690" t="s">
        <v>4060</v>
      </c>
    </row>
    <row r="11070" spans="1:11">
      <c r="A11070" s="688" t="s">
        <v>4070</v>
      </c>
      <c r="B11070" s="692" t="s">
        <v>4060</v>
      </c>
      <c r="C11070" s="692" t="s">
        <v>4060</v>
      </c>
      <c r="D11070" s="692" t="s">
        <v>4060</v>
      </c>
      <c r="E11070" s="615">
        <v>21</v>
      </c>
      <c r="F11070" s="692" t="s">
        <v>4060</v>
      </c>
      <c r="G11070" s="692" t="s">
        <v>4060</v>
      </c>
      <c r="H11070" s="692" t="s">
        <v>4060</v>
      </c>
      <c r="I11070" s="692" t="s">
        <v>4060</v>
      </c>
      <c r="J11070" s="692" t="s">
        <v>4060</v>
      </c>
      <c r="K11070" s="692" t="s">
        <v>4060</v>
      </c>
    </row>
    <row r="11071" spans="1:11">
      <c r="A11071" s="688" t="s">
        <v>2491</v>
      </c>
      <c r="B11071" s="689">
        <v>16.5</v>
      </c>
      <c r="C11071" s="689">
        <v>16.8</v>
      </c>
      <c r="D11071" s="693">
        <v>17</v>
      </c>
      <c r="E11071" s="689">
        <v>17.100000000000001</v>
      </c>
      <c r="F11071" s="689">
        <v>17.100000000000001</v>
      </c>
      <c r="G11071" s="689">
        <v>17.2</v>
      </c>
      <c r="H11071" s="690" t="s">
        <v>4060</v>
      </c>
      <c r="I11071" s="690" t="s">
        <v>4060</v>
      </c>
      <c r="J11071" s="690" t="s">
        <v>4060</v>
      </c>
      <c r="K11071" s="690" t="s">
        <v>4060</v>
      </c>
    </row>
    <row r="11072" spans="1:11">
      <c r="A11072" s="688" t="s">
        <v>2343</v>
      </c>
      <c r="B11072" s="692" t="s">
        <v>4060</v>
      </c>
      <c r="C11072" s="692" t="s">
        <v>4060</v>
      </c>
      <c r="D11072" s="692" t="s">
        <v>4060</v>
      </c>
      <c r="E11072" s="692" t="s">
        <v>4060</v>
      </c>
      <c r="F11072" s="692" t="s">
        <v>4060</v>
      </c>
      <c r="G11072" s="692" t="s">
        <v>4060</v>
      </c>
      <c r="H11072" s="692" t="s">
        <v>4060</v>
      </c>
      <c r="I11072" s="692" t="s">
        <v>4060</v>
      </c>
      <c r="J11072" s="692" t="s">
        <v>4060</v>
      </c>
      <c r="K11072" s="692" t="s">
        <v>4060</v>
      </c>
    </row>
    <row r="11073" spans="1:11">
      <c r="A11073" s="688" t="s">
        <v>4071</v>
      </c>
      <c r="B11073" s="690" t="s">
        <v>4060</v>
      </c>
      <c r="C11073" s="690" t="s">
        <v>4060</v>
      </c>
      <c r="D11073" s="690" t="s">
        <v>4060</v>
      </c>
      <c r="E11073" s="690" t="s">
        <v>4060</v>
      </c>
      <c r="F11073" s="690" t="s">
        <v>4060</v>
      </c>
      <c r="G11073" s="690" t="s">
        <v>4060</v>
      </c>
      <c r="H11073" s="690" t="s">
        <v>4060</v>
      </c>
      <c r="I11073" s="690" t="s">
        <v>4060</v>
      </c>
      <c r="J11073" s="690" t="s">
        <v>4060</v>
      </c>
      <c r="K11073" s="690" t="s">
        <v>4060</v>
      </c>
    </row>
    <row r="11074" spans="1:11">
      <c r="A11074" s="688" t="s">
        <v>2489</v>
      </c>
      <c r="B11074" s="692" t="s">
        <v>4060</v>
      </c>
      <c r="C11074" s="692" t="s">
        <v>4060</v>
      </c>
      <c r="D11074" s="691">
        <v>19.100000000000001</v>
      </c>
      <c r="E11074" s="615">
        <v>19</v>
      </c>
      <c r="F11074" s="691">
        <v>19.399999999999999</v>
      </c>
      <c r="G11074" s="615">
        <v>20</v>
      </c>
      <c r="H11074" s="691">
        <v>20.100000000000001</v>
      </c>
      <c r="I11074" s="692" t="s">
        <v>4060</v>
      </c>
      <c r="J11074" s="692" t="s">
        <v>4060</v>
      </c>
      <c r="K11074" s="692" t="s">
        <v>4060</v>
      </c>
    </row>
    <row r="11075" spans="1:11">
      <c r="A11075" s="688" t="s">
        <v>2490</v>
      </c>
      <c r="B11075" s="689">
        <v>19.5</v>
      </c>
      <c r="C11075" s="689">
        <v>19.399999999999999</v>
      </c>
      <c r="D11075" s="689">
        <v>20.2</v>
      </c>
      <c r="E11075" s="690" t="s">
        <v>4060</v>
      </c>
      <c r="F11075" s="689">
        <v>20.399999999999999</v>
      </c>
      <c r="G11075" s="689">
        <v>20.5</v>
      </c>
      <c r="H11075" s="689">
        <v>21.4</v>
      </c>
      <c r="I11075" s="690" t="s">
        <v>4060</v>
      </c>
      <c r="J11075" s="690" t="s">
        <v>4060</v>
      </c>
      <c r="K11075" s="690" t="s">
        <v>4060</v>
      </c>
    </row>
    <row r="11077" spans="1:11">
      <c r="A11077" s="683" t="s">
        <v>4233</v>
      </c>
    </row>
    <row r="11078" spans="1:11">
      <c r="A11078" s="683" t="s">
        <v>4060</v>
      </c>
      <c r="B11078" s="682" t="s">
        <v>4234</v>
      </c>
    </row>
    <row r="11080" spans="1:11">
      <c r="A11080" s="682" t="s">
        <v>4331</v>
      </c>
    </row>
    <row r="11081" spans="1:11">
      <c r="A11081" s="682" t="s">
        <v>4210</v>
      </c>
      <c r="B11081" s="683" t="s">
        <v>4211</v>
      </c>
    </row>
    <row r="11082" spans="1:11">
      <c r="A11082" s="682" t="s">
        <v>4212</v>
      </c>
      <c r="B11082" s="682" t="s">
        <v>4213</v>
      </c>
    </row>
    <row r="11084" spans="1:11">
      <c r="A11084" s="683" t="s">
        <v>4214</v>
      </c>
      <c r="C11084" s="682" t="s">
        <v>4215</v>
      </c>
    </row>
    <row r="11085" spans="1:11">
      <c r="A11085" s="683" t="s">
        <v>4216</v>
      </c>
      <c r="C11085" s="682" t="s">
        <v>2967</v>
      </c>
    </row>
    <row r="11086" spans="1:11">
      <c r="A11086" s="683" t="s">
        <v>3893</v>
      </c>
      <c r="C11086" s="682" t="s">
        <v>2168</v>
      </c>
    </row>
    <row r="11087" spans="1:11">
      <c r="A11087" s="683" t="s">
        <v>4218</v>
      </c>
      <c r="C11087" s="682" t="s">
        <v>4294</v>
      </c>
    </row>
    <row r="11089" spans="1:11">
      <c r="A11089" s="684" t="s">
        <v>4220</v>
      </c>
      <c r="B11089" s="685" t="s">
        <v>4221</v>
      </c>
      <c r="C11089" s="685" t="s">
        <v>4222</v>
      </c>
      <c r="D11089" s="685" t="s">
        <v>4223</v>
      </c>
      <c r="E11089" s="685" t="s">
        <v>4224</v>
      </c>
      <c r="F11089" s="685" t="s">
        <v>4225</v>
      </c>
      <c r="G11089" s="685" t="s">
        <v>4226</v>
      </c>
      <c r="H11089" s="685" t="s">
        <v>4227</v>
      </c>
      <c r="I11089" s="685" t="s">
        <v>4228</v>
      </c>
      <c r="J11089" s="685" t="s">
        <v>4229</v>
      </c>
      <c r="K11089" s="685" t="s">
        <v>4230</v>
      </c>
    </row>
    <row r="11090" spans="1:11">
      <c r="A11090" s="686" t="s">
        <v>4231</v>
      </c>
      <c r="B11090" s="687" t="s">
        <v>4232</v>
      </c>
      <c r="C11090" s="687" t="s">
        <v>4232</v>
      </c>
      <c r="D11090" s="687" t="s">
        <v>4232</v>
      </c>
      <c r="E11090" s="687" t="s">
        <v>4232</v>
      </c>
      <c r="F11090" s="687" t="s">
        <v>4232</v>
      </c>
      <c r="G11090" s="687" t="s">
        <v>4232</v>
      </c>
      <c r="H11090" s="687" t="s">
        <v>4232</v>
      </c>
      <c r="I11090" s="687" t="s">
        <v>4232</v>
      </c>
      <c r="J11090" s="687" t="s">
        <v>4232</v>
      </c>
      <c r="K11090" s="687" t="s">
        <v>4232</v>
      </c>
    </row>
    <row r="11091" spans="1:11">
      <c r="A11091" s="688" t="s">
        <v>4064</v>
      </c>
      <c r="B11091" s="689">
        <v>22.2</v>
      </c>
      <c r="C11091" s="689">
        <v>22.3</v>
      </c>
      <c r="D11091" s="689">
        <v>22.3</v>
      </c>
      <c r="E11091" s="689">
        <v>22.4</v>
      </c>
      <c r="F11091" s="689">
        <v>22.4</v>
      </c>
      <c r="G11091" s="689">
        <v>22.5</v>
      </c>
      <c r="H11091" s="689">
        <v>22.7</v>
      </c>
      <c r="I11091" s="689">
        <v>21.8</v>
      </c>
      <c r="J11091" s="689">
        <v>21.7</v>
      </c>
      <c r="K11091" s="689">
        <v>22.2</v>
      </c>
    </row>
    <row r="11092" spans="1:11">
      <c r="A11092" s="688" t="s">
        <v>4065</v>
      </c>
      <c r="B11092" s="691">
        <v>22.4</v>
      </c>
      <c r="C11092" s="691">
        <v>22.7</v>
      </c>
      <c r="D11092" s="691">
        <v>22.4</v>
      </c>
      <c r="E11092" s="691">
        <v>22.7</v>
      </c>
      <c r="F11092" s="691">
        <v>22.7</v>
      </c>
      <c r="G11092" s="691">
        <v>22.8</v>
      </c>
      <c r="H11092" s="692" t="s">
        <v>4060</v>
      </c>
      <c r="I11092" s="692" t="s">
        <v>4060</v>
      </c>
      <c r="J11092" s="692" t="s">
        <v>4060</v>
      </c>
      <c r="K11092" s="692" t="s">
        <v>4060</v>
      </c>
    </row>
    <row r="11093" spans="1:11">
      <c r="A11093" s="688" t="s">
        <v>4063</v>
      </c>
      <c r="B11093" s="689">
        <v>22.4</v>
      </c>
      <c r="C11093" s="689">
        <v>22.7</v>
      </c>
      <c r="D11093" s="689">
        <v>22.4</v>
      </c>
      <c r="E11093" s="689">
        <v>22.7</v>
      </c>
      <c r="F11093" s="689">
        <v>22.7</v>
      </c>
      <c r="G11093" s="689">
        <v>22.8</v>
      </c>
      <c r="H11093" s="690" t="s">
        <v>4060</v>
      </c>
      <c r="I11093" s="690" t="s">
        <v>4060</v>
      </c>
      <c r="J11093" s="690" t="s">
        <v>4060</v>
      </c>
      <c r="K11093" s="690" t="s">
        <v>4060</v>
      </c>
    </row>
    <row r="11094" spans="1:11">
      <c r="A11094" s="688" t="s">
        <v>4069</v>
      </c>
      <c r="B11094" s="692" t="s">
        <v>4060</v>
      </c>
      <c r="C11094" s="691">
        <v>23.1</v>
      </c>
      <c r="D11094" s="691">
        <v>22.9</v>
      </c>
      <c r="E11094" s="691">
        <v>23.2</v>
      </c>
      <c r="F11094" s="691">
        <v>23.2</v>
      </c>
      <c r="G11094" s="691">
        <v>23.3</v>
      </c>
      <c r="H11094" s="691">
        <v>23.5</v>
      </c>
      <c r="I11094" s="691">
        <v>22.8</v>
      </c>
      <c r="J11094" s="691">
        <v>22.8</v>
      </c>
      <c r="K11094" s="615">
        <v>23</v>
      </c>
    </row>
    <row r="11095" spans="1:11">
      <c r="A11095" s="688" t="s">
        <v>4068</v>
      </c>
      <c r="B11095" s="689">
        <v>23.1</v>
      </c>
      <c r="C11095" s="690" t="s">
        <v>4060</v>
      </c>
      <c r="D11095" s="690" t="s">
        <v>4060</v>
      </c>
      <c r="E11095" s="690" t="s">
        <v>4060</v>
      </c>
      <c r="F11095" s="690" t="s">
        <v>4060</v>
      </c>
      <c r="G11095" s="690" t="s">
        <v>4060</v>
      </c>
      <c r="H11095" s="690" t="s">
        <v>4060</v>
      </c>
      <c r="I11095" s="690" t="s">
        <v>4060</v>
      </c>
      <c r="J11095" s="690" t="s">
        <v>4060</v>
      </c>
      <c r="K11095" s="690" t="s">
        <v>4060</v>
      </c>
    </row>
    <row r="11096" spans="1:11">
      <c r="A11096" s="688" t="s">
        <v>0</v>
      </c>
      <c r="B11096" s="691">
        <v>22.4</v>
      </c>
      <c r="C11096" s="691">
        <v>22.9</v>
      </c>
      <c r="D11096" s="691">
        <v>22.7</v>
      </c>
      <c r="E11096" s="691">
        <v>22.9</v>
      </c>
      <c r="F11096" s="691">
        <v>23.1</v>
      </c>
      <c r="G11096" s="691">
        <v>23.2</v>
      </c>
      <c r="H11096" s="691">
        <v>23.5</v>
      </c>
      <c r="I11096" s="691">
        <v>22.4</v>
      </c>
      <c r="J11096" s="691">
        <v>23.2</v>
      </c>
      <c r="K11096" s="691">
        <v>23.4</v>
      </c>
    </row>
    <row r="11097" spans="1:11">
      <c r="A11097" s="688" t="s">
        <v>1</v>
      </c>
      <c r="B11097" s="689">
        <v>18.100000000000001</v>
      </c>
      <c r="C11097" s="689">
        <v>17.899999999999999</v>
      </c>
      <c r="D11097" s="689">
        <v>17.8</v>
      </c>
      <c r="E11097" s="689">
        <v>17.899999999999999</v>
      </c>
      <c r="F11097" s="689">
        <v>17.899999999999999</v>
      </c>
      <c r="G11097" s="689">
        <v>17.899999999999999</v>
      </c>
      <c r="H11097" s="689">
        <v>17.899999999999999</v>
      </c>
      <c r="I11097" s="689">
        <v>16.5</v>
      </c>
      <c r="J11097" s="689">
        <v>15.2</v>
      </c>
      <c r="K11097" s="693">
        <v>17</v>
      </c>
    </row>
    <row r="11098" spans="1:11">
      <c r="A11098" s="688" t="s">
        <v>2240</v>
      </c>
      <c r="B11098" s="615">
        <v>20</v>
      </c>
      <c r="C11098" s="691">
        <v>20.3</v>
      </c>
      <c r="D11098" s="691">
        <v>20.100000000000001</v>
      </c>
      <c r="E11098" s="691">
        <v>20.5</v>
      </c>
      <c r="F11098" s="691">
        <v>20.5</v>
      </c>
      <c r="G11098" s="691">
        <v>20.6</v>
      </c>
      <c r="H11098" s="691">
        <v>20.8</v>
      </c>
      <c r="I11098" s="691">
        <v>19.7</v>
      </c>
      <c r="J11098" s="691">
        <v>18.8</v>
      </c>
      <c r="K11098" s="691">
        <v>20.5</v>
      </c>
    </row>
    <row r="11099" spans="1:11">
      <c r="A11099" s="688" t="s">
        <v>2</v>
      </c>
      <c r="B11099" s="689">
        <v>22.3</v>
      </c>
      <c r="C11099" s="689">
        <v>22.6</v>
      </c>
      <c r="D11099" s="689">
        <v>22.6</v>
      </c>
      <c r="E11099" s="689">
        <v>22.8</v>
      </c>
      <c r="F11099" s="689">
        <v>22.9</v>
      </c>
      <c r="G11099" s="689">
        <v>22.8</v>
      </c>
      <c r="H11099" s="693">
        <v>23</v>
      </c>
      <c r="I11099" s="689">
        <v>23.2</v>
      </c>
      <c r="J11099" s="693">
        <v>23</v>
      </c>
      <c r="K11099" s="689">
        <v>22.9</v>
      </c>
    </row>
    <row r="11100" spans="1:11">
      <c r="A11100" s="688" t="s">
        <v>3</v>
      </c>
      <c r="B11100" s="691">
        <v>22.4</v>
      </c>
      <c r="C11100" s="691">
        <v>22.5</v>
      </c>
      <c r="D11100" s="691">
        <v>22.3</v>
      </c>
      <c r="E11100" s="691">
        <v>22.5</v>
      </c>
      <c r="F11100" s="691">
        <v>22.5</v>
      </c>
      <c r="G11100" s="691">
        <v>22.5</v>
      </c>
      <c r="H11100" s="691">
        <v>22.7</v>
      </c>
      <c r="I11100" s="691">
        <v>22.5</v>
      </c>
      <c r="J11100" s="691">
        <v>22.2</v>
      </c>
      <c r="K11100" s="691">
        <v>22.1</v>
      </c>
    </row>
    <row r="11101" spans="1:11">
      <c r="A11101" s="688" t="s">
        <v>4061</v>
      </c>
      <c r="B11101" s="689">
        <v>22.4</v>
      </c>
      <c r="C11101" s="689">
        <v>22.5</v>
      </c>
      <c r="D11101" s="689">
        <v>22.3</v>
      </c>
      <c r="E11101" s="689">
        <v>22.5</v>
      </c>
      <c r="F11101" s="689">
        <v>22.5</v>
      </c>
      <c r="G11101" s="689">
        <v>22.5</v>
      </c>
      <c r="H11101" s="689">
        <v>22.7</v>
      </c>
      <c r="I11101" s="689">
        <v>22.5</v>
      </c>
      <c r="J11101" s="689">
        <v>22.2</v>
      </c>
      <c r="K11101" s="689">
        <v>22.1</v>
      </c>
    </row>
    <row r="11102" spans="1:11">
      <c r="A11102" s="688" t="s">
        <v>4</v>
      </c>
      <c r="B11102" s="615">
        <v>19</v>
      </c>
      <c r="C11102" s="691">
        <v>18.899999999999999</v>
      </c>
      <c r="D11102" s="691">
        <v>19.3</v>
      </c>
      <c r="E11102" s="691">
        <v>19.399999999999999</v>
      </c>
      <c r="F11102" s="691">
        <v>19.399999999999999</v>
      </c>
      <c r="G11102" s="691">
        <v>19.5</v>
      </c>
      <c r="H11102" s="691">
        <v>19.8</v>
      </c>
      <c r="I11102" s="691">
        <v>19.8</v>
      </c>
      <c r="J11102" s="691">
        <v>18.399999999999999</v>
      </c>
      <c r="K11102" s="691">
        <v>19.3</v>
      </c>
    </row>
    <row r="11103" spans="1:11">
      <c r="A11103" s="688" t="s">
        <v>8</v>
      </c>
      <c r="B11103" s="693">
        <v>23</v>
      </c>
      <c r="C11103" s="689">
        <v>23.2</v>
      </c>
      <c r="D11103" s="689">
        <v>23.3</v>
      </c>
      <c r="E11103" s="689">
        <v>23.4</v>
      </c>
      <c r="F11103" s="689">
        <v>23.8</v>
      </c>
      <c r="G11103" s="689">
        <v>23.8</v>
      </c>
      <c r="H11103" s="689">
        <v>24.1</v>
      </c>
      <c r="I11103" s="689">
        <v>24.1</v>
      </c>
      <c r="J11103" s="689">
        <v>23.8</v>
      </c>
      <c r="K11103" s="689">
        <v>24.1</v>
      </c>
    </row>
    <row r="11104" spans="1:11">
      <c r="A11104" s="688" t="s">
        <v>7</v>
      </c>
      <c r="B11104" s="691">
        <v>23.3</v>
      </c>
      <c r="C11104" s="691">
        <v>22.7</v>
      </c>
      <c r="D11104" s="691">
        <v>22.4</v>
      </c>
      <c r="E11104" s="691">
        <v>22.8</v>
      </c>
      <c r="F11104" s="691">
        <v>22.7</v>
      </c>
      <c r="G11104" s="615">
        <v>23</v>
      </c>
      <c r="H11104" s="615">
        <v>23</v>
      </c>
      <c r="I11104" s="691">
        <v>22.7</v>
      </c>
      <c r="J11104" s="691">
        <v>21.9</v>
      </c>
      <c r="K11104" s="691">
        <v>22.5</v>
      </c>
    </row>
    <row r="11105" spans="1:11">
      <c r="A11105" s="688" t="s">
        <v>27</v>
      </c>
      <c r="B11105" s="693">
        <v>24</v>
      </c>
      <c r="C11105" s="689">
        <v>23.8</v>
      </c>
      <c r="D11105" s="689">
        <v>23.5</v>
      </c>
      <c r="E11105" s="689">
        <v>23.9</v>
      </c>
      <c r="F11105" s="689">
        <v>23.9</v>
      </c>
      <c r="G11105" s="689">
        <v>23.9</v>
      </c>
      <c r="H11105" s="689">
        <v>24.3</v>
      </c>
      <c r="I11105" s="693">
        <v>23</v>
      </c>
      <c r="J11105" s="689">
        <v>23.7</v>
      </c>
      <c r="K11105" s="689">
        <v>23.9</v>
      </c>
    </row>
    <row r="11106" spans="1:11">
      <c r="A11106" s="688" t="s">
        <v>6</v>
      </c>
      <c r="B11106" s="691">
        <v>23.8</v>
      </c>
      <c r="C11106" s="691">
        <v>23.9</v>
      </c>
      <c r="D11106" s="691">
        <v>23.7</v>
      </c>
      <c r="E11106" s="691">
        <v>23.9</v>
      </c>
      <c r="F11106" s="615">
        <v>24</v>
      </c>
      <c r="G11106" s="691">
        <v>24.1</v>
      </c>
      <c r="H11106" s="691">
        <v>24.2</v>
      </c>
      <c r="I11106" s="691">
        <v>23.6</v>
      </c>
      <c r="J11106" s="691">
        <v>23.7</v>
      </c>
      <c r="K11106" s="691">
        <v>23.9</v>
      </c>
    </row>
    <row r="11107" spans="1:11">
      <c r="A11107" s="688" t="s">
        <v>4058</v>
      </c>
      <c r="B11107" s="690" t="s">
        <v>4060</v>
      </c>
      <c r="C11107" s="690" t="s">
        <v>4060</v>
      </c>
      <c r="D11107" s="690" t="s">
        <v>4060</v>
      </c>
      <c r="E11107" s="690" t="s">
        <v>4060</v>
      </c>
      <c r="F11107" s="690" t="s">
        <v>4060</v>
      </c>
      <c r="G11107" s="690" t="s">
        <v>4060</v>
      </c>
      <c r="H11107" s="690" t="s">
        <v>4060</v>
      </c>
      <c r="I11107" s="690" t="s">
        <v>4060</v>
      </c>
      <c r="J11107" s="690" t="s">
        <v>4060</v>
      </c>
      <c r="K11107" s="690" t="s">
        <v>4060</v>
      </c>
    </row>
    <row r="11108" spans="1:11">
      <c r="A11108" s="688" t="s">
        <v>11</v>
      </c>
      <c r="B11108" s="691">
        <v>19.5</v>
      </c>
      <c r="C11108" s="691">
        <v>19.600000000000001</v>
      </c>
      <c r="D11108" s="691">
        <v>19.3</v>
      </c>
      <c r="E11108" s="691">
        <v>19.7</v>
      </c>
      <c r="F11108" s="691">
        <v>19.7</v>
      </c>
      <c r="G11108" s="691">
        <v>19.8</v>
      </c>
      <c r="H11108" s="691">
        <v>20.2</v>
      </c>
      <c r="I11108" s="691">
        <v>19.3</v>
      </c>
      <c r="J11108" s="691">
        <v>18.600000000000001</v>
      </c>
      <c r="K11108" s="691">
        <v>19.5</v>
      </c>
    </row>
    <row r="11109" spans="1:11">
      <c r="A11109" s="688" t="s">
        <v>10</v>
      </c>
      <c r="B11109" s="689">
        <v>23.9</v>
      </c>
      <c r="C11109" s="689">
        <v>23.9</v>
      </c>
      <c r="D11109" s="689">
        <v>23.6</v>
      </c>
      <c r="E11109" s="689">
        <v>24.1</v>
      </c>
      <c r="F11109" s="693">
        <v>24</v>
      </c>
      <c r="G11109" s="689">
        <v>24.3</v>
      </c>
      <c r="H11109" s="689">
        <v>24.5</v>
      </c>
      <c r="I11109" s="689">
        <v>23.2</v>
      </c>
      <c r="J11109" s="689">
        <v>23.7</v>
      </c>
      <c r="K11109" s="693">
        <v>24</v>
      </c>
    </row>
    <row r="11110" spans="1:11">
      <c r="A11110" s="688" t="s">
        <v>30</v>
      </c>
      <c r="B11110" s="691">
        <v>23.7</v>
      </c>
      <c r="C11110" s="691">
        <v>23.7</v>
      </c>
      <c r="D11110" s="691">
        <v>23.5</v>
      </c>
      <c r="E11110" s="691">
        <v>24.2</v>
      </c>
      <c r="F11110" s="691">
        <v>23.7</v>
      </c>
      <c r="G11110" s="691">
        <v>24.3</v>
      </c>
      <c r="H11110" s="691">
        <v>24.1</v>
      </c>
      <c r="I11110" s="691">
        <v>24.3</v>
      </c>
      <c r="J11110" s="691">
        <v>23.6</v>
      </c>
      <c r="K11110" s="691">
        <v>23.8</v>
      </c>
    </row>
    <row r="11111" spans="1:11">
      <c r="A11111" s="688" t="s">
        <v>12</v>
      </c>
      <c r="B11111" s="689">
        <v>17.5</v>
      </c>
      <c r="C11111" s="689">
        <v>17.3</v>
      </c>
      <c r="D11111" s="689">
        <v>17.7</v>
      </c>
      <c r="E11111" s="689">
        <v>17.600000000000001</v>
      </c>
      <c r="F11111" s="689">
        <v>17.600000000000001</v>
      </c>
      <c r="G11111" s="689">
        <v>17.8</v>
      </c>
      <c r="H11111" s="693">
        <v>18</v>
      </c>
      <c r="I11111" s="689">
        <v>17.8</v>
      </c>
      <c r="J11111" s="689">
        <v>16.3</v>
      </c>
      <c r="K11111" s="689">
        <v>17.3</v>
      </c>
    </row>
    <row r="11112" spans="1:11">
      <c r="A11112" s="688" t="s">
        <v>14</v>
      </c>
      <c r="B11112" s="691">
        <v>17.600000000000001</v>
      </c>
      <c r="C11112" s="691">
        <v>17.7</v>
      </c>
      <c r="D11112" s="691">
        <v>17.5</v>
      </c>
      <c r="E11112" s="691">
        <v>17.600000000000001</v>
      </c>
      <c r="F11112" s="615">
        <v>18</v>
      </c>
      <c r="G11112" s="691">
        <v>18.100000000000001</v>
      </c>
      <c r="H11112" s="691">
        <v>18.399999999999999</v>
      </c>
      <c r="I11112" s="691">
        <v>17.5</v>
      </c>
      <c r="J11112" s="691">
        <v>17.100000000000001</v>
      </c>
      <c r="K11112" s="615">
        <v>18</v>
      </c>
    </row>
    <row r="11113" spans="1:11">
      <c r="A11113" s="688" t="s">
        <v>15</v>
      </c>
      <c r="B11113" s="689">
        <v>23.8</v>
      </c>
      <c r="C11113" s="689">
        <v>22.9</v>
      </c>
      <c r="D11113" s="689">
        <v>23.5</v>
      </c>
      <c r="E11113" s="689">
        <v>23.4</v>
      </c>
      <c r="F11113" s="689">
        <v>23.2</v>
      </c>
      <c r="G11113" s="689">
        <v>23.4</v>
      </c>
      <c r="H11113" s="689">
        <v>23.7</v>
      </c>
      <c r="I11113" s="689">
        <v>23.3</v>
      </c>
      <c r="J11113" s="689">
        <v>23.7</v>
      </c>
      <c r="K11113" s="689">
        <v>24.1</v>
      </c>
    </row>
    <row r="11114" spans="1:11">
      <c r="A11114" s="688" t="s">
        <v>29</v>
      </c>
      <c r="B11114" s="691">
        <v>18.2</v>
      </c>
      <c r="C11114" s="691">
        <v>18.2</v>
      </c>
      <c r="D11114" s="615">
        <v>18</v>
      </c>
      <c r="E11114" s="691">
        <v>18.2</v>
      </c>
      <c r="F11114" s="615">
        <v>18</v>
      </c>
      <c r="G11114" s="691">
        <v>18.100000000000001</v>
      </c>
      <c r="H11114" s="691">
        <v>18.3</v>
      </c>
      <c r="I11114" s="691">
        <v>17.600000000000001</v>
      </c>
      <c r="J11114" s="691">
        <v>16.5</v>
      </c>
      <c r="K11114" s="691">
        <v>17.8</v>
      </c>
    </row>
    <row r="11115" spans="1:11">
      <c r="A11115" s="688" t="s">
        <v>16</v>
      </c>
      <c r="B11115" s="689">
        <v>23.3</v>
      </c>
      <c r="C11115" s="689">
        <v>23.3</v>
      </c>
      <c r="D11115" s="689">
        <v>23.4</v>
      </c>
      <c r="E11115" s="689">
        <v>24.3</v>
      </c>
      <c r="F11115" s="689">
        <v>23.7</v>
      </c>
      <c r="G11115" s="689">
        <v>23.7</v>
      </c>
      <c r="H11115" s="693">
        <v>24</v>
      </c>
      <c r="I11115" s="689">
        <v>23.4</v>
      </c>
      <c r="J11115" s="689">
        <v>23.8</v>
      </c>
      <c r="K11115" s="689">
        <v>23.7</v>
      </c>
    </row>
    <row r="11116" spans="1:11">
      <c r="A11116" s="688" t="s">
        <v>17</v>
      </c>
      <c r="B11116" s="691">
        <v>23.1</v>
      </c>
      <c r="C11116" s="691">
        <v>23.4</v>
      </c>
      <c r="D11116" s="691">
        <v>23.2</v>
      </c>
      <c r="E11116" s="691">
        <v>23.3</v>
      </c>
      <c r="F11116" s="691">
        <v>23.5</v>
      </c>
      <c r="G11116" s="691">
        <v>23.6</v>
      </c>
      <c r="H11116" s="691">
        <v>23.9</v>
      </c>
      <c r="I11116" s="691">
        <v>23.1</v>
      </c>
      <c r="J11116" s="691">
        <v>23.2</v>
      </c>
      <c r="K11116" s="691">
        <v>23.6</v>
      </c>
    </row>
    <row r="11117" spans="1:11">
      <c r="A11117" s="688" t="s">
        <v>19</v>
      </c>
      <c r="B11117" s="689">
        <v>22.8</v>
      </c>
      <c r="C11117" s="689">
        <v>22.9</v>
      </c>
      <c r="D11117" s="689">
        <v>22.6</v>
      </c>
      <c r="E11117" s="693">
        <v>23</v>
      </c>
      <c r="F11117" s="689">
        <v>23.1</v>
      </c>
      <c r="G11117" s="689">
        <v>23.1</v>
      </c>
      <c r="H11117" s="689">
        <v>23.4</v>
      </c>
      <c r="I11117" s="689">
        <v>22.7</v>
      </c>
      <c r="J11117" s="689">
        <v>22.7</v>
      </c>
      <c r="K11117" s="689">
        <v>22.8</v>
      </c>
    </row>
    <row r="11118" spans="1:11">
      <c r="A11118" s="688" t="s">
        <v>20</v>
      </c>
      <c r="B11118" s="691">
        <v>19.399999999999999</v>
      </c>
      <c r="C11118" s="691">
        <v>19.7</v>
      </c>
      <c r="D11118" s="691">
        <v>19.5</v>
      </c>
      <c r="E11118" s="691">
        <v>19.8</v>
      </c>
      <c r="F11118" s="691">
        <v>19.8</v>
      </c>
      <c r="G11118" s="691">
        <v>19.7</v>
      </c>
      <c r="H11118" s="615">
        <v>20</v>
      </c>
      <c r="I11118" s="691">
        <v>18.5</v>
      </c>
      <c r="J11118" s="691">
        <v>17.8</v>
      </c>
      <c r="K11118" s="691">
        <v>19.3</v>
      </c>
    </row>
    <row r="11119" spans="1:11">
      <c r="A11119" s="688" t="s">
        <v>21</v>
      </c>
      <c r="B11119" s="689">
        <v>22.4</v>
      </c>
      <c r="C11119" s="689">
        <v>22.8</v>
      </c>
      <c r="D11119" s="689">
        <v>22.8</v>
      </c>
      <c r="E11119" s="689">
        <v>22.7</v>
      </c>
      <c r="F11119" s="693">
        <v>23</v>
      </c>
      <c r="G11119" s="693">
        <v>23</v>
      </c>
      <c r="H11119" s="689">
        <v>23.3</v>
      </c>
      <c r="I11119" s="689">
        <v>22.8</v>
      </c>
      <c r="J11119" s="689">
        <v>22.8</v>
      </c>
      <c r="K11119" s="689">
        <v>23.2</v>
      </c>
    </row>
    <row r="11120" spans="1:11">
      <c r="A11120" s="688" t="s">
        <v>22</v>
      </c>
      <c r="B11120" s="691">
        <v>18.600000000000001</v>
      </c>
      <c r="C11120" s="691">
        <v>18.399999999999999</v>
      </c>
      <c r="D11120" s="691">
        <v>18.2</v>
      </c>
      <c r="E11120" s="691">
        <v>18.399999999999999</v>
      </c>
      <c r="F11120" s="691">
        <v>18.3</v>
      </c>
      <c r="G11120" s="691">
        <v>18.3</v>
      </c>
      <c r="H11120" s="691">
        <v>18.5</v>
      </c>
      <c r="I11120" s="691">
        <v>16.899999999999999</v>
      </c>
      <c r="J11120" s="615">
        <v>16</v>
      </c>
      <c r="K11120" s="691">
        <v>17.7</v>
      </c>
    </row>
    <row r="11121" spans="1:11">
      <c r="A11121" s="688" t="s">
        <v>26</v>
      </c>
      <c r="B11121" s="689">
        <v>21.7</v>
      </c>
      <c r="C11121" s="693">
        <v>22</v>
      </c>
      <c r="D11121" s="689">
        <v>21.9</v>
      </c>
      <c r="E11121" s="689">
        <v>22.2</v>
      </c>
      <c r="F11121" s="693">
        <v>22</v>
      </c>
      <c r="G11121" s="689">
        <v>22.2</v>
      </c>
      <c r="H11121" s="689">
        <v>22.5</v>
      </c>
      <c r="I11121" s="689">
        <v>21.6</v>
      </c>
      <c r="J11121" s="689">
        <v>21.6</v>
      </c>
      <c r="K11121" s="689">
        <v>22.3</v>
      </c>
    </row>
    <row r="11122" spans="1:11">
      <c r="A11122" s="688" t="s">
        <v>25</v>
      </c>
      <c r="B11122" s="691">
        <v>18.7</v>
      </c>
      <c r="C11122" s="691">
        <v>19.100000000000001</v>
      </c>
      <c r="D11122" s="615">
        <v>19</v>
      </c>
      <c r="E11122" s="691">
        <v>19.3</v>
      </c>
      <c r="F11122" s="691">
        <v>19.3</v>
      </c>
      <c r="G11122" s="691">
        <v>19.5</v>
      </c>
      <c r="H11122" s="691">
        <v>19.8</v>
      </c>
      <c r="I11122" s="615">
        <v>19</v>
      </c>
      <c r="J11122" s="691">
        <v>17.100000000000001</v>
      </c>
      <c r="K11122" s="691">
        <v>19.2</v>
      </c>
    </row>
    <row r="11123" spans="1:11">
      <c r="A11123" s="688" t="s">
        <v>5</v>
      </c>
      <c r="B11123" s="689">
        <v>22.7</v>
      </c>
      <c r="C11123" s="689">
        <v>22.6</v>
      </c>
      <c r="D11123" s="689">
        <v>22.8</v>
      </c>
      <c r="E11123" s="689">
        <v>22.8</v>
      </c>
      <c r="F11123" s="689">
        <v>22.9</v>
      </c>
      <c r="G11123" s="689">
        <v>23.1</v>
      </c>
      <c r="H11123" s="689">
        <v>23.4</v>
      </c>
      <c r="I11123" s="689">
        <v>23.4</v>
      </c>
      <c r="J11123" s="689">
        <v>23.2</v>
      </c>
      <c r="K11123" s="689">
        <v>22.8</v>
      </c>
    </row>
    <row r="11124" spans="1:11">
      <c r="A11124" s="688" t="s">
        <v>23</v>
      </c>
      <c r="B11124" s="691">
        <v>23.7</v>
      </c>
      <c r="C11124" s="691">
        <v>23.9</v>
      </c>
      <c r="D11124" s="691">
        <v>23.9</v>
      </c>
      <c r="E11124" s="615">
        <v>24</v>
      </c>
      <c r="F11124" s="691">
        <v>24.2</v>
      </c>
      <c r="G11124" s="691">
        <v>24.2</v>
      </c>
      <c r="H11124" s="691">
        <v>24.6</v>
      </c>
      <c r="I11124" s="691">
        <v>23.9</v>
      </c>
      <c r="J11124" s="691">
        <v>24.5</v>
      </c>
      <c r="K11124" s="691">
        <v>24.6</v>
      </c>
    </row>
    <row r="11125" spans="1:11">
      <c r="A11125" s="688" t="s">
        <v>4067</v>
      </c>
      <c r="B11125" s="689">
        <v>22.4</v>
      </c>
      <c r="C11125" s="689">
        <v>22.7</v>
      </c>
      <c r="D11125" s="689">
        <v>22.4</v>
      </c>
      <c r="E11125" s="689">
        <v>22.7</v>
      </c>
      <c r="F11125" s="689">
        <v>22.7</v>
      </c>
      <c r="G11125" s="689">
        <v>22.8</v>
      </c>
      <c r="H11125" s="690" t="s">
        <v>4060</v>
      </c>
      <c r="I11125" s="690" t="s">
        <v>4060</v>
      </c>
      <c r="J11125" s="690" t="s">
        <v>4060</v>
      </c>
      <c r="K11125" s="690" t="s">
        <v>4060</v>
      </c>
    </row>
    <row r="11126" spans="1:11">
      <c r="A11126" s="688" t="s">
        <v>4066</v>
      </c>
      <c r="B11126" s="691">
        <v>22.4</v>
      </c>
      <c r="C11126" s="691">
        <v>22.7</v>
      </c>
      <c r="D11126" s="691">
        <v>22.5</v>
      </c>
      <c r="E11126" s="691">
        <v>22.7</v>
      </c>
      <c r="F11126" s="691">
        <v>22.7</v>
      </c>
      <c r="G11126" s="691">
        <v>22.8</v>
      </c>
      <c r="H11126" s="692" t="s">
        <v>4060</v>
      </c>
      <c r="I11126" s="692" t="s">
        <v>4060</v>
      </c>
      <c r="J11126" s="692" t="s">
        <v>4060</v>
      </c>
      <c r="K11126" s="692" t="s">
        <v>4060</v>
      </c>
    </row>
    <row r="11127" spans="1:11">
      <c r="A11127" s="688" t="s">
        <v>4062</v>
      </c>
      <c r="B11127" s="693">
        <v>24</v>
      </c>
      <c r="C11127" s="689">
        <v>24.2</v>
      </c>
      <c r="D11127" s="689">
        <v>24.1</v>
      </c>
      <c r="E11127" s="689">
        <v>24.5</v>
      </c>
      <c r="F11127" s="689">
        <v>24.6</v>
      </c>
      <c r="G11127" s="689">
        <v>24.8</v>
      </c>
      <c r="H11127" s="689">
        <v>24.9</v>
      </c>
      <c r="I11127" s="689">
        <v>24.5</v>
      </c>
      <c r="J11127" s="689">
        <v>24.9</v>
      </c>
      <c r="K11127" s="689">
        <v>24.7</v>
      </c>
    </row>
    <row r="11128" spans="1:11">
      <c r="A11128" s="688" t="s">
        <v>9</v>
      </c>
      <c r="B11128" s="615">
        <v>24</v>
      </c>
      <c r="C11128" s="691">
        <v>24.5</v>
      </c>
      <c r="D11128" s="691">
        <v>24.7</v>
      </c>
      <c r="E11128" s="691">
        <v>23.9</v>
      </c>
      <c r="F11128" s="691">
        <v>24.7</v>
      </c>
      <c r="G11128" s="691">
        <v>24.8</v>
      </c>
      <c r="H11128" s="691">
        <v>24.8</v>
      </c>
      <c r="I11128" s="691">
        <v>25.2</v>
      </c>
      <c r="J11128" s="691">
        <v>25.5</v>
      </c>
      <c r="K11128" s="691">
        <v>24.3</v>
      </c>
    </row>
    <row r="11129" spans="1:11">
      <c r="A11129" s="688" t="s">
        <v>13</v>
      </c>
      <c r="B11129" s="693">
        <v>24</v>
      </c>
      <c r="C11129" s="689">
        <v>24.3</v>
      </c>
      <c r="D11129" s="689">
        <v>24.1</v>
      </c>
      <c r="E11129" s="689">
        <v>22.8</v>
      </c>
      <c r="F11129" s="689">
        <v>24.7</v>
      </c>
      <c r="G11129" s="689">
        <v>24.3</v>
      </c>
      <c r="H11129" s="693">
        <v>25</v>
      </c>
      <c r="I11129" s="689">
        <v>23.3</v>
      </c>
      <c r="J11129" s="689">
        <v>25.2</v>
      </c>
      <c r="K11129" s="689">
        <v>25.9</v>
      </c>
    </row>
    <row r="11130" spans="1:11">
      <c r="A11130" s="688" t="s">
        <v>18</v>
      </c>
      <c r="B11130" s="691">
        <v>23.5</v>
      </c>
      <c r="C11130" s="691">
        <v>23.7</v>
      </c>
      <c r="D11130" s="691">
        <v>23.8</v>
      </c>
      <c r="E11130" s="691">
        <v>24.1</v>
      </c>
      <c r="F11130" s="691">
        <v>24.2</v>
      </c>
      <c r="G11130" s="691">
        <v>24.4</v>
      </c>
      <c r="H11130" s="691">
        <v>24.6</v>
      </c>
      <c r="I11130" s="691">
        <v>24.8</v>
      </c>
      <c r="J11130" s="691">
        <v>24.8</v>
      </c>
      <c r="K11130" s="691">
        <v>24.3</v>
      </c>
    </row>
    <row r="11131" spans="1:11">
      <c r="A11131" s="688" t="s">
        <v>24</v>
      </c>
      <c r="B11131" s="689">
        <v>24.3</v>
      </c>
      <c r="C11131" s="689">
        <v>24.4</v>
      </c>
      <c r="D11131" s="689">
        <v>24.2</v>
      </c>
      <c r="E11131" s="689">
        <v>24.8</v>
      </c>
      <c r="F11131" s="689">
        <v>24.8</v>
      </c>
      <c r="G11131" s="693">
        <v>25</v>
      </c>
      <c r="H11131" s="689">
        <v>25.1</v>
      </c>
      <c r="I11131" s="689">
        <v>24.3</v>
      </c>
      <c r="J11131" s="689">
        <v>24.9</v>
      </c>
      <c r="K11131" s="689">
        <v>24.9</v>
      </c>
    </row>
    <row r="11132" spans="1:11">
      <c r="A11132" s="688" t="s">
        <v>4059</v>
      </c>
      <c r="B11132" s="691">
        <v>23.4</v>
      </c>
      <c r="C11132" s="691">
        <v>23.6</v>
      </c>
      <c r="D11132" s="691">
        <v>23.4</v>
      </c>
      <c r="E11132" s="691">
        <v>23.6</v>
      </c>
      <c r="F11132" s="691">
        <v>23.7</v>
      </c>
      <c r="G11132" s="691">
        <v>23.8</v>
      </c>
      <c r="H11132" s="692" t="s">
        <v>4060</v>
      </c>
      <c r="I11132" s="692" t="s">
        <v>4060</v>
      </c>
      <c r="J11132" s="692" t="s">
        <v>4060</v>
      </c>
      <c r="K11132" s="692" t="s">
        <v>4060</v>
      </c>
    </row>
    <row r="11133" spans="1:11">
      <c r="A11133" s="688" t="s">
        <v>2324</v>
      </c>
      <c r="B11133" s="689">
        <v>19.3</v>
      </c>
      <c r="C11133" s="689">
        <v>19.3</v>
      </c>
      <c r="D11133" s="689">
        <v>19.100000000000001</v>
      </c>
      <c r="E11133" s="689">
        <v>18.899999999999999</v>
      </c>
      <c r="F11133" s="693">
        <v>19</v>
      </c>
      <c r="G11133" s="689">
        <v>19.399999999999999</v>
      </c>
      <c r="H11133" s="689">
        <v>19.2</v>
      </c>
      <c r="I11133" s="689">
        <v>18.100000000000001</v>
      </c>
      <c r="J11133" s="689">
        <v>16.2</v>
      </c>
      <c r="K11133" s="690" t="s">
        <v>4060</v>
      </c>
    </row>
    <row r="11134" spans="1:11">
      <c r="A11134" s="688" t="s">
        <v>2322</v>
      </c>
      <c r="B11134" s="692" t="s">
        <v>4060</v>
      </c>
      <c r="C11134" s="692" t="s">
        <v>4060</v>
      </c>
      <c r="D11134" s="692" t="s">
        <v>4060</v>
      </c>
      <c r="E11134" s="692" t="s">
        <v>4060</v>
      </c>
      <c r="F11134" s="692" t="s">
        <v>4060</v>
      </c>
      <c r="G11134" s="692" t="s">
        <v>4060</v>
      </c>
      <c r="H11134" s="692" t="s">
        <v>4060</v>
      </c>
      <c r="I11134" s="692" t="s">
        <v>4060</v>
      </c>
      <c r="J11134" s="692" t="s">
        <v>4060</v>
      </c>
      <c r="K11134" s="692" t="s">
        <v>4060</v>
      </c>
    </row>
    <row r="11135" spans="1:11">
      <c r="A11135" s="688" t="s">
        <v>2328</v>
      </c>
      <c r="B11135" s="689">
        <v>18.7</v>
      </c>
      <c r="C11135" s="689">
        <v>18.8</v>
      </c>
      <c r="D11135" s="689">
        <v>18.600000000000001</v>
      </c>
      <c r="E11135" s="689">
        <v>18.7</v>
      </c>
      <c r="F11135" s="689">
        <v>18.899999999999999</v>
      </c>
      <c r="G11135" s="689">
        <v>19.3</v>
      </c>
      <c r="H11135" s="689">
        <v>19.3</v>
      </c>
      <c r="I11135" s="693">
        <v>17</v>
      </c>
      <c r="J11135" s="689">
        <v>16.5</v>
      </c>
      <c r="K11135" s="690" t="s">
        <v>4060</v>
      </c>
    </row>
    <row r="11136" spans="1:11">
      <c r="A11136" s="688" t="s">
        <v>2496</v>
      </c>
      <c r="B11136" s="692" t="s">
        <v>4060</v>
      </c>
      <c r="C11136" s="691">
        <v>17.8</v>
      </c>
      <c r="D11136" s="691">
        <v>16.899999999999999</v>
      </c>
      <c r="E11136" s="691">
        <v>16.7</v>
      </c>
      <c r="F11136" s="691">
        <v>17.2</v>
      </c>
      <c r="G11136" s="691">
        <v>17.399999999999999</v>
      </c>
      <c r="H11136" s="691">
        <v>17.3</v>
      </c>
      <c r="I11136" s="692" t="s">
        <v>4060</v>
      </c>
      <c r="J11136" s="692" t="s">
        <v>4060</v>
      </c>
      <c r="K11136" s="691">
        <v>16.8</v>
      </c>
    </row>
    <row r="11137" spans="1:11">
      <c r="A11137" s="688" t="s">
        <v>2269</v>
      </c>
      <c r="B11137" s="689">
        <v>21.4</v>
      </c>
      <c r="C11137" s="689">
        <v>21.5</v>
      </c>
      <c r="D11137" s="689">
        <v>21.2</v>
      </c>
      <c r="E11137" s="689">
        <v>21.8</v>
      </c>
      <c r="F11137" s="689">
        <v>21.9</v>
      </c>
      <c r="G11137" s="693">
        <v>22</v>
      </c>
      <c r="H11137" s="689">
        <v>22.3</v>
      </c>
      <c r="I11137" s="689">
        <v>20.2</v>
      </c>
      <c r="J11137" s="689">
        <v>18.5</v>
      </c>
      <c r="K11137" s="689">
        <v>21.9</v>
      </c>
    </row>
    <row r="11138" spans="1:11">
      <c r="A11138" s="688" t="s">
        <v>2349</v>
      </c>
      <c r="B11138" s="691">
        <v>18.3</v>
      </c>
      <c r="C11138" s="691">
        <v>18.399999999999999</v>
      </c>
      <c r="D11138" s="691">
        <v>18.399999999999999</v>
      </c>
      <c r="E11138" s="691">
        <v>18.600000000000001</v>
      </c>
      <c r="F11138" s="691">
        <v>18.600000000000001</v>
      </c>
      <c r="G11138" s="691">
        <v>18.8</v>
      </c>
      <c r="H11138" s="691">
        <v>18.7</v>
      </c>
      <c r="I11138" s="691">
        <v>17.3</v>
      </c>
      <c r="J11138" s="615">
        <v>16</v>
      </c>
      <c r="K11138" s="691">
        <v>18.100000000000001</v>
      </c>
    </row>
    <row r="11139" spans="1:11">
      <c r="A11139" s="688" t="s">
        <v>2355</v>
      </c>
      <c r="B11139" s="689">
        <v>20.8</v>
      </c>
      <c r="C11139" s="689">
        <v>20.8</v>
      </c>
      <c r="D11139" s="689">
        <v>20.7</v>
      </c>
      <c r="E11139" s="689">
        <v>20.6</v>
      </c>
      <c r="F11139" s="689">
        <v>20.8</v>
      </c>
      <c r="G11139" s="689">
        <v>21.2</v>
      </c>
      <c r="H11139" s="689">
        <v>21.2</v>
      </c>
      <c r="I11139" s="690" t="s">
        <v>4060</v>
      </c>
      <c r="J11139" s="690" t="s">
        <v>4060</v>
      </c>
      <c r="K11139" s="690" t="s">
        <v>4060</v>
      </c>
    </row>
    <row r="11140" spans="1:11">
      <c r="A11140" s="688" t="s">
        <v>2357</v>
      </c>
      <c r="B11140" s="692" t="s">
        <v>4060</v>
      </c>
      <c r="C11140" s="691">
        <v>16.399999999999999</v>
      </c>
      <c r="D11140" s="691">
        <v>16.7</v>
      </c>
      <c r="E11140" s="691">
        <v>16.899999999999999</v>
      </c>
      <c r="F11140" s="691">
        <v>17.2</v>
      </c>
      <c r="G11140" s="691">
        <v>16.899999999999999</v>
      </c>
      <c r="H11140" s="691">
        <v>17.100000000000001</v>
      </c>
      <c r="I11140" s="692" t="s">
        <v>4060</v>
      </c>
      <c r="J11140" s="692" t="s">
        <v>4060</v>
      </c>
      <c r="K11140" s="692" t="s">
        <v>4060</v>
      </c>
    </row>
    <row r="11141" spans="1:11">
      <c r="A11141" s="688" t="s">
        <v>4070</v>
      </c>
      <c r="B11141" s="690" t="s">
        <v>4060</v>
      </c>
      <c r="C11141" s="690" t="s">
        <v>4060</v>
      </c>
      <c r="D11141" s="690" t="s">
        <v>4060</v>
      </c>
      <c r="E11141" s="689">
        <v>20.100000000000001</v>
      </c>
      <c r="F11141" s="690" t="s">
        <v>4060</v>
      </c>
      <c r="G11141" s="690" t="s">
        <v>4060</v>
      </c>
      <c r="H11141" s="690" t="s">
        <v>4060</v>
      </c>
      <c r="I11141" s="690" t="s">
        <v>4060</v>
      </c>
      <c r="J11141" s="690" t="s">
        <v>4060</v>
      </c>
      <c r="K11141" s="690" t="s">
        <v>4060</v>
      </c>
    </row>
    <row r="11142" spans="1:11">
      <c r="A11142" s="688" t="s">
        <v>2491</v>
      </c>
      <c r="B11142" s="691">
        <v>15.9</v>
      </c>
      <c r="C11142" s="691">
        <v>16.2</v>
      </c>
      <c r="D11142" s="691">
        <v>16.399999999999999</v>
      </c>
      <c r="E11142" s="691">
        <v>16.5</v>
      </c>
      <c r="F11142" s="691">
        <v>16.5</v>
      </c>
      <c r="G11142" s="691">
        <v>16.5</v>
      </c>
      <c r="H11142" s="692" t="s">
        <v>4060</v>
      </c>
      <c r="I11142" s="692" t="s">
        <v>4060</v>
      </c>
      <c r="J11142" s="692" t="s">
        <v>4060</v>
      </c>
      <c r="K11142" s="692" t="s">
        <v>4060</v>
      </c>
    </row>
    <row r="11143" spans="1:11">
      <c r="A11143" s="688" t="s">
        <v>2343</v>
      </c>
      <c r="B11143" s="690" t="s">
        <v>4060</v>
      </c>
      <c r="C11143" s="690" t="s">
        <v>4060</v>
      </c>
      <c r="D11143" s="690" t="s">
        <v>4060</v>
      </c>
      <c r="E11143" s="690" t="s">
        <v>4060</v>
      </c>
      <c r="F11143" s="690" t="s">
        <v>4060</v>
      </c>
      <c r="G11143" s="690" t="s">
        <v>4060</v>
      </c>
      <c r="H11143" s="690" t="s">
        <v>4060</v>
      </c>
      <c r="I11143" s="690" t="s">
        <v>4060</v>
      </c>
      <c r="J11143" s="690" t="s">
        <v>4060</v>
      </c>
      <c r="K11143" s="690" t="s">
        <v>4060</v>
      </c>
    </row>
    <row r="11144" spans="1:11">
      <c r="A11144" s="688" t="s">
        <v>4071</v>
      </c>
      <c r="B11144" s="692" t="s">
        <v>4060</v>
      </c>
      <c r="C11144" s="692" t="s">
        <v>4060</v>
      </c>
      <c r="D11144" s="692" t="s">
        <v>4060</v>
      </c>
      <c r="E11144" s="692" t="s">
        <v>4060</v>
      </c>
      <c r="F11144" s="692" t="s">
        <v>4060</v>
      </c>
      <c r="G11144" s="692" t="s">
        <v>4060</v>
      </c>
      <c r="H11144" s="692" t="s">
        <v>4060</v>
      </c>
      <c r="I11144" s="692" t="s">
        <v>4060</v>
      </c>
      <c r="J11144" s="692" t="s">
        <v>4060</v>
      </c>
      <c r="K11144" s="692" t="s">
        <v>4060</v>
      </c>
    </row>
    <row r="11145" spans="1:11">
      <c r="A11145" s="688" t="s">
        <v>2489</v>
      </c>
      <c r="B11145" s="690" t="s">
        <v>4060</v>
      </c>
      <c r="C11145" s="690" t="s">
        <v>4060</v>
      </c>
      <c r="D11145" s="689">
        <v>18.399999999999999</v>
      </c>
      <c r="E11145" s="689">
        <v>18.3</v>
      </c>
      <c r="F11145" s="689">
        <v>18.7</v>
      </c>
      <c r="G11145" s="689">
        <v>19.3</v>
      </c>
      <c r="H11145" s="689">
        <v>19.399999999999999</v>
      </c>
      <c r="I11145" s="690" t="s">
        <v>4060</v>
      </c>
      <c r="J11145" s="690" t="s">
        <v>4060</v>
      </c>
      <c r="K11145" s="690" t="s">
        <v>4060</v>
      </c>
    </row>
    <row r="11146" spans="1:11">
      <c r="A11146" s="688" t="s">
        <v>2490</v>
      </c>
      <c r="B11146" s="691">
        <v>18.8</v>
      </c>
      <c r="C11146" s="691">
        <v>18.600000000000001</v>
      </c>
      <c r="D11146" s="691">
        <v>19.399999999999999</v>
      </c>
      <c r="E11146" s="692" t="s">
        <v>4060</v>
      </c>
      <c r="F11146" s="691">
        <v>19.7</v>
      </c>
      <c r="G11146" s="691">
        <v>19.7</v>
      </c>
      <c r="H11146" s="691">
        <v>20.6</v>
      </c>
      <c r="I11146" s="692" t="s">
        <v>4060</v>
      </c>
      <c r="J11146" s="692" t="s">
        <v>4060</v>
      </c>
      <c r="K11146" s="692" t="s">
        <v>4060</v>
      </c>
    </row>
    <row r="11148" spans="1:11">
      <c r="A11148" s="683" t="s">
        <v>4233</v>
      </c>
    </row>
    <row r="11149" spans="1:11">
      <c r="A11149" s="683" t="s">
        <v>4060</v>
      </c>
      <c r="B11149" s="682" t="s">
        <v>4234</v>
      </c>
    </row>
    <row r="11151" spans="1:11">
      <c r="A11151" s="682" t="s">
        <v>4331</v>
      </c>
    </row>
    <row r="11152" spans="1:11">
      <c r="A11152" s="682" t="s">
        <v>4210</v>
      </c>
      <c r="B11152" s="683" t="s">
        <v>4211</v>
      </c>
    </row>
    <row r="11153" spans="1:11">
      <c r="A11153" s="682" t="s">
        <v>4212</v>
      </c>
      <c r="B11153" s="682" t="s">
        <v>4213</v>
      </c>
    </row>
    <row r="11155" spans="1:11">
      <c r="A11155" s="683" t="s">
        <v>4214</v>
      </c>
      <c r="C11155" s="682" t="s">
        <v>4215</v>
      </c>
    </row>
    <row r="11156" spans="1:11">
      <c r="A11156" s="683" t="s">
        <v>4216</v>
      </c>
      <c r="C11156" s="682" t="s">
        <v>2967</v>
      </c>
    </row>
    <row r="11157" spans="1:11">
      <c r="A11157" s="683" t="s">
        <v>3893</v>
      </c>
      <c r="C11157" s="682" t="s">
        <v>2168</v>
      </c>
    </row>
    <row r="11158" spans="1:11">
      <c r="A11158" s="683" t="s">
        <v>4218</v>
      </c>
      <c r="C11158" s="682" t="s">
        <v>4295</v>
      </c>
    </row>
    <row r="11160" spans="1:11">
      <c r="A11160" s="684" t="s">
        <v>4220</v>
      </c>
      <c r="B11160" s="685" t="s">
        <v>4221</v>
      </c>
      <c r="C11160" s="685" t="s">
        <v>4222</v>
      </c>
      <c r="D11160" s="685" t="s">
        <v>4223</v>
      </c>
      <c r="E11160" s="685" t="s">
        <v>4224</v>
      </c>
      <c r="F11160" s="685" t="s">
        <v>4225</v>
      </c>
      <c r="G11160" s="685" t="s">
        <v>4226</v>
      </c>
      <c r="H11160" s="685" t="s">
        <v>4227</v>
      </c>
      <c r="I11160" s="685" t="s">
        <v>4228</v>
      </c>
      <c r="J11160" s="685" t="s">
        <v>4229</v>
      </c>
      <c r="K11160" s="685" t="s">
        <v>4230</v>
      </c>
    </row>
    <row r="11161" spans="1:11">
      <c r="A11161" s="686" t="s">
        <v>4231</v>
      </c>
      <c r="B11161" s="687" t="s">
        <v>4232</v>
      </c>
      <c r="C11161" s="687" t="s">
        <v>4232</v>
      </c>
      <c r="D11161" s="687" t="s">
        <v>4232</v>
      </c>
      <c r="E11161" s="687" t="s">
        <v>4232</v>
      </c>
      <c r="F11161" s="687" t="s">
        <v>4232</v>
      </c>
      <c r="G11161" s="687" t="s">
        <v>4232</v>
      </c>
      <c r="H11161" s="687" t="s">
        <v>4232</v>
      </c>
      <c r="I11161" s="687" t="s">
        <v>4232</v>
      </c>
      <c r="J11161" s="687" t="s">
        <v>4232</v>
      </c>
      <c r="K11161" s="687" t="s">
        <v>4232</v>
      </c>
    </row>
    <row r="11162" spans="1:11">
      <c r="A11162" s="688" t="s">
        <v>4064</v>
      </c>
      <c r="B11162" s="691">
        <v>21.5</v>
      </c>
      <c r="C11162" s="691">
        <v>21.6</v>
      </c>
      <c r="D11162" s="691">
        <v>21.5</v>
      </c>
      <c r="E11162" s="691">
        <v>21.6</v>
      </c>
      <c r="F11162" s="691">
        <v>21.6</v>
      </c>
      <c r="G11162" s="691">
        <v>21.7</v>
      </c>
      <c r="H11162" s="691">
        <v>21.9</v>
      </c>
      <c r="I11162" s="615">
        <v>21</v>
      </c>
      <c r="J11162" s="691">
        <v>20.9</v>
      </c>
      <c r="K11162" s="691">
        <v>21.4</v>
      </c>
    </row>
    <row r="11163" spans="1:11">
      <c r="A11163" s="688" t="s">
        <v>4065</v>
      </c>
      <c r="B11163" s="689">
        <v>21.6</v>
      </c>
      <c r="C11163" s="689">
        <v>21.9</v>
      </c>
      <c r="D11163" s="689">
        <v>21.6</v>
      </c>
      <c r="E11163" s="689">
        <v>21.9</v>
      </c>
      <c r="F11163" s="689">
        <v>21.9</v>
      </c>
      <c r="G11163" s="693">
        <v>22</v>
      </c>
      <c r="H11163" s="690" t="s">
        <v>4060</v>
      </c>
      <c r="I11163" s="690" t="s">
        <v>4060</v>
      </c>
      <c r="J11163" s="690" t="s">
        <v>4060</v>
      </c>
      <c r="K11163" s="690" t="s">
        <v>4060</v>
      </c>
    </row>
    <row r="11164" spans="1:11">
      <c r="A11164" s="688" t="s">
        <v>4063</v>
      </c>
      <c r="B11164" s="691">
        <v>21.6</v>
      </c>
      <c r="C11164" s="691">
        <v>21.9</v>
      </c>
      <c r="D11164" s="691">
        <v>21.7</v>
      </c>
      <c r="E11164" s="691">
        <v>21.9</v>
      </c>
      <c r="F11164" s="691">
        <v>21.9</v>
      </c>
      <c r="G11164" s="615">
        <v>22</v>
      </c>
      <c r="H11164" s="692" t="s">
        <v>4060</v>
      </c>
      <c r="I11164" s="692" t="s">
        <v>4060</v>
      </c>
      <c r="J11164" s="692" t="s">
        <v>4060</v>
      </c>
      <c r="K11164" s="692" t="s">
        <v>4060</v>
      </c>
    </row>
    <row r="11165" spans="1:11">
      <c r="A11165" s="688" t="s">
        <v>4069</v>
      </c>
      <c r="B11165" s="690" t="s">
        <v>4060</v>
      </c>
      <c r="C11165" s="689">
        <v>22.3</v>
      </c>
      <c r="D11165" s="689">
        <v>22.1</v>
      </c>
      <c r="E11165" s="689">
        <v>22.3</v>
      </c>
      <c r="F11165" s="689">
        <v>22.4</v>
      </c>
      <c r="G11165" s="689">
        <v>22.5</v>
      </c>
      <c r="H11165" s="689">
        <v>22.7</v>
      </c>
      <c r="I11165" s="693">
        <v>22</v>
      </c>
      <c r="J11165" s="693">
        <v>22</v>
      </c>
      <c r="K11165" s="689">
        <v>22.2</v>
      </c>
    </row>
    <row r="11166" spans="1:11">
      <c r="A11166" s="688" t="s">
        <v>4068</v>
      </c>
      <c r="B11166" s="691">
        <v>22.3</v>
      </c>
      <c r="C11166" s="692" t="s">
        <v>4060</v>
      </c>
      <c r="D11166" s="692" t="s">
        <v>4060</v>
      </c>
      <c r="E11166" s="692" t="s">
        <v>4060</v>
      </c>
      <c r="F11166" s="692" t="s">
        <v>4060</v>
      </c>
      <c r="G11166" s="692" t="s">
        <v>4060</v>
      </c>
      <c r="H11166" s="692" t="s">
        <v>4060</v>
      </c>
      <c r="I11166" s="692" t="s">
        <v>4060</v>
      </c>
      <c r="J11166" s="692" t="s">
        <v>4060</v>
      </c>
      <c r="K11166" s="692" t="s">
        <v>4060</v>
      </c>
    </row>
    <row r="11167" spans="1:11">
      <c r="A11167" s="688" t="s">
        <v>0</v>
      </c>
      <c r="B11167" s="689">
        <v>21.6</v>
      </c>
      <c r="C11167" s="689">
        <v>22.1</v>
      </c>
      <c r="D11167" s="689">
        <v>21.9</v>
      </c>
      <c r="E11167" s="689">
        <v>22.1</v>
      </c>
      <c r="F11167" s="689">
        <v>22.3</v>
      </c>
      <c r="G11167" s="689">
        <v>22.4</v>
      </c>
      <c r="H11167" s="689">
        <v>22.7</v>
      </c>
      <c r="I11167" s="689">
        <v>21.6</v>
      </c>
      <c r="J11167" s="689">
        <v>22.4</v>
      </c>
      <c r="K11167" s="689">
        <v>22.6</v>
      </c>
    </row>
    <row r="11168" spans="1:11">
      <c r="A11168" s="688" t="s">
        <v>1</v>
      </c>
      <c r="B11168" s="691">
        <v>17.399999999999999</v>
      </c>
      <c r="C11168" s="691">
        <v>17.2</v>
      </c>
      <c r="D11168" s="691">
        <v>17.100000000000001</v>
      </c>
      <c r="E11168" s="691">
        <v>17.3</v>
      </c>
      <c r="F11168" s="691">
        <v>17.2</v>
      </c>
      <c r="G11168" s="691">
        <v>17.2</v>
      </c>
      <c r="H11168" s="691">
        <v>17.2</v>
      </c>
      <c r="I11168" s="691">
        <v>15.9</v>
      </c>
      <c r="J11168" s="691">
        <v>14.5</v>
      </c>
      <c r="K11168" s="691">
        <v>16.3</v>
      </c>
    </row>
    <row r="11169" spans="1:11">
      <c r="A11169" s="688" t="s">
        <v>2240</v>
      </c>
      <c r="B11169" s="689">
        <v>19.2</v>
      </c>
      <c r="C11169" s="689">
        <v>19.5</v>
      </c>
      <c r="D11169" s="689">
        <v>19.399999999999999</v>
      </c>
      <c r="E11169" s="689">
        <v>19.7</v>
      </c>
      <c r="F11169" s="689">
        <v>19.7</v>
      </c>
      <c r="G11169" s="689">
        <v>19.8</v>
      </c>
      <c r="H11169" s="693">
        <v>20</v>
      </c>
      <c r="I11169" s="689">
        <v>18.899999999999999</v>
      </c>
      <c r="J11169" s="693">
        <v>18</v>
      </c>
      <c r="K11169" s="689">
        <v>19.8</v>
      </c>
    </row>
    <row r="11170" spans="1:11">
      <c r="A11170" s="688" t="s">
        <v>2</v>
      </c>
      <c r="B11170" s="691">
        <v>21.6</v>
      </c>
      <c r="C11170" s="691">
        <v>21.8</v>
      </c>
      <c r="D11170" s="691">
        <v>21.8</v>
      </c>
      <c r="E11170" s="615">
        <v>22</v>
      </c>
      <c r="F11170" s="691">
        <v>22.1</v>
      </c>
      <c r="G11170" s="691">
        <v>21.9</v>
      </c>
      <c r="H11170" s="691">
        <v>22.2</v>
      </c>
      <c r="I11170" s="691">
        <v>22.3</v>
      </c>
      <c r="J11170" s="691">
        <v>22.2</v>
      </c>
      <c r="K11170" s="691">
        <v>22.1</v>
      </c>
    </row>
    <row r="11171" spans="1:11">
      <c r="A11171" s="688" t="s">
        <v>3</v>
      </c>
      <c r="B11171" s="689">
        <v>21.6</v>
      </c>
      <c r="C11171" s="689">
        <v>21.7</v>
      </c>
      <c r="D11171" s="689">
        <v>21.5</v>
      </c>
      <c r="E11171" s="689">
        <v>21.7</v>
      </c>
      <c r="F11171" s="689">
        <v>21.7</v>
      </c>
      <c r="G11171" s="689">
        <v>21.7</v>
      </c>
      <c r="H11171" s="689">
        <v>21.9</v>
      </c>
      <c r="I11171" s="689">
        <v>21.7</v>
      </c>
      <c r="J11171" s="689">
        <v>21.4</v>
      </c>
      <c r="K11171" s="689">
        <v>21.3</v>
      </c>
    </row>
    <row r="11172" spans="1:11">
      <c r="A11172" s="688" t="s">
        <v>4061</v>
      </c>
      <c r="B11172" s="691">
        <v>21.6</v>
      </c>
      <c r="C11172" s="691">
        <v>21.7</v>
      </c>
      <c r="D11172" s="691">
        <v>21.5</v>
      </c>
      <c r="E11172" s="691">
        <v>21.7</v>
      </c>
      <c r="F11172" s="691">
        <v>21.7</v>
      </c>
      <c r="G11172" s="691">
        <v>21.7</v>
      </c>
      <c r="H11172" s="691">
        <v>21.9</v>
      </c>
      <c r="I11172" s="691">
        <v>21.7</v>
      </c>
      <c r="J11172" s="691">
        <v>21.4</v>
      </c>
      <c r="K11172" s="691">
        <v>21.3</v>
      </c>
    </row>
    <row r="11173" spans="1:11">
      <c r="A11173" s="688" t="s">
        <v>4</v>
      </c>
      <c r="B11173" s="689">
        <v>18.3</v>
      </c>
      <c r="C11173" s="689">
        <v>18.2</v>
      </c>
      <c r="D11173" s="689">
        <v>18.600000000000001</v>
      </c>
      <c r="E11173" s="689">
        <v>18.600000000000001</v>
      </c>
      <c r="F11173" s="689">
        <v>18.7</v>
      </c>
      <c r="G11173" s="689">
        <v>18.8</v>
      </c>
      <c r="H11173" s="689">
        <v>19.100000000000001</v>
      </c>
      <c r="I11173" s="689">
        <v>19.100000000000001</v>
      </c>
      <c r="J11173" s="689">
        <v>17.7</v>
      </c>
      <c r="K11173" s="689">
        <v>18.600000000000001</v>
      </c>
    </row>
    <row r="11174" spans="1:11">
      <c r="A11174" s="688" t="s">
        <v>8</v>
      </c>
      <c r="B11174" s="691">
        <v>22.2</v>
      </c>
      <c r="C11174" s="691">
        <v>22.4</v>
      </c>
      <c r="D11174" s="691">
        <v>22.5</v>
      </c>
      <c r="E11174" s="691">
        <v>22.5</v>
      </c>
      <c r="F11174" s="615">
        <v>23</v>
      </c>
      <c r="G11174" s="615">
        <v>23</v>
      </c>
      <c r="H11174" s="691">
        <v>23.2</v>
      </c>
      <c r="I11174" s="691">
        <v>23.2</v>
      </c>
      <c r="J11174" s="615">
        <v>23</v>
      </c>
      <c r="K11174" s="691">
        <v>23.3</v>
      </c>
    </row>
    <row r="11175" spans="1:11">
      <c r="A11175" s="688" t="s">
        <v>7</v>
      </c>
      <c r="B11175" s="689">
        <v>22.5</v>
      </c>
      <c r="C11175" s="689">
        <v>21.9</v>
      </c>
      <c r="D11175" s="689">
        <v>21.6</v>
      </c>
      <c r="E11175" s="693">
        <v>22</v>
      </c>
      <c r="F11175" s="689">
        <v>21.9</v>
      </c>
      <c r="G11175" s="689">
        <v>22.3</v>
      </c>
      <c r="H11175" s="689">
        <v>22.2</v>
      </c>
      <c r="I11175" s="689">
        <v>21.9</v>
      </c>
      <c r="J11175" s="689">
        <v>21.1</v>
      </c>
      <c r="K11175" s="689">
        <v>21.6</v>
      </c>
    </row>
    <row r="11176" spans="1:11">
      <c r="A11176" s="688" t="s">
        <v>27</v>
      </c>
      <c r="B11176" s="691">
        <v>23.1</v>
      </c>
      <c r="C11176" s="615">
        <v>23</v>
      </c>
      <c r="D11176" s="691">
        <v>22.7</v>
      </c>
      <c r="E11176" s="615">
        <v>23</v>
      </c>
      <c r="F11176" s="615">
        <v>23</v>
      </c>
      <c r="G11176" s="691">
        <v>23.1</v>
      </c>
      <c r="H11176" s="691">
        <v>23.4</v>
      </c>
      <c r="I11176" s="691">
        <v>22.2</v>
      </c>
      <c r="J11176" s="691">
        <v>22.9</v>
      </c>
      <c r="K11176" s="615">
        <v>23</v>
      </c>
    </row>
    <row r="11177" spans="1:11">
      <c r="A11177" s="688" t="s">
        <v>6</v>
      </c>
      <c r="B11177" s="689">
        <v>23.1</v>
      </c>
      <c r="C11177" s="689">
        <v>23.1</v>
      </c>
      <c r="D11177" s="693">
        <v>23</v>
      </c>
      <c r="E11177" s="689">
        <v>23.1</v>
      </c>
      <c r="F11177" s="689">
        <v>23.2</v>
      </c>
      <c r="G11177" s="689">
        <v>23.3</v>
      </c>
      <c r="H11177" s="689">
        <v>23.4</v>
      </c>
      <c r="I11177" s="689">
        <v>22.8</v>
      </c>
      <c r="J11177" s="689">
        <v>22.9</v>
      </c>
      <c r="K11177" s="693">
        <v>23</v>
      </c>
    </row>
    <row r="11178" spans="1:11">
      <c r="A11178" s="688" t="s">
        <v>4058</v>
      </c>
      <c r="B11178" s="692" t="s">
        <v>4060</v>
      </c>
      <c r="C11178" s="692" t="s">
        <v>4060</v>
      </c>
      <c r="D11178" s="692" t="s">
        <v>4060</v>
      </c>
      <c r="E11178" s="692" t="s">
        <v>4060</v>
      </c>
      <c r="F11178" s="692" t="s">
        <v>4060</v>
      </c>
      <c r="G11178" s="692" t="s">
        <v>4060</v>
      </c>
      <c r="H11178" s="692" t="s">
        <v>4060</v>
      </c>
      <c r="I11178" s="692" t="s">
        <v>4060</v>
      </c>
      <c r="J11178" s="692" t="s">
        <v>4060</v>
      </c>
      <c r="K11178" s="692" t="s">
        <v>4060</v>
      </c>
    </row>
    <row r="11179" spans="1:11">
      <c r="A11179" s="688" t="s">
        <v>11</v>
      </c>
      <c r="B11179" s="689">
        <v>18.8</v>
      </c>
      <c r="C11179" s="689">
        <v>18.899999999999999</v>
      </c>
      <c r="D11179" s="689">
        <v>18.600000000000001</v>
      </c>
      <c r="E11179" s="693">
        <v>19</v>
      </c>
      <c r="F11179" s="689">
        <v>18.899999999999999</v>
      </c>
      <c r="G11179" s="689">
        <v>19.100000000000001</v>
      </c>
      <c r="H11179" s="689">
        <v>19.399999999999999</v>
      </c>
      <c r="I11179" s="689">
        <v>18.600000000000001</v>
      </c>
      <c r="J11179" s="689">
        <v>17.8</v>
      </c>
      <c r="K11179" s="689">
        <v>18.8</v>
      </c>
    </row>
    <row r="11180" spans="1:11">
      <c r="A11180" s="688" t="s">
        <v>10</v>
      </c>
      <c r="B11180" s="615">
        <v>23</v>
      </c>
      <c r="C11180" s="615">
        <v>23</v>
      </c>
      <c r="D11180" s="691">
        <v>22.8</v>
      </c>
      <c r="E11180" s="691">
        <v>23.3</v>
      </c>
      <c r="F11180" s="691">
        <v>23.1</v>
      </c>
      <c r="G11180" s="691">
        <v>23.5</v>
      </c>
      <c r="H11180" s="691">
        <v>23.6</v>
      </c>
      <c r="I11180" s="691">
        <v>22.4</v>
      </c>
      <c r="J11180" s="691">
        <v>22.9</v>
      </c>
      <c r="K11180" s="691">
        <v>23.1</v>
      </c>
    </row>
    <row r="11181" spans="1:11">
      <c r="A11181" s="688" t="s">
        <v>30</v>
      </c>
      <c r="B11181" s="689">
        <v>22.8</v>
      </c>
      <c r="C11181" s="689">
        <v>22.9</v>
      </c>
      <c r="D11181" s="689">
        <v>22.6</v>
      </c>
      <c r="E11181" s="689">
        <v>23.3</v>
      </c>
      <c r="F11181" s="689">
        <v>22.8</v>
      </c>
      <c r="G11181" s="689">
        <v>23.5</v>
      </c>
      <c r="H11181" s="689">
        <v>23.3</v>
      </c>
      <c r="I11181" s="689">
        <v>23.5</v>
      </c>
      <c r="J11181" s="689">
        <v>22.7</v>
      </c>
      <c r="K11181" s="693">
        <v>23</v>
      </c>
    </row>
    <row r="11182" spans="1:11">
      <c r="A11182" s="688" t="s">
        <v>12</v>
      </c>
      <c r="B11182" s="691">
        <v>16.8</v>
      </c>
      <c r="C11182" s="691">
        <v>16.600000000000001</v>
      </c>
      <c r="D11182" s="691">
        <v>17.100000000000001</v>
      </c>
      <c r="E11182" s="691">
        <v>16.899999999999999</v>
      </c>
      <c r="F11182" s="615">
        <v>17</v>
      </c>
      <c r="G11182" s="691">
        <v>17.100000000000001</v>
      </c>
      <c r="H11182" s="691">
        <v>17.399999999999999</v>
      </c>
      <c r="I11182" s="691">
        <v>17.100000000000001</v>
      </c>
      <c r="J11182" s="691">
        <v>15.7</v>
      </c>
      <c r="K11182" s="691">
        <v>16.7</v>
      </c>
    </row>
    <row r="11183" spans="1:11">
      <c r="A11183" s="688" t="s">
        <v>14</v>
      </c>
      <c r="B11183" s="689">
        <v>16.899999999999999</v>
      </c>
      <c r="C11183" s="689">
        <v>17.100000000000001</v>
      </c>
      <c r="D11183" s="689">
        <v>16.8</v>
      </c>
      <c r="E11183" s="693">
        <v>17</v>
      </c>
      <c r="F11183" s="689">
        <v>17.399999999999999</v>
      </c>
      <c r="G11183" s="689">
        <v>17.399999999999999</v>
      </c>
      <c r="H11183" s="689">
        <v>17.8</v>
      </c>
      <c r="I11183" s="689">
        <v>16.8</v>
      </c>
      <c r="J11183" s="689">
        <v>16.399999999999999</v>
      </c>
      <c r="K11183" s="689">
        <v>17.399999999999999</v>
      </c>
    </row>
    <row r="11184" spans="1:11">
      <c r="A11184" s="688" t="s">
        <v>15</v>
      </c>
      <c r="B11184" s="691">
        <v>22.9</v>
      </c>
      <c r="C11184" s="691">
        <v>22.1</v>
      </c>
      <c r="D11184" s="691">
        <v>22.7</v>
      </c>
      <c r="E11184" s="691">
        <v>22.6</v>
      </c>
      <c r="F11184" s="691">
        <v>22.3</v>
      </c>
      <c r="G11184" s="691">
        <v>22.5</v>
      </c>
      <c r="H11184" s="691">
        <v>22.9</v>
      </c>
      <c r="I11184" s="691">
        <v>22.4</v>
      </c>
      <c r="J11184" s="691">
        <v>22.8</v>
      </c>
      <c r="K11184" s="691">
        <v>23.3</v>
      </c>
    </row>
    <row r="11185" spans="1:11">
      <c r="A11185" s="688" t="s">
        <v>29</v>
      </c>
      <c r="B11185" s="689">
        <v>17.600000000000001</v>
      </c>
      <c r="C11185" s="689">
        <v>17.600000000000001</v>
      </c>
      <c r="D11185" s="689">
        <v>17.399999999999999</v>
      </c>
      <c r="E11185" s="689">
        <v>17.5</v>
      </c>
      <c r="F11185" s="689">
        <v>17.3</v>
      </c>
      <c r="G11185" s="689">
        <v>17.399999999999999</v>
      </c>
      <c r="H11185" s="689">
        <v>17.600000000000001</v>
      </c>
      <c r="I11185" s="689">
        <v>16.899999999999999</v>
      </c>
      <c r="J11185" s="689">
        <v>15.9</v>
      </c>
      <c r="K11185" s="689">
        <v>17.2</v>
      </c>
    </row>
    <row r="11186" spans="1:11">
      <c r="A11186" s="688" t="s">
        <v>16</v>
      </c>
      <c r="B11186" s="691">
        <v>22.4</v>
      </c>
      <c r="C11186" s="691">
        <v>22.5</v>
      </c>
      <c r="D11186" s="691">
        <v>22.5</v>
      </c>
      <c r="E11186" s="691">
        <v>23.5</v>
      </c>
      <c r="F11186" s="691">
        <v>22.8</v>
      </c>
      <c r="G11186" s="691">
        <v>22.9</v>
      </c>
      <c r="H11186" s="691">
        <v>23.1</v>
      </c>
      <c r="I11186" s="691">
        <v>22.6</v>
      </c>
      <c r="J11186" s="691">
        <v>22.9</v>
      </c>
      <c r="K11186" s="691">
        <v>22.9</v>
      </c>
    </row>
    <row r="11187" spans="1:11">
      <c r="A11187" s="688" t="s">
        <v>17</v>
      </c>
      <c r="B11187" s="689">
        <v>22.3</v>
      </c>
      <c r="C11187" s="689">
        <v>22.5</v>
      </c>
      <c r="D11187" s="689">
        <v>22.3</v>
      </c>
      <c r="E11187" s="689">
        <v>22.5</v>
      </c>
      <c r="F11187" s="689">
        <v>22.7</v>
      </c>
      <c r="G11187" s="689">
        <v>22.7</v>
      </c>
      <c r="H11187" s="693">
        <v>23</v>
      </c>
      <c r="I11187" s="689">
        <v>22.3</v>
      </c>
      <c r="J11187" s="689">
        <v>22.3</v>
      </c>
      <c r="K11187" s="689">
        <v>22.7</v>
      </c>
    </row>
    <row r="11188" spans="1:11">
      <c r="A11188" s="688" t="s">
        <v>19</v>
      </c>
      <c r="B11188" s="615">
        <v>22</v>
      </c>
      <c r="C11188" s="691">
        <v>22.1</v>
      </c>
      <c r="D11188" s="691">
        <v>21.8</v>
      </c>
      <c r="E11188" s="691">
        <v>22.2</v>
      </c>
      <c r="F11188" s="691">
        <v>22.3</v>
      </c>
      <c r="G11188" s="691">
        <v>22.3</v>
      </c>
      <c r="H11188" s="691">
        <v>22.5</v>
      </c>
      <c r="I11188" s="691">
        <v>21.8</v>
      </c>
      <c r="J11188" s="691">
        <v>21.8</v>
      </c>
      <c r="K11188" s="691">
        <v>21.9</v>
      </c>
    </row>
    <row r="11189" spans="1:11">
      <c r="A11189" s="688" t="s">
        <v>20</v>
      </c>
      <c r="B11189" s="689">
        <v>18.7</v>
      </c>
      <c r="C11189" s="693">
        <v>19</v>
      </c>
      <c r="D11189" s="689">
        <v>18.8</v>
      </c>
      <c r="E11189" s="689">
        <v>19.100000000000001</v>
      </c>
      <c r="F11189" s="689">
        <v>19.100000000000001</v>
      </c>
      <c r="G11189" s="693">
        <v>19</v>
      </c>
      <c r="H11189" s="689">
        <v>19.3</v>
      </c>
      <c r="I11189" s="689">
        <v>17.8</v>
      </c>
      <c r="J11189" s="689">
        <v>17.100000000000001</v>
      </c>
      <c r="K11189" s="689">
        <v>18.600000000000001</v>
      </c>
    </row>
    <row r="11190" spans="1:11">
      <c r="A11190" s="688" t="s">
        <v>21</v>
      </c>
      <c r="B11190" s="691">
        <v>21.6</v>
      </c>
      <c r="C11190" s="615">
        <v>22</v>
      </c>
      <c r="D11190" s="615">
        <v>22</v>
      </c>
      <c r="E11190" s="691">
        <v>21.9</v>
      </c>
      <c r="F11190" s="691">
        <v>22.3</v>
      </c>
      <c r="G11190" s="691">
        <v>22.2</v>
      </c>
      <c r="H11190" s="691">
        <v>22.5</v>
      </c>
      <c r="I11190" s="615">
        <v>22</v>
      </c>
      <c r="J11190" s="615">
        <v>22</v>
      </c>
      <c r="K11190" s="691">
        <v>22.4</v>
      </c>
    </row>
    <row r="11191" spans="1:11">
      <c r="A11191" s="688" t="s">
        <v>22</v>
      </c>
      <c r="B11191" s="689">
        <v>17.899999999999999</v>
      </c>
      <c r="C11191" s="689">
        <v>17.7</v>
      </c>
      <c r="D11191" s="689">
        <v>17.600000000000001</v>
      </c>
      <c r="E11191" s="689">
        <v>17.8</v>
      </c>
      <c r="F11191" s="689">
        <v>17.7</v>
      </c>
      <c r="G11191" s="689">
        <v>17.600000000000001</v>
      </c>
      <c r="H11191" s="689">
        <v>17.899999999999999</v>
      </c>
      <c r="I11191" s="689">
        <v>16.3</v>
      </c>
      <c r="J11191" s="689">
        <v>15.4</v>
      </c>
      <c r="K11191" s="689">
        <v>17.100000000000001</v>
      </c>
    </row>
    <row r="11192" spans="1:11">
      <c r="A11192" s="688" t="s">
        <v>26</v>
      </c>
      <c r="B11192" s="691">
        <v>20.9</v>
      </c>
      <c r="C11192" s="691">
        <v>21.2</v>
      </c>
      <c r="D11192" s="691">
        <v>21.1</v>
      </c>
      <c r="E11192" s="691">
        <v>21.4</v>
      </c>
      <c r="F11192" s="691">
        <v>21.2</v>
      </c>
      <c r="G11192" s="691">
        <v>21.4</v>
      </c>
      <c r="H11192" s="691">
        <v>21.7</v>
      </c>
      <c r="I11192" s="691">
        <v>20.8</v>
      </c>
      <c r="J11192" s="691">
        <v>20.8</v>
      </c>
      <c r="K11192" s="691">
        <v>21.5</v>
      </c>
    </row>
    <row r="11193" spans="1:11">
      <c r="A11193" s="688" t="s">
        <v>25</v>
      </c>
      <c r="B11193" s="693">
        <v>18</v>
      </c>
      <c r="C11193" s="689">
        <v>18.399999999999999</v>
      </c>
      <c r="D11193" s="689">
        <v>18.2</v>
      </c>
      <c r="E11193" s="689">
        <v>18.600000000000001</v>
      </c>
      <c r="F11193" s="689">
        <v>18.600000000000001</v>
      </c>
      <c r="G11193" s="689">
        <v>18.8</v>
      </c>
      <c r="H11193" s="689">
        <v>19.100000000000001</v>
      </c>
      <c r="I11193" s="689">
        <v>18.3</v>
      </c>
      <c r="J11193" s="689">
        <v>16.399999999999999</v>
      </c>
      <c r="K11193" s="689">
        <v>18.399999999999999</v>
      </c>
    </row>
    <row r="11194" spans="1:11">
      <c r="A11194" s="688" t="s">
        <v>5</v>
      </c>
      <c r="B11194" s="691">
        <v>21.9</v>
      </c>
      <c r="C11194" s="691">
        <v>21.8</v>
      </c>
      <c r="D11194" s="615">
        <v>22</v>
      </c>
      <c r="E11194" s="691">
        <v>21.9</v>
      </c>
      <c r="F11194" s="691">
        <v>22.1</v>
      </c>
      <c r="G11194" s="691">
        <v>22.3</v>
      </c>
      <c r="H11194" s="691">
        <v>22.6</v>
      </c>
      <c r="I11194" s="691">
        <v>22.6</v>
      </c>
      <c r="J11194" s="691">
        <v>22.4</v>
      </c>
      <c r="K11194" s="691">
        <v>21.9</v>
      </c>
    </row>
    <row r="11195" spans="1:11">
      <c r="A11195" s="688" t="s">
        <v>23</v>
      </c>
      <c r="B11195" s="689">
        <v>22.9</v>
      </c>
      <c r="C11195" s="693">
        <v>23</v>
      </c>
      <c r="D11195" s="693">
        <v>23</v>
      </c>
      <c r="E11195" s="689">
        <v>23.2</v>
      </c>
      <c r="F11195" s="689">
        <v>23.3</v>
      </c>
      <c r="G11195" s="689">
        <v>23.3</v>
      </c>
      <c r="H11195" s="689">
        <v>23.7</v>
      </c>
      <c r="I11195" s="689">
        <v>23.1</v>
      </c>
      <c r="J11195" s="689">
        <v>23.6</v>
      </c>
      <c r="K11195" s="689">
        <v>23.7</v>
      </c>
    </row>
    <row r="11196" spans="1:11">
      <c r="A11196" s="688" t="s">
        <v>4067</v>
      </c>
      <c r="B11196" s="691">
        <v>21.6</v>
      </c>
      <c r="C11196" s="691">
        <v>21.9</v>
      </c>
      <c r="D11196" s="691">
        <v>21.7</v>
      </c>
      <c r="E11196" s="691">
        <v>21.9</v>
      </c>
      <c r="F11196" s="691">
        <v>21.9</v>
      </c>
      <c r="G11196" s="615">
        <v>22</v>
      </c>
      <c r="H11196" s="692" t="s">
        <v>4060</v>
      </c>
      <c r="I11196" s="692" t="s">
        <v>4060</v>
      </c>
      <c r="J11196" s="692" t="s">
        <v>4060</v>
      </c>
      <c r="K11196" s="692" t="s">
        <v>4060</v>
      </c>
    </row>
    <row r="11197" spans="1:11">
      <c r="A11197" s="688" t="s">
        <v>4066</v>
      </c>
      <c r="B11197" s="689">
        <v>21.6</v>
      </c>
      <c r="C11197" s="689">
        <v>21.9</v>
      </c>
      <c r="D11197" s="689">
        <v>21.7</v>
      </c>
      <c r="E11197" s="693">
        <v>22</v>
      </c>
      <c r="F11197" s="689">
        <v>21.9</v>
      </c>
      <c r="G11197" s="693">
        <v>22</v>
      </c>
      <c r="H11197" s="690" t="s">
        <v>4060</v>
      </c>
      <c r="I11197" s="690" t="s">
        <v>4060</v>
      </c>
      <c r="J11197" s="690" t="s">
        <v>4060</v>
      </c>
      <c r="K11197" s="690" t="s">
        <v>4060</v>
      </c>
    </row>
    <row r="11198" spans="1:11">
      <c r="A11198" s="688" t="s">
        <v>4062</v>
      </c>
      <c r="B11198" s="691">
        <v>23.2</v>
      </c>
      <c r="C11198" s="691">
        <v>23.3</v>
      </c>
      <c r="D11198" s="691">
        <v>23.2</v>
      </c>
      <c r="E11198" s="691">
        <v>23.6</v>
      </c>
      <c r="F11198" s="691">
        <v>23.7</v>
      </c>
      <c r="G11198" s="691">
        <v>23.9</v>
      </c>
      <c r="H11198" s="615">
        <v>24</v>
      </c>
      <c r="I11198" s="691">
        <v>23.6</v>
      </c>
      <c r="J11198" s="615">
        <v>24</v>
      </c>
      <c r="K11198" s="691">
        <v>23.8</v>
      </c>
    </row>
    <row r="11199" spans="1:11">
      <c r="A11199" s="688" t="s">
        <v>9</v>
      </c>
      <c r="B11199" s="689">
        <v>23.2</v>
      </c>
      <c r="C11199" s="689">
        <v>23.7</v>
      </c>
      <c r="D11199" s="689">
        <v>23.9</v>
      </c>
      <c r="E11199" s="693">
        <v>23</v>
      </c>
      <c r="F11199" s="689">
        <v>23.9</v>
      </c>
      <c r="G11199" s="693">
        <v>24</v>
      </c>
      <c r="H11199" s="693">
        <v>24</v>
      </c>
      <c r="I11199" s="689">
        <v>24.3</v>
      </c>
      <c r="J11199" s="689">
        <v>24.6</v>
      </c>
      <c r="K11199" s="689">
        <v>23.4</v>
      </c>
    </row>
    <row r="11200" spans="1:11">
      <c r="A11200" s="688" t="s">
        <v>13</v>
      </c>
      <c r="B11200" s="615">
        <v>23</v>
      </c>
      <c r="C11200" s="691">
        <v>23.4</v>
      </c>
      <c r="D11200" s="691">
        <v>23.4</v>
      </c>
      <c r="E11200" s="691">
        <v>21.9</v>
      </c>
      <c r="F11200" s="691">
        <v>23.9</v>
      </c>
      <c r="G11200" s="691">
        <v>23.4</v>
      </c>
      <c r="H11200" s="691">
        <v>24.2</v>
      </c>
      <c r="I11200" s="691">
        <v>22.3</v>
      </c>
      <c r="J11200" s="691">
        <v>24.2</v>
      </c>
      <c r="K11200" s="691">
        <v>24.9</v>
      </c>
    </row>
    <row r="11201" spans="1:11">
      <c r="A11201" s="688" t="s">
        <v>18</v>
      </c>
      <c r="B11201" s="689">
        <v>22.6</v>
      </c>
      <c r="C11201" s="689">
        <v>22.8</v>
      </c>
      <c r="D11201" s="693">
        <v>23</v>
      </c>
      <c r="E11201" s="689">
        <v>23.2</v>
      </c>
      <c r="F11201" s="689">
        <v>23.4</v>
      </c>
      <c r="G11201" s="689">
        <v>23.5</v>
      </c>
      <c r="H11201" s="689">
        <v>23.7</v>
      </c>
      <c r="I11201" s="689">
        <v>23.9</v>
      </c>
      <c r="J11201" s="689">
        <v>23.9</v>
      </c>
      <c r="K11201" s="689">
        <v>23.4</v>
      </c>
    </row>
    <row r="11202" spans="1:11">
      <c r="A11202" s="688" t="s">
        <v>24</v>
      </c>
      <c r="B11202" s="691">
        <v>23.5</v>
      </c>
      <c r="C11202" s="691">
        <v>23.6</v>
      </c>
      <c r="D11202" s="691">
        <v>23.4</v>
      </c>
      <c r="E11202" s="691">
        <v>23.9</v>
      </c>
      <c r="F11202" s="691">
        <v>23.9</v>
      </c>
      <c r="G11202" s="691">
        <v>24.1</v>
      </c>
      <c r="H11202" s="691">
        <v>24.2</v>
      </c>
      <c r="I11202" s="691">
        <v>23.4</v>
      </c>
      <c r="J11202" s="615">
        <v>24</v>
      </c>
      <c r="K11202" s="615">
        <v>24</v>
      </c>
    </row>
    <row r="11203" spans="1:11">
      <c r="A11203" s="688" t="s">
        <v>4059</v>
      </c>
      <c r="B11203" s="689">
        <v>22.6</v>
      </c>
      <c r="C11203" s="689">
        <v>22.8</v>
      </c>
      <c r="D11203" s="689">
        <v>22.6</v>
      </c>
      <c r="E11203" s="689">
        <v>22.8</v>
      </c>
      <c r="F11203" s="689">
        <v>22.8</v>
      </c>
      <c r="G11203" s="689">
        <v>22.9</v>
      </c>
      <c r="H11203" s="690" t="s">
        <v>4060</v>
      </c>
      <c r="I11203" s="690" t="s">
        <v>4060</v>
      </c>
      <c r="J11203" s="690" t="s">
        <v>4060</v>
      </c>
      <c r="K11203" s="690" t="s">
        <v>4060</v>
      </c>
    </row>
    <row r="11204" spans="1:11">
      <c r="A11204" s="688" t="s">
        <v>2324</v>
      </c>
      <c r="B11204" s="691">
        <v>18.5</v>
      </c>
      <c r="C11204" s="691">
        <v>18.600000000000001</v>
      </c>
      <c r="D11204" s="691">
        <v>18.399999999999999</v>
      </c>
      <c r="E11204" s="691">
        <v>18.2</v>
      </c>
      <c r="F11204" s="691">
        <v>18.3</v>
      </c>
      <c r="G11204" s="691">
        <v>18.600000000000001</v>
      </c>
      <c r="H11204" s="691">
        <v>18.5</v>
      </c>
      <c r="I11204" s="691">
        <v>17.3</v>
      </c>
      <c r="J11204" s="691">
        <v>15.5</v>
      </c>
      <c r="K11204" s="692" t="s">
        <v>4060</v>
      </c>
    </row>
    <row r="11205" spans="1:11">
      <c r="A11205" s="688" t="s">
        <v>2322</v>
      </c>
      <c r="B11205" s="690" t="s">
        <v>4060</v>
      </c>
      <c r="C11205" s="690" t="s">
        <v>4060</v>
      </c>
      <c r="D11205" s="690" t="s">
        <v>4060</v>
      </c>
      <c r="E11205" s="690" t="s">
        <v>4060</v>
      </c>
      <c r="F11205" s="690" t="s">
        <v>4060</v>
      </c>
      <c r="G11205" s="690" t="s">
        <v>4060</v>
      </c>
      <c r="H11205" s="690" t="s">
        <v>4060</v>
      </c>
      <c r="I11205" s="690" t="s">
        <v>4060</v>
      </c>
      <c r="J11205" s="690" t="s">
        <v>4060</v>
      </c>
      <c r="K11205" s="690" t="s">
        <v>4060</v>
      </c>
    </row>
    <row r="11206" spans="1:11">
      <c r="A11206" s="688" t="s">
        <v>2328</v>
      </c>
      <c r="B11206" s="691">
        <v>17.899999999999999</v>
      </c>
      <c r="C11206" s="691">
        <v>18.100000000000001</v>
      </c>
      <c r="D11206" s="691">
        <v>17.899999999999999</v>
      </c>
      <c r="E11206" s="615">
        <v>18</v>
      </c>
      <c r="F11206" s="691">
        <v>18.2</v>
      </c>
      <c r="G11206" s="691">
        <v>18.600000000000001</v>
      </c>
      <c r="H11206" s="691">
        <v>18.5</v>
      </c>
      <c r="I11206" s="691">
        <v>16.3</v>
      </c>
      <c r="J11206" s="691">
        <v>15.8</v>
      </c>
      <c r="K11206" s="692" t="s">
        <v>4060</v>
      </c>
    </row>
    <row r="11207" spans="1:11">
      <c r="A11207" s="688" t="s">
        <v>2496</v>
      </c>
      <c r="B11207" s="690" t="s">
        <v>4060</v>
      </c>
      <c r="C11207" s="689">
        <v>17.2</v>
      </c>
      <c r="D11207" s="689">
        <v>16.2</v>
      </c>
      <c r="E11207" s="693">
        <v>16</v>
      </c>
      <c r="F11207" s="689">
        <v>16.5</v>
      </c>
      <c r="G11207" s="689">
        <v>16.7</v>
      </c>
      <c r="H11207" s="689">
        <v>16.7</v>
      </c>
      <c r="I11207" s="690" t="s">
        <v>4060</v>
      </c>
      <c r="J11207" s="690" t="s">
        <v>4060</v>
      </c>
      <c r="K11207" s="689">
        <v>16.100000000000001</v>
      </c>
    </row>
    <row r="11208" spans="1:11">
      <c r="A11208" s="688" t="s">
        <v>2269</v>
      </c>
      <c r="B11208" s="691">
        <v>20.6</v>
      </c>
      <c r="C11208" s="691">
        <v>20.7</v>
      </c>
      <c r="D11208" s="691">
        <v>20.399999999999999</v>
      </c>
      <c r="E11208" s="691">
        <v>20.9</v>
      </c>
      <c r="F11208" s="691">
        <v>21.1</v>
      </c>
      <c r="G11208" s="691">
        <v>21.2</v>
      </c>
      <c r="H11208" s="691">
        <v>21.5</v>
      </c>
      <c r="I11208" s="691">
        <v>19.399999999999999</v>
      </c>
      <c r="J11208" s="691">
        <v>17.7</v>
      </c>
      <c r="K11208" s="691">
        <v>21.1</v>
      </c>
    </row>
    <row r="11209" spans="1:11">
      <c r="A11209" s="688" t="s">
        <v>2349</v>
      </c>
      <c r="B11209" s="689">
        <v>17.600000000000001</v>
      </c>
      <c r="C11209" s="689">
        <v>17.7</v>
      </c>
      <c r="D11209" s="689">
        <v>17.600000000000001</v>
      </c>
      <c r="E11209" s="689">
        <v>17.899999999999999</v>
      </c>
      <c r="F11209" s="689">
        <v>17.899999999999999</v>
      </c>
      <c r="G11209" s="693">
        <v>18</v>
      </c>
      <c r="H11209" s="693">
        <v>18</v>
      </c>
      <c r="I11209" s="689">
        <v>16.600000000000001</v>
      </c>
      <c r="J11209" s="689">
        <v>15.4</v>
      </c>
      <c r="K11209" s="689">
        <v>17.399999999999999</v>
      </c>
    </row>
    <row r="11210" spans="1:11">
      <c r="A11210" s="688" t="s">
        <v>2355</v>
      </c>
      <c r="B11210" s="615">
        <v>20</v>
      </c>
      <c r="C11210" s="615">
        <v>20</v>
      </c>
      <c r="D11210" s="691">
        <v>19.899999999999999</v>
      </c>
      <c r="E11210" s="691">
        <v>19.8</v>
      </c>
      <c r="F11210" s="615">
        <v>20</v>
      </c>
      <c r="G11210" s="691">
        <v>20.399999999999999</v>
      </c>
      <c r="H11210" s="691">
        <v>20.399999999999999</v>
      </c>
      <c r="I11210" s="692" t="s">
        <v>4060</v>
      </c>
      <c r="J11210" s="692" t="s">
        <v>4060</v>
      </c>
      <c r="K11210" s="692" t="s">
        <v>4060</v>
      </c>
    </row>
    <row r="11211" spans="1:11">
      <c r="A11211" s="688" t="s">
        <v>2357</v>
      </c>
      <c r="B11211" s="690" t="s">
        <v>4060</v>
      </c>
      <c r="C11211" s="689">
        <v>15.8</v>
      </c>
      <c r="D11211" s="693">
        <v>16</v>
      </c>
      <c r="E11211" s="689">
        <v>16.3</v>
      </c>
      <c r="F11211" s="689">
        <v>16.5</v>
      </c>
      <c r="G11211" s="689">
        <v>16.3</v>
      </c>
      <c r="H11211" s="689">
        <v>16.399999999999999</v>
      </c>
      <c r="I11211" s="690" t="s">
        <v>4060</v>
      </c>
      <c r="J11211" s="690" t="s">
        <v>4060</v>
      </c>
      <c r="K11211" s="690" t="s">
        <v>4060</v>
      </c>
    </row>
    <row r="11212" spans="1:11">
      <c r="A11212" s="688" t="s">
        <v>4070</v>
      </c>
      <c r="B11212" s="692" t="s">
        <v>4060</v>
      </c>
      <c r="C11212" s="692" t="s">
        <v>4060</v>
      </c>
      <c r="D11212" s="692" t="s">
        <v>4060</v>
      </c>
      <c r="E11212" s="691">
        <v>19.399999999999999</v>
      </c>
      <c r="F11212" s="692" t="s">
        <v>4060</v>
      </c>
      <c r="G11212" s="692" t="s">
        <v>4060</v>
      </c>
      <c r="H11212" s="692" t="s">
        <v>4060</v>
      </c>
      <c r="I11212" s="692" t="s">
        <v>4060</v>
      </c>
      <c r="J11212" s="692" t="s">
        <v>4060</v>
      </c>
      <c r="K11212" s="692" t="s">
        <v>4060</v>
      </c>
    </row>
    <row r="11213" spans="1:11">
      <c r="A11213" s="688" t="s">
        <v>2491</v>
      </c>
      <c r="B11213" s="689">
        <v>15.3</v>
      </c>
      <c r="C11213" s="689">
        <v>15.6</v>
      </c>
      <c r="D11213" s="689">
        <v>15.7</v>
      </c>
      <c r="E11213" s="689">
        <v>15.8</v>
      </c>
      <c r="F11213" s="689">
        <v>15.8</v>
      </c>
      <c r="G11213" s="689">
        <v>15.9</v>
      </c>
      <c r="H11213" s="690" t="s">
        <v>4060</v>
      </c>
      <c r="I11213" s="690" t="s">
        <v>4060</v>
      </c>
      <c r="J11213" s="690" t="s">
        <v>4060</v>
      </c>
      <c r="K11213" s="690" t="s">
        <v>4060</v>
      </c>
    </row>
    <row r="11214" spans="1:11">
      <c r="A11214" s="688" t="s">
        <v>2343</v>
      </c>
      <c r="B11214" s="692" t="s">
        <v>4060</v>
      </c>
      <c r="C11214" s="692" t="s">
        <v>4060</v>
      </c>
      <c r="D11214" s="692" t="s">
        <v>4060</v>
      </c>
      <c r="E11214" s="692" t="s">
        <v>4060</v>
      </c>
      <c r="F11214" s="692" t="s">
        <v>4060</v>
      </c>
      <c r="G11214" s="692" t="s">
        <v>4060</v>
      </c>
      <c r="H11214" s="692" t="s">
        <v>4060</v>
      </c>
      <c r="I11214" s="692" t="s">
        <v>4060</v>
      </c>
      <c r="J11214" s="692" t="s">
        <v>4060</v>
      </c>
      <c r="K11214" s="692" t="s">
        <v>4060</v>
      </c>
    </row>
    <row r="11215" spans="1:11">
      <c r="A11215" s="688" t="s">
        <v>4071</v>
      </c>
      <c r="B11215" s="690" t="s">
        <v>4060</v>
      </c>
      <c r="C11215" s="690" t="s">
        <v>4060</v>
      </c>
      <c r="D11215" s="690" t="s">
        <v>4060</v>
      </c>
      <c r="E11215" s="690" t="s">
        <v>4060</v>
      </c>
      <c r="F11215" s="690" t="s">
        <v>4060</v>
      </c>
      <c r="G11215" s="690" t="s">
        <v>4060</v>
      </c>
      <c r="H11215" s="690" t="s">
        <v>4060</v>
      </c>
      <c r="I11215" s="690" t="s">
        <v>4060</v>
      </c>
      <c r="J11215" s="690" t="s">
        <v>4060</v>
      </c>
      <c r="K11215" s="690" t="s">
        <v>4060</v>
      </c>
    </row>
    <row r="11216" spans="1:11">
      <c r="A11216" s="688" t="s">
        <v>2489</v>
      </c>
      <c r="B11216" s="692" t="s">
        <v>4060</v>
      </c>
      <c r="C11216" s="692" t="s">
        <v>4060</v>
      </c>
      <c r="D11216" s="691">
        <v>17.7</v>
      </c>
      <c r="E11216" s="691">
        <v>17.600000000000001</v>
      </c>
      <c r="F11216" s="615">
        <v>18</v>
      </c>
      <c r="G11216" s="691">
        <v>18.600000000000001</v>
      </c>
      <c r="H11216" s="691">
        <v>18.600000000000001</v>
      </c>
      <c r="I11216" s="692" t="s">
        <v>4060</v>
      </c>
      <c r="J11216" s="692" t="s">
        <v>4060</v>
      </c>
      <c r="K11216" s="692" t="s">
        <v>4060</v>
      </c>
    </row>
    <row r="11217" spans="1:11">
      <c r="A11217" s="688" t="s">
        <v>2490</v>
      </c>
      <c r="B11217" s="693">
        <v>18</v>
      </c>
      <c r="C11217" s="689">
        <v>17.899999999999999</v>
      </c>
      <c r="D11217" s="689">
        <v>18.7</v>
      </c>
      <c r="E11217" s="690" t="s">
        <v>4060</v>
      </c>
      <c r="F11217" s="689">
        <v>18.899999999999999</v>
      </c>
      <c r="G11217" s="693">
        <v>19</v>
      </c>
      <c r="H11217" s="689">
        <v>19.899999999999999</v>
      </c>
      <c r="I11217" s="690" t="s">
        <v>4060</v>
      </c>
      <c r="J11217" s="690" t="s">
        <v>4060</v>
      </c>
      <c r="K11217" s="690" t="s">
        <v>4060</v>
      </c>
    </row>
    <row r="11219" spans="1:11">
      <c r="A11219" s="683" t="s">
        <v>4233</v>
      </c>
    </row>
    <row r="11220" spans="1:11">
      <c r="A11220" s="683" t="s">
        <v>4060</v>
      </c>
      <c r="B11220" s="682" t="s">
        <v>4234</v>
      </c>
    </row>
    <row r="11222" spans="1:11">
      <c r="A11222" s="682" t="s">
        <v>4331</v>
      </c>
    </row>
    <row r="11223" spans="1:11">
      <c r="A11223" s="682" t="s">
        <v>4210</v>
      </c>
      <c r="B11223" s="683" t="s">
        <v>4211</v>
      </c>
    </row>
    <row r="11224" spans="1:11">
      <c r="A11224" s="682" t="s">
        <v>4212</v>
      </c>
      <c r="B11224" s="682" t="s">
        <v>4213</v>
      </c>
    </row>
    <row r="11226" spans="1:11">
      <c r="A11226" s="683" t="s">
        <v>4214</v>
      </c>
      <c r="C11226" s="682" t="s">
        <v>4215</v>
      </c>
    </row>
    <row r="11227" spans="1:11">
      <c r="A11227" s="683" t="s">
        <v>4216</v>
      </c>
      <c r="C11227" s="682" t="s">
        <v>2967</v>
      </c>
    </row>
    <row r="11228" spans="1:11">
      <c r="A11228" s="683" t="s">
        <v>3893</v>
      </c>
      <c r="C11228" s="682" t="s">
        <v>2168</v>
      </c>
    </row>
    <row r="11229" spans="1:11">
      <c r="A11229" s="683" t="s">
        <v>4218</v>
      </c>
      <c r="C11229" s="682" t="s">
        <v>4296</v>
      </c>
    </row>
    <row r="11231" spans="1:11">
      <c r="A11231" s="684" t="s">
        <v>4220</v>
      </c>
      <c r="B11231" s="685" t="s">
        <v>4221</v>
      </c>
      <c r="C11231" s="685" t="s">
        <v>4222</v>
      </c>
      <c r="D11231" s="685" t="s">
        <v>4223</v>
      </c>
      <c r="E11231" s="685" t="s">
        <v>4224</v>
      </c>
      <c r="F11231" s="685" t="s">
        <v>4225</v>
      </c>
      <c r="G11231" s="685" t="s">
        <v>4226</v>
      </c>
      <c r="H11231" s="685" t="s">
        <v>4227</v>
      </c>
      <c r="I11231" s="685" t="s">
        <v>4228</v>
      </c>
      <c r="J11231" s="685" t="s">
        <v>4229</v>
      </c>
      <c r="K11231" s="685" t="s">
        <v>4230</v>
      </c>
    </row>
    <row r="11232" spans="1:11">
      <c r="A11232" s="686" t="s">
        <v>4231</v>
      </c>
      <c r="B11232" s="687" t="s">
        <v>4232</v>
      </c>
      <c r="C11232" s="687" t="s">
        <v>4232</v>
      </c>
      <c r="D11232" s="687" t="s">
        <v>4232</v>
      </c>
      <c r="E11232" s="687" t="s">
        <v>4232</v>
      </c>
      <c r="F11232" s="687" t="s">
        <v>4232</v>
      </c>
      <c r="G11232" s="687" t="s">
        <v>4232</v>
      </c>
      <c r="H11232" s="687" t="s">
        <v>4232</v>
      </c>
      <c r="I11232" s="687" t="s">
        <v>4232</v>
      </c>
      <c r="J11232" s="687" t="s">
        <v>4232</v>
      </c>
      <c r="K11232" s="687" t="s">
        <v>4232</v>
      </c>
    </row>
    <row r="11233" spans="1:11">
      <c r="A11233" s="688" t="s">
        <v>4064</v>
      </c>
      <c r="B11233" s="689">
        <v>20.7</v>
      </c>
      <c r="C11233" s="689">
        <v>20.8</v>
      </c>
      <c r="D11233" s="689">
        <v>20.8</v>
      </c>
      <c r="E11233" s="689">
        <v>20.8</v>
      </c>
      <c r="F11233" s="689">
        <v>20.8</v>
      </c>
      <c r="G11233" s="689">
        <v>20.9</v>
      </c>
      <c r="H11233" s="689">
        <v>21.1</v>
      </c>
      <c r="I11233" s="689">
        <v>20.3</v>
      </c>
      <c r="J11233" s="689">
        <v>20.100000000000001</v>
      </c>
      <c r="K11233" s="689">
        <v>20.6</v>
      </c>
    </row>
    <row r="11234" spans="1:11">
      <c r="A11234" s="688" t="s">
        <v>4065</v>
      </c>
      <c r="B11234" s="691">
        <v>20.8</v>
      </c>
      <c r="C11234" s="691">
        <v>21.1</v>
      </c>
      <c r="D11234" s="691">
        <v>20.9</v>
      </c>
      <c r="E11234" s="691">
        <v>21.2</v>
      </c>
      <c r="F11234" s="691">
        <v>21.1</v>
      </c>
      <c r="G11234" s="691">
        <v>21.2</v>
      </c>
      <c r="H11234" s="692" t="s">
        <v>4060</v>
      </c>
      <c r="I11234" s="692" t="s">
        <v>4060</v>
      </c>
      <c r="J11234" s="692" t="s">
        <v>4060</v>
      </c>
      <c r="K11234" s="692" t="s">
        <v>4060</v>
      </c>
    </row>
    <row r="11235" spans="1:11">
      <c r="A11235" s="688" t="s">
        <v>4063</v>
      </c>
      <c r="B11235" s="689">
        <v>20.9</v>
      </c>
      <c r="C11235" s="689">
        <v>21.2</v>
      </c>
      <c r="D11235" s="689">
        <v>20.9</v>
      </c>
      <c r="E11235" s="689">
        <v>21.2</v>
      </c>
      <c r="F11235" s="689">
        <v>21.2</v>
      </c>
      <c r="G11235" s="689">
        <v>21.2</v>
      </c>
      <c r="H11235" s="690" t="s">
        <v>4060</v>
      </c>
      <c r="I11235" s="690" t="s">
        <v>4060</v>
      </c>
      <c r="J11235" s="690" t="s">
        <v>4060</v>
      </c>
      <c r="K11235" s="690" t="s">
        <v>4060</v>
      </c>
    </row>
    <row r="11236" spans="1:11">
      <c r="A11236" s="688" t="s">
        <v>4069</v>
      </c>
      <c r="B11236" s="692" t="s">
        <v>4060</v>
      </c>
      <c r="C11236" s="691">
        <v>21.5</v>
      </c>
      <c r="D11236" s="691">
        <v>21.3</v>
      </c>
      <c r="E11236" s="691">
        <v>21.5</v>
      </c>
      <c r="F11236" s="691">
        <v>21.6</v>
      </c>
      <c r="G11236" s="691">
        <v>21.7</v>
      </c>
      <c r="H11236" s="691">
        <v>21.9</v>
      </c>
      <c r="I11236" s="691">
        <v>21.2</v>
      </c>
      <c r="J11236" s="691">
        <v>21.2</v>
      </c>
      <c r="K11236" s="691">
        <v>21.4</v>
      </c>
    </row>
    <row r="11237" spans="1:11">
      <c r="A11237" s="688" t="s">
        <v>4068</v>
      </c>
      <c r="B11237" s="689">
        <v>21.5</v>
      </c>
      <c r="C11237" s="690" t="s">
        <v>4060</v>
      </c>
      <c r="D11237" s="690" t="s">
        <v>4060</v>
      </c>
      <c r="E11237" s="690" t="s">
        <v>4060</v>
      </c>
      <c r="F11237" s="690" t="s">
        <v>4060</v>
      </c>
      <c r="G11237" s="690" t="s">
        <v>4060</v>
      </c>
      <c r="H11237" s="690" t="s">
        <v>4060</v>
      </c>
      <c r="I11237" s="690" t="s">
        <v>4060</v>
      </c>
      <c r="J11237" s="690" t="s">
        <v>4060</v>
      </c>
      <c r="K11237" s="690" t="s">
        <v>4060</v>
      </c>
    </row>
    <row r="11238" spans="1:11">
      <c r="A11238" s="688" t="s">
        <v>0</v>
      </c>
      <c r="B11238" s="691">
        <v>20.9</v>
      </c>
      <c r="C11238" s="691">
        <v>21.3</v>
      </c>
      <c r="D11238" s="691">
        <v>21.1</v>
      </c>
      <c r="E11238" s="691">
        <v>21.3</v>
      </c>
      <c r="F11238" s="691">
        <v>21.4</v>
      </c>
      <c r="G11238" s="691">
        <v>21.6</v>
      </c>
      <c r="H11238" s="691">
        <v>21.9</v>
      </c>
      <c r="I11238" s="691">
        <v>20.8</v>
      </c>
      <c r="J11238" s="691">
        <v>21.5</v>
      </c>
      <c r="K11238" s="691">
        <v>21.8</v>
      </c>
    </row>
    <row r="11239" spans="1:11">
      <c r="A11239" s="688" t="s">
        <v>1</v>
      </c>
      <c r="B11239" s="689">
        <v>16.7</v>
      </c>
      <c r="C11239" s="689">
        <v>16.5</v>
      </c>
      <c r="D11239" s="689">
        <v>16.5</v>
      </c>
      <c r="E11239" s="689">
        <v>16.600000000000001</v>
      </c>
      <c r="F11239" s="689">
        <v>16.5</v>
      </c>
      <c r="G11239" s="689">
        <v>16.600000000000001</v>
      </c>
      <c r="H11239" s="689">
        <v>16.600000000000001</v>
      </c>
      <c r="I11239" s="689">
        <v>15.2</v>
      </c>
      <c r="J11239" s="689">
        <v>13.9</v>
      </c>
      <c r="K11239" s="689">
        <v>15.7</v>
      </c>
    </row>
    <row r="11240" spans="1:11">
      <c r="A11240" s="688" t="s">
        <v>2240</v>
      </c>
      <c r="B11240" s="691">
        <v>18.5</v>
      </c>
      <c r="C11240" s="691">
        <v>18.8</v>
      </c>
      <c r="D11240" s="691">
        <v>18.600000000000001</v>
      </c>
      <c r="E11240" s="691">
        <v>18.899999999999999</v>
      </c>
      <c r="F11240" s="615">
        <v>19</v>
      </c>
      <c r="G11240" s="615">
        <v>19</v>
      </c>
      <c r="H11240" s="691">
        <v>19.2</v>
      </c>
      <c r="I11240" s="691">
        <v>18.100000000000001</v>
      </c>
      <c r="J11240" s="691">
        <v>17.3</v>
      </c>
      <c r="K11240" s="615">
        <v>19</v>
      </c>
    </row>
    <row r="11241" spans="1:11">
      <c r="A11241" s="688" t="s">
        <v>2</v>
      </c>
      <c r="B11241" s="689">
        <v>20.8</v>
      </c>
      <c r="C11241" s="693">
        <v>21</v>
      </c>
      <c r="D11241" s="693">
        <v>21</v>
      </c>
      <c r="E11241" s="689">
        <v>21.2</v>
      </c>
      <c r="F11241" s="689">
        <v>21.3</v>
      </c>
      <c r="G11241" s="689">
        <v>21.1</v>
      </c>
      <c r="H11241" s="689">
        <v>21.4</v>
      </c>
      <c r="I11241" s="689">
        <v>21.5</v>
      </c>
      <c r="J11241" s="689">
        <v>21.4</v>
      </c>
      <c r="K11241" s="689">
        <v>21.3</v>
      </c>
    </row>
    <row r="11242" spans="1:11">
      <c r="A11242" s="688" t="s">
        <v>3</v>
      </c>
      <c r="B11242" s="691">
        <v>20.8</v>
      </c>
      <c r="C11242" s="615">
        <v>21</v>
      </c>
      <c r="D11242" s="691">
        <v>20.7</v>
      </c>
      <c r="E11242" s="691">
        <v>20.9</v>
      </c>
      <c r="F11242" s="691">
        <v>20.9</v>
      </c>
      <c r="G11242" s="691">
        <v>20.9</v>
      </c>
      <c r="H11242" s="691">
        <v>21.1</v>
      </c>
      <c r="I11242" s="691">
        <v>20.9</v>
      </c>
      <c r="J11242" s="691">
        <v>20.6</v>
      </c>
      <c r="K11242" s="691">
        <v>20.5</v>
      </c>
    </row>
    <row r="11243" spans="1:11">
      <c r="A11243" s="688" t="s">
        <v>4061</v>
      </c>
      <c r="B11243" s="689">
        <v>20.8</v>
      </c>
      <c r="C11243" s="693">
        <v>21</v>
      </c>
      <c r="D11243" s="689">
        <v>20.7</v>
      </c>
      <c r="E11243" s="689">
        <v>20.9</v>
      </c>
      <c r="F11243" s="689">
        <v>20.9</v>
      </c>
      <c r="G11243" s="689">
        <v>20.9</v>
      </c>
      <c r="H11243" s="689">
        <v>21.1</v>
      </c>
      <c r="I11243" s="689">
        <v>20.9</v>
      </c>
      <c r="J11243" s="689">
        <v>20.6</v>
      </c>
      <c r="K11243" s="689">
        <v>20.5</v>
      </c>
    </row>
    <row r="11244" spans="1:11">
      <c r="A11244" s="688" t="s">
        <v>4</v>
      </c>
      <c r="B11244" s="691">
        <v>17.600000000000001</v>
      </c>
      <c r="C11244" s="691">
        <v>17.5</v>
      </c>
      <c r="D11244" s="691">
        <v>17.899999999999999</v>
      </c>
      <c r="E11244" s="615">
        <v>18</v>
      </c>
      <c r="F11244" s="615">
        <v>18</v>
      </c>
      <c r="G11244" s="691">
        <v>18.100000000000001</v>
      </c>
      <c r="H11244" s="691">
        <v>18.399999999999999</v>
      </c>
      <c r="I11244" s="691">
        <v>18.399999999999999</v>
      </c>
      <c r="J11244" s="615">
        <v>17</v>
      </c>
      <c r="K11244" s="691">
        <v>17.899999999999999</v>
      </c>
    </row>
    <row r="11245" spans="1:11">
      <c r="A11245" s="688" t="s">
        <v>8</v>
      </c>
      <c r="B11245" s="689">
        <v>21.3</v>
      </c>
      <c r="C11245" s="689">
        <v>21.5</v>
      </c>
      <c r="D11245" s="689">
        <v>21.6</v>
      </c>
      <c r="E11245" s="689">
        <v>21.7</v>
      </c>
      <c r="F11245" s="689">
        <v>22.1</v>
      </c>
      <c r="G11245" s="689">
        <v>22.1</v>
      </c>
      <c r="H11245" s="689">
        <v>22.4</v>
      </c>
      <c r="I11245" s="689">
        <v>22.3</v>
      </c>
      <c r="J11245" s="689">
        <v>22.1</v>
      </c>
      <c r="K11245" s="689">
        <v>22.4</v>
      </c>
    </row>
    <row r="11246" spans="1:11">
      <c r="A11246" s="688" t="s">
        <v>7</v>
      </c>
      <c r="B11246" s="691">
        <v>21.7</v>
      </c>
      <c r="C11246" s="691">
        <v>21.1</v>
      </c>
      <c r="D11246" s="691">
        <v>20.9</v>
      </c>
      <c r="E11246" s="691">
        <v>21.2</v>
      </c>
      <c r="F11246" s="691">
        <v>21.1</v>
      </c>
      <c r="G11246" s="691">
        <v>21.5</v>
      </c>
      <c r="H11246" s="691">
        <v>21.4</v>
      </c>
      <c r="I11246" s="691">
        <v>21.1</v>
      </c>
      <c r="J11246" s="691">
        <v>20.3</v>
      </c>
      <c r="K11246" s="691">
        <v>20.9</v>
      </c>
    </row>
    <row r="11247" spans="1:11">
      <c r="A11247" s="688" t="s">
        <v>27</v>
      </c>
      <c r="B11247" s="689">
        <v>22.3</v>
      </c>
      <c r="C11247" s="689">
        <v>22.2</v>
      </c>
      <c r="D11247" s="689">
        <v>21.9</v>
      </c>
      <c r="E11247" s="689">
        <v>22.2</v>
      </c>
      <c r="F11247" s="689">
        <v>22.2</v>
      </c>
      <c r="G11247" s="689">
        <v>22.3</v>
      </c>
      <c r="H11247" s="689">
        <v>22.6</v>
      </c>
      <c r="I11247" s="689">
        <v>21.4</v>
      </c>
      <c r="J11247" s="689">
        <v>22.1</v>
      </c>
      <c r="K11247" s="689">
        <v>22.2</v>
      </c>
    </row>
    <row r="11248" spans="1:11">
      <c r="A11248" s="688" t="s">
        <v>6</v>
      </c>
      <c r="B11248" s="691">
        <v>22.3</v>
      </c>
      <c r="C11248" s="691">
        <v>22.4</v>
      </c>
      <c r="D11248" s="691">
        <v>22.2</v>
      </c>
      <c r="E11248" s="691">
        <v>22.3</v>
      </c>
      <c r="F11248" s="691">
        <v>22.4</v>
      </c>
      <c r="G11248" s="691">
        <v>22.5</v>
      </c>
      <c r="H11248" s="691">
        <v>22.6</v>
      </c>
      <c r="I11248" s="615">
        <v>22</v>
      </c>
      <c r="J11248" s="691">
        <v>22.1</v>
      </c>
      <c r="K11248" s="691">
        <v>22.2</v>
      </c>
    </row>
    <row r="11249" spans="1:11">
      <c r="A11249" s="688" t="s">
        <v>4058</v>
      </c>
      <c r="B11249" s="690" t="s">
        <v>4060</v>
      </c>
      <c r="C11249" s="690" t="s">
        <v>4060</v>
      </c>
      <c r="D11249" s="690" t="s">
        <v>4060</v>
      </c>
      <c r="E11249" s="690" t="s">
        <v>4060</v>
      </c>
      <c r="F11249" s="690" t="s">
        <v>4060</v>
      </c>
      <c r="G11249" s="690" t="s">
        <v>4060</v>
      </c>
      <c r="H11249" s="690" t="s">
        <v>4060</v>
      </c>
      <c r="I11249" s="690" t="s">
        <v>4060</v>
      </c>
      <c r="J11249" s="690" t="s">
        <v>4060</v>
      </c>
      <c r="K11249" s="690" t="s">
        <v>4060</v>
      </c>
    </row>
    <row r="11250" spans="1:11">
      <c r="A11250" s="688" t="s">
        <v>11</v>
      </c>
      <c r="B11250" s="691">
        <v>18.100000000000001</v>
      </c>
      <c r="C11250" s="691">
        <v>18.2</v>
      </c>
      <c r="D11250" s="691">
        <v>17.8</v>
      </c>
      <c r="E11250" s="691">
        <v>18.3</v>
      </c>
      <c r="F11250" s="691">
        <v>18.2</v>
      </c>
      <c r="G11250" s="691">
        <v>18.3</v>
      </c>
      <c r="H11250" s="691">
        <v>18.7</v>
      </c>
      <c r="I11250" s="691">
        <v>17.8</v>
      </c>
      <c r="J11250" s="691">
        <v>17.100000000000001</v>
      </c>
      <c r="K11250" s="615">
        <v>18</v>
      </c>
    </row>
    <row r="11251" spans="1:11">
      <c r="A11251" s="688" t="s">
        <v>10</v>
      </c>
      <c r="B11251" s="689">
        <v>22.2</v>
      </c>
      <c r="C11251" s="689">
        <v>22.2</v>
      </c>
      <c r="D11251" s="689">
        <v>21.9</v>
      </c>
      <c r="E11251" s="689">
        <v>22.4</v>
      </c>
      <c r="F11251" s="689">
        <v>22.3</v>
      </c>
      <c r="G11251" s="689">
        <v>22.6</v>
      </c>
      <c r="H11251" s="689">
        <v>22.8</v>
      </c>
      <c r="I11251" s="689">
        <v>21.5</v>
      </c>
      <c r="J11251" s="693">
        <v>22</v>
      </c>
      <c r="K11251" s="689">
        <v>22.3</v>
      </c>
    </row>
    <row r="11252" spans="1:11">
      <c r="A11252" s="688" t="s">
        <v>30</v>
      </c>
      <c r="B11252" s="691">
        <v>21.9</v>
      </c>
      <c r="C11252" s="691">
        <v>22.1</v>
      </c>
      <c r="D11252" s="691">
        <v>21.8</v>
      </c>
      <c r="E11252" s="691">
        <v>22.5</v>
      </c>
      <c r="F11252" s="691">
        <v>22.1</v>
      </c>
      <c r="G11252" s="691">
        <v>22.6</v>
      </c>
      <c r="H11252" s="691">
        <v>22.4</v>
      </c>
      <c r="I11252" s="691">
        <v>22.6</v>
      </c>
      <c r="J11252" s="691">
        <v>21.9</v>
      </c>
      <c r="K11252" s="691">
        <v>22.1</v>
      </c>
    </row>
    <row r="11253" spans="1:11">
      <c r="A11253" s="688" t="s">
        <v>12</v>
      </c>
      <c r="B11253" s="689">
        <v>16.2</v>
      </c>
      <c r="C11253" s="693">
        <v>16</v>
      </c>
      <c r="D11253" s="689">
        <v>16.399999999999999</v>
      </c>
      <c r="E11253" s="689">
        <v>16.3</v>
      </c>
      <c r="F11253" s="689">
        <v>16.3</v>
      </c>
      <c r="G11253" s="689">
        <v>16.5</v>
      </c>
      <c r="H11253" s="689">
        <v>16.8</v>
      </c>
      <c r="I11253" s="689">
        <v>16.5</v>
      </c>
      <c r="J11253" s="689">
        <v>15.1</v>
      </c>
      <c r="K11253" s="689">
        <v>16.100000000000001</v>
      </c>
    </row>
    <row r="11254" spans="1:11">
      <c r="A11254" s="688" t="s">
        <v>14</v>
      </c>
      <c r="B11254" s="691">
        <v>16.3</v>
      </c>
      <c r="C11254" s="691">
        <v>16.5</v>
      </c>
      <c r="D11254" s="691">
        <v>16.2</v>
      </c>
      <c r="E11254" s="691">
        <v>16.3</v>
      </c>
      <c r="F11254" s="691">
        <v>16.7</v>
      </c>
      <c r="G11254" s="691">
        <v>16.8</v>
      </c>
      <c r="H11254" s="691">
        <v>17.100000000000001</v>
      </c>
      <c r="I11254" s="691">
        <v>16.100000000000001</v>
      </c>
      <c r="J11254" s="691">
        <v>15.8</v>
      </c>
      <c r="K11254" s="691">
        <v>16.7</v>
      </c>
    </row>
    <row r="11255" spans="1:11">
      <c r="A11255" s="688" t="s">
        <v>15</v>
      </c>
      <c r="B11255" s="689">
        <v>22.1</v>
      </c>
      <c r="C11255" s="689">
        <v>21.3</v>
      </c>
      <c r="D11255" s="689">
        <v>21.8</v>
      </c>
      <c r="E11255" s="689">
        <v>21.8</v>
      </c>
      <c r="F11255" s="689">
        <v>21.5</v>
      </c>
      <c r="G11255" s="689">
        <v>21.7</v>
      </c>
      <c r="H11255" s="689">
        <v>22.1</v>
      </c>
      <c r="I11255" s="689">
        <v>21.6</v>
      </c>
      <c r="J11255" s="693">
        <v>22</v>
      </c>
      <c r="K11255" s="689">
        <v>22.5</v>
      </c>
    </row>
    <row r="11256" spans="1:11">
      <c r="A11256" s="688" t="s">
        <v>29</v>
      </c>
      <c r="B11256" s="691">
        <v>16.899999999999999</v>
      </c>
      <c r="C11256" s="691">
        <v>16.899999999999999</v>
      </c>
      <c r="D11256" s="691">
        <v>16.8</v>
      </c>
      <c r="E11256" s="691">
        <v>16.899999999999999</v>
      </c>
      <c r="F11256" s="691">
        <v>16.7</v>
      </c>
      <c r="G11256" s="691">
        <v>16.8</v>
      </c>
      <c r="H11256" s="615">
        <v>17</v>
      </c>
      <c r="I11256" s="691">
        <v>16.3</v>
      </c>
      <c r="J11256" s="691">
        <v>15.3</v>
      </c>
      <c r="K11256" s="691">
        <v>16.5</v>
      </c>
    </row>
    <row r="11257" spans="1:11">
      <c r="A11257" s="688" t="s">
        <v>16</v>
      </c>
      <c r="B11257" s="689">
        <v>21.5</v>
      </c>
      <c r="C11257" s="689">
        <v>21.7</v>
      </c>
      <c r="D11257" s="689">
        <v>21.7</v>
      </c>
      <c r="E11257" s="689">
        <v>22.6</v>
      </c>
      <c r="F11257" s="693">
        <v>22</v>
      </c>
      <c r="G11257" s="693">
        <v>22</v>
      </c>
      <c r="H11257" s="689">
        <v>22.2</v>
      </c>
      <c r="I11257" s="689">
        <v>21.7</v>
      </c>
      <c r="J11257" s="689">
        <v>22.1</v>
      </c>
      <c r="K11257" s="689">
        <v>22.1</v>
      </c>
    </row>
    <row r="11258" spans="1:11">
      <c r="A11258" s="688" t="s">
        <v>17</v>
      </c>
      <c r="B11258" s="691">
        <v>21.5</v>
      </c>
      <c r="C11258" s="691">
        <v>21.7</v>
      </c>
      <c r="D11258" s="691">
        <v>21.5</v>
      </c>
      <c r="E11258" s="691">
        <v>21.6</v>
      </c>
      <c r="F11258" s="691">
        <v>21.8</v>
      </c>
      <c r="G11258" s="691">
        <v>21.9</v>
      </c>
      <c r="H11258" s="691">
        <v>22.2</v>
      </c>
      <c r="I11258" s="691">
        <v>21.4</v>
      </c>
      <c r="J11258" s="691">
        <v>21.5</v>
      </c>
      <c r="K11258" s="691">
        <v>21.9</v>
      </c>
    </row>
    <row r="11259" spans="1:11">
      <c r="A11259" s="688" t="s">
        <v>19</v>
      </c>
      <c r="B11259" s="689">
        <v>21.2</v>
      </c>
      <c r="C11259" s="689">
        <v>21.3</v>
      </c>
      <c r="D11259" s="693">
        <v>21</v>
      </c>
      <c r="E11259" s="689">
        <v>21.4</v>
      </c>
      <c r="F11259" s="689">
        <v>21.5</v>
      </c>
      <c r="G11259" s="689">
        <v>21.5</v>
      </c>
      <c r="H11259" s="689">
        <v>21.7</v>
      </c>
      <c r="I11259" s="693">
        <v>21</v>
      </c>
      <c r="J11259" s="693">
        <v>21</v>
      </c>
      <c r="K11259" s="689">
        <v>21.1</v>
      </c>
    </row>
    <row r="11260" spans="1:11">
      <c r="A11260" s="688" t="s">
        <v>20</v>
      </c>
      <c r="B11260" s="615">
        <v>18</v>
      </c>
      <c r="C11260" s="691">
        <v>18.399999999999999</v>
      </c>
      <c r="D11260" s="691">
        <v>18.100000000000001</v>
      </c>
      <c r="E11260" s="691">
        <v>18.5</v>
      </c>
      <c r="F11260" s="691">
        <v>18.399999999999999</v>
      </c>
      <c r="G11260" s="691">
        <v>18.3</v>
      </c>
      <c r="H11260" s="691">
        <v>18.600000000000001</v>
      </c>
      <c r="I11260" s="691">
        <v>17.100000000000001</v>
      </c>
      <c r="J11260" s="691">
        <v>16.399999999999999</v>
      </c>
      <c r="K11260" s="691">
        <v>17.899999999999999</v>
      </c>
    </row>
    <row r="11261" spans="1:11">
      <c r="A11261" s="688" t="s">
        <v>21</v>
      </c>
      <c r="B11261" s="689">
        <v>20.9</v>
      </c>
      <c r="C11261" s="689">
        <v>21.2</v>
      </c>
      <c r="D11261" s="689">
        <v>21.2</v>
      </c>
      <c r="E11261" s="689">
        <v>21.1</v>
      </c>
      <c r="F11261" s="689">
        <v>21.5</v>
      </c>
      <c r="G11261" s="689">
        <v>21.4</v>
      </c>
      <c r="H11261" s="689">
        <v>21.7</v>
      </c>
      <c r="I11261" s="689">
        <v>21.2</v>
      </c>
      <c r="J11261" s="689">
        <v>21.2</v>
      </c>
      <c r="K11261" s="689">
        <v>21.6</v>
      </c>
    </row>
    <row r="11262" spans="1:11">
      <c r="A11262" s="688" t="s">
        <v>22</v>
      </c>
      <c r="B11262" s="691">
        <v>17.2</v>
      </c>
      <c r="C11262" s="691">
        <v>17.100000000000001</v>
      </c>
      <c r="D11262" s="691">
        <v>16.899999999999999</v>
      </c>
      <c r="E11262" s="691">
        <v>17.100000000000001</v>
      </c>
      <c r="F11262" s="691">
        <v>17.100000000000001</v>
      </c>
      <c r="G11262" s="615">
        <v>17</v>
      </c>
      <c r="H11262" s="691">
        <v>17.2</v>
      </c>
      <c r="I11262" s="691">
        <v>15.7</v>
      </c>
      <c r="J11262" s="691">
        <v>14.8</v>
      </c>
      <c r="K11262" s="691">
        <v>16.399999999999999</v>
      </c>
    </row>
    <row r="11263" spans="1:11">
      <c r="A11263" s="688" t="s">
        <v>26</v>
      </c>
      <c r="B11263" s="689">
        <v>20.2</v>
      </c>
      <c r="C11263" s="689">
        <v>20.5</v>
      </c>
      <c r="D11263" s="689">
        <v>20.3</v>
      </c>
      <c r="E11263" s="689">
        <v>20.7</v>
      </c>
      <c r="F11263" s="689">
        <v>20.399999999999999</v>
      </c>
      <c r="G11263" s="689">
        <v>20.6</v>
      </c>
      <c r="H11263" s="689">
        <v>20.9</v>
      </c>
      <c r="I11263" s="693">
        <v>20</v>
      </c>
      <c r="J11263" s="693">
        <v>20</v>
      </c>
      <c r="K11263" s="689">
        <v>20.7</v>
      </c>
    </row>
    <row r="11264" spans="1:11">
      <c r="A11264" s="688" t="s">
        <v>25</v>
      </c>
      <c r="B11264" s="691">
        <v>17.3</v>
      </c>
      <c r="C11264" s="691">
        <v>17.7</v>
      </c>
      <c r="D11264" s="691">
        <v>17.5</v>
      </c>
      <c r="E11264" s="691">
        <v>17.899999999999999</v>
      </c>
      <c r="F11264" s="691">
        <v>17.899999999999999</v>
      </c>
      <c r="G11264" s="691">
        <v>18.100000000000001</v>
      </c>
      <c r="H11264" s="691">
        <v>18.3</v>
      </c>
      <c r="I11264" s="691">
        <v>17.5</v>
      </c>
      <c r="J11264" s="691">
        <v>15.7</v>
      </c>
      <c r="K11264" s="691">
        <v>17.7</v>
      </c>
    </row>
    <row r="11265" spans="1:11">
      <c r="A11265" s="688" t="s">
        <v>5</v>
      </c>
      <c r="B11265" s="689">
        <v>21.1</v>
      </c>
      <c r="C11265" s="693">
        <v>21</v>
      </c>
      <c r="D11265" s="689">
        <v>21.2</v>
      </c>
      <c r="E11265" s="689">
        <v>21.1</v>
      </c>
      <c r="F11265" s="689">
        <v>21.3</v>
      </c>
      <c r="G11265" s="689">
        <v>21.5</v>
      </c>
      <c r="H11265" s="689">
        <v>21.7</v>
      </c>
      <c r="I11265" s="689">
        <v>21.8</v>
      </c>
      <c r="J11265" s="689">
        <v>21.6</v>
      </c>
      <c r="K11265" s="689">
        <v>21.1</v>
      </c>
    </row>
    <row r="11266" spans="1:11">
      <c r="A11266" s="688" t="s">
        <v>23</v>
      </c>
      <c r="B11266" s="615">
        <v>22</v>
      </c>
      <c r="C11266" s="691">
        <v>22.2</v>
      </c>
      <c r="D11266" s="691">
        <v>22.2</v>
      </c>
      <c r="E11266" s="691">
        <v>22.3</v>
      </c>
      <c r="F11266" s="691">
        <v>22.5</v>
      </c>
      <c r="G11266" s="691">
        <v>22.5</v>
      </c>
      <c r="H11266" s="691">
        <v>22.9</v>
      </c>
      <c r="I11266" s="691">
        <v>22.2</v>
      </c>
      <c r="J11266" s="691">
        <v>22.8</v>
      </c>
      <c r="K11266" s="691">
        <v>22.9</v>
      </c>
    </row>
    <row r="11267" spans="1:11">
      <c r="A11267" s="688" t="s">
        <v>4067</v>
      </c>
      <c r="B11267" s="689">
        <v>20.8</v>
      </c>
      <c r="C11267" s="689">
        <v>21.1</v>
      </c>
      <c r="D11267" s="689">
        <v>20.9</v>
      </c>
      <c r="E11267" s="689">
        <v>21.2</v>
      </c>
      <c r="F11267" s="689">
        <v>21.1</v>
      </c>
      <c r="G11267" s="689">
        <v>21.2</v>
      </c>
      <c r="H11267" s="690" t="s">
        <v>4060</v>
      </c>
      <c r="I11267" s="690" t="s">
        <v>4060</v>
      </c>
      <c r="J11267" s="690" t="s">
        <v>4060</v>
      </c>
      <c r="K11267" s="690" t="s">
        <v>4060</v>
      </c>
    </row>
    <row r="11268" spans="1:11">
      <c r="A11268" s="688" t="s">
        <v>4066</v>
      </c>
      <c r="B11268" s="691">
        <v>20.9</v>
      </c>
      <c r="C11268" s="691">
        <v>21.2</v>
      </c>
      <c r="D11268" s="691">
        <v>20.9</v>
      </c>
      <c r="E11268" s="691">
        <v>21.2</v>
      </c>
      <c r="F11268" s="691">
        <v>21.2</v>
      </c>
      <c r="G11268" s="691">
        <v>21.2</v>
      </c>
      <c r="H11268" s="692" t="s">
        <v>4060</v>
      </c>
      <c r="I11268" s="692" t="s">
        <v>4060</v>
      </c>
      <c r="J11268" s="692" t="s">
        <v>4060</v>
      </c>
      <c r="K11268" s="692" t="s">
        <v>4060</v>
      </c>
    </row>
    <row r="11269" spans="1:11">
      <c r="A11269" s="688" t="s">
        <v>4062</v>
      </c>
      <c r="B11269" s="689">
        <v>22.3</v>
      </c>
      <c r="C11269" s="689">
        <v>22.5</v>
      </c>
      <c r="D11269" s="689">
        <v>22.4</v>
      </c>
      <c r="E11269" s="689">
        <v>22.8</v>
      </c>
      <c r="F11269" s="689">
        <v>22.9</v>
      </c>
      <c r="G11269" s="693">
        <v>23</v>
      </c>
      <c r="H11269" s="689">
        <v>23.2</v>
      </c>
      <c r="I11269" s="689">
        <v>22.7</v>
      </c>
      <c r="J11269" s="689">
        <v>23.1</v>
      </c>
      <c r="K11269" s="689">
        <v>22.9</v>
      </c>
    </row>
    <row r="11270" spans="1:11">
      <c r="A11270" s="688" t="s">
        <v>9</v>
      </c>
      <c r="B11270" s="691">
        <v>22.3</v>
      </c>
      <c r="C11270" s="691">
        <v>22.8</v>
      </c>
      <c r="D11270" s="615">
        <v>23</v>
      </c>
      <c r="E11270" s="691">
        <v>22.1</v>
      </c>
      <c r="F11270" s="615">
        <v>23</v>
      </c>
      <c r="G11270" s="691">
        <v>23.1</v>
      </c>
      <c r="H11270" s="691">
        <v>23.1</v>
      </c>
      <c r="I11270" s="691">
        <v>23.5</v>
      </c>
      <c r="J11270" s="691">
        <v>23.7</v>
      </c>
      <c r="K11270" s="691">
        <v>22.6</v>
      </c>
    </row>
    <row r="11271" spans="1:11">
      <c r="A11271" s="688" t="s">
        <v>13</v>
      </c>
      <c r="B11271" s="693">
        <v>22</v>
      </c>
      <c r="C11271" s="689">
        <v>22.4</v>
      </c>
      <c r="D11271" s="689">
        <v>22.5</v>
      </c>
      <c r="E11271" s="689">
        <v>21.1</v>
      </c>
      <c r="F11271" s="693">
        <v>23</v>
      </c>
      <c r="G11271" s="689">
        <v>22.4</v>
      </c>
      <c r="H11271" s="689">
        <v>23.5</v>
      </c>
      <c r="I11271" s="689">
        <v>21.4</v>
      </c>
      <c r="J11271" s="689">
        <v>23.3</v>
      </c>
      <c r="K11271" s="689">
        <v>23.9</v>
      </c>
    </row>
    <row r="11272" spans="1:11">
      <c r="A11272" s="688" t="s">
        <v>18</v>
      </c>
      <c r="B11272" s="691">
        <v>21.8</v>
      </c>
      <c r="C11272" s="615">
        <v>22</v>
      </c>
      <c r="D11272" s="691">
        <v>22.1</v>
      </c>
      <c r="E11272" s="691">
        <v>22.4</v>
      </c>
      <c r="F11272" s="691">
        <v>22.5</v>
      </c>
      <c r="G11272" s="691">
        <v>22.7</v>
      </c>
      <c r="H11272" s="691">
        <v>22.9</v>
      </c>
      <c r="I11272" s="691">
        <v>23.1</v>
      </c>
      <c r="J11272" s="615">
        <v>23</v>
      </c>
      <c r="K11272" s="691">
        <v>22.5</v>
      </c>
    </row>
    <row r="11273" spans="1:11">
      <c r="A11273" s="688" t="s">
        <v>24</v>
      </c>
      <c r="B11273" s="689">
        <v>22.6</v>
      </c>
      <c r="C11273" s="689">
        <v>22.7</v>
      </c>
      <c r="D11273" s="689">
        <v>22.5</v>
      </c>
      <c r="E11273" s="693">
        <v>23</v>
      </c>
      <c r="F11273" s="689">
        <v>23.1</v>
      </c>
      <c r="G11273" s="689">
        <v>23.2</v>
      </c>
      <c r="H11273" s="689">
        <v>23.4</v>
      </c>
      <c r="I11273" s="689">
        <v>22.6</v>
      </c>
      <c r="J11273" s="689">
        <v>23.2</v>
      </c>
      <c r="K11273" s="689">
        <v>23.2</v>
      </c>
    </row>
    <row r="11274" spans="1:11">
      <c r="A11274" s="688" t="s">
        <v>4059</v>
      </c>
      <c r="B11274" s="691">
        <v>21.7</v>
      </c>
      <c r="C11274" s="615">
        <v>22</v>
      </c>
      <c r="D11274" s="691">
        <v>21.8</v>
      </c>
      <c r="E11274" s="615">
        <v>22</v>
      </c>
      <c r="F11274" s="615">
        <v>22</v>
      </c>
      <c r="G11274" s="691">
        <v>22.1</v>
      </c>
      <c r="H11274" s="692" t="s">
        <v>4060</v>
      </c>
      <c r="I11274" s="692" t="s">
        <v>4060</v>
      </c>
      <c r="J11274" s="692" t="s">
        <v>4060</v>
      </c>
      <c r="K11274" s="692" t="s">
        <v>4060</v>
      </c>
    </row>
    <row r="11275" spans="1:11">
      <c r="A11275" s="688" t="s">
        <v>2324</v>
      </c>
      <c r="B11275" s="689">
        <v>17.7</v>
      </c>
      <c r="C11275" s="689">
        <v>17.899999999999999</v>
      </c>
      <c r="D11275" s="689">
        <v>17.600000000000001</v>
      </c>
      <c r="E11275" s="689">
        <v>17.399999999999999</v>
      </c>
      <c r="F11275" s="689">
        <v>17.600000000000001</v>
      </c>
      <c r="G11275" s="689">
        <v>17.899999999999999</v>
      </c>
      <c r="H11275" s="689">
        <v>17.8</v>
      </c>
      <c r="I11275" s="689">
        <v>16.600000000000001</v>
      </c>
      <c r="J11275" s="689">
        <v>14.8</v>
      </c>
      <c r="K11275" s="690" t="s">
        <v>4060</v>
      </c>
    </row>
    <row r="11276" spans="1:11">
      <c r="A11276" s="688" t="s">
        <v>2322</v>
      </c>
      <c r="B11276" s="692" t="s">
        <v>4060</v>
      </c>
      <c r="C11276" s="692" t="s">
        <v>4060</v>
      </c>
      <c r="D11276" s="692" t="s">
        <v>4060</v>
      </c>
      <c r="E11276" s="692" t="s">
        <v>4060</v>
      </c>
      <c r="F11276" s="692" t="s">
        <v>4060</v>
      </c>
      <c r="G11276" s="692" t="s">
        <v>4060</v>
      </c>
      <c r="H11276" s="692" t="s">
        <v>4060</v>
      </c>
      <c r="I11276" s="692" t="s">
        <v>4060</v>
      </c>
      <c r="J11276" s="692" t="s">
        <v>4060</v>
      </c>
      <c r="K11276" s="692" t="s">
        <v>4060</v>
      </c>
    </row>
    <row r="11277" spans="1:11">
      <c r="A11277" s="688" t="s">
        <v>2328</v>
      </c>
      <c r="B11277" s="689">
        <v>17.2</v>
      </c>
      <c r="C11277" s="689">
        <v>17.3</v>
      </c>
      <c r="D11277" s="689">
        <v>17.2</v>
      </c>
      <c r="E11277" s="689">
        <v>17.2</v>
      </c>
      <c r="F11277" s="689">
        <v>17.5</v>
      </c>
      <c r="G11277" s="689">
        <v>17.8</v>
      </c>
      <c r="H11277" s="689">
        <v>17.7</v>
      </c>
      <c r="I11277" s="689">
        <v>15.6</v>
      </c>
      <c r="J11277" s="689">
        <v>15.1</v>
      </c>
      <c r="K11277" s="690" t="s">
        <v>4060</v>
      </c>
    </row>
    <row r="11278" spans="1:11">
      <c r="A11278" s="688" t="s">
        <v>2496</v>
      </c>
      <c r="B11278" s="692" t="s">
        <v>4060</v>
      </c>
      <c r="C11278" s="691">
        <v>16.600000000000001</v>
      </c>
      <c r="D11278" s="691">
        <v>15.6</v>
      </c>
      <c r="E11278" s="691">
        <v>15.4</v>
      </c>
      <c r="F11278" s="691">
        <v>15.8</v>
      </c>
      <c r="G11278" s="691">
        <v>16.100000000000001</v>
      </c>
      <c r="H11278" s="615">
        <v>16</v>
      </c>
      <c r="I11278" s="692" t="s">
        <v>4060</v>
      </c>
      <c r="J11278" s="692" t="s">
        <v>4060</v>
      </c>
      <c r="K11278" s="691">
        <v>15.5</v>
      </c>
    </row>
    <row r="11279" spans="1:11">
      <c r="A11279" s="688" t="s">
        <v>2269</v>
      </c>
      <c r="B11279" s="689">
        <v>19.7</v>
      </c>
      <c r="C11279" s="689">
        <v>19.899999999999999</v>
      </c>
      <c r="D11279" s="689">
        <v>19.5</v>
      </c>
      <c r="E11279" s="689">
        <v>20.100000000000001</v>
      </c>
      <c r="F11279" s="689">
        <v>20.2</v>
      </c>
      <c r="G11279" s="689">
        <v>20.399999999999999</v>
      </c>
      <c r="H11279" s="689">
        <v>20.7</v>
      </c>
      <c r="I11279" s="689">
        <v>18.600000000000001</v>
      </c>
      <c r="J11279" s="689">
        <v>16.899999999999999</v>
      </c>
      <c r="K11279" s="689">
        <v>20.3</v>
      </c>
    </row>
    <row r="11280" spans="1:11">
      <c r="A11280" s="688" t="s">
        <v>2349</v>
      </c>
      <c r="B11280" s="615">
        <v>17</v>
      </c>
      <c r="C11280" s="615">
        <v>17</v>
      </c>
      <c r="D11280" s="615">
        <v>17</v>
      </c>
      <c r="E11280" s="691">
        <v>17.2</v>
      </c>
      <c r="F11280" s="691">
        <v>17.2</v>
      </c>
      <c r="G11280" s="691">
        <v>17.3</v>
      </c>
      <c r="H11280" s="691">
        <v>17.399999999999999</v>
      </c>
      <c r="I11280" s="691">
        <v>15.9</v>
      </c>
      <c r="J11280" s="691">
        <v>14.7</v>
      </c>
      <c r="K11280" s="691">
        <v>16.7</v>
      </c>
    </row>
    <row r="11281" spans="1:11">
      <c r="A11281" s="688" t="s">
        <v>2355</v>
      </c>
      <c r="B11281" s="689">
        <v>19.3</v>
      </c>
      <c r="C11281" s="689">
        <v>19.2</v>
      </c>
      <c r="D11281" s="689">
        <v>19.100000000000001</v>
      </c>
      <c r="E11281" s="689">
        <v>19.100000000000001</v>
      </c>
      <c r="F11281" s="689">
        <v>19.2</v>
      </c>
      <c r="G11281" s="689">
        <v>19.600000000000001</v>
      </c>
      <c r="H11281" s="689">
        <v>19.600000000000001</v>
      </c>
      <c r="I11281" s="690" t="s">
        <v>4060</v>
      </c>
      <c r="J11281" s="690" t="s">
        <v>4060</v>
      </c>
      <c r="K11281" s="690" t="s">
        <v>4060</v>
      </c>
    </row>
    <row r="11282" spans="1:11">
      <c r="A11282" s="688" t="s">
        <v>2357</v>
      </c>
      <c r="B11282" s="692" t="s">
        <v>4060</v>
      </c>
      <c r="C11282" s="691">
        <v>15.2</v>
      </c>
      <c r="D11282" s="691">
        <v>15.4</v>
      </c>
      <c r="E11282" s="691">
        <v>15.7</v>
      </c>
      <c r="F11282" s="691">
        <v>15.9</v>
      </c>
      <c r="G11282" s="691">
        <v>15.7</v>
      </c>
      <c r="H11282" s="691">
        <v>15.8</v>
      </c>
      <c r="I11282" s="692" t="s">
        <v>4060</v>
      </c>
      <c r="J11282" s="692" t="s">
        <v>4060</v>
      </c>
      <c r="K11282" s="692" t="s">
        <v>4060</v>
      </c>
    </row>
    <row r="11283" spans="1:11">
      <c r="A11283" s="688" t="s">
        <v>4070</v>
      </c>
      <c r="B11283" s="690" t="s">
        <v>4060</v>
      </c>
      <c r="C11283" s="690" t="s">
        <v>4060</v>
      </c>
      <c r="D11283" s="690" t="s">
        <v>4060</v>
      </c>
      <c r="E11283" s="689">
        <v>18.7</v>
      </c>
      <c r="F11283" s="690" t="s">
        <v>4060</v>
      </c>
      <c r="G11283" s="690" t="s">
        <v>4060</v>
      </c>
      <c r="H11283" s="690" t="s">
        <v>4060</v>
      </c>
      <c r="I11283" s="690" t="s">
        <v>4060</v>
      </c>
      <c r="J11283" s="690" t="s">
        <v>4060</v>
      </c>
      <c r="K11283" s="690" t="s">
        <v>4060</v>
      </c>
    </row>
    <row r="11284" spans="1:11">
      <c r="A11284" s="688" t="s">
        <v>2491</v>
      </c>
      <c r="B11284" s="691">
        <v>14.7</v>
      </c>
      <c r="C11284" s="615">
        <v>15</v>
      </c>
      <c r="D11284" s="691">
        <v>15.2</v>
      </c>
      <c r="E11284" s="691">
        <v>15.2</v>
      </c>
      <c r="F11284" s="691">
        <v>15.2</v>
      </c>
      <c r="G11284" s="691">
        <v>15.2</v>
      </c>
      <c r="H11284" s="692" t="s">
        <v>4060</v>
      </c>
      <c r="I11284" s="692" t="s">
        <v>4060</v>
      </c>
      <c r="J11284" s="692" t="s">
        <v>4060</v>
      </c>
      <c r="K11284" s="692" t="s">
        <v>4060</v>
      </c>
    </row>
    <row r="11285" spans="1:11">
      <c r="A11285" s="688" t="s">
        <v>2343</v>
      </c>
      <c r="B11285" s="690" t="s">
        <v>4060</v>
      </c>
      <c r="C11285" s="690" t="s">
        <v>4060</v>
      </c>
      <c r="D11285" s="690" t="s">
        <v>4060</v>
      </c>
      <c r="E11285" s="690" t="s">
        <v>4060</v>
      </c>
      <c r="F11285" s="690" t="s">
        <v>4060</v>
      </c>
      <c r="G11285" s="690" t="s">
        <v>4060</v>
      </c>
      <c r="H11285" s="690" t="s">
        <v>4060</v>
      </c>
      <c r="I11285" s="690" t="s">
        <v>4060</v>
      </c>
      <c r="J11285" s="690" t="s">
        <v>4060</v>
      </c>
      <c r="K11285" s="690" t="s">
        <v>4060</v>
      </c>
    </row>
    <row r="11286" spans="1:11">
      <c r="A11286" s="688" t="s">
        <v>4071</v>
      </c>
      <c r="B11286" s="692" t="s">
        <v>4060</v>
      </c>
      <c r="C11286" s="692" t="s">
        <v>4060</v>
      </c>
      <c r="D11286" s="692" t="s">
        <v>4060</v>
      </c>
      <c r="E11286" s="692" t="s">
        <v>4060</v>
      </c>
      <c r="F11286" s="692" t="s">
        <v>4060</v>
      </c>
      <c r="G11286" s="692" t="s">
        <v>4060</v>
      </c>
      <c r="H11286" s="692" t="s">
        <v>4060</v>
      </c>
      <c r="I11286" s="692" t="s">
        <v>4060</v>
      </c>
      <c r="J11286" s="692" t="s">
        <v>4060</v>
      </c>
      <c r="K11286" s="692" t="s">
        <v>4060</v>
      </c>
    </row>
    <row r="11287" spans="1:11">
      <c r="A11287" s="688" t="s">
        <v>2489</v>
      </c>
      <c r="B11287" s="690" t="s">
        <v>4060</v>
      </c>
      <c r="C11287" s="690" t="s">
        <v>4060</v>
      </c>
      <c r="D11287" s="693">
        <v>17</v>
      </c>
      <c r="E11287" s="693">
        <v>17</v>
      </c>
      <c r="F11287" s="689">
        <v>17.3</v>
      </c>
      <c r="G11287" s="689">
        <v>17.8</v>
      </c>
      <c r="H11287" s="693">
        <v>18</v>
      </c>
      <c r="I11287" s="690" t="s">
        <v>4060</v>
      </c>
      <c r="J11287" s="690" t="s">
        <v>4060</v>
      </c>
      <c r="K11287" s="690" t="s">
        <v>4060</v>
      </c>
    </row>
    <row r="11288" spans="1:11">
      <c r="A11288" s="688" t="s">
        <v>2490</v>
      </c>
      <c r="B11288" s="691">
        <v>17.3</v>
      </c>
      <c r="C11288" s="691">
        <v>17.2</v>
      </c>
      <c r="D11288" s="615">
        <v>18</v>
      </c>
      <c r="E11288" s="692" t="s">
        <v>4060</v>
      </c>
      <c r="F11288" s="691">
        <v>18.3</v>
      </c>
      <c r="G11288" s="691">
        <v>18.2</v>
      </c>
      <c r="H11288" s="691">
        <v>19.2</v>
      </c>
      <c r="I11288" s="692" t="s">
        <v>4060</v>
      </c>
      <c r="J11288" s="692" t="s">
        <v>4060</v>
      </c>
      <c r="K11288" s="692" t="s">
        <v>4060</v>
      </c>
    </row>
    <row r="11290" spans="1:11">
      <c r="A11290" s="683" t="s">
        <v>4233</v>
      </c>
    </row>
    <row r="11291" spans="1:11">
      <c r="A11291" s="683" t="s">
        <v>4060</v>
      </c>
      <c r="B11291" s="682" t="s">
        <v>4234</v>
      </c>
    </row>
    <row r="11293" spans="1:11">
      <c r="A11293" s="682" t="s">
        <v>4331</v>
      </c>
    </row>
    <row r="11294" spans="1:11">
      <c r="A11294" s="682" t="s">
        <v>4210</v>
      </c>
      <c r="B11294" s="683" t="s">
        <v>4211</v>
      </c>
    </row>
    <row r="11295" spans="1:11">
      <c r="A11295" s="682" t="s">
        <v>4212</v>
      </c>
      <c r="B11295" s="682" t="s">
        <v>4213</v>
      </c>
    </row>
    <row r="11297" spans="1:11">
      <c r="A11297" s="683" t="s">
        <v>4214</v>
      </c>
      <c r="C11297" s="682" t="s">
        <v>4215</v>
      </c>
    </row>
    <row r="11298" spans="1:11">
      <c r="A11298" s="683" t="s">
        <v>4216</v>
      </c>
      <c r="C11298" s="682" t="s">
        <v>2967</v>
      </c>
    </row>
    <row r="11299" spans="1:11">
      <c r="A11299" s="683" t="s">
        <v>3893</v>
      </c>
      <c r="C11299" s="682" t="s">
        <v>2168</v>
      </c>
    </row>
    <row r="11300" spans="1:11">
      <c r="A11300" s="683" t="s">
        <v>4218</v>
      </c>
      <c r="C11300" s="682" t="s">
        <v>4297</v>
      </c>
    </row>
    <row r="11302" spans="1:11">
      <c r="A11302" s="684" t="s">
        <v>4220</v>
      </c>
      <c r="B11302" s="685" t="s">
        <v>4221</v>
      </c>
      <c r="C11302" s="685" t="s">
        <v>4222</v>
      </c>
      <c r="D11302" s="685" t="s">
        <v>4223</v>
      </c>
      <c r="E11302" s="685" t="s">
        <v>4224</v>
      </c>
      <c r="F11302" s="685" t="s">
        <v>4225</v>
      </c>
      <c r="G11302" s="685" t="s">
        <v>4226</v>
      </c>
      <c r="H11302" s="685" t="s">
        <v>4227</v>
      </c>
      <c r="I11302" s="685" t="s">
        <v>4228</v>
      </c>
      <c r="J11302" s="685" t="s">
        <v>4229</v>
      </c>
      <c r="K11302" s="685" t="s">
        <v>4230</v>
      </c>
    </row>
    <row r="11303" spans="1:11">
      <c r="A11303" s="686" t="s">
        <v>4231</v>
      </c>
      <c r="B11303" s="687" t="s">
        <v>4232</v>
      </c>
      <c r="C11303" s="687" t="s">
        <v>4232</v>
      </c>
      <c r="D11303" s="687" t="s">
        <v>4232</v>
      </c>
      <c r="E11303" s="687" t="s">
        <v>4232</v>
      </c>
      <c r="F11303" s="687" t="s">
        <v>4232</v>
      </c>
      <c r="G11303" s="687" t="s">
        <v>4232</v>
      </c>
      <c r="H11303" s="687" t="s">
        <v>4232</v>
      </c>
      <c r="I11303" s="687" t="s">
        <v>4232</v>
      </c>
      <c r="J11303" s="687" t="s">
        <v>4232</v>
      </c>
      <c r="K11303" s="687" t="s">
        <v>4232</v>
      </c>
    </row>
    <row r="11304" spans="1:11">
      <c r="A11304" s="688" t="s">
        <v>4064</v>
      </c>
      <c r="B11304" s="615">
        <v>20</v>
      </c>
      <c r="C11304" s="615">
        <v>20</v>
      </c>
      <c r="D11304" s="615">
        <v>20</v>
      </c>
      <c r="E11304" s="691">
        <v>20.100000000000001</v>
      </c>
      <c r="F11304" s="691">
        <v>20.100000000000001</v>
      </c>
      <c r="G11304" s="691">
        <v>20.100000000000001</v>
      </c>
      <c r="H11304" s="691">
        <v>20.399999999999999</v>
      </c>
      <c r="I11304" s="691">
        <v>19.5</v>
      </c>
      <c r="J11304" s="691">
        <v>19.399999999999999</v>
      </c>
      <c r="K11304" s="691">
        <v>19.899999999999999</v>
      </c>
    </row>
    <row r="11305" spans="1:11">
      <c r="A11305" s="688" t="s">
        <v>4065</v>
      </c>
      <c r="B11305" s="689">
        <v>20.100000000000001</v>
      </c>
      <c r="C11305" s="689">
        <v>20.399999999999999</v>
      </c>
      <c r="D11305" s="689">
        <v>20.100000000000001</v>
      </c>
      <c r="E11305" s="689">
        <v>20.399999999999999</v>
      </c>
      <c r="F11305" s="689">
        <v>20.399999999999999</v>
      </c>
      <c r="G11305" s="689">
        <v>20.399999999999999</v>
      </c>
      <c r="H11305" s="690" t="s">
        <v>4060</v>
      </c>
      <c r="I11305" s="690" t="s">
        <v>4060</v>
      </c>
      <c r="J11305" s="690" t="s">
        <v>4060</v>
      </c>
      <c r="K11305" s="690" t="s">
        <v>4060</v>
      </c>
    </row>
    <row r="11306" spans="1:11">
      <c r="A11306" s="688" t="s">
        <v>4063</v>
      </c>
      <c r="B11306" s="691">
        <v>20.100000000000001</v>
      </c>
      <c r="C11306" s="691">
        <v>20.399999999999999</v>
      </c>
      <c r="D11306" s="691">
        <v>20.100000000000001</v>
      </c>
      <c r="E11306" s="691">
        <v>20.399999999999999</v>
      </c>
      <c r="F11306" s="691">
        <v>20.399999999999999</v>
      </c>
      <c r="G11306" s="691">
        <v>20.5</v>
      </c>
      <c r="H11306" s="692" t="s">
        <v>4060</v>
      </c>
      <c r="I11306" s="692" t="s">
        <v>4060</v>
      </c>
      <c r="J11306" s="692" t="s">
        <v>4060</v>
      </c>
      <c r="K11306" s="692" t="s">
        <v>4060</v>
      </c>
    </row>
    <row r="11307" spans="1:11">
      <c r="A11307" s="688" t="s">
        <v>4069</v>
      </c>
      <c r="B11307" s="690" t="s">
        <v>4060</v>
      </c>
      <c r="C11307" s="689">
        <v>20.7</v>
      </c>
      <c r="D11307" s="689">
        <v>20.5</v>
      </c>
      <c r="E11307" s="689">
        <v>20.8</v>
      </c>
      <c r="F11307" s="689">
        <v>20.8</v>
      </c>
      <c r="G11307" s="689">
        <v>20.9</v>
      </c>
      <c r="H11307" s="689">
        <v>21.1</v>
      </c>
      <c r="I11307" s="689">
        <v>20.399999999999999</v>
      </c>
      <c r="J11307" s="689">
        <v>20.399999999999999</v>
      </c>
      <c r="K11307" s="689">
        <v>20.6</v>
      </c>
    </row>
    <row r="11308" spans="1:11">
      <c r="A11308" s="688" t="s">
        <v>4068</v>
      </c>
      <c r="B11308" s="691">
        <v>20.7</v>
      </c>
      <c r="C11308" s="692" t="s">
        <v>4060</v>
      </c>
      <c r="D11308" s="692" t="s">
        <v>4060</v>
      </c>
      <c r="E11308" s="692" t="s">
        <v>4060</v>
      </c>
      <c r="F11308" s="692" t="s">
        <v>4060</v>
      </c>
      <c r="G11308" s="692" t="s">
        <v>4060</v>
      </c>
      <c r="H11308" s="692" t="s">
        <v>4060</v>
      </c>
      <c r="I11308" s="692" t="s">
        <v>4060</v>
      </c>
      <c r="J11308" s="692" t="s">
        <v>4060</v>
      </c>
      <c r="K11308" s="692" t="s">
        <v>4060</v>
      </c>
    </row>
    <row r="11309" spans="1:11">
      <c r="A11309" s="688" t="s">
        <v>0</v>
      </c>
      <c r="B11309" s="689">
        <v>20.100000000000001</v>
      </c>
      <c r="C11309" s="689">
        <v>20.5</v>
      </c>
      <c r="D11309" s="689">
        <v>20.3</v>
      </c>
      <c r="E11309" s="689">
        <v>20.5</v>
      </c>
      <c r="F11309" s="689">
        <v>20.7</v>
      </c>
      <c r="G11309" s="689">
        <v>20.7</v>
      </c>
      <c r="H11309" s="693">
        <v>21</v>
      </c>
      <c r="I11309" s="693">
        <v>20</v>
      </c>
      <c r="J11309" s="689">
        <v>20.7</v>
      </c>
      <c r="K11309" s="689">
        <v>20.9</v>
      </c>
    </row>
    <row r="11310" spans="1:11">
      <c r="A11310" s="688" t="s">
        <v>1</v>
      </c>
      <c r="B11310" s="691">
        <v>16.100000000000001</v>
      </c>
      <c r="C11310" s="691">
        <v>15.9</v>
      </c>
      <c r="D11310" s="691">
        <v>15.8</v>
      </c>
      <c r="E11310" s="615">
        <v>16</v>
      </c>
      <c r="F11310" s="691">
        <v>15.9</v>
      </c>
      <c r="G11310" s="691">
        <v>15.9</v>
      </c>
      <c r="H11310" s="615">
        <v>16</v>
      </c>
      <c r="I11310" s="691">
        <v>14.6</v>
      </c>
      <c r="J11310" s="691">
        <v>13.3</v>
      </c>
      <c r="K11310" s="691">
        <v>15.1</v>
      </c>
    </row>
    <row r="11311" spans="1:11">
      <c r="A11311" s="688" t="s">
        <v>2240</v>
      </c>
      <c r="B11311" s="689">
        <v>17.7</v>
      </c>
      <c r="C11311" s="693">
        <v>18</v>
      </c>
      <c r="D11311" s="689">
        <v>17.899999999999999</v>
      </c>
      <c r="E11311" s="689">
        <v>18.2</v>
      </c>
      <c r="F11311" s="689">
        <v>18.2</v>
      </c>
      <c r="G11311" s="689">
        <v>18.3</v>
      </c>
      <c r="H11311" s="689">
        <v>18.399999999999999</v>
      </c>
      <c r="I11311" s="689">
        <v>17.3</v>
      </c>
      <c r="J11311" s="689">
        <v>16.600000000000001</v>
      </c>
      <c r="K11311" s="689">
        <v>18.2</v>
      </c>
    </row>
    <row r="11312" spans="1:11">
      <c r="A11312" s="688" t="s">
        <v>2</v>
      </c>
      <c r="B11312" s="615">
        <v>20</v>
      </c>
      <c r="C11312" s="691">
        <v>20.2</v>
      </c>
      <c r="D11312" s="691">
        <v>20.2</v>
      </c>
      <c r="E11312" s="691">
        <v>20.399999999999999</v>
      </c>
      <c r="F11312" s="691">
        <v>20.5</v>
      </c>
      <c r="G11312" s="691">
        <v>20.3</v>
      </c>
      <c r="H11312" s="691">
        <v>20.6</v>
      </c>
      <c r="I11312" s="691">
        <v>20.7</v>
      </c>
      <c r="J11312" s="691">
        <v>20.5</v>
      </c>
      <c r="K11312" s="691">
        <v>20.399999999999999</v>
      </c>
    </row>
    <row r="11313" spans="1:11">
      <c r="A11313" s="688" t="s">
        <v>3</v>
      </c>
      <c r="B11313" s="693">
        <v>20</v>
      </c>
      <c r="C11313" s="689">
        <v>20.2</v>
      </c>
      <c r="D11313" s="689">
        <v>19.899999999999999</v>
      </c>
      <c r="E11313" s="689">
        <v>20.100000000000001</v>
      </c>
      <c r="F11313" s="689">
        <v>20.2</v>
      </c>
      <c r="G11313" s="689">
        <v>20.100000000000001</v>
      </c>
      <c r="H11313" s="689">
        <v>20.3</v>
      </c>
      <c r="I11313" s="689">
        <v>20.100000000000001</v>
      </c>
      <c r="J11313" s="689">
        <v>19.899999999999999</v>
      </c>
      <c r="K11313" s="689">
        <v>19.7</v>
      </c>
    </row>
    <row r="11314" spans="1:11">
      <c r="A11314" s="688" t="s">
        <v>4061</v>
      </c>
      <c r="B11314" s="615">
        <v>20</v>
      </c>
      <c r="C11314" s="691">
        <v>20.2</v>
      </c>
      <c r="D11314" s="691">
        <v>19.899999999999999</v>
      </c>
      <c r="E11314" s="691">
        <v>20.100000000000001</v>
      </c>
      <c r="F11314" s="691">
        <v>20.2</v>
      </c>
      <c r="G11314" s="691">
        <v>20.100000000000001</v>
      </c>
      <c r="H11314" s="691">
        <v>20.3</v>
      </c>
      <c r="I11314" s="691">
        <v>20.100000000000001</v>
      </c>
      <c r="J11314" s="691">
        <v>19.899999999999999</v>
      </c>
      <c r="K11314" s="691">
        <v>19.7</v>
      </c>
    </row>
    <row r="11315" spans="1:11">
      <c r="A11315" s="688" t="s">
        <v>4</v>
      </c>
      <c r="B11315" s="693">
        <v>17</v>
      </c>
      <c r="C11315" s="689">
        <v>16.899999999999999</v>
      </c>
      <c r="D11315" s="689">
        <v>17.2</v>
      </c>
      <c r="E11315" s="689">
        <v>17.399999999999999</v>
      </c>
      <c r="F11315" s="689">
        <v>17.3</v>
      </c>
      <c r="G11315" s="689">
        <v>17.5</v>
      </c>
      <c r="H11315" s="689">
        <v>17.7</v>
      </c>
      <c r="I11315" s="689">
        <v>17.7</v>
      </c>
      <c r="J11315" s="689">
        <v>16.399999999999999</v>
      </c>
      <c r="K11315" s="689">
        <v>17.2</v>
      </c>
    </row>
    <row r="11316" spans="1:11">
      <c r="A11316" s="688" t="s">
        <v>8</v>
      </c>
      <c r="B11316" s="691">
        <v>20.5</v>
      </c>
      <c r="C11316" s="691">
        <v>20.7</v>
      </c>
      <c r="D11316" s="691">
        <v>20.8</v>
      </c>
      <c r="E11316" s="691">
        <v>20.8</v>
      </c>
      <c r="F11316" s="691">
        <v>21.2</v>
      </c>
      <c r="G11316" s="691">
        <v>21.3</v>
      </c>
      <c r="H11316" s="691">
        <v>21.5</v>
      </c>
      <c r="I11316" s="691">
        <v>21.5</v>
      </c>
      <c r="J11316" s="691">
        <v>21.3</v>
      </c>
      <c r="K11316" s="691">
        <v>21.6</v>
      </c>
    </row>
    <row r="11317" spans="1:11">
      <c r="A11317" s="688" t="s">
        <v>7</v>
      </c>
      <c r="B11317" s="693">
        <v>21</v>
      </c>
      <c r="C11317" s="689">
        <v>20.3</v>
      </c>
      <c r="D11317" s="689">
        <v>20.100000000000001</v>
      </c>
      <c r="E11317" s="689">
        <v>20.399999999999999</v>
      </c>
      <c r="F11317" s="689">
        <v>20.3</v>
      </c>
      <c r="G11317" s="689">
        <v>20.7</v>
      </c>
      <c r="H11317" s="689">
        <v>20.7</v>
      </c>
      <c r="I11317" s="689">
        <v>20.3</v>
      </c>
      <c r="J11317" s="689">
        <v>19.600000000000001</v>
      </c>
      <c r="K11317" s="689">
        <v>20.100000000000001</v>
      </c>
    </row>
    <row r="11318" spans="1:11">
      <c r="A11318" s="688" t="s">
        <v>27</v>
      </c>
      <c r="B11318" s="691">
        <v>21.5</v>
      </c>
      <c r="C11318" s="691">
        <v>21.4</v>
      </c>
      <c r="D11318" s="691">
        <v>21.1</v>
      </c>
      <c r="E11318" s="691">
        <v>21.4</v>
      </c>
      <c r="F11318" s="691">
        <v>21.4</v>
      </c>
      <c r="G11318" s="691">
        <v>21.5</v>
      </c>
      <c r="H11318" s="691">
        <v>21.8</v>
      </c>
      <c r="I11318" s="691">
        <v>20.6</v>
      </c>
      <c r="J11318" s="691">
        <v>21.3</v>
      </c>
      <c r="K11318" s="691">
        <v>21.4</v>
      </c>
    </row>
    <row r="11319" spans="1:11">
      <c r="A11319" s="688" t="s">
        <v>6</v>
      </c>
      <c r="B11319" s="689">
        <v>21.5</v>
      </c>
      <c r="C11319" s="689">
        <v>21.6</v>
      </c>
      <c r="D11319" s="689">
        <v>21.4</v>
      </c>
      <c r="E11319" s="689">
        <v>21.6</v>
      </c>
      <c r="F11319" s="689">
        <v>21.6</v>
      </c>
      <c r="G11319" s="689">
        <v>21.7</v>
      </c>
      <c r="H11319" s="689">
        <v>21.9</v>
      </c>
      <c r="I11319" s="689">
        <v>21.2</v>
      </c>
      <c r="J11319" s="689">
        <v>21.3</v>
      </c>
      <c r="K11319" s="689">
        <v>21.5</v>
      </c>
    </row>
    <row r="11320" spans="1:11">
      <c r="A11320" s="688" t="s">
        <v>4058</v>
      </c>
      <c r="B11320" s="692" t="s">
        <v>4060</v>
      </c>
      <c r="C11320" s="692" t="s">
        <v>4060</v>
      </c>
      <c r="D11320" s="692" t="s">
        <v>4060</v>
      </c>
      <c r="E11320" s="692" t="s">
        <v>4060</v>
      </c>
      <c r="F11320" s="692" t="s">
        <v>4060</v>
      </c>
      <c r="G11320" s="692" t="s">
        <v>4060</v>
      </c>
      <c r="H11320" s="692" t="s">
        <v>4060</v>
      </c>
      <c r="I11320" s="692" t="s">
        <v>4060</v>
      </c>
      <c r="J11320" s="692" t="s">
        <v>4060</v>
      </c>
      <c r="K11320" s="692" t="s">
        <v>4060</v>
      </c>
    </row>
    <row r="11321" spans="1:11">
      <c r="A11321" s="688" t="s">
        <v>11</v>
      </c>
      <c r="B11321" s="689">
        <v>17.399999999999999</v>
      </c>
      <c r="C11321" s="689">
        <v>17.5</v>
      </c>
      <c r="D11321" s="689">
        <v>17.100000000000001</v>
      </c>
      <c r="E11321" s="689">
        <v>17.5</v>
      </c>
      <c r="F11321" s="689">
        <v>17.5</v>
      </c>
      <c r="G11321" s="689">
        <v>17.600000000000001</v>
      </c>
      <c r="H11321" s="689">
        <v>17.899999999999999</v>
      </c>
      <c r="I11321" s="689">
        <v>17.100000000000001</v>
      </c>
      <c r="J11321" s="689">
        <v>16.399999999999999</v>
      </c>
      <c r="K11321" s="689">
        <v>17.3</v>
      </c>
    </row>
    <row r="11322" spans="1:11">
      <c r="A11322" s="688" t="s">
        <v>10</v>
      </c>
      <c r="B11322" s="691">
        <v>21.3</v>
      </c>
      <c r="C11322" s="691">
        <v>21.4</v>
      </c>
      <c r="D11322" s="691">
        <v>21.1</v>
      </c>
      <c r="E11322" s="691">
        <v>21.6</v>
      </c>
      <c r="F11322" s="691">
        <v>21.4</v>
      </c>
      <c r="G11322" s="691">
        <v>21.8</v>
      </c>
      <c r="H11322" s="691">
        <v>21.9</v>
      </c>
      <c r="I11322" s="691">
        <v>20.7</v>
      </c>
      <c r="J11322" s="691">
        <v>21.2</v>
      </c>
      <c r="K11322" s="691">
        <v>21.4</v>
      </c>
    </row>
    <row r="11323" spans="1:11">
      <c r="A11323" s="688" t="s">
        <v>30</v>
      </c>
      <c r="B11323" s="689">
        <v>21.1</v>
      </c>
      <c r="C11323" s="689">
        <v>21.3</v>
      </c>
      <c r="D11323" s="693">
        <v>21</v>
      </c>
      <c r="E11323" s="689">
        <v>21.6</v>
      </c>
      <c r="F11323" s="689">
        <v>21.2</v>
      </c>
      <c r="G11323" s="689">
        <v>21.8</v>
      </c>
      <c r="H11323" s="689">
        <v>21.6</v>
      </c>
      <c r="I11323" s="689">
        <v>21.8</v>
      </c>
      <c r="J11323" s="693">
        <v>21</v>
      </c>
      <c r="K11323" s="689">
        <v>21.3</v>
      </c>
    </row>
    <row r="11324" spans="1:11">
      <c r="A11324" s="688" t="s">
        <v>12</v>
      </c>
      <c r="B11324" s="691">
        <v>15.7</v>
      </c>
      <c r="C11324" s="691">
        <v>15.4</v>
      </c>
      <c r="D11324" s="691">
        <v>15.8</v>
      </c>
      <c r="E11324" s="691">
        <v>15.7</v>
      </c>
      <c r="F11324" s="691">
        <v>15.7</v>
      </c>
      <c r="G11324" s="691">
        <v>15.8</v>
      </c>
      <c r="H11324" s="691">
        <v>16.100000000000001</v>
      </c>
      <c r="I11324" s="691">
        <v>15.8</v>
      </c>
      <c r="J11324" s="691">
        <v>14.4</v>
      </c>
      <c r="K11324" s="691">
        <v>15.4</v>
      </c>
    </row>
    <row r="11325" spans="1:11">
      <c r="A11325" s="688" t="s">
        <v>14</v>
      </c>
      <c r="B11325" s="689">
        <v>15.7</v>
      </c>
      <c r="C11325" s="689">
        <v>15.9</v>
      </c>
      <c r="D11325" s="689">
        <v>15.6</v>
      </c>
      <c r="E11325" s="689">
        <v>15.7</v>
      </c>
      <c r="F11325" s="689">
        <v>16.100000000000001</v>
      </c>
      <c r="G11325" s="689">
        <v>16.100000000000001</v>
      </c>
      <c r="H11325" s="689">
        <v>16.399999999999999</v>
      </c>
      <c r="I11325" s="689">
        <v>15.5</v>
      </c>
      <c r="J11325" s="689">
        <v>15.1</v>
      </c>
      <c r="K11325" s="693">
        <v>16</v>
      </c>
    </row>
    <row r="11326" spans="1:11">
      <c r="A11326" s="688" t="s">
        <v>15</v>
      </c>
      <c r="B11326" s="691">
        <v>21.3</v>
      </c>
      <c r="C11326" s="691">
        <v>20.6</v>
      </c>
      <c r="D11326" s="615">
        <v>21</v>
      </c>
      <c r="E11326" s="615">
        <v>21</v>
      </c>
      <c r="F11326" s="691">
        <v>20.7</v>
      </c>
      <c r="G11326" s="691">
        <v>20.9</v>
      </c>
      <c r="H11326" s="691">
        <v>21.3</v>
      </c>
      <c r="I11326" s="691">
        <v>20.8</v>
      </c>
      <c r="J11326" s="691">
        <v>21.2</v>
      </c>
      <c r="K11326" s="691">
        <v>21.6</v>
      </c>
    </row>
    <row r="11327" spans="1:11">
      <c r="A11327" s="688" t="s">
        <v>29</v>
      </c>
      <c r="B11327" s="689">
        <v>16.3</v>
      </c>
      <c r="C11327" s="689">
        <v>16.3</v>
      </c>
      <c r="D11327" s="689">
        <v>16.100000000000001</v>
      </c>
      <c r="E11327" s="689">
        <v>16.3</v>
      </c>
      <c r="F11327" s="689">
        <v>16.100000000000001</v>
      </c>
      <c r="G11327" s="689">
        <v>16.100000000000001</v>
      </c>
      <c r="H11327" s="689">
        <v>16.399999999999999</v>
      </c>
      <c r="I11327" s="689">
        <v>15.6</v>
      </c>
      <c r="J11327" s="689">
        <v>14.7</v>
      </c>
      <c r="K11327" s="689">
        <v>15.9</v>
      </c>
    </row>
    <row r="11328" spans="1:11">
      <c r="A11328" s="688" t="s">
        <v>16</v>
      </c>
      <c r="B11328" s="691">
        <v>20.7</v>
      </c>
      <c r="C11328" s="691">
        <v>20.8</v>
      </c>
      <c r="D11328" s="691">
        <v>20.9</v>
      </c>
      <c r="E11328" s="691">
        <v>21.8</v>
      </c>
      <c r="F11328" s="691">
        <v>21.1</v>
      </c>
      <c r="G11328" s="691">
        <v>21.2</v>
      </c>
      <c r="H11328" s="691">
        <v>21.3</v>
      </c>
      <c r="I11328" s="691">
        <v>20.9</v>
      </c>
      <c r="J11328" s="691">
        <v>21.2</v>
      </c>
      <c r="K11328" s="691">
        <v>21.2</v>
      </c>
    </row>
    <row r="11329" spans="1:11">
      <c r="A11329" s="688" t="s">
        <v>17</v>
      </c>
      <c r="B11329" s="689">
        <v>20.6</v>
      </c>
      <c r="C11329" s="689">
        <v>20.9</v>
      </c>
      <c r="D11329" s="689">
        <v>20.7</v>
      </c>
      <c r="E11329" s="689">
        <v>20.8</v>
      </c>
      <c r="F11329" s="693">
        <v>21</v>
      </c>
      <c r="G11329" s="693">
        <v>21</v>
      </c>
      <c r="H11329" s="689">
        <v>21.3</v>
      </c>
      <c r="I11329" s="689">
        <v>20.6</v>
      </c>
      <c r="J11329" s="689">
        <v>20.6</v>
      </c>
      <c r="K11329" s="693">
        <v>21</v>
      </c>
    </row>
    <row r="11330" spans="1:11">
      <c r="A11330" s="688" t="s">
        <v>19</v>
      </c>
      <c r="B11330" s="691">
        <v>20.399999999999999</v>
      </c>
      <c r="C11330" s="691">
        <v>20.5</v>
      </c>
      <c r="D11330" s="691">
        <v>20.2</v>
      </c>
      <c r="E11330" s="691">
        <v>20.6</v>
      </c>
      <c r="F11330" s="691">
        <v>20.7</v>
      </c>
      <c r="G11330" s="691">
        <v>20.7</v>
      </c>
      <c r="H11330" s="691">
        <v>20.9</v>
      </c>
      <c r="I11330" s="691">
        <v>20.2</v>
      </c>
      <c r="J11330" s="691">
        <v>20.2</v>
      </c>
      <c r="K11330" s="691">
        <v>20.3</v>
      </c>
    </row>
    <row r="11331" spans="1:11">
      <c r="A11331" s="688" t="s">
        <v>20</v>
      </c>
      <c r="B11331" s="689">
        <v>17.399999999999999</v>
      </c>
      <c r="C11331" s="689">
        <v>17.7</v>
      </c>
      <c r="D11331" s="689">
        <v>17.5</v>
      </c>
      <c r="E11331" s="689">
        <v>17.8</v>
      </c>
      <c r="F11331" s="689">
        <v>17.7</v>
      </c>
      <c r="G11331" s="689">
        <v>17.600000000000001</v>
      </c>
      <c r="H11331" s="689">
        <v>17.899999999999999</v>
      </c>
      <c r="I11331" s="689">
        <v>16.399999999999999</v>
      </c>
      <c r="J11331" s="689">
        <v>15.8</v>
      </c>
      <c r="K11331" s="689">
        <v>17.2</v>
      </c>
    </row>
    <row r="11332" spans="1:11">
      <c r="A11332" s="688" t="s">
        <v>21</v>
      </c>
      <c r="B11332" s="691">
        <v>20.100000000000001</v>
      </c>
      <c r="C11332" s="691">
        <v>20.399999999999999</v>
      </c>
      <c r="D11332" s="691">
        <v>20.5</v>
      </c>
      <c r="E11332" s="691">
        <v>20.399999999999999</v>
      </c>
      <c r="F11332" s="691">
        <v>20.7</v>
      </c>
      <c r="G11332" s="691">
        <v>20.6</v>
      </c>
      <c r="H11332" s="691">
        <v>20.9</v>
      </c>
      <c r="I11332" s="691">
        <v>20.5</v>
      </c>
      <c r="J11332" s="691">
        <v>20.5</v>
      </c>
      <c r="K11332" s="691">
        <v>20.8</v>
      </c>
    </row>
    <row r="11333" spans="1:11">
      <c r="A11333" s="688" t="s">
        <v>22</v>
      </c>
      <c r="B11333" s="689">
        <v>16.600000000000001</v>
      </c>
      <c r="C11333" s="689">
        <v>16.399999999999999</v>
      </c>
      <c r="D11333" s="689">
        <v>16.3</v>
      </c>
      <c r="E11333" s="689">
        <v>16.5</v>
      </c>
      <c r="F11333" s="689">
        <v>16.5</v>
      </c>
      <c r="G11333" s="689">
        <v>16.399999999999999</v>
      </c>
      <c r="H11333" s="689">
        <v>16.600000000000001</v>
      </c>
      <c r="I11333" s="689">
        <v>15.1</v>
      </c>
      <c r="J11333" s="689">
        <v>14.2</v>
      </c>
      <c r="K11333" s="689">
        <v>15.8</v>
      </c>
    </row>
    <row r="11334" spans="1:11">
      <c r="A11334" s="688" t="s">
        <v>26</v>
      </c>
      <c r="B11334" s="691">
        <v>19.399999999999999</v>
      </c>
      <c r="C11334" s="691">
        <v>19.7</v>
      </c>
      <c r="D11334" s="691">
        <v>19.600000000000001</v>
      </c>
      <c r="E11334" s="691">
        <v>19.899999999999999</v>
      </c>
      <c r="F11334" s="691">
        <v>19.7</v>
      </c>
      <c r="G11334" s="691">
        <v>19.899999999999999</v>
      </c>
      <c r="H11334" s="691">
        <v>20.100000000000001</v>
      </c>
      <c r="I11334" s="691">
        <v>19.2</v>
      </c>
      <c r="J11334" s="691">
        <v>19.3</v>
      </c>
      <c r="K11334" s="691">
        <v>19.899999999999999</v>
      </c>
    </row>
    <row r="11335" spans="1:11">
      <c r="A11335" s="688" t="s">
        <v>25</v>
      </c>
      <c r="B11335" s="689">
        <v>16.600000000000001</v>
      </c>
      <c r="C11335" s="693">
        <v>17</v>
      </c>
      <c r="D11335" s="689">
        <v>16.899999999999999</v>
      </c>
      <c r="E11335" s="689">
        <v>17.2</v>
      </c>
      <c r="F11335" s="689">
        <v>17.2</v>
      </c>
      <c r="G11335" s="689">
        <v>17.399999999999999</v>
      </c>
      <c r="H11335" s="689">
        <v>17.7</v>
      </c>
      <c r="I11335" s="689">
        <v>16.8</v>
      </c>
      <c r="J11335" s="689">
        <v>15.1</v>
      </c>
      <c r="K11335" s="693">
        <v>17</v>
      </c>
    </row>
    <row r="11336" spans="1:11">
      <c r="A11336" s="688" t="s">
        <v>5</v>
      </c>
      <c r="B11336" s="691">
        <v>20.3</v>
      </c>
      <c r="C11336" s="691">
        <v>20.2</v>
      </c>
      <c r="D11336" s="691">
        <v>20.399999999999999</v>
      </c>
      <c r="E11336" s="691">
        <v>20.3</v>
      </c>
      <c r="F11336" s="691">
        <v>20.6</v>
      </c>
      <c r="G11336" s="691">
        <v>20.7</v>
      </c>
      <c r="H11336" s="691">
        <v>20.9</v>
      </c>
      <c r="I11336" s="691">
        <v>20.9</v>
      </c>
      <c r="J11336" s="691">
        <v>20.8</v>
      </c>
      <c r="K11336" s="691">
        <v>20.3</v>
      </c>
    </row>
    <row r="11337" spans="1:11">
      <c r="A11337" s="688" t="s">
        <v>23</v>
      </c>
      <c r="B11337" s="689">
        <v>21.2</v>
      </c>
      <c r="C11337" s="689">
        <v>21.3</v>
      </c>
      <c r="D11337" s="689">
        <v>21.3</v>
      </c>
      <c r="E11337" s="689">
        <v>21.5</v>
      </c>
      <c r="F11337" s="689">
        <v>21.6</v>
      </c>
      <c r="G11337" s="689">
        <v>21.6</v>
      </c>
      <c r="H11337" s="693">
        <v>22</v>
      </c>
      <c r="I11337" s="689">
        <v>21.4</v>
      </c>
      <c r="J11337" s="689">
        <v>21.9</v>
      </c>
      <c r="K11337" s="693">
        <v>22</v>
      </c>
    </row>
    <row r="11338" spans="1:11">
      <c r="A11338" s="688" t="s">
        <v>4067</v>
      </c>
      <c r="B11338" s="691">
        <v>20.100000000000001</v>
      </c>
      <c r="C11338" s="691">
        <v>20.399999999999999</v>
      </c>
      <c r="D11338" s="691">
        <v>20.100000000000001</v>
      </c>
      <c r="E11338" s="691">
        <v>20.399999999999999</v>
      </c>
      <c r="F11338" s="691">
        <v>20.399999999999999</v>
      </c>
      <c r="G11338" s="691">
        <v>20.5</v>
      </c>
      <c r="H11338" s="692" t="s">
        <v>4060</v>
      </c>
      <c r="I11338" s="692" t="s">
        <v>4060</v>
      </c>
      <c r="J11338" s="692" t="s">
        <v>4060</v>
      </c>
      <c r="K11338" s="692" t="s">
        <v>4060</v>
      </c>
    </row>
    <row r="11339" spans="1:11">
      <c r="A11339" s="688" t="s">
        <v>4066</v>
      </c>
      <c r="B11339" s="689">
        <v>20.100000000000001</v>
      </c>
      <c r="C11339" s="689">
        <v>20.399999999999999</v>
      </c>
      <c r="D11339" s="689">
        <v>20.2</v>
      </c>
      <c r="E11339" s="689">
        <v>20.399999999999999</v>
      </c>
      <c r="F11339" s="689">
        <v>20.399999999999999</v>
      </c>
      <c r="G11339" s="689">
        <v>20.5</v>
      </c>
      <c r="H11339" s="690" t="s">
        <v>4060</v>
      </c>
      <c r="I11339" s="690" t="s">
        <v>4060</v>
      </c>
      <c r="J11339" s="690" t="s">
        <v>4060</v>
      </c>
      <c r="K11339" s="690" t="s">
        <v>4060</v>
      </c>
    </row>
    <row r="11340" spans="1:11">
      <c r="A11340" s="688" t="s">
        <v>4062</v>
      </c>
      <c r="B11340" s="691">
        <v>21.5</v>
      </c>
      <c r="C11340" s="691">
        <v>21.6</v>
      </c>
      <c r="D11340" s="691">
        <v>21.5</v>
      </c>
      <c r="E11340" s="691">
        <v>21.9</v>
      </c>
      <c r="F11340" s="615">
        <v>22</v>
      </c>
      <c r="G11340" s="691">
        <v>22.2</v>
      </c>
      <c r="H11340" s="691">
        <v>22.3</v>
      </c>
      <c r="I11340" s="691">
        <v>21.9</v>
      </c>
      <c r="J11340" s="691">
        <v>22.3</v>
      </c>
      <c r="K11340" s="691">
        <v>22.1</v>
      </c>
    </row>
    <row r="11341" spans="1:11">
      <c r="A11341" s="688" t="s">
        <v>9</v>
      </c>
      <c r="B11341" s="689">
        <v>21.4</v>
      </c>
      <c r="C11341" s="689">
        <v>21.9</v>
      </c>
      <c r="D11341" s="693">
        <v>22</v>
      </c>
      <c r="E11341" s="689">
        <v>21.3</v>
      </c>
      <c r="F11341" s="689">
        <v>22.1</v>
      </c>
      <c r="G11341" s="689">
        <v>22.3</v>
      </c>
      <c r="H11341" s="689">
        <v>22.3</v>
      </c>
      <c r="I11341" s="689">
        <v>22.6</v>
      </c>
      <c r="J11341" s="689">
        <v>22.9</v>
      </c>
      <c r="K11341" s="689">
        <v>21.8</v>
      </c>
    </row>
    <row r="11342" spans="1:11">
      <c r="A11342" s="688" t="s">
        <v>13</v>
      </c>
      <c r="B11342" s="615">
        <v>21</v>
      </c>
      <c r="C11342" s="691">
        <v>21.6</v>
      </c>
      <c r="D11342" s="691">
        <v>21.5</v>
      </c>
      <c r="E11342" s="691">
        <v>20.5</v>
      </c>
      <c r="F11342" s="691">
        <v>22.1</v>
      </c>
      <c r="G11342" s="691">
        <v>21.5</v>
      </c>
      <c r="H11342" s="691">
        <v>22.5</v>
      </c>
      <c r="I11342" s="691">
        <v>20.5</v>
      </c>
      <c r="J11342" s="691">
        <v>22.4</v>
      </c>
      <c r="K11342" s="691">
        <v>22.9</v>
      </c>
    </row>
    <row r="11343" spans="1:11">
      <c r="A11343" s="688" t="s">
        <v>18</v>
      </c>
      <c r="B11343" s="693">
        <v>21</v>
      </c>
      <c r="C11343" s="689">
        <v>21.1</v>
      </c>
      <c r="D11343" s="689">
        <v>21.3</v>
      </c>
      <c r="E11343" s="689">
        <v>21.5</v>
      </c>
      <c r="F11343" s="689">
        <v>21.7</v>
      </c>
      <c r="G11343" s="689">
        <v>21.8</v>
      </c>
      <c r="H11343" s="693">
        <v>22</v>
      </c>
      <c r="I11343" s="689">
        <v>22.2</v>
      </c>
      <c r="J11343" s="689">
        <v>22.2</v>
      </c>
      <c r="K11343" s="689">
        <v>21.7</v>
      </c>
    </row>
    <row r="11344" spans="1:11">
      <c r="A11344" s="688" t="s">
        <v>24</v>
      </c>
      <c r="B11344" s="691">
        <v>21.8</v>
      </c>
      <c r="C11344" s="691">
        <v>21.9</v>
      </c>
      <c r="D11344" s="691">
        <v>21.7</v>
      </c>
      <c r="E11344" s="691">
        <v>22.2</v>
      </c>
      <c r="F11344" s="691">
        <v>22.2</v>
      </c>
      <c r="G11344" s="691">
        <v>22.4</v>
      </c>
      <c r="H11344" s="691">
        <v>22.5</v>
      </c>
      <c r="I11344" s="691">
        <v>21.7</v>
      </c>
      <c r="J11344" s="691">
        <v>22.3</v>
      </c>
      <c r="K11344" s="691">
        <v>22.3</v>
      </c>
    </row>
    <row r="11345" spans="1:11">
      <c r="A11345" s="688" t="s">
        <v>4059</v>
      </c>
      <c r="B11345" s="689">
        <v>20.9</v>
      </c>
      <c r="C11345" s="689">
        <v>21.2</v>
      </c>
      <c r="D11345" s="689">
        <v>20.9</v>
      </c>
      <c r="E11345" s="689">
        <v>21.2</v>
      </c>
      <c r="F11345" s="689">
        <v>21.2</v>
      </c>
      <c r="G11345" s="689">
        <v>21.3</v>
      </c>
      <c r="H11345" s="690" t="s">
        <v>4060</v>
      </c>
      <c r="I11345" s="690" t="s">
        <v>4060</v>
      </c>
      <c r="J11345" s="690" t="s">
        <v>4060</v>
      </c>
      <c r="K11345" s="690" t="s">
        <v>4060</v>
      </c>
    </row>
    <row r="11346" spans="1:11">
      <c r="A11346" s="688" t="s">
        <v>2324</v>
      </c>
      <c r="B11346" s="615">
        <v>17</v>
      </c>
      <c r="C11346" s="691">
        <v>17.2</v>
      </c>
      <c r="D11346" s="615">
        <v>17</v>
      </c>
      <c r="E11346" s="691">
        <v>16.7</v>
      </c>
      <c r="F11346" s="691">
        <v>16.899999999999999</v>
      </c>
      <c r="G11346" s="691">
        <v>17.2</v>
      </c>
      <c r="H11346" s="691">
        <v>17.100000000000001</v>
      </c>
      <c r="I11346" s="615">
        <v>16</v>
      </c>
      <c r="J11346" s="691">
        <v>14.1</v>
      </c>
      <c r="K11346" s="692" t="s">
        <v>4060</v>
      </c>
    </row>
    <row r="11347" spans="1:11">
      <c r="A11347" s="688" t="s">
        <v>2322</v>
      </c>
      <c r="B11347" s="690" t="s">
        <v>4060</v>
      </c>
      <c r="C11347" s="690" t="s">
        <v>4060</v>
      </c>
      <c r="D11347" s="690" t="s">
        <v>4060</v>
      </c>
      <c r="E11347" s="690" t="s">
        <v>4060</v>
      </c>
      <c r="F11347" s="690" t="s">
        <v>4060</v>
      </c>
      <c r="G11347" s="690" t="s">
        <v>4060</v>
      </c>
      <c r="H11347" s="690" t="s">
        <v>4060</v>
      </c>
      <c r="I11347" s="690" t="s">
        <v>4060</v>
      </c>
      <c r="J11347" s="690" t="s">
        <v>4060</v>
      </c>
      <c r="K11347" s="690" t="s">
        <v>4060</v>
      </c>
    </row>
    <row r="11348" spans="1:11">
      <c r="A11348" s="688" t="s">
        <v>2328</v>
      </c>
      <c r="B11348" s="691">
        <v>16.5</v>
      </c>
      <c r="C11348" s="691">
        <v>16.600000000000001</v>
      </c>
      <c r="D11348" s="691">
        <v>16.5</v>
      </c>
      <c r="E11348" s="691">
        <v>16.5</v>
      </c>
      <c r="F11348" s="691">
        <v>16.7</v>
      </c>
      <c r="G11348" s="691">
        <v>17.100000000000001</v>
      </c>
      <c r="H11348" s="615">
        <v>17</v>
      </c>
      <c r="I11348" s="691">
        <v>14.9</v>
      </c>
      <c r="J11348" s="691">
        <v>14.4</v>
      </c>
      <c r="K11348" s="692" t="s">
        <v>4060</v>
      </c>
    </row>
    <row r="11349" spans="1:11">
      <c r="A11349" s="688" t="s">
        <v>2496</v>
      </c>
      <c r="B11349" s="690" t="s">
        <v>4060</v>
      </c>
      <c r="C11349" s="689">
        <v>15.9</v>
      </c>
      <c r="D11349" s="693">
        <v>15</v>
      </c>
      <c r="E11349" s="689">
        <v>14.7</v>
      </c>
      <c r="F11349" s="689">
        <v>15.2</v>
      </c>
      <c r="G11349" s="689">
        <v>15.5</v>
      </c>
      <c r="H11349" s="689">
        <v>15.4</v>
      </c>
      <c r="I11349" s="690" t="s">
        <v>4060</v>
      </c>
      <c r="J11349" s="690" t="s">
        <v>4060</v>
      </c>
      <c r="K11349" s="689">
        <v>14.8</v>
      </c>
    </row>
    <row r="11350" spans="1:11">
      <c r="A11350" s="688" t="s">
        <v>2269</v>
      </c>
      <c r="B11350" s="691">
        <v>18.899999999999999</v>
      </c>
      <c r="C11350" s="691">
        <v>19.100000000000001</v>
      </c>
      <c r="D11350" s="691">
        <v>18.7</v>
      </c>
      <c r="E11350" s="691">
        <v>19.3</v>
      </c>
      <c r="F11350" s="691">
        <v>19.399999999999999</v>
      </c>
      <c r="G11350" s="691">
        <v>19.600000000000001</v>
      </c>
      <c r="H11350" s="691">
        <v>19.899999999999999</v>
      </c>
      <c r="I11350" s="691">
        <v>17.8</v>
      </c>
      <c r="J11350" s="691">
        <v>16.100000000000001</v>
      </c>
      <c r="K11350" s="691">
        <v>19.399999999999999</v>
      </c>
    </row>
    <row r="11351" spans="1:11">
      <c r="A11351" s="688" t="s">
        <v>2349</v>
      </c>
      <c r="B11351" s="689">
        <v>16.3</v>
      </c>
      <c r="C11351" s="689">
        <v>16.399999999999999</v>
      </c>
      <c r="D11351" s="689">
        <v>16.3</v>
      </c>
      <c r="E11351" s="689">
        <v>16.600000000000001</v>
      </c>
      <c r="F11351" s="689">
        <v>16.5</v>
      </c>
      <c r="G11351" s="689">
        <v>16.7</v>
      </c>
      <c r="H11351" s="689">
        <v>16.7</v>
      </c>
      <c r="I11351" s="689">
        <v>15.3</v>
      </c>
      <c r="J11351" s="693">
        <v>14</v>
      </c>
      <c r="K11351" s="693">
        <v>16</v>
      </c>
    </row>
    <row r="11352" spans="1:11">
      <c r="A11352" s="688" t="s">
        <v>2355</v>
      </c>
      <c r="B11352" s="691">
        <v>18.5</v>
      </c>
      <c r="C11352" s="691">
        <v>18.399999999999999</v>
      </c>
      <c r="D11352" s="691">
        <v>18.399999999999999</v>
      </c>
      <c r="E11352" s="691">
        <v>18.3</v>
      </c>
      <c r="F11352" s="691">
        <v>18.5</v>
      </c>
      <c r="G11352" s="691">
        <v>18.8</v>
      </c>
      <c r="H11352" s="691">
        <v>18.899999999999999</v>
      </c>
      <c r="I11352" s="692" t="s">
        <v>4060</v>
      </c>
      <c r="J11352" s="692" t="s">
        <v>4060</v>
      </c>
      <c r="K11352" s="692" t="s">
        <v>4060</v>
      </c>
    </row>
    <row r="11353" spans="1:11">
      <c r="A11353" s="688" t="s">
        <v>2357</v>
      </c>
      <c r="B11353" s="690" t="s">
        <v>4060</v>
      </c>
      <c r="C11353" s="689">
        <v>14.7</v>
      </c>
      <c r="D11353" s="689">
        <v>14.9</v>
      </c>
      <c r="E11353" s="689">
        <v>15.1</v>
      </c>
      <c r="F11353" s="689">
        <v>15.3</v>
      </c>
      <c r="G11353" s="689">
        <v>15.1</v>
      </c>
      <c r="H11353" s="689">
        <v>15.2</v>
      </c>
      <c r="I11353" s="690" t="s">
        <v>4060</v>
      </c>
      <c r="J11353" s="690" t="s">
        <v>4060</v>
      </c>
      <c r="K11353" s="690" t="s">
        <v>4060</v>
      </c>
    </row>
    <row r="11354" spans="1:11">
      <c r="A11354" s="688" t="s">
        <v>4070</v>
      </c>
      <c r="B11354" s="692" t="s">
        <v>4060</v>
      </c>
      <c r="C11354" s="692" t="s">
        <v>4060</v>
      </c>
      <c r="D11354" s="692" t="s">
        <v>4060</v>
      </c>
      <c r="E11354" s="691">
        <v>17.899999999999999</v>
      </c>
      <c r="F11354" s="692" t="s">
        <v>4060</v>
      </c>
      <c r="G11354" s="692" t="s">
        <v>4060</v>
      </c>
      <c r="H11354" s="692" t="s">
        <v>4060</v>
      </c>
      <c r="I11354" s="692" t="s">
        <v>4060</v>
      </c>
      <c r="J11354" s="692" t="s">
        <v>4060</v>
      </c>
      <c r="K11354" s="692" t="s">
        <v>4060</v>
      </c>
    </row>
    <row r="11355" spans="1:11">
      <c r="A11355" s="688" t="s">
        <v>2491</v>
      </c>
      <c r="B11355" s="689">
        <v>14.2</v>
      </c>
      <c r="C11355" s="689">
        <v>14.4</v>
      </c>
      <c r="D11355" s="689">
        <v>14.6</v>
      </c>
      <c r="E11355" s="689">
        <v>14.6</v>
      </c>
      <c r="F11355" s="689">
        <v>14.6</v>
      </c>
      <c r="G11355" s="689">
        <v>14.7</v>
      </c>
      <c r="H11355" s="690" t="s">
        <v>4060</v>
      </c>
      <c r="I11355" s="690" t="s">
        <v>4060</v>
      </c>
      <c r="J11355" s="690" t="s">
        <v>4060</v>
      </c>
      <c r="K11355" s="690" t="s">
        <v>4060</v>
      </c>
    </row>
    <row r="11356" spans="1:11">
      <c r="A11356" s="688" t="s">
        <v>2343</v>
      </c>
      <c r="B11356" s="692" t="s">
        <v>4060</v>
      </c>
      <c r="C11356" s="692" t="s">
        <v>4060</v>
      </c>
      <c r="D11356" s="692" t="s">
        <v>4060</v>
      </c>
      <c r="E11356" s="692" t="s">
        <v>4060</v>
      </c>
      <c r="F11356" s="692" t="s">
        <v>4060</v>
      </c>
      <c r="G11356" s="692" t="s">
        <v>4060</v>
      </c>
      <c r="H11356" s="692" t="s">
        <v>4060</v>
      </c>
      <c r="I11356" s="692" t="s">
        <v>4060</v>
      </c>
      <c r="J11356" s="692" t="s">
        <v>4060</v>
      </c>
      <c r="K11356" s="692" t="s">
        <v>4060</v>
      </c>
    </row>
    <row r="11357" spans="1:11">
      <c r="A11357" s="688" t="s">
        <v>4071</v>
      </c>
      <c r="B11357" s="690" t="s">
        <v>4060</v>
      </c>
      <c r="C11357" s="690" t="s">
        <v>4060</v>
      </c>
      <c r="D11357" s="690" t="s">
        <v>4060</v>
      </c>
      <c r="E11357" s="690" t="s">
        <v>4060</v>
      </c>
      <c r="F11357" s="690" t="s">
        <v>4060</v>
      </c>
      <c r="G11357" s="690" t="s">
        <v>4060</v>
      </c>
      <c r="H11357" s="690" t="s">
        <v>4060</v>
      </c>
      <c r="I11357" s="690" t="s">
        <v>4060</v>
      </c>
      <c r="J11357" s="690" t="s">
        <v>4060</v>
      </c>
      <c r="K11357" s="690" t="s">
        <v>4060</v>
      </c>
    </row>
    <row r="11358" spans="1:11">
      <c r="A11358" s="688" t="s">
        <v>2489</v>
      </c>
      <c r="B11358" s="692" t="s">
        <v>4060</v>
      </c>
      <c r="C11358" s="692" t="s">
        <v>4060</v>
      </c>
      <c r="D11358" s="691">
        <v>16.3</v>
      </c>
      <c r="E11358" s="691">
        <v>16.399999999999999</v>
      </c>
      <c r="F11358" s="691">
        <v>16.600000000000001</v>
      </c>
      <c r="G11358" s="691">
        <v>17.2</v>
      </c>
      <c r="H11358" s="691">
        <v>17.3</v>
      </c>
      <c r="I11358" s="692" t="s">
        <v>4060</v>
      </c>
      <c r="J11358" s="692" t="s">
        <v>4060</v>
      </c>
      <c r="K11358" s="692" t="s">
        <v>4060</v>
      </c>
    </row>
    <row r="11359" spans="1:11">
      <c r="A11359" s="688" t="s">
        <v>2490</v>
      </c>
      <c r="B11359" s="689">
        <v>16.7</v>
      </c>
      <c r="C11359" s="689">
        <v>16.5</v>
      </c>
      <c r="D11359" s="689">
        <v>17.3</v>
      </c>
      <c r="E11359" s="690" t="s">
        <v>4060</v>
      </c>
      <c r="F11359" s="689">
        <v>17.600000000000001</v>
      </c>
      <c r="G11359" s="689">
        <v>17.5</v>
      </c>
      <c r="H11359" s="689">
        <v>18.5</v>
      </c>
      <c r="I11359" s="690" t="s">
        <v>4060</v>
      </c>
      <c r="J11359" s="690" t="s">
        <v>4060</v>
      </c>
      <c r="K11359" s="690" t="s">
        <v>4060</v>
      </c>
    </row>
    <row r="11361" spans="1:11">
      <c r="A11361" s="683" t="s">
        <v>4233</v>
      </c>
    </row>
    <row r="11362" spans="1:11">
      <c r="A11362" s="683" t="s">
        <v>4060</v>
      </c>
      <c r="B11362" s="682" t="s">
        <v>4234</v>
      </c>
    </row>
    <row r="11364" spans="1:11">
      <c r="A11364" s="682" t="s">
        <v>4331</v>
      </c>
    </row>
    <row r="11365" spans="1:11">
      <c r="A11365" s="682" t="s">
        <v>4210</v>
      </c>
      <c r="B11365" s="683" t="s">
        <v>4211</v>
      </c>
    </row>
    <row r="11366" spans="1:11">
      <c r="A11366" s="682" t="s">
        <v>4212</v>
      </c>
      <c r="B11366" s="682" t="s">
        <v>4213</v>
      </c>
    </row>
    <row r="11368" spans="1:11">
      <c r="A11368" s="683" t="s">
        <v>4214</v>
      </c>
      <c r="C11368" s="682" t="s">
        <v>4215</v>
      </c>
    </row>
    <row r="11369" spans="1:11">
      <c r="A11369" s="683" t="s">
        <v>4216</v>
      </c>
      <c r="C11369" s="682" t="s">
        <v>2967</v>
      </c>
    </row>
    <row r="11370" spans="1:11">
      <c r="A11370" s="683" t="s">
        <v>3893</v>
      </c>
      <c r="C11370" s="682" t="s">
        <v>2168</v>
      </c>
    </row>
    <row r="11371" spans="1:11">
      <c r="A11371" s="683" t="s">
        <v>4218</v>
      </c>
      <c r="C11371" s="682" t="s">
        <v>4298</v>
      </c>
    </row>
    <row r="11373" spans="1:11">
      <c r="A11373" s="684" t="s">
        <v>4220</v>
      </c>
      <c r="B11373" s="685" t="s">
        <v>4221</v>
      </c>
      <c r="C11373" s="685" t="s">
        <v>4222</v>
      </c>
      <c r="D11373" s="685" t="s">
        <v>4223</v>
      </c>
      <c r="E11373" s="685" t="s">
        <v>4224</v>
      </c>
      <c r="F11373" s="685" t="s">
        <v>4225</v>
      </c>
      <c r="G11373" s="685" t="s">
        <v>4226</v>
      </c>
      <c r="H11373" s="685" t="s">
        <v>4227</v>
      </c>
      <c r="I11373" s="685" t="s">
        <v>4228</v>
      </c>
      <c r="J11373" s="685" t="s">
        <v>4229</v>
      </c>
      <c r="K11373" s="685" t="s">
        <v>4230</v>
      </c>
    </row>
    <row r="11374" spans="1:11">
      <c r="A11374" s="686" t="s">
        <v>4231</v>
      </c>
      <c r="B11374" s="687" t="s">
        <v>4232</v>
      </c>
      <c r="C11374" s="687" t="s">
        <v>4232</v>
      </c>
      <c r="D11374" s="687" t="s">
        <v>4232</v>
      </c>
      <c r="E11374" s="687" t="s">
        <v>4232</v>
      </c>
      <c r="F11374" s="687" t="s">
        <v>4232</v>
      </c>
      <c r="G11374" s="687" t="s">
        <v>4232</v>
      </c>
      <c r="H11374" s="687" t="s">
        <v>4232</v>
      </c>
      <c r="I11374" s="687" t="s">
        <v>4232</v>
      </c>
      <c r="J11374" s="687" t="s">
        <v>4232</v>
      </c>
      <c r="K11374" s="687" t="s">
        <v>4232</v>
      </c>
    </row>
    <row r="11375" spans="1:11">
      <c r="A11375" s="688" t="s">
        <v>4064</v>
      </c>
      <c r="B11375" s="689">
        <v>19.2</v>
      </c>
      <c r="C11375" s="689">
        <v>19.3</v>
      </c>
      <c r="D11375" s="689">
        <v>19.3</v>
      </c>
      <c r="E11375" s="689">
        <v>19.3</v>
      </c>
      <c r="F11375" s="689">
        <v>19.3</v>
      </c>
      <c r="G11375" s="689">
        <v>19.399999999999999</v>
      </c>
      <c r="H11375" s="689">
        <v>19.600000000000001</v>
      </c>
      <c r="I11375" s="689">
        <v>18.8</v>
      </c>
      <c r="J11375" s="689">
        <v>18.600000000000001</v>
      </c>
      <c r="K11375" s="689">
        <v>19.100000000000001</v>
      </c>
    </row>
    <row r="11376" spans="1:11">
      <c r="A11376" s="688" t="s">
        <v>4065</v>
      </c>
      <c r="B11376" s="691">
        <v>19.3</v>
      </c>
      <c r="C11376" s="691">
        <v>19.600000000000001</v>
      </c>
      <c r="D11376" s="691">
        <v>19.399999999999999</v>
      </c>
      <c r="E11376" s="691">
        <v>19.600000000000001</v>
      </c>
      <c r="F11376" s="691">
        <v>19.600000000000001</v>
      </c>
      <c r="G11376" s="691">
        <v>19.7</v>
      </c>
      <c r="H11376" s="692" t="s">
        <v>4060</v>
      </c>
      <c r="I11376" s="692" t="s">
        <v>4060</v>
      </c>
      <c r="J11376" s="692" t="s">
        <v>4060</v>
      </c>
      <c r="K11376" s="692" t="s">
        <v>4060</v>
      </c>
    </row>
    <row r="11377" spans="1:11">
      <c r="A11377" s="688" t="s">
        <v>4063</v>
      </c>
      <c r="B11377" s="689">
        <v>19.399999999999999</v>
      </c>
      <c r="C11377" s="689">
        <v>19.7</v>
      </c>
      <c r="D11377" s="689">
        <v>19.399999999999999</v>
      </c>
      <c r="E11377" s="689">
        <v>19.7</v>
      </c>
      <c r="F11377" s="689">
        <v>19.600000000000001</v>
      </c>
      <c r="G11377" s="689">
        <v>19.7</v>
      </c>
      <c r="H11377" s="690" t="s">
        <v>4060</v>
      </c>
      <c r="I11377" s="690" t="s">
        <v>4060</v>
      </c>
      <c r="J11377" s="690" t="s">
        <v>4060</v>
      </c>
      <c r="K11377" s="690" t="s">
        <v>4060</v>
      </c>
    </row>
    <row r="11378" spans="1:11">
      <c r="A11378" s="688" t="s">
        <v>4069</v>
      </c>
      <c r="B11378" s="692" t="s">
        <v>4060</v>
      </c>
      <c r="C11378" s="615">
        <v>20</v>
      </c>
      <c r="D11378" s="691">
        <v>19.7</v>
      </c>
      <c r="E11378" s="615">
        <v>20</v>
      </c>
      <c r="F11378" s="615">
        <v>20</v>
      </c>
      <c r="G11378" s="691">
        <v>20.100000000000001</v>
      </c>
      <c r="H11378" s="691">
        <v>20.3</v>
      </c>
      <c r="I11378" s="691">
        <v>19.600000000000001</v>
      </c>
      <c r="J11378" s="691">
        <v>19.7</v>
      </c>
      <c r="K11378" s="691">
        <v>19.8</v>
      </c>
    </row>
    <row r="11379" spans="1:11">
      <c r="A11379" s="688" t="s">
        <v>4068</v>
      </c>
      <c r="B11379" s="689">
        <v>19.899999999999999</v>
      </c>
      <c r="C11379" s="690" t="s">
        <v>4060</v>
      </c>
      <c r="D11379" s="690" t="s">
        <v>4060</v>
      </c>
      <c r="E11379" s="690" t="s">
        <v>4060</v>
      </c>
      <c r="F11379" s="690" t="s">
        <v>4060</v>
      </c>
      <c r="G11379" s="690" t="s">
        <v>4060</v>
      </c>
      <c r="H11379" s="690" t="s">
        <v>4060</v>
      </c>
      <c r="I11379" s="690" t="s">
        <v>4060</v>
      </c>
      <c r="J11379" s="690" t="s">
        <v>4060</v>
      </c>
      <c r="K11379" s="690" t="s">
        <v>4060</v>
      </c>
    </row>
    <row r="11380" spans="1:11">
      <c r="A11380" s="688" t="s">
        <v>0</v>
      </c>
      <c r="B11380" s="691">
        <v>19.3</v>
      </c>
      <c r="C11380" s="691">
        <v>19.7</v>
      </c>
      <c r="D11380" s="691">
        <v>19.600000000000001</v>
      </c>
      <c r="E11380" s="691">
        <v>19.8</v>
      </c>
      <c r="F11380" s="691">
        <v>19.899999999999999</v>
      </c>
      <c r="G11380" s="615">
        <v>20</v>
      </c>
      <c r="H11380" s="691">
        <v>20.2</v>
      </c>
      <c r="I11380" s="691">
        <v>19.2</v>
      </c>
      <c r="J11380" s="691">
        <v>19.899999999999999</v>
      </c>
      <c r="K11380" s="691">
        <v>20.100000000000001</v>
      </c>
    </row>
    <row r="11381" spans="1:11">
      <c r="A11381" s="688" t="s">
        <v>1</v>
      </c>
      <c r="B11381" s="689">
        <v>15.5</v>
      </c>
      <c r="C11381" s="689">
        <v>15.3</v>
      </c>
      <c r="D11381" s="689">
        <v>15.2</v>
      </c>
      <c r="E11381" s="689">
        <v>15.3</v>
      </c>
      <c r="F11381" s="689">
        <v>15.2</v>
      </c>
      <c r="G11381" s="689">
        <v>15.3</v>
      </c>
      <c r="H11381" s="689">
        <v>15.3</v>
      </c>
      <c r="I11381" s="693">
        <v>14</v>
      </c>
      <c r="J11381" s="689">
        <v>12.7</v>
      </c>
      <c r="K11381" s="689">
        <v>14.5</v>
      </c>
    </row>
    <row r="11382" spans="1:11">
      <c r="A11382" s="688" t="s">
        <v>2240</v>
      </c>
      <c r="B11382" s="615">
        <v>17</v>
      </c>
      <c r="C11382" s="691">
        <v>17.3</v>
      </c>
      <c r="D11382" s="691">
        <v>17.100000000000001</v>
      </c>
      <c r="E11382" s="691">
        <v>17.5</v>
      </c>
      <c r="F11382" s="691">
        <v>17.5</v>
      </c>
      <c r="G11382" s="691">
        <v>17.5</v>
      </c>
      <c r="H11382" s="691">
        <v>17.7</v>
      </c>
      <c r="I11382" s="691">
        <v>16.600000000000001</v>
      </c>
      <c r="J11382" s="691">
        <v>15.8</v>
      </c>
      <c r="K11382" s="691">
        <v>17.5</v>
      </c>
    </row>
    <row r="11383" spans="1:11">
      <c r="A11383" s="688" t="s">
        <v>2</v>
      </c>
      <c r="B11383" s="689">
        <v>19.2</v>
      </c>
      <c r="C11383" s="689">
        <v>19.5</v>
      </c>
      <c r="D11383" s="689">
        <v>19.5</v>
      </c>
      <c r="E11383" s="689">
        <v>19.600000000000001</v>
      </c>
      <c r="F11383" s="689">
        <v>19.7</v>
      </c>
      <c r="G11383" s="689">
        <v>19.600000000000001</v>
      </c>
      <c r="H11383" s="689">
        <v>19.8</v>
      </c>
      <c r="I11383" s="689">
        <v>19.899999999999999</v>
      </c>
      <c r="J11383" s="689">
        <v>19.8</v>
      </c>
      <c r="K11383" s="689">
        <v>19.600000000000001</v>
      </c>
    </row>
    <row r="11384" spans="1:11">
      <c r="A11384" s="688" t="s">
        <v>3</v>
      </c>
      <c r="B11384" s="691">
        <v>19.3</v>
      </c>
      <c r="C11384" s="691">
        <v>19.399999999999999</v>
      </c>
      <c r="D11384" s="691">
        <v>19.2</v>
      </c>
      <c r="E11384" s="691">
        <v>19.399999999999999</v>
      </c>
      <c r="F11384" s="691">
        <v>19.399999999999999</v>
      </c>
      <c r="G11384" s="691">
        <v>19.399999999999999</v>
      </c>
      <c r="H11384" s="691">
        <v>19.600000000000001</v>
      </c>
      <c r="I11384" s="691">
        <v>19.3</v>
      </c>
      <c r="J11384" s="691">
        <v>19.100000000000001</v>
      </c>
      <c r="K11384" s="691">
        <v>18.899999999999999</v>
      </c>
    </row>
    <row r="11385" spans="1:11">
      <c r="A11385" s="688" t="s">
        <v>4061</v>
      </c>
      <c r="B11385" s="689">
        <v>19.3</v>
      </c>
      <c r="C11385" s="689">
        <v>19.399999999999999</v>
      </c>
      <c r="D11385" s="689">
        <v>19.2</v>
      </c>
      <c r="E11385" s="689">
        <v>19.399999999999999</v>
      </c>
      <c r="F11385" s="689">
        <v>19.399999999999999</v>
      </c>
      <c r="G11385" s="689">
        <v>19.399999999999999</v>
      </c>
      <c r="H11385" s="689">
        <v>19.600000000000001</v>
      </c>
      <c r="I11385" s="689">
        <v>19.3</v>
      </c>
      <c r="J11385" s="689">
        <v>19.100000000000001</v>
      </c>
      <c r="K11385" s="689">
        <v>18.899999999999999</v>
      </c>
    </row>
    <row r="11386" spans="1:11">
      <c r="A11386" s="688" t="s">
        <v>4</v>
      </c>
      <c r="B11386" s="691">
        <v>16.399999999999999</v>
      </c>
      <c r="C11386" s="691">
        <v>16.3</v>
      </c>
      <c r="D11386" s="691">
        <v>16.5</v>
      </c>
      <c r="E11386" s="691">
        <v>16.7</v>
      </c>
      <c r="F11386" s="691">
        <v>16.7</v>
      </c>
      <c r="G11386" s="691">
        <v>16.8</v>
      </c>
      <c r="H11386" s="615">
        <v>17</v>
      </c>
      <c r="I11386" s="691">
        <v>17.100000000000001</v>
      </c>
      <c r="J11386" s="691">
        <v>15.8</v>
      </c>
      <c r="K11386" s="691">
        <v>16.5</v>
      </c>
    </row>
    <row r="11387" spans="1:11">
      <c r="A11387" s="688" t="s">
        <v>8</v>
      </c>
      <c r="B11387" s="689">
        <v>19.7</v>
      </c>
      <c r="C11387" s="689">
        <v>19.899999999999999</v>
      </c>
      <c r="D11387" s="689">
        <v>19.899999999999999</v>
      </c>
      <c r="E11387" s="693">
        <v>20</v>
      </c>
      <c r="F11387" s="689">
        <v>20.399999999999999</v>
      </c>
      <c r="G11387" s="689">
        <v>20.399999999999999</v>
      </c>
      <c r="H11387" s="689">
        <v>20.7</v>
      </c>
      <c r="I11387" s="689">
        <v>20.6</v>
      </c>
      <c r="J11387" s="689">
        <v>20.5</v>
      </c>
      <c r="K11387" s="689">
        <v>20.8</v>
      </c>
    </row>
    <row r="11388" spans="1:11">
      <c r="A11388" s="688" t="s">
        <v>7</v>
      </c>
      <c r="B11388" s="691">
        <v>20.2</v>
      </c>
      <c r="C11388" s="691">
        <v>19.600000000000001</v>
      </c>
      <c r="D11388" s="691">
        <v>19.3</v>
      </c>
      <c r="E11388" s="691">
        <v>19.600000000000001</v>
      </c>
      <c r="F11388" s="691">
        <v>19.5</v>
      </c>
      <c r="G11388" s="691">
        <v>19.899999999999999</v>
      </c>
      <c r="H11388" s="691">
        <v>19.899999999999999</v>
      </c>
      <c r="I11388" s="691">
        <v>19.600000000000001</v>
      </c>
      <c r="J11388" s="691">
        <v>18.8</v>
      </c>
      <c r="K11388" s="691">
        <v>19.3</v>
      </c>
    </row>
    <row r="11389" spans="1:11">
      <c r="A11389" s="688" t="s">
        <v>27</v>
      </c>
      <c r="B11389" s="689">
        <v>20.7</v>
      </c>
      <c r="C11389" s="689">
        <v>20.6</v>
      </c>
      <c r="D11389" s="689">
        <v>20.3</v>
      </c>
      <c r="E11389" s="689">
        <v>20.6</v>
      </c>
      <c r="F11389" s="689">
        <v>20.6</v>
      </c>
      <c r="G11389" s="689">
        <v>20.7</v>
      </c>
      <c r="H11389" s="693">
        <v>21</v>
      </c>
      <c r="I11389" s="689">
        <v>19.8</v>
      </c>
      <c r="J11389" s="689">
        <v>20.5</v>
      </c>
      <c r="K11389" s="689">
        <v>20.6</v>
      </c>
    </row>
    <row r="11390" spans="1:11">
      <c r="A11390" s="688" t="s">
        <v>6</v>
      </c>
      <c r="B11390" s="691">
        <v>20.8</v>
      </c>
      <c r="C11390" s="691">
        <v>20.8</v>
      </c>
      <c r="D11390" s="691">
        <v>20.7</v>
      </c>
      <c r="E11390" s="691">
        <v>20.8</v>
      </c>
      <c r="F11390" s="691">
        <v>20.9</v>
      </c>
      <c r="G11390" s="615">
        <v>21</v>
      </c>
      <c r="H11390" s="691">
        <v>21.1</v>
      </c>
      <c r="I11390" s="691">
        <v>20.399999999999999</v>
      </c>
      <c r="J11390" s="691">
        <v>20.5</v>
      </c>
      <c r="K11390" s="691">
        <v>20.7</v>
      </c>
    </row>
    <row r="11391" spans="1:11">
      <c r="A11391" s="688" t="s">
        <v>4058</v>
      </c>
      <c r="B11391" s="690" t="s">
        <v>4060</v>
      </c>
      <c r="C11391" s="690" t="s">
        <v>4060</v>
      </c>
      <c r="D11391" s="690" t="s">
        <v>4060</v>
      </c>
      <c r="E11391" s="690" t="s">
        <v>4060</v>
      </c>
      <c r="F11391" s="690" t="s">
        <v>4060</v>
      </c>
      <c r="G11391" s="690" t="s">
        <v>4060</v>
      </c>
      <c r="H11391" s="690" t="s">
        <v>4060</v>
      </c>
      <c r="I11391" s="690" t="s">
        <v>4060</v>
      </c>
      <c r="J11391" s="690" t="s">
        <v>4060</v>
      </c>
      <c r="K11391" s="690" t="s">
        <v>4060</v>
      </c>
    </row>
    <row r="11392" spans="1:11">
      <c r="A11392" s="688" t="s">
        <v>11</v>
      </c>
      <c r="B11392" s="691">
        <v>16.7</v>
      </c>
      <c r="C11392" s="691">
        <v>16.8</v>
      </c>
      <c r="D11392" s="691">
        <v>16.399999999999999</v>
      </c>
      <c r="E11392" s="691">
        <v>16.8</v>
      </c>
      <c r="F11392" s="691">
        <v>16.8</v>
      </c>
      <c r="G11392" s="691">
        <v>16.899999999999999</v>
      </c>
      <c r="H11392" s="691">
        <v>17.2</v>
      </c>
      <c r="I11392" s="691">
        <v>16.399999999999999</v>
      </c>
      <c r="J11392" s="691">
        <v>15.7</v>
      </c>
      <c r="K11392" s="691">
        <v>16.600000000000001</v>
      </c>
    </row>
    <row r="11393" spans="1:11">
      <c r="A11393" s="688" t="s">
        <v>10</v>
      </c>
      <c r="B11393" s="689">
        <v>20.5</v>
      </c>
      <c r="C11393" s="689">
        <v>20.5</v>
      </c>
      <c r="D11393" s="689">
        <v>20.3</v>
      </c>
      <c r="E11393" s="689">
        <v>20.8</v>
      </c>
      <c r="F11393" s="689">
        <v>20.6</v>
      </c>
      <c r="G11393" s="689">
        <v>20.9</v>
      </c>
      <c r="H11393" s="689">
        <v>21.1</v>
      </c>
      <c r="I11393" s="689">
        <v>19.899999999999999</v>
      </c>
      <c r="J11393" s="689">
        <v>20.399999999999999</v>
      </c>
      <c r="K11393" s="689">
        <v>20.6</v>
      </c>
    </row>
    <row r="11394" spans="1:11">
      <c r="A11394" s="688" t="s">
        <v>30</v>
      </c>
      <c r="B11394" s="691">
        <v>20.3</v>
      </c>
      <c r="C11394" s="691">
        <v>20.399999999999999</v>
      </c>
      <c r="D11394" s="691">
        <v>20.100000000000001</v>
      </c>
      <c r="E11394" s="691">
        <v>20.7</v>
      </c>
      <c r="F11394" s="691">
        <v>20.399999999999999</v>
      </c>
      <c r="G11394" s="615">
        <v>21</v>
      </c>
      <c r="H11394" s="691">
        <v>20.7</v>
      </c>
      <c r="I11394" s="615">
        <v>21</v>
      </c>
      <c r="J11394" s="691">
        <v>20.2</v>
      </c>
      <c r="K11394" s="691">
        <v>20.5</v>
      </c>
    </row>
    <row r="11395" spans="1:11">
      <c r="A11395" s="688" t="s">
        <v>12</v>
      </c>
      <c r="B11395" s="689">
        <v>15.1</v>
      </c>
      <c r="C11395" s="689">
        <v>14.9</v>
      </c>
      <c r="D11395" s="689">
        <v>15.2</v>
      </c>
      <c r="E11395" s="693">
        <v>15</v>
      </c>
      <c r="F11395" s="689">
        <v>15.1</v>
      </c>
      <c r="G11395" s="689">
        <v>15.2</v>
      </c>
      <c r="H11395" s="689">
        <v>15.5</v>
      </c>
      <c r="I11395" s="689">
        <v>15.2</v>
      </c>
      <c r="J11395" s="689">
        <v>13.8</v>
      </c>
      <c r="K11395" s="689">
        <v>14.9</v>
      </c>
    </row>
    <row r="11396" spans="1:11">
      <c r="A11396" s="688" t="s">
        <v>14</v>
      </c>
      <c r="B11396" s="691">
        <v>15.2</v>
      </c>
      <c r="C11396" s="691">
        <v>15.3</v>
      </c>
      <c r="D11396" s="615">
        <v>15</v>
      </c>
      <c r="E11396" s="691">
        <v>15.1</v>
      </c>
      <c r="F11396" s="691">
        <v>15.4</v>
      </c>
      <c r="G11396" s="691">
        <v>15.5</v>
      </c>
      <c r="H11396" s="691">
        <v>15.8</v>
      </c>
      <c r="I11396" s="691">
        <v>14.9</v>
      </c>
      <c r="J11396" s="691">
        <v>14.5</v>
      </c>
      <c r="K11396" s="691">
        <v>15.4</v>
      </c>
    </row>
    <row r="11397" spans="1:11">
      <c r="A11397" s="688" t="s">
        <v>15</v>
      </c>
      <c r="B11397" s="689">
        <v>20.6</v>
      </c>
      <c r="C11397" s="689">
        <v>19.7</v>
      </c>
      <c r="D11397" s="689">
        <v>20.100000000000001</v>
      </c>
      <c r="E11397" s="689">
        <v>20.2</v>
      </c>
      <c r="F11397" s="689">
        <v>19.899999999999999</v>
      </c>
      <c r="G11397" s="689">
        <v>20.100000000000001</v>
      </c>
      <c r="H11397" s="689">
        <v>20.5</v>
      </c>
      <c r="I11397" s="693">
        <v>20</v>
      </c>
      <c r="J11397" s="689">
        <v>20.399999999999999</v>
      </c>
      <c r="K11397" s="689">
        <v>20.8</v>
      </c>
    </row>
    <row r="11398" spans="1:11">
      <c r="A11398" s="688" t="s">
        <v>29</v>
      </c>
      <c r="B11398" s="691">
        <v>15.7</v>
      </c>
      <c r="C11398" s="691">
        <v>15.7</v>
      </c>
      <c r="D11398" s="691">
        <v>15.5</v>
      </c>
      <c r="E11398" s="691">
        <v>15.6</v>
      </c>
      <c r="F11398" s="691">
        <v>15.5</v>
      </c>
      <c r="G11398" s="691">
        <v>15.5</v>
      </c>
      <c r="H11398" s="691">
        <v>15.7</v>
      </c>
      <c r="I11398" s="615">
        <v>15</v>
      </c>
      <c r="J11398" s="691">
        <v>14.1</v>
      </c>
      <c r="K11398" s="691">
        <v>15.3</v>
      </c>
    </row>
    <row r="11399" spans="1:11">
      <c r="A11399" s="688" t="s">
        <v>16</v>
      </c>
      <c r="B11399" s="689">
        <v>19.899999999999999</v>
      </c>
      <c r="C11399" s="689">
        <v>19.899999999999999</v>
      </c>
      <c r="D11399" s="689">
        <v>20.100000000000001</v>
      </c>
      <c r="E11399" s="689">
        <v>20.9</v>
      </c>
      <c r="F11399" s="689">
        <v>20.3</v>
      </c>
      <c r="G11399" s="689">
        <v>20.3</v>
      </c>
      <c r="H11399" s="689">
        <v>20.5</v>
      </c>
      <c r="I11399" s="693">
        <v>20</v>
      </c>
      <c r="J11399" s="689">
        <v>20.399999999999999</v>
      </c>
      <c r="K11399" s="689">
        <v>20.399999999999999</v>
      </c>
    </row>
    <row r="11400" spans="1:11">
      <c r="A11400" s="688" t="s">
        <v>17</v>
      </c>
      <c r="B11400" s="691">
        <v>19.8</v>
      </c>
      <c r="C11400" s="691">
        <v>20.100000000000001</v>
      </c>
      <c r="D11400" s="691">
        <v>19.8</v>
      </c>
      <c r="E11400" s="615">
        <v>20</v>
      </c>
      <c r="F11400" s="691">
        <v>20.2</v>
      </c>
      <c r="G11400" s="691">
        <v>20.2</v>
      </c>
      <c r="H11400" s="691">
        <v>20.5</v>
      </c>
      <c r="I11400" s="691">
        <v>19.7</v>
      </c>
      <c r="J11400" s="691">
        <v>19.8</v>
      </c>
      <c r="K11400" s="691">
        <v>20.2</v>
      </c>
    </row>
    <row r="11401" spans="1:11">
      <c r="A11401" s="688" t="s">
        <v>19</v>
      </c>
      <c r="B11401" s="689">
        <v>19.600000000000001</v>
      </c>
      <c r="C11401" s="689">
        <v>19.8</v>
      </c>
      <c r="D11401" s="689">
        <v>19.399999999999999</v>
      </c>
      <c r="E11401" s="689">
        <v>19.8</v>
      </c>
      <c r="F11401" s="689">
        <v>19.899999999999999</v>
      </c>
      <c r="G11401" s="689">
        <v>19.899999999999999</v>
      </c>
      <c r="H11401" s="689">
        <v>20.100000000000001</v>
      </c>
      <c r="I11401" s="689">
        <v>19.399999999999999</v>
      </c>
      <c r="J11401" s="689">
        <v>19.399999999999999</v>
      </c>
      <c r="K11401" s="689">
        <v>19.5</v>
      </c>
    </row>
    <row r="11402" spans="1:11">
      <c r="A11402" s="688" t="s">
        <v>20</v>
      </c>
      <c r="B11402" s="691">
        <v>16.8</v>
      </c>
      <c r="C11402" s="615">
        <v>17</v>
      </c>
      <c r="D11402" s="691">
        <v>16.8</v>
      </c>
      <c r="E11402" s="691">
        <v>17.100000000000001</v>
      </c>
      <c r="F11402" s="691">
        <v>17.100000000000001</v>
      </c>
      <c r="G11402" s="615">
        <v>17</v>
      </c>
      <c r="H11402" s="691">
        <v>17.2</v>
      </c>
      <c r="I11402" s="691">
        <v>15.8</v>
      </c>
      <c r="J11402" s="691">
        <v>15.2</v>
      </c>
      <c r="K11402" s="691">
        <v>16.600000000000001</v>
      </c>
    </row>
    <row r="11403" spans="1:11">
      <c r="A11403" s="688" t="s">
        <v>21</v>
      </c>
      <c r="B11403" s="689">
        <v>19.3</v>
      </c>
      <c r="C11403" s="689">
        <v>19.7</v>
      </c>
      <c r="D11403" s="689">
        <v>19.7</v>
      </c>
      <c r="E11403" s="689">
        <v>19.600000000000001</v>
      </c>
      <c r="F11403" s="689">
        <v>19.899999999999999</v>
      </c>
      <c r="G11403" s="689">
        <v>19.899999999999999</v>
      </c>
      <c r="H11403" s="689">
        <v>20.2</v>
      </c>
      <c r="I11403" s="689">
        <v>19.7</v>
      </c>
      <c r="J11403" s="689">
        <v>19.7</v>
      </c>
      <c r="K11403" s="689">
        <v>20.100000000000001</v>
      </c>
    </row>
    <row r="11404" spans="1:11">
      <c r="A11404" s="688" t="s">
        <v>22</v>
      </c>
      <c r="B11404" s="615">
        <v>16</v>
      </c>
      <c r="C11404" s="691">
        <v>15.8</v>
      </c>
      <c r="D11404" s="691">
        <v>15.7</v>
      </c>
      <c r="E11404" s="691">
        <v>15.9</v>
      </c>
      <c r="F11404" s="691">
        <v>15.9</v>
      </c>
      <c r="G11404" s="691">
        <v>15.8</v>
      </c>
      <c r="H11404" s="615">
        <v>16</v>
      </c>
      <c r="I11404" s="691">
        <v>14.5</v>
      </c>
      <c r="J11404" s="691">
        <v>13.6</v>
      </c>
      <c r="K11404" s="691">
        <v>15.2</v>
      </c>
    </row>
    <row r="11405" spans="1:11">
      <c r="A11405" s="688" t="s">
        <v>26</v>
      </c>
      <c r="B11405" s="689">
        <v>18.7</v>
      </c>
      <c r="C11405" s="693">
        <v>19</v>
      </c>
      <c r="D11405" s="689">
        <v>18.899999999999999</v>
      </c>
      <c r="E11405" s="689">
        <v>19.2</v>
      </c>
      <c r="F11405" s="689">
        <v>18.899999999999999</v>
      </c>
      <c r="G11405" s="689">
        <v>19.100000000000001</v>
      </c>
      <c r="H11405" s="689">
        <v>19.3</v>
      </c>
      <c r="I11405" s="689">
        <v>18.399999999999999</v>
      </c>
      <c r="J11405" s="689">
        <v>18.5</v>
      </c>
      <c r="K11405" s="689">
        <v>19.2</v>
      </c>
    </row>
    <row r="11406" spans="1:11">
      <c r="A11406" s="688" t="s">
        <v>25</v>
      </c>
      <c r="B11406" s="615">
        <v>16</v>
      </c>
      <c r="C11406" s="691">
        <v>16.3</v>
      </c>
      <c r="D11406" s="691">
        <v>16.2</v>
      </c>
      <c r="E11406" s="691">
        <v>16.5</v>
      </c>
      <c r="F11406" s="691">
        <v>16.5</v>
      </c>
      <c r="G11406" s="691">
        <v>16.7</v>
      </c>
      <c r="H11406" s="615">
        <v>17</v>
      </c>
      <c r="I11406" s="691">
        <v>16.100000000000001</v>
      </c>
      <c r="J11406" s="691">
        <v>14.5</v>
      </c>
      <c r="K11406" s="691">
        <v>16.3</v>
      </c>
    </row>
    <row r="11407" spans="1:11">
      <c r="A11407" s="688" t="s">
        <v>5</v>
      </c>
      <c r="B11407" s="689">
        <v>19.5</v>
      </c>
      <c r="C11407" s="689">
        <v>19.5</v>
      </c>
      <c r="D11407" s="689">
        <v>19.600000000000001</v>
      </c>
      <c r="E11407" s="689">
        <v>19.600000000000001</v>
      </c>
      <c r="F11407" s="689">
        <v>19.8</v>
      </c>
      <c r="G11407" s="689">
        <v>19.899999999999999</v>
      </c>
      <c r="H11407" s="689">
        <v>20.100000000000001</v>
      </c>
      <c r="I11407" s="689">
        <v>20.2</v>
      </c>
      <c r="J11407" s="693">
        <v>20</v>
      </c>
      <c r="K11407" s="689">
        <v>19.5</v>
      </c>
    </row>
    <row r="11408" spans="1:11">
      <c r="A11408" s="688" t="s">
        <v>23</v>
      </c>
      <c r="B11408" s="691">
        <v>20.399999999999999</v>
      </c>
      <c r="C11408" s="691">
        <v>20.5</v>
      </c>
      <c r="D11408" s="691">
        <v>20.5</v>
      </c>
      <c r="E11408" s="691">
        <v>20.6</v>
      </c>
      <c r="F11408" s="691">
        <v>20.8</v>
      </c>
      <c r="G11408" s="691">
        <v>20.8</v>
      </c>
      <c r="H11408" s="691">
        <v>21.2</v>
      </c>
      <c r="I11408" s="691">
        <v>20.5</v>
      </c>
      <c r="J11408" s="691">
        <v>21.1</v>
      </c>
      <c r="K11408" s="691">
        <v>21.1</v>
      </c>
    </row>
    <row r="11409" spans="1:11">
      <c r="A11409" s="688" t="s">
        <v>4067</v>
      </c>
      <c r="B11409" s="689">
        <v>19.3</v>
      </c>
      <c r="C11409" s="689">
        <v>19.600000000000001</v>
      </c>
      <c r="D11409" s="689">
        <v>19.399999999999999</v>
      </c>
      <c r="E11409" s="689">
        <v>19.7</v>
      </c>
      <c r="F11409" s="689">
        <v>19.600000000000001</v>
      </c>
      <c r="G11409" s="689">
        <v>19.7</v>
      </c>
      <c r="H11409" s="690" t="s">
        <v>4060</v>
      </c>
      <c r="I11409" s="690" t="s">
        <v>4060</v>
      </c>
      <c r="J11409" s="690" t="s">
        <v>4060</v>
      </c>
      <c r="K11409" s="690" t="s">
        <v>4060</v>
      </c>
    </row>
    <row r="11410" spans="1:11">
      <c r="A11410" s="688" t="s">
        <v>4066</v>
      </c>
      <c r="B11410" s="691">
        <v>19.399999999999999</v>
      </c>
      <c r="C11410" s="691">
        <v>19.7</v>
      </c>
      <c r="D11410" s="691">
        <v>19.399999999999999</v>
      </c>
      <c r="E11410" s="691">
        <v>19.7</v>
      </c>
      <c r="F11410" s="691">
        <v>19.7</v>
      </c>
      <c r="G11410" s="691">
        <v>19.7</v>
      </c>
      <c r="H11410" s="692" t="s">
        <v>4060</v>
      </c>
      <c r="I11410" s="692" t="s">
        <v>4060</v>
      </c>
      <c r="J11410" s="692" t="s">
        <v>4060</v>
      </c>
      <c r="K11410" s="692" t="s">
        <v>4060</v>
      </c>
    </row>
    <row r="11411" spans="1:11">
      <c r="A11411" s="688" t="s">
        <v>4062</v>
      </c>
      <c r="B11411" s="689">
        <v>20.7</v>
      </c>
      <c r="C11411" s="689">
        <v>20.8</v>
      </c>
      <c r="D11411" s="689">
        <v>20.7</v>
      </c>
      <c r="E11411" s="689">
        <v>21.1</v>
      </c>
      <c r="F11411" s="689">
        <v>21.2</v>
      </c>
      <c r="G11411" s="689">
        <v>21.3</v>
      </c>
      <c r="H11411" s="689">
        <v>21.5</v>
      </c>
      <c r="I11411" s="693">
        <v>21</v>
      </c>
      <c r="J11411" s="689">
        <v>21.5</v>
      </c>
      <c r="K11411" s="689">
        <v>21.2</v>
      </c>
    </row>
    <row r="11412" spans="1:11">
      <c r="A11412" s="688" t="s">
        <v>9</v>
      </c>
      <c r="B11412" s="691">
        <v>20.5</v>
      </c>
      <c r="C11412" s="691">
        <v>21.2</v>
      </c>
      <c r="D11412" s="691">
        <v>21.2</v>
      </c>
      <c r="E11412" s="691">
        <v>20.399999999999999</v>
      </c>
      <c r="F11412" s="691">
        <v>21.3</v>
      </c>
      <c r="G11412" s="691">
        <v>21.4</v>
      </c>
      <c r="H11412" s="691">
        <v>21.4</v>
      </c>
      <c r="I11412" s="691">
        <v>21.7</v>
      </c>
      <c r="J11412" s="615">
        <v>22</v>
      </c>
      <c r="K11412" s="691">
        <v>20.9</v>
      </c>
    </row>
    <row r="11413" spans="1:11">
      <c r="A11413" s="688" t="s">
        <v>13</v>
      </c>
      <c r="B11413" s="689">
        <v>20.100000000000001</v>
      </c>
      <c r="C11413" s="689">
        <v>20.8</v>
      </c>
      <c r="D11413" s="689">
        <v>20.7</v>
      </c>
      <c r="E11413" s="689">
        <v>19.600000000000001</v>
      </c>
      <c r="F11413" s="689">
        <v>21.2</v>
      </c>
      <c r="G11413" s="689">
        <v>20.5</v>
      </c>
      <c r="H11413" s="689">
        <v>21.5</v>
      </c>
      <c r="I11413" s="689">
        <v>19.600000000000001</v>
      </c>
      <c r="J11413" s="689">
        <v>21.8</v>
      </c>
      <c r="K11413" s="689">
        <v>22.2</v>
      </c>
    </row>
    <row r="11414" spans="1:11">
      <c r="A11414" s="688" t="s">
        <v>18</v>
      </c>
      <c r="B11414" s="691">
        <v>20.2</v>
      </c>
      <c r="C11414" s="691">
        <v>20.3</v>
      </c>
      <c r="D11414" s="691">
        <v>20.399999999999999</v>
      </c>
      <c r="E11414" s="691">
        <v>20.7</v>
      </c>
      <c r="F11414" s="691">
        <v>20.8</v>
      </c>
      <c r="G11414" s="615">
        <v>21</v>
      </c>
      <c r="H11414" s="691">
        <v>21.2</v>
      </c>
      <c r="I11414" s="691">
        <v>21.3</v>
      </c>
      <c r="J11414" s="691">
        <v>21.3</v>
      </c>
      <c r="K11414" s="691">
        <v>20.8</v>
      </c>
    </row>
    <row r="11415" spans="1:11">
      <c r="A11415" s="688" t="s">
        <v>24</v>
      </c>
      <c r="B11415" s="693">
        <v>21</v>
      </c>
      <c r="C11415" s="693">
        <v>21</v>
      </c>
      <c r="D11415" s="689">
        <v>20.9</v>
      </c>
      <c r="E11415" s="689">
        <v>21.4</v>
      </c>
      <c r="F11415" s="689">
        <v>21.4</v>
      </c>
      <c r="G11415" s="689">
        <v>21.6</v>
      </c>
      <c r="H11415" s="689">
        <v>21.7</v>
      </c>
      <c r="I11415" s="689">
        <v>20.8</v>
      </c>
      <c r="J11415" s="689">
        <v>21.5</v>
      </c>
      <c r="K11415" s="689">
        <v>21.5</v>
      </c>
    </row>
    <row r="11416" spans="1:11">
      <c r="A11416" s="688" t="s">
        <v>4059</v>
      </c>
      <c r="B11416" s="691">
        <v>20.100000000000001</v>
      </c>
      <c r="C11416" s="691">
        <v>20.399999999999999</v>
      </c>
      <c r="D11416" s="691">
        <v>20.100000000000001</v>
      </c>
      <c r="E11416" s="691">
        <v>20.399999999999999</v>
      </c>
      <c r="F11416" s="691">
        <v>20.399999999999999</v>
      </c>
      <c r="G11416" s="691">
        <v>20.5</v>
      </c>
      <c r="H11416" s="692" t="s">
        <v>4060</v>
      </c>
      <c r="I11416" s="692" t="s">
        <v>4060</v>
      </c>
      <c r="J11416" s="692" t="s">
        <v>4060</v>
      </c>
      <c r="K11416" s="692" t="s">
        <v>4060</v>
      </c>
    </row>
    <row r="11417" spans="1:11">
      <c r="A11417" s="688" t="s">
        <v>2324</v>
      </c>
      <c r="B11417" s="689">
        <v>16.399999999999999</v>
      </c>
      <c r="C11417" s="689">
        <v>16.5</v>
      </c>
      <c r="D11417" s="689">
        <v>16.3</v>
      </c>
      <c r="E11417" s="693">
        <v>16</v>
      </c>
      <c r="F11417" s="689">
        <v>16.3</v>
      </c>
      <c r="G11417" s="689">
        <v>16.399999999999999</v>
      </c>
      <c r="H11417" s="689">
        <v>16.399999999999999</v>
      </c>
      <c r="I11417" s="689">
        <v>15.3</v>
      </c>
      <c r="J11417" s="689">
        <v>13.4</v>
      </c>
      <c r="K11417" s="690" t="s">
        <v>4060</v>
      </c>
    </row>
    <row r="11418" spans="1:11">
      <c r="A11418" s="688" t="s">
        <v>2322</v>
      </c>
      <c r="B11418" s="692" t="s">
        <v>4060</v>
      </c>
      <c r="C11418" s="692" t="s">
        <v>4060</v>
      </c>
      <c r="D11418" s="692" t="s">
        <v>4060</v>
      </c>
      <c r="E11418" s="692" t="s">
        <v>4060</v>
      </c>
      <c r="F11418" s="692" t="s">
        <v>4060</v>
      </c>
      <c r="G11418" s="692" t="s">
        <v>4060</v>
      </c>
      <c r="H11418" s="692" t="s">
        <v>4060</v>
      </c>
      <c r="I11418" s="692" t="s">
        <v>4060</v>
      </c>
      <c r="J11418" s="692" t="s">
        <v>4060</v>
      </c>
      <c r="K11418" s="692" t="s">
        <v>4060</v>
      </c>
    </row>
    <row r="11419" spans="1:11">
      <c r="A11419" s="688" t="s">
        <v>2328</v>
      </c>
      <c r="B11419" s="689">
        <v>15.8</v>
      </c>
      <c r="C11419" s="689">
        <v>15.9</v>
      </c>
      <c r="D11419" s="689">
        <v>15.7</v>
      </c>
      <c r="E11419" s="689">
        <v>15.8</v>
      </c>
      <c r="F11419" s="693">
        <v>16</v>
      </c>
      <c r="G11419" s="689">
        <v>16.3</v>
      </c>
      <c r="H11419" s="689">
        <v>16.3</v>
      </c>
      <c r="I11419" s="689">
        <v>14.3</v>
      </c>
      <c r="J11419" s="689">
        <v>13.8</v>
      </c>
      <c r="K11419" s="690" t="s">
        <v>4060</v>
      </c>
    </row>
    <row r="11420" spans="1:11">
      <c r="A11420" s="688" t="s">
        <v>2496</v>
      </c>
      <c r="B11420" s="692" t="s">
        <v>4060</v>
      </c>
      <c r="C11420" s="691">
        <v>15.3</v>
      </c>
      <c r="D11420" s="691">
        <v>14.4</v>
      </c>
      <c r="E11420" s="691">
        <v>14.1</v>
      </c>
      <c r="F11420" s="691">
        <v>14.5</v>
      </c>
      <c r="G11420" s="691">
        <v>14.8</v>
      </c>
      <c r="H11420" s="691">
        <v>14.8</v>
      </c>
      <c r="I11420" s="692" t="s">
        <v>4060</v>
      </c>
      <c r="J11420" s="692" t="s">
        <v>4060</v>
      </c>
      <c r="K11420" s="691">
        <v>14.2</v>
      </c>
    </row>
    <row r="11421" spans="1:11">
      <c r="A11421" s="688" t="s">
        <v>2269</v>
      </c>
      <c r="B11421" s="689">
        <v>18.2</v>
      </c>
      <c r="C11421" s="689">
        <v>18.3</v>
      </c>
      <c r="D11421" s="689">
        <v>17.899999999999999</v>
      </c>
      <c r="E11421" s="689">
        <v>18.5</v>
      </c>
      <c r="F11421" s="689">
        <v>18.600000000000001</v>
      </c>
      <c r="G11421" s="689">
        <v>18.8</v>
      </c>
      <c r="H11421" s="689">
        <v>19.100000000000001</v>
      </c>
      <c r="I11421" s="693">
        <v>17</v>
      </c>
      <c r="J11421" s="689">
        <v>15.4</v>
      </c>
      <c r="K11421" s="689">
        <v>18.7</v>
      </c>
    </row>
    <row r="11422" spans="1:11">
      <c r="A11422" s="688" t="s">
        <v>2349</v>
      </c>
      <c r="B11422" s="691">
        <v>15.6</v>
      </c>
      <c r="C11422" s="691">
        <v>15.7</v>
      </c>
      <c r="D11422" s="691">
        <v>15.7</v>
      </c>
      <c r="E11422" s="691">
        <v>15.9</v>
      </c>
      <c r="F11422" s="691">
        <v>15.8</v>
      </c>
      <c r="G11422" s="615">
        <v>16</v>
      </c>
      <c r="H11422" s="615">
        <v>16</v>
      </c>
      <c r="I11422" s="691">
        <v>14.7</v>
      </c>
      <c r="J11422" s="691">
        <v>13.4</v>
      </c>
      <c r="K11422" s="691">
        <v>15.3</v>
      </c>
    </row>
    <row r="11423" spans="1:11">
      <c r="A11423" s="688" t="s">
        <v>2355</v>
      </c>
      <c r="B11423" s="689">
        <v>17.7</v>
      </c>
      <c r="C11423" s="689">
        <v>17.7</v>
      </c>
      <c r="D11423" s="689">
        <v>17.600000000000001</v>
      </c>
      <c r="E11423" s="689">
        <v>17.600000000000001</v>
      </c>
      <c r="F11423" s="689">
        <v>17.7</v>
      </c>
      <c r="G11423" s="689">
        <v>18.100000000000001</v>
      </c>
      <c r="H11423" s="689">
        <v>18.100000000000001</v>
      </c>
      <c r="I11423" s="690" t="s">
        <v>4060</v>
      </c>
      <c r="J11423" s="690" t="s">
        <v>4060</v>
      </c>
      <c r="K11423" s="690" t="s">
        <v>4060</v>
      </c>
    </row>
    <row r="11424" spans="1:11">
      <c r="A11424" s="688" t="s">
        <v>2357</v>
      </c>
      <c r="B11424" s="692" t="s">
        <v>4060</v>
      </c>
      <c r="C11424" s="691">
        <v>14.1</v>
      </c>
      <c r="D11424" s="691">
        <v>14.3</v>
      </c>
      <c r="E11424" s="691">
        <v>14.5</v>
      </c>
      <c r="F11424" s="691">
        <v>14.7</v>
      </c>
      <c r="G11424" s="691">
        <v>14.5</v>
      </c>
      <c r="H11424" s="691">
        <v>14.6</v>
      </c>
      <c r="I11424" s="692" t="s">
        <v>4060</v>
      </c>
      <c r="J11424" s="692" t="s">
        <v>4060</v>
      </c>
      <c r="K11424" s="692" t="s">
        <v>4060</v>
      </c>
    </row>
    <row r="11425" spans="1:11">
      <c r="A11425" s="688" t="s">
        <v>4070</v>
      </c>
      <c r="B11425" s="690" t="s">
        <v>4060</v>
      </c>
      <c r="C11425" s="690" t="s">
        <v>4060</v>
      </c>
      <c r="D11425" s="690" t="s">
        <v>4060</v>
      </c>
      <c r="E11425" s="689">
        <v>17.2</v>
      </c>
      <c r="F11425" s="690" t="s">
        <v>4060</v>
      </c>
      <c r="G11425" s="690" t="s">
        <v>4060</v>
      </c>
      <c r="H11425" s="690" t="s">
        <v>4060</v>
      </c>
      <c r="I11425" s="690" t="s">
        <v>4060</v>
      </c>
      <c r="J11425" s="690" t="s">
        <v>4060</v>
      </c>
      <c r="K11425" s="690" t="s">
        <v>4060</v>
      </c>
    </row>
    <row r="11426" spans="1:11">
      <c r="A11426" s="688" t="s">
        <v>2491</v>
      </c>
      <c r="B11426" s="691">
        <v>13.6</v>
      </c>
      <c r="C11426" s="691">
        <v>13.9</v>
      </c>
      <c r="D11426" s="615">
        <v>14</v>
      </c>
      <c r="E11426" s="691">
        <v>14.1</v>
      </c>
      <c r="F11426" s="615">
        <v>14</v>
      </c>
      <c r="G11426" s="691">
        <v>14.1</v>
      </c>
      <c r="H11426" s="692" t="s">
        <v>4060</v>
      </c>
      <c r="I11426" s="692" t="s">
        <v>4060</v>
      </c>
      <c r="J11426" s="692" t="s">
        <v>4060</v>
      </c>
      <c r="K11426" s="692" t="s">
        <v>4060</v>
      </c>
    </row>
    <row r="11427" spans="1:11">
      <c r="A11427" s="688" t="s">
        <v>2343</v>
      </c>
      <c r="B11427" s="690" t="s">
        <v>4060</v>
      </c>
      <c r="C11427" s="690" t="s">
        <v>4060</v>
      </c>
      <c r="D11427" s="690" t="s">
        <v>4060</v>
      </c>
      <c r="E11427" s="690" t="s">
        <v>4060</v>
      </c>
      <c r="F11427" s="690" t="s">
        <v>4060</v>
      </c>
      <c r="G11427" s="690" t="s">
        <v>4060</v>
      </c>
      <c r="H11427" s="690" t="s">
        <v>4060</v>
      </c>
      <c r="I11427" s="690" t="s">
        <v>4060</v>
      </c>
      <c r="J11427" s="690" t="s">
        <v>4060</v>
      </c>
      <c r="K11427" s="690" t="s">
        <v>4060</v>
      </c>
    </row>
    <row r="11428" spans="1:11">
      <c r="A11428" s="688" t="s">
        <v>4071</v>
      </c>
      <c r="B11428" s="692" t="s">
        <v>4060</v>
      </c>
      <c r="C11428" s="692" t="s">
        <v>4060</v>
      </c>
      <c r="D11428" s="692" t="s">
        <v>4060</v>
      </c>
      <c r="E11428" s="692" t="s">
        <v>4060</v>
      </c>
      <c r="F11428" s="692" t="s">
        <v>4060</v>
      </c>
      <c r="G11428" s="692" t="s">
        <v>4060</v>
      </c>
      <c r="H11428" s="692" t="s">
        <v>4060</v>
      </c>
      <c r="I11428" s="692" t="s">
        <v>4060</v>
      </c>
      <c r="J11428" s="692" t="s">
        <v>4060</v>
      </c>
      <c r="K11428" s="692" t="s">
        <v>4060</v>
      </c>
    </row>
    <row r="11429" spans="1:11">
      <c r="A11429" s="688" t="s">
        <v>2489</v>
      </c>
      <c r="B11429" s="690" t="s">
        <v>4060</v>
      </c>
      <c r="C11429" s="690" t="s">
        <v>4060</v>
      </c>
      <c r="D11429" s="689">
        <v>15.7</v>
      </c>
      <c r="E11429" s="689">
        <v>15.7</v>
      </c>
      <c r="F11429" s="693">
        <v>16</v>
      </c>
      <c r="G11429" s="689">
        <v>16.5</v>
      </c>
      <c r="H11429" s="689">
        <v>16.600000000000001</v>
      </c>
      <c r="I11429" s="690" t="s">
        <v>4060</v>
      </c>
      <c r="J11429" s="690" t="s">
        <v>4060</v>
      </c>
      <c r="K11429" s="690" t="s">
        <v>4060</v>
      </c>
    </row>
    <row r="11430" spans="1:11">
      <c r="A11430" s="688" t="s">
        <v>2490</v>
      </c>
      <c r="B11430" s="615">
        <v>16</v>
      </c>
      <c r="C11430" s="691">
        <v>15.8</v>
      </c>
      <c r="D11430" s="691">
        <v>16.600000000000001</v>
      </c>
      <c r="E11430" s="692" t="s">
        <v>4060</v>
      </c>
      <c r="F11430" s="691">
        <v>16.899999999999999</v>
      </c>
      <c r="G11430" s="691">
        <v>16.899999999999999</v>
      </c>
      <c r="H11430" s="691">
        <v>17.8</v>
      </c>
      <c r="I11430" s="692" t="s">
        <v>4060</v>
      </c>
      <c r="J11430" s="692" t="s">
        <v>4060</v>
      </c>
      <c r="K11430" s="692" t="s">
        <v>4060</v>
      </c>
    </row>
    <row r="11432" spans="1:11">
      <c r="A11432" s="683" t="s">
        <v>4233</v>
      </c>
    </row>
    <row r="11433" spans="1:11">
      <c r="A11433" s="683" t="s">
        <v>4060</v>
      </c>
      <c r="B11433" s="682" t="s">
        <v>4234</v>
      </c>
    </row>
    <row r="11435" spans="1:11">
      <c r="A11435" s="682" t="s">
        <v>4331</v>
      </c>
    </row>
    <row r="11436" spans="1:11">
      <c r="A11436" s="682" t="s">
        <v>4210</v>
      </c>
      <c r="B11436" s="683" t="s">
        <v>4211</v>
      </c>
    </row>
    <row r="11437" spans="1:11">
      <c r="A11437" s="682" t="s">
        <v>4212</v>
      </c>
      <c r="B11437" s="682" t="s">
        <v>4213</v>
      </c>
    </row>
    <row r="11439" spans="1:11">
      <c r="A11439" s="683" t="s">
        <v>4214</v>
      </c>
      <c r="C11439" s="682" t="s">
        <v>4215</v>
      </c>
    </row>
    <row r="11440" spans="1:11">
      <c r="A11440" s="683" t="s">
        <v>4216</v>
      </c>
      <c r="C11440" s="682" t="s">
        <v>2967</v>
      </c>
    </row>
    <row r="11441" spans="1:11">
      <c r="A11441" s="683" t="s">
        <v>3893</v>
      </c>
      <c r="C11441" s="682" t="s">
        <v>2168</v>
      </c>
    </row>
    <row r="11442" spans="1:11">
      <c r="A11442" s="683" t="s">
        <v>4218</v>
      </c>
      <c r="C11442" s="682" t="s">
        <v>4299</v>
      </c>
    </row>
    <row r="11444" spans="1:11">
      <c r="A11444" s="684" t="s">
        <v>4220</v>
      </c>
      <c r="B11444" s="685" t="s">
        <v>4221</v>
      </c>
      <c r="C11444" s="685" t="s">
        <v>4222</v>
      </c>
      <c r="D11444" s="685" t="s">
        <v>4223</v>
      </c>
      <c r="E11444" s="685" t="s">
        <v>4224</v>
      </c>
      <c r="F11444" s="685" t="s">
        <v>4225</v>
      </c>
      <c r="G11444" s="685" t="s">
        <v>4226</v>
      </c>
      <c r="H11444" s="685" t="s">
        <v>4227</v>
      </c>
      <c r="I11444" s="685" t="s">
        <v>4228</v>
      </c>
      <c r="J11444" s="685" t="s">
        <v>4229</v>
      </c>
      <c r="K11444" s="685" t="s">
        <v>4230</v>
      </c>
    </row>
    <row r="11445" spans="1:11">
      <c r="A11445" s="686" t="s">
        <v>4231</v>
      </c>
      <c r="B11445" s="687" t="s">
        <v>4232</v>
      </c>
      <c r="C11445" s="687" t="s">
        <v>4232</v>
      </c>
      <c r="D11445" s="687" t="s">
        <v>4232</v>
      </c>
      <c r="E11445" s="687" t="s">
        <v>4232</v>
      </c>
      <c r="F11445" s="687" t="s">
        <v>4232</v>
      </c>
      <c r="G11445" s="687" t="s">
        <v>4232</v>
      </c>
      <c r="H11445" s="687" t="s">
        <v>4232</v>
      </c>
      <c r="I11445" s="687" t="s">
        <v>4232</v>
      </c>
      <c r="J11445" s="687" t="s">
        <v>4232</v>
      </c>
      <c r="K11445" s="687" t="s">
        <v>4232</v>
      </c>
    </row>
    <row r="11446" spans="1:11">
      <c r="A11446" s="688" t="s">
        <v>4064</v>
      </c>
      <c r="B11446" s="691">
        <v>18.5</v>
      </c>
      <c r="C11446" s="691">
        <v>18.600000000000001</v>
      </c>
      <c r="D11446" s="691">
        <v>18.5</v>
      </c>
      <c r="E11446" s="691">
        <v>18.600000000000001</v>
      </c>
      <c r="F11446" s="691">
        <v>18.600000000000001</v>
      </c>
      <c r="G11446" s="691">
        <v>18.7</v>
      </c>
      <c r="H11446" s="691">
        <v>18.899999999999999</v>
      </c>
      <c r="I11446" s="615">
        <v>18</v>
      </c>
      <c r="J11446" s="691">
        <v>17.899999999999999</v>
      </c>
      <c r="K11446" s="691">
        <v>18.399999999999999</v>
      </c>
    </row>
    <row r="11447" spans="1:11">
      <c r="A11447" s="688" t="s">
        <v>4065</v>
      </c>
      <c r="B11447" s="689">
        <v>18.600000000000001</v>
      </c>
      <c r="C11447" s="689">
        <v>18.899999999999999</v>
      </c>
      <c r="D11447" s="689">
        <v>18.600000000000001</v>
      </c>
      <c r="E11447" s="689">
        <v>18.899999999999999</v>
      </c>
      <c r="F11447" s="689">
        <v>18.899999999999999</v>
      </c>
      <c r="G11447" s="693">
        <v>19</v>
      </c>
      <c r="H11447" s="690" t="s">
        <v>4060</v>
      </c>
      <c r="I11447" s="690" t="s">
        <v>4060</v>
      </c>
      <c r="J11447" s="690" t="s">
        <v>4060</v>
      </c>
      <c r="K11447" s="690" t="s">
        <v>4060</v>
      </c>
    </row>
    <row r="11448" spans="1:11">
      <c r="A11448" s="688" t="s">
        <v>4063</v>
      </c>
      <c r="B11448" s="691">
        <v>18.600000000000001</v>
      </c>
      <c r="C11448" s="691">
        <v>18.899999999999999</v>
      </c>
      <c r="D11448" s="691">
        <v>18.7</v>
      </c>
      <c r="E11448" s="691">
        <v>18.899999999999999</v>
      </c>
      <c r="F11448" s="691">
        <v>18.899999999999999</v>
      </c>
      <c r="G11448" s="615">
        <v>19</v>
      </c>
      <c r="H11448" s="692" t="s">
        <v>4060</v>
      </c>
      <c r="I11448" s="692" t="s">
        <v>4060</v>
      </c>
      <c r="J11448" s="692" t="s">
        <v>4060</v>
      </c>
      <c r="K11448" s="692" t="s">
        <v>4060</v>
      </c>
    </row>
    <row r="11449" spans="1:11">
      <c r="A11449" s="688" t="s">
        <v>4069</v>
      </c>
      <c r="B11449" s="690" t="s">
        <v>4060</v>
      </c>
      <c r="C11449" s="689">
        <v>19.2</v>
      </c>
      <c r="D11449" s="693">
        <v>19</v>
      </c>
      <c r="E11449" s="689">
        <v>19.2</v>
      </c>
      <c r="F11449" s="689">
        <v>19.2</v>
      </c>
      <c r="G11449" s="689">
        <v>19.3</v>
      </c>
      <c r="H11449" s="689">
        <v>19.5</v>
      </c>
      <c r="I11449" s="689">
        <v>18.8</v>
      </c>
      <c r="J11449" s="689">
        <v>18.899999999999999</v>
      </c>
      <c r="K11449" s="693">
        <v>19</v>
      </c>
    </row>
    <row r="11450" spans="1:11">
      <c r="A11450" s="688" t="s">
        <v>4068</v>
      </c>
      <c r="B11450" s="691">
        <v>19.2</v>
      </c>
      <c r="C11450" s="692" t="s">
        <v>4060</v>
      </c>
      <c r="D11450" s="692" t="s">
        <v>4060</v>
      </c>
      <c r="E11450" s="692" t="s">
        <v>4060</v>
      </c>
      <c r="F11450" s="692" t="s">
        <v>4060</v>
      </c>
      <c r="G11450" s="692" t="s">
        <v>4060</v>
      </c>
      <c r="H11450" s="692" t="s">
        <v>4060</v>
      </c>
      <c r="I11450" s="692" t="s">
        <v>4060</v>
      </c>
      <c r="J11450" s="692" t="s">
        <v>4060</v>
      </c>
      <c r="K11450" s="692" t="s">
        <v>4060</v>
      </c>
    </row>
    <row r="11451" spans="1:11">
      <c r="A11451" s="688" t="s">
        <v>0</v>
      </c>
      <c r="B11451" s="689">
        <v>18.5</v>
      </c>
      <c r="C11451" s="689">
        <v>18.899999999999999</v>
      </c>
      <c r="D11451" s="689">
        <v>18.8</v>
      </c>
      <c r="E11451" s="693">
        <v>19</v>
      </c>
      <c r="F11451" s="689">
        <v>19.100000000000001</v>
      </c>
      <c r="G11451" s="689">
        <v>19.2</v>
      </c>
      <c r="H11451" s="689">
        <v>19.5</v>
      </c>
      <c r="I11451" s="689">
        <v>18.399999999999999</v>
      </c>
      <c r="J11451" s="689">
        <v>19.2</v>
      </c>
      <c r="K11451" s="689">
        <v>19.3</v>
      </c>
    </row>
    <row r="11452" spans="1:11">
      <c r="A11452" s="688" t="s">
        <v>1</v>
      </c>
      <c r="B11452" s="691">
        <v>14.8</v>
      </c>
      <c r="C11452" s="691">
        <v>14.6</v>
      </c>
      <c r="D11452" s="691">
        <v>14.6</v>
      </c>
      <c r="E11452" s="691">
        <v>14.7</v>
      </c>
      <c r="F11452" s="691">
        <v>14.6</v>
      </c>
      <c r="G11452" s="691">
        <v>14.7</v>
      </c>
      <c r="H11452" s="691">
        <v>14.7</v>
      </c>
      <c r="I11452" s="691">
        <v>13.4</v>
      </c>
      <c r="J11452" s="691">
        <v>12.2</v>
      </c>
      <c r="K11452" s="691">
        <v>13.8</v>
      </c>
    </row>
    <row r="11453" spans="1:11">
      <c r="A11453" s="688" t="s">
        <v>2240</v>
      </c>
      <c r="B11453" s="689">
        <v>16.3</v>
      </c>
      <c r="C11453" s="689">
        <v>16.600000000000001</v>
      </c>
      <c r="D11453" s="689">
        <v>16.5</v>
      </c>
      <c r="E11453" s="689">
        <v>16.8</v>
      </c>
      <c r="F11453" s="689">
        <v>16.8</v>
      </c>
      <c r="G11453" s="689">
        <v>16.8</v>
      </c>
      <c r="H11453" s="693">
        <v>17</v>
      </c>
      <c r="I11453" s="689">
        <v>15.9</v>
      </c>
      <c r="J11453" s="689">
        <v>15.2</v>
      </c>
      <c r="K11453" s="689">
        <v>16.7</v>
      </c>
    </row>
    <row r="11454" spans="1:11">
      <c r="A11454" s="688" t="s">
        <v>2</v>
      </c>
      <c r="B11454" s="691">
        <v>18.399999999999999</v>
      </c>
      <c r="C11454" s="691">
        <v>18.7</v>
      </c>
      <c r="D11454" s="691">
        <v>18.7</v>
      </c>
      <c r="E11454" s="691">
        <v>18.8</v>
      </c>
      <c r="F11454" s="691">
        <v>18.899999999999999</v>
      </c>
      <c r="G11454" s="691">
        <v>18.8</v>
      </c>
      <c r="H11454" s="615">
        <v>19</v>
      </c>
      <c r="I11454" s="691">
        <v>19.100000000000001</v>
      </c>
      <c r="J11454" s="615">
        <v>19</v>
      </c>
      <c r="K11454" s="691">
        <v>18.8</v>
      </c>
    </row>
    <row r="11455" spans="1:11">
      <c r="A11455" s="688" t="s">
        <v>3</v>
      </c>
      <c r="B11455" s="689">
        <v>18.5</v>
      </c>
      <c r="C11455" s="689">
        <v>18.7</v>
      </c>
      <c r="D11455" s="689">
        <v>18.399999999999999</v>
      </c>
      <c r="E11455" s="689">
        <v>18.600000000000001</v>
      </c>
      <c r="F11455" s="689">
        <v>18.600000000000001</v>
      </c>
      <c r="G11455" s="689">
        <v>18.600000000000001</v>
      </c>
      <c r="H11455" s="689">
        <v>18.8</v>
      </c>
      <c r="I11455" s="689">
        <v>18.600000000000001</v>
      </c>
      <c r="J11455" s="689">
        <v>18.399999999999999</v>
      </c>
      <c r="K11455" s="689">
        <v>18.2</v>
      </c>
    </row>
    <row r="11456" spans="1:11">
      <c r="A11456" s="688" t="s">
        <v>4061</v>
      </c>
      <c r="B11456" s="691">
        <v>18.5</v>
      </c>
      <c r="C11456" s="691">
        <v>18.7</v>
      </c>
      <c r="D11456" s="691">
        <v>18.399999999999999</v>
      </c>
      <c r="E11456" s="691">
        <v>18.600000000000001</v>
      </c>
      <c r="F11456" s="691">
        <v>18.600000000000001</v>
      </c>
      <c r="G11456" s="691">
        <v>18.600000000000001</v>
      </c>
      <c r="H11456" s="691">
        <v>18.8</v>
      </c>
      <c r="I11456" s="691">
        <v>18.600000000000001</v>
      </c>
      <c r="J11456" s="691">
        <v>18.399999999999999</v>
      </c>
      <c r="K11456" s="691">
        <v>18.2</v>
      </c>
    </row>
    <row r="11457" spans="1:11">
      <c r="A11457" s="688" t="s">
        <v>4</v>
      </c>
      <c r="B11457" s="689">
        <v>15.7</v>
      </c>
      <c r="C11457" s="689">
        <v>15.7</v>
      </c>
      <c r="D11457" s="689">
        <v>15.9</v>
      </c>
      <c r="E11457" s="693">
        <v>16</v>
      </c>
      <c r="F11457" s="693">
        <v>16</v>
      </c>
      <c r="G11457" s="689">
        <v>16.2</v>
      </c>
      <c r="H11457" s="689">
        <v>16.3</v>
      </c>
      <c r="I11457" s="689">
        <v>16.5</v>
      </c>
      <c r="J11457" s="689">
        <v>15.2</v>
      </c>
      <c r="K11457" s="689">
        <v>15.9</v>
      </c>
    </row>
    <row r="11458" spans="1:11">
      <c r="A11458" s="688" t="s">
        <v>8</v>
      </c>
      <c r="B11458" s="691">
        <v>18.899999999999999</v>
      </c>
      <c r="C11458" s="615">
        <v>19</v>
      </c>
      <c r="D11458" s="691">
        <v>19.100000000000001</v>
      </c>
      <c r="E11458" s="691">
        <v>19.2</v>
      </c>
      <c r="F11458" s="691">
        <v>19.600000000000001</v>
      </c>
      <c r="G11458" s="691">
        <v>19.600000000000001</v>
      </c>
      <c r="H11458" s="691">
        <v>19.899999999999999</v>
      </c>
      <c r="I11458" s="691">
        <v>19.8</v>
      </c>
      <c r="J11458" s="691">
        <v>19.600000000000001</v>
      </c>
      <c r="K11458" s="691">
        <v>19.899999999999999</v>
      </c>
    </row>
    <row r="11459" spans="1:11">
      <c r="A11459" s="688" t="s">
        <v>7</v>
      </c>
      <c r="B11459" s="689">
        <v>19.399999999999999</v>
      </c>
      <c r="C11459" s="689">
        <v>18.8</v>
      </c>
      <c r="D11459" s="689">
        <v>18.5</v>
      </c>
      <c r="E11459" s="689">
        <v>18.899999999999999</v>
      </c>
      <c r="F11459" s="689">
        <v>18.8</v>
      </c>
      <c r="G11459" s="689">
        <v>19.2</v>
      </c>
      <c r="H11459" s="689">
        <v>19.100000000000001</v>
      </c>
      <c r="I11459" s="689">
        <v>18.8</v>
      </c>
      <c r="J11459" s="689">
        <v>18.100000000000001</v>
      </c>
      <c r="K11459" s="689">
        <v>18.600000000000001</v>
      </c>
    </row>
    <row r="11460" spans="1:11">
      <c r="A11460" s="688" t="s">
        <v>27</v>
      </c>
      <c r="B11460" s="615">
        <v>20</v>
      </c>
      <c r="C11460" s="691">
        <v>19.8</v>
      </c>
      <c r="D11460" s="691">
        <v>19.5</v>
      </c>
      <c r="E11460" s="691">
        <v>19.8</v>
      </c>
      <c r="F11460" s="691">
        <v>19.8</v>
      </c>
      <c r="G11460" s="691">
        <v>19.899999999999999</v>
      </c>
      <c r="H11460" s="691">
        <v>20.2</v>
      </c>
      <c r="I11460" s="615">
        <v>19</v>
      </c>
      <c r="J11460" s="691">
        <v>19.7</v>
      </c>
      <c r="K11460" s="691">
        <v>19.8</v>
      </c>
    </row>
    <row r="11461" spans="1:11">
      <c r="A11461" s="688" t="s">
        <v>6</v>
      </c>
      <c r="B11461" s="693">
        <v>20</v>
      </c>
      <c r="C11461" s="689">
        <v>20.100000000000001</v>
      </c>
      <c r="D11461" s="689">
        <v>19.899999999999999</v>
      </c>
      <c r="E11461" s="689">
        <v>20.100000000000001</v>
      </c>
      <c r="F11461" s="689">
        <v>20.100000000000001</v>
      </c>
      <c r="G11461" s="689">
        <v>20.2</v>
      </c>
      <c r="H11461" s="689">
        <v>20.3</v>
      </c>
      <c r="I11461" s="689">
        <v>19.7</v>
      </c>
      <c r="J11461" s="689">
        <v>19.8</v>
      </c>
      <c r="K11461" s="689">
        <v>19.899999999999999</v>
      </c>
    </row>
    <row r="11462" spans="1:11">
      <c r="A11462" s="688" t="s">
        <v>4058</v>
      </c>
      <c r="B11462" s="692" t="s">
        <v>4060</v>
      </c>
      <c r="C11462" s="692" t="s">
        <v>4060</v>
      </c>
      <c r="D11462" s="692" t="s">
        <v>4060</v>
      </c>
      <c r="E11462" s="692" t="s">
        <v>4060</v>
      </c>
      <c r="F11462" s="692" t="s">
        <v>4060</v>
      </c>
      <c r="G11462" s="692" t="s">
        <v>4060</v>
      </c>
      <c r="H11462" s="692" t="s">
        <v>4060</v>
      </c>
      <c r="I11462" s="692" t="s">
        <v>4060</v>
      </c>
      <c r="J11462" s="692" t="s">
        <v>4060</v>
      </c>
      <c r="K11462" s="692" t="s">
        <v>4060</v>
      </c>
    </row>
    <row r="11463" spans="1:11">
      <c r="A11463" s="688" t="s">
        <v>11</v>
      </c>
      <c r="B11463" s="693">
        <v>16</v>
      </c>
      <c r="C11463" s="689">
        <v>16.100000000000001</v>
      </c>
      <c r="D11463" s="689">
        <v>15.8</v>
      </c>
      <c r="E11463" s="689">
        <v>16.100000000000001</v>
      </c>
      <c r="F11463" s="689">
        <v>16.100000000000001</v>
      </c>
      <c r="G11463" s="689">
        <v>16.2</v>
      </c>
      <c r="H11463" s="689">
        <v>16.5</v>
      </c>
      <c r="I11463" s="689">
        <v>15.7</v>
      </c>
      <c r="J11463" s="693">
        <v>15</v>
      </c>
      <c r="K11463" s="689">
        <v>15.9</v>
      </c>
    </row>
    <row r="11464" spans="1:11">
      <c r="A11464" s="688" t="s">
        <v>10</v>
      </c>
      <c r="B11464" s="691">
        <v>19.7</v>
      </c>
      <c r="C11464" s="691">
        <v>19.7</v>
      </c>
      <c r="D11464" s="691">
        <v>19.5</v>
      </c>
      <c r="E11464" s="691">
        <v>19.899999999999999</v>
      </c>
      <c r="F11464" s="691">
        <v>19.8</v>
      </c>
      <c r="G11464" s="691">
        <v>20.100000000000001</v>
      </c>
      <c r="H11464" s="691">
        <v>20.3</v>
      </c>
      <c r="I11464" s="691">
        <v>19.100000000000001</v>
      </c>
      <c r="J11464" s="691">
        <v>19.600000000000001</v>
      </c>
      <c r="K11464" s="691">
        <v>19.8</v>
      </c>
    </row>
    <row r="11465" spans="1:11">
      <c r="A11465" s="688" t="s">
        <v>30</v>
      </c>
      <c r="B11465" s="689">
        <v>19.399999999999999</v>
      </c>
      <c r="C11465" s="689">
        <v>19.600000000000001</v>
      </c>
      <c r="D11465" s="689">
        <v>19.3</v>
      </c>
      <c r="E11465" s="689">
        <v>19.899999999999999</v>
      </c>
      <c r="F11465" s="689">
        <v>19.600000000000001</v>
      </c>
      <c r="G11465" s="689">
        <v>20.2</v>
      </c>
      <c r="H11465" s="693">
        <v>20</v>
      </c>
      <c r="I11465" s="689">
        <v>20.2</v>
      </c>
      <c r="J11465" s="689">
        <v>19.399999999999999</v>
      </c>
      <c r="K11465" s="689">
        <v>19.7</v>
      </c>
    </row>
    <row r="11466" spans="1:11">
      <c r="A11466" s="688" t="s">
        <v>12</v>
      </c>
      <c r="B11466" s="691">
        <v>14.5</v>
      </c>
      <c r="C11466" s="691">
        <v>14.2</v>
      </c>
      <c r="D11466" s="691">
        <v>14.6</v>
      </c>
      <c r="E11466" s="691">
        <v>14.5</v>
      </c>
      <c r="F11466" s="691">
        <v>14.5</v>
      </c>
      <c r="G11466" s="691">
        <v>14.6</v>
      </c>
      <c r="H11466" s="691">
        <v>14.9</v>
      </c>
      <c r="I11466" s="691">
        <v>14.6</v>
      </c>
      <c r="J11466" s="691">
        <v>13.3</v>
      </c>
      <c r="K11466" s="691">
        <v>14.3</v>
      </c>
    </row>
    <row r="11467" spans="1:11">
      <c r="A11467" s="688" t="s">
        <v>14</v>
      </c>
      <c r="B11467" s="689">
        <v>14.6</v>
      </c>
      <c r="C11467" s="689">
        <v>14.7</v>
      </c>
      <c r="D11467" s="689">
        <v>14.4</v>
      </c>
      <c r="E11467" s="689">
        <v>14.6</v>
      </c>
      <c r="F11467" s="689">
        <v>14.8</v>
      </c>
      <c r="G11467" s="689">
        <v>14.9</v>
      </c>
      <c r="H11467" s="689">
        <v>15.2</v>
      </c>
      <c r="I11467" s="689">
        <v>14.3</v>
      </c>
      <c r="J11467" s="689">
        <v>13.9</v>
      </c>
      <c r="K11467" s="689">
        <v>14.7</v>
      </c>
    </row>
    <row r="11468" spans="1:11">
      <c r="A11468" s="688" t="s">
        <v>15</v>
      </c>
      <c r="B11468" s="691">
        <v>19.8</v>
      </c>
      <c r="C11468" s="615">
        <v>19</v>
      </c>
      <c r="D11468" s="691">
        <v>19.3</v>
      </c>
      <c r="E11468" s="691">
        <v>19.399999999999999</v>
      </c>
      <c r="F11468" s="615">
        <v>19</v>
      </c>
      <c r="G11468" s="691">
        <v>19.3</v>
      </c>
      <c r="H11468" s="691">
        <v>19.8</v>
      </c>
      <c r="I11468" s="691">
        <v>19.2</v>
      </c>
      <c r="J11468" s="691">
        <v>19.5</v>
      </c>
      <c r="K11468" s="615">
        <v>20</v>
      </c>
    </row>
    <row r="11469" spans="1:11">
      <c r="A11469" s="688" t="s">
        <v>29</v>
      </c>
      <c r="B11469" s="689">
        <v>15.1</v>
      </c>
      <c r="C11469" s="689">
        <v>15.1</v>
      </c>
      <c r="D11469" s="689">
        <v>14.9</v>
      </c>
      <c r="E11469" s="689">
        <v>15.1</v>
      </c>
      <c r="F11469" s="689">
        <v>14.9</v>
      </c>
      <c r="G11469" s="693">
        <v>15</v>
      </c>
      <c r="H11469" s="689">
        <v>15.1</v>
      </c>
      <c r="I11469" s="689">
        <v>14.4</v>
      </c>
      <c r="J11469" s="689">
        <v>13.6</v>
      </c>
      <c r="K11469" s="689">
        <v>14.7</v>
      </c>
    </row>
    <row r="11470" spans="1:11">
      <c r="A11470" s="688" t="s">
        <v>16</v>
      </c>
      <c r="B11470" s="691">
        <v>19.2</v>
      </c>
      <c r="C11470" s="691">
        <v>19.100000000000001</v>
      </c>
      <c r="D11470" s="691">
        <v>19.3</v>
      </c>
      <c r="E11470" s="615">
        <v>20</v>
      </c>
      <c r="F11470" s="691">
        <v>19.5</v>
      </c>
      <c r="G11470" s="691">
        <v>19.5</v>
      </c>
      <c r="H11470" s="691">
        <v>19.7</v>
      </c>
      <c r="I11470" s="691">
        <v>19.2</v>
      </c>
      <c r="J11470" s="691">
        <v>19.600000000000001</v>
      </c>
      <c r="K11470" s="691">
        <v>19.600000000000001</v>
      </c>
    </row>
    <row r="11471" spans="1:11">
      <c r="A11471" s="688" t="s">
        <v>17</v>
      </c>
      <c r="B11471" s="693">
        <v>19</v>
      </c>
      <c r="C11471" s="689">
        <v>19.3</v>
      </c>
      <c r="D11471" s="693">
        <v>19</v>
      </c>
      <c r="E11471" s="689">
        <v>19.2</v>
      </c>
      <c r="F11471" s="689">
        <v>19.399999999999999</v>
      </c>
      <c r="G11471" s="689">
        <v>19.399999999999999</v>
      </c>
      <c r="H11471" s="689">
        <v>19.600000000000001</v>
      </c>
      <c r="I11471" s="689">
        <v>18.899999999999999</v>
      </c>
      <c r="J11471" s="693">
        <v>19</v>
      </c>
      <c r="K11471" s="689">
        <v>19.399999999999999</v>
      </c>
    </row>
    <row r="11472" spans="1:11">
      <c r="A11472" s="688" t="s">
        <v>19</v>
      </c>
      <c r="B11472" s="691">
        <v>18.899999999999999</v>
      </c>
      <c r="C11472" s="615">
        <v>19</v>
      </c>
      <c r="D11472" s="691">
        <v>18.7</v>
      </c>
      <c r="E11472" s="691">
        <v>19.100000000000001</v>
      </c>
      <c r="F11472" s="691">
        <v>19.100000000000001</v>
      </c>
      <c r="G11472" s="691">
        <v>19.100000000000001</v>
      </c>
      <c r="H11472" s="691">
        <v>19.3</v>
      </c>
      <c r="I11472" s="691">
        <v>18.600000000000001</v>
      </c>
      <c r="J11472" s="691">
        <v>18.7</v>
      </c>
      <c r="K11472" s="691">
        <v>18.8</v>
      </c>
    </row>
    <row r="11473" spans="1:11">
      <c r="A11473" s="688" t="s">
        <v>20</v>
      </c>
      <c r="B11473" s="689">
        <v>16.100000000000001</v>
      </c>
      <c r="C11473" s="689">
        <v>16.399999999999999</v>
      </c>
      <c r="D11473" s="689">
        <v>16.2</v>
      </c>
      <c r="E11473" s="689">
        <v>16.5</v>
      </c>
      <c r="F11473" s="689">
        <v>16.399999999999999</v>
      </c>
      <c r="G11473" s="689">
        <v>16.3</v>
      </c>
      <c r="H11473" s="689">
        <v>16.600000000000001</v>
      </c>
      <c r="I11473" s="689">
        <v>15.1</v>
      </c>
      <c r="J11473" s="689">
        <v>14.5</v>
      </c>
      <c r="K11473" s="689">
        <v>15.9</v>
      </c>
    </row>
    <row r="11474" spans="1:11">
      <c r="A11474" s="688" t="s">
        <v>21</v>
      </c>
      <c r="B11474" s="691">
        <v>18.5</v>
      </c>
      <c r="C11474" s="691">
        <v>18.899999999999999</v>
      </c>
      <c r="D11474" s="691">
        <v>18.899999999999999</v>
      </c>
      <c r="E11474" s="691">
        <v>18.899999999999999</v>
      </c>
      <c r="F11474" s="691">
        <v>19.2</v>
      </c>
      <c r="G11474" s="691">
        <v>19.100000000000001</v>
      </c>
      <c r="H11474" s="691">
        <v>19.399999999999999</v>
      </c>
      <c r="I11474" s="615">
        <v>19</v>
      </c>
      <c r="J11474" s="615">
        <v>19</v>
      </c>
      <c r="K11474" s="691">
        <v>19.3</v>
      </c>
    </row>
    <row r="11475" spans="1:11">
      <c r="A11475" s="688" t="s">
        <v>22</v>
      </c>
      <c r="B11475" s="689">
        <v>15.3</v>
      </c>
      <c r="C11475" s="689">
        <v>15.2</v>
      </c>
      <c r="D11475" s="693">
        <v>15</v>
      </c>
      <c r="E11475" s="689">
        <v>15.3</v>
      </c>
      <c r="F11475" s="689">
        <v>15.2</v>
      </c>
      <c r="G11475" s="689">
        <v>15.2</v>
      </c>
      <c r="H11475" s="689">
        <v>15.5</v>
      </c>
      <c r="I11475" s="689">
        <v>13.9</v>
      </c>
      <c r="J11475" s="689">
        <v>13.1</v>
      </c>
      <c r="K11475" s="689">
        <v>14.6</v>
      </c>
    </row>
    <row r="11476" spans="1:11">
      <c r="A11476" s="688" t="s">
        <v>26</v>
      </c>
      <c r="B11476" s="691">
        <v>17.899999999999999</v>
      </c>
      <c r="C11476" s="691">
        <v>18.2</v>
      </c>
      <c r="D11476" s="691">
        <v>18.100000000000001</v>
      </c>
      <c r="E11476" s="691">
        <v>18.399999999999999</v>
      </c>
      <c r="F11476" s="691">
        <v>18.100000000000001</v>
      </c>
      <c r="G11476" s="691">
        <v>18.399999999999999</v>
      </c>
      <c r="H11476" s="691">
        <v>18.600000000000001</v>
      </c>
      <c r="I11476" s="691">
        <v>17.7</v>
      </c>
      <c r="J11476" s="691">
        <v>17.8</v>
      </c>
      <c r="K11476" s="691">
        <v>18.399999999999999</v>
      </c>
    </row>
    <row r="11477" spans="1:11">
      <c r="A11477" s="688" t="s">
        <v>25</v>
      </c>
      <c r="B11477" s="689">
        <v>15.3</v>
      </c>
      <c r="C11477" s="689">
        <v>15.7</v>
      </c>
      <c r="D11477" s="689">
        <v>15.6</v>
      </c>
      <c r="E11477" s="689">
        <v>15.9</v>
      </c>
      <c r="F11477" s="689">
        <v>15.9</v>
      </c>
      <c r="G11477" s="689">
        <v>16.100000000000001</v>
      </c>
      <c r="H11477" s="689">
        <v>16.399999999999999</v>
      </c>
      <c r="I11477" s="689">
        <v>15.5</v>
      </c>
      <c r="J11477" s="689">
        <v>13.9</v>
      </c>
      <c r="K11477" s="689">
        <v>15.6</v>
      </c>
    </row>
    <row r="11478" spans="1:11">
      <c r="A11478" s="688" t="s">
        <v>5</v>
      </c>
      <c r="B11478" s="691">
        <v>18.8</v>
      </c>
      <c r="C11478" s="691">
        <v>18.7</v>
      </c>
      <c r="D11478" s="691">
        <v>18.8</v>
      </c>
      <c r="E11478" s="691">
        <v>18.8</v>
      </c>
      <c r="F11478" s="615">
        <v>19</v>
      </c>
      <c r="G11478" s="691">
        <v>19.100000000000001</v>
      </c>
      <c r="H11478" s="691">
        <v>19.3</v>
      </c>
      <c r="I11478" s="691">
        <v>19.399999999999999</v>
      </c>
      <c r="J11478" s="691">
        <v>19.2</v>
      </c>
      <c r="K11478" s="691">
        <v>18.7</v>
      </c>
    </row>
    <row r="11479" spans="1:11">
      <c r="A11479" s="688" t="s">
        <v>23</v>
      </c>
      <c r="B11479" s="689">
        <v>19.600000000000001</v>
      </c>
      <c r="C11479" s="689">
        <v>19.7</v>
      </c>
      <c r="D11479" s="689">
        <v>19.7</v>
      </c>
      <c r="E11479" s="689">
        <v>19.8</v>
      </c>
      <c r="F11479" s="689">
        <v>19.899999999999999</v>
      </c>
      <c r="G11479" s="693">
        <v>20</v>
      </c>
      <c r="H11479" s="689">
        <v>20.399999999999999</v>
      </c>
      <c r="I11479" s="689">
        <v>19.7</v>
      </c>
      <c r="J11479" s="689">
        <v>20.3</v>
      </c>
      <c r="K11479" s="689">
        <v>20.3</v>
      </c>
    </row>
    <row r="11480" spans="1:11">
      <c r="A11480" s="688" t="s">
        <v>4067</v>
      </c>
      <c r="B11480" s="691">
        <v>18.600000000000001</v>
      </c>
      <c r="C11480" s="691">
        <v>18.899999999999999</v>
      </c>
      <c r="D11480" s="691">
        <v>18.600000000000001</v>
      </c>
      <c r="E11480" s="691">
        <v>18.899999999999999</v>
      </c>
      <c r="F11480" s="691">
        <v>18.899999999999999</v>
      </c>
      <c r="G11480" s="615">
        <v>19</v>
      </c>
      <c r="H11480" s="692" t="s">
        <v>4060</v>
      </c>
      <c r="I11480" s="692" t="s">
        <v>4060</v>
      </c>
      <c r="J11480" s="692" t="s">
        <v>4060</v>
      </c>
      <c r="K11480" s="692" t="s">
        <v>4060</v>
      </c>
    </row>
    <row r="11481" spans="1:11">
      <c r="A11481" s="688" t="s">
        <v>4066</v>
      </c>
      <c r="B11481" s="689">
        <v>18.600000000000001</v>
      </c>
      <c r="C11481" s="689">
        <v>18.899999999999999</v>
      </c>
      <c r="D11481" s="689">
        <v>18.7</v>
      </c>
      <c r="E11481" s="689">
        <v>18.899999999999999</v>
      </c>
      <c r="F11481" s="689">
        <v>18.899999999999999</v>
      </c>
      <c r="G11481" s="693">
        <v>19</v>
      </c>
      <c r="H11481" s="690" t="s">
        <v>4060</v>
      </c>
      <c r="I11481" s="690" t="s">
        <v>4060</v>
      </c>
      <c r="J11481" s="690" t="s">
        <v>4060</v>
      </c>
      <c r="K11481" s="690" t="s">
        <v>4060</v>
      </c>
    </row>
    <row r="11482" spans="1:11">
      <c r="A11482" s="688" t="s">
        <v>4062</v>
      </c>
      <c r="B11482" s="691">
        <v>19.8</v>
      </c>
      <c r="C11482" s="615">
        <v>20</v>
      </c>
      <c r="D11482" s="691">
        <v>19.899999999999999</v>
      </c>
      <c r="E11482" s="691">
        <v>20.3</v>
      </c>
      <c r="F11482" s="691">
        <v>20.399999999999999</v>
      </c>
      <c r="G11482" s="691">
        <v>20.5</v>
      </c>
      <c r="H11482" s="691">
        <v>20.6</v>
      </c>
      <c r="I11482" s="691">
        <v>20.2</v>
      </c>
      <c r="J11482" s="691">
        <v>20.6</v>
      </c>
      <c r="K11482" s="691">
        <v>20.399999999999999</v>
      </c>
    </row>
    <row r="11483" spans="1:11">
      <c r="A11483" s="688" t="s">
        <v>9</v>
      </c>
      <c r="B11483" s="689">
        <v>19.600000000000001</v>
      </c>
      <c r="C11483" s="689">
        <v>20.3</v>
      </c>
      <c r="D11483" s="689">
        <v>20.3</v>
      </c>
      <c r="E11483" s="689">
        <v>19.600000000000001</v>
      </c>
      <c r="F11483" s="689">
        <v>20.399999999999999</v>
      </c>
      <c r="G11483" s="689">
        <v>20.6</v>
      </c>
      <c r="H11483" s="689">
        <v>20.6</v>
      </c>
      <c r="I11483" s="689">
        <v>20.9</v>
      </c>
      <c r="J11483" s="689">
        <v>21.1</v>
      </c>
      <c r="K11483" s="689">
        <v>20.100000000000001</v>
      </c>
    </row>
    <row r="11484" spans="1:11">
      <c r="A11484" s="688" t="s">
        <v>13</v>
      </c>
      <c r="B11484" s="691">
        <v>19.600000000000001</v>
      </c>
      <c r="C11484" s="615">
        <v>20</v>
      </c>
      <c r="D11484" s="691">
        <v>19.899999999999999</v>
      </c>
      <c r="E11484" s="691">
        <v>18.8</v>
      </c>
      <c r="F11484" s="691">
        <v>20.3</v>
      </c>
      <c r="G11484" s="691">
        <v>19.5</v>
      </c>
      <c r="H11484" s="691">
        <v>20.6</v>
      </c>
      <c r="I11484" s="691">
        <v>18.8</v>
      </c>
      <c r="J11484" s="691">
        <v>21.1</v>
      </c>
      <c r="K11484" s="691">
        <v>21.3</v>
      </c>
    </row>
    <row r="11485" spans="1:11">
      <c r="A11485" s="688" t="s">
        <v>18</v>
      </c>
      <c r="B11485" s="689">
        <v>19.3</v>
      </c>
      <c r="C11485" s="689">
        <v>19.5</v>
      </c>
      <c r="D11485" s="689">
        <v>19.600000000000001</v>
      </c>
      <c r="E11485" s="689">
        <v>19.899999999999999</v>
      </c>
      <c r="F11485" s="693">
        <v>20</v>
      </c>
      <c r="G11485" s="689">
        <v>20.100000000000001</v>
      </c>
      <c r="H11485" s="689">
        <v>20.399999999999999</v>
      </c>
      <c r="I11485" s="689">
        <v>20.5</v>
      </c>
      <c r="J11485" s="689">
        <v>20.5</v>
      </c>
      <c r="K11485" s="693">
        <v>20</v>
      </c>
    </row>
    <row r="11486" spans="1:11">
      <c r="A11486" s="688" t="s">
        <v>24</v>
      </c>
      <c r="B11486" s="691">
        <v>20.100000000000001</v>
      </c>
      <c r="C11486" s="691">
        <v>20.2</v>
      </c>
      <c r="D11486" s="615">
        <v>20</v>
      </c>
      <c r="E11486" s="691">
        <v>20.5</v>
      </c>
      <c r="F11486" s="691">
        <v>20.6</v>
      </c>
      <c r="G11486" s="691">
        <v>20.7</v>
      </c>
      <c r="H11486" s="691">
        <v>20.8</v>
      </c>
      <c r="I11486" s="615">
        <v>20</v>
      </c>
      <c r="J11486" s="691">
        <v>20.7</v>
      </c>
      <c r="K11486" s="691">
        <v>20.6</v>
      </c>
    </row>
    <row r="11487" spans="1:11">
      <c r="A11487" s="688" t="s">
        <v>4059</v>
      </c>
      <c r="B11487" s="689">
        <v>19.3</v>
      </c>
      <c r="C11487" s="689">
        <v>19.600000000000001</v>
      </c>
      <c r="D11487" s="689">
        <v>19.3</v>
      </c>
      <c r="E11487" s="689">
        <v>19.600000000000001</v>
      </c>
      <c r="F11487" s="689">
        <v>19.600000000000001</v>
      </c>
      <c r="G11487" s="689">
        <v>19.7</v>
      </c>
      <c r="H11487" s="690" t="s">
        <v>4060</v>
      </c>
      <c r="I11487" s="690" t="s">
        <v>4060</v>
      </c>
      <c r="J11487" s="690" t="s">
        <v>4060</v>
      </c>
      <c r="K11487" s="690" t="s">
        <v>4060</v>
      </c>
    </row>
    <row r="11488" spans="1:11">
      <c r="A11488" s="688" t="s">
        <v>2324</v>
      </c>
      <c r="B11488" s="691">
        <v>15.7</v>
      </c>
      <c r="C11488" s="691">
        <v>15.8</v>
      </c>
      <c r="D11488" s="691">
        <v>15.6</v>
      </c>
      <c r="E11488" s="691">
        <v>15.3</v>
      </c>
      <c r="F11488" s="691">
        <v>15.6</v>
      </c>
      <c r="G11488" s="691">
        <v>15.7</v>
      </c>
      <c r="H11488" s="691">
        <v>15.8</v>
      </c>
      <c r="I11488" s="691">
        <v>14.6</v>
      </c>
      <c r="J11488" s="691">
        <v>12.7</v>
      </c>
      <c r="K11488" s="692" t="s">
        <v>4060</v>
      </c>
    </row>
    <row r="11489" spans="1:11">
      <c r="A11489" s="688" t="s">
        <v>2322</v>
      </c>
      <c r="B11489" s="690" t="s">
        <v>4060</v>
      </c>
      <c r="C11489" s="690" t="s">
        <v>4060</v>
      </c>
      <c r="D11489" s="690" t="s">
        <v>4060</v>
      </c>
      <c r="E11489" s="690" t="s">
        <v>4060</v>
      </c>
      <c r="F11489" s="690" t="s">
        <v>4060</v>
      </c>
      <c r="G11489" s="690" t="s">
        <v>4060</v>
      </c>
      <c r="H11489" s="690" t="s">
        <v>4060</v>
      </c>
      <c r="I11489" s="690" t="s">
        <v>4060</v>
      </c>
      <c r="J11489" s="690" t="s">
        <v>4060</v>
      </c>
      <c r="K11489" s="690" t="s">
        <v>4060</v>
      </c>
    </row>
    <row r="11490" spans="1:11">
      <c r="A11490" s="688" t="s">
        <v>2328</v>
      </c>
      <c r="B11490" s="691">
        <v>15.1</v>
      </c>
      <c r="C11490" s="691">
        <v>15.2</v>
      </c>
      <c r="D11490" s="615">
        <v>15</v>
      </c>
      <c r="E11490" s="691">
        <v>15.1</v>
      </c>
      <c r="F11490" s="691">
        <v>15.3</v>
      </c>
      <c r="G11490" s="691">
        <v>15.6</v>
      </c>
      <c r="H11490" s="691">
        <v>15.6</v>
      </c>
      <c r="I11490" s="691">
        <v>13.7</v>
      </c>
      <c r="J11490" s="691">
        <v>13.2</v>
      </c>
      <c r="K11490" s="692" t="s">
        <v>4060</v>
      </c>
    </row>
    <row r="11491" spans="1:11">
      <c r="A11491" s="688" t="s">
        <v>2496</v>
      </c>
      <c r="B11491" s="690" t="s">
        <v>4060</v>
      </c>
      <c r="C11491" s="689">
        <v>14.7</v>
      </c>
      <c r="D11491" s="689">
        <v>13.8</v>
      </c>
      <c r="E11491" s="689">
        <v>13.5</v>
      </c>
      <c r="F11491" s="689">
        <v>13.9</v>
      </c>
      <c r="G11491" s="689">
        <v>14.2</v>
      </c>
      <c r="H11491" s="689">
        <v>14.2</v>
      </c>
      <c r="I11491" s="690" t="s">
        <v>4060</v>
      </c>
      <c r="J11491" s="690" t="s">
        <v>4060</v>
      </c>
      <c r="K11491" s="689">
        <v>13.6</v>
      </c>
    </row>
    <row r="11492" spans="1:11">
      <c r="A11492" s="688" t="s">
        <v>2269</v>
      </c>
      <c r="B11492" s="691">
        <v>17.399999999999999</v>
      </c>
      <c r="C11492" s="691">
        <v>17.5</v>
      </c>
      <c r="D11492" s="691">
        <v>17.100000000000001</v>
      </c>
      <c r="E11492" s="691">
        <v>17.7</v>
      </c>
      <c r="F11492" s="691">
        <v>17.8</v>
      </c>
      <c r="G11492" s="615">
        <v>18</v>
      </c>
      <c r="H11492" s="691">
        <v>18.3</v>
      </c>
      <c r="I11492" s="691">
        <v>16.3</v>
      </c>
      <c r="J11492" s="691">
        <v>14.6</v>
      </c>
      <c r="K11492" s="691">
        <v>17.899999999999999</v>
      </c>
    </row>
    <row r="11493" spans="1:11">
      <c r="A11493" s="688" t="s">
        <v>2349</v>
      </c>
      <c r="B11493" s="693">
        <v>15</v>
      </c>
      <c r="C11493" s="689">
        <v>15.1</v>
      </c>
      <c r="D11493" s="693">
        <v>15</v>
      </c>
      <c r="E11493" s="689">
        <v>15.3</v>
      </c>
      <c r="F11493" s="689">
        <v>15.2</v>
      </c>
      <c r="G11493" s="689">
        <v>15.3</v>
      </c>
      <c r="H11493" s="689">
        <v>15.4</v>
      </c>
      <c r="I11493" s="693">
        <v>14</v>
      </c>
      <c r="J11493" s="689">
        <v>12.8</v>
      </c>
      <c r="K11493" s="689">
        <v>14.7</v>
      </c>
    </row>
    <row r="11494" spans="1:11">
      <c r="A11494" s="688" t="s">
        <v>2355</v>
      </c>
      <c r="B11494" s="615">
        <v>17</v>
      </c>
      <c r="C11494" s="691">
        <v>16.899999999999999</v>
      </c>
      <c r="D11494" s="691">
        <v>16.899999999999999</v>
      </c>
      <c r="E11494" s="691">
        <v>16.8</v>
      </c>
      <c r="F11494" s="615">
        <v>17</v>
      </c>
      <c r="G11494" s="691">
        <v>17.3</v>
      </c>
      <c r="H11494" s="691">
        <v>17.399999999999999</v>
      </c>
      <c r="I11494" s="692" t="s">
        <v>4060</v>
      </c>
      <c r="J11494" s="692" t="s">
        <v>4060</v>
      </c>
      <c r="K11494" s="692" t="s">
        <v>4060</v>
      </c>
    </row>
    <row r="11495" spans="1:11">
      <c r="A11495" s="688" t="s">
        <v>2357</v>
      </c>
      <c r="B11495" s="690" t="s">
        <v>4060</v>
      </c>
      <c r="C11495" s="689">
        <v>13.6</v>
      </c>
      <c r="D11495" s="689">
        <v>13.7</v>
      </c>
      <c r="E11495" s="693">
        <v>14</v>
      </c>
      <c r="F11495" s="689">
        <v>14.2</v>
      </c>
      <c r="G11495" s="689">
        <v>13.9</v>
      </c>
      <c r="H11495" s="689">
        <v>14.1</v>
      </c>
      <c r="I11495" s="690" t="s">
        <v>4060</v>
      </c>
      <c r="J11495" s="690" t="s">
        <v>4060</v>
      </c>
      <c r="K11495" s="690" t="s">
        <v>4060</v>
      </c>
    </row>
    <row r="11496" spans="1:11">
      <c r="A11496" s="688" t="s">
        <v>4070</v>
      </c>
      <c r="B11496" s="692" t="s">
        <v>4060</v>
      </c>
      <c r="C11496" s="692" t="s">
        <v>4060</v>
      </c>
      <c r="D11496" s="692" t="s">
        <v>4060</v>
      </c>
      <c r="E11496" s="691">
        <v>16.399999999999999</v>
      </c>
      <c r="F11496" s="692" t="s">
        <v>4060</v>
      </c>
      <c r="G11496" s="692" t="s">
        <v>4060</v>
      </c>
      <c r="H11496" s="692" t="s">
        <v>4060</v>
      </c>
      <c r="I11496" s="692" t="s">
        <v>4060</v>
      </c>
      <c r="J11496" s="692" t="s">
        <v>4060</v>
      </c>
      <c r="K11496" s="692" t="s">
        <v>4060</v>
      </c>
    </row>
    <row r="11497" spans="1:11">
      <c r="A11497" s="688" t="s">
        <v>2491</v>
      </c>
      <c r="B11497" s="689">
        <v>13.1</v>
      </c>
      <c r="C11497" s="689">
        <v>13.4</v>
      </c>
      <c r="D11497" s="689">
        <v>13.5</v>
      </c>
      <c r="E11497" s="689">
        <v>13.5</v>
      </c>
      <c r="F11497" s="689">
        <v>13.5</v>
      </c>
      <c r="G11497" s="689">
        <v>13.6</v>
      </c>
      <c r="H11497" s="690" t="s">
        <v>4060</v>
      </c>
      <c r="I11497" s="690" t="s">
        <v>4060</v>
      </c>
      <c r="J11497" s="690" t="s">
        <v>4060</v>
      </c>
      <c r="K11497" s="690" t="s">
        <v>4060</v>
      </c>
    </row>
    <row r="11498" spans="1:11">
      <c r="A11498" s="688" t="s">
        <v>2343</v>
      </c>
      <c r="B11498" s="692" t="s">
        <v>4060</v>
      </c>
      <c r="C11498" s="692" t="s">
        <v>4060</v>
      </c>
      <c r="D11498" s="692" t="s">
        <v>4060</v>
      </c>
      <c r="E11498" s="692" t="s">
        <v>4060</v>
      </c>
      <c r="F11498" s="692" t="s">
        <v>4060</v>
      </c>
      <c r="G11498" s="692" t="s">
        <v>4060</v>
      </c>
      <c r="H11498" s="692" t="s">
        <v>4060</v>
      </c>
      <c r="I11498" s="692" t="s">
        <v>4060</v>
      </c>
      <c r="J11498" s="692" t="s">
        <v>4060</v>
      </c>
      <c r="K11498" s="692" t="s">
        <v>4060</v>
      </c>
    </row>
    <row r="11499" spans="1:11">
      <c r="A11499" s="688" t="s">
        <v>4071</v>
      </c>
      <c r="B11499" s="690" t="s">
        <v>4060</v>
      </c>
      <c r="C11499" s="690" t="s">
        <v>4060</v>
      </c>
      <c r="D11499" s="690" t="s">
        <v>4060</v>
      </c>
      <c r="E11499" s="690" t="s">
        <v>4060</v>
      </c>
      <c r="F11499" s="690" t="s">
        <v>4060</v>
      </c>
      <c r="G11499" s="690" t="s">
        <v>4060</v>
      </c>
      <c r="H11499" s="690" t="s">
        <v>4060</v>
      </c>
      <c r="I11499" s="690" t="s">
        <v>4060</v>
      </c>
      <c r="J11499" s="690" t="s">
        <v>4060</v>
      </c>
      <c r="K11499" s="690" t="s">
        <v>4060</v>
      </c>
    </row>
    <row r="11500" spans="1:11">
      <c r="A11500" s="688" t="s">
        <v>2489</v>
      </c>
      <c r="B11500" s="692" t="s">
        <v>4060</v>
      </c>
      <c r="C11500" s="692" t="s">
        <v>4060</v>
      </c>
      <c r="D11500" s="691">
        <v>15.1</v>
      </c>
      <c r="E11500" s="691">
        <v>15.1</v>
      </c>
      <c r="F11500" s="691">
        <v>15.3</v>
      </c>
      <c r="G11500" s="691">
        <v>15.8</v>
      </c>
      <c r="H11500" s="615">
        <v>16</v>
      </c>
      <c r="I11500" s="692" t="s">
        <v>4060</v>
      </c>
      <c r="J11500" s="692" t="s">
        <v>4060</v>
      </c>
      <c r="K11500" s="692" t="s">
        <v>4060</v>
      </c>
    </row>
    <row r="11501" spans="1:11">
      <c r="A11501" s="688" t="s">
        <v>2490</v>
      </c>
      <c r="B11501" s="689">
        <v>15.4</v>
      </c>
      <c r="C11501" s="689">
        <v>15.2</v>
      </c>
      <c r="D11501" s="693">
        <v>16</v>
      </c>
      <c r="E11501" s="690" t="s">
        <v>4060</v>
      </c>
      <c r="F11501" s="689">
        <v>16.3</v>
      </c>
      <c r="G11501" s="689">
        <v>16.2</v>
      </c>
      <c r="H11501" s="689">
        <v>17.100000000000001</v>
      </c>
      <c r="I11501" s="690" t="s">
        <v>4060</v>
      </c>
      <c r="J11501" s="690" t="s">
        <v>4060</v>
      </c>
      <c r="K11501" s="690" t="s">
        <v>4060</v>
      </c>
    </row>
    <row r="11503" spans="1:11">
      <c r="A11503" s="683" t="s">
        <v>4233</v>
      </c>
    </row>
    <row r="11504" spans="1:11">
      <c r="A11504" s="683" t="s">
        <v>4060</v>
      </c>
      <c r="B11504" s="682" t="s">
        <v>4234</v>
      </c>
    </row>
    <row r="11506" spans="1:11">
      <c r="A11506" s="682" t="s">
        <v>4331</v>
      </c>
    </row>
    <row r="11507" spans="1:11">
      <c r="A11507" s="682" t="s">
        <v>4210</v>
      </c>
      <c r="B11507" s="683" t="s">
        <v>4211</v>
      </c>
    </row>
    <row r="11508" spans="1:11">
      <c r="A11508" s="682" t="s">
        <v>4212</v>
      </c>
      <c r="B11508" s="682" t="s">
        <v>4213</v>
      </c>
    </row>
    <row r="11510" spans="1:11">
      <c r="A11510" s="683" t="s">
        <v>4214</v>
      </c>
      <c r="C11510" s="682" t="s">
        <v>4215</v>
      </c>
    </row>
    <row r="11511" spans="1:11">
      <c r="A11511" s="683" t="s">
        <v>4216</v>
      </c>
      <c r="C11511" s="682" t="s">
        <v>2967</v>
      </c>
    </row>
    <row r="11512" spans="1:11">
      <c r="A11512" s="683" t="s">
        <v>3893</v>
      </c>
      <c r="C11512" s="682" t="s">
        <v>2168</v>
      </c>
    </row>
    <row r="11513" spans="1:11">
      <c r="A11513" s="683" t="s">
        <v>4218</v>
      </c>
      <c r="C11513" s="682" t="s">
        <v>2993</v>
      </c>
    </row>
    <row r="11515" spans="1:11">
      <c r="A11515" s="684" t="s">
        <v>4220</v>
      </c>
      <c r="B11515" s="685" t="s">
        <v>4221</v>
      </c>
      <c r="C11515" s="685" t="s">
        <v>4222</v>
      </c>
      <c r="D11515" s="685" t="s">
        <v>4223</v>
      </c>
      <c r="E11515" s="685" t="s">
        <v>4224</v>
      </c>
      <c r="F11515" s="685" t="s">
        <v>4225</v>
      </c>
      <c r="G11515" s="685" t="s">
        <v>4226</v>
      </c>
      <c r="H11515" s="685" t="s">
        <v>4227</v>
      </c>
      <c r="I11515" s="685" t="s">
        <v>4228</v>
      </c>
      <c r="J11515" s="685" t="s">
        <v>4229</v>
      </c>
      <c r="K11515" s="685" t="s">
        <v>4230</v>
      </c>
    </row>
    <row r="11516" spans="1:11">
      <c r="A11516" s="686" t="s">
        <v>4231</v>
      </c>
      <c r="B11516" s="687" t="s">
        <v>4232</v>
      </c>
      <c r="C11516" s="687" t="s">
        <v>4232</v>
      </c>
      <c r="D11516" s="687" t="s">
        <v>4232</v>
      </c>
      <c r="E11516" s="687" t="s">
        <v>4232</v>
      </c>
      <c r="F11516" s="687" t="s">
        <v>4232</v>
      </c>
      <c r="G11516" s="687" t="s">
        <v>4232</v>
      </c>
      <c r="H11516" s="687" t="s">
        <v>4232</v>
      </c>
      <c r="I11516" s="687" t="s">
        <v>4232</v>
      </c>
      <c r="J11516" s="687" t="s">
        <v>4232</v>
      </c>
      <c r="K11516" s="687" t="s">
        <v>4232</v>
      </c>
    </row>
    <row r="11517" spans="1:11">
      <c r="A11517" s="688" t="s">
        <v>2269</v>
      </c>
      <c r="B11517" s="689">
        <v>16.600000000000001</v>
      </c>
      <c r="C11517" s="689">
        <v>16.7</v>
      </c>
      <c r="D11517" s="689">
        <v>16.399999999999999</v>
      </c>
      <c r="E11517" s="689">
        <v>16.899999999999999</v>
      </c>
      <c r="F11517" s="693">
        <v>17</v>
      </c>
      <c r="G11517" s="689">
        <v>17.2</v>
      </c>
      <c r="H11517" s="689">
        <v>17.5</v>
      </c>
      <c r="I11517" s="689">
        <v>15.6</v>
      </c>
      <c r="J11517" s="689">
        <v>13.9</v>
      </c>
      <c r="K11517" s="689">
        <v>17.100000000000001</v>
      </c>
    </row>
    <row r="11518" spans="1:11">
      <c r="A11518" s="688" t="s">
        <v>2489</v>
      </c>
      <c r="B11518" s="690" t="s">
        <v>4060</v>
      </c>
      <c r="C11518" s="690" t="s">
        <v>4060</v>
      </c>
      <c r="D11518" s="689">
        <v>14.5</v>
      </c>
      <c r="E11518" s="689">
        <v>14.5</v>
      </c>
      <c r="F11518" s="689">
        <v>14.7</v>
      </c>
      <c r="G11518" s="689">
        <v>15.2</v>
      </c>
      <c r="H11518" s="689">
        <v>15.3</v>
      </c>
      <c r="I11518" s="690" t="s">
        <v>4060</v>
      </c>
      <c r="J11518" s="690" t="s">
        <v>4060</v>
      </c>
      <c r="K11518" s="690" t="s">
        <v>4060</v>
      </c>
    </row>
    <row r="11519" spans="1:11">
      <c r="A11519" s="688" t="s">
        <v>2490</v>
      </c>
      <c r="B11519" s="691">
        <v>14.7</v>
      </c>
      <c r="C11519" s="691">
        <v>14.5</v>
      </c>
      <c r="D11519" s="691">
        <v>15.4</v>
      </c>
      <c r="E11519" s="692" t="s">
        <v>4060</v>
      </c>
      <c r="F11519" s="691">
        <v>15.6</v>
      </c>
      <c r="G11519" s="691">
        <v>15.6</v>
      </c>
      <c r="H11519" s="691">
        <v>16.5</v>
      </c>
      <c r="I11519" s="692" t="s">
        <v>4060</v>
      </c>
      <c r="J11519" s="692" t="s">
        <v>4060</v>
      </c>
      <c r="K11519" s="692" t="s">
        <v>4060</v>
      </c>
    </row>
    <row r="11520" spans="1:11">
      <c r="A11520" s="688" t="s">
        <v>2491</v>
      </c>
      <c r="B11520" s="691">
        <v>12.6</v>
      </c>
      <c r="C11520" s="691">
        <v>12.8</v>
      </c>
      <c r="D11520" s="691">
        <v>12.9</v>
      </c>
      <c r="E11520" s="691">
        <v>12.9</v>
      </c>
      <c r="F11520" s="691">
        <v>12.9</v>
      </c>
      <c r="G11520" s="615">
        <v>13</v>
      </c>
      <c r="H11520" s="692" t="s">
        <v>4060</v>
      </c>
      <c r="I11520" s="692" t="s">
        <v>4060</v>
      </c>
      <c r="J11520" s="692" t="s">
        <v>4060</v>
      </c>
      <c r="K11520" s="692" t="s">
        <v>4060</v>
      </c>
    </row>
    <row r="11521" spans="1:11">
      <c r="A11521" s="688" t="s">
        <v>0</v>
      </c>
      <c r="B11521" s="691">
        <v>17.8</v>
      </c>
      <c r="C11521" s="691">
        <v>18.100000000000001</v>
      </c>
      <c r="D11521" s="615">
        <v>18</v>
      </c>
      <c r="E11521" s="691">
        <v>18.2</v>
      </c>
      <c r="F11521" s="691">
        <v>18.3</v>
      </c>
      <c r="G11521" s="691">
        <v>18.399999999999999</v>
      </c>
      <c r="H11521" s="691">
        <v>18.7</v>
      </c>
      <c r="I11521" s="691">
        <v>17.600000000000001</v>
      </c>
      <c r="J11521" s="691">
        <v>18.399999999999999</v>
      </c>
      <c r="K11521" s="691">
        <v>18.5</v>
      </c>
    </row>
    <row r="11522" spans="1:11">
      <c r="A11522" s="688" t="s">
        <v>1</v>
      </c>
      <c r="B11522" s="689">
        <v>14.2</v>
      </c>
      <c r="C11522" s="693">
        <v>14</v>
      </c>
      <c r="D11522" s="693">
        <v>14</v>
      </c>
      <c r="E11522" s="689">
        <v>14.1</v>
      </c>
      <c r="F11522" s="693">
        <v>14</v>
      </c>
      <c r="G11522" s="689">
        <v>14.1</v>
      </c>
      <c r="H11522" s="689">
        <v>14.1</v>
      </c>
      <c r="I11522" s="689">
        <v>12.8</v>
      </c>
      <c r="J11522" s="689">
        <v>11.6</v>
      </c>
      <c r="K11522" s="689">
        <v>13.3</v>
      </c>
    </row>
    <row r="11523" spans="1:11">
      <c r="A11523" s="688" t="s">
        <v>2</v>
      </c>
      <c r="B11523" s="689">
        <v>17.7</v>
      </c>
      <c r="C11523" s="689">
        <v>17.899999999999999</v>
      </c>
      <c r="D11523" s="689">
        <v>17.899999999999999</v>
      </c>
      <c r="E11523" s="689">
        <v>18.100000000000001</v>
      </c>
      <c r="F11523" s="689">
        <v>18.100000000000001</v>
      </c>
      <c r="G11523" s="693">
        <v>18</v>
      </c>
      <c r="H11523" s="689">
        <v>18.3</v>
      </c>
      <c r="I11523" s="689">
        <v>18.3</v>
      </c>
      <c r="J11523" s="689">
        <v>18.2</v>
      </c>
      <c r="K11523" s="689">
        <v>18.100000000000001</v>
      </c>
    </row>
    <row r="11524" spans="1:11">
      <c r="A11524" s="688" t="s">
        <v>3</v>
      </c>
      <c r="B11524" s="691">
        <v>17.8</v>
      </c>
      <c r="C11524" s="691">
        <v>17.899999999999999</v>
      </c>
      <c r="D11524" s="691">
        <v>17.7</v>
      </c>
      <c r="E11524" s="691">
        <v>17.899999999999999</v>
      </c>
      <c r="F11524" s="691">
        <v>17.899999999999999</v>
      </c>
      <c r="G11524" s="691">
        <v>17.899999999999999</v>
      </c>
      <c r="H11524" s="691">
        <v>18.100000000000001</v>
      </c>
      <c r="I11524" s="691">
        <v>17.8</v>
      </c>
      <c r="J11524" s="691">
        <v>17.600000000000001</v>
      </c>
      <c r="K11524" s="691">
        <v>17.399999999999999</v>
      </c>
    </row>
    <row r="11525" spans="1:11">
      <c r="A11525" s="688" t="s">
        <v>4061</v>
      </c>
      <c r="B11525" s="689">
        <v>17.8</v>
      </c>
      <c r="C11525" s="689">
        <v>17.899999999999999</v>
      </c>
      <c r="D11525" s="689">
        <v>17.7</v>
      </c>
      <c r="E11525" s="689">
        <v>17.899999999999999</v>
      </c>
      <c r="F11525" s="689">
        <v>17.899999999999999</v>
      </c>
      <c r="G11525" s="689">
        <v>17.899999999999999</v>
      </c>
      <c r="H11525" s="689">
        <v>18.100000000000001</v>
      </c>
      <c r="I11525" s="689">
        <v>17.8</v>
      </c>
      <c r="J11525" s="689">
        <v>17.600000000000001</v>
      </c>
      <c r="K11525" s="689">
        <v>17.399999999999999</v>
      </c>
    </row>
    <row r="11526" spans="1:11">
      <c r="A11526" s="688" t="s">
        <v>4</v>
      </c>
      <c r="B11526" s="691">
        <v>15.2</v>
      </c>
      <c r="C11526" s="691">
        <v>15.1</v>
      </c>
      <c r="D11526" s="691">
        <v>15.3</v>
      </c>
      <c r="E11526" s="691">
        <v>15.4</v>
      </c>
      <c r="F11526" s="691">
        <v>15.4</v>
      </c>
      <c r="G11526" s="691">
        <v>15.5</v>
      </c>
      <c r="H11526" s="691">
        <v>15.7</v>
      </c>
      <c r="I11526" s="691">
        <v>15.8</v>
      </c>
      <c r="J11526" s="691">
        <v>14.5</v>
      </c>
      <c r="K11526" s="691">
        <v>15.2</v>
      </c>
    </row>
    <row r="11527" spans="1:11">
      <c r="A11527" s="688" t="s">
        <v>4062</v>
      </c>
      <c r="B11527" s="693">
        <v>19</v>
      </c>
      <c r="C11527" s="689">
        <v>19.100000000000001</v>
      </c>
      <c r="D11527" s="689">
        <v>19.100000000000001</v>
      </c>
      <c r="E11527" s="689">
        <v>19.5</v>
      </c>
      <c r="F11527" s="689">
        <v>19.5</v>
      </c>
      <c r="G11527" s="689">
        <v>19.7</v>
      </c>
      <c r="H11527" s="689">
        <v>19.8</v>
      </c>
      <c r="I11527" s="689">
        <v>19.399999999999999</v>
      </c>
      <c r="J11527" s="689">
        <v>19.8</v>
      </c>
      <c r="K11527" s="689">
        <v>19.600000000000001</v>
      </c>
    </row>
    <row r="11528" spans="1:11">
      <c r="A11528" s="688" t="s">
        <v>4063</v>
      </c>
      <c r="B11528" s="689">
        <v>17.899999999999999</v>
      </c>
      <c r="C11528" s="689">
        <v>18.2</v>
      </c>
      <c r="D11528" s="689">
        <v>17.899999999999999</v>
      </c>
      <c r="E11528" s="689">
        <v>18.2</v>
      </c>
      <c r="F11528" s="689">
        <v>18.2</v>
      </c>
      <c r="G11528" s="689">
        <v>18.3</v>
      </c>
      <c r="H11528" s="690" t="s">
        <v>4060</v>
      </c>
      <c r="I11528" s="690" t="s">
        <v>4060</v>
      </c>
      <c r="J11528" s="690" t="s">
        <v>4060</v>
      </c>
      <c r="K11528" s="690" t="s">
        <v>4060</v>
      </c>
    </row>
    <row r="11529" spans="1:11">
      <c r="A11529" s="688" t="s">
        <v>4064</v>
      </c>
      <c r="B11529" s="689">
        <v>17.8</v>
      </c>
      <c r="C11529" s="689">
        <v>17.8</v>
      </c>
      <c r="D11529" s="689">
        <v>17.8</v>
      </c>
      <c r="E11529" s="689">
        <v>17.899999999999999</v>
      </c>
      <c r="F11529" s="689">
        <v>17.899999999999999</v>
      </c>
      <c r="G11529" s="693">
        <v>18</v>
      </c>
      <c r="H11529" s="689">
        <v>18.100000000000001</v>
      </c>
      <c r="I11529" s="689">
        <v>17.3</v>
      </c>
      <c r="J11529" s="689">
        <v>17.2</v>
      </c>
      <c r="K11529" s="689">
        <v>17.600000000000001</v>
      </c>
    </row>
    <row r="11530" spans="1:11">
      <c r="A11530" s="688" t="s">
        <v>4065</v>
      </c>
      <c r="B11530" s="691">
        <v>17.899999999999999</v>
      </c>
      <c r="C11530" s="691">
        <v>18.2</v>
      </c>
      <c r="D11530" s="691">
        <v>17.899999999999999</v>
      </c>
      <c r="E11530" s="691">
        <v>18.2</v>
      </c>
      <c r="F11530" s="691">
        <v>18.100000000000001</v>
      </c>
      <c r="G11530" s="691">
        <v>18.2</v>
      </c>
      <c r="H11530" s="692" t="s">
        <v>4060</v>
      </c>
      <c r="I11530" s="692" t="s">
        <v>4060</v>
      </c>
      <c r="J11530" s="692" t="s">
        <v>4060</v>
      </c>
      <c r="K11530" s="692" t="s">
        <v>4060</v>
      </c>
    </row>
    <row r="11531" spans="1:11">
      <c r="A11531" s="688" t="s">
        <v>4066</v>
      </c>
      <c r="B11531" s="691">
        <v>17.899999999999999</v>
      </c>
      <c r="C11531" s="691">
        <v>18.2</v>
      </c>
      <c r="D11531" s="691">
        <v>17.899999999999999</v>
      </c>
      <c r="E11531" s="691">
        <v>18.2</v>
      </c>
      <c r="F11531" s="691">
        <v>18.2</v>
      </c>
      <c r="G11531" s="691">
        <v>18.3</v>
      </c>
      <c r="H11531" s="692" t="s">
        <v>4060</v>
      </c>
      <c r="I11531" s="692" t="s">
        <v>4060</v>
      </c>
      <c r="J11531" s="692" t="s">
        <v>4060</v>
      </c>
      <c r="K11531" s="692" t="s">
        <v>4060</v>
      </c>
    </row>
    <row r="11532" spans="1:11">
      <c r="A11532" s="688" t="s">
        <v>4067</v>
      </c>
      <c r="B11532" s="689">
        <v>17.899999999999999</v>
      </c>
      <c r="C11532" s="689">
        <v>18.2</v>
      </c>
      <c r="D11532" s="689">
        <v>17.899999999999999</v>
      </c>
      <c r="E11532" s="689">
        <v>18.2</v>
      </c>
      <c r="F11532" s="689">
        <v>18.2</v>
      </c>
      <c r="G11532" s="689">
        <v>18.2</v>
      </c>
      <c r="H11532" s="690" t="s">
        <v>4060</v>
      </c>
      <c r="I11532" s="690" t="s">
        <v>4060</v>
      </c>
      <c r="J11532" s="690" t="s">
        <v>4060</v>
      </c>
      <c r="K11532" s="690" t="s">
        <v>4060</v>
      </c>
    </row>
    <row r="11533" spans="1:11">
      <c r="A11533" s="688" t="s">
        <v>4068</v>
      </c>
      <c r="B11533" s="689">
        <v>18.399999999999999</v>
      </c>
      <c r="C11533" s="690" t="s">
        <v>4060</v>
      </c>
      <c r="D11533" s="690" t="s">
        <v>4060</v>
      </c>
      <c r="E11533" s="690" t="s">
        <v>4060</v>
      </c>
      <c r="F11533" s="690" t="s">
        <v>4060</v>
      </c>
      <c r="G11533" s="690" t="s">
        <v>4060</v>
      </c>
      <c r="H11533" s="690" t="s">
        <v>4060</v>
      </c>
      <c r="I11533" s="690" t="s">
        <v>4060</v>
      </c>
      <c r="J11533" s="690" t="s">
        <v>4060</v>
      </c>
      <c r="K11533" s="690" t="s">
        <v>4060</v>
      </c>
    </row>
    <row r="11534" spans="1:11">
      <c r="A11534" s="688" t="s">
        <v>4069</v>
      </c>
      <c r="B11534" s="692" t="s">
        <v>4060</v>
      </c>
      <c r="C11534" s="691">
        <v>18.399999999999999</v>
      </c>
      <c r="D11534" s="691">
        <v>18.2</v>
      </c>
      <c r="E11534" s="691">
        <v>18.5</v>
      </c>
      <c r="F11534" s="691">
        <v>18.5</v>
      </c>
      <c r="G11534" s="691">
        <v>18.600000000000001</v>
      </c>
      <c r="H11534" s="691">
        <v>18.8</v>
      </c>
      <c r="I11534" s="691">
        <v>18.100000000000001</v>
      </c>
      <c r="J11534" s="691">
        <v>18.2</v>
      </c>
      <c r="K11534" s="691">
        <v>18.3</v>
      </c>
    </row>
    <row r="11535" spans="1:11">
      <c r="A11535" s="688" t="s">
        <v>5</v>
      </c>
      <c r="B11535" s="693">
        <v>18</v>
      </c>
      <c r="C11535" s="693">
        <v>18</v>
      </c>
      <c r="D11535" s="689">
        <v>18.100000000000001</v>
      </c>
      <c r="E11535" s="693">
        <v>18</v>
      </c>
      <c r="F11535" s="689">
        <v>18.2</v>
      </c>
      <c r="G11535" s="689">
        <v>18.399999999999999</v>
      </c>
      <c r="H11535" s="689">
        <v>18.600000000000001</v>
      </c>
      <c r="I11535" s="689">
        <v>18.600000000000001</v>
      </c>
      <c r="J11535" s="689">
        <v>18.399999999999999</v>
      </c>
      <c r="K11535" s="689">
        <v>17.899999999999999</v>
      </c>
    </row>
    <row r="11536" spans="1:11">
      <c r="A11536" s="688" t="s">
        <v>6</v>
      </c>
      <c r="B11536" s="691">
        <v>19.3</v>
      </c>
      <c r="C11536" s="691">
        <v>19.3</v>
      </c>
      <c r="D11536" s="691">
        <v>19.100000000000001</v>
      </c>
      <c r="E11536" s="691">
        <v>19.3</v>
      </c>
      <c r="F11536" s="691">
        <v>19.399999999999999</v>
      </c>
      <c r="G11536" s="691">
        <v>19.5</v>
      </c>
      <c r="H11536" s="691">
        <v>19.600000000000001</v>
      </c>
      <c r="I11536" s="691">
        <v>18.899999999999999</v>
      </c>
      <c r="J11536" s="615">
        <v>19</v>
      </c>
      <c r="K11536" s="691">
        <v>19.2</v>
      </c>
    </row>
    <row r="11537" spans="1:11">
      <c r="A11537" s="688" t="s">
        <v>4058</v>
      </c>
      <c r="B11537" s="690" t="s">
        <v>4060</v>
      </c>
      <c r="C11537" s="690" t="s">
        <v>4060</v>
      </c>
      <c r="D11537" s="690" t="s">
        <v>4060</v>
      </c>
      <c r="E11537" s="690" t="s">
        <v>4060</v>
      </c>
      <c r="F11537" s="690" t="s">
        <v>4060</v>
      </c>
      <c r="G11537" s="690" t="s">
        <v>4060</v>
      </c>
      <c r="H11537" s="690" t="s">
        <v>4060</v>
      </c>
      <c r="I11537" s="690" t="s">
        <v>4060</v>
      </c>
      <c r="J11537" s="690" t="s">
        <v>4060</v>
      </c>
      <c r="K11537" s="690" t="s">
        <v>4060</v>
      </c>
    </row>
    <row r="11538" spans="1:11">
      <c r="A11538" s="688" t="s">
        <v>2496</v>
      </c>
      <c r="B11538" s="692" t="s">
        <v>4060</v>
      </c>
      <c r="C11538" s="691">
        <v>14.1</v>
      </c>
      <c r="D11538" s="691">
        <v>13.2</v>
      </c>
      <c r="E11538" s="691">
        <v>12.9</v>
      </c>
      <c r="F11538" s="691">
        <v>13.3</v>
      </c>
      <c r="G11538" s="691">
        <v>13.6</v>
      </c>
      <c r="H11538" s="691">
        <v>13.6</v>
      </c>
      <c r="I11538" s="692" t="s">
        <v>4060</v>
      </c>
      <c r="J11538" s="692" t="s">
        <v>4060</v>
      </c>
      <c r="K11538" s="615">
        <v>13</v>
      </c>
    </row>
    <row r="11539" spans="1:11">
      <c r="A11539" s="688" t="s">
        <v>7</v>
      </c>
      <c r="B11539" s="691">
        <v>18.7</v>
      </c>
      <c r="C11539" s="615">
        <v>18</v>
      </c>
      <c r="D11539" s="691">
        <v>17.8</v>
      </c>
      <c r="E11539" s="691">
        <v>18.100000000000001</v>
      </c>
      <c r="F11539" s="615">
        <v>18</v>
      </c>
      <c r="G11539" s="691">
        <v>18.399999999999999</v>
      </c>
      <c r="H11539" s="691">
        <v>18.399999999999999</v>
      </c>
      <c r="I11539" s="691">
        <v>18.100000000000001</v>
      </c>
      <c r="J11539" s="691">
        <v>17.399999999999999</v>
      </c>
      <c r="K11539" s="691">
        <v>17.8</v>
      </c>
    </row>
    <row r="11540" spans="1:11">
      <c r="A11540" s="688" t="s">
        <v>8</v>
      </c>
      <c r="B11540" s="689">
        <v>18.100000000000001</v>
      </c>
      <c r="C11540" s="689">
        <v>18.3</v>
      </c>
      <c r="D11540" s="689">
        <v>18.3</v>
      </c>
      <c r="E11540" s="689">
        <v>18.399999999999999</v>
      </c>
      <c r="F11540" s="689">
        <v>18.8</v>
      </c>
      <c r="G11540" s="689">
        <v>18.8</v>
      </c>
      <c r="H11540" s="689">
        <v>19.100000000000001</v>
      </c>
      <c r="I11540" s="693">
        <v>19</v>
      </c>
      <c r="J11540" s="689">
        <v>18.8</v>
      </c>
      <c r="K11540" s="689">
        <v>19.100000000000001</v>
      </c>
    </row>
    <row r="11541" spans="1:11">
      <c r="A11541" s="688" t="s">
        <v>9</v>
      </c>
      <c r="B11541" s="691">
        <v>18.8</v>
      </c>
      <c r="C11541" s="691">
        <v>19.399999999999999</v>
      </c>
      <c r="D11541" s="691">
        <v>19.399999999999999</v>
      </c>
      <c r="E11541" s="691">
        <v>18.7</v>
      </c>
      <c r="F11541" s="691">
        <v>19.5</v>
      </c>
      <c r="G11541" s="691">
        <v>19.8</v>
      </c>
      <c r="H11541" s="691">
        <v>19.8</v>
      </c>
      <c r="I11541" s="615">
        <v>20</v>
      </c>
      <c r="J11541" s="691">
        <v>20.3</v>
      </c>
      <c r="K11541" s="691">
        <v>19.3</v>
      </c>
    </row>
    <row r="11542" spans="1:11">
      <c r="A11542" s="688" t="s">
        <v>10</v>
      </c>
      <c r="B11542" s="689">
        <v>18.899999999999999</v>
      </c>
      <c r="C11542" s="689">
        <v>18.899999999999999</v>
      </c>
      <c r="D11542" s="689">
        <v>18.7</v>
      </c>
      <c r="E11542" s="689">
        <v>19.100000000000001</v>
      </c>
      <c r="F11542" s="693">
        <v>19</v>
      </c>
      <c r="G11542" s="689">
        <v>19.3</v>
      </c>
      <c r="H11542" s="689">
        <v>19.5</v>
      </c>
      <c r="I11542" s="689">
        <v>18.3</v>
      </c>
      <c r="J11542" s="689">
        <v>18.8</v>
      </c>
      <c r="K11542" s="689">
        <v>18.899999999999999</v>
      </c>
    </row>
    <row r="11543" spans="1:11">
      <c r="A11543" s="688" t="s">
        <v>4070</v>
      </c>
      <c r="B11543" s="690" t="s">
        <v>4060</v>
      </c>
      <c r="C11543" s="690" t="s">
        <v>4060</v>
      </c>
      <c r="D11543" s="690" t="s">
        <v>4060</v>
      </c>
      <c r="E11543" s="689">
        <v>15.6</v>
      </c>
      <c r="F11543" s="690" t="s">
        <v>4060</v>
      </c>
      <c r="G11543" s="690" t="s">
        <v>4060</v>
      </c>
      <c r="H11543" s="690" t="s">
        <v>4060</v>
      </c>
      <c r="I11543" s="690" t="s">
        <v>4060</v>
      </c>
      <c r="J11543" s="690" t="s">
        <v>4060</v>
      </c>
      <c r="K11543" s="690" t="s">
        <v>4060</v>
      </c>
    </row>
    <row r="11544" spans="1:11">
      <c r="A11544" s="688" t="s">
        <v>11</v>
      </c>
      <c r="B11544" s="691">
        <v>15.3</v>
      </c>
      <c r="C11544" s="691">
        <v>15.4</v>
      </c>
      <c r="D11544" s="691">
        <v>15.1</v>
      </c>
      <c r="E11544" s="691">
        <v>15.5</v>
      </c>
      <c r="F11544" s="691">
        <v>15.4</v>
      </c>
      <c r="G11544" s="691">
        <v>15.6</v>
      </c>
      <c r="H11544" s="691">
        <v>15.8</v>
      </c>
      <c r="I11544" s="615">
        <v>15</v>
      </c>
      <c r="J11544" s="691">
        <v>14.3</v>
      </c>
      <c r="K11544" s="691">
        <v>15.2</v>
      </c>
    </row>
    <row r="11545" spans="1:11">
      <c r="A11545" s="688" t="s">
        <v>12</v>
      </c>
      <c r="B11545" s="689">
        <v>13.9</v>
      </c>
      <c r="C11545" s="689">
        <v>13.7</v>
      </c>
      <c r="D11545" s="689">
        <v>14.1</v>
      </c>
      <c r="E11545" s="689">
        <v>13.9</v>
      </c>
      <c r="F11545" s="693">
        <v>14</v>
      </c>
      <c r="G11545" s="693">
        <v>14</v>
      </c>
      <c r="H11545" s="689">
        <v>14.3</v>
      </c>
      <c r="I11545" s="693">
        <v>14</v>
      </c>
      <c r="J11545" s="689">
        <v>12.7</v>
      </c>
      <c r="K11545" s="689">
        <v>13.7</v>
      </c>
    </row>
    <row r="11546" spans="1:11">
      <c r="A11546" s="688" t="s">
        <v>13</v>
      </c>
      <c r="B11546" s="689">
        <v>18.899999999999999</v>
      </c>
      <c r="C11546" s="689">
        <v>19.100000000000001</v>
      </c>
      <c r="D11546" s="689">
        <v>19.100000000000001</v>
      </c>
      <c r="E11546" s="689">
        <v>18.100000000000001</v>
      </c>
      <c r="F11546" s="689">
        <v>19.600000000000001</v>
      </c>
      <c r="G11546" s="689">
        <v>18.7</v>
      </c>
      <c r="H11546" s="689">
        <v>19.7</v>
      </c>
      <c r="I11546" s="689">
        <v>18.100000000000001</v>
      </c>
      <c r="J11546" s="689">
        <v>20.3</v>
      </c>
      <c r="K11546" s="689">
        <v>20.6</v>
      </c>
    </row>
    <row r="11547" spans="1:11">
      <c r="A11547" s="688" t="s">
        <v>14</v>
      </c>
      <c r="B11547" s="691">
        <v>14.1</v>
      </c>
      <c r="C11547" s="691">
        <v>14.1</v>
      </c>
      <c r="D11547" s="691">
        <v>13.9</v>
      </c>
      <c r="E11547" s="615">
        <v>14</v>
      </c>
      <c r="F11547" s="691">
        <v>14.2</v>
      </c>
      <c r="G11547" s="691">
        <v>14.2</v>
      </c>
      <c r="H11547" s="691">
        <v>14.6</v>
      </c>
      <c r="I11547" s="691">
        <v>13.7</v>
      </c>
      <c r="J11547" s="691">
        <v>13.3</v>
      </c>
      <c r="K11547" s="691">
        <v>14.1</v>
      </c>
    </row>
    <row r="11548" spans="1:11">
      <c r="A11548" s="688" t="s">
        <v>15</v>
      </c>
      <c r="B11548" s="689">
        <v>19.100000000000001</v>
      </c>
      <c r="C11548" s="689">
        <v>18.2</v>
      </c>
      <c r="D11548" s="689">
        <v>18.600000000000001</v>
      </c>
      <c r="E11548" s="689">
        <v>18.600000000000001</v>
      </c>
      <c r="F11548" s="689">
        <v>18.2</v>
      </c>
      <c r="G11548" s="689">
        <v>18.5</v>
      </c>
      <c r="H11548" s="693">
        <v>19</v>
      </c>
      <c r="I11548" s="689">
        <v>18.399999999999999</v>
      </c>
      <c r="J11548" s="689">
        <v>18.8</v>
      </c>
      <c r="K11548" s="689">
        <v>19.3</v>
      </c>
    </row>
    <row r="11549" spans="1:11">
      <c r="A11549" s="688" t="s">
        <v>16</v>
      </c>
      <c r="B11549" s="689">
        <v>18.3</v>
      </c>
      <c r="C11549" s="689">
        <v>18.3</v>
      </c>
      <c r="D11549" s="689">
        <v>18.5</v>
      </c>
      <c r="E11549" s="689">
        <v>19.3</v>
      </c>
      <c r="F11549" s="689">
        <v>18.7</v>
      </c>
      <c r="G11549" s="689">
        <v>18.7</v>
      </c>
      <c r="H11549" s="689">
        <v>18.899999999999999</v>
      </c>
      <c r="I11549" s="689">
        <v>18.399999999999999</v>
      </c>
      <c r="J11549" s="689">
        <v>18.8</v>
      </c>
      <c r="K11549" s="689">
        <v>18.8</v>
      </c>
    </row>
    <row r="11550" spans="1:11">
      <c r="A11550" s="688" t="s">
        <v>2322</v>
      </c>
      <c r="B11550" s="692" t="s">
        <v>4060</v>
      </c>
      <c r="C11550" s="692" t="s">
        <v>4060</v>
      </c>
      <c r="D11550" s="692" t="s">
        <v>4060</v>
      </c>
      <c r="E11550" s="692" t="s">
        <v>4060</v>
      </c>
      <c r="F11550" s="692" t="s">
        <v>4060</v>
      </c>
      <c r="G11550" s="692" t="s">
        <v>4060</v>
      </c>
      <c r="H11550" s="692" t="s">
        <v>4060</v>
      </c>
      <c r="I11550" s="692" t="s">
        <v>4060</v>
      </c>
      <c r="J11550" s="692" t="s">
        <v>4060</v>
      </c>
      <c r="K11550" s="692" t="s">
        <v>4060</v>
      </c>
    </row>
    <row r="11551" spans="1:11">
      <c r="A11551" s="688" t="s">
        <v>2324</v>
      </c>
      <c r="B11551" s="693">
        <v>15</v>
      </c>
      <c r="C11551" s="689">
        <v>15.1</v>
      </c>
      <c r="D11551" s="693">
        <v>15</v>
      </c>
      <c r="E11551" s="689">
        <v>14.6</v>
      </c>
      <c r="F11551" s="693">
        <v>15</v>
      </c>
      <c r="G11551" s="689">
        <v>15.1</v>
      </c>
      <c r="H11551" s="689">
        <v>15.1</v>
      </c>
      <c r="I11551" s="689">
        <v>13.9</v>
      </c>
      <c r="J11551" s="689">
        <v>12.2</v>
      </c>
      <c r="K11551" s="690" t="s">
        <v>4060</v>
      </c>
    </row>
    <row r="11552" spans="1:11">
      <c r="A11552" s="688" t="s">
        <v>17</v>
      </c>
      <c r="B11552" s="691">
        <v>18.2</v>
      </c>
      <c r="C11552" s="691">
        <v>18.5</v>
      </c>
      <c r="D11552" s="691">
        <v>18.2</v>
      </c>
      <c r="E11552" s="691">
        <v>18.399999999999999</v>
      </c>
      <c r="F11552" s="691">
        <v>18.600000000000001</v>
      </c>
      <c r="G11552" s="691">
        <v>18.600000000000001</v>
      </c>
      <c r="H11552" s="691">
        <v>18.8</v>
      </c>
      <c r="I11552" s="691">
        <v>18.100000000000001</v>
      </c>
      <c r="J11552" s="691">
        <v>18.2</v>
      </c>
      <c r="K11552" s="691">
        <v>18.600000000000001</v>
      </c>
    </row>
    <row r="11553" spans="1:11">
      <c r="A11553" s="688" t="s">
        <v>2328</v>
      </c>
      <c r="B11553" s="689">
        <v>14.4</v>
      </c>
      <c r="C11553" s="689">
        <v>14.5</v>
      </c>
      <c r="D11553" s="689">
        <v>14.3</v>
      </c>
      <c r="E11553" s="689">
        <v>14.5</v>
      </c>
      <c r="F11553" s="689">
        <v>14.6</v>
      </c>
      <c r="G11553" s="689">
        <v>14.9</v>
      </c>
      <c r="H11553" s="689">
        <v>14.9</v>
      </c>
      <c r="I11553" s="693">
        <v>13</v>
      </c>
      <c r="J11553" s="689">
        <v>12.5</v>
      </c>
      <c r="K11553" s="690" t="s">
        <v>4060</v>
      </c>
    </row>
    <row r="11554" spans="1:11">
      <c r="A11554" s="688" t="s">
        <v>18</v>
      </c>
      <c r="B11554" s="691">
        <v>18.5</v>
      </c>
      <c r="C11554" s="691">
        <v>18.7</v>
      </c>
      <c r="D11554" s="691">
        <v>18.8</v>
      </c>
      <c r="E11554" s="615">
        <v>19</v>
      </c>
      <c r="F11554" s="691">
        <v>19.2</v>
      </c>
      <c r="G11554" s="691">
        <v>19.3</v>
      </c>
      <c r="H11554" s="691">
        <v>19.5</v>
      </c>
      <c r="I11554" s="691">
        <v>19.7</v>
      </c>
      <c r="J11554" s="691">
        <v>19.7</v>
      </c>
      <c r="K11554" s="691">
        <v>19.2</v>
      </c>
    </row>
    <row r="11555" spans="1:11">
      <c r="A11555" s="688" t="s">
        <v>19</v>
      </c>
      <c r="B11555" s="689">
        <v>18.2</v>
      </c>
      <c r="C11555" s="689">
        <v>18.2</v>
      </c>
      <c r="D11555" s="689">
        <v>17.899999999999999</v>
      </c>
      <c r="E11555" s="689">
        <v>18.3</v>
      </c>
      <c r="F11555" s="689">
        <v>18.3</v>
      </c>
      <c r="G11555" s="689">
        <v>18.3</v>
      </c>
      <c r="H11555" s="689">
        <v>18.5</v>
      </c>
      <c r="I11555" s="689">
        <v>17.899999999999999</v>
      </c>
      <c r="J11555" s="689">
        <v>17.899999999999999</v>
      </c>
      <c r="K11555" s="693">
        <v>18</v>
      </c>
    </row>
    <row r="11556" spans="1:11">
      <c r="A11556" s="688" t="s">
        <v>20</v>
      </c>
      <c r="B11556" s="691">
        <v>15.5</v>
      </c>
      <c r="C11556" s="691">
        <v>15.7</v>
      </c>
      <c r="D11556" s="691">
        <v>15.6</v>
      </c>
      <c r="E11556" s="691">
        <v>15.8</v>
      </c>
      <c r="F11556" s="691">
        <v>15.8</v>
      </c>
      <c r="G11556" s="691">
        <v>15.7</v>
      </c>
      <c r="H11556" s="615">
        <v>16</v>
      </c>
      <c r="I11556" s="691">
        <v>14.5</v>
      </c>
      <c r="J11556" s="691">
        <v>13.9</v>
      </c>
      <c r="K11556" s="691">
        <v>15.3</v>
      </c>
    </row>
    <row r="11557" spans="1:11">
      <c r="A11557" s="688" t="s">
        <v>21</v>
      </c>
      <c r="B11557" s="689">
        <v>17.8</v>
      </c>
      <c r="C11557" s="689">
        <v>18.100000000000001</v>
      </c>
      <c r="D11557" s="689">
        <v>18.100000000000001</v>
      </c>
      <c r="E11557" s="689">
        <v>18.100000000000001</v>
      </c>
      <c r="F11557" s="689">
        <v>18.399999999999999</v>
      </c>
      <c r="G11557" s="689">
        <v>18.399999999999999</v>
      </c>
      <c r="H11557" s="689">
        <v>18.7</v>
      </c>
      <c r="I11557" s="689">
        <v>18.2</v>
      </c>
      <c r="J11557" s="689">
        <v>18.2</v>
      </c>
      <c r="K11557" s="689">
        <v>18.600000000000001</v>
      </c>
    </row>
    <row r="11558" spans="1:11">
      <c r="A11558" s="688" t="s">
        <v>22</v>
      </c>
      <c r="B11558" s="691">
        <v>14.7</v>
      </c>
      <c r="C11558" s="691">
        <v>14.6</v>
      </c>
      <c r="D11558" s="691">
        <v>14.4</v>
      </c>
      <c r="E11558" s="691">
        <v>14.7</v>
      </c>
      <c r="F11558" s="691">
        <v>14.6</v>
      </c>
      <c r="G11558" s="691">
        <v>14.6</v>
      </c>
      <c r="H11558" s="691">
        <v>14.9</v>
      </c>
      <c r="I11558" s="691">
        <v>13.4</v>
      </c>
      <c r="J11558" s="691">
        <v>12.5</v>
      </c>
      <c r="K11558" s="615">
        <v>14</v>
      </c>
    </row>
    <row r="11559" spans="1:11">
      <c r="A11559" s="688" t="s">
        <v>2343</v>
      </c>
      <c r="B11559" s="690" t="s">
        <v>4060</v>
      </c>
      <c r="C11559" s="690" t="s">
        <v>4060</v>
      </c>
      <c r="D11559" s="690" t="s">
        <v>4060</v>
      </c>
      <c r="E11559" s="690" t="s">
        <v>4060</v>
      </c>
      <c r="F11559" s="690" t="s">
        <v>4060</v>
      </c>
      <c r="G11559" s="690" t="s">
        <v>4060</v>
      </c>
      <c r="H11559" s="690" t="s">
        <v>4060</v>
      </c>
      <c r="I11559" s="690" t="s">
        <v>4060</v>
      </c>
      <c r="J11559" s="690" t="s">
        <v>4060</v>
      </c>
      <c r="K11559" s="690" t="s">
        <v>4060</v>
      </c>
    </row>
    <row r="11560" spans="1:11">
      <c r="A11560" s="688" t="s">
        <v>4071</v>
      </c>
      <c r="B11560" s="692" t="s">
        <v>4060</v>
      </c>
      <c r="C11560" s="692" t="s">
        <v>4060</v>
      </c>
      <c r="D11560" s="692" t="s">
        <v>4060</v>
      </c>
      <c r="E11560" s="692" t="s">
        <v>4060</v>
      </c>
      <c r="F11560" s="692" t="s">
        <v>4060</v>
      </c>
      <c r="G11560" s="692" t="s">
        <v>4060</v>
      </c>
      <c r="H11560" s="692" t="s">
        <v>4060</v>
      </c>
      <c r="I11560" s="692" t="s">
        <v>4060</v>
      </c>
      <c r="J11560" s="692" t="s">
        <v>4060</v>
      </c>
      <c r="K11560" s="692" t="s">
        <v>4060</v>
      </c>
    </row>
    <row r="11561" spans="1:11">
      <c r="A11561" s="688" t="s">
        <v>23</v>
      </c>
      <c r="B11561" s="691">
        <v>18.8</v>
      </c>
      <c r="C11561" s="691">
        <v>18.899999999999999</v>
      </c>
      <c r="D11561" s="691">
        <v>18.8</v>
      </c>
      <c r="E11561" s="615">
        <v>19</v>
      </c>
      <c r="F11561" s="691">
        <v>19.100000000000001</v>
      </c>
      <c r="G11561" s="691">
        <v>19.100000000000001</v>
      </c>
      <c r="H11561" s="691">
        <v>19.5</v>
      </c>
      <c r="I11561" s="691">
        <v>18.899999999999999</v>
      </c>
      <c r="J11561" s="691">
        <v>19.399999999999999</v>
      </c>
      <c r="K11561" s="691">
        <v>19.5</v>
      </c>
    </row>
    <row r="11562" spans="1:11">
      <c r="A11562" s="688" t="s">
        <v>24</v>
      </c>
      <c r="B11562" s="689">
        <v>19.399999999999999</v>
      </c>
      <c r="C11562" s="689">
        <v>19.399999999999999</v>
      </c>
      <c r="D11562" s="689">
        <v>19.2</v>
      </c>
      <c r="E11562" s="689">
        <v>19.7</v>
      </c>
      <c r="F11562" s="689">
        <v>19.7</v>
      </c>
      <c r="G11562" s="689">
        <v>19.899999999999999</v>
      </c>
      <c r="H11562" s="693">
        <v>20</v>
      </c>
      <c r="I11562" s="689">
        <v>19.2</v>
      </c>
      <c r="J11562" s="689">
        <v>19.899999999999999</v>
      </c>
      <c r="K11562" s="689">
        <v>19.8</v>
      </c>
    </row>
    <row r="11563" spans="1:11">
      <c r="A11563" s="688" t="s">
        <v>2349</v>
      </c>
      <c r="B11563" s="691">
        <v>14.3</v>
      </c>
      <c r="C11563" s="691">
        <v>14.4</v>
      </c>
      <c r="D11563" s="691">
        <v>14.4</v>
      </c>
      <c r="E11563" s="691">
        <v>14.6</v>
      </c>
      <c r="F11563" s="691">
        <v>14.5</v>
      </c>
      <c r="G11563" s="691">
        <v>14.7</v>
      </c>
      <c r="H11563" s="691">
        <v>14.8</v>
      </c>
      <c r="I11563" s="691">
        <v>13.4</v>
      </c>
      <c r="J11563" s="691">
        <v>12.2</v>
      </c>
      <c r="K11563" s="615">
        <v>14</v>
      </c>
    </row>
    <row r="11564" spans="1:11">
      <c r="A11564" s="688" t="s">
        <v>25</v>
      </c>
      <c r="B11564" s="691">
        <v>14.7</v>
      </c>
      <c r="C11564" s="615">
        <v>15</v>
      </c>
      <c r="D11564" s="615">
        <v>15</v>
      </c>
      <c r="E11564" s="691">
        <v>15.3</v>
      </c>
      <c r="F11564" s="691">
        <v>15.2</v>
      </c>
      <c r="G11564" s="691">
        <v>15.4</v>
      </c>
      <c r="H11564" s="691">
        <v>15.7</v>
      </c>
      <c r="I11564" s="691">
        <v>14.8</v>
      </c>
      <c r="J11564" s="691">
        <v>13.3</v>
      </c>
      <c r="K11564" s="615">
        <v>15</v>
      </c>
    </row>
    <row r="11565" spans="1:11">
      <c r="A11565" s="688" t="s">
        <v>26</v>
      </c>
      <c r="B11565" s="689">
        <v>17.2</v>
      </c>
      <c r="C11565" s="689">
        <v>17.5</v>
      </c>
      <c r="D11565" s="689">
        <v>17.399999999999999</v>
      </c>
      <c r="E11565" s="689">
        <v>17.7</v>
      </c>
      <c r="F11565" s="689">
        <v>17.399999999999999</v>
      </c>
      <c r="G11565" s="689">
        <v>17.600000000000001</v>
      </c>
      <c r="H11565" s="689">
        <v>17.8</v>
      </c>
      <c r="I11565" s="689">
        <v>16.899999999999999</v>
      </c>
      <c r="J11565" s="693">
        <v>17</v>
      </c>
      <c r="K11565" s="689">
        <v>17.7</v>
      </c>
    </row>
    <row r="11566" spans="1:11">
      <c r="A11566" s="688" t="s">
        <v>27</v>
      </c>
      <c r="B11566" s="689">
        <v>19.2</v>
      </c>
      <c r="C11566" s="693">
        <v>19</v>
      </c>
      <c r="D11566" s="689">
        <v>18.7</v>
      </c>
      <c r="E11566" s="689">
        <v>19.100000000000001</v>
      </c>
      <c r="F11566" s="693">
        <v>19</v>
      </c>
      <c r="G11566" s="689">
        <v>19.100000000000001</v>
      </c>
      <c r="H11566" s="689">
        <v>19.399999999999999</v>
      </c>
      <c r="I11566" s="689">
        <v>18.2</v>
      </c>
      <c r="J11566" s="689">
        <v>18.899999999999999</v>
      </c>
      <c r="K11566" s="693">
        <v>19</v>
      </c>
    </row>
    <row r="11567" spans="1:11">
      <c r="A11567" s="688" t="s">
        <v>2240</v>
      </c>
      <c r="B11567" s="691">
        <v>15.7</v>
      </c>
      <c r="C11567" s="691">
        <v>15.9</v>
      </c>
      <c r="D11567" s="691">
        <v>15.8</v>
      </c>
      <c r="E11567" s="691">
        <v>16.100000000000001</v>
      </c>
      <c r="F11567" s="691">
        <v>16.100000000000001</v>
      </c>
      <c r="G11567" s="691">
        <v>16.100000000000001</v>
      </c>
      <c r="H11567" s="691">
        <v>16.3</v>
      </c>
      <c r="I11567" s="691">
        <v>15.2</v>
      </c>
      <c r="J11567" s="691">
        <v>14.5</v>
      </c>
      <c r="K11567" s="615">
        <v>16</v>
      </c>
    </row>
    <row r="11568" spans="1:11">
      <c r="A11568" s="688" t="s">
        <v>2355</v>
      </c>
      <c r="B11568" s="689">
        <v>16.3</v>
      </c>
      <c r="C11568" s="689">
        <v>16.2</v>
      </c>
      <c r="D11568" s="689">
        <v>16.100000000000001</v>
      </c>
      <c r="E11568" s="689">
        <v>16.100000000000001</v>
      </c>
      <c r="F11568" s="689">
        <v>16.2</v>
      </c>
      <c r="G11568" s="689">
        <v>16.600000000000001</v>
      </c>
      <c r="H11568" s="689">
        <v>16.600000000000001</v>
      </c>
      <c r="I11568" s="690" t="s">
        <v>4060</v>
      </c>
      <c r="J11568" s="690" t="s">
        <v>4060</v>
      </c>
      <c r="K11568" s="690" t="s">
        <v>4060</v>
      </c>
    </row>
    <row r="11569" spans="1:11">
      <c r="A11569" s="688" t="s">
        <v>2357</v>
      </c>
      <c r="B11569" s="692" t="s">
        <v>4060</v>
      </c>
      <c r="C11569" s="615">
        <v>13</v>
      </c>
      <c r="D11569" s="691">
        <v>13.2</v>
      </c>
      <c r="E11569" s="691">
        <v>13.4</v>
      </c>
      <c r="F11569" s="691">
        <v>13.6</v>
      </c>
      <c r="G11569" s="691">
        <v>13.4</v>
      </c>
      <c r="H11569" s="691">
        <v>13.5</v>
      </c>
      <c r="I11569" s="692" t="s">
        <v>4060</v>
      </c>
      <c r="J11569" s="692" t="s">
        <v>4060</v>
      </c>
      <c r="K11569" s="692" t="s">
        <v>4060</v>
      </c>
    </row>
    <row r="11570" spans="1:11">
      <c r="A11570" s="688" t="s">
        <v>29</v>
      </c>
      <c r="B11570" s="691">
        <v>14.5</v>
      </c>
      <c r="C11570" s="691">
        <v>14.5</v>
      </c>
      <c r="D11570" s="691">
        <v>14.4</v>
      </c>
      <c r="E11570" s="691">
        <v>14.5</v>
      </c>
      <c r="F11570" s="691">
        <v>14.3</v>
      </c>
      <c r="G11570" s="691">
        <v>14.4</v>
      </c>
      <c r="H11570" s="691">
        <v>14.6</v>
      </c>
      <c r="I11570" s="691">
        <v>13.9</v>
      </c>
      <c r="J11570" s="691">
        <v>13.1</v>
      </c>
      <c r="K11570" s="691">
        <v>14.1</v>
      </c>
    </row>
    <row r="11571" spans="1:11">
      <c r="A11571" s="688" t="s">
        <v>4059</v>
      </c>
      <c r="B11571" s="691">
        <v>18.600000000000001</v>
      </c>
      <c r="C11571" s="691">
        <v>18.8</v>
      </c>
      <c r="D11571" s="691">
        <v>18.600000000000001</v>
      </c>
      <c r="E11571" s="691">
        <v>18.8</v>
      </c>
      <c r="F11571" s="691">
        <v>18.8</v>
      </c>
      <c r="G11571" s="691">
        <v>18.899999999999999</v>
      </c>
      <c r="H11571" s="692" t="s">
        <v>4060</v>
      </c>
      <c r="I11571" s="692" t="s">
        <v>4060</v>
      </c>
      <c r="J11571" s="692" t="s">
        <v>4060</v>
      </c>
      <c r="K11571" s="692" t="s">
        <v>4060</v>
      </c>
    </row>
    <row r="11572" spans="1:11">
      <c r="A11572" s="688" t="s">
        <v>30</v>
      </c>
      <c r="B11572" s="691">
        <v>18.600000000000001</v>
      </c>
      <c r="C11572" s="691">
        <v>18.7</v>
      </c>
      <c r="D11572" s="691">
        <v>18.600000000000001</v>
      </c>
      <c r="E11572" s="691">
        <v>19.100000000000001</v>
      </c>
      <c r="F11572" s="691">
        <v>18.8</v>
      </c>
      <c r="G11572" s="691">
        <v>19.3</v>
      </c>
      <c r="H11572" s="691">
        <v>19.2</v>
      </c>
      <c r="I11572" s="691">
        <v>19.5</v>
      </c>
      <c r="J11572" s="691">
        <v>18.7</v>
      </c>
      <c r="K11572" s="691">
        <v>18.899999999999999</v>
      </c>
    </row>
    <row r="11574" spans="1:11">
      <c r="A11574" s="683" t="s">
        <v>4233</v>
      </c>
    </row>
    <row r="11575" spans="1:11">
      <c r="A11575" s="683" t="s">
        <v>4060</v>
      </c>
      <c r="B11575" s="682" t="s">
        <v>4234</v>
      </c>
    </row>
    <row r="11577" spans="1:11">
      <c r="A11577" s="682" t="s">
        <v>4331</v>
      </c>
    </row>
    <row r="11578" spans="1:11">
      <c r="A11578" s="682" t="s">
        <v>4210</v>
      </c>
      <c r="B11578" s="683" t="s">
        <v>4211</v>
      </c>
    </row>
    <row r="11579" spans="1:11">
      <c r="A11579" s="682" t="s">
        <v>4212</v>
      </c>
      <c r="B11579" s="682" t="s">
        <v>4213</v>
      </c>
    </row>
    <row r="11581" spans="1:11">
      <c r="A11581" s="683" t="s">
        <v>4214</v>
      </c>
      <c r="C11581" s="682" t="s">
        <v>4215</v>
      </c>
    </row>
    <row r="11582" spans="1:11">
      <c r="A11582" s="683" t="s">
        <v>4216</v>
      </c>
      <c r="C11582" s="682" t="s">
        <v>2967</v>
      </c>
    </row>
    <row r="11583" spans="1:11">
      <c r="A11583" s="683" t="s">
        <v>3893</v>
      </c>
      <c r="C11583" s="682" t="s">
        <v>2168</v>
      </c>
    </row>
    <row r="11584" spans="1:11">
      <c r="A11584" s="683" t="s">
        <v>4218</v>
      </c>
      <c r="C11584" s="682" t="s">
        <v>4300</v>
      </c>
    </row>
    <row r="11586" spans="1:11">
      <c r="A11586" s="684" t="s">
        <v>4220</v>
      </c>
      <c r="B11586" s="685" t="s">
        <v>4221</v>
      </c>
      <c r="C11586" s="685" t="s">
        <v>4222</v>
      </c>
      <c r="D11586" s="685" t="s">
        <v>4223</v>
      </c>
      <c r="E11586" s="685" t="s">
        <v>4224</v>
      </c>
      <c r="F11586" s="685" t="s">
        <v>4225</v>
      </c>
      <c r="G11586" s="685" t="s">
        <v>4226</v>
      </c>
      <c r="H11586" s="685" t="s">
        <v>4227</v>
      </c>
      <c r="I11586" s="685" t="s">
        <v>4228</v>
      </c>
      <c r="J11586" s="685" t="s">
        <v>4229</v>
      </c>
      <c r="K11586" s="685" t="s">
        <v>4230</v>
      </c>
    </row>
    <row r="11587" spans="1:11">
      <c r="A11587" s="686" t="s">
        <v>4231</v>
      </c>
      <c r="B11587" s="687" t="s">
        <v>4232</v>
      </c>
      <c r="C11587" s="687" t="s">
        <v>4232</v>
      </c>
      <c r="D11587" s="687" t="s">
        <v>4232</v>
      </c>
      <c r="E11587" s="687" t="s">
        <v>4232</v>
      </c>
      <c r="F11587" s="687" t="s">
        <v>4232</v>
      </c>
      <c r="G11587" s="687" t="s">
        <v>4232</v>
      </c>
      <c r="H11587" s="687" t="s">
        <v>4232</v>
      </c>
      <c r="I11587" s="687" t="s">
        <v>4232</v>
      </c>
      <c r="J11587" s="687" t="s">
        <v>4232</v>
      </c>
      <c r="K11587" s="687" t="s">
        <v>4232</v>
      </c>
    </row>
    <row r="11588" spans="1:11">
      <c r="A11588" s="688" t="s">
        <v>4064</v>
      </c>
      <c r="B11588" s="691">
        <v>17.100000000000001</v>
      </c>
      <c r="C11588" s="691">
        <v>17.100000000000001</v>
      </c>
      <c r="D11588" s="691">
        <v>17.100000000000001</v>
      </c>
      <c r="E11588" s="691">
        <v>17.2</v>
      </c>
      <c r="F11588" s="691">
        <v>17.2</v>
      </c>
      <c r="G11588" s="691">
        <v>17.2</v>
      </c>
      <c r="H11588" s="691">
        <v>17.399999999999999</v>
      </c>
      <c r="I11588" s="691">
        <v>16.600000000000001</v>
      </c>
      <c r="J11588" s="691">
        <v>16.5</v>
      </c>
      <c r="K11588" s="691">
        <v>16.899999999999999</v>
      </c>
    </row>
    <row r="11589" spans="1:11">
      <c r="A11589" s="688" t="s">
        <v>4065</v>
      </c>
      <c r="B11589" s="689">
        <v>17.100000000000001</v>
      </c>
      <c r="C11589" s="689">
        <v>17.399999999999999</v>
      </c>
      <c r="D11589" s="689">
        <v>17.2</v>
      </c>
      <c r="E11589" s="689">
        <v>17.5</v>
      </c>
      <c r="F11589" s="689">
        <v>17.399999999999999</v>
      </c>
      <c r="G11589" s="689">
        <v>17.5</v>
      </c>
      <c r="H11589" s="690" t="s">
        <v>4060</v>
      </c>
      <c r="I11589" s="690" t="s">
        <v>4060</v>
      </c>
      <c r="J11589" s="690" t="s">
        <v>4060</v>
      </c>
      <c r="K11589" s="690" t="s">
        <v>4060</v>
      </c>
    </row>
    <row r="11590" spans="1:11">
      <c r="A11590" s="688" t="s">
        <v>4063</v>
      </c>
      <c r="B11590" s="691">
        <v>17.2</v>
      </c>
      <c r="C11590" s="691">
        <v>17.5</v>
      </c>
      <c r="D11590" s="691">
        <v>17.2</v>
      </c>
      <c r="E11590" s="691">
        <v>17.5</v>
      </c>
      <c r="F11590" s="691">
        <v>17.5</v>
      </c>
      <c r="G11590" s="691">
        <v>17.5</v>
      </c>
      <c r="H11590" s="692" t="s">
        <v>4060</v>
      </c>
      <c r="I11590" s="692" t="s">
        <v>4060</v>
      </c>
      <c r="J11590" s="692" t="s">
        <v>4060</v>
      </c>
      <c r="K11590" s="692" t="s">
        <v>4060</v>
      </c>
    </row>
    <row r="11591" spans="1:11">
      <c r="A11591" s="688" t="s">
        <v>4069</v>
      </c>
      <c r="B11591" s="690" t="s">
        <v>4060</v>
      </c>
      <c r="C11591" s="689">
        <v>17.7</v>
      </c>
      <c r="D11591" s="689">
        <v>17.5</v>
      </c>
      <c r="E11591" s="689">
        <v>17.7</v>
      </c>
      <c r="F11591" s="689">
        <v>17.7</v>
      </c>
      <c r="G11591" s="689">
        <v>17.8</v>
      </c>
      <c r="H11591" s="693">
        <v>18</v>
      </c>
      <c r="I11591" s="689">
        <v>17.3</v>
      </c>
      <c r="J11591" s="689">
        <v>17.399999999999999</v>
      </c>
      <c r="K11591" s="689">
        <v>17.5</v>
      </c>
    </row>
    <row r="11592" spans="1:11">
      <c r="A11592" s="688" t="s">
        <v>4068</v>
      </c>
      <c r="B11592" s="691">
        <v>17.7</v>
      </c>
      <c r="C11592" s="692" t="s">
        <v>4060</v>
      </c>
      <c r="D11592" s="692" t="s">
        <v>4060</v>
      </c>
      <c r="E11592" s="692" t="s">
        <v>4060</v>
      </c>
      <c r="F11592" s="692" t="s">
        <v>4060</v>
      </c>
      <c r="G11592" s="692" t="s">
        <v>4060</v>
      </c>
      <c r="H11592" s="692" t="s">
        <v>4060</v>
      </c>
      <c r="I11592" s="692" t="s">
        <v>4060</v>
      </c>
      <c r="J11592" s="692" t="s">
        <v>4060</v>
      </c>
      <c r="K11592" s="692" t="s">
        <v>4060</v>
      </c>
    </row>
    <row r="11593" spans="1:11">
      <c r="A11593" s="688" t="s">
        <v>0</v>
      </c>
      <c r="B11593" s="689">
        <v>17.100000000000001</v>
      </c>
      <c r="C11593" s="689">
        <v>17.399999999999999</v>
      </c>
      <c r="D11593" s="689">
        <v>17.3</v>
      </c>
      <c r="E11593" s="689">
        <v>17.5</v>
      </c>
      <c r="F11593" s="689">
        <v>17.600000000000001</v>
      </c>
      <c r="G11593" s="689">
        <v>17.7</v>
      </c>
      <c r="H11593" s="689">
        <v>17.899999999999999</v>
      </c>
      <c r="I11593" s="689">
        <v>16.899999999999999</v>
      </c>
      <c r="J11593" s="689">
        <v>17.600000000000001</v>
      </c>
      <c r="K11593" s="689">
        <v>17.8</v>
      </c>
    </row>
    <row r="11594" spans="1:11">
      <c r="A11594" s="688" t="s">
        <v>1</v>
      </c>
      <c r="B11594" s="691">
        <v>13.7</v>
      </c>
      <c r="C11594" s="691">
        <v>13.4</v>
      </c>
      <c r="D11594" s="691">
        <v>13.4</v>
      </c>
      <c r="E11594" s="691">
        <v>13.5</v>
      </c>
      <c r="F11594" s="691">
        <v>13.4</v>
      </c>
      <c r="G11594" s="691">
        <v>13.5</v>
      </c>
      <c r="H11594" s="691">
        <v>13.5</v>
      </c>
      <c r="I11594" s="691">
        <v>12.3</v>
      </c>
      <c r="J11594" s="691">
        <v>11.1</v>
      </c>
      <c r="K11594" s="691">
        <v>12.7</v>
      </c>
    </row>
    <row r="11595" spans="1:11">
      <c r="A11595" s="688" t="s">
        <v>2240</v>
      </c>
      <c r="B11595" s="693">
        <v>15</v>
      </c>
      <c r="C11595" s="689">
        <v>15.3</v>
      </c>
      <c r="D11595" s="689">
        <v>15.1</v>
      </c>
      <c r="E11595" s="689">
        <v>15.4</v>
      </c>
      <c r="F11595" s="689">
        <v>15.4</v>
      </c>
      <c r="G11595" s="689">
        <v>15.4</v>
      </c>
      <c r="H11595" s="689">
        <v>15.6</v>
      </c>
      <c r="I11595" s="689">
        <v>14.5</v>
      </c>
      <c r="J11595" s="689">
        <v>13.9</v>
      </c>
      <c r="K11595" s="689">
        <v>15.3</v>
      </c>
    </row>
    <row r="11596" spans="1:11">
      <c r="A11596" s="688" t="s">
        <v>2</v>
      </c>
      <c r="B11596" s="691">
        <v>16.899999999999999</v>
      </c>
      <c r="C11596" s="691">
        <v>17.2</v>
      </c>
      <c r="D11596" s="691">
        <v>17.2</v>
      </c>
      <c r="E11596" s="691">
        <v>17.399999999999999</v>
      </c>
      <c r="F11596" s="691">
        <v>17.399999999999999</v>
      </c>
      <c r="G11596" s="691">
        <v>17.2</v>
      </c>
      <c r="H11596" s="691">
        <v>17.5</v>
      </c>
      <c r="I11596" s="691">
        <v>17.600000000000001</v>
      </c>
      <c r="J11596" s="691">
        <v>17.399999999999999</v>
      </c>
      <c r="K11596" s="691">
        <v>17.3</v>
      </c>
    </row>
    <row r="11597" spans="1:11">
      <c r="A11597" s="688" t="s">
        <v>3</v>
      </c>
      <c r="B11597" s="693">
        <v>17</v>
      </c>
      <c r="C11597" s="689">
        <v>17.2</v>
      </c>
      <c r="D11597" s="689">
        <v>16.899999999999999</v>
      </c>
      <c r="E11597" s="689">
        <v>17.2</v>
      </c>
      <c r="F11597" s="689">
        <v>17.2</v>
      </c>
      <c r="G11597" s="689">
        <v>17.100000000000001</v>
      </c>
      <c r="H11597" s="689">
        <v>17.399999999999999</v>
      </c>
      <c r="I11597" s="689">
        <v>17.100000000000001</v>
      </c>
      <c r="J11597" s="689">
        <v>16.899999999999999</v>
      </c>
      <c r="K11597" s="689">
        <v>16.7</v>
      </c>
    </row>
    <row r="11598" spans="1:11">
      <c r="A11598" s="688" t="s">
        <v>4061</v>
      </c>
      <c r="B11598" s="615">
        <v>17</v>
      </c>
      <c r="C11598" s="691">
        <v>17.2</v>
      </c>
      <c r="D11598" s="691">
        <v>16.899999999999999</v>
      </c>
      <c r="E11598" s="691">
        <v>17.2</v>
      </c>
      <c r="F11598" s="691">
        <v>17.2</v>
      </c>
      <c r="G11598" s="691">
        <v>17.100000000000001</v>
      </c>
      <c r="H11598" s="691">
        <v>17.399999999999999</v>
      </c>
      <c r="I11598" s="691">
        <v>17.100000000000001</v>
      </c>
      <c r="J11598" s="691">
        <v>16.899999999999999</v>
      </c>
      <c r="K11598" s="691">
        <v>16.7</v>
      </c>
    </row>
    <row r="11599" spans="1:11">
      <c r="A11599" s="688" t="s">
        <v>4</v>
      </c>
      <c r="B11599" s="689">
        <v>14.6</v>
      </c>
      <c r="C11599" s="689">
        <v>14.5</v>
      </c>
      <c r="D11599" s="689">
        <v>14.7</v>
      </c>
      <c r="E11599" s="689">
        <v>14.7</v>
      </c>
      <c r="F11599" s="689">
        <v>14.8</v>
      </c>
      <c r="G11599" s="689">
        <v>14.9</v>
      </c>
      <c r="H11599" s="689">
        <v>15.1</v>
      </c>
      <c r="I11599" s="689">
        <v>15.2</v>
      </c>
      <c r="J11599" s="689">
        <v>13.9</v>
      </c>
      <c r="K11599" s="689">
        <v>14.6</v>
      </c>
    </row>
    <row r="11600" spans="1:11">
      <c r="A11600" s="688" t="s">
        <v>8</v>
      </c>
      <c r="B11600" s="691">
        <v>17.3</v>
      </c>
      <c r="C11600" s="691">
        <v>17.5</v>
      </c>
      <c r="D11600" s="691">
        <v>17.5</v>
      </c>
      <c r="E11600" s="691">
        <v>17.600000000000001</v>
      </c>
      <c r="F11600" s="691">
        <v>17.899999999999999</v>
      </c>
      <c r="G11600" s="615">
        <v>18</v>
      </c>
      <c r="H11600" s="691">
        <v>18.2</v>
      </c>
      <c r="I11600" s="691">
        <v>18.2</v>
      </c>
      <c r="J11600" s="615">
        <v>18</v>
      </c>
      <c r="K11600" s="691">
        <v>18.3</v>
      </c>
    </row>
    <row r="11601" spans="1:11">
      <c r="A11601" s="688" t="s">
        <v>7</v>
      </c>
      <c r="B11601" s="689">
        <v>17.899999999999999</v>
      </c>
      <c r="C11601" s="689">
        <v>17.3</v>
      </c>
      <c r="D11601" s="689">
        <v>17.100000000000001</v>
      </c>
      <c r="E11601" s="689">
        <v>17.399999999999999</v>
      </c>
      <c r="F11601" s="689">
        <v>17.3</v>
      </c>
      <c r="G11601" s="689">
        <v>17.7</v>
      </c>
      <c r="H11601" s="689">
        <v>17.600000000000001</v>
      </c>
      <c r="I11601" s="689">
        <v>17.3</v>
      </c>
      <c r="J11601" s="689">
        <v>16.7</v>
      </c>
      <c r="K11601" s="689">
        <v>17.100000000000001</v>
      </c>
    </row>
    <row r="11602" spans="1:11">
      <c r="A11602" s="688" t="s">
        <v>27</v>
      </c>
      <c r="B11602" s="691">
        <v>18.399999999999999</v>
      </c>
      <c r="C11602" s="691">
        <v>18.2</v>
      </c>
      <c r="D11602" s="615">
        <v>18</v>
      </c>
      <c r="E11602" s="691">
        <v>18.3</v>
      </c>
      <c r="F11602" s="691">
        <v>18.3</v>
      </c>
      <c r="G11602" s="691">
        <v>18.399999999999999</v>
      </c>
      <c r="H11602" s="691">
        <v>18.600000000000001</v>
      </c>
      <c r="I11602" s="691">
        <v>17.5</v>
      </c>
      <c r="J11602" s="691">
        <v>18.2</v>
      </c>
      <c r="K11602" s="691">
        <v>18.3</v>
      </c>
    </row>
    <row r="11603" spans="1:11">
      <c r="A11603" s="688" t="s">
        <v>6</v>
      </c>
      <c r="B11603" s="689">
        <v>18.600000000000001</v>
      </c>
      <c r="C11603" s="689">
        <v>18.600000000000001</v>
      </c>
      <c r="D11603" s="689">
        <v>18.399999999999999</v>
      </c>
      <c r="E11603" s="689">
        <v>18.600000000000001</v>
      </c>
      <c r="F11603" s="689">
        <v>18.600000000000001</v>
      </c>
      <c r="G11603" s="689">
        <v>18.7</v>
      </c>
      <c r="H11603" s="689">
        <v>18.8</v>
      </c>
      <c r="I11603" s="689">
        <v>18.2</v>
      </c>
      <c r="J11603" s="689">
        <v>18.3</v>
      </c>
      <c r="K11603" s="689">
        <v>18.399999999999999</v>
      </c>
    </row>
    <row r="11604" spans="1:11">
      <c r="A11604" s="688" t="s">
        <v>4058</v>
      </c>
      <c r="B11604" s="692" t="s">
        <v>4060</v>
      </c>
      <c r="C11604" s="692" t="s">
        <v>4060</v>
      </c>
      <c r="D11604" s="692" t="s">
        <v>4060</v>
      </c>
      <c r="E11604" s="692" t="s">
        <v>4060</v>
      </c>
      <c r="F11604" s="692" t="s">
        <v>4060</v>
      </c>
      <c r="G11604" s="692" t="s">
        <v>4060</v>
      </c>
      <c r="H11604" s="692" t="s">
        <v>4060</v>
      </c>
      <c r="I11604" s="692" t="s">
        <v>4060</v>
      </c>
      <c r="J11604" s="692" t="s">
        <v>4060</v>
      </c>
      <c r="K11604" s="692" t="s">
        <v>4060</v>
      </c>
    </row>
    <row r="11605" spans="1:11">
      <c r="A11605" s="688" t="s">
        <v>11</v>
      </c>
      <c r="B11605" s="689">
        <v>14.7</v>
      </c>
      <c r="C11605" s="689">
        <v>14.7</v>
      </c>
      <c r="D11605" s="689">
        <v>14.5</v>
      </c>
      <c r="E11605" s="689">
        <v>14.8</v>
      </c>
      <c r="F11605" s="689">
        <v>14.8</v>
      </c>
      <c r="G11605" s="689">
        <v>14.9</v>
      </c>
      <c r="H11605" s="689">
        <v>15.1</v>
      </c>
      <c r="I11605" s="689">
        <v>14.4</v>
      </c>
      <c r="J11605" s="689">
        <v>13.7</v>
      </c>
      <c r="K11605" s="689">
        <v>14.6</v>
      </c>
    </row>
    <row r="11606" spans="1:11">
      <c r="A11606" s="688" t="s">
        <v>10</v>
      </c>
      <c r="B11606" s="691">
        <v>18.100000000000001</v>
      </c>
      <c r="C11606" s="691">
        <v>18.100000000000001</v>
      </c>
      <c r="D11606" s="691">
        <v>17.899999999999999</v>
      </c>
      <c r="E11606" s="691">
        <v>18.3</v>
      </c>
      <c r="F11606" s="691">
        <v>18.2</v>
      </c>
      <c r="G11606" s="691">
        <v>18.5</v>
      </c>
      <c r="H11606" s="691">
        <v>18.600000000000001</v>
      </c>
      <c r="I11606" s="691">
        <v>17.5</v>
      </c>
      <c r="J11606" s="615">
        <v>18</v>
      </c>
      <c r="K11606" s="691">
        <v>18.100000000000001</v>
      </c>
    </row>
    <row r="11607" spans="1:11">
      <c r="A11607" s="688" t="s">
        <v>30</v>
      </c>
      <c r="B11607" s="689">
        <v>17.8</v>
      </c>
      <c r="C11607" s="689">
        <v>17.899999999999999</v>
      </c>
      <c r="D11607" s="689">
        <v>17.7</v>
      </c>
      <c r="E11607" s="689">
        <v>18.2</v>
      </c>
      <c r="F11607" s="693">
        <v>18</v>
      </c>
      <c r="G11607" s="689">
        <v>18.600000000000001</v>
      </c>
      <c r="H11607" s="689">
        <v>18.399999999999999</v>
      </c>
      <c r="I11607" s="689">
        <v>18.7</v>
      </c>
      <c r="J11607" s="689">
        <v>17.899999999999999</v>
      </c>
      <c r="K11607" s="689">
        <v>18.2</v>
      </c>
    </row>
    <row r="11608" spans="1:11">
      <c r="A11608" s="688" t="s">
        <v>12</v>
      </c>
      <c r="B11608" s="691">
        <v>13.4</v>
      </c>
      <c r="C11608" s="691">
        <v>13.2</v>
      </c>
      <c r="D11608" s="691">
        <v>13.5</v>
      </c>
      <c r="E11608" s="691">
        <v>13.4</v>
      </c>
      <c r="F11608" s="691">
        <v>13.4</v>
      </c>
      <c r="G11608" s="691">
        <v>13.5</v>
      </c>
      <c r="H11608" s="691">
        <v>13.7</v>
      </c>
      <c r="I11608" s="691">
        <v>13.4</v>
      </c>
      <c r="J11608" s="691">
        <v>12.2</v>
      </c>
      <c r="K11608" s="691">
        <v>13.2</v>
      </c>
    </row>
    <row r="11609" spans="1:11">
      <c r="A11609" s="688" t="s">
        <v>14</v>
      </c>
      <c r="B11609" s="689">
        <v>13.6</v>
      </c>
      <c r="C11609" s="689">
        <v>13.6</v>
      </c>
      <c r="D11609" s="689">
        <v>13.3</v>
      </c>
      <c r="E11609" s="689">
        <v>13.4</v>
      </c>
      <c r="F11609" s="689">
        <v>13.6</v>
      </c>
      <c r="G11609" s="689">
        <v>13.7</v>
      </c>
      <c r="H11609" s="693">
        <v>14</v>
      </c>
      <c r="I11609" s="689">
        <v>13.1</v>
      </c>
      <c r="J11609" s="689">
        <v>12.8</v>
      </c>
      <c r="K11609" s="689">
        <v>13.5</v>
      </c>
    </row>
    <row r="11610" spans="1:11">
      <c r="A11610" s="688" t="s">
        <v>15</v>
      </c>
      <c r="B11610" s="691">
        <v>18.2</v>
      </c>
      <c r="C11610" s="691">
        <v>17.399999999999999</v>
      </c>
      <c r="D11610" s="691">
        <v>17.8</v>
      </c>
      <c r="E11610" s="691">
        <v>17.899999999999999</v>
      </c>
      <c r="F11610" s="691">
        <v>17.5</v>
      </c>
      <c r="G11610" s="691">
        <v>17.7</v>
      </c>
      <c r="H11610" s="691">
        <v>18.2</v>
      </c>
      <c r="I11610" s="691">
        <v>17.7</v>
      </c>
      <c r="J11610" s="615">
        <v>18</v>
      </c>
      <c r="K11610" s="691">
        <v>18.600000000000001</v>
      </c>
    </row>
    <row r="11611" spans="1:11">
      <c r="A11611" s="688" t="s">
        <v>29</v>
      </c>
      <c r="B11611" s="693">
        <v>14</v>
      </c>
      <c r="C11611" s="693">
        <v>14</v>
      </c>
      <c r="D11611" s="689">
        <v>13.8</v>
      </c>
      <c r="E11611" s="689">
        <v>13.9</v>
      </c>
      <c r="F11611" s="689">
        <v>13.8</v>
      </c>
      <c r="G11611" s="689">
        <v>13.9</v>
      </c>
      <c r="H11611" s="693">
        <v>14</v>
      </c>
      <c r="I11611" s="689">
        <v>13.3</v>
      </c>
      <c r="J11611" s="689">
        <v>12.6</v>
      </c>
      <c r="K11611" s="689">
        <v>13.6</v>
      </c>
    </row>
    <row r="11612" spans="1:11">
      <c r="A11612" s="688" t="s">
        <v>16</v>
      </c>
      <c r="B11612" s="691">
        <v>17.5</v>
      </c>
      <c r="C11612" s="691">
        <v>17.5</v>
      </c>
      <c r="D11612" s="691">
        <v>17.7</v>
      </c>
      <c r="E11612" s="691">
        <v>18.399999999999999</v>
      </c>
      <c r="F11612" s="615">
        <v>18</v>
      </c>
      <c r="G11612" s="691">
        <v>17.899999999999999</v>
      </c>
      <c r="H11612" s="691">
        <v>18.100000000000001</v>
      </c>
      <c r="I11612" s="691">
        <v>17.5</v>
      </c>
      <c r="J11612" s="615">
        <v>18</v>
      </c>
      <c r="K11612" s="615">
        <v>18</v>
      </c>
    </row>
    <row r="11613" spans="1:11">
      <c r="A11613" s="688" t="s">
        <v>17</v>
      </c>
      <c r="B11613" s="689">
        <v>17.399999999999999</v>
      </c>
      <c r="C11613" s="689">
        <v>17.7</v>
      </c>
      <c r="D11613" s="689">
        <v>17.399999999999999</v>
      </c>
      <c r="E11613" s="689">
        <v>17.600000000000001</v>
      </c>
      <c r="F11613" s="689">
        <v>17.8</v>
      </c>
      <c r="G11613" s="689">
        <v>17.8</v>
      </c>
      <c r="H11613" s="693">
        <v>18</v>
      </c>
      <c r="I11613" s="689">
        <v>17.3</v>
      </c>
      <c r="J11613" s="689">
        <v>17.399999999999999</v>
      </c>
      <c r="K11613" s="689">
        <v>17.8</v>
      </c>
    </row>
    <row r="11614" spans="1:11">
      <c r="A11614" s="688" t="s">
        <v>19</v>
      </c>
      <c r="B11614" s="691">
        <v>17.399999999999999</v>
      </c>
      <c r="C11614" s="691">
        <v>17.5</v>
      </c>
      <c r="D11614" s="691">
        <v>17.2</v>
      </c>
      <c r="E11614" s="691">
        <v>17.5</v>
      </c>
      <c r="F11614" s="691">
        <v>17.600000000000001</v>
      </c>
      <c r="G11614" s="691">
        <v>17.600000000000001</v>
      </c>
      <c r="H11614" s="691">
        <v>17.8</v>
      </c>
      <c r="I11614" s="691">
        <v>17.100000000000001</v>
      </c>
      <c r="J11614" s="691">
        <v>17.2</v>
      </c>
      <c r="K11614" s="691">
        <v>17.2</v>
      </c>
    </row>
    <row r="11615" spans="1:11">
      <c r="A11615" s="688" t="s">
        <v>20</v>
      </c>
      <c r="B11615" s="689">
        <v>14.9</v>
      </c>
      <c r="C11615" s="689">
        <v>15.1</v>
      </c>
      <c r="D11615" s="689">
        <v>14.9</v>
      </c>
      <c r="E11615" s="689">
        <v>15.2</v>
      </c>
      <c r="F11615" s="689">
        <v>15.2</v>
      </c>
      <c r="G11615" s="689">
        <v>15.1</v>
      </c>
      <c r="H11615" s="689">
        <v>15.4</v>
      </c>
      <c r="I11615" s="689">
        <v>13.9</v>
      </c>
      <c r="J11615" s="689">
        <v>13.4</v>
      </c>
      <c r="K11615" s="689">
        <v>14.7</v>
      </c>
    </row>
    <row r="11616" spans="1:11">
      <c r="A11616" s="688" t="s">
        <v>21</v>
      </c>
      <c r="B11616" s="615">
        <v>17</v>
      </c>
      <c r="C11616" s="691">
        <v>17.399999999999999</v>
      </c>
      <c r="D11616" s="691">
        <v>17.399999999999999</v>
      </c>
      <c r="E11616" s="691">
        <v>17.3</v>
      </c>
      <c r="F11616" s="691">
        <v>17.7</v>
      </c>
      <c r="G11616" s="691">
        <v>17.600000000000001</v>
      </c>
      <c r="H11616" s="691">
        <v>17.899999999999999</v>
      </c>
      <c r="I11616" s="691">
        <v>17.5</v>
      </c>
      <c r="J11616" s="691">
        <v>17.5</v>
      </c>
      <c r="K11616" s="691">
        <v>17.8</v>
      </c>
    </row>
    <row r="11617" spans="1:11">
      <c r="A11617" s="688" t="s">
        <v>22</v>
      </c>
      <c r="B11617" s="689">
        <v>14.1</v>
      </c>
      <c r="C11617" s="693">
        <v>14</v>
      </c>
      <c r="D11617" s="689">
        <v>13.8</v>
      </c>
      <c r="E11617" s="689">
        <v>14.1</v>
      </c>
      <c r="F11617" s="689">
        <v>14.1</v>
      </c>
      <c r="G11617" s="689">
        <v>14.1</v>
      </c>
      <c r="H11617" s="689">
        <v>14.3</v>
      </c>
      <c r="I11617" s="689">
        <v>12.9</v>
      </c>
      <c r="J11617" s="693">
        <v>12</v>
      </c>
      <c r="K11617" s="689">
        <v>13.5</v>
      </c>
    </row>
    <row r="11618" spans="1:11">
      <c r="A11618" s="688" t="s">
        <v>26</v>
      </c>
      <c r="B11618" s="691">
        <v>16.5</v>
      </c>
      <c r="C11618" s="691">
        <v>16.7</v>
      </c>
      <c r="D11618" s="691">
        <v>16.600000000000001</v>
      </c>
      <c r="E11618" s="691">
        <v>16.899999999999999</v>
      </c>
      <c r="F11618" s="691">
        <v>16.7</v>
      </c>
      <c r="G11618" s="691">
        <v>16.899999999999999</v>
      </c>
      <c r="H11618" s="691">
        <v>17.100000000000001</v>
      </c>
      <c r="I11618" s="691">
        <v>16.100000000000001</v>
      </c>
      <c r="J11618" s="691">
        <v>16.3</v>
      </c>
      <c r="K11618" s="691">
        <v>16.899999999999999</v>
      </c>
    </row>
    <row r="11619" spans="1:11">
      <c r="A11619" s="688" t="s">
        <v>25</v>
      </c>
      <c r="B11619" s="689">
        <v>14.1</v>
      </c>
      <c r="C11619" s="689">
        <v>14.4</v>
      </c>
      <c r="D11619" s="689">
        <v>14.3</v>
      </c>
      <c r="E11619" s="689">
        <v>14.6</v>
      </c>
      <c r="F11619" s="689">
        <v>14.6</v>
      </c>
      <c r="G11619" s="689">
        <v>14.8</v>
      </c>
      <c r="H11619" s="689">
        <v>15.1</v>
      </c>
      <c r="I11619" s="689">
        <v>14.2</v>
      </c>
      <c r="J11619" s="689">
        <v>12.7</v>
      </c>
      <c r="K11619" s="689">
        <v>14.4</v>
      </c>
    </row>
    <row r="11620" spans="1:11">
      <c r="A11620" s="688" t="s">
        <v>5</v>
      </c>
      <c r="B11620" s="691">
        <v>17.3</v>
      </c>
      <c r="C11620" s="691">
        <v>17.2</v>
      </c>
      <c r="D11620" s="691">
        <v>17.3</v>
      </c>
      <c r="E11620" s="691">
        <v>17.3</v>
      </c>
      <c r="F11620" s="691">
        <v>17.5</v>
      </c>
      <c r="G11620" s="691">
        <v>17.600000000000001</v>
      </c>
      <c r="H11620" s="691">
        <v>17.8</v>
      </c>
      <c r="I11620" s="691">
        <v>17.899999999999999</v>
      </c>
      <c r="J11620" s="691">
        <v>17.7</v>
      </c>
      <c r="K11620" s="691">
        <v>17.2</v>
      </c>
    </row>
    <row r="11621" spans="1:11">
      <c r="A11621" s="688" t="s">
        <v>23</v>
      </c>
      <c r="B11621" s="689">
        <v>17.899999999999999</v>
      </c>
      <c r="C11621" s="693">
        <v>18</v>
      </c>
      <c r="D11621" s="693">
        <v>18</v>
      </c>
      <c r="E11621" s="689">
        <v>18.2</v>
      </c>
      <c r="F11621" s="689">
        <v>18.3</v>
      </c>
      <c r="G11621" s="689">
        <v>18.3</v>
      </c>
      <c r="H11621" s="689">
        <v>18.7</v>
      </c>
      <c r="I11621" s="689">
        <v>18.100000000000001</v>
      </c>
      <c r="J11621" s="689">
        <v>18.600000000000001</v>
      </c>
      <c r="K11621" s="689">
        <v>18.7</v>
      </c>
    </row>
    <row r="11622" spans="1:11">
      <c r="A11622" s="688" t="s">
        <v>4067</v>
      </c>
      <c r="B11622" s="691">
        <v>17.2</v>
      </c>
      <c r="C11622" s="691">
        <v>17.399999999999999</v>
      </c>
      <c r="D11622" s="691">
        <v>17.2</v>
      </c>
      <c r="E11622" s="691">
        <v>17.5</v>
      </c>
      <c r="F11622" s="691">
        <v>17.399999999999999</v>
      </c>
      <c r="G11622" s="691">
        <v>17.5</v>
      </c>
      <c r="H11622" s="692" t="s">
        <v>4060</v>
      </c>
      <c r="I11622" s="692" t="s">
        <v>4060</v>
      </c>
      <c r="J11622" s="692" t="s">
        <v>4060</v>
      </c>
      <c r="K11622" s="692" t="s">
        <v>4060</v>
      </c>
    </row>
    <row r="11623" spans="1:11">
      <c r="A11623" s="688" t="s">
        <v>4066</v>
      </c>
      <c r="B11623" s="689">
        <v>17.2</v>
      </c>
      <c r="C11623" s="689">
        <v>17.5</v>
      </c>
      <c r="D11623" s="689">
        <v>17.2</v>
      </c>
      <c r="E11623" s="689">
        <v>17.5</v>
      </c>
      <c r="F11623" s="689">
        <v>17.5</v>
      </c>
      <c r="G11623" s="689">
        <v>17.5</v>
      </c>
      <c r="H11623" s="690" t="s">
        <v>4060</v>
      </c>
      <c r="I11623" s="690" t="s">
        <v>4060</v>
      </c>
      <c r="J11623" s="690" t="s">
        <v>4060</v>
      </c>
      <c r="K11623" s="690" t="s">
        <v>4060</v>
      </c>
    </row>
    <row r="11624" spans="1:11">
      <c r="A11624" s="688" t="s">
        <v>4062</v>
      </c>
      <c r="B11624" s="691">
        <v>18.2</v>
      </c>
      <c r="C11624" s="691">
        <v>18.3</v>
      </c>
      <c r="D11624" s="691">
        <v>18.3</v>
      </c>
      <c r="E11624" s="691">
        <v>18.7</v>
      </c>
      <c r="F11624" s="691">
        <v>18.7</v>
      </c>
      <c r="G11624" s="691">
        <v>18.899999999999999</v>
      </c>
      <c r="H11624" s="615">
        <v>19</v>
      </c>
      <c r="I11624" s="691">
        <v>18.5</v>
      </c>
      <c r="J11624" s="615">
        <v>19</v>
      </c>
      <c r="K11624" s="691">
        <v>18.7</v>
      </c>
    </row>
    <row r="11625" spans="1:11">
      <c r="A11625" s="688" t="s">
        <v>9</v>
      </c>
      <c r="B11625" s="693">
        <v>18</v>
      </c>
      <c r="C11625" s="689">
        <v>18.600000000000001</v>
      </c>
      <c r="D11625" s="689">
        <v>18.7</v>
      </c>
      <c r="E11625" s="689">
        <v>17.899999999999999</v>
      </c>
      <c r="F11625" s="689">
        <v>18.600000000000001</v>
      </c>
      <c r="G11625" s="689">
        <v>18.899999999999999</v>
      </c>
      <c r="H11625" s="693">
        <v>19</v>
      </c>
      <c r="I11625" s="689">
        <v>19.100000000000001</v>
      </c>
      <c r="J11625" s="689">
        <v>19.5</v>
      </c>
      <c r="K11625" s="689">
        <v>18.5</v>
      </c>
    </row>
    <row r="11626" spans="1:11">
      <c r="A11626" s="688" t="s">
        <v>13</v>
      </c>
      <c r="B11626" s="691">
        <v>18.399999999999999</v>
      </c>
      <c r="C11626" s="691">
        <v>18.399999999999999</v>
      </c>
      <c r="D11626" s="691">
        <v>18.2</v>
      </c>
      <c r="E11626" s="691">
        <v>17.3</v>
      </c>
      <c r="F11626" s="691">
        <v>18.8</v>
      </c>
      <c r="G11626" s="691">
        <v>17.8</v>
      </c>
      <c r="H11626" s="691">
        <v>18.899999999999999</v>
      </c>
      <c r="I11626" s="691">
        <v>17.3</v>
      </c>
      <c r="J11626" s="691">
        <v>19.600000000000001</v>
      </c>
      <c r="K11626" s="691">
        <v>19.8</v>
      </c>
    </row>
    <row r="11627" spans="1:11">
      <c r="A11627" s="688" t="s">
        <v>18</v>
      </c>
      <c r="B11627" s="689">
        <v>17.7</v>
      </c>
      <c r="C11627" s="689">
        <v>17.899999999999999</v>
      </c>
      <c r="D11627" s="693">
        <v>18</v>
      </c>
      <c r="E11627" s="689">
        <v>18.2</v>
      </c>
      <c r="F11627" s="689">
        <v>18.399999999999999</v>
      </c>
      <c r="G11627" s="689">
        <v>18.5</v>
      </c>
      <c r="H11627" s="689">
        <v>18.7</v>
      </c>
      <c r="I11627" s="689">
        <v>18.8</v>
      </c>
      <c r="J11627" s="689">
        <v>18.899999999999999</v>
      </c>
      <c r="K11627" s="689">
        <v>18.3</v>
      </c>
    </row>
    <row r="11628" spans="1:11">
      <c r="A11628" s="688" t="s">
        <v>24</v>
      </c>
      <c r="B11628" s="691">
        <v>18.600000000000001</v>
      </c>
      <c r="C11628" s="691">
        <v>18.600000000000001</v>
      </c>
      <c r="D11628" s="691">
        <v>18.399999999999999</v>
      </c>
      <c r="E11628" s="615">
        <v>19</v>
      </c>
      <c r="F11628" s="691">
        <v>18.899999999999999</v>
      </c>
      <c r="G11628" s="691">
        <v>19.100000000000001</v>
      </c>
      <c r="H11628" s="691">
        <v>19.2</v>
      </c>
      <c r="I11628" s="691">
        <v>18.399999999999999</v>
      </c>
      <c r="J11628" s="691">
        <v>19.100000000000001</v>
      </c>
      <c r="K11628" s="615">
        <v>19</v>
      </c>
    </row>
    <row r="11629" spans="1:11">
      <c r="A11629" s="688" t="s">
        <v>4059</v>
      </c>
      <c r="B11629" s="689">
        <v>17.8</v>
      </c>
      <c r="C11629" s="693">
        <v>18</v>
      </c>
      <c r="D11629" s="689">
        <v>17.8</v>
      </c>
      <c r="E11629" s="693">
        <v>18</v>
      </c>
      <c r="F11629" s="693">
        <v>18</v>
      </c>
      <c r="G11629" s="689">
        <v>18.100000000000001</v>
      </c>
      <c r="H11629" s="690" t="s">
        <v>4060</v>
      </c>
      <c r="I11629" s="690" t="s">
        <v>4060</v>
      </c>
      <c r="J11629" s="690" t="s">
        <v>4060</v>
      </c>
      <c r="K11629" s="690" t="s">
        <v>4060</v>
      </c>
    </row>
    <row r="11630" spans="1:11">
      <c r="A11630" s="688" t="s">
        <v>2324</v>
      </c>
      <c r="B11630" s="691">
        <v>14.4</v>
      </c>
      <c r="C11630" s="691">
        <v>14.4</v>
      </c>
      <c r="D11630" s="691">
        <v>14.2</v>
      </c>
      <c r="E11630" s="615">
        <v>14</v>
      </c>
      <c r="F11630" s="691">
        <v>14.3</v>
      </c>
      <c r="G11630" s="691">
        <v>14.4</v>
      </c>
      <c r="H11630" s="691">
        <v>14.5</v>
      </c>
      <c r="I11630" s="691">
        <v>13.3</v>
      </c>
      <c r="J11630" s="691">
        <v>11.7</v>
      </c>
      <c r="K11630" s="692" t="s">
        <v>4060</v>
      </c>
    </row>
    <row r="11631" spans="1:11">
      <c r="A11631" s="688" t="s">
        <v>2322</v>
      </c>
      <c r="B11631" s="690" t="s">
        <v>4060</v>
      </c>
      <c r="C11631" s="690" t="s">
        <v>4060</v>
      </c>
      <c r="D11631" s="690" t="s">
        <v>4060</v>
      </c>
      <c r="E11631" s="690" t="s">
        <v>4060</v>
      </c>
      <c r="F11631" s="690" t="s">
        <v>4060</v>
      </c>
      <c r="G11631" s="690" t="s">
        <v>4060</v>
      </c>
      <c r="H11631" s="690" t="s">
        <v>4060</v>
      </c>
      <c r="I11631" s="690" t="s">
        <v>4060</v>
      </c>
      <c r="J11631" s="690" t="s">
        <v>4060</v>
      </c>
      <c r="K11631" s="690" t="s">
        <v>4060</v>
      </c>
    </row>
    <row r="11632" spans="1:11">
      <c r="A11632" s="688" t="s">
        <v>2328</v>
      </c>
      <c r="B11632" s="691">
        <v>13.8</v>
      </c>
      <c r="C11632" s="691">
        <v>13.8</v>
      </c>
      <c r="D11632" s="691">
        <v>13.7</v>
      </c>
      <c r="E11632" s="691">
        <v>13.8</v>
      </c>
      <c r="F11632" s="691">
        <v>13.9</v>
      </c>
      <c r="G11632" s="691">
        <v>14.2</v>
      </c>
      <c r="H11632" s="691">
        <v>14.2</v>
      </c>
      <c r="I11632" s="691">
        <v>12.4</v>
      </c>
      <c r="J11632" s="691">
        <v>11.9</v>
      </c>
      <c r="K11632" s="692" t="s">
        <v>4060</v>
      </c>
    </row>
    <row r="11633" spans="1:11">
      <c r="A11633" s="688" t="s">
        <v>2496</v>
      </c>
      <c r="B11633" s="690" t="s">
        <v>4060</v>
      </c>
      <c r="C11633" s="689">
        <v>13.5</v>
      </c>
      <c r="D11633" s="689">
        <v>12.6</v>
      </c>
      <c r="E11633" s="689">
        <v>12.3</v>
      </c>
      <c r="F11633" s="689">
        <v>12.7</v>
      </c>
      <c r="G11633" s="693">
        <v>13</v>
      </c>
      <c r="H11633" s="693">
        <v>13</v>
      </c>
      <c r="I11633" s="690" t="s">
        <v>4060</v>
      </c>
      <c r="J11633" s="690" t="s">
        <v>4060</v>
      </c>
      <c r="K11633" s="689">
        <v>12.4</v>
      </c>
    </row>
    <row r="11634" spans="1:11">
      <c r="A11634" s="688" t="s">
        <v>2269</v>
      </c>
      <c r="B11634" s="691">
        <v>15.8</v>
      </c>
      <c r="C11634" s="615">
        <v>16</v>
      </c>
      <c r="D11634" s="691">
        <v>15.6</v>
      </c>
      <c r="E11634" s="691">
        <v>16.100000000000001</v>
      </c>
      <c r="F11634" s="691">
        <v>16.2</v>
      </c>
      <c r="G11634" s="691">
        <v>16.5</v>
      </c>
      <c r="H11634" s="691">
        <v>16.7</v>
      </c>
      <c r="I11634" s="691">
        <v>14.8</v>
      </c>
      <c r="J11634" s="691">
        <v>13.1</v>
      </c>
      <c r="K11634" s="691">
        <v>16.3</v>
      </c>
    </row>
    <row r="11635" spans="1:11">
      <c r="A11635" s="688" t="s">
        <v>2349</v>
      </c>
      <c r="B11635" s="689">
        <v>13.7</v>
      </c>
      <c r="C11635" s="689">
        <v>13.8</v>
      </c>
      <c r="D11635" s="689">
        <v>13.7</v>
      </c>
      <c r="E11635" s="693">
        <v>14</v>
      </c>
      <c r="F11635" s="689">
        <v>13.9</v>
      </c>
      <c r="G11635" s="689">
        <v>14.1</v>
      </c>
      <c r="H11635" s="689">
        <v>14.2</v>
      </c>
      <c r="I11635" s="689">
        <v>12.9</v>
      </c>
      <c r="J11635" s="689">
        <v>11.7</v>
      </c>
      <c r="K11635" s="689">
        <v>13.4</v>
      </c>
    </row>
    <row r="11636" spans="1:11">
      <c r="A11636" s="688" t="s">
        <v>2355</v>
      </c>
      <c r="B11636" s="691">
        <v>15.6</v>
      </c>
      <c r="C11636" s="691">
        <v>15.5</v>
      </c>
      <c r="D11636" s="691">
        <v>15.5</v>
      </c>
      <c r="E11636" s="691">
        <v>15.4</v>
      </c>
      <c r="F11636" s="691">
        <v>15.5</v>
      </c>
      <c r="G11636" s="691">
        <v>15.9</v>
      </c>
      <c r="H11636" s="691">
        <v>15.9</v>
      </c>
      <c r="I11636" s="692" t="s">
        <v>4060</v>
      </c>
      <c r="J11636" s="692" t="s">
        <v>4060</v>
      </c>
      <c r="K11636" s="692" t="s">
        <v>4060</v>
      </c>
    </row>
    <row r="11637" spans="1:11">
      <c r="A11637" s="688" t="s">
        <v>2357</v>
      </c>
      <c r="B11637" s="690" t="s">
        <v>4060</v>
      </c>
      <c r="C11637" s="689">
        <v>12.5</v>
      </c>
      <c r="D11637" s="689">
        <v>12.7</v>
      </c>
      <c r="E11637" s="689">
        <v>12.9</v>
      </c>
      <c r="F11637" s="689">
        <v>13.1</v>
      </c>
      <c r="G11637" s="689">
        <v>12.8</v>
      </c>
      <c r="H11637" s="693">
        <v>13</v>
      </c>
      <c r="I11637" s="690" t="s">
        <v>4060</v>
      </c>
      <c r="J11637" s="690" t="s">
        <v>4060</v>
      </c>
      <c r="K11637" s="690" t="s">
        <v>4060</v>
      </c>
    </row>
    <row r="11638" spans="1:11">
      <c r="A11638" s="688" t="s">
        <v>4070</v>
      </c>
      <c r="B11638" s="692" t="s">
        <v>4060</v>
      </c>
      <c r="C11638" s="692" t="s">
        <v>4060</v>
      </c>
      <c r="D11638" s="692" t="s">
        <v>4060</v>
      </c>
      <c r="E11638" s="615">
        <v>15</v>
      </c>
      <c r="F11638" s="692" t="s">
        <v>4060</v>
      </c>
      <c r="G11638" s="692" t="s">
        <v>4060</v>
      </c>
      <c r="H11638" s="692" t="s">
        <v>4060</v>
      </c>
      <c r="I11638" s="692" t="s">
        <v>4060</v>
      </c>
      <c r="J11638" s="692" t="s">
        <v>4060</v>
      </c>
      <c r="K11638" s="692" t="s">
        <v>4060</v>
      </c>
    </row>
    <row r="11639" spans="1:11">
      <c r="A11639" s="688" t="s">
        <v>2491</v>
      </c>
      <c r="B11639" s="693">
        <v>12</v>
      </c>
      <c r="C11639" s="689">
        <v>12.3</v>
      </c>
      <c r="D11639" s="689">
        <v>12.4</v>
      </c>
      <c r="E11639" s="689">
        <v>12.4</v>
      </c>
      <c r="F11639" s="689">
        <v>12.4</v>
      </c>
      <c r="G11639" s="689">
        <v>12.5</v>
      </c>
      <c r="H11639" s="690" t="s">
        <v>4060</v>
      </c>
      <c r="I11639" s="690" t="s">
        <v>4060</v>
      </c>
      <c r="J11639" s="690" t="s">
        <v>4060</v>
      </c>
      <c r="K11639" s="690" t="s">
        <v>4060</v>
      </c>
    </row>
    <row r="11640" spans="1:11">
      <c r="A11640" s="688" t="s">
        <v>2343</v>
      </c>
      <c r="B11640" s="692" t="s">
        <v>4060</v>
      </c>
      <c r="C11640" s="692" t="s">
        <v>4060</v>
      </c>
      <c r="D11640" s="692" t="s">
        <v>4060</v>
      </c>
      <c r="E11640" s="692" t="s">
        <v>4060</v>
      </c>
      <c r="F11640" s="692" t="s">
        <v>4060</v>
      </c>
      <c r="G11640" s="692" t="s">
        <v>4060</v>
      </c>
      <c r="H11640" s="692" t="s">
        <v>4060</v>
      </c>
      <c r="I11640" s="692" t="s">
        <v>4060</v>
      </c>
      <c r="J11640" s="692" t="s">
        <v>4060</v>
      </c>
      <c r="K11640" s="692" t="s">
        <v>4060</v>
      </c>
    </row>
    <row r="11641" spans="1:11">
      <c r="A11641" s="688" t="s">
        <v>4071</v>
      </c>
      <c r="B11641" s="690" t="s">
        <v>4060</v>
      </c>
      <c r="C11641" s="690" t="s">
        <v>4060</v>
      </c>
      <c r="D11641" s="690" t="s">
        <v>4060</v>
      </c>
      <c r="E11641" s="690" t="s">
        <v>4060</v>
      </c>
      <c r="F11641" s="690" t="s">
        <v>4060</v>
      </c>
      <c r="G11641" s="690" t="s">
        <v>4060</v>
      </c>
      <c r="H11641" s="690" t="s">
        <v>4060</v>
      </c>
      <c r="I11641" s="690" t="s">
        <v>4060</v>
      </c>
      <c r="J11641" s="690" t="s">
        <v>4060</v>
      </c>
      <c r="K11641" s="690" t="s">
        <v>4060</v>
      </c>
    </row>
    <row r="11642" spans="1:11">
      <c r="A11642" s="688" t="s">
        <v>2489</v>
      </c>
      <c r="B11642" s="692" t="s">
        <v>4060</v>
      </c>
      <c r="C11642" s="692" t="s">
        <v>4060</v>
      </c>
      <c r="D11642" s="691">
        <v>13.9</v>
      </c>
      <c r="E11642" s="691">
        <v>13.9</v>
      </c>
      <c r="F11642" s="691">
        <v>14.1</v>
      </c>
      <c r="G11642" s="691">
        <v>14.5</v>
      </c>
      <c r="H11642" s="691">
        <v>14.7</v>
      </c>
      <c r="I11642" s="692" t="s">
        <v>4060</v>
      </c>
      <c r="J11642" s="692" t="s">
        <v>4060</v>
      </c>
      <c r="K11642" s="692" t="s">
        <v>4060</v>
      </c>
    </row>
    <row r="11643" spans="1:11">
      <c r="A11643" s="688" t="s">
        <v>2490</v>
      </c>
      <c r="B11643" s="689">
        <v>14.1</v>
      </c>
      <c r="C11643" s="689">
        <v>13.9</v>
      </c>
      <c r="D11643" s="689">
        <v>14.7</v>
      </c>
      <c r="E11643" s="690" t="s">
        <v>4060</v>
      </c>
      <c r="F11643" s="689">
        <v>15.1</v>
      </c>
      <c r="G11643" s="689">
        <v>14.9</v>
      </c>
      <c r="H11643" s="689">
        <v>15.8</v>
      </c>
      <c r="I11643" s="690" t="s">
        <v>4060</v>
      </c>
      <c r="J11643" s="690" t="s">
        <v>4060</v>
      </c>
      <c r="K11643" s="690" t="s">
        <v>4060</v>
      </c>
    </row>
    <row r="11645" spans="1:11">
      <c r="A11645" s="683" t="s">
        <v>4233</v>
      </c>
    </row>
    <row r="11646" spans="1:11">
      <c r="A11646" s="683" t="s">
        <v>4060</v>
      </c>
      <c r="B11646" s="682" t="s">
        <v>4234</v>
      </c>
    </row>
    <row r="11648" spans="1:11">
      <c r="A11648" s="682" t="s">
        <v>4331</v>
      </c>
    </row>
    <row r="11649" spans="1:11">
      <c r="A11649" s="682" t="s">
        <v>4210</v>
      </c>
      <c r="B11649" s="683" t="s">
        <v>4211</v>
      </c>
    </row>
    <row r="11650" spans="1:11">
      <c r="A11650" s="682" t="s">
        <v>4212</v>
      </c>
      <c r="B11650" s="682" t="s">
        <v>4213</v>
      </c>
    </row>
    <row r="11652" spans="1:11">
      <c r="A11652" s="683" t="s">
        <v>4214</v>
      </c>
      <c r="C11652" s="682" t="s">
        <v>4215</v>
      </c>
    </row>
    <row r="11653" spans="1:11">
      <c r="A11653" s="683" t="s">
        <v>4216</v>
      </c>
      <c r="C11653" s="682" t="s">
        <v>2967</v>
      </c>
    </row>
    <row r="11654" spans="1:11">
      <c r="A11654" s="683" t="s">
        <v>3893</v>
      </c>
      <c r="C11654" s="682" t="s">
        <v>2168</v>
      </c>
    </row>
    <row r="11655" spans="1:11">
      <c r="A11655" s="683" t="s">
        <v>4218</v>
      </c>
      <c r="C11655" s="682" t="s">
        <v>4301</v>
      </c>
    </row>
    <row r="11657" spans="1:11">
      <c r="A11657" s="684" t="s">
        <v>4220</v>
      </c>
      <c r="B11657" s="685" t="s">
        <v>4221</v>
      </c>
      <c r="C11657" s="685" t="s">
        <v>4222</v>
      </c>
      <c r="D11657" s="685" t="s">
        <v>4223</v>
      </c>
      <c r="E11657" s="685" t="s">
        <v>4224</v>
      </c>
      <c r="F11657" s="685" t="s">
        <v>4225</v>
      </c>
      <c r="G11657" s="685" t="s">
        <v>4226</v>
      </c>
      <c r="H11657" s="685" t="s">
        <v>4227</v>
      </c>
      <c r="I11657" s="685" t="s">
        <v>4228</v>
      </c>
      <c r="J11657" s="685" t="s">
        <v>4229</v>
      </c>
      <c r="K11657" s="685" t="s">
        <v>4230</v>
      </c>
    </row>
    <row r="11658" spans="1:11">
      <c r="A11658" s="686" t="s">
        <v>4231</v>
      </c>
      <c r="B11658" s="687" t="s">
        <v>4232</v>
      </c>
      <c r="C11658" s="687" t="s">
        <v>4232</v>
      </c>
      <c r="D11658" s="687" t="s">
        <v>4232</v>
      </c>
      <c r="E11658" s="687" t="s">
        <v>4232</v>
      </c>
      <c r="F11658" s="687" t="s">
        <v>4232</v>
      </c>
      <c r="G11658" s="687" t="s">
        <v>4232</v>
      </c>
      <c r="H11658" s="687" t="s">
        <v>4232</v>
      </c>
      <c r="I11658" s="687" t="s">
        <v>4232</v>
      </c>
      <c r="J11658" s="687" t="s">
        <v>4232</v>
      </c>
      <c r="K11658" s="687" t="s">
        <v>4232</v>
      </c>
    </row>
    <row r="11659" spans="1:11">
      <c r="A11659" s="688" t="s">
        <v>4064</v>
      </c>
      <c r="B11659" s="689">
        <v>16.399999999999999</v>
      </c>
      <c r="C11659" s="689">
        <v>16.399999999999999</v>
      </c>
      <c r="D11659" s="689">
        <v>16.399999999999999</v>
      </c>
      <c r="E11659" s="689">
        <v>16.5</v>
      </c>
      <c r="F11659" s="689">
        <v>16.399999999999999</v>
      </c>
      <c r="G11659" s="689">
        <v>16.5</v>
      </c>
      <c r="H11659" s="689">
        <v>16.7</v>
      </c>
      <c r="I11659" s="689">
        <v>15.9</v>
      </c>
      <c r="J11659" s="689">
        <v>15.8</v>
      </c>
      <c r="K11659" s="689">
        <v>16.2</v>
      </c>
    </row>
    <row r="11660" spans="1:11">
      <c r="A11660" s="688" t="s">
        <v>4065</v>
      </c>
      <c r="B11660" s="691">
        <v>16.399999999999999</v>
      </c>
      <c r="C11660" s="691">
        <v>16.7</v>
      </c>
      <c r="D11660" s="691">
        <v>16.5</v>
      </c>
      <c r="E11660" s="691">
        <v>16.8</v>
      </c>
      <c r="F11660" s="691">
        <v>16.7</v>
      </c>
      <c r="G11660" s="691">
        <v>16.8</v>
      </c>
      <c r="H11660" s="692" t="s">
        <v>4060</v>
      </c>
      <c r="I11660" s="692" t="s">
        <v>4060</v>
      </c>
      <c r="J11660" s="692" t="s">
        <v>4060</v>
      </c>
      <c r="K11660" s="692" t="s">
        <v>4060</v>
      </c>
    </row>
    <row r="11661" spans="1:11">
      <c r="A11661" s="688" t="s">
        <v>4063</v>
      </c>
      <c r="B11661" s="689">
        <v>16.5</v>
      </c>
      <c r="C11661" s="689">
        <v>16.7</v>
      </c>
      <c r="D11661" s="689">
        <v>16.5</v>
      </c>
      <c r="E11661" s="689">
        <v>16.8</v>
      </c>
      <c r="F11661" s="689">
        <v>16.7</v>
      </c>
      <c r="G11661" s="689">
        <v>16.8</v>
      </c>
      <c r="H11661" s="690" t="s">
        <v>4060</v>
      </c>
      <c r="I11661" s="690" t="s">
        <v>4060</v>
      </c>
      <c r="J11661" s="690" t="s">
        <v>4060</v>
      </c>
      <c r="K11661" s="690" t="s">
        <v>4060</v>
      </c>
    </row>
    <row r="11662" spans="1:11">
      <c r="A11662" s="688" t="s">
        <v>4069</v>
      </c>
      <c r="B11662" s="692" t="s">
        <v>4060</v>
      </c>
      <c r="C11662" s="691">
        <v>16.899999999999999</v>
      </c>
      <c r="D11662" s="691">
        <v>16.7</v>
      </c>
      <c r="E11662" s="615">
        <v>17</v>
      </c>
      <c r="F11662" s="615">
        <v>17</v>
      </c>
      <c r="G11662" s="691">
        <v>17.100000000000001</v>
      </c>
      <c r="H11662" s="691">
        <v>17.3</v>
      </c>
      <c r="I11662" s="691">
        <v>16.600000000000001</v>
      </c>
      <c r="J11662" s="691">
        <v>16.7</v>
      </c>
      <c r="K11662" s="691">
        <v>16.8</v>
      </c>
    </row>
    <row r="11663" spans="1:11">
      <c r="A11663" s="688" t="s">
        <v>4068</v>
      </c>
      <c r="B11663" s="689">
        <v>16.899999999999999</v>
      </c>
      <c r="C11663" s="690" t="s">
        <v>4060</v>
      </c>
      <c r="D11663" s="690" t="s">
        <v>4060</v>
      </c>
      <c r="E11663" s="690" t="s">
        <v>4060</v>
      </c>
      <c r="F11663" s="690" t="s">
        <v>4060</v>
      </c>
      <c r="G11663" s="690" t="s">
        <v>4060</v>
      </c>
      <c r="H11663" s="690" t="s">
        <v>4060</v>
      </c>
      <c r="I11663" s="690" t="s">
        <v>4060</v>
      </c>
      <c r="J11663" s="690" t="s">
        <v>4060</v>
      </c>
      <c r="K11663" s="690" t="s">
        <v>4060</v>
      </c>
    </row>
    <row r="11664" spans="1:11">
      <c r="A11664" s="688" t="s">
        <v>0</v>
      </c>
      <c r="B11664" s="691">
        <v>16.3</v>
      </c>
      <c r="C11664" s="691">
        <v>16.7</v>
      </c>
      <c r="D11664" s="691">
        <v>16.600000000000001</v>
      </c>
      <c r="E11664" s="691">
        <v>16.7</v>
      </c>
      <c r="F11664" s="691">
        <v>16.8</v>
      </c>
      <c r="G11664" s="691">
        <v>16.899999999999999</v>
      </c>
      <c r="H11664" s="691">
        <v>17.2</v>
      </c>
      <c r="I11664" s="691">
        <v>16.100000000000001</v>
      </c>
      <c r="J11664" s="691">
        <v>16.899999999999999</v>
      </c>
      <c r="K11664" s="615">
        <v>17</v>
      </c>
    </row>
    <row r="11665" spans="1:11">
      <c r="A11665" s="688" t="s">
        <v>1</v>
      </c>
      <c r="B11665" s="689">
        <v>13.1</v>
      </c>
      <c r="C11665" s="689">
        <v>12.9</v>
      </c>
      <c r="D11665" s="689">
        <v>12.8</v>
      </c>
      <c r="E11665" s="693">
        <v>13</v>
      </c>
      <c r="F11665" s="689">
        <v>12.8</v>
      </c>
      <c r="G11665" s="689">
        <v>12.9</v>
      </c>
      <c r="H11665" s="693">
        <v>13</v>
      </c>
      <c r="I11665" s="689">
        <v>11.7</v>
      </c>
      <c r="J11665" s="689">
        <v>10.6</v>
      </c>
      <c r="K11665" s="689">
        <v>12.1</v>
      </c>
    </row>
    <row r="11666" spans="1:11">
      <c r="A11666" s="688" t="s">
        <v>2240</v>
      </c>
      <c r="B11666" s="691">
        <v>14.4</v>
      </c>
      <c r="C11666" s="691">
        <v>14.6</v>
      </c>
      <c r="D11666" s="691">
        <v>14.4</v>
      </c>
      <c r="E11666" s="691">
        <v>14.7</v>
      </c>
      <c r="F11666" s="691">
        <v>14.7</v>
      </c>
      <c r="G11666" s="691">
        <v>14.8</v>
      </c>
      <c r="H11666" s="691">
        <v>14.9</v>
      </c>
      <c r="I11666" s="691">
        <v>13.8</v>
      </c>
      <c r="J11666" s="691">
        <v>13.2</v>
      </c>
      <c r="K11666" s="691">
        <v>14.6</v>
      </c>
    </row>
    <row r="11667" spans="1:11">
      <c r="A11667" s="688" t="s">
        <v>2</v>
      </c>
      <c r="B11667" s="689">
        <v>16.2</v>
      </c>
      <c r="C11667" s="689">
        <v>16.399999999999999</v>
      </c>
      <c r="D11667" s="689">
        <v>16.399999999999999</v>
      </c>
      <c r="E11667" s="689">
        <v>16.600000000000001</v>
      </c>
      <c r="F11667" s="689">
        <v>16.600000000000001</v>
      </c>
      <c r="G11667" s="689">
        <v>16.5</v>
      </c>
      <c r="H11667" s="689">
        <v>16.8</v>
      </c>
      <c r="I11667" s="689">
        <v>16.8</v>
      </c>
      <c r="J11667" s="689">
        <v>16.7</v>
      </c>
      <c r="K11667" s="689">
        <v>16.600000000000001</v>
      </c>
    </row>
    <row r="11668" spans="1:11">
      <c r="A11668" s="688" t="s">
        <v>3</v>
      </c>
      <c r="B11668" s="691">
        <v>16.3</v>
      </c>
      <c r="C11668" s="691">
        <v>16.5</v>
      </c>
      <c r="D11668" s="691">
        <v>16.2</v>
      </c>
      <c r="E11668" s="691">
        <v>16.399999999999999</v>
      </c>
      <c r="F11668" s="691">
        <v>16.399999999999999</v>
      </c>
      <c r="G11668" s="691">
        <v>16.399999999999999</v>
      </c>
      <c r="H11668" s="691">
        <v>16.600000000000001</v>
      </c>
      <c r="I11668" s="691">
        <v>16.399999999999999</v>
      </c>
      <c r="J11668" s="691">
        <v>16.2</v>
      </c>
      <c r="K11668" s="615">
        <v>16</v>
      </c>
    </row>
    <row r="11669" spans="1:11">
      <c r="A11669" s="688" t="s">
        <v>4061</v>
      </c>
      <c r="B11669" s="689">
        <v>16.3</v>
      </c>
      <c r="C11669" s="689">
        <v>16.5</v>
      </c>
      <c r="D11669" s="689">
        <v>16.2</v>
      </c>
      <c r="E11669" s="689">
        <v>16.399999999999999</v>
      </c>
      <c r="F11669" s="689">
        <v>16.399999999999999</v>
      </c>
      <c r="G11669" s="689">
        <v>16.399999999999999</v>
      </c>
      <c r="H11669" s="689">
        <v>16.600000000000001</v>
      </c>
      <c r="I11669" s="689">
        <v>16.399999999999999</v>
      </c>
      <c r="J11669" s="689">
        <v>16.2</v>
      </c>
      <c r="K11669" s="693">
        <v>16</v>
      </c>
    </row>
    <row r="11670" spans="1:11">
      <c r="A11670" s="688" t="s">
        <v>4</v>
      </c>
      <c r="B11670" s="615">
        <v>14</v>
      </c>
      <c r="C11670" s="691">
        <v>13.9</v>
      </c>
      <c r="D11670" s="691">
        <v>14.1</v>
      </c>
      <c r="E11670" s="691">
        <v>14.2</v>
      </c>
      <c r="F11670" s="691">
        <v>14.2</v>
      </c>
      <c r="G11670" s="691">
        <v>14.3</v>
      </c>
      <c r="H11670" s="691">
        <v>14.5</v>
      </c>
      <c r="I11670" s="691">
        <v>14.6</v>
      </c>
      <c r="J11670" s="691">
        <v>13.3</v>
      </c>
      <c r="K11670" s="615">
        <v>14</v>
      </c>
    </row>
    <row r="11671" spans="1:11">
      <c r="A11671" s="688" t="s">
        <v>8</v>
      </c>
      <c r="B11671" s="689">
        <v>16.5</v>
      </c>
      <c r="C11671" s="689">
        <v>16.7</v>
      </c>
      <c r="D11671" s="689">
        <v>16.7</v>
      </c>
      <c r="E11671" s="689">
        <v>16.8</v>
      </c>
      <c r="F11671" s="689">
        <v>17.2</v>
      </c>
      <c r="G11671" s="689">
        <v>17.2</v>
      </c>
      <c r="H11671" s="689">
        <v>17.399999999999999</v>
      </c>
      <c r="I11671" s="689">
        <v>17.399999999999999</v>
      </c>
      <c r="J11671" s="689">
        <v>17.2</v>
      </c>
      <c r="K11671" s="689">
        <v>17.5</v>
      </c>
    </row>
    <row r="11672" spans="1:11">
      <c r="A11672" s="688" t="s">
        <v>7</v>
      </c>
      <c r="B11672" s="691">
        <v>17.2</v>
      </c>
      <c r="C11672" s="691">
        <v>16.600000000000001</v>
      </c>
      <c r="D11672" s="691">
        <v>16.3</v>
      </c>
      <c r="E11672" s="691">
        <v>16.7</v>
      </c>
      <c r="F11672" s="691">
        <v>16.5</v>
      </c>
      <c r="G11672" s="691">
        <v>16.899999999999999</v>
      </c>
      <c r="H11672" s="691">
        <v>16.899999999999999</v>
      </c>
      <c r="I11672" s="691">
        <v>16.600000000000001</v>
      </c>
      <c r="J11672" s="615">
        <v>16</v>
      </c>
      <c r="K11672" s="691">
        <v>16.399999999999999</v>
      </c>
    </row>
    <row r="11673" spans="1:11">
      <c r="A11673" s="688" t="s">
        <v>27</v>
      </c>
      <c r="B11673" s="689">
        <v>17.7</v>
      </c>
      <c r="C11673" s="689">
        <v>17.5</v>
      </c>
      <c r="D11673" s="689">
        <v>17.2</v>
      </c>
      <c r="E11673" s="689">
        <v>17.5</v>
      </c>
      <c r="F11673" s="689">
        <v>17.5</v>
      </c>
      <c r="G11673" s="689">
        <v>17.600000000000001</v>
      </c>
      <c r="H11673" s="689">
        <v>17.899999999999999</v>
      </c>
      <c r="I11673" s="689">
        <v>16.7</v>
      </c>
      <c r="J11673" s="689">
        <v>17.399999999999999</v>
      </c>
      <c r="K11673" s="689">
        <v>17.5</v>
      </c>
    </row>
    <row r="11674" spans="1:11">
      <c r="A11674" s="688" t="s">
        <v>6</v>
      </c>
      <c r="B11674" s="691">
        <v>17.8</v>
      </c>
      <c r="C11674" s="691">
        <v>17.8</v>
      </c>
      <c r="D11674" s="691">
        <v>17.7</v>
      </c>
      <c r="E11674" s="691">
        <v>17.8</v>
      </c>
      <c r="F11674" s="691">
        <v>17.899999999999999</v>
      </c>
      <c r="G11674" s="615">
        <v>18</v>
      </c>
      <c r="H11674" s="691">
        <v>18.100000000000001</v>
      </c>
      <c r="I11674" s="691">
        <v>17.399999999999999</v>
      </c>
      <c r="J11674" s="691">
        <v>17.600000000000001</v>
      </c>
      <c r="K11674" s="691">
        <v>17.7</v>
      </c>
    </row>
    <row r="11675" spans="1:11">
      <c r="A11675" s="688" t="s">
        <v>4058</v>
      </c>
      <c r="B11675" s="690" t="s">
        <v>4060</v>
      </c>
      <c r="C11675" s="690" t="s">
        <v>4060</v>
      </c>
      <c r="D11675" s="690" t="s">
        <v>4060</v>
      </c>
      <c r="E11675" s="690" t="s">
        <v>4060</v>
      </c>
      <c r="F11675" s="690" t="s">
        <v>4060</v>
      </c>
      <c r="G11675" s="690" t="s">
        <v>4060</v>
      </c>
      <c r="H11675" s="690" t="s">
        <v>4060</v>
      </c>
      <c r="I11675" s="690" t="s">
        <v>4060</v>
      </c>
      <c r="J11675" s="690" t="s">
        <v>4060</v>
      </c>
      <c r="K11675" s="690" t="s">
        <v>4060</v>
      </c>
    </row>
    <row r="11676" spans="1:11">
      <c r="A11676" s="688" t="s">
        <v>11</v>
      </c>
      <c r="B11676" s="615">
        <v>14</v>
      </c>
      <c r="C11676" s="615">
        <v>14</v>
      </c>
      <c r="D11676" s="691">
        <v>13.8</v>
      </c>
      <c r="E11676" s="691">
        <v>14.1</v>
      </c>
      <c r="F11676" s="691">
        <v>14.1</v>
      </c>
      <c r="G11676" s="691">
        <v>14.2</v>
      </c>
      <c r="H11676" s="691">
        <v>14.5</v>
      </c>
      <c r="I11676" s="691">
        <v>13.7</v>
      </c>
      <c r="J11676" s="691">
        <v>13.1</v>
      </c>
      <c r="K11676" s="691">
        <v>13.9</v>
      </c>
    </row>
    <row r="11677" spans="1:11">
      <c r="A11677" s="688" t="s">
        <v>10</v>
      </c>
      <c r="B11677" s="689">
        <v>17.399999999999999</v>
      </c>
      <c r="C11677" s="689">
        <v>17.399999999999999</v>
      </c>
      <c r="D11677" s="689">
        <v>17.100000000000001</v>
      </c>
      <c r="E11677" s="689">
        <v>17.5</v>
      </c>
      <c r="F11677" s="689">
        <v>17.399999999999999</v>
      </c>
      <c r="G11677" s="689">
        <v>17.7</v>
      </c>
      <c r="H11677" s="689">
        <v>17.8</v>
      </c>
      <c r="I11677" s="689">
        <v>16.7</v>
      </c>
      <c r="J11677" s="689">
        <v>17.2</v>
      </c>
      <c r="K11677" s="689">
        <v>17.399999999999999</v>
      </c>
    </row>
    <row r="11678" spans="1:11">
      <c r="A11678" s="688" t="s">
        <v>30</v>
      </c>
      <c r="B11678" s="691">
        <v>17.100000000000001</v>
      </c>
      <c r="C11678" s="691">
        <v>17.100000000000001</v>
      </c>
      <c r="D11678" s="691">
        <v>16.899999999999999</v>
      </c>
      <c r="E11678" s="691">
        <v>17.399999999999999</v>
      </c>
      <c r="F11678" s="691">
        <v>17.3</v>
      </c>
      <c r="G11678" s="691">
        <v>17.7</v>
      </c>
      <c r="H11678" s="691">
        <v>17.600000000000001</v>
      </c>
      <c r="I11678" s="691">
        <v>17.899999999999999</v>
      </c>
      <c r="J11678" s="691">
        <v>17.2</v>
      </c>
      <c r="K11678" s="691">
        <v>17.3</v>
      </c>
    </row>
    <row r="11679" spans="1:11">
      <c r="A11679" s="688" t="s">
        <v>12</v>
      </c>
      <c r="B11679" s="689">
        <v>12.9</v>
      </c>
      <c r="C11679" s="689">
        <v>12.7</v>
      </c>
      <c r="D11679" s="693">
        <v>13</v>
      </c>
      <c r="E11679" s="689">
        <v>12.8</v>
      </c>
      <c r="F11679" s="689">
        <v>12.9</v>
      </c>
      <c r="G11679" s="689">
        <v>12.9</v>
      </c>
      <c r="H11679" s="689">
        <v>13.2</v>
      </c>
      <c r="I11679" s="689">
        <v>12.9</v>
      </c>
      <c r="J11679" s="689">
        <v>11.7</v>
      </c>
      <c r="K11679" s="689">
        <v>12.6</v>
      </c>
    </row>
    <row r="11680" spans="1:11">
      <c r="A11680" s="688" t="s">
        <v>14</v>
      </c>
      <c r="B11680" s="615">
        <v>13</v>
      </c>
      <c r="C11680" s="615">
        <v>13</v>
      </c>
      <c r="D11680" s="691">
        <v>12.8</v>
      </c>
      <c r="E11680" s="691">
        <v>12.9</v>
      </c>
      <c r="F11680" s="615">
        <v>13</v>
      </c>
      <c r="G11680" s="691">
        <v>13.1</v>
      </c>
      <c r="H11680" s="691">
        <v>13.5</v>
      </c>
      <c r="I11680" s="691">
        <v>12.6</v>
      </c>
      <c r="J11680" s="691">
        <v>12.3</v>
      </c>
      <c r="K11680" s="615">
        <v>13</v>
      </c>
    </row>
    <row r="11681" spans="1:11">
      <c r="A11681" s="688" t="s">
        <v>15</v>
      </c>
      <c r="B11681" s="689">
        <v>17.5</v>
      </c>
      <c r="C11681" s="689">
        <v>16.7</v>
      </c>
      <c r="D11681" s="693">
        <v>17</v>
      </c>
      <c r="E11681" s="689">
        <v>17.2</v>
      </c>
      <c r="F11681" s="689">
        <v>16.8</v>
      </c>
      <c r="G11681" s="689">
        <v>16.899999999999999</v>
      </c>
      <c r="H11681" s="689">
        <v>17.399999999999999</v>
      </c>
      <c r="I11681" s="689">
        <v>16.899999999999999</v>
      </c>
      <c r="J11681" s="689">
        <v>17.2</v>
      </c>
      <c r="K11681" s="689">
        <v>17.7</v>
      </c>
    </row>
    <row r="11682" spans="1:11">
      <c r="A11682" s="688" t="s">
        <v>29</v>
      </c>
      <c r="B11682" s="691">
        <v>13.4</v>
      </c>
      <c r="C11682" s="691">
        <v>13.4</v>
      </c>
      <c r="D11682" s="691">
        <v>13.2</v>
      </c>
      <c r="E11682" s="691">
        <v>13.4</v>
      </c>
      <c r="F11682" s="691">
        <v>13.2</v>
      </c>
      <c r="G11682" s="691">
        <v>13.3</v>
      </c>
      <c r="H11682" s="691">
        <v>13.5</v>
      </c>
      <c r="I11682" s="691">
        <v>12.8</v>
      </c>
      <c r="J11682" s="691">
        <v>12.1</v>
      </c>
      <c r="K11682" s="615">
        <v>13</v>
      </c>
    </row>
    <row r="11683" spans="1:11">
      <c r="A11683" s="688" t="s">
        <v>16</v>
      </c>
      <c r="B11683" s="689">
        <v>16.7</v>
      </c>
      <c r="C11683" s="689">
        <v>16.7</v>
      </c>
      <c r="D11683" s="689">
        <v>16.899999999999999</v>
      </c>
      <c r="E11683" s="689">
        <v>17.7</v>
      </c>
      <c r="F11683" s="689">
        <v>17.2</v>
      </c>
      <c r="G11683" s="689">
        <v>17.100000000000001</v>
      </c>
      <c r="H11683" s="689">
        <v>17.3</v>
      </c>
      <c r="I11683" s="689">
        <v>16.7</v>
      </c>
      <c r="J11683" s="689">
        <v>17.3</v>
      </c>
      <c r="K11683" s="689">
        <v>17.2</v>
      </c>
    </row>
    <row r="11684" spans="1:11">
      <c r="A11684" s="688" t="s">
        <v>17</v>
      </c>
      <c r="B11684" s="691">
        <v>16.600000000000001</v>
      </c>
      <c r="C11684" s="691">
        <v>16.899999999999999</v>
      </c>
      <c r="D11684" s="691">
        <v>16.7</v>
      </c>
      <c r="E11684" s="691">
        <v>16.8</v>
      </c>
      <c r="F11684" s="615">
        <v>17</v>
      </c>
      <c r="G11684" s="615">
        <v>17</v>
      </c>
      <c r="H11684" s="691">
        <v>17.3</v>
      </c>
      <c r="I11684" s="691">
        <v>16.5</v>
      </c>
      <c r="J11684" s="691">
        <v>16.600000000000001</v>
      </c>
      <c r="K11684" s="615">
        <v>17</v>
      </c>
    </row>
    <row r="11685" spans="1:11">
      <c r="A11685" s="688" t="s">
        <v>19</v>
      </c>
      <c r="B11685" s="689">
        <v>16.7</v>
      </c>
      <c r="C11685" s="689">
        <v>16.8</v>
      </c>
      <c r="D11685" s="689">
        <v>16.5</v>
      </c>
      <c r="E11685" s="689">
        <v>16.8</v>
      </c>
      <c r="F11685" s="689">
        <v>16.8</v>
      </c>
      <c r="G11685" s="689">
        <v>16.8</v>
      </c>
      <c r="H11685" s="693">
        <v>17</v>
      </c>
      <c r="I11685" s="689">
        <v>16.399999999999999</v>
      </c>
      <c r="J11685" s="689">
        <v>16.399999999999999</v>
      </c>
      <c r="K11685" s="689">
        <v>16.5</v>
      </c>
    </row>
    <row r="11686" spans="1:11">
      <c r="A11686" s="688" t="s">
        <v>20</v>
      </c>
      <c r="B11686" s="691">
        <v>14.3</v>
      </c>
      <c r="C11686" s="691">
        <v>14.5</v>
      </c>
      <c r="D11686" s="691">
        <v>14.3</v>
      </c>
      <c r="E11686" s="691">
        <v>14.6</v>
      </c>
      <c r="F11686" s="691">
        <v>14.5</v>
      </c>
      <c r="G11686" s="691">
        <v>14.5</v>
      </c>
      <c r="H11686" s="691">
        <v>14.8</v>
      </c>
      <c r="I11686" s="691">
        <v>13.4</v>
      </c>
      <c r="J11686" s="691">
        <v>12.8</v>
      </c>
      <c r="K11686" s="691">
        <v>14.1</v>
      </c>
    </row>
    <row r="11687" spans="1:11">
      <c r="A11687" s="688" t="s">
        <v>21</v>
      </c>
      <c r="B11687" s="689">
        <v>16.3</v>
      </c>
      <c r="C11687" s="689">
        <v>16.600000000000001</v>
      </c>
      <c r="D11687" s="689">
        <v>16.600000000000001</v>
      </c>
      <c r="E11687" s="689">
        <v>16.600000000000001</v>
      </c>
      <c r="F11687" s="689">
        <v>16.899999999999999</v>
      </c>
      <c r="G11687" s="689">
        <v>16.8</v>
      </c>
      <c r="H11687" s="689">
        <v>17.2</v>
      </c>
      <c r="I11687" s="689">
        <v>16.8</v>
      </c>
      <c r="J11687" s="689">
        <v>16.8</v>
      </c>
      <c r="K11687" s="689">
        <v>17.100000000000001</v>
      </c>
    </row>
    <row r="11688" spans="1:11">
      <c r="A11688" s="688" t="s">
        <v>22</v>
      </c>
      <c r="B11688" s="691">
        <v>13.5</v>
      </c>
      <c r="C11688" s="691">
        <v>13.4</v>
      </c>
      <c r="D11688" s="691">
        <v>13.3</v>
      </c>
      <c r="E11688" s="691">
        <v>13.5</v>
      </c>
      <c r="F11688" s="691">
        <v>13.5</v>
      </c>
      <c r="G11688" s="691">
        <v>13.5</v>
      </c>
      <c r="H11688" s="691">
        <v>13.8</v>
      </c>
      <c r="I11688" s="691">
        <v>12.3</v>
      </c>
      <c r="J11688" s="691">
        <v>11.5</v>
      </c>
      <c r="K11688" s="691">
        <v>12.9</v>
      </c>
    </row>
    <row r="11689" spans="1:11">
      <c r="A11689" s="688" t="s">
        <v>26</v>
      </c>
      <c r="B11689" s="689">
        <v>15.8</v>
      </c>
      <c r="C11689" s="693">
        <v>16</v>
      </c>
      <c r="D11689" s="689">
        <v>15.9</v>
      </c>
      <c r="E11689" s="689">
        <v>16.2</v>
      </c>
      <c r="F11689" s="693">
        <v>16</v>
      </c>
      <c r="G11689" s="689">
        <v>16.2</v>
      </c>
      <c r="H11689" s="689">
        <v>16.399999999999999</v>
      </c>
      <c r="I11689" s="689">
        <v>15.5</v>
      </c>
      <c r="J11689" s="689">
        <v>15.6</v>
      </c>
      <c r="K11689" s="689">
        <v>16.2</v>
      </c>
    </row>
    <row r="11690" spans="1:11">
      <c r="A11690" s="688" t="s">
        <v>25</v>
      </c>
      <c r="B11690" s="691">
        <v>13.5</v>
      </c>
      <c r="C11690" s="691">
        <v>13.8</v>
      </c>
      <c r="D11690" s="691">
        <v>13.7</v>
      </c>
      <c r="E11690" s="615">
        <v>14</v>
      </c>
      <c r="F11690" s="615">
        <v>14</v>
      </c>
      <c r="G11690" s="691">
        <v>14.2</v>
      </c>
      <c r="H11690" s="691">
        <v>14.5</v>
      </c>
      <c r="I11690" s="691">
        <v>13.6</v>
      </c>
      <c r="J11690" s="691">
        <v>12.1</v>
      </c>
      <c r="K11690" s="691">
        <v>13.7</v>
      </c>
    </row>
    <row r="11691" spans="1:11">
      <c r="A11691" s="688" t="s">
        <v>5</v>
      </c>
      <c r="B11691" s="689">
        <v>16.600000000000001</v>
      </c>
      <c r="C11691" s="689">
        <v>16.5</v>
      </c>
      <c r="D11691" s="689">
        <v>16.600000000000001</v>
      </c>
      <c r="E11691" s="689">
        <v>16.600000000000001</v>
      </c>
      <c r="F11691" s="689">
        <v>16.7</v>
      </c>
      <c r="G11691" s="689">
        <v>16.899999999999999</v>
      </c>
      <c r="H11691" s="689">
        <v>17.100000000000001</v>
      </c>
      <c r="I11691" s="689">
        <v>17.100000000000001</v>
      </c>
      <c r="J11691" s="689">
        <v>16.899999999999999</v>
      </c>
      <c r="K11691" s="689">
        <v>16.399999999999999</v>
      </c>
    </row>
    <row r="11692" spans="1:11">
      <c r="A11692" s="688" t="s">
        <v>23</v>
      </c>
      <c r="B11692" s="691">
        <v>17.2</v>
      </c>
      <c r="C11692" s="691">
        <v>17.2</v>
      </c>
      <c r="D11692" s="691">
        <v>17.3</v>
      </c>
      <c r="E11692" s="691">
        <v>17.399999999999999</v>
      </c>
      <c r="F11692" s="691">
        <v>17.5</v>
      </c>
      <c r="G11692" s="691">
        <v>17.5</v>
      </c>
      <c r="H11692" s="691">
        <v>17.899999999999999</v>
      </c>
      <c r="I11692" s="691">
        <v>17.3</v>
      </c>
      <c r="J11692" s="691">
        <v>17.8</v>
      </c>
      <c r="K11692" s="691">
        <v>17.899999999999999</v>
      </c>
    </row>
    <row r="11693" spans="1:11">
      <c r="A11693" s="688" t="s">
        <v>4067</v>
      </c>
      <c r="B11693" s="689">
        <v>16.399999999999999</v>
      </c>
      <c r="C11693" s="689">
        <v>16.7</v>
      </c>
      <c r="D11693" s="689">
        <v>16.5</v>
      </c>
      <c r="E11693" s="689">
        <v>16.8</v>
      </c>
      <c r="F11693" s="689">
        <v>16.7</v>
      </c>
      <c r="G11693" s="689">
        <v>16.8</v>
      </c>
      <c r="H11693" s="690" t="s">
        <v>4060</v>
      </c>
      <c r="I11693" s="690" t="s">
        <v>4060</v>
      </c>
      <c r="J11693" s="690" t="s">
        <v>4060</v>
      </c>
      <c r="K11693" s="690" t="s">
        <v>4060</v>
      </c>
    </row>
    <row r="11694" spans="1:11">
      <c r="A11694" s="688" t="s">
        <v>4066</v>
      </c>
      <c r="B11694" s="691">
        <v>16.5</v>
      </c>
      <c r="C11694" s="691">
        <v>16.8</v>
      </c>
      <c r="D11694" s="691">
        <v>16.5</v>
      </c>
      <c r="E11694" s="691">
        <v>16.8</v>
      </c>
      <c r="F11694" s="691">
        <v>16.8</v>
      </c>
      <c r="G11694" s="691">
        <v>16.8</v>
      </c>
      <c r="H11694" s="692" t="s">
        <v>4060</v>
      </c>
      <c r="I11694" s="692" t="s">
        <v>4060</v>
      </c>
      <c r="J11694" s="692" t="s">
        <v>4060</v>
      </c>
      <c r="K11694" s="692" t="s">
        <v>4060</v>
      </c>
    </row>
    <row r="11695" spans="1:11">
      <c r="A11695" s="688" t="s">
        <v>4062</v>
      </c>
      <c r="B11695" s="689">
        <v>17.5</v>
      </c>
      <c r="C11695" s="689">
        <v>17.600000000000001</v>
      </c>
      <c r="D11695" s="689">
        <v>17.5</v>
      </c>
      <c r="E11695" s="689">
        <v>17.899999999999999</v>
      </c>
      <c r="F11695" s="689">
        <v>17.899999999999999</v>
      </c>
      <c r="G11695" s="689">
        <v>18.100000000000001</v>
      </c>
      <c r="H11695" s="689">
        <v>18.2</v>
      </c>
      <c r="I11695" s="689">
        <v>17.7</v>
      </c>
      <c r="J11695" s="689">
        <v>18.2</v>
      </c>
      <c r="K11695" s="693">
        <v>18</v>
      </c>
    </row>
    <row r="11696" spans="1:11">
      <c r="A11696" s="688" t="s">
        <v>9</v>
      </c>
      <c r="B11696" s="691">
        <v>17.2</v>
      </c>
      <c r="C11696" s="691">
        <v>17.7</v>
      </c>
      <c r="D11696" s="691">
        <v>17.8</v>
      </c>
      <c r="E11696" s="615">
        <v>17</v>
      </c>
      <c r="F11696" s="691">
        <v>17.8</v>
      </c>
      <c r="G11696" s="691">
        <v>18.2</v>
      </c>
      <c r="H11696" s="691">
        <v>18.2</v>
      </c>
      <c r="I11696" s="691">
        <v>18.399999999999999</v>
      </c>
      <c r="J11696" s="691">
        <v>18.7</v>
      </c>
      <c r="K11696" s="691">
        <v>17.7</v>
      </c>
    </row>
    <row r="11697" spans="1:11">
      <c r="A11697" s="688" t="s">
        <v>13</v>
      </c>
      <c r="B11697" s="689">
        <v>17.5</v>
      </c>
      <c r="C11697" s="689">
        <v>17.8</v>
      </c>
      <c r="D11697" s="689">
        <v>17.5</v>
      </c>
      <c r="E11697" s="689">
        <v>16.7</v>
      </c>
      <c r="F11697" s="693">
        <v>18</v>
      </c>
      <c r="G11697" s="689">
        <v>16.899999999999999</v>
      </c>
      <c r="H11697" s="689">
        <v>18.2</v>
      </c>
      <c r="I11697" s="689">
        <v>16.5</v>
      </c>
      <c r="J11697" s="689">
        <v>18.8</v>
      </c>
      <c r="K11697" s="689">
        <v>18.899999999999999</v>
      </c>
    </row>
    <row r="11698" spans="1:11">
      <c r="A11698" s="688" t="s">
        <v>18</v>
      </c>
      <c r="B11698" s="615">
        <v>17</v>
      </c>
      <c r="C11698" s="691">
        <v>17.100000000000001</v>
      </c>
      <c r="D11698" s="691">
        <v>17.2</v>
      </c>
      <c r="E11698" s="691">
        <v>17.5</v>
      </c>
      <c r="F11698" s="691">
        <v>17.600000000000001</v>
      </c>
      <c r="G11698" s="691">
        <v>17.7</v>
      </c>
      <c r="H11698" s="691">
        <v>17.899999999999999</v>
      </c>
      <c r="I11698" s="615">
        <v>18</v>
      </c>
      <c r="J11698" s="691">
        <v>18.100000000000001</v>
      </c>
      <c r="K11698" s="691">
        <v>17.5</v>
      </c>
    </row>
    <row r="11699" spans="1:11">
      <c r="A11699" s="688" t="s">
        <v>24</v>
      </c>
      <c r="B11699" s="689">
        <v>17.8</v>
      </c>
      <c r="C11699" s="689">
        <v>17.8</v>
      </c>
      <c r="D11699" s="689">
        <v>17.600000000000001</v>
      </c>
      <c r="E11699" s="689">
        <v>18.2</v>
      </c>
      <c r="F11699" s="689">
        <v>18.100000000000001</v>
      </c>
      <c r="G11699" s="689">
        <v>18.3</v>
      </c>
      <c r="H11699" s="689">
        <v>18.399999999999999</v>
      </c>
      <c r="I11699" s="689">
        <v>17.600000000000001</v>
      </c>
      <c r="J11699" s="689">
        <v>18.3</v>
      </c>
      <c r="K11699" s="689">
        <v>18.2</v>
      </c>
    </row>
    <row r="11700" spans="1:11">
      <c r="A11700" s="688" t="s">
        <v>4059</v>
      </c>
      <c r="B11700" s="615">
        <v>17</v>
      </c>
      <c r="C11700" s="691">
        <v>17.3</v>
      </c>
      <c r="D11700" s="615">
        <v>17</v>
      </c>
      <c r="E11700" s="691">
        <v>17.3</v>
      </c>
      <c r="F11700" s="691">
        <v>17.3</v>
      </c>
      <c r="G11700" s="691">
        <v>17.3</v>
      </c>
      <c r="H11700" s="692" t="s">
        <v>4060</v>
      </c>
      <c r="I11700" s="692" t="s">
        <v>4060</v>
      </c>
      <c r="J11700" s="692" t="s">
        <v>4060</v>
      </c>
      <c r="K11700" s="692" t="s">
        <v>4060</v>
      </c>
    </row>
    <row r="11701" spans="1:11">
      <c r="A11701" s="688" t="s">
        <v>2324</v>
      </c>
      <c r="B11701" s="689">
        <v>13.7</v>
      </c>
      <c r="C11701" s="689">
        <v>13.7</v>
      </c>
      <c r="D11701" s="689">
        <v>13.6</v>
      </c>
      <c r="E11701" s="689">
        <v>13.4</v>
      </c>
      <c r="F11701" s="689">
        <v>13.7</v>
      </c>
      <c r="G11701" s="689">
        <v>13.8</v>
      </c>
      <c r="H11701" s="689">
        <v>13.9</v>
      </c>
      <c r="I11701" s="689">
        <v>12.6</v>
      </c>
      <c r="J11701" s="689">
        <v>11.1</v>
      </c>
      <c r="K11701" s="690" t="s">
        <v>4060</v>
      </c>
    </row>
    <row r="11702" spans="1:11">
      <c r="A11702" s="688" t="s">
        <v>2322</v>
      </c>
      <c r="B11702" s="692" t="s">
        <v>4060</v>
      </c>
      <c r="C11702" s="692" t="s">
        <v>4060</v>
      </c>
      <c r="D11702" s="692" t="s">
        <v>4060</v>
      </c>
      <c r="E11702" s="692" t="s">
        <v>4060</v>
      </c>
      <c r="F11702" s="692" t="s">
        <v>4060</v>
      </c>
      <c r="G11702" s="692" t="s">
        <v>4060</v>
      </c>
      <c r="H11702" s="692" t="s">
        <v>4060</v>
      </c>
      <c r="I11702" s="692" t="s">
        <v>4060</v>
      </c>
      <c r="J11702" s="692" t="s">
        <v>4060</v>
      </c>
      <c r="K11702" s="692" t="s">
        <v>4060</v>
      </c>
    </row>
    <row r="11703" spans="1:11">
      <c r="A11703" s="688" t="s">
        <v>2328</v>
      </c>
      <c r="B11703" s="689">
        <v>13.1</v>
      </c>
      <c r="C11703" s="689">
        <v>13.1</v>
      </c>
      <c r="D11703" s="693">
        <v>13</v>
      </c>
      <c r="E11703" s="689">
        <v>13.2</v>
      </c>
      <c r="F11703" s="689">
        <v>13.3</v>
      </c>
      <c r="G11703" s="689">
        <v>13.6</v>
      </c>
      <c r="H11703" s="689">
        <v>13.5</v>
      </c>
      <c r="I11703" s="689">
        <v>11.8</v>
      </c>
      <c r="J11703" s="689">
        <v>11.4</v>
      </c>
      <c r="K11703" s="690" t="s">
        <v>4060</v>
      </c>
    </row>
    <row r="11704" spans="1:11">
      <c r="A11704" s="688" t="s">
        <v>2496</v>
      </c>
      <c r="B11704" s="692" t="s">
        <v>4060</v>
      </c>
      <c r="C11704" s="691">
        <v>12.9</v>
      </c>
      <c r="D11704" s="615">
        <v>12</v>
      </c>
      <c r="E11704" s="691">
        <v>11.8</v>
      </c>
      <c r="F11704" s="691">
        <v>12.1</v>
      </c>
      <c r="G11704" s="691">
        <v>12.4</v>
      </c>
      <c r="H11704" s="691">
        <v>12.4</v>
      </c>
      <c r="I11704" s="692" t="s">
        <v>4060</v>
      </c>
      <c r="J11704" s="692" t="s">
        <v>4060</v>
      </c>
      <c r="K11704" s="691">
        <v>11.8</v>
      </c>
    </row>
    <row r="11705" spans="1:11">
      <c r="A11705" s="688" t="s">
        <v>2269</v>
      </c>
      <c r="B11705" s="689">
        <v>15.1</v>
      </c>
      <c r="C11705" s="689">
        <v>15.2</v>
      </c>
      <c r="D11705" s="689">
        <v>14.9</v>
      </c>
      <c r="E11705" s="689">
        <v>15.4</v>
      </c>
      <c r="F11705" s="689">
        <v>15.5</v>
      </c>
      <c r="G11705" s="689">
        <v>15.7</v>
      </c>
      <c r="H11705" s="693">
        <v>16</v>
      </c>
      <c r="I11705" s="689">
        <v>14.1</v>
      </c>
      <c r="J11705" s="689">
        <v>12.4</v>
      </c>
      <c r="K11705" s="689">
        <v>15.6</v>
      </c>
    </row>
    <row r="11706" spans="1:11">
      <c r="A11706" s="688" t="s">
        <v>2349</v>
      </c>
      <c r="B11706" s="691">
        <v>13.1</v>
      </c>
      <c r="C11706" s="691">
        <v>13.2</v>
      </c>
      <c r="D11706" s="691">
        <v>13.1</v>
      </c>
      <c r="E11706" s="691">
        <v>13.4</v>
      </c>
      <c r="F11706" s="691">
        <v>13.3</v>
      </c>
      <c r="G11706" s="691">
        <v>13.5</v>
      </c>
      <c r="H11706" s="691">
        <v>13.6</v>
      </c>
      <c r="I11706" s="691">
        <v>12.3</v>
      </c>
      <c r="J11706" s="691">
        <v>11.1</v>
      </c>
      <c r="K11706" s="691">
        <v>12.8</v>
      </c>
    </row>
    <row r="11707" spans="1:11">
      <c r="A11707" s="688" t="s">
        <v>2355</v>
      </c>
      <c r="B11707" s="689">
        <v>14.9</v>
      </c>
      <c r="C11707" s="689">
        <v>14.8</v>
      </c>
      <c r="D11707" s="689">
        <v>14.7</v>
      </c>
      <c r="E11707" s="689">
        <v>14.7</v>
      </c>
      <c r="F11707" s="689">
        <v>14.8</v>
      </c>
      <c r="G11707" s="689">
        <v>15.2</v>
      </c>
      <c r="H11707" s="689">
        <v>15.2</v>
      </c>
      <c r="I11707" s="690" t="s">
        <v>4060</v>
      </c>
      <c r="J11707" s="690" t="s">
        <v>4060</v>
      </c>
      <c r="K11707" s="690" t="s">
        <v>4060</v>
      </c>
    </row>
    <row r="11708" spans="1:11">
      <c r="A11708" s="688" t="s">
        <v>2357</v>
      </c>
      <c r="B11708" s="692" t="s">
        <v>4060</v>
      </c>
      <c r="C11708" s="615">
        <v>12</v>
      </c>
      <c r="D11708" s="691">
        <v>12.2</v>
      </c>
      <c r="E11708" s="691">
        <v>12.4</v>
      </c>
      <c r="F11708" s="691">
        <v>12.5</v>
      </c>
      <c r="G11708" s="691">
        <v>12.3</v>
      </c>
      <c r="H11708" s="691">
        <v>12.4</v>
      </c>
      <c r="I11708" s="692" t="s">
        <v>4060</v>
      </c>
      <c r="J11708" s="692" t="s">
        <v>4060</v>
      </c>
      <c r="K11708" s="692" t="s">
        <v>4060</v>
      </c>
    </row>
    <row r="11709" spans="1:11">
      <c r="A11709" s="688" t="s">
        <v>4070</v>
      </c>
      <c r="B11709" s="690" t="s">
        <v>4060</v>
      </c>
      <c r="C11709" s="690" t="s">
        <v>4060</v>
      </c>
      <c r="D11709" s="690" t="s">
        <v>4060</v>
      </c>
      <c r="E11709" s="689">
        <v>14.3</v>
      </c>
      <c r="F11709" s="690" t="s">
        <v>4060</v>
      </c>
      <c r="G11709" s="690" t="s">
        <v>4060</v>
      </c>
      <c r="H11709" s="690" t="s">
        <v>4060</v>
      </c>
      <c r="I11709" s="690" t="s">
        <v>4060</v>
      </c>
      <c r="J11709" s="690" t="s">
        <v>4060</v>
      </c>
      <c r="K11709" s="690" t="s">
        <v>4060</v>
      </c>
    </row>
    <row r="11710" spans="1:11">
      <c r="A11710" s="688" t="s">
        <v>2491</v>
      </c>
      <c r="B11710" s="691">
        <v>11.5</v>
      </c>
      <c r="C11710" s="691">
        <v>11.8</v>
      </c>
      <c r="D11710" s="691">
        <v>11.9</v>
      </c>
      <c r="E11710" s="691">
        <v>11.9</v>
      </c>
      <c r="F11710" s="691">
        <v>11.9</v>
      </c>
      <c r="G11710" s="615">
        <v>12</v>
      </c>
      <c r="H11710" s="692" t="s">
        <v>4060</v>
      </c>
      <c r="I11710" s="692" t="s">
        <v>4060</v>
      </c>
      <c r="J11710" s="692" t="s">
        <v>4060</v>
      </c>
      <c r="K11710" s="692" t="s">
        <v>4060</v>
      </c>
    </row>
    <row r="11711" spans="1:11">
      <c r="A11711" s="688" t="s">
        <v>2343</v>
      </c>
      <c r="B11711" s="690" t="s">
        <v>4060</v>
      </c>
      <c r="C11711" s="690" t="s">
        <v>4060</v>
      </c>
      <c r="D11711" s="690" t="s">
        <v>4060</v>
      </c>
      <c r="E11711" s="690" t="s">
        <v>4060</v>
      </c>
      <c r="F11711" s="690" t="s">
        <v>4060</v>
      </c>
      <c r="G11711" s="690" t="s">
        <v>4060</v>
      </c>
      <c r="H11711" s="690" t="s">
        <v>4060</v>
      </c>
      <c r="I11711" s="690" t="s">
        <v>4060</v>
      </c>
      <c r="J11711" s="690" t="s">
        <v>4060</v>
      </c>
      <c r="K11711" s="690" t="s">
        <v>4060</v>
      </c>
    </row>
    <row r="11712" spans="1:11">
      <c r="A11712" s="688" t="s">
        <v>4071</v>
      </c>
      <c r="B11712" s="692" t="s">
        <v>4060</v>
      </c>
      <c r="C11712" s="692" t="s">
        <v>4060</v>
      </c>
      <c r="D11712" s="692" t="s">
        <v>4060</v>
      </c>
      <c r="E11712" s="692" t="s">
        <v>4060</v>
      </c>
      <c r="F11712" s="692" t="s">
        <v>4060</v>
      </c>
      <c r="G11712" s="692" t="s">
        <v>4060</v>
      </c>
      <c r="H11712" s="692" t="s">
        <v>4060</v>
      </c>
      <c r="I11712" s="692" t="s">
        <v>4060</v>
      </c>
      <c r="J11712" s="692" t="s">
        <v>4060</v>
      </c>
      <c r="K11712" s="692" t="s">
        <v>4060</v>
      </c>
    </row>
    <row r="11713" spans="1:11">
      <c r="A11713" s="688" t="s">
        <v>2489</v>
      </c>
      <c r="B11713" s="690" t="s">
        <v>4060</v>
      </c>
      <c r="C11713" s="690" t="s">
        <v>4060</v>
      </c>
      <c r="D11713" s="689">
        <v>13.3</v>
      </c>
      <c r="E11713" s="689">
        <v>13.3</v>
      </c>
      <c r="F11713" s="689">
        <v>13.5</v>
      </c>
      <c r="G11713" s="689">
        <v>13.9</v>
      </c>
      <c r="H11713" s="689">
        <v>14.1</v>
      </c>
      <c r="I11713" s="690" t="s">
        <v>4060</v>
      </c>
      <c r="J11713" s="690" t="s">
        <v>4060</v>
      </c>
      <c r="K11713" s="690" t="s">
        <v>4060</v>
      </c>
    </row>
    <row r="11714" spans="1:11">
      <c r="A11714" s="688" t="s">
        <v>2490</v>
      </c>
      <c r="B11714" s="691">
        <v>13.5</v>
      </c>
      <c r="C11714" s="691">
        <v>13.3</v>
      </c>
      <c r="D11714" s="691">
        <v>14.1</v>
      </c>
      <c r="E11714" s="692" t="s">
        <v>4060</v>
      </c>
      <c r="F11714" s="691">
        <v>14.5</v>
      </c>
      <c r="G11714" s="691">
        <v>14.3</v>
      </c>
      <c r="H11714" s="691">
        <v>15.2</v>
      </c>
      <c r="I11714" s="692" t="s">
        <v>4060</v>
      </c>
      <c r="J11714" s="692" t="s">
        <v>4060</v>
      </c>
      <c r="K11714" s="692" t="s">
        <v>4060</v>
      </c>
    </row>
    <row r="11716" spans="1:11">
      <c r="A11716" s="683" t="s">
        <v>4233</v>
      </c>
    </row>
    <row r="11717" spans="1:11">
      <c r="A11717" s="683" t="s">
        <v>4060</v>
      </c>
      <c r="B11717" s="682" t="s">
        <v>4234</v>
      </c>
    </row>
    <row r="11719" spans="1:11">
      <c r="A11719" s="682" t="s">
        <v>4331</v>
      </c>
    </row>
    <row r="11720" spans="1:11">
      <c r="A11720" s="682" t="s">
        <v>4210</v>
      </c>
      <c r="B11720" s="683" t="s">
        <v>4211</v>
      </c>
    </row>
    <row r="11721" spans="1:11">
      <c r="A11721" s="682" t="s">
        <v>4212</v>
      </c>
      <c r="B11721" s="682" t="s">
        <v>4213</v>
      </c>
    </row>
    <row r="11723" spans="1:11">
      <c r="A11723" s="683" t="s">
        <v>4214</v>
      </c>
      <c r="C11723" s="682" t="s">
        <v>4215</v>
      </c>
    </row>
    <row r="11724" spans="1:11">
      <c r="A11724" s="683" t="s">
        <v>4216</v>
      </c>
      <c r="C11724" s="682" t="s">
        <v>2967</v>
      </c>
    </row>
    <row r="11725" spans="1:11">
      <c r="A11725" s="683" t="s">
        <v>3893</v>
      </c>
      <c r="C11725" s="682" t="s">
        <v>2168</v>
      </c>
    </row>
    <row r="11726" spans="1:11">
      <c r="A11726" s="683" t="s">
        <v>4218</v>
      </c>
      <c r="C11726" s="682" t="s">
        <v>4302</v>
      </c>
    </row>
    <row r="11728" spans="1:11">
      <c r="A11728" s="684" t="s">
        <v>4220</v>
      </c>
      <c r="B11728" s="685" t="s">
        <v>4221</v>
      </c>
      <c r="C11728" s="685" t="s">
        <v>4222</v>
      </c>
      <c r="D11728" s="685" t="s">
        <v>4223</v>
      </c>
      <c r="E11728" s="685" t="s">
        <v>4224</v>
      </c>
      <c r="F11728" s="685" t="s">
        <v>4225</v>
      </c>
      <c r="G11728" s="685" t="s">
        <v>4226</v>
      </c>
      <c r="H11728" s="685" t="s">
        <v>4227</v>
      </c>
      <c r="I11728" s="685" t="s">
        <v>4228</v>
      </c>
      <c r="J11728" s="685" t="s">
        <v>4229</v>
      </c>
      <c r="K11728" s="685" t="s">
        <v>4230</v>
      </c>
    </row>
    <row r="11729" spans="1:11">
      <c r="A11729" s="686" t="s">
        <v>4231</v>
      </c>
      <c r="B11729" s="687" t="s">
        <v>4232</v>
      </c>
      <c r="C11729" s="687" t="s">
        <v>4232</v>
      </c>
      <c r="D11729" s="687" t="s">
        <v>4232</v>
      </c>
      <c r="E11729" s="687" t="s">
        <v>4232</v>
      </c>
      <c r="F11729" s="687" t="s">
        <v>4232</v>
      </c>
      <c r="G11729" s="687" t="s">
        <v>4232</v>
      </c>
      <c r="H11729" s="687" t="s">
        <v>4232</v>
      </c>
      <c r="I11729" s="687" t="s">
        <v>4232</v>
      </c>
      <c r="J11729" s="687" t="s">
        <v>4232</v>
      </c>
      <c r="K11729" s="687" t="s">
        <v>4232</v>
      </c>
    </row>
    <row r="11730" spans="1:11">
      <c r="A11730" s="688" t="s">
        <v>4064</v>
      </c>
      <c r="B11730" s="691">
        <v>15.7</v>
      </c>
      <c r="C11730" s="691">
        <v>15.7</v>
      </c>
      <c r="D11730" s="691">
        <v>15.7</v>
      </c>
      <c r="E11730" s="691">
        <v>15.8</v>
      </c>
      <c r="F11730" s="691">
        <v>15.7</v>
      </c>
      <c r="G11730" s="691">
        <v>15.8</v>
      </c>
      <c r="H11730" s="615">
        <v>16</v>
      </c>
      <c r="I11730" s="691">
        <v>15.2</v>
      </c>
      <c r="J11730" s="691">
        <v>15.2</v>
      </c>
      <c r="K11730" s="691">
        <v>15.5</v>
      </c>
    </row>
    <row r="11731" spans="1:11">
      <c r="A11731" s="688" t="s">
        <v>4065</v>
      </c>
      <c r="B11731" s="689">
        <v>15.7</v>
      </c>
      <c r="C11731" s="693">
        <v>16</v>
      </c>
      <c r="D11731" s="689">
        <v>15.8</v>
      </c>
      <c r="E11731" s="689">
        <v>16.100000000000001</v>
      </c>
      <c r="F11731" s="693">
        <v>16</v>
      </c>
      <c r="G11731" s="689">
        <v>16.100000000000001</v>
      </c>
      <c r="H11731" s="690" t="s">
        <v>4060</v>
      </c>
      <c r="I11731" s="690" t="s">
        <v>4060</v>
      </c>
      <c r="J11731" s="690" t="s">
        <v>4060</v>
      </c>
      <c r="K11731" s="690" t="s">
        <v>4060</v>
      </c>
    </row>
    <row r="11732" spans="1:11">
      <c r="A11732" s="688" t="s">
        <v>4063</v>
      </c>
      <c r="B11732" s="691">
        <v>15.8</v>
      </c>
      <c r="C11732" s="615">
        <v>16</v>
      </c>
      <c r="D11732" s="691">
        <v>15.8</v>
      </c>
      <c r="E11732" s="691">
        <v>16.100000000000001</v>
      </c>
      <c r="F11732" s="615">
        <v>16</v>
      </c>
      <c r="G11732" s="691">
        <v>16.100000000000001</v>
      </c>
      <c r="H11732" s="692" t="s">
        <v>4060</v>
      </c>
      <c r="I11732" s="692" t="s">
        <v>4060</v>
      </c>
      <c r="J11732" s="692" t="s">
        <v>4060</v>
      </c>
      <c r="K11732" s="692" t="s">
        <v>4060</v>
      </c>
    </row>
    <row r="11733" spans="1:11">
      <c r="A11733" s="688" t="s">
        <v>4069</v>
      </c>
      <c r="B11733" s="690" t="s">
        <v>4060</v>
      </c>
      <c r="C11733" s="689">
        <v>16.2</v>
      </c>
      <c r="D11733" s="693">
        <v>16</v>
      </c>
      <c r="E11733" s="689">
        <v>16.3</v>
      </c>
      <c r="F11733" s="689">
        <v>16.2</v>
      </c>
      <c r="G11733" s="689">
        <v>16.399999999999999</v>
      </c>
      <c r="H11733" s="689">
        <v>16.600000000000001</v>
      </c>
      <c r="I11733" s="689">
        <v>15.9</v>
      </c>
      <c r="J11733" s="693">
        <v>16</v>
      </c>
      <c r="K11733" s="689">
        <v>16.100000000000001</v>
      </c>
    </row>
    <row r="11734" spans="1:11">
      <c r="A11734" s="688" t="s">
        <v>4068</v>
      </c>
      <c r="B11734" s="691">
        <v>16.2</v>
      </c>
      <c r="C11734" s="692" t="s">
        <v>4060</v>
      </c>
      <c r="D11734" s="692" t="s">
        <v>4060</v>
      </c>
      <c r="E11734" s="692" t="s">
        <v>4060</v>
      </c>
      <c r="F11734" s="692" t="s">
        <v>4060</v>
      </c>
      <c r="G11734" s="692" t="s">
        <v>4060</v>
      </c>
      <c r="H11734" s="692" t="s">
        <v>4060</v>
      </c>
      <c r="I11734" s="692" t="s">
        <v>4060</v>
      </c>
      <c r="J11734" s="692" t="s">
        <v>4060</v>
      </c>
      <c r="K11734" s="692" t="s">
        <v>4060</v>
      </c>
    </row>
    <row r="11735" spans="1:11">
      <c r="A11735" s="688" t="s">
        <v>0</v>
      </c>
      <c r="B11735" s="689">
        <v>15.6</v>
      </c>
      <c r="C11735" s="693">
        <v>16</v>
      </c>
      <c r="D11735" s="689">
        <v>15.8</v>
      </c>
      <c r="E11735" s="693">
        <v>16</v>
      </c>
      <c r="F11735" s="689">
        <v>16.100000000000001</v>
      </c>
      <c r="G11735" s="689">
        <v>16.2</v>
      </c>
      <c r="H11735" s="689">
        <v>16.399999999999999</v>
      </c>
      <c r="I11735" s="689">
        <v>15.4</v>
      </c>
      <c r="J11735" s="689">
        <v>16.2</v>
      </c>
      <c r="K11735" s="689">
        <v>16.3</v>
      </c>
    </row>
    <row r="11736" spans="1:11">
      <c r="A11736" s="688" t="s">
        <v>1</v>
      </c>
      <c r="B11736" s="691">
        <v>12.5</v>
      </c>
      <c r="C11736" s="691">
        <v>12.3</v>
      </c>
      <c r="D11736" s="691">
        <v>12.2</v>
      </c>
      <c r="E11736" s="691">
        <v>12.4</v>
      </c>
      <c r="F11736" s="691">
        <v>12.3</v>
      </c>
      <c r="G11736" s="691">
        <v>12.3</v>
      </c>
      <c r="H11736" s="691">
        <v>12.4</v>
      </c>
      <c r="I11736" s="691">
        <v>11.2</v>
      </c>
      <c r="J11736" s="691">
        <v>10.1</v>
      </c>
      <c r="K11736" s="691">
        <v>11.5</v>
      </c>
    </row>
    <row r="11737" spans="1:11">
      <c r="A11737" s="688" t="s">
        <v>2240</v>
      </c>
      <c r="B11737" s="689">
        <v>13.8</v>
      </c>
      <c r="C11737" s="693">
        <v>14</v>
      </c>
      <c r="D11737" s="689">
        <v>13.8</v>
      </c>
      <c r="E11737" s="689">
        <v>14.1</v>
      </c>
      <c r="F11737" s="689">
        <v>14.1</v>
      </c>
      <c r="G11737" s="689">
        <v>14.1</v>
      </c>
      <c r="H11737" s="689">
        <v>14.3</v>
      </c>
      <c r="I11737" s="689">
        <v>13.2</v>
      </c>
      <c r="J11737" s="689">
        <v>12.6</v>
      </c>
      <c r="K11737" s="693">
        <v>14</v>
      </c>
    </row>
    <row r="11738" spans="1:11">
      <c r="A11738" s="688" t="s">
        <v>2</v>
      </c>
      <c r="B11738" s="691">
        <v>15.5</v>
      </c>
      <c r="C11738" s="691">
        <v>15.7</v>
      </c>
      <c r="D11738" s="691">
        <v>15.7</v>
      </c>
      <c r="E11738" s="691">
        <v>15.9</v>
      </c>
      <c r="F11738" s="691">
        <v>15.9</v>
      </c>
      <c r="G11738" s="691">
        <v>15.7</v>
      </c>
      <c r="H11738" s="691">
        <v>16.100000000000001</v>
      </c>
      <c r="I11738" s="691">
        <v>16.100000000000001</v>
      </c>
      <c r="J11738" s="691">
        <v>15.9</v>
      </c>
      <c r="K11738" s="691">
        <v>15.8</v>
      </c>
    </row>
    <row r="11739" spans="1:11">
      <c r="A11739" s="688" t="s">
        <v>3</v>
      </c>
      <c r="B11739" s="689">
        <v>15.6</v>
      </c>
      <c r="C11739" s="689">
        <v>15.8</v>
      </c>
      <c r="D11739" s="689">
        <v>15.5</v>
      </c>
      <c r="E11739" s="689">
        <v>15.7</v>
      </c>
      <c r="F11739" s="689">
        <v>15.7</v>
      </c>
      <c r="G11739" s="689">
        <v>15.7</v>
      </c>
      <c r="H11739" s="689">
        <v>15.9</v>
      </c>
      <c r="I11739" s="689">
        <v>15.7</v>
      </c>
      <c r="J11739" s="689">
        <v>15.5</v>
      </c>
      <c r="K11739" s="689">
        <v>15.3</v>
      </c>
    </row>
    <row r="11740" spans="1:11">
      <c r="A11740" s="688" t="s">
        <v>4061</v>
      </c>
      <c r="B11740" s="691">
        <v>15.6</v>
      </c>
      <c r="C11740" s="691">
        <v>15.8</v>
      </c>
      <c r="D11740" s="691">
        <v>15.5</v>
      </c>
      <c r="E11740" s="691">
        <v>15.7</v>
      </c>
      <c r="F11740" s="691">
        <v>15.7</v>
      </c>
      <c r="G11740" s="691">
        <v>15.7</v>
      </c>
      <c r="H11740" s="691">
        <v>15.9</v>
      </c>
      <c r="I11740" s="691">
        <v>15.7</v>
      </c>
      <c r="J11740" s="691">
        <v>15.5</v>
      </c>
      <c r="K11740" s="691">
        <v>15.3</v>
      </c>
    </row>
    <row r="11741" spans="1:11">
      <c r="A11741" s="688" t="s">
        <v>4</v>
      </c>
      <c r="B11741" s="689">
        <v>13.5</v>
      </c>
      <c r="C11741" s="689">
        <v>13.3</v>
      </c>
      <c r="D11741" s="689">
        <v>13.5</v>
      </c>
      <c r="E11741" s="689">
        <v>13.6</v>
      </c>
      <c r="F11741" s="689">
        <v>13.6</v>
      </c>
      <c r="G11741" s="689">
        <v>13.7</v>
      </c>
      <c r="H11741" s="693">
        <v>14</v>
      </c>
      <c r="I11741" s="693">
        <v>14</v>
      </c>
      <c r="J11741" s="689">
        <v>12.7</v>
      </c>
      <c r="K11741" s="689">
        <v>13.5</v>
      </c>
    </row>
    <row r="11742" spans="1:11">
      <c r="A11742" s="688" t="s">
        <v>8</v>
      </c>
      <c r="B11742" s="691">
        <v>15.8</v>
      </c>
      <c r="C11742" s="691">
        <v>15.9</v>
      </c>
      <c r="D11742" s="691">
        <v>15.9</v>
      </c>
      <c r="E11742" s="615">
        <v>16</v>
      </c>
      <c r="F11742" s="691">
        <v>16.399999999999999</v>
      </c>
      <c r="G11742" s="691">
        <v>16.5</v>
      </c>
      <c r="H11742" s="691">
        <v>16.600000000000001</v>
      </c>
      <c r="I11742" s="691">
        <v>16.600000000000001</v>
      </c>
      <c r="J11742" s="691">
        <v>16.5</v>
      </c>
      <c r="K11742" s="691">
        <v>16.7</v>
      </c>
    </row>
    <row r="11743" spans="1:11">
      <c r="A11743" s="688" t="s">
        <v>7</v>
      </c>
      <c r="B11743" s="689">
        <v>16.5</v>
      </c>
      <c r="C11743" s="689">
        <v>15.9</v>
      </c>
      <c r="D11743" s="689">
        <v>15.6</v>
      </c>
      <c r="E11743" s="689">
        <v>15.9</v>
      </c>
      <c r="F11743" s="689">
        <v>15.8</v>
      </c>
      <c r="G11743" s="689">
        <v>16.2</v>
      </c>
      <c r="H11743" s="689">
        <v>16.2</v>
      </c>
      <c r="I11743" s="689">
        <v>15.9</v>
      </c>
      <c r="J11743" s="689">
        <v>15.3</v>
      </c>
      <c r="K11743" s="689">
        <v>15.6</v>
      </c>
    </row>
    <row r="11744" spans="1:11">
      <c r="A11744" s="688" t="s">
        <v>27</v>
      </c>
      <c r="B11744" s="691">
        <v>16.899999999999999</v>
      </c>
      <c r="C11744" s="691">
        <v>16.7</v>
      </c>
      <c r="D11744" s="691">
        <v>16.5</v>
      </c>
      <c r="E11744" s="691">
        <v>16.8</v>
      </c>
      <c r="F11744" s="691">
        <v>16.8</v>
      </c>
      <c r="G11744" s="691">
        <v>16.8</v>
      </c>
      <c r="H11744" s="691">
        <v>17.100000000000001</v>
      </c>
      <c r="I11744" s="615">
        <v>16</v>
      </c>
      <c r="J11744" s="691">
        <v>16.7</v>
      </c>
      <c r="K11744" s="691">
        <v>16.8</v>
      </c>
    </row>
    <row r="11745" spans="1:11">
      <c r="A11745" s="688" t="s">
        <v>6</v>
      </c>
      <c r="B11745" s="689">
        <v>17.100000000000001</v>
      </c>
      <c r="C11745" s="689">
        <v>17.100000000000001</v>
      </c>
      <c r="D11745" s="689">
        <v>16.899999999999999</v>
      </c>
      <c r="E11745" s="689">
        <v>17.100000000000001</v>
      </c>
      <c r="F11745" s="689">
        <v>17.2</v>
      </c>
      <c r="G11745" s="689">
        <v>17.2</v>
      </c>
      <c r="H11745" s="689">
        <v>17.399999999999999</v>
      </c>
      <c r="I11745" s="689">
        <v>16.7</v>
      </c>
      <c r="J11745" s="689">
        <v>16.899999999999999</v>
      </c>
      <c r="K11745" s="693">
        <v>17</v>
      </c>
    </row>
    <row r="11746" spans="1:11">
      <c r="A11746" s="688" t="s">
        <v>4058</v>
      </c>
      <c r="B11746" s="692" t="s">
        <v>4060</v>
      </c>
      <c r="C11746" s="692" t="s">
        <v>4060</v>
      </c>
      <c r="D11746" s="692" t="s">
        <v>4060</v>
      </c>
      <c r="E11746" s="692" t="s">
        <v>4060</v>
      </c>
      <c r="F11746" s="692" t="s">
        <v>4060</v>
      </c>
      <c r="G11746" s="692" t="s">
        <v>4060</v>
      </c>
      <c r="H11746" s="692" t="s">
        <v>4060</v>
      </c>
      <c r="I11746" s="692" t="s">
        <v>4060</v>
      </c>
      <c r="J11746" s="692" t="s">
        <v>4060</v>
      </c>
      <c r="K11746" s="692" t="s">
        <v>4060</v>
      </c>
    </row>
    <row r="11747" spans="1:11">
      <c r="A11747" s="688" t="s">
        <v>11</v>
      </c>
      <c r="B11747" s="689">
        <v>13.3</v>
      </c>
      <c r="C11747" s="689">
        <v>13.4</v>
      </c>
      <c r="D11747" s="689">
        <v>13.1</v>
      </c>
      <c r="E11747" s="689">
        <v>13.5</v>
      </c>
      <c r="F11747" s="689">
        <v>13.5</v>
      </c>
      <c r="G11747" s="689">
        <v>13.6</v>
      </c>
      <c r="H11747" s="689">
        <v>13.8</v>
      </c>
      <c r="I11747" s="689">
        <v>13.1</v>
      </c>
      <c r="J11747" s="689">
        <v>12.5</v>
      </c>
      <c r="K11747" s="689">
        <v>13.3</v>
      </c>
    </row>
    <row r="11748" spans="1:11">
      <c r="A11748" s="688" t="s">
        <v>10</v>
      </c>
      <c r="B11748" s="691">
        <v>16.600000000000001</v>
      </c>
      <c r="C11748" s="691">
        <v>16.600000000000001</v>
      </c>
      <c r="D11748" s="691">
        <v>16.3</v>
      </c>
      <c r="E11748" s="691">
        <v>16.8</v>
      </c>
      <c r="F11748" s="691">
        <v>16.600000000000001</v>
      </c>
      <c r="G11748" s="691">
        <v>16.899999999999999</v>
      </c>
      <c r="H11748" s="691">
        <v>17.100000000000001</v>
      </c>
      <c r="I11748" s="691">
        <v>15.9</v>
      </c>
      <c r="J11748" s="691">
        <v>16.5</v>
      </c>
      <c r="K11748" s="691">
        <v>16.600000000000001</v>
      </c>
    </row>
    <row r="11749" spans="1:11">
      <c r="A11749" s="688" t="s">
        <v>30</v>
      </c>
      <c r="B11749" s="689">
        <v>16.3</v>
      </c>
      <c r="C11749" s="689">
        <v>16.399999999999999</v>
      </c>
      <c r="D11749" s="689">
        <v>16.100000000000001</v>
      </c>
      <c r="E11749" s="689">
        <v>16.600000000000001</v>
      </c>
      <c r="F11749" s="689">
        <v>16.5</v>
      </c>
      <c r="G11749" s="689">
        <v>16.899999999999999</v>
      </c>
      <c r="H11749" s="689">
        <v>16.8</v>
      </c>
      <c r="I11749" s="689">
        <v>17.100000000000001</v>
      </c>
      <c r="J11749" s="689">
        <v>16.3</v>
      </c>
      <c r="K11749" s="689">
        <v>16.600000000000001</v>
      </c>
    </row>
    <row r="11750" spans="1:11">
      <c r="A11750" s="688" t="s">
        <v>12</v>
      </c>
      <c r="B11750" s="691">
        <v>12.4</v>
      </c>
      <c r="C11750" s="691">
        <v>12.2</v>
      </c>
      <c r="D11750" s="691">
        <v>12.4</v>
      </c>
      <c r="E11750" s="691">
        <v>12.3</v>
      </c>
      <c r="F11750" s="691">
        <v>12.3</v>
      </c>
      <c r="G11750" s="691">
        <v>12.4</v>
      </c>
      <c r="H11750" s="691">
        <v>12.7</v>
      </c>
      <c r="I11750" s="691">
        <v>12.4</v>
      </c>
      <c r="J11750" s="691">
        <v>11.3</v>
      </c>
      <c r="K11750" s="691">
        <v>12.1</v>
      </c>
    </row>
    <row r="11751" spans="1:11">
      <c r="A11751" s="688" t="s">
        <v>14</v>
      </c>
      <c r="B11751" s="689">
        <v>12.5</v>
      </c>
      <c r="C11751" s="689">
        <v>12.5</v>
      </c>
      <c r="D11751" s="689">
        <v>12.3</v>
      </c>
      <c r="E11751" s="689">
        <v>12.4</v>
      </c>
      <c r="F11751" s="689">
        <v>12.5</v>
      </c>
      <c r="G11751" s="689">
        <v>12.5</v>
      </c>
      <c r="H11751" s="689">
        <v>12.9</v>
      </c>
      <c r="I11751" s="693">
        <v>12</v>
      </c>
      <c r="J11751" s="689">
        <v>11.8</v>
      </c>
      <c r="K11751" s="689">
        <v>12.4</v>
      </c>
    </row>
    <row r="11752" spans="1:11">
      <c r="A11752" s="688" t="s">
        <v>15</v>
      </c>
      <c r="B11752" s="691">
        <v>16.8</v>
      </c>
      <c r="C11752" s="691">
        <v>15.9</v>
      </c>
      <c r="D11752" s="691">
        <v>16.2</v>
      </c>
      <c r="E11752" s="691">
        <v>16.399999999999999</v>
      </c>
      <c r="F11752" s="691">
        <v>16.100000000000001</v>
      </c>
      <c r="G11752" s="691">
        <v>16.2</v>
      </c>
      <c r="H11752" s="691">
        <v>16.600000000000001</v>
      </c>
      <c r="I11752" s="691">
        <v>16.100000000000001</v>
      </c>
      <c r="J11752" s="691">
        <v>16.399999999999999</v>
      </c>
      <c r="K11752" s="691">
        <v>17.100000000000001</v>
      </c>
    </row>
    <row r="11753" spans="1:11">
      <c r="A11753" s="688" t="s">
        <v>29</v>
      </c>
      <c r="B11753" s="689">
        <v>12.8</v>
      </c>
      <c r="C11753" s="689">
        <v>12.8</v>
      </c>
      <c r="D11753" s="689">
        <v>12.6</v>
      </c>
      <c r="E11753" s="689">
        <v>12.8</v>
      </c>
      <c r="F11753" s="689">
        <v>12.7</v>
      </c>
      <c r="G11753" s="689">
        <v>12.7</v>
      </c>
      <c r="H11753" s="689">
        <v>12.9</v>
      </c>
      <c r="I11753" s="689">
        <v>12.3</v>
      </c>
      <c r="J11753" s="689">
        <v>11.6</v>
      </c>
      <c r="K11753" s="689">
        <v>12.5</v>
      </c>
    </row>
    <row r="11754" spans="1:11">
      <c r="A11754" s="688" t="s">
        <v>16</v>
      </c>
      <c r="B11754" s="691">
        <v>15.9</v>
      </c>
      <c r="C11754" s="615">
        <v>16</v>
      </c>
      <c r="D11754" s="691">
        <v>16.2</v>
      </c>
      <c r="E11754" s="691">
        <v>16.899999999999999</v>
      </c>
      <c r="F11754" s="691">
        <v>16.5</v>
      </c>
      <c r="G11754" s="691">
        <v>16.399999999999999</v>
      </c>
      <c r="H11754" s="691">
        <v>16.5</v>
      </c>
      <c r="I11754" s="615">
        <v>16</v>
      </c>
      <c r="J11754" s="691">
        <v>16.399999999999999</v>
      </c>
      <c r="K11754" s="691">
        <v>16.399999999999999</v>
      </c>
    </row>
    <row r="11755" spans="1:11">
      <c r="A11755" s="688" t="s">
        <v>17</v>
      </c>
      <c r="B11755" s="689">
        <v>15.9</v>
      </c>
      <c r="C11755" s="689">
        <v>16.100000000000001</v>
      </c>
      <c r="D11755" s="689">
        <v>15.9</v>
      </c>
      <c r="E11755" s="693">
        <v>16</v>
      </c>
      <c r="F11755" s="689">
        <v>16.2</v>
      </c>
      <c r="G11755" s="689">
        <v>16.3</v>
      </c>
      <c r="H11755" s="689">
        <v>16.5</v>
      </c>
      <c r="I11755" s="689">
        <v>15.8</v>
      </c>
      <c r="J11755" s="689">
        <v>15.8</v>
      </c>
      <c r="K11755" s="689">
        <v>16.2</v>
      </c>
    </row>
    <row r="11756" spans="1:11">
      <c r="A11756" s="688" t="s">
        <v>19</v>
      </c>
      <c r="B11756" s="615">
        <v>16</v>
      </c>
      <c r="C11756" s="691">
        <v>16.100000000000001</v>
      </c>
      <c r="D11756" s="691">
        <v>15.8</v>
      </c>
      <c r="E11756" s="691">
        <v>16.100000000000001</v>
      </c>
      <c r="F11756" s="691">
        <v>16.100000000000001</v>
      </c>
      <c r="G11756" s="691">
        <v>16.100000000000001</v>
      </c>
      <c r="H11756" s="691">
        <v>16.3</v>
      </c>
      <c r="I11756" s="691">
        <v>15.6</v>
      </c>
      <c r="J11756" s="691">
        <v>15.7</v>
      </c>
      <c r="K11756" s="691">
        <v>15.8</v>
      </c>
    </row>
    <row r="11757" spans="1:11">
      <c r="A11757" s="688" t="s">
        <v>20</v>
      </c>
      <c r="B11757" s="689">
        <v>13.7</v>
      </c>
      <c r="C11757" s="689">
        <v>13.9</v>
      </c>
      <c r="D11757" s="689">
        <v>13.7</v>
      </c>
      <c r="E11757" s="693">
        <v>14</v>
      </c>
      <c r="F11757" s="693">
        <v>14</v>
      </c>
      <c r="G11757" s="689">
        <v>13.9</v>
      </c>
      <c r="H11757" s="689">
        <v>14.2</v>
      </c>
      <c r="I11757" s="689">
        <v>12.8</v>
      </c>
      <c r="J11757" s="689">
        <v>12.3</v>
      </c>
      <c r="K11757" s="689">
        <v>13.5</v>
      </c>
    </row>
    <row r="11758" spans="1:11">
      <c r="A11758" s="688" t="s">
        <v>21</v>
      </c>
      <c r="B11758" s="691">
        <v>15.6</v>
      </c>
      <c r="C11758" s="691">
        <v>15.9</v>
      </c>
      <c r="D11758" s="691">
        <v>15.9</v>
      </c>
      <c r="E11758" s="691">
        <v>15.9</v>
      </c>
      <c r="F11758" s="691">
        <v>16.100000000000001</v>
      </c>
      <c r="G11758" s="691">
        <v>16.100000000000001</v>
      </c>
      <c r="H11758" s="691">
        <v>16.5</v>
      </c>
      <c r="I11758" s="615">
        <v>16</v>
      </c>
      <c r="J11758" s="615">
        <v>16</v>
      </c>
      <c r="K11758" s="691">
        <v>16.399999999999999</v>
      </c>
    </row>
    <row r="11759" spans="1:11">
      <c r="A11759" s="688" t="s">
        <v>22</v>
      </c>
      <c r="B11759" s="689">
        <v>12.9</v>
      </c>
      <c r="C11759" s="689">
        <v>12.8</v>
      </c>
      <c r="D11759" s="689">
        <v>12.7</v>
      </c>
      <c r="E11759" s="689">
        <v>12.9</v>
      </c>
      <c r="F11759" s="689">
        <v>12.9</v>
      </c>
      <c r="G11759" s="693">
        <v>13</v>
      </c>
      <c r="H11759" s="689">
        <v>13.2</v>
      </c>
      <c r="I11759" s="689">
        <v>11.8</v>
      </c>
      <c r="J11759" s="693">
        <v>11</v>
      </c>
      <c r="K11759" s="689">
        <v>12.4</v>
      </c>
    </row>
    <row r="11760" spans="1:11">
      <c r="A11760" s="688" t="s">
        <v>26</v>
      </c>
      <c r="B11760" s="691">
        <v>15.1</v>
      </c>
      <c r="C11760" s="691">
        <v>15.4</v>
      </c>
      <c r="D11760" s="691">
        <v>15.2</v>
      </c>
      <c r="E11760" s="691">
        <v>15.5</v>
      </c>
      <c r="F11760" s="691">
        <v>15.2</v>
      </c>
      <c r="G11760" s="691">
        <v>15.5</v>
      </c>
      <c r="H11760" s="691">
        <v>15.7</v>
      </c>
      <c r="I11760" s="691">
        <v>14.8</v>
      </c>
      <c r="J11760" s="691">
        <v>14.9</v>
      </c>
      <c r="K11760" s="691">
        <v>15.5</v>
      </c>
    </row>
    <row r="11761" spans="1:11">
      <c r="A11761" s="688" t="s">
        <v>25</v>
      </c>
      <c r="B11761" s="689">
        <v>12.9</v>
      </c>
      <c r="C11761" s="689">
        <v>13.2</v>
      </c>
      <c r="D11761" s="689">
        <v>13.1</v>
      </c>
      <c r="E11761" s="689">
        <v>13.4</v>
      </c>
      <c r="F11761" s="689">
        <v>13.3</v>
      </c>
      <c r="G11761" s="689">
        <v>13.6</v>
      </c>
      <c r="H11761" s="689">
        <v>13.9</v>
      </c>
      <c r="I11761" s="693">
        <v>13</v>
      </c>
      <c r="J11761" s="689">
        <v>11.5</v>
      </c>
      <c r="K11761" s="689">
        <v>13.1</v>
      </c>
    </row>
    <row r="11762" spans="1:11">
      <c r="A11762" s="688" t="s">
        <v>5</v>
      </c>
      <c r="B11762" s="691">
        <v>15.9</v>
      </c>
      <c r="C11762" s="691">
        <v>15.8</v>
      </c>
      <c r="D11762" s="691">
        <v>15.9</v>
      </c>
      <c r="E11762" s="691">
        <v>15.9</v>
      </c>
      <c r="F11762" s="615">
        <v>16</v>
      </c>
      <c r="G11762" s="691">
        <v>16.100000000000001</v>
      </c>
      <c r="H11762" s="691">
        <v>16.3</v>
      </c>
      <c r="I11762" s="691">
        <v>16.399999999999999</v>
      </c>
      <c r="J11762" s="691">
        <v>16.2</v>
      </c>
      <c r="K11762" s="691">
        <v>15.7</v>
      </c>
    </row>
    <row r="11763" spans="1:11">
      <c r="A11763" s="688" t="s">
        <v>23</v>
      </c>
      <c r="B11763" s="689">
        <v>16.399999999999999</v>
      </c>
      <c r="C11763" s="689">
        <v>16.5</v>
      </c>
      <c r="D11763" s="689">
        <v>16.5</v>
      </c>
      <c r="E11763" s="689">
        <v>16.600000000000001</v>
      </c>
      <c r="F11763" s="689">
        <v>16.7</v>
      </c>
      <c r="G11763" s="689">
        <v>16.8</v>
      </c>
      <c r="H11763" s="689">
        <v>17.100000000000001</v>
      </c>
      <c r="I11763" s="689">
        <v>16.5</v>
      </c>
      <c r="J11763" s="689">
        <v>17.100000000000001</v>
      </c>
      <c r="K11763" s="689">
        <v>17.100000000000001</v>
      </c>
    </row>
    <row r="11764" spans="1:11">
      <c r="A11764" s="688" t="s">
        <v>4067</v>
      </c>
      <c r="B11764" s="691">
        <v>15.7</v>
      </c>
      <c r="C11764" s="615">
        <v>16</v>
      </c>
      <c r="D11764" s="691">
        <v>15.8</v>
      </c>
      <c r="E11764" s="691">
        <v>16.100000000000001</v>
      </c>
      <c r="F11764" s="615">
        <v>16</v>
      </c>
      <c r="G11764" s="691">
        <v>16.100000000000001</v>
      </c>
      <c r="H11764" s="692" t="s">
        <v>4060</v>
      </c>
      <c r="I11764" s="692" t="s">
        <v>4060</v>
      </c>
      <c r="J11764" s="692" t="s">
        <v>4060</v>
      </c>
      <c r="K11764" s="692" t="s">
        <v>4060</v>
      </c>
    </row>
    <row r="11765" spans="1:11">
      <c r="A11765" s="688" t="s">
        <v>4066</v>
      </c>
      <c r="B11765" s="689">
        <v>15.8</v>
      </c>
      <c r="C11765" s="693">
        <v>16</v>
      </c>
      <c r="D11765" s="689">
        <v>15.8</v>
      </c>
      <c r="E11765" s="689">
        <v>16.100000000000001</v>
      </c>
      <c r="F11765" s="693">
        <v>16</v>
      </c>
      <c r="G11765" s="689">
        <v>16.100000000000001</v>
      </c>
      <c r="H11765" s="690" t="s">
        <v>4060</v>
      </c>
      <c r="I11765" s="690" t="s">
        <v>4060</v>
      </c>
      <c r="J11765" s="690" t="s">
        <v>4060</v>
      </c>
      <c r="K11765" s="690" t="s">
        <v>4060</v>
      </c>
    </row>
    <row r="11766" spans="1:11">
      <c r="A11766" s="688" t="s">
        <v>4062</v>
      </c>
      <c r="B11766" s="691">
        <v>16.7</v>
      </c>
      <c r="C11766" s="691">
        <v>16.8</v>
      </c>
      <c r="D11766" s="691">
        <v>16.7</v>
      </c>
      <c r="E11766" s="691">
        <v>17.100000000000001</v>
      </c>
      <c r="F11766" s="691">
        <v>17.100000000000001</v>
      </c>
      <c r="G11766" s="691">
        <v>17.3</v>
      </c>
      <c r="H11766" s="691">
        <v>17.399999999999999</v>
      </c>
      <c r="I11766" s="615">
        <v>17</v>
      </c>
      <c r="J11766" s="691">
        <v>17.399999999999999</v>
      </c>
      <c r="K11766" s="691">
        <v>17.2</v>
      </c>
    </row>
    <row r="11767" spans="1:11">
      <c r="A11767" s="688" t="s">
        <v>9</v>
      </c>
      <c r="B11767" s="689">
        <v>16.399999999999999</v>
      </c>
      <c r="C11767" s="689">
        <v>16.899999999999999</v>
      </c>
      <c r="D11767" s="693">
        <v>17</v>
      </c>
      <c r="E11767" s="689">
        <v>16.2</v>
      </c>
      <c r="F11767" s="693">
        <v>17</v>
      </c>
      <c r="G11767" s="689">
        <v>17.3</v>
      </c>
      <c r="H11767" s="689">
        <v>17.399999999999999</v>
      </c>
      <c r="I11767" s="689">
        <v>17.600000000000001</v>
      </c>
      <c r="J11767" s="689">
        <v>17.899999999999999</v>
      </c>
      <c r="K11767" s="689">
        <v>16.899999999999999</v>
      </c>
    </row>
    <row r="11768" spans="1:11">
      <c r="A11768" s="688" t="s">
        <v>13</v>
      </c>
      <c r="B11768" s="691">
        <v>16.5</v>
      </c>
      <c r="C11768" s="691">
        <v>17.100000000000001</v>
      </c>
      <c r="D11768" s="691">
        <v>16.8</v>
      </c>
      <c r="E11768" s="691">
        <v>15.8</v>
      </c>
      <c r="F11768" s="691">
        <v>17.7</v>
      </c>
      <c r="G11768" s="691">
        <v>16.100000000000001</v>
      </c>
      <c r="H11768" s="691">
        <v>17.600000000000001</v>
      </c>
      <c r="I11768" s="691">
        <v>15.8</v>
      </c>
      <c r="J11768" s="691">
        <v>18.399999999999999</v>
      </c>
      <c r="K11768" s="691">
        <v>18.3</v>
      </c>
    </row>
    <row r="11769" spans="1:11">
      <c r="A11769" s="688" t="s">
        <v>18</v>
      </c>
      <c r="B11769" s="689">
        <v>16.2</v>
      </c>
      <c r="C11769" s="689">
        <v>16.3</v>
      </c>
      <c r="D11769" s="689">
        <v>16.399999999999999</v>
      </c>
      <c r="E11769" s="689">
        <v>16.7</v>
      </c>
      <c r="F11769" s="689">
        <v>16.8</v>
      </c>
      <c r="G11769" s="689">
        <v>16.899999999999999</v>
      </c>
      <c r="H11769" s="689">
        <v>17.100000000000001</v>
      </c>
      <c r="I11769" s="689">
        <v>17.3</v>
      </c>
      <c r="J11769" s="689">
        <v>17.3</v>
      </c>
      <c r="K11769" s="689">
        <v>16.7</v>
      </c>
    </row>
    <row r="11770" spans="1:11">
      <c r="A11770" s="688" t="s">
        <v>24</v>
      </c>
      <c r="B11770" s="615">
        <v>17</v>
      </c>
      <c r="C11770" s="691">
        <v>17.100000000000001</v>
      </c>
      <c r="D11770" s="691">
        <v>16.899999999999999</v>
      </c>
      <c r="E11770" s="691">
        <v>17.399999999999999</v>
      </c>
      <c r="F11770" s="691">
        <v>17.3</v>
      </c>
      <c r="G11770" s="691">
        <v>17.5</v>
      </c>
      <c r="H11770" s="691">
        <v>17.600000000000001</v>
      </c>
      <c r="I11770" s="691">
        <v>16.8</v>
      </c>
      <c r="J11770" s="691">
        <v>17.5</v>
      </c>
      <c r="K11770" s="691">
        <v>17.399999999999999</v>
      </c>
    </row>
    <row r="11771" spans="1:11">
      <c r="A11771" s="688" t="s">
        <v>4059</v>
      </c>
      <c r="B11771" s="689">
        <v>16.3</v>
      </c>
      <c r="C11771" s="689">
        <v>16.5</v>
      </c>
      <c r="D11771" s="689">
        <v>16.3</v>
      </c>
      <c r="E11771" s="689">
        <v>16.5</v>
      </c>
      <c r="F11771" s="689">
        <v>16.5</v>
      </c>
      <c r="G11771" s="689">
        <v>16.600000000000001</v>
      </c>
      <c r="H11771" s="690" t="s">
        <v>4060</v>
      </c>
      <c r="I11771" s="690" t="s">
        <v>4060</v>
      </c>
      <c r="J11771" s="690" t="s">
        <v>4060</v>
      </c>
      <c r="K11771" s="690" t="s">
        <v>4060</v>
      </c>
    </row>
    <row r="11772" spans="1:11">
      <c r="A11772" s="688" t="s">
        <v>2324</v>
      </c>
      <c r="B11772" s="691">
        <v>13.1</v>
      </c>
      <c r="C11772" s="691">
        <v>13.2</v>
      </c>
      <c r="D11772" s="615">
        <v>13</v>
      </c>
      <c r="E11772" s="691">
        <v>12.7</v>
      </c>
      <c r="F11772" s="615">
        <v>13</v>
      </c>
      <c r="G11772" s="691">
        <v>13.2</v>
      </c>
      <c r="H11772" s="691">
        <v>13.3</v>
      </c>
      <c r="I11772" s="615">
        <v>12</v>
      </c>
      <c r="J11772" s="691">
        <v>10.5</v>
      </c>
      <c r="K11772" s="692" t="s">
        <v>4060</v>
      </c>
    </row>
    <row r="11773" spans="1:11">
      <c r="A11773" s="688" t="s">
        <v>2322</v>
      </c>
      <c r="B11773" s="690" t="s">
        <v>4060</v>
      </c>
      <c r="C11773" s="690" t="s">
        <v>4060</v>
      </c>
      <c r="D11773" s="690" t="s">
        <v>4060</v>
      </c>
      <c r="E11773" s="690" t="s">
        <v>4060</v>
      </c>
      <c r="F11773" s="690" t="s">
        <v>4060</v>
      </c>
      <c r="G11773" s="690" t="s">
        <v>4060</v>
      </c>
      <c r="H11773" s="690" t="s">
        <v>4060</v>
      </c>
      <c r="I11773" s="690" t="s">
        <v>4060</v>
      </c>
      <c r="J11773" s="690" t="s">
        <v>4060</v>
      </c>
      <c r="K11773" s="690" t="s">
        <v>4060</v>
      </c>
    </row>
    <row r="11774" spans="1:11">
      <c r="A11774" s="688" t="s">
        <v>2328</v>
      </c>
      <c r="B11774" s="691">
        <v>12.4</v>
      </c>
      <c r="C11774" s="691">
        <v>12.5</v>
      </c>
      <c r="D11774" s="691">
        <v>12.3</v>
      </c>
      <c r="E11774" s="691">
        <v>12.5</v>
      </c>
      <c r="F11774" s="691">
        <v>12.6</v>
      </c>
      <c r="G11774" s="615">
        <v>13</v>
      </c>
      <c r="H11774" s="691">
        <v>12.9</v>
      </c>
      <c r="I11774" s="691">
        <v>11.2</v>
      </c>
      <c r="J11774" s="691">
        <v>10.8</v>
      </c>
      <c r="K11774" s="692" t="s">
        <v>4060</v>
      </c>
    </row>
    <row r="11775" spans="1:11">
      <c r="A11775" s="688" t="s">
        <v>2496</v>
      </c>
      <c r="B11775" s="690" t="s">
        <v>4060</v>
      </c>
      <c r="C11775" s="689">
        <v>12.4</v>
      </c>
      <c r="D11775" s="689">
        <v>11.5</v>
      </c>
      <c r="E11775" s="689">
        <v>11.2</v>
      </c>
      <c r="F11775" s="689">
        <v>11.6</v>
      </c>
      <c r="G11775" s="689">
        <v>11.9</v>
      </c>
      <c r="H11775" s="689">
        <v>11.9</v>
      </c>
      <c r="I11775" s="690" t="s">
        <v>4060</v>
      </c>
      <c r="J11775" s="690" t="s">
        <v>4060</v>
      </c>
      <c r="K11775" s="689">
        <v>11.2</v>
      </c>
    </row>
    <row r="11776" spans="1:11">
      <c r="A11776" s="688" t="s">
        <v>2269</v>
      </c>
      <c r="B11776" s="691">
        <v>14.3</v>
      </c>
      <c r="C11776" s="691">
        <v>14.5</v>
      </c>
      <c r="D11776" s="691">
        <v>14.1</v>
      </c>
      <c r="E11776" s="691">
        <v>14.6</v>
      </c>
      <c r="F11776" s="691">
        <v>14.7</v>
      </c>
      <c r="G11776" s="615">
        <v>15</v>
      </c>
      <c r="H11776" s="691">
        <v>15.2</v>
      </c>
      <c r="I11776" s="691">
        <v>13.4</v>
      </c>
      <c r="J11776" s="691">
        <v>11.7</v>
      </c>
      <c r="K11776" s="691">
        <v>14.9</v>
      </c>
    </row>
    <row r="11777" spans="1:11">
      <c r="A11777" s="688" t="s">
        <v>2349</v>
      </c>
      <c r="B11777" s="689">
        <v>12.4</v>
      </c>
      <c r="C11777" s="689">
        <v>12.6</v>
      </c>
      <c r="D11777" s="689">
        <v>12.5</v>
      </c>
      <c r="E11777" s="689">
        <v>12.8</v>
      </c>
      <c r="F11777" s="689">
        <v>12.7</v>
      </c>
      <c r="G11777" s="689">
        <v>12.9</v>
      </c>
      <c r="H11777" s="693">
        <v>13</v>
      </c>
      <c r="I11777" s="689">
        <v>11.8</v>
      </c>
      <c r="J11777" s="689">
        <v>10.6</v>
      </c>
      <c r="K11777" s="689">
        <v>12.2</v>
      </c>
    </row>
    <row r="11778" spans="1:11">
      <c r="A11778" s="688" t="s">
        <v>2355</v>
      </c>
      <c r="B11778" s="691">
        <v>14.2</v>
      </c>
      <c r="C11778" s="691">
        <v>14.1</v>
      </c>
      <c r="D11778" s="691">
        <v>14.1</v>
      </c>
      <c r="E11778" s="615">
        <v>14</v>
      </c>
      <c r="F11778" s="691">
        <v>14.2</v>
      </c>
      <c r="G11778" s="691">
        <v>14.5</v>
      </c>
      <c r="H11778" s="691">
        <v>14.5</v>
      </c>
      <c r="I11778" s="692" t="s">
        <v>4060</v>
      </c>
      <c r="J11778" s="692" t="s">
        <v>4060</v>
      </c>
      <c r="K11778" s="692" t="s">
        <v>4060</v>
      </c>
    </row>
    <row r="11779" spans="1:11">
      <c r="A11779" s="688" t="s">
        <v>2357</v>
      </c>
      <c r="B11779" s="690" t="s">
        <v>4060</v>
      </c>
      <c r="C11779" s="689">
        <v>11.5</v>
      </c>
      <c r="D11779" s="689">
        <v>11.6</v>
      </c>
      <c r="E11779" s="689">
        <v>11.9</v>
      </c>
      <c r="F11779" s="693">
        <v>12</v>
      </c>
      <c r="G11779" s="689">
        <v>11.8</v>
      </c>
      <c r="H11779" s="689">
        <v>11.9</v>
      </c>
      <c r="I11779" s="690" t="s">
        <v>4060</v>
      </c>
      <c r="J11779" s="690" t="s">
        <v>4060</v>
      </c>
      <c r="K11779" s="690" t="s">
        <v>4060</v>
      </c>
    </row>
    <row r="11780" spans="1:11">
      <c r="A11780" s="688" t="s">
        <v>4070</v>
      </c>
      <c r="B11780" s="692" t="s">
        <v>4060</v>
      </c>
      <c r="C11780" s="692" t="s">
        <v>4060</v>
      </c>
      <c r="D11780" s="692" t="s">
        <v>4060</v>
      </c>
      <c r="E11780" s="691">
        <v>13.6</v>
      </c>
      <c r="F11780" s="692" t="s">
        <v>4060</v>
      </c>
      <c r="G11780" s="692" t="s">
        <v>4060</v>
      </c>
      <c r="H11780" s="692" t="s">
        <v>4060</v>
      </c>
      <c r="I11780" s="692" t="s">
        <v>4060</v>
      </c>
      <c r="J11780" s="692" t="s">
        <v>4060</v>
      </c>
      <c r="K11780" s="692" t="s">
        <v>4060</v>
      </c>
    </row>
    <row r="11781" spans="1:11">
      <c r="A11781" s="688" t="s">
        <v>2491</v>
      </c>
      <c r="B11781" s="693">
        <v>11</v>
      </c>
      <c r="C11781" s="689">
        <v>11.3</v>
      </c>
      <c r="D11781" s="689">
        <v>11.3</v>
      </c>
      <c r="E11781" s="689">
        <v>11.4</v>
      </c>
      <c r="F11781" s="689">
        <v>11.4</v>
      </c>
      <c r="G11781" s="689">
        <v>11.5</v>
      </c>
      <c r="H11781" s="690" t="s">
        <v>4060</v>
      </c>
      <c r="I11781" s="690" t="s">
        <v>4060</v>
      </c>
      <c r="J11781" s="690" t="s">
        <v>4060</v>
      </c>
      <c r="K11781" s="690" t="s">
        <v>4060</v>
      </c>
    </row>
    <row r="11782" spans="1:11">
      <c r="A11782" s="688" t="s">
        <v>2343</v>
      </c>
      <c r="B11782" s="692" t="s">
        <v>4060</v>
      </c>
      <c r="C11782" s="692" t="s">
        <v>4060</v>
      </c>
      <c r="D11782" s="692" t="s">
        <v>4060</v>
      </c>
      <c r="E11782" s="692" t="s">
        <v>4060</v>
      </c>
      <c r="F11782" s="692" t="s">
        <v>4060</v>
      </c>
      <c r="G11782" s="692" t="s">
        <v>4060</v>
      </c>
      <c r="H11782" s="692" t="s">
        <v>4060</v>
      </c>
      <c r="I11782" s="692" t="s">
        <v>4060</v>
      </c>
      <c r="J11782" s="692" t="s">
        <v>4060</v>
      </c>
      <c r="K11782" s="692" t="s">
        <v>4060</v>
      </c>
    </row>
    <row r="11783" spans="1:11">
      <c r="A11783" s="688" t="s">
        <v>4071</v>
      </c>
      <c r="B11783" s="690" t="s">
        <v>4060</v>
      </c>
      <c r="C11783" s="690" t="s">
        <v>4060</v>
      </c>
      <c r="D11783" s="690" t="s">
        <v>4060</v>
      </c>
      <c r="E11783" s="690" t="s">
        <v>4060</v>
      </c>
      <c r="F11783" s="690" t="s">
        <v>4060</v>
      </c>
      <c r="G11783" s="690" t="s">
        <v>4060</v>
      </c>
      <c r="H11783" s="690" t="s">
        <v>4060</v>
      </c>
      <c r="I11783" s="690" t="s">
        <v>4060</v>
      </c>
      <c r="J11783" s="690" t="s">
        <v>4060</v>
      </c>
      <c r="K11783" s="690" t="s">
        <v>4060</v>
      </c>
    </row>
    <row r="11784" spans="1:11">
      <c r="A11784" s="688" t="s">
        <v>2489</v>
      </c>
      <c r="B11784" s="692" t="s">
        <v>4060</v>
      </c>
      <c r="C11784" s="692" t="s">
        <v>4060</v>
      </c>
      <c r="D11784" s="691">
        <v>12.7</v>
      </c>
      <c r="E11784" s="691">
        <v>12.7</v>
      </c>
      <c r="F11784" s="691">
        <v>12.9</v>
      </c>
      <c r="G11784" s="691">
        <v>13.3</v>
      </c>
      <c r="H11784" s="691">
        <v>13.5</v>
      </c>
      <c r="I11784" s="692" t="s">
        <v>4060</v>
      </c>
      <c r="J11784" s="692" t="s">
        <v>4060</v>
      </c>
      <c r="K11784" s="692" t="s">
        <v>4060</v>
      </c>
    </row>
    <row r="11785" spans="1:11">
      <c r="A11785" s="688" t="s">
        <v>2490</v>
      </c>
      <c r="B11785" s="689">
        <v>12.8</v>
      </c>
      <c r="C11785" s="689">
        <v>12.8</v>
      </c>
      <c r="D11785" s="689">
        <v>13.5</v>
      </c>
      <c r="E11785" s="690" t="s">
        <v>4060</v>
      </c>
      <c r="F11785" s="689">
        <v>13.9</v>
      </c>
      <c r="G11785" s="689">
        <v>13.8</v>
      </c>
      <c r="H11785" s="689">
        <v>14.7</v>
      </c>
      <c r="I11785" s="690" t="s">
        <v>4060</v>
      </c>
      <c r="J11785" s="690" t="s">
        <v>4060</v>
      </c>
      <c r="K11785" s="690" t="s">
        <v>4060</v>
      </c>
    </row>
    <row r="11787" spans="1:11">
      <c r="A11787" s="683" t="s">
        <v>4233</v>
      </c>
    </row>
    <row r="11788" spans="1:11">
      <c r="A11788" s="683" t="s">
        <v>4060</v>
      </c>
      <c r="B11788" s="682" t="s">
        <v>4234</v>
      </c>
    </row>
    <row r="11790" spans="1:11">
      <c r="A11790" s="682" t="s">
        <v>4331</v>
      </c>
    </row>
    <row r="11791" spans="1:11">
      <c r="A11791" s="682" t="s">
        <v>4210</v>
      </c>
      <c r="B11791" s="683" t="s">
        <v>4211</v>
      </c>
    </row>
    <row r="11792" spans="1:11">
      <c r="A11792" s="682" t="s">
        <v>4212</v>
      </c>
      <c r="B11792" s="682" t="s">
        <v>4213</v>
      </c>
    </row>
    <row r="11794" spans="1:11">
      <c r="A11794" s="683" t="s">
        <v>4214</v>
      </c>
      <c r="C11794" s="682" t="s">
        <v>4215</v>
      </c>
    </row>
    <row r="11795" spans="1:11">
      <c r="A11795" s="683" t="s">
        <v>4216</v>
      </c>
      <c r="C11795" s="682" t="s">
        <v>2967</v>
      </c>
    </row>
    <row r="11796" spans="1:11">
      <c r="A11796" s="683" t="s">
        <v>3893</v>
      </c>
      <c r="C11796" s="682" t="s">
        <v>2168</v>
      </c>
    </row>
    <row r="11797" spans="1:11">
      <c r="A11797" s="683" t="s">
        <v>4218</v>
      </c>
      <c r="C11797" s="682" t="s">
        <v>4303</v>
      </c>
    </row>
    <row r="11799" spans="1:11">
      <c r="A11799" s="684" t="s">
        <v>4220</v>
      </c>
      <c r="B11799" s="685" t="s">
        <v>4221</v>
      </c>
      <c r="C11799" s="685" t="s">
        <v>4222</v>
      </c>
      <c r="D11799" s="685" t="s">
        <v>4223</v>
      </c>
      <c r="E11799" s="685" t="s">
        <v>4224</v>
      </c>
      <c r="F11799" s="685" t="s">
        <v>4225</v>
      </c>
      <c r="G11799" s="685" t="s">
        <v>4226</v>
      </c>
      <c r="H11799" s="685" t="s">
        <v>4227</v>
      </c>
      <c r="I11799" s="685" t="s">
        <v>4228</v>
      </c>
      <c r="J11799" s="685" t="s">
        <v>4229</v>
      </c>
      <c r="K11799" s="685" t="s">
        <v>4230</v>
      </c>
    </row>
    <row r="11800" spans="1:11">
      <c r="A11800" s="686" t="s">
        <v>4231</v>
      </c>
      <c r="B11800" s="687" t="s">
        <v>4232</v>
      </c>
      <c r="C11800" s="687" t="s">
        <v>4232</v>
      </c>
      <c r="D11800" s="687" t="s">
        <v>4232</v>
      </c>
      <c r="E11800" s="687" t="s">
        <v>4232</v>
      </c>
      <c r="F11800" s="687" t="s">
        <v>4232</v>
      </c>
      <c r="G11800" s="687" t="s">
        <v>4232</v>
      </c>
      <c r="H11800" s="687" t="s">
        <v>4232</v>
      </c>
      <c r="I11800" s="687" t="s">
        <v>4232</v>
      </c>
      <c r="J11800" s="687" t="s">
        <v>4232</v>
      </c>
      <c r="K11800" s="687" t="s">
        <v>4232</v>
      </c>
    </row>
    <row r="11801" spans="1:11">
      <c r="A11801" s="688" t="s">
        <v>4064</v>
      </c>
      <c r="B11801" s="693">
        <v>15</v>
      </c>
      <c r="C11801" s="693">
        <v>15</v>
      </c>
      <c r="D11801" s="693">
        <v>15</v>
      </c>
      <c r="E11801" s="689">
        <v>15.1</v>
      </c>
      <c r="F11801" s="689">
        <v>15.1</v>
      </c>
      <c r="G11801" s="689">
        <v>15.2</v>
      </c>
      <c r="H11801" s="689">
        <v>15.4</v>
      </c>
      <c r="I11801" s="689">
        <v>14.6</v>
      </c>
      <c r="J11801" s="689">
        <v>14.5</v>
      </c>
      <c r="K11801" s="689">
        <v>14.9</v>
      </c>
    </row>
    <row r="11802" spans="1:11">
      <c r="A11802" s="688" t="s">
        <v>4065</v>
      </c>
      <c r="B11802" s="615">
        <v>15</v>
      </c>
      <c r="C11802" s="691">
        <v>15.3</v>
      </c>
      <c r="D11802" s="691">
        <v>15.1</v>
      </c>
      <c r="E11802" s="691">
        <v>15.4</v>
      </c>
      <c r="F11802" s="691">
        <v>15.3</v>
      </c>
      <c r="G11802" s="691">
        <v>15.4</v>
      </c>
      <c r="H11802" s="692" t="s">
        <v>4060</v>
      </c>
      <c r="I11802" s="692" t="s">
        <v>4060</v>
      </c>
      <c r="J11802" s="692" t="s">
        <v>4060</v>
      </c>
      <c r="K11802" s="692" t="s">
        <v>4060</v>
      </c>
    </row>
    <row r="11803" spans="1:11">
      <c r="A11803" s="688" t="s">
        <v>4063</v>
      </c>
      <c r="B11803" s="689">
        <v>15.1</v>
      </c>
      <c r="C11803" s="689">
        <v>15.3</v>
      </c>
      <c r="D11803" s="689">
        <v>15.1</v>
      </c>
      <c r="E11803" s="689">
        <v>15.4</v>
      </c>
      <c r="F11803" s="689">
        <v>15.3</v>
      </c>
      <c r="G11803" s="689">
        <v>15.4</v>
      </c>
      <c r="H11803" s="690" t="s">
        <v>4060</v>
      </c>
      <c r="I11803" s="690" t="s">
        <v>4060</v>
      </c>
      <c r="J11803" s="690" t="s">
        <v>4060</v>
      </c>
      <c r="K11803" s="690" t="s">
        <v>4060</v>
      </c>
    </row>
    <row r="11804" spans="1:11">
      <c r="A11804" s="688" t="s">
        <v>4069</v>
      </c>
      <c r="B11804" s="692" t="s">
        <v>4060</v>
      </c>
      <c r="C11804" s="691">
        <v>15.5</v>
      </c>
      <c r="D11804" s="691">
        <v>15.3</v>
      </c>
      <c r="E11804" s="691">
        <v>15.5</v>
      </c>
      <c r="F11804" s="691">
        <v>15.5</v>
      </c>
      <c r="G11804" s="691">
        <v>15.6</v>
      </c>
      <c r="H11804" s="691">
        <v>15.8</v>
      </c>
      <c r="I11804" s="691">
        <v>15.2</v>
      </c>
      <c r="J11804" s="691">
        <v>15.3</v>
      </c>
      <c r="K11804" s="691">
        <v>15.4</v>
      </c>
    </row>
    <row r="11805" spans="1:11">
      <c r="A11805" s="688" t="s">
        <v>4068</v>
      </c>
      <c r="B11805" s="689">
        <v>15.5</v>
      </c>
      <c r="C11805" s="690" t="s">
        <v>4060</v>
      </c>
      <c r="D11805" s="690" t="s">
        <v>4060</v>
      </c>
      <c r="E11805" s="690" t="s">
        <v>4060</v>
      </c>
      <c r="F11805" s="690" t="s">
        <v>4060</v>
      </c>
      <c r="G11805" s="690" t="s">
        <v>4060</v>
      </c>
      <c r="H11805" s="690" t="s">
        <v>4060</v>
      </c>
      <c r="I11805" s="690" t="s">
        <v>4060</v>
      </c>
      <c r="J11805" s="690" t="s">
        <v>4060</v>
      </c>
      <c r="K11805" s="690" t="s">
        <v>4060</v>
      </c>
    </row>
    <row r="11806" spans="1:11">
      <c r="A11806" s="688" t="s">
        <v>0</v>
      </c>
      <c r="B11806" s="691">
        <v>14.9</v>
      </c>
      <c r="C11806" s="691">
        <v>15.2</v>
      </c>
      <c r="D11806" s="691">
        <v>15.1</v>
      </c>
      <c r="E11806" s="691">
        <v>15.3</v>
      </c>
      <c r="F11806" s="691">
        <v>15.4</v>
      </c>
      <c r="G11806" s="691">
        <v>15.5</v>
      </c>
      <c r="H11806" s="691">
        <v>15.7</v>
      </c>
      <c r="I11806" s="691">
        <v>14.7</v>
      </c>
      <c r="J11806" s="691">
        <v>15.4</v>
      </c>
      <c r="K11806" s="691">
        <v>15.6</v>
      </c>
    </row>
    <row r="11807" spans="1:11">
      <c r="A11807" s="688" t="s">
        <v>1</v>
      </c>
      <c r="B11807" s="693">
        <v>12</v>
      </c>
      <c r="C11807" s="689">
        <v>11.8</v>
      </c>
      <c r="D11807" s="689">
        <v>11.6</v>
      </c>
      <c r="E11807" s="689">
        <v>11.9</v>
      </c>
      <c r="F11807" s="689">
        <v>11.7</v>
      </c>
      <c r="G11807" s="689">
        <v>11.7</v>
      </c>
      <c r="H11807" s="689">
        <v>11.8</v>
      </c>
      <c r="I11807" s="689">
        <v>10.6</v>
      </c>
      <c r="J11807" s="689">
        <v>9.6</v>
      </c>
      <c r="K11807" s="693">
        <v>11</v>
      </c>
    </row>
    <row r="11808" spans="1:11">
      <c r="A11808" s="688" t="s">
        <v>2240</v>
      </c>
      <c r="B11808" s="691">
        <v>13.1</v>
      </c>
      <c r="C11808" s="691">
        <v>13.4</v>
      </c>
      <c r="D11808" s="691">
        <v>13.2</v>
      </c>
      <c r="E11808" s="691">
        <v>13.4</v>
      </c>
      <c r="F11808" s="691">
        <v>13.4</v>
      </c>
      <c r="G11808" s="691">
        <v>13.5</v>
      </c>
      <c r="H11808" s="691">
        <v>13.6</v>
      </c>
      <c r="I11808" s="691">
        <v>12.6</v>
      </c>
      <c r="J11808" s="615">
        <v>12</v>
      </c>
      <c r="K11808" s="691">
        <v>13.3</v>
      </c>
    </row>
    <row r="11809" spans="1:11">
      <c r="A11809" s="688" t="s">
        <v>2</v>
      </c>
      <c r="B11809" s="689">
        <v>14.8</v>
      </c>
      <c r="C11809" s="693">
        <v>15</v>
      </c>
      <c r="D11809" s="693">
        <v>15</v>
      </c>
      <c r="E11809" s="689">
        <v>15.2</v>
      </c>
      <c r="F11809" s="689">
        <v>15.1</v>
      </c>
      <c r="G11809" s="693">
        <v>15</v>
      </c>
      <c r="H11809" s="689">
        <v>15.4</v>
      </c>
      <c r="I11809" s="689">
        <v>15.4</v>
      </c>
      <c r="J11809" s="689">
        <v>15.2</v>
      </c>
      <c r="K11809" s="689">
        <v>15.1</v>
      </c>
    </row>
    <row r="11810" spans="1:11">
      <c r="A11810" s="688" t="s">
        <v>3</v>
      </c>
      <c r="B11810" s="691">
        <v>14.9</v>
      </c>
      <c r="C11810" s="615">
        <v>15</v>
      </c>
      <c r="D11810" s="691">
        <v>14.8</v>
      </c>
      <c r="E11810" s="615">
        <v>15</v>
      </c>
      <c r="F11810" s="615">
        <v>15</v>
      </c>
      <c r="G11810" s="615">
        <v>15</v>
      </c>
      <c r="H11810" s="691">
        <v>15.2</v>
      </c>
      <c r="I11810" s="615">
        <v>15</v>
      </c>
      <c r="J11810" s="691">
        <v>14.8</v>
      </c>
      <c r="K11810" s="691">
        <v>14.6</v>
      </c>
    </row>
    <row r="11811" spans="1:11">
      <c r="A11811" s="688" t="s">
        <v>4061</v>
      </c>
      <c r="B11811" s="689">
        <v>14.9</v>
      </c>
      <c r="C11811" s="693">
        <v>15</v>
      </c>
      <c r="D11811" s="689">
        <v>14.8</v>
      </c>
      <c r="E11811" s="693">
        <v>15</v>
      </c>
      <c r="F11811" s="693">
        <v>15</v>
      </c>
      <c r="G11811" s="693">
        <v>15</v>
      </c>
      <c r="H11811" s="689">
        <v>15.2</v>
      </c>
      <c r="I11811" s="693">
        <v>15</v>
      </c>
      <c r="J11811" s="689">
        <v>14.8</v>
      </c>
      <c r="K11811" s="689">
        <v>14.6</v>
      </c>
    </row>
    <row r="11812" spans="1:11">
      <c r="A11812" s="688" t="s">
        <v>4</v>
      </c>
      <c r="B11812" s="691">
        <v>12.9</v>
      </c>
      <c r="C11812" s="691">
        <v>12.7</v>
      </c>
      <c r="D11812" s="691">
        <v>12.9</v>
      </c>
      <c r="E11812" s="615">
        <v>13</v>
      </c>
      <c r="F11812" s="615">
        <v>13</v>
      </c>
      <c r="G11812" s="691">
        <v>13.1</v>
      </c>
      <c r="H11812" s="691">
        <v>13.4</v>
      </c>
      <c r="I11812" s="691">
        <v>13.4</v>
      </c>
      <c r="J11812" s="691">
        <v>12.2</v>
      </c>
      <c r="K11812" s="691">
        <v>12.9</v>
      </c>
    </row>
    <row r="11813" spans="1:11">
      <c r="A11813" s="688" t="s">
        <v>8</v>
      </c>
      <c r="B11813" s="693">
        <v>15</v>
      </c>
      <c r="C11813" s="689">
        <v>15.2</v>
      </c>
      <c r="D11813" s="689">
        <v>15.2</v>
      </c>
      <c r="E11813" s="689">
        <v>15.3</v>
      </c>
      <c r="F11813" s="689">
        <v>15.6</v>
      </c>
      <c r="G11813" s="689">
        <v>15.7</v>
      </c>
      <c r="H11813" s="689">
        <v>15.9</v>
      </c>
      <c r="I11813" s="689">
        <v>15.8</v>
      </c>
      <c r="J11813" s="689">
        <v>15.7</v>
      </c>
      <c r="K11813" s="689">
        <v>15.9</v>
      </c>
    </row>
    <row r="11814" spans="1:11">
      <c r="A11814" s="688" t="s">
        <v>7</v>
      </c>
      <c r="B11814" s="691">
        <v>15.8</v>
      </c>
      <c r="C11814" s="691">
        <v>15.1</v>
      </c>
      <c r="D11814" s="691">
        <v>14.9</v>
      </c>
      <c r="E11814" s="691">
        <v>15.2</v>
      </c>
      <c r="F11814" s="691">
        <v>15.1</v>
      </c>
      <c r="G11814" s="691">
        <v>15.5</v>
      </c>
      <c r="H11814" s="691">
        <v>15.5</v>
      </c>
      <c r="I11814" s="691">
        <v>15.2</v>
      </c>
      <c r="J11814" s="691">
        <v>14.6</v>
      </c>
      <c r="K11814" s="691">
        <v>14.9</v>
      </c>
    </row>
    <row r="11815" spans="1:11">
      <c r="A11815" s="688" t="s">
        <v>27</v>
      </c>
      <c r="B11815" s="689">
        <v>16.2</v>
      </c>
      <c r="C11815" s="693">
        <v>16</v>
      </c>
      <c r="D11815" s="689">
        <v>15.7</v>
      </c>
      <c r="E11815" s="689">
        <v>16.100000000000001</v>
      </c>
      <c r="F11815" s="693">
        <v>16</v>
      </c>
      <c r="G11815" s="689">
        <v>16.100000000000001</v>
      </c>
      <c r="H11815" s="689">
        <v>16.399999999999999</v>
      </c>
      <c r="I11815" s="689">
        <v>15.2</v>
      </c>
      <c r="J11815" s="693">
        <v>16</v>
      </c>
      <c r="K11815" s="693">
        <v>16</v>
      </c>
    </row>
    <row r="11816" spans="1:11">
      <c r="A11816" s="688" t="s">
        <v>6</v>
      </c>
      <c r="B11816" s="691">
        <v>16.399999999999999</v>
      </c>
      <c r="C11816" s="691">
        <v>16.399999999999999</v>
      </c>
      <c r="D11816" s="691">
        <v>16.2</v>
      </c>
      <c r="E11816" s="691">
        <v>16.399999999999999</v>
      </c>
      <c r="F11816" s="691">
        <v>16.399999999999999</v>
      </c>
      <c r="G11816" s="691">
        <v>16.5</v>
      </c>
      <c r="H11816" s="691">
        <v>16.600000000000001</v>
      </c>
      <c r="I11816" s="615">
        <v>16</v>
      </c>
      <c r="J11816" s="691">
        <v>16.100000000000001</v>
      </c>
      <c r="K11816" s="691">
        <v>16.3</v>
      </c>
    </row>
    <row r="11817" spans="1:11">
      <c r="A11817" s="688" t="s">
        <v>4058</v>
      </c>
      <c r="B11817" s="690" t="s">
        <v>4060</v>
      </c>
      <c r="C11817" s="690" t="s">
        <v>4060</v>
      </c>
      <c r="D11817" s="690" t="s">
        <v>4060</v>
      </c>
      <c r="E11817" s="690" t="s">
        <v>4060</v>
      </c>
      <c r="F11817" s="690" t="s">
        <v>4060</v>
      </c>
      <c r="G11817" s="690" t="s">
        <v>4060</v>
      </c>
      <c r="H11817" s="690" t="s">
        <v>4060</v>
      </c>
      <c r="I11817" s="690" t="s">
        <v>4060</v>
      </c>
      <c r="J11817" s="690" t="s">
        <v>4060</v>
      </c>
      <c r="K11817" s="690" t="s">
        <v>4060</v>
      </c>
    </row>
    <row r="11818" spans="1:11">
      <c r="A11818" s="688" t="s">
        <v>11</v>
      </c>
      <c r="B11818" s="691">
        <v>12.7</v>
      </c>
      <c r="C11818" s="691">
        <v>12.7</v>
      </c>
      <c r="D11818" s="691">
        <v>12.5</v>
      </c>
      <c r="E11818" s="691">
        <v>12.8</v>
      </c>
      <c r="F11818" s="691">
        <v>12.8</v>
      </c>
      <c r="G11818" s="615">
        <v>13</v>
      </c>
      <c r="H11818" s="691">
        <v>13.2</v>
      </c>
      <c r="I11818" s="691">
        <v>12.5</v>
      </c>
      <c r="J11818" s="691">
        <v>11.9</v>
      </c>
      <c r="K11818" s="691">
        <v>12.6</v>
      </c>
    </row>
    <row r="11819" spans="1:11">
      <c r="A11819" s="688" t="s">
        <v>10</v>
      </c>
      <c r="B11819" s="689">
        <v>15.8</v>
      </c>
      <c r="C11819" s="689">
        <v>15.8</v>
      </c>
      <c r="D11819" s="689">
        <v>15.6</v>
      </c>
      <c r="E11819" s="693">
        <v>16</v>
      </c>
      <c r="F11819" s="689">
        <v>15.8</v>
      </c>
      <c r="G11819" s="689">
        <v>16.2</v>
      </c>
      <c r="H11819" s="689">
        <v>16.3</v>
      </c>
      <c r="I11819" s="689">
        <v>15.2</v>
      </c>
      <c r="J11819" s="689">
        <v>15.7</v>
      </c>
      <c r="K11819" s="689">
        <v>15.8</v>
      </c>
    </row>
    <row r="11820" spans="1:11">
      <c r="A11820" s="688" t="s">
        <v>30</v>
      </c>
      <c r="B11820" s="691">
        <v>15.5</v>
      </c>
      <c r="C11820" s="691">
        <v>15.7</v>
      </c>
      <c r="D11820" s="691">
        <v>15.4</v>
      </c>
      <c r="E11820" s="691">
        <v>15.8</v>
      </c>
      <c r="F11820" s="691">
        <v>15.7</v>
      </c>
      <c r="G11820" s="691">
        <v>16.100000000000001</v>
      </c>
      <c r="H11820" s="691">
        <v>16.100000000000001</v>
      </c>
      <c r="I11820" s="691">
        <v>16.3</v>
      </c>
      <c r="J11820" s="691">
        <v>15.6</v>
      </c>
      <c r="K11820" s="691">
        <v>15.8</v>
      </c>
    </row>
    <row r="11821" spans="1:11">
      <c r="A11821" s="688" t="s">
        <v>12</v>
      </c>
      <c r="B11821" s="689">
        <v>11.8</v>
      </c>
      <c r="C11821" s="689">
        <v>11.7</v>
      </c>
      <c r="D11821" s="689">
        <v>11.9</v>
      </c>
      <c r="E11821" s="689">
        <v>11.7</v>
      </c>
      <c r="F11821" s="689">
        <v>11.8</v>
      </c>
      <c r="G11821" s="689">
        <v>11.8</v>
      </c>
      <c r="H11821" s="689">
        <v>12.1</v>
      </c>
      <c r="I11821" s="689">
        <v>11.9</v>
      </c>
      <c r="J11821" s="689">
        <v>10.8</v>
      </c>
      <c r="K11821" s="689">
        <v>11.6</v>
      </c>
    </row>
    <row r="11822" spans="1:11">
      <c r="A11822" s="688" t="s">
        <v>14</v>
      </c>
      <c r="B11822" s="691">
        <v>12.1</v>
      </c>
      <c r="C11822" s="615">
        <v>12</v>
      </c>
      <c r="D11822" s="691">
        <v>11.8</v>
      </c>
      <c r="E11822" s="691">
        <v>11.8</v>
      </c>
      <c r="F11822" s="615">
        <v>12</v>
      </c>
      <c r="G11822" s="615">
        <v>12</v>
      </c>
      <c r="H11822" s="691">
        <v>12.3</v>
      </c>
      <c r="I11822" s="691">
        <v>11.5</v>
      </c>
      <c r="J11822" s="691">
        <v>11.2</v>
      </c>
      <c r="K11822" s="691">
        <v>11.9</v>
      </c>
    </row>
    <row r="11823" spans="1:11">
      <c r="A11823" s="688" t="s">
        <v>15</v>
      </c>
      <c r="B11823" s="693">
        <v>16</v>
      </c>
      <c r="C11823" s="689">
        <v>15.1</v>
      </c>
      <c r="D11823" s="689">
        <v>15.4</v>
      </c>
      <c r="E11823" s="689">
        <v>15.7</v>
      </c>
      <c r="F11823" s="689">
        <v>15.5</v>
      </c>
      <c r="G11823" s="689">
        <v>15.4</v>
      </c>
      <c r="H11823" s="689">
        <v>15.9</v>
      </c>
      <c r="I11823" s="689">
        <v>15.4</v>
      </c>
      <c r="J11823" s="689">
        <v>15.7</v>
      </c>
      <c r="K11823" s="689">
        <v>16.399999999999999</v>
      </c>
    </row>
    <row r="11824" spans="1:11">
      <c r="A11824" s="688" t="s">
        <v>29</v>
      </c>
      <c r="B11824" s="691">
        <v>12.2</v>
      </c>
      <c r="C11824" s="691">
        <v>12.2</v>
      </c>
      <c r="D11824" s="691">
        <v>12.1</v>
      </c>
      <c r="E11824" s="691">
        <v>12.2</v>
      </c>
      <c r="F11824" s="691">
        <v>12.1</v>
      </c>
      <c r="G11824" s="691">
        <v>12.2</v>
      </c>
      <c r="H11824" s="691">
        <v>12.4</v>
      </c>
      <c r="I11824" s="691">
        <v>11.7</v>
      </c>
      <c r="J11824" s="691">
        <v>11.1</v>
      </c>
      <c r="K11824" s="615">
        <v>12</v>
      </c>
    </row>
    <row r="11825" spans="1:11">
      <c r="A11825" s="688" t="s">
        <v>16</v>
      </c>
      <c r="B11825" s="689">
        <v>15.2</v>
      </c>
      <c r="C11825" s="689">
        <v>15.2</v>
      </c>
      <c r="D11825" s="689">
        <v>15.4</v>
      </c>
      <c r="E11825" s="689">
        <v>16.100000000000001</v>
      </c>
      <c r="F11825" s="689">
        <v>15.7</v>
      </c>
      <c r="G11825" s="689">
        <v>15.6</v>
      </c>
      <c r="H11825" s="689">
        <v>15.7</v>
      </c>
      <c r="I11825" s="689">
        <v>15.2</v>
      </c>
      <c r="J11825" s="689">
        <v>15.7</v>
      </c>
      <c r="K11825" s="689">
        <v>15.6</v>
      </c>
    </row>
    <row r="11826" spans="1:11">
      <c r="A11826" s="688" t="s">
        <v>17</v>
      </c>
      <c r="B11826" s="691">
        <v>15.1</v>
      </c>
      <c r="C11826" s="691">
        <v>15.3</v>
      </c>
      <c r="D11826" s="691">
        <v>15.2</v>
      </c>
      <c r="E11826" s="691">
        <v>15.3</v>
      </c>
      <c r="F11826" s="691">
        <v>15.4</v>
      </c>
      <c r="G11826" s="691">
        <v>15.5</v>
      </c>
      <c r="H11826" s="691">
        <v>15.7</v>
      </c>
      <c r="I11826" s="615">
        <v>15</v>
      </c>
      <c r="J11826" s="691">
        <v>15.1</v>
      </c>
      <c r="K11826" s="691">
        <v>15.4</v>
      </c>
    </row>
    <row r="11827" spans="1:11">
      <c r="A11827" s="688" t="s">
        <v>19</v>
      </c>
      <c r="B11827" s="689">
        <v>15.3</v>
      </c>
      <c r="C11827" s="689">
        <v>15.4</v>
      </c>
      <c r="D11827" s="689">
        <v>15.1</v>
      </c>
      <c r="E11827" s="689">
        <v>15.4</v>
      </c>
      <c r="F11827" s="689">
        <v>15.4</v>
      </c>
      <c r="G11827" s="689">
        <v>15.4</v>
      </c>
      <c r="H11827" s="689">
        <v>15.6</v>
      </c>
      <c r="I11827" s="689">
        <v>14.9</v>
      </c>
      <c r="J11827" s="693">
        <v>15</v>
      </c>
      <c r="K11827" s="689">
        <v>15.1</v>
      </c>
    </row>
    <row r="11828" spans="1:11">
      <c r="A11828" s="688" t="s">
        <v>20</v>
      </c>
      <c r="B11828" s="691">
        <v>13.1</v>
      </c>
      <c r="C11828" s="691">
        <v>13.3</v>
      </c>
      <c r="D11828" s="691">
        <v>13.2</v>
      </c>
      <c r="E11828" s="691">
        <v>13.5</v>
      </c>
      <c r="F11828" s="691">
        <v>13.4</v>
      </c>
      <c r="G11828" s="691">
        <v>13.3</v>
      </c>
      <c r="H11828" s="691">
        <v>13.6</v>
      </c>
      <c r="I11828" s="691">
        <v>12.2</v>
      </c>
      <c r="J11828" s="691">
        <v>11.7</v>
      </c>
      <c r="K11828" s="615">
        <v>13</v>
      </c>
    </row>
    <row r="11829" spans="1:11">
      <c r="A11829" s="688" t="s">
        <v>21</v>
      </c>
      <c r="B11829" s="689">
        <v>14.8</v>
      </c>
      <c r="C11829" s="689">
        <v>15.1</v>
      </c>
      <c r="D11829" s="689">
        <v>15.2</v>
      </c>
      <c r="E11829" s="689">
        <v>15.2</v>
      </c>
      <c r="F11829" s="689">
        <v>15.4</v>
      </c>
      <c r="G11829" s="689">
        <v>15.4</v>
      </c>
      <c r="H11829" s="689">
        <v>15.7</v>
      </c>
      <c r="I11829" s="689">
        <v>15.3</v>
      </c>
      <c r="J11829" s="689">
        <v>15.3</v>
      </c>
      <c r="K11829" s="689">
        <v>15.6</v>
      </c>
    </row>
    <row r="11830" spans="1:11">
      <c r="A11830" s="688" t="s">
        <v>22</v>
      </c>
      <c r="B11830" s="691">
        <v>12.4</v>
      </c>
      <c r="C11830" s="691">
        <v>12.2</v>
      </c>
      <c r="D11830" s="691">
        <v>12.1</v>
      </c>
      <c r="E11830" s="691">
        <v>12.3</v>
      </c>
      <c r="F11830" s="691">
        <v>12.4</v>
      </c>
      <c r="G11830" s="691">
        <v>12.4</v>
      </c>
      <c r="H11830" s="691">
        <v>12.7</v>
      </c>
      <c r="I11830" s="691">
        <v>11.3</v>
      </c>
      <c r="J11830" s="691">
        <v>10.5</v>
      </c>
      <c r="K11830" s="691">
        <v>11.8</v>
      </c>
    </row>
    <row r="11831" spans="1:11">
      <c r="A11831" s="688" t="s">
        <v>26</v>
      </c>
      <c r="B11831" s="689">
        <v>14.5</v>
      </c>
      <c r="C11831" s="689">
        <v>14.6</v>
      </c>
      <c r="D11831" s="689">
        <v>14.5</v>
      </c>
      <c r="E11831" s="689">
        <v>14.8</v>
      </c>
      <c r="F11831" s="689">
        <v>14.5</v>
      </c>
      <c r="G11831" s="689">
        <v>14.8</v>
      </c>
      <c r="H11831" s="693">
        <v>15</v>
      </c>
      <c r="I11831" s="689">
        <v>14.1</v>
      </c>
      <c r="J11831" s="689">
        <v>14.2</v>
      </c>
      <c r="K11831" s="689">
        <v>14.8</v>
      </c>
    </row>
    <row r="11832" spans="1:11">
      <c r="A11832" s="688" t="s">
        <v>25</v>
      </c>
      <c r="B11832" s="691">
        <v>12.2</v>
      </c>
      <c r="C11832" s="691">
        <v>12.6</v>
      </c>
      <c r="D11832" s="691">
        <v>12.5</v>
      </c>
      <c r="E11832" s="691">
        <v>12.8</v>
      </c>
      <c r="F11832" s="691">
        <v>12.7</v>
      </c>
      <c r="G11832" s="615">
        <v>13</v>
      </c>
      <c r="H11832" s="691">
        <v>13.2</v>
      </c>
      <c r="I11832" s="691">
        <v>12.4</v>
      </c>
      <c r="J11832" s="615">
        <v>11</v>
      </c>
      <c r="K11832" s="691">
        <v>12.5</v>
      </c>
    </row>
    <row r="11833" spans="1:11">
      <c r="A11833" s="688" t="s">
        <v>5</v>
      </c>
      <c r="B11833" s="689">
        <v>15.2</v>
      </c>
      <c r="C11833" s="689">
        <v>15.1</v>
      </c>
      <c r="D11833" s="689">
        <v>15.2</v>
      </c>
      <c r="E11833" s="689">
        <v>15.1</v>
      </c>
      <c r="F11833" s="689">
        <v>15.3</v>
      </c>
      <c r="G11833" s="689">
        <v>15.4</v>
      </c>
      <c r="H11833" s="689">
        <v>15.6</v>
      </c>
      <c r="I11833" s="689">
        <v>15.6</v>
      </c>
      <c r="J11833" s="689">
        <v>15.5</v>
      </c>
      <c r="K11833" s="693">
        <v>15</v>
      </c>
    </row>
    <row r="11834" spans="1:11">
      <c r="A11834" s="688" t="s">
        <v>23</v>
      </c>
      <c r="B11834" s="691">
        <v>15.6</v>
      </c>
      <c r="C11834" s="691">
        <v>15.7</v>
      </c>
      <c r="D11834" s="691">
        <v>15.7</v>
      </c>
      <c r="E11834" s="691">
        <v>15.9</v>
      </c>
      <c r="F11834" s="691">
        <v>15.9</v>
      </c>
      <c r="G11834" s="615">
        <v>16</v>
      </c>
      <c r="H11834" s="691">
        <v>16.399999999999999</v>
      </c>
      <c r="I11834" s="691">
        <v>15.7</v>
      </c>
      <c r="J11834" s="691">
        <v>16.3</v>
      </c>
      <c r="K11834" s="691">
        <v>16.3</v>
      </c>
    </row>
    <row r="11835" spans="1:11">
      <c r="A11835" s="688" t="s">
        <v>4067</v>
      </c>
      <c r="B11835" s="693">
        <v>15</v>
      </c>
      <c r="C11835" s="689">
        <v>15.3</v>
      </c>
      <c r="D11835" s="689">
        <v>15.1</v>
      </c>
      <c r="E11835" s="689">
        <v>15.4</v>
      </c>
      <c r="F11835" s="689">
        <v>15.3</v>
      </c>
      <c r="G11835" s="689">
        <v>15.4</v>
      </c>
      <c r="H11835" s="690" t="s">
        <v>4060</v>
      </c>
      <c r="I11835" s="690" t="s">
        <v>4060</v>
      </c>
      <c r="J11835" s="690" t="s">
        <v>4060</v>
      </c>
      <c r="K11835" s="690" t="s">
        <v>4060</v>
      </c>
    </row>
    <row r="11836" spans="1:11">
      <c r="A11836" s="688" t="s">
        <v>4066</v>
      </c>
      <c r="B11836" s="691">
        <v>15.1</v>
      </c>
      <c r="C11836" s="691">
        <v>15.3</v>
      </c>
      <c r="D11836" s="691">
        <v>15.1</v>
      </c>
      <c r="E11836" s="691">
        <v>15.4</v>
      </c>
      <c r="F11836" s="691">
        <v>15.3</v>
      </c>
      <c r="G11836" s="691">
        <v>15.4</v>
      </c>
      <c r="H11836" s="692" t="s">
        <v>4060</v>
      </c>
      <c r="I11836" s="692" t="s">
        <v>4060</v>
      </c>
      <c r="J11836" s="692" t="s">
        <v>4060</v>
      </c>
      <c r="K11836" s="692" t="s">
        <v>4060</v>
      </c>
    </row>
    <row r="11837" spans="1:11">
      <c r="A11837" s="688" t="s">
        <v>4062</v>
      </c>
      <c r="B11837" s="689">
        <v>15.9</v>
      </c>
      <c r="C11837" s="693">
        <v>16</v>
      </c>
      <c r="D11837" s="689">
        <v>15.9</v>
      </c>
      <c r="E11837" s="689">
        <v>16.3</v>
      </c>
      <c r="F11837" s="689">
        <v>16.399999999999999</v>
      </c>
      <c r="G11837" s="689">
        <v>16.5</v>
      </c>
      <c r="H11837" s="689">
        <v>16.600000000000001</v>
      </c>
      <c r="I11837" s="689">
        <v>16.2</v>
      </c>
      <c r="J11837" s="689">
        <v>16.600000000000001</v>
      </c>
      <c r="K11837" s="689">
        <v>16.399999999999999</v>
      </c>
    </row>
    <row r="11838" spans="1:11">
      <c r="A11838" s="688" t="s">
        <v>9</v>
      </c>
      <c r="B11838" s="691">
        <v>15.7</v>
      </c>
      <c r="C11838" s="691">
        <v>16.100000000000001</v>
      </c>
      <c r="D11838" s="691">
        <v>16.2</v>
      </c>
      <c r="E11838" s="691">
        <v>15.5</v>
      </c>
      <c r="F11838" s="691">
        <v>16.2</v>
      </c>
      <c r="G11838" s="691">
        <v>16.5</v>
      </c>
      <c r="H11838" s="691">
        <v>16.600000000000001</v>
      </c>
      <c r="I11838" s="691">
        <v>16.8</v>
      </c>
      <c r="J11838" s="691">
        <v>17.100000000000001</v>
      </c>
      <c r="K11838" s="691">
        <v>16.100000000000001</v>
      </c>
    </row>
    <row r="11839" spans="1:11">
      <c r="A11839" s="688" t="s">
        <v>13</v>
      </c>
      <c r="B11839" s="689">
        <v>15.7</v>
      </c>
      <c r="C11839" s="689">
        <v>16.3</v>
      </c>
      <c r="D11839" s="693">
        <v>16</v>
      </c>
      <c r="E11839" s="689">
        <v>14.9</v>
      </c>
      <c r="F11839" s="689">
        <v>17.100000000000001</v>
      </c>
      <c r="G11839" s="689">
        <v>15.3</v>
      </c>
      <c r="H11839" s="689">
        <v>16.8</v>
      </c>
      <c r="I11839" s="693">
        <v>15</v>
      </c>
      <c r="J11839" s="689">
        <v>17.7</v>
      </c>
      <c r="K11839" s="689">
        <v>17.7</v>
      </c>
    </row>
    <row r="11840" spans="1:11">
      <c r="A11840" s="688" t="s">
        <v>18</v>
      </c>
      <c r="B11840" s="691">
        <v>15.5</v>
      </c>
      <c r="C11840" s="691">
        <v>15.5</v>
      </c>
      <c r="D11840" s="691">
        <v>15.6</v>
      </c>
      <c r="E11840" s="691">
        <v>15.9</v>
      </c>
      <c r="F11840" s="615">
        <v>16</v>
      </c>
      <c r="G11840" s="691">
        <v>16.100000000000001</v>
      </c>
      <c r="H11840" s="691">
        <v>16.3</v>
      </c>
      <c r="I11840" s="691">
        <v>16.5</v>
      </c>
      <c r="J11840" s="691">
        <v>16.5</v>
      </c>
      <c r="K11840" s="615">
        <v>16</v>
      </c>
    </row>
    <row r="11841" spans="1:11">
      <c r="A11841" s="688" t="s">
        <v>24</v>
      </c>
      <c r="B11841" s="689">
        <v>16.2</v>
      </c>
      <c r="C11841" s="689">
        <v>16.3</v>
      </c>
      <c r="D11841" s="689">
        <v>16.100000000000001</v>
      </c>
      <c r="E11841" s="689">
        <v>16.600000000000001</v>
      </c>
      <c r="F11841" s="689">
        <v>16.600000000000001</v>
      </c>
      <c r="G11841" s="689">
        <v>16.7</v>
      </c>
      <c r="H11841" s="689">
        <v>16.8</v>
      </c>
      <c r="I11841" s="693">
        <v>16</v>
      </c>
      <c r="J11841" s="689">
        <v>16.7</v>
      </c>
      <c r="K11841" s="689">
        <v>16.600000000000001</v>
      </c>
    </row>
    <row r="11842" spans="1:11">
      <c r="A11842" s="688" t="s">
        <v>4059</v>
      </c>
      <c r="B11842" s="691">
        <v>15.5</v>
      </c>
      <c r="C11842" s="691">
        <v>15.8</v>
      </c>
      <c r="D11842" s="691">
        <v>15.5</v>
      </c>
      <c r="E11842" s="691">
        <v>15.8</v>
      </c>
      <c r="F11842" s="691">
        <v>15.8</v>
      </c>
      <c r="G11842" s="691">
        <v>15.8</v>
      </c>
      <c r="H11842" s="692" t="s">
        <v>4060</v>
      </c>
      <c r="I11842" s="692" t="s">
        <v>4060</v>
      </c>
      <c r="J11842" s="692" t="s">
        <v>4060</v>
      </c>
      <c r="K11842" s="692" t="s">
        <v>4060</v>
      </c>
    </row>
    <row r="11843" spans="1:11">
      <c r="A11843" s="688" t="s">
        <v>2324</v>
      </c>
      <c r="B11843" s="689">
        <v>12.5</v>
      </c>
      <c r="C11843" s="689">
        <v>12.6</v>
      </c>
      <c r="D11843" s="689">
        <v>12.4</v>
      </c>
      <c r="E11843" s="689">
        <v>12.2</v>
      </c>
      <c r="F11843" s="689">
        <v>12.4</v>
      </c>
      <c r="G11843" s="689">
        <v>12.6</v>
      </c>
      <c r="H11843" s="689">
        <v>12.7</v>
      </c>
      <c r="I11843" s="689">
        <v>11.4</v>
      </c>
      <c r="J11843" s="693">
        <v>10</v>
      </c>
      <c r="K11843" s="690" t="s">
        <v>4060</v>
      </c>
    </row>
    <row r="11844" spans="1:11">
      <c r="A11844" s="688" t="s">
        <v>2322</v>
      </c>
      <c r="B11844" s="692" t="s">
        <v>4060</v>
      </c>
      <c r="C11844" s="692" t="s">
        <v>4060</v>
      </c>
      <c r="D11844" s="692" t="s">
        <v>4060</v>
      </c>
      <c r="E11844" s="692" t="s">
        <v>4060</v>
      </c>
      <c r="F11844" s="692" t="s">
        <v>4060</v>
      </c>
      <c r="G11844" s="692" t="s">
        <v>4060</v>
      </c>
      <c r="H11844" s="692" t="s">
        <v>4060</v>
      </c>
      <c r="I11844" s="692" t="s">
        <v>4060</v>
      </c>
      <c r="J11844" s="692" t="s">
        <v>4060</v>
      </c>
      <c r="K11844" s="692" t="s">
        <v>4060</v>
      </c>
    </row>
    <row r="11845" spans="1:11">
      <c r="A11845" s="688" t="s">
        <v>2328</v>
      </c>
      <c r="B11845" s="689">
        <v>11.7</v>
      </c>
      <c r="C11845" s="689">
        <v>11.9</v>
      </c>
      <c r="D11845" s="689">
        <v>11.7</v>
      </c>
      <c r="E11845" s="689">
        <v>11.9</v>
      </c>
      <c r="F11845" s="689">
        <v>11.9</v>
      </c>
      <c r="G11845" s="689">
        <v>12.3</v>
      </c>
      <c r="H11845" s="689">
        <v>12.2</v>
      </c>
      <c r="I11845" s="689">
        <v>10.7</v>
      </c>
      <c r="J11845" s="689">
        <v>10.199999999999999</v>
      </c>
      <c r="K11845" s="690" t="s">
        <v>4060</v>
      </c>
    </row>
    <row r="11846" spans="1:11">
      <c r="A11846" s="688" t="s">
        <v>2496</v>
      </c>
      <c r="B11846" s="692" t="s">
        <v>4060</v>
      </c>
      <c r="C11846" s="691">
        <v>11.9</v>
      </c>
      <c r="D11846" s="615">
        <v>11</v>
      </c>
      <c r="E11846" s="691">
        <v>10.6</v>
      </c>
      <c r="F11846" s="615">
        <v>11</v>
      </c>
      <c r="G11846" s="691">
        <v>11.3</v>
      </c>
      <c r="H11846" s="691">
        <v>11.3</v>
      </c>
      <c r="I11846" s="692" t="s">
        <v>4060</v>
      </c>
      <c r="J11846" s="692" t="s">
        <v>4060</v>
      </c>
      <c r="K11846" s="691">
        <v>10.7</v>
      </c>
    </row>
    <row r="11847" spans="1:11">
      <c r="A11847" s="688" t="s">
        <v>2269</v>
      </c>
      <c r="B11847" s="689">
        <v>13.6</v>
      </c>
      <c r="C11847" s="689">
        <v>13.8</v>
      </c>
      <c r="D11847" s="689">
        <v>13.4</v>
      </c>
      <c r="E11847" s="689">
        <v>13.9</v>
      </c>
      <c r="F11847" s="693">
        <v>14</v>
      </c>
      <c r="G11847" s="689">
        <v>14.2</v>
      </c>
      <c r="H11847" s="689">
        <v>14.5</v>
      </c>
      <c r="I11847" s="689">
        <v>12.7</v>
      </c>
      <c r="J11847" s="693">
        <v>11</v>
      </c>
      <c r="K11847" s="689">
        <v>14.2</v>
      </c>
    </row>
    <row r="11848" spans="1:11">
      <c r="A11848" s="688" t="s">
        <v>2349</v>
      </c>
      <c r="B11848" s="691">
        <v>11.9</v>
      </c>
      <c r="C11848" s="691">
        <v>11.9</v>
      </c>
      <c r="D11848" s="691">
        <v>11.9</v>
      </c>
      <c r="E11848" s="691">
        <v>12.2</v>
      </c>
      <c r="F11848" s="691">
        <v>12.1</v>
      </c>
      <c r="G11848" s="691">
        <v>12.3</v>
      </c>
      <c r="H11848" s="691">
        <v>12.4</v>
      </c>
      <c r="I11848" s="691">
        <v>11.2</v>
      </c>
      <c r="J11848" s="691">
        <v>10.1</v>
      </c>
      <c r="K11848" s="691">
        <v>11.6</v>
      </c>
    </row>
    <row r="11849" spans="1:11">
      <c r="A11849" s="688" t="s">
        <v>2355</v>
      </c>
      <c r="B11849" s="689">
        <v>13.6</v>
      </c>
      <c r="C11849" s="689">
        <v>13.5</v>
      </c>
      <c r="D11849" s="689">
        <v>13.4</v>
      </c>
      <c r="E11849" s="689">
        <v>13.4</v>
      </c>
      <c r="F11849" s="689">
        <v>13.5</v>
      </c>
      <c r="G11849" s="689">
        <v>13.8</v>
      </c>
      <c r="H11849" s="689">
        <v>13.8</v>
      </c>
      <c r="I11849" s="690" t="s">
        <v>4060</v>
      </c>
      <c r="J11849" s="690" t="s">
        <v>4060</v>
      </c>
      <c r="K11849" s="690" t="s">
        <v>4060</v>
      </c>
    </row>
    <row r="11850" spans="1:11">
      <c r="A11850" s="688" t="s">
        <v>2357</v>
      </c>
      <c r="B11850" s="692" t="s">
        <v>4060</v>
      </c>
      <c r="C11850" s="615">
        <v>11</v>
      </c>
      <c r="D11850" s="691">
        <v>11.2</v>
      </c>
      <c r="E11850" s="691">
        <v>11.4</v>
      </c>
      <c r="F11850" s="691">
        <v>11.6</v>
      </c>
      <c r="G11850" s="691">
        <v>11.3</v>
      </c>
      <c r="H11850" s="691">
        <v>11.4</v>
      </c>
      <c r="I11850" s="692" t="s">
        <v>4060</v>
      </c>
      <c r="J11850" s="692" t="s">
        <v>4060</v>
      </c>
      <c r="K11850" s="692" t="s">
        <v>4060</v>
      </c>
    </row>
    <row r="11851" spans="1:11">
      <c r="A11851" s="688" t="s">
        <v>4070</v>
      </c>
      <c r="B11851" s="690" t="s">
        <v>4060</v>
      </c>
      <c r="C11851" s="690" t="s">
        <v>4060</v>
      </c>
      <c r="D11851" s="690" t="s">
        <v>4060</v>
      </c>
      <c r="E11851" s="689">
        <v>12.9</v>
      </c>
      <c r="F11851" s="690" t="s">
        <v>4060</v>
      </c>
      <c r="G11851" s="690" t="s">
        <v>4060</v>
      </c>
      <c r="H11851" s="690" t="s">
        <v>4060</v>
      </c>
      <c r="I11851" s="690" t="s">
        <v>4060</v>
      </c>
      <c r="J11851" s="690" t="s">
        <v>4060</v>
      </c>
      <c r="K11851" s="690" t="s">
        <v>4060</v>
      </c>
    </row>
    <row r="11852" spans="1:11">
      <c r="A11852" s="688" t="s">
        <v>2491</v>
      </c>
      <c r="B11852" s="691">
        <v>10.5</v>
      </c>
      <c r="C11852" s="691">
        <v>10.8</v>
      </c>
      <c r="D11852" s="691">
        <v>10.9</v>
      </c>
      <c r="E11852" s="691">
        <v>10.9</v>
      </c>
      <c r="F11852" s="691">
        <v>10.9</v>
      </c>
      <c r="G11852" s="691">
        <v>10.9</v>
      </c>
      <c r="H11852" s="692" t="s">
        <v>4060</v>
      </c>
      <c r="I11852" s="692" t="s">
        <v>4060</v>
      </c>
      <c r="J11852" s="692" t="s">
        <v>4060</v>
      </c>
      <c r="K11852" s="692" t="s">
        <v>4060</v>
      </c>
    </row>
    <row r="11853" spans="1:11">
      <c r="A11853" s="688" t="s">
        <v>2343</v>
      </c>
      <c r="B11853" s="690" t="s">
        <v>4060</v>
      </c>
      <c r="C11853" s="690" t="s">
        <v>4060</v>
      </c>
      <c r="D11853" s="690" t="s">
        <v>4060</v>
      </c>
      <c r="E11853" s="690" t="s">
        <v>4060</v>
      </c>
      <c r="F11853" s="690" t="s">
        <v>4060</v>
      </c>
      <c r="G11853" s="690" t="s">
        <v>4060</v>
      </c>
      <c r="H11853" s="690" t="s">
        <v>4060</v>
      </c>
      <c r="I11853" s="690" t="s">
        <v>4060</v>
      </c>
      <c r="J11853" s="690" t="s">
        <v>4060</v>
      </c>
      <c r="K11853" s="690" t="s">
        <v>4060</v>
      </c>
    </row>
    <row r="11854" spans="1:11">
      <c r="A11854" s="688" t="s">
        <v>4071</v>
      </c>
      <c r="B11854" s="692" t="s">
        <v>4060</v>
      </c>
      <c r="C11854" s="692" t="s">
        <v>4060</v>
      </c>
      <c r="D11854" s="692" t="s">
        <v>4060</v>
      </c>
      <c r="E11854" s="692" t="s">
        <v>4060</v>
      </c>
      <c r="F11854" s="692" t="s">
        <v>4060</v>
      </c>
      <c r="G11854" s="692" t="s">
        <v>4060</v>
      </c>
      <c r="H11854" s="692" t="s">
        <v>4060</v>
      </c>
      <c r="I11854" s="692" t="s">
        <v>4060</v>
      </c>
      <c r="J11854" s="692" t="s">
        <v>4060</v>
      </c>
      <c r="K11854" s="692" t="s">
        <v>4060</v>
      </c>
    </row>
    <row r="11855" spans="1:11">
      <c r="A11855" s="688" t="s">
        <v>2489</v>
      </c>
      <c r="B11855" s="690" t="s">
        <v>4060</v>
      </c>
      <c r="C11855" s="690" t="s">
        <v>4060</v>
      </c>
      <c r="D11855" s="689">
        <v>12.1</v>
      </c>
      <c r="E11855" s="689">
        <v>12.1</v>
      </c>
      <c r="F11855" s="689">
        <v>12.3</v>
      </c>
      <c r="G11855" s="689">
        <v>12.7</v>
      </c>
      <c r="H11855" s="693">
        <v>13</v>
      </c>
      <c r="I11855" s="690" t="s">
        <v>4060</v>
      </c>
      <c r="J11855" s="690" t="s">
        <v>4060</v>
      </c>
      <c r="K11855" s="690" t="s">
        <v>4060</v>
      </c>
    </row>
    <row r="11856" spans="1:11">
      <c r="A11856" s="688" t="s">
        <v>2490</v>
      </c>
      <c r="B11856" s="691">
        <v>12.2</v>
      </c>
      <c r="C11856" s="691">
        <v>12.1</v>
      </c>
      <c r="D11856" s="615">
        <v>13</v>
      </c>
      <c r="E11856" s="692" t="s">
        <v>4060</v>
      </c>
      <c r="F11856" s="691">
        <v>13.3</v>
      </c>
      <c r="G11856" s="691">
        <v>13.1</v>
      </c>
      <c r="H11856" s="691">
        <v>14.1</v>
      </c>
      <c r="I11856" s="692" t="s">
        <v>4060</v>
      </c>
      <c r="J11856" s="692" t="s">
        <v>4060</v>
      </c>
      <c r="K11856" s="692" t="s">
        <v>4060</v>
      </c>
    </row>
    <row r="11858" spans="1:11">
      <c r="A11858" s="683" t="s">
        <v>4233</v>
      </c>
    </row>
    <row r="11859" spans="1:11">
      <c r="A11859" s="683" t="s">
        <v>4060</v>
      </c>
      <c r="B11859" s="682" t="s">
        <v>4234</v>
      </c>
    </row>
    <row r="11861" spans="1:11">
      <c r="A11861" s="682" t="s">
        <v>4331</v>
      </c>
    </row>
    <row r="11862" spans="1:11">
      <c r="A11862" s="682" t="s">
        <v>4210</v>
      </c>
      <c r="B11862" s="683" t="s">
        <v>4211</v>
      </c>
    </row>
    <row r="11863" spans="1:11">
      <c r="A11863" s="682" t="s">
        <v>4212</v>
      </c>
      <c r="B11863" s="682" t="s">
        <v>4213</v>
      </c>
    </row>
    <row r="11865" spans="1:11">
      <c r="A11865" s="683" t="s">
        <v>4214</v>
      </c>
      <c r="C11865" s="682" t="s">
        <v>4215</v>
      </c>
    </row>
    <row r="11866" spans="1:11">
      <c r="A11866" s="683" t="s">
        <v>4216</v>
      </c>
      <c r="C11866" s="682" t="s">
        <v>2967</v>
      </c>
    </row>
    <row r="11867" spans="1:11">
      <c r="A11867" s="683" t="s">
        <v>3893</v>
      </c>
      <c r="C11867" s="682" t="s">
        <v>2168</v>
      </c>
    </row>
    <row r="11868" spans="1:11">
      <c r="A11868" s="683" t="s">
        <v>4218</v>
      </c>
      <c r="C11868" s="682" t="s">
        <v>4304</v>
      </c>
    </row>
    <row r="11870" spans="1:11">
      <c r="A11870" s="684" t="s">
        <v>4220</v>
      </c>
      <c r="B11870" s="685" t="s">
        <v>4221</v>
      </c>
      <c r="C11870" s="685" t="s">
        <v>4222</v>
      </c>
      <c r="D11870" s="685" t="s">
        <v>4223</v>
      </c>
      <c r="E11870" s="685" t="s">
        <v>4224</v>
      </c>
      <c r="F11870" s="685" t="s">
        <v>4225</v>
      </c>
      <c r="G11870" s="685" t="s">
        <v>4226</v>
      </c>
      <c r="H11870" s="685" t="s">
        <v>4227</v>
      </c>
      <c r="I11870" s="685" t="s">
        <v>4228</v>
      </c>
      <c r="J11870" s="685" t="s">
        <v>4229</v>
      </c>
      <c r="K11870" s="685" t="s">
        <v>4230</v>
      </c>
    </row>
    <row r="11871" spans="1:11">
      <c r="A11871" s="686" t="s">
        <v>4231</v>
      </c>
      <c r="B11871" s="687" t="s">
        <v>4232</v>
      </c>
      <c r="C11871" s="687" t="s">
        <v>4232</v>
      </c>
      <c r="D11871" s="687" t="s">
        <v>4232</v>
      </c>
      <c r="E11871" s="687" t="s">
        <v>4232</v>
      </c>
      <c r="F11871" s="687" t="s">
        <v>4232</v>
      </c>
      <c r="G11871" s="687" t="s">
        <v>4232</v>
      </c>
      <c r="H11871" s="687" t="s">
        <v>4232</v>
      </c>
      <c r="I11871" s="687" t="s">
        <v>4232</v>
      </c>
      <c r="J11871" s="687" t="s">
        <v>4232</v>
      </c>
      <c r="K11871" s="687" t="s">
        <v>4232</v>
      </c>
    </row>
    <row r="11872" spans="1:11">
      <c r="A11872" s="688" t="s">
        <v>4064</v>
      </c>
      <c r="B11872" s="691">
        <v>14.3</v>
      </c>
      <c r="C11872" s="691">
        <v>14.3</v>
      </c>
      <c r="D11872" s="691">
        <v>14.3</v>
      </c>
      <c r="E11872" s="691">
        <v>14.4</v>
      </c>
      <c r="F11872" s="691">
        <v>14.4</v>
      </c>
      <c r="G11872" s="691">
        <v>14.5</v>
      </c>
      <c r="H11872" s="691">
        <v>14.7</v>
      </c>
      <c r="I11872" s="691">
        <v>13.9</v>
      </c>
      <c r="J11872" s="691">
        <v>13.9</v>
      </c>
      <c r="K11872" s="691">
        <v>14.2</v>
      </c>
    </row>
    <row r="11873" spans="1:11">
      <c r="A11873" s="688" t="s">
        <v>4065</v>
      </c>
      <c r="B11873" s="689">
        <v>14.4</v>
      </c>
      <c r="C11873" s="689">
        <v>14.6</v>
      </c>
      <c r="D11873" s="689">
        <v>14.4</v>
      </c>
      <c r="E11873" s="689">
        <v>14.7</v>
      </c>
      <c r="F11873" s="689">
        <v>14.6</v>
      </c>
      <c r="G11873" s="689">
        <v>14.7</v>
      </c>
      <c r="H11873" s="690" t="s">
        <v>4060</v>
      </c>
      <c r="I11873" s="690" t="s">
        <v>4060</v>
      </c>
      <c r="J11873" s="690" t="s">
        <v>4060</v>
      </c>
      <c r="K11873" s="690" t="s">
        <v>4060</v>
      </c>
    </row>
    <row r="11874" spans="1:11">
      <c r="A11874" s="688" t="s">
        <v>4063</v>
      </c>
      <c r="B11874" s="691">
        <v>14.4</v>
      </c>
      <c r="C11874" s="691">
        <v>14.6</v>
      </c>
      <c r="D11874" s="691">
        <v>14.4</v>
      </c>
      <c r="E11874" s="691">
        <v>14.7</v>
      </c>
      <c r="F11874" s="691">
        <v>14.7</v>
      </c>
      <c r="G11874" s="691">
        <v>14.8</v>
      </c>
      <c r="H11874" s="692" t="s">
        <v>4060</v>
      </c>
      <c r="I11874" s="692" t="s">
        <v>4060</v>
      </c>
      <c r="J11874" s="692" t="s">
        <v>4060</v>
      </c>
      <c r="K11874" s="692" t="s">
        <v>4060</v>
      </c>
    </row>
    <row r="11875" spans="1:11">
      <c r="A11875" s="688" t="s">
        <v>4069</v>
      </c>
      <c r="B11875" s="690" t="s">
        <v>4060</v>
      </c>
      <c r="C11875" s="689">
        <v>14.8</v>
      </c>
      <c r="D11875" s="689">
        <v>14.5</v>
      </c>
      <c r="E11875" s="689">
        <v>14.8</v>
      </c>
      <c r="F11875" s="689">
        <v>14.8</v>
      </c>
      <c r="G11875" s="689">
        <v>14.9</v>
      </c>
      <c r="H11875" s="689">
        <v>15.1</v>
      </c>
      <c r="I11875" s="689">
        <v>14.5</v>
      </c>
      <c r="J11875" s="689">
        <v>14.6</v>
      </c>
      <c r="K11875" s="689">
        <v>14.7</v>
      </c>
    </row>
    <row r="11876" spans="1:11">
      <c r="A11876" s="688" t="s">
        <v>4068</v>
      </c>
      <c r="B11876" s="691">
        <v>14.8</v>
      </c>
      <c r="C11876" s="692" t="s">
        <v>4060</v>
      </c>
      <c r="D11876" s="692" t="s">
        <v>4060</v>
      </c>
      <c r="E11876" s="692" t="s">
        <v>4060</v>
      </c>
      <c r="F11876" s="692" t="s">
        <v>4060</v>
      </c>
      <c r="G11876" s="692" t="s">
        <v>4060</v>
      </c>
      <c r="H11876" s="692" t="s">
        <v>4060</v>
      </c>
      <c r="I11876" s="692" t="s">
        <v>4060</v>
      </c>
      <c r="J11876" s="692" t="s">
        <v>4060</v>
      </c>
      <c r="K11876" s="692" t="s">
        <v>4060</v>
      </c>
    </row>
    <row r="11877" spans="1:11">
      <c r="A11877" s="688" t="s">
        <v>0</v>
      </c>
      <c r="B11877" s="689">
        <v>14.2</v>
      </c>
      <c r="C11877" s="689">
        <v>14.6</v>
      </c>
      <c r="D11877" s="689">
        <v>14.4</v>
      </c>
      <c r="E11877" s="689">
        <v>14.6</v>
      </c>
      <c r="F11877" s="689">
        <v>14.7</v>
      </c>
      <c r="G11877" s="689">
        <v>14.8</v>
      </c>
      <c r="H11877" s="693">
        <v>15</v>
      </c>
      <c r="I11877" s="693">
        <v>14</v>
      </c>
      <c r="J11877" s="689">
        <v>14.7</v>
      </c>
      <c r="K11877" s="689">
        <v>14.9</v>
      </c>
    </row>
    <row r="11878" spans="1:11">
      <c r="A11878" s="688" t="s">
        <v>1</v>
      </c>
      <c r="B11878" s="691">
        <v>11.4</v>
      </c>
      <c r="C11878" s="691">
        <v>11.2</v>
      </c>
      <c r="D11878" s="691">
        <v>11.1</v>
      </c>
      <c r="E11878" s="691">
        <v>11.3</v>
      </c>
      <c r="F11878" s="691">
        <v>11.2</v>
      </c>
      <c r="G11878" s="691">
        <v>11.2</v>
      </c>
      <c r="H11878" s="691">
        <v>11.3</v>
      </c>
      <c r="I11878" s="691">
        <v>10.1</v>
      </c>
      <c r="J11878" s="691">
        <v>9.1</v>
      </c>
      <c r="K11878" s="691">
        <v>10.5</v>
      </c>
    </row>
    <row r="11879" spans="1:11">
      <c r="A11879" s="688" t="s">
        <v>2240</v>
      </c>
      <c r="B11879" s="689">
        <v>12.5</v>
      </c>
      <c r="C11879" s="689">
        <v>12.7</v>
      </c>
      <c r="D11879" s="689">
        <v>12.5</v>
      </c>
      <c r="E11879" s="689">
        <v>12.8</v>
      </c>
      <c r="F11879" s="689">
        <v>12.8</v>
      </c>
      <c r="G11879" s="689">
        <v>12.9</v>
      </c>
      <c r="H11879" s="693">
        <v>13</v>
      </c>
      <c r="I11879" s="689">
        <v>11.9</v>
      </c>
      <c r="J11879" s="689">
        <v>11.4</v>
      </c>
      <c r="K11879" s="689">
        <v>12.7</v>
      </c>
    </row>
    <row r="11880" spans="1:11">
      <c r="A11880" s="688" t="s">
        <v>2</v>
      </c>
      <c r="B11880" s="615">
        <v>14</v>
      </c>
      <c r="C11880" s="691">
        <v>14.3</v>
      </c>
      <c r="D11880" s="691">
        <v>14.2</v>
      </c>
      <c r="E11880" s="691">
        <v>14.4</v>
      </c>
      <c r="F11880" s="691">
        <v>14.4</v>
      </c>
      <c r="G11880" s="691">
        <v>14.3</v>
      </c>
      <c r="H11880" s="691">
        <v>14.7</v>
      </c>
      <c r="I11880" s="691">
        <v>14.7</v>
      </c>
      <c r="J11880" s="691">
        <v>14.5</v>
      </c>
      <c r="K11880" s="691">
        <v>14.4</v>
      </c>
    </row>
    <row r="11881" spans="1:11">
      <c r="A11881" s="688" t="s">
        <v>3</v>
      </c>
      <c r="B11881" s="689">
        <v>14.2</v>
      </c>
      <c r="C11881" s="689">
        <v>14.3</v>
      </c>
      <c r="D11881" s="689">
        <v>14.1</v>
      </c>
      <c r="E11881" s="689">
        <v>14.3</v>
      </c>
      <c r="F11881" s="689">
        <v>14.3</v>
      </c>
      <c r="G11881" s="689">
        <v>14.3</v>
      </c>
      <c r="H11881" s="689">
        <v>14.6</v>
      </c>
      <c r="I11881" s="689">
        <v>14.3</v>
      </c>
      <c r="J11881" s="689">
        <v>14.2</v>
      </c>
      <c r="K11881" s="689">
        <v>13.9</v>
      </c>
    </row>
    <row r="11882" spans="1:11">
      <c r="A11882" s="688" t="s">
        <v>4061</v>
      </c>
      <c r="B11882" s="691">
        <v>14.2</v>
      </c>
      <c r="C11882" s="691">
        <v>14.3</v>
      </c>
      <c r="D11882" s="691">
        <v>14.1</v>
      </c>
      <c r="E11882" s="691">
        <v>14.3</v>
      </c>
      <c r="F11882" s="691">
        <v>14.3</v>
      </c>
      <c r="G11882" s="691">
        <v>14.3</v>
      </c>
      <c r="H11882" s="691">
        <v>14.6</v>
      </c>
      <c r="I11882" s="691">
        <v>14.3</v>
      </c>
      <c r="J11882" s="691">
        <v>14.2</v>
      </c>
      <c r="K11882" s="691">
        <v>13.9</v>
      </c>
    </row>
    <row r="11883" spans="1:11">
      <c r="A11883" s="688" t="s">
        <v>4</v>
      </c>
      <c r="B11883" s="689">
        <v>12.3</v>
      </c>
      <c r="C11883" s="689">
        <v>12.2</v>
      </c>
      <c r="D11883" s="689">
        <v>12.3</v>
      </c>
      <c r="E11883" s="689">
        <v>12.5</v>
      </c>
      <c r="F11883" s="689">
        <v>12.5</v>
      </c>
      <c r="G11883" s="689">
        <v>12.5</v>
      </c>
      <c r="H11883" s="689">
        <v>12.8</v>
      </c>
      <c r="I11883" s="689">
        <v>12.9</v>
      </c>
      <c r="J11883" s="689">
        <v>11.7</v>
      </c>
      <c r="K11883" s="689">
        <v>12.3</v>
      </c>
    </row>
    <row r="11884" spans="1:11">
      <c r="A11884" s="688" t="s">
        <v>8</v>
      </c>
      <c r="B11884" s="691">
        <v>14.3</v>
      </c>
      <c r="C11884" s="691">
        <v>14.4</v>
      </c>
      <c r="D11884" s="691">
        <v>14.4</v>
      </c>
      <c r="E11884" s="691">
        <v>14.5</v>
      </c>
      <c r="F11884" s="691">
        <v>14.8</v>
      </c>
      <c r="G11884" s="691">
        <v>14.9</v>
      </c>
      <c r="H11884" s="691">
        <v>15.1</v>
      </c>
      <c r="I11884" s="691">
        <v>15.1</v>
      </c>
      <c r="J11884" s="691">
        <v>14.9</v>
      </c>
      <c r="K11884" s="691">
        <v>15.2</v>
      </c>
    </row>
    <row r="11885" spans="1:11">
      <c r="A11885" s="688" t="s">
        <v>7</v>
      </c>
      <c r="B11885" s="689">
        <v>15.1</v>
      </c>
      <c r="C11885" s="689">
        <v>14.4</v>
      </c>
      <c r="D11885" s="689">
        <v>14.2</v>
      </c>
      <c r="E11885" s="689">
        <v>14.5</v>
      </c>
      <c r="F11885" s="689">
        <v>14.4</v>
      </c>
      <c r="G11885" s="689">
        <v>14.8</v>
      </c>
      <c r="H11885" s="689">
        <v>14.7</v>
      </c>
      <c r="I11885" s="689">
        <v>14.5</v>
      </c>
      <c r="J11885" s="689">
        <v>13.9</v>
      </c>
      <c r="K11885" s="689">
        <v>14.3</v>
      </c>
    </row>
    <row r="11886" spans="1:11">
      <c r="A11886" s="688" t="s">
        <v>27</v>
      </c>
      <c r="B11886" s="691">
        <v>15.5</v>
      </c>
      <c r="C11886" s="691">
        <v>15.3</v>
      </c>
      <c r="D11886" s="615">
        <v>15</v>
      </c>
      <c r="E11886" s="691">
        <v>15.3</v>
      </c>
      <c r="F11886" s="691">
        <v>15.3</v>
      </c>
      <c r="G11886" s="691">
        <v>15.4</v>
      </c>
      <c r="H11886" s="691">
        <v>15.6</v>
      </c>
      <c r="I11886" s="691">
        <v>14.5</v>
      </c>
      <c r="J11886" s="691">
        <v>15.2</v>
      </c>
      <c r="K11886" s="691">
        <v>15.3</v>
      </c>
    </row>
    <row r="11887" spans="1:11">
      <c r="A11887" s="688" t="s">
        <v>6</v>
      </c>
      <c r="B11887" s="689">
        <v>15.7</v>
      </c>
      <c r="C11887" s="689">
        <v>15.7</v>
      </c>
      <c r="D11887" s="689">
        <v>15.5</v>
      </c>
      <c r="E11887" s="689">
        <v>15.7</v>
      </c>
      <c r="F11887" s="689">
        <v>15.7</v>
      </c>
      <c r="G11887" s="689">
        <v>15.8</v>
      </c>
      <c r="H11887" s="689">
        <v>15.9</v>
      </c>
      <c r="I11887" s="689">
        <v>15.3</v>
      </c>
      <c r="J11887" s="689">
        <v>15.4</v>
      </c>
      <c r="K11887" s="689">
        <v>15.6</v>
      </c>
    </row>
    <row r="11888" spans="1:11">
      <c r="A11888" s="688" t="s">
        <v>4058</v>
      </c>
      <c r="B11888" s="692" t="s">
        <v>4060</v>
      </c>
      <c r="C11888" s="692" t="s">
        <v>4060</v>
      </c>
      <c r="D11888" s="692" t="s">
        <v>4060</v>
      </c>
      <c r="E11888" s="692" t="s">
        <v>4060</v>
      </c>
      <c r="F11888" s="692" t="s">
        <v>4060</v>
      </c>
      <c r="G11888" s="692" t="s">
        <v>4060</v>
      </c>
      <c r="H11888" s="692" t="s">
        <v>4060</v>
      </c>
      <c r="I11888" s="692" t="s">
        <v>4060</v>
      </c>
      <c r="J11888" s="692" t="s">
        <v>4060</v>
      </c>
      <c r="K11888" s="692" t="s">
        <v>4060</v>
      </c>
    </row>
    <row r="11889" spans="1:11">
      <c r="A11889" s="688" t="s">
        <v>11</v>
      </c>
      <c r="B11889" s="689">
        <v>12.1</v>
      </c>
      <c r="C11889" s="689">
        <v>12.1</v>
      </c>
      <c r="D11889" s="689">
        <v>11.9</v>
      </c>
      <c r="E11889" s="689">
        <v>12.3</v>
      </c>
      <c r="F11889" s="689">
        <v>12.2</v>
      </c>
      <c r="G11889" s="689">
        <v>12.4</v>
      </c>
      <c r="H11889" s="689">
        <v>12.6</v>
      </c>
      <c r="I11889" s="689">
        <v>11.9</v>
      </c>
      <c r="J11889" s="689">
        <v>11.2</v>
      </c>
      <c r="K11889" s="693">
        <v>12</v>
      </c>
    </row>
    <row r="11890" spans="1:11">
      <c r="A11890" s="688" t="s">
        <v>10</v>
      </c>
      <c r="B11890" s="691">
        <v>15.1</v>
      </c>
      <c r="C11890" s="691">
        <v>15.1</v>
      </c>
      <c r="D11890" s="691">
        <v>14.8</v>
      </c>
      <c r="E11890" s="691">
        <v>15.2</v>
      </c>
      <c r="F11890" s="691">
        <v>15.1</v>
      </c>
      <c r="G11890" s="691">
        <v>15.4</v>
      </c>
      <c r="H11890" s="691">
        <v>15.5</v>
      </c>
      <c r="I11890" s="691">
        <v>14.5</v>
      </c>
      <c r="J11890" s="615">
        <v>15</v>
      </c>
      <c r="K11890" s="615">
        <v>15</v>
      </c>
    </row>
    <row r="11891" spans="1:11">
      <c r="A11891" s="688" t="s">
        <v>30</v>
      </c>
      <c r="B11891" s="689">
        <v>14.9</v>
      </c>
      <c r="C11891" s="693">
        <v>15</v>
      </c>
      <c r="D11891" s="689">
        <v>14.6</v>
      </c>
      <c r="E11891" s="689">
        <v>15.1</v>
      </c>
      <c r="F11891" s="689">
        <v>14.9</v>
      </c>
      <c r="G11891" s="689">
        <v>15.4</v>
      </c>
      <c r="H11891" s="689">
        <v>15.3</v>
      </c>
      <c r="I11891" s="689">
        <v>15.5</v>
      </c>
      <c r="J11891" s="689">
        <v>14.8</v>
      </c>
      <c r="K11891" s="693">
        <v>15</v>
      </c>
    </row>
    <row r="11892" spans="1:11">
      <c r="A11892" s="688" t="s">
        <v>12</v>
      </c>
      <c r="B11892" s="691">
        <v>11.4</v>
      </c>
      <c r="C11892" s="691">
        <v>11.2</v>
      </c>
      <c r="D11892" s="691">
        <v>11.4</v>
      </c>
      <c r="E11892" s="691">
        <v>11.3</v>
      </c>
      <c r="F11892" s="691">
        <v>11.3</v>
      </c>
      <c r="G11892" s="691">
        <v>11.4</v>
      </c>
      <c r="H11892" s="691">
        <v>11.6</v>
      </c>
      <c r="I11892" s="691">
        <v>11.3</v>
      </c>
      <c r="J11892" s="691">
        <v>10.3</v>
      </c>
      <c r="K11892" s="691">
        <v>11.1</v>
      </c>
    </row>
    <row r="11893" spans="1:11">
      <c r="A11893" s="688" t="s">
        <v>14</v>
      </c>
      <c r="B11893" s="689">
        <v>11.6</v>
      </c>
      <c r="C11893" s="689">
        <v>11.5</v>
      </c>
      <c r="D11893" s="689">
        <v>11.3</v>
      </c>
      <c r="E11893" s="689">
        <v>11.3</v>
      </c>
      <c r="F11893" s="689">
        <v>11.4</v>
      </c>
      <c r="G11893" s="689">
        <v>11.4</v>
      </c>
      <c r="H11893" s="689">
        <v>11.8</v>
      </c>
      <c r="I11893" s="693">
        <v>11</v>
      </c>
      <c r="J11893" s="689">
        <v>10.7</v>
      </c>
      <c r="K11893" s="689">
        <v>11.3</v>
      </c>
    </row>
    <row r="11894" spans="1:11">
      <c r="A11894" s="688" t="s">
        <v>15</v>
      </c>
      <c r="B11894" s="691">
        <v>15.3</v>
      </c>
      <c r="C11894" s="691">
        <v>14.4</v>
      </c>
      <c r="D11894" s="691">
        <v>14.7</v>
      </c>
      <c r="E11894" s="691">
        <v>14.9</v>
      </c>
      <c r="F11894" s="691">
        <v>14.8</v>
      </c>
      <c r="G11894" s="691">
        <v>14.7</v>
      </c>
      <c r="H11894" s="691">
        <v>15.2</v>
      </c>
      <c r="I11894" s="691">
        <v>14.6</v>
      </c>
      <c r="J11894" s="615">
        <v>15</v>
      </c>
      <c r="K11894" s="691">
        <v>15.6</v>
      </c>
    </row>
    <row r="11895" spans="1:11">
      <c r="A11895" s="688" t="s">
        <v>29</v>
      </c>
      <c r="B11895" s="689">
        <v>11.7</v>
      </c>
      <c r="C11895" s="689">
        <v>11.7</v>
      </c>
      <c r="D11895" s="689">
        <v>11.5</v>
      </c>
      <c r="E11895" s="689">
        <v>11.7</v>
      </c>
      <c r="F11895" s="689">
        <v>11.6</v>
      </c>
      <c r="G11895" s="689">
        <v>11.7</v>
      </c>
      <c r="H11895" s="689">
        <v>11.9</v>
      </c>
      <c r="I11895" s="689">
        <v>11.2</v>
      </c>
      <c r="J11895" s="689">
        <v>10.6</v>
      </c>
      <c r="K11895" s="689">
        <v>11.4</v>
      </c>
    </row>
    <row r="11896" spans="1:11">
      <c r="A11896" s="688" t="s">
        <v>16</v>
      </c>
      <c r="B11896" s="691">
        <v>14.6</v>
      </c>
      <c r="C11896" s="691">
        <v>14.4</v>
      </c>
      <c r="D11896" s="691">
        <v>14.7</v>
      </c>
      <c r="E11896" s="691">
        <v>15.3</v>
      </c>
      <c r="F11896" s="691">
        <v>14.9</v>
      </c>
      <c r="G11896" s="691">
        <v>14.9</v>
      </c>
      <c r="H11896" s="615">
        <v>15</v>
      </c>
      <c r="I11896" s="691">
        <v>14.5</v>
      </c>
      <c r="J11896" s="691">
        <v>14.9</v>
      </c>
      <c r="K11896" s="691">
        <v>14.8</v>
      </c>
    </row>
    <row r="11897" spans="1:11">
      <c r="A11897" s="688" t="s">
        <v>17</v>
      </c>
      <c r="B11897" s="689">
        <v>14.4</v>
      </c>
      <c r="C11897" s="689">
        <v>14.6</v>
      </c>
      <c r="D11897" s="689">
        <v>14.4</v>
      </c>
      <c r="E11897" s="689">
        <v>14.5</v>
      </c>
      <c r="F11897" s="689">
        <v>14.7</v>
      </c>
      <c r="G11897" s="689">
        <v>14.7</v>
      </c>
      <c r="H11897" s="689">
        <v>14.9</v>
      </c>
      <c r="I11897" s="689">
        <v>14.3</v>
      </c>
      <c r="J11897" s="689">
        <v>14.3</v>
      </c>
      <c r="K11897" s="689">
        <v>14.7</v>
      </c>
    </row>
    <row r="11898" spans="1:11">
      <c r="A11898" s="688" t="s">
        <v>19</v>
      </c>
      <c r="B11898" s="691">
        <v>14.6</v>
      </c>
      <c r="C11898" s="691">
        <v>14.7</v>
      </c>
      <c r="D11898" s="691">
        <v>14.4</v>
      </c>
      <c r="E11898" s="691">
        <v>14.7</v>
      </c>
      <c r="F11898" s="691">
        <v>14.7</v>
      </c>
      <c r="G11898" s="691">
        <v>14.7</v>
      </c>
      <c r="H11898" s="691">
        <v>14.9</v>
      </c>
      <c r="I11898" s="691">
        <v>14.2</v>
      </c>
      <c r="J11898" s="691">
        <v>14.3</v>
      </c>
      <c r="K11898" s="691">
        <v>14.4</v>
      </c>
    </row>
    <row r="11899" spans="1:11">
      <c r="A11899" s="688" t="s">
        <v>20</v>
      </c>
      <c r="B11899" s="689">
        <v>12.6</v>
      </c>
      <c r="C11899" s="689">
        <v>12.7</v>
      </c>
      <c r="D11899" s="689">
        <v>12.6</v>
      </c>
      <c r="E11899" s="689">
        <v>12.9</v>
      </c>
      <c r="F11899" s="689">
        <v>12.8</v>
      </c>
      <c r="G11899" s="689">
        <v>12.7</v>
      </c>
      <c r="H11899" s="693">
        <v>13</v>
      </c>
      <c r="I11899" s="689">
        <v>11.7</v>
      </c>
      <c r="J11899" s="689">
        <v>11.2</v>
      </c>
      <c r="K11899" s="689">
        <v>12.4</v>
      </c>
    </row>
    <row r="11900" spans="1:11">
      <c r="A11900" s="688" t="s">
        <v>21</v>
      </c>
      <c r="B11900" s="691">
        <v>14.1</v>
      </c>
      <c r="C11900" s="691">
        <v>14.4</v>
      </c>
      <c r="D11900" s="691">
        <v>14.4</v>
      </c>
      <c r="E11900" s="691">
        <v>14.5</v>
      </c>
      <c r="F11900" s="691">
        <v>14.7</v>
      </c>
      <c r="G11900" s="691">
        <v>14.7</v>
      </c>
      <c r="H11900" s="615">
        <v>15</v>
      </c>
      <c r="I11900" s="691">
        <v>14.6</v>
      </c>
      <c r="J11900" s="691">
        <v>14.6</v>
      </c>
      <c r="K11900" s="691">
        <v>14.9</v>
      </c>
    </row>
    <row r="11901" spans="1:11">
      <c r="A11901" s="688" t="s">
        <v>22</v>
      </c>
      <c r="B11901" s="689">
        <v>11.8</v>
      </c>
      <c r="C11901" s="689">
        <v>11.6</v>
      </c>
      <c r="D11901" s="689">
        <v>11.5</v>
      </c>
      <c r="E11901" s="689">
        <v>11.8</v>
      </c>
      <c r="F11901" s="689">
        <v>11.8</v>
      </c>
      <c r="G11901" s="689">
        <v>11.9</v>
      </c>
      <c r="H11901" s="689">
        <v>12.1</v>
      </c>
      <c r="I11901" s="689">
        <v>10.8</v>
      </c>
      <c r="J11901" s="693">
        <v>10</v>
      </c>
      <c r="K11901" s="689">
        <v>11.3</v>
      </c>
    </row>
    <row r="11902" spans="1:11">
      <c r="A11902" s="688" t="s">
        <v>26</v>
      </c>
      <c r="B11902" s="691">
        <v>13.8</v>
      </c>
      <c r="C11902" s="691">
        <v>13.9</v>
      </c>
      <c r="D11902" s="691">
        <v>13.8</v>
      </c>
      <c r="E11902" s="691">
        <v>14.2</v>
      </c>
      <c r="F11902" s="691">
        <v>13.9</v>
      </c>
      <c r="G11902" s="691">
        <v>14.1</v>
      </c>
      <c r="H11902" s="691">
        <v>14.4</v>
      </c>
      <c r="I11902" s="691">
        <v>13.4</v>
      </c>
      <c r="J11902" s="691">
        <v>13.5</v>
      </c>
      <c r="K11902" s="691">
        <v>14.1</v>
      </c>
    </row>
    <row r="11903" spans="1:11">
      <c r="A11903" s="688" t="s">
        <v>25</v>
      </c>
      <c r="B11903" s="689">
        <v>11.7</v>
      </c>
      <c r="C11903" s="693">
        <v>12</v>
      </c>
      <c r="D11903" s="689">
        <v>11.9</v>
      </c>
      <c r="E11903" s="689">
        <v>12.3</v>
      </c>
      <c r="F11903" s="689">
        <v>12.1</v>
      </c>
      <c r="G11903" s="689">
        <v>12.4</v>
      </c>
      <c r="H11903" s="689">
        <v>12.7</v>
      </c>
      <c r="I11903" s="689">
        <v>11.8</v>
      </c>
      <c r="J11903" s="689">
        <v>10.5</v>
      </c>
      <c r="K11903" s="689">
        <v>11.9</v>
      </c>
    </row>
    <row r="11904" spans="1:11">
      <c r="A11904" s="688" t="s">
        <v>5</v>
      </c>
      <c r="B11904" s="691">
        <v>14.5</v>
      </c>
      <c r="C11904" s="691">
        <v>14.3</v>
      </c>
      <c r="D11904" s="691">
        <v>14.5</v>
      </c>
      <c r="E11904" s="691">
        <v>14.4</v>
      </c>
      <c r="F11904" s="691">
        <v>14.6</v>
      </c>
      <c r="G11904" s="691">
        <v>14.7</v>
      </c>
      <c r="H11904" s="691">
        <v>14.9</v>
      </c>
      <c r="I11904" s="691">
        <v>14.9</v>
      </c>
      <c r="J11904" s="691">
        <v>14.8</v>
      </c>
      <c r="K11904" s="691">
        <v>14.3</v>
      </c>
    </row>
    <row r="11905" spans="1:11">
      <c r="A11905" s="688" t="s">
        <v>23</v>
      </c>
      <c r="B11905" s="689">
        <v>14.9</v>
      </c>
      <c r="C11905" s="693">
        <v>15</v>
      </c>
      <c r="D11905" s="689">
        <v>14.9</v>
      </c>
      <c r="E11905" s="689">
        <v>15.1</v>
      </c>
      <c r="F11905" s="689">
        <v>15.2</v>
      </c>
      <c r="G11905" s="689">
        <v>15.2</v>
      </c>
      <c r="H11905" s="689">
        <v>15.6</v>
      </c>
      <c r="I11905" s="693">
        <v>15</v>
      </c>
      <c r="J11905" s="689">
        <v>15.5</v>
      </c>
      <c r="K11905" s="689">
        <v>15.5</v>
      </c>
    </row>
    <row r="11906" spans="1:11">
      <c r="A11906" s="688" t="s">
        <v>4067</v>
      </c>
      <c r="B11906" s="691">
        <v>14.4</v>
      </c>
      <c r="C11906" s="691">
        <v>14.6</v>
      </c>
      <c r="D11906" s="691">
        <v>14.4</v>
      </c>
      <c r="E11906" s="691">
        <v>14.7</v>
      </c>
      <c r="F11906" s="691">
        <v>14.6</v>
      </c>
      <c r="G11906" s="691">
        <v>14.7</v>
      </c>
      <c r="H11906" s="692" t="s">
        <v>4060</v>
      </c>
      <c r="I11906" s="692" t="s">
        <v>4060</v>
      </c>
      <c r="J11906" s="692" t="s">
        <v>4060</v>
      </c>
      <c r="K11906" s="692" t="s">
        <v>4060</v>
      </c>
    </row>
    <row r="11907" spans="1:11">
      <c r="A11907" s="688" t="s">
        <v>4066</v>
      </c>
      <c r="B11907" s="689">
        <v>14.4</v>
      </c>
      <c r="C11907" s="689">
        <v>14.7</v>
      </c>
      <c r="D11907" s="689">
        <v>14.4</v>
      </c>
      <c r="E11907" s="689">
        <v>14.7</v>
      </c>
      <c r="F11907" s="689">
        <v>14.7</v>
      </c>
      <c r="G11907" s="689">
        <v>14.8</v>
      </c>
      <c r="H11907" s="690" t="s">
        <v>4060</v>
      </c>
      <c r="I11907" s="690" t="s">
        <v>4060</v>
      </c>
      <c r="J11907" s="690" t="s">
        <v>4060</v>
      </c>
      <c r="K11907" s="690" t="s">
        <v>4060</v>
      </c>
    </row>
    <row r="11908" spans="1:11">
      <c r="A11908" s="688" t="s">
        <v>4062</v>
      </c>
      <c r="B11908" s="691">
        <v>15.2</v>
      </c>
      <c r="C11908" s="691">
        <v>15.3</v>
      </c>
      <c r="D11908" s="691">
        <v>15.2</v>
      </c>
      <c r="E11908" s="691">
        <v>15.6</v>
      </c>
      <c r="F11908" s="691">
        <v>15.6</v>
      </c>
      <c r="G11908" s="691">
        <v>15.7</v>
      </c>
      <c r="H11908" s="691">
        <v>15.9</v>
      </c>
      <c r="I11908" s="691">
        <v>15.4</v>
      </c>
      <c r="J11908" s="691">
        <v>15.9</v>
      </c>
      <c r="K11908" s="691">
        <v>15.6</v>
      </c>
    </row>
    <row r="11909" spans="1:11">
      <c r="A11909" s="688" t="s">
        <v>9</v>
      </c>
      <c r="B11909" s="693">
        <v>15</v>
      </c>
      <c r="C11909" s="689">
        <v>15.3</v>
      </c>
      <c r="D11909" s="689">
        <v>15.4</v>
      </c>
      <c r="E11909" s="689">
        <v>14.7</v>
      </c>
      <c r="F11909" s="689">
        <v>15.4</v>
      </c>
      <c r="G11909" s="689">
        <v>15.7</v>
      </c>
      <c r="H11909" s="689">
        <v>15.9</v>
      </c>
      <c r="I11909" s="693">
        <v>16</v>
      </c>
      <c r="J11909" s="689">
        <v>16.3</v>
      </c>
      <c r="K11909" s="689">
        <v>15.2</v>
      </c>
    </row>
    <row r="11910" spans="1:11">
      <c r="A11910" s="688" t="s">
        <v>13</v>
      </c>
      <c r="B11910" s="691">
        <v>14.9</v>
      </c>
      <c r="C11910" s="691">
        <v>15.4</v>
      </c>
      <c r="D11910" s="691">
        <v>15.2</v>
      </c>
      <c r="E11910" s="691">
        <v>14.2</v>
      </c>
      <c r="F11910" s="691">
        <v>16.399999999999999</v>
      </c>
      <c r="G11910" s="691">
        <v>14.5</v>
      </c>
      <c r="H11910" s="691">
        <v>16.2</v>
      </c>
      <c r="I11910" s="691">
        <v>14.2</v>
      </c>
      <c r="J11910" s="691">
        <v>16.7</v>
      </c>
      <c r="K11910" s="691">
        <v>16.899999999999999</v>
      </c>
    </row>
    <row r="11911" spans="1:11">
      <c r="A11911" s="688" t="s">
        <v>18</v>
      </c>
      <c r="B11911" s="689">
        <v>14.7</v>
      </c>
      <c r="C11911" s="689">
        <v>14.8</v>
      </c>
      <c r="D11911" s="689">
        <v>14.9</v>
      </c>
      <c r="E11911" s="689">
        <v>15.2</v>
      </c>
      <c r="F11911" s="689">
        <v>15.3</v>
      </c>
      <c r="G11911" s="689">
        <v>15.4</v>
      </c>
      <c r="H11911" s="689">
        <v>15.5</v>
      </c>
      <c r="I11911" s="689">
        <v>15.7</v>
      </c>
      <c r="J11911" s="689">
        <v>15.7</v>
      </c>
      <c r="K11911" s="689">
        <v>15.2</v>
      </c>
    </row>
    <row r="11912" spans="1:11">
      <c r="A11912" s="688" t="s">
        <v>24</v>
      </c>
      <c r="B11912" s="691">
        <v>15.5</v>
      </c>
      <c r="C11912" s="691">
        <v>15.6</v>
      </c>
      <c r="D11912" s="691">
        <v>15.3</v>
      </c>
      <c r="E11912" s="691">
        <v>15.8</v>
      </c>
      <c r="F11912" s="691">
        <v>15.8</v>
      </c>
      <c r="G11912" s="615">
        <v>16</v>
      </c>
      <c r="H11912" s="615">
        <v>16</v>
      </c>
      <c r="I11912" s="691">
        <v>15.3</v>
      </c>
      <c r="J11912" s="691">
        <v>15.9</v>
      </c>
      <c r="K11912" s="691">
        <v>15.9</v>
      </c>
    </row>
    <row r="11913" spans="1:11">
      <c r="A11913" s="688" t="s">
        <v>4059</v>
      </c>
      <c r="B11913" s="689">
        <v>14.8</v>
      </c>
      <c r="C11913" s="693">
        <v>15</v>
      </c>
      <c r="D11913" s="689">
        <v>14.8</v>
      </c>
      <c r="E11913" s="693">
        <v>15</v>
      </c>
      <c r="F11913" s="693">
        <v>15</v>
      </c>
      <c r="G11913" s="689">
        <v>15.1</v>
      </c>
      <c r="H11913" s="690" t="s">
        <v>4060</v>
      </c>
      <c r="I11913" s="690" t="s">
        <v>4060</v>
      </c>
      <c r="J11913" s="690" t="s">
        <v>4060</v>
      </c>
      <c r="K11913" s="690" t="s">
        <v>4060</v>
      </c>
    </row>
    <row r="11914" spans="1:11">
      <c r="A11914" s="688" t="s">
        <v>2324</v>
      </c>
      <c r="B11914" s="691">
        <v>11.9</v>
      </c>
      <c r="C11914" s="615">
        <v>12</v>
      </c>
      <c r="D11914" s="691">
        <v>11.8</v>
      </c>
      <c r="E11914" s="691">
        <v>11.7</v>
      </c>
      <c r="F11914" s="691">
        <v>11.8</v>
      </c>
      <c r="G11914" s="615">
        <v>12</v>
      </c>
      <c r="H11914" s="615">
        <v>12</v>
      </c>
      <c r="I11914" s="691">
        <v>10.9</v>
      </c>
      <c r="J11914" s="691">
        <v>9.5</v>
      </c>
      <c r="K11914" s="692" t="s">
        <v>4060</v>
      </c>
    </row>
    <row r="11915" spans="1:11">
      <c r="A11915" s="688" t="s">
        <v>2322</v>
      </c>
      <c r="B11915" s="690" t="s">
        <v>4060</v>
      </c>
      <c r="C11915" s="690" t="s">
        <v>4060</v>
      </c>
      <c r="D11915" s="690" t="s">
        <v>4060</v>
      </c>
      <c r="E11915" s="690" t="s">
        <v>4060</v>
      </c>
      <c r="F11915" s="690" t="s">
        <v>4060</v>
      </c>
      <c r="G11915" s="690" t="s">
        <v>4060</v>
      </c>
      <c r="H11915" s="690" t="s">
        <v>4060</v>
      </c>
      <c r="I11915" s="690" t="s">
        <v>4060</v>
      </c>
      <c r="J11915" s="690" t="s">
        <v>4060</v>
      </c>
      <c r="K11915" s="690" t="s">
        <v>4060</v>
      </c>
    </row>
    <row r="11916" spans="1:11">
      <c r="A11916" s="688" t="s">
        <v>2328</v>
      </c>
      <c r="B11916" s="691">
        <v>11.1</v>
      </c>
      <c r="C11916" s="691">
        <v>11.3</v>
      </c>
      <c r="D11916" s="691">
        <v>11.1</v>
      </c>
      <c r="E11916" s="691">
        <v>11.2</v>
      </c>
      <c r="F11916" s="691">
        <v>11.3</v>
      </c>
      <c r="G11916" s="691">
        <v>11.7</v>
      </c>
      <c r="H11916" s="691">
        <v>11.6</v>
      </c>
      <c r="I11916" s="691">
        <v>10.1</v>
      </c>
      <c r="J11916" s="691">
        <v>9.6999999999999993</v>
      </c>
      <c r="K11916" s="692" t="s">
        <v>4060</v>
      </c>
    </row>
    <row r="11917" spans="1:11">
      <c r="A11917" s="688" t="s">
        <v>2496</v>
      </c>
      <c r="B11917" s="690" t="s">
        <v>4060</v>
      </c>
      <c r="C11917" s="689">
        <v>11.4</v>
      </c>
      <c r="D11917" s="689">
        <v>10.5</v>
      </c>
      <c r="E11917" s="689">
        <v>10.1</v>
      </c>
      <c r="F11917" s="689">
        <v>10.4</v>
      </c>
      <c r="G11917" s="689">
        <v>10.7</v>
      </c>
      <c r="H11917" s="689">
        <v>10.7</v>
      </c>
      <c r="I11917" s="690" t="s">
        <v>4060</v>
      </c>
      <c r="J11917" s="690" t="s">
        <v>4060</v>
      </c>
      <c r="K11917" s="689">
        <v>10.1</v>
      </c>
    </row>
    <row r="11918" spans="1:11">
      <c r="A11918" s="688" t="s">
        <v>2269</v>
      </c>
      <c r="B11918" s="691">
        <v>12.9</v>
      </c>
      <c r="C11918" s="615">
        <v>13</v>
      </c>
      <c r="D11918" s="691">
        <v>12.6</v>
      </c>
      <c r="E11918" s="691">
        <v>13.2</v>
      </c>
      <c r="F11918" s="691">
        <v>13.3</v>
      </c>
      <c r="G11918" s="691">
        <v>13.5</v>
      </c>
      <c r="H11918" s="691">
        <v>13.8</v>
      </c>
      <c r="I11918" s="691">
        <v>12.1</v>
      </c>
      <c r="J11918" s="691">
        <v>10.3</v>
      </c>
      <c r="K11918" s="691">
        <v>13.5</v>
      </c>
    </row>
    <row r="11919" spans="1:11">
      <c r="A11919" s="688" t="s">
        <v>2349</v>
      </c>
      <c r="B11919" s="689">
        <v>11.3</v>
      </c>
      <c r="C11919" s="689">
        <v>11.3</v>
      </c>
      <c r="D11919" s="689">
        <v>11.3</v>
      </c>
      <c r="E11919" s="689">
        <v>11.6</v>
      </c>
      <c r="F11919" s="689">
        <v>11.6</v>
      </c>
      <c r="G11919" s="689">
        <v>11.7</v>
      </c>
      <c r="H11919" s="689">
        <v>11.9</v>
      </c>
      <c r="I11919" s="689">
        <v>10.8</v>
      </c>
      <c r="J11919" s="689">
        <v>9.6</v>
      </c>
      <c r="K11919" s="693">
        <v>11</v>
      </c>
    </row>
    <row r="11920" spans="1:11">
      <c r="A11920" s="688" t="s">
        <v>2355</v>
      </c>
      <c r="B11920" s="615">
        <v>13</v>
      </c>
      <c r="C11920" s="691">
        <v>12.8</v>
      </c>
      <c r="D11920" s="691">
        <v>12.7</v>
      </c>
      <c r="E11920" s="691">
        <v>12.7</v>
      </c>
      <c r="F11920" s="691">
        <v>12.8</v>
      </c>
      <c r="G11920" s="691">
        <v>13.2</v>
      </c>
      <c r="H11920" s="691">
        <v>13.2</v>
      </c>
      <c r="I11920" s="692" t="s">
        <v>4060</v>
      </c>
      <c r="J11920" s="692" t="s">
        <v>4060</v>
      </c>
      <c r="K11920" s="692" t="s">
        <v>4060</v>
      </c>
    </row>
    <row r="11921" spans="1:11">
      <c r="A11921" s="688" t="s">
        <v>2357</v>
      </c>
      <c r="B11921" s="690" t="s">
        <v>4060</v>
      </c>
      <c r="C11921" s="689">
        <v>10.5</v>
      </c>
      <c r="D11921" s="689">
        <v>10.7</v>
      </c>
      <c r="E11921" s="689">
        <v>10.9</v>
      </c>
      <c r="F11921" s="689">
        <v>11.1</v>
      </c>
      <c r="G11921" s="689">
        <v>10.8</v>
      </c>
      <c r="H11921" s="689">
        <v>10.9</v>
      </c>
      <c r="I11921" s="690" t="s">
        <v>4060</v>
      </c>
      <c r="J11921" s="690" t="s">
        <v>4060</v>
      </c>
      <c r="K11921" s="690" t="s">
        <v>4060</v>
      </c>
    </row>
    <row r="11922" spans="1:11">
      <c r="A11922" s="688" t="s">
        <v>4070</v>
      </c>
      <c r="B11922" s="692" t="s">
        <v>4060</v>
      </c>
      <c r="C11922" s="692" t="s">
        <v>4060</v>
      </c>
      <c r="D11922" s="692" t="s">
        <v>4060</v>
      </c>
      <c r="E11922" s="691">
        <v>12.2</v>
      </c>
      <c r="F11922" s="692" t="s">
        <v>4060</v>
      </c>
      <c r="G11922" s="692" t="s">
        <v>4060</v>
      </c>
      <c r="H11922" s="692" t="s">
        <v>4060</v>
      </c>
      <c r="I11922" s="692" t="s">
        <v>4060</v>
      </c>
      <c r="J11922" s="692" t="s">
        <v>4060</v>
      </c>
      <c r="K11922" s="692" t="s">
        <v>4060</v>
      </c>
    </row>
    <row r="11923" spans="1:11">
      <c r="A11923" s="688" t="s">
        <v>2491</v>
      </c>
      <c r="B11923" s="693">
        <v>10</v>
      </c>
      <c r="C11923" s="689">
        <v>10.3</v>
      </c>
      <c r="D11923" s="689">
        <v>10.3</v>
      </c>
      <c r="E11923" s="689">
        <v>10.4</v>
      </c>
      <c r="F11923" s="689">
        <v>10.4</v>
      </c>
      <c r="G11923" s="689">
        <v>10.5</v>
      </c>
      <c r="H11923" s="690" t="s">
        <v>4060</v>
      </c>
      <c r="I11923" s="690" t="s">
        <v>4060</v>
      </c>
      <c r="J11923" s="690" t="s">
        <v>4060</v>
      </c>
      <c r="K11923" s="690" t="s">
        <v>4060</v>
      </c>
    </row>
    <row r="11924" spans="1:11">
      <c r="A11924" s="688" t="s">
        <v>2343</v>
      </c>
      <c r="B11924" s="692" t="s">
        <v>4060</v>
      </c>
      <c r="C11924" s="692" t="s">
        <v>4060</v>
      </c>
      <c r="D11924" s="692" t="s">
        <v>4060</v>
      </c>
      <c r="E11924" s="692" t="s">
        <v>4060</v>
      </c>
      <c r="F11924" s="692" t="s">
        <v>4060</v>
      </c>
      <c r="G11924" s="692" t="s">
        <v>4060</v>
      </c>
      <c r="H11924" s="692" t="s">
        <v>4060</v>
      </c>
      <c r="I11924" s="692" t="s">
        <v>4060</v>
      </c>
      <c r="J11924" s="692" t="s">
        <v>4060</v>
      </c>
      <c r="K11924" s="692" t="s">
        <v>4060</v>
      </c>
    </row>
    <row r="11925" spans="1:11">
      <c r="A11925" s="688" t="s">
        <v>4071</v>
      </c>
      <c r="B11925" s="690" t="s">
        <v>4060</v>
      </c>
      <c r="C11925" s="690" t="s">
        <v>4060</v>
      </c>
      <c r="D11925" s="690" t="s">
        <v>4060</v>
      </c>
      <c r="E11925" s="690" t="s">
        <v>4060</v>
      </c>
      <c r="F11925" s="690" t="s">
        <v>4060</v>
      </c>
      <c r="G11925" s="690" t="s">
        <v>4060</v>
      </c>
      <c r="H11925" s="690" t="s">
        <v>4060</v>
      </c>
      <c r="I11925" s="690" t="s">
        <v>4060</v>
      </c>
      <c r="J11925" s="690" t="s">
        <v>4060</v>
      </c>
      <c r="K11925" s="690" t="s">
        <v>4060</v>
      </c>
    </row>
    <row r="11926" spans="1:11">
      <c r="A11926" s="688" t="s">
        <v>2489</v>
      </c>
      <c r="B11926" s="692" t="s">
        <v>4060</v>
      </c>
      <c r="C11926" s="692" t="s">
        <v>4060</v>
      </c>
      <c r="D11926" s="691">
        <v>11.5</v>
      </c>
      <c r="E11926" s="691">
        <v>11.6</v>
      </c>
      <c r="F11926" s="691">
        <v>11.9</v>
      </c>
      <c r="G11926" s="691">
        <v>12.2</v>
      </c>
      <c r="H11926" s="691">
        <v>12.4</v>
      </c>
      <c r="I11926" s="692" t="s">
        <v>4060</v>
      </c>
      <c r="J11926" s="692" t="s">
        <v>4060</v>
      </c>
      <c r="K11926" s="692" t="s">
        <v>4060</v>
      </c>
    </row>
    <row r="11927" spans="1:11">
      <c r="A11927" s="688" t="s">
        <v>2490</v>
      </c>
      <c r="B11927" s="689">
        <v>11.6</v>
      </c>
      <c r="C11927" s="689">
        <v>11.5</v>
      </c>
      <c r="D11927" s="689">
        <v>12.4</v>
      </c>
      <c r="E11927" s="690" t="s">
        <v>4060</v>
      </c>
      <c r="F11927" s="689">
        <v>12.8</v>
      </c>
      <c r="G11927" s="689">
        <v>12.6</v>
      </c>
      <c r="H11927" s="689">
        <v>13.5</v>
      </c>
      <c r="I11927" s="690" t="s">
        <v>4060</v>
      </c>
      <c r="J11927" s="690" t="s">
        <v>4060</v>
      </c>
      <c r="K11927" s="690" t="s">
        <v>4060</v>
      </c>
    </row>
    <row r="11929" spans="1:11">
      <c r="A11929" s="683" t="s">
        <v>4233</v>
      </c>
    </row>
    <row r="11930" spans="1:11">
      <c r="A11930" s="683" t="s">
        <v>4060</v>
      </c>
      <c r="B11930" s="682" t="s">
        <v>4234</v>
      </c>
    </row>
    <row r="11932" spans="1:11">
      <c r="A11932" s="682" t="s">
        <v>4331</v>
      </c>
    </row>
    <row r="11933" spans="1:11">
      <c r="A11933" s="682" t="s">
        <v>4210</v>
      </c>
      <c r="B11933" s="683" t="s">
        <v>4211</v>
      </c>
    </row>
    <row r="11934" spans="1:11">
      <c r="A11934" s="682" t="s">
        <v>4212</v>
      </c>
      <c r="B11934" s="682" t="s">
        <v>4213</v>
      </c>
    </row>
    <row r="11936" spans="1:11">
      <c r="A11936" s="683" t="s">
        <v>4214</v>
      </c>
      <c r="C11936" s="682" t="s">
        <v>4215</v>
      </c>
    </row>
    <row r="11937" spans="1:11">
      <c r="A11937" s="683" t="s">
        <v>4216</v>
      </c>
      <c r="C11937" s="682" t="s">
        <v>2967</v>
      </c>
    </row>
    <row r="11938" spans="1:11">
      <c r="A11938" s="683" t="s">
        <v>3893</v>
      </c>
      <c r="C11938" s="682" t="s">
        <v>2168</v>
      </c>
    </row>
    <row r="11939" spans="1:11">
      <c r="A11939" s="683" t="s">
        <v>4218</v>
      </c>
      <c r="C11939" s="682" t="s">
        <v>4305</v>
      </c>
    </row>
    <row r="11941" spans="1:11">
      <c r="A11941" s="684" t="s">
        <v>4220</v>
      </c>
      <c r="B11941" s="685" t="s">
        <v>4221</v>
      </c>
      <c r="C11941" s="685" t="s">
        <v>4222</v>
      </c>
      <c r="D11941" s="685" t="s">
        <v>4223</v>
      </c>
      <c r="E11941" s="685" t="s">
        <v>4224</v>
      </c>
      <c r="F11941" s="685" t="s">
        <v>4225</v>
      </c>
      <c r="G11941" s="685" t="s">
        <v>4226</v>
      </c>
      <c r="H11941" s="685" t="s">
        <v>4227</v>
      </c>
      <c r="I11941" s="685" t="s">
        <v>4228</v>
      </c>
      <c r="J11941" s="685" t="s">
        <v>4229</v>
      </c>
      <c r="K11941" s="685" t="s">
        <v>4230</v>
      </c>
    </row>
    <row r="11942" spans="1:11">
      <c r="A11942" s="686" t="s">
        <v>4231</v>
      </c>
      <c r="B11942" s="687" t="s">
        <v>4232</v>
      </c>
      <c r="C11942" s="687" t="s">
        <v>4232</v>
      </c>
      <c r="D11942" s="687" t="s">
        <v>4232</v>
      </c>
      <c r="E11942" s="687" t="s">
        <v>4232</v>
      </c>
      <c r="F11942" s="687" t="s">
        <v>4232</v>
      </c>
      <c r="G11942" s="687" t="s">
        <v>4232</v>
      </c>
      <c r="H11942" s="687" t="s">
        <v>4232</v>
      </c>
      <c r="I11942" s="687" t="s">
        <v>4232</v>
      </c>
      <c r="J11942" s="687" t="s">
        <v>4232</v>
      </c>
      <c r="K11942" s="687" t="s">
        <v>4232</v>
      </c>
    </row>
    <row r="11943" spans="1:11">
      <c r="A11943" s="688" t="s">
        <v>4064</v>
      </c>
      <c r="B11943" s="689">
        <v>13.6</v>
      </c>
      <c r="C11943" s="689">
        <v>13.6</v>
      </c>
      <c r="D11943" s="689">
        <v>13.7</v>
      </c>
      <c r="E11943" s="689">
        <v>13.7</v>
      </c>
      <c r="F11943" s="689">
        <v>13.7</v>
      </c>
      <c r="G11943" s="689">
        <v>13.8</v>
      </c>
      <c r="H11943" s="693">
        <v>14</v>
      </c>
      <c r="I11943" s="689">
        <v>13.3</v>
      </c>
      <c r="J11943" s="689">
        <v>13.2</v>
      </c>
      <c r="K11943" s="689">
        <v>13.5</v>
      </c>
    </row>
    <row r="11944" spans="1:11">
      <c r="A11944" s="688" t="s">
        <v>4065</v>
      </c>
      <c r="B11944" s="691">
        <v>13.7</v>
      </c>
      <c r="C11944" s="615">
        <v>14</v>
      </c>
      <c r="D11944" s="691">
        <v>13.7</v>
      </c>
      <c r="E11944" s="615">
        <v>14</v>
      </c>
      <c r="F11944" s="615">
        <v>14</v>
      </c>
      <c r="G11944" s="691">
        <v>14.1</v>
      </c>
      <c r="H11944" s="692" t="s">
        <v>4060</v>
      </c>
      <c r="I11944" s="692" t="s">
        <v>4060</v>
      </c>
      <c r="J11944" s="692" t="s">
        <v>4060</v>
      </c>
      <c r="K11944" s="692" t="s">
        <v>4060</v>
      </c>
    </row>
    <row r="11945" spans="1:11">
      <c r="A11945" s="688" t="s">
        <v>4063</v>
      </c>
      <c r="B11945" s="689">
        <v>13.7</v>
      </c>
      <c r="C11945" s="693">
        <v>14</v>
      </c>
      <c r="D11945" s="689">
        <v>13.7</v>
      </c>
      <c r="E11945" s="693">
        <v>14</v>
      </c>
      <c r="F11945" s="693">
        <v>14</v>
      </c>
      <c r="G11945" s="689">
        <v>14.1</v>
      </c>
      <c r="H11945" s="690" t="s">
        <v>4060</v>
      </c>
      <c r="I11945" s="690" t="s">
        <v>4060</v>
      </c>
      <c r="J11945" s="690" t="s">
        <v>4060</v>
      </c>
      <c r="K11945" s="690" t="s">
        <v>4060</v>
      </c>
    </row>
    <row r="11946" spans="1:11">
      <c r="A11946" s="688" t="s">
        <v>4069</v>
      </c>
      <c r="B11946" s="692" t="s">
        <v>4060</v>
      </c>
      <c r="C11946" s="691">
        <v>14.1</v>
      </c>
      <c r="D11946" s="691">
        <v>13.9</v>
      </c>
      <c r="E11946" s="691">
        <v>14.1</v>
      </c>
      <c r="F11946" s="691">
        <v>14.1</v>
      </c>
      <c r="G11946" s="691">
        <v>14.2</v>
      </c>
      <c r="H11946" s="691">
        <v>14.4</v>
      </c>
      <c r="I11946" s="691">
        <v>13.8</v>
      </c>
      <c r="J11946" s="691">
        <v>13.9</v>
      </c>
      <c r="K11946" s="615">
        <v>14</v>
      </c>
    </row>
    <row r="11947" spans="1:11">
      <c r="A11947" s="688" t="s">
        <v>4068</v>
      </c>
      <c r="B11947" s="689">
        <v>14.1</v>
      </c>
      <c r="C11947" s="690" t="s">
        <v>4060</v>
      </c>
      <c r="D11947" s="690" t="s">
        <v>4060</v>
      </c>
      <c r="E11947" s="690" t="s">
        <v>4060</v>
      </c>
      <c r="F11947" s="690" t="s">
        <v>4060</v>
      </c>
      <c r="G11947" s="690" t="s">
        <v>4060</v>
      </c>
      <c r="H11947" s="690" t="s">
        <v>4060</v>
      </c>
      <c r="I11947" s="690" t="s">
        <v>4060</v>
      </c>
      <c r="J11947" s="690" t="s">
        <v>4060</v>
      </c>
      <c r="K11947" s="690" t="s">
        <v>4060</v>
      </c>
    </row>
    <row r="11948" spans="1:11">
      <c r="A11948" s="688" t="s">
        <v>0</v>
      </c>
      <c r="B11948" s="691">
        <v>13.5</v>
      </c>
      <c r="C11948" s="691">
        <v>13.9</v>
      </c>
      <c r="D11948" s="691">
        <v>13.7</v>
      </c>
      <c r="E11948" s="691">
        <v>13.9</v>
      </c>
      <c r="F11948" s="615">
        <v>14</v>
      </c>
      <c r="G11948" s="691">
        <v>14.1</v>
      </c>
      <c r="H11948" s="691">
        <v>14.3</v>
      </c>
      <c r="I11948" s="691">
        <v>13.3</v>
      </c>
      <c r="J11948" s="615">
        <v>14</v>
      </c>
      <c r="K11948" s="691">
        <v>14.2</v>
      </c>
    </row>
    <row r="11949" spans="1:11">
      <c r="A11949" s="688" t="s">
        <v>1</v>
      </c>
      <c r="B11949" s="689">
        <v>10.9</v>
      </c>
      <c r="C11949" s="689">
        <v>10.7</v>
      </c>
      <c r="D11949" s="689">
        <v>10.6</v>
      </c>
      <c r="E11949" s="689">
        <v>10.7</v>
      </c>
      <c r="F11949" s="689">
        <v>10.6</v>
      </c>
      <c r="G11949" s="689">
        <v>10.6</v>
      </c>
      <c r="H11949" s="689">
        <v>10.7</v>
      </c>
      <c r="I11949" s="689">
        <v>9.6</v>
      </c>
      <c r="J11949" s="689">
        <v>8.6</v>
      </c>
      <c r="K11949" s="693">
        <v>10</v>
      </c>
    </row>
    <row r="11950" spans="1:11">
      <c r="A11950" s="688" t="s">
        <v>2240</v>
      </c>
      <c r="B11950" s="691">
        <v>11.9</v>
      </c>
      <c r="C11950" s="691">
        <v>12.1</v>
      </c>
      <c r="D11950" s="691">
        <v>11.9</v>
      </c>
      <c r="E11950" s="691">
        <v>12.2</v>
      </c>
      <c r="F11950" s="691">
        <v>12.2</v>
      </c>
      <c r="G11950" s="691">
        <v>12.2</v>
      </c>
      <c r="H11950" s="691">
        <v>12.4</v>
      </c>
      <c r="I11950" s="691">
        <v>11.3</v>
      </c>
      <c r="J11950" s="691">
        <v>10.8</v>
      </c>
      <c r="K11950" s="691">
        <v>12.1</v>
      </c>
    </row>
    <row r="11951" spans="1:11">
      <c r="A11951" s="688" t="s">
        <v>2</v>
      </c>
      <c r="B11951" s="689">
        <v>13.4</v>
      </c>
      <c r="C11951" s="689">
        <v>13.6</v>
      </c>
      <c r="D11951" s="689">
        <v>13.5</v>
      </c>
      <c r="E11951" s="689">
        <v>13.7</v>
      </c>
      <c r="F11951" s="689">
        <v>13.7</v>
      </c>
      <c r="G11951" s="689">
        <v>13.6</v>
      </c>
      <c r="H11951" s="693">
        <v>14</v>
      </c>
      <c r="I11951" s="693">
        <v>14</v>
      </c>
      <c r="J11951" s="689">
        <v>13.8</v>
      </c>
      <c r="K11951" s="689">
        <v>13.7</v>
      </c>
    </row>
    <row r="11952" spans="1:11">
      <c r="A11952" s="688" t="s">
        <v>3</v>
      </c>
      <c r="B11952" s="691">
        <v>13.5</v>
      </c>
      <c r="C11952" s="691">
        <v>13.6</v>
      </c>
      <c r="D11952" s="691">
        <v>13.4</v>
      </c>
      <c r="E11952" s="691">
        <v>13.6</v>
      </c>
      <c r="F11952" s="691">
        <v>13.7</v>
      </c>
      <c r="G11952" s="691">
        <v>13.7</v>
      </c>
      <c r="H11952" s="691">
        <v>13.9</v>
      </c>
      <c r="I11952" s="691">
        <v>13.6</v>
      </c>
      <c r="J11952" s="691">
        <v>13.5</v>
      </c>
      <c r="K11952" s="691">
        <v>13.3</v>
      </c>
    </row>
    <row r="11953" spans="1:11">
      <c r="A11953" s="688" t="s">
        <v>4061</v>
      </c>
      <c r="B11953" s="689">
        <v>13.5</v>
      </c>
      <c r="C11953" s="689">
        <v>13.6</v>
      </c>
      <c r="D11953" s="689">
        <v>13.4</v>
      </c>
      <c r="E11953" s="689">
        <v>13.6</v>
      </c>
      <c r="F11953" s="689">
        <v>13.7</v>
      </c>
      <c r="G11953" s="689">
        <v>13.7</v>
      </c>
      <c r="H11953" s="689">
        <v>13.9</v>
      </c>
      <c r="I11953" s="689">
        <v>13.6</v>
      </c>
      <c r="J11953" s="689">
        <v>13.5</v>
      </c>
      <c r="K11953" s="689">
        <v>13.3</v>
      </c>
    </row>
    <row r="11954" spans="1:11">
      <c r="A11954" s="688" t="s">
        <v>4</v>
      </c>
      <c r="B11954" s="691">
        <v>11.7</v>
      </c>
      <c r="C11954" s="691">
        <v>11.6</v>
      </c>
      <c r="D11954" s="691">
        <v>11.8</v>
      </c>
      <c r="E11954" s="691">
        <v>11.9</v>
      </c>
      <c r="F11954" s="691">
        <v>11.9</v>
      </c>
      <c r="G11954" s="615">
        <v>12</v>
      </c>
      <c r="H11954" s="691">
        <v>12.3</v>
      </c>
      <c r="I11954" s="691">
        <v>12.3</v>
      </c>
      <c r="J11954" s="691">
        <v>11.2</v>
      </c>
      <c r="K11954" s="691">
        <v>11.7</v>
      </c>
    </row>
    <row r="11955" spans="1:11">
      <c r="A11955" s="688" t="s">
        <v>8</v>
      </c>
      <c r="B11955" s="689">
        <v>13.6</v>
      </c>
      <c r="C11955" s="689">
        <v>13.7</v>
      </c>
      <c r="D11955" s="689">
        <v>13.7</v>
      </c>
      <c r="E11955" s="689">
        <v>13.7</v>
      </c>
      <c r="F11955" s="689">
        <v>14.1</v>
      </c>
      <c r="G11955" s="689">
        <v>14.2</v>
      </c>
      <c r="H11955" s="689">
        <v>14.4</v>
      </c>
      <c r="I11955" s="689">
        <v>14.3</v>
      </c>
      <c r="J11955" s="689">
        <v>14.2</v>
      </c>
      <c r="K11955" s="689">
        <v>14.4</v>
      </c>
    </row>
    <row r="11956" spans="1:11">
      <c r="A11956" s="688" t="s">
        <v>7</v>
      </c>
      <c r="B11956" s="691">
        <v>14.4</v>
      </c>
      <c r="C11956" s="691">
        <v>13.8</v>
      </c>
      <c r="D11956" s="691">
        <v>13.5</v>
      </c>
      <c r="E11956" s="691">
        <v>13.8</v>
      </c>
      <c r="F11956" s="691">
        <v>13.7</v>
      </c>
      <c r="G11956" s="691">
        <v>14.1</v>
      </c>
      <c r="H11956" s="615">
        <v>14</v>
      </c>
      <c r="I11956" s="691">
        <v>13.8</v>
      </c>
      <c r="J11956" s="691">
        <v>13.3</v>
      </c>
      <c r="K11956" s="691">
        <v>13.6</v>
      </c>
    </row>
    <row r="11957" spans="1:11">
      <c r="A11957" s="688" t="s">
        <v>27</v>
      </c>
      <c r="B11957" s="689">
        <v>14.8</v>
      </c>
      <c r="C11957" s="689">
        <v>14.5</v>
      </c>
      <c r="D11957" s="689">
        <v>14.3</v>
      </c>
      <c r="E11957" s="689">
        <v>14.6</v>
      </c>
      <c r="F11957" s="689">
        <v>14.6</v>
      </c>
      <c r="G11957" s="689">
        <v>14.7</v>
      </c>
      <c r="H11957" s="689">
        <v>14.9</v>
      </c>
      <c r="I11957" s="689">
        <v>13.8</v>
      </c>
      <c r="J11957" s="689">
        <v>14.5</v>
      </c>
      <c r="K11957" s="689">
        <v>14.6</v>
      </c>
    </row>
    <row r="11958" spans="1:11">
      <c r="A11958" s="688" t="s">
        <v>6</v>
      </c>
      <c r="B11958" s="615">
        <v>15</v>
      </c>
      <c r="C11958" s="615">
        <v>15</v>
      </c>
      <c r="D11958" s="691">
        <v>14.8</v>
      </c>
      <c r="E11958" s="615">
        <v>15</v>
      </c>
      <c r="F11958" s="615">
        <v>15</v>
      </c>
      <c r="G11958" s="691">
        <v>15.1</v>
      </c>
      <c r="H11958" s="691">
        <v>15.2</v>
      </c>
      <c r="I11958" s="691">
        <v>14.6</v>
      </c>
      <c r="J11958" s="691">
        <v>14.7</v>
      </c>
      <c r="K11958" s="691">
        <v>14.9</v>
      </c>
    </row>
    <row r="11959" spans="1:11">
      <c r="A11959" s="688" t="s">
        <v>4058</v>
      </c>
      <c r="B11959" s="690" t="s">
        <v>4060</v>
      </c>
      <c r="C11959" s="690" t="s">
        <v>4060</v>
      </c>
      <c r="D11959" s="690" t="s">
        <v>4060</v>
      </c>
      <c r="E11959" s="690" t="s">
        <v>4060</v>
      </c>
      <c r="F11959" s="690" t="s">
        <v>4060</v>
      </c>
      <c r="G11959" s="690" t="s">
        <v>4060</v>
      </c>
      <c r="H11959" s="690" t="s">
        <v>4060</v>
      </c>
      <c r="I11959" s="690" t="s">
        <v>4060</v>
      </c>
      <c r="J11959" s="690" t="s">
        <v>4060</v>
      </c>
      <c r="K11959" s="690" t="s">
        <v>4060</v>
      </c>
    </row>
    <row r="11960" spans="1:11">
      <c r="A11960" s="688" t="s">
        <v>11</v>
      </c>
      <c r="B11960" s="691">
        <v>11.5</v>
      </c>
      <c r="C11960" s="691">
        <v>11.5</v>
      </c>
      <c r="D11960" s="691">
        <v>11.2</v>
      </c>
      <c r="E11960" s="691">
        <v>11.6</v>
      </c>
      <c r="F11960" s="691">
        <v>11.6</v>
      </c>
      <c r="G11960" s="691">
        <v>11.7</v>
      </c>
      <c r="H11960" s="615">
        <v>12</v>
      </c>
      <c r="I11960" s="691">
        <v>11.3</v>
      </c>
      <c r="J11960" s="691">
        <v>10.7</v>
      </c>
      <c r="K11960" s="691">
        <v>11.4</v>
      </c>
    </row>
    <row r="11961" spans="1:11">
      <c r="A11961" s="688" t="s">
        <v>10</v>
      </c>
      <c r="B11961" s="689">
        <v>14.4</v>
      </c>
      <c r="C11961" s="689">
        <v>14.3</v>
      </c>
      <c r="D11961" s="689">
        <v>14.1</v>
      </c>
      <c r="E11961" s="689">
        <v>14.5</v>
      </c>
      <c r="F11961" s="689">
        <v>14.3</v>
      </c>
      <c r="G11961" s="689">
        <v>14.7</v>
      </c>
      <c r="H11961" s="689">
        <v>14.8</v>
      </c>
      <c r="I11961" s="689">
        <v>13.7</v>
      </c>
      <c r="J11961" s="689">
        <v>14.2</v>
      </c>
      <c r="K11961" s="689">
        <v>14.3</v>
      </c>
    </row>
    <row r="11962" spans="1:11">
      <c r="A11962" s="688" t="s">
        <v>30</v>
      </c>
      <c r="B11962" s="691">
        <v>14.1</v>
      </c>
      <c r="C11962" s="691">
        <v>14.2</v>
      </c>
      <c r="D11962" s="691">
        <v>13.9</v>
      </c>
      <c r="E11962" s="691">
        <v>14.4</v>
      </c>
      <c r="F11962" s="691">
        <v>14.2</v>
      </c>
      <c r="G11962" s="691">
        <v>14.7</v>
      </c>
      <c r="H11962" s="691">
        <v>14.5</v>
      </c>
      <c r="I11962" s="691">
        <v>14.8</v>
      </c>
      <c r="J11962" s="691">
        <v>14.2</v>
      </c>
      <c r="K11962" s="691">
        <v>14.2</v>
      </c>
    </row>
    <row r="11963" spans="1:11">
      <c r="A11963" s="688" t="s">
        <v>12</v>
      </c>
      <c r="B11963" s="689">
        <v>10.8</v>
      </c>
      <c r="C11963" s="689">
        <v>10.7</v>
      </c>
      <c r="D11963" s="689">
        <v>10.9</v>
      </c>
      <c r="E11963" s="689">
        <v>10.8</v>
      </c>
      <c r="F11963" s="689">
        <v>10.8</v>
      </c>
      <c r="G11963" s="689">
        <v>10.9</v>
      </c>
      <c r="H11963" s="689">
        <v>11.1</v>
      </c>
      <c r="I11963" s="689">
        <v>10.8</v>
      </c>
      <c r="J11963" s="689">
        <v>9.9</v>
      </c>
      <c r="K11963" s="689">
        <v>10.6</v>
      </c>
    </row>
    <row r="11964" spans="1:11">
      <c r="A11964" s="688" t="s">
        <v>14</v>
      </c>
      <c r="B11964" s="691">
        <v>11.1</v>
      </c>
      <c r="C11964" s="615">
        <v>11</v>
      </c>
      <c r="D11964" s="691">
        <v>10.8</v>
      </c>
      <c r="E11964" s="691">
        <v>10.8</v>
      </c>
      <c r="F11964" s="691">
        <v>10.9</v>
      </c>
      <c r="G11964" s="691">
        <v>10.9</v>
      </c>
      <c r="H11964" s="691">
        <v>11.3</v>
      </c>
      <c r="I11964" s="691">
        <v>10.5</v>
      </c>
      <c r="J11964" s="691">
        <v>10.3</v>
      </c>
      <c r="K11964" s="691">
        <v>10.9</v>
      </c>
    </row>
    <row r="11965" spans="1:11">
      <c r="A11965" s="688" t="s">
        <v>15</v>
      </c>
      <c r="B11965" s="689">
        <v>14.6</v>
      </c>
      <c r="C11965" s="689">
        <v>13.7</v>
      </c>
      <c r="D11965" s="693">
        <v>14</v>
      </c>
      <c r="E11965" s="689">
        <v>14.2</v>
      </c>
      <c r="F11965" s="689">
        <v>14.2</v>
      </c>
      <c r="G11965" s="693">
        <v>14</v>
      </c>
      <c r="H11965" s="689">
        <v>14.5</v>
      </c>
      <c r="I11965" s="689">
        <v>13.9</v>
      </c>
      <c r="J11965" s="689">
        <v>14.2</v>
      </c>
      <c r="K11965" s="689">
        <v>14.9</v>
      </c>
    </row>
    <row r="11966" spans="1:11">
      <c r="A11966" s="688" t="s">
        <v>29</v>
      </c>
      <c r="B11966" s="691">
        <v>11.1</v>
      </c>
      <c r="C11966" s="691">
        <v>11.1</v>
      </c>
      <c r="D11966" s="691">
        <v>10.9</v>
      </c>
      <c r="E11966" s="691">
        <v>11.1</v>
      </c>
      <c r="F11966" s="615">
        <v>11</v>
      </c>
      <c r="G11966" s="691">
        <v>11.1</v>
      </c>
      <c r="H11966" s="691">
        <v>11.3</v>
      </c>
      <c r="I11966" s="691">
        <v>10.7</v>
      </c>
      <c r="J11966" s="691">
        <v>10.1</v>
      </c>
      <c r="K11966" s="691">
        <v>10.9</v>
      </c>
    </row>
    <row r="11967" spans="1:11">
      <c r="A11967" s="688" t="s">
        <v>16</v>
      </c>
      <c r="B11967" s="689">
        <v>13.8</v>
      </c>
      <c r="C11967" s="689">
        <v>13.6</v>
      </c>
      <c r="D11967" s="689">
        <v>13.9</v>
      </c>
      <c r="E11967" s="689">
        <v>14.7</v>
      </c>
      <c r="F11967" s="689">
        <v>14.2</v>
      </c>
      <c r="G11967" s="689">
        <v>14.1</v>
      </c>
      <c r="H11967" s="689">
        <v>14.3</v>
      </c>
      <c r="I11967" s="689">
        <v>13.8</v>
      </c>
      <c r="J11967" s="689">
        <v>14.1</v>
      </c>
      <c r="K11967" s="689">
        <v>14.1</v>
      </c>
    </row>
    <row r="11968" spans="1:11">
      <c r="A11968" s="688" t="s">
        <v>17</v>
      </c>
      <c r="B11968" s="691">
        <v>13.7</v>
      </c>
      <c r="C11968" s="691">
        <v>13.9</v>
      </c>
      <c r="D11968" s="691">
        <v>13.7</v>
      </c>
      <c r="E11968" s="691">
        <v>13.8</v>
      </c>
      <c r="F11968" s="615">
        <v>14</v>
      </c>
      <c r="G11968" s="615">
        <v>14</v>
      </c>
      <c r="H11968" s="691">
        <v>14.2</v>
      </c>
      <c r="I11968" s="691">
        <v>13.5</v>
      </c>
      <c r="J11968" s="691">
        <v>13.6</v>
      </c>
      <c r="K11968" s="615">
        <v>14</v>
      </c>
    </row>
    <row r="11969" spans="1:11">
      <c r="A11969" s="688" t="s">
        <v>19</v>
      </c>
      <c r="B11969" s="689">
        <v>13.9</v>
      </c>
      <c r="C11969" s="693">
        <v>14</v>
      </c>
      <c r="D11969" s="689">
        <v>13.7</v>
      </c>
      <c r="E11969" s="693">
        <v>14</v>
      </c>
      <c r="F11969" s="693">
        <v>14</v>
      </c>
      <c r="G11969" s="693">
        <v>14</v>
      </c>
      <c r="H11969" s="689">
        <v>14.2</v>
      </c>
      <c r="I11969" s="689">
        <v>13.5</v>
      </c>
      <c r="J11969" s="689">
        <v>13.7</v>
      </c>
      <c r="K11969" s="689">
        <v>13.7</v>
      </c>
    </row>
    <row r="11970" spans="1:11">
      <c r="A11970" s="688" t="s">
        <v>20</v>
      </c>
      <c r="B11970" s="615">
        <v>12</v>
      </c>
      <c r="C11970" s="691">
        <v>12.2</v>
      </c>
      <c r="D11970" s="615">
        <v>12</v>
      </c>
      <c r="E11970" s="691">
        <v>12.3</v>
      </c>
      <c r="F11970" s="691">
        <v>12.2</v>
      </c>
      <c r="G11970" s="691">
        <v>12.2</v>
      </c>
      <c r="H11970" s="691">
        <v>12.5</v>
      </c>
      <c r="I11970" s="691">
        <v>11.1</v>
      </c>
      <c r="J11970" s="691">
        <v>10.7</v>
      </c>
      <c r="K11970" s="691">
        <v>11.8</v>
      </c>
    </row>
    <row r="11971" spans="1:11">
      <c r="A11971" s="688" t="s">
        <v>21</v>
      </c>
      <c r="B11971" s="689">
        <v>13.4</v>
      </c>
      <c r="C11971" s="689">
        <v>13.7</v>
      </c>
      <c r="D11971" s="689">
        <v>13.8</v>
      </c>
      <c r="E11971" s="689">
        <v>13.7</v>
      </c>
      <c r="F11971" s="693">
        <v>14</v>
      </c>
      <c r="G11971" s="693">
        <v>14</v>
      </c>
      <c r="H11971" s="689">
        <v>14.3</v>
      </c>
      <c r="I11971" s="689">
        <v>13.9</v>
      </c>
      <c r="J11971" s="689">
        <v>13.9</v>
      </c>
      <c r="K11971" s="689">
        <v>14.2</v>
      </c>
    </row>
    <row r="11972" spans="1:11">
      <c r="A11972" s="688" t="s">
        <v>22</v>
      </c>
      <c r="B11972" s="691">
        <v>11.3</v>
      </c>
      <c r="C11972" s="691">
        <v>11.1</v>
      </c>
      <c r="D11972" s="615">
        <v>11</v>
      </c>
      <c r="E11972" s="691">
        <v>11.2</v>
      </c>
      <c r="F11972" s="691">
        <v>11.2</v>
      </c>
      <c r="G11972" s="691">
        <v>11.3</v>
      </c>
      <c r="H11972" s="691">
        <v>11.6</v>
      </c>
      <c r="I11972" s="691">
        <v>10.3</v>
      </c>
      <c r="J11972" s="691">
        <v>9.5</v>
      </c>
      <c r="K11972" s="691">
        <v>10.7</v>
      </c>
    </row>
    <row r="11973" spans="1:11">
      <c r="A11973" s="688" t="s">
        <v>26</v>
      </c>
      <c r="B11973" s="689">
        <v>13.2</v>
      </c>
      <c r="C11973" s="689">
        <v>13.3</v>
      </c>
      <c r="D11973" s="689">
        <v>13.1</v>
      </c>
      <c r="E11973" s="689">
        <v>13.5</v>
      </c>
      <c r="F11973" s="689">
        <v>13.2</v>
      </c>
      <c r="G11973" s="689">
        <v>13.4</v>
      </c>
      <c r="H11973" s="689">
        <v>13.7</v>
      </c>
      <c r="I11973" s="689">
        <v>12.8</v>
      </c>
      <c r="J11973" s="689">
        <v>12.9</v>
      </c>
      <c r="K11973" s="689">
        <v>13.5</v>
      </c>
    </row>
    <row r="11974" spans="1:11">
      <c r="A11974" s="688" t="s">
        <v>25</v>
      </c>
      <c r="B11974" s="691">
        <v>11.1</v>
      </c>
      <c r="C11974" s="691">
        <v>11.4</v>
      </c>
      <c r="D11974" s="691">
        <v>11.4</v>
      </c>
      <c r="E11974" s="691">
        <v>11.7</v>
      </c>
      <c r="F11974" s="691">
        <v>11.6</v>
      </c>
      <c r="G11974" s="691">
        <v>11.8</v>
      </c>
      <c r="H11974" s="691">
        <v>12.1</v>
      </c>
      <c r="I11974" s="691">
        <v>11.2</v>
      </c>
      <c r="J11974" s="615">
        <v>10</v>
      </c>
      <c r="K11974" s="691">
        <v>11.4</v>
      </c>
    </row>
    <row r="11975" spans="1:11">
      <c r="A11975" s="688" t="s">
        <v>5</v>
      </c>
      <c r="B11975" s="689">
        <v>13.8</v>
      </c>
      <c r="C11975" s="689">
        <v>13.7</v>
      </c>
      <c r="D11975" s="689">
        <v>13.8</v>
      </c>
      <c r="E11975" s="689">
        <v>13.7</v>
      </c>
      <c r="F11975" s="689">
        <v>13.9</v>
      </c>
      <c r="G11975" s="693">
        <v>14</v>
      </c>
      <c r="H11975" s="689">
        <v>14.2</v>
      </c>
      <c r="I11975" s="689">
        <v>14.2</v>
      </c>
      <c r="J11975" s="689">
        <v>14.1</v>
      </c>
      <c r="K11975" s="689">
        <v>13.6</v>
      </c>
    </row>
    <row r="11976" spans="1:11">
      <c r="A11976" s="688" t="s">
        <v>23</v>
      </c>
      <c r="B11976" s="691">
        <v>14.1</v>
      </c>
      <c r="C11976" s="691">
        <v>14.2</v>
      </c>
      <c r="D11976" s="691">
        <v>14.2</v>
      </c>
      <c r="E11976" s="691">
        <v>14.4</v>
      </c>
      <c r="F11976" s="691">
        <v>14.4</v>
      </c>
      <c r="G11976" s="691">
        <v>14.5</v>
      </c>
      <c r="H11976" s="691">
        <v>14.8</v>
      </c>
      <c r="I11976" s="691">
        <v>14.2</v>
      </c>
      <c r="J11976" s="691">
        <v>14.8</v>
      </c>
      <c r="K11976" s="691">
        <v>14.8</v>
      </c>
    </row>
    <row r="11977" spans="1:11">
      <c r="A11977" s="688" t="s">
        <v>4067</v>
      </c>
      <c r="B11977" s="689">
        <v>13.7</v>
      </c>
      <c r="C11977" s="693">
        <v>14</v>
      </c>
      <c r="D11977" s="689">
        <v>13.7</v>
      </c>
      <c r="E11977" s="693">
        <v>14</v>
      </c>
      <c r="F11977" s="693">
        <v>14</v>
      </c>
      <c r="G11977" s="689">
        <v>14.1</v>
      </c>
      <c r="H11977" s="690" t="s">
        <v>4060</v>
      </c>
      <c r="I11977" s="690" t="s">
        <v>4060</v>
      </c>
      <c r="J11977" s="690" t="s">
        <v>4060</v>
      </c>
      <c r="K11977" s="690" t="s">
        <v>4060</v>
      </c>
    </row>
    <row r="11978" spans="1:11">
      <c r="A11978" s="688" t="s">
        <v>4066</v>
      </c>
      <c r="B11978" s="691">
        <v>13.7</v>
      </c>
      <c r="C11978" s="615">
        <v>14</v>
      </c>
      <c r="D11978" s="691">
        <v>13.7</v>
      </c>
      <c r="E11978" s="615">
        <v>14</v>
      </c>
      <c r="F11978" s="615">
        <v>14</v>
      </c>
      <c r="G11978" s="691">
        <v>14.1</v>
      </c>
      <c r="H11978" s="692" t="s">
        <v>4060</v>
      </c>
      <c r="I11978" s="692" t="s">
        <v>4060</v>
      </c>
      <c r="J11978" s="692" t="s">
        <v>4060</v>
      </c>
      <c r="K11978" s="692" t="s">
        <v>4060</v>
      </c>
    </row>
    <row r="11979" spans="1:11">
      <c r="A11979" s="688" t="s">
        <v>4062</v>
      </c>
      <c r="B11979" s="689">
        <v>14.4</v>
      </c>
      <c r="C11979" s="689">
        <v>14.5</v>
      </c>
      <c r="D11979" s="689">
        <v>14.4</v>
      </c>
      <c r="E11979" s="689">
        <v>14.8</v>
      </c>
      <c r="F11979" s="689">
        <v>14.8</v>
      </c>
      <c r="G11979" s="693">
        <v>15</v>
      </c>
      <c r="H11979" s="689">
        <v>15.1</v>
      </c>
      <c r="I11979" s="689">
        <v>14.6</v>
      </c>
      <c r="J11979" s="689">
        <v>15.1</v>
      </c>
      <c r="K11979" s="689">
        <v>14.8</v>
      </c>
    </row>
    <row r="11980" spans="1:11">
      <c r="A11980" s="688" t="s">
        <v>9</v>
      </c>
      <c r="B11980" s="691">
        <v>14.3</v>
      </c>
      <c r="C11980" s="691">
        <v>14.5</v>
      </c>
      <c r="D11980" s="691">
        <v>14.6</v>
      </c>
      <c r="E11980" s="691">
        <v>13.9</v>
      </c>
      <c r="F11980" s="691">
        <v>14.7</v>
      </c>
      <c r="G11980" s="615">
        <v>15</v>
      </c>
      <c r="H11980" s="691">
        <v>15.1</v>
      </c>
      <c r="I11980" s="691">
        <v>15.2</v>
      </c>
      <c r="J11980" s="691">
        <v>15.5</v>
      </c>
      <c r="K11980" s="691">
        <v>14.5</v>
      </c>
    </row>
    <row r="11981" spans="1:11">
      <c r="A11981" s="688" t="s">
        <v>13</v>
      </c>
      <c r="B11981" s="693">
        <v>14</v>
      </c>
      <c r="C11981" s="689">
        <v>14.9</v>
      </c>
      <c r="D11981" s="689">
        <v>14.4</v>
      </c>
      <c r="E11981" s="689">
        <v>13.3</v>
      </c>
      <c r="F11981" s="689">
        <v>15.8</v>
      </c>
      <c r="G11981" s="689">
        <v>13.7</v>
      </c>
      <c r="H11981" s="689">
        <v>15.5</v>
      </c>
      <c r="I11981" s="689">
        <v>13.5</v>
      </c>
      <c r="J11981" s="693">
        <v>16</v>
      </c>
      <c r="K11981" s="689">
        <v>16.2</v>
      </c>
    </row>
    <row r="11982" spans="1:11">
      <c r="A11982" s="688" t="s">
        <v>18</v>
      </c>
      <c r="B11982" s="615">
        <v>14</v>
      </c>
      <c r="C11982" s="615">
        <v>14</v>
      </c>
      <c r="D11982" s="691">
        <v>14.1</v>
      </c>
      <c r="E11982" s="691">
        <v>14.4</v>
      </c>
      <c r="F11982" s="691">
        <v>14.5</v>
      </c>
      <c r="G11982" s="691">
        <v>14.6</v>
      </c>
      <c r="H11982" s="691">
        <v>14.8</v>
      </c>
      <c r="I11982" s="691">
        <v>14.9</v>
      </c>
      <c r="J11982" s="691">
        <v>14.9</v>
      </c>
      <c r="K11982" s="691">
        <v>14.4</v>
      </c>
    </row>
    <row r="11983" spans="1:11">
      <c r="A11983" s="688" t="s">
        <v>24</v>
      </c>
      <c r="B11983" s="689">
        <v>14.7</v>
      </c>
      <c r="C11983" s="689">
        <v>14.8</v>
      </c>
      <c r="D11983" s="689">
        <v>14.6</v>
      </c>
      <c r="E11983" s="689">
        <v>15.1</v>
      </c>
      <c r="F11983" s="693">
        <v>15</v>
      </c>
      <c r="G11983" s="689">
        <v>15.2</v>
      </c>
      <c r="H11983" s="689">
        <v>15.3</v>
      </c>
      <c r="I11983" s="689">
        <v>14.5</v>
      </c>
      <c r="J11983" s="689">
        <v>15.2</v>
      </c>
      <c r="K11983" s="689">
        <v>15.1</v>
      </c>
    </row>
    <row r="11984" spans="1:11">
      <c r="A11984" s="688" t="s">
        <v>4059</v>
      </c>
      <c r="B11984" s="691">
        <v>14.1</v>
      </c>
      <c r="C11984" s="691">
        <v>14.3</v>
      </c>
      <c r="D11984" s="691">
        <v>14.1</v>
      </c>
      <c r="E11984" s="691">
        <v>14.3</v>
      </c>
      <c r="F11984" s="691">
        <v>14.3</v>
      </c>
      <c r="G11984" s="691">
        <v>14.4</v>
      </c>
      <c r="H11984" s="692" t="s">
        <v>4060</v>
      </c>
      <c r="I11984" s="692" t="s">
        <v>4060</v>
      </c>
      <c r="J11984" s="692" t="s">
        <v>4060</v>
      </c>
      <c r="K11984" s="692" t="s">
        <v>4060</v>
      </c>
    </row>
    <row r="11985" spans="1:11">
      <c r="A11985" s="688" t="s">
        <v>2324</v>
      </c>
      <c r="B11985" s="689">
        <v>11.3</v>
      </c>
      <c r="C11985" s="689">
        <v>11.4</v>
      </c>
      <c r="D11985" s="689">
        <v>11.3</v>
      </c>
      <c r="E11985" s="689">
        <v>11.1</v>
      </c>
      <c r="F11985" s="689">
        <v>11.1</v>
      </c>
      <c r="G11985" s="689">
        <v>11.4</v>
      </c>
      <c r="H11985" s="689">
        <v>11.4</v>
      </c>
      <c r="I11985" s="689">
        <v>10.3</v>
      </c>
      <c r="J11985" s="693">
        <v>9</v>
      </c>
      <c r="K11985" s="690" t="s">
        <v>4060</v>
      </c>
    </row>
    <row r="11986" spans="1:11">
      <c r="A11986" s="688" t="s">
        <v>2322</v>
      </c>
      <c r="B11986" s="692" t="s">
        <v>4060</v>
      </c>
      <c r="C11986" s="692" t="s">
        <v>4060</v>
      </c>
      <c r="D11986" s="692" t="s">
        <v>4060</v>
      </c>
      <c r="E11986" s="692" t="s">
        <v>4060</v>
      </c>
      <c r="F11986" s="692" t="s">
        <v>4060</v>
      </c>
      <c r="G11986" s="692" t="s">
        <v>4060</v>
      </c>
      <c r="H11986" s="692" t="s">
        <v>4060</v>
      </c>
      <c r="I11986" s="692" t="s">
        <v>4060</v>
      </c>
      <c r="J11986" s="692" t="s">
        <v>4060</v>
      </c>
      <c r="K11986" s="692" t="s">
        <v>4060</v>
      </c>
    </row>
    <row r="11987" spans="1:11">
      <c r="A11987" s="688" t="s">
        <v>2328</v>
      </c>
      <c r="B11987" s="689">
        <v>10.5</v>
      </c>
      <c r="C11987" s="689">
        <v>10.7</v>
      </c>
      <c r="D11987" s="689">
        <v>10.5</v>
      </c>
      <c r="E11987" s="689">
        <v>10.6</v>
      </c>
      <c r="F11987" s="689">
        <v>10.7</v>
      </c>
      <c r="G11987" s="689">
        <v>11.1</v>
      </c>
      <c r="H11987" s="689">
        <v>10.9</v>
      </c>
      <c r="I11987" s="689">
        <v>9.5</v>
      </c>
      <c r="J11987" s="689">
        <v>9.1</v>
      </c>
      <c r="K11987" s="690" t="s">
        <v>4060</v>
      </c>
    </row>
    <row r="11988" spans="1:11">
      <c r="A11988" s="688" t="s">
        <v>2496</v>
      </c>
      <c r="B11988" s="692" t="s">
        <v>4060</v>
      </c>
      <c r="C11988" s="691">
        <v>11.1</v>
      </c>
      <c r="D11988" s="691">
        <v>10.1</v>
      </c>
      <c r="E11988" s="691">
        <v>9.6</v>
      </c>
      <c r="F11988" s="691">
        <v>9.9</v>
      </c>
      <c r="G11988" s="691">
        <v>10.199999999999999</v>
      </c>
      <c r="H11988" s="691">
        <v>10.199999999999999</v>
      </c>
      <c r="I11988" s="692" t="s">
        <v>4060</v>
      </c>
      <c r="J11988" s="692" t="s">
        <v>4060</v>
      </c>
      <c r="K11988" s="691">
        <v>9.6</v>
      </c>
    </row>
    <row r="11989" spans="1:11">
      <c r="A11989" s="688" t="s">
        <v>2269</v>
      </c>
      <c r="B11989" s="689">
        <v>12.2</v>
      </c>
      <c r="C11989" s="689">
        <v>12.3</v>
      </c>
      <c r="D11989" s="689">
        <v>11.9</v>
      </c>
      <c r="E11989" s="689">
        <v>12.4</v>
      </c>
      <c r="F11989" s="689">
        <v>12.6</v>
      </c>
      <c r="G11989" s="689">
        <v>12.8</v>
      </c>
      <c r="H11989" s="693">
        <v>13</v>
      </c>
      <c r="I11989" s="689">
        <v>11.4</v>
      </c>
      <c r="J11989" s="689">
        <v>9.6999999999999993</v>
      </c>
      <c r="K11989" s="689">
        <v>12.8</v>
      </c>
    </row>
    <row r="11990" spans="1:11">
      <c r="A11990" s="688" t="s">
        <v>2349</v>
      </c>
      <c r="B11990" s="691">
        <v>10.7</v>
      </c>
      <c r="C11990" s="691">
        <v>10.8</v>
      </c>
      <c r="D11990" s="691">
        <v>10.8</v>
      </c>
      <c r="E11990" s="615">
        <v>11</v>
      </c>
      <c r="F11990" s="615">
        <v>11</v>
      </c>
      <c r="G11990" s="691">
        <v>11.1</v>
      </c>
      <c r="H11990" s="691">
        <v>11.3</v>
      </c>
      <c r="I11990" s="691">
        <v>10.199999999999999</v>
      </c>
      <c r="J11990" s="691">
        <v>9.1</v>
      </c>
      <c r="K11990" s="691">
        <v>10.5</v>
      </c>
    </row>
    <row r="11991" spans="1:11">
      <c r="A11991" s="688" t="s">
        <v>2355</v>
      </c>
      <c r="B11991" s="689">
        <v>12.3</v>
      </c>
      <c r="C11991" s="689">
        <v>12.2</v>
      </c>
      <c r="D11991" s="689">
        <v>12.1</v>
      </c>
      <c r="E11991" s="689">
        <v>12.1</v>
      </c>
      <c r="F11991" s="689">
        <v>12.2</v>
      </c>
      <c r="G11991" s="689">
        <v>12.5</v>
      </c>
      <c r="H11991" s="689">
        <v>12.6</v>
      </c>
      <c r="I11991" s="690" t="s">
        <v>4060</v>
      </c>
      <c r="J11991" s="690" t="s">
        <v>4060</v>
      </c>
      <c r="K11991" s="690" t="s">
        <v>4060</v>
      </c>
    </row>
    <row r="11992" spans="1:11">
      <c r="A11992" s="688" t="s">
        <v>2357</v>
      </c>
      <c r="B11992" s="692" t="s">
        <v>4060</v>
      </c>
      <c r="C11992" s="691">
        <v>10.1</v>
      </c>
      <c r="D11992" s="691">
        <v>10.199999999999999</v>
      </c>
      <c r="E11992" s="691">
        <v>10.4</v>
      </c>
      <c r="F11992" s="691">
        <v>10.6</v>
      </c>
      <c r="G11992" s="691">
        <v>10.4</v>
      </c>
      <c r="H11992" s="691">
        <v>10.5</v>
      </c>
      <c r="I11992" s="692" t="s">
        <v>4060</v>
      </c>
      <c r="J11992" s="692" t="s">
        <v>4060</v>
      </c>
      <c r="K11992" s="692" t="s">
        <v>4060</v>
      </c>
    </row>
    <row r="11993" spans="1:11">
      <c r="A11993" s="688" t="s">
        <v>4070</v>
      </c>
      <c r="B11993" s="690" t="s">
        <v>4060</v>
      </c>
      <c r="C11993" s="690" t="s">
        <v>4060</v>
      </c>
      <c r="D11993" s="690" t="s">
        <v>4060</v>
      </c>
      <c r="E11993" s="689">
        <v>11.6</v>
      </c>
      <c r="F11993" s="690" t="s">
        <v>4060</v>
      </c>
      <c r="G11993" s="690" t="s">
        <v>4060</v>
      </c>
      <c r="H11993" s="690" t="s">
        <v>4060</v>
      </c>
      <c r="I11993" s="690" t="s">
        <v>4060</v>
      </c>
      <c r="J11993" s="690" t="s">
        <v>4060</v>
      </c>
      <c r="K11993" s="690" t="s">
        <v>4060</v>
      </c>
    </row>
    <row r="11994" spans="1:11">
      <c r="A11994" s="688" t="s">
        <v>2491</v>
      </c>
      <c r="B11994" s="691">
        <v>9.6</v>
      </c>
      <c r="C11994" s="691">
        <v>9.8000000000000007</v>
      </c>
      <c r="D11994" s="691">
        <v>9.9</v>
      </c>
      <c r="E11994" s="691">
        <v>9.9</v>
      </c>
      <c r="F11994" s="691">
        <v>9.9</v>
      </c>
      <c r="G11994" s="615">
        <v>10</v>
      </c>
      <c r="H11994" s="692" t="s">
        <v>4060</v>
      </c>
      <c r="I11994" s="692" t="s">
        <v>4060</v>
      </c>
      <c r="J11994" s="692" t="s">
        <v>4060</v>
      </c>
      <c r="K11994" s="692" t="s">
        <v>4060</v>
      </c>
    </row>
    <row r="11995" spans="1:11">
      <c r="A11995" s="688" t="s">
        <v>2343</v>
      </c>
      <c r="B11995" s="690" t="s">
        <v>4060</v>
      </c>
      <c r="C11995" s="690" t="s">
        <v>4060</v>
      </c>
      <c r="D11995" s="690" t="s">
        <v>4060</v>
      </c>
      <c r="E11995" s="690" t="s">
        <v>4060</v>
      </c>
      <c r="F11995" s="690" t="s">
        <v>4060</v>
      </c>
      <c r="G11995" s="690" t="s">
        <v>4060</v>
      </c>
      <c r="H11995" s="690" t="s">
        <v>4060</v>
      </c>
      <c r="I11995" s="690" t="s">
        <v>4060</v>
      </c>
      <c r="J11995" s="690" t="s">
        <v>4060</v>
      </c>
      <c r="K11995" s="690" t="s">
        <v>4060</v>
      </c>
    </row>
    <row r="11996" spans="1:11">
      <c r="A11996" s="688" t="s">
        <v>4071</v>
      </c>
      <c r="B11996" s="692" t="s">
        <v>4060</v>
      </c>
      <c r="C11996" s="692" t="s">
        <v>4060</v>
      </c>
      <c r="D11996" s="692" t="s">
        <v>4060</v>
      </c>
      <c r="E11996" s="692" t="s">
        <v>4060</v>
      </c>
      <c r="F11996" s="692" t="s">
        <v>4060</v>
      </c>
      <c r="G11996" s="692" t="s">
        <v>4060</v>
      </c>
      <c r="H11996" s="692" t="s">
        <v>4060</v>
      </c>
      <c r="I11996" s="692" t="s">
        <v>4060</v>
      </c>
      <c r="J11996" s="692" t="s">
        <v>4060</v>
      </c>
      <c r="K11996" s="692" t="s">
        <v>4060</v>
      </c>
    </row>
    <row r="11997" spans="1:11">
      <c r="A11997" s="688" t="s">
        <v>2489</v>
      </c>
      <c r="B11997" s="690" t="s">
        <v>4060</v>
      </c>
      <c r="C11997" s="690" t="s">
        <v>4060</v>
      </c>
      <c r="D11997" s="689">
        <v>10.9</v>
      </c>
      <c r="E11997" s="689">
        <v>10.9</v>
      </c>
      <c r="F11997" s="689">
        <v>11.3</v>
      </c>
      <c r="G11997" s="689">
        <v>11.6</v>
      </c>
      <c r="H11997" s="689">
        <v>11.9</v>
      </c>
      <c r="I11997" s="690" t="s">
        <v>4060</v>
      </c>
      <c r="J11997" s="690" t="s">
        <v>4060</v>
      </c>
      <c r="K11997" s="690" t="s">
        <v>4060</v>
      </c>
    </row>
    <row r="11998" spans="1:11">
      <c r="A11998" s="688" t="s">
        <v>2490</v>
      </c>
      <c r="B11998" s="691">
        <v>11.1</v>
      </c>
      <c r="C11998" s="615">
        <v>11</v>
      </c>
      <c r="D11998" s="691">
        <v>11.8</v>
      </c>
      <c r="E11998" s="692" t="s">
        <v>4060</v>
      </c>
      <c r="F11998" s="691">
        <v>12.3</v>
      </c>
      <c r="G11998" s="615">
        <v>12</v>
      </c>
      <c r="H11998" s="691">
        <v>12.9</v>
      </c>
      <c r="I11998" s="692" t="s">
        <v>4060</v>
      </c>
      <c r="J11998" s="692" t="s">
        <v>4060</v>
      </c>
      <c r="K11998" s="692" t="s">
        <v>4060</v>
      </c>
    </row>
    <row r="12000" spans="1:11">
      <c r="A12000" s="683" t="s">
        <v>4233</v>
      </c>
    </row>
    <row r="12001" spans="1:11">
      <c r="A12001" s="683" t="s">
        <v>4060</v>
      </c>
      <c r="B12001" s="682" t="s">
        <v>4234</v>
      </c>
    </row>
    <row r="12003" spans="1:11">
      <c r="A12003" s="682" t="s">
        <v>4331</v>
      </c>
    </row>
    <row r="12004" spans="1:11">
      <c r="A12004" s="682" t="s">
        <v>4210</v>
      </c>
      <c r="B12004" s="683" t="s">
        <v>4211</v>
      </c>
    </row>
    <row r="12005" spans="1:11">
      <c r="A12005" s="682" t="s">
        <v>4212</v>
      </c>
      <c r="B12005" s="682" t="s">
        <v>4213</v>
      </c>
    </row>
    <row r="12007" spans="1:11">
      <c r="A12007" s="683" t="s">
        <v>4214</v>
      </c>
      <c r="C12007" s="682" t="s">
        <v>4215</v>
      </c>
    </row>
    <row r="12008" spans="1:11">
      <c r="A12008" s="683" t="s">
        <v>4216</v>
      </c>
      <c r="C12008" s="682" t="s">
        <v>2967</v>
      </c>
    </row>
    <row r="12009" spans="1:11">
      <c r="A12009" s="683" t="s">
        <v>3893</v>
      </c>
      <c r="C12009" s="682" t="s">
        <v>2168</v>
      </c>
    </row>
    <row r="12010" spans="1:11">
      <c r="A12010" s="683" t="s">
        <v>4218</v>
      </c>
      <c r="C12010" s="682" t="s">
        <v>4306</v>
      </c>
    </row>
    <row r="12012" spans="1:11">
      <c r="A12012" s="684" t="s">
        <v>4220</v>
      </c>
      <c r="B12012" s="685" t="s">
        <v>4221</v>
      </c>
      <c r="C12012" s="685" t="s">
        <v>4222</v>
      </c>
      <c r="D12012" s="685" t="s">
        <v>4223</v>
      </c>
      <c r="E12012" s="685" t="s">
        <v>4224</v>
      </c>
      <c r="F12012" s="685" t="s">
        <v>4225</v>
      </c>
      <c r="G12012" s="685" t="s">
        <v>4226</v>
      </c>
      <c r="H12012" s="685" t="s">
        <v>4227</v>
      </c>
      <c r="I12012" s="685" t="s">
        <v>4228</v>
      </c>
      <c r="J12012" s="685" t="s">
        <v>4229</v>
      </c>
      <c r="K12012" s="685" t="s">
        <v>4230</v>
      </c>
    </row>
    <row r="12013" spans="1:11">
      <c r="A12013" s="686" t="s">
        <v>4231</v>
      </c>
      <c r="B12013" s="687" t="s">
        <v>4232</v>
      </c>
      <c r="C12013" s="687" t="s">
        <v>4232</v>
      </c>
      <c r="D12013" s="687" t="s">
        <v>4232</v>
      </c>
      <c r="E12013" s="687" t="s">
        <v>4232</v>
      </c>
      <c r="F12013" s="687" t="s">
        <v>4232</v>
      </c>
      <c r="G12013" s="687" t="s">
        <v>4232</v>
      </c>
      <c r="H12013" s="687" t="s">
        <v>4232</v>
      </c>
      <c r="I12013" s="687" t="s">
        <v>4232</v>
      </c>
      <c r="J12013" s="687" t="s">
        <v>4232</v>
      </c>
      <c r="K12013" s="687" t="s">
        <v>4232</v>
      </c>
    </row>
    <row r="12014" spans="1:11">
      <c r="A12014" s="688" t="s">
        <v>4064</v>
      </c>
      <c r="B12014" s="615">
        <v>13</v>
      </c>
      <c r="C12014" s="615">
        <v>13</v>
      </c>
      <c r="D12014" s="615">
        <v>13</v>
      </c>
      <c r="E12014" s="615">
        <v>13</v>
      </c>
      <c r="F12014" s="615">
        <v>13</v>
      </c>
      <c r="G12014" s="691">
        <v>13.1</v>
      </c>
      <c r="H12014" s="691">
        <v>13.3</v>
      </c>
      <c r="I12014" s="691">
        <v>12.6</v>
      </c>
      <c r="J12014" s="691">
        <v>12.6</v>
      </c>
      <c r="K12014" s="691">
        <v>12.9</v>
      </c>
    </row>
    <row r="12015" spans="1:11">
      <c r="A12015" s="688" t="s">
        <v>4065</v>
      </c>
      <c r="B12015" s="693">
        <v>13</v>
      </c>
      <c r="C12015" s="689">
        <v>13.3</v>
      </c>
      <c r="D12015" s="693">
        <v>13</v>
      </c>
      <c r="E12015" s="689">
        <v>13.3</v>
      </c>
      <c r="F12015" s="689">
        <v>13.3</v>
      </c>
      <c r="G12015" s="689">
        <v>13.4</v>
      </c>
      <c r="H12015" s="690" t="s">
        <v>4060</v>
      </c>
      <c r="I12015" s="690" t="s">
        <v>4060</v>
      </c>
      <c r="J12015" s="690" t="s">
        <v>4060</v>
      </c>
      <c r="K12015" s="690" t="s">
        <v>4060</v>
      </c>
    </row>
    <row r="12016" spans="1:11">
      <c r="A12016" s="688" t="s">
        <v>4063</v>
      </c>
      <c r="B12016" s="615">
        <v>13</v>
      </c>
      <c r="C12016" s="691">
        <v>13.3</v>
      </c>
      <c r="D12016" s="691">
        <v>13.1</v>
      </c>
      <c r="E12016" s="691">
        <v>13.4</v>
      </c>
      <c r="F12016" s="691">
        <v>13.3</v>
      </c>
      <c r="G12016" s="691">
        <v>13.4</v>
      </c>
      <c r="H12016" s="692" t="s">
        <v>4060</v>
      </c>
      <c r="I12016" s="692" t="s">
        <v>4060</v>
      </c>
      <c r="J12016" s="692" t="s">
        <v>4060</v>
      </c>
      <c r="K12016" s="692" t="s">
        <v>4060</v>
      </c>
    </row>
    <row r="12017" spans="1:11">
      <c r="A12017" s="688" t="s">
        <v>4069</v>
      </c>
      <c r="B12017" s="690" t="s">
        <v>4060</v>
      </c>
      <c r="C12017" s="689">
        <v>13.4</v>
      </c>
      <c r="D12017" s="689">
        <v>13.2</v>
      </c>
      <c r="E12017" s="689">
        <v>13.4</v>
      </c>
      <c r="F12017" s="689">
        <v>13.4</v>
      </c>
      <c r="G12017" s="689">
        <v>13.5</v>
      </c>
      <c r="H12017" s="689">
        <v>13.7</v>
      </c>
      <c r="I12017" s="689">
        <v>13.1</v>
      </c>
      <c r="J12017" s="689">
        <v>13.2</v>
      </c>
      <c r="K12017" s="689">
        <v>13.3</v>
      </c>
    </row>
    <row r="12018" spans="1:11">
      <c r="A12018" s="688" t="s">
        <v>4068</v>
      </c>
      <c r="B12018" s="691">
        <v>13.4</v>
      </c>
      <c r="C12018" s="692" t="s">
        <v>4060</v>
      </c>
      <c r="D12018" s="692" t="s">
        <v>4060</v>
      </c>
      <c r="E12018" s="692" t="s">
        <v>4060</v>
      </c>
      <c r="F12018" s="692" t="s">
        <v>4060</v>
      </c>
      <c r="G12018" s="692" t="s">
        <v>4060</v>
      </c>
      <c r="H12018" s="692" t="s">
        <v>4060</v>
      </c>
      <c r="I12018" s="692" t="s">
        <v>4060</v>
      </c>
      <c r="J12018" s="692" t="s">
        <v>4060</v>
      </c>
      <c r="K12018" s="692" t="s">
        <v>4060</v>
      </c>
    </row>
    <row r="12019" spans="1:11">
      <c r="A12019" s="688" t="s">
        <v>0</v>
      </c>
      <c r="B12019" s="689">
        <v>12.9</v>
      </c>
      <c r="C12019" s="689">
        <v>13.2</v>
      </c>
      <c r="D12019" s="693">
        <v>13</v>
      </c>
      <c r="E12019" s="689">
        <v>13.2</v>
      </c>
      <c r="F12019" s="689">
        <v>13.3</v>
      </c>
      <c r="G12019" s="689">
        <v>13.4</v>
      </c>
      <c r="H12019" s="689">
        <v>13.6</v>
      </c>
      <c r="I12019" s="689">
        <v>12.6</v>
      </c>
      <c r="J12019" s="689">
        <v>13.4</v>
      </c>
      <c r="K12019" s="689">
        <v>13.5</v>
      </c>
    </row>
    <row r="12020" spans="1:11">
      <c r="A12020" s="688" t="s">
        <v>1</v>
      </c>
      <c r="B12020" s="691">
        <v>10.4</v>
      </c>
      <c r="C12020" s="691">
        <v>10.1</v>
      </c>
      <c r="D12020" s="615">
        <v>10</v>
      </c>
      <c r="E12020" s="691">
        <v>10.199999999999999</v>
      </c>
      <c r="F12020" s="691">
        <v>10.1</v>
      </c>
      <c r="G12020" s="691">
        <v>10.1</v>
      </c>
      <c r="H12020" s="691">
        <v>10.199999999999999</v>
      </c>
      <c r="I12020" s="691">
        <v>9.1</v>
      </c>
      <c r="J12020" s="691">
        <v>8.1999999999999993</v>
      </c>
      <c r="K12020" s="691">
        <v>9.5</v>
      </c>
    </row>
    <row r="12021" spans="1:11">
      <c r="A12021" s="688" t="s">
        <v>2240</v>
      </c>
      <c r="B12021" s="689">
        <v>11.3</v>
      </c>
      <c r="C12021" s="689">
        <v>11.5</v>
      </c>
      <c r="D12021" s="689">
        <v>11.4</v>
      </c>
      <c r="E12021" s="689">
        <v>11.6</v>
      </c>
      <c r="F12021" s="689">
        <v>11.6</v>
      </c>
      <c r="G12021" s="689">
        <v>11.6</v>
      </c>
      <c r="H12021" s="689">
        <v>11.8</v>
      </c>
      <c r="I12021" s="689">
        <v>10.7</v>
      </c>
      <c r="J12021" s="689">
        <v>10.3</v>
      </c>
      <c r="K12021" s="689">
        <v>11.5</v>
      </c>
    </row>
    <row r="12022" spans="1:11">
      <c r="A12022" s="688" t="s">
        <v>2</v>
      </c>
      <c r="B12022" s="691">
        <v>12.7</v>
      </c>
      <c r="C12022" s="691">
        <v>12.9</v>
      </c>
      <c r="D12022" s="691">
        <v>12.9</v>
      </c>
      <c r="E12022" s="691">
        <v>13.1</v>
      </c>
      <c r="F12022" s="615">
        <v>13</v>
      </c>
      <c r="G12022" s="691">
        <v>12.9</v>
      </c>
      <c r="H12022" s="691">
        <v>13.3</v>
      </c>
      <c r="I12022" s="691">
        <v>13.3</v>
      </c>
      <c r="J12022" s="691">
        <v>13.1</v>
      </c>
      <c r="K12022" s="615">
        <v>13</v>
      </c>
    </row>
    <row r="12023" spans="1:11">
      <c r="A12023" s="688" t="s">
        <v>3</v>
      </c>
      <c r="B12023" s="689">
        <v>12.8</v>
      </c>
      <c r="C12023" s="693">
        <v>13</v>
      </c>
      <c r="D12023" s="689">
        <v>12.8</v>
      </c>
      <c r="E12023" s="693">
        <v>13</v>
      </c>
      <c r="F12023" s="693">
        <v>13</v>
      </c>
      <c r="G12023" s="693">
        <v>13</v>
      </c>
      <c r="H12023" s="689">
        <v>13.2</v>
      </c>
      <c r="I12023" s="693">
        <v>13</v>
      </c>
      <c r="J12023" s="689">
        <v>12.9</v>
      </c>
      <c r="K12023" s="689">
        <v>12.6</v>
      </c>
    </row>
    <row r="12024" spans="1:11">
      <c r="A12024" s="688" t="s">
        <v>4061</v>
      </c>
      <c r="B12024" s="691">
        <v>12.8</v>
      </c>
      <c r="C12024" s="615">
        <v>13</v>
      </c>
      <c r="D12024" s="691">
        <v>12.8</v>
      </c>
      <c r="E12024" s="615">
        <v>13</v>
      </c>
      <c r="F12024" s="615">
        <v>13</v>
      </c>
      <c r="G12024" s="615">
        <v>13</v>
      </c>
      <c r="H12024" s="691">
        <v>13.2</v>
      </c>
      <c r="I12024" s="615">
        <v>13</v>
      </c>
      <c r="J12024" s="691">
        <v>12.9</v>
      </c>
      <c r="K12024" s="691">
        <v>12.6</v>
      </c>
    </row>
    <row r="12025" spans="1:11">
      <c r="A12025" s="688" t="s">
        <v>4</v>
      </c>
      <c r="B12025" s="689">
        <v>11.2</v>
      </c>
      <c r="C12025" s="693">
        <v>11</v>
      </c>
      <c r="D12025" s="689">
        <v>11.3</v>
      </c>
      <c r="E12025" s="689">
        <v>11.4</v>
      </c>
      <c r="F12025" s="689">
        <v>11.4</v>
      </c>
      <c r="G12025" s="689">
        <v>11.5</v>
      </c>
      <c r="H12025" s="689">
        <v>11.7</v>
      </c>
      <c r="I12025" s="689">
        <v>11.8</v>
      </c>
      <c r="J12025" s="689">
        <v>10.6</v>
      </c>
      <c r="K12025" s="689">
        <v>11.1</v>
      </c>
    </row>
    <row r="12026" spans="1:11">
      <c r="A12026" s="688" t="s">
        <v>8</v>
      </c>
      <c r="B12026" s="691">
        <v>12.9</v>
      </c>
      <c r="C12026" s="615">
        <v>13</v>
      </c>
      <c r="D12026" s="615">
        <v>13</v>
      </c>
      <c r="E12026" s="615">
        <v>13</v>
      </c>
      <c r="F12026" s="691">
        <v>13.4</v>
      </c>
      <c r="G12026" s="691">
        <v>13.5</v>
      </c>
      <c r="H12026" s="691">
        <v>13.6</v>
      </c>
      <c r="I12026" s="691">
        <v>13.6</v>
      </c>
      <c r="J12026" s="691">
        <v>13.4</v>
      </c>
      <c r="K12026" s="691">
        <v>13.7</v>
      </c>
    </row>
    <row r="12027" spans="1:11">
      <c r="A12027" s="688" t="s">
        <v>7</v>
      </c>
      <c r="B12027" s="689">
        <v>13.7</v>
      </c>
      <c r="C12027" s="689">
        <v>13.1</v>
      </c>
      <c r="D12027" s="689">
        <v>12.9</v>
      </c>
      <c r="E12027" s="689">
        <v>13.1</v>
      </c>
      <c r="F12027" s="689">
        <v>13.1</v>
      </c>
      <c r="G12027" s="689">
        <v>13.4</v>
      </c>
      <c r="H12027" s="689">
        <v>13.3</v>
      </c>
      <c r="I12027" s="689">
        <v>13.2</v>
      </c>
      <c r="J12027" s="689">
        <v>12.6</v>
      </c>
      <c r="K12027" s="689">
        <v>12.9</v>
      </c>
    </row>
    <row r="12028" spans="1:11">
      <c r="A12028" s="688" t="s">
        <v>27</v>
      </c>
      <c r="B12028" s="615">
        <v>14</v>
      </c>
      <c r="C12028" s="691">
        <v>13.8</v>
      </c>
      <c r="D12028" s="691">
        <v>13.6</v>
      </c>
      <c r="E12028" s="691">
        <v>13.9</v>
      </c>
      <c r="F12028" s="691">
        <v>13.9</v>
      </c>
      <c r="G12028" s="691">
        <v>13.9</v>
      </c>
      <c r="H12028" s="691">
        <v>14.2</v>
      </c>
      <c r="I12028" s="691">
        <v>13.1</v>
      </c>
      <c r="J12028" s="691">
        <v>13.8</v>
      </c>
      <c r="K12028" s="691">
        <v>13.9</v>
      </c>
    </row>
    <row r="12029" spans="1:11">
      <c r="A12029" s="688" t="s">
        <v>6</v>
      </c>
      <c r="B12029" s="689">
        <v>14.3</v>
      </c>
      <c r="C12029" s="689">
        <v>14.3</v>
      </c>
      <c r="D12029" s="689">
        <v>14.1</v>
      </c>
      <c r="E12029" s="689">
        <v>14.3</v>
      </c>
      <c r="F12029" s="689">
        <v>14.3</v>
      </c>
      <c r="G12029" s="689">
        <v>14.4</v>
      </c>
      <c r="H12029" s="689">
        <v>14.5</v>
      </c>
      <c r="I12029" s="689">
        <v>13.9</v>
      </c>
      <c r="J12029" s="689">
        <v>14.1</v>
      </c>
      <c r="K12029" s="689">
        <v>14.2</v>
      </c>
    </row>
    <row r="12030" spans="1:11">
      <c r="A12030" s="688" t="s">
        <v>4058</v>
      </c>
      <c r="B12030" s="692" t="s">
        <v>4060</v>
      </c>
      <c r="C12030" s="692" t="s">
        <v>4060</v>
      </c>
      <c r="D12030" s="692" t="s">
        <v>4060</v>
      </c>
      <c r="E12030" s="692" t="s">
        <v>4060</v>
      </c>
      <c r="F12030" s="692" t="s">
        <v>4060</v>
      </c>
      <c r="G12030" s="692" t="s">
        <v>4060</v>
      </c>
      <c r="H12030" s="692" t="s">
        <v>4060</v>
      </c>
      <c r="I12030" s="692" t="s">
        <v>4060</v>
      </c>
      <c r="J12030" s="692" t="s">
        <v>4060</v>
      </c>
      <c r="K12030" s="692" t="s">
        <v>4060</v>
      </c>
    </row>
    <row r="12031" spans="1:11">
      <c r="A12031" s="688" t="s">
        <v>11</v>
      </c>
      <c r="B12031" s="689">
        <v>10.9</v>
      </c>
      <c r="C12031" s="689">
        <v>10.9</v>
      </c>
      <c r="D12031" s="689">
        <v>10.7</v>
      </c>
      <c r="E12031" s="693">
        <v>11</v>
      </c>
      <c r="F12031" s="693">
        <v>11</v>
      </c>
      <c r="G12031" s="689">
        <v>11.1</v>
      </c>
      <c r="H12031" s="689">
        <v>11.4</v>
      </c>
      <c r="I12031" s="689">
        <v>10.7</v>
      </c>
      <c r="J12031" s="689">
        <v>10.1</v>
      </c>
      <c r="K12031" s="689">
        <v>10.8</v>
      </c>
    </row>
    <row r="12032" spans="1:11">
      <c r="A12032" s="688" t="s">
        <v>10</v>
      </c>
      <c r="B12032" s="691">
        <v>13.7</v>
      </c>
      <c r="C12032" s="691">
        <v>13.6</v>
      </c>
      <c r="D12032" s="691">
        <v>13.4</v>
      </c>
      <c r="E12032" s="691">
        <v>13.8</v>
      </c>
      <c r="F12032" s="691">
        <v>13.6</v>
      </c>
      <c r="G12032" s="691">
        <v>13.9</v>
      </c>
      <c r="H12032" s="615">
        <v>14</v>
      </c>
      <c r="I12032" s="615">
        <v>13</v>
      </c>
      <c r="J12032" s="691">
        <v>13.5</v>
      </c>
      <c r="K12032" s="691">
        <v>13.6</v>
      </c>
    </row>
    <row r="12033" spans="1:11">
      <c r="A12033" s="688" t="s">
        <v>30</v>
      </c>
      <c r="B12033" s="689">
        <v>13.4</v>
      </c>
      <c r="C12033" s="689">
        <v>13.4</v>
      </c>
      <c r="D12033" s="689">
        <v>13.2</v>
      </c>
      <c r="E12033" s="689">
        <v>13.6</v>
      </c>
      <c r="F12033" s="689">
        <v>13.5</v>
      </c>
      <c r="G12033" s="693">
        <v>14</v>
      </c>
      <c r="H12033" s="689">
        <v>13.7</v>
      </c>
      <c r="I12033" s="689">
        <v>14.1</v>
      </c>
      <c r="J12033" s="689">
        <v>13.5</v>
      </c>
      <c r="K12033" s="689">
        <v>13.4</v>
      </c>
    </row>
    <row r="12034" spans="1:11">
      <c r="A12034" s="688" t="s">
        <v>12</v>
      </c>
      <c r="B12034" s="691">
        <v>10.4</v>
      </c>
      <c r="C12034" s="691">
        <v>10.199999999999999</v>
      </c>
      <c r="D12034" s="691">
        <v>10.4</v>
      </c>
      <c r="E12034" s="691">
        <v>10.199999999999999</v>
      </c>
      <c r="F12034" s="691">
        <v>10.199999999999999</v>
      </c>
      <c r="G12034" s="691">
        <v>10.4</v>
      </c>
      <c r="H12034" s="691">
        <v>10.6</v>
      </c>
      <c r="I12034" s="691">
        <v>10.3</v>
      </c>
      <c r="J12034" s="691">
        <v>9.4</v>
      </c>
      <c r="K12034" s="691">
        <v>10.199999999999999</v>
      </c>
    </row>
    <row r="12035" spans="1:11">
      <c r="A12035" s="688" t="s">
        <v>14</v>
      </c>
      <c r="B12035" s="689">
        <v>10.6</v>
      </c>
      <c r="C12035" s="689">
        <v>10.5</v>
      </c>
      <c r="D12035" s="689">
        <v>10.3</v>
      </c>
      <c r="E12035" s="689">
        <v>10.3</v>
      </c>
      <c r="F12035" s="689">
        <v>10.4</v>
      </c>
      <c r="G12035" s="689">
        <v>10.4</v>
      </c>
      <c r="H12035" s="689">
        <v>10.7</v>
      </c>
      <c r="I12035" s="689">
        <v>10.1</v>
      </c>
      <c r="J12035" s="689">
        <v>9.8000000000000007</v>
      </c>
      <c r="K12035" s="689">
        <v>10.4</v>
      </c>
    </row>
    <row r="12036" spans="1:11">
      <c r="A12036" s="688" t="s">
        <v>15</v>
      </c>
      <c r="B12036" s="691">
        <v>13.9</v>
      </c>
      <c r="C12036" s="615">
        <v>13</v>
      </c>
      <c r="D12036" s="691">
        <v>13.3</v>
      </c>
      <c r="E12036" s="691">
        <v>13.5</v>
      </c>
      <c r="F12036" s="691">
        <v>13.5</v>
      </c>
      <c r="G12036" s="691">
        <v>13.4</v>
      </c>
      <c r="H12036" s="691">
        <v>13.8</v>
      </c>
      <c r="I12036" s="691">
        <v>13.2</v>
      </c>
      <c r="J12036" s="691">
        <v>13.6</v>
      </c>
      <c r="K12036" s="691">
        <v>14.1</v>
      </c>
    </row>
    <row r="12037" spans="1:11">
      <c r="A12037" s="688" t="s">
        <v>29</v>
      </c>
      <c r="B12037" s="689">
        <v>10.6</v>
      </c>
      <c r="C12037" s="689">
        <v>10.6</v>
      </c>
      <c r="D12037" s="689">
        <v>10.4</v>
      </c>
      <c r="E12037" s="689">
        <v>10.6</v>
      </c>
      <c r="F12037" s="689">
        <v>10.5</v>
      </c>
      <c r="G12037" s="689">
        <v>10.6</v>
      </c>
      <c r="H12037" s="689">
        <v>10.8</v>
      </c>
      <c r="I12037" s="689">
        <v>10.199999999999999</v>
      </c>
      <c r="J12037" s="689">
        <v>9.6999999999999993</v>
      </c>
      <c r="K12037" s="689">
        <v>10.4</v>
      </c>
    </row>
    <row r="12038" spans="1:11">
      <c r="A12038" s="688" t="s">
        <v>16</v>
      </c>
      <c r="B12038" s="691">
        <v>13.2</v>
      </c>
      <c r="C12038" s="615">
        <v>13</v>
      </c>
      <c r="D12038" s="691">
        <v>13.1</v>
      </c>
      <c r="E12038" s="691">
        <v>13.9</v>
      </c>
      <c r="F12038" s="691">
        <v>13.4</v>
      </c>
      <c r="G12038" s="691">
        <v>13.4</v>
      </c>
      <c r="H12038" s="691">
        <v>13.6</v>
      </c>
      <c r="I12038" s="615">
        <v>13</v>
      </c>
      <c r="J12038" s="691">
        <v>13.4</v>
      </c>
      <c r="K12038" s="691">
        <v>13.4</v>
      </c>
    </row>
    <row r="12039" spans="1:11">
      <c r="A12039" s="688" t="s">
        <v>17</v>
      </c>
      <c r="B12039" s="693">
        <v>13</v>
      </c>
      <c r="C12039" s="689">
        <v>13.2</v>
      </c>
      <c r="D12039" s="693">
        <v>13</v>
      </c>
      <c r="E12039" s="689">
        <v>13.1</v>
      </c>
      <c r="F12039" s="689">
        <v>13.2</v>
      </c>
      <c r="G12039" s="689">
        <v>13.3</v>
      </c>
      <c r="H12039" s="689">
        <v>13.5</v>
      </c>
      <c r="I12039" s="689">
        <v>12.8</v>
      </c>
      <c r="J12039" s="689">
        <v>12.9</v>
      </c>
      <c r="K12039" s="689">
        <v>13.2</v>
      </c>
    </row>
    <row r="12040" spans="1:11">
      <c r="A12040" s="688" t="s">
        <v>19</v>
      </c>
      <c r="B12040" s="691">
        <v>13.3</v>
      </c>
      <c r="C12040" s="691">
        <v>13.3</v>
      </c>
      <c r="D12040" s="615">
        <v>13</v>
      </c>
      <c r="E12040" s="691">
        <v>13.4</v>
      </c>
      <c r="F12040" s="691">
        <v>13.3</v>
      </c>
      <c r="G12040" s="691">
        <v>13.4</v>
      </c>
      <c r="H12040" s="691">
        <v>13.5</v>
      </c>
      <c r="I12040" s="691">
        <v>12.9</v>
      </c>
      <c r="J12040" s="615">
        <v>13</v>
      </c>
      <c r="K12040" s="615">
        <v>13</v>
      </c>
    </row>
    <row r="12041" spans="1:11">
      <c r="A12041" s="688" t="s">
        <v>20</v>
      </c>
      <c r="B12041" s="689">
        <v>11.4</v>
      </c>
      <c r="C12041" s="689">
        <v>11.6</v>
      </c>
      <c r="D12041" s="689">
        <v>11.5</v>
      </c>
      <c r="E12041" s="689">
        <v>11.7</v>
      </c>
      <c r="F12041" s="689">
        <v>11.7</v>
      </c>
      <c r="G12041" s="689">
        <v>11.6</v>
      </c>
      <c r="H12041" s="689">
        <v>11.9</v>
      </c>
      <c r="I12041" s="689">
        <v>10.6</v>
      </c>
      <c r="J12041" s="689">
        <v>10.199999999999999</v>
      </c>
      <c r="K12041" s="689">
        <v>11.3</v>
      </c>
    </row>
    <row r="12042" spans="1:11">
      <c r="A12042" s="688" t="s">
        <v>21</v>
      </c>
      <c r="B12042" s="691">
        <v>12.7</v>
      </c>
      <c r="C12042" s="691">
        <v>13.1</v>
      </c>
      <c r="D12042" s="691">
        <v>13.1</v>
      </c>
      <c r="E12042" s="615">
        <v>13</v>
      </c>
      <c r="F12042" s="691">
        <v>13.3</v>
      </c>
      <c r="G12042" s="691">
        <v>13.3</v>
      </c>
      <c r="H12042" s="691">
        <v>13.6</v>
      </c>
      <c r="I12042" s="691">
        <v>13.2</v>
      </c>
      <c r="J12042" s="691">
        <v>13.2</v>
      </c>
      <c r="K12042" s="691">
        <v>13.5</v>
      </c>
    </row>
    <row r="12043" spans="1:11">
      <c r="A12043" s="688" t="s">
        <v>22</v>
      </c>
      <c r="B12043" s="689">
        <v>10.7</v>
      </c>
      <c r="C12043" s="689">
        <v>10.6</v>
      </c>
      <c r="D12043" s="689">
        <v>10.4</v>
      </c>
      <c r="E12043" s="689">
        <v>10.7</v>
      </c>
      <c r="F12043" s="689">
        <v>10.7</v>
      </c>
      <c r="G12043" s="689">
        <v>10.8</v>
      </c>
      <c r="H12043" s="689">
        <v>11.1</v>
      </c>
      <c r="I12043" s="689">
        <v>9.9</v>
      </c>
      <c r="J12043" s="693">
        <v>9</v>
      </c>
      <c r="K12043" s="689">
        <v>10.199999999999999</v>
      </c>
    </row>
    <row r="12044" spans="1:11">
      <c r="A12044" s="688" t="s">
        <v>26</v>
      </c>
      <c r="B12044" s="691">
        <v>12.5</v>
      </c>
      <c r="C12044" s="691">
        <v>12.6</v>
      </c>
      <c r="D12044" s="691">
        <v>12.5</v>
      </c>
      <c r="E12044" s="691">
        <v>12.8</v>
      </c>
      <c r="F12044" s="691">
        <v>12.5</v>
      </c>
      <c r="G12044" s="691">
        <v>12.7</v>
      </c>
      <c r="H12044" s="615">
        <v>13</v>
      </c>
      <c r="I12044" s="691">
        <v>12.1</v>
      </c>
      <c r="J12044" s="691">
        <v>12.3</v>
      </c>
      <c r="K12044" s="691">
        <v>12.8</v>
      </c>
    </row>
    <row r="12045" spans="1:11">
      <c r="A12045" s="688" t="s">
        <v>25</v>
      </c>
      <c r="B12045" s="689">
        <v>10.6</v>
      </c>
      <c r="C12045" s="689">
        <v>10.9</v>
      </c>
      <c r="D12045" s="689">
        <v>10.8</v>
      </c>
      <c r="E12045" s="689">
        <v>11.1</v>
      </c>
      <c r="F12045" s="693">
        <v>11</v>
      </c>
      <c r="G12045" s="689">
        <v>11.3</v>
      </c>
      <c r="H12045" s="689">
        <v>11.6</v>
      </c>
      <c r="I12045" s="689">
        <v>10.7</v>
      </c>
      <c r="J12045" s="689">
        <v>9.5</v>
      </c>
      <c r="K12045" s="689">
        <v>10.8</v>
      </c>
    </row>
    <row r="12046" spans="1:11">
      <c r="A12046" s="688" t="s">
        <v>5</v>
      </c>
      <c r="B12046" s="691">
        <v>13.1</v>
      </c>
      <c r="C12046" s="691">
        <v>12.9</v>
      </c>
      <c r="D12046" s="691">
        <v>13.1</v>
      </c>
      <c r="E12046" s="615">
        <v>13</v>
      </c>
      <c r="F12046" s="691">
        <v>13.2</v>
      </c>
      <c r="G12046" s="691">
        <v>13.3</v>
      </c>
      <c r="H12046" s="691">
        <v>13.5</v>
      </c>
      <c r="I12046" s="691">
        <v>13.5</v>
      </c>
      <c r="J12046" s="691">
        <v>13.4</v>
      </c>
      <c r="K12046" s="691">
        <v>12.9</v>
      </c>
    </row>
    <row r="12047" spans="1:11">
      <c r="A12047" s="688" t="s">
        <v>23</v>
      </c>
      <c r="B12047" s="689">
        <v>13.4</v>
      </c>
      <c r="C12047" s="689">
        <v>13.5</v>
      </c>
      <c r="D12047" s="689">
        <v>13.5</v>
      </c>
      <c r="E12047" s="689">
        <v>13.6</v>
      </c>
      <c r="F12047" s="689">
        <v>13.7</v>
      </c>
      <c r="G12047" s="689">
        <v>13.7</v>
      </c>
      <c r="H12047" s="689">
        <v>14.1</v>
      </c>
      <c r="I12047" s="689">
        <v>13.5</v>
      </c>
      <c r="J12047" s="693">
        <v>14</v>
      </c>
      <c r="K12047" s="693">
        <v>14</v>
      </c>
    </row>
    <row r="12048" spans="1:11">
      <c r="A12048" s="688" t="s">
        <v>4067</v>
      </c>
      <c r="B12048" s="615">
        <v>13</v>
      </c>
      <c r="C12048" s="691">
        <v>13.3</v>
      </c>
      <c r="D12048" s="691">
        <v>13.1</v>
      </c>
      <c r="E12048" s="691">
        <v>13.3</v>
      </c>
      <c r="F12048" s="691">
        <v>13.3</v>
      </c>
      <c r="G12048" s="691">
        <v>13.4</v>
      </c>
      <c r="H12048" s="692" t="s">
        <v>4060</v>
      </c>
      <c r="I12048" s="692" t="s">
        <v>4060</v>
      </c>
      <c r="J12048" s="692" t="s">
        <v>4060</v>
      </c>
      <c r="K12048" s="692" t="s">
        <v>4060</v>
      </c>
    </row>
    <row r="12049" spans="1:11">
      <c r="A12049" s="688" t="s">
        <v>4066</v>
      </c>
      <c r="B12049" s="693">
        <v>13</v>
      </c>
      <c r="C12049" s="689">
        <v>13.3</v>
      </c>
      <c r="D12049" s="689">
        <v>13.1</v>
      </c>
      <c r="E12049" s="689">
        <v>13.4</v>
      </c>
      <c r="F12049" s="689">
        <v>13.3</v>
      </c>
      <c r="G12049" s="689">
        <v>13.4</v>
      </c>
      <c r="H12049" s="690" t="s">
        <v>4060</v>
      </c>
      <c r="I12049" s="690" t="s">
        <v>4060</v>
      </c>
      <c r="J12049" s="690" t="s">
        <v>4060</v>
      </c>
      <c r="K12049" s="690" t="s">
        <v>4060</v>
      </c>
    </row>
    <row r="12050" spans="1:11">
      <c r="A12050" s="688" t="s">
        <v>4062</v>
      </c>
      <c r="B12050" s="691">
        <v>13.7</v>
      </c>
      <c r="C12050" s="691">
        <v>13.8</v>
      </c>
      <c r="D12050" s="691">
        <v>13.7</v>
      </c>
      <c r="E12050" s="691">
        <v>14.1</v>
      </c>
      <c r="F12050" s="691">
        <v>14.1</v>
      </c>
      <c r="G12050" s="691">
        <v>14.2</v>
      </c>
      <c r="H12050" s="691">
        <v>14.4</v>
      </c>
      <c r="I12050" s="691">
        <v>13.9</v>
      </c>
      <c r="J12050" s="691">
        <v>14.4</v>
      </c>
      <c r="K12050" s="691">
        <v>14.1</v>
      </c>
    </row>
    <row r="12051" spans="1:11">
      <c r="A12051" s="688" t="s">
        <v>9</v>
      </c>
      <c r="B12051" s="689">
        <v>13.5</v>
      </c>
      <c r="C12051" s="689">
        <v>13.9</v>
      </c>
      <c r="D12051" s="689">
        <v>13.9</v>
      </c>
      <c r="E12051" s="689">
        <v>13.2</v>
      </c>
      <c r="F12051" s="693">
        <v>14</v>
      </c>
      <c r="G12051" s="689">
        <v>14.2</v>
      </c>
      <c r="H12051" s="689">
        <v>14.3</v>
      </c>
      <c r="I12051" s="689">
        <v>14.5</v>
      </c>
      <c r="J12051" s="689">
        <v>14.7</v>
      </c>
      <c r="K12051" s="689">
        <v>13.7</v>
      </c>
    </row>
    <row r="12052" spans="1:11">
      <c r="A12052" s="688" t="s">
        <v>13</v>
      </c>
      <c r="B12052" s="691">
        <v>13.3</v>
      </c>
      <c r="C12052" s="691">
        <v>14.1</v>
      </c>
      <c r="D12052" s="691">
        <v>13.4</v>
      </c>
      <c r="E12052" s="691">
        <v>12.8</v>
      </c>
      <c r="F12052" s="691">
        <v>15.1</v>
      </c>
      <c r="G12052" s="691">
        <v>13.1</v>
      </c>
      <c r="H12052" s="691">
        <v>14.7</v>
      </c>
      <c r="I12052" s="691">
        <v>12.5</v>
      </c>
      <c r="J12052" s="691">
        <v>15.4</v>
      </c>
      <c r="K12052" s="691">
        <v>15.5</v>
      </c>
    </row>
    <row r="12053" spans="1:11">
      <c r="A12053" s="688" t="s">
        <v>18</v>
      </c>
      <c r="B12053" s="689">
        <v>13.2</v>
      </c>
      <c r="C12053" s="689">
        <v>13.3</v>
      </c>
      <c r="D12053" s="689">
        <v>13.4</v>
      </c>
      <c r="E12053" s="689">
        <v>13.7</v>
      </c>
      <c r="F12053" s="689">
        <v>13.8</v>
      </c>
      <c r="G12053" s="689">
        <v>13.9</v>
      </c>
      <c r="H12053" s="693">
        <v>14</v>
      </c>
      <c r="I12053" s="689">
        <v>14.2</v>
      </c>
      <c r="J12053" s="689">
        <v>14.2</v>
      </c>
      <c r="K12053" s="689">
        <v>13.7</v>
      </c>
    </row>
    <row r="12054" spans="1:11">
      <c r="A12054" s="688" t="s">
        <v>24</v>
      </c>
      <c r="B12054" s="615">
        <v>14</v>
      </c>
      <c r="C12054" s="691">
        <v>14.1</v>
      </c>
      <c r="D12054" s="691">
        <v>13.9</v>
      </c>
      <c r="E12054" s="691">
        <v>14.3</v>
      </c>
      <c r="F12054" s="691">
        <v>14.3</v>
      </c>
      <c r="G12054" s="691">
        <v>14.5</v>
      </c>
      <c r="H12054" s="691">
        <v>14.5</v>
      </c>
      <c r="I12054" s="691">
        <v>13.7</v>
      </c>
      <c r="J12054" s="691">
        <v>14.4</v>
      </c>
      <c r="K12054" s="691">
        <v>14.3</v>
      </c>
    </row>
    <row r="12055" spans="1:11">
      <c r="A12055" s="688" t="s">
        <v>4059</v>
      </c>
      <c r="B12055" s="689">
        <v>13.4</v>
      </c>
      <c r="C12055" s="689">
        <v>13.6</v>
      </c>
      <c r="D12055" s="689">
        <v>13.4</v>
      </c>
      <c r="E12055" s="689">
        <v>13.6</v>
      </c>
      <c r="F12055" s="689">
        <v>13.6</v>
      </c>
      <c r="G12055" s="689">
        <v>13.7</v>
      </c>
      <c r="H12055" s="690" t="s">
        <v>4060</v>
      </c>
      <c r="I12055" s="690" t="s">
        <v>4060</v>
      </c>
      <c r="J12055" s="690" t="s">
        <v>4060</v>
      </c>
      <c r="K12055" s="690" t="s">
        <v>4060</v>
      </c>
    </row>
    <row r="12056" spans="1:11">
      <c r="A12056" s="688" t="s">
        <v>2324</v>
      </c>
      <c r="B12056" s="691">
        <v>10.8</v>
      </c>
      <c r="C12056" s="691">
        <v>10.9</v>
      </c>
      <c r="D12056" s="691">
        <v>10.7</v>
      </c>
      <c r="E12056" s="691">
        <v>10.4</v>
      </c>
      <c r="F12056" s="691">
        <v>10.7</v>
      </c>
      <c r="G12056" s="691">
        <v>10.9</v>
      </c>
      <c r="H12056" s="691">
        <v>10.8</v>
      </c>
      <c r="I12056" s="691">
        <v>9.8000000000000007</v>
      </c>
      <c r="J12056" s="691">
        <v>8.4</v>
      </c>
      <c r="K12056" s="692" t="s">
        <v>4060</v>
      </c>
    </row>
    <row r="12057" spans="1:11">
      <c r="A12057" s="688" t="s">
        <v>2322</v>
      </c>
      <c r="B12057" s="690" t="s">
        <v>4060</v>
      </c>
      <c r="C12057" s="690" t="s">
        <v>4060</v>
      </c>
      <c r="D12057" s="690" t="s">
        <v>4060</v>
      </c>
      <c r="E12057" s="690" t="s">
        <v>4060</v>
      </c>
      <c r="F12057" s="690" t="s">
        <v>4060</v>
      </c>
      <c r="G12057" s="690" t="s">
        <v>4060</v>
      </c>
      <c r="H12057" s="690" t="s">
        <v>4060</v>
      </c>
      <c r="I12057" s="690" t="s">
        <v>4060</v>
      </c>
      <c r="J12057" s="690" t="s">
        <v>4060</v>
      </c>
      <c r="K12057" s="690" t="s">
        <v>4060</v>
      </c>
    </row>
    <row r="12058" spans="1:11">
      <c r="A12058" s="688" t="s">
        <v>2328</v>
      </c>
      <c r="B12058" s="691">
        <v>9.9</v>
      </c>
      <c r="C12058" s="691">
        <v>10.1</v>
      </c>
      <c r="D12058" s="691">
        <v>9.9</v>
      </c>
      <c r="E12058" s="615">
        <v>10</v>
      </c>
      <c r="F12058" s="615">
        <v>10</v>
      </c>
      <c r="G12058" s="691">
        <v>10.5</v>
      </c>
      <c r="H12058" s="691">
        <v>10.4</v>
      </c>
      <c r="I12058" s="691">
        <v>8.9</v>
      </c>
      <c r="J12058" s="691">
        <v>8.6</v>
      </c>
      <c r="K12058" s="692" t="s">
        <v>4060</v>
      </c>
    </row>
    <row r="12059" spans="1:11">
      <c r="A12059" s="688" t="s">
        <v>2496</v>
      </c>
      <c r="B12059" s="690" t="s">
        <v>4060</v>
      </c>
      <c r="C12059" s="689">
        <v>10.6</v>
      </c>
      <c r="D12059" s="689">
        <v>9.6</v>
      </c>
      <c r="E12059" s="689">
        <v>9.1</v>
      </c>
      <c r="F12059" s="689">
        <v>9.4</v>
      </c>
      <c r="G12059" s="689">
        <v>9.6</v>
      </c>
      <c r="H12059" s="689">
        <v>9.6</v>
      </c>
      <c r="I12059" s="690" t="s">
        <v>4060</v>
      </c>
      <c r="J12059" s="690" t="s">
        <v>4060</v>
      </c>
      <c r="K12059" s="689">
        <v>9.1</v>
      </c>
    </row>
    <row r="12060" spans="1:11">
      <c r="A12060" s="688" t="s">
        <v>2269</v>
      </c>
      <c r="B12060" s="691">
        <v>11.5</v>
      </c>
      <c r="C12060" s="691">
        <v>11.6</v>
      </c>
      <c r="D12060" s="691">
        <v>11.2</v>
      </c>
      <c r="E12060" s="691">
        <v>11.7</v>
      </c>
      <c r="F12060" s="691">
        <v>11.8</v>
      </c>
      <c r="G12060" s="691">
        <v>12.2</v>
      </c>
      <c r="H12060" s="691">
        <v>12.4</v>
      </c>
      <c r="I12060" s="691">
        <v>10.8</v>
      </c>
      <c r="J12060" s="615">
        <v>9</v>
      </c>
      <c r="K12060" s="691">
        <v>12.1</v>
      </c>
    </row>
    <row r="12061" spans="1:11">
      <c r="A12061" s="688" t="s">
        <v>2349</v>
      </c>
      <c r="B12061" s="689">
        <v>10.1</v>
      </c>
      <c r="C12061" s="689">
        <v>10.199999999999999</v>
      </c>
      <c r="D12061" s="689">
        <v>10.199999999999999</v>
      </c>
      <c r="E12061" s="689">
        <v>10.5</v>
      </c>
      <c r="F12061" s="689">
        <v>10.4</v>
      </c>
      <c r="G12061" s="689">
        <v>10.6</v>
      </c>
      <c r="H12061" s="689">
        <v>10.8</v>
      </c>
      <c r="I12061" s="689">
        <v>9.6999999999999993</v>
      </c>
      <c r="J12061" s="689">
        <v>8.6</v>
      </c>
      <c r="K12061" s="689">
        <v>9.9</v>
      </c>
    </row>
    <row r="12062" spans="1:11">
      <c r="A12062" s="688" t="s">
        <v>2355</v>
      </c>
      <c r="B12062" s="691">
        <v>11.7</v>
      </c>
      <c r="C12062" s="691">
        <v>11.6</v>
      </c>
      <c r="D12062" s="691">
        <v>11.5</v>
      </c>
      <c r="E12062" s="691">
        <v>11.5</v>
      </c>
      <c r="F12062" s="691">
        <v>11.6</v>
      </c>
      <c r="G12062" s="691">
        <v>11.9</v>
      </c>
      <c r="H12062" s="691">
        <v>11.9</v>
      </c>
      <c r="I12062" s="692" t="s">
        <v>4060</v>
      </c>
      <c r="J12062" s="692" t="s">
        <v>4060</v>
      </c>
      <c r="K12062" s="692" t="s">
        <v>4060</v>
      </c>
    </row>
    <row r="12063" spans="1:11">
      <c r="A12063" s="688" t="s">
        <v>2357</v>
      </c>
      <c r="B12063" s="690" t="s">
        <v>4060</v>
      </c>
      <c r="C12063" s="689">
        <v>9.6</v>
      </c>
      <c r="D12063" s="689">
        <v>9.8000000000000007</v>
      </c>
      <c r="E12063" s="693">
        <v>10</v>
      </c>
      <c r="F12063" s="689">
        <v>10.1</v>
      </c>
      <c r="G12063" s="693">
        <v>10</v>
      </c>
      <c r="H12063" s="689">
        <v>10.1</v>
      </c>
      <c r="I12063" s="690" t="s">
        <v>4060</v>
      </c>
      <c r="J12063" s="690" t="s">
        <v>4060</v>
      </c>
      <c r="K12063" s="690" t="s">
        <v>4060</v>
      </c>
    </row>
    <row r="12064" spans="1:11">
      <c r="A12064" s="688" t="s">
        <v>4070</v>
      </c>
      <c r="B12064" s="692" t="s">
        <v>4060</v>
      </c>
      <c r="C12064" s="692" t="s">
        <v>4060</v>
      </c>
      <c r="D12064" s="692" t="s">
        <v>4060</v>
      </c>
      <c r="E12064" s="615">
        <v>11</v>
      </c>
      <c r="F12064" s="692" t="s">
        <v>4060</v>
      </c>
      <c r="G12064" s="692" t="s">
        <v>4060</v>
      </c>
      <c r="H12064" s="692" t="s">
        <v>4060</v>
      </c>
      <c r="I12064" s="692" t="s">
        <v>4060</v>
      </c>
      <c r="J12064" s="692" t="s">
        <v>4060</v>
      </c>
      <c r="K12064" s="692" t="s">
        <v>4060</v>
      </c>
    </row>
    <row r="12065" spans="1:11">
      <c r="A12065" s="688" t="s">
        <v>2491</v>
      </c>
      <c r="B12065" s="689">
        <v>9.1999999999999993</v>
      </c>
      <c r="C12065" s="689">
        <v>9.4</v>
      </c>
      <c r="D12065" s="689">
        <v>9.4</v>
      </c>
      <c r="E12065" s="689">
        <v>9.4</v>
      </c>
      <c r="F12065" s="689">
        <v>9.4</v>
      </c>
      <c r="G12065" s="689">
        <v>9.6</v>
      </c>
      <c r="H12065" s="690" t="s">
        <v>4060</v>
      </c>
      <c r="I12065" s="690" t="s">
        <v>4060</v>
      </c>
      <c r="J12065" s="690" t="s">
        <v>4060</v>
      </c>
      <c r="K12065" s="690" t="s">
        <v>4060</v>
      </c>
    </row>
    <row r="12066" spans="1:11">
      <c r="A12066" s="688" t="s">
        <v>2343</v>
      </c>
      <c r="B12066" s="692" t="s">
        <v>4060</v>
      </c>
      <c r="C12066" s="692" t="s">
        <v>4060</v>
      </c>
      <c r="D12066" s="692" t="s">
        <v>4060</v>
      </c>
      <c r="E12066" s="692" t="s">
        <v>4060</v>
      </c>
      <c r="F12066" s="692" t="s">
        <v>4060</v>
      </c>
      <c r="G12066" s="692" t="s">
        <v>4060</v>
      </c>
      <c r="H12066" s="692" t="s">
        <v>4060</v>
      </c>
      <c r="I12066" s="692" t="s">
        <v>4060</v>
      </c>
      <c r="J12066" s="692" t="s">
        <v>4060</v>
      </c>
      <c r="K12066" s="692" t="s">
        <v>4060</v>
      </c>
    </row>
    <row r="12067" spans="1:11">
      <c r="A12067" s="688" t="s">
        <v>4071</v>
      </c>
      <c r="B12067" s="690" t="s">
        <v>4060</v>
      </c>
      <c r="C12067" s="690" t="s">
        <v>4060</v>
      </c>
      <c r="D12067" s="690" t="s">
        <v>4060</v>
      </c>
      <c r="E12067" s="690" t="s">
        <v>4060</v>
      </c>
      <c r="F12067" s="690" t="s">
        <v>4060</v>
      </c>
      <c r="G12067" s="690" t="s">
        <v>4060</v>
      </c>
      <c r="H12067" s="690" t="s">
        <v>4060</v>
      </c>
      <c r="I12067" s="690" t="s">
        <v>4060</v>
      </c>
      <c r="J12067" s="690" t="s">
        <v>4060</v>
      </c>
      <c r="K12067" s="690" t="s">
        <v>4060</v>
      </c>
    </row>
    <row r="12068" spans="1:11">
      <c r="A12068" s="688" t="s">
        <v>2489</v>
      </c>
      <c r="B12068" s="692" t="s">
        <v>4060</v>
      </c>
      <c r="C12068" s="692" t="s">
        <v>4060</v>
      </c>
      <c r="D12068" s="691">
        <v>10.4</v>
      </c>
      <c r="E12068" s="691">
        <v>10.4</v>
      </c>
      <c r="F12068" s="691">
        <v>10.7</v>
      </c>
      <c r="G12068" s="691">
        <v>11.1</v>
      </c>
      <c r="H12068" s="691">
        <v>11.4</v>
      </c>
      <c r="I12068" s="692" t="s">
        <v>4060</v>
      </c>
      <c r="J12068" s="692" t="s">
        <v>4060</v>
      </c>
      <c r="K12068" s="692" t="s">
        <v>4060</v>
      </c>
    </row>
    <row r="12069" spans="1:11">
      <c r="A12069" s="688" t="s">
        <v>2490</v>
      </c>
      <c r="B12069" s="689">
        <v>10.6</v>
      </c>
      <c r="C12069" s="689">
        <v>10.4</v>
      </c>
      <c r="D12069" s="689">
        <v>11.2</v>
      </c>
      <c r="E12069" s="690" t="s">
        <v>4060</v>
      </c>
      <c r="F12069" s="689">
        <v>11.7</v>
      </c>
      <c r="G12069" s="689">
        <v>11.5</v>
      </c>
      <c r="H12069" s="689">
        <v>12.4</v>
      </c>
      <c r="I12069" s="690" t="s">
        <v>4060</v>
      </c>
      <c r="J12069" s="690" t="s">
        <v>4060</v>
      </c>
      <c r="K12069" s="690" t="s">
        <v>4060</v>
      </c>
    </row>
    <row r="12071" spans="1:11">
      <c r="A12071" s="683" t="s">
        <v>4233</v>
      </c>
    </row>
    <row r="12072" spans="1:11">
      <c r="A12072" s="683" t="s">
        <v>4060</v>
      </c>
      <c r="B12072" s="682" t="s">
        <v>4234</v>
      </c>
    </row>
    <row r="12074" spans="1:11">
      <c r="A12074" s="682" t="s">
        <v>4331</v>
      </c>
    </row>
    <row r="12075" spans="1:11">
      <c r="A12075" s="682" t="s">
        <v>4210</v>
      </c>
      <c r="B12075" s="683" t="s">
        <v>4211</v>
      </c>
    </row>
    <row r="12076" spans="1:11">
      <c r="A12076" s="682" t="s">
        <v>4212</v>
      </c>
      <c r="B12076" s="682" t="s">
        <v>4213</v>
      </c>
    </row>
    <row r="12078" spans="1:11">
      <c r="A12078" s="683" t="s">
        <v>4214</v>
      </c>
      <c r="C12078" s="682" t="s">
        <v>4215</v>
      </c>
    </row>
    <row r="12079" spans="1:11">
      <c r="A12079" s="683" t="s">
        <v>4216</v>
      </c>
      <c r="C12079" s="682" t="s">
        <v>2967</v>
      </c>
    </row>
    <row r="12080" spans="1:11">
      <c r="A12080" s="683" t="s">
        <v>3893</v>
      </c>
      <c r="C12080" s="682" t="s">
        <v>2168</v>
      </c>
    </row>
    <row r="12081" spans="1:11">
      <c r="A12081" s="683" t="s">
        <v>4218</v>
      </c>
      <c r="C12081" s="682" t="s">
        <v>4307</v>
      </c>
    </row>
    <row r="12083" spans="1:11">
      <c r="A12083" s="684" t="s">
        <v>4220</v>
      </c>
      <c r="B12083" s="685" t="s">
        <v>4221</v>
      </c>
      <c r="C12083" s="685" t="s">
        <v>4222</v>
      </c>
      <c r="D12083" s="685" t="s">
        <v>4223</v>
      </c>
      <c r="E12083" s="685" t="s">
        <v>4224</v>
      </c>
      <c r="F12083" s="685" t="s">
        <v>4225</v>
      </c>
      <c r="G12083" s="685" t="s">
        <v>4226</v>
      </c>
      <c r="H12083" s="685" t="s">
        <v>4227</v>
      </c>
      <c r="I12083" s="685" t="s">
        <v>4228</v>
      </c>
      <c r="J12083" s="685" t="s">
        <v>4229</v>
      </c>
      <c r="K12083" s="685" t="s">
        <v>4230</v>
      </c>
    </row>
    <row r="12084" spans="1:11">
      <c r="A12084" s="686" t="s">
        <v>4231</v>
      </c>
      <c r="B12084" s="687" t="s">
        <v>4232</v>
      </c>
      <c r="C12084" s="687" t="s">
        <v>4232</v>
      </c>
      <c r="D12084" s="687" t="s">
        <v>4232</v>
      </c>
      <c r="E12084" s="687" t="s">
        <v>4232</v>
      </c>
      <c r="F12084" s="687" t="s">
        <v>4232</v>
      </c>
      <c r="G12084" s="687" t="s">
        <v>4232</v>
      </c>
      <c r="H12084" s="687" t="s">
        <v>4232</v>
      </c>
      <c r="I12084" s="687" t="s">
        <v>4232</v>
      </c>
      <c r="J12084" s="687" t="s">
        <v>4232</v>
      </c>
      <c r="K12084" s="687" t="s">
        <v>4232</v>
      </c>
    </row>
    <row r="12085" spans="1:11">
      <c r="A12085" s="688" t="s">
        <v>4064</v>
      </c>
      <c r="B12085" s="689">
        <v>12.3</v>
      </c>
      <c r="C12085" s="689">
        <v>12.3</v>
      </c>
      <c r="D12085" s="689">
        <v>12.4</v>
      </c>
      <c r="E12085" s="689">
        <v>12.4</v>
      </c>
      <c r="F12085" s="689">
        <v>12.4</v>
      </c>
      <c r="G12085" s="689">
        <v>12.5</v>
      </c>
      <c r="H12085" s="689">
        <v>12.7</v>
      </c>
      <c r="I12085" s="693">
        <v>12</v>
      </c>
      <c r="J12085" s="693">
        <v>12</v>
      </c>
      <c r="K12085" s="689">
        <v>12.2</v>
      </c>
    </row>
    <row r="12086" spans="1:11">
      <c r="A12086" s="688" t="s">
        <v>4065</v>
      </c>
      <c r="B12086" s="691">
        <v>12.4</v>
      </c>
      <c r="C12086" s="691">
        <v>12.6</v>
      </c>
      <c r="D12086" s="691">
        <v>12.4</v>
      </c>
      <c r="E12086" s="691">
        <v>12.7</v>
      </c>
      <c r="F12086" s="691">
        <v>12.6</v>
      </c>
      <c r="G12086" s="691">
        <v>12.7</v>
      </c>
      <c r="H12086" s="692" t="s">
        <v>4060</v>
      </c>
      <c r="I12086" s="692" t="s">
        <v>4060</v>
      </c>
      <c r="J12086" s="692" t="s">
        <v>4060</v>
      </c>
      <c r="K12086" s="692" t="s">
        <v>4060</v>
      </c>
    </row>
    <row r="12087" spans="1:11">
      <c r="A12087" s="688" t="s">
        <v>4063</v>
      </c>
      <c r="B12087" s="689">
        <v>12.4</v>
      </c>
      <c r="C12087" s="689">
        <v>12.7</v>
      </c>
      <c r="D12087" s="689">
        <v>12.4</v>
      </c>
      <c r="E12087" s="689">
        <v>12.7</v>
      </c>
      <c r="F12087" s="689">
        <v>12.6</v>
      </c>
      <c r="G12087" s="689">
        <v>12.8</v>
      </c>
      <c r="H12087" s="690" t="s">
        <v>4060</v>
      </c>
      <c r="I12087" s="690" t="s">
        <v>4060</v>
      </c>
      <c r="J12087" s="690" t="s">
        <v>4060</v>
      </c>
      <c r="K12087" s="690" t="s">
        <v>4060</v>
      </c>
    </row>
    <row r="12088" spans="1:11">
      <c r="A12088" s="688" t="s">
        <v>4069</v>
      </c>
      <c r="B12088" s="692" t="s">
        <v>4060</v>
      </c>
      <c r="C12088" s="691">
        <v>12.7</v>
      </c>
      <c r="D12088" s="691">
        <v>12.5</v>
      </c>
      <c r="E12088" s="691">
        <v>12.7</v>
      </c>
      <c r="F12088" s="691">
        <v>12.7</v>
      </c>
      <c r="G12088" s="691">
        <v>12.8</v>
      </c>
      <c r="H12088" s="615">
        <v>13</v>
      </c>
      <c r="I12088" s="691">
        <v>12.4</v>
      </c>
      <c r="J12088" s="691">
        <v>12.6</v>
      </c>
      <c r="K12088" s="691">
        <v>12.6</v>
      </c>
    </row>
    <row r="12089" spans="1:11">
      <c r="A12089" s="688" t="s">
        <v>4068</v>
      </c>
      <c r="B12089" s="689">
        <v>12.7</v>
      </c>
      <c r="C12089" s="690" t="s">
        <v>4060</v>
      </c>
      <c r="D12089" s="690" t="s">
        <v>4060</v>
      </c>
      <c r="E12089" s="690" t="s">
        <v>4060</v>
      </c>
      <c r="F12089" s="690" t="s">
        <v>4060</v>
      </c>
      <c r="G12089" s="690" t="s">
        <v>4060</v>
      </c>
      <c r="H12089" s="690" t="s">
        <v>4060</v>
      </c>
      <c r="I12089" s="690" t="s">
        <v>4060</v>
      </c>
      <c r="J12089" s="690" t="s">
        <v>4060</v>
      </c>
      <c r="K12089" s="690" t="s">
        <v>4060</v>
      </c>
    </row>
    <row r="12090" spans="1:11">
      <c r="A12090" s="688" t="s">
        <v>0</v>
      </c>
      <c r="B12090" s="691">
        <v>12.2</v>
      </c>
      <c r="C12090" s="691">
        <v>12.5</v>
      </c>
      <c r="D12090" s="691">
        <v>12.4</v>
      </c>
      <c r="E12090" s="691">
        <v>12.6</v>
      </c>
      <c r="F12090" s="691">
        <v>12.6</v>
      </c>
      <c r="G12090" s="691">
        <v>12.7</v>
      </c>
      <c r="H12090" s="691">
        <v>12.9</v>
      </c>
      <c r="I12090" s="615">
        <v>12</v>
      </c>
      <c r="J12090" s="691">
        <v>12.7</v>
      </c>
      <c r="K12090" s="691">
        <v>12.8</v>
      </c>
    </row>
    <row r="12091" spans="1:11">
      <c r="A12091" s="688" t="s">
        <v>1</v>
      </c>
      <c r="B12091" s="689">
        <v>9.8000000000000007</v>
      </c>
      <c r="C12091" s="689">
        <v>9.6</v>
      </c>
      <c r="D12091" s="689">
        <v>9.5</v>
      </c>
      <c r="E12091" s="689">
        <v>9.6999999999999993</v>
      </c>
      <c r="F12091" s="689">
        <v>9.6</v>
      </c>
      <c r="G12091" s="689">
        <v>9.6</v>
      </c>
      <c r="H12091" s="689">
        <v>9.6999999999999993</v>
      </c>
      <c r="I12091" s="689">
        <v>8.6999999999999993</v>
      </c>
      <c r="J12091" s="689">
        <v>7.8</v>
      </c>
      <c r="K12091" s="693">
        <v>9</v>
      </c>
    </row>
    <row r="12092" spans="1:11">
      <c r="A12092" s="688" t="s">
        <v>2240</v>
      </c>
      <c r="B12092" s="691">
        <v>10.8</v>
      </c>
      <c r="C12092" s="691">
        <v>10.9</v>
      </c>
      <c r="D12092" s="691">
        <v>10.8</v>
      </c>
      <c r="E12092" s="615">
        <v>11</v>
      </c>
      <c r="F12092" s="615">
        <v>11</v>
      </c>
      <c r="G12092" s="691">
        <v>11.1</v>
      </c>
      <c r="H12092" s="691">
        <v>11.2</v>
      </c>
      <c r="I12092" s="691">
        <v>10.199999999999999</v>
      </c>
      <c r="J12092" s="691">
        <v>9.8000000000000007</v>
      </c>
      <c r="K12092" s="691">
        <v>10.9</v>
      </c>
    </row>
    <row r="12093" spans="1:11">
      <c r="A12093" s="688" t="s">
        <v>2</v>
      </c>
      <c r="B12093" s="693">
        <v>12</v>
      </c>
      <c r="C12093" s="689">
        <v>12.2</v>
      </c>
      <c r="D12093" s="689">
        <v>12.2</v>
      </c>
      <c r="E12093" s="689">
        <v>12.4</v>
      </c>
      <c r="F12093" s="689">
        <v>12.4</v>
      </c>
      <c r="G12093" s="689">
        <v>12.2</v>
      </c>
      <c r="H12093" s="689">
        <v>12.6</v>
      </c>
      <c r="I12093" s="689">
        <v>12.6</v>
      </c>
      <c r="J12093" s="689">
        <v>12.4</v>
      </c>
      <c r="K12093" s="689">
        <v>12.3</v>
      </c>
    </row>
    <row r="12094" spans="1:11">
      <c r="A12094" s="688" t="s">
        <v>3</v>
      </c>
      <c r="B12094" s="691">
        <v>12.2</v>
      </c>
      <c r="C12094" s="691">
        <v>12.3</v>
      </c>
      <c r="D12094" s="691">
        <v>12.1</v>
      </c>
      <c r="E12094" s="691">
        <v>12.3</v>
      </c>
      <c r="F12094" s="691">
        <v>12.3</v>
      </c>
      <c r="G12094" s="691">
        <v>12.3</v>
      </c>
      <c r="H12094" s="691">
        <v>12.6</v>
      </c>
      <c r="I12094" s="691">
        <v>12.3</v>
      </c>
      <c r="J12094" s="691">
        <v>12.2</v>
      </c>
      <c r="K12094" s="615">
        <v>12</v>
      </c>
    </row>
    <row r="12095" spans="1:11">
      <c r="A12095" s="688" t="s">
        <v>4061</v>
      </c>
      <c r="B12095" s="689">
        <v>12.2</v>
      </c>
      <c r="C12095" s="689">
        <v>12.3</v>
      </c>
      <c r="D12095" s="689">
        <v>12.1</v>
      </c>
      <c r="E12095" s="689">
        <v>12.3</v>
      </c>
      <c r="F12095" s="689">
        <v>12.3</v>
      </c>
      <c r="G12095" s="689">
        <v>12.3</v>
      </c>
      <c r="H12095" s="689">
        <v>12.6</v>
      </c>
      <c r="I12095" s="689">
        <v>12.3</v>
      </c>
      <c r="J12095" s="689">
        <v>12.2</v>
      </c>
      <c r="K12095" s="693">
        <v>12</v>
      </c>
    </row>
    <row r="12096" spans="1:11">
      <c r="A12096" s="688" t="s">
        <v>4</v>
      </c>
      <c r="B12096" s="691">
        <v>10.7</v>
      </c>
      <c r="C12096" s="691">
        <v>10.5</v>
      </c>
      <c r="D12096" s="691">
        <v>10.7</v>
      </c>
      <c r="E12096" s="691">
        <v>10.8</v>
      </c>
      <c r="F12096" s="691">
        <v>10.8</v>
      </c>
      <c r="G12096" s="691">
        <v>10.9</v>
      </c>
      <c r="H12096" s="691">
        <v>11.1</v>
      </c>
      <c r="I12096" s="691">
        <v>11.2</v>
      </c>
      <c r="J12096" s="691">
        <v>10.199999999999999</v>
      </c>
      <c r="K12096" s="691">
        <v>10.6</v>
      </c>
    </row>
    <row r="12097" spans="1:11">
      <c r="A12097" s="688" t="s">
        <v>8</v>
      </c>
      <c r="B12097" s="689">
        <v>12.2</v>
      </c>
      <c r="C12097" s="689">
        <v>12.3</v>
      </c>
      <c r="D12097" s="689">
        <v>12.3</v>
      </c>
      <c r="E12097" s="689">
        <v>12.3</v>
      </c>
      <c r="F12097" s="689">
        <v>12.7</v>
      </c>
      <c r="G12097" s="689">
        <v>12.8</v>
      </c>
      <c r="H12097" s="689">
        <v>12.9</v>
      </c>
      <c r="I12097" s="689">
        <v>12.9</v>
      </c>
      <c r="J12097" s="689">
        <v>12.7</v>
      </c>
      <c r="K12097" s="689">
        <v>12.9</v>
      </c>
    </row>
    <row r="12098" spans="1:11">
      <c r="A12098" s="688" t="s">
        <v>7</v>
      </c>
      <c r="B12098" s="615">
        <v>13</v>
      </c>
      <c r="C12098" s="691">
        <v>12.3</v>
      </c>
      <c r="D12098" s="691">
        <v>12.2</v>
      </c>
      <c r="E12098" s="691">
        <v>12.5</v>
      </c>
      <c r="F12098" s="691">
        <v>12.4</v>
      </c>
      <c r="G12098" s="691">
        <v>12.7</v>
      </c>
      <c r="H12098" s="691">
        <v>12.7</v>
      </c>
      <c r="I12098" s="691">
        <v>12.5</v>
      </c>
      <c r="J12098" s="615">
        <v>12</v>
      </c>
      <c r="K12098" s="691">
        <v>12.3</v>
      </c>
    </row>
    <row r="12099" spans="1:11">
      <c r="A12099" s="688" t="s">
        <v>27</v>
      </c>
      <c r="B12099" s="689">
        <v>13.4</v>
      </c>
      <c r="C12099" s="689">
        <v>13.1</v>
      </c>
      <c r="D12099" s="689">
        <v>12.9</v>
      </c>
      <c r="E12099" s="689">
        <v>13.2</v>
      </c>
      <c r="F12099" s="689">
        <v>13.1</v>
      </c>
      <c r="G12099" s="689">
        <v>13.2</v>
      </c>
      <c r="H12099" s="689">
        <v>13.5</v>
      </c>
      <c r="I12099" s="689">
        <v>12.4</v>
      </c>
      <c r="J12099" s="689">
        <v>13.1</v>
      </c>
      <c r="K12099" s="689">
        <v>13.2</v>
      </c>
    </row>
    <row r="12100" spans="1:11">
      <c r="A12100" s="688" t="s">
        <v>6</v>
      </c>
      <c r="B12100" s="691">
        <v>13.6</v>
      </c>
      <c r="C12100" s="691">
        <v>13.6</v>
      </c>
      <c r="D12100" s="691">
        <v>13.4</v>
      </c>
      <c r="E12100" s="691">
        <v>13.6</v>
      </c>
      <c r="F12100" s="691">
        <v>13.6</v>
      </c>
      <c r="G12100" s="691">
        <v>13.7</v>
      </c>
      <c r="H12100" s="691">
        <v>13.8</v>
      </c>
      <c r="I12100" s="691">
        <v>13.2</v>
      </c>
      <c r="J12100" s="691">
        <v>13.4</v>
      </c>
      <c r="K12100" s="691">
        <v>13.5</v>
      </c>
    </row>
    <row r="12101" spans="1:11">
      <c r="A12101" s="688" t="s">
        <v>4058</v>
      </c>
      <c r="B12101" s="690" t="s">
        <v>4060</v>
      </c>
      <c r="C12101" s="690" t="s">
        <v>4060</v>
      </c>
      <c r="D12101" s="690" t="s">
        <v>4060</v>
      </c>
      <c r="E12101" s="690" t="s">
        <v>4060</v>
      </c>
      <c r="F12101" s="690" t="s">
        <v>4060</v>
      </c>
      <c r="G12101" s="690" t="s">
        <v>4060</v>
      </c>
      <c r="H12101" s="690" t="s">
        <v>4060</v>
      </c>
      <c r="I12101" s="690" t="s">
        <v>4060</v>
      </c>
      <c r="J12101" s="690" t="s">
        <v>4060</v>
      </c>
      <c r="K12101" s="690" t="s">
        <v>4060</v>
      </c>
    </row>
    <row r="12102" spans="1:11">
      <c r="A12102" s="688" t="s">
        <v>11</v>
      </c>
      <c r="B12102" s="691">
        <v>10.3</v>
      </c>
      <c r="C12102" s="691">
        <v>10.3</v>
      </c>
      <c r="D12102" s="691">
        <v>10.1</v>
      </c>
      <c r="E12102" s="691">
        <v>10.4</v>
      </c>
      <c r="F12102" s="691">
        <v>10.4</v>
      </c>
      <c r="G12102" s="691">
        <v>10.5</v>
      </c>
      <c r="H12102" s="691">
        <v>10.8</v>
      </c>
      <c r="I12102" s="691">
        <v>10.1</v>
      </c>
      <c r="J12102" s="691">
        <v>9.6</v>
      </c>
      <c r="K12102" s="691">
        <v>10.199999999999999</v>
      </c>
    </row>
    <row r="12103" spans="1:11">
      <c r="A12103" s="688" t="s">
        <v>10</v>
      </c>
      <c r="B12103" s="693">
        <v>13</v>
      </c>
      <c r="C12103" s="689">
        <v>12.9</v>
      </c>
      <c r="D12103" s="689">
        <v>12.7</v>
      </c>
      <c r="E12103" s="689">
        <v>13.1</v>
      </c>
      <c r="F12103" s="689">
        <v>12.9</v>
      </c>
      <c r="G12103" s="689">
        <v>13.2</v>
      </c>
      <c r="H12103" s="689">
        <v>13.3</v>
      </c>
      <c r="I12103" s="689">
        <v>12.3</v>
      </c>
      <c r="J12103" s="689">
        <v>12.8</v>
      </c>
      <c r="K12103" s="689">
        <v>12.9</v>
      </c>
    </row>
    <row r="12104" spans="1:11">
      <c r="A12104" s="688" t="s">
        <v>30</v>
      </c>
      <c r="B12104" s="691">
        <v>12.6</v>
      </c>
      <c r="C12104" s="691">
        <v>12.7</v>
      </c>
      <c r="D12104" s="691">
        <v>12.5</v>
      </c>
      <c r="E12104" s="691">
        <v>12.9</v>
      </c>
      <c r="F12104" s="691">
        <v>12.8</v>
      </c>
      <c r="G12104" s="691">
        <v>13.3</v>
      </c>
      <c r="H12104" s="615">
        <v>13</v>
      </c>
      <c r="I12104" s="691">
        <v>13.3</v>
      </c>
      <c r="J12104" s="691">
        <v>12.8</v>
      </c>
      <c r="K12104" s="691">
        <v>12.7</v>
      </c>
    </row>
    <row r="12105" spans="1:11">
      <c r="A12105" s="688" t="s">
        <v>12</v>
      </c>
      <c r="B12105" s="689">
        <v>9.9</v>
      </c>
      <c r="C12105" s="689">
        <v>9.8000000000000007</v>
      </c>
      <c r="D12105" s="689">
        <v>9.9</v>
      </c>
      <c r="E12105" s="689">
        <v>9.8000000000000007</v>
      </c>
      <c r="F12105" s="689">
        <v>9.8000000000000007</v>
      </c>
      <c r="G12105" s="689">
        <v>9.9</v>
      </c>
      <c r="H12105" s="689">
        <v>10.1</v>
      </c>
      <c r="I12105" s="689">
        <v>9.8000000000000007</v>
      </c>
      <c r="J12105" s="693">
        <v>9</v>
      </c>
      <c r="K12105" s="689">
        <v>9.6999999999999993</v>
      </c>
    </row>
    <row r="12106" spans="1:11">
      <c r="A12106" s="688" t="s">
        <v>14</v>
      </c>
      <c r="B12106" s="691">
        <v>10.1</v>
      </c>
      <c r="C12106" s="615">
        <v>10</v>
      </c>
      <c r="D12106" s="691">
        <v>9.8000000000000007</v>
      </c>
      <c r="E12106" s="691">
        <v>9.8000000000000007</v>
      </c>
      <c r="F12106" s="691">
        <v>9.8000000000000007</v>
      </c>
      <c r="G12106" s="691">
        <v>9.9</v>
      </c>
      <c r="H12106" s="691">
        <v>10.199999999999999</v>
      </c>
      <c r="I12106" s="691">
        <v>9.6</v>
      </c>
      <c r="J12106" s="691">
        <v>9.3000000000000007</v>
      </c>
      <c r="K12106" s="691">
        <v>9.9</v>
      </c>
    </row>
    <row r="12107" spans="1:11">
      <c r="A12107" s="688" t="s">
        <v>15</v>
      </c>
      <c r="B12107" s="689">
        <v>13.2</v>
      </c>
      <c r="C12107" s="689">
        <v>12.4</v>
      </c>
      <c r="D12107" s="689">
        <v>12.6</v>
      </c>
      <c r="E12107" s="689">
        <v>12.8</v>
      </c>
      <c r="F12107" s="689">
        <v>12.9</v>
      </c>
      <c r="G12107" s="689">
        <v>12.6</v>
      </c>
      <c r="H12107" s="693">
        <v>13</v>
      </c>
      <c r="I12107" s="689">
        <v>12.5</v>
      </c>
      <c r="J12107" s="689">
        <v>12.9</v>
      </c>
      <c r="K12107" s="689">
        <v>13.4</v>
      </c>
    </row>
    <row r="12108" spans="1:11">
      <c r="A12108" s="688" t="s">
        <v>29</v>
      </c>
      <c r="B12108" s="615">
        <v>10</v>
      </c>
      <c r="C12108" s="691">
        <v>10.1</v>
      </c>
      <c r="D12108" s="691">
        <v>9.9</v>
      </c>
      <c r="E12108" s="691">
        <v>10.1</v>
      </c>
      <c r="F12108" s="615">
        <v>10</v>
      </c>
      <c r="G12108" s="691">
        <v>10.1</v>
      </c>
      <c r="H12108" s="691">
        <v>10.3</v>
      </c>
      <c r="I12108" s="691">
        <v>9.6999999999999993</v>
      </c>
      <c r="J12108" s="691">
        <v>9.1999999999999993</v>
      </c>
      <c r="K12108" s="691">
        <v>9.9</v>
      </c>
    </row>
    <row r="12109" spans="1:11">
      <c r="A12109" s="688" t="s">
        <v>16</v>
      </c>
      <c r="B12109" s="689">
        <v>12.5</v>
      </c>
      <c r="C12109" s="689">
        <v>12.4</v>
      </c>
      <c r="D12109" s="689">
        <v>12.4</v>
      </c>
      <c r="E12109" s="689">
        <v>13.2</v>
      </c>
      <c r="F12109" s="689">
        <v>12.8</v>
      </c>
      <c r="G12109" s="689">
        <v>12.7</v>
      </c>
      <c r="H12109" s="689">
        <v>12.9</v>
      </c>
      <c r="I12109" s="689">
        <v>12.3</v>
      </c>
      <c r="J12109" s="689">
        <v>12.7</v>
      </c>
      <c r="K12109" s="689">
        <v>12.8</v>
      </c>
    </row>
    <row r="12110" spans="1:11">
      <c r="A12110" s="688" t="s">
        <v>17</v>
      </c>
      <c r="B12110" s="691">
        <v>12.3</v>
      </c>
      <c r="C12110" s="691">
        <v>12.5</v>
      </c>
      <c r="D12110" s="691">
        <v>12.3</v>
      </c>
      <c r="E12110" s="691">
        <v>12.4</v>
      </c>
      <c r="F12110" s="691">
        <v>12.5</v>
      </c>
      <c r="G12110" s="691">
        <v>12.6</v>
      </c>
      <c r="H12110" s="691">
        <v>12.7</v>
      </c>
      <c r="I12110" s="691">
        <v>12.1</v>
      </c>
      <c r="J12110" s="691">
        <v>12.2</v>
      </c>
      <c r="K12110" s="691">
        <v>12.5</v>
      </c>
    </row>
    <row r="12111" spans="1:11">
      <c r="A12111" s="688" t="s">
        <v>19</v>
      </c>
      <c r="B12111" s="689">
        <v>12.6</v>
      </c>
      <c r="C12111" s="689">
        <v>12.7</v>
      </c>
      <c r="D12111" s="689">
        <v>12.4</v>
      </c>
      <c r="E12111" s="689">
        <v>12.7</v>
      </c>
      <c r="F12111" s="689">
        <v>12.7</v>
      </c>
      <c r="G12111" s="689">
        <v>12.7</v>
      </c>
      <c r="H12111" s="689">
        <v>12.9</v>
      </c>
      <c r="I12111" s="689">
        <v>12.2</v>
      </c>
      <c r="J12111" s="689">
        <v>12.3</v>
      </c>
      <c r="K12111" s="689">
        <v>12.3</v>
      </c>
    </row>
    <row r="12112" spans="1:11">
      <c r="A12112" s="688" t="s">
        <v>20</v>
      </c>
      <c r="B12112" s="691">
        <v>10.9</v>
      </c>
      <c r="C12112" s="615">
        <v>11</v>
      </c>
      <c r="D12112" s="691">
        <v>10.9</v>
      </c>
      <c r="E12112" s="691">
        <v>11.2</v>
      </c>
      <c r="F12112" s="691">
        <v>11.1</v>
      </c>
      <c r="G12112" s="691">
        <v>11.1</v>
      </c>
      <c r="H12112" s="691">
        <v>11.4</v>
      </c>
      <c r="I12112" s="691">
        <v>10.1</v>
      </c>
      <c r="J12112" s="691">
        <v>9.6999999999999993</v>
      </c>
      <c r="K12112" s="691">
        <v>10.7</v>
      </c>
    </row>
    <row r="12113" spans="1:11">
      <c r="A12113" s="688" t="s">
        <v>21</v>
      </c>
      <c r="B12113" s="693">
        <v>12</v>
      </c>
      <c r="C12113" s="689">
        <v>12.4</v>
      </c>
      <c r="D12113" s="689">
        <v>12.4</v>
      </c>
      <c r="E12113" s="689">
        <v>12.4</v>
      </c>
      <c r="F12113" s="689">
        <v>12.6</v>
      </c>
      <c r="G12113" s="689">
        <v>12.6</v>
      </c>
      <c r="H12113" s="689">
        <v>12.9</v>
      </c>
      <c r="I12113" s="689">
        <v>12.5</v>
      </c>
      <c r="J12113" s="689">
        <v>12.6</v>
      </c>
      <c r="K12113" s="689">
        <v>12.8</v>
      </c>
    </row>
    <row r="12114" spans="1:11">
      <c r="A12114" s="688" t="s">
        <v>22</v>
      </c>
      <c r="B12114" s="691">
        <v>10.199999999999999</v>
      </c>
      <c r="C12114" s="691">
        <v>10.1</v>
      </c>
      <c r="D12114" s="691">
        <v>9.9</v>
      </c>
      <c r="E12114" s="691">
        <v>10.199999999999999</v>
      </c>
      <c r="F12114" s="691">
        <v>10.199999999999999</v>
      </c>
      <c r="G12114" s="691">
        <v>10.3</v>
      </c>
      <c r="H12114" s="691">
        <v>10.5</v>
      </c>
      <c r="I12114" s="691">
        <v>9.4</v>
      </c>
      <c r="J12114" s="691">
        <v>8.6</v>
      </c>
      <c r="K12114" s="691">
        <v>9.6999999999999993</v>
      </c>
    </row>
    <row r="12115" spans="1:11">
      <c r="A12115" s="688" t="s">
        <v>26</v>
      </c>
      <c r="B12115" s="689">
        <v>11.9</v>
      </c>
      <c r="C12115" s="693">
        <v>12</v>
      </c>
      <c r="D12115" s="689">
        <v>11.8</v>
      </c>
      <c r="E12115" s="689">
        <v>12.1</v>
      </c>
      <c r="F12115" s="689">
        <v>11.9</v>
      </c>
      <c r="G12115" s="689">
        <v>12.1</v>
      </c>
      <c r="H12115" s="689">
        <v>12.4</v>
      </c>
      <c r="I12115" s="689">
        <v>11.4</v>
      </c>
      <c r="J12115" s="689">
        <v>11.6</v>
      </c>
      <c r="K12115" s="689">
        <v>12.2</v>
      </c>
    </row>
    <row r="12116" spans="1:11">
      <c r="A12116" s="688" t="s">
        <v>25</v>
      </c>
      <c r="B12116" s="615">
        <v>10</v>
      </c>
      <c r="C12116" s="691">
        <v>10.3</v>
      </c>
      <c r="D12116" s="691">
        <v>10.199999999999999</v>
      </c>
      <c r="E12116" s="691">
        <v>10.6</v>
      </c>
      <c r="F12116" s="691">
        <v>10.5</v>
      </c>
      <c r="G12116" s="691">
        <v>10.7</v>
      </c>
      <c r="H12116" s="615">
        <v>11</v>
      </c>
      <c r="I12116" s="691">
        <v>10.199999999999999</v>
      </c>
      <c r="J12116" s="615">
        <v>9</v>
      </c>
      <c r="K12116" s="691">
        <v>10.3</v>
      </c>
    </row>
    <row r="12117" spans="1:11">
      <c r="A12117" s="688" t="s">
        <v>5</v>
      </c>
      <c r="B12117" s="689">
        <v>12.4</v>
      </c>
      <c r="C12117" s="689">
        <v>12.3</v>
      </c>
      <c r="D12117" s="689">
        <v>12.4</v>
      </c>
      <c r="E12117" s="689">
        <v>12.3</v>
      </c>
      <c r="F12117" s="689">
        <v>12.5</v>
      </c>
      <c r="G12117" s="689">
        <v>12.6</v>
      </c>
      <c r="H12117" s="689">
        <v>12.8</v>
      </c>
      <c r="I12117" s="689">
        <v>12.8</v>
      </c>
      <c r="J12117" s="689">
        <v>12.7</v>
      </c>
      <c r="K12117" s="689">
        <v>12.2</v>
      </c>
    </row>
    <row r="12118" spans="1:11">
      <c r="A12118" s="688" t="s">
        <v>23</v>
      </c>
      <c r="B12118" s="691">
        <v>12.7</v>
      </c>
      <c r="C12118" s="691">
        <v>12.8</v>
      </c>
      <c r="D12118" s="691">
        <v>12.8</v>
      </c>
      <c r="E12118" s="691">
        <v>12.9</v>
      </c>
      <c r="F12118" s="615">
        <v>13</v>
      </c>
      <c r="G12118" s="615">
        <v>13</v>
      </c>
      <c r="H12118" s="691">
        <v>13.3</v>
      </c>
      <c r="I12118" s="691">
        <v>12.7</v>
      </c>
      <c r="J12118" s="691">
        <v>13.3</v>
      </c>
      <c r="K12118" s="691">
        <v>13.3</v>
      </c>
    </row>
    <row r="12119" spans="1:11">
      <c r="A12119" s="688" t="s">
        <v>4067</v>
      </c>
      <c r="B12119" s="689">
        <v>12.4</v>
      </c>
      <c r="C12119" s="689">
        <v>12.6</v>
      </c>
      <c r="D12119" s="689">
        <v>12.4</v>
      </c>
      <c r="E12119" s="689">
        <v>12.7</v>
      </c>
      <c r="F12119" s="689">
        <v>12.6</v>
      </c>
      <c r="G12119" s="689">
        <v>12.7</v>
      </c>
      <c r="H12119" s="690" t="s">
        <v>4060</v>
      </c>
      <c r="I12119" s="690" t="s">
        <v>4060</v>
      </c>
      <c r="J12119" s="690" t="s">
        <v>4060</v>
      </c>
      <c r="K12119" s="690" t="s">
        <v>4060</v>
      </c>
    </row>
    <row r="12120" spans="1:11">
      <c r="A12120" s="688" t="s">
        <v>4066</v>
      </c>
      <c r="B12120" s="691">
        <v>12.4</v>
      </c>
      <c r="C12120" s="691">
        <v>12.7</v>
      </c>
      <c r="D12120" s="691">
        <v>12.4</v>
      </c>
      <c r="E12120" s="691">
        <v>12.7</v>
      </c>
      <c r="F12120" s="691">
        <v>12.6</v>
      </c>
      <c r="G12120" s="691">
        <v>12.8</v>
      </c>
      <c r="H12120" s="692" t="s">
        <v>4060</v>
      </c>
      <c r="I12120" s="692" t="s">
        <v>4060</v>
      </c>
      <c r="J12120" s="692" t="s">
        <v>4060</v>
      </c>
      <c r="K12120" s="692" t="s">
        <v>4060</v>
      </c>
    </row>
    <row r="12121" spans="1:11">
      <c r="A12121" s="688" t="s">
        <v>4062</v>
      </c>
      <c r="B12121" s="693">
        <v>13</v>
      </c>
      <c r="C12121" s="689">
        <v>13.1</v>
      </c>
      <c r="D12121" s="693">
        <v>13</v>
      </c>
      <c r="E12121" s="689">
        <v>13.3</v>
      </c>
      <c r="F12121" s="689">
        <v>13.4</v>
      </c>
      <c r="G12121" s="689">
        <v>13.5</v>
      </c>
      <c r="H12121" s="689">
        <v>13.6</v>
      </c>
      <c r="I12121" s="689">
        <v>13.2</v>
      </c>
      <c r="J12121" s="689">
        <v>13.6</v>
      </c>
      <c r="K12121" s="689">
        <v>13.4</v>
      </c>
    </row>
    <row r="12122" spans="1:11">
      <c r="A12122" s="688" t="s">
        <v>9</v>
      </c>
      <c r="B12122" s="691">
        <v>12.7</v>
      </c>
      <c r="C12122" s="691">
        <v>13.1</v>
      </c>
      <c r="D12122" s="691">
        <v>13.3</v>
      </c>
      <c r="E12122" s="691">
        <v>12.5</v>
      </c>
      <c r="F12122" s="691">
        <v>13.2</v>
      </c>
      <c r="G12122" s="691">
        <v>13.4</v>
      </c>
      <c r="H12122" s="691">
        <v>13.5</v>
      </c>
      <c r="I12122" s="691">
        <v>13.7</v>
      </c>
      <c r="J12122" s="691">
        <v>13.9</v>
      </c>
      <c r="K12122" s="691">
        <v>12.9</v>
      </c>
    </row>
    <row r="12123" spans="1:11">
      <c r="A12123" s="688" t="s">
        <v>13</v>
      </c>
      <c r="B12123" s="689">
        <v>12.9</v>
      </c>
      <c r="C12123" s="689">
        <v>13.6</v>
      </c>
      <c r="D12123" s="689">
        <v>13.1</v>
      </c>
      <c r="E12123" s="689">
        <v>12.3</v>
      </c>
      <c r="F12123" s="689">
        <v>14.3</v>
      </c>
      <c r="G12123" s="689">
        <v>12.3</v>
      </c>
      <c r="H12123" s="689">
        <v>13.8</v>
      </c>
      <c r="I12123" s="689">
        <v>12.1</v>
      </c>
      <c r="J12123" s="689">
        <v>14.7</v>
      </c>
      <c r="K12123" s="689">
        <v>14.9</v>
      </c>
    </row>
    <row r="12124" spans="1:11">
      <c r="A12124" s="688" t="s">
        <v>18</v>
      </c>
      <c r="B12124" s="691">
        <v>12.5</v>
      </c>
      <c r="C12124" s="691">
        <v>12.6</v>
      </c>
      <c r="D12124" s="691">
        <v>12.7</v>
      </c>
      <c r="E12124" s="615">
        <v>13</v>
      </c>
      <c r="F12124" s="615">
        <v>13</v>
      </c>
      <c r="G12124" s="691">
        <v>13.1</v>
      </c>
      <c r="H12124" s="691">
        <v>13.3</v>
      </c>
      <c r="I12124" s="691">
        <v>13.4</v>
      </c>
      <c r="J12124" s="691">
        <v>13.4</v>
      </c>
      <c r="K12124" s="615">
        <v>13</v>
      </c>
    </row>
    <row r="12125" spans="1:11">
      <c r="A12125" s="688" t="s">
        <v>24</v>
      </c>
      <c r="B12125" s="689">
        <v>13.3</v>
      </c>
      <c r="C12125" s="689">
        <v>13.3</v>
      </c>
      <c r="D12125" s="689">
        <v>13.1</v>
      </c>
      <c r="E12125" s="689">
        <v>13.6</v>
      </c>
      <c r="F12125" s="689">
        <v>13.6</v>
      </c>
      <c r="G12125" s="689">
        <v>13.7</v>
      </c>
      <c r="H12125" s="689">
        <v>13.8</v>
      </c>
      <c r="I12125" s="693">
        <v>13</v>
      </c>
      <c r="J12125" s="689">
        <v>13.7</v>
      </c>
      <c r="K12125" s="689">
        <v>13.6</v>
      </c>
    </row>
    <row r="12126" spans="1:11">
      <c r="A12126" s="688" t="s">
        <v>4059</v>
      </c>
      <c r="B12126" s="691">
        <v>12.7</v>
      </c>
      <c r="C12126" s="691">
        <v>12.9</v>
      </c>
      <c r="D12126" s="691">
        <v>12.7</v>
      </c>
      <c r="E12126" s="691">
        <v>12.9</v>
      </c>
      <c r="F12126" s="691">
        <v>12.9</v>
      </c>
      <c r="G12126" s="615">
        <v>13</v>
      </c>
      <c r="H12126" s="692" t="s">
        <v>4060</v>
      </c>
      <c r="I12126" s="692" t="s">
        <v>4060</v>
      </c>
      <c r="J12126" s="692" t="s">
        <v>4060</v>
      </c>
      <c r="K12126" s="692" t="s">
        <v>4060</v>
      </c>
    </row>
    <row r="12127" spans="1:11">
      <c r="A12127" s="688" t="s">
        <v>2324</v>
      </c>
      <c r="B12127" s="689">
        <v>10.199999999999999</v>
      </c>
      <c r="C12127" s="689">
        <v>10.3</v>
      </c>
      <c r="D12127" s="689">
        <v>10.1</v>
      </c>
      <c r="E12127" s="689">
        <v>9.9</v>
      </c>
      <c r="F12127" s="689">
        <v>10.1</v>
      </c>
      <c r="G12127" s="689">
        <v>10.4</v>
      </c>
      <c r="H12127" s="689">
        <v>10.4</v>
      </c>
      <c r="I12127" s="689">
        <v>9.1999999999999993</v>
      </c>
      <c r="J12127" s="689">
        <v>7.9</v>
      </c>
      <c r="K12127" s="690" t="s">
        <v>4060</v>
      </c>
    </row>
    <row r="12128" spans="1:11">
      <c r="A12128" s="688" t="s">
        <v>2322</v>
      </c>
      <c r="B12128" s="692" t="s">
        <v>4060</v>
      </c>
      <c r="C12128" s="692" t="s">
        <v>4060</v>
      </c>
      <c r="D12128" s="692" t="s">
        <v>4060</v>
      </c>
      <c r="E12128" s="692" t="s">
        <v>4060</v>
      </c>
      <c r="F12128" s="692" t="s">
        <v>4060</v>
      </c>
      <c r="G12128" s="692" t="s">
        <v>4060</v>
      </c>
      <c r="H12128" s="692" t="s">
        <v>4060</v>
      </c>
      <c r="I12128" s="692" t="s">
        <v>4060</v>
      </c>
      <c r="J12128" s="692" t="s">
        <v>4060</v>
      </c>
      <c r="K12128" s="692" t="s">
        <v>4060</v>
      </c>
    </row>
    <row r="12129" spans="1:11">
      <c r="A12129" s="688" t="s">
        <v>2328</v>
      </c>
      <c r="B12129" s="689">
        <v>9.1999999999999993</v>
      </c>
      <c r="C12129" s="689">
        <v>9.5</v>
      </c>
      <c r="D12129" s="689">
        <v>9.4</v>
      </c>
      <c r="E12129" s="689">
        <v>9.4</v>
      </c>
      <c r="F12129" s="689">
        <v>9.5</v>
      </c>
      <c r="G12129" s="689">
        <v>9.9</v>
      </c>
      <c r="H12129" s="689">
        <v>9.8000000000000007</v>
      </c>
      <c r="I12129" s="689">
        <v>8.5</v>
      </c>
      <c r="J12129" s="689">
        <v>8.1</v>
      </c>
      <c r="K12129" s="690" t="s">
        <v>4060</v>
      </c>
    </row>
    <row r="12130" spans="1:11">
      <c r="A12130" s="688" t="s">
        <v>2496</v>
      </c>
      <c r="B12130" s="692" t="s">
        <v>4060</v>
      </c>
      <c r="C12130" s="691">
        <v>10.1</v>
      </c>
      <c r="D12130" s="691">
        <v>8.9</v>
      </c>
      <c r="E12130" s="691">
        <v>8.5</v>
      </c>
      <c r="F12130" s="691">
        <v>8.8000000000000007</v>
      </c>
      <c r="G12130" s="691">
        <v>9.1</v>
      </c>
      <c r="H12130" s="691">
        <v>9.1</v>
      </c>
      <c r="I12130" s="692" t="s">
        <v>4060</v>
      </c>
      <c r="J12130" s="692" t="s">
        <v>4060</v>
      </c>
      <c r="K12130" s="691">
        <v>8.5</v>
      </c>
    </row>
    <row r="12131" spans="1:11">
      <c r="A12131" s="688" t="s">
        <v>2269</v>
      </c>
      <c r="B12131" s="689">
        <v>10.9</v>
      </c>
      <c r="C12131" s="689">
        <v>10.9</v>
      </c>
      <c r="D12131" s="689">
        <v>10.6</v>
      </c>
      <c r="E12131" s="693">
        <v>11</v>
      </c>
      <c r="F12131" s="689">
        <v>11.1</v>
      </c>
      <c r="G12131" s="689">
        <v>11.4</v>
      </c>
      <c r="H12131" s="689">
        <v>11.7</v>
      </c>
      <c r="I12131" s="689">
        <v>10.199999999999999</v>
      </c>
      <c r="J12131" s="689">
        <v>8.4</v>
      </c>
      <c r="K12131" s="689">
        <v>11.4</v>
      </c>
    </row>
    <row r="12132" spans="1:11">
      <c r="A12132" s="688" t="s">
        <v>2349</v>
      </c>
      <c r="B12132" s="691">
        <v>9.6</v>
      </c>
      <c r="C12132" s="691">
        <v>9.6999999999999993</v>
      </c>
      <c r="D12132" s="691">
        <v>9.6999999999999993</v>
      </c>
      <c r="E12132" s="615">
        <v>10</v>
      </c>
      <c r="F12132" s="691">
        <v>9.9</v>
      </c>
      <c r="G12132" s="615">
        <v>10</v>
      </c>
      <c r="H12132" s="691">
        <v>10.3</v>
      </c>
      <c r="I12132" s="691">
        <v>9.1999999999999993</v>
      </c>
      <c r="J12132" s="691">
        <v>8.1</v>
      </c>
      <c r="K12132" s="691">
        <v>9.4</v>
      </c>
    </row>
    <row r="12133" spans="1:11">
      <c r="A12133" s="688" t="s">
        <v>2355</v>
      </c>
      <c r="B12133" s="689">
        <v>11.2</v>
      </c>
      <c r="C12133" s="693">
        <v>11</v>
      </c>
      <c r="D12133" s="689">
        <v>10.9</v>
      </c>
      <c r="E12133" s="689">
        <v>10.9</v>
      </c>
      <c r="F12133" s="693">
        <v>11</v>
      </c>
      <c r="G12133" s="689">
        <v>11.3</v>
      </c>
      <c r="H12133" s="689">
        <v>11.3</v>
      </c>
      <c r="I12133" s="690" t="s">
        <v>4060</v>
      </c>
      <c r="J12133" s="690" t="s">
        <v>4060</v>
      </c>
      <c r="K12133" s="690" t="s">
        <v>4060</v>
      </c>
    </row>
    <row r="12134" spans="1:11">
      <c r="A12134" s="688" t="s">
        <v>2357</v>
      </c>
      <c r="B12134" s="692" t="s">
        <v>4060</v>
      </c>
      <c r="C12134" s="691">
        <v>9.1999999999999993</v>
      </c>
      <c r="D12134" s="691">
        <v>9.4</v>
      </c>
      <c r="E12134" s="691">
        <v>9.6</v>
      </c>
      <c r="F12134" s="691">
        <v>9.6999999999999993</v>
      </c>
      <c r="G12134" s="691">
        <v>9.6</v>
      </c>
      <c r="H12134" s="691">
        <v>9.6</v>
      </c>
      <c r="I12134" s="692" t="s">
        <v>4060</v>
      </c>
      <c r="J12134" s="692" t="s">
        <v>4060</v>
      </c>
      <c r="K12134" s="692" t="s">
        <v>4060</v>
      </c>
    </row>
    <row r="12135" spans="1:11">
      <c r="A12135" s="688" t="s">
        <v>4070</v>
      </c>
      <c r="B12135" s="690" t="s">
        <v>4060</v>
      </c>
      <c r="C12135" s="690" t="s">
        <v>4060</v>
      </c>
      <c r="D12135" s="690" t="s">
        <v>4060</v>
      </c>
      <c r="E12135" s="689">
        <v>10.5</v>
      </c>
      <c r="F12135" s="690" t="s">
        <v>4060</v>
      </c>
      <c r="G12135" s="690" t="s">
        <v>4060</v>
      </c>
      <c r="H12135" s="690" t="s">
        <v>4060</v>
      </c>
      <c r="I12135" s="690" t="s">
        <v>4060</v>
      </c>
      <c r="J12135" s="690" t="s">
        <v>4060</v>
      </c>
      <c r="K12135" s="690" t="s">
        <v>4060</v>
      </c>
    </row>
    <row r="12136" spans="1:11">
      <c r="A12136" s="688" t="s">
        <v>2491</v>
      </c>
      <c r="B12136" s="691">
        <v>8.6999999999999993</v>
      </c>
      <c r="C12136" s="691">
        <v>8.9</v>
      </c>
      <c r="D12136" s="615">
        <v>9</v>
      </c>
      <c r="E12136" s="615">
        <v>9</v>
      </c>
      <c r="F12136" s="691">
        <v>8.9</v>
      </c>
      <c r="G12136" s="691">
        <v>9.1</v>
      </c>
      <c r="H12136" s="692" t="s">
        <v>4060</v>
      </c>
      <c r="I12136" s="692" t="s">
        <v>4060</v>
      </c>
      <c r="J12136" s="692" t="s">
        <v>4060</v>
      </c>
      <c r="K12136" s="692" t="s">
        <v>4060</v>
      </c>
    </row>
    <row r="12137" spans="1:11">
      <c r="A12137" s="688" t="s">
        <v>2343</v>
      </c>
      <c r="B12137" s="690" t="s">
        <v>4060</v>
      </c>
      <c r="C12137" s="690" t="s">
        <v>4060</v>
      </c>
      <c r="D12137" s="690" t="s">
        <v>4060</v>
      </c>
      <c r="E12137" s="690" t="s">
        <v>4060</v>
      </c>
      <c r="F12137" s="690" t="s">
        <v>4060</v>
      </c>
      <c r="G12137" s="690" t="s">
        <v>4060</v>
      </c>
      <c r="H12137" s="690" t="s">
        <v>4060</v>
      </c>
      <c r="I12137" s="690" t="s">
        <v>4060</v>
      </c>
      <c r="J12137" s="690" t="s">
        <v>4060</v>
      </c>
      <c r="K12137" s="690" t="s">
        <v>4060</v>
      </c>
    </row>
    <row r="12138" spans="1:11">
      <c r="A12138" s="688" t="s">
        <v>4071</v>
      </c>
      <c r="B12138" s="692" t="s">
        <v>4060</v>
      </c>
      <c r="C12138" s="692" t="s">
        <v>4060</v>
      </c>
      <c r="D12138" s="692" t="s">
        <v>4060</v>
      </c>
      <c r="E12138" s="692" t="s">
        <v>4060</v>
      </c>
      <c r="F12138" s="692" t="s">
        <v>4060</v>
      </c>
      <c r="G12138" s="692" t="s">
        <v>4060</v>
      </c>
      <c r="H12138" s="692" t="s">
        <v>4060</v>
      </c>
      <c r="I12138" s="692" t="s">
        <v>4060</v>
      </c>
      <c r="J12138" s="692" t="s">
        <v>4060</v>
      </c>
      <c r="K12138" s="692" t="s">
        <v>4060</v>
      </c>
    </row>
    <row r="12139" spans="1:11">
      <c r="A12139" s="688" t="s">
        <v>2489</v>
      </c>
      <c r="B12139" s="690" t="s">
        <v>4060</v>
      </c>
      <c r="C12139" s="690" t="s">
        <v>4060</v>
      </c>
      <c r="D12139" s="689">
        <v>9.9</v>
      </c>
      <c r="E12139" s="689">
        <v>9.9</v>
      </c>
      <c r="F12139" s="689">
        <v>10.1</v>
      </c>
      <c r="G12139" s="689">
        <v>10.7</v>
      </c>
      <c r="H12139" s="689">
        <v>10.9</v>
      </c>
      <c r="I12139" s="690" t="s">
        <v>4060</v>
      </c>
      <c r="J12139" s="690" t="s">
        <v>4060</v>
      </c>
      <c r="K12139" s="690" t="s">
        <v>4060</v>
      </c>
    </row>
    <row r="12140" spans="1:11">
      <c r="A12140" s="688" t="s">
        <v>2490</v>
      </c>
      <c r="B12140" s="691">
        <v>10.1</v>
      </c>
      <c r="C12140" s="615">
        <v>10</v>
      </c>
      <c r="D12140" s="691">
        <v>10.7</v>
      </c>
      <c r="E12140" s="692" t="s">
        <v>4060</v>
      </c>
      <c r="F12140" s="691">
        <v>11.1</v>
      </c>
      <c r="G12140" s="691">
        <v>10.9</v>
      </c>
      <c r="H12140" s="691">
        <v>11.9</v>
      </c>
      <c r="I12140" s="692" t="s">
        <v>4060</v>
      </c>
      <c r="J12140" s="692" t="s">
        <v>4060</v>
      </c>
      <c r="K12140" s="692" t="s">
        <v>4060</v>
      </c>
    </row>
    <row r="12142" spans="1:11">
      <c r="A12142" s="683" t="s">
        <v>4233</v>
      </c>
    </row>
    <row r="12143" spans="1:11">
      <c r="A12143" s="683" t="s">
        <v>4060</v>
      </c>
      <c r="B12143" s="682" t="s">
        <v>4234</v>
      </c>
    </row>
    <row r="12145" spans="1:11">
      <c r="A12145" s="682" t="s">
        <v>4331</v>
      </c>
    </row>
    <row r="12146" spans="1:11">
      <c r="A12146" s="682" t="s">
        <v>4210</v>
      </c>
      <c r="B12146" s="683" t="s">
        <v>4211</v>
      </c>
    </row>
    <row r="12147" spans="1:11">
      <c r="A12147" s="682" t="s">
        <v>4212</v>
      </c>
      <c r="B12147" s="682" t="s">
        <v>4213</v>
      </c>
    </row>
    <row r="12149" spans="1:11">
      <c r="A12149" s="683" t="s">
        <v>4214</v>
      </c>
      <c r="C12149" s="682" t="s">
        <v>4215</v>
      </c>
    </row>
    <row r="12150" spans="1:11">
      <c r="A12150" s="683" t="s">
        <v>4216</v>
      </c>
      <c r="C12150" s="682" t="s">
        <v>2967</v>
      </c>
    </row>
    <row r="12151" spans="1:11">
      <c r="A12151" s="683" t="s">
        <v>3893</v>
      </c>
      <c r="C12151" s="682" t="s">
        <v>2168</v>
      </c>
    </row>
    <row r="12152" spans="1:11">
      <c r="A12152" s="683" t="s">
        <v>4218</v>
      </c>
      <c r="C12152" s="682" t="s">
        <v>4308</v>
      </c>
    </row>
    <row r="12154" spans="1:11">
      <c r="A12154" s="684" t="s">
        <v>4220</v>
      </c>
      <c r="B12154" s="685" t="s">
        <v>4221</v>
      </c>
      <c r="C12154" s="685" t="s">
        <v>4222</v>
      </c>
      <c r="D12154" s="685" t="s">
        <v>4223</v>
      </c>
      <c r="E12154" s="685" t="s">
        <v>4224</v>
      </c>
      <c r="F12154" s="685" t="s">
        <v>4225</v>
      </c>
      <c r="G12154" s="685" t="s">
        <v>4226</v>
      </c>
      <c r="H12154" s="685" t="s">
        <v>4227</v>
      </c>
      <c r="I12154" s="685" t="s">
        <v>4228</v>
      </c>
      <c r="J12154" s="685" t="s">
        <v>4229</v>
      </c>
      <c r="K12154" s="685" t="s">
        <v>4230</v>
      </c>
    </row>
    <row r="12155" spans="1:11">
      <c r="A12155" s="686" t="s">
        <v>4231</v>
      </c>
      <c r="B12155" s="687" t="s">
        <v>4232</v>
      </c>
      <c r="C12155" s="687" t="s">
        <v>4232</v>
      </c>
      <c r="D12155" s="687" t="s">
        <v>4232</v>
      </c>
      <c r="E12155" s="687" t="s">
        <v>4232</v>
      </c>
      <c r="F12155" s="687" t="s">
        <v>4232</v>
      </c>
      <c r="G12155" s="687" t="s">
        <v>4232</v>
      </c>
      <c r="H12155" s="687" t="s">
        <v>4232</v>
      </c>
      <c r="I12155" s="687" t="s">
        <v>4232</v>
      </c>
      <c r="J12155" s="687" t="s">
        <v>4232</v>
      </c>
      <c r="K12155" s="687" t="s">
        <v>4232</v>
      </c>
    </row>
    <row r="12156" spans="1:11">
      <c r="A12156" s="688" t="s">
        <v>4064</v>
      </c>
      <c r="B12156" s="691">
        <v>11.7</v>
      </c>
      <c r="C12156" s="691">
        <v>11.7</v>
      </c>
      <c r="D12156" s="691">
        <v>11.7</v>
      </c>
      <c r="E12156" s="691">
        <v>11.8</v>
      </c>
      <c r="F12156" s="691">
        <v>11.7</v>
      </c>
      <c r="G12156" s="691">
        <v>11.8</v>
      </c>
      <c r="H12156" s="615">
        <v>12</v>
      </c>
      <c r="I12156" s="691">
        <v>11.3</v>
      </c>
      <c r="J12156" s="691">
        <v>11.4</v>
      </c>
      <c r="K12156" s="691">
        <v>11.6</v>
      </c>
    </row>
    <row r="12157" spans="1:11">
      <c r="A12157" s="688" t="s">
        <v>4065</v>
      </c>
      <c r="B12157" s="689">
        <v>11.7</v>
      </c>
      <c r="C12157" s="693">
        <v>12</v>
      </c>
      <c r="D12157" s="689">
        <v>11.8</v>
      </c>
      <c r="E12157" s="693">
        <v>12</v>
      </c>
      <c r="F12157" s="693">
        <v>12</v>
      </c>
      <c r="G12157" s="689">
        <v>12.1</v>
      </c>
      <c r="H12157" s="690" t="s">
        <v>4060</v>
      </c>
      <c r="I12157" s="690" t="s">
        <v>4060</v>
      </c>
      <c r="J12157" s="690" t="s">
        <v>4060</v>
      </c>
      <c r="K12157" s="690" t="s">
        <v>4060</v>
      </c>
    </row>
    <row r="12158" spans="1:11">
      <c r="A12158" s="688" t="s">
        <v>4063</v>
      </c>
      <c r="B12158" s="691">
        <v>11.7</v>
      </c>
      <c r="C12158" s="615">
        <v>12</v>
      </c>
      <c r="D12158" s="691">
        <v>11.8</v>
      </c>
      <c r="E12158" s="691">
        <v>12.1</v>
      </c>
      <c r="F12158" s="615">
        <v>12</v>
      </c>
      <c r="G12158" s="691">
        <v>12.1</v>
      </c>
      <c r="H12158" s="692" t="s">
        <v>4060</v>
      </c>
      <c r="I12158" s="692" t="s">
        <v>4060</v>
      </c>
      <c r="J12158" s="692" t="s">
        <v>4060</v>
      </c>
      <c r="K12158" s="692" t="s">
        <v>4060</v>
      </c>
    </row>
    <row r="12159" spans="1:11">
      <c r="A12159" s="688" t="s">
        <v>4069</v>
      </c>
      <c r="B12159" s="690" t="s">
        <v>4060</v>
      </c>
      <c r="C12159" s="693">
        <v>12</v>
      </c>
      <c r="D12159" s="689">
        <v>11.8</v>
      </c>
      <c r="E12159" s="689">
        <v>12.1</v>
      </c>
      <c r="F12159" s="693">
        <v>12</v>
      </c>
      <c r="G12159" s="689">
        <v>12.2</v>
      </c>
      <c r="H12159" s="689">
        <v>12.3</v>
      </c>
      <c r="I12159" s="689">
        <v>11.7</v>
      </c>
      <c r="J12159" s="689">
        <v>11.9</v>
      </c>
      <c r="K12159" s="689">
        <v>11.9</v>
      </c>
    </row>
    <row r="12160" spans="1:11">
      <c r="A12160" s="688" t="s">
        <v>4068</v>
      </c>
      <c r="B12160" s="691">
        <v>12.1</v>
      </c>
      <c r="C12160" s="692" t="s">
        <v>4060</v>
      </c>
      <c r="D12160" s="692" t="s">
        <v>4060</v>
      </c>
      <c r="E12160" s="692" t="s">
        <v>4060</v>
      </c>
      <c r="F12160" s="692" t="s">
        <v>4060</v>
      </c>
      <c r="G12160" s="692" t="s">
        <v>4060</v>
      </c>
      <c r="H12160" s="692" t="s">
        <v>4060</v>
      </c>
      <c r="I12160" s="692" t="s">
        <v>4060</v>
      </c>
      <c r="J12160" s="692" t="s">
        <v>4060</v>
      </c>
      <c r="K12160" s="692" t="s">
        <v>4060</v>
      </c>
    </row>
    <row r="12161" spans="1:11">
      <c r="A12161" s="688" t="s">
        <v>0</v>
      </c>
      <c r="B12161" s="689">
        <v>11.6</v>
      </c>
      <c r="C12161" s="689">
        <v>11.9</v>
      </c>
      <c r="D12161" s="689">
        <v>11.7</v>
      </c>
      <c r="E12161" s="689">
        <v>11.9</v>
      </c>
      <c r="F12161" s="689">
        <v>11.9</v>
      </c>
      <c r="G12161" s="693">
        <v>12</v>
      </c>
      <c r="H12161" s="689">
        <v>12.2</v>
      </c>
      <c r="I12161" s="689">
        <v>11.3</v>
      </c>
      <c r="J12161" s="693">
        <v>12</v>
      </c>
      <c r="K12161" s="689">
        <v>12.2</v>
      </c>
    </row>
    <row r="12162" spans="1:11">
      <c r="A12162" s="688" t="s">
        <v>1</v>
      </c>
      <c r="B12162" s="691">
        <v>9.3000000000000007</v>
      </c>
      <c r="C12162" s="691">
        <v>9.1</v>
      </c>
      <c r="D12162" s="615">
        <v>9</v>
      </c>
      <c r="E12162" s="691">
        <v>9.1999999999999993</v>
      </c>
      <c r="F12162" s="691">
        <v>9.1</v>
      </c>
      <c r="G12162" s="691">
        <v>9.1</v>
      </c>
      <c r="H12162" s="691">
        <v>9.1999999999999993</v>
      </c>
      <c r="I12162" s="691">
        <v>8.1999999999999993</v>
      </c>
      <c r="J12162" s="691">
        <v>7.3</v>
      </c>
      <c r="K12162" s="691">
        <v>8.5</v>
      </c>
    </row>
    <row r="12163" spans="1:11">
      <c r="A12163" s="688" t="s">
        <v>2240</v>
      </c>
      <c r="B12163" s="689">
        <v>10.199999999999999</v>
      </c>
      <c r="C12163" s="689">
        <v>10.4</v>
      </c>
      <c r="D12163" s="689">
        <v>10.199999999999999</v>
      </c>
      <c r="E12163" s="689">
        <v>10.5</v>
      </c>
      <c r="F12163" s="689">
        <v>10.5</v>
      </c>
      <c r="G12163" s="689">
        <v>10.5</v>
      </c>
      <c r="H12163" s="689">
        <v>10.6</v>
      </c>
      <c r="I12163" s="689">
        <v>9.6</v>
      </c>
      <c r="J12163" s="689">
        <v>9.1999999999999993</v>
      </c>
      <c r="K12163" s="689">
        <v>10.3</v>
      </c>
    </row>
    <row r="12164" spans="1:11">
      <c r="A12164" s="688" t="s">
        <v>2</v>
      </c>
      <c r="B12164" s="691">
        <v>11.4</v>
      </c>
      <c r="C12164" s="691">
        <v>11.6</v>
      </c>
      <c r="D12164" s="691">
        <v>11.5</v>
      </c>
      <c r="E12164" s="691">
        <v>11.7</v>
      </c>
      <c r="F12164" s="691">
        <v>11.7</v>
      </c>
      <c r="G12164" s="691">
        <v>11.5</v>
      </c>
      <c r="H12164" s="691">
        <v>11.9</v>
      </c>
      <c r="I12164" s="691">
        <v>11.9</v>
      </c>
      <c r="J12164" s="691">
        <v>11.8</v>
      </c>
      <c r="K12164" s="691">
        <v>11.7</v>
      </c>
    </row>
    <row r="12165" spans="1:11">
      <c r="A12165" s="688" t="s">
        <v>3</v>
      </c>
      <c r="B12165" s="689">
        <v>11.5</v>
      </c>
      <c r="C12165" s="689">
        <v>11.6</v>
      </c>
      <c r="D12165" s="689">
        <v>11.4</v>
      </c>
      <c r="E12165" s="689">
        <v>11.7</v>
      </c>
      <c r="F12165" s="689">
        <v>11.7</v>
      </c>
      <c r="G12165" s="689">
        <v>11.7</v>
      </c>
      <c r="H12165" s="689">
        <v>11.9</v>
      </c>
      <c r="I12165" s="689">
        <v>11.7</v>
      </c>
      <c r="J12165" s="689">
        <v>11.6</v>
      </c>
      <c r="K12165" s="689">
        <v>11.4</v>
      </c>
    </row>
    <row r="12166" spans="1:11">
      <c r="A12166" s="688" t="s">
        <v>4061</v>
      </c>
      <c r="B12166" s="691">
        <v>11.5</v>
      </c>
      <c r="C12166" s="691">
        <v>11.6</v>
      </c>
      <c r="D12166" s="691">
        <v>11.4</v>
      </c>
      <c r="E12166" s="691">
        <v>11.7</v>
      </c>
      <c r="F12166" s="691">
        <v>11.7</v>
      </c>
      <c r="G12166" s="691">
        <v>11.7</v>
      </c>
      <c r="H12166" s="691">
        <v>11.9</v>
      </c>
      <c r="I12166" s="691">
        <v>11.7</v>
      </c>
      <c r="J12166" s="691">
        <v>11.6</v>
      </c>
      <c r="K12166" s="691">
        <v>11.4</v>
      </c>
    </row>
    <row r="12167" spans="1:11">
      <c r="A12167" s="688" t="s">
        <v>4</v>
      </c>
      <c r="B12167" s="689">
        <v>10.199999999999999</v>
      </c>
      <c r="C12167" s="689">
        <v>10.1</v>
      </c>
      <c r="D12167" s="689">
        <v>10.199999999999999</v>
      </c>
      <c r="E12167" s="689">
        <v>10.3</v>
      </c>
      <c r="F12167" s="689">
        <v>10.3</v>
      </c>
      <c r="G12167" s="689">
        <v>10.5</v>
      </c>
      <c r="H12167" s="689">
        <v>10.6</v>
      </c>
      <c r="I12167" s="689">
        <v>10.7</v>
      </c>
      <c r="J12167" s="689">
        <v>9.6</v>
      </c>
      <c r="K12167" s="689">
        <v>10.1</v>
      </c>
    </row>
    <row r="12168" spans="1:11">
      <c r="A12168" s="688" t="s">
        <v>8</v>
      </c>
      <c r="B12168" s="691">
        <v>11.6</v>
      </c>
      <c r="C12168" s="691">
        <v>11.6</v>
      </c>
      <c r="D12168" s="691">
        <v>11.6</v>
      </c>
      <c r="E12168" s="691">
        <v>11.6</v>
      </c>
      <c r="F12168" s="615">
        <v>12</v>
      </c>
      <c r="G12168" s="691">
        <v>12.1</v>
      </c>
      <c r="H12168" s="691">
        <v>12.2</v>
      </c>
      <c r="I12168" s="691">
        <v>12.2</v>
      </c>
      <c r="J12168" s="615">
        <v>12</v>
      </c>
      <c r="K12168" s="691">
        <v>12.2</v>
      </c>
    </row>
    <row r="12169" spans="1:11">
      <c r="A12169" s="688" t="s">
        <v>7</v>
      </c>
      <c r="B12169" s="689">
        <v>12.4</v>
      </c>
      <c r="C12169" s="689">
        <v>11.7</v>
      </c>
      <c r="D12169" s="689">
        <v>11.5</v>
      </c>
      <c r="E12169" s="689">
        <v>11.8</v>
      </c>
      <c r="F12169" s="689">
        <v>11.7</v>
      </c>
      <c r="G12169" s="689">
        <v>12.1</v>
      </c>
      <c r="H12169" s="693">
        <v>12</v>
      </c>
      <c r="I12169" s="689">
        <v>11.8</v>
      </c>
      <c r="J12169" s="689">
        <v>11.4</v>
      </c>
      <c r="K12169" s="689">
        <v>11.6</v>
      </c>
    </row>
    <row r="12170" spans="1:11">
      <c r="A12170" s="688" t="s">
        <v>27</v>
      </c>
      <c r="B12170" s="691">
        <v>12.7</v>
      </c>
      <c r="C12170" s="691">
        <v>12.4</v>
      </c>
      <c r="D12170" s="691">
        <v>12.2</v>
      </c>
      <c r="E12170" s="691">
        <v>12.5</v>
      </c>
      <c r="F12170" s="691">
        <v>12.5</v>
      </c>
      <c r="G12170" s="691">
        <v>12.6</v>
      </c>
      <c r="H12170" s="691">
        <v>12.8</v>
      </c>
      <c r="I12170" s="691">
        <v>11.8</v>
      </c>
      <c r="J12170" s="691">
        <v>12.5</v>
      </c>
      <c r="K12170" s="691">
        <v>12.5</v>
      </c>
    </row>
    <row r="12171" spans="1:11">
      <c r="A12171" s="688" t="s">
        <v>6</v>
      </c>
      <c r="B12171" s="689">
        <v>12.9</v>
      </c>
      <c r="C12171" s="689">
        <v>12.9</v>
      </c>
      <c r="D12171" s="689">
        <v>12.7</v>
      </c>
      <c r="E12171" s="689">
        <v>12.9</v>
      </c>
      <c r="F12171" s="689">
        <v>12.9</v>
      </c>
      <c r="G12171" s="693">
        <v>13</v>
      </c>
      <c r="H12171" s="689">
        <v>13.1</v>
      </c>
      <c r="I12171" s="689">
        <v>12.5</v>
      </c>
      <c r="J12171" s="689">
        <v>12.7</v>
      </c>
      <c r="K12171" s="689">
        <v>12.8</v>
      </c>
    </row>
    <row r="12172" spans="1:11">
      <c r="A12172" s="688" t="s">
        <v>4058</v>
      </c>
      <c r="B12172" s="692" t="s">
        <v>4060</v>
      </c>
      <c r="C12172" s="692" t="s">
        <v>4060</v>
      </c>
      <c r="D12172" s="692" t="s">
        <v>4060</v>
      </c>
      <c r="E12172" s="692" t="s">
        <v>4060</v>
      </c>
      <c r="F12172" s="692" t="s">
        <v>4060</v>
      </c>
      <c r="G12172" s="692" t="s">
        <v>4060</v>
      </c>
      <c r="H12172" s="692" t="s">
        <v>4060</v>
      </c>
      <c r="I12172" s="692" t="s">
        <v>4060</v>
      </c>
      <c r="J12172" s="692" t="s">
        <v>4060</v>
      </c>
      <c r="K12172" s="692" t="s">
        <v>4060</v>
      </c>
    </row>
    <row r="12173" spans="1:11">
      <c r="A12173" s="688" t="s">
        <v>11</v>
      </c>
      <c r="B12173" s="689">
        <v>9.8000000000000007</v>
      </c>
      <c r="C12173" s="689">
        <v>9.6999999999999993</v>
      </c>
      <c r="D12173" s="689">
        <v>9.5</v>
      </c>
      <c r="E12173" s="689">
        <v>9.9</v>
      </c>
      <c r="F12173" s="689">
        <v>9.8000000000000007</v>
      </c>
      <c r="G12173" s="689">
        <v>9.9</v>
      </c>
      <c r="H12173" s="689">
        <v>10.199999999999999</v>
      </c>
      <c r="I12173" s="689">
        <v>9.6</v>
      </c>
      <c r="J12173" s="693">
        <v>9</v>
      </c>
      <c r="K12173" s="689">
        <v>9.6999999999999993</v>
      </c>
    </row>
    <row r="12174" spans="1:11">
      <c r="A12174" s="688" t="s">
        <v>10</v>
      </c>
      <c r="B12174" s="691">
        <v>12.3</v>
      </c>
      <c r="C12174" s="691">
        <v>12.2</v>
      </c>
      <c r="D12174" s="615">
        <v>12</v>
      </c>
      <c r="E12174" s="691">
        <v>12.4</v>
      </c>
      <c r="F12174" s="691">
        <v>12.2</v>
      </c>
      <c r="G12174" s="691">
        <v>12.5</v>
      </c>
      <c r="H12174" s="691">
        <v>12.6</v>
      </c>
      <c r="I12174" s="691">
        <v>11.7</v>
      </c>
      <c r="J12174" s="691">
        <v>12.1</v>
      </c>
      <c r="K12174" s="691">
        <v>12.2</v>
      </c>
    </row>
    <row r="12175" spans="1:11">
      <c r="A12175" s="688" t="s">
        <v>30</v>
      </c>
      <c r="B12175" s="693">
        <v>12</v>
      </c>
      <c r="C12175" s="693">
        <v>12</v>
      </c>
      <c r="D12175" s="689">
        <v>11.8</v>
      </c>
      <c r="E12175" s="689">
        <v>12.2</v>
      </c>
      <c r="F12175" s="689">
        <v>12.1</v>
      </c>
      <c r="G12175" s="689">
        <v>12.7</v>
      </c>
      <c r="H12175" s="689">
        <v>12.4</v>
      </c>
      <c r="I12175" s="689">
        <v>12.6</v>
      </c>
      <c r="J12175" s="689">
        <v>12.1</v>
      </c>
      <c r="K12175" s="689">
        <v>12.1</v>
      </c>
    </row>
    <row r="12176" spans="1:11">
      <c r="A12176" s="688" t="s">
        <v>12</v>
      </c>
      <c r="B12176" s="691">
        <v>9.4</v>
      </c>
      <c r="C12176" s="691">
        <v>9.3000000000000007</v>
      </c>
      <c r="D12176" s="691">
        <v>9.5</v>
      </c>
      <c r="E12176" s="691">
        <v>9.4</v>
      </c>
      <c r="F12176" s="691">
        <v>9.3000000000000007</v>
      </c>
      <c r="G12176" s="691">
        <v>9.4</v>
      </c>
      <c r="H12176" s="691">
        <v>9.6</v>
      </c>
      <c r="I12176" s="691">
        <v>9.4</v>
      </c>
      <c r="J12176" s="691">
        <v>8.5</v>
      </c>
      <c r="K12176" s="691">
        <v>9.1999999999999993</v>
      </c>
    </row>
    <row r="12177" spans="1:11">
      <c r="A12177" s="688" t="s">
        <v>14</v>
      </c>
      <c r="B12177" s="689">
        <v>9.6</v>
      </c>
      <c r="C12177" s="689">
        <v>9.5</v>
      </c>
      <c r="D12177" s="689">
        <v>9.4</v>
      </c>
      <c r="E12177" s="689">
        <v>9.3000000000000007</v>
      </c>
      <c r="F12177" s="689">
        <v>9.3000000000000007</v>
      </c>
      <c r="G12177" s="689">
        <v>9.4</v>
      </c>
      <c r="H12177" s="689">
        <v>9.6999999999999993</v>
      </c>
      <c r="I12177" s="689">
        <v>9.1</v>
      </c>
      <c r="J12177" s="689">
        <v>8.8000000000000007</v>
      </c>
      <c r="K12177" s="689">
        <v>9.4</v>
      </c>
    </row>
    <row r="12178" spans="1:11">
      <c r="A12178" s="688" t="s">
        <v>15</v>
      </c>
      <c r="B12178" s="691">
        <v>12.6</v>
      </c>
      <c r="C12178" s="691">
        <v>11.7</v>
      </c>
      <c r="D12178" s="691">
        <v>11.9</v>
      </c>
      <c r="E12178" s="691">
        <v>12.1</v>
      </c>
      <c r="F12178" s="691">
        <v>12.2</v>
      </c>
      <c r="G12178" s="691">
        <v>11.9</v>
      </c>
      <c r="H12178" s="691">
        <v>12.2</v>
      </c>
      <c r="I12178" s="691">
        <v>11.8</v>
      </c>
      <c r="J12178" s="691">
        <v>12.3</v>
      </c>
      <c r="K12178" s="691">
        <v>12.6</v>
      </c>
    </row>
    <row r="12179" spans="1:11">
      <c r="A12179" s="688" t="s">
        <v>29</v>
      </c>
      <c r="B12179" s="689">
        <v>9.5</v>
      </c>
      <c r="C12179" s="689">
        <v>9.6</v>
      </c>
      <c r="D12179" s="689">
        <v>9.3000000000000007</v>
      </c>
      <c r="E12179" s="689">
        <v>9.6</v>
      </c>
      <c r="F12179" s="689">
        <v>9.5</v>
      </c>
      <c r="G12179" s="689">
        <v>9.6</v>
      </c>
      <c r="H12179" s="689">
        <v>9.6999999999999993</v>
      </c>
      <c r="I12179" s="689">
        <v>9.1999999999999993</v>
      </c>
      <c r="J12179" s="689">
        <v>8.8000000000000007</v>
      </c>
      <c r="K12179" s="689">
        <v>9.4</v>
      </c>
    </row>
    <row r="12180" spans="1:11">
      <c r="A12180" s="688" t="s">
        <v>16</v>
      </c>
      <c r="B12180" s="691">
        <v>11.7</v>
      </c>
      <c r="C12180" s="691">
        <v>11.7</v>
      </c>
      <c r="D12180" s="691">
        <v>11.6</v>
      </c>
      <c r="E12180" s="691">
        <v>12.5</v>
      </c>
      <c r="F12180" s="615">
        <v>12</v>
      </c>
      <c r="G12180" s="615">
        <v>12</v>
      </c>
      <c r="H12180" s="691">
        <v>12.1</v>
      </c>
      <c r="I12180" s="691">
        <v>11.7</v>
      </c>
      <c r="J12180" s="691">
        <v>12.1</v>
      </c>
      <c r="K12180" s="615">
        <v>12</v>
      </c>
    </row>
    <row r="12181" spans="1:11">
      <c r="A12181" s="688" t="s">
        <v>17</v>
      </c>
      <c r="B12181" s="689">
        <v>11.7</v>
      </c>
      <c r="C12181" s="689">
        <v>11.8</v>
      </c>
      <c r="D12181" s="689">
        <v>11.6</v>
      </c>
      <c r="E12181" s="689">
        <v>11.7</v>
      </c>
      <c r="F12181" s="689">
        <v>11.8</v>
      </c>
      <c r="G12181" s="689">
        <v>11.9</v>
      </c>
      <c r="H12181" s="693">
        <v>12</v>
      </c>
      <c r="I12181" s="689">
        <v>11.4</v>
      </c>
      <c r="J12181" s="689">
        <v>11.5</v>
      </c>
      <c r="K12181" s="689">
        <v>11.8</v>
      </c>
    </row>
    <row r="12182" spans="1:11">
      <c r="A12182" s="688" t="s">
        <v>19</v>
      </c>
      <c r="B12182" s="691">
        <v>11.9</v>
      </c>
      <c r="C12182" s="615">
        <v>12</v>
      </c>
      <c r="D12182" s="691">
        <v>11.7</v>
      </c>
      <c r="E12182" s="691">
        <v>12.1</v>
      </c>
      <c r="F12182" s="615">
        <v>12</v>
      </c>
      <c r="G12182" s="691">
        <v>12.1</v>
      </c>
      <c r="H12182" s="691">
        <v>12.2</v>
      </c>
      <c r="I12182" s="691">
        <v>11.6</v>
      </c>
      <c r="J12182" s="691">
        <v>11.7</v>
      </c>
      <c r="K12182" s="691">
        <v>11.7</v>
      </c>
    </row>
    <row r="12183" spans="1:11">
      <c r="A12183" s="688" t="s">
        <v>20</v>
      </c>
      <c r="B12183" s="689">
        <v>10.4</v>
      </c>
      <c r="C12183" s="689">
        <v>10.5</v>
      </c>
      <c r="D12183" s="689">
        <v>10.4</v>
      </c>
      <c r="E12183" s="689">
        <v>10.7</v>
      </c>
      <c r="F12183" s="689">
        <v>10.6</v>
      </c>
      <c r="G12183" s="689">
        <v>10.5</v>
      </c>
      <c r="H12183" s="689">
        <v>10.8</v>
      </c>
      <c r="I12183" s="689">
        <v>9.6</v>
      </c>
      <c r="J12183" s="689">
        <v>9.1999999999999993</v>
      </c>
      <c r="K12183" s="689">
        <v>10.199999999999999</v>
      </c>
    </row>
    <row r="12184" spans="1:11">
      <c r="A12184" s="688" t="s">
        <v>21</v>
      </c>
      <c r="B12184" s="691">
        <v>11.4</v>
      </c>
      <c r="C12184" s="691">
        <v>11.7</v>
      </c>
      <c r="D12184" s="691">
        <v>11.7</v>
      </c>
      <c r="E12184" s="691">
        <v>11.7</v>
      </c>
      <c r="F12184" s="691">
        <v>11.9</v>
      </c>
      <c r="G12184" s="691">
        <v>11.9</v>
      </c>
      <c r="H12184" s="691">
        <v>12.3</v>
      </c>
      <c r="I12184" s="691">
        <v>11.8</v>
      </c>
      <c r="J12184" s="691">
        <v>11.9</v>
      </c>
      <c r="K12184" s="691">
        <v>12.1</v>
      </c>
    </row>
    <row r="12185" spans="1:11">
      <c r="A12185" s="688" t="s">
        <v>22</v>
      </c>
      <c r="B12185" s="689">
        <v>9.6999999999999993</v>
      </c>
      <c r="C12185" s="689">
        <v>9.5</v>
      </c>
      <c r="D12185" s="689">
        <v>9.4</v>
      </c>
      <c r="E12185" s="689">
        <v>9.6999999999999993</v>
      </c>
      <c r="F12185" s="689">
        <v>9.6999999999999993</v>
      </c>
      <c r="G12185" s="689">
        <v>9.8000000000000007</v>
      </c>
      <c r="H12185" s="693">
        <v>10</v>
      </c>
      <c r="I12185" s="689">
        <v>8.9</v>
      </c>
      <c r="J12185" s="689">
        <v>8.1</v>
      </c>
      <c r="K12185" s="689">
        <v>9.1999999999999993</v>
      </c>
    </row>
    <row r="12186" spans="1:11">
      <c r="A12186" s="688" t="s">
        <v>26</v>
      </c>
      <c r="B12186" s="691">
        <v>11.2</v>
      </c>
      <c r="C12186" s="691">
        <v>11.4</v>
      </c>
      <c r="D12186" s="691">
        <v>11.2</v>
      </c>
      <c r="E12186" s="691">
        <v>11.5</v>
      </c>
      <c r="F12186" s="691">
        <v>11.2</v>
      </c>
      <c r="G12186" s="691">
        <v>11.5</v>
      </c>
      <c r="H12186" s="691">
        <v>11.7</v>
      </c>
      <c r="I12186" s="691">
        <v>10.8</v>
      </c>
      <c r="J12186" s="615">
        <v>11</v>
      </c>
      <c r="K12186" s="691">
        <v>11.6</v>
      </c>
    </row>
    <row r="12187" spans="1:11">
      <c r="A12187" s="688" t="s">
        <v>25</v>
      </c>
      <c r="B12187" s="689">
        <v>9.5</v>
      </c>
      <c r="C12187" s="689">
        <v>9.6999999999999993</v>
      </c>
      <c r="D12187" s="689">
        <v>9.6999999999999993</v>
      </c>
      <c r="E12187" s="693">
        <v>10</v>
      </c>
      <c r="F12187" s="689">
        <v>9.9</v>
      </c>
      <c r="G12187" s="689">
        <v>10.1</v>
      </c>
      <c r="H12187" s="689">
        <v>10.5</v>
      </c>
      <c r="I12187" s="689">
        <v>9.6</v>
      </c>
      <c r="J12187" s="689">
        <v>8.6</v>
      </c>
      <c r="K12187" s="689">
        <v>9.6999999999999993</v>
      </c>
    </row>
    <row r="12188" spans="1:11">
      <c r="A12188" s="688" t="s">
        <v>5</v>
      </c>
      <c r="B12188" s="691">
        <v>11.8</v>
      </c>
      <c r="C12188" s="691">
        <v>11.6</v>
      </c>
      <c r="D12188" s="691">
        <v>11.7</v>
      </c>
      <c r="E12188" s="691">
        <v>11.7</v>
      </c>
      <c r="F12188" s="691">
        <v>11.8</v>
      </c>
      <c r="G12188" s="691">
        <v>11.9</v>
      </c>
      <c r="H12188" s="691">
        <v>12.2</v>
      </c>
      <c r="I12188" s="691">
        <v>12.1</v>
      </c>
      <c r="J12188" s="615">
        <v>12</v>
      </c>
      <c r="K12188" s="691">
        <v>11.5</v>
      </c>
    </row>
    <row r="12189" spans="1:11">
      <c r="A12189" s="688" t="s">
        <v>23</v>
      </c>
      <c r="B12189" s="693">
        <v>12</v>
      </c>
      <c r="C12189" s="693">
        <v>12</v>
      </c>
      <c r="D12189" s="693">
        <v>12</v>
      </c>
      <c r="E12189" s="689">
        <v>12.2</v>
      </c>
      <c r="F12189" s="689">
        <v>12.2</v>
      </c>
      <c r="G12189" s="689">
        <v>12.3</v>
      </c>
      <c r="H12189" s="689">
        <v>12.6</v>
      </c>
      <c r="I12189" s="693">
        <v>12</v>
      </c>
      <c r="J12189" s="689">
        <v>12.6</v>
      </c>
      <c r="K12189" s="689">
        <v>12.6</v>
      </c>
    </row>
    <row r="12190" spans="1:11">
      <c r="A12190" s="688" t="s">
        <v>4067</v>
      </c>
      <c r="B12190" s="691">
        <v>11.7</v>
      </c>
      <c r="C12190" s="615">
        <v>12</v>
      </c>
      <c r="D12190" s="691">
        <v>11.8</v>
      </c>
      <c r="E12190" s="615">
        <v>12</v>
      </c>
      <c r="F12190" s="615">
        <v>12</v>
      </c>
      <c r="G12190" s="691">
        <v>12.1</v>
      </c>
      <c r="H12190" s="692" t="s">
        <v>4060</v>
      </c>
      <c r="I12190" s="692" t="s">
        <v>4060</v>
      </c>
      <c r="J12190" s="692" t="s">
        <v>4060</v>
      </c>
      <c r="K12190" s="692" t="s">
        <v>4060</v>
      </c>
    </row>
    <row r="12191" spans="1:11">
      <c r="A12191" s="688" t="s">
        <v>4066</v>
      </c>
      <c r="B12191" s="689">
        <v>11.7</v>
      </c>
      <c r="C12191" s="693">
        <v>12</v>
      </c>
      <c r="D12191" s="689">
        <v>11.8</v>
      </c>
      <c r="E12191" s="689">
        <v>12.1</v>
      </c>
      <c r="F12191" s="693">
        <v>12</v>
      </c>
      <c r="G12191" s="689">
        <v>12.1</v>
      </c>
      <c r="H12191" s="690" t="s">
        <v>4060</v>
      </c>
      <c r="I12191" s="690" t="s">
        <v>4060</v>
      </c>
      <c r="J12191" s="690" t="s">
        <v>4060</v>
      </c>
      <c r="K12191" s="690" t="s">
        <v>4060</v>
      </c>
    </row>
    <row r="12192" spans="1:11">
      <c r="A12192" s="688" t="s">
        <v>4062</v>
      </c>
      <c r="B12192" s="691">
        <v>12.3</v>
      </c>
      <c r="C12192" s="691">
        <v>12.4</v>
      </c>
      <c r="D12192" s="691">
        <v>12.3</v>
      </c>
      <c r="E12192" s="691">
        <v>12.6</v>
      </c>
      <c r="F12192" s="691">
        <v>12.7</v>
      </c>
      <c r="G12192" s="691">
        <v>12.8</v>
      </c>
      <c r="H12192" s="691">
        <v>12.9</v>
      </c>
      <c r="I12192" s="691">
        <v>12.4</v>
      </c>
      <c r="J12192" s="691">
        <v>12.9</v>
      </c>
      <c r="K12192" s="691">
        <v>12.6</v>
      </c>
    </row>
    <row r="12193" spans="1:11">
      <c r="A12193" s="688" t="s">
        <v>9</v>
      </c>
      <c r="B12193" s="693">
        <v>12</v>
      </c>
      <c r="C12193" s="689">
        <v>12.4</v>
      </c>
      <c r="D12193" s="689">
        <v>12.6</v>
      </c>
      <c r="E12193" s="689">
        <v>11.9</v>
      </c>
      <c r="F12193" s="689">
        <v>12.5</v>
      </c>
      <c r="G12193" s="689">
        <v>12.7</v>
      </c>
      <c r="H12193" s="689">
        <v>12.7</v>
      </c>
      <c r="I12193" s="689">
        <v>12.9</v>
      </c>
      <c r="J12193" s="689">
        <v>13.2</v>
      </c>
      <c r="K12193" s="689">
        <v>12.2</v>
      </c>
    </row>
    <row r="12194" spans="1:11">
      <c r="A12194" s="688" t="s">
        <v>13</v>
      </c>
      <c r="B12194" s="615">
        <v>12</v>
      </c>
      <c r="C12194" s="691">
        <v>12.7</v>
      </c>
      <c r="D12194" s="691">
        <v>12.5</v>
      </c>
      <c r="E12194" s="691">
        <v>11.5</v>
      </c>
      <c r="F12194" s="691">
        <v>13.4</v>
      </c>
      <c r="G12194" s="691">
        <v>11.8</v>
      </c>
      <c r="H12194" s="615">
        <v>13</v>
      </c>
      <c r="I12194" s="691">
        <v>11.4</v>
      </c>
      <c r="J12194" s="691">
        <v>13.8</v>
      </c>
      <c r="K12194" s="691">
        <v>14.1</v>
      </c>
    </row>
    <row r="12195" spans="1:11">
      <c r="A12195" s="688" t="s">
        <v>18</v>
      </c>
      <c r="B12195" s="689">
        <v>11.9</v>
      </c>
      <c r="C12195" s="689">
        <v>11.9</v>
      </c>
      <c r="D12195" s="693">
        <v>12</v>
      </c>
      <c r="E12195" s="689">
        <v>12.3</v>
      </c>
      <c r="F12195" s="689">
        <v>12.3</v>
      </c>
      <c r="G12195" s="689">
        <v>12.4</v>
      </c>
      <c r="H12195" s="689">
        <v>12.6</v>
      </c>
      <c r="I12195" s="689">
        <v>12.7</v>
      </c>
      <c r="J12195" s="689">
        <v>12.7</v>
      </c>
      <c r="K12195" s="689">
        <v>12.2</v>
      </c>
    </row>
    <row r="12196" spans="1:11">
      <c r="A12196" s="688" t="s">
        <v>24</v>
      </c>
      <c r="B12196" s="691">
        <v>12.6</v>
      </c>
      <c r="C12196" s="691">
        <v>12.6</v>
      </c>
      <c r="D12196" s="691">
        <v>12.4</v>
      </c>
      <c r="E12196" s="691">
        <v>12.9</v>
      </c>
      <c r="F12196" s="691">
        <v>12.8</v>
      </c>
      <c r="G12196" s="615">
        <v>13</v>
      </c>
      <c r="H12196" s="691">
        <v>13.1</v>
      </c>
      <c r="I12196" s="691">
        <v>12.3</v>
      </c>
      <c r="J12196" s="615">
        <v>13</v>
      </c>
      <c r="K12196" s="691">
        <v>12.9</v>
      </c>
    </row>
    <row r="12197" spans="1:11">
      <c r="A12197" s="688" t="s">
        <v>4059</v>
      </c>
      <c r="B12197" s="693">
        <v>12</v>
      </c>
      <c r="C12197" s="689">
        <v>12.3</v>
      </c>
      <c r="D12197" s="693">
        <v>12</v>
      </c>
      <c r="E12197" s="689">
        <v>12.3</v>
      </c>
      <c r="F12197" s="689">
        <v>12.2</v>
      </c>
      <c r="G12197" s="689">
        <v>12.3</v>
      </c>
      <c r="H12197" s="690" t="s">
        <v>4060</v>
      </c>
      <c r="I12197" s="690" t="s">
        <v>4060</v>
      </c>
      <c r="J12197" s="690" t="s">
        <v>4060</v>
      </c>
      <c r="K12197" s="690" t="s">
        <v>4060</v>
      </c>
    </row>
    <row r="12198" spans="1:11">
      <c r="A12198" s="688" t="s">
        <v>2324</v>
      </c>
      <c r="B12198" s="691">
        <v>9.8000000000000007</v>
      </c>
      <c r="C12198" s="691">
        <v>9.8000000000000007</v>
      </c>
      <c r="D12198" s="691">
        <v>9.6</v>
      </c>
      <c r="E12198" s="691">
        <v>9.5</v>
      </c>
      <c r="F12198" s="691">
        <v>9.6</v>
      </c>
      <c r="G12198" s="615">
        <v>10</v>
      </c>
      <c r="H12198" s="691">
        <v>9.8000000000000007</v>
      </c>
      <c r="I12198" s="691">
        <v>8.6999999999999993</v>
      </c>
      <c r="J12198" s="691">
        <v>7.4</v>
      </c>
      <c r="K12198" s="692" t="s">
        <v>4060</v>
      </c>
    </row>
    <row r="12199" spans="1:11">
      <c r="A12199" s="688" t="s">
        <v>2322</v>
      </c>
      <c r="B12199" s="690" t="s">
        <v>4060</v>
      </c>
      <c r="C12199" s="690" t="s">
        <v>4060</v>
      </c>
      <c r="D12199" s="690" t="s">
        <v>4060</v>
      </c>
      <c r="E12199" s="690" t="s">
        <v>4060</v>
      </c>
      <c r="F12199" s="690" t="s">
        <v>4060</v>
      </c>
      <c r="G12199" s="690" t="s">
        <v>4060</v>
      </c>
      <c r="H12199" s="690" t="s">
        <v>4060</v>
      </c>
      <c r="I12199" s="690" t="s">
        <v>4060</v>
      </c>
      <c r="J12199" s="690" t="s">
        <v>4060</v>
      </c>
      <c r="K12199" s="690" t="s">
        <v>4060</v>
      </c>
    </row>
    <row r="12200" spans="1:11">
      <c r="A12200" s="688" t="s">
        <v>2328</v>
      </c>
      <c r="B12200" s="691">
        <v>8.6999999999999993</v>
      </c>
      <c r="C12200" s="615">
        <v>9</v>
      </c>
      <c r="D12200" s="691">
        <v>8.8000000000000007</v>
      </c>
      <c r="E12200" s="691">
        <v>8.9</v>
      </c>
      <c r="F12200" s="691">
        <v>8.9</v>
      </c>
      <c r="G12200" s="691">
        <v>9.3000000000000007</v>
      </c>
      <c r="H12200" s="691">
        <v>9.1999999999999993</v>
      </c>
      <c r="I12200" s="691">
        <v>7.9</v>
      </c>
      <c r="J12200" s="691">
        <v>7.6</v>
      </c>
      <c r="K12200" s="692" t="s">
        <v>4060</v>
      </c>
    </row>
    <row r="12201" spans="1:11">
      <c r="A12201" s="688" t="s">
        <v>2496</v>
      </c>
      <c r="B12201" s="690" t="s">
        <v>4060</v>
      </c>
      <c r="C12201" s="689">
        <v>9.6</v>
      </c>
      <c r="D12201" s="689">
        <v>8.4</v>
      </c>
      <c r="E12201" s="693">
        <v>8</v>
      </c>
      <c r="F12201" s="689">
        <v>8.4</v>
      </c>
      <c r="G12201" s="689">
        <v>8.6</v>
      </c>
      <c r="H12201" s="689">
        <v>8.6</v>
      </c>
      <c r="I12201" s="690" t="s">
        <v>4060</v>
      </c>
      <c r="J12201" s="690" t="s">
        <v>4060</v>
      </c>
      <c r="K12201" s="693">
        <v>8</v>
      </c>
    </row>
    <row r="12202" spans="1:11">
      <c r="A12202" s="688" t="s">
        <v>2269</v>
      </c>
      <c r="B12202" s="691">
        <v>10.199999999999999</v>
      </c>
      <c r="C12202" s="691">
        <v>10.199999999999999</v>
      </c>
      <c r="D12202" s="615">
        <v>10</v>
      </c>
      <c r="E12202" s="691">
        <v>10.4</v>
      </c>
      <c r="F12202" s="691">
        <v>10.4</v>
      </c>
      <c r="G12202" s="691">
        <v>10.7</v>
      </c>
      <c r="H12202" s="615">
        <v>11</v>
      </c>
      <c r="I12202" s="691">
        <v>9.6</v>
      </c>
      <c r="J12202" s="691">
        <v>7.7</v>
      </c>
      <c r="K12202" s="691">
        <v>10.8</v>
      </c>
    </row>
    <row r="12203" spans="1:11">
      <c r="A12203" s="688" t="s">
        <v>2349</v>
      </c>
      <c r="B12203" s="689">
        <v>9.1</v>
      </c>
      <c r="C12203" s="689">
        <v>9.1999999999999993</v>
      </c>
      <c r="D12203" s="689">
        <v>9.1</v>
      </c>
      <c r="E12203" s="689">
        <v>9.4</v>
      </c>
      <c r="F12203" s="689">
        <v>9.4</v>
      </c>
      <c r="G12203" s="689">
        <v>9.5</v>
      </c>
      <c r="H12203" s="689">
        <v>9.6999999999999993</v>
      </c>
      <c r="I12203" s="689">
        <v>8.8000000000000007</v>
      </c>
      <c r="J12203" s="689">
        <v>7.7</v>
      </c>
      <c r="K12203" s="689">
        <v>8.9</v>
      </c>
    </row>
    <row r="12204" spans="1:11">
      <c r="A12204" s="688" t="s">
        <v>2355</v>
      </c>
      <c r="B12204" s="691">
        <v>10.6</v>
      </c>
      <c r="C12204" s="691">
        <v>10.4</v>
      </c>
      <c r="D12204" s="691">
        <v>10.4</v>
      </c>
      <c r="E12204" s="691">
        <v>10.3</v>
      </c>
      <c r="F12204" s="691">
        <v>10.4</v>
      </c>
      <c r="G12204" s="691">
        <v>10.7</v>
      </c>
      <c r="H12204" s="691">
        <v>10.7</v>
      </c>
      <c r="I12204" s="692" t="s">
        <v>4060</v>
      </c>
      <c r="J12204" s="692" t="s">
        <v>4060</v>
      </c>
      <c r="K12204" s="692" t="s">
        <v>4060</v>
      </c>
    </row>
    <row r="12205" spans="1:11">
      <c r="A12205" s="688" t="s">
        <v>2357</v>
      </c>
      <c r="B12205" s="690" t="s">
        <v>4060</v>
      </c>
      <c r="C12205" s="689">
        <v>8.8000000000000007</v>
      </c>
      <c r="D12205" s="693">
        <v>9</v>
      </c>
      <c r="E12205" s="689">
        <v>9.1999999999999993</v>
      </c>
      <c r="F12205" s="689">
        <v>9.3000000000000007</v>
      </c>
      <c r="G12205" s="689">
        <v>9.1999999999999993</v>
      </c>
      <c r="H12205" s="689">
        <v>9.3000000000000007</v>
      </c>
      <c r="I12205" s="690" t="s">
        <v>4060</v>
      </c>
      <c r="J12205" s="690" t="s">
        <v>4060</v>
      </c>
      <c r="K12205" s="690" t="s">
        <v>4060</v>
      </c>
    </row>
    <row r="12206" spans="1:11">
      <c r="A12206" s="688" t="s">
        <v>4070</v>
      </c>
      <c r="B12206" s="692" t="s">
        <v>4060</v>
      </c>
      <c r="C12206" s="692" t="s">
        <v>4060</v>
      </c>
      <c r="D12206" s="692" t="s">
        <v>4060</v>
      </c>
      <c r="E12206" s="615">
        <v>10</v>
      </c>
      <c r="F12206" s="692" t="s">
        <v>4060</v>
      </c>
      <c r="G12206" s="692" t="s">
        <v>4060</v>
      </c>
      <c r="H12206" s="692" t="s">
        <v>4060</v>
      </c>
      <c r="I12206" s="692" t="s">
        <v>4060</v>
      </c>
      <c r="J12206" s="692" t="s">
        <v>4060</v>
      </c>
      <c r="K12206" s="692" t="s">
        <v>4060</v>
      </c>
    </row>
    <row r="12207" spans="1:11">
      <c r="A12207" s="688" t="s">
        <v>2491</v>
      </c>
      <c r="B12207" s="689">
        <v>8.3000000000000007</v>
      </c>
      <c r="C12207" s="689">
        <v>8.5</v>
      </c>
      <c r="D12207" s="689">
        <v>8.6</v>
      </c>
      <c r="E12207" s="689">
        <v>8.6</v>
      </c>
      <c r="F12207" s="689">
        <v>8.5</v>
      </c>
      <c r="G12207" s="689">
        <v>8.6999999999999993</v>
      </c>
      <c r="H12207" s="690" t="s">
        <v>4060</v>
      </c>
      <c r="I12207" s="690" t="s">
        <v>4060</v>
      </c>
      <c r="J12207" s="690" t="s">
        <v>4060</v>
      </c>
      <c r="K12207" s="690" t="s">
        <v>4060</v>
      </c>
    </row>
    <row r="12208" spans="1:11">
      <c r="A12208" s="688" t="s">
        <v>2343</v>
      </c>
      <c r="B12208" s="692" t="s">
        <v>4060</v>
      </c>
      <c r="C12208" s="692" t="s">
        <v>4060</v>
      </c>
      <c r="D12208" s="692" t="s">
        <v>4060</v>
      </c>
      <c r="E12208" s="692" t="s">
        <v>4060</v>
      </c>
      <c r="F12208" s="692" t="s">
        <v>4060</v>
      </c>
      <c r="G12208" s="692" t="s">
        <v>4060</v>
      </c>
      <c r="H12208" s="692" t="s">
        <v>4060</v>
      </c>
      <c r="I12208" s="692" t="s">
        <v>4060</v>
      </c>
      <c r="J12208" s="692" t="s">
        <v>4060</v>
      </c>
      <c r="K12208" s="692" t="s">
        <v>4060</v>
      </c>
    </row>
    <row r="12209" spans="1:11">
      <c r="A12209" s="688" t="s">
        <v>4071</v>
      </c>
      <c r="B12209" s="690" t="s">
        <v>4060</v>
      </c>
      <c r="C12209" s="690" t="s">
        <v>4060</v>
      </c>
      <c r="D12209" s="690" t="s">
        <v>4060</v>
      </c>
      <c r="E12209" s="690" t="s">
        <v>4060</v>
      </c>
      <c r="F12209" s="690" t="s">
        <v>4060</v>
      </c>
      <c r="G12209" s="690" t="s">
        <v>4060</v>
      </c>
      <c r="H12209" s="690" t="s">
        <v>4060</v>
      </c>
      <c r="I12209" s="690" t="s">
        <v>4060</v>
      </c>
      <c r="J12209" s="690" t="s">
        <v>4060</v>
      </c>
      <c r="K12209" s="690" t="s">
        <v>4060</v>
      </c>
    </row>
    <row r="12210" spans="1:11">
      <c r="A12210" s="688" t="s">
        <v>2489</v>
      </c>
      <c r="B12210" s="692" t="s">
        <v>4060</v>
      </c>
      <c r="C12210" s="692" t="s">
        <v>4060</v>
      </c>
      <c r="D12210" s="691">
        <v>9.5</v>
      </c>
      <c r="E12210" s="691">
        <v>9.4</v>
      </c>
      <c r="F12210" s="691">
        <v>9.6</v>
      </c>
      <c r="G12210" s="691">
        <v>10.3</v>
      </c>
      <c r="H12210" s="691">
        <v>10.3</v>
      </c>
      <c r="I12210" s="692" t="s">
        <v>4060</v>
      </c>
      <c r="J12210" s="692" t="s">
        <v>4060</v>
      </c>
      <c r="K12210" s="692" t="s">
        <v>4060</v>
      </c>
    </row>
    <row r="12211" spans="1:11">
      <c r="A12211" s="688" t="s">
        <v>2490</v>
      </c>
      <c r="B12211" s="689">
        <v>9.6999999999999993</v>
      </c>
      <c r="C12211" s="689">
        <v>9.5</v>
      </c>
      <c r="D12211" s="689">
        <v>10.3</v>
      </c>
      <c r="E12211" s="690" t="s">
        <v>4060</v>
      </c>
      <c r="F12211" s="689">
        <v>10.6</v>
      </c>
      <c r="G12211" s="689">
        <v>10.4</v>
      </c>
      <c r="H12211" s="689">
        <v>11.3</v>
      </c>
      <c r="I12211" s="690" t="s">
        <v>4060</v>
      </c>
      <c r="J12211" s="690" t="s">
        <v>4060</v>
      </c>
      <c r="K12211" s="690" t="s">
        <v>4060</v>
      </c>
    </row>
    <row r="12213" spans="1:11">
      <c r="A12213" s="683" t="s">
        <v>4233</v>
      </c>
    </row>
    <row r="12214" spans="1:11">
      <c r="A12214" s="683" t="s">
        <v>4060</v>
      </c>
      <c r="B12214" s="682" t="s">
        <v>4234</v>
      </c>
    </row>
    <row r="12216" spans="1:11">
      <c r="A12216" s="682" t="s">
        <v>4331</v>
      </c>
    </row>
    <row r="12217" spans="1:11">
      <c r="A12217" s="682" t="s">
        <v>4210</v>
      </c>
      <c r="B12217" s="683" t="s">
        <v>4211</v>
      </c>
    </row>
    <row r="12218" spans="1:11">
      <c r="A12218" s="682" t="s">
        <v>4212</v>
      </c>
      <c r="B12218" s="682" t="s">
        <v>4213</v>
      </c>
    </row>
    <row r="12220" spans="1:11">
      <c r="A12220" s="683" t="s">
        <v>4214</v>
      </c>
      <c r="C12220" s="682" t="s">
        <v>4215</v>
      </c>
    </row>
    <row r="12221" spans="1:11">
      <c r="A12221" s="683" t="s">
        <v>4216</v>
      </c>
      <c r="C12221" s="682" t="s">
        <v>2967</v>
      </c>
    </row>
    <row r="12222" spans="1:11">
      <c r="A12222" s="683" t="s">
        <v>3893</v>
      </c>
      <c r="C12222" s="682" t="s">
        <v>2168</v>
      </c>
    </row>
    <row r="12223" spans="1:11">
      <c r="A12223" s="683" t="s">
        <v>4218</v>
      </c>
      <c r="C12223" s="682" t="s">
        <v>4309</v>
      </c>
    </row>
    <row r="12225" spans="1:11">
      <c r="A12225" s="684" t="s">
        <v>4220</v>
      </c>
      <c r="B12225" s="685" t="s">
        <v>4221</v>
      </c>
      <c r="C12225" s="685" t="s">
        <v>4222</v>
      </c>
      <c r="D12225" s="685" t="s">
        <v>4223</v>
      </c>
      <c r="E12225" s="685" t="s">
        <v>4224</v>
      </c>
      <c r="F12225" s="685" t="s">
        <v>4225</v>
      </c>
      <c r="G12225" s="685" t="s">
        <v>4226</v>
      </c>
      <c r="H12225" s="685" t="s">
        <v>4227</v>
      </c>
      <c r="I12225" s="685" t="s">
        <v>4228</v>
      </c>
      <c r="J12225" s="685" t="s">
        <v>4229</v>
      </c>
      <c r="K12225" s="685" t="s">
        <v>4230</v>
      </c>
    </row>
    <row r="12226" spans="1:11">
      <c r="A12226" s="686" t="s">
        <v>4231</v>
      </c>
      <c r="B12226" s="687" t="s">
        <v>4232</v>
      </c>
      <c r="C12226" s="687" t="s">
        <v>4232</v>
      </c>
      <c r="D12226" s="687" t="s">
        <v>4232</v>
      </c>
      <c r="E12226" s="687" t="s">
        <v>4232</v>
      </c>
      <c r="F12226" s="687" t="s">
        <v>4232</v>
      </c>
      <c r="G12226" s="687" t="s">
        <v>4232</v>
      </c>
      <c r="H12226" s="687" t="s">
        <v>4232</v>
      </c>
      <c r="I12226" s="687" t="s">
        <v>4232</v>
      </c>
      <c r="J12226" s="687" t="s">
        <v>4232</v>
      </c>
      <c r="K12226" s="687" t="s">
        <v>4232</v>
      </c>
    </row>
    <row r="12227" spans="1:11">
      <c r="A12227" s="688" t="s">
        <v>4064</v>
      </c>
      <c r="B12227" s="689">
        <v>11.1</v>
      </c>
      <c r="C12227" s="693">
        <v>11</v>
      </c>
      <c r="D12227" s="689">
        <v>11.1</v>
      </c>
      <c r="E12227" s="689">
        <v>11.1</v>
      </c>
      <c r="F12227" s="689">
        <v>11.1</v>
      </c>
      <c r="G12227" s="689">
        <v>11.2</v>
      </c>
      <c r="H12227" s="689">
        <v>11.4</v>
      </c>
      <c r="I12227" s="689">
        <v>10.7</v>
      </c>
      <c r="J12227" s="689">
        <v>10.8</v>
      </c>
      <c r="K12227" s="693">
        <v>11</v>
      </c>
    </row>
    <row r="12228" spans="1:11">
      <c r="A12228" s="688" t="s">
        <v>4065</v>
      </c>
      <c r="B12228" s="691">
        <v>11.1</v>
      </c>
      <c r="C12228" s="691">
        <v>11.4</v>
      </c>
      <c r="D12228" s="691">
        <v>11.1</v>
      </c>
      <c r="E12228" s="691">
        <v>11.4</v>
      </c>
      <c r="F12228" s="691">
        <v>11.4</v>
      </c>
      <c r="G12228" s="691">
        <v>11.5</v>
      </c>
      <c r="H12228" s="692" t="s">
        <v>4060</v>
      </c>
      <c r="I12228" s="692" t="s">
        <v>4060</v>
      </c>
      <c r="J12228" s="692" t="s">
        <v>4060</v>
      </c>
      <c r="K12228" s="692" t="s">
        <v>4060</v>
      </c>
    </row>
    <row r="12229" spans="1:11">
      <c r="A12229" s="688" t="s">
        <v>4063</v>
      </c>
      <c r="B12229" s="689">
        <v>11.1</v>
      </c>
      <c r="C12229" s="689">
        <v>11.4</v>
      </c>
      <c r="D12229" s="689">
        <v>11.1</v>
      </c>
      <c r="E12229" s="689">
        <v>11.4</v>
      </c>
      <c r="F12229" s="689">
        <v>11.4</v>
      </c>
      <c r="G12229" s="689">
        <v>11.5</v>
      </c>
      <c r="H12229" s="690" t="s">
        <v>4060</v>
      </c>
      <c r="I12229" s="690" t="s">
        <v>4060</v>
      </c>
      <c r="J12229" s="690" t="s">
        <v>4060</v>
      </c>
      <c r="K12229" s="690" t="s">
        <v>4060</v>
      </c>
    </row>
    <row r="12230" spans="1:11">
      <c r="A12230" s="688" t="s">
        <v>4069</v>
      </c>
      <c r="B12230" s="692" t="s">
        <v>4060</v>
      </c>
      <c r="C12230" s="691">
        <v>11.4</v>
      </c>
      <c r="D12230" s="691">
        <v>11.2</v>
      </c>
      <c r="E12230" s="691">
        <v>11.4</v>
      </c>
      <c r="F12230" s="691">
        <v>11.4</v>
      </c>
      <c r="G12230" s="691">
        <v>11.5</v>
      </c>
      <c r="H12230" s="691">
        <v>11.7</v>
      </c>
      <c r="I12230" s="691">
        <v>11.1</v>
      </c>
      <c r="J12230" s="691">
        <v>11.3</v>
      </c>
      <c r="K12230" s="691">
        <v>11.3</v>
      </c>
    </row>
    <row r="12231" spans="1:11">
      <c r="A12231" s="688" t="s">
        <v>4068</v>
      </c>
      <c r="B12231" s="689">
        <v>11.4</v>
      </c>
      <c r="C12231" s="690" t="s">
        <v>4060</v>
      </c>
      <c r="D12231" s="690" t="s">
        <v>4060</v>
      </c>
      <c r="E12231" s="690" t="s">
        <v>4060</v>
      </c>
      <c r="F12231" s="690" t="s">
        <v>4060</v>
      </c>
      <c r="G12231" s="690" t="s">
        <v>4060</v>
      </c>
      <c r="H12231" s="690" t="s">
        <v>4060</v>
      </c>
      <c r="I12231" s="690" t="s">
        <v>4060</v>
      </c>
      <c r="J12231" s="690" t="s">
        <v>4060</v>
      </c>
      <c r="K12231" s="690" t="s">
        <v>4060</v>
      </c>
    </row>
    <row r="12232" spans="1:11">
      <c r="A12232" s="688" t="s">
        <v>0</v>
      </c>
      <c r="B12232" s="691">
        <v>10.9</v>
      </c>
      <c r="C12232" s="691">
        <v>11.2</v>
      </c>
      <c r="D12232" s="615">
        <v>11</v>
      </c>
      <c r="E12232" s="691">
        <v>11.2</v>
      </c>
      <c r="F12232" s="691">
        <v>11.3</v>
      </c>
      <c r="G12232" s="691">
        <v>11.4</v>
      </c>
      <c r="H12232" s="691">
        <v>11.6</v>
      </c>
      <c r="I12232" s="691">
        <v>10.7</v>
      </c>
      <c r="J12232" s="691">
        <v>11.4</v>
      </c>
      <c r="K12232" s="691">
        <v>11.5</v>
      </c>
    </row>
    <row r="12233" spans="1:11">
      <c r="A12233" s="688" t="s">
        <v>1</v>
      </c>
      <c r="B12233" s="689">
        <v>8.8000000000000007</v>
      </c>
      <c r="C12233" s="689">
        <v>8.6</v>
      </c>
      <c r="D12233" s="689">
        <v>8.5</v>
      </c>
      <c r="E12233" s="689">
        <v>8.6999999999999993</v>
      </c>
      <c r="F12233" s="689">
        <v>8.6</v>
      </c>
      <c r="G12233" s="689">
        <v>8.6</v>
      </c>
      <c r="H12233" s="689">
        <v>8.6999999999999993</v>
      </c>
      <c r="I12233" s="689">
        <v>7.8</v>
      </c>
      <c r="J12233" s="689">
        <v>6.9</v>
      </c>
      <c r="K12233" s="693">
        <v>8</v>
      </c>
    </row>
    <row r="12234" spans="1:11">
      <c r="A12234" s="688" t="s">
        <v>2240</v>
      </c>
      <c r="B12234" s="691">
        <v>9.6</v>
      </c>
      <c r="C12234" s="691">
        <v>9.8000000000000007</v>
      </c>
      <c r="D12234" s="691">
        <v>9.6999999999999993</v>
      </c>
      <c r="E12234" s="691">
        <v>9.9</v>
      </c>
      <c r="F12234" s="691">
        <v>9.9</v>
      </c>
      <c r="G12234" s="615">
        <v>10</v>
      </c>
      <c r="H12234" s="615">
        <v>10</v>
      </c>
      <c r="I12234" s="691">
        <v>9.1</v>
      </c>
      <c r="J12234" s="691">
        <v>8.6999999999999993</v>
      </c>
      <c r="K12234" s="691">
        <v>9.6999999999999993</v>
      </c>
    </row>
    <row r="12235" spans="1:11">
      <c r="A12235" s="688" t="s">
        <v>2</v>
      </c>
      <c r="B12235" s="689">
        <v>10.7</v>
      </c>
      <c r="C12235" s="689">
        <v>10.9</v>
      </c>
      <c r="D12235" s="689">
        <v>10.9</v>
      </c>
      <c r="E12235" s="689">
        <v>11.1</v>
      </c>
      <c r="F12235" s="689">
        <v>11.1</v>
      </c>
      <c r="G12235" s="689">
        <v>10.9</v>
      </c>
      <c r="H12235" s="689">
        <v>11.3</v>
      </c>
      <c r="I12235" s="689">
        <v>11.2</v>
      </c>
      <c r="J12235" s="689">
        <v>11.1</v>
      </c>
      <c r="K12235" s="693">
        <v>11</v>
      </c>
    </row>
    <row r="12236" spans="1:11">
      <c r="A12236" s="688" t="s">
        <v>3</v>
      </c>
      <c r="B12236" s="691">
        <v>10.9</v>
      </c>
      <c r="C12236" s="615">
        <v>11</v>
      </c>
      <c r="D12236" s="691">
        <v>10.8</v>
      </c>
      <c r="E12236" s="615">
        <v>11</v>
      </c>
      <c r="F12236" s="615">
        <v>11</v>
      </c>
      <c r="G12236" s="691">
        <v>11.1</v>
      </c>
      <c r="H12236" s="691">
        <v>11.3</v>
      </c>
      <c r="I12236" s="615">
        <v>11</v>
      </c>
      <c r="J12236" s="615">
        <v>11</v>
      </c>
      <c r="K12236" s="691">
        <v>10.7</v>
      </c>
    </row>
    <row r="12237" spans="1:11">
      <c r="A12237" s="688" t="s">
        <v>4061</v>
      </c>
      <c r="B12237" s="689">
        <v>10.9</v>
      </c>
      <c r="C12237" s="693">
        <v>11</v>
      </c>
      <c r="D12237" s="689">
        <v>10.8</v>
      </c>
      <c r="E12237" s="693">
        <v>11</v>
      </c>
      <c r="F12237" s="693">
        <v>11</v>
      </c>
      <c r="G12237" s="689">
        <v>11.1</v>
      </c>
      <c r="H12237" s="689">
        <v>11.3</v>
      </c>
      <c r="I12237" s="693">
        <v>11</v>
      </c>
      <c r="J12237" s="693">
        <v>11</v>
      </c>
      <c r="K12237" s="689">
        <v>10.7</v>
      </c>
    </row>
    <row r="12238" spans="1:11">
      <c r="A12238" s="688" t="s">
        <v>4</v>
      </c>
      <c r="B12238" s="691">
        <v>9.6999999999999993</v>
      </c>
      <c r="C12238" s="691">
        <v>9.5</v>
      </c>
      <c r="D12238" s="691">
        <v>9.6999999999999993</v>
      </c>
      <c r="E12238" s="691">
        <v>9.6999999999999993</v>
      </c>
      <c r="F12238" s="691">
        <v>9.8000000000000007</v>
      </c>
      <c r="G12238" s="691">
        <v>9.9</v>
      </c>
      <c r="H12238" s="691">
        <v>10.199999999999999</v>
      </c>
      <c r="I12238" s="691">
        <v>10.199999999999999</v>
      </c>
      <c r="J12238" s="691">
        <v>9.1</v>
      </c>
      <c r="K12238" s="691">
        <v>9.6</v>
      </c>
    </row>
    <row r="12239" spans="1:11">
      <c r="A12239" s="688" t="s">
        <v>8</v>
      </c>
      <c r="B12239" s="689">
        <v>10.9</v>
      </c>
      <c r="C12239" s="693">
        <v>11</v>
      </c>
      <c r="D12239" s="689">
        <v>10.9</v>
      </c>
      <c r="E12239" s="693">
        <v>11</v>
      </c>
      <c r="F12239" s="689">
        <v>11.3</v>
      </c>
      <c r="G12239" s="689">
        <v>11.4</v>
      </c>
      <c r="H12239" s="689">
        <v>11.6</v>
      </c>
      <c r="I12239" s="689">
        <v>11.5</v>
      </c>
      <c r="J12239" s="689">
        <v>11.4</v>
      </c>
      <c r="K12239" s="689">
        <v>11.5</v>
      </c>
    </row>
    <row r="12240" spans="1:11">
      <c r="A12240" s="688" t="s">
        <v>7</v>
      </c>
      <c r="B12240" s="691">
        <v>11.8</v>
      </c>
      <c r="C12240" s="615">
        <v>11</v>
      </c>
      <c r="D12240" s="691">
        <v>10.8</v>
      </c>
      <c r="E12240" s="691">
        <v>11.1</v>
      </c>
      <c r="F12240" s="691">
        <v>11.1</v>
      </c>
      <c r="G12240" s="691">
        <v>11.4</v>
      </c>
      <c r="H12240" s="691">
        <v>11.4</v>
      </c>
      <c r="I12240" s="691">
        <v>11.2</v>
      </c>
      <c r="J12240" s="691">
        <v>10.8</v>
      </c>
      <c r="K12240" s="691">
        <v>10.9</v>
      </c>
    </row>
    <row r="12241" spans="1:11">
      <c r="A12241" s="688" t="s">
        <v>27</v>
      </c>
      <c r="B12241" s="693">
        <v>12</v>
      </c>
      <c r="C12241" s="689">
        <v>11.8</v>
      </c>
      <c r="D12241" s="689">
        <v>11.5</v>
      </c>
      <c r="E12241" s="689">
        <v>11.8</v>
      </c>
      <c r="F12241" s="689">
        <v>11.8</v>
      </c>
      <c r="G12241" s="689">
        <v>11.9</v>
      </c>
      <c r="H12241" s="689">
        <v>12.1</v>
      </c>
      <c r="I12241" s="689">
        <v>11.1</v>
      </c>
      <c r="J12241" s="689">
        <v>11.8</v>
      </c>
      <c r="K12241" s="689">
        <v>11.8</v>
      </c>
    </row>
    <row r="12242" spans="1:11">
      <c r="A12242" s="688" t="s">
        <v>6</v>
      </c>
      <c r="B12242" s="691">
        <v>12.2</v>
      </c>
      <c r="C12242" s="691">
        <v>12.2</v>
      </c>
      <c r="D12242" s="615">
        <v>12</v>
      </c>
      <c r="E12242" s="691">
        <v>12.2</v>
      </c>
      <c r="F12242" s="691">
        <v>12.2</v>
      </c>
      <c r="G12242" s="691">
        <v>12.3</v>
      </c>
      <c r="H12242" s="691">
        <v>12.4</v>
      </c>
      <c r="I12242" s="691">
        <v>11.8</v>
      </c>
      <c r="J12242" s="615">
        <v>12</v>
      </c>
      <c r="K12242" s="691">
        <v>12.1</v>
      </c>
    </row>
    <row r="12243" spans="1:11">
      <c r="A12243" s="688" t="s">
        <v>4058</v>
      </c>
      <c r="B12243" s="690" t="s">
        <v>4060</v>
      </c>
      <c r="C12243" s="690" t="s">
        <v>4060</v>
      </c>
      <c r="D12243" s="690" t="s">
        <v>4060</v>
      </c>
      <c r="E12243" s="690" t="s">
        <v>4060</v>
      </c>
      <c r="F12243" s="690" t="s">
        <v>4060</v>
      </c>
      <c r="G12243" s="690" t="s">
        <v>4060</v>
      </c>
      <c r="H12243" s="690" t="s">
        <v>4060</v>
      </c>
      <c r="I12243" s="690" t="s">
        <v>4060</v>
      </c>
      <c r="J12243" s="690" t="s">
        <v>4060</v>
      </c>
      <c r="K12243" s="690" t="s">
        <v>4060</v>
      </c>
    </row>
    <row r="12244" spans="1:11">
      <c r="A12244" s="688" t="s">
        <v>11</v>
      </c>
      <c r="B12244" s="691">
        <v>9.1999999999999993</v>
      </c>
      <c r="C12244" s="691">
        <v>9.1999999999999993</v>
      </c>
      <c r="D12244" s="691">
        <v>8.9</v>
      </c>
      <c r="E12244" s="691">
        <v>9.3000000000000007</v>
      </c>
      <c r="F12244" s="691">
        <v>9.1999999999999993</v>
      </c>
      <c r="G12244" s="691">
        <v>9.4</v>
      </c>
      <c r="H12244" s="691">
        <v>9.6</v>
      </c>
      <c r="I12244" s="615">
        <v>9</v>
      </c>
      <c r="J12244" s="691">
        <v>8.5</v>
      </c>
      <c r="K12244" s="691">
        <v>9.1</v>
      </c>
    </row>
    <row r="12245" spans="1:11">
      <c r="A12245" s="688" t="s">
        <v>10</v>
      </c>
      <c r="B12245" s="689">
        <v>11.6</v>
      </c>
      <c r="C12245" s="689">
        <v>11.5</v>
      </c>
      <c r="D12245" s="689">
        <v>11.3</v>
      </c>
      <c r="E12245" s="689">
        <v>11.7</v>
      </c>
      <c r="F12245" s="689">
        <v>11.5</v>
      </c>
      <c r="G12245" s="689">
        <v>11.8</v>
      </c>
      <c r="H12245" s="689">
        <v>11.9</v>
      </c>
      <c r="I12245" s="693">
        <v>11</v>
      </c>
      <c r="J12245" s="689">
        <v>11.5</v>
      </c>
      <c r="K12245" s="689">
        <v>11.5</v>
      </c>
    </row>
    <row r="12246" spans="1:11">
      <c r="A12246" s="688" t="s">
        <v>30</v>
      </c>
      <c r="B12246" s="691">
        <v>11.3</v>
      </c>
      <c r="C12246" s="691">
        <v>11.3</v>
      </c>
      <c r="D12246" s="691">
        <v>11.1</v>
      </c>
      <c r="E12246" s="691">
        <v>11.5</v>
      </c>
      <c r="F12246" s="691">
        <v>11.4</v>
      </c>
      <c r="G12246" s="691">
        <v>12.1</v>
      </c>
      <c r="H12246" s="691">
        <v>11.7</v>
      </c>
      <c r="I12246" s="691">
        <v>11.9</v>
      </c>
      <c r="J12246" s="691">
        <v>11.5</v>
      </c>
      <c r="K12246" s="691">
        <v>11.4</v>
      </c>
    </row>
    <row r="12247" spans="1:11">
      <c r="A12247" s="688" t="s">
        <v>12</v>
      </c>
      <c r="B12247" s="693">
        <v>9</v>
      </c>
      <c r="C12247" s="689">
        <v>8.8000000000000007</v>
      </c>
      <c r="D12247" s="693">
        <v>9</v>
      </c>
      <c r="E12247" s="693">
        <v>9</v>
      </c>
      <c r="F12247" s="689">
        <v>8.9</v>
      </c>
      <c r="G12247" s="693">
        <v>9</v>
      </c>
      <c r="H12247" s="689">
        <v>9.1</v>
      </c>
      <c r="I12247" s="689">
        <v>8.9</v>
      </c>
      <c r="J12247" s="689">
        <v>8.1999999999999993</v>
      </c>
      <c r="K12247" s="689">
        <v>8.6999999999999993</v>
      </c>
    </row>
    <row r="12248" spans="1:11">
      <c r="A12248" s="688" t="s">
        <v>14</v>
      </c>
      <c r="B12248" s="691">
        <v>9.1</v>
      </c>
      <c r="C12248" s="615">
        <v>9</v>
      </c>
      <c r="D12248" s="691">
        <v>8.8000000000000007</v>
      </c>
      <c r="E12248" s="691">
        <v>8.9</v>
      </c>
      <c r="F12248" s="691">
        <v>8.8000000000000007</v>
      </c>
      <c r="G12248" s="691">
        <v>8.9</v>
      </c>
      <c r="H12248" s="691">
        <v>9.1</v>
      </c>
      <c r="I12248" s="691">
        <v>8.6</v>
      </c>
      <c r="J12248" s="691">
        <v>8.4</v>
      </c>
      <c r="K12248" s="691">
        <v>8.9</v>
      </c>
    </row>
    <row r="12249" spans="1:11">
      <c r="A12249" s="688" t="s">
        <v>15</v>
      </c>
      <c r="B12249" s="689">
        <v>11.9</v>
      </c>
      <c r="C12249" s="689">
        <v>11.1</v>
      </c>
      <c r="D12249" s="689">
        <v>11.3</v>
      </c>
      <c r="E12249" s="689">
        <v>11.5</v>
      </c>
      <c r="F12249" s="689">
        <v>11.6</v>
      </c>
      <c r="G12249" s="689">
        <v>11.3</v>
      </c>
      <c r="H12249" s="689">
        <v>11.6</v>
      </c>
      <c r="I12249" s="689">
        <v>11.2</v>
      </c>
      <c r="J12249" s="689">
        <v>11.5</v>
      </c>
      <c r="K12249" s="689">
        <v>11.9</v>
      </c>
    </row>
    <row r="12250" spans="1:11">
      <c r="A12250" s="688" t="s">
        <v>29</v>
      </c>
      <c r="B12250" s="615">
        <v>9</v>
      </c>
      <c r="C12250" s="691">
        <v>9.1</v>
      </c>
      <c r="D12250" s="691">
        <v>8.8000000000000007</v>
      </c>
      <c r="E12250" s="691">
        <v>9.1</v>
      </c>
      <c r="F12250" s="691">
        <v>8.9</v>
      </c>
      <c r="G12250" s="691">
        <v>9.1</v>
      </c>
      <c r="H12250" s="691">
        <v>9.1999999999999993</v>
      </c>
      <c r="I12250" s="691">
        <v>8.6999999999999993</v>
      </c>
      <c r="J12250" s="691">
        <v>8.3000000000000007</v>
      </c>
      <c r="K12250" s="691">
        <v>8.9</v>
      </c>
    </row>
    <row r="12251" spans="1:11">
      <c r="A12251" s="688" t="s">
        <v>16</v>
      </c>
      <c r="B12251" s="689">
        <v>11.1</v>
      </c>
      <c r="C12251" s="689">
        <v>11.1</v>
      </c>
      <c r="D12251" s="689">
        <v>10.9</v>
      </c>
      <c r="E12251" s="689">
        <v>11.8</v>
      </c>
      <c r="F12251" s="689">
        <v>11.3</v>
      </c>
      <c r="G12251" s="689">
        <v>11.4</v>
      </c>
      <c r="H12251" s="689">
        <v>11.4</v>
      </c>
      <c r="I12251" s="693">
        <v>11</v>
      </c>
      <c r="J12251" s="689">
        <v>11.4</v>
      </c>
      <c r="K12251" s="689">
        <v>11.3</v>
      </c>
    </row>
    <row r="12252" spans="1:11">
      <c r="A12252" s="688" t="s">
        <v>17</v>
      </c>
      <c r="B12252" s="615">
        <v>11</v>
      </c>
      <c r="C12252" s="691">
        <v>11.1</v>
      </c>
      <c r="D12252" s="691">
        <v>10.9</v>
      </c>
      <c r="E12252" s="615">
        <v>11</v>
      </c>
      <c r="F12252" s="691">
        <v>11.2</v>
      </c>
      <c r="G12252" s="691">
        <v>11.2</v>
      </c>
      <c r="H12252" s="691">
        <v>11.4</v>
      </c>
      <c r="I12252" s="691">
        <v>10.7</v>
      </c>
      <c r="J12252" s="691">
        <v>10.9</v>
      </c>
      <c r="K12252" s="691">
        <v>11.2</v>
      </c>
    </row>
    <row r="12253" spans="1:11">
      <c r="A12253" s="688" t="s">
        <v>19</v>
      </c>
      <c r="B12253" s="689">
        <v>11.2</v>
      </c>
      <c r="C12253" s="689">
        <v>11.3</v>
      </c>
      <c r="D12253" s="689">
        <v>11.1</v>
      </c>
      <c r="E12253" s="689">
        <v>11.4</v>
      </c>
      <c r="F12253" s="689">
        <v>11.4</v>
      </c>
      <c r="G12253" s="689">
        <v>11.4</v>
      </c>
      <c r="H12253" s="689">
        <v>11.5</v>
      </c>
      <c r="I12253" s="689">
        <v>10.9</v>
      </c>
      <c r="J12253" s="689">
        <v>11.1</v>
      </c>
      <c r="K12253" s="693">
        <v>11</v>
      </c>
    </row>
    <row r="12254" spans="1:11">
      <c r="A12254" s="688" t="s">
        <v>20</v>
      </c>
      <c r="B12254" s="691">
        <v>9.9</v>
      </c>
      <c r="C12254" s="615">
        <v>10</v>
      </c>
      <c r="D12254" s="691">
        <v>9.8000000000000007</v>
      </c>
      <c r="E12254" s="691">
        <v>10.1</v>
      </c>
      <c r="F12254" s="615">
        <v>10</v>
      </c>
      <c r="G12254" s="615">
        <v>10</v>
      </c>
      <c r="H12254" s="691">
        <v>10.3</v>
      </c>
      <c r="I12254" s="691">
        <v>9.1</v>
      </c>
      <c r="J12254" s="691">
        <v>8.6999999999999993</v>
      </c>
      <c r="K12254" s="691">
        <v>9.6999999999999993</v>
      </c>
    </row>
    <row r="12255" spans="1:11">
      <c r="A12255" s="688" t="s">
        <v>21</v>
      </c>
      <c r="B12255" s="689">
        <v>10.8</v>
      </c>
      <c r="C12255" s="693">
        <v>11</v>
      </c>
      <c r="D12255" s="689">
        <v>11.1</v>
      </c>
      <c r="E12255" s="693">
        <v>11</v>
      </c>
      <c r="F12255" s="689">
        <v>11.3</v>
      </c>
      <c r="G12255" s="689">
        <v>11.3</v>
      </c>
      <c r="H12255" s="689">
        <v>11.6</v>
      </c>
      <c r="I12255" s="689">
        <v>11.2</v>
      </c>
      <c r="J12255" s="689">
        <v>11.2</v>
      </c>
      <c r="K12255" s="689">
        <v>11.5</v>
      </c>
    </row>
    <row r="12256" spans="1:11">
      <c r="A12256" s="688" t="s">
        <v>22</v>
      </c>
      <c r="B12256" s="691">
        <v>9.1999999999999993</v>
      </c>
      <c r="C12256" s="615">
        <v>9</v>
      </c>
      <c r="D12256" s="691">
        <v>8.9</v>
      </c>
      <c r="E12256" s="691">
        <v>9.1999999999999993</v>
      </c>
      <c r="F12256" s="691">
        <v>9.1999999999999993</v>
      </c>
      <c r="G12256" s="691">
        <v>9.3000000000000007</v>
      </c>
      <c r="H12256" s="691">
        <v>9.6</v>
      </c>
      <c r="I12256" s="691">
        <v>8.4</v>
      </c>
      <c r="J12256" s="691">
        <v>7.7</v>
      </c>
      <c r="K12256" s="691">
        <v>8.6999999999999993</v>
      </c>
    </row>
    <row r="12257" spans="1:11">
      <c r="A12257" s="688" t="s">
        <v>26</v>
      </c>
      <c r="B12257" s="689">
        <v>10.6</v>
      </c>
      <c r="C12257" s="689">
        <v>10.7</v>
      </c>
      <c r="D12257" s="689">
        <v>10.6</v>
      </c>
      <c r="E12257" s="689">
        <v>10.9</v>
      </c>
      <c r="F12257" s="689">
        <v>10.6</v>
      </c>
      <c r="G12257" s="689">
        <v>10.8</v>
      </c>
      <c r="H12257" s="689">
        <v>11.1</v>
      </c>
      <c r="I12257" s="689">
        <v>10.199999999999999</v>
      </c>
      <c r="J12257" s="689">
        <v>10.5</v>
      </c>
      <c r="K12257" s="689">
        <v>10.9</v>
      </c>
    </row>
    <row r="12258" spans="1:11">
      <c r="A12258" s="688" t="s">
        <v>25</v>
      </c>
      <c r="B12258" s="615">
        <v>9</v>
      </c>
      <c r="C12258" s="691">
        <v>9.1999999999999993</v>
      </c>
      <c r="D12258" s="691">
        <v>9.1999999999999993</v>
      </c>
      <c r="E12258" s="691">
        <v>9.5</v>
      </c>
      <c r="F12258" s="691">
        <v>9.4</v>
      </c>
      <c r="G12258" s="691">
        <v>9.6</v>
      </c>
      <c r="H12258" s="615">
        <v>10</v>
      </c>
      <c r="I12258" s="691">
        <v>9.1</v>
      </c>
      <c r="J12258" s="691">
        <v>8.1</v>
      </c>
      <c r="K12258" s="691">
        <v>9.1999999999999993</v>
      </c>
    </row>
    <row r="12259" spans="1:11">
      <c r="A12259" s="688" t="s">
        <v>5</v>
      </c>
      <c r="B12259" s="689">
        <v>11.2</v>
      </c>
      <c r="C12259" s="693">
        <v>11</v>
      </c>
      <c r="D12259" s="689">
        <v>11.1</v>
      </c>
      <c r="E12259" s="693">
        <v>11</v>
      </c>
      <c r="F12259" s="689">
        <v>11.2</v>
      </c>
      <c r="G12259" s="689">
        <v>11.3</v>
      </c>
      <c r="H12259" s="689">
        <v>11.5</v>
      </c>
      <c r="I12259" s="689">
        <v>11.5</v>
      </c>
      <c r="J12259" s="689">
        <v>11.4</v>
      </c>
      <c r="K12259" s="689">
        <v>10.9</v>
      </c>
    </row>
    <row r="12260" spans="1:11">
      <c r="A12260" s="688" t="s">
        <v>23</v>
      </c>
      <c r="B12260" s="691">
        <v>11.3</v>
      </c>
      <c r="C12260" s="691">
        <v>11.4</v>
      </c>
      <c r="D12260" s="691">
        <v>11.4</v>
      </c>
      <c r="E12260" s="691">
        <v>11.5</v>
      </c>
      <c r="F12260" s="691">
        <v>11.5</v>
      </c>
      <c r="G12260" s="691">
        <v>11.6</v>
      </c>
      <c r="H12260" s="691">
        <v>11.9</v>
      </c>
      <c r="I12260" s="691">
        <v>11.3</v>
      </c>
      <c r="J12260" s="691">
        <v>11.9</v>
      </c>
      <c r="K12260" s="691">
        <v>11.9</v>
      </c>
    </row>
    <row r="12261" spans="1:11">
      <c r="A12261" s="688" t="s">
        <v>4067</v>
      </c>
      <c r="B12261" s="689">
        <v>11.1</v>
      </c>
      <c r="C12261" s="689">
        <v>11.4</v>
      </c>
      <c r="D12261" s="689">
        <v>11.1</v>
      </c>
      <c r="E12261" s="689">
        <v>11.4</v>
      </c>
      <c r="F12261" s="689">
        <v>11.4</v>
      </c>
      <c r="G12261" s="689">
        <v>11.5</v>
      </c>
      <c r="H12261" s="690" t="s">
        <v>4060</v>
      </c>
      <c r="I12261" s="690" t="s">
        <v>4060</v>
      </c>
      <c r="J12261" s="690" t="s">
        <v>4060</v>
      </c>
      <c r="K12261" s="690" t="s">
        <v>4060</v>
      </c>
    </row>
    <row r="12262" spans="1:11">
      <c r="A12262" s="688" t="s">
        <v>4066</v>
      </c>
      <c r="B12262" s="691">
        <v>11.1</v>
      </c>
      <c r="C12262" s="691">
        <v>11.4</v>
      </c>
      <c r="D12262" s="691">
        <v>11.1</v>
      </c>
      <c r="E12262" s="691">
        <v>11.4</v>
      </c>
      <c r="F12262" s="691">
        <v>11.4</v>
      </c>
      <c r="G12262" s="691">
        <v>11.5</v>
      </c>
      <c r="H12262" s="692" t="s">
        <v>4060</v>
      </c>
      <c r="I12262" s="692" t="s">
        <v>4060</v>
      </c>
      <c r="J12262" s="692" t="s">
        <v>4060</v>
      </c>
      <c r="K12262" s="692" t="s">
        <v>4060</v>
      </c>
    </row>
    <row r="12263" spans="1:11">
      <c r="A12263" s="688" t="s">
        <v>4062</v>
      </c>
      <c r="B12263" s="689">
        <v>11.6</v>
      </c>
      <c r="C12263" s="689">
        <v>11.7</v>
      </c>
      <c r="D12263" s="689">
        <v>11.6</v>
      </c>
      <c r="E12263" s="689">
        <v>11.9</v>
      </c>
      <c r="F12263" s="689">
        <v>11.9</v>
      </c>
      <c r="G12263" s="689">
        <v>12.1</v>
      </c>
      <c r="H12263" s="689">
        <v>12.2</v>
      </c>
      <c r="I12263" s="689">
        <v>11.7</v>
      </c>
      <c r="J12263" s="689">
        <v>12.2</v>
      </c>
      <c r="K12263" s="689">
        <v>11.9</v>
      </c>
    </row>
    <row r="12264" spans="1:11">
      <c r="A12264" s="688" t="s">
        <v>9</v>
      </c>
      <c r="B12264" s="691">
        <v>11.4</v>
      </c>
      <c r="C12264" s="691">
        <v>11.6</v>
      </c>
      <c r="D12264" s="691">
        <v>11.8</v>
      </c>
      <c r="E12264" s="691">
        <v>11.2</v>
      </c>
      <c r="F12264" s="691">
        <v>11.8</v>
      </c>
      <c r="G12264" s="615">
        <v>12</v>
      </c>
      <c r="H12264" s="615">
        <v>12</v>
      </c>
      <c r="I12264" s="691">
        <v>12.2</v>
      </c>
      <c r="J12264" s="691">
        <v>12.5</v>
      </c>
      <c r="K12264" s="691">
        <v>11.5</v>
      </c>
    </row>
    <row r="12265" spans="1:11">
      <c r="A12265" s="688" t="s">
        <v>13</v>
      </c>
      <c r="B12265" s="689">
        <v>11.3</v>
      </c>
      <c r="C12265" s="689">
        <v>11.7</v>
      </c>
      <c r="D12265" s="689">
        <v>11.9</v>
      </c>
      <c r="E12265" s="693">
        <v>11</v>
      </c>
      <c r="F12265" s="689">
        <v>12.7</v>
      </c>
      <c r="G12265" s="689">
        <v>11.1</v>
      </c>
      <c r="H12265" s="689">
        <v>12.2</v>
      </c>
      <c r="I12265" s="689">
        <v>10.8</v>
      </c>
      <c r="J12265" s="693">
        <v>13</v>
      </c>
      <c r="K12265" s="689">
        <v>13.3</v>
      </c>
    </row>
    <row r="12266" spans="1:11">
      <c r="A12266" s="688" t="s">
        <v>18</v>
      </c>
      <c r="B12266" s="691">
        <v>11.2</v>
      </c>
      <c r="C12266" s="691">
        <v>11.3</v>
      </c>
      <c r="D12266" s="691">
        <v>11.3</v>
      </c>
      <c r="E12266" s="691">
        <v>11.6</v>
      </c>
      <c r="F12266" s="691">
        <v>11.6</v>
      </c>
      <c r="G12266" s="691">
        <v>11.7</v>
      </c>
      <c r="H12266" s="691">
        <v>11.9</v>
      </c>
      <c r="I12266" s="615">
        <v>12</v>
      </c>
      <c r="J12266" s="615">
        <v>12</v>
      </c>
      <c r="K12266" s="691">
        <v>11.5</v>
      </c>
    </row>
    <row r="12267" spans="1:11">
      <c r="A12267" s="688" t="s">
        <v>24</v>
      </c>
      <c r="B12267" s="689">
        <v>11.9</v>
      </c>
      <c r="C12267" s="689">
        <v>11.9</v>
      </c>
      <c r="D12267" s="689">
        <v>11.7</v>
      </c>
      <c r="E12267" s="689">
        <v>12.1</v>
      </c>
      <c r="F12267" s="689">
        <v>12.1</v>
      </c>
      <c r="G12267" s="689">
        <v>12.3</v>
      </c>
      <c r="H12267" s="689">
        <v>12.4</v>
      </c>
      <c r="I12267" s="689">
        <v>11.6</v>
      </c>
      <c r="J12267" s="689">
        <v>12.3</v>
      </c>
      <c r="K12267" s="689">
        <v>12.1</v>
      </c>
    </row>
    <row r="12268" spans="1:11">
      <c r="A12268" s="688" t="s">
        <v>4059</v>
      </c>
      <c r="B12268" s="691">
        <v>11.4</v>
      </c>
      <c r="C12268" s="691">
        <v>11.6</v>
      </c>
      <c r="D12268" s="691">
        <v>11.4</v>
      </c>
      <c r="E12268" s="691">
        <v>11.6</v>
      </c>
      <c r="F12268" s="691">
        <v>11.6</v>
      </c>
      <c r="G12268" s="691">
        <v>11.7</v>
      </c>
      <c r="H12268" s="692" t="s">
        <v>4060</v>
      </c>
      <c r="I12268" s="692" t="s">
        <v>4060</v>
      </c>
      <c r="J12268" s="692" t="s">
        <v>4060</v>
      </c>
      <c r="K12268" s="692" t="s">
        <v>4060</v>
      </c>
    </row>
    <row r="12269" spans="1:11">
      <c r="A12269" s="688" t="s">
        <v>2324</v>
      </c>
      <c r="B12269" s="689">
        <v>9.3000000000000007</v>
      </c>
      <c r="C12269" s="689">
        <v>9.3000000000000007</v>
      </c>
      <c r="D12269" s="689">
        <v>9.1999999999999993</v>
      </c>
      <c r="E12269" s="689">
        <v>8.9</v>
      </c>
      <c r="F12269" s="689">
        <v>9.1</v>
      </c>
      <c r="G12269" s="689">
        <v>9.4</v>
      </c>
      <c r="H12269" s="689">
        <v>9.4</v>
      </c>
      <c r="I12269" s="689">
        <v>8.1999999999999993</v>
      </c>
      <c r="J12269" s="689">
        <v>6.9</v>
      </c>
      <c r="K12269" s="690" t="s">
        <v>4060</v>
      </c>
    </row>
    <row r="12270" spans="1:11">
      <c r="A12270" s="688" t="s">
        <v>2322</v>
      </c>
      <c r="B12270" s="692" t="s">
        <v>4060</v>
      </c>
      <c r="C12270" s="692" t="s">
        <v>4060</v>
      </c>
      <c r="D12270" s="692" t="s">
        <v>4060</v>
      </c>
      <c r="E12270" s="692" t="s">
        <v>4060</v>
      </c>
      <c r="F12270" s="692" t="s">
        <v>4060</v>
      </c>
      <c r="G12270" s="692" t="s">
        <v>4060</v>
      </c>
      <c r="H12270" s="692" t="s">
        <v>4060</v>
      </c>
      <c r="I12270" s="692" t="s">
        <v>4060</v>
      </c>
      <c r="J12270" s="692" t="s">
        <v>4060</v>
      </c>
      <c r="K12270" s="692" t="s">
        <v>4060</v>
      </c>
    </row>
    <row r="12271" spans="1:11">
      <c r="A12271" s="688" t="s">
        <v>2328</v>
      </c>
      <c r="B12271" s="689">
        <v>8.1999999999999993</v>
      </c>
      <c r="C12271" s="689">
        <v>8.4</v>
      </c>
      <c r="D12271" s="689">
        <v>8.3000000000000007</v>
      </c>
      <c r="E12271" s="689">
        <v>8.3000000000000007</v>
      </c>
      <c r="F12271" s="689">
        <v>8.4</v>
      </c>
      <c r="G12271" s="689">
        <v>8.6999999999999993</v>
      </c>
      <c r="H12271" s="689">
        <v>8.6</v>
      </c>
      <c r="I12271" s="689">
        <v>7.4</v>
      </c>
      <c r="J12271" s="689">
        <v>7.2</v>
      </c>
      <c r="K12271" s="690" t="s">
        <v>4060</v>
      </c>
    </row>
    <row r="12272" spans="1:11">
      <c r="A12272" s="688" t="s">
        <v>2496</v>
      </c>
      <c r="B12272" s="692" t="s">
        <v>4060</v>
      </c>
      <c r="C12272" s="691">
        <v>9.1999999999999993</v>
      </c>
      <c r="D12272" s="615">
        <v>8</v>
      </c>
      <c r="E12272" s="691">
        <v>7.5</v>
      </c>
      <c r="F12272" s="691">
        <v>7.9</v>
      </c>
      <c r="G12272" s="691">
        <v>8.1</v>
      </c>
      <c r="H12272" s="691">
        <v>8.1</v>
      </c>
      <c r="I12272" s="692" t="s">
        <v>4060</v>
      </c>
      <c r="J12272" s="692" t="s">
        <v>4060</v>
      </c>
      <c r="K12272" s="691">
        <v>7.5</v>
      </c>
    </row>
    <row r="12273" spans="1:11">
      <c r="A12273" s="688" t="s">
        <v>2269</v>
      </c>
      <c r="B12273" s="689">
        <v>9.6</v>
      </c>
      <c r="C12273" s="689">
        <v>9.6</v>
      </c>
      <c r="D12273" s="689">
        <v>9.3000000000000007</v>
      </c>
      <c r="E12273" s="689">
        <v>9.6999999999999993</v>
      </c>
      <c r="F12273" s="689">
        <v>9.8000000000000007</v>
      </c>
      <c r="G12273" s="693">
        <v>10</v>
      </c>
      <c r="H12273" s="689">
        <v>10.4</v>
      </c>
      <c r="I12273" s="689">
        <v>8.9</v>
      </c>
      <c r="J12273" s="689">
        <v>7.1</v>
      </c>
      <c r="K12273" s="689">
        <v>10.1</v>
      </c>
    </row>
    <row r="12274" spans="1:11">
      <c r="A12274" s="688" t="s">
        <v>2349</v>
      </c>
      <c r="B12274" s="691">
        <v>8.5</v>
      </c>
      <c r="C12274" s="691">
        <v>8.6999999999999993</v>
      </c>
      <c r="D12274" s="691">
        <v>8.6</v>
      </c>
      <c r="E12274" s="691">
        <v>8.9</v>
      </c>
      <c r="F12274" s="691">
        <v>8.8000000000000007</v>
      </c>
      <c r="G12274" s="615">
        <v>9</v>
      </c>
      <c r="H12274" s="691">
        <v>9.1999999999999993</v>
      </c>
      <c r="I12274" s="691">
        <v>8.3000000000000007</v>
      </c>
      <c r="J12274" s="691">
        <v>7.2</v>
      </c>
      <c r="K12274" s="691">
        <v>8.4</v>
      </c>
    </row>
    <row r="12275" spans="1:11">
      <c r="A12275" s="688" t="s">
        <v>2355</v>
      </c>
      <c r="B12275" s="689">
        <v>10.1</v>
      </c>
      <c r="C12275" s="689">
        <v>9.9</v>
      </c>
      <c r="D12275" s="689">
        <v>9.8000000000000007</v>
      </c>
      <c r="E12275" s="689">
        <v>9.8000000000000007</v>
      </c>
      <c r="F12275" s="689">
        <v>9.9</v>
      </c>
      <c r="G12275" s="689">
        <v>10.199999999999999</v>
      </c>
      <c r="H12275" s="689">
        <v>10.199999999999999</v>
      </c>
      <c r="I12275" s="690" t="s">
        <v>4060</v>
      </c>
      <c r="J12275" s="690" t="s">
        <v>4060</v>
      </c>
      <c r="K12275" s="690" t="s">
        <v>4060</v>
      </c>
    </row>
    <row r="12276" spans="1:11">
      <c r="A12276" s="688" t="s">
        <v>2357</v>
      </c>
      <c r="B12276" s="692" t="s">
        <v>4060</v>
      </c>
      <c r="C12276" s="691">
        <v>8.3000000000000007</v>
      </c>
      <c r="D12276" s="691">
        <v>8.6</v>
      </c>
      <c r="E12276" s="691">
        <v>8.8000000000000007</v>
      </c>
      <c r="F12276" s="691">
        <v>8.9</v>
      </c>
      <c r="G12276" s="691">
        <v>8.8000000000000007</v>
      </c>
      <c r="H12276" s="691">
        <v>8.9</v>
      </c>
      <c r="I12276" s="692" t="s">
        <v>4060</v>
      </c>
      <c r="J12276" s="692" t="s">
        <v>4060</v>
      </c>
      <c r="K12276" s="692" t="s">
        <v>4060</v>
      </c>
    </row>
    <row r="12277" spans="1:11">
      <c r="A12277" s="688" t="s">
        <v>4070</v>
      </c>
      <c r="B12277" s="690" t="s">
        <v>4060</v>
      </c>
      <c r="C12277" s="690" t="s">
        <v>4060</v>
      </c>
      <c r="D12277" s="690" t="s">
        <v>4060</v>
      </c>
      <c r="E12277" s="689">
        <v>9.4</v>
      </c>
      <c r="F12277" s="690" t="s">
        <v>4060</v>
      </c>
      <c r="G12277" s="690" t="s">
        <v>4060</v>
      </c>
      <c r="H12277" s="690" t="s">
        <v>4060</v>
      </c>
      <c r="I12277" s="690" t="s">
        <v>4060</v>
      </c>
      <c r="J12277" s="690" t="s">
        <v>4060</v>
      </c>
      <c r="K12277" s="690" t="s">
        <v>4060</v>
      </c>
    </row>
    <row r="12278" spans="1:11">
      <c r="A12278" s="688" t="s">
        <v>2491</v>
      </c>
      <c r="B12278" s="691">
        <v>7.9</v>
      </c>
      <c r="C12278" s="691">
        <v>8.1</v>
      </c>
      <c r="D12278" s="691">
        <v>8.1999999999999993</v>
      </c>
      <c r="E12278" s="691">
        <v>8.1</v>
      </c>
      <c r="F12278" s="691">
        <v>8.1</v>
      </c>
      <c r="G12278" s="691">
        <v>8.3000000000000007</v>
      </c>
      <c r="H12278" s="692" t="s">
        <v>4060</v>
      </c>
      <c r="I12278" s="692" t="s">
        <v>4060</v>
      </c>
      <c r="J12278" s="692" t="s">
        <v>4060</v>
      </c>
      <c r="K12278" s="692" t="s">
        <v>4060</v>
      </c>
    </row>
    <row r="12279" spans="1:11">
      <c r="A12279" s="688" t="s">
        <v>2343</v>
      </c>
      <c r="B12279" s="690" t="s">
        <v>4060</v>
      </c>
      <c r="C12279" s="690" t="s">
        <v>4060</v>
      </c>
      <c r="D12279" s="690" t="s">
        <v>4060</v>
      </c>
      <c r="E12279" s="690" t="s">
        <v>4060</v>
      </c>
      <c r="F12279" s="690" t="s">
        <v>4060</v>
      </c>
      <c r="G12279" s="690" t="s">
        <v>4060</v>
      </c>
      <c r="H12279" s="690" t="s">
        <v>4060</v>
      </c>
      <c r="I12279" s="690" t="s">
        <v>4060</v>
      </c>
      <c r="J12279" s="690" t="s">
        <v>4060</v>
      </c>
      <c r="K12279" s="690" t="s">
        <v>4060</v>
      </c>
    </row>
    <row r="12280" spans="1:11">
      <c r="A12280" s="688" t="s">
        <v>4071</v>
      </c>
      <c r="B12280" s="692" t="s">
        <v>4060</v>
      </c>
      <c r="C12280" s="692" t="s">
        <v>4060</v>
      </c>
      <c r="D12280" s="692" t="s">
        <v>4060</v>
      </c>
      <c r="E12280" s="692" t="s">
        <v>4060</v>
      </c>
      <c r="F12280" s="692" t="s">
        <v>4060</v>
      </c>
      <c r="G12280" s="692" t="s">
        <v>4060</v>
      </c>
      <c r="H12280" s="692" t="s">
        <v>4060</v>
      </c>
      <c r="I12280" s="692" t="s">
        <v>4060</v>
      </c>
      <c r="J12280" s="692" t="s">
        <v>4060</v>
      </c>
      <c r="K12280" s="692" t="s">
        <v>4060</v>
      </c>
    </row>
    <row r="12281" spans="1:11">
      <c r="A12281" s="688" t="s">
        <v>2489</v>
      </c>
      <c r="B12281" s="690" t="s">
        <v>4060</v>
      </c>
      <c r="C12281" s="690" t="s">
        <v>4060</v>
      </c>
      <c r="D12281" s="689">
        <v>9.1</v>
      </c>
      <c r="E12281" s="693">
        <v>9</v>
      </c>
      <c r="F12281" s="689">
        <v>9.3000000000000007</v>
      </c>
      <c r="G12281" s="689">
        <v>9.9</v>
      </c>
      <c r="H12281" s="689">
        <v>9.8000000000000007</v>
      </c>
      <c r="I12281" s="690" t="s">
        <v>4060</v>
      </c>
      <c r="J12281" s="690" t="s">
        <v>4060</v>
      </c>
      <c r="K12281" s="690" t="s">
        <v>4060</v>
      </c>
    </row>
    <row r="12282" spans="1:11">
      <c r="A12282" s="688" t="s">
        <v>2490</v>
      </c>
      <c r="B12282" s="691">
        <v>9.1999999999999993</v>
      </c>
      <c r="C12282" s="691">
        <v>9.1</v>
      </c>
      <c r="D12282" s="691">
        <v>9.8000000000000007</v>
      </c>
      <c r="E12282" s="692" t="s">
        <v>4060</v>
      </c>
      <c r="F12282" s="691">
        <v>10.199999999999999</v>
      </c>
      <c r="G12282" s="691">
        <v>9.9</v>
      </c>
      <c r="H12282" s="691">
        <v>10.8</v>
      </c>
      <c r="I12282" s="692" t="s">
        <v>4060</v>
      </c>
      <c r="J12282" s="692" t="s">
        <v>4060</v>
      </c>
      <c r="K12282" s="692" t="s">
        <v>4060</v>
      </c>
    </row>
    <row r="12284" spans="1:11">
      <c r="A12284" s="683" t="s">
        <v>4233</v>
      </c>
    </row>
    <row r="12285" spans="1:11">
      <c r="A12285" s="683" t="s">
        <v>4060</v>
      </c>
      <c r="B12285" s="682" t="s">
        <v>4234</v>
      </c>
    </row>
    <row r="12287" spans="1:11">
      <c r="A12287" s="682" t="s">
        <v>4331</v>
      </c>
    </row>
    <row r="12288" spans="1:11">
      <c r="A12288" s="682" t="s">
        <v>4210</v>
      </c>
      <c r="B12288" s="683" t="s">
        <v>4211</v>
      </c>
    </row>
    <row r="12289" spans="1:11">
      <c r="A12289" s="682" t="s">
        <v>4212</v>
      </c>
      <c r="B12289" s="682" t="s">
        <v>4213</v>
      </c>
    </row>
    <row r="12291" spans="1:11">
      <c r="A12291" s="683" t="s">
        <v>4214</v>
      </c>
      <c r="C12291" s="682" t="s">
        <v>4215</v>
      </c>
    </row>
    <row r="12292" spans="1:11">
      <c r="A12292" s="683" t="s">
        <v>4216</v>
      </c>
      <c r="C12292" s="682" t="s">
        <v>2967</v>
      </c>
    </row>
    <row r="12293" spans="1:11">
      <c r="A12293" s="683" t="s">
        <v>3893</v>
      </c>
      <c r="C12293" s="682" t="s">
        <v>2168</v>
      </c>
    </row>
    <row r="12294" spans="1:11">
      <c r="A12294" s="683" t="s">
        <v>4218</v>
      </c>
      <c r="C12294" s="682" t="s">
        <v>4310</v>
      </c>
    </row>
    <row r="12296" spans="1:11">
      <c r="A12296" s="684" t="s">
        <v>4220</v>
      </c>
      <c r="B12296" s="685" t="s">
        <v>4221</v>
      </c>
      <c r="C12296" s="685" t="s">
        <v>4222</v>
      </c>
      <c r="D12296" s="685" t="s">
        <v>4223</v>
      </c>
      <c r="E12296" s="685" t="s">
        <v>4224</v>
      </c>
      <c r="F12296" s="685" t="s">
        <v>4225</v>
      </c>
      <c r="G12296" s="685" t="s">
        <v>4226</v>
      </c>
      <c r="H12296" s="685" t="s">
        <v>4227</v>
      </c>
      <c r="I12296" s="685" t="s">
        <v>4228</v>
      </c>
      <c r="J12296" s="685" t="s">
        <v>4229</v>
      </c>
      <c r="K12296" s="685" t="s">
        <v>4230</v>
      </c>
    </row>
    <row r="12297" spans="1:11">
      <c r="A12297" s="686" t="s">
        <v>4231</v>
      </c>
      <c r="B12297" s="687" t="s">
        <v>4232</v>
      </c>
      <c r="C12297" s="687" t="s">
        <v>4232</v>
      </c>
      <c r="D12297" s="687" t="s">
        <v>4232</v>
      </c>
      <c r="E12297" s="687" t="s">
        <v>4232</v>
      </c>
      <c r="F12297" s="687" t="s">
        <v>4232</v>
      </c>
      <c r="G12297" s="687" t="s">
        <v>4232</v>
      </c>
      <c r="H12297" s="687" t="s">
        <v>4232</v>
      </c>
      <c r="I12297" s="687" t="s">
        <v>4232</v>
      </c>
      <c r="J12297" s="687" t="s">
        <v>4232</v>
      </c>
      <c r="K12297" s="687" t="s">
        <v>4232</v>
      </c>
    </row>
    <row r="12298" spans="1:11">
      <c r="A12298" s="688" t="s">
        <v>4064</v>
      </c>
      <c r="B12298" s="691">
        <v>10.5</v>
      </c>
      <c r="C12298" s="691">
        <v>10.4</v>
      </c>
      <c r="D12298" s="691">
        <v>10.5</v>
      </c>
      <c r="E12298" s="691">
        <v>10.5</v>
      </c>
      <c r="F12298" s="691">
        <v>10.5</v>
      </c>
      <c r="G12298" s="691">
        <v>10.6</v>
      </c>
      <c r="H12298" s="691">
        <v>10.8</v>
      </c>
      <c r="I12298" s="691">
        <v>10.1</v>
      </c>
      <c r="J12298" s="691">
        <v>10.199999999999999</v>
      </c>
      <c r="K12298" s="691">
        <v>10.4</v>
      </c>
    </row>
    <row r="12299" spans="1:11">
      <c r="A12299" s="688" t="s">
        <v>4065</v>
      </c>
      <c r="B12299" s="689">
        <v>10.5</v>
      </c>
      <c r="C12299" s="689">
        <v>10.8</v>
      </c>
      <c r="D12299" s="689">
        <v>10.5</v>
      </c>
      <c r="E12299" s="689">
        <v>10.8</v>
      </c>
      <c r="F12299" s="689">
        <v>10.7</v>
      </c>
      <c r="G12299" s="689">
        <v>10.8</v>
      </c>
      <c r="H12299" s="690" t="s">
        <v>4060</v>
      </c>
      <c r="I12299" s="690" t="s">
        <v>4060</v>
      </c>
      <c r="J12299" s="690" t="s">
        <v>4060</v>
      </c>
      <c r="K12299" s="690" t="s">
        <v>4060</v>
      </c>
    </row>
    <row r="12300" spans="1:11">
      <c r="A12300" s="688" t="s">
        <v>4063</v>
      </c>
      <c r="B12300" s="691">
        <v>10.5</v>
      </c>
      <c r="C12300" s="691">
        <v>10.8</v>
      </c>
      <c r="D12300" s="691">
        <v>10.5</v>
      </c>
      <c r="E12300" s="691">
        <v>10.8</v>
      </c>
      <c r="F12300" s="691">
        <v>10.7</v>
      </c>
      <c r="G12300" s="691">
        <v>10.9</v>
      </c>
      <c r="H12300" s="692" t="s">
        <v>4060</v>
      </c>
      <c r="I12300" s="692" t="s">
        <v>4060</v>
      </c>
      <c r="J12300" s="692" t="s">
        <v>4060</v>
      </c>
      <c r="K12300" s="692" t="s">
        <v>4060</v>
      </c>
    </row>
    <row r="12301" spans="1:11">
      <c r="A12301" s="688" t="s">
        <v>4069</v>
      </c>
      <c r="B12301" s="690" t="s">
        <v>4060</v>
      </c>
      <c r="C12301" s="689">
        <v>10.7</v>
      </c>
      <c r="D12301" s="689">
        <v>10.5</v>
      </c>
      <c r="E12301" s="689">
        <v>10.8</v>
      </c>
      <c r="F12301" s="689">
        <v>10.7</v>
      </c>
      <c r="G12301" s="689">
        <v>10.9</v>
      </c>
      <c r="H12301" s="693">
        <v>11</v>
      </c>
      <c r="I12301" s="689">
        <v>10.5</v>
      </c>
      <c r="J12301" s="689">
        <v>10.6</v>
      </c>
      <c r="K12301" s="689">
        <v>10.7</v>
      </c>
    </row>
    <row r="12302" spans="1:11">
      <c r="A12302" s="688" t="s">
        <v>4068</v>
      </c>
      <c r="B12302" s="691">
        <v>10.8</v>
      </c>
      <c r="C12302" s="692" t="s">
        <v>4060</v>
      </c>
      <c r="D12302" s="692" t="s">
        <v>4060</v>
      </c>
      <c r="E12302" s="692" t="s">
        <v>4060</v>
      </c>
      <c r="F12302" s="692" t="s">
        <v>4060</v>
      </c>
      <c r="G12302" s="692" t="s">
        <v>4060</v>
      </c>
      <c r="H12302" s="692" t="s">
        <v>4060</v>
      </c>
      <c r="I12302" s="692" t="s">
        <v>4060</v>
      </c>
      <c r="J12302" s="692" t="s">
        <v>4060</v>
      </c>
      <c r="K12302" s="692" t="s">
        <v>4060</v>
      </c>
    </row>
    <row r="12303" spans="1:11">
      <c r="A12303" s="688" t="s">
        <v>0</v>
      </c>
      <c r="B12303" s="689">
        <v>10.3</v>
      </c>
      <c r="C12303" s="689">
        <v>10.6</v>
      </c>
      <c r="D12303" s="689">
        <v>10.4</v>
      </c>
      <c r="E12303" s="689">
        <v>10.6</v>
      </c>
      <c r="F12303" s="689">
        <v>10.6</v>
      </c>
      <c r="G12303" s="689">
        <v>10.7</v>
      </c>
      <c r="H12303" s="693">
        <v>11</v>
      </c>
      <c r="I12303" s="689">
        <v>10.1</v>
      </c>
      <c r="J12303" s="689">
        <v>10.8</v>
      </c>
      <c r="K12303" s="689">
        <v>10.9</v>
      </c>
    </row>
    <row r="12304" spans="1:11">
      <c r="A12304" s="688" t="s">
        <v>1</v>
      </c>
      <c r="B12304" s="691">
        <v>8.3000000000000007</v>
      </c>
      <c r="C12304" s="691">
        <v>8.1</v>
      </c>
      <c r="D12304" s="615">
        <v>8</v>
      </c>
      <c r="E12304" s="691">
        <v>8.1999999999999993</v>
      </c>
      <c r="F12304" s="691">
        <v>8.1</v>
      </c>
      <c r="G12304" s="691">
        <v>8.1</v>
      </c>
      <c r="H12304" s="691">
        <v>8.1999999999999993</v>
      </c>
      <c r="I12304" s="691">
        <v>7.4</v>
      </c>
      <c r="J12304" s="691">
        <v>6.6</v>
      </c>
      <c r="K12304" s="691">
        <v>7.6</v>
      </c>
    </row>
    <row r="12305" spans="1:11">
      <c r="A12305" s="688" t="s">
        <v>2240</v>
      </c>
      <c r="B12305" s="689">
        <v>9.1</v>
      </c>
      <c r="C12305" s="689">
        <v>9.1999999999999993</v>
      </c>
      <c r="D12305" s="689">
        <v>9.1</v>
      </c>
      <c r="E12305" s="689">
        <v>9.3000000000000007</v>
      </c>
      <c r="F12305" s="689">
        <v>9.3000000000000007</v>
      </c>
      <c r="G12305" s="689">
        <v>9.4</v>
      </c>
      <c r="H12305" s="689">
        <v>9.5</v>
      </c>
      <c r="I12305" s="689">
        <v>8.5</v>
      </c>
      <c r="J12305" s="689">
        <v>8.1999999999999993</v>
      </c>
      <c r="K12305" s="689">
        <v>9.1999999999999993</v>
      </c>
    </row>
    <row r="12306" spans="1:11">
      <c r="A12306" s="688" t="s">
        <v>2</v>
      </c>
      <c r="B12306" s="691">
        <v>10.1</v>
      </c>
      <c r="C12306" s="691">
        <v>10.3</v>
      </c>
      <c r="D12306" s="691">
        <v>10.199999999999999</v>
      </c>
      <c r="E12306" s="691">
        <v>10.4</v>
      </c>
      <c r="F12306" s="691">
        <v>10.4</v>
      </c>
      <c r="G12306" s="691">
        <v>10.3</v>
      </c>
      <c r="H12306" s="691">
        <v>10.6</v>
      </c>
      <c r="I12306" s="691">
        <v>10.6</v>
      </c>
      <c r="J12306" s="691">
        <v>10.5</v>
      </c>
      <c r="K12306" s="691">
        <v>10.4</v>
      </c>
    </row>
    <row r="12307" spans="1:11">
      <c r="A12307" s="688" t="s">
        <v>3</v>
      </c>
      <c r="B12307" s="689">
        <v>10.3</v>
      </c>
      <c r="C12307" s="689">
        <v>10.3</v>
      </c>
      <c r="D12307" s="689">
        <v>10.199999999999999</v>
      </c>
      <c r="E12307" s="689">
        <v>10.4</v>
      </c>
      <c r="F12307" s="689">
        <v>10.4</v>
      </c>
      <c r="G12307" s="689">
        <v>10.4</v>
      </c>
      <c r="H12307" s="689">
        <v>10.6</v>
      </c>
      <c r="I12307" s="689">
        <v>10.4</v>
      </c>
      <c r="J12307" s="689">
        <v>10.3</v>
      </c>
      <c r="K12307" s="689">
        <v>10.199999999999999</v>
      </c>
    </row>
    <row r="12308" spans="1:11">
      <c r="A12308" s="688" t="s">
        <v>4061</v>
      </c>
      <c r="B12308" s="691">
        <v>10.3</v>
      </c>
      <c r="C12308" s="691">
        <v>10.3</v>
      </c>
      <c r="D12308" s="691">
        <v>10.199999999999999</v>
      </c>
      <c r="E12308" s="691">
        <v>10.4</v>
      </c>
      <c r="F12308" s="691">
        <v>10.4</v>
      </c>
      <c r="G12308" s="691">
        <v>10.4</v>
      </c>
      <c r="H12308" s="691">
        <v>10.6</v>
      </c>
      <c r="I12308" s="691">
        <v>10.4</v>
      </c>
      <c r="J12308" s="691">
        <v>10.3</v>
      </c>
      <c r="K12308" s="691">
        <v>10.199999999999999</v>
      </c>
    </row>
    <row r="12309" spans="1:11">
      <c r="A12309" s="688" t="s">
        <v>4</v>
      </c>
      <c r="B12309" s="689">
        <v>9.1999999999999993</v>
      </c>
      <c r="C12309" s="689">
        <v>9.1</v>
      </c>
      <c r="D12309" s="689">
        <v>9.1999999999999993</v>
      </c>
      <c r="E12309" s="689">
        <v>9.1999999999999993</v>
      </c>
      <c r="F12309" s="689">
        <v>9.3000000000000007</v>
      </c>
      <c r="G12309" s="689">
        <v>9.4</v>
      </c>
      <c r="H12309" s="689">
        <v>9.6999999999999993</v>
      </c>
      <c r="I12309" s="689">
        <v>9.6</v>
      </c>
      <c r="J12309" s="689">
        <v>8.6999999999999993</v>
      </c>
      <c r="K12309" s="689">
        <v>9.1</v>
      </c>
    </row>
    <row r="12310" spans="1:11">
      <c r="A12310" s="688" t="s">
        <v>8</v>
      </c>
      <c r="B12310" s="691">
        <v>10.199999999999999</v>
      </c>
      <c r="C12310" s="691">
        <v>10.4</v>
      </c>
      <c r="D12310" s="691">
        <v>10.3</v>
      </c>
      <c r="E12310" s="691">
        <v>10.3</v>
      </c>
      <c r="F12310" s="691">
        <v>10.6</v>
      </c>
      <c r="G12310" s="691">
        <v>10.7</v>
      </c>
      <c r="H12310" s="691">
        <v>10.9</v>
      </c>
      <c r="I12310" s="691">
        <v>10.8</v>
      </c>
      <c r="J12310" s="691">
        <v>10.7</v>
      </c>
      <c r="K12310" s="691">
        <v>10.9</v>
      </c>
    </row>
    <row r="12311" spans="1:11">
      <c r="A12311" s="688" t="s">
        <v>7</v>
      </c>
      <c r="B12311" s="689">
        <v>11.1</v>
      </c>
      <c r="C12311" s="689">
        <v>10.4</v>
      </c>
      <c r="D12311" s="689">
        <v>10.199999999999999</v>
      </c>
      <c r="E12311" s="689">
        <v>10.5</v>
      </c>
      <c r="F12311" s="689">
        <v>10.4</v>
      </c>
      <c r="G12311" s="689">
        <v>10.8</v>
      </c>
      <c r="H12311" s="689">
        <v>10.8</v>
      </c>
      <c r="I12311" s="689">
        <v>10.6</v>
      </c>
      <c r="J12311" s="689">
        <v>10.199999999999999</v>
      </c>
      <c r="K12311" s="689">
        <v>10.3</v>
      </c>
    </row>
    <row r="12312" spans="1:11">
      <c r="A12312" s="688" t="s">
        <v>27</v>
      </c>
      <c r="B12312" s="691">
        <v>11.4</v>
      </c>
      <c r="C12312" s="691">
        <v>11.1</v>
      </c>
      <c r="D12312" s="691">
        <v>10.8</v>
      </c>
      <c r="E12312" s="691">
        <v>11.2</v>
      </c>
      <c r="F12312" s="691">
        <v>11.1</v>
      </c>
      <c r="G12312" s="691">
        <v>11.2</v>
      </c>
      <c r="H12312" s="691">
        <v>11.5</v>
      </c>
      <c r="I12312" s="691">
        <v>10.5</v>
      </c>
      <c r="J12312" s="691">
        <v>11.1</v>
      </c>
      <c r="K12312" s="691">
        <v>11.2</v>
      </c>
    </row>
    <row r="12313" spans="1:11">
      <c r="A12313" s="688" t="s">
        <v>6</v>
      </c>
      <c r="B12313" s="689">
        <v>11.6</v>
      </c>
      <c r="C12313" s="689">
        <v>11.5</v>
      </c>
      <c r="D12313" s="689">
        <v>11.3</v>
      </c>
      <c r="E12313" s="689">
        <v>11.5</v>
      </c>
      <c r="F12313" s="689">
        <v>11.6</v>
      </c>
      <c r="G12313" s="689">
        <v>11.7</v>
      </c>
      <c r="H12313" s="689">
        <v>11.8</v>
      </c>
      <c r="I12313" s="689">
        <v>11.2</v>
      </c>
      <c r="J12313" s="689">
        <v>11.4</v>
      </c>
      <c r="K12313" s="689">
        <v>11.5</v>
      </c>
    </row>
    <row r="12314" spans="1:11">
      <c r="A12314" s="688" t="s">
        <v>4058</v>
      </c>
      <c r="B12314" s="692" t="s">
        <v>4060</v>
      </c>
      <c r="C12314" s="692" t="s">
        <v>4060</v>
      </c>
      <c r="D12314" s="692" t="s">
        <v>4060</v>
      </c>
      <c r="E12314" s="692" t="s">
        <v>4060</v>
      </c>
      <c r="F12314" s="692" t="s">
        <v>4060</v>
      </c>
      <c r="G12314" s="692" t="s">
        <v>4060</v>
      </c>
      <c r="H12314" s="692" t="s">
        <v>4060</v>
      </c>
      <c r="I12314" s="692" t="s">
        <v>4060</v>
      </c>
      <c r="J12314" s="692" t="s">
        <v>4060</v>
      </c>
      <c r="K12314" s="692" t="s">
        <v>4060</v>
      </c>
    </row>
    <row r="12315" spans="1:11">
      <c r="A12315" s="688" t="s">
        <v>11</v>
      </c>
      <c r="B12315" s="689">
        <v>8.6999999999999993</v>
      </c>
      <c r="C12315" s="689">
        <v>8.6</v>
      </c>
      <c r="D12315" s="689">
        <v>8.4</v>
      </c>
      <c r="E12315" s="689">
        <v>8.6999999999999993</v>
      </c>
      <c r="F12315" s="689">
        <v>8.6999999999999993</v>
      </c>
      <c r="G12315" s="689">
        <v>8.8000000000000007</v>
      </c>
      <c r="H12315" s="693">
        <v>9</v>
      </c>
      <c r="I12315" s="689">
        <v>8.5</v>
      </c>
      <c r="J12315" s="693">
        <v>8</v>
      </c>
      <c r="K12315" s="689">
        <v>8.6</v>
      </c>
    </row>
    <row r="12316" spans="1:11">
      <c r="A12316" s="688" t="s">
        <v>10</v>
      </c>
      <c r="B12316" s="615">
        <v>11</v>
      </c>
      <c r="C12316" s="691">
        <v>10.9</v>
      </c>
      <c r="D12316" s="691">
        <v>10.6</v>
      </c>
      <c r="E12316" s="615">
        <v>11</v>
      </c>
      <c r="F12316" s="691">
        <v>10.8</v>
      </c>
      <c r="G12316" s="691">
        <v>11.2</v>
      </c>
      <c r="H12316" s="691">
        <v>11.2</v>
      </c>
      <c r="I12316" s="691">
        <v>10.4</v>
      </c>
      <c r="J12316" s="691">
        <v>10.8</v>
      </c>
      <c r="K12316" s="691">
        <v>10.8</v>
      </c>
    </row>
    <row r="12317" spans="1:11">
      <c r="A12317" s="688" t="s">
        <v>30</v>
      </c>
      <c r="B12317" s="689">
        <v>10.6</v>
      </c>
      <c r="C12317" s="689">
        <v>10.6</v>
      </c>
      <c r="D12317" s="689">
        <v>10.4</v>
      </c>
      <c r="E12317" s="689">
        <v>10.9</v>
      </c>
      <c r="F12317" s="689">
        <v>10.7</v>
      </c>
      <c r="G12317" s="689">
        <v>11.3</v>
      </c>
      <c r="H12317" s="693">
        <v>11</v>
      </c>
      <c r="I12317" s="689">
        <v>11.2</v>
      </c>
      <c r="J12317" s="689">
        <v>10.9</v>
      </c>
      <c r="K12317" s="689">
        <v>10.8</v>
      </c>
    </row>
    <row r="12318" spans="1:11">
      <c r="A12318" s="688" t="s">
        <v>12</v>
      </c>
      <c r="B12318" s="691">
        <v>8.6</v>
      </c>
      <c r="C12318" s="691">
        <v>8.4</v>
      </c>
      <c r="D12318" s="691">
        <v>8.6</v>
      </c>
      <c r="E12318" s="691">
        <v>8.5</v>
      </c>
      <c r="F12318" s="691">
        <v>8.5</v>
      </c>
      <c r="G12318" s="691">
        <v>8.5</v>
      </c>
      <c r="H12318" s="691">
        <v>8.6999999999999993</v>
      </c>
      <c r="I12318" s="691">
        <v>8.5</v>
      </c>
      <c r="J12318" s="691">
        <v>7.7</v>
      </c>
      <c r="K12318" s="691">
        <v>8.3000000000000007</v>
      </c>
    </row>
    <row r="12319" spans="1:11">
      <c r="A12319" s="688" t="s">
        <v>14</v>
      </c>
      <c r="B12319" s="689">
        <v>8.6999999999999993</v>
      </c>
      <c r="C12319" s="689">
        <v>8.5</v>
      </c>
      <c r="D12319" s="689">
        <v>8.3000000000000007</v>
      </c>
      <c r="E12319" s="689">
        <v>8.3000000000000007</v>
      </c>
      <c r="F12319" s="689">
        <v>8.3000000000000007</v>
      </c>
      <c r="G12319" s="689">
        <v>8.4</v>
      </c>
      <c r="H12319" s="689">
        <v>8.6999999999999993</v>
      </c>
      <c r="I12319" s="689">
        <v>8.1999999999999993</v>
      </c>
      <c r="J12319" s="693">
        <v>8</v>
      </c>
      <c r="K12319" s="689">
        <v>8.5</v>
      </c>
    </row>
    <row r="12320" spans="1:11">
      <c r="A12320" s="688" t="s">
        <v>15</v>
      </c>
      <c r="B12320" s="691">
        <v>11.3</v>
      </c>
      <c r="C12320" s="691">
        <v>10.5</v>
      </c>
      <c r="D12320" s="691">
        <v>10.7</v>
      </c>
      <c r="E12320" s="691">
        <v>10.9</v>
      </c>
      <c r="F12320" s="691">
        <v>10.9</v>
      </c>
      <c r="G12320" s="691">
        <v>10.7</v>
      </c>
      <c r="H12320" s="691">
        <v>10.9</v>
      </c>
      <c r="I12320" s="691">
        <v>10.5</v>
      </c>
      <c r="J12320" s="691">
        <v>10.8</v>
      </c>
      <c r="K12320" s="691">
        <v>11.2</v>
      </c>
    </row>
    <row r="12321" spans="1:11">
      <c r="A12321" s="688" t="s">
        <v>29</v>
      </c>
      <c r="B12321" s="689">
        <v>8.5</v>
      </c>
      <c r="C12321" s="689">
        <v>8.6</v>
      </c>
      <c r="D12321" s="689">
        <v>8.3000000000000007</v>
      </c>
      <c r="E12321" s="689">
        <v>8.6</v>
      </c>
      <c r="F12321" s="689">
        <v>8.5</v>
      </c>
      <c r="G12321" s="689">
        <v>8.6</v>
      </c>
      <c r="H12321" s="689">
        <v>8.6999999999999993</v>
      </c>
      <c r="I12321" s="689">
        <v>8.1999999999999993</v>
      </c>
      <c r="J12321" s="689">
        <v>7.8</v>
      </c>
      <c r="K12321" s="689">
        <v>8.4</v>
      </c>
    </row>
    <row r="12322" spans="1:11">
      <c r="A12322" s="688" t="s">
        <v>16</v>
      </c>
      <c r="B12322" s="691">
        <v>10.5</v>
      </c>
      <c r="C12322" s="691">
        <v>10.4</v>
      </c>
      <c r="D12322" s="691">
        <v>10.3</v>
      </c>
      <c r="E12322" s="691">
        <v>11.1</v>
      </c>
      <c r="F12322" s="691">
        <v>10.6</v>
      </c>
      <c r="G12322" s="691">
        <v>10.7</v>
      </c>
      <c r="H12322" s="691">
        <v>10.8</v>
      </c>
      <c r="I12322" s="691">
        <v>10.3</v>
      </c>
      <c r="J12322" s="691">
        <v>10.7</v>
      </c>
      <c r="K12322" s="691">
        <v>10.6</v>
      </c>
    </row>
    <row r="12323" spans="1:11">
      <c r="A12323" s="688" t="s">
        <v>17</v>
      </c>
      <c r="B12323" s="689">
        <v>10.4</v>
      </c>
      <c r="C12323" s="689">
        <v>10.4</v>
      </c>
      <c r="D12323" s="689">
        <v>10.3</v>
      </c>
      <c r="E12323" s="689">
        <v>10.4</v>
      </c>
      <c r="F12323" s="689">
        <v>10.5</v>
      </c>
      <c r="G12323" s="689">
        <v>10.6</v>
      </c>
      <c r="H12323" s="689">
        <v>10.7</v>
      </c>
      <c r="I12323" s="689">
        <v>10.1</v>
      </c>
      <c r="J12323" s="689">
        <v>10.199999999999999</v>
      </c>
      <c r="K12323" s="689">
        <v>10.5</v>
      </c>
    </row>
    <row r="12324" spans="1:11">
      <c r="A12324" s="688" t="s">
        <v>19</v>
      </c>
      <c r="B12324" s="691">
        <v>10.6</v>
      </c>
      <c r="C12324" s="691">
        <v>10.7</v>
      </c>
      <c r="D12324" s="691">
        <v>10.4</v>
      </c>
      <c r="E12324" s="691">
        <v>10.7</v>
      </c>
      <c r="F12324" s="691">
        <v>10.7</v>
      </c>
      <c r="G12324" s="691">
        <v>10.8</v>
      </c>
      <c r="H12324" s="691">
        <v>10.9</v>
      </c>
      <c r="I12324" s="691">
        <v>10.3</v>
      </c>
      <c r="J12324" s="691">
        <v>10.4</v>
      </c>
      <c r="K12324" s="691">
        <v>10.4</v>
      </c>
    </row>
    <row r="12325" spans="1:11">
      <c r="A12325" s="688" t="s">
        <v>20</v>
      </c>
      <c r="B12325" s="689">
        <v>9.4</v>
      </c>
      <c r="C12325" s="689">
        <v>9.5</v>
      </c>
      <c r="D12325" s="689">
        <v>9.3000000000000007</v>
      </c>
      <c r="E12325" s="689">
        <v>9.6</v>
      </c>
      <c r="F12325" s="689">
        <v>9.5</v>
      </c>
      <c r="G12325" s="689">
        <v>9.5</v>
      </c>
      <c r="H12325" s="689">
        <v>9.8000000000000007</v>
      </c>
      <c r="I12325" s="689">
        <v>8.6</v>
      </c>
      <c r="J12325" s="689">
        <v>8.1999999999999993</v>
      </c>
      <c r="K12325" s="689">
        <v>9.1999999999999993</v>
      </c>
    </row>
    <row r="12326" spans="1:11">
      <c r="A12326" s="688" t="s">
        <v>21</v>
      </c>
      <c r="B12326" s="691">
        <v>10.1</v>
      </c>
      <c r="C12326" s="691">
        <v>10.4</v>
      </c>
      <c r="D12326" s="691">
        <v>10.4</v>
      </c>
      <c r="E12326" s="691">
        <v>10.4</v>
      </c>
      <c r="F12326" s="691">
        <v>10.6</v>
      </c>
      <c r="G12326" s="691">
        <v>10.6</v>
      </c>
      <c r="H12326" s="691">
        <v>10.9</v>
      </c>
      <c r="I12326" s="691">
        <v>10.5</v>
      </c>
      <c r="J12326" s="691">
        <v>10.6</v>
      </c>
      <c r="K12326" s="691">
        <v>10.8</v>
      </c>
    </row>
    <row r="12327" spans="1:11">
      <c r="A12327" s="688" t="s">
        <v>22</v>
      </c>
      <c r="B12327" s="689">
        <v>8.6999999999999993</v>
      </c>
      <c r="C12327" s="689">
        <v>8.6</v>
      </c>
      <c r="D12327" s="689">
        <v>8.5</v>
      </c>
      <c r="E12327" s="689">
        <v>8.6999999999999993</v>
      </c>
      <c r="F12327" s="689">
        <v>8.6999999999999993</v>
      </c>
      <c r="G12327" s="689">
        <v>8.8000000000000007</v>
      </c>
      <c r="H12327" s="689">
        <v>9.1</v>
      </c>
      <c r="I12327" s="693">
        <v>8</v>
      </c>
      <c r="J12327" s="689">
        <v>7.3</v>
      </c>
      <c r="K12327" s="689">
        <v>8.1999999999999993</v>
      </c>
    </row>
    <row r="12328" spans="1:11">
      <c r="A12328" s="688" t="s">
        <v>26</v>
      </c>
      <c r="B12328" s="615">
        <v>10</v>
      </c>
      <c r="C12328" s="691">
        <v>10.1</v>
      </c>
      <c r="D12328" s="615">
        <v>10</v>
      </c>
      <c r="E12328" s="691">
        <v>10.3</v>
      </c>
      <c r="F12328" s="615">
        <v>10</v>
      </c>
      <c r="G12328" s="691">
        <v>10.199999999999999</v>
      </c>
      <c r="H12328" s="691">
        <v>10.5</v>
      </c>
      <c r="I12328" s="691">
        <v>9.5</v>
      </c>
      <c r="J12328" s="691">
        <v>9.8000000000000007</v>
      </c>
      <c r="K12328" s="691">
        <v>10.3</v>
      </c>
    </row>
    <row r="12329" spans="1:11">
      <c r="A12329" s="688" t="s">
        <v>25</v>
      </c>
      <c r="B12329" s="689">
        <v>8.6</v>
      </c>
      <c r="C12329" s="689">
        <v>8.6999999999999993</v>
      </c>
      <c r="D12329" s="689">
        <v>8.6999999999999993</v>
      </c>
      <c r="E12329" s="693">
        <v>9</v>
      </c>
      <c r="F12329" s="689">
        <v>8.9</v>
      </c>
      <c r="G12329" s="689">
        <v>9.1</v>
      </c>
      <c r="H12329" s="689">
        <v>9.5</v>
      </c>
      <c r="I12329" s="689">
        <v>8.6999999999999993</v>
      </c>
      <c r="J12329" s="689">
        <v>7.6</v>
      </c>
      <c r="K12329" s="689">
        <v>8.8000000000000007</v>
      </c>
    </row>
    <row r="12330" spans="1:11">
      <c r="A12330" s="688" t="s">
        <v>5</v>
      </c>
      <c r="B12330" s="691">
        <v>10.6</v>
      </c>
      <c r="C12330" s="691">
        <v>10.3</v>
      </c>
      <c r="D12330" s="691">
        <v>10.4</v>
      </c>
      <c r="E12330" s="691">
        <v>10.4</v>
      </c>
      <c r="F12330" s="691">
        <v>10.5</v>
      </c>
      <c r="G12330" s="691">
        <v>10.6</v>
      </c>
      <c r="H12330" s="691">
        <v>10.8</v>
      </c>
      <c r="I12330" s="691">
        <v>10.9</v>
      </c>
      <c r="J12330" s="691">
        <v>10.8</v>
      </c>
      <c r="K12330" s="691">
        <v>10.199999999999999</v>
      </c>
    </row>
    <row r="12331" spans="1:11">
      <c r="A12331" s="688" t="s">
        <v>23</v>
      </c>
      <c r="B12331" s="689">
        <v>10.7</v>
      </c>
      <c r="C12331" s="689">
        <v>10.7</v>
      </c>
      <c r="D12331" s="689">
        <v>10.7</v>
      </c>
      <c r="E12331" s="689">
        <v>10.8</v>
      </c>
      <c r="F12331" s="689">
        <v>10.8</v>
      </c>
      <c r="G12331" s="689">
        <v>10.9</v>
      </c>
      <c r="H12331" s="689">
        <v>11.2</v>
      </c>
      <c r="I12331" s="689">
        <v>10.6</v>
      </c>
      <c r="J12331" s="689">
        <v>11.2</v>
      </c>
      <c r="K12331" s="689">
        <v>11.2</v>
      </c>
    </row>
    <row r="12332" spans="1:11">
      <c r="A12332" s="688" t="s">
        <v>4067</v>
      </c>
      <c r="B12332" s="691">
        <v>10.5</v>
      </c>
      <c r="C12332" s="691">
        <v>10.8</v>
      </c>
      <c r="D12332" s="691">
        <v>10.5</v>
      </c>
      <c r="E12332" s="691">
        <v>10.8</v>
      </c>
      <c r="F12332" s="691">
        <v>10.7</v>
      </c>
      <c r="G12332" s="691">
        <v>10.9</v>
      </c>
      <c r="H12332" s="692" t="s">
        <v>4060</v>
      </c>
      <c r="I12332" s="692" t="s">
        <v>4060</v>
      </c>
      <c r="J12332" s="692" t="s">
        <v>4060</v>
      </c>
      <c r="K12332" s="692" t="s">
        <v>4060</v>
      </c>
    </row>
    <row r="12333" spans="1:11">
      <c r="A12333" s="688" t="s">
        <v>4066</v>
      </c>
      <c r="B12333" s="689">
        <v>10.5</v>
      </c>
      <c r="C12333" s="689">
        <v>10.8</v>
      </c>
      <c r="D12333" s="689">
        <v>10.5</v>
      </c>
      <c r="E12333" s="689">
        <v>10.8</v>
      </c>
      <c r="F12333" s="689">
        <v>10.8</v>
      </c>
      <c r="G12333" s="689">
        <v>10.9</v>
      </c>
      <c r="H12333" s="690" t="s">
        <v>4060</v>
      </c>
      <c r="I12333" s="690" t="s">
        <v>4060</v>
      </c>
      <c r="J12333" s="690" t="s">
        <v>4060</v>
      </c>
      <c r="K12333" s="690" t="s">
        <v>4060</v>
      </c>
    </row>
    <row r="12334" spans="1:11">
      <c r="A12334" s="688" t="s">
        <v>4062</v>
      </c>
      <c r="B12334" s="691">
        <v>10.9</v>
      </c>
      <c r="C12334" s="615">
        <v>11</v>
      </c>
      <c r="D12334" s="691">
        <v>10.9</v>
      </c>
      <c r="E12334" s="691">
        <v>11.2</v>
      </c>
      <c r="F12334" s="691">
        <v>11.2</v>
      </c>
      <c r="G12334" s="691">
        <v>11.4</v>
      </c>
      <c r="H12334" s="691">
        <v>11.5</v>
      </c>
      <c r="I12334" s="691">
        <v>11.1</v>
      </c>
      <c r="J12334" s="691">
        <v>11.5</v>
      </c>
      <c r="K12334" s="691">
        <v>11.2</v>
      </c>
    </row>
    <row r="12335" spans="1:11">
      <c r="A12335" s="688" t="s">
        <v>9</v>
      </c>
      <c r="B12335" s="689">
        <v>10.7</v>
      </c>
      <c r="C12335" s="689">
        <v>10.9</v>
      </c>
      <c r="D12335" s="689">
        <v>11.1</v>
      </c>
      <c r="E12335" s="689">
        <v>10.5</v>
      </c>
      <c r="F12335" s="689">
        <v>11.1</v>
      </c>
      <c r="G12335" s="689">
        <v>11.3</v>
      </c>
      <c r="H12335" s="689">
        <v>11.3</v>
      </c>
      <c r="I12335" s="689">
        <v>11.5</v>
      </c>
      <c r="J12335" s="689">
        <v>11.8</v>
      </c>
      <c r="K12335" s="689">
        <v>10.8</v>
      </c>
    </row>
    <row r="12336" spans="1:11">
      <c r="A12336" s="688" t="s">
        <v>13</v>
      </c>
      <c r="B12336" s="691">
        <v>10.3</v>
      </c>
      <c r="C12336" s="691">
        <v>10.9</v>
      </c>
      <c r="D12336" s="691">
        <v>11.1</v>
      </c>
      <c r="E12336" s="691">
        <v>10.3</v>
      </c>
      <c r="F12336" s="691">
        <v>11.9</v>
      </c>
      <c r="G12336" s="691">
        <v>10.3</v>
      </c>
      <c r="H12336" s="691">
        <v>11.7</v>
      </c>
      <c r="I12336" s="691">
        <v>9.9</v>
      </c>
      <c r="J12336" s="691">
        <v>12.5</v>
      </c>
      <c r="K12336" s="691">
        <v>12.5</v>
      </c>
    </row>
    <row r="12337" spans="1:11">
      <c r="A12337" s="688" t="s">
        <v>18</v>
      </c>
      <c r="B12337" s="689">
        <v>10.5</v>
      </c>
      <c r="C12337" s="689">
        <v>10.6</v>
      </c>
      <c r="D12337" s="689">
        <v>10.7</v>
      </c>
      <c r="E12337" s="689">
        <v>10.9</v>
      </c>
      <c r="F12337" s="689">
        <v>10.9</v>
      </c>
      <c r="G12337" s="693">
        <v>11</v>
      </c>
      <c r="H12337" s="689">
        <v>11.2</v>
      </c>
      <c r="I12337" s="689">
        <v>11.4</v>
      </c>
      <c r="J12337" s="689">
        <v>11.3</v>
      </c>
      <c r="K12337" s="689">
        <v>10.9</v>
      </c>
    </row>
    <row r="12338" spans="1:11">
      <c r="A12338" s="688" t="s">
        <v>24</v>
      </c>
      <c r="B12338" s="691">
        <v>11.2</v>
      </c>
      <c r="C12338" s="691">
        <v>11.2</v>
      </c>
      <c r="D12338" s="615">
        <v>11</v>
      </c>
      <c r="E12338" s="691">
        <v>11.4</v>
      </c>
      <c r="F12338" s="691">
        <v>11.4</v>
      </c>
      <c r="G12338" s="691">
        <v>11.6</v>
      </c>
      <c r="H12338" s="691">
        <v>11.7</v>
      </c>
      <c r="I12338" s="691">
        <v>10.9</v>
      </c>
      <c r="J12338" s="691">
        <v>11.6</v>
      </c>
      <c r="K12338" s="691">
        <v>11.4</v>
      </c>
    </row>
    <row r="12339" spans="1:11">
      <c r="A12339" s="688" t="s">
        <v>4059</v>
      </c>
      <c r="B12339" s="689">
        <v>10.8</v>
      </c>
      <c r="C12339" s="693">
        <v>11</v>
      </c>
      <c r="D12339" s="689">
        <v>10.7</v>
      </c>
      <c r="E12339" s="693">
        <v>11</v>
      </c>
      <c r="F12339" s="693">
        <v>11</v>
      </c>
      <c r="G12339" s="693">
        <v>11</v>
      </c>
      <c r="H12339" s="690" t="s">
        <v>4060</v>
      </c>
      <c r="I12339" s="690" t="s">
        <v>4060</v>
      </c>
      <c r="J12339" s="690" t="s">
        <v>4060</v>
      </c>
      <c r="K12339" s="690" t="s">
        <v>4060</v>
      </c>
    </row>
    <row r="12340" spans="1:11">
      <c r="A12340" s="688" t="s">
        <v>2324</v>
      </c>
      <c r="B12340" s="691">
        <v>8.6999999999999993</v>
      </c>
      <c r="C12340" s="691">
        <v>8.8000000000000007</v>
      </c>
      <c r="D12340" s="691">
        <v>8.6</v>
      </c>
      <c r="E12340" s="691">
        <v>8.5</v>
      </c>
      <c r="F12340" s="691">
        <v>8.6999999999999993</v>
      </c>
      <c r="G12340" s="691">
        <v>8.9</v>
      </c>
      <c r="H12340" s="691">
        <v>8.9</v>
      </c>
      <c r="I12340" s="691">
        <v>7.8</v>
      </c>
      <c r="J12340" s="691">
        <v>6.4</v>
      </c>
      <c r="K12340" s="692" t="s">
        <v>4060</v>
      </c>
    </row>
    <row r="12341" spans="1:11">
      <c r="A12341" s="688" t="s">
        <v>2322</v>
      </c>
      <c r="B12341" s="690" t="s">
        <v>4060</v>
      </c>
      <c r="C12341" s="690" t="s">
        <v>4060</v>
      </c>
      <c r="D12341" s="690" t="s">
        <v>4060</v>
      </c>
      <c r="E12341" s="690" t="s">
        <v>4060</v>
      </c>
      <c r="F12341" s="690" t="s">
        <v>4060</v>
      </c>
      <c r="G12341" s="690" t="s">
        <v>4060</v>
      </c>
      <c r="H12341" s="690" t="s">
        <v>4060</v>
      </c>
      <c r="I12341" s="690" t="s">
        <v>4060</v>
      </c>
      <c r="J12341" s="690" t="s">
        <v>4060</v>
      </c>
      <c r="K12341" s="690" t="s">
        <v>4060</v>
      </c>
    </row>
    <row r="12342" spans="1:11">
      <c r="A12342" s="688" t="s">
        <v>2328</v>
      </c>
      <c r="B12342" s="691">
        <v>7.7</v>
      </c>
      <c r="C12342" s="691">
        <v>7.9</v>
      </c>
      <c r="D12342" s="691">
        <v>7.8</v>
      </c>
      <c r="E12342" s="691">
        <v>7.8</v>
      </c>
      <c r="F12342" s="691">
        <v>7.8</v>
      </c>
      <c r="G12342" s="691">
        <v>8.1999999999999993</v>
      </c>
      <c r="H12342" s="691">
        <v>8.1</v>
      </c>
      <c r="I12342" s="615">
        <v>7</v>
      </c>
      <c r="J12342" s="691">
        <v>6.8</v>
      </c>
      <c r="K12342" s="692" t="s">
        <v>4060</v>
      </c>
    </row>
    <row r="12343" spans="1:11">
      <c r="A12343" s="688" t="s">
        <v>2496</v>
      </c>
      <c r="B12343" s="690" t="s">
        <v>4060</v>
      </c>
      <c r="C12343" s="689">
        <v>8.9</v>
      </c>
      <c r="D12343" s="689">
        <v>7.6</v>
      </c>
      <c r="E12343" s="689">
        <v>7.1</v>
      </c>
      <c r="F12343" s="689">
        <v>7.4</v>
      </c>
      <c r="G12343" s="689">
        <v>7.6</v>
      </c>
      <c r="H12343" s="689">
        <v>7.6</v>
      </c>
      <c r="I12343" s="690" t="s">
        <v>4060</v>
      </c>
      <c r="J12343" s="690" t="s">
        <v>4060</v>
      </c>
      <c r="K12343" s="689">
        <v>7.1</v>
      </c>
    </row>
    <row r="12344" spans="1:11">
      <c r="A12344" s="688" t="s">
        <v>2269</v>
      </c>
      <c r="B12344" s="615">
        <v>9</v>
      </c>
      <c r="C12344" s="615">
        <v>9</v>
      </c>
      <c r="D12344" s="691">
        <v>8.6999999999999993</v>
      </c>
      <c r="E12344" s="691">
        <v>9.1</v>
      </c>
      <c r="F12344" s="691">
        <v>9.1999999999999993</v>
      </c>
      <c r="G12344" s="691">
        <v>9.5</v>
      </c>
      <c r="H12344" s="691">
        <v>9.8000000000000007</v>
      </c>
      <c r="I12344" s="691">
        <v>8.3000000000000007</v>
      </c>
      <c r="J12344" s="691">
        <v>6.4</v>
      </c>
      <c r="K12344" s="691">
        <v>9.5</v>
      </c>
    </row>
    <row r="12345" spans="1:11">
      <c r="A12345" s="688" t="s">
        <v>2349</v>
      </c>
      <c r="B12345" s="693">
        <v>8</v>
      </c>
      <c r="C12345" s="689">
        <v>8.1999999999999993</v>
      </c>
      <c r="D12345" s="689">
        <v>8.1</v>
      </c>
      <c r="E12345" s="689">
        <v>8.4</v>
      </c>
      <c r="F12345" s="689">
        <v>8.3000000000000007</v>
      </c>
      <c r="G12345" s="689">
        <v>8.5</v>
      </c>
      <c r="H12345" s="689">
        <v>8.6999999999999993</v>
      </c>
      <c r="I12345" s="689">
        <v>7.8</v>
      </c>
      <c r="J12345" s="689">
        <v>6.8</v>
      </c>
      <c r="K12345" s="689">
        <v>7.9</v>
      </c>
    </row>
    <row r="12346" spans="1:11">
      <c r="A12346" s="688" t="s">
        <v>2355</v>
      </c>
      <c r="B12346" s="691">
        <v>9.5</v>
      </c>
      <c r="C12346" s="691">
        <v>9.4</v>
      </c>
      <c r="D12346" s="691">
        <v>9.3000000000000007</v>
      </c>
      <c r="E12346" s="691">
        <v>9.1999999999999993</v>
      </c>
      <c r="F12346" s="691">
        <v>9.3000000000000007</v>
      </c>
      <c r="G12346" s="691">
        <v>9.6</v>
      </c>
      <c r="H12346" s="691">
        <v>9.6</v>
      </c>
      <c r="I12346" s="692" t="s">
        <v>4060</v>
      </c>
      <c r="J12346" s="692" t="s">
        <v>4060</v>
      </c>
      <c r="K12346" s="692" t="s">
        <v>4060</v>
      </c>
    </row>
    <row r="12347" spans="1:11">
      <c r="A12347" s="688" t="s">
        <v>2357</v>
      </c>
      <c r="B12347" s="690" t="s">
        <v>4060</v>
      </c>
      <c r="C12347" s="693">
        <v>8</v>
      </c>
      <c r="D12347" s="689">
        <v>8.1999999999999993</v>
      </c>
      <c r="E12347" s="689">
        <v>8.4</v>
      </c>
      <c r="F12347" s="689">
        <v>8.6</v>
      </c>
      <c r="G12347" s="689">
        <v>8.4</v>
      </c>
      <c r="H12347" s="689">
        <v>8.6</v>
      </c>
      <c r="I12347" s="690" t="s">
        <v>4060</v>
      </c>
      <c r="J12347" s="690" t="s">
        <v>4060</v>
      </c>
      <c r="K12347" s="690" t="s">
        <v>4060</v>
      </c>
    </row>
    <row r="12348" spans="1:11">
      <c r="A12348" s="688" t="s">
        <v>4070</v>
      </c>
      <c r="B12348" s="692" t="s">
        <v>4060</v>
      </c>
      <c r="C12348" s="692" t="s">
        <v>4060</v>
      </c>
      <c r="D12348" s="692" t="s">
        <v>4060</v>
      </c>
      <c r="E12348" s="615">
        <v>9</v>
      </c>
      <c r="F12348" s="692" t="s">
        <v>4060</v>
      </c>
      <c r="G12348" s="692" t="s">
        <v>4060</v>
      </c>
      <c r="H12348" s="692" t="s">
        <v>4060</v>
      </c>
      <c r="I12348" s="692" t="s">
        <v>4060</v>
      </c>
      <c r="J12348" s="692" t="s">
        <v>4060</v>
      </c>
      <c r="K12348" s="692" t="s">
        <v>4060</v>
      </c>
    </row>
    <row r="12349" spans="1:11">
      <c r="A12349" s="688" t="s">
        <v>2491</v>
      </c>
      <c r="B12349" s="689">
        <v>7.5</v>
      </c>
      <c r="C12349" s="689">
        <v>7.7</v>
      </c>
      <c r="D12349" s="689">
        <v>7.7</v>
      </c>
      <c r="E12349" s="689">
        <v>7.7</v>
      </c>
      <c r="F12349" s="689">
        <v>7.7</v>
      </c>
      <c r="G12349" s="689">
        <v>7.8</v>
      </c>
      <c r="H12349" s="690" t="s">
        <v>4060</v>
      </c>
      <c r="I12349" s="690" t="s">
        <v>4060</v>
      </c>
      <c r="J12349" s="690" t="s">
        <v>4060</v>
      </c>
      <c r="K12349" s="690" t="s">
        <v>4060</v>
      </c>
    </row>
    <row r="12350" spans="1:11">
      <c r="A12350" s="688" t="s">
        <v>2343</v>
      </c>
      <c r="B12350" s="692" t="s">
        <v>4060</v>
      </c>
      <c r="C12350" s="692" t="s">
        <v>4060</v>
      </c>
      <c r="D12350" s="692" t="s">
        <v>4060</v>
      </c>
      <c r="E12350" s="692" t="s">
        <v>4060</v>
      </c>
      <c r="F12350" s="692" t="s">
        <v>4060</v>
      </c>
      <c r="G12350" s="692" t="s">
        <v>4060</v>
      </c>
      <c r="H12350" s="692" t="s">
        <v>4060</v>
      </c>
      <c r="I12350" s="692" t="s">
        <v>4060</v>
      </c>
      <c r="J12350" s="692" t="s">
        <v>4060</v>
      </c>
      <c r="K12350" s="692" t="s">
        <v>4060</v>
      </c>
    </row>
    <row r="12351" spans="1:11">
      <c r="A12351" s="688" t="s">
        <v>4071</v>
      </c>
      <c r="B12351" s="690" t="s">
        <v>4060</v>
      </c>
      <c r="C12351" s="690" t="s">
        <v>4060</v>
      </c>
      <c r="D12351" s="690" t="s">
        <v>4060</v>
      </c>
      <c r="E12351" s="690" t="s">
        <v>4060</v>
      </c>
      <c r="F12351" s="690" t="s">
        <v>4060</v>
      </c>
      <c r="G12351" s="690" t="s">
        <v>4060</v>
      </c>
      <c r="H12351" s="690" t="s">
        <v>4060</v>
      </c>
      <c r="I12351" s="690" t="s">
        <v>4060</v>
      </c>
      <c r="J12351" s="690" t="s">
        <v>4060</v>
      </c>
      <c r="K12351" s="690" t="s">
        <v>4060</v>
      </c>
    </row>
    <row r="12352" spans="1:11">
      <c r="A12352" s="688" t="s">
        <v>2489</v>
      </c>
      <c r="B12352" s="692" t="s">
        <v>4060</v>
      </c>
      <c r="C12352" s="692" t="s">
        <v>4060</v>
      </c>
      <c r="D12352" s="691">
        <v>8.6999999999999993</v>
      </c>
      <c r="E12352" s="691">
        <v>8.6</v>
      </c>
      <c r="F12352" s="691">
        <v>8.8000000000000007</v>
      </c>
      <c r="G12352" s="691">
        <v>9.3000000000000007</v>
      </c>
      <c r="H12352" s="691">
        <v>9.4</v>
      </c>
      <c r="I12352" s="692" t="s">
        <v>4060</v>
      </c>
      <c r="J12352" s="692" t="s">
        <v>4060</v>
      </c>
      <c r="K12352" s="692" t="s">
        <v>4060</v>
      </c>
    </row>
    <row r="12353" spans="1:11">
      <c r="A12353" s="688" t="s">
        <v>2490</v>
      </c>
      <c r="B12353" s="689">
        <v>8.8000000000000007</v>
      </c>
      <c r="C12353" s="689">
        <v>8.6</v>
      </c>
      <c r="D12353" s="689">
        <v>9.4</v>
      </c>
      <c r="E12353" s="690" t="s">
        <v>4060</v>
      </c>
      <c r="F12353" s="689">
        <v>9.9</v>
      </c>
      <c r="G12353" s="689">
        <v>9.4</v>
      </c>
      <c r="H12353" s="689">
        <v>10.3</v>
      </c>
      <c r="I12353" s="690" t="s">
        <v>4060</v>
      </c>
      <c r="J12353" s="690" t="s">
        <v>4060</v>
      </c>
      <c r="K12353" s="690" t="s">
        <v>4060</v>
      </c>
    </row>
    <row r="12355" spans="1:11">
      <c r="A12355" s="683" t="s">
        <v>4233</v>
      </c>
    </row>
    <row r="12356" spans="1:11">
      <c r="A12356" s="683" t="s">
        <v>4060</v>
      </c>
      <c r="B12356" s="682" t="s">
        <v>4234</v>
      </c>
    </row>
    <row r="12358" spans="1:11">
      <c r="A12358" s="682" t="s">
        <v>4331</v>
      </c>
    </row>
    <row r="12359" spans="1:11">
      <c r="A12359" s="682" t="s">
        <v>4210</v>
      </c>
      <c r="B12359" s="683" t="s">
        <v>4211</v>
      </c>
    </row>
    <row r="12360" spans="1:11">
      <c r="A12360" s="682" t="s">
        <v>4212</v>
      </c>
      <c r="B12360" s="682" t="s">
        <v>4213</v>
      </c>
    </row>
    <row r="12362" spans="1:11">
      <c r="A12362" s="683" t="s">
        <v>4214</v>
      </c>
      <c r="C12362" s="682" t="s">
        <v>4215</v>
      </c>
    </row>
    <row r="12363" spans="1:11">
      <c r="A12363" s="683" t="s">
        <v>4216</v>
      </c>
      <c r="C12363" s="682" t="s">
        <v>2967</v>
      </c>
    </row>
    <row r="12364" spans="1:11">
      <c r="A12364" s="683" t="s">
        <v>3893</v>
      </c>
      <c r="C12364" s="682" t="s">
        <v>2168</v>
      </c>
    </row>
    <row r="12365" spans="1:11">
      <c r="A12365" s="683" t="s">
        <v>4218</v>
      </c>
      <c r="C12365" s="682" t="s">
        <v>4311</v>
      </c>
    </row>
    <row r="12367" spans="1:11">
      <c r="A12367" s="684" t="s">
        <v>4220</v>
      </c>
      <c r="B12367" s="685" t="s">
        <v>4221</v>
      </c>
      <c r="C12367" s="685" t="s">
        <v>4222</v>
      </c>
      <c r="D12367" s="685" t="s">
        <v>4223</v>
      </c>
      <c r="E12367" s="685" t="s">
        <v>4224</v>
      </c>
      <c r="F12367" s="685" t="s">
        <v>4225</v>
      </c>
      <c r="G12367" s="685" t="s">
        <v>4226</v>
      </c>
      <c r="H12367" s="685" t="s">
        <v>4227</v>
      </c>
      <c r="I12367" s="685" t="s">
        <v>4228</v>
      </c>
      <c r="J12367" s="685" t="s">
        <v>4229</v>
      </c>
      <c r="K12367" s="685" t="s">
        <v>4230</v>
      </c>
    </row>
    <row r="12368" spans="1:11">
      <c r="A12368" s="686" t="s">
        <v>4231</v>
      </c>
      <c r="B12368" s="687" t="s">
        <v>4232</v>
      </c>
      <c r="C12368" s="687" t="s">
        <v>4232</v>
      </c>
      <c r="D12368" s="687" t="s">
        <v>4232</v>
      </c>
      <c r="E12368" s="687" t="s">
        <v>4232</v>
      </c>
      <c r="F12368" s="687" t="s">
        <v>4232</v>
      </c>
      <c r="G12368" s="687" t="s">
        <v>4232</v>
      </c>
      <c r="H12368" s="687" t="s">
        <v>4232</v>
      </c>
      <c r="I12368" s="687" t="s">
        <v>4232</v>
      </c>
      <c r="J12368" s="687" t="s">
        <v>4232</v>
      </c>
      <c r="K12368" s="687" t="s">
        <v>4232</v>
      </c>
    </row>
    <row r="12369" spans="1:11">
      <c r="A12369" s="688" t="s">
        <v>4064</v>
      </c>
      <c r="B12369" s="689">
        <v>9.9</v>
      </c>
      <c r="C12369" s="689">
        <v>9.8000000000000007</v>
      </c>
      <c r="D12369" s="689">
        <v>9.9</v>
      </c>
      <c r="E12369" s="689">
        <v>9.9</v>
      </c>
      <c r="F12369" s="689">
        <v>9.9</v>
      </c>
      <c r="G12369" s="693">
        <v>10</v>
      </c>
      <c r="H12369" s="689">
        <v>10.199999999999999</v>
      </c>
      <c r="I12369" s="689">
        <v>9.6</v>
      </c>
      <c r="J12369" s="689">
        <v>9.6</v>
      </c>
      <c r="K12369" s="689">
        <v>9.8000000000000007</v>
      </c>
    </row>
    <row r="12370" spans="1:11">
      <c r="A12370" s="688" t="s">
        <v>4065</v>
      </c>
      <c r="B12370" s="691">
        <v>9.9</v>
      </c>
      <c r="C12370" s="691">
        <v>10.199999999999999</v>
      </c>
      <c r="D12370" s="691">
        <v>9.9</v>
      </c>
      <c r="E12370" s="691">
        <v>10.199999999999999</v>
      </c>
      <c r="F12370" s="691">
        <v>10.1</v>
      </c>
      <c r="G12370" s="691">
        <v>10.199999999999999</v>
      </c>
      <c r="H12370" s="692" t="s">
        <v>4060</v>
      </c>
      <c r="I12370" s="692" t="s">
        <v>4060</v>
      </c>
      <c r="J12370" s="692" t="s">
        <v>4060</v>
      </c>
      <c r="K12370" s="692" t="s">
        <v>4060</v>
      </c>
    </row>
    <row r="12371" spans="1:11">
      <c r="A12371" s="688" t="s">
        <v>4063</v>
      </c>
      <c r="B12371" s="689">
        <v>9.9</v>
      </c>
      <c r="C12371" s="689">
        <v>10.199999999999999</v>
      </c>
      <c r="D12371" s="689">
        <v>9.9</v>
      </c>
      <c r="E12371" s="689">
        <v>10.199999999999999</v>
      </c>
      <c r="F12371" s="689">
        <v>10.1</v>
      </c>
      <c r="G12371" s="689">
        <v>10.3</v>
      </c>
      <c r="H12371" s="690" t="s">
        <v>4060</v>
      </c>
      <c r="I12371" s="690" t="s">
        <v>4060</v>
      </c>
      <c r="J12371" s="690" t="s">
        <v>4060</v>
      </c>
      <c r="K12371" s="690" t="s">
        <v>4060</v>
      </c>
    </row>
    <row r="12372" spans="1:11">
      <c r="A12372" s="688" t="s">
        <v>4069</v>
      </c>
      <c r="B12372" s="692" t="s">
        <v>4060</v>
      </c>
      <c r="C12372" s="691">
        <v>10.1</v>
      </c>
      <c r="D12372" s="691">
        <v>9.9</v>
      </c>
      <c r="E12372" s="691">
        <v>10.1</v>
      </c>
      <c r="F12372" s="691">
        <v>10.1</v>
      </c>
      <c r="G12372" s="691">
        <v>10.199999999999999</v>
      </c>
      <c r="H12372" s="691">
        <v>10.4</v>
      </c>
      <c r="I12372" s="691">
        <v>9.9</v>
      </c>
      <c r="J12372" s="615">
        <v>10</v>
      </c>
      <c r="K12372" s="615">
        <v>10</v>
      </c>
    </row>
    <row r="12373" spans="1:11">
      <c r="A12373" s="688" t="s">
        <v>4068</v>
      </c>
      <c r="B12373" s="689">
        <v>10.199999999999999</v>
      </c>
      <c r="C12373" s="690" t="s">
        <v>4060</v>
      </c>
      <c r="D12373" s="690" t="s">
        <v>4060</v>
      </c>
      <c r="E12373" s="690" t="s">
        <v>4060</v>
      </c>
      <c r="F12373" s="690" t="s">
        <v>4060</v>
      </c>
      <c r="G12373" s="690" t="s">
        <v>4060</v>
      </c>
      <c r="H12373" s="690" t="s">
        <v>4060</v>
      </c>
      <c r="I12373" s="690" t="s">
        <v>4060</v>
      </c>
      <c r="J12373" s="690" t="s">
        <v>4060</v>
      </c>
      <c r="K12373" s="690" t="s">
        <v>4060</v>
      </c>
    </row>
    <row r="12374" spans="1:11">
      <c r="A12374" s="688" t="s">
        <v>0</v>
      </c>
      <c r="B12374" s="691">
        <v>9.6999999999999993</v>
      </c>
      <c r="C12374" s="691">
        <v>9.9</v>
      </c>
      <c r="D12374" s="691">
        <v>9.8000000000000007</v>
      </c>
      <c r="E12374" s="615">
        <v>10</v>
      </c>
      <c r="F12374" s="615">
        <v>10</v>
      </c>
      <c r="G12374" s="691">
        <v>10.1</v>
      </c>
      <c r="H12374" s="691">
        <v>10.3</v>
      </c>
      <c r="I12374" s="691">
        <v>9.5</v>
      </c>
      <c r="J12374" s="691">
        <v>10.199999999999999</v>
      </c>
      <c r="K12374" s="691">
        <v>10.199999999999999</v>
      </c>
    </row>
    <row r="12375" spans="1:11">
      <c r="A12375" s="688" t="s">
        <v>1</v>
      </c>
      <c r="B12375" s="689">
        <v>7.9</v>
      </c>
      <c r="C12375" s="689">
        <v>7.6</v>
      </c>
      <c r="D12375" s="689">
        <v>7.5</v>
      </c>
      <c r="E12375" s="689">
        <v>7.7</v>
      </c>
      <c r="F12375" s="689">
        <v>7.6</v>
      </c>
      <c r="G12375" s="689">
        <v>7.7</v>
      </c>
      <c r="H12375" s="689">
        <v>7.8</v>
      </c>
      <c r="I12375" s="693">
        <v>7</v>
      </c>
      <c r="J12375" s="689">
        <v>6.2</v>
      </c>
      <c r="K12375" s="689">
        <v>7.1</v>
      </c>
    </row>
    <row r="12376" spans="1:11">
      <c r="A12376" s="688" t="s">
        <v>2240</v>
      </c>
      <c r="B12376" s="691">
        <v>8.6</v>
      </c>
      <c r="C12376" s="691">
        <v>8.6999999999999993</v>
      </c>
      <c r="D12376" s="691">
        <v>8.6</v>
      </c>
      <c r="E12376" s="691">
        <v>8.8000000000000007</v>
      </c>
      <c r="F12376" s="691">
        <v>8.8000000000000007</v>
      </c>
      <c r="G12376" s="691">
        <v>8.8000000000000007</v>
      </c>
      <c r="H12376" s="691">
        <v>8.9</v>
      </c>
      <c r="I12376" s="615">
        <v>8</v>
      </c>
      <c r="J12376" s="691">
        <v>7.8</v>
      </c>
      <c r="K12376" s="691">
        <v>8.6</v>
      </c>
    </row>
    <row r="12377" spans="1:11">
      <c r="A12377" s="688" t="s">
        <v>2</v>
      </c>
      <c r="B12377" s="689">
        <v>9.5</v>
      </c>
      <c r="C12377" s="689">
        <v>9.6999999999999993</v>
      </c>
      <c r="D12377" s="689">
        <v>9.6</v>
      </c>
      <c r="E12377" s="689">
        <v>9.8000000000000007</v>
      </c>
      <c r="F12377" s="689">
        <v>9.8000000000000007</v>
      </c>
      <c r="G12377" s="689">
        <v>9.6999999999999993</v>
      </c>
      <c r="H12377" s="693">
        <v>10</v>
      </c>
      <c r="I12377" s="693">
        <v>10</v>
      </c>
      <c r="J12377" s="689">
        <v>9.9</v>
      </c>
      <c r="K12377" s="689">
        <v>9.8000000000000007</v>
      </c>
    </row>
    <row r="12378" spans="1:11">
      <c r="A12378" s="688" t="s">
        <v>3</v>
      </c>
      <c r="B12378" s="691">
        <v>9.6999999999999993</v>
      </c>
      <c r="C12378" s="691">
        <v>9.6999999999999993</v>
      </c>
      <c r="D12378" s="691">
        <v>9.5</v>
      </c>
      <c r="E12378" s="691">
        <v>9.8000000000000007</v>
      </c>
      <c r="F12378" s="691">
        <v>9.8000000000000007</v>
      </c>
      <c r="G12378" s="691">
        <v>9.8000000000000007</v>
      </c>
      <c r="H12378" s="615">
        <v>10</v>
      </c>
      <c r="I12378" s="691">
        <v>9.8000000000000007</v>
      </c>
      <c r="J12378" s="691">
        <v>9.6999999999999993</v>
      </c>
      <c r="K12378" s="691">
        <v>9.5</v>
      </c>
    </row>
    <row r="12379" spans="1:11">
      <c r="A12379" s="688" t="s">
        <v>4061</v>
      </c>
      <c r="B12379" s="689">
        <v>9.6999999999999993</v>
      </c>
      <c r="C12379" s="689">
        <v>9.6999999999999993</v>
      </c>
      <c r="D12379" s="689">
        <v>9.5</v>
      </c>
      <c r="E12379" s="689">
        <v>9.8000000000000007</v>
      </c>
      <c r="F12379" s="689">
        <v>9.8000000000000007</v>
      </c>
      <c r="G12379" s="689">
        <v>9.8000000000000007</v>
      </c>
      <c r="H12379" s="693">
        <v>10</v>
      </c>
      <c r="I12379" s="689">
        <v>9.8000000000000007</v>
      </c>
      <c r="J12379" s="689">
        <v>9.6999999999999993</v>
      </c>
      <c r="K12379" s="689">
        <v>9.5</v>
      </c>
    </row>
    <row r="12380" spans="1:11">
      <c r="A12380" s="688" t="s">
        <v>4</v>
      </c>
      <c r="B12380" s="691">
        <v>8.6999999999999993</v>
      </c>
      <c r="C12380" s="691">
        <v>8.6</v>
      </c>
      <c r="D12380" s="691">
        <v>8.8000000000000007</v>
      </c>
      <c r="E12380" s="691">
        <v>8.8000000000000007</v>
      </c>
      <c r="F12380" s="691">
        <v>8.8000000000000007</v>
      </c>
      <c r="G12380" s="691">
        <v>8.9</v>
      </c>
      <c r="H12380" s="691">
        <v>9.1999999999999993</v>
      </c>
      <c r="I12380" s="691">
        <v>9.1999999999999993</v>
      </c>
      <c r="J12380" s="691">
        <v>8.1</v>
      </c>
      <c r="K12380" s="691">
        <v>8.6</v>
      </c>
    </row>
    <row r="12381" spans="1:11">
      <c r="A12381" s="688" t="s">
        <v>8</v>
      </c>
      <c r="B12381" s="689">
        <v>9.6</v>
      </c>
      <c r="C12381" s="689">
        <v>9.6999999999999993</v>
      </c>
      <c r="D12381" s="689">
        <v>9.6999999999999993</v>
      </c>
      <c r="E12381" s="689">
        <v>9.6999999999999993</v>
      </c>
      <c r="F12381" s="693">
        <v>10</v>
      </c>
      <c r="G12381" s="689">
        <v>10.1</v>
      </c>
      <c r="H12381" s="689">
        <v>10.199999999999999</v>
      </c>
      <c r="I12381" s="689">
        <v>10.1</v>
      </c>
      <c r="J12381" s="693">
        <v>10</v>
      </c>
      <c r="K12381" s="689">
        <v>10.3</v>
      </c>
    </row>
    <row r="12382" spans="1:11">
      <c r="A12382" s="688" t="s">
        <v>7</v>
      </c>
      <c r="B12382" s="691">
        <v>10.5</v>
      </c>
      <c r="C12382" s="691">
        <v>9.6999999999999993</v>
      </c>
      <c r="D12382" s="691">
        <v>9.6</v>
      </c>
      <c r="E12382" s="691">
        <v>9.9</v>
      </c>
      <c r="F12382" s="691">
        <v>9.8000000000000007</v>
      </c>
      <c r="G12382" s="691">
        <v>10.1</v>
      </c>
      <c r="H12382" s="691">
        <v>10.1</v>
      </c>
      <c r="I12382" s="615">
        <v>10</v>
      </c>
      <c r="J12382" s="691">
        <v>9.6</v>
      </c>
      <c r="K12382" s="691">
        <v>9.8000000000000007</v>
      </c>
    </row>
    <row r="12383" spans="1:11">
      <c r="A12383" s="688" t="s">
        <v>27</v>
      </c>
      <c r="B12383" s="689">
        <v>10.8</v>
      </c>
      <c r="C12383" s="689">
        <v>10.5</v>
      </c>
      <c r="D12383" s="689">
        <v>10.199999999999999</v>
      </c>
      <c r="E12383" s="689">
        <v>10.5</v>
      </c>
      <c r="F12383" s="689">
        <v>10.5</v>
      </c>
      <c r="G12383" s="689">
        <v>10.5</v>
      </c>
      <c r="H12383" s="689">
        <v>10.8</v>
      </c>
      <c r="I12383" s="689">
        <v>9.9</v>
      </c>
      <c r="J12383" s="689">
        <v>10.5</v>
      </c>
      <c r="K12383" s="689">
        <v>10.5</v>
      </c>
    </row>
    <row r="12384" spans="1:11">
      <c r="A12384" s="688" t="s">
        <v>6</v>
      </c>
      <c r="B12384" s="615">
        <v>11</v>
      </c>
      <c r="C12384" s="691">
        <v>10.9</v>
      </c>
      <c r="D12384" s="691">
        <v>10.7</v>
      </c>
      <c r="E12384" s="691">
        <v>10.9</v>
      </c>
      <c r="F12384" s="691">
        <v>10.9</v>
      </c>
      <c r="G12384" s="615">
        <v>11</v>
      </c>
      <c r="H12384" s="691">
        <v>11.1</v>
      </c>
      <c r="I12384" s="691">
        <v>10.5</v>
      </c>
      <c r="J12384" s="691">
        <v>10.7</v>
      </c>
      <c r="K12384" s="691">
        <v>10.8</v>
      </c>
    </row>
    <row r="12385" spans="1:11">
      <c r="A12385" s="688" t="s">
        <v>4058</v>
      </c>
      <c r="B12385" s="690" t="s">
        <v>4060</v>
      </c>
      <c r="C12385" s="690" t="s">
        <v>4060</v>
      </c>
      <c r="D12385" s="690" t="s">
        <v>4060</v>
      </c>
      <c r="E12385" s="690" t="s">
        <v>4060</v>
      </c>
      <c r="F12385" s="690" t="s">
        <v>4060</v>
      </c>
      <c r="G12385" s="690" t="s">
        <v>4060</v>
      </c>
      <c r="H12385" s="690" t="s">
        <v>4060</v>
      </c>
      <c r="I12385" s="690" t="s">
        <v>4060</v>
      </c>
      <c r="J12385" s="690" t="s">
        <v>4060</v>
      </c>
      <c r="K12385" s="690" t="s">
        <v>4060</v>
      </c>
    </row>
    <row r="12386" spans="1:11">
      <c r="A12386" s="688" t="s">
        <v>11</v>
      </c>
      <c r="B12386" s="691">
        <v>8.1999999999999993</v>
      </c>
      <c r="C12386" s="691">
        <v>8.1</v>
      </c>
      <c r="D12386" s="691">
        <v>7.9</v>
      </c>
      <c r="E12386" s="691">
        <v>8.1999999999999993</v>
      </c>
      <c r="F12386" s="691">
        <v>8.1999999999999993</v>
      </c>
      <c r="G12386" s="691">
        <v>8.3000000000000007</v>
      </c>
      <c r="H12386" s="691">
        <v>8.5</v>
      </c>
      <c r="I12386" s="615">
        <v>8</v>
      </c>
      <c r="J12386" s="691">
        <v>7.5</v>
      </c>
      <c r="K12386" s="615">
        <v>8</v>
      </c>
    </row>
    <row r="12387" spans="1:11">
      <c r="A12387" s="688" t="s">
        <v>10</v>
      </c>
      <c r="B12387" s="689">
        <v>10.3</v>
      </c>
      <c r="C12387" s="689">
        <v>10.199999999999999</v>
      </c>
      <c r="D12387" s="693">
        <v>10</v>
      </c>
      <c r="E12387" s="689">
        <v>10.4</v>
      </c>
      <c r="F12387" s="689">
        <v>10.199999999999999</v>
      </c>
      <c r="G12387" s="689">
        <v>10.5</v>
      </c>
      <c r="H12387" s="689">
        <v>10.6</v>
      </c>
      <c r="I12387" s="689">
        <v>9.6999999999999993</v>
      </c>
      <c r="J12387" s="689">
        <v>10.199999999999999</v>
      </c>
      <c r="K12387" s="689">
        <v>10.1</v>
      </c>
    </row>
    <row r="12388" spans="1:11">
      <c r="A12388" s="688" t="s">
        <v>30</v>
      </c>
      <c r="B12388" s="615">
        <v>10</v>
      </c>
      <c r="C12388" s="615">
        <v>10</v>
      </c>
      <c r="D12388" s="691">
        <v>9.6999999999999993</v>
      </c>
      <c r="E12388" s="691">
        <v>10.199999999999999</v>
      </c>
      <c r="F12388" s="615">
        <v>10</v>
      </c>
      <c r="G12388" s="691">
        <v>10.6</v>
      </c>
      <c r="H12388" s="691">
        <v>10.4</v>
      </c>
      <c r="I12388" s="691">
        <v>10.5</v>
      </c>
      <c r="J12388" s="691">
        <v>10.199999999999999</v>
      </c>
      <c r="K12388" s="691">
        <v>10.1</v>
      </c>
    </row>
    <row r="12389" spans="1:11">
      <c r="A12389" s="688" t="s">
        <v>12</v>
      </c>
      <c r="B12389" s="689">
        <v>8.1</v>
      </c>
      <c r="C12389" s="689">
        <v>7.9</v>
      </c>
      <c r="D12389" s="689">
        <v>8.1</v>
      </c>
      <c r="E12389" s="693">
        <v>8</v>
      </c>
      <c r="F12389" s="693">
        <v>8</v>
      </c>
      <c r="G12389" s="689">
        <v>8.1</v>
      </c>
      <c r="H12389" s="689">
        <v>8.1999999999999993</v>
      </c>
      <c r="I12389" s="689">
        <v>8.1</v>
      </c>
      <c r="J12389" s="689">
        <v>7.3</v>
      </c>
      <c r="K12389" s="689">
        <v>7.8</v>
      </c>
    </row>
    <row r="12390" spans="1:11">
      <c r="A12390" s="688" t="s">
        <v>14</v>
      </c>
      <c r="B12390" s="691">
        <v>8.1999999999999993</v>
      </c>
      <c r="C12390" s="615">
        <v>8</v>
      </c>
      <c r="D12390" s="691">
        <v>7.9</v>
      </c>
      <c r="E12390" s="691">
        <v>7.9</v>
      </c>
      <c r="F12390" s="691">
        <v>7.8</v>
      </c>
      <c r="G12390" s="691">
        <v>7.9</v>
      </c>
      <c r="H12390" s="691">
        <v>8.1</v>
      </c>
      <c r="I12390" s="691">
        <v>7.7</v>
      </c>
      <c r="J12390" s="691">
        <v>7.5</v>
      </c>
      <c r="K12390" s="615">
        <v>8</v>
      </c>
    </row>
    <row r="12391" spans="1:11">
      <c r="A12391" s="688" t="s">
        <v>15</v>
      </c>
      <c r="B12391" s="689">
        <v>10.7</v>
      </c>
      <c r="C12391" s="689">
        <v>9.9</v>
      </c>
      <c r="D12391" s="689">
        <v>10.1</v>
      </c>
      <c r="E12391" s="689">
        <v>10.199999999999999</v>
      </c>
      <c r="F12391" s="689">
        <v>10.3</v>
      </c>
      <c r="G12391" s="693">
        <v>10</v>
      </c>
      <c r="H12391" s="689">
        <v>10.3</v>
      </c>
      <c r="I12391" s="689">
        <v>9.8000000000000007</v>
      </c>
      <c r="J12391" s="689">
        <v>10.199999999999999</v>
      </c>
      <c r="K12391" s="689">
        <v>10.5</v>
      </c>
    </row>
    <row r="12392" spans="1:11">
      <c r="A12392" s="688" t="s">
        <v>29</v>
      </c>
      <c r="B12392" s="691">
        <v>8.1</v>
      </c>
      <c r="C12392" s="691">
        <v>8.1</v>
      </c>
      <c r="D12392" s="691">
        <v>7.9</v>
      </c>
      <c r="E12392" s="691">
        <v>8.1</v>
      </c>
      <c r="F12392" s="615">
        <v>8</v>
      </c>
      <c r="G12392" s="691">
        <v>8.1</v>
      </c>
      <c r="H12392" s="691">
        <v>8.3000000000000007</v>
      </c>
      <c r="I12392" s="691">
        <v>7.8</v>
      </c>
      <c r="J12392" s="691">
        <v>7.4</v>
      </c>
      <c r="K12392" s="615">
        <v>8</v>
      </c>
    </row>
    <row r="12393" spans="1:11">
      <c r="A12393" s="688" t="s">
        <v>16</v>
      </c>
      <c r="B12393" s="689">
        <v>9.8000000000000007</v>
      </c>
      <c r="C12393" s="689">
        <v>9.9</v>
      </c>
      <c r="D12393" s="689">
        <v>9.6</v>
      </c>
      <c r="E12393" s="689">
        <v>10.5</v>
      </c>
      <c r="F12393" s="689">
        <v>9.9</v>
      </c>
      <c r="G12393" s="693">
        <v>10</v>
      </c>
      <c r="H12393" s="689">
        <v>10.1</v>
      </c>
      <c r="I12393" s="689">
        <v>9.6</v>
      </c>
      <c r="J12393" s="693">
        <v>10</v>
      </c>
      <c r="K12393" s="689">
        <v>9.9</v>
      </c>
    </row>
    <row r="12394" spans="1:11">
      <c r="A12394" s="688" t="s">
        <v>17</v>
      </c>
      <c r="B12394" s="691">
        <v>9.6999999999999993</v>
      </c>
      <c r="C12394" s="691">
        <v>9.8000000000000007</v>
      </c>
      <c r="D12394" s="691">
        <v>9.6999999999999993</v>
      </c>
      <c r="E12394" s="691">
        <v>9.6999999999999993</v>
      </c>
      <c r="F12394" s="691">
        <v>9.9</v>
      </c>
      <c r="G12394" s="691">
        <v>9.9</v>
      </c>
      <c r="H12394" s="615">
        <v>10</v>
      </c>
      <c r="I12394" s="691">
        <v>9.5</v>
      </c>
      <c r="J12394" s="691">
        <v>9.6</v>
      </c>
      <c r="K12394" s="691">
        <v>9.9</v>
      </c>
    </row>
    <row r="12395" spans="1:11">
      <c r="A12395" s="688" t="s">
        <v>19</v>
      </c>
      <c r="B12395" s="693">
        <v>10</v>
      </c>
      <c r="C12395" s="693">
        <v>10</v>
      </c>
      <c r="D12395" s="689">
        <v>9.8000000000000007</v>
      </c>
      <c r="E12395" s="689">
        <v>10.1</v>
      </c>
      <c r="F12395" s="689">
        <v>10.1</v>
      </c>
      <c r="G12395" s="689">
        <v>10.199999999999999</v>
      </c>
      <c r="H12395" s="689">
        <v>10.3</v>
      </c>
      <c r="I12395" s="689">
        <v>9.6999999999999993</v>
      </c>
      <c r="J12395" s="689">
        <v>9.9</v>
      </c>
      <c r="K12395" s="689">
        <v>9.8000000000000007</v>
      </c>
    </row>
    <row r="12396" spans="1:11">
      <c r="A12396" s="688" t="s">
        <v>20</v>
      </c>
      <c r="B12396" s="691">
        <v>8.9</v>
      </c>
      <c r="C12396" s="615">
        <v>9</v>
      </c>
      <c r="D12396" s="691">
        <v>8.8000000000000007</v>
      </c>
      <c r="E12396" s="691">
        <v>9.1</v>
      </c>
      <c r="F12396" s="615">
        <v>9</v>
      </c>
      <c r="G12396" s="615">
        <v>9</v>
      </c>
      <c r="H12396" s="691">
        <v>9.3000000000000007</v>
      </c>
      <c r="I12396" s="691">
        <v>8.1</v>
      </c>
      <c r="J12396" s="691">
        <v>7.8</v>
      </c>
      <c r="K12396" s="691">
        <v>8.6999999999999993</v>
      </c>
    </row>
    <row r="12397" spans="1:11">
      <c r="A12397" s="688" t="s">
        <v>21</v>
      </c>
      <c r="B12397" s="689">
        <v>9.5</v>
      </c>
      <c r="C12397" s="689">
        <v>9.8000000000000007</v>
      </c>
      <c r="D12397" s="689">
        <v>9.8000000000000007</v>
      </c>
      <c r="E12397" s="689">
        <v>9.8000000000000007</v>
      </c>
      <c r="F12397" s="693">
        <v>10</v>
      </c>
      <c r="G12397" s="693">
        <v>10</v>
      </c>
      <c r="H12397" s="689">
        <v>10.3</v>
      </c>
      <c r="I12397" s="689">
        <v>9.9</v>
      </c>
      <c r="J12397" s="693">
        <v>10</v>
      </c>
      <c r="K12397" s="689">
        <v>10.1</v>
      </c>
    </row>
    <row r="12398" spans="1:11">
      <c r="A12398" s="688" t="s">
        <v>22</v>
      </c>
      <c r="B12398" s="691">
        <v>8.3000000000000007</v>
      </c>
      <c r="C12398" s="691">
        <v>8.1</v>
      </c>
      <c r="D12398" s="615">
        <v>8</v>
      </c>
      <c r="E12398" s="691">
        <v>8.1999999999999993</v>
      </c>
      <c r="F12398" s="691">
        <v>8.1999999999999993</v>
      </c>
      <c r="G12398" s="691">
        <v>8.4</v>
      </c>
      <c r="H12398" s="691">
        <v>8.6</v>
      </c>
      <c r="I12398" s="691">
        <v>7.6</v>
      </c>
      <c r="J12398" s="691">
        <v>6.9</v>
      </c>
      <c r="K12398" s="691">
        <v>7.7</v>
      </c>
    </row>
    <row r="12399" spans="1:11">
      <c r="A12399" s="688" t="s">
        <v>26</v>
      </c>
      <c r="B12399" s="689">
        <v>9.5</v>
      </c>
      <c r="C12399" s="689">
        <v>9.5</v>
      </c>
      <c r="D12399" s="689">
        <v>9.4</v>
      </c>
      <c r="E12399" s="689">
        <v>9.6999999999999993</v>
      </c>
      <c r="F12399" s="689">
        <v>9.4</v>
      </c>
      <c r="G12399" s="689">
        <v>9.6</v>
      </c>
      <c r="H12399" s="693">
        <v>10</v>
      </c>
      <c r="I12399" s="693">
        <v>9</v>
      </c>
      <c r="J12399" s="689">
        <v>9.3000000000000007</v>
      </c>
      <c r="K12399" s="689">
        <v>9.6999999999999993</v>
      </c>
    </row>
    <row r="12400" spans="1:11">
      <c r="A12400" s="688" t="s">
        <v>25</v>
      </c>
      <c r="B12400" s="691">
        <v>8.1</v>
      </c>
      <c r="C12400" s="691">
        <v>8.1999999999999993</v>
      </c>
      <c r="D12400" s="691">
        <v>8.1999999999999993</v>
      </c>
      <c r="E12400" s="691">
        <v>8.5</v>
      </c>
      <c r="F12400" s="691">
        <v>8.4</v>
      </c>
      <c r="G12400" s="691">
        <v>8.6</v>
      </c>
      <c r="H12400" s="615">
        <v>9</v>
      </c>
      <c r="I12400" s="691">
        <v>8.1999999999999993</v>
      </c>
      <c r="J12400" s="691">
        <v>7.2</v>
      </c>
      <c r="K12400" s="691">
        <v>8.1999999999999993</v>
      </c>
    </row>
    <row r="12401" spans="1:11">
      <c r="A12401" s="688" t="s">
        <v>5</v>
      </c>
      <c r="B12401" s="693">
        <v>10</v>
      </c>
      <c r="C12401" s="689">
        <v>9.6999999999999993</v>
      </c>
      <c r="D12401" s="689">
        <v>9.8000000000000007</v>
      </c>
      <c r="E12401" s="689">
        <v>9.8000000000000007</v>
      </c>
      <c r="F12401" s="689">
        <v>9.9</v>
      </c>
      <c r="G12401" s="693">
        <v>10</v>
      </c>
      <c r="H12401" s="689">
        <v>10.199999999999999</v>
      </c>
      <c r="I12401" s="689">
        <v>10.199999999999999</v>
      </c>
      <c r="J12401" s="689">
        <v>10.199999999999999</v>
      </c>
      <c r="K12401" s="689">
        <v>9.6999999999999993</v>
      </c>
    </row>
    <row r="12402" spans="1:11">
      <c r="A12402" s="688" t="s">
        <v>23</v>
      </c>
      <c r="B12402" s="615">
        <v>10</v>
      </c>
      <c r="C12402" s="691">
        <v>10.1</v>
      </c>
      <c r="D12402" s="615">
        <v>10</v>
      </c>
      <c r="E12402" s="691">
        <v>10.199999999999999</v>
      </c>
      <c r="F12402" s="691">
        <v>10.199999999999999</v>
      </c>
      <c r="G12402" s="691">
        <v>10.3</v>
      </c>
      <c r="H12402" s="691">
        <v>10.6</v>
      </c>
      <c r="I12402" s="615">
        <v>10</v>
      </c>
      <c r="J12402" s="691">
        <v>10.5</v>
      </c>
      <c r="K12402" s="691">
        <v>10.5</v>
      </c>
    </row>
    <row r="12403" spans="1:11">
      <c r="A12403" s="688" t="s">
        <v>4067</v>
      </c>
      <c r="B12403" s="689">
        <v>9.9</v>
      </c>
      <c r="C12403" s="689">
        <v>10.199999999999999</v>
      </c>
      <c r="D12403" s="689">
        <v>9.9</v>
      </c>
      <c r="E12403" s="689">
        <v>10.199999999999999</v>
      </c>
      <c r="F12403" s="689">
        <v>10.1</v>
      </c>
      <c r="G12403" s="689">
        <v>10.3</v>
      </c>
      <c r="H12403" s="690" t="s">
        <v>4060</v>
      </c>
      <c r="I12403" s="690" t="s">
        <v>4060</v>
      </c>
      <c r="J12403" s="690" t="s">
        <v>4060</v>
      </c>
      <c r="K12403" s="690" t="s">
        <v>4060</v>
      </c>
    </row>
    <row r="12404" spans="1:11">
      <c r="A12404" s="688" t="s">
        <v>4066</v>
      </c>
      <c r="B12404" s="691">
        <v>9.9</v>
      </c>
      <c r="C12404" s="691">
        <v>10.199999999999999</v>
      </c>
      <c r="D12404" s="691">
        <v>9.9</v>
      </c>
      <c r="E12404" s="691">
        <v>10.199999999999999</v>
      </c>
      <c r="F12404" s="691">
        <v>10.1</v>
      </c>
      <c r="G12404" s="691">
        <v>10.3</v>
      </c>
      <c r="H12404" s="692" t="s">
        <v>4060</v>
      </c>
      <c r="I12404" s="692" t="s">
        <v>4060</v>
      </c>
      <c r="J12404" s="692" t="s">
        <v>4060</v>
      </c>
      <c r="K12404" s="692" t="s">
        <v>4060</v>
      </c>
    </row>
    <row r="12405" spans="1:11">
      <c r="A12405" s="688" t="s">
        <v>4062</v>
      </c>
      <c r="B12405" s="689">
        <v>10.3</v>
      </c>
      <c r="C12405" s="689">
        <v>10.3</v>
      </c>
      <c r="D12405" s="689">
        <v>10.199999999999999</v>
      </c>
      <c r="E12405" s="689">
        <v>10.6</v>
      </c>
      <c r="F12405" s="689">
        <v>10.6</v>
      </c>
      <c r="G12405" s="689">
        <v>10.7</v>
      </c>
      <c r="H12405" s="689">
        <v>10.8</v>
      </c>
      <c r="I12405" s="689">
        <v>10.4</v>
      </c>
      <c r="J12405" s="689">
        <v>10.9</v>
      </c>
      <c r="K12405" s="689">
        <v>10.6</v>
      </c>
    </row>
    <row r="12406" spans="1:11">
      <c r="A12406" s="688" t="s">
        <v>9</v>
      </c>
      <c r="B12406" s="615">
        <v>10</v>
      </c>
      <c r="C12406" s="691">
        <v>10.199999999999999</v>
      </c>
      <c r="D12406" s="691">
        <v>10.3</v>
      </c>
      <c r="E12406" s="691">
        <v>9.9</v>
      </c>
      <c r="F12406" s="691">
        <v>10.5</v>
      </c>
      <c r="G12406" s="691">
        <v>10.7</v>
      </c>
      <c r="H12406" s="691">
        <v>10.6</v>
      </c>
      <c r="I12406" s="691">
        <v>10.9</v>
      </c>
      <c r="J12406" s="691">
        <v>11.3</v>
      </c>
      <c r="K12406" s="691">
        <v>10.1</v>
      </c>
    </row>
    <row r="12407" spans="1:11">
      <c r="A12407" s="688" t="s">
        <v>13</v>
      </c>
      <c r="B12407" s="689">
        <v>9.5</v>
      </c>
      <c r="C12407" s="689">
        <v>10.4</v>
      </c>
      <c r="D12407" s="689">
        <v>10.199999999999999</v>
      </c>
      <c r="E12407" s="689">
        <v>9.6999999999999993</v>
      </c>
      <c r="F12407" s="689">
        <v>11.2</v>
      </c>
      <c r="G12407" s="689">
        <v>9.8000000000000007</v>
      </c>
      <c r="H12407" s="689">
        <v>11.1</v>
      </c>
      <c r="I12407" s="693">
        <v>9</v>
      </c>
      <c r="J12407" s="689">
        <v>11.7</v>
      </c>
      <c r="K12407" s="689">
        <v>11.7</v>
      </c>
    </row>
    <row r="12408" spans="1:11">
      <c r="A12408" s="688" t="s">
        <v>18</v>
      </c>
      <c r="B12408" s="691">
        <v>9.9</v>
      </c>
      <c r="C12408" s="615">
        <v>10</v>
      </c>
      <c r="D12408" s="615">
        <v>10</v>
      </c>
      <c r="E12408" s="691">
        <v>10.199999999999999</v>
      </c>
      <c r="F12408" s="691">
        <v>10.199999999999999</v>
      </c>
      <c r="G12408" s="691">
        <v>10.4</v>
      </c>
      <c r="H12408" s="691">
        <v>10.6</v>
      </c>
      <c r="I12408" s="691">
        <v>10.7</v>
      </c>
      <c r="J12408" s="691">
        <v>10.7</v>
      </c>
      <c r="K12408" s="691">
        <v>10.199999999999999</v>
      </c>
    </row>
    <row r="12409" spans="1:11">
      <c r="A12409" s="688" t="s">
        <v>24</v>
      </c>
      <c r="B12409" s="689">
        <v>10.5</v>
      </c>
      <c r="C12409" s="689">
        <v>10.5</v>
      </c>
      <c r="D12409" s="689">
        <v>10.4</v>
      </c>
      <c r="E12409" s="689">
        <v>10.8</v>
      </c>
      <c r="F12409" s="689">
        <v>10.8</v>
      </c>
      <c r="G12409" s="689">
        <v>10.9</v>
      </c>
      <c r="H12409" s="693">
        <v>11</v>
      </c>
      <c r="I12409" s="689">
        <v>10.199999999999999</v>
      </c>
      <c r="J12409" s="693">
        <v>11</v>
      </c>
      <c r="K12409" s="689">
        <v>10.8</v>
      </c>
    </row>
    <row r="12410" spans="1:11">
      <c r="A12410" s="688" t="s">
        <v>4059</v>
      </c>
      <c r="B12410" s="691">
        <v>10.199999999999999</v>
      </c>
      <c r="C12410" s="691">
        <v>10.4</v>
      </c>
      <c r="D12410" s="691">
        <v>10.1</v>
      </c>
      <c r="E12410" s="691">
        <v>10.4</v>
      </c>
      <c r="F12410" s="691">
        <v>10.3</v>
      </c>
      <c r="G12410" s="691">
        <v>10.4</v>
      </c>
      <c r="H12410" s="692" t="s">
        <v>4060</v>
      </c>
      <c r="I12410" s="692" t="s">
        <v>4060</v>
      </c>
      <c r="J12410" s="692" t="s">
        <v>4060</v>
      </c>
      <c r="K12410" s="692" t="s">
        <v>4060</v>
      </c>
    </row>
    <row r="12411" spans="1:11">
      <c r="A12411" s="688" t="s">
        <v>2324</v>
      </c>
      <c r="B12411" s="689">
        <v>8.3000000000000007</v>
      </c>
      <c r="C12411" s="689">
        <v>8.4</v>
      </c>
      <c r="D12411" s="689">
        <v>8.1999999999999993</v>
      </c>
      <c r="E12411" s="693">
        <v>8</v>
      </c>
      <c r="F12411" s="689">
        <v>8.1999999999999993</v>
      </c>
      <c r="G12411" s="689">
        <v>8.3000000000000007</v>
      </c>
      <c r="H12411" s="689">
        <v>8.3000000000000007</v>
      </c>
      <c r="I12411" s="689">
        <v>7.5</v>
      </c>
      <c r="J12411" s="689">
        <v>6.1</v>
      </c>
      <c r="K12411" s="690" t="s">
        <v>4060</v>
      </c>
    </row>
    <row r="12412" spans="1:11">
      <c r="A12412" s="688" t="s">
        <v>2322</v>
      </c>
      <c r="B12412" s="692" t="s">
        <v>4060</v>
      </c>
      <c r="C12412" s="692" t="s">
        <v>4060</v>
      </c>
      <c r="D12412" s="692" t="s">
        <v>4060</v>
      </c>
      <c r="E12412" s="692" t="s">
        <v>4060</v>
      </c>
      <c r="F12412" s="692" t="s">
        <v>4060</v>
      </c>
      <c r="G12412" s="692" t="s">
        <v>4060</v>
      </c>
      <c r="H12412" s="692" t="s">
        <v>4060</v>
      </c>
      <c r="I12412" s="692" t="s">
        <v>4060</v>
      </c>
      <c r="J12412" s="692" t="s">
        <v>4060</v>
      </c>
      <c r="K12412" s="692" t="s">
        <v>4060</v>
      </c>
    </row>
    <row r="12413" spans="1:11">
      <c r="A12413" s="688" t="s">
        <v>2328</v>
      </c>
      <c r="B12413" s="689">
        <v>7.2</v>
      </c>
      <c r="C12413" s="689">
        <v>7.4</v>
      </c>
      <c r="D12413" s="689">
        <v>7.2</v>
      </c>
      <c r="E12413" s="689">
        <v>7.3</v>
      </c>
      <c r="F12413" s="689">
        <v>7.3</v>
      </c>
      <c r="G12413" s="689">
        <v>7.7</v>
      </c>
      <c r="H12413" s="689">
        <v>7.6</v>
      </c>
      <c r="I12413" s="689">
        <v>6.5</v>
      </c>
      <c r="J12413" s="689">
        <v>6.3</v>
      </c>
      <c r="K12413" s="690" t="s">
        <v>4060</v>
      </c>
    </row>
    <row r="12414" spans="1:11">
      <c r="A12414" s="688" t="s">
        <v>2496</v>
      </c>
      <c r="B12414" s="692" t="s">
        <v>4060</v>
      </c>
      <c r="C12414" s="691">
        <v>8.4</v>
      </c>
      <c r="D12414" s="691">
        <v>7.2</v>
      </c>
      <c r="E12414" s="691">
        <v>6.6</v>
      </c>
      <c r="F12414" s="615">
        <v>7</v>
      </c>
      <c r="G12414" s="691">
        <v>7.1</v>
      </c>
      <c r="H12414" s="615">
        <v>7</v>
      </c>
      <c r="I12414" s="692" t="s">
        <v>4060</v>
      </c>
      <c r="J12414" s="692" t="s">
        <v>4060</v>
      </c>
      <c r="K12414" s="691">
        <v>6.6</v>
      </c>
    </row>
    <row r="12415" spans="1:11">
      <c r="A12415" s="688" t="s">
        <v>2269</v>
      </c>
      <c r="B12415" s="689">
        <v>8.4</v>
      </c>
      <c r="C12415" s="689">
        <v>8.4</v>
      </c>
      <c r="D12415" s="689">
        <v>8.1</v>
      </c>
      <c r="E12415" s="689">
        <v>8.5</v>
      </c>
      <c r="F12415" s="689">
        <v>8.5</v>
      </c>
      <c r="G12415" s="689">
        <v>8.8000000000000007</v>
      </c>
      <c r="H12415" s="689">
        <v>9.1999999999999993</v>
      </c>
      <c r="I12415" s="689">
        <v>7.8</v>
      </c>
      <c r="J12415" s="689">
        <v>5.8</v>
      </c>
      <c r="K12415" s="689">
        <v>8.8000000000000007</v>
      </c>
    </row>
    <row r="12416" spans="1:11">
      <c r="A12416" s="688" t="s">
        <v>2349</v>
      </c>
      <c r="B12416" s="691">
        <v>7.5</v>
      </c>
      <c r="C12416" s="691">
        <v>7.7</v>
      </c>
      <c r="D12416" s="691">
        <v>7.6</v>
      </c>
      <c r="E12416" s="691">
        <v>7.9</v>
      </c>
      <c r="F12416" s="691">
        <v>7.9</v>
      </c>
      <c r="G12416" s="615">
        <v>8</v>
      </c>
      <c r="H12416" s="691">
        <v>8.1999999999999993</v>
      </c>
      <c r="I12416" s="691">
        <v>7.4</v>
      </c>
      <c r="J12416" s="691">
        <v>6.4</v>
      </c>
      <c r="K12416" s="691">
        <v>7.4</v>
      </c>
    </row>
    <row r="12417" spans="1:11">
      <c r="A12417" s="688" t="s">
        <v>2355</v>
      </c>
      <c r="B12417" s="693">
        <v>9</v>
      </c>
      <c r="C12417" s="689">
        <v>8.9</v>
      </c>
      <c r="D12417" s="689">
        <v>8.8000000000000007</v>
      </c>
      <c r="E12417" s="689">
        <v>8.6999999999999993</v>
      </c>
      <c r="F12417" s="689">
        <v>8.8000000000000007</v>
      </c>
      <c r="G12417" s="689">
        <v>9.1</v>
      </c>
      <c r="H12417" s="689">
        <v>9.1</v>
      </c>
      <c r="I12417" s="690" t="s">
        <v>4060</v>
      </c>
      <c r="J12417" s="690" t="s">
        <v>4060</v>
      </c>
      <c r="K12417" s="690" t="s">
        <v>4060</v>
      </c>
    </row>
    <row r="12418" spans="1:11">
      <c r="A12418" s="688" t="s">
        <v>2357</v>
      </c>
      <c r="B12418" s="692" t="s">
        <v>4060</v>
      </c>
      <c r="C12418" s="691">
        <v>7.6</v>
      </c>
      <c r="D12418" s="691">
        <v>7.8</v>
      </c>
      <c r="E12418" s="615">
        <v>8</v>
      </c>
      <c r="F12418" s="691">
        <v>8.1999999999999993</v>
      </c>
      <c r="G12418" s="615">
        <v>8</v>
      </c>
      <c r="H12418" s="691">
        <v>8.1999999999999993</v>
      </c>
      <c r="I12418" s="692" t="s">
        <v>4060</v>
      </c>
      <c r="J12418" s="692" t="s">
        <v>4060</v>
      </c>
      <c r="K12418" s="692" t="s">
        <v>4060</v>
      </c>
    </row>
    <row r="12419" spans="1:11">
      <c r="A12419" s="688" t="s">
        <v>4070</v>
      </c>
      <c r="B12419" s="690" t="s">
        <v>4060</v>
      </c>
      <c r="C12419" s="690" t="s">
        <v>4060</v>
      </c>
      <c r="D12419" s="690" t="s">
        <v>4060</v>
      </c>
      <c r="E12419" s="689">
        <v>8.5</v>
      </c>
      <c r="F12419" s="690" t="s">
        <v>4060</v>
      </c>
      <c r="G12419" s="690" t="s">
        <v>4060</v>
      </c>
      <c r="H12419" s="690" t="s">
        <v>4060</v>
      </c>
      <c r="I12419" s="690" t="s">
        <v>4060</v>
      </c>
      <c r="J12419" s="690" t="s">
        <v>4060</v>
      </c>
      <c r="K12419" s="690" t="s">
        <v>4060</v>
      </c>
    </row>
    <row r="12420" spans="1:11">
      <c r="A12420" s="688" t="s">
        <v>2491</v>
      </c>
      <c r="B12420" s="691">
        <v>7.1</v>
      </c>
      <c r="C12420" s="691">
        <v>7.3</v>
      </c>
      <c r="D12420" s="691">
        <v>7.4</v>
      </c>
      <c r="E12420" s="691">
        <v>7.3</v>
      </c>
      <c r="F12420" s="691">
        <v>7.3</v>
      </c>
      <c r="G12420" s="691">
        <v>7.4</v>
      </c>
      <c r="H12420" s="692" t="s">
        <v>4060</v>
      </c>
      <c r="I12420" s="692" t="s">
        <v>4060</v>
      </c>
      <c r="J12420" s="692" t="s">
        <v>4060</v>
      </c>
      <c r="K12420" s="692" t="s">
        <v>4060</v>
      </c>
    </row>
    <row r="12421" spans="1:11">
      <c r="A12421" s="688" t="s">
        <v>2343</v>
      </c>
      <c r="B12421" s="690" t="s">
        <v>4060</v>
      </c>
      <c r="C12421" s="690" t="s">
        <v>4060</v>
      </c>
      <c r="D12421" s="690" t="s">
        <v>4060</v>
      </c>
      <c r="E12421" s="690" t="s">
        <v>4060</v>
      </c>
      <c r="F12421" s="690" t="s">
        <v>4060</v>
      </c>
      <c r="G12421" s="690" t="s">
        <v>4060</v>
      </c>
      <c r="H12421" s="690" t="s">
        <v>4060</v>
      </c>
      <c r="I12421" s="690" t="s">
        <v>4060</v>
      </c>
      <c r="J12421" s="690" t="s">
        <v>4060</v>
      </c>
      <c r="K12421" s="690" t="s">
        <v>4060</v>
      </c>
    </row>
    <row r="12422" spans="1:11">
      <c r="A12422" s="688" t="s">
        <v>4071</v>
      </c>
      <c r="B12422" s="692" t="s">
        <v>4060</v>
      </c>
      <c r="C12422" s="692" t="s">
        <v>4060</v>
      </c>
      <c r="D12422" s="692" t="s">
        <v>4060</v>
      </c>
      <c r="E12422" s="692" t="s">
        <v>4060</v>
      </c>
      <c r="F12422" s="692" t="s">
        <v>4060</v>
      </c>
      <c r="G12422" s="692" t="s">
        <v>4060</v>
      </c>
      <c r="H12422" s="692" t="s">
        <v>4060</v>
      </c>
      <c r="I12422" s="692" t="s">
        <v>4060</v>
      </c>
      <c r="J12422" s="692" t="s">
        <v>4060</v>
      </c>
      <c r="K12422" s="692" t="s">
        <v>4060</v>
      </c>
    </row>
    <row r="12423" spans="1:11">
      <c r="A12423" s="688" t="s">
        <v>2489</v>
      </c>
      <c r="B12423" s="690" t="s">
        <v>4060</v>
      </c>
      <c r="C12423" s="690" t="s">
        <v>4060</v>
      </c>
      <c r="D12423" s="689">
        <v>8.3000000000000007</v>
      </c>
      <c r="E12423" s="689">
        <v>8.1</v>
      </c>
      <c r="F12423" s="689">
        <v>8.4</v>
      </c>
      <c r="G12423" s="689">
        <v>8.6999999999999993</v>
      </c>
      <c r="H12423" s="693">
        <v>9</v>
      </c>
      <c r="I12423" s="690" t="s">
        <v>4060</v>
      </c>
      <c r="J12423" s="690" t="s">
        <v>4060</v>
      </c>
      <c r="K12423" s="690" t="s">
        <v>4060</v>
      </c>
    </row>
    <row r="12424" spans="1:11">
      <c r="A12424" s="688" t="s">
        <v>2490</v>
      </c>
      <c r="B12424" s="691">
        <v>8.4</v>
      </c>
      <c r="C12424" s="691">
        <v>8.1999999999999993</v>
      </c>
      <c r="D12424" s="615">
        <v>9</v>
      </c>
      <c r="E12424" s="692" t="s">
        <v>4060</v>
      </c>
      <c r="F12424" s="691">
        <v>9.5</v>
      </c>
      <c r="G12424" s="691">
        <v>9.1</v>
      </c>
      <c r="H12424" s="691">
        <v>9.9</v>
      </c>
      <c r="I12424" s="692" t="s">
        <v>4060</v>
      </c>
      <c r="J12424" s="692" t="s">
        <v>4060</v>
      </c>
      <c r="K12424" s="692" t="s">
        <v>4060</v>
      </c>
    </row>
    <row r="12426" spans="1:11">
      <c r="A12426" s="683" t="s">
        <v>4233</v>
      </c>
    </row>
    <row r="12427" spans="1:11">
      <c r="A12427" s="683" t="s">
        <v>4060</v>
      </c>
      <c r="B12427" s="682" t="s">
        <v>4234</v>
      </c>
    </row>
    <row r="12429" spans="1:11">
      <c r="A12429" s="682" t="s">
        <v>4331</v>
      </c>
    </row>
    <row r="12430" spans="1:11">
      <c r="A12430" s="682" t="s">
        <v>4210</v>
      </c>
      <c r="B12430" s="683" t="s">
        <v>4211</v>
      </c>
    </row>
    <row r="12431" spans="1:11">
      <c r="A12431" s="682" t="s">
        <v>4212</v>
      </c>
      <c r="B12431" s="682" t="s">
        <v>4213</v>
      </c>
    </row>
    <row r="12433" spans="1:11">
      <c r="A12433" s="683" t="s">
        <v>4214</v>
      </c>
      <c r="C12433" s="682" t="s">
        <v>4215</v>
      </c>
    </row>
    <row r="12434" spans="1:11">
      <c r="A12434" s="683" t="s">
        <v>4216</v>
      </c>
      <c r="C12434" s="682" t="s">
        <v>2967</v>
      </c>
    </row>
    <row r="12435" spans="1:11">
      <c r="A12435" s="683" t="s">
        <v>3893</v>
      </c>
      <c r="C12435" s="682" t="s">
        <v>2168</v>
      </c>
    </row>
    <row r="12436" spans="1:11">
      <c r="A12436" s="683" t="s">
        <v>4218</v>
      </c>
      <c r="C12436" s="682" t="s">
        <v>4312</v>
      </c>
    </row>
    <row r="12438" spans="1:11">
      <c r="A12438" s="684" t="s">
        <v>4220</v>
      </c>
      <c r="B12438" s="685" t="s">
        <v>4221</v>
      </c>
      <c r="C12438" s="685" t="s">
        <v>4222</v>
      </c>
      <c r="D12438" s="685" t="s">
        <v>4223</v>
      </c>
      <c r="E12438" s="685" t="s">
        <v>4224</v>
      </c>
      <c r="F12438" s="685" t="s">
        <v>4225</v>
      </c>
      <c r="G12438" s="685" t="s">
        <v>4226</v>
      </c>
      <c r="H12438" s="685" t="s">
        <v>4227</v>
      </c>
      <c r="I12438" s="685" t="s">
        <v>4228</v>
      </c>
      <c r="J12438" s="685" t="s">
        <v>4229</v>
      </c>
      <c r="K12438" s="685" t="s">
        <v>4230</v>
      </c>
    </row>
    <row r="12439" spans="1:11">
      <c r="A12439" s="686" t="s">
        <v>4231</v>
      </c>
      <c r="B12439" s="687" t="s">
        <v>4232</v>
      </c>
      <c r="C12439" s="687" t="s">
        <v>4232</v>
      </c>
      <c r="D12439" s="687" t="s">
        <v>4232</v>
      </c>
      <c r="E12439" s="687" t="s">
        <v>4232</v>
      </c>
      <c r="F12439" s="687" t="s">
        <v>4232</v>
      </c>
      <c r="G12439" s="687" t="s">
        <v>4232</v>
      </c>
      <c r="H12439" s="687" t="s">
        <v>4232</v>
      </c>
      <c r="I12439" s="687" t="s">
        <v>4232</v>
      </c>
      <c r="J12439" s="687" t="s">
        <v>4232</v>
      </c>
      <c r="K12439" s="687" t="s">
        <v>4232</v>
      </c>
    </row>
    <row r="12440" spans="1:11">
      <c r="A12440" s="688" t="s">
        <v>4064</v>
      </c>
      <c r="B12440" s="691">
        <v>9.3000000000000007</v>
      </c>
      <c r="C12440" s="691">
        <v>9.1999999999999993</v>
      </c>
      <c r="D12440" s="691">
        <v>9.3000000000000007</v>
      </c>
      <c r="E12440" s="691">
        <v>9.3000000000000007</v>
      </c>
      <c r="F12440" s="691">
        <v>9.3000000000000007</v>
      </c>
      <c r="G12440" s="691">
        <v>9.4</v>
      </c>
      <c r="H12440" s="691">
        <v>9.6</v>
      </c>
      <c r="I12440" s="615">
        <v>9</v>
      </c>
      <c r="J12440" s="691">
        <v>9.1</v>
      </c>
      <c r="K12440" s="691">
        <v>9.1999999999999993</v>
      </c>
    </row>
    <row r="12441" spans="1:11">
      <c r="A12441" s="688" t="s">
        <v>4065</v>
      </c>
      <c r="B12441" s="689">
        <v>9.3000000000000007</v>
      </c>
      <c r="C12441" s="689">
        <v>9.6</v>
      </c>
      <c r="D12441" s="689">
        <v>9.3000000000000007</v>
      </c>
      <c r="E12441" s="689">
        <v>9.6</v>
      </c>
      <c r="F12441" s="689">
        <v>9.6</v>
      </c>
      <c r="G12441" s="689">
        <v>9.6999999999999993</v>
      </c>
      <c r="H12441" s="690" t="s">
        <v>4060</v>
      </c>
      <c r="I12441" s="690" t="s">
        <v>4060</v>
      </c>
      <c r="J12441" s="690" t="s">
        <v>4060</v>
      </c>
      <c r="K12441" s="690" t="s">
        <v>4060</v>
      </c>
    </row>
    <row r="12442" spans="1:11">
      <c r="A12442" s="688" t="s">
        <v>4063</v>
      </c>
      <c r="B12442" s="691">
        <v>9.4</v>
      </c>
      <c r="C12442" s="691">
        <v>9.6</v>
      </c>
      <c r="D12442" s="691">
        <v>9.4</v>
      </c>
      <c r="E12442" s="691">
        <v>9.6</v>
      </c>
      <c r="F12442" s="691">
        <v>9.6</v>
      </c>
      <c r="G12442" s="691">
        <v>9.6999999999999993</v>
      </c>
      <c r="H12442" s="692" t="s">
        <v>4060</v>
      </c>
      <c r="I12442" s="692" t="s">
        <v>4060</v>
      </c>
      <c r="J12442" s="692" t="s">
        <v>4060</v>
      </c>
      <c r="K12442" s="692" t="s">
        <v>4060</v>
      </c>
    </row>
    <row r="12443" spans="1:11">
      <c r="A12443" s="688" t="s">
        <v>4069</v>
      </c>
      <c r="B12443" s="690" t="s">
        <v>4060</v>
      </c>
      <c r="C12443" s="689">
        <v>9.5</v>
      </c>
      <c r="D12443" s="689">
        <v>9.3000000000000007</v>
      </c>
      <c r="E12443" s="689">
        <v>9.5</v>
      </c>
      <c r="F12443" s="689">
        <v>9.5</v>
      </c>
      <c r="G12443" s="689">
        <v>9.6</v>
      </c>
      <c r="H12443" s="689">
        <v>9.8000000000000007</v>
      </c>
      <c r="I12443" s="689">
        <v>9.3000000000000007</v>
      </c>
      <c r="J12443" s="689">
        <v>9.4</v>
      </c>
      <c r="K12443" s="689">
        <v>9.4</v>
      </c>
    </row>
    <row r="12444" spans="1:11">
      <c r="A12444" s="688" t="s">
        <v>4068</v>
      </c>
      <c r="B12444" s="691">
        <v>9.6</v>
      </c>
      <c r="C12444" s="692" t="s">
        <v>4060</v>
      </c>
      <c r="D12444" s="692" t="s">
        <v>4060</v>
      </c>
      <c r="E12444" s="692" t="s">
        <v>4060</v>
      </c>
      <c r="F12444" s="692" t="s">
        <v>4060</v>
      </c>
      <c r="G12444" s="692" t="s">
        <v>4060</v>
      </c>
      <c r="H12444" s="692" t="s">
        <v>4060</v>
      </c>
      <c r="I12444" s="692" t="s">
        <v>4060</v>
      </c>
      <c r="J12444" s="692" t="s">
        <v>4060</v>
      </c>
      <c r="K12444" s="692" t="s">
        <v>4060</v>
      </c>
    </row>
    <row r="12445" spans="1:11">
      <c r="A12445" s="688" t="s">
        <v>0</v>
      </c>
      <c r="B12445" s="689">
        <v>9.1999999999999993</v>
      </c>
      <c r="C12445" s="689">
        <v>9.3000000000000007</v>
      </c>
      <c r="D12445" s="689">
        <v>9.1999999999999993</v>
      </c>
      <c r="E12445" s="689">
        <v>9.4</v>
      </c>
      <c r="F12445" s="689">
        <v>9.4</v>
      </c>
      <c r="G12445" s="689">
        <v>9.5</v>
      </c>
      <c r="H12445" s="689">
        <v>9.6999999999999993</v>
      </c>
      <c r="I12445" s="689">
        <v>8.9</v>
      </c>
      <c r="J12445" s="689">
        <v>9.6</v>
      </c>
      <c r="K12445" s="689">
        <v>9.6</v>
      </c>
    </row>
    <row r="12446" spans="1:11">
      <c r="A12446" s="688" t="s">
        <v>1</v>
      </c>
      <c r="B12446" s="691">
        <v>7.4</v>
      </c>
      <c r="C12446" s="691">
        <v>7.2</v>
      </c>
      <c r="D12446" s="691">
        <v>7.1</v>
      </c>
      <c r="E12446" s="691">
        <v>7.2</v>
      </c>
      <c r="F12446" s="691">
        <v>7.1</v>
      </c>
      <c r="G12446" s="691">
        <v>7.2</v>
      </c>
      <c r="H12446" s="691">
        <v>7.3</v>
      </c>
      <c r="I12446" s="691">
        <v>6.5</v>
      </c>
      <c r="J12446" s="691">
        <v>5.8</v>
      </c>
      <c r="K12446" s="691">
        <v>6.7</v>
      </c>
    </row>
    <row r="12447" spans="1:11">
      <c r="A12447" s="688" t="s">
        <v>2240</v>
      </c>
      <c r="B12447" s="689">
        <v>8.1</v>
      </c>
      <c r="C12447" s="689">
        <v>8.1999999999999993</v>
      </c>
      <c r="D12447" s="689">
        <v>8.1</v>
      </c>
      <c r="E12447" s="689">
        <v>8.3000000000000007</v>
      </c>
      <c r="F12447" s="689">
        <v>8.3000000000000007</v>
      </c>
      <c r="G12447" s="689">
        <v>8.3000000000000007</v>
      </c>
      <c r="H12447" s="689">
        <v>8.4</v>
      </c>
      <c r="I12447" s="689">
        <v>7.5</v>
      </c>
      <c r="J12447" s="689">
        <v>7.3</v>
      </c>
      <c r="K12447" s="689">
        <v>8.1</v>
      </c>
    </row>
    <row r="12448" spans="1:11">
      <c r="A12448" s="688" t="s">
        <v>2</v>
      </c>
      <c r="B12448" s="691">
        <v>8.9</v>
      </c>
      <c r="C12448" s="691">
        <v>9.1</v>
      </c>
      <c r="D12448" s="615">
        <v>9</v>
      </c>
      <c r="E12448" s="691">
        <v>9.1999999999999993</v>
      </c>
      <c r="F12448" s="691">
        <v>9.1999999999999993</v>
      </c>
      <c r="G12448" s="615">
        <v>9</v>
      </c>
      <c r="H12448" s="691">
        <v>9.4</v>
      </c>
      <c r="I12448" s="691">
        <v>9.4</v>
      </c>
      <c r="J12448" s="691">
        <v>9.3000000000000007</v>
      </c>
      <c r="K12448" s="691">
        <v>9.1</v>
      </c>
    </row>
    <row r="12449" spans="1:11">
      <c r="A12449" s="688" t="s">
        <v>3</v>
      </c>
      <c r="B12449" s="689">
        <v>9.1</v>
      </c>
      <c r="C12449" s="689">
        <v>9.1</v>
      </c>
      <c r="D12449" s="689">
        <v>8.9</v>
      </c>
      <c r="E12449" s="689">
        <v>9.1999999999999993</v>
      </c>
      <c r="F12449" s="689">
        <v>9.1999999999999993</v>
      </c>
      <c r="G12449" s="689">
        <v>9.1999999999999993</v>
      </c>
      <c r="H12449" s="689">
        <v>9.4</v>
      </c>
      <c r="I12449" s="689">
        <v>9.1999999999999993</v>
      </c>
      <c r="J12449" s="689">
        <v>9.1999999999999993</v>
      </c>
      <c r="K12449" s="693">
        <v>9</v>
      </c>
    </row>
    <row r="12450" spans="1:11">
      <c r="A12450" s="688" t="s">
        <v>4061</v>
      </c>
      <c r="B12450" s="691">
        <v>9.1</v>
      </c>
      <c r="C12450" s="691">
        <v>9.1</v>
      </c>
      <c r="D12450" s="691">
        <v>8.9</v>
      </c>
      <c r="E12450" s="691">
        <v>9.1999999999999993</v>
      </c>
      <c r="F12450" s="691">
        <v>9.1999999999999993</v>
      </c>
      <c r="G12450" s="691">
        <v>9.1999999999999993</v>
      </c>
      <c r="H12450" s="691">
        <v>9.4</v>
      </c>
      <c r="I12450" s="691">
        <v>9.1999999999999993</v>
      </c>
      <c r="J12450" s="691">
        <v>9.1999999999999993</v>
      </c>
      <c r="K12450" s="615">
        <v>9</v>
      </c>
    </row>
    <row r="12451" spans="1:11">
      <c r="A12451" s="688" t="s">
        <v>4</v>
      </c>
      <c r="B12451" s="689">
        <v>8.4</v>
      </c>
      <c r="C12451" s="689">
        <v>8.1</v>
      </c>
      <c r="D12451" s="689">
        <v>8.3000000000000007</v>
      </c>
      <c r="E12451" s="689">
        <v>8.3000000000000007</v>
      </c>
      <c r="F12451" s="689">
        <v>8.3000000000000007</v>
      </c>
      <c r="G12451" s="689">
        <v>8.4</v>
      </c>
      <c r="H12451" s="689">
        <v>8.6999999999999993</v>
      </c>
      <c r="I12451" s="689">
        <v>8.6</v>
      </c>
      <c r="J12451" s="689">
        <v>7.7</v>
      </c>
      <c r="K12451" s="689">
        <v>8.1</v>
      </c>
    </row>
    <row r="12452" spans="1:11">
      <c r="A12452" s="688" t="s">
        <v>8</v>
      </c>
      <c r="B12452" s="615">
        <v>9</v>
      </c>
      <c r="C12452" s="691">
        <v>9.1</v>
      </c>
      <c r="D12452" s="691">
        <v>9.1</v>
      </c>
      <c r="E12452" s="691">
        <v>9.1</v>
      </c>
      <c r="F12452" s="691">
        <v>9.4</v>
      </c>
      <c r="G12452" s="691">
        <v>9.5</v>
      </c>
      <c r="H12452" s="691">
        <v>9.6</v>
      </c>
      <c r="I12452" s="691">
        <v>9.5</v>
      </c>
      <c r="J12452" s="691">
        <v>9.4</v>
      </c>
      <c r="K12452" s="691">
        <v>9.6</v>
      </c>
    </row>
    <row r="12453" spans="1:11">
      <c r="A12453" s="688" t="s">
        <v>7</v>
      </c>
      <c r="B12453" s="693">
        <v>10</v>
      </c>
      <c r="C12453" s="689">
        <v>9.1</v>
      </c>
      <c r="D12453" s="693">
        <v>9</v>
      </c>
      <c r="E12453" s="689">
        <v>9.3000000000000007</v>
      </c>
      <c r="F12453" s="689">
        <v>9.1999999999999993</v>
      </c>
      <c r="G12453" s="689">
        <v>9.5</v>
      </c>
      <c r="H12453" s="689">
        <v>9.5</v>
      </c>
      <c r="I12453" s="689">
        <v>9.4</v>
      </c>
      <c r="J12453" s="689">
        <v>9.1</v>
      </c>
      <c r="K12453" s="689">
        <v>9.1999999999999993</v>
      </c>
    </row>
    <row r="12454" spans="1:11">
      <c r="A12454" s="688" t="s">
        <v>27</v>
      </c>
      <c r="B12454" s="691">
        <v>10.199999999999999</v>
      </c>
      <c r="C12454" s="691">
        <v>9.9</v>
      </c>
      <c r="D12454" s="691">
        <v>9.6</v>
      </c>
      <c r="E12454" s="691">
        <v>9.9</v>
      </c>
      <c r="F12454" s="691">
        <v>9.8000000000000007</v>
      </c>
      <c r="G12454" s="691">
        <v>9.9</v>
      </c>
      <c r="H12454" s="691">
        <v>10.199999999999999</v>
      </c>
      <c r="I12454" s="691">
        <v>9.3000000000000007</v>
      </c>
      <c r="J12454" s="691">
        <v>9.9</v>
      </c>
      <c r="K12454" s="691">
        <v>9.9</v>
      </c>
    </row>
    <row r="12455" spans="1:11">
      <c r="A12455" s="688" t="s">
        <v>6</v>
      </c>
      <c r="B12455" s="689">
        <v>10.3</v>
      </c>
      <c r="C12455" s="689">
        <v>10.199999999999999</v>
      </c>
      <c r="D12455" s="693">
        <v>10</v>
      </c>
      <c r="E12455" s="689">
        <v>10.199999999999999</v>
      </c>
      <c r="F12455" s="689">
        <v>10.3</v>
      </c>
      <c r="G12455" s="689">
        <v>10.3</v>
      </c>
      <c r="H12455" s="689">
        <v>10.5</v>
      </c>
      <c r="I12455" s="689">
        <v>9.9</v>
      </c>
      <c r="J12455" s="689">
        <v>10.1</v>
      </c>
      <c r="K12455" s="689">
        <v>10.199999999999999</v>
      </c>
    </row>
    <row r="12456" spans="1:11">
      <c r="A12456" s="688" t="s">
        <v>4058</v>
      </c>
      <c r="B12456" s="692" t="s">
        <v>4060</v>
      </c>
      <c r="C12456" s="692" t="s">
        <v>4060</v>
      </c>
      <c r="D12456" s="692" t="s">
        <v>4060</v>
      </c>
      <c r="E12456" s="692" t="s">
        <v>4060</v>
      </c>
      <c r="F12456" s="692" t="s">
        <v>4060</v>
      </c>
      <c r="G12456" s="692" t="s">
        <v>4060</v>
      </c>
      <c r="H12456" s="692" t="s">
        <v>4060</v>
      </c>
      <c r="I12456" s="692" t="s">
        <v>4060</v>
      </c>
      <c r="J12456" s="692" t="s">
        <v>4060</v>
      </c>
      <c r="K12456" s="692" t="s">
        <v>4060</v>
      </c>
    </row>
    <row r="12457" spans="1:11">
      <c r="A12457" s="688" t="s">
        <v>11</v>
      </c>
      <c r="B12457" s="689">
        <v>7.7</v>
      </c>
      <c r="C12457" s="689">
        <v>7.6</v>
      </c>
      <c r="D12457" s="689">
        <v>7.4</v>
      </c>
      <c r="E12457" s="689">
        <v>7.7</v>
      </c>
      <c r="F12457" s="689">
        <v>7.7</v>
      </c>
      <c r="G12457" s="689">
        <v>7.8</v>
      </c>
      <c r="H12457" s="693">
        <v>8</v>
      </c>
      <c r="I12457" s="689">
        <v>7.5</v>
      </c>
      <c r="J12457" s="693">
        <v>7</v>
      </c>
      <c r="K12457" s="689">
        <v>7.5</v>
      </c>
    </row>
    <row r="12458" spans="1:11">
      <c r="A12458" s="688" t="s">
        <v>10</v>
      </c>
      <c r="B12458" s="691">
        <v>9.6999999999999993</v>
      </c>
      <c r="C12458" s="691">
        <v>9.6</v>
      </c>
      <c r="D12458" s="691">
        <v>9.3000000000000007</v>
      </c>
      <c r="E12458" s="691">
        <v>9.6999999999999993</v>
      </c>
      <c r="F12458" s="691">
        <v>9.6</v>
      </c>
      <c r="G12458" s="691">
        <v>9.9</v>
      </c>
      <c r="H12458" s="691">
        <v>9.9</v>
      </c>
      <c r="I12458" s="691">
        <v>9.1</v>
      </c>
      <c r="J12458" s="691">
        <v>9.6</v>
      </c>
      <c r="K12458" s="691">
        <v>9.5</v>
      </c>
    </row>
    <row r="12459" spans="1:11">
      <c r="A12459" s="688" t="s">
        <v>30</v>
      </c>
      <c r="B12459" s="689">
        <v>9.4</v>
      </c>
      <c r="C12459" s="689">
        <v>9.4</v>
      </c>
      <c r="D12459" s="693">
        <v>9</v>
      </c>
      <c r="E12459" s="689">
        <v>9.6</v>
      </c>
      <c r="F12459" s="689">
        <v>9.4</v>
      </c>
      <c r="G12459" s="693">
        <v>10</v>
      </c>
      <c r="H12459" s="689">
        <v>9.6999999999999993</v>
      </c>
      <c r="I12459" s="689">
        <v>9.8000000000000007</v>
      </c>
      <c r="J12459" s="689">
        <v>9.6</v>
      </c>
      <c r="K12459" s="689">
        <v>9.6</v>
      </c>
    </row>
    <row r="12460" spans="1:11">
      <c r="A12460" s="688" t="s">
        <v>12</v>
      </c>
      <c r="B12460" s="691">
        <v>7.7</v>
      </c>
      <c r="C12460" s="691">
        <v>7.5</v>
      </c>
      <c r="D12460" s="691">
        <v>7.7</v>
      </c>
      <c r="E12460" s="691">
        <v>7.6</v>
      </c>
      <c r="F12460" s="691">
        <v>7.6</v>
      </c>
      <c r="G12460" s="691">
        <v>7.6</v>
      </c>
      <c r="H12460" s="691">
        <v>7.8</v>
      </c>
      <c r="I12460" s="691">
        <v>7.7</v>
      </c>
      <c r="J12460" s="691">
        <v>6.9</v>
      </c>
      <c r="K12460" s="691">
        <v>7.4</v>
      </c>
    </row>
    <row r="12461" spans="1:11">
      <c r="A12461" s="688" t="s">
        <v>14</v>
      </c>
      <c r="B12461" s="689">
        <v>7.7</v>
      </c>
      <c r="C12461" s="689">
        <v>7.5</v>
      </c>
      <c r="D12461" s="689">
        <v>7.4</v>
      </c>
      <c r="E12461" s="689">
        <v>7.4</v>
      </c>
      <c r="F12461" s="689">
        <v>7.3</v>
      </c>
      <c r="G12461" s="689">
        <v>7.5</v>
      </c>
      <c r="H12461" s="689">
        <v>7.7</v>
      </c>
      <c r="I12461" s="689">
        <v>7.3</v>
      </c>
      <c r="J12461" s="693">
        <v>7</v>
      </c>
      <c r="K12461" s="689">
        <v>7.6</v>
      </c>
    </row>
    <row r="12462" spans="1:11">
      <c r="A12462" s="688" t="s">
        <v>15</v>
      </c>
      <c r="B12462" s="691">
        <v>10.1</v>
      </c>
      <c r="C12462" s="691">
        <v>9.1999999999999993</v>
      </c>
      <c r="D12462" s="691">
        <v>9.5</v>
      </c>
      <c r="E12462" s="691">
        <v>9.5</v>
      </c>
      <c r="F12462" s="691">
        <v>9.6999999999999993</v>
      </c>
      <c r="G12462" s="691">
        <v>9.4</v>
      </c>
      <c r="H12462" s="691">
        <v>9.6999999999999993</v>
      </c>
      <c r="I12462" s="691">
        <v>9.3000000000000007</v>
      </c>
      <c r="J12462" s="691">
        <v>9.6</v>
      </c>
      <c r="K12462" s="691">
        <v>9.8000000000000007</v>
      </c>
    </row>
    <row r="12463" spans="1:11">
      <c r="A12463" s="688" t="s">
        <v>29</v>
      </c>
      <c r="B12463" s="689">
        <v>7.6</v>
      </c>
      <c r="C12463" s="689">
        <v>7.6</v>
      </c>
      <c r="D12463" s="689">
        <v>7.4</v>
      </c>
      <c r="E12463" s="689">
        <v>7.6</v>
      </c>
      <c r="F12463" s="689">
        <v>7.5</v>
      </c>
      <c r="G12463" s="689">
        <v>7.6</v>
      </c>
      <c r="H12463" s="689">
        <v>7.8</v>
      </c>
      <c r="I12463" s="689">
        <v>7.3</v>
      </c>
      <c r="J12463" s="693">
        <v>7</v>
      </c>
      <c r="K12463" s="689">
        <v>7.5</v>
      </c>
    </row>
    <row r="12464" spans="1:11">
      <c r="A12464" s="688" t="s">
        <v>16</v>
      </c>
      <c r="B12464" s="691">
        <v>9.3000000000000007</v>
      </c>
      <c r="C12464" s="691">
        <v>9.3000000000000007</v>
      </c>
      <c r="D12464" s="615">
        <v>9</v>
      </c>
      <c r="E12464" s="691">
        <v>9.8000000000000007</v>
      </c>
      <c r="F12464" s="691">
        <v>9.3000000000000007</v>
      </c>
      <c r="G12464" s="691">
        <v>9.4</v>
      </c>
      <c r="H12464" s="691">
        <v>9.4</v>
      </c>
      <c r="I12464" s="615">
        <v>9</v>
      </c>
      <c r="J12464" s="691">
        <v>9.4</v>
      </c>
      <c r="K12464" s="691">
        <v>9.3000000000000007</v>
      </c>
    </row>
    <row r="12465" spans="1:11">
      <c r="A12465" s="688" t="s">
        <v>17</v>
      </c>
      <c r="B12465" s="689">
        <v>9.1999999999999993</v>
      </c>
      <c r="C12465" s="689">
        <v>9.1999999999999993</v>
      </c>
      <c r="D12465" s="693">
        <v>9</v>
      </c>
      <c r="E12465" s="689">
        <v>9.1</v>
      </c>
      <c r="F12465" s="689">
        <v>9.1999999999999993</v>
      </c>
      <c r="G12465" s="689">
        <v>9.3000000000000007</v>
      </c>
      <c r="H12465" s="689">
        <v>9.4</v>
      </c>
      <c r="I12465" s="689">
        <v>8.8000000000000007</v>
      </c>
      <c r="J12465" s="693">
        <v>9</v>
      </c>
      <c r="K12465" s="689">
        <v>9.3000000000000007</v>
      </c>
    </row>
    <row r="12466" spans="1:11">
      <c r="A12466" s="688" t="s">
        <v>19</v>
      </c>
      <c r="B12466" s="691">
        <v>9.4</v>
      </c>
      <c r="C12466" s="691">
        <v>9.4</v>
      </c>
      <c r="D12466" s="691">
        <v>9.1999999999999993</v>
      </c>
      <c r="E12466" s="691">
        <v>9.5</v>
      </c>
      <c r="F12466" s="691">
        <v>9.5</v>
      </c>
      <c r="G12466" s="691">
        <v>9.5</v>
      </c>
      <c r="H12466" s="691">
        <v>9.6</v>
      </c>
      <c r="I12466" s="691">
        <v>9.1</v>
      </c>
      <c r="J12466" s="691">
        <v>9.3000000000000007</v>
      </c>
      <c r="K12466" s="691">
        <v>9.1999999999999993</v>
      </c>
    </row>
    <row r="12467" spans="1:11">
      <c r="A12467" s="688" t="s">
        <v>20</v>
      </c>
      <c r="B12467" s="689">
        <v>8.4</v>
      </c>
      <c r="C12467" s="689">
        <v>8.5</v>
      </c>
      <c r="D12467" s="689">
        <v>8.3000000000000007</v>
      </c>
      <c r="E12467" s="689">
        <v>8.6</v>
      </c>
      <c r="F12467" s="689">
        <v>8.5</v>
      </c>
      <c r="G12467" s="689">
        <v>8.5</v>
      </c>
      <c r="H12467" s="689">
        <v>8.6999999999999993</v>
      </c>
      <c r="I12467" s="689">
        <v>7.7</v>
      </c>
      <c r="J12467" s="689">
        <v>7.4</v>
      </c>
      <c r="K12467" s="689">
        <v>8.1999999999999993</v>
      </c>
    </row>
    <row r="12468" spans="1:11">
      <c r="A12468" s="688" t="s">
        <v>21</v>
      </c>
      <c r="B12468" s="691">
        <v>8.9</v>
      </c>
      <c r="C12468" s="691">
        <v>9.1999999999999993</v>
      </c>
      <c r="D12468" s="691">
        <v>9.1999999999999993</v>
      </c>
      <c r="E12468" s="691">
        <v>9.1999999999999993</v>
      </c>
      <c r="F12468" s="691">
        <v>9.4</v>
      </c>
      <c r="G12468" s="691">
        <v>9.4</v>
      </c>
      <c r="H12468" s="691">
        <v>9.6999999999999993</v>
      </c>
      <c r="I12468" s="691">
        <v>9.3000000000000007</v>
      </c>
      <c r="J12468" s="691">
        <v>9.4</v>
      </c>
      <c r="K12468" s="691">
        <v>9.5</v>
      </c>
    </row>
    <row r="12469" spans="1:11">
      <c r="A12469" s="688" t="s">
        <v>22</v>
      </c>
      <c r="B12469" s="689">
        <v>7.8</v>
      </c>
      <c r="C12469" s="689">
        <v>7.6</v>
      </c>
      <c r="D12469" s="689">
        <v>7.5</v>
      </c>
      <c r="E12469" s="689">
        <v>7.8</v>
      </c>
      <c r="F12469" s="689">
        <v>7.8</v>
      </c>
      <c r="G12469" s="689">
        <v>7.9</v>
      </c>
      <c r="H12469" s="689">
        <v>8.1999999999999993</v>
      </c>
      <c r="I12469" s="689">
        <v>7.2</v>
      </c>
      <c r="J12469" s="689">
        <v>6.5</v>
      </c>
      <c r="K12469" s="689">
        <v>7.2</v>
      </c>
    </row>
    <row r="12470" spans="1:11">
      <c r="A12470" s="688" t="s">
        <v>26</v>
      </c>
      <c r="B12470" s="615">
        <v>9</v>
      </c>
      <c r="C12470" s="691">
        <v>8.9</v>
      </c>
      <c r="D12470" s="691">
        <v>8.8000000000000007</v>
      </c>
      <c r="E12470" s="691">
        <v>9.1</v>
      </c>
      <c r="F12470" s="691">
        <v>8.8000000000000007</v>
      </c>
      <c r="G12470" s="615">
        <v>9</v>
      </c>
      <c r="H12470" s="691">
        <v>9.4</v>
      </c>
      <c r="I12470" s="691">
        <v>8.4</v>
      </c>
      <c r="J12470" s="691">
        <v>8.8000000000000007</v>
      </c>
      <c r="K12470" s="691">
        <v>9.1</v>
      </c>
    </row>
    <row r="12471" spans="1:11">
      <c r="A12471" s="688" t="s">
        <v>25</v>
      </c>
      <c r="B12471" s="689">
        <v>7.6</v>
      </c>
      <c r="C12471" s="689">
        <v>7.8</v>
      </c>
      <c r="D12471" s="689">
        <v>7.7</v>
      </c>
      <c r="E12471" s="689">
        <v>8.1</v>
      </c>
      <c r="F12471" s="693">
        <v>8</v>
      </c>
      <c r="G12471" s="689">
        <v>8.1</v>
      </c>
      <c r="H12471" s="689">
        <v>8.5</v>
      </c>
      <c r="I12471" s="689">
        <v>7.7</v>
      </c>
      <c r="J12471" s="689">
        <v>6.8</v>
      </c>
      <c r="K12471" s="689">
        <v>7.8</v>
      </c>
    </row>
    <row r="12472" spans="1:11">
      <c r="A12472" s="688" t="s">
        <v>5</v>
      </c>
      <c r="B12472" s="691">
        <v>9.4</v>
      </c>
      <c r="C12472" s="691">
        <v>9.1999999999999993</v>
      </c>
      <c r="D12472" s="691">
        <v>9.1999999999999993</v>
      </c>
      <c r="E12472" s="691">
        <v>9.1999999999999993</v>
      </c>
      <c r="F12472" s="691">
        <v>9.3000000000000007</v>
      </c>
      <c r="G12472" s="691">
        <v>9.4</v>
      </c>
      <c r="H12472" s="691">
        <v>9.6</v>
      </c>
      <c r="I12472" s="691">
        <v>9.6</v>
      </c>
      <c r="J12472" s="691">
        <v>9.5</v>
      </c>
      <c r="K12472" s="615">
        <v>9</v>
      </c>
    </row>
    <row r="12473" spans="1:11">
      <c r="A12473" s="688" t="s">
        <v>23</v>
      </c>
      <c r="B12473" s="689">
        <v>9.4</v>
      </c>
      <c r="C12473" s="689">
        <v>9.4</v>
      </c>
      <c r="D12473" s="689">
        <v>9.4</v>
      </c>
      <c r="E12473" s="689">
        <v>9.5</v>
      </c>
      <c r="F12473" s="689">
        <v>9.5</v>
      </c>
      <c r="G12473" s="689">
        <v>9.6</v>
      </c>
      <c r="H12473" s="689">
        <v>9.9</v>
      </c>
      <c r="I12473" s="689">
        <v>9.3000000000000007</v>
      </c>
      <c r="J12473" s="689">
        <v>9.9</v>
      </c>
      <c r="K12473" s="689">
        <v>9.8000000000000007</v>
      </c>
    </row>
    <row r="12474" spans="1:11">
      <c r="A12474" s="688" t="s">
        <v>4067</v>
      </c>
      <c r="B12474" s="691">
        <v>9.3000000000000007</v>
      </c>
      <c r="C12474" s="691">
        <v>9.6</v>
      </c>
      <c r="D12474" s="691">
        <v>9.3000000000000007</v>
      </c>
      <c r="E12474" s="691">
        <v>9.6</v>
      </c>
      <c r="F12474" s="691">
        <v>9.6</v>
      </c>
      <c r="G12474" s="691">
        <v>9.6999999999999993</v>
      </c>
      <c r="H12474" s="692" t="s">
        <v>4060</v>
      </c>
      <c r="I12474" s="692" t="s">
        <v>4060</v>
      </c>
      <c r="J12474" s="692" t="s">
        <v>4060</v>
      </c>
      <c r="K12474" s="692" t="s">
        <v>4060</v>
      </c>
    </row>
    <row r="12475" spans="1:11">
      <c r="A12475" s="688" t="s">
        <v>4066</v>
      </c>
      <c r="B12475" s="689">
        <v>9.4</v>
      </c>
      <c r="C12475" s="689">
        <v>9.6</v>
      </c>
      <c r="D12475" s="689">
        <v>9.4</v>
      </c>
      <c r="E12475" s="689">
        <v>9.6</v>
      </c>
      <c r="F12475" s="689">
        <v>9.6</v>
      </c>
      <c r="G12475" s="689">
        <v>9.6999999999999993</v>
      </c>
      <c r="H12475" s="690" t="s">
        <v>4060</v>
      </c>
      <c r="I12475" s="690" t="s">
        <v>4060</v>
      </c>
      <c r="J12475" s="690" t="s">
        <v>4060</v>
      </c>
      <c r="K12475" s="690" t="s">
        <v>4060</v>
      </c>
    </row>
    <row r="12476" spans="1:11">
      <c r="A12476" s="688" t="s">
        <v>4062</v>
      </c>
      <c r="B12476" s="691">
        <v>9.6999999999999993</v>
      </c>
      <c r="C12476" s="691">
        <v>9.6999999999999993</v>
      </c>
      <c r="D12476" s="691">
        <v>9.6</v>
      </c>
      <c r="E12476" s="691">
        <v>9.9</v>
      </c>
      <c r="F12476" s="691">
        <v>9.9</v>
      </c>
      <c r="G12476" s="615">
        <v>10</v>
      </c>
      <c r="H12476" s="691">
        <v>10.199999999999999</v>
      </c>
      <c r="I12476" s="691">
        <v>9.6999999999999993</v>
      </c>
      <c r="J12476" s="691">
        <v>10.199999999999999</v>
      </c>
      <c r="K12476" s="691">
        <v>9.9</v>
      </c>
    </row>
    <row r="12477" spans="1:11">
      <c r="A12477" s="688" t="s">
        <v>9</v>
      </c>
      <c r="B12477" s="689">
        <v>9.4</v>
      </c>
      <c r="C12477" s="689">
        <v>9.6</v>
      </c>
      <c r="D12477" s="689">
        <v>9.6</v>
      </c>
      <c r="E12477" s="689">
        <v>9.1999999999999993</v>
      </c>
      <c r="F12477" s="689">
        <v>9.9</v>
      </c>
      <c r="G12477" s="689">
        <v>9.9</v>
      </c>
      <c r="H12477" s="689">
        <v>9.9</v>
      </c>
      <c r="I12477" s="689">
        <v>10.3</v>
      </c>
      <c r="J12477" s="689">
        <v>10.6</v>
      </c>
      <c r="K12477" s="689">
        <v>9.6999999999999993</v>
      </c>
    </row>
    <row r="12478" spans="1:11">
      <c r="A12478" s="688" t="s">
        <v>13</v>
      </c>
      <c r="B12478" s="691">
        <v>8.5</v>
      </c>
      <c r="C12478" s="691">
        <v>9.8000000000000007</v>
      </c>
      <c r="D12478" s="691">
        <v>9.3000000000000007</v>
      </c>
      <c r="E12478" s="691">
        <v>9.1</v>
      </c>
      <c r="F12478" s="691">
        <v>10.8</v>
      </c>
      <c r="G12478" s="691">
        <v>9.3000000000000007</v>
      </c>
      <c r="H12478" s="691">
        <v>10.5</v>
      </c>
      <c r="I12478" s="691">
        <v>8.5</v>
      </c>
      <c r="J12478" s="691">
        <v>10.9</v>
      </c>
      <c r="K12478" s="691">
        <v>10.7</v>
      </c>
    </row>
    <row r="12479" spans="1:11">
      <c r="A12479" s="688" t="s">
        <v>18</v>
      </c>
      <c r="B12479" s="689">
        <v>9.3000000000000007</v>
      </c>
      <c r="C12479" s="689">
        <v>9.4</v>
      </c>
      <c r="D12479" s="689">
        <v>9.4</v>
      </c>
      <c r="E12479" s="689">
        <v>9.6</v>
      </c>
      <c r="F12479" s="689">
        <v>9.6</v>
      </c>
      <c r="G12479" s="689">
        <v>9.6999999999999993</v>
      </c>
      <c r="H12479" s="689">
        <v>9.9</v>
      </c>
      <c r="I12479" s="693">
        <v>10</v>
      </c>
      <c r="J12479" s="693">
        <v>10</v>
      </c>
      <c r="K12479" s="689">
        <v>9.6</v>
      </c>
    </row>
    <row r="12480" spans="1:11">
      <c r="A12480" s="688" t="s">
        <v>24</v>
      </c>
      <c r="B12480" s="691">
        <v>9.9</v>
      </c>
      <c r="C12480" s="691">
        <v>9.9</v>
      </c>
      <c r="D12480" s="691">
        <v>9.6999999999999993</v>
      </c>
      <c r="E12480" s="691">
        <v>10.1</v>
      </c>
      <c r="F12480" s="691">
        <v>10.1</v>
      </c>
      <c r="G12480" s="691">
        <v>10.199999999999999</v>
      </c>
      <c r="H12480" s="691">
        <v>10.3</v>
      </c>
      <c r="I12480" s="691">
        <v>9.6</v>
      </c>
      <c r="J12480" s="691">
        <v>10.3</v>
      </c>
      <c r="K12480" s="691">
        <v>10.1</v>
      </c>
    </row>
    <row r="12481" spans="1:11">
      <c r="A12481" s="688" t="s">
        <v>4059</v>
      </c>
      <c r="B12481" s="689">
        <v>9.6</v>
      </c>
      <c r="C12481" s="689">
        <v>9.8000000000000007</v>
      </c>
      <c r="D12481" s="689">
        <v>9.5</v>
      </c>
      <c r="E12481" s="689">
        <v>9.8000000000000007</v>
      </c>
      <c r="F12481" s="689">
        <v>9.6999999999999993</v>
      </c>
      <c r="G12481" s="689">
        <v>9.8000000000000007</v>
      </c>
      <c r="H12481" s="690" t="s">
        <v>4060</v>
      </c>
      <c r="I12481" s="690" t="s">
        <v>4060</v>
      </c>
      <c r="J12481" s="690" t="s">
        <v>4060</v>
      </c>
      <c r="K12481" s="690" t="s">
        <v>4060</v>
      </c>
    </row>
    <row r="12482" spans="1:11">
      <c r="A12482" s="688" t="s">
        <v>2324</v>
      </c>
      <c r="B12482" s="691">
        <v>7.8</v>
      </c>
      <c r="C12482" s="691">
        <v>7.9</v>
      </c>
      <c r="D12482" s="691">
        <v>7.8</v>
      </c>
      <c r="E12482" s="691">
        <v>7.6</v>
      </c>
      <c r="F12482" s="691">
        <v>7.8</v>
      </c>
      <c r="G12482" s="691">
        <v>7.9</v>
      </c>
      <c r="H12482" s="691">
        <v>7.8</v>
      </c>
      <c r="I12482" s="615">
        <v>7</v>
      </c>
      <c r="J12482" s="691">
        <v>5.8</v>
      </c>
      <c r="K12482" s="692" t="s">
        <v>4060</v>
      </c>
    </row>
    <row r="12483" spans="1:11">
      <c r="A12483" s="688" t="s">
        <v>2322</v>
      </c>
      <c r="B12483" s="690" t="s">
        <v>4060</v>
      </c>
      <c r="C12483" s="690" t="s">
        <v>4060</v>
      </c>
      <c r="D12483" s="690" t="s">
        <v>4060</v>
      </c>
      <c r="E12483" s="690" t="s">
        <v>4060</v>
      </c>
      <c r="F12483" s="690" t="s">
        <v>4060</v>
      </c>
      <c r="G12483" s="690" t="s">
        <v>4060</v>
      </c>
      <c r="H12483" s="690" t="s">
        <v>4060</v>
      </c>
      <c r="I12483" s="690" t="s">
        <v>4060</v>
      </c>
      <c r="J12483" s="690" t="s">
        <v>4060</v>
      </c>
      <c r="K12483" s="690" t="s">
        <v>4060</v>
      </c>
    </row>
    <row r="12484" spans="1:11">
      <c r="A12484" s="688" t="s">
        <v>2328</v>
      </c>
      <c r="B12484" s="691">
        <v>6.7</v>
      </c>
      <c r="C12484" s="691">
        <v>6.9</v>
      </c>
      <c r="D12484" s="691">
        <v>6.7</v>
      </c>
      <c r="E12484" s="691">
        <v>6.8</v>
      </c>
      <c r="F12484" s="691">
        <v>6.8</v>
      </c>
      <c r="G12484" s="691">
        <v>7.2</v>
      </c>
      <c r="H12484" s="615">
        <v>7</v>
      </c>
      <c r="I12484" s="691">
        <v>6.1</v>
      </c>
      <c r="J12484" s="691">
        <v>5.9</v>
      </c>
      <c r="K12484" s="692" t="s">
        <v>4060</v>
      </c>
    </row>
    <row r="12485" spans="1:11">
      <c r="A12485" s="688" t="s">
        <v>2496</v>
      </c>
      <c r="B12485" s="690" t="s">
        <v>4060</v>
      </c>
      <c r="C12485" s="689">
        <v>8.1</v>
      </c>
      <c r="D12485" s="689">
        <v>6.8</v>
      </c>
      <c r="E12485" s="689">
        <v>6.2</v>
      </c>
      <c r="F12485" s="689">
        <v>6.6</v>
      </c>
      <c r="G12485" s="689">
        <v>6.7</v>
      </c>
      <c r="H12485" s="689">
        <v>6.6</v>
      </c>
      <c r="I12485" s="690" t="s">
        <v>4060</v>
      </c>
      <c r="J12485" s="690" t="s">
        <v>4060</v>
      </c>
      <c r="K12485" s="689">
        <v>6.1</v>
      </c>
    </row>
    <row r="12486" spans="1:11">
      <c r="A12486" s="688" t="s">
        <v>2269</v>
      </c>
      <c r="B12486" s="691">
        <v>7.9</v>
      </c>
      <c r="C12486" s="691">
        <v>7.8</v>
      </c>
      <c r="D12486" s="691">
        <v>7.5</v>
      </c>
      <c r="E12486" s="691">
        <v>7.9</v>
      </c>
      <c r="F12486" s="615">
        <v>8</v>
      </c>
      <c r="G12486" s="691">
        <v>8.1999999999999993</v>
      </c>
      <c r="H12486" s="691">
        <v>8.6</v>
      </c>
      <c r="I12486" s="691">
        <v>7.3</v>
      </c>
      <c r="J12486" s="691">
        <v>5.2</v>
      </c>
      <c r="K12486" s="691">
        <v>8.1999999999999993</v>
      </c>
    </row>
    <row r="12487" spans="1:11">
      <c r="A12487" s="688" t="s">
        <v>2349</v>
      </c>
      <c r="B12487" s="689">
        <v>7.1</v>
      </c>
      <c r="C12487" s="689">
        <v>7.3</v>
      </c>
      <c r="D12487" s="689">
        <v>7.2</v>
      </c>
      <c r="E12487" s="689">
        <v>7.5</v>
      </c>
      <c r="F12487" s="689">
        <v>7.4</v>
      </c>
      <c r="G12487" s="689">
        <v>7.6</v>
      </c>
      <c r="H12487" s="689">
        <v>7.8</v>
      </c>
      <c r="I12487" s="693">
        <v>7</v>
      </c>
      <c r="J12487" s="689">
        <v>6.1</v>
      </c>
      <c r="K12487" s="693">
        <v>7</v>
      </c>
    </row>
    <row r="12488" spans="1:11">
      <c r="A12488" s="688" t="s">
        <v>2355</v>
      </c>
      <c r="B12488" s="691">
        <v>8.6</v>
      </c>
      <c r="C12488" s="691">
        <v>8.4</v>
      </c>
      <c r="D12488" s="691">
        <v>8.3000000000000007</v>
      </c>
      <c r="E12488" s="691">
        <v>8.3000000000000007</v>
      </c>
      <c r="F12488" s="691">
        <v>8.3000000000000007</v>
      </c>
      <c r="G12488" s="691">
        <v>8.6</v>
      </c>
      <c r="H12488" s="691">
        <v>8.6</v>
      </c>
      <c r="I12488" s="692" t="s">
        <v>4060</v>
      </c>
      <c r="J12488" s="692" t="s">
        <v>4060</v>
      </c>
      <c r="K12488" s="692" t="s">
        <v>4060</v>
      </c>
    </row>
    <row r="12489" spans="1:11">
      <c r="A12489" s="688" t="s">
        <v>2357</v>
      </c>
      <c r="B12489" s="690" t="s">
        <v>4060</v>
      </c>
      <c r="C12489" s="689">
        <v>7.3</v>
      </c>
      <c r="D12489" s="689">
        <v>7.5</v>
      </c>
      <c r="E12489" s="689">
        <v>7.7</v>
      </c>
      <c r="F12489" s="689">
        <v>7.9</v>
      </c>
      <c r="G12489" s="689">
        <v>7.6</v>
      </c>
      <c r="H12489" s="689">
        <v>7.8</v>
      </c>
      <c r="I12489" s="690" t="s">
        <v>4060</v>
      </c>
      <c r="J12489" s="690" t="s">
        <v>4060</v>
      </c>
      <c r="K12489" s="690" t="s">
        <v>4060</v>
      </c>
    </row>
    <row r="12490" spans="1:11">
      <c r="A12490" s="688" t="s">
        <v>4070</v>
      </c>
      <c r="B12490" s="692" t="s">
        <v>4060</v>
      </c>
      <c r="C12490" s="692" t="s">
        <v>4060</v>
      </c>
      <c r="D12490" s="692" t="s">
        <v>4060</v>
      </c>
      <c r="E12490" s="615">
        <v>8</v>
      </c>
      <c r="F12490" s="692" t="s">
        <v>4060</v>
      </c>
      <c r="G12490" s="692" t="s">
        <v>4060</v>
      </c>
      <c r="H12490" s="692" t="s">
        <v>4060</v>
      </c>
      <c r="I12490" s="692" t="s">
        <v>4060</v>
      </c>
      <c r="J12490" s="692" t="s">
        <v>4060</v>
      </c>
      <c r="K12490" s="692" t="s">
        <v>4060</v>
      </c>
    </row>
    <row r="12491" spans="1:11">
      <c r="A12491" s="688" t="s">
        <v>2491</v>
      </c>
      <c r="B12491" s="689">
        <v>6.7</v>
      </c>
      <c r="C12491" s="689">
        <v>6.9</v>
      </c>
      <c r="D12491" s="693">
        <v>7</v>
      </c>
      <c r="E12491" s="689">
        <v>6.9</v>
      </c>
      <c r="F12491" s="689">
        <v>6.9</v>
      </c>
      <c r="G12491" s="693">
        <v>7</v>
      </c>
      <c r="H12491" s="690" t="s">
        <v>4060</v>
      </c>
      <c r="I12491" s="690" t="s">
        <v>4060</v>
      </c>
      <c r="J12491" s="690" t="s">
        <v>4060</v>
      </c>
      <c r="K12491" s="690" t="s">
        <v>4060</v>
      </c>
    </row>
    <row r="12492" spans="1:11">
      <c r="A12492" s="688" t="s">
        <v>2343</v>
      </c>
      <c r="B12492" s="692" t="s">
        <v>4060</v>
      </c>
      <c r="C12492" s="692" t="s">
        <v>4060</v>
      </c>
      <c r="D12492" s="692" t="s">
        <v>4060</v>
      </c>
      <c r="E12492" s="692" t="s">
        <v>4060</v>
      </c>
      <c r="F12492" s="692" t="s">
        <v>4060</v>
      </c>
      <c r="G12492" s="692" t="s">
        <v>4060</v>
      </c>
      <c r="H12492" s="692" t="s">
        <v>4060</v>
      </c>
      <c r="I12492" s="692" t="s">
        <v>4060</v>
      </c>
      <c r="J12492" s="692" t="s">
        <v>4060</v>
      </c>
      <c r="K12492" s="692" t="s">
        <v>4060</v>
      </c>
    </row>
    <row r="12493" spans="1:11">
      <c r="A12493" s="688" t="s">
        <v>4071</v>
      </c>
      <c r="B12493" s="690" t="s">
        <v>4060</v>
      </c>
      <c r="C12493" s="690" t="s">
        <v>4060</v>
      </c>
      <c r="D12493" s="690" t="s">
        <v>4060</v>
      </c>
      <c r="E12493" s="690" t="s">
        <v>4060</v>
      </c>
      <c r="F12493" s="690" t="s">
        <v>4060</v>
      </c>
      <c r="G12493" s="690" t="s">
        <v>4060</v>
      </c>
      <c r="H12493" s="690" t="s">
        <v>4060</v>
      </c>
      <c r="I12493" s="690" t="s">
        <v>4060</v>
      </c>
      <c r="J12493" s="690" t="s">
        <v>4060</v>
      </c>
      <c r="K12493" s="690" t="s">
        <v>4060</v>
      </c>
    </row>
    <row r="12494" spans="1:11">
      <c r="A12494" s="688" t="s">
        <v>2489</v>
      </c>
      <c r="B12494" s="692" t="s">
        <v>4060</v>
      </c>
      <c r="C12494" s="692" t="s">
        <v>4060</v>
      </c>
      <c r="D12494" s="615">
        <v>8</v>
      </c>
      <c r="E12494" s="691">
        <v>7.8</v>
      </c>
      <c r="F12494" s="691">
        <v>8.1</v>
      </c>
      <c r="G12494" s="691">
        <v>8.1</v>
      </c>
      <c r="H12494" s="691">
        <v>8.6</v>
      </c>
      <c r="I12494" s="692" t="s">
        <v>4060</v>
      </c>
      <c r="J12494" s="692" t="s">
        <v>4060</v>
      </c>
      <c r="K12494" s="692" t="s">
        <v>4060</v>
      </c>
    </row>
    <row r="12495" spans="1:11">
      <c r="A12495" s="688" t="s">
        <v>2490</v>
      </c>
      <c r="B12495" s="693">
        <v>8</v>
      </c>
      <c r="C12495" s="689">
        <v>7.8</v>
      </c>
      <c r="D12495" s="689">
        <v>8.6</v>
      </c>
      <c r="E12495" s="690" t="s">
        <v>4060</v>
      </c>
      <c r="F12495" s="689">
        <v>9.1999999999999993</v>
      </c>
      <c r="G12495" s="689">
        <v>8.6999999999999993</v>
      </c>
      <c r="H12495" s="689">
        <v>9.5</v>
      </c>
      <c r="I12495" s="690" t="s">
        <v>4060</v>
      </c>
      <c r="J12495" s="690" t="s">
        <v>4060</v>
      </c>
      <c r="K12495" s="690" t="s">
        <v>4060</v>
      </c>
    </row>
    <row r="12497" spans="1:11">
      <c r="A12497" s="683" t="s">
        <v>4233</v>
      </c>
    </row>
    <row r="12498" spans="1:11">
      <c r="A12498" s="683" t="s">
        <v>4060</v>
      </c>
      <c r="B12498" s="682" t="s">
        <v>4234</v>
      </c>
    </row>
    <row r="12500" spans="1:11">
      <c r="A12500" s="682" t="s">
        <v>4331</v>
      </c>
    </row>
    <row r="12501" spans="1:11">
      <c r="A12501" s="682" t="s">
        <v>4210</v>
      </c>
      <c r="B12501" s="683" t="s">
        <v>4211</v>
      </c>
    </row>
    <row r="12502" spans="1:11">
      <c r="A12502" s="682" t="s">
        <v>4212</v>
      </c>
      <c r="B12502" s="682" t="s">
        <v>4213</v>
      </c>
    </row>
    <row r="12504" spans="1:11">
      <c r="A12504" s="683" t="s">
        <v>4214</v>
      </c>
      <c r="C12504" s="682" t="s">
        <v>4215</v>
      </c>
    </row>
    <row r="12505" spans="1:11">
      <c r="A12505" s="683" t="s">
        <v>4216</v>
      </c>
      <c r="C12505" s="682" t="s">
        <v>2967</v>
      </c>
    </row>
    <row r="12506" spans="1:11">
      <c r="A12506" s="683" t="s">
        <v>3893</v>
      </c>
      <c r="C12506" s="682" t="s">
        <v>2168</v>
      </c>
    </row>
    <row r="12507" spans="1:11">
      <c r="A12507" s="683" t="s">
        <v>4218</v>
      </c>
      <c r="C12507" s="682" t="s">
        <v>4313</v>
      </c>
    </row>
    <row r="12509" spans="1:11">
      <c r="A12509" s="684" t="s">
        <v>4220</v>
      </c>
      <c r="B12509" s="685" t="s">
        <v>4221</v>
      </c>
      <c r="C12509" s="685" t="s">
        <v>4222</v>
      </c>
      <c r="D12509" s="685" t="s">
        <v>4223</v>
      </c>
      <c r="E12509" s="685" t="s">
        <v>4224</v>
      </c>
      <c r="F12509" s="685" t="s">
        <v>4225</v>
      </c>
      <c r="G12509" s="685" t="s">
        <v>4226</v>
      </c>
      <c r="H12509" s="685" t="s">
        <v>4227</v>
      </c>
      <c r="I12509" s="685" t="s">
        <v>4228</v>
      </c>
      <c r="J12509" s="685" t="s">
        <v>4229</v>
      </c>
      <c r="K12509" s="685" t="s">
        <v>4230</v>
      </c>
    </row>
    <row r="12510" spans="1:11">
      <c r="A12510" s="686" t="s">
        <v>4231</v>
      </c>
      <c r="B12510" s="687" t="s">
        <v>4232</v>
      </c>
      <c r="C12510" s="687" t="s">
        <v>4232</v>
      </c>
      <c r="D12510" s="687" t="s">
        <v>4232</v>
      </c>
      <c r="E12510" s="687" t="s">
        <v>4232</v>
      </c>
      <c r="F12510" s="687" t="s">
        <v>4232</v>
      </c>
      <c r="G12510" s="687" t="s">
        <v>4232</v>
      </c>
      <c r="H12510" s="687" t="s">
        <v>4232</v>
      </c>
      <c r="I12510" s="687" t="s">
        <v>4232</v>
      </c>
      <c r="J12510" s="687" t="s">
        <v>4232</v>
      </c>
      <c r="K12510" s="687" t="s">
        <v>4232</v>
      </c>
    </row>
    <row r="12511" spans="1:11">
      <c r="A12511" s="688" t="s">
        <v>4064</v>
      </c>
      <c r="B12511" s="689">
        <v>8.8000000000000007</v>
      </c>
      <c r="C12511" s="689">
        <v>8.6999999999999993</v>
      </c>
      <c r="D12511" s="689">
        <v>8.8000000000000007</v>
      </c>
      <c r="E12511" s="689">
        <v>8.6999999999999993</v>
      </c>
      <c r="F12511" s="689">
        <v>8.6999999999999993</v>
      </c>
      <c r="G12511" s="689">
        <v>8.8000000000000007</v>
      </c>
      <c r="H12511" s="693">
        <v>9</v>
      </c>
      <c r="I12511" s="689">
        <v>8.4</v>
      </c>
      <c r="J12511" s="689">
        <v>8.5</v>
      </c>
      <c r="K12511" s="689">
        <v>8.6</v>
      </c>
    </row>
    <row r="12512" spans="1:11">
      <c r="A12512" s="688" t="s">
        <v>4065</v>
      </c>
      <c r="B12512" s="691">
        <v>8.8000000000000007</v>
      </c>
      <c r="C12512" s="615">
        <v>9</v>
      </c>
      <c r="D12512" s="691">
        <v>8.8000000000000007</v>
      </c>
      <c r="E12512" s="691">
        <v>9.1</v>
      </c>
      <c r="F12512" s="615">
        <v>9</v>
      </c>
      <c r="G12512" s="691">
        <v>9.1</v>
      </c>
      <c r="H12512" s="692" t="s">
        <v>4060</v>
      </c>
      <c r="I12512" s="692" t="s">
        <v>4060</v>
      </c>
      <c r="J12512" s="692" t="s">
        <v>4060</v>
      </c>
      <c r="K12512" s="692" t="s">
        <v>4060</v>
      </c>
    </row>
    <row r="12513" spans="1:11">
      <c r="A12513" s="688" t="s">
        <v>4063</v>
      </c>
      <c r="B12513" s="689">
        <v>8.8000000000000007</v>
      </c>
      <c r="C12513" s="689">
        <v>9.1</v>
      </c>
      <c r="D12513" s="689">
        <v>8.8000000000000007</v>
      </c>
      <c r="E12513" s="689">
        <v>9.1</v>
      </c>
      <c r="F12513" s="693">
        <v>9</v>
      </c>
      <c r="G12513" s="689">
        <v>9.1</v>
      </c>
      <c r="H12513" s="690" t="s">
        <v>4060</v>
      </c>
      <c r="I12513" s="690" t="s">
        <v>4060</v>
      </c>
      <c r="J12513" s="690" t="s">
        <v>4060</v>
      </c>
      <c r="K12513" s="690" t="s">
        <v>4060</v>
      </c>
    </row>
    <row r="12514" spans="1:11">
      <c r="A12514" s="688" t="s">
        <v>4069</v>
      </c>
      <c r="B12514" s="692" t="s">
        <v>4060</v>
      </c>
      <c r="C12514" s="691">
        <v>8.9</v>
      </c>
      <c r="D12514" s="691">
        <v>8.6999999999999993</v>
      </c>
      <c r="E12514" s="691">
        <v>8.9</v>
      </c>
      <c r="F12514" s="691">
        <v>8.9</v>
      </c>
      <c r="G12514" s="615">
        <v>9</v>
      </c>
      <c r="H12514" s="691">
        <v>9.1999999999999993</v>
      </c>
      <c r="I12514" s="691">
        <v>8.6999999999999993</v>
      </c>
      <c r="J12514" s="691">
        <v>8.9</v>
      </c>
      <c r="K12514" s="691">
        <v>8.8000000000000007</v>
      </c>
    </row>
    <row r="12515" spans="1:11">
      <c r="A12515" s="688" t="s">
        <v>4068</v>
      </c>
      <c r="B12515" s="693">
        <v>9</v>
      </c>
      <c r="C12515" s="690" t="s">
        <v>4060</v>
      </c>
      <c r="D12515" s="690" t="s">
        <v>4060</v>
      </c>
      <c r="E12515" s="690" t="s">
        <v>4060</v>
      </c>
      <c r="F12515" s="690" t="s">
        <v>4060</v>
      </c>
      <c r="G12515" s="690" t="s">
        <v>4060</v>
      </c>
      <c r="H12515" s="690" t="s">
        <v>4060</v>
      </c>
      <c r="I12515" s="690" t="s">
        <v>4060</v>
      </c>
      <c r="J12515" s="690" t="s">
        <v>4060</v>
      </c>
      <c r="K12515" s="690" t="s">
        <v>4060</v>
      </c>
    </row>
    <row r="12516" spans="1:11">
      <c r="A12516" s="688" t="s">
        <v>0</v>
      </c>
      <c r="B12516" s="691">
        <v>8.6</v>
      </c>
      <c r="C12516" s="691">
        <v>8.6999999999999993</v>
      </c>
      <c r="D12516" s="691">
        <v>8.6</v>
      </c>
      <c r="E12516" s="691">
        <v>8.8000000000000007</v>
      </c>
      <c r="F12516" s="691">
        <v>8.8000000000000007</v>
      </c>
      <c r="G12516" s="691">
        <v>8.9</v>
      </c>
      <c r="H12516" s="691">
        <v>9.1</v>
      </c>
      <c r="I12516" s="691">
        <v>8.3000000000000007</v>
      </c>
      <c r="J12516" s="615">
        <v>9</v>
      </c>
      <c r="K12516" s="691">
        <v>9.1</v>
      </c>
    </row>
    <row r="12517" spans="1:11">
      <c r="A12517" s="688" t="s">
        <v>1</v>
      </c>
      <c r="B12517" s="693">
        <v>7</v>
      </c>
      <c r="C12517" s="689">
        <v>6.7</v>
      </c>
      <c r="D12517" s="689">
        <v>6.6</v>
      </c>
      <c r="E12517" s="689">
        <v>6.8</v>
      </c>
      <c r="F12517" s="689">
        <v>6.7</v>
      </c>
      <c r="G12517" s="689">
        <v>6.8</v>
      </c>
      <c r="H12517" s="689">
        <v>6.8</v>
      </c>
      <c r="I12517" s="689">
        <v>6.1</v>
      </c>
      <c r="J12517" s="689">
        <v>5.5</v>
      </c>
      <c r="K12517" s="689">
        <v>6.3</v>
      </c>
    </row>
    <row r="12518" spans="1:11">
      <c r="A12518" s="688" t="s">
        <v>2240</v>
      </c>
      <c r="B12518" s="691">
        <v>7.6</v>
      </c>
      <c r="C12518" s="691">
        <v>7.7</v>
      </c>
      <c r="D12518" s="691">
        <v>7.5</v>
      </c>
      <c r="E12518" s="691">
        <v>7.8</v>
      </c>
      <c r="F12518" s="691">
        <v>7.7</v>
      </c>
      <c r="G12518" s="691">
        <v>7.8</v>
      </c>
      <c r="H12518" s="691">
        <v>7.9</v>
      </c>
      <c r="I12518" s="691">
        <v>7.1</v>
      </c>
      <c r="J12518" s="691">
        <v>6.9</v>
      </c>
      <c r="K12518" s="691">
        <v>7.6</v>
      </c>
    </row>
    <row r="12519" spans="1:11">
      <c r="A12519" s="688" t="s">
        <v>2</v>
      </c>
      <c r="B12519" s="689">
        <v>8.3000000000000007</v>
      </c>
      <c r="C12519" s="689">
        <v>8.5</v>
      </c>
      <c r="D12519" s="689">
        <v>8.4</v>
      </c>
      <c r="E12519" s="689">
        <v>8.6</v>
      </c>
      <c r="F12519" s="689">
        <v>8.6</v>
      </c>
      <c r="G12519" s="689">
        <v>8.4</v>
      </c>
      <c r="H12519" s="689">
        <v>8.8000000000000007</v>
      </c>
      <c r="I12519" s="689">
        <v>8.6999999999999993</v>
      </c>
      <c r="J12519" s="689">
        <v>8.6999999999999993</v>
      </c>
      <c r="K12519" s="689">
        <v>8.5</v>
      </c>
    </row>
    <row r="12520" spans="1:11">
      <c r="A12520" s="688" t="s">
        <v>3</v>
      </c>
      <c r="B12520" s="691">
        <v>8.5</v>
      </c>
      <c r="C12520" s="691">
        <v>8.5</v>
      </c>
      <c r="D12520" s="691">
        <v>8.4</v>
      </c>
      <c r="E12520" s="691">
        <v>8.6</v>
      </c>
      <c r="F12520" s="691">
        <v>8.6</v>
      </c>
      <c r="G12520" s="691">
        <v>8.6</v>
      </c>
      <c r="H12520" s="691">
        <v>8.8000000000000007</v>
      </c>
      <c r="I12520" s="691">
        <v>8.6</v>
      </c>
      <c r="J12520" s="691">
        <v>8.6</v>
      </c>
      <c r="K12520" s="691">
        <v>8.4</v>
      </c>
    </row>
    <row r="12521" spans="1:11">
      <c r="A12521" s="688" t="s">
        <v>4061</v>
      </c>
      <c r="B12521" s="689">
        <v>8.5</v>
      </c>
      <c r="C12521" s="689">
        <v>8.5</v>
      </c>
      <c r="D12521" s="689">
        <v>8.4</v>
      </c>
      <c r="E12521" s="689">
        <v>8.6</v>
      </c>
      <c r="F12521" s="689">
        <v>8.6</v>
      </c>
      <c r="G12521" s="689">
        <v>8.6</v>
      </c>
      <c r="H12521" s="689">
        <v>8.8000000000000007</v>
      </c>
      <c r="I12521" s="689">
        <v>8.6</v>
      </c>
      <c r="J12521" s="689">
        <v>8.6</v>
      </c>
      <c r="K12521" s="689">
        <v>8.4</v>
      </c>
    </row>
    <row r="12522" spans="1:11">
      <c r="A12522" s="688" t="s">
        <v>4</v>
      </c>
      <c r="B12522" s="691">
        <v>7.9</v>
      </c>
      <c r="C12522" s="691">
        <v>7.6</v>
      </c>
      <c r="D12522" s="691">
        <v>7.8</v>
      </c>
      <c r="E12522" s="691">
        <v>7.9</v>
      </c>
      <c r="F12522" s="691">
        <v>7.9</v>
      </c>
      <c r="G12522" s="691">
        <v>7.9</v>
      </c>
      <c r="H12522" s="691">
        <v>8.1999999999999993</v>
      </c>
      <c r="I12522" s="691">
        <v>8.1999999999999993</v>
      </c>
      <c r="J12522" s="691">
        <v>7.1</v>
      </c>
      <c r="K12522" s="691">
        <v>7.6</v>
      </c>
    </row>
    <row r="12523" spans="1:11">
      <c r="A12523" s="688" t="s">
        <v>8</v>
      </c>
      <c r="B12523" s="689">
        <v>8.4</v>
      </c>
      <c r="C12523" s="689">
        <v>8.5</v>
      </c>
      <c r="D12523" s="689">
        <v>8.5</v>
      </c>
      <c r="E12523" s="689">
        <v>8.5</v>
      </c>
      <c r="F12523" s="689">
        <v>8.8000000000000007</v>
      </c>
      <c r="G12523" s="689">
        <v>8.9</v>
      </c>
      <c r="H12523" s="689">
        <v>8.9</v>
      </c>
      <c r="I12523" s="689">
        <v>8.9</v>
      </c>
      <c r="J12523" s="689">
        <v>8.8000000000000007</v>
      </c>
      <c r="K12523" s="693">
        <v>9</v>
      </c>
    </row>
    <row r="12524" spans="1:11">
      <c r="A12524" s="688" t="s">
        <v>7</v>
      </c>
      <c r="B12524" s="691">
        <v>9.4</v>
      </c>
      <c r="C12524" s="691">
        <v>8.5</v>
      </c>
      <c r="D12524" s="691">
        <v>8.4</v>
      </c>
      <c r="E12524" s="691">
        <v>8.6999999999999993</v>
      </c>
      <c r="F12524" s="691">
        <v>8.6</v>
      </c>
      <c r="G12524" s="691">
        <v>8.9</v>
      </c>
      <c r="H12524" s="691">
        <v>8.9</v>
      </c>
      <c r="I12524" s="691">
        <v>8.8000000000000007</v>
      </c>
      <c r="J12524" s="691">
        <v>8.5</v>
      </c>
      <c r="K12524" s="691">
        <v>8.6</v>
      </c>
    </row>
    <row r="12525" spans="1:11">
      <c r="A12525" s="688" t="s">
        <v>27</v>
      </c>
      <c r="B12525" s="689">
        <v>9.6</v>
      </c>
      <c r="C12525" s="689">
        <v>9.3000000000000007</v>
      </c>
      <c r="D12525" s="693">
        <v>9</v>
      </c>
      <c r="E12525" s="689">
        <v>9.3000000000000007</v>
      </c>
      <c r="F12525" s="689">
        <v>9.1999999999999993</v>
      </c>
      <c r="G12525" s="689">
        <v>9.3000000000000007</v>
      </c>
      <c r="H12525" s="689">
        <v>9.5</v>
      </c>
      <c r="I12525" s="689">
        <v>8.6999999999999993</v>
      </c>
      <c r="J12525" s="689">
        <v>9.3000000000000007</v>
      </c>
      <c r="K12525" s="689">
        <v>9.3000000000000007</v>
      </c>
    </row>
    <row r="12526" spans="1:11">
      <c r="A12526" s="688" t="s">
        <v>6</v>
      </c>
      <c r="B12526" s="691">
        <v>9.6999999999999993</v>
      </c>
      <c r="C12526" s="691">
        <v>9.6</v>
      </c>
      <c r="D12526" s="691">
        <v>9.4</v>
      </c>
      <c r="E12526" s="691">
        <v>9.6</v>
      </c>
      <c r="F12526" s="691">
        <v>9.6</v>
      </c>
      <c r="G12526" s="691">
        <v>9.6999999999999993</v>
      </c>
      <c r="H12526" s="691">
        <v>9.8000000000000007</v>
      </c>
      <c r="I12526" s="691">
        <v>9.3000000000000007</v>
      </c>
      <c r="J12526" s="691">
        <v>9.5</v>
      </c>
      <c r="K12526" s="691">
        <v>9.6</v>
      </c>
    </row>
    <row r="12527" spans="1:11">
      <c r="A12527" s="688" t="s">
        <v>4058</v>
      </c>
      <c r="B12527" s="690" t="s">
        <v>4060</v>
      </c>
      <c r="C12527" s="690" t="s">
        <v>4060</v>
      </c>
      <c r="D12527" s="690" t="s">
        <v>4060</v>
      </c>
      <c r="E12527" s="690" t="s">
        <v>4060</v>
      </c>
      <c r="F12527" s="690" t="s">
        <v>4060</v>
      </c>
      <c r="G12527" s="690" t="s">
        <v>4060</v>
      </c>
      <c r="H12527" s="690" t="s">
        <v>4060</v>
      </c>
      <c r="I12527" s="690" t="s">
        <v>4060</v>
      </c>
      <c r="J12527" s="690" t="s">
        <v>4060</v>
      </c>
      <c r="K12527" s="690" t="s">
        <v>4060</v>
      </c>
    </row>
    <row r="12528" spans="1:11">
      <c r="A12528" s="688" t="s">
        <v>11</v>
      </c>
      <c r="B12528" s="691">
        <v>7.2</v>
      </c>
      <c r="C12528" s="691">
        <v>7.1</v>
      </c>
      <c r="D12528" s="691">
        <v>6.9</v>
      </c>
      <c r="E12528" s="691">
        <v>7.2</v>
      </c>
      <c r="F12528" s="691">
        <v>7.2</v>
      </c>
      <c r="G12528" s="691">
        <v>7.3</v>
      </c>
      <c r="H12528" s="691">
        <v>7.5</v>
      </c>
      <c r="I12528" s="615">
        <v>7</v>
      </c>
      <c r="J12528" s="691">
        <v>6.5</v>
      </c>
      <c r="K12528" s="615">
        <v>7</v>
      </c>
    </row>
    <row r="12529" spans="1:11">
      <c r="A12529" s="688" t="s">
        <v>10</v>
      </c>
      <c r="B12529" s="689">
        <v>9.1</v>
      </c>
      <c r="C12529" s="693">
        <v>9</v>
      </c>
      <c r="D12529" s="689">
        <v>8.6999999999999993</v>
      </c>
      <c r="E12529" s="689">
        <v>9.1</v>
      </c>
      <c r="F12529" s="689">
        <v>8.9</v>
      </c>
      <c r="G12529" s="689">
        <v>9.1999999999999993</v>
      </c>
      <c r="H12529" s="689">
        <v>9.3000000000000007</v>
      </c>
      <c r="I12529" s="689">
        <v>8.5</v>
      </c>
      <c r="J12529" s="693">
        <v>9</v>
      </c>
      <c r="K12529" s="689">
        <v>8.9</v>
      </c>
    </row>
    <row r="12530" spans="1:11">
      <c r="A12530" s="688" t="s">
        <v>30</v>
      </c>
      <c r="B12530" s="691">
        <v>8.9</v>
      </c>
      <c r="C12530" s="691">
        <v>8.8000000000000007</v>
      </c>
      <c r="D12530" s="691">
        <v>8.4</v>
      </c>
      <c r="E12530" s="691">
        <v>8.9</v>
      </c>
      <c r="F12530" s="691">
        <v>8.8000000000000007</v>
      </c>
      <c r="G12530" s="691">
        <v>9.3000000000000007</v>
      </c>
      <c r="H12530" s="691">
        <v>9.1</v>
      </c>
      <c r="I12530" s="691">
        <v>9.1999999999999993</v>
      </c>
      <c r="J12530" s="615">
        <v>9</v>
      </c>
      <c r="K12530" s="615">
        <v>9</v>
      </c>
    </row>
    <row r="12531" spans="1:11">
      <c r="A12531" s="688" t="s">
        <v>12</v>
      </c>
      <c r="B12531" s="689">
        <v>7.3</v>
      </c>
      <c r="C12531" s="689">
        <v>7.1</v>
      </c>
      <c r="D12531" s="689">
        <v>7.3</v>
      </c>
      <c r="E12531" s="689">
        <v>7.1</v>
      </c>
      <c r="F12531" s="689">
        <v>7.2</v>
      </c>
      <c r="G12531" s="689">
        <v>7.2</v>
      </c>
      <c r="H12531" s="689">
        <v>7.4</v>
      </c>
      <c r="I12531" s="689">
        <v>7.3</v>
      </c>
      <c r="J12531" s="689">
        <v>6.5</v>
      </c>
      <c r="K12531" s="693">
        <v>7</v>
      </c>
    </row>
    <row r="12532" spans="1:11">
      <c r="A12532" s="688" t="s">
        <v>14</v>
      </c>
      <c r="B12532" s="691">
        <v>7.3</v>
      </c>
      <c r="C12532" s="691">
        <v>7.1</v>
      </c>
      <c r="D12532" s="691">
        <v>6.9</v>
      </c>
      <c r="E12532" s="615">
        <v>7</v>
      </c>
      <c r="F12532" s="691">
        <v>6.8</v>
      </c>
      <c r="G12532" s="615">
        <v>7</v>
      </c>
      <c r="H12532" s="691">
        <v>7.2</v>
      </c>
      <c r="I12532" s="691">
        <v>6.9</v>
      </c>
      <c r="J12532" s="691">
        <v>6.6</v>
      </c>
      <c r="K12532" s="691">
        <v>7.1</v>
      </c>
    </row>
    <row r="12533" spans="1:11">
      <c r="A12533" s="688" t="s">
        <v>15</v>
      </c>
      <c r="B12533" s="689">
        <v>9.4</v>
      </c>
      <c r="C12533" s="689">
        <v>8.6</v>
      </c>
      <c r="D12533" s="689">
        <v>8.9</v>
      </c>
      <c r="E12533" s="689">
        <v>8.9</v>
      </c>
      <c r="F12533" s="689">
        <v>9.1</v>
      </c>
      <c r="G12533" s="689">
        <v>8.8000000000000007</v>
      </c>
      <c r="H12533" s="689">
        <v>9.1</v>
      </c>
      <c r="I12533" s="689">
        <v>8.6</v>
      </c>
      <c r="J12533" s="689">
        <v>8.9</v>
      </c>
      <c r="K12533" s="689">
        <v>9.1999999999999993</v>
      </c>
    </row>
    <row r="12534" spans="1:11">
      <c r="A12534" s="688" t="s">
        <v>29</v>
      </c>
      <c r="B12534" s="691">
        <v>7.2</v>
      </c>
      <c r="C12534" s="691">
        <v>7.2</v>
      </c>
      <c r="D12534" s="615">
        <v>7</v>
      </c>
      <c r="E12534" s="691">
        <v>7.2</v>
      </c>
      <c r="F12534" s="691">
        <v>7.1</v>
      </c>
      <c r="G12534" s="691">
        <v>7.2</v>
      </c>
      <c r="H12534" s="691">
        <v>7.4</v>
      </c>
      <c r="I12534" s="691">
        <v>6.9</v>
      </c>
      <c r="J12534" s="691">
        <v>6.6</v>
      </c>
      <c r="K12534" s="615">
        <v>7</v>
      </c>
    </row>
    <row r="12535" spans="1:11">
      <c r="A12535" s="688" t="s">
        <v>16</v>
      </c>
      <c r="B12535" s="689">
        <v>8.6</v>
      </c>
      <c r="C12535" s="689">
        <v>8.6999999999999993</v>
      </c>
      <c r="D12535" s="689">
        <v>8.4</v>
      </c>
      <c r="E12535" s="689">
        <v>9.1</v>
      </c>
      <c r="F12535" s="689">
        <v>8.8000000000000007</v>
      </c>
      <c r="G12535" s="689">
        <v>8.8000000000000007</v>
      </c>
      <c r="H12535" s="689">
        <v>8.9</v>
      </c>
      <c r="I12535" s="689">
        <v>8.4</v>
      </c>
      <c r="J12535" s="689">
        <v>8.8000000000000007</v>
      </c>
      <c r="K12535" s="689">
        <v>8.8000000000000007</v>
      </c>
    </row>
    <row r="12536" spans="1:11">
      <c r="A12536" s="688" t="s">
        <v>17</v>
      </c>
      <c r="B12536" s="691">
        <v>8.6</v>
      </c>
      <c r="C12536" s="691">
        <v>8.6</v>
      </c>
      <c r="D12536" s="691">
        <v>8.5</v>
      </c>
      <c r="E12536" s="691">
        <v>8.5</v>
      </c>
      <c r="F12536" s="691">
        <v>8.6</v>
      </c>
      <c r="G12536" s="691">
        <v>8.6999999999999993</v>
      </c>
      <c r="H12536" s="691">
        <v>8.8000000000000007</v>
      </c>
      <c r="I12536" s="691">
        <v>8.3000000000000007</v>
      </c>
      <c r="J12536" s="691">
        <v>8.4</v>
      </c>
      <c r="K12536" s="691">
        <v>8.6999999999999993</v>
      </c>
    </row>
    <row r="12537" spans="1:11">
      <c r="A12537" s="688" t="s">
        <v>19</v>
      </c>
      <c r="B12537" s="689">
        <v>8.8000000000000007</v>
      </c>
      <c r="C12537" s="689">
        <v>8.8000000000000007</v>
      </c>
      <c r="D12537" s="689">
        <v>8.6</v>
      </c>
      <c r="E12537" s="689">
        <v>8.9</v>
      </c>
      <c r="F12537" s="689">
        <v>8.9</v>
      </c>
      <c r="G12537" s="689">
        <v>8.9</v>
      </c>
      <c r="H12537" s="693">
        <v>9</v>
      </c>
      <c r="I12537" s="689">
        <v>8.6</v>
      </c>
      <c r="J12537" s="689">
        <v>8.6999999999999993</v>
      </c>
      <c r="K12537" s="689">
        <v>8.6999999999999993</v>
      </c>
    </row>
    <row r="12538" spans="1:11">
      <c r="A12538" s="688" t="s">
        <v>20</v>
      </c>
      <c r="B12538" s="615">
        <v>8</v>
      </c>
      <c r="C12538" s="615">
        <v>8</v>
      </c>
      <c r="D12538" s="691">
        <v>7.9</v>
      </c>
      <c r="E12538" s="691">
        <v>8.1</v>
      </c>
      <c r="F12538" s="615">
        <v>8</v>
      </c>
      <c r="G12538" s="615">
        <v>8</v>
      </c>
      <c r="H12538" s="691">
        <v>8.3000000000000007</v>
      </c>
      <c r="I12538" s="691">
        <v>7.2</v>
      </c>
      <c r="J12538" s="691">
        <v>6.9</v>
      </c>
      <c r="K12538" s="691">
        <v>7.7</v>
      </c>
    </row>
    <row r="12539" spans="1:11">
      <c r="A12539" s="688" t="s">
        <v>21</v>
      </c>
      <c r="B12539" s="689">
        <v>8.4</v>
      </c>
      <c r="C12539" s="689">
        <v>8.6</v>
      </c>
      <c r="D12539" s="689">
        <v>8.6999999999999993</v>
      </c>
      <c r="E12539" s="689">
        <v>8.6</v>
      </c>
      <c r="F12539" s="689">
        <v>8.8000000000000007</v>
      </c>
      <c r="G12539" s="689">
        <v>8.8000000000000007</v>
      </c>
      <c r="H12539" s="689">
        <v>9.1</v>
      </c>
      <c r="I12539" s="689">
        <v>8.6999999999999993</v>
      </c>
      <c r="J12539" s="689">
        <v>8.8000000000000007</v>
      </c>
      <c r="K12539" s="689">
        <v>8.9</v>
      </c>
    </row>
    <row r="12540" spans="1:11">
      <c r="A12540" s="688" t="s">
        <v>22</v>
      </c>
      <c r="B12540" s="691">
        <v>7.4</v>
      </c>
      <c r="C12540" s="691">
        <v>7.2</v>
      </c>
      <c r="D12540" s="691">
        <v>7.1</v>
      </c>
      <c r="E12540" s="691">
        <v>7.4</v>
      </c>
      <c r="F12540" s="691">
        <v>7.4</v>
      </c>
      <c r="G12540" s="691">
        <v>7.5</v>
      </c>
      <c r="H12540" s="691">
        <v>7.8</v>
      </c>
      <c r="I12540" s="691">
        <v>6.8</v>
      </c>
      <c r="J12540" s="691">
        <v>6.1</v>
      </c>
      <c r="K12540" s="691">
        <v>6.8</v>
      </c>
    </row>
    <row r="12541" spans="1:11">
      <c r="A12541" s="688" t="s">
        <v>26</v>
      </c>
      <c r="B12541" s="689">
        <v>8.4</v>
      </c>
      <c r="C12541" s="689">
        <v>8.3000000000000007</v>
      </c>
      <c r="D12541" s="689">
        <v>8.3000000000000007</v>
      </c>
      <c r="E12541" s="689">
        <v>8.5</v>
      </c>
      <c r="F12541" s="689">
        <v>8.1999999999999993</v>
      </c>
      <c r="G12541" s="689">
        <v>8.5</v>
      </c>
      <c r="H12541" s="689">
        <v>8.8000000000000007</v>
      </c>
      <c r="I12541" s="689">
        <v>7.9</v>
      </c>
      <c r="J12541" s="689">
        <v>8.1999999999999993</v>
      </c>
      <c r="K12541" s="689">
        <v>8.6</v>
      </c>
    </row>
    <row r="12542" spans="1:11">
      <c r="A12542" s="688" t="s">
        <v>25</v>
      </c>
      <c r="B12542" s="691">
        <v>7.2</v>
      </c>
      <c r="C12542" s="691">
        <v>7.3</v>
      </c>
      <c r="D12542" s="691">
        <v>7.3</v>
      </c>
      <c r="E12542" s="691">
        <v>7.6</v>
      </c>
      <c r="F12542" s="691">
        <v>7.5</v>
      </c>
      <c r="G12542" s="691">
        <v>7.6</v>
      </c>
      <c r="H12542" s="691">
        <v>8.1</v>
      </c>
      <c r="I12542" s="691">
        <v>7.3</v>
      </c>
      <c r="J12542" s="691">
        <v>6.4</v>
      </c>
      <c r="K12542" s="691">
        <v>7.3</v>
      </c>
    </row>
    <row r="12543" spans="1:11">
      <c r="A12543" s="688" t="s">
        <v>5</v>
      </c>
      <c r="B12543" s="689">
        <v>8.9</v>
      </c>
      <c r="C12543" s="689">
        <v>8.6</v>
      </c>
      <c r="D12543" s="689">
        <v>8.6999999999999993</v>
      </c>
      <c r="E12543" s="689">
        <v>8.6</v>
      </c>
      <c r="F12543" s="689">
        <v>8.6999999999999993</v>
      </c>
      <c r="G12543" s="689">
        <v>8.8000000000000007</v>
      </c>
      <c r="H12543" s="693">
        <v>9</v>
      </c>
      <c r="I12543" s="693">
        <v>9</v>
      </c>
      <c r="J12543" s="689">
        <v>8.9</v>
      </c>
      <c r="K12543" s="689">
        <v>8.4</v>
      </c>
    </row>
    <row r="12544" spans="1:11">
      <c r="A12544" s="688" t="s">
        <v>23</v>
      </c>
      <c r="B12544" s="691">
        <v>8.8000000000000007</v>
      </c>
      <c r="C12544" s="691">
        <v>8.8000000000000007</v>
      </c>
      <c r="D12544" s="691">
        <v>8.8000000000000007</v>
      </c>
      <c r="E12544" s="691">
        <v>8.9</v>
      </c>
      <c r="F12544" s="691">
        <v>8.9</v>
      </c>
      <c r="G12544" s="615">
        <v>9</v>
      </c>
      <c r="H12544" s="691">
        <v>9.3000000000000007</v>
      </c>
      <c r="I12544" s="691">
        <v>8.6999999999999993</v>
      </c>
      <c r="J12544" s="691">
        <v>9.3000000000000007</v>
      </c>
      <c r="K12544" s="691">
        <v>9.1999999999999993</v>
      </c>
    </row>
    <row r="12545" spans="1:11">
      <c r="A12545" s="688" t="s">
        <v>4067</v>
      </c>
      <c r="B12545" s="689">
        <v>8.8000000000000007</v>
      </c>
      <c r="C12545" s="693">
        <v>9</v>
      </c>
      <c r="D12545" s="689">
        <v>8.8000000000000007</v>
      </c>
      <c r="E12545" s="689">
        <v>9.1</v>
      </c>
      <c r="F12545" s="693">
        <v>9</v>
      </c>
      <c r="G12545" s="689">
        <v>9.1</v>
      </c>
      <c r="H12545" s="690" t="s">
        <v>4060</v>
      </c>
      <c r="I12545" s="690" t="s">
        <v>4060</v>
      </c>
      <c r="J12545" s="690" t="s">
        <v>4060</v>
      </c>
      <c r="K12545" s="690" t="s">
        <v>4060</v>
      </c>
    </row>
    <row r="12546" spans="1:11">
      <c r="A12546" s="688" t="s">
        <v>4066</v>
      </c>
      <c r="B12546" s="691">
        <v>8.8000000000000007</v>
      </c>
      <c r="C12546" s="691">
        <v>9.1</v>
      </c>
      <c r="D12546" s="691">
        <v>8.8000000000000007</v>
      </c>
      <c r="E12546" s="691">
        <v>9.1</v>
      </c>
      <c r="F12546" s="615">
        <v>9</v>
      </c>
      <c r="G12546" s="691">
        <v>9.1</v>
      </c>
      <c r="H12546" s="692" t="s">
        <v>4060</v>
      </c>
      <c r="I12546" s="692" t="s">
        <v>4060</v>
      </c>
      <c r="J12546" s="692" t="s">
        <v>4060</v>
      </c>
      <c r="K12546" s="692" t="s">
        <v>4060</v>
      </c>
    </row>
    <row r="12547" spans="1:11">
      <c r="A12547" s="688" t="s">
        <v>4062</v>
      </c>
      <c r="B12547" s="689">
        <v>9.1</v>
      </c>
      <c r="C12547" s="689">
        <v>9.1</v>
      </c>
      <c r="D12547" s="693">
        <v>9</v>
      </c>
      <c r="E12547" s="689">
        <v>9.1999999999999993</v>
      </c>
      <c r="F12547" s="689">
        <v>9.3000000000000007</v>
      </c>
      <c r="G12547" s="689">
        <v>9.4</v>
      </c>
      <c r="H12547" s="689">
        <v>9.5</v>
      </c>
      <c r="I12547" s="689">
        <v>9.1</v>
      </c>
      <c r="J12547" s="689">
        <v>9.6</v>
      </c>
      <c r="K12547" s="689">
        <v>9.3000000000000007</v>
      </c>
    </row>
    <row r="12548" spans="1:11">
      <c r="A12548" s="688" t="s">
        <v>9</v>
      </c>
      <c r="B12548" s="691">
        <v>8.8000000000000007</v>
      </c>
      <c r="C12548" s="615">
        <v>9</v>
      </c>
      <c r="D12548" s="691">
        <v>9.1</v>
      </c>
      <c r="E12548" s="691">
        <v>8.5</v>
      </c>
      <c r="F12548" s="691">
        <v>9.1999999999999993</v>
      </c>
      <c r="G12548" s="691">
        <v>9.3000000000000007</v>
      </c>
      <c r="H12548" s="691">
        <v>9.1999999999999993</v>
      </c>
      <c r="I12548" s="691">
        <v>9.6999999999999993</v>
      </c>
      <c r="J12548" s="691">
        <v>9.9</v>
      </c>
      <c r="K12548" s="615">
        <v>9</v>
      </c>
    </row>
    <row r="12549" spans="1:11">
      <c r="A12549" s="688" t="s">
        <v>13</v>
      </c>
      <c r="B12549" s="689">
        <v>8.1</v>
      </c>
      <c r="C12549" s="689">
        <v>8.9</v>
      </c>
      <c r="D12549" s="689">
        <v>8.4</v>
      </c>
      <c r="E12549" s="689">
        <v>8.5</v>
      </c>
      <c r="F12549" s="689">
        <v>10.1</v>
      </c>
      <c r="G12549" s="689">
        <v>8.6</v>
      </c>
      <c r="H12549" s="689">
        <v>9.6999999999999993</v>
      </c>
      <c r="I12549" s="689">
        <v>7.9</v>
      </c>
      <c r="J12549" s="689">
        <v>10.1</v>
      </c>
      <c r="K12549" s="689">
        <v>10.3</v>
      </c>
    </row>
    <row r="12550" spans="1:11">
      <c r="A12550" s="688" t="s">
        <v>18</v>
      </c>
      <c r="B12550" s="691">
        <v>8.8000000000000007</v>
      </c>
      <c r="C12550" s="691">
        <v>8.6999999999999993</v>
      </c>
      <c r="D12550" s="691">
        <v>8.8000000000000007</v>
      </c>
      <c r="E12550" s="615">
        <v>9</v>
      </c>
      <c r="F12550" s="615">
        <v>9</v>
      </c>
      <c r="G12550" s="691">
        <v>9.1</v>
      </c>
      <c r="H12550" s="691">
        <v>9.3000000000000007</v>
      </c>
      <c r="I12550" s="691">
        <v>9.4</v>
      </c>
      <c r="J12550" s="691">
        <v>9.4</v>
      </c>
      <c r="K12550" s="615">
        <v>9</v>
      </c>
    </row>
    <row r="12551" spans="1:11">
      <c r="A12551" s="688" t="s">
        <v>24</v>
      </c>
      <c r="B12551" s="689">
        <v>9.1999999999999993</v>
      </c>
      <c r="C12551" s="689">
        <v>9.1999999999999993</v>
      </c>
      <c r="D12551" s="689">
        <v>9.1</v>
      </c>
      <c r="E12551" s="689">
        <v>9.4</v>
      </c>
      <c r="F12551" s="689">
        <v>9.4</v>
      </c>
      <c r="G12551" s="689">
        <v>9.6</v>
      </c>
      <c r="H12551" s="689">
        <v>9.6999999999999993</v>
      </c>
      <c r="I12551" s="689">
        <v>8.9</v>
      </c>
      <c r="J12551" s="689">
        <v>9.6</v>
      </c>
      <c r="K12551" s="689">
        <v>9.5</v>
      </c>
    </row>
    <row r="12552" spans="1:11">
      <c r="A12552" s="688" t="s">
        <v>4059</v>
      </c>
      <c r="B12552" s="615">
        <v>9</v>
      </c>
      <c r="C12552" s="691">
        <v>9.1999999999999993</v>
      </c>
      <c r="D12552" s="615">
        <v>9</v>
      </c>
      <c r="E12552" s="691">
        <v>9.1999999999999993</v>
      </c>
      <c r="F12552" s="691">
        <v>9.1999999999999993</v>
      </c>
      <c r="G12552" s="691">
        <v>9.1999999999999993</v>
      </c>
      <c r="H12552" s="692" t="s">
        <v>4060</v>
      </c>
      <c r="I12552" s="692" t="s">
        <v>4060</v>
      </c>
      <c r="J12552" s="692" t="s">
        <v>4060</v>
      </c>
      <c r="K12552" s="692" t="s">
        <v>4060</v>
      </c>
    </row>
    <row r="12553" spans="1:11">
      <c r="A12553" s="688" t="s">
        <v>2324</v>
      </c>
      <c r="B12553" s="689">
        <v>7.4</v>
      </c>
      <c r="C12553" s="689">
        <v>7.4</v>
      </c>
      <c r="D12553" s="689">
        <v>7.3</v>
      </c>
      <c r="E12553" s="689">
        <v>7.2</v>
      </c>
      <c r="F12553" s="689">
        <v>7.3</v>
      </c>
      <c r="G12553" s="689">
        <v>7.5</v>
      </c>
      <c r="H12553" s="689">
        <v>7.4</v>
      </c>
      <c r="I12553" s="689">
        <v>6.7</v>
      </c>
      <c r="J12553" s="689">
        <v>5.4</v>
      </c>
      <c r="K12553" s="690" t="s">
        <v>4060</v>
      </c>
    </row>
    <row r="12554" spans="1:11">
      <c r="A12554" s="688" t="s">
        <v>2322</v>
      </c>
      <c r="B12554" s="692" t="s">
        <v>4060</v>
      </c>
      <c r="C12554" s="692" t="s">
        <v>4060</v>
      </c>
      <c r="D12554" s="692" t="s">
        <v>4060</v>
      </c>
      <c r="E12554" s="692" t="s">
        <v>4060</v>
      </c>
      <c r="F12554" s="692" t="s">
        <v>4060</v>
      </c>
      <c r="G12554" s="692" t="s">
        <v>4060</v>
      </c>
      <c r="H12554" s="692" t="s">
        <v>4060</v>
      </c>
      <c r="I12554" s="692" t="s">
        <v>4060</v>
      </c>
      <c r="J12554" s="692" t="s">
        <v>4060</v>
      </c>
      <c r="K12554" s="692" t="s">
        <v>4060</v>
      </c>
    </row>
    <row r="12555" spans="1:11">
      <c r="A12555" s="688" t="s">
        <v>2328</v>
      </c>
      <c r="B12555" s="689">
        <v>6.2</v>
      </c>
      <c r="C12555" s="689">
        <v>6.4</v>
      </c>
      <c r="D12555" s="689">
        <v>6.2</v>
      </c>
      <c r="E12555" s="689">
        <v>6.3</v>
      </c>
      <c r="F12555" s="689">
        <v>6.4</v>
      </c>
      <c r="G12555" s="689">
        <v>6.7</v>
      </c>
      <c r="H12555" s="689">
        <v>6.5</v>
      </c>
      <c r="I12555" s="689">
        <v>5.6</v>
      </c>
      <c r="J12555" s="689">
        <v>5.5</v>
      </c>
      <c r="K12555" s="690" t="s">
        <v>4060</v>
      </c>
    </row>
    <row r="12556" spans="1:11">
      <c r="A12556" s="688" t="s">
        <v>2496</v>
      </c>
      <c r="B12556" s="692" t="s">
        <v>4060</v>
      </c>
      <c r="C12556" s="691">
        <v>7.8</v>
      </c>
      <c r="D12556" s="691">
        <v>6.4</v>
      </c>
      <c r="E12556" s="691">
        <v>5.8</v>
      </c>
      <c r="F12556" s="691">
        <v>6.2</v>
      </c>
      <c r="G12556" s="691">
        <v>6.3</v>
      </c>
      <c r="H12556" s="691">
        <v>6.2</v>
      </c>
      <c r="I12556" s="692" t="s">
        <v>4060</v>
      </c>
      <c r="J12556" s="692" t="s">
        <v>4060</v>
      </c>
      <c r="K12556" s="691">
        <v>5.6</v>
      </c>
    </row>
    <row r="12557" spans="1:11">
      <c r="A12557" s="688" t="s">
        <v>2269</v>
      </c>
      <c r="B12557" s="689">
        <v>7.4</v>
      </c>
      <c r="C12557" s="689">
        <v>7.3</v>
      </c>
      <c r="D12557" s="693">
        <v>7</v>
      </c>
      <c r="E12557" s="689">
        <v>7.3</v>
      </c>
      <c r="F12557" s="689">
        <v>7.4</v>
      </c>
      <c r="G12557" s="689">
        <v>7.6</v>
      </c>
      <c r="H12557" s="693">
        <v>8</v>
      </c>
      <c r="I12557" s="689">
        <v>6.8</v>
      </c>
      <c r="J12557" s="689">
        <v>4.5999999999999996</v>
      </c>
      <c r="K12557" s="689">
        <v>7.7</v>
      </c>
    </row>
    <row r="12558" spans="1:11">
      <c r="A12558" s="688" t="s">
        <v>2349</v>
      </c>
      <c r="B12558" s="691">
        <v>6.7</v>
      </c>
      <c r="C12558" s="691">
        <v>6.8</v>
      </c>
      <c r="D12558" s="691">
        <v>6.7</v>
      </c>
      <c r="E12558" s="615">
        <v>7</v>
      </c>
      <c r="F12558" s="615">
        <v>7</v>
      </c>
      <c r="G12558" s="691">
        <v>7.2</v>
      </c>
      <c r="H12558" s="691">
        <v>7.3</v>
      </c>
      <c r="I12558" s="691">
        <v>6.6</v>
      </c>
      <c r="J12558" s="691">
        <v>5.7</v>
      </c>
      <c r="K12558" s="691">
        <v>6.6</v>
      </c>
    </row>
    <row r="12559" spans="1:11">
      <c r="A12559" s="688" t="s">
        <v>2355</v>
      </c>
      <c r="B12559" s="689">
        <v>8.1</v>
      </c>
      <c r="C12559" s="689">
        <v>7.9</v>
      </c>
      <c r="D12559" s="689">
        <v>7.8</v>
      </c>
      <c r="E12559" s="689">
        <v>7.8</v>
      </c>
      <c r="F12559" s="689">
        <v>7.9</v>
      </c>
      <c r="G12559" s="689">
        <v>8.1999999999999993</v>
      </c>
      <c r="H12559" s="689">
        <v>8.1</v>
      </c>
      <c r="I12559" s="690" t="s">
        <v>4060</v>
      </c>
      <c r="J12559" s="690" t="s">
        <v>4060</v>
      </c>
      <c r="K12559" s="690" t="s">
        <v>4060</v>
      </c>
    </row>
    <row r="12560" spans="1:11">
      <c r="A12560" s="688" t="s">
        <v>2357</v>
      </c>
      <c r="B12560" s="692" t="s">
        <v>4060</v>
      </c>
      <c r="C12560" s="615">
        <v>7</v>
      </c>
      <c r="D12560" s="691">
        <v>7.2</v>
      </c>
      <c r="E12560" s="691">
        <v>7.4</v>
      </c>
      <c r="F12560" s="691">
        <v>7.6</v>
      </c>
      <c r="G12560" s="691">
        <v>7.2</v>
      </c>
      <c r="H12560" s="691">
        <v>7.4</v>
      </c>
      <c r="I12560" s="692" t="s">
        <v>4060</v>
      </c>
      <c r="J12560" s="692" t="s">
        <v>4060</v>
      </c>
      <c r="K12560" s="692" t="s">
        <v>4060</v>
      </c>
    </row>
    <row r="12561" spans="1:11">
      <c r="A12561" s="688" t="s">
        <v>4070</v>
      </c>
      <c r="B12561" s="690" t="s">
        <v>4060</v>
      </c>
      <c r="C12561" s="690" t="s">
        <v>4060</v>
      </c>
      <c r="D12561" s="690" t="s">
        <v>4060</v>
      </c>
      <c r="E12561" s="689">
        <v>7.7</v>
      </c>
      <c r="F12561" s="690" t="s">
        <v>4060</v>
      </c>
      <c r="G12561" s="690" t="s">
        <v>4060</v>
      </c>
      <c r="H12561" s="690" t="s">
        <v>4060</v>
      </c>
      <c r="I12561" s="690" t="s">
        <v>4060</v>
      </c>
      <c r="J12561" s="690" t="s">
        <v>4060</v>
      </c>
      <c r="K12561" s="690" t="s">
        <v>4060</v>
      </c>
    </row>
    <row r="12562" spans="1:11">
      <c r="A12562" s="688" t="s">
        <v>2491</v>
      </c>
      <c r="B12562" s="691">
        <v>6.4</v>
      </c>
      <c r="C12562" s="691">
        <v>6.6</v>
      </c>
      <c r="D12562" s="691">
        <v>6.6</v>
      </c>
      <c r="E12562" s="691">
        <v>6.6</v>
      </c>
      <c r="F12562" s="691">
        <v>6.6</v>
      </c>
      <c r="G12562" s="691">
        <v>6.7</v>
      </c>
      <c r="H12562" s="692" t="s">
        <v>4060</v>
      </c>
      <c r="I12562" s="692" t="s">
        <v>4060</v>
      </c>
      <c r="J12562" s="692" t="s">
        <v>4060</v>
      </c>
      <c r="K12562" s="692" t="s">
        <v>4060</v>
      </c>
    </row>
    <row r="12563" spans="1:11">
      <c r="A12563" s="688" t="s">
        <v>2343</v>
      </c>
      <c r="B12563" s="690" t="s">
        <v>4060</v>
      </c>
      <c r="C12563" s="690" t="s">
        <v>4060</v>
      </c>
      <c r="D12563" s="690" t="s">
        <v>4060</v>
      </c>
      <c r="E12563" s="690" t="s">
        <v>4060</v>
      </c>
      <c r="F12563" s="690" t="s">
        <v>4060</v>
      </c>
      <c r="G12563" s="690" t="s">
        <v>4060</v>
      </c>
      <c r="H12563" s="690" t="s">
        <v>4060</v>
      </c>
      <c r="I12563" s="690" t="s">
        <v>4060</v>
      </c>
      <c r="J12563" s="690" t="s">
        <v>4060</v>
      </c>
      <c r="K12563" s="690" t="s">
        <v>4060</v>
      </c>
    </row>
    <row r="12564" spans="1:11">
      <c r="A12564" s="688" t="s">
        <v>4071</v>
      </c>
      <c r="B12564" s="692" t="s">
        <v>4060</v>
      </c>
      <c r="C12564" s="692" t="s">
        <v>4060</v>
      </c>
      <c r="D12564" s="692" t="s">
        <v>4060</v>
      </c>
      <c r="E12564" s="692" t="s">
        <v>4060</v>
      </c>
      <c r="F12564" s="692" t="s">
        <v>4060</v>
      </c>
      <c r="G12564" s="692" t="s">
        <v>4060</v>
      </c>
      <c r="H12564" s="692" t="s">
        <v>4060</v>
      </c>
      <c r="I12564" s="692" t="s">
        <v>4060</v>
      </c>
      <c r="J12564" s="692" t="s">
        <v>4060</v>
      </c>
      <c r="K12564" s="692" t="s">
        <v>4060</v>
      </c>
    </row>
    <row r="12565" spans="1:11">
      <c r="A12565" s="688" t="s">
        <v>2489</v>
      </c>
      <c r="B12565" s="690" t="s">
        <v>4060</v>
      </c>
      <c r="C12565" s="690" t="s">
        <v>4060</v>
      </c>
      <c r="D12565" s="689">
        <v>7.6</v>
      </c>
      <c r="E12565" s="689">
        <v>7.5</v>
      </c>
      <c r="F12565" s="689">
        <v>7.6</v>
      </c>
      <c r="G12565" s="689">
        <v>7.7</v>
      </c>
      <c r="H12565" s="689">
        <v>8.1999999999999993</v>
      </c>
      <c r="I12565" s="690" t="s">
        <v>4060</v>
      </c>
      <c r="J12565" s="690" t="s">
        <v>4060</v>
      </c>
      <c r="K12565" s="690" t="s">
        <v>4060</v>
      </c>
    </row>
    <row r="12566" spans="1:11">
      <c r="A12566" s="688" t="s">
        <v>2490</v>
      </c>
      <c r="B12566" s="691">
        <v>7.7</v>
      </c>
      <c r="C12566" s="691">
        <v>7.5</v>
      </c>
      <c r="D12566" s="691">
        <v>8.1999999999999993</v>
      </c>
      <c r="E12566" s="692" t="s">
        <v>4060</v>
      </c>
      <c r="F12566" s="691">
        <v>8.8000000000000007</v>
      </c>
      <c r="G12566" s="691">
        <v>8.3000000000000007</v>
      </c>
      <c r="H12566" s="691">
        <v>9.1</v>
      </c>
      <c r="I12566" s="692" t="s">
        <v>4060</v>
      </c>
      <c r="J12566" s="692" t="s">
        <v>4060</v>
      </c>
      <c r="K12566" s="692" t="s">
        <v>4060</v>
      </c>
    </row>
    <row r="12568" spans="1:11">
      <c r="A12568" s="683" t="s">
        <v>4233</v>
      </c>
    </row>
    <row r="12569" spans="1:11">
      <c r="A12569" s="683" t="s">
        <v>4060</v>
      </c>
      <c r="B12569" s="682" t="s">
        <v>4234</v>
      </c>
    </row>
    <row r="12571" spans="1:11">
      <c r="A12571" s="682" t="s">
        <v>4331</v>
      </c>
    </row>
    <row r="12572" spans="1:11">
      <c r="A12572" s="682" t="s">
        <v>4210</v>
      </c>
      <c r="B12572" s="683" t="s">
        <v>4211</v>
      </c>
    </row>
    <row r="12573" spans="1:11">
      <c r="A12573" s="682" t="s">
        <v>4212</v>
      </c>
      <c r="B12573" s="682" t="s">
        <v>4213</v>
      </c>
    </row>
    <row r="12575" spans="1:11">
      <c r="A12575" s="683" t="s">
        <v>4214</v>
      </c>
      <c r="C12575" s="682" t="s">
        <v>4215</v>
      </c>
    </row>
    <row r="12576" spans="1:11">
      <c r="A12576" s="683" t="s">
        <v>4216</v>
      </c>
      <c r="C12576" s="682" t="s">
        <v>2967</v>
      </c>
    </row>
    <row r="12577" spans="1:11">
      <c r="A12577" s="683" t="s">
        <v>3893</v>
      </c>
      <c r="C12577" s="682" t="s">
        <v>2168</v>
      </c>
    </row>
    <row r="12578" spans="1:11">
      <c r="A12578" s="683" t="s">
        <v>4218</v>
      </c>
      <c r="C12578" s="682" t="s">
        <v>4314</v>
      </c>
    </row>
    <row r="12580" spans="1:11">
      <c r="A12580" s="684" t="s">
        <v>4220</v>
      </c>
      <c r="B12580" s="685" t="s">
        <v>4221</v>
      </c>
      <c r="C12580" s="685" t="s">
        <v>4222</v>
      </c>
      <c r="D12580" s="685" t="s">
        <v>4223</v>
      </c>
      <c r="E12580" s="685" t="s">
        <v>4224</v>
      </c>
      <c r="F12580" s="685" t="s">
        <v>4225</v>
      </c>
      <c r="G12580" s="685" t="s">
        <v>4226</v>
      </c>
      <c r="H12580" s="685" t="s">
        <v>4227</v>
      </c>
      <c r="I12580" s="685" t="s">
        <v>4228</v>
      </c>
      <c r="J12580" s="685" t="s">
        <v>4229</v>
      </c>
      <c r="K12580" s="685" t="s">
        <v>4230</v>
      </c>
    </row>
    <row r="12581" spans="1:11">
      <c r="A12581" s="686" t="s">
        <v>4231</v>
      </c>
      <c r="B12581" s="687" t="s">
        <v>4232</v>
      </c>
      <c r="C12581" s="687" t="s">
        <v>4232</v>
      </c>
      <c r="D12581" s="687" t="s">
        <v>4232</v>
      </c>
      <c r="E12581" s="687" t="s">
        <v>4232</v>
      </c>
      <c r="F12581" s="687" t="s">
        <v>4232</v>
      </c>
      <c r="G12581" s="687" t="s">
        <v>4232</v>
      </c>
      <c r="H12581" s="687" t="s">
        <v>4232</v>
      </c>
      <c r="I12581" s="687" t="s">
        <v>4232</v>
      </c>
      <c r="J12581" s="687" t="s">
        <v>4232</v>
      </c>
      <c r="K12581" s="687" t="s">
        <v>4232</v>
      </c>
    </row>
    <row r="12582" spans="1:11">
      <c r="A12582" s="688" t="s">
        <v>4064</v>
      </c>
      <c r="B12582" s="691">
        <v>8.3000000000000007</v>
      </c>
      <c r="C12582" s="691">
        <v>8.1</v>
      </c>
      <c r="D12582" s="691">
        <v>8.1999999999999993</v>
      </c>
      <c r="E12582" s="691">
        <v>8.1999999999999993</v>
      </c>
      <c r="F12582" s="691">
        <v>8.1</v>
      </c>
      <c r="G12582" s="691">
        <v>8.1999999999999993</v>
      </c>
      <c r="H12582" s="691">
        <v>8.4</v>
      </c>
      <c r="I12582" s="691">
        <v>7.9</v>
      </c>
      <c r="J12582" s="615">
        <v>8</v>
      </c>
      <c r="K12582" s="691">
        <v>8.1</v>
      </c>
    </row>
    <row r="12583" spans="1:11">
      <c r="A12583" s="688" t="s">
        <v>4065</v>
      </c>
      <c r="B12583" s="689">
        <v>8.3000000000000007</v>
      </c>
      <c r="C12583" s="689">
        <v>8.5</v>
      </c>
      <c r="D12583" s="689">
        <v>8.3000000000000007</v>
      </c>
      <c r="E12583" s="689">
        <v>8.5</v>
      </c>
      <c r="F12583" s="689">
        <v>8.4</v>
      </c>
      <c r="G12583" s="689">
        <v>8.6</v>
      </c>
      <c r="H12583" s="690" t="s">
        <v>4060</v>
      </c>
      <c r="I12583" s="690" t="s">
        <v>4060</v>
      </c>
      <c r="J12583" s="690" t="s">
        <v>4060</v>
      </c>
      <c r="K12583" s="690" t="s">
        <v>4060</v>
      </c>
    </row>
    <row r="12584" spans="1:11">
      <c r="A12584" s="688" t="s">
        <v>4063</v>
      </c>
      <c r="B12584" s="691">
        <v>8.3000000000000007</v>
      </c>
      <c r="C12584" s="691">
        <v>8.5</v>
      </c>
      <c r="D12584" s="691">
        <v>8.3000000000000007</v>
      </c>
      <c r="E12584" s="691">
        <v>8.5</v>
      </c>
      <c r="F12584" s="691">
        <v>8.5</v>
      </c>
      <c r="G12584" s="691">
        <v>8.6</v>
      </c>
      <c r="H12584" s="692" t="s">
        <v>4060</v>
      </c>
      <c r="I12584" s="692" t="s">
        <v>4060</v>
      </c>
      <c r="J12584" s="692" t="s">
        <v>4060</v>
      </c>
      <c r="K12584" s="692" t="s">
        <v>4060</v>
      </c>
    </row>
    <row r="12585" spans="1:11">
      <c r="A12585" s="688" t="s">
        <v>4069</v>
      </c>
      <c r="B12585" s="690" t="s">
        <v>4060</v>
      </c>
      <c r="C12585" s="689">
        <v>8.3000000000000007</v>
      </c>
      <c r="D12585" s="689">
        <v>8.1</v>
      </c>
      <c r="E12585" s="689">
        <v>8.4</v>
      </c>
      <c r="F12585" s="689">
        <v>8.3000000000000007</v>
      </c>
      <c r="G12585" s="689">
        <v>8.4</v>
      </c>
      <c r="H12585" s="689">
        <v>8.6</v>
      </c>
      <c r="I12585" s="689">
        <v>8.1</v>
      </c>
      <c r="J12585" s="689">
        <v>8.3000000000000007</v>
      </c>
      <c r="K12585" s="689">
        <v>8.3000000000000007</v>
      </c>
    </row>
    <row r="12586" spans="1:11">
      <c r="A12586" s="688" t="s">
        <v>4068</v>
      </c>
      <c r="B12586" s="691">
        <v>8.5</v>
      </c>
      <c r="C12586" s="692" t="s">
        <v>4060</v>
      </c>
      <c r="D12586" s="692" t="s">
        <v>4060</v>
      </c>
      <c r="E12586" s="692" t="s">
        <v>4060</v>
      </c>
      <c r="F12586" s="692" t="s">
        <v>4060</v>
      </c>
      <c r="G12586" s="692" t="s">
        <v>4060</v>
      </c>
      <c r="H12586" s="692" t="s">
        <v>4060</v>
      </c>
      <c r="I12586" s="692" t="s">
        <v>4060</v>
      </c>
      <c r="J12586" s="692" t="s">
        <v>4060</v>
      </c>
      <c r="K12586" s="692" t="s">
        <v>4060</v>
      </c>
    </row>
    <row r="12587" spans="1:11">
      <c r="A12587" s="688" t="s">
        <v>0</v>
      </c>
      <c r="B12587" s="689">
        <v>8.1</v>
      </c>
      <c r="C12587" s="689">
        <v>8.1999999999999993</v>
      </c>
      <c r="D12587" s="689">
        <v>8.1</v>
      </c>
      <c r="E12587" s="689">
        <v>8.3000000000000007</v>
      </c>
      <c r="F12587" s="689">
        <v>8.3000000000000007</v>
      </c>
      <c r="G12587" s="689">
        <v>8.3000000000000007</v>
      </c>
      <c r="H12587" s="689">
        <v>8.6</v>
      </c>
      <c r="I12587" s="689">
        <v>7.7</v>
      </c>
      <c r="J12587" s="689">
        <v>8.5</v>
      </c>
      <c r="K12587" s="689">
        <v>8.5</v>
      </c>
    </row>
    <row r="12588" spans="1:11">
      <c r="A12588" s="688" t="s">
        <v>1</v>
      </c>
      <c r="B12588" s="691">
        <v>6.6</v>
      </c>
      <c r="C12588" s="691">
        <v>6.3</v>
      </c>
      <c r="D12588" s="691">
        <v>6.2</v>
      </c>
      <c r="E12588" s="691">
        <v>6.4</v>
      </c>
      <c r="F12588" s="691">
        <v>6.2</v>
      </c>
      <c r="G12588" s="691">
        <v>6.3</v>
      </c>
      <c r="H12588" s="691">
        <v>6.4</v>
      </c>
      <c r="I12588" s="691">
        <v>5.7</v>
      </c>
      <c r="J12588" s="691">
        <v>5.0999999999999996</v>
      </c>
      <c r="K12588" s="691">
        <v>5.9</v>
      </c>
    </row>
    <row r="12589" spans="1:11">
      <c r="A12589" s="688" t="s">
        <v>2240</v>
      </c>
      <c r="B12589" s="689">
        <v>7.2</v>
      </c>
      <c r="C12589" s="689">
        <v>7.2</v>
      </c>
      <c r="D12589" s="693">
        <v>7</v>
      </c>
      <c r="E12589" s="689">
        <v>7.3</v>
      </c>
      <c r="F12589" s="689">
        <v>7.2</v>
      </c>
      <c r="G12589" s="689">
        <v>7.3</v>
      </c>
      <c r="H12589" s="689">
        <v>7.4</v>
      </c>
      <c r="I12589" s="689">
        <v>6.6</v>
      </c>
      <c r="J12589" s="689">
        <v>6.5</v>
      </c>
      <c r="K12589" s="689">
        <v>7.1</v>
      </c>
    </row>
    <row r="12590" spans="1:11">
      <c r="A12590" s="688" t="s">
        <v>2</v>
      </c>
      <c r="B12590" s="691">
        <v>7.8</v>
      </c>
      <c r="C12590" s="615">
        <v>8</v>
      </c>
      <c r="D12590" s="691">
        <v>7.9</v>
      </c>
      <c r="E12590" s="615">
        <v>8</v>
      </c>
      <c r="F12590" s="615">
        <v>8</v>
      </c>
      <c r="G12590" s="691">
        <v>7.9</v>
      </c>
      <c r="H12590" s="691">
        <v>8.1999999999999993</v>
      </c>
      <c r="I12590" s="691">
        <v>8.1</v>
      </c>
      <c r="J12590" s="691">
        <v>8.1</v>
      </c>
      <c r="K12590" s="615">
        <v>8</v>
      </c>
    </row>
    <row r="12591" spans="1:11">
      <c r="A12591" s="688" t="s">
        <v>3</v>
      </c>
      <c r="B12591" s="693">
        <v>8</v>
      </c>
      <c r="C12591" s="693">
        <v>8</v>
      </c>
      <c r="D12591" s="689">
        <v>7.8</v>
      </c>
      <c r="E12591" s="693">
        <v>8</v>
      </c>
      <c r="F12591" s="693">
        <v>8</v>
      </c>
      <c r="G12591" s="693">
        <v>8</v>
      </c>
      <c r="H12591" s="689">
        <v>8.3000000000000007</v>
      </c>
      <c r="I12591" s="689">
        <v>8.1</v>
      </c>
      <c r="J12591" s="693">
        <v>8</v>
      </c>
      <c r="K12591" s="689">
        <v>7.8</v>
      </c>
    </row>
    <row r="12592" spans="1:11">
      <c r="A12592" s="688" t="s">
        <v>4061</v>
      </c>
      <c r="B12592" s="615">
        <v>8</v>
      </c>
      <c r="C12592" s="615">
        <v>8</v>
      </c>
      <c r="D12592" s="691">
        <v>7.8</v>
      </c>
      <c r="E12592" s="615">
        <v>8</v>
      </c>
      <c r="F12592" s="615">
        <v>8</v>
      </c>
      <c r="G12592" s="615">
        <v>8</v>
      </c>
      <c r="H12592" s="691">
        <v>8.3000000000000007</v>
      </c>
      <c r="I12592" s="691">
        <v>8.1</v>
      </c>
      <c r="J12592" s="615">
        <v>8</v>
      </c>
      <c r="K12592" s="691">
        <v>7.8</v>
      </c>
    </row>
    <row r="12593" spans="1:11">
      <c r="A12593" s="688" t="s">
        <v>4</v>
      </c>
      <c r="B12593" s="689">
        <v>7.5</v>
      </c>
      <c r="C12593" s="689">
        <v>7.1</v>
      </c>
      <c r="D12593" s="689">
        <v>7.4</v>
      </c>
      <c r="E12593" s="689">
        <v>7.4</v>
      </c>
      <c r="F12593" s="689">
        <v>7.4</v>
      </c>
      <c r="G12593" s="689">
        <v>7.4</v>
      </c>
      <c r="H12593" s="689">
        <v>7.7</v>
      </c>
      <c r="I12593" s="689">
        <v>7.7</v>
      </c>
      <c r="J12593" s="689">
        <v>6.8</v>
      </c>
      <c r="K12593" s="689">
        <v>7.1</v>
      </c>
    </row>
    <row r="12594" spans="1:11">
      <c r="A12594" s="688" t="s">
        <v>8</v>
      </c>
      <c r="B12594" s="691">
        <v>7.8</v>
      </c>
      <c r="C12594" s="691">
        <v>7.9</v>
      </c>
      <c r="D12594" s="691">
        <v>7.9</v>
      </c>
      <c r="E12594" s="691">
        <v>7.9</v>
      </c>
      <c r="F12594" s="691">
        <v>8.3000000000000007</v>
      </c>
      <c r="G12594" s="691">
        <v>8.3000000000000007</v>
      </c>
      <c r="H12594" s="691">
        <v>8.4</v>
      </c>
      <c r="I12594" s="691">
        <v>8.3000000000000007</v>
      </c>
      <c r="J12594" s="691">
        <v>8.1999999999999993</v>
      </c>
      <c r="K12594" s="691">
        <v>8.4</v>
      </c>
    </row>
    <row r="12595" spans="1:11">
      <c r="A12595" s="688" t="s">
        <v>7</v>
      </c>
      <c r="B12595" s="689">
        <v>8.9</v>
      </c>
      <c r="C12595" s="689">
        <v>7.9</v>
      </c>
      <c r="D12595" s="689">
        <v>7.8</v>
      </c>
      <c r="E12595" s="689">
        <v>8.1</v>
      </c>
      <c r="F12595" s="693">
        <v>8</v>
      </c>
      <c r="G12595" s="689">
        <v>8.3000000000000007</v>
      </c>
      <c r="H12595" s="689">
        <v>8.3000000000000007</v>
      </c>
      <c r="I12595" s="689">
        <v>8.3000000000000007</v>
      </c>
      <c r="J12595" s="689">
        <v>7.9</v>
      </c>
      <c r="K12595" s="693">
        <v>8</v>
      </c>
    </row>
    <row r="12596" spans="1:11">
      <c r="A12596" s="688" t="s">
        <v>27</v>
      </c>
      <c r="B12596" s="691">
        <v>9.1</v>
      </c>
      <c r="C12596" s="691">
        <v>8.6999999999999993</v>
      </c>
      <c r="D12596" s="691">
        <v>8.5</v>
      </c>
      <c r="E12596" s="691">
        <v>8.8000000000000007</v>
      </c>
      <c r="F12596" s="691">
        <v>8.6</v>
      </c>
      <c r="G12596" s="691">
        <v>8.6999999999999993</v>
      </c>
      <c r="H12596" s="691">
        <v>8.9</v>
      </c>
      <c r="I12596" s="691">
        <v>8.1</v>
      </c>
      <c r="J12596" s="691">
        <v>8.6999999999999993</v>
      </c>
      <c r="K12596" s="691">
        <v>8.6999999999999993</v>
      </c>
    </row>
    <row r="12597" spans="1:11">
      <c r="A12597" s="688" t="s">
        <v>6</v>
      </c>
      <c r="B12597" s="689">
        <v>9.1999999999999993</v>
      </c>
      <c r="C12597" s="693">
        <v>9</v>
      </c>
      <c r="D12597" s="689">
        <v>8.8000000000000007</v>
      </c>
      <c r="E12597" s="693">
        <v>9</v>
      </c>
      <c r="F12597" s="693">
        <v>9</v>
      </c>
      <c r="G12597" s="689">
        <v>9.1</v>
      </c>
      <c r="H12597" s="689">
        <v>9.1999999999999993</v>
      </c>
      <c r="I12597" s="689">
        <v>8.6999999999999993</v>
      </c>
      <c r="J12597" s="689">
        <v>8.9</v>
      </c>
      <c r="K12597" s="693">
        <v>9</v>
      </c>
    </row>
    <row r="12598" spans="1:11">
      <c r="A12598" s="688" t="s">
        <v>4058</v>
      </c>
      <c r="B12598" s="692" t="s">
        <v>4060</v>
      </c>
      <c r="C12598" s="692" t="s">
        <v>4060</v>
      </c>
      <c r="D12598" s="692" t="s">
        <v>4060</v>
      </c>
      <c r="E12598" s="692" t="s">
        <v>4060</v>
      </c>
      <c r="F12598" s="692" t="s">
        <v>4060</v>
      </c>
      <c r="G12598" s="692" t="s">
        <v>4060</v>
      </c>
      <c r="H12598" s="692" t="s">
        <v>4060</v>
      </c>
      <c r="I12598" s="692" t="s">
        <v>4060</v>
      </c>
      <c r="J12598" s="692" t="s">
        <v>4060</v>
      </c>
      <c r="K12598" s="692" t="s">
        <v>4060</v>
      </c>
    </row>
    <row r="12599" spans="1:11">
      <c r="A12599" s="688" t="s">
        <v>11</v>
      </c>
      <c r="B12599" s="689">
        <v>6.8</v>
      </c>
      <c r="C12599" s="689">
        <v>6.7</v>
      </c>
      <c r="D12599" s="689">
        <v>6.5</v>
      </c>
      <c r="E12599" s="689">
        <v>6.7</v>
      </c>
      <c r="F12599" s="689">
        <v>6.7</v>
      </c>
      <c r="G12599" s="689">
        <v>6.8</v>
      </c>
      <c r="H12599" s="693">
        <v>7</v>
      </c>
      <c r="I12599" s="689">
        <v>6.5</v>
      </c>
      <c r="J12599" s="689">
        <v>6.1</v>
      </c>
      <c r="K12599" s="689">
        <v>6.5</v>
      </c>
    </row>
    <row r="12600" spans="1:11">
      <c r="A12600" s="688" t="s">
        <v>10</v>
      </c>
      <c r="B12600" s="691">
        <v>8.6</v>
      </c>
      <c r="C12600" s="691">
        <v>8.4</v>
      </c>
      <c r="D12600" s="691">
        <v>8.1</v>
      </c>
      <c r="E12600" s="691">
        <v>8.5</v>
      </c>
      <c r="F12600" s="691">
        <v>8.3000000000000007</v>
      </c>
      <c r="G12600" s="691">
        <v>8.6</v>
      </c>
      <c r="H12600" s="691">
        <v>8.6999999999999993</v>
      </c>
      <c r="I12600" s="615">
        <v>8</v>
      </c>
      <c r="J12600" s="691">
        <v>8.4</v>
      </c>
      <c r="K12600" s="691">
        <v>8.3000000000000007</v>
      </c>
    </row>
    <row r="12601" spans="1:11">
      <c r="A12601" s="688" t="s">
        <v>30</v>
      </c>
      <c r="B12601" s="689">
        <v>8.3000000000000007</v>
      </c>
      <c r="C12601" s="689">
        <v>8.3000000000000007</v>
      </c>
      <c r="D12601" s="689">
        <v>7.8</v>
      </c>
      <c r="E12601" s="689">
        <v>8.4</v>
      </c>
      <c r="F12601" s="689">
        <v>8.1</v>
      </c>
      <c r="G12601" s="689">
        <v>8.6999999999999993</v>
      </c>
      <c r="H12601" s="689">
        <v>8.5</v>
      </c>
      <c r="I12601" s="689">
        <v>8.6</v>
      </c>
      <c r="J12601" s="689">
        <v>8.3000000000000007</v>
      </c>
      <c r="K12601" s="689">
        <v>8.4</v>
      </c>
    </row>
    <row r="12602" spans="1:11">
      <c r="A12602" s="688" t="s">
        <v>12</v>
      </c>
      <c r="B12602" s="691">
        <v>6.9</v>
      </c>
      <c r="C12602" s="691">
        <v>6.7</v>
      </c>
      <c r="D12602" s="691">
        <v>6.8</v>
      </c>
      <c r="E12602" s="691">
        <v>6.7</v>
      </c>
      <c r="F12602" s="691">
        <v>6.7</v>
      </c>
      <c r="G12602" s="691">
        <v>6.8</v>
      </c>
      <c r="H12602" s="615">
        <v>7</v>
      </c>
      <c r="I12602" s="691">
        <v>6.9</v>
      </c>
      <c r="J12602" s="691">
        <v>6.1</v>
      </c>
      <c r="K12602" s="691">
        <v>6.6</v>
      </c>
    </row>
    <row r="12603" spans="1:11">
      <c r="A12603" s="688" t="s">
        <v>14</v>
      </c>
      <c r="B12603" s="689">
        <v>6.9</v>
      </c>
      <c r="C12603" s="689">
        <v>6.6</v>
      </c>
      <c r="D12603" s="689">
        <v>6.5</v>
      </c>
      <c r="E12603" s="689">
        <v>6.5</v>
      </c>
      <c r="F12603" s="689">
        <v>6.4</v>
      </c>
      <c r="G12603" s="689">
        <v>6.5</v>
      </c>
      <c r="H12603" s="689">
        <v>6.7</v>
      </c>
      <c r="I12603" s="689">
        <v>6.4</v>
      </c>
      <c r="J12603" s="689">
        <v>6.2</v>
      </c>
      <c r="K12603" s="689">
        <v>6.7</v>
      </c>
    </row>
    <row r="12604" spans="1:11">
      <c r="A12604" s="688" t="s">
        <v>15</v>
      </c>
      <c r="B12604" s="691">
        <v>8.9</v>
      </c>
      <c r="C12604" s="691">
        <v>8.1</v>
      </c>
      <c r="D12604" s="691">
        <v>8.3000000000000007</v>
      </c>
      <c r="E12604" s="691">
        <v>8.3000000000000007</v>
      </c>
      <c r="F12604" s="691">
        <v>8.6</v>
      </c>
      <c r="G12604" s="691">
        <v>8.1999999999999993</v>
      </c>
      <c r="H12604" s="691">
        <v>8.5</v>
      </c>
      <c r="I12604" s="615">
        <v>8</v>
      </c>
      <c r="J12604" s="691">
        <v>8.5</v>
      </c>
      <c r="K12604" s="691">
        <v>8.6</v>
      </c>
    </row>
    <row r="12605" spans="1:11">
      <c r="A12605" s="688" t="s">
        <v>29</v>
      </c>
      <c r="B12605" s="689">
        <v>6.8</v>
      </c>
      <c r="C12605" s="689">
        <v>6.8</v>
      </c>
      <c r="D12605" s="689">
        <v>6.6</v>
      </c>
      <c r="E12605" s="689">
        <v>6.8</v>
      </c>
      <c r="F12605" s="689">
        <v>6.7</v>
      </c>
      <c r="G12605" s="689">
        <v>6.8</v>
      </c>
      <c r="H12605" s="689">
        <v>6.9</v>
      </c>
      <c r="I12605" s="689">
        <v>6.5</v>
      </c>
      <c r="J12605" s="689">
        <v>6.2</v>
      </c>
      <c r="K12605" s="689">
        <v>6.6</v>
      </c>
    </row>
    <row r="12606" spans="1:11">
      <c r="A12606" s="688" t="s">
        <v>16</v>
      </c>
      <c r="B12606" s="691">
        <v>8.1</v>
      </c>
      <c r="C12606" s="691">
        <v>8.1999999999999993</v>
      </c>
      <c r="D12606" s="691">
        <v>7.8</v>
      </c>
      <c r="E12606" s="691">
        <v>8.5</v>
      </c>
      <c r="F12606" s="691">
        <v>8.1</v>
      </c>
      <c r="G12606" s="691">
        <v>8.1999999999999993</v>
      </c>
      <c r="H12606" s="691">
        <v>8.1999999999999993</v>
      </c>
      <c r="I12606" s="691">
        <v>7.9</v>
      </c>
      <c r="J12606" s="691">
        <v>8.1999999999999993</v>
      </c>
      <c r="K12606" s="691">
        <v>8.1999999999999993</v>
      </c>
    </row>
    <row r="12607" spans="1:11">
      <c r="A12607" s="688" t="s">
        <v>17</v>
      </c>
      <c r="B12607" s="693">
        <v>8</v>
      </c>
      <c r="C12607" s="693">
        <v>8</v>
      </c>
      <c r="D12607" s="689">
        <v>7.9</v>
      </c>
      <c r="E12607" s="689">
        <v>7.9</v>
      </c>
      <c r="F12607" s="693">
        <v>8</v>
      </c>
      <c r="G12607" s="689">
        <v>8.1</v>
      </c>
      <c r="H12607" s="689">
        <v>8.1999999999999993</v>
      </c>
      <c r="I12607" s="689">
        <v>7.7</v>
      </c>
      <c r="J12607" s="689">
        <v>7.8</v>
      </c>
      <c r="K12607" s="689">
        <v>8.1</v>
      </c>
    </row>
    <row r="12608" spans="1:11">
      <c r="A12608" s="688" t="s">
        <v>19</v>
      </c>
      <c r="B12608" s="691">
        <v>8.3000000000000007</v>
      </c>
      <c r="C12608" s="691">
        <v>8.1999999999999993</v>
      </c>
      <c r="D12608" s="615">
        <v>8</v>
      </c>
      <c r="E12608" s="691">
        <v>8.3000000000000007</v>
      </c>
      <c r="F12608" s="691">
        <v>8.3000000000000007</v>
      </c>
      <c r="G12608" s="691">
        <v>8.3000000000000007</v>
      </c>
      <c r="H12608" s="691">
        <v>8.4</v>
      </c>
      <c r="I12608" s="615">
        <v>8</v>
      </c>
      <c r="J12608" s="691">
        <v>8.1999999999999993</v>
      </c>
      <c r="K12608" s="691">
        <v>8.1</v>
      </c>
    </row>
    <row r="12609" spans="1:11">
      <c r="A12609" s="688" t="s">
        <v>20</v>
      </c>
      <c r="B12609" s="689">
        <v>7.5</v>
      </c>
      <c r="C12609" s="689">
        <v>7.5</v>
      </c>
      <c r="D12609" s="689">
        <v>7.4</v>
      </c>
      <c r="E12609" s="689">
        <v>7.7</v>
      </c>
      <c r="F12609" s="689">
        <v>7.5</v>
      </c>
      <c r="G12609" s="689">
        <v>7.6</v>
      </c>
      <c r="H12609" s="689">
        <v>7.8</v>
      </c>
      <c r="I12609" s="689">
        <v>6.8</v>
      </c>
      <c r="J12609" s="689">
        <v>6.5</v>
      </c>
      <c r="K12609" s="689">
        <v>7.3</v>
      </c>
    </row>
    <row r="12610" spans="1:11">
      <c r="A12610" s="688" t="s">
        <v>21</v>
      </c>
      <c r="B12610" s="691">
        <v>7.8</v>
      </c>
      <c r="C12610" s="691">
        <v>8.1</v>
      </c>
      <c r="D12610" s="691">
        <v>8.1</v>
      </c>
      <c r="E12610" s="691">
        <v>8.1</v>
      </c>
      <c r="F12610" s="691">
        <v>8.1999999999999993</v>
      </c>
      <c r="G12610" s="691">
        <v>8.1999999999999993</v>
      </c>
      <c r="H12610" s="691">
        <v>8.5</v>
      </c>
      <c r="I12610" s="691">
        <v>8.1</v>
      </c>
      <c r="J12610" s="691">
        <v>8.1999999999999993</v>
      </c>
      <c r="K12610" s="691">
        <v>8.3000000000000007</v>
      </c>
    </row>
    <row r="12611" spans="1:11">
      <c r="A12611" s="688" t="s">
        <v>22</v>
      </c>
      <c r="B12611" s="693">
        <v>7</v>
      </c>
      <c r="C12611" s="689">
        <v>6.8</v>
      </c>
      <c r="D12611" s="689">
        <v>6.7</v>
      </c>
      <c r="E12611" s="693">
        <v>7</v>
      </c>
      <c r="F12611" s="693">
        <v>7</v>
      </c>
      <c r="G12611" s="689">
        <v>7.1</v>
      </c>
      <c r="H12611" s="689">
        <v>7.4</v>
      </c>
      <c r="I12611" s="689">
        <v>6.5</v>
      </c>
      <c r="J12611" s="689">
        <v>5.8</v>
      </c>
      <c r="K12611" s="689">
        <v>6.4</v>
      </c>
    </row>
    <row r="12612" spans="1:11">
      <c r="A12612" s="688" t="s">
        <v>26</v>
      </c>
      <c r="B12612" s="691">
        <v>7.9</v>
      </c>
      <c r="C12612" s="691">
        <v>7.8</v>
      </c>
      <c r="D12612" s="691">
        <v>7.7</v>
      </c>
      <c r="E12612" s="691">
        <v>7.9</v>
      </c>
      <c r="F12612" s="691">
        <v>7.7</v>
      </c>
      <c r="G12612" s="691">
        <v>7.9</v>
      </c>
      <c r="H12612" s="691">
        <v>8.3000000000000007</v>
      </c>
      <c r="I12612" s="691">
        <v>7.3</v>
      </c>
      <c r="J12612" s="691">
        <v>7.7</v>
      </c>
      <c r="K12612" s="615">
        <v>8</v>
      </c>
    </row>
    <row r="12613" spans="1:11">
      <c r="A12613" s="688" t="s">
        <v>25</v>
      </c>
      <c r="B12613" s="689">
        <v>6.8</v>
      </c>
      <c r="C12613" s="689">
        <v>6.9</v>
      </c>
      <c r="D12613" s="689">
        <v>6.9</v>
      </c>
      <c r="E12613" s="689">
        <v>7.2</v>
      </c>
      <c r="F12613" s="693">
        <v>7</v>
      </c>
      <c r="G12613" s="689">
        <v>7.2</v>
      </c>
      <c r="H12613" s="689">
        <v>7.6</v>
      </c>
      <c r="I12613" s="689">
        <v>6.9</v>
      </c>
      <c r="J12613" s="689">
        <v>6.1</v>
      </c>
      <c r="K12613" s="689">
        <v>6.9</v>
      </c>
    </row>
    <row r="12614" spans="1:11">
      <c r="A12614" s="688" t="s">
        <v>5</v>
      </c>
      <c r="B12614" s="691">
        <v>8.3000000000000007</v>
      </c>
      <c r="C12614" s="615">
        <v>8</v>
      </c>
      <c r="D12614" s="691">
        <v>8.1</v>
      </c>
      <c r="E12614" s="615">
        <v>8</v>
      </c>
      <c r="F12614" s="691">
        <v>8.1</v>
      </c>
      <c r="G12614" s="691">
        <v>8.1999999999999993</v>
      </c>
      <c r="H12614" s="691">
        <v>8.4</v>
      </c>
      <c r="I12614" s="691">
        <v>8.4</v>
      </c>
      <c r="J12614" s="691">
        <v>8.3000000000000007</v>
      </c>
      <c r="K12614" s="691">
        <v>7.9</v>
      </c>
    </row>
    <row r="12615" spans="1:11">
      <c r="A12615" s="688" t="s">
        <v>23</v>
      </c>
      <c r="B12615" s="689">
        <v>8.1999999999999993</v>
      </c>
      <c r="C12615" s="689">
        <v>8.1999999999999993</v>
      </c>
      <c r="D12615" s="689">
        <v>8.1999999999999993</v>
      </c>
      <c r="E12615" s="689">
        <v>8.3000000000000007</v>
      </c>
      <c r="F12615" s="689">
        <v>8.3000000000000007</v>
      </c>
      <c r="G12615" s="689">
        <v>8.4</v>
      </c>
      <c r="H12615" s="689">
        <v>8.6999999999999993</v>
      </c>
      <c r="I12615" s="689">
        <v>8.1</v>
      </c>
      <c r="J12615" s="689">
        <v>8.6</v>
      </c>
      <c r="K12615" s="689">
        <v>8.6</v>
      </c>
    </row>
    <row r="12616" spans="1:11">
      <c r="A12616" s="688" t="s">
        <v>4067</v>
      </c>
      <c r="B12616" s="691">
        <v>8.3000000000000007</v>
      </c>
      <c r="C12616" s="691">
        <v>8.5</v>
      </c>
      <c r="D12616" s="691">
        <v>8.3000000000000007</v>
      </c>
      <c r="E12616" s="691">
        <v>8.5</v>
      </c>
      <c r="F12616" s="691">
        <v>8.4</v>
      </c>
      <c r="G12616" s="691">
        <v>8.6</v>
      </c>
      <c r="H12616" s="692" t="s">
        <v>4060</v>
      </c>
      <c r="I12616" s="692" t="s">
        <v>4060</v>
      </c>
      <c r="J12616" s="692" t="s">
        <v>4060</v>
      </c>
      <c r="K12616" s="692" t="s">
        <v>4060</v>
      </c>
    </row>
    <row r="12617" spans="1:11">
      <c r="A12617" s="688" t="s">
        <v>4066</v>
      </c>
      <c r="B12617" s="689">
        <v>8.3000000000000007</v>
      </c>
      <c r="C12617" s="689">
        <v>8.5</v>
      </c>
      <c r="D12617" s="689">
        <v>8.3000000000000007</v>
      </c>
      <c r="E12617" s="689">
        <v>8.5</v>
      </c>
      <c r="F12617" s="689">
        <v>8.5</v>
      </c>
      <c r="G12617" s="689">
        <v>8.6</v>
      </c>
      <c r="H12617" s="690" t="s">
        <v>4060</v>
      </c>
      <c r="I12617" s="690" t="s">
        <v>4060</v>
      </c>
      <c r="J12617" s="690" t="s">
        <v>4060</v>
      </c>
      <c r="K12617" s="690" t="s">
        <v>4060</v>
      </c>
    </row>
    <row r="12618" spans="1:11">
      <c r="A12618" s="688" t="s">
        <v>4062</v>
      </c>
      <c r="B12618" s="691">
        <v>8.5</v>
      </c>
      <c r="C12618" s="691">
        <v>8.4</v>
      </c>
      <c r="D12618" s="691">
        <v>8.4</v>
      </c>
      <c r="E12618" s="691">
        <v>8.6</v>
      </c>
      <c r="F12618" s="691">
        <v>8.6999999999999993</v>
      </c>
      <c r="G12618" s="691">
        <v>8.8000000000000007</v>
      </c>
      <c r="H12618" s="691">
        <v>8.9</v>
      </c>
      <c r="I12618" s="691">
        <v>8.4</v>
      </c>
      <c r="J12618" s="691">
        <v>8.9</v>
      </c>
      <c r="K12618" s="691">
        <v>8.6</v>
      </c>
    </row>
    <row r="12619" spans="1:11">
      <c r="A12619" s="688" t="s">
        <v>9</v>
      </c>
      <c r="B12619" s="689">
        <v>8.1999999999999993</v>
      </c>
      <c r="C12619" s="689">
        <v>8.4</v>
      </c>
      <c r="D12619" s="689">
        <v>8.3000000000000007</v>
      </c>
      <c r="E12619" s="689">
        <v>7.9</v>
      </c>
      <c r="F12619" s="689">
        <v>8.5</v>
      </c>
      <c r="G12619" s="689">
        <v>8.6999999999999993</v>
      </c>
      <c r="H12619" s="689">
        <v>8.6</v>
      </c>
      <c r="I12619" s="689">
        <v>9.1</v>
      </c>
      <c r="J12619" s="689">
        <v>9.3000000000000007</v>
      </c>
      <c r="K12619" s="689">
        <v>8.5</v>
      </c>
    </row>
    <row r="12620" spans="1:11">
      <c r="A12620" s="688" t="s">
        <v>13</v>
      </c>
      <c r="B12620" s="691">
        <v>7.4</v>
      </c>
      <c r="C12620" s="691">
        <v>8.1</v>
      </c>
      <c r="D12620" s="691">
        <v>7.7</v>
      </c>
      <c r="E12620" s="691">
        <v>7.9</v>
      </c>
      <c r="F12620" s="691">
        <v>9.8000000000000007</v>
      </c>
      <c r="G12620" s="691">
        <v>8.6</v>
      </c>
      <c r="H12620" s="691">
        <v>8.8000000000000007</v>
      </c>
      <c r="I12620" s="691">
        <v>7.3</v>
      </c>
      <c r="J12620" s="691">
        <v>9.5</v>
      </c>
      <c r="K12620" s="691">
        <v>9.5</v>
      </c>
    </row>
    <row r="12621" spans="1:11">
      <c r="A12621" s="688" t="s">
        <v>18</v>
      </c>
      <c r="B12621" s="689">
        <v>8.1999999999999993</v>
      </c>
      <c r="C12621" s="689">
        <v>8.1999999999999993</v>
      </c>
      <c r="D12621" s="689">
        <v>8.1999999999999993</v>
      </c>
      <c r="E12621" s="689">
        <v>8.4</v>
      </c>
      <c r="F12621" s="689">
        <v>8.4</v>
      </c>
      <c r="G12621" s="689">
        <v>8.5</v>
      </c>
      <c r="H12621" s="689">
        <v>8.6999999999999993</v>
      </c>
      <c r="I12621" s="689">
        <v>8.6999999999999993</v>
      </c>
      <c r="J12621" s="689">
        <v>8.8000000000000007</v>
      </c>
      <c r="K12621" s="689">
        <v>8.3000000000000007</v>
      </c>
    </row>
    <row r="12622" spans="1:11">
      <c r="A12622" s="688" t="s">
        <v>24</v>
      </c>
      <c r="B12622" s="691">
        <v>8.6</v>
      </c>
      <c r="C12622" s="691">
        <v>8.6</v>
      </c>
      <c r="D12622" s="691">
        <v>8.5</v>
      </c>
      <c r="E12622" s="691">
        <v>8.8000000000000007</v>
      </c>
      <c r="F12622" s="691">
        <v>8.8000000000000007</v>
      </c>
      <c r="G12622" s="691">
        <v>8.9</v>
      </c>
      <c r="H12622" s="615">
        <v>9</v>
      </c>
      <c r="I12622" s="691">
        <v>8.3000000000000007</v>
      </c>
      <c r="J12622" s="615">
        <v>9</v>
      </c>
      <c r="K12622" s="691">
        <v>8.8000000000000007</v>
      </c>
    </row>
    <row r="12623" spans="1:11">
      <c r="A12623" s="688" t="s">
        <v>4059</v>
      </c>
      <c r="B12623" s="689">
        <v>8.5</v>
      </c>
      <c r="C12623" s="689">
        <v>8.6999999999999993</v>
      </c>
      <c r="D12623" s="689">
        <v>8.4</v>
      </c>
      <c r="E12623" s="689">
        <v>8.6999999999999993</v>
      </c>
      <c r="F12623" s="689">
        <v>8.6</v>
      </c>
      <c r="G12623" s="689">
        <v>8.6999999999999993</v>
      </c>
      <c r="H12623" s="690" t="s">
        <v>4060</v>
      </c>
      <c r="I12623" s="690" t="s">
        <v>4060</v>
      </c>
      <c r="J12623" s="690" t="s">
        <v>4060</v>
      </c>
      <c r="K12623" s="690" t="s">
        <v>4060</v>
      </c>
    </row>
    <row r="12624" spans="1:11">
      <c r="A12624" s="688" t="s">
        <v>2324</v>
      </c>
      <c r="B12624" s="615">
        <v>7</v>
      </c>
      <c r="C12624" s="615">
        <v>7</v>
      </c>
      <c r="D12624" s="691">
        <v>6.9</v>
      </c>
      <c r="E12624" s="691">
        <v>6.8</v>
      </c>
      <c r="F12624" s="691">
        <v>6.9</v>
      </c>
      <c r="G12624" s="691">
        <v>7.1</v>
      </c>
      <c r="H12624" s="691">
        <v>7.1</v>
      </c>
      <c r="I12624" s="691">
        <v>6.4</v>
      </c>
      <c r="J12624" s="691">
        <v>5.3</v>
      </c>
      <c r="K12624" s="692" t="s">
        <v>4060</v>
      </c>
    </row>
    <row r="12625" spans="1:11">
      <c r="A12625" s="688" t="s">
        <v>2322</v>
      </c>
      <c r="B12625" s="690" t="s">
        <v>4060</v>
      </c>
      <c r="C12625" s="690" t="s">
        <v>4060</v>
      </c>
      <c r="D12625" s="690" t="s">
        <v>4060</v>
      </c>
      <c r="E12625" s="690" t="s">
        <v>4060</v>
      </c>
      <c r="F12625" s="690" t="s">
        <v>4060</v>
      </c>
      <c r="G12625" s="690" t="s">
        <v>4060</v>
      </c>
      <c r="H12625" s="690" t="s">
        <v>4060</v>
      </c>
      <c r="I12625" s="690" t="s">
        <v>4060</v>
      </c>
      <c r="J12625" s="690" t="s">
        <v>4060</v>
      </c>
      <c r="K12625" s="690" t="s">
        <v>4060</v>
      </c>
    </row>
    <row r="12626" spans="1:11">
      <c r="A12626" s="688" t="s">
        <v>2328</v>
      </c>
      <c r="B12626" s="691">
        <v>5.8</v>
      </c>
      <c r="C12626" s="615">
        <v>6</v>
      </c>
      <c r="D12626" s="691">
        <v>5.8</v>
      </c>
      <c r="E12626" s="691">
        <v>5.8</v>
      </c>
      <c r="F12626" s="691">
        <v>5.9</v>
      </c>
      <c r="G12626" s="691">
        <v>6.2</v>
      </c>
      <c r="H12626" s="691">
        <v>6.1</v>
      </c>
      <c r="I12626" s="691">
        <v>5.2</v>
      </c>
      <c r="J12626" s="691">
        <v>5.0999999999999996</v>
      </c>
      <c r="K12626" s="692" t="s">
        <v>4060</v>
      </c>
    </row>
    <row r="12627" spans="1:11">
      <c r="A12627" s="688" t="s">
        <v>2496</v>
      </c>
      <c r="B12627" s="690" t="s">
        <v>4060</v>
      </c>
      <c r="C12627" s="689">
        <v>7.6</v>
      </c>
      <c r="D12627" s="689">
        <v>6.1</v>
      </c>
      <c r="E12627" s="689">
        <v>5.4</v>
      </c>
      <c r="F12627" s="689">
        <v>5.7</v>
      </c>
      <c r="G12627" s="689">
        <v>5.9</v>
      </c>
      <c r="H12627" s="689">
        <v>5.8</v>
      </c>
      <c r="I12627" s="690" t="s">
        <v>4060</v>
      </c>
      <c r="J12627" s="690" t="s">
        <v>4060</v>
      </c>
      <c r="K12627" s="689">
        <v>5.0999999999999996</v>
      </c>
    </row>
    <row r="12628" spans="1:11">
      <c r="A12628" s="688" t="s">
        <v>2269</v>
      </c>
      <c r="B12628" s="691">
        <v>6.9</v>
      </c>
      <c r="C12628" s="691">
        <v>6.9</v>
      </c>
      <c r="D12628" s="691">
        <v>6.5</v>
      </c>
      <c r="E12628" s="691">
        <v>6.8</v>
      </c>
      <c r="F12628" s="691">
        <v>6.8</v>
      </c>
      <c r="G12628" s="691">
        <v>7.1</v>
      </c>
      <c r="H12628" s="691">
        <v>7.5</v>
      </c>
      <c r="I12628" s="691">
        <v>6.3</v>
      </c>
      <c r="J12628" s="691">
        <v>3.9</v>
      </c>
      <c r="K12628" s="691">
        <v>7.2</v>
      </c>
    </row>
    <row r="12629" spans="1:11">
      <c r="A12629" s="688" t="s">
        <v>2349</v>
      </c>
      <c r="B12629" s="689">
        <v>6.3</v>
      </c>
      <c r="C12629" s="689">
        <v>6.4</v>
      </c>
      <c r="D12629" s="689">
        <v>6.3</v>
      </c>
      <c r="E12629" s="689">
        <v>6.6</v>
      </c>
      <c r="F12629" s="689">
        <v>6.5</v>
      </c>
      <c r="G12629" s="689">
        <v>6.7</v>
      </c>
      <c r="H12629" s="689">
        <v>6.9</v>
      </c>
      <c r="I12629" s="689">
        <v>6.2</v>
      </c>
      <c r="J12629" s="689">
        <v>5.4</v>
      </c>
      <c r="K12629" s="689">
        <v>6.1</v>
      </c>
    </row>
    <row r="12630" spans="1:11">
      <c r="A12630" s="688" t="s">
        <v>2355</v>
      </c>
      <c r="B12630" s="691">
        <v>7.6</v>
      </c>
      <c r="C12630" s="691">
        <v>7.4</v>
      </c>
      <c r="D12630" s="691">
        <v>7.4</v>
      </c>
      <c r="E12630" s="691">
        <v>7.3</v>
      </c>
      <c r="F12630" s="691">
        <v>7.4</v>
      </c>
      <c r="G12630" s="691">
        <v>7.7</v>
      </c>
      <c r="H12630" s="691">
        <v>7.7</v>
      </c>
      <c r="I12630" s="692" t="s">
        <v>4060</v>
      </c>
      <c r="J12630" s="692" t="s">
        <v>4060</v>
      </c>
      <c r="K12630" s="692" t="s">
        <v>4060</v>
      </c>
    </row>
    <row r="12631" spans="1:11">
      <c r="A12631" s="688" t="s">
        <v>2357</v>
      </c>
      <c r="B12631" s="690" t="s">
        <v>4060</v>
      </c>
      <c r="C12631" s="689">
        <v>6.8</v>
      </c>
      <c r="D12631" s="689">
        <v>6.9</v>
      </c>
      <c r="E12631" s="689">
        <v>7.2</v>
      </c>
      <c r="F12631" s="689">
        <v>7.3</v>
      </c>
      <c r="G12631" s="689">
        <v>6.9</v>
      </c>
      <c r="H12631" s="693">
        <v>7</v>
      </c>
      <c r="I12631" s="690" t="s">
        <v>4060</v>
      </c>
      <c r="J12631" s="690" t="s">
        <v>4060</v>
      </c>
      <c r="K12631" s="690" t="s">
        <v>4060</v>
      </c>
    </row>
    <row r="12632" spans="1:11">
      <c r="A12632" s="688" t="s">
        <v>4070</v>
      </c>
      <c r="B12632" s="692" t="s">
        <v>4060</v>
      </c>
      <c r="C12632" s="692" t="s">
        <v>4060</v>
      </c>
      <c r="D12632" s="692" t="s">
        <v>4060</v>
      </c>
      <c r="E12632" s="691">
        <v>7.4</v>
      </c>
      <c r="F12632" s="692" t="s">
        <v>4060</v>
      </c>
      <c r="G12632" s="692" t="s">
        <v>4060</v>
      </c>
      <c r="H12632" s="692" t="s">
        <v>4060</v>
      </c>
      <c r="I12632" s="692" t="s">
        <v>4060</v>
      </c>
      <c r="J12632" s="692" t="s">
        <v>4060</v>
      </c>
      <c r="K12632" s="692" t="s">
        <v>4060</v>
      </c>
    </row>
    <row r="12633" spans="1:11">
      <c r="A12633" s="688" t="s">
        <v>2491</v>
      </c>
      <c r="B12633" s="689">
        <v>6.1</v>
      </c>
      <c r="C12633" s="689">
        <v>6.3</v>
      </c>
      <c r="D12633" s="689">
        <v>6.3</v>
      </c>
      <c r="E12633" s="689">
        <v>6.2</v>
      </c>
      <c r="F12633" s="689">
        <v>6.2</v>
      </c>
      <c r="G12633" s="689">
        <v>6.3</v>
      </c>
      <c r="H12633" s="690" t="s">
        <v>4060</v>
      </c>
      <c r="I12633" s="690" t="s">
        <v>4060</v>
      </c>
      <c r="J12633" s="690" t="s">
        <v>4060</v>
      </c>
      <c r="K12633" s="690" t="s">
        <v>4060</v>
      </c>
    </row>
    <row r="12634" spans="1:11">
      <c r="A12634" s="688" t="s">
        <v>2343</v>
      </c>
      <c r="B12634" s="692" t="s">
        <v>4060</v>
      </c>
      <c r="C12634" s="692" t="s">
        <v>4060</v>
      </c>
      <c r="D12634" s="692" t="s">
        <v>4060</v>
      </c>
      <c r="E12634" s="692" t="s">
        <v>4060</v>
      </c>
      <c r="F12634" s="692" t="s">
        <v>4060</v>
      </c>
      <c r="G12634" s="692" t="s">
        <v>4060</v>
      </c>
      <c r="H12634" s="692" t="s">
        <v>4060</v>
      </c>
      <c r="I12634" s="692" t="s">
        <v>4060</v>
      </c>
      <c r="J12634" s="692" t="s">
        <v>4060</v>
      </c>
      <c r="K12634" s="692" t="s">
        <v>4060</v>
      </c>
    </row>
    <row r="12635" spans="1:11">
      <c r="A12635" s="688" t="s">
        <v>4071</v>
      </c>
      <c r="B12635" s="690" t="s">
        <v>4060</v>
      </c>
      <c r="C12635" s="690" t="s">
        <v>4060</v>
      </c>
      <c r="D12635" s="690" t="s">
        <v>4060</v>
      </c>
      <c r="E12635" s="690" t="s">
        <v>4060</v>
      </c>
      <c r="F12635" s="690" t="s">
        <v>4060</v>
      </c>
      <c r="G12635" s="690" t="s">
        <v>4060</v>
      </c>
      <c r="H12635" s="690" t="s">
        <v>4060</v>
      </c>
      <c r="I12635" s="690" t="s">
        <v>4060</v>
      </c>
      <c r="J12635" s="690" t="s">
        <v>4060</v>
      </c>
      <c r="K12635" s="690" t="s">
        <v>4060</v>
      </c>
    </row>
    <row r="12636" spans="1:11">
      <c r="A12636" s="688" t="s">
        <v>2489</v>
      </c>
      <c r="B12636" s="692" t="s">
        <v>4060</v>
      </c>
      <c r="C12636" s="692" t="s">
        <v>4060</v>
      </c>
      <c r="D12636" s="691">
        <v>7.2</v>
      </c>
      <c r="E12636" s="691">
        <v>7.1</v>
      </c>
      <c r="F12636" s="691">
        <v>7.3</v>
      </c>
      <c r="G12636" s="691">
        <v>7.2</v>
      </c>
      <c r="H12636" s="691">
        <v>7.8</v>
      </c>
      <c r="I12636" s="692" t="s">
        <v>4060</v>
      </c>
      <c r="J12636" s="692" t="s">
        <v>4060</v>
      </c>
      <c r="K12636" s="692" t="s">
        <v>4060</v>
      </c>
    </row>
    <row r="12637" spans="1:11">
      <c r="A12637" s="688" t="s">
        <v>2490</v>
      </c>
      <c r="B12637" s="689">
        <v>7.4</v>
      </c>
      <c r="C12637" s="689">
        <v>7.1</v>
      </c>
      <c r="D12637" s="689">
        <v>7.9</v>
      </c>
      <c r="E12637" s="690" t="s">
        <v>4060</v>
      </c>
      <c r="F12637" s="689">
        <v>8.5</v>
      </c>
      <c r="G12637" s="689">
        <v>7.9</v>
      </c>
      <c r="H12637" s="689">
        <v>8.8000000000000007</v>
      </c>
      <c r="I12637" s="690" t="s">
        <v>4060</v>
      </c>
      <c r="J12637" s="690" t="s">
        <v>4060</v>
      </c>
      <c r="K12637" s="690" t="s">
        <v>4060</v>
      </c>
    </row>
    <row r="12639" spans="1:11">
      <c r="A12639" s="683" t="s">
        <v>4233</v>
      </c>
    </row>
    <row r="12640" spans="1:11">
      <c r="A12640" s="683" t="s">
        <v>4060</v>
      </c>
      <c r="B12640" s="682" t="s">
        <v>4234</v>
      </c>
    </row>
    <row r="12642" spans="1:11">
      <c r="A12642" s="682" t="s">
        <v>4331</v>
      </c>
    </row>
    <row r="12643" spans="1:11">
      <c r="A12643" s="682" t="s">
        <v>4210</v>
      </c>
      <c r="B12643" s="683" t="s">
        <v>4211</v>
      </c>
    </row>
    <row r="12644" spans="1:11">
      <c r="A12644" s="682" t="s">
        <v>4212</v>
      </c>
      <c r="B12644" s="682" t="s">
        <v>4213</v>
      </c>
    </row>
    <row r="12646" spans="1:11">
      <c r="A12646" s="683" t="s">
        <v>4214</v>
      </c>
      <c r="C12646" s="682" t="s">
        <v>4215</v>
      </c>
    </row>
    <row r="12647" spans="1:11">
      <c r="A12647" s="683" t="s">
        <v>4216</v>
      </c>
      <c r="C12647" s="682" t="s">
        <v>2967</v>
      </c>
    </row>
    <row r="12648" spans="1:11">
      <c r="A12648" s="683" t="s">
        <v>3893</v>
      </c>
      <c r="C12648" s="682" t="s">
        <v>2168</v>
      </c>
    </row>
    <row r="12649" spans="1:11">
      <c r="A12649" s="683" t="s">
        <v>4218</v>
      </c>
      <c r="C12649" s="682" t="s">
        <v>4315</v>
      </c>
    </row>
    <row r="12651" spans="1:11">
      <c r="A12651" s="684" t="s">
        <v>4220</v>
      </c>
      <c r="B12651" s="685" t="s">
        <v>4221</v>
      </c>
      <c r="C12651" s="685" t="s">
        <v>4222</v>
      </c>
      <c r="D12651" s="685" t="s">
        <v>4223</v>
      </c>
      <c r="E12651" s="685" t="s">
        <v>4224</v>
      </c>
      <c r="F12651" s="685" t="s">
        <v>4225</v>
      </c>
      <c r="G12651" s="685" t="s">
        <v>4226</v>
      </c>
      <c r="H12651" s="685" t="s">
        <v>4227</v>
      </c>
      <c r="I12651" s="685" t="s">
        <v>4228</v>
      </c>
      <c r="J12651" s="685" t="s">
        <v>4229</v>
      </c>
      <c r="K12651" s="685" t="s">
        <v>4230</v>
      </c>
    </row>
    <row r="12652" spans="1:11">
      <c r="A12652" s="686" t="s">
        <v>4231</v>
      </c>
      <c r="B12652" s="687" t="s">
        <v>4232</v>
      </c>
      <c r="C12652" s="687" t="s">
        <v>4232</v>
      </c>
      <c r="D12652" s="687" t="s">
        <v>4232</v>
      </c>
      <c r="E12652" s="687" t="s">
        <v>4232</v>
      </c>
      <c r="F12652" s="687" t="s">
        <v>4232</v>
      </c>
      <c r="G12652" s="687" t="s">
        <v>4232</v>
      </c>
      <c r="H12652" s="687" t="s">
        <v>4232</v>
      </c>
      <c r="I12652" s="687" t="s">
        <v>4232</v>
      </c>
      <c r="J12652" s="687" t="s">
        <v>4232</v>
      </c>
      <c r="K12652" s="687" t="s">
        <v>4232</v>
      </c>
    </row>
    <row r="12653" spans="1:11">
      <c r="A12653" s="688" t="s">
        <v>4064</v>
      </c>
      <c r="B12653" s="689">
        <v>7.8</v>
      </c>
      <c r="C12653" s="689">
        <v>7.6</v>
      </c>
      <c r="D12653" s="689">
        <v>7.7</v>
      </c>
      <c r="E12653" s="689">
        <v>7.6</v>
      </c>
      <c r="F12653" s="689">
        <v>7.6</v>
      </c>
      <c r="G12653" s="689">
        <v>7.7</v>
      </c>
      <c r="H12653" s="689">
        <v>7.9</v>
      </c>
      <c r="I12653" s="689">
        <v>7.4</v>
      </c>
      <c r="J12653" s="689">
        <v>7.4</v>
      </c>
      <c r="K12653" s="689">
        <v>7.5</v>
      </c>
    </row>
    <row r="12654" spans="1:11">
      <c r="A12654" s="688" t="s">
        <v>4065</v>
      </c>
      <c r="B12654" s="691">
        <v>7.8</v>
      </c>
      <c r="C12654" s="615">
        <v>8</v>
      </c>
      <c r="D12654" s="691">
        <v>7.8</v>
      </c>
      <c r="E12654" s="615">
        <v>8</v>
      </c>
      <c r="F12654" s="691">
        <v>7.9</v>
      </c>
      <c r="G12654" s="615">
        <v>8</v>
      </c>
      <c r="H12654" s="692" t="s">
        <v>4060</v>
      </c>
      <c r="I12654" s="692" t="s">
        <v>4060</v>
      </c>
      <c r="J12654" s="692" t="s">
        <v>4060</v>
      </c>
      <c r="K12654" s="692" t="s">
        <v>4060</v>
      </c>
    </row>
    <row r="12655" spans="1:11">
      <c r="A12655" s="688" t="s">
        <v>4063</v>
      </c>
      <c r="B12655" s="689">
        <v>7.8</v>
      </c>
      <c r="C12655" s="693">
        <v>8</v>
      </c>
      <c r="D12655" s="689">
        <v>7.8</v>
      </c>
      <c r="E12655" s="693">
        <v>8</v>
      </c>
      <c r="F12655" s="689">
        <v>7.9</v>
      </c>
      <c r="G12655" s="693">
        <v>8</v>
      </c>
      <c r="H12655" s="690" t="s">
        <v>4060</v>
      </c>
      <c r="I12655" s="690" t="s">
        <v>4060</v>
      </c>
      <c r="J12655" s="690" t="s">
        <v>4060</v>
      </c>
      <c r="K12655" s="690" t="s">
        <v>4060</v>
      </c>
    </row>
    <row r="12656" spans="1:11">
      <c r="A12656" s="688" t="s">
        <v>4069</v>
      </c>
      <c r="B12656" s="692" t="s">
        <v>4060</v>
      </c>
      <c r="C12656" s="691">
        <v>7.8</v>
      </c>
      <c r="D12656" s="691">
        <v>7.6</v>
      </c>
      <c r="E12656" s="691">
        <v>7.8</v>
      </c>
      <c r="F12656" s="691">
        <v>7.8</v>
      </c>
      <c r="G12656" s="691">
        <v>7.9</v>
      </c>
      <c r="H12656" s="615">
        <v>8</v>
      </c>
      <c r="I12656" s="691">
        <v>7.6</v>
      </c>
      <c r="J12656" s="691">
        <v>7.7</v>
      </c>
      <c r="K12656" s="691">
        <v>7.7</v>
      </c>
    </row>
    <row r="12657" spans="1:11">
      <c r="A12657" s="688" t="s">
        <v>4068</v>
      </c>
      <c r="B12657" s="693">
        <v>8</v>
      </c>
      <c r="C12657" s="690" t="s">
        <v>4060</v>
      </c>
      <c r="D12657" s="690" t="s">
        <v>4060</v>
      </c>
      <c r="E12657" s="690" t="s">
        <v>4060</v>
      </c>
      <c r="F12657" s="690" t="s">
        <v>4060</v>
      </c>
      <c r="G12657" s="690" t="s">
        <v>4060</v>
      </c>
      <c r="H12657" s="690" t="s">
        <v>4060</v>
      </c>
      <c r="I12657" s="690" t="s">
        <v>4060</v>
      </c>
      <c r="J12657" s="690" t="s">
        <v>4060</v>
      </c>
      <c r="K12657" s="690" t="s">
        <v>4060</v>
      </c>
    </row>
    <row r="12658" spans="1:11">
      <c r="A12658" s="688" t="s">
        <v>0</v>
      </c>
      <c r="B12658" s="691">
        <v>7.5</v>
      </c>
      <c r="C12658" s="691">
        <v>7.6</v>
      </c>
      <c r="D12658" s="691">
        <v>7.5</v>
      </c>
      <c r="E12658" s="691">
        <v>7.7</v>
      </c>
      <c r="F12658" s="691">
        <v>7.7</v>
      </c>
      <c r="G12658" s="691">
        <v>7.8</v>
      </c>
      <c r="H12658" s="615">
        <v>8</v>
      </c>
      <c r="I12658" s="691">
        <v>7.2</v>
      </c>
      <c r="J12658" s="691">
        <v>7.9</v>
      </c>
      <c r="K12658" s="691">
        <v>7.9</v>
      </c>
    </row>
    <row r="12659" spans="1:11">
      <c r="A12659" s="688" t="s">
        <v>1</v>
      </c>
      <c r="B12659" s="689">
        <v>6.2</v>
      </c>
      <c r="C12659" s="689">
        <v>5.9</v>
      </c>
      <c r="D12659" s="689">
        <v>5.8</v>
      </c>
      <c r="E12659" s="693">
        <v>6</v>
      </c>
      <c r="F12659" s="689">
        <v>5.8</v>
      </c>
      <c r="G12659" s="689">
        <v>5.9</v>
      </c>
      <c r="H12659" s="693">
        <v>6</v>
      </c>
      <c r="I12659" s="689">
        <v>5.4</v>
      </c>
      <c r="J12659" s="689">
        <v>4.8</v>
      </c>
      <c r="K12659" s="689">
        <v>5.5</v>
      </c>
    </row>
    <row r="12660" spans="1:11">
      <c r="A12660" s="688" t="s">
        <v>2240</v>
      </c>
      <c r="B12660" s="691">
        <v>6.7</v>
      </c>
      <c r="C12660" s="691">
        <v>6.7</v>
      </c>
      <c r="D12660" s="691">
        <v>6.5</v>
      </c>
      <c r="E12660" s="691">
        <v>6.8</v>
      </c>
      <c r="F12660" s="691">
        <v>6.8</v>
      </c>
      <c r="G12660" s="691">
        <v>6.9</v>
      </c>
      <c r="H12660" s="691">
        <v>6.9</v>
      </c>
      <c r="I12660" s="691">
        <v>6.2</v>
      </c>
      <c r="J12660" s="691">
        <v>6.1</v>
      </c>
      <c r="K12660" s="691">
        <v>6.7</v>
      </c>
    </row>
    <row r="12661" spans="1:11">
      <c r="A12661" s="688" t="s">
        <v>2</v>
      </c>
      <c r="B12661" s="689">
        <v>7.3</v>
      </c>
      <c r="C12661" s="689">
        <v>7.4</v>
      </c>
      <c r="D12661" s="689">
        <v>7.4</v>
      </c>
      <c r="E12661" s="689">
        <v>7.5</v>
      </c>
      <c r="F12661" s="689">
        <v>7.5</v>
      </c>
      <c r="G12661" s="689">
        <v>7.3</v>
      </c>
      <c r="H12661" s="689">
        <v>7.7</v>
      </c>
      <c r="I12661" s="689">
        <v>7.6</v>
      </c>
      <c r="J12661" s="689">
        <v>7.5</v>
      </c>
      <c r="K12661" s="689">
        <v>7.4</v>
      </c>
    </row>
    <row r="12662" spans="1:11">
      <c r="A12662" s="688" t="s">
        <v>3</v>
      </c>
      <c r="B12662" s="691">
        <v>7.5</v>
      </c>
      <c r="C12662" s="691">
        <v>7.4</v>
      </c>
      <c r="D12662" s="691">
        <v>7.3</v>
      </c>
      <c r="E12662" s="691">
        <v>7.5</v>
      </c>
      <c r="F12662" s="691">
        <v>7.5</v>
      </c>
      <c r="G12662" s="691">
        <v>7.5</v>
      </c>
      <c r="H12662" s="691">
        <v>7.7</v>
      </c>
      <c r="I12662" s="691">
        <v>7.5</v>
      </c>
      <c r="J12662" s="691">
        <v>7.5</v>
      </c>
      <c r="K12662" s="691">
        <v>7.3</v>
      </c>
    </row>
    <row r="12663" spans="1:11">
      <c r="A12663" s="688" t="s">
        <v>4061</v>
      </c>
      <c r="B12663" s="689">
        <v>7.5</v>
      </c>
      <c r="C12663" s="689">
        <v>7.4</v>
      </c>
      <c r="D12663" s="689">
        <v>7.3</v>
      </c>
      <c r="E12663" s="689">
        <v>7.5</v>
      </c>
      <c r="F12663" s="689">
        <v>7.5</v>
      </c>
      <c r="G12663" s="689">
        <v>7.5</v>
      </c>
      <c r="H12663" s="689">
        <v>7.7</v>
      </c>
      <c r="I12663" s="689">
        <v>7.5</v>
      </c>
      <c r="J12663" s="689">
        <v>7.5</v>
      </c>
      <c r="K12663" s="689">
        <v>7.3</v>
      </c>
    </row>
    <row r="12664" spans="1:11">
      <c r="A12664" s="688" t="s">
        <v>4</v>
      </c>
      <c r="B12664" s="691">
        <v>7.2</v>
      </c>
      <c r="C12664" s="691">
        <v>6.7</v>
      </c>
      <c r="D12664" s="615">
        <v>7</v>
      </c>
      <c r="E12664" s="615">
        <v>7</v>
      </c>
      <c r="F12664" s="691">
        <v>6.9</v>
      </c>
      <c r="G12664" s="615">
        <v>7</v>
      </c>
      <c r="H12664" s="691">
        <v>7.2</v>
      </c>
      <c r="I12664" s="691">
        <v>7.2</v>
      </c>
      <c r="J12664" s="691">
        <v>6.4</v>
      </c>
      <c r="K12664" s="691">
        <v>6.7</v>
      </c>
    </row>
    <row r="12665" spans="1:11">
      <c r="A12665" s="688" t="s">
        <v>8</v>
      </c>
      <c r="B12665" s="689">
        <v>7.3</v>
      </c>
      <c r="C12665" s="689">
        <v>7.4</v>
      </c>
      <c r="D12665" s="689">
        <v>7.3</v>
      </c>
      <c r="E12665" s="689">
        <v>7.4</v>
      </c>
      <c r="F12665" s="689">
        <v>7.7</v>
      </c>
      <c r="G12665" s="689">
        <v>7.7</v>
      </c>
      <c r="H12665" s="689">
        <v>7.8</v>
      </c>
      <c r="I12665" s="689">
        <v>7.7</v>
      </c>
      <c r="J12665" s="689">
        <v>7.7</v>
      </c>
      <c r="K12665" s="689">
        <v>7.8</v>
      </c>
    </row>
    <row r="12666" spans="1:11">
      <c r="A12666" s="688" t="s">
        <v>7</v>
      </c>
      <c r="B12666" s="691">
        <v>8.4</v>
      </c>
      <c r="C12666" s="691">
        <v>7.4</v>
      </c>
      <c r="D12666" s="691">
        <v>7.3</v>
      </c>
      <c r="E12666" s="691">
        <v>7.5</v>
      </c>
      <c r="F12666" s="691">
        <v>7.4</v>
      </c>
      <c r="G12666" s="691">
        <v>7.7</v>
      </c>
      <c r="H12666" s="691">
        <v>7.8</v>
      </c>
      <c r="I12666" s="691">
        <v>7.7</v>
      </c>
      <c r="J12666" s="691">
        <v>7.4</v>
      </c>
      <c r="K12666" s="691">
        <v>7.5</v>
      </c>
    </row>
    <row r="12667" spans="1:11">
      <c r="A12667" s="688" t="s">
        <v>27</v>
      </c>
      <c r="B12667" s="689">
        <v>8.5</v>
      </c>
      <c r="C12667" s="689">
        <v>8.1999999999999993</v>
      </c>
      <c r="D12667" s="689">
        <v>7.9</v>
      </c>
      <c r="E12667" s="689">
        <v>8.1999999999999993</v>
      </c>
      <c r="F12667" s="689">
        <v>8.1</v>
      </c>
      <c r="G12667" s="689">
        <v>8.1999999999999993</v>
      </c>
      <c r="H12667" s="689">
        <v>8.4</v>
      </c>
      <c r="I12667" s="689">
        <v>7.6</v>
      </c>
      <c r="J12667" s="689">
        <v>8.1</v>
      </c>
      <c r="K12667" s="689">
        <v>8.1</v>
      </c>
    </row>
    <row r="12668" spans="1:11">
      <c r="A12668" s="688" t="s">
        <v>6</v>
      </c>
      <c r="B12668" s="691">
        <v>8.6</v>
      </c>
      <c r="C12668" s="691">
        <v>8.4</v>
      </c>
      <c r="D12668" s="691">
        <v>8.1999999999999993</v>
      </c>
      <c r="E12668" s="691">
        <v>8.4</v>
      </c>
      <c r="F12668" s="691">
        <v>8.4</v>
      </c>
      <c r="G12668" s="691">
        <v>8.5</v>
      </c>
      <c r="H12668" s="691">
        <v>8.6</v>
      </c>
      <c r="I12668" s="691">
        <v>8.1</v>
      </c>
      <c r="J12668" s="691">
        <v>8.3000000000000007</v>
      </c>
      <c r="K12668" s="691">
        <v>8.4</v>
      </c>
    </row>
    <row r="12669" spans="1:11">
      <c r="A12669" s="688" t="s">
        <v>4058</v>
      </c>
      <c r="B12669" s="690" t="s">
        <v>4060</v>
      </c>
      <c r="C12669" s="690" t="s">
        <v>4060</v>
      </c>
      <c r="D12669" s="690" t="s">
        <v>4060</v>
      </c>
      <c r="E12669" s="690" t="s">
        <v>4060</v>
      </c>
      <c r="F12669" s="690" t="s">
        <v>4060</v>
      </c>
      <c r="G12669" s="690" t="s">
        <v>4060</v>
      </c>
      <c r="H12669" s="690" t="s">
        <v>4060</v>
      </c>
      <c r="I12669" s="690" t="s">
        <v>4060</v>
      </c>
      <c r="J12669" s="690" t="s">
        <v>4060</v>
      </c>
      <c r="K12669" s="690" t="s">
        <v>4060</v>
      </c>
    </row>
    <row r="12670" spans="1:11">
      <c r="A12670" s="688" t="s">
        <v>11</v>
      </c>
      <c r="B12670" s="691">
        <v>6.4</v>
      </c>
      <c r="C12670" s="691">
        <v>6.3</v>
      </c>
      <c r="D12670" s="615">
        <v>6</v>
      </c>
      <c r="E12670" s="691">
        <v>6.3</v>
      </c>
      <c r="F12670" s="691">
        <v>6.2</v>
      </c>
      <c r="G12670" s="691">
        <v>6.4</v>
      </c>
      <c r="H12670" s="691">
        <v>6.5</v>
      </c>
      <c r="I12670" s="691">
        <v>6.1</v>
      </c>
      <c r="J12670" s="691">
        <v>5.7</v>
      </c>
      <c r="K12670" s="615">
        <v>6</v>
      </c>
    </row>
    <row r="12671" spans="1:11">
      <c r="A12671" s="688" t="s">
        <v>10</v>
      </c>
      <c r="B12671" s="693">
        <v>8</v>
      </c>
      <c r="C12671" s="689">
        <v>7.8</v>
      </c>
      <c r="D12671" s="689">
        <v>7.6</v>
      </c>
      <c r="E12671" s="689">
        <v>7.9</v>
      </c>
      <c r="F12671" s="689">
        <v>7.7</v>
      </c>
      <c r="G12671" s="693">
        <v>8</v>
      </c>
      <c r="H12671" s="689">
        <v>8.1</v>
      </c>
      <c r="I12671" s="689">
        <v>7.4</v>
      </c>
      <c r="J12671" s="689">
        <v>7.8</v>
      </c>
      <c r="K12671" s="689">
        <v>7.7</v>
      </c>
    </row>
    <row r="12672" spans="1:11">
      <c r="A12672" s="688" t="s">
        <v>30</v>
      </c>
      <c r="B12672" s="691">
        <v>7.7</v>
      </c>
      <c r="C12672" s="691">
        <v>7.7</v>
      </c>
      <c r="D12672" s="691">
        <v>7.2</v>
      </c>
      <c r="E12672" s="691">
        <v>7.8</v>
      </c>
      <c r="F12672" s="691">
        <v>7.6</v>
      </c>
      <c r="G12672" s="691">
        <v>8.1999999999999993</v>
      </c>
      <c r="H12672" s="615">
        <v>8</v>
      </c>
      <c r="I12672" s="691">
        <v>8.1</v>
      </c>
      <c r="J12672" s="691">
        <v>7.7</v>
      </c>
      <c r="K12672" s="691">
        <v>7.8</v>
      </c>
    </row>
    <row r="12673" spans="1:11">
      <c r="A12673" s="688" t="s">
        <v>12</v>
      </c>
      <c r="B12673" s="689">
        <v>6.6</v>
      </c>
      <c r="C12673" s="689">
        <v>6.4</v>
      </c>
      <c r="D12673" s="689">
        <v>6.4</v>
      </c>
      <c r="E12673" s="689">
        <v>6.2</v>
      </c>
      <c r="F12673" s="689">
        <v>6.4</v>
      </c>
      <c r="G12673" s="689">
        <v>6.5</v>
      </c>
      <c r="H12673" s="689">
        <v>6.6</v>
      </c>
      <c r="I12673" s="689">
        <v>6.5</v>
      </c>
      <c r="J12673" s="689">
        <v>5.7</v>
      </c>
      <c r="K12673" s="689">
        <v>6.2</v>
      </c>
    </row>
    <row r="12674" spans="1:11">
      <c r="A12674" s="688" t="s">
        <v>14</v>
      </c>
      <c r="B12674" s="691">
        <v>6.4</v>
      </c>
      <c r="C12674" s="691">
        <v>6.2</v>
      </c>
      <c r="D12674" s="615">
        <v>6</v>
      </c>
      <c r="E12674" s="691">
        <v>6.1</v>
      </c>
      <c r="F12674" s="691">
        <v>5.9</v>
      </c>
      <c r="G12674" s="615">
        <v>6</v>
      </c>
      <c r="H12674" s="691">
        <v>6.2</v>
      </c>
      <c r="I12674" s="615">
        <v>6</v>
      </c>
      <c r="J12674" s="691">
        <v>5.8</v>
      </c>
      <c r="K12674" s="691">
        <v>6.3</v>
      </c>
    </row>
    <row r="12675" spans="1:11">
      <c r="A12675" s="688" t="s">
        <v>15</v>
      </c>
      <c r="B12675" s="689">
        <v>8.4</v>
      </c>
      <c r="C12675" s="689">
        <v>7.6</v>
      </c>
      <c r="D12675" s="689">
        <v>7.7</v>
      </c>
      <c r="E12675" s="689">
        <v>7.7</v>
      </c>
      <c r="F12675" s="693">
        <v>8</v>
      </c>
      <c r="G12675" s="689">
        <v>7.6</v>
      </c>
      <c r="H12675" s="689">
        <v>7.9</v>
      </c>
      <c r="I12675" s="689">
        <v>7.5</v>
      </c>
      <c r="J12675" s="689">
        <v>7.9</v>
      </c>
      <c r="K12675" s="693">
        <v>8</v>
      </c>
    </row>
    <row r="12676" spans="1:11">
      <c r="A12676" s="688" t="s">
        <v>29</v>
      </c>
      <c r="B12676" s="691">
        <v>6.4</v>
      </c>
      <c r="C12676" s="691">
        <v>6.4</v>
      </c>
      <c r="D12676" s="691">
        <v>6.2</v>
      </c>
      <c r="E12676" s="691">
        <v>6.4</v>
      </c>
      <c r="F12676" s="691">
        <v>6.2</v>
      </c>
      <c r="G12676" s="691">
        <v>6.4</v>
      </c>
      <c r="H12676" s="691">
        <v>6.5</v>
      </c>
      <c r="I12676" s="691">
        <v>6.1</v>
      </c>
      <c r="J12676" s="691">
        <v>5.9</v>
      </c>
      <c r="K12676" s="691">
        <v>6.2</v>
      </c>
    </row>
    <row r="12677" spans="1:11">
      <c r="A12677" s="688" t="s">
        <v>16</v>
      </c>
      <c r="B12677" s="689">
        <v>7.6</v>
      </c>
      <c r="C12677" s="689">
        <v>7.7</v>
      </c>
      <c r="D12677" s="689">
        <v>7.2</v>
      </c>
      <c r="E12677" s="689">
        <v>7.9</v>
      </c>
      <c r="F12677" s="689">
        <v>7.5</v>
      </c>
      <c r="G12677" s="689">
        <v>7.7</v>
      </c>
      <c r="H12677" s="689">
        <v>7.7</v>
      </c>
      <c r="I12677" s="689">
        <v>7.4</v>
      </c>
      <c r="J12677" s="689">
        <v>7.6</v>
      </c>
      <c r="K12677" s="689">
        <v>7.6</v>
      </c>
    </row>
    <row r="12678" spans="1:11">
      <c r="A12678" s="688" t="s">
        <v>17</v>
      </c>
      <c r="B12678" s="691">
        <v>7.5</v>
      </c>
      <c r="C12678" s="691">
        <v>7.5</v>
      </c>
      <c r="D12678" s="691">
        <v>7.3</v>
      </c>
      <c r="E12678" s="691">
        <v>7.4</v>
      </c>
      <c r="F12678" s="691">
        <v>7.5</v>
      </c>
      <c r="G12678" s="691">
        <v>7.5</v>
      </c>
      <c r="H12678" s="691">
        <v>7.6</v>
      </c>
      <c r="I12678" s="691">
        <v>7.1</v>
      </c>
      <c r="J12678" s="691">
        <v>7.3</v>
      </c>
      <c r="K12678" s="691">
        <v>7.5</v>
      </c>
    </row>
    <row r="12679" spans="1:11">
      <c r="A12679" s="688" t="s">
        <v>19</v>
      </c>
      <c r="B12679" s="689">
        <v>7.8</v>
      </c>
      <c r="C12679" s="689">
        <v>7.7</v>
      </c>
      <c r="D12679" s="689">
        <v>7.4</v>
      </c>
      <c r="E12679" s="689">
        <v>7.7</v>
      </c>
      <c r="F12679" s="689">
        <v>7.7</v>
      </c>
      <c r="G12679" s="689">
        <v>7.8</v>
      </c>
      <c r="H12679" s="689">
        <v>7.9</v>
      </c>
      <c r="I12679" s="689">
        <v>7.4</v>
      </c>
      <c r="J12679" s="689">
        <v>7.6</v>
      </c>
      <c r="K12679" s="689">
        <v>7.6</v>
      </c>
    </row>
    <row r="12680" spans="1:11">
      <c r="A12680" s="688" t="s">
        <v>20</v>
      </c>
      <c r="B12680" s="691">
        <v>7.1</v>
      </c>
      <c r="C12680" s="691">
        <v>7.1</v>
      </c>
      <c r="D12680" s="691">
        <v>6.9</v>
      </c>
      <c r="E12680" s="691">
        <v>7.2</v>
      </c>
      <c r="F12680" s="691">
        <v>7.1</v>
      </c>
      <c r="G12680" s="691">
        <v>7.1</v>
      </c>
      <c r="H12680" s="691">
        <v>7.4</v>
      </c>
      <c r="I12680" s="691">
        <v>6.4</v>
      </c>
      <c r="J12680" s="691">
        <v>6.1</v>
      </c>
      <c r="K12680" s="691">
        <v>6.8</v>
      </c>
    </row>
    <row r="12681" spans="1:11">
      <c r="A12681" s="688" t="s">
        <v>21</v>
      </c>
      <c r="B12681" s="689">
        <v>7.3</v>
      </c>
      <c r="C12681" s="689">
        <v>7.6</v>
      </c>
      <c r="D12681" s="689">
        <v>7.6</v>
      </c>
      <c r="E12681" s="689">
        <v>7.6</v>
      </c>
      <c r="F12681" s="689">
        <v>7.7</v>
      </c>
      <c r="G12681" s="689">
        <v>7.7</v>
      </c>
      <c r="H12681" s="689">
        <v>7.9</v>
      </c>
      <c r="I12681" s="689">
        <v>7.6</v>
      </c>
      <c r="J12681" s="689">
        <v>7.6</v>
      </c>
      <c r="K12681" s="689">
        <v>7.7</v>
      </c>
    </row>
    <row r="12682" spans="1:11">
      <c r="A12682" s="688" t="s">
        <v>22</v>
      </c>
      <c r="B12682" s="691">
        <v>6.6</v>
      </c>
      <c r="C12682" s="691">
        <v>6.5</v>
      </c>
      <c r="D12682" s="691">
        <v>6.3</v>
      </c>
      <c r="E12682" s="691">
        <v>6.6</v>
      </c>
      <c r="F12682" s="691">
        <v>6.6</v>
      </c>
      <c r="G12682" s="691">
        <v>6.7</v>
      </c>
      <c r="H12682" s="615">
        <v>7</v>
      </c>
      <c r="I12682" s="691">
        <v>6.2</v>
      </c>
      <c r="J12682" s="691">
        <v>5.5</v>
      </c>
      <c r="K12682" s="615">
        <v>6</v>
      </c>
    </row>
    <row r="12683" spans="1:11">
      <c r="A12683" s="688" t="s">
        <v>26</v>
      </c>
      <c r="B12683" s="689">
        <v>7.5</v>
      </c>
      <c r="C12683" s="689">
        <v>7.3</v>
      </c>
      <c r="D12683" s="689">
        <v>7.2</v>
      </c>
      <c r="E12683" s="689">
        <v>7.4</v>
      </c>
      <c r="F12683" s="689">
        <v>7.2</v>
      </c>
      <c r="G12683" s="689">
        <v>7.4</v>
      </c>
      <c r="H12683" s="689">
        <v>7.7</v>
      </c>
      <c r="I12683" s="689">
        <v>6.8</v>
      </c>
      <c r="J12683" s="689">
        <v>7.1</v>
      </c>
      <c r="K12683" s="689">
        <v>7.5</v>
      </c>
    </row>
    <row r="12684" spans="1:11">
      <c r="A12684" s="688" t="s">
        <v>25</v>
      </c>
      <c r="B12684" s="691">
        <v>6.4</v>
      </c>
      <c r="C12684" s="691">
        <v>6.5</v>
      </c>
      <c r="D12684" s="691">
        <v>6.5</v>
      </c>
      <c r="E12684" s="691">
        <v>6.8</v>
      </c>
      <c r="F12684" s="691">
        <v>6.6</v>
      </c>
      <c r="G12684" s="691">
        <v>6.8</v>
      </c>
      <c r="H12684" s="691">
        <v>7.2</v>
      </c>
      <c r="I12684" s="691">
        <v>6.5</v>
      </c>
      <c r="J12684" s="691">
        <v>5.7</v>
      </c>
      <c r="K12684" s="691">
        <v>6.4</v>
      </c>
    </row>
    <row r="12685" spans="1:11">
      <c r="A12685" s="688" t="s">
        <v>5</v>
      </c>
      <c r="B12685" s="689">
        <v>7.8</v>
      </c>
      <c r="C12685" s="689">
        <v>7.5</v>
      </c>
      <c r="D12685" s="689">
        <v>7.6</v>
      </c>
      <c r="E12685" s="689">
        <v>7.5</v>
      </c>
      <c r="F12685" s="689">
        <v>7.6</v>
      </c>
      <c r="G12685" s="689">
        <v>7.7</v>
      </c>
      <c r="H12685" s="689">
        <v>7.9</v>
      </c>
      <c r="I12685" s="689">
        <v>7.9</v>
      </c>
      <c r="J12685" s="689">
        <v>7.7</v>
      </c>
      <c r="K12685" s="689">
        <v>7.3</v>
      </c>
    </row>
    <row r="12686" spans="1:11">
      <c r="A12686" s="688" t="s">
        <v>23</v>
      </c>
      <c r="B12686" s="691">
        <v>7.7</v>
      </c>
      <c r="C12686" s="691">
        <v>7.7</v>
      </c>
      <c r="D12686" s="691">
        <v>7.6</v>
      </c>
      <c r="E12686" s="691">
        <v>7.8</v>
      </c>
      <c r="F12686" s="691">
        <v>7.7</v>
      </c>
      <c r="G12686" s="691">
        <v>7.8</v>
      </c>
      <c r="H12686" s="691">
        <v>8.1</v>
      </c>
      <c r="I12686" s="691">
        <v>7.5</v>
      </c>
      <c r="J12686" s="615">
        <v>8</v>
      </c>
      <c r="K12686" s="615">
        <v>8</v>
      </c>
    </row>
    <row r="12687" spans="1:11">
      <c r="A12687" s="688" t="s">
        <v>4067</v>
      </c>
      <c r="B12687" s="689">
        <v>7.8</v>
      </c>
      <c r="C12687" s="693">
        <v>8</v>
      </c>
      <c r="D12687" s="689">
        <v>7.8</v>
      </c>
      <c r="E12687" s="693">
        <v>8</v>
      </c>
      <c r="F12687" s="689">
        <v>7.9</v>
      </c>
      <c r="G12687" s="693">
        <v>8</v>
      </c>
      <c r="H12687" s="690" t="s">
        <v>4060</v>
      </c>
      <c r="I12687" s="690" t="s">
        <v>4060</v>
      </c>
      <c r="J12687" s="690" t="s">
        <v>4060</v>
      </c>
      <c r="K12687" s="690" t="s">
        <v>4060</v>
      </c>
    </row>
    <row r="12688" spans="1:11">
      <c r="A12688" s="688" t="s">
        <v>4066</v>
      </c>
      <c r="B12688" s="691">
        <v>7.8</v>
      </c>
      <c r="C12688" s="615">
        <v>8</v>
      </c>
      <c r="D12688" s="691">
        <v>7.8</v>
      </c>
      <c r="E12688" s="615">
        <v>8</v>
      </c>
      <c r="F12688" s="691">
        <v>7.9</v>
      </c>
      <c r="G12688" s="615">
        <v>8</v>
      </c>
      <c r="H12688" s="692" t="s">
        <v>4060</v>
      </c>
      <c r="I12688" s="692" t="s">
        <v>4060</v>
      </c>
      <c r="J12688" s="692" t="s">
        <v>4060</v>
      </c>
      <c r="K12688" s="692" t="s">
        <v>4060</v>
      </c>
    </row>
    <row r="12689" spans="1:11">
      <c r="A12689" s="688" t="s">
        <v>4062</v>
      </c>
      <c r="B12689" s="689">
        <v>7.9</v>
      </c>
      <c r="C12689" s="689">
        <v>7.9</v>
      </c>
      <c r="D12689" s="689">
        <v>7.8</v>
      </c>
      <c r="E12689" s="693">
        <v>8</v>
      </c>
      <c r="F12689" s="689">
        <v>8.1</v>
      </c>
      <c r="G12689" s="689">
        <v>8.1999999999999993</v>
      </c>
      <c r="H12689" s="689">
        <v>8.3000000000000007</v>
      </c>
      <c r="I12689" s="689">
        <v>7.9</v>
      </c>
      <c r="J12689" s="689">
        <v>8.3000000000000007</v>
      </c>
      <c r="K12689" s="693">
        <v>8</v>
      </c>
    </row>
    <row r="12690" spans="1:11">
      <c r="A12690" s="688" t="s">
        <v>9</v>
      </c>
      <c r="B12690" s="691">
        <v>7.8</v>
      </c>
      <c r="C12690" s="691">
        <v>7.8</v>
      </c>
      <c r="D12690" s="691">
        <v>7.7</v>
      </c>
      <c r="E12690" s="691">
        <v>7.3</v>
      </c>
      <c r="F12690" s="691">
        <v>7.9</v>
      </c>
      <c r="G12690" s="615">
        <v>8</v>
      </c>
      <c r="H12690" s="615">
        <v>8</v>
      </c>
      <c r="I12690" s="691">
        <v>8.5</v>
      </c>
      <c r="J12690" s="691">
        <v>8.6999999999999993</v>
      </c>
      <c r="K12690" s="691">
        <v>7.8</v>
      </c>
    </row>
    <row r="12691" spans="1:11">
      <c r="A12691" s="688" t="s">
        <v>13</v>
      </c>
      <c r="B12691" s="689">
        <v>6.8</v>
      </c>
      <c r="C12691" s="689">
        <v>7.5</v>
      </c>
      <c r="D12691" s="689">
        <v>7.5</v>
      </c>
      <c r="E12691" s="689">
        <v>7.3</v>
      </c>
      <c r="F12691" s="689">
        <v>9.1</v>
      </c>
      <c r="G12691" s="693">
        <v>8</v>
      </c>
      <c r="H12691" s="689">
        <v>8.1999999999999993</v>
      </c>
      <c r="I12691" s="689">
        <v>6.9</v>
      </c>
      <c r="J12691" s="689">
        <v>8.6999999999999993</v>
      </c>
      <c r="K12691" s="689">
        <v>8.6999999999999993</v>
      </c>
    </row>
    <row r="12692" spans="1:11">
      <c r="A12692" s="688" t="s">
        <v>18</v>
      </c>
      <c r="B12692" s="691">
        <v>7.7</v>
      </c>
      <c r="C12692" s="691">
        <v>7.6</v>
      </c>
      <c r="D12692" s="691">
        <v>7.6</v>
      </c>
      <c r="E12692" s="691">
        <v>7.8</v>
      </c>
      <c r="F12692" s="691">
        <v>7.8</v>
      </c>
      <c r="G12692" s="691">
        <v>7.9</v>
      </c>
      <c r="H12692" s="615">
        <v>8</v>
      </c>
      <c r="I12692" s="691">
        <v>8.1999999999999993</v>
      </c>
      <c r="J12692" s="691">
        <v>8.1</v>
      </c>
      <c r="K12692" s="691">
        <v>7.7</v>
      </c>
    </row>
    <row r="12693" spans="1:11">
      <c r="A12693" s="688" t="s">
        <v>24</v>
      </c>
      <c r="B12693" s="689">
        <v>8.1</v>
      </c>
      <c r="C12693" s="693">
        <v>8</v>
      </c>
      <c r="D12693" s="689">
        <v>7.9</v>
      </c>
      <c r="E12693" s="689">
        <v>8.1999999999999993</v>
      </c>
      <c r="F12693" s="689">
        <v>8.1999999999999993</v>
      </c>
      <c r="G12693" s="689">
        <v>8.3000000000000007</v>
      </c>
      <c r="H12693" s="689">
        <v>8.4</v>
      </c>
      <c r="I12693" s="689">
        <v>7.7</v>
      </c>
      <c r="J12693" s="689">
        <v>8.4</v>
      </c>
      <c r="K12693" s="689">
        <v>8.1999999999999993</v>
      </c>
    </row>
    <row r="12694" spans="1:11">
      <c r="A12694" s="688" t="s">
        <v>4059</v>
      </c>
      <c r="B12694" s="691">
        <v>7.9</v>
      </c>
      <c r="C12694" s="691">
        <v>8.1999999999999993</v>
      </c>
      <c r="D12694" s="691">
        <v>7.9</v>
      </c>
      <c r="E12694" s="691">
        <v>8.1</v>
      </c>
      <c r="F12694" s="691">
        <v>8.1</v>
      </c>
      <c r="G12694" s="691">
        <v>8.1</v>
      </c>
      <c r="H12694" s="692" t="s">
        <v>4060</v>
      </c>
      <c r="I12694" s="692" t="s">
        <v>4060</v>
      </c>
      <c r="J12694" s="692" t="s">
        <v>4060</v>
      </c>
      <c r="K12694" s="692" t="s">
        <v>4060</v>
      </c>
    </row>
    <row r="12695" spans="1:11">
      <c r="A12695" s="688" t="s">
        <v>2324</v>
      </c>
      <c r="B12695" s="689">
        <v>6.7</v>
      </c>
      <c r="C12695" s="689">
        <v>6.7</v>
      </c>
      <c r="D12695" s="689">
        <v>6.4</v>
      </c>
      <c r="E12695" s="689">
        <v>6.3</v>
      </c>
      <c r="F12695" s="689">
        <v>6.6</v>
      </c>
      <c r="G12695" s="689">
        <v>6.7</v>
      </c>
      <c r="H12695" s="689">
        <v>6.7</v>
      </c>
      <c r="I12695" s="689">
        <v>6.1</v>
      </c>
      <c r="J12695" s="689">
        <v>5.0999999999999996</v>
      </c>
      <c r="K12695" s="690" t="s">
        <v>4060</v>
      </c>
    </row>
    <row r="12696" spans="1:11">
      <c r="A12696" s="688" t="s">
        <v>2322</v>
      </c>
      <c r="B12696" s="692" t="s">
        <v>4060</v>
      </c>
      <c r="C12696" s="692" t="s">
        <v>4060</v>
      </c>
      <c r="D12696" s="692" t="s">
        <v>4060</v>
      </c>
      <c r="E12696" s="692" t="s">
        <v>4060</v>
      </c>
      <c r="F12696" s="692" t="s">
        <v>4060</v>
      </c>
      <c r="G12696" s="692" t="s">
        <v>4060</v>
      </c>
      <c r="H12696" s="692" t="s">
        <v>4060</v>
      </c>
      <c r="I12696" s="692" t="s">
        <v>4060</v>
      </c>
      <c r="J12696" s="692" t="s">
        <v>4060</v>
      </c>
      <c r="K12696" s="692" t="s">
        <v>4060</v>
      </c>
    </row>
    <row r="12697" spans="1:11">
      <c r="A12697" s="688" t="s">
        <v>2328</v>
      </c>
      <c r="B12697" s="689">
        <v>5.3</v>
      </c>
      <c r="C12697" s="689">
        <v>5.6</v>
      </c>
      <c r="D12697" s="689">
        <v>5.4</v>
      </c>
      <c r="E12697" s="689">
        <v>5.4</v>
      </c>
      <c r="F12697" s="689">
        <v>5.5</v>
      </c>
      <c r="G12697" s="689">
        <v>5.7</v>
      </c>
      <c r="H12697" s="689">
        <v>5.6</v>
      </c>
      <c r="I12697" s="689">
        <v>4.9000000000000004</v>
      </c>
      <c r="J12697" s="689">
        <v>4.8</v>
      </c>
      <c r="K12697" s="690" t="s">
        <v>4060</v>
      </c>
    </row>
    <row r="12698" spans="1:11">
      <c r="A12698" s="688" t="s">
        <v>2496</v>
      </c>
      <c r="B12698" s="692" t="s">
        <v>4060</v>
      </c>
      <c r="C12698" s="691">
        <v>7.5</v>
      </c>
      <c r="D12698" s="691">
        <v>5.9</v>
      </c>
      <c r="E12698" s="615">
        <v>5</v>
      </c>
      <c r="F12698" s="691">
        <v>5.3</v>
      </c>
      <c r="G12698" s="691">
        <v>5.5</v>
      </c>
      <c r="H12698" s="691">
        <v>5.3</v>
      </c>
      <c r="I12698" s="692" t="s">
        <v>4060</v>
      </c>
      <c r="J12698" s="692" t="s">
        <v>4060</v>
      </c>
      <c r="K12698" s="691">
        <v>4.8</v>
      </c>
    </row>
    <row r="12699" spans="1:11">
      <c r="A12699" s="688" t="s">
        <v>2269</v>
      </c>
      <c r="B12699" s="689">
        <v>6.4</v>
      </c>
      <c r="C12699" s="689">
        <v>6.4</v>
      </c>
      <c r="D12699" s="693">
        <v>6</v>
      </c>
      <c r="E12699" s="689">
        <v>6.4</v>
      </c>
      <c r="F12699" s="689">
        <v>6.3</v>
      </c>
      <c r="G12699" s="689">
        <v>6.6</v>
      </c>
      <c r="H12699" s="693">
        <v>7</v>
      </c>
      <c r="I12699" s="689">
        <v>5.8</v>
      </c>
      <c r="J12699" s="689">
        <v>3.2</v>
      </c>
      <c r="K12699" s="689">
        <v>6.6</v>
      </c>
    </row>
    <row r="12700" spans="1:11">
      <c r="A12700" s="688" t="s">
        <v>2349</v>
      </c>
      <c r="B12700" s="691">
        <v>5.9</v>
      </c>
      <c r="C12700" s="691">
        <v>6.1</v>
      </c>
      <c r="D12700" s="691">
        <v>5.9</v>
      </c>
      <c r="E12700" s="691">
        <v>6.2</v>
      </c>
      <c r="F12700" s="691">
        <v>6.1</v>
      </c>
      <c r="G12700" s="691">
        <v>6.4</v>
      </c>
      <c r="H12700" s="691">
        <v>6.6</v>
      </c>
      <c r="I12700" s="691">
        <v>5.9</v>
      </c>
      <c r="J12700" s="691">
        <v>5.0999999999999996</v>
      </c>
      <c r="K12700" s="691">
        <v>5.7</v>
      </c>
    </row>
    <row r="12701" spans="1:11">
      <c r="A12701" s="688" t="s">
        <v>2355</v>
      </c>
      <c r="B12701" s="689">
        <v>7.2</v>
      </c>
      <c r="C12701" s="693">
        <v>7</v>
      </c>
      <c r="D12701" s="689">
        <v>6.9</v>
      </c>
      <c r="E12701" s="689">
        <v>6.9</v>
      </c>
      <c r="F12701" s="693">
        <v>7</v>
      </c>
      <c r="G12701" s="689">
        <v>7.3</v>
      </c>
      <c r="H12701" s="689">
        <v>7.2</v>
      </c>
      <c r="I12701" s="690" t="s">
        <v>4060</v>
      </c>
      <c r="J12701" s="690" t="s">
        <v>4060</v>
      </c>
      <c r="K12701" s="690" t="s">
        <v>4060</v>
      </c>
    </row>
    <row r="12702" spans="1:11">
      <c r="A12702" s="688" t="s">
        <v>2357</v>
      </c>
      <c r="B12702" s="692" t="s">
        <v>4060</v>
      </c>
      <c r="C12702" s="691">
        <v>6.4</v>
      </c>
      <c r="D12702" s="691">
        <v>6.6</v>
      </c>
      <c r="E12702" s="691">
        <v>6.9</v>
      </c>
      <c r="F12702" s="615">
        <v>7</v>
      </c>
      <c r="G12702" s="691">
        <v>6.6</v>
      </c>
      <c r="H12702" s="691">
        <v>6.7</v>
      </c>
      <c r="I12702" s="692" t="s">
        <v>4060</v>
      </c>
      <c r="J12702" s="692" t="s">
        <v>4060</v>
      </c>
      <c r="K12702" s="692" t="s">
        <v>4060</v>
      </c>
    </row>
    <row r="12703" spans="1:11">
      <c r="A12703" s="688" t="s">
        <v>4070</v>
      </c>
      <c r="B12703" s="690" t="s">
        <v>4060</v>
      </c>
      <c r="C12703" s="690" t="s">
        <v>4060</v>
      </c>
      <c r="D12703" s="690" t="s">
        <v>4060</v>
      </c>
      <c r="E12703" s="689">
        <v>7.1</v>
      </c>
      <c r="F12703" s="690" t="s">
        <v>4060</v>
      </c>
      <c r="G12703" s="690" t="s">
        <v>4060</v>
      </c>
      <c r="H12703" s="690" t="s">
        <v>4060</v>
      </c>
      <c r="I12703" s="690" t="s">
        <v>4060</v>
      </c>
      <c r="J12703" s="690" t="s">
        <v>4060</v>
      </c>
      <c r="K12703" s="690" t="s">
        <v>4060</v>
      </c>
    </row>
    <row r="12704" spans="1:11">
      <c r="A12704" s="688" t="s">
        <v>2491</v>
      </c>
      <c r="B12704" s="691">
        <v>5.8</v>
      </c>
      <c r="C12704" s="615">
        <v>6</v>
      </c>
      <c r="D12704" s="615">
        <v>6</v>
      </c>
      <c r="E12704" s="691">
        <v>5.9</v>
      </c>
      <c r="F12704" s="691">
        <v>5.9</v>
      </c>
      <c r="G12704" s="615">
        <v>6</v>
      </c>
      <c r="H12704" s="692" t="s">
        <v>4060</v>
      </c>
      <c r="I12704" s="692" t="s">
        <v>4060</v>
      </c>
      <c r="J12704" s="692" t="s">
        <v>4060</v>
      </c>
      <c r="K12704" s="692" t="s">
        <v>4060</v>
      </c>
    </row>
    <row r="12705" spans="1:11">
      <c r="A12705" s="688" t="s">
        <v>2343</v>
      </c>
      <c r="B12705" s="690" t="s">
        <v>4060</v>
      </c>
      <c r="C12705" s="690" t="s">
        <v>4060</v>
      </c>
      <c r="D12705" s="690" t="s">
        <v>4060</v>
      </c>
      <c r="E12705" s="690" t="s">
        <v>4060</v>
      </c>
      <c r="F12705" s="690" t="s">
        <v>4060</v>
      </c>
      <c r="G12705" s="690" t="s">
        <v>4060</v>
      </c>
      <c r="H12705" s="690" t="s">
        <v>4060</v>
      </c>
      <c r="I12705" s="690" t="s">
        <v>4060</v>
      </c>
      <c r="J12705" s="690" t="s">
        <v>4060</v>
      </c>
      <c r="K12705" s="690" t="s">
        <v>4060</v>
      </c>
    </row>
    <row r="12706" spans="1:11">
      <c r="A12706" s="688" t="s">
        <v>4071</v>
      </c>
      <c r="B12706" s="692" t="s">
        <v>4060</v>
      </c>
      <c r="C12706" s="692" t="s">
        <v>4060</v>
      </c>
      <c r="D12706" s="692" t="s">
        <v>4060</v>
      </c>
      <c r="E12706" s="692" t="s">
        <v>4060</v>
      </c>
      <c r="F12706" s="692" t="s">
        <v>4060</v>
      </c>
      <c r="G12706" s="692" t="s">
        <v>4060</v>
      </c>
      <c r="H12706" s="692" t="s">
        <v>4060</v>
      </c>
      <c r="I12706" s="692" t="s">
        <v>4060</v>
      </c>
      <c r="J12706" s="692" t="s">
        <v>4060</v>
      </c>
      <c r="K12706" s="692" t="s">
        <v>4060</v>
      </c>
    </row>
    <row r="12707" spans="1:11">
      <c r="A12707" s="688" t="s">
        <v>2489</v>
      </c>
      <c r="B12707" s="690" t="s">
        <v>4060</v>
      </c>
      <c r="C12707" s="690" t="s">
        <v>4060</v>
      </c>
      <c r="D12707" s="689">
        <v>6.8</v>
      </c>
      <c r="E12707" s="689">
        <v>6.7</v>
      </c>
      <c r="F12707" s="693">
        <v>7</v>
      </c>
      <c r="G12707" s="689">
        <v>6.8</v>
      </c>
      <c r="H12707" s="689">
        <v>7.5</v>
      </c>
      <c r="I12707" s="690" t="s">
        <v>4060</v>
      </c>
      <c r="J12707" s="690" t="s">
        <v>4060</v>
      </c>
      <c r="K12707" s="690" t="s">
        <v>4060</v>
      </c>
    </row>
    <row r="12708" spans="1:11">
      <c r="A12708" s="688" t="s">
        <v>2490</v>
      </c>
      <c r="B12708" s="691">
        <v>7.1</v>
      </c>
      <c r="C12708" s="691">
        <v>6.8</v>
      </c>
      <c r="D12708" s="691">
        <v>7.6</v>
      </c>
      <c r="E12708" s="692" t="s">
        <v>4060</v>
      </c>
      <c r="F12708" s="691">
        <v>8.3000000000000007</v>
      </c>
      <c r="G12708" s="691">
        <v>7.6</v>
      </c>
      <c r="H12708" s="691">
        <v>8.5</v>
      </c>
      <c r="I12708" s="692" t="s">
        <v>4060</v>
      </c>
      <c r="J12708" s="692" t="s">
        <v>4060</v>
      </c>
      <c r="K12708" s="692" t="s">
        <v>4060</v>
      </c>
    </row>
    <row r="12710" spans="1:11">
      <c r="A12710" s="683" t="s">
        <v>4233</v>
      </c>
    </row>
    <row r="12711" spans="1:11">
      <c r="A12711" s="683" t="s">
        <v>4060</v>
      </c>
      <c r="B12711" s="682" t="s">
        <v>4234</v>
      </c>
    </row>
    <row r="12713" spans="1:11">
      <c r="A12713" s="682" t="s">
        <v>4331</v>
      </c>
    </row>
    <row r="12714" spans="1:11">
      <c r="A12714" s="682" t="s">
        <v>4210</v>
      </c>
      <c r="B12714" s="683" t="s">
        <v>4211</v>
      </c>
    </row>
    <row r="12715" spans="1:11">
      <c r="A12715" s="682" t="s">
        <v>4212</v>
      </c>
      <c r="B12715" s="682" t="s">
        <v>4213</v>
      </c>
    </row>
    <row r="12717" spans="1:11">
      <c r="A12717" s="683" t="s">
        <v>4214</v>
      </c>
      <c r="C12717" s="682" t="s">
        <v>4215</v>
      </c>
    </row>
    <row r="12718" spans="1:11">
      <c r="A12718" s="683" t="s">
        <v>4216</v>
      </c>
      <c r="C12718" s="682" t="s">
        <v>2967</v>
      </c>
    </row>
    <row r="12719" spans="1:11">
      <c r="A12719" s="683" t="s">
        <v>3893</v>
      </c>
      <c r="C12719" s="682" t="s">
        <v>2168</v>
      </c>
    </row>
    <row r="12720" spans="1:11">
      <c r="A12720" s="683" t="s">
        <v>4218</v>
      </c>
      <c r="C12720" s="682" t="s">
        <v>4316</v>
      </c>
    </row>
    <row r="12722" spans="1:11">
      <c r="A12722" s="684" t="s">
        <v>4220</v>
      </c>
      <c r="B12722" s="685" t="s">
        <v>4221</v>
      </c>
      <c r="C12722" s="685" t="s">
        <v>4222</v>
      </c>
      <c r="D12722" s="685" t="s">
        <v>4223</v>
      </c>
      <c r="E12722" s="685" t="s">
        <v>4224</v>
      </c>
      <c r="F12722" s="685" t="s">
        <v>4225</v>
      </c>
      <c r="G12722" s="685" t="s">
        <v>4226</v>
      </c>
      <c r="H12722" s="685" t="s">
        <v>4227</v>
      </c>
      <c r="I12722" s="685" t="s">
        <v>4228</v>
      </c>
      <c r="J12722" s="685" t="s">
        <v>4229</v>
      </c>
      <c r="K12722" s="685" t="s">
        <v>4230</v>
      </c>
    </row>
    <row r="12723" spans="1:11">
      <c r="A12723" s="686" t="s">
        <v>4231</v>
      </c>
      <c r="B12723" s="687" t="s">
        <v>4232</v>
      </c>
      <c r="C12723" s="687" t="s">
        <v>4232</v>
      </c>
      <c r="D12723" s="687" t="s">
        <v>4232</v>
      </c>
      <c r="E12723" s="687" t="s">
        <v>4232</v>
      </c>
      <c r="F12723" s="687" t="s">
        <v>4232</v>
      </c>
      <c r="G12723" s="687" t="s">
        <v>4232</v>
      </c>
      <c r="H12723" s="687" t="s">
        <v>4232</v>
      </c>
      <c r="I12723" s="687" t="s">
        <v>4232</v>
      </c>
      <c r="J12723" s="687" t="s">
        <v>4232</v>
      </c>
      <c r="K12723" s="687" t="s">
        <v>4232</v>
      </c>
    </row>
    <row r="12724" spans="1:11">
      <c r="A12724" s="688" t="s">
        <v>4064</v>
      </c>
      <c r="B12724" s="691">
        <v>7.3</v>
      </c>
      <c r="C12724" s="691">
        <v>7.1</v>
      </c>
      <c r="D12724" s="691">
        <v>7.3</v>
      </c>
      <c r="E12724" s="691">
        <v>7.1</v>
      </c>
      <c r="F12724" s="691">
        <v>7.1</v>
      </c>
      <c r="G12724" s="691">
        <v>7.2</v>
      </c>
      <c r="H12724" s="691">
        <v>7.3</v>
      </c>
      <c r="I12724" s="691">
        <v>6.8</v>
      </c>
      <c r="J12724" s="615">
        <v>7</v>
      </c>
      <c r="K12724" s="615">
        <v>7</v>
      </c>
    </row>
    <row r="12725" spans="1:11">
      <c r="A12725" s="688" t="s">
        <v>4065</v>
      </c>
      <c r="B12725" s="689">
        <v>7.3</v>
      </c>
      <c r="C12725" s="689">
        <v>7.5</v>
      </c>
      <c r="D12725" s="689">
        <v>7.3</v>
      </c>
      <c r="E12725" s="689">
        <v>7.5</v>
      </c>
      <c r="F12725" s="689">
        <v>7.4</v>
      </c>
      <c r="G12725" s="689">
        <v>7.5</v>
      </c>
      <c r="H12725" s="690" t="s">
        <v>4060</v>
      </c>
      <c r="I12725" s="690" t="s">
        <v>4060</v>
      </c>
      <c r="J12725" s="690" t="s">
        <v>4060</v>
      </c>
      <c r="K12725" s="690" t="s">
        <v>4060</v>
      </c>
    </row>
    <row r="12726" spans="1:11">
      <c r="A12726" s="688" t="s">
        <v>4063</v>
      </c>
      <c r="B12726" s="691">
        <v>7.3</v>
      </c>
      <c r="C12726" s="691">
        <v>7.5</v>
      </c>
      <c r="D12726" s="691">
        <v>7.3</v>
      </c>
      <c r="E12726" s="691">
        <v>7.5</v>
      </c>
      <c r="F12726" s="691">
        <v>7.4</v>
      </c>
      <c r="G12726" s="691">
        <v>7.5</v>
      </c>
      <c r="H12726" s="692" t="s">
        <v>4060</v>
      </c>
      <c r="I12726" s="692" t="s">
        <v>4060</v>
      </c>
      <c r="J12726" s="692" t="s">
        <v>4060</v>
      </c>
      <c r="K12726" s="692" t="s">
        <v>4060</v>
      </c>
    </row>
    <row r="12727" spans="1:11">
      <c r="A12727" s="688" t="s">
        <v>4069</v>
      </c>
      <c r="B12727" s="690" t="s">
        <v>4060</v>
      </c>
      <c r="C12727" s="689">
        <v>7.3</v>
      </c>
      <c r="D12727" s="689">
        <v>7.1</v>
      </c>
      <c r="E12727" s="689">
        <v>7.3</v>
      </c>
      <c r="F12727" s="689">
        <v>7.2</v>
      </c>
      <c r="G12727" s="689">
        <v>7.3</v>
      </c>
      <c r="H12727" s="689">
        <v>7.5</v>
      </c>
      <c r="I12727" s="693">
        <v>7</v>
      </c>
      <c r="J12727" s="689">
        <v>7.2</v>
      </c>
      <c r="K12727" s="689">
        <v>7.1</v>
      </c>
    </row>
    <row r="12728" spans="1:11">
      <c r="A12728" s="688" t="s">
        <v>4068</v>
      </c>
      <c r="B12728" s="691">
        <v>7.5</v>
      </c>
      <c r="C12728" s="692" t="s">
        <v>4060</v>
      </c>
      <c r="D12728" s="692" t="s">
        <v>4060</v>
      </c>
      <c r="E12728" s="692" t="s">
        <v>4060</v>
      </c>
      <c r="F12728" s="692" t="s">
        <v>4060</v>
      </c>
      <c r="G12728" s="692" t="s">
        <v>4060</v>
      </c>
      <c r="H12728" s="692" t="s">
        <v>4060</v>
      </c>
      <c r="I12728" s="692" t="s">
        <v>4060</v>
      </c>
      <c r="J12728" s="692" t="s">
        <v>4060</v>
      </c>
      <c r="K12728" s="692" t="s">
        <v>4060</v>
      </c>
    </row>
    <row r="12729" spans="1:11">
      <c r="A12729" s="688" t="s">
        <v>0</v>
      </c>
      <c r="B12729" s="689">
        <v>7.1</v>
      </c>
      <c r="C12729" s="689">
        <v>7.1</v>
      </c>
      <c r="D12729" s="693">
        <v>7</v>
      </c>
      <c r="E12729" s="689">
        <v>7.2</v>
      </c>
      <c r="F12729" s="689">
        <v>7.2</v>
      </c>
      <c r="G12729" s="689">
        <v>7.2</v>
      </c>
      <c r="H12729" s="689">
        <v>7.4</v>
      </c>
      <c r="I12729" s="689">
        <v>6.7</v>
      </c>
      <c r="J12729" s="689">
        <v>7.4</v>
      </c>
      <c r="K12729" s="689">
        <v>7.3</v>
      </c>
    </row>
    <row r="12730" spans="1:11">
      <c r="A12730" s="688" t="s">
        <v>1</v>
      </c>
      <c r="B12730" s="691">
        <v>5.8</v>
      </c>
      <c r="C12730" s="691">
        <v>5.5</v>
      </c>
      <c r="D12730" s="691">
        <v>5.4</v>
      </c>
      <c r="E12730" s="691">
        <v>5.6</v>
      </c>
      <c r="F12730" s="691">
        <v>5.5</v>
      </c>
      <c r="G12730" s="691">
        <v>5.5</v>
      </c>
      <c r="H12730" s="691">
        <v>5.6</v>
      </c>
      <c r="I12730" s="615">
        <v>5</v>
      </c>
      <c r="J12730" s="691">
        <v>4.5</v>
      </c>
      <c r="K12730" s="691">
        <v>5.0999999999999996</v>
      </c>
    </row>
    <row r="12731" spans="1:11">
      <c r="A12731" s="688" t="s">
        <v>2240</v>
      </c>
      <c r="B12731" s="689">
        <v>6.3</v>
      </c>
      <c r="C12731" s="689">
        <v>6.3</v>
      </c>
      <c r="D12731" s="689">
        <v>6.1</v>
      </c>
      <c r="E12731" s="689">
        <v>6.4</v>
      </c>
      <c r="F12731" s="689">
        <v>6.3</v>
      </c>
      <c r="G12731" s="689">
        <v>6.4</v>
      </c>
      <c r="H12731" s="689">
        <v>6.4</v>
      </c>
      <c r="I12731" s="689">
        <v>5.7</v>
      </c>
      <c r="J12731" s="689">
        <v>5.7</v>
      </c>
      <c r="K12731" s="689">
        <v>6.2</v>
      </c>
    </row>
    <row r="12732" spans="1:11">
      <c r="A12732" s="688" t="s">
        <v>2</v>
      </c>
      <c r="B12732" s="691">
        <v>6.9</v>
      </c>
      <c r="C12732" s="691">
        <v>6.9</v>
      </c>
      <c r="D12732" s="691">
        <v>6.9</v>
      </c>
      <c r="E12732" s="615">
        <v>7</v>
      </c>
      <c r="F12732" s="691">
        <v>6.9</v>
      </c>
      <c r="G12732" s="691">
        <v>6.8</v>
      </c>
      <c r="H12732" s="691">
        <v>7.1</v>
      </c>
      <c r="I12732" s="615">
        <v>7</v>
      </c>
      <c r="J12732" s="615">
        <v>7</v>
      </c>
      <c r="K12732" s="691">
        <v>6.9</v>
      </c>
    </row>
    <row r="12733" spans="1:11">
      <c r="A12733" s="688" t="s">
        <v>3</v>
      </c>
      <c r="B12733" s="693">
        <v>7</v>
      </c>
      <c r="C12733" s="689">
        <v>6.9</v>
      </c>
      <c r="D12733" s="689">
        <v>6.8</v>
      </c>
      <c r="E12733" s="693">
        <v>7</v>
      </c>
      <c r="F12733" s="689">
        <v>6.9</v>
      </c>
      <c r="G12733" s="693">
        <v>7</v>
      </c>
      <c r="H12733" s="689">
        <v>7.2</v>
      </c>
      <c r="I12733" s="693">
        <v>7</v>
      </c>
      <c r="J12733" s="693">
        <v>7</v>
      </c>
      <c r="K12733" s="689">
        <v>6.8</v>
      </c>
    </row>
    <row r="12734" spans="1:11">
      <c r="A12734" s="688" t="s">
        <v>4061</v>
      </c>
      <c r="B12734" s="615">
        <v>7</v>
      </c>
      <c r="C12734" s="691">
        <v>6.9</v>
      </c>
      <c r="D12734" s="691">
        <v>6.8</v>
      </c>
      <c r="E12734" s="615">
        <v>7</v>
      </c>
      <c r="F12734" s="691">
        <v>6.9</v>
      </c>
      <c r="G12734" s="615">
        <v>7</v>
      </c>
      <c r="H12734" s="691">
        <v>7.2</v>
      </c>
      <c r="I12734" s="615">
        <v>7</v>
      </c>
      <c r="J12734" s="615">
        <v>7</v>
      </c>
      <c r="K12734" s="691">
        <v>6.8</v>
      </c>
    </row>
    <row r="12735" spans="1:11">
      <c r="A12735" s="688" t="s">
        <v>4</v>
      </c>
      <c r="B12735" s="689">
        <v>6.8</v>
      </c>
      <c r="C12735" s="689">
        <v>6.3</v>
      </c>
      <c r="D12735" s="689">
        <v>6.7</v>
      </c>
      <c r="E12735" s="689">
        <v>6.6</v>
      </c>
      <c r="F12735" s="689">
        <v>6.5</v>
      </c>
      <c r="G12735" s="689">
        <v>6.5</v>
      </c>
      <c r="H12735" s="689">
        <v>6.8</v>
      </c>
      <c r="I12735" s="689">
        <v>6.8</v>
      </c>
      <c r="J12735" s="693">
        <v>6</v>
      </c>
      <c r="K12735" s="689">
        <v>6.2</v>
      </c>
    </row>
    <row r="12736" spans="1:11">
      <c r="A12736" s="688" t="s">
        <v>8</v>
      </c>
      <c r="B12736" s="691">
        <v>6.8</v>
      </c>
      <c r="C12736" s="691">
        <v>6.9</v>
      </c>
      <c r="D12736" s="691">
        <v>6.8</v>
      </c>
      <c r="E12736" s="691">
        <v>6.9</v>
      </c>
      <c r="F12736" s="691">
        <v>7.2</v>
      </c>
      <c r="G12736" s="691">
        <v>7.2</v>
      </c>
      <c r="H12736" s="691">
        <v>7.3</v>
      </c>
      <c r="I12736" s="691">
        <v>7.2</v>
      </c>
      <c r="J12736" s="691">
        <v>7.1</v>
      </c>
      <c r="K12736" s="691">
        <v>7.3</v>
      </c>
    </row>
    <row r="12737" spans="1:11">
      <c r="A12737" s="688" t="s">
        <v>7</v>
      </c>
      <c r="B12737" s="689">
        <v>7.9</v>
      </c>
      <c r="C12737" s="689">
        <v>6.8</v>
      </c>
      <c r="D12737" s="689">
        <v>6.7</v>
      </c>
      <c r="E12737" s="693">
        <v>7</v>
      </c>
      <c r="F12737" s="689">
        <v>6.9</v>
      </c>
      <c r="G12737" s="689">
        <v>7.2</v>
      </c>
      <c r="H12737" s="689">
        <v>7.2</v>
      </c>
      <c r="I12737" s="689">
        <v>7.2</v>
      </c>
      <c r="J12737" s="689">
        <v>6.9</v>
      </c>
      <c r="K12737" s="693">
        <v>7</v>
      </c>
    </row>
    <row r="12738" spans="1:11">
      <c r="A12738" s="688" t="s">
        <v>27</v>
      </c>
      <c r="B12738" s="615">
        <v>8</v>
      </c>
      <c r="C12738" s="691">
        <v>7.6</v>
      </c>
      <c r="D12738" s="691">
        <v>7.4</v>
      </c>
      <c r="E12738" s="691">
        <v>7.6</v>
      </c>
      <c r="F12738" s="691">
        <v>7.6</v>
      </c>
      <c r="G12738" s="691">
        <v>7.6</v>
      </c>
      <c r="H12738" s="691">
        <v>7.8</v>
      </c>
      <c r="I12738" s="615">
        <v>7</v>
      </c>
      <c r="J12738" s="691">
        <v>7.6</v>
      </c>
      <c r="K12738" s="691">
        <v>7.5</v>
      </c>
    </row>
    <row r="12739" spans="1:11">
      <c r="A12739" s="688" t="s">
        <v>6</v>
      </c>
      <c r="B12739" s="689">
        <v>8.1</v>
      </c>
      <c r="C12739" s="689">
        <v>7.8</v>
      </c>
      <c r="D12739" s="689">
        <v>7.7</v>
      </c>
      <c r="E12739" s="689">
        <v>7.8</v>
      </c>
      <c r="F12739" s="689">
        <v>7.8</v>
      </c>
      <c r="G12739" s="689">
        <v>7.9</v>
      </c>
      <c r="H12739" s="693">
        <v>8</v>
      </c>
      <c r="I12739" s="689">
        <v>7.6</v>
      </c>
      <c r="J12739" s="689">
        <v>7.8</v>
      </c>
      <c r="K12739" s="689">
        <v>7.8</v>
      </c>
    </row>
    <row r="12740" spans="1:11">
      <c r="A12740" s="688" t="s">
        <v>4058</v>
      </c>
      <c r="B12740" s="692" t="s">
        <v>4060</v>
      </c>
      <c r="C12740" s="692" t="s">
        <v>4060</v>
      </c>
      <c r="D12740" s="692" t="s">
        <v>4060</v>
      </c>
      <c r="E12740" s="692" t="s">
        <v>4060</v>
      </c>
      <c r="F12740" s="692" t="s">
        <v>4060</v>
      </c>
      <c r="G12740" s="692" t="s">
        <v>4060</v>
      </c>
      <c r="H12740" s="692" t="s">
        <v>4060</v>
      </c>
      <c r="I12740" s="692" t="s">
        <v>4060</v>
      </c>
      <c r="J12740" s="692" t="s">
        <v>4060</v>
      </c>
      <c r="K12740" s="692" t="s">
        <v>4060</v>
      </c>
    </row>
    <row r="12741" spans="1:11">
      <c r="A12741" s="688" t="s">
        <v>11</v>
      </c>
      <c r="B12741" s="693">
        <v>6</v>
      </c>
      <c r="C12741" s="689">
        <v>5.9</v>
      </c>
      <c r="D12741" s="689">
        <v>5.6</v>
      </c>
      <c r="E12741" s="689">
        <v>5.8</v>
      </c>
      <c r="F12741" s="689">
        <v>5.8</v>
      </c>
      <c r="G12741" s="689">
        <v>5.9</v>
      </c>
      <c r="H12741" s="693">
        <v>6</v>
      </c>
      <c r="I12741" s="689">
        <v>5.6</v>
      </c>
      <c r="J12741" s="689">
        <v>5.3</v>
      </c>
      <c r="K12741" s="689">
        <v>5.6</v>
      </c>
    </row>
    <row r="12742" spans="1:11">
      <c r="A12742" s="688" t="s">
        <v>10</v>
      </c>
      <c r="B12742" s="691">
        <v>7.5</v>
      </c>
      <c r="C12742" s="691">
        <v>7.3</v>
      </c>
      <c r="D12742" s="615">
        <v>7</v>
      </c>
      <c r="E12742" s="691">
        <v>7.4</v>
      </c>
      <c r="F12742" s="691">
        <v>7.2</v>
      </c>
      <c r="G12742" s="691">
        <v>7.5</v>
      </c>
      <c r="H12742" s="691">
        <v>7.5</v>
      </c>
      <c r="I12742" s="691">
        <v>6.9</v>
      </c>
      <c r="J12742" s="691">
        <v>7.3</v>
      </c>
      <c r="K12742" s="691">
        <v>7.2</v>
      </c>
    </row>
    <row r="12743" spans="1:11">
      <c r="A12743" s="688" t="s">
        <v>30</v>
      </c>
      <c r="B12743" s="689">
        <v>7.3</v>
      </c>
      <c r="C12743" s="693">
        <v>7</v>
      </c>
      <c r="D12743" s="689">
        <v>6.6</v>
      </c>
      <c r="E12743" s="689">
        <v>7.3</v>
      </c>
      <c r="F12743" s="693">
        <v>7</v>
      </c>
      <c r="G12743" s="689">
        <v>7.6</v>
      </c>
      <c r="H12743" s="689">
        <v>7.5</v>
      </c>
      <c r="I12743" s="689">
        <v>7.5</v>
      </c>
      <c r="J12743" s="689">
        <v>7.2</v>
      </c>
      <c r="K12743" s="689">
        <v>7.2</v>
      </c>
    </row>
    <row r="12744" spans="1:11">
      <c r="A12744" s="688" t="s">
        <v>12</v>
      </c>
      <c r="B12744" s="691">
        <v>6.2</v>
      </c>
      <c r="C12744" s="615">
        <v>6</v>
      </c>
      <c r="D12744" s="615">
        <v>6</v>
      </c>
      <c r="E12744" s="691">
        <v>5.9</v>
      </c>
      <c r="F12744" s="615">
        <v>6</v>
      </c>
      <c r="G12744" s="691">
        <v>6.1</v>
      </c>
      <c r="H12744" s="691">
        <v>6.2</v>
      </c>
      <c r="I12744" s="691">
        <v>6.1</v>
      </c>
      <c r="J12744" s="691">
        <v>5.4</v>
      </c>
      <c r="K12744" s="691">
        <v>5.9</v>
      </c>
    </row>
    <row r="12745" spans="1:11">
      <c r="A12745" s="688" t="s">
        <v>14</v>
      </c>
      <c r="B12745" s="689">
        <v>6.1</v>
      </c>
      <c r="C12745" s="689">
        <v>5.8</v>
      </c>
      <c r="D12745" s="689">
        <v>5.6</v>
      </c>
      <c r="E12745" s="689">
        <v>5.6</v>
      </c>
      <c r="F12745" s="689">
        <v>5.4</v>
      </c>
      <c r="G12745" s="689">
        <v>5.6</v>
      </c>
      <c r="H12745" s="689">
        <v>5.7</v>
      </c>
      <c r="I12745" s="689">
        <v>5.6</v>
      </c>
      <c r="J12745" s="689">
        <v>5.4</v>
      </c>
      <c r="K12745" s="689">
        <v>5.9</v>
      </c>
    </row>
    <row r="12746" spans="1:11">
      <c r="A12746" s="688" t="s">
        <v>15</v>
      </c>
      <c r="B12746" s="615">
        <v>8</v>
      </c>
      <c r="C12746" s="615">
        <v>7</v>
      </c>
      <c r="D12746" s="691">
        <v>7.3</v>
      </c>
      <c r="E12746" s="691">
        <v>7.2</v>
      </c>
      <c r="F12746" s="691">
        <v>7.4</v>
      </c>
      <c r="G12746" s="615">
        <v>7</v>
      </c>
      <c r="H12746" s="691">
        <v>7.3</v>
      </c>
      <c r="I12746" s="691">
        <v>6.9</v>
      </c>
      <c r="J12746" s="691">
        <v>7.3</v>
      </c>
      <c r="K12746" s="691">
        <v>7.5</v>
      </c>
    </row>
    <row r="12747" spans="1:11">
      <c r="A12747" s="688" t="s">
        <v>29</v>
      </c>
      <c r="B12747" s="693">
        <v>6</v>
      </c>
      <c r="C12747" s="693">
        <v>6</v>
      </c>
      <c r="D12747" s="689">
        <v>5.8</v>
      </c>
      <c r="E12747" s="693">
        <v>6</v>
      </c>
      <c r="F12747" s="689">
        <v>5.9</v>
      </c>
      <c r="G12747" s="693">
        <v>6</v>
      </c>
      <c r="H12747" s="689">
        <v>6.1</v>
      </c>
      <c r="I12747" s="689">
        <v>5.7</v>
      </c>
      <c r="J12747" s="689">
        <v>5.5</v>
      </c>
      <c r="K12747" s="689">
        <v>5.8</v>
      </c>
    </row>
    <row r="12748" spans="1:11">
      <c r="A12748" s="688" t="s">
        <v>16</v>
      </c>
      <c r="B12748" s="691">
        <v>7.2</v>
      </c>
      <c r="C12748" s="691">
        <v>7.2</v>
      </c>
      <c r="D12748" s="691">
        <v>6.7</v>
      </c>
      <c r="E12748" s="691">
        <v>7.4</v>
      </c>
      <c r="F12748" s="691">
        <v>6.9</v>
      </c>
      <c r="G12748" s="691">
        <v>7.2</v>
      </c>
      <c r="H12748" s="691">
        <v>7.2</v>
      </c>
      <c r="I12748" s="691">
        <v>6.9</v>
      </c>
      <c r="J12748" s="691">
        <v>7.1</v>
      </c>
      <c r="K12748" s="691">
        <v>7.1</v>
      </c>
    </row>
    <row r="12749" spans="1:11">
      <c r="A12749" s="688" t="s">
        <v>17</v>
      </c>
      <c r="B12749" s="689">
        <v>7.1</v>
      </c>
      <c r="C12749" s="693">
        <v>7</v>
      </c>
      <c r="D12749" s="689">
        <v>6.8</v>
      </c>
      <c r="E12749" s="689">
        <v>6.9</v>
      </c>
      <c r="F12749" s="693">
        <v>7</v>
      </c>
      <c r="G12749" s="693">
        <v>7</v>
      </c>
      <c r="H12749" s="689">
        <v>7.1</v>
      </c>
      <c r="I12749" s="689">
        <v>6.6</v>
      </c>
      <c r="J12749" s="689">
        <v>6.7</v>
      </c>
      <c r="K12749" s="693">
        <v>7</v>
      </c>
    </row>
    <row r="12750" spans="1:11">
      <c r="A12750" s="688" t="s">
        <v>19</v>
      </c>
      <c r="B12750" s="691">
        <v>7.3</v>
      </c>
      <c r="C12750" s="691">
        <v>7.1</v>
      </c>
      <c r="D12750" s="615">
        <v>7</v>
      </c>
      <c r="E12750" s="691">
        <v>7.2</v>
      </c>
      <c r="F12750" s="691">
        <v>7.2</v>
      </c>
      <c r="G12750" s="691">
        <v>7.2</v>
      </c>
      <c r="H12750" s="691">
        <v>7.3</v>
      </c>
      <c r="I12750" s="691">
        <v>6.9</v>
      </c>
      <c r="J12750" s="691">
        <v>7.1</v>
      </c>
      <c r="K12750" s="615">
        <v>7</v>
      </c>
    </row>
    <row r="12751" spans="1:11">
      <c r="A12751" s="688" t="s">
        <v>20</v>
      </c>
      <c r="B12751" s="689">
        <v>6.7</v>
      </c>
      <c r="C12751" s="689">
        <v>6.7</v>
      </c>
      <c r="D12751" s="689">
        <v>6.5</v>
      </c>
      <c r="E12751" s="689">
        <v>6.8</v>
      </c>
      <c r="F12751" s="689">
        <v>6.7</v>
      </c>
      <c r="G12751" s="689">
        <v>6.7</v>
      </c>
      <c r="H12751" s="689">
        <v>6.9</v>
      </c>
      <c r="I12751" s="693">
        <v>6</v>
      </c>
      <c r="J12751" s="689">
        <v>5.7</v>
      </c>
      <c r="K12751" s="689">
        <v>6.4</v>
      </c>
    </row>
    <row r="12752" spans="1:11">
      <c r="A12752" s="688" t="s">
        <v>21</v>
      </c>
      <c r="B12752" s="691">
        <v>6.8</v>
      </c>
      <c r="C12752" s="615">
        <v>7</v>
      </c>
      <c r="D12752" s="691">
        <v>7.1</v>
      </c>
      <c r="E12752" s="615">
        <v>7</v>
      </c>
      <c r="F12752" s="691">
        <v>7.2</v>
      </c>
      <c r="G12752" s="691">
        <v>7.2</v>
      </c>
      <c r="H12752" s="691">
        <v>7.4</v>
      </c>
      <c r="I12752" s="691">
        <v>7.1</v>
      </c>
      <c r="J12752" s="691">
        <v>7.1</v>
      </c>
      <c r="K12752" s="691">
        <v>7.2</v>
      </c>
    </row>
    <row r="12753" spans="1:11">
      <c r="A12753" s="688" t="s">
        <v>22</v>
      </c>
      <c r="B12753" s="689">
        <v>6.2</v>
      </c>
      <c r="C12753" s="689">
        <v>6.1</v>
      </c>
      <c r="D12753" s="693">
        <v>6</v>
      </c>
      <c r="E12753" s="689">
        <v>6.2</v>
      </c>
      <c r="F12753" s="689">
        <v>6.3</v>
      </c>
      <c r="G12753" s="689">
        <v>6.4</v>
      </c>
      <c r="H12753" s="689">
        <v>6.7</v>
      </c>
      <c r="I12753" s="689">
        <v>5.8</v>
      </c>
      <c r="J12753" s="689">
        <v>5.2</v>
      </c>
      <c r="K12753" s="689">
        <v>5.6</v>
      </c>
    </row>
    <row r="12754" spans="1:11">
      <c r="A12754" s="688" t="s">
        <v>26</v>
      </c>
      <c r="B12754" s="691">
        <v>7.1</v>
      </c>
      <c r="C12754" s="691">
        <v>6.8</v>
      </c>
      <c r="D12754" s="691">
        <v>6.7</v>
      </c>
      <c r="E12754" s="691">
        <v>6.9</v>
      </c>
      <c r="F12754" s="691">
        <v>6.7</v>
      </c>
      <c r="G12754" s="691">
        <v>6.8</v>
      </c>
      <c r="H12754" s="691">
        <v>7.2</v>
      </c>
      <c r="I12754" s="691">
        <v>6.3</v>
      </c>
      <c r="J12754" s="691">
        <v>6.7</v>
      </c>
      <c r="K12754" s="615">
        <v>7</v>
      </c>
    </row>
    <row r="12755" spans="1:11">
      <c r="A12755" s="688" t="s">
        <v>25</v>
      </c>
      <c r="B12755" s="693">
        <v>6</v>
      </c>
      <c r="C12755" s="689">
        <v>6.1</v>
      </c>
      <c r="D12755" s="689">
        <v>6.1</v>
      </c>
      <c r="E12755" s="689">
        <v>6.4</v>
      </c>
      <c r="F12755" s="689">
        <v>6.2</v>
      </c>
      <c r="G12755" s="689">
        <v>6.4</v>
      </c>
      <c r="H12755" s="689">
        <v>6.8</v>
      </c>
      <c r="I12755" s="689">
        <v>6.2</v>
      </c>
      <c r="J12755" s="689">
        <v>5.4</v>
      </c>
      <c r="K12755" s="689">
        <v>6.1</v>
      </c>
    </row>
    <row r="12756" spans="1:11">
      <c r="A12756" s="688" t="s">
        <v>5</v>
      </c>
      <c r="B12756" s="691">
        <v>7.3</v>
      </c>
      <c r="C12756" s="615">
        <v>7</v>
      </c>
      <c r="D12756" s="615">
        <v>7</v>
      </c>
      <c r="E12756" s="691">
        <v>6.9</v>
      </c>
      <c r="F12756" s="691">
        <v>7.1</v>
      </c>
      <c r="G12756" s="691">
        <v>7.1</v>
      </c>
      <c r="H12756" s="691">
        <v>7.3</v>
      </c>
      <c r="I12756" s="691">
        <v>7.3</v>
      </c>
      <c r="J12756" s="691">
        <v>7.2</v>
      </c>
      <c r="K12756" s="691">
        <v>6.8</v>
      </c>
    </row>
    <row r="12757" spans="1:11">
      <c r="A12757" s="688" t="s">
        <v>23</v>
      </c>
      <c r="B12757" s="689">
        <v>7.1</v>
      </c>
      <c r="C12757" s="689">
        <v>7.1</v>
      </c>
      <c r="D12757" s="689">
        <v>7.1</v>
      </c>
      <c r="E12757" s="689">
        <v>7.2</v>
      </c>
      <c r="F12757" s="689">
        <v>7.1</v>
      </c>
      <c r="G12757" s="689">
        <v>7.2</v>
      </c>
      <c r="H12757" s="689">
        <v>7.5</v>
      </c>
      <c r="I12757" s="693">
        <v>7</v>
      </c>
      <c r="J12757" s="689">
        <v>7.5</v>
      </c>
      <c r="K12757" s="689">
        <v>7.4</v>
      </c>
    </row>
    <row r="12758" spans="1:11">
      <c r="A12758" s="688" t="s">
        <v>4067</v>
      </c>
      <c r="B12758" s="691">
        <v>7.3</v>
      </c>
      <c r="C12758" s="691">
        <v>7.5</v>
      </c>
      <c r="D12758" s="691">
        <v>7.3</v>
      </c>
      <c r="E12758" s="691">
        <v>7.5</v>
      </c>
      <c r="F12758" s="691">
        <v>7.4</v>
      </c>
      <c r="G12758" s="691">
        <v>7.5</v>
      </c>
      <c r="H12758" s="692" t="s">
        <v>4060</v>
      </c>
      <c r="I12758" s="692" t="s">
        <v>4060</v>
      </c>
      <c r="J12758" s="692" t="s">
        <v>4060</v>
      </c>
      <c r="K12758" s="692" t="s">
        <v>4060</v>
      </c>
    </row>
    <row r="12759" spans="1:11">
      <c r="A12759" s="688" t="s">
        <v>4066</v>
      </c>
      <c r="B12759" s="689">
        <v>7.3</v>
      </c>
      <c r="C12759" s="689">
        <v>7.5</v>
      </c>
      <c r="D12759" s="689">
        <v>7.3</v>
      </c>
      <c r="E12759" s="689">
        <v>7.5</v>
      </c>
      <c r="F12759" s="689">
        <v>7.4</v>
      </c>
      <c r="G12759" s="689">
        <v>7.5</v>
      </c>
      <c r="H12759" s="690" t="s">
        <v>4060</v>
      </c>
      <c r="I12759" s="690" t="s">
        <v>4060</v>
      </c>
      <c r="J12759" s="690" t="s">
        <v>4060</v>
      </c>
      <c r="K12759" s="690" t="s">
        <v>4060</v>
      </c>
    </row>
    <row r="12760" spans="1:11">
      <c r="A12760" s="688" t="s">
        <v>4062</v>
      </c>
      <c r="B12760" s="691">
        <v>7.4</v>
      </c>
      <c r="C12760" s="691">
        <v>7.3</v>
      </c>
      <c r="D12760" s="691">
        <v>7.2</v>
      </c>
      <c r="E12760" s="691">
        <v>7.4</v>
      </c>
      <c r="F12760" s="691">
        <v>7.5</v>
      </c>
      <c r="G12760" s="691">
        <v>7.6</v>
      </c>
      <c r="H12760" s="691">
        <v>7.7</v>
      </c>
      <c r="I12760" s="691">
        <v>7.3</v>
      </c>
      <c r="J12760" s="691">
        <v>7.7</v>
      </c>
      <c r="K12760" s="691">
        <v>7.5</v>
      </c>
    </row>
    <row r="12761" spans="1:11">
      <c r="A12761" s="688" t="s">
        <v>9</v>
      </c>
      <c r="B12761" s="689">
        <v>7.2</v>
      </c>
      <c r="C12761" s="689">
        <v>7.3</v>
      </c>
      <c r="D12761" s="689">
        <v>7.2</v>
      </c>
      <c r="E12761" s="689">
        <v>6.7</v>
      </c>
      <c r="F12761" s="689">
        <v>7.4</v>
      </c>
      <c r="G12761" s="689">
        <v>7.4</v>
      </c>
      <c r="H12761" s="689">
        <v>7.3</v>
      </c>
      <c r="I12761" s="689">
        <v>7.8</v>
      </c>
      <c r="J12761" s="693">
        <v>8</v>
      </c>
      <c r="K12761" s="689">
        <v>7.2</v>
      </c>
    </row>
    <row r="12762" spans="1:11">
      <c r="A12762" s="688" t="s">
        <v>13</v>
      </c>
      <c r="B12762" s="691">
        <v>6.2</v>
      </c>
      <c r="C12762" s="691">
        <v>6.9</v>
      </c>
      <c r="D12762" s="691">
        <v>6.8</v>
      </c>
      <c r="E12762" s="691">
        <v>6.8</v>
      </c>
      <c r="F12762" s="691">
        <v>8.5</v>
      </c>
      <c r="G12762" s="691">
        <v>7.4</v>
      </c>
      <c r="H12762" s="691">
        <v>7.7</v>
      </c>
      <c r="I12762" s="691">
        <v>6.5</v>
      </c>
      <c r="J12762" s="691">
        <v>7.9</v>
      </c>
      <c r="K12762" s="691">
        <v>8.1</v>
      </c>
    </row>
    <row r="12763" spans="1:11">
      <c r="A12763" s="688" t="s">
        <v>18</v>
      </c>
      <c r="B12763" s="689">
        <v>7.2</v>
      </c>
      <c r="C12763" s="689">
        <v>7.1</v>
      </c>
      <c r="D12763" s="689">
        <v>7.1</v>
      </c>
      <c r="E12763" s="689">
        <v>7.2</v>
      </c>
      <c r="F12763" s="689">
        <v>7.3</v>
      </c>
      <c r="G12763" s="689">
        <v>7.4</v>
      </c>
      <c r="H12763" s="689">
        <v>7.5</v>
      </c>
      <c r="I12763" s="689">
        <v>7.6</v>
      </c>
      <c r="J12763" s="689">
        <v>7.6</v>
      </c>
      <c r="K12763" s="689">
        <v>7.2</v>
      </c>
    </row>
    <row r="12764" spans="1:11">
      <c r="A12764" s="688" t="s">
        <v>24</v>
      </c>
      <c r="B12764" s="691">
        <v>7.5</v>
      </c>
      <c r="C12764" s="691">
        <v>7.5</v>
      </c>
      <c r="D12764" s="691">
        <v>7.3</v>
      </c>
      <c r="E12764" s="691">
        <v>7.6</v>
      </c>
      <c r="F12764" s="691">
        <v>7.6</v>
      </c>
      <c r="G12764" s="691">
        <v>7.8</v>
      </c>
      <c r="H12764" s="691">
        <v>7.8</v>
      </c>
      <c r="I12764" s="691">
        <v>7.1</v>
      </c>
      <c r="J12764" s="691">
        <v>7.8</v>
      </c>
      <c r="K12764" s="691">
        <v>7.6</v>
      </c>
    </row>
    <row r="12765" spans="1:11">
      <c r="A12765" s="688" t="s">
        <v>4059</v>
      </c>
      <c r="B12765" s="689">
        <v>7.4</v>
      </c>
      <c r="C12765" s="689">
        <v>7.7</v>
      </c>
      <c r="D12765" s="689">
        <v>7.4</v>
      </c>
      <c r="E12765" s="689">
        <v>7.6</v>
      </c>
      <c r="F12765" s="689">
        <v>7.6</v>
      </c>
      <c r="G12765" s="689">
        <v>7.6</v>
      </c>
      <c r="H12765" s="690" t="s">
        <v>4060</v>
      </c>
      <c r="I12765" s="690" t="s">
        <v>4060</v>
      </c>
      <c r="J12765" s="690" t="s">
        <v>4060</v>
      </c>
      <c r="K12765" s="690" t="s">
        <v>4060</v>
      </c>
    </row>
    <row r="12766" spans="1:11">
      <c r="A12766" s="688" t="s">
        <v>2324</v>
      </c>
      <c r="B12766" s="691">
        <v>6.3</v>
      </c>
      <c r="C12766" s="691">
        <v>6.3</v>
      </c>
      <c r="D12766" s="615">
        <v>6</v>
      </c>
      <c r="E12766" s="615">
        <v>6</v>
      </c>
      <c r="F12766" s="691">
        <v>6.3</v>
      </c>
      <c r="G12766" s="691">
        <v>6.4</v>
      </c>
      <c r="H12766" s="691">
        <v>6.4</v>
      </c>
      <c r="I12766" s="691">
        <v>5.9</v>
      </c>
      <c r="J12766" s="691">
        <v>4.8</v>
      </c>
      <c r="K12766" s="692" t="s">
        <v>4060</v>
      </c>
    </row>
    <row r="12767" spans="1:11">
      <c r="A12767" s="688" t="s">
        <v>2322</v>
      </c>
      <c r="B12767" s="690" t="s">
        <v>4060</v>
      </c>
      <c r="C12767" s="690" t="s">
        <v>4060</v>
      </c>
      <c r="D12767" s="690" t="s">
        <v>4060</v>
      </c>
      <c r="E12767" s="690" t="s">
        <v>4060</v>
      </c>
      <c r="F12767" s="690" t="s">
        <v>4060</v>
      </c>
      <c r="G12767" s="690" t="s">
        <v>4060</v>
      </c>
      <c r="H12767" s="690" t="s">
        <v>4060</v>
      </c>
      <c r="I12767" s="690" t="s">
        <v>4060</v>
      </c>
      <c r="J12767" s="690" t="s">
        <v>4060</v>
      </c>
      <c r="K12767" s="690" t="s">
        <v>4060</v>
      </c>
    </row>
    <row r="12768" spans="1:11">
      <c r="A12768" s="688" t="s">
        <v>2328</v>
      </c>
      <c r="B12768" s="691">
        <v>4.9000000000000004</v>
      </c>
      <c r="C12768" s="691">
        <v>5.2</v>
      </c>
      <c r="D12768" s="615">
        <v>5</v>
      </c>
      <c r="E12768" s="615">
        <v>5</v>
      </c>
      <c r="F12768" s="691">
        <v>5.0999999999999996</v>
      </c>
      <c r="G12768" s="691">
        <v>5.3</v>
      </c>
      <c r="H12768" s="691">
        <v>5.2</v>
      </c>
      <c r="I12768" s="691">
        <v>4.4000000000000004</v>
      </c>
      <c r="J12768" s="691">
        <v>4.4000000000000004</v>
      </c>
      <c r="K12768" s="692" t="s">
        <v>4060</v>
      </c>
    </row>
    <row r="12769" spans="1:11">
      <c r="A12769" s="688" t="s">
        <v>2496</v>
      </c>
      <c r="B12769" s="690" t="s">
        <v>4060</v>
      </c>
      <c r="C12769" s="689">
        <v>7.2</v>
      </c>
      <c r="D12769" s="689">
        <v>5.5</v>
      </c>
      <c r="E12769" s="689">
        <v>4.7</v>
      </c>
      <c r="F12769" s="693">
        <v>5</v>
      </c>
      <c r="G12769" s="689">
        <v>5.0999999999999996</v>
      </c>
      <c r="H12769" s="693">
        <v>5</v>
      </c>
      <c r="I12769" s="690" t="s">
        <v>4060</v>
      </c>
      <c r="J12769" s="690" t="s">
        <v>4060</v>
      </c>
      <c r="K12769" s="689">
        <v>4.4000000000000004</v>
      </c>
    </row>
    <row r="12770" spans="1:11">
      <c r="A12770" s="688" t="s">
        <v>2269</v>
      </c>
      <c r="B12770" s="615">
        <v>6</v>
      </c>
      <c r="C12770" s="691">
        <v>5.9</v>
      </c>
      <c r="D12770" s="691">
        <v>5.6</v>
      </c>
      <c r="E12770" s="691">
        <v>5.9</v>
      </c>
      <c r="F12770" s="691">
        <v>5.9</v>
      </c>
      <c r="G12770" s="691">
        <v>6.1</v>
      </c>
      <c r="H12770" s="691">
        <v>6.5</v>
      </c>
      <c r="I12770" s="691">
        <v>5.3</v>
      </c>
      <c r="J12770" s="691">
        <v>2.5</v>
      </c>
      <c r="K12770" s="691">
        <v>6.1</v>
      </c>
    </row>
    <row r="12771" spans="1:11">
      <c r="A12771" s="688" t="s">
        <v>2349</v>
      </c>
      <c r="B12771" s="689">
        <v>5.6</v>
      </c>
      <c r="C12771" s="689">
        <v>5.7</v>
      </c>
      <c r="D12771" s="689">
        <v>5.6</v>
      </c>
      <c r="E12771" s="689">
        <v>5.9</v>
      </c>
      <c r="F12771" s="689">
        <v>5.8</v>
      </c>
      <c r="G12771" s="693">
        <v>6</v>
      </c>
      <c r="H12771" s="689">
        <v>6.2</v>
      </c>
      <c r="I12771" s="689">
        <v>5.6</v>
      </c>
      <c r="J12771" s="689">
        <v>4.8</v>
      </c>
      <c r="K12771" s="689">
        <v>5.4</v>
      </c>
    </row>
    <row r="12772" spans="1:11">
      <c r="A12772" s="688" t="s">
        <v>2355</v>
      </c>
      <c r="B12772" s="691">
        <v>6.8</v>
      </c>
      <c r="C12772" s="691">
        <v>6.6</v>
      </c>
      <c r="D12772" s="691">
        <v>6.5</v>
      </c>
      <c r="E12772" s="691">
        <v>6.5</v>
      </c>
      <c r="F12772" s="691">
        <v>6.6</v>
      </c>
      <c r="G12772" s="691">
        <v>6.9</v>
      </c>
      <c r="H12772" s="691">
        <v>6.8</v>
      </c>
      <c r="I12772" s="692" t="s">
        <v>4060</v>
      </c>
      <c r="J12772" s="692" t="s">
        <v>4060</v>
      </c>
      <c r="K12772" s="692" t="s">
        <v>4060</v>
      </c>
    </row>
    <row r="12773" spans="1:11">
      <c r="A12773" s="688" t="s">
        <v>2357</v>
      </c>
      <c r="B12773" s="690" t="s">
        <v>4060</v>
      </c>
      <c r="C12773" s="689">
        <v>6.2</v>
      </c>
      <c r="D12773" s="689">
        <v>6.4</v>
      </c>
      <c r="E12773" s="689">
        <v>6.6</v>
      </c>
      <c r="F12773" s="689">
        <v>6.8</v>
      </c>
      <c r="G12773" s="689">
        <v>6.4</v>
      </c>
      <c r="H12773" s="689">
        <v>6.5</v>
      </c>
      <c r="I12773" s="690" t="s">
        <v>4060</v>
      </c>
      <c r="J12773" s="690" t="s">
        <v>4060</v>
      </c>
      <c r="K12773" s="690" t="s">
        <v>4060</v>
      </c>
    </row>
    <row r="12774" spans="1:11">
      <c r="A12774" s="688" t="s">
        <v>4070</v>
      </c>
      <c r="B12774" s="692" t="s">
        <v>4060</v>
      </c>
      <c r="C12774" s="692" t="s">
        <v>4060</v>
      </c>
      <c r="D12774" s="692" t="s">
        <v>4060</v>
      </c>
      <c r="E12774" s="691">
        <v>6.9</v>
      </c>
      <c r="F12774" s="692" t="s">
        <v>4060</v>
      </c>
      <c r="G12774" s="692" t="s">
        <v>4060</v>
      </c>
      <c r="H12774" s="692" t="s">
        <v>4060</v>
      </c>
      <c r="I12774" s="692" t="s">
        <v>4060</v>
      </c>
      <c r="J12774" s="692" t="s">
        <v>4060</v>
      </c>
      <c r="K12774" s="692" t="s">
        <v>4060</v>
      </c>
    </row>
    <row r="12775" spans="1:11">
      <c r="A12775" s="688" t="s">
        <v>2491</v>
      </c>
      <c r="B12775" s="689">
        <v>5.5</v>
      </c>
      <c r="C12775" s="689">
        <v>5.7</v>
      </c>
      <c r="D12775" s="689">
        <v>5.7</v>
      </c>
      <c r="E12775" s="689">
        <v>5.6</v>
      </c>
      <c r="F12775" s="689">
        <v>5.6</v>
      </c>
      <c r="G12775" s="689">
        <v>5.7</v>
      </c>
      <c r="H12775" s="690" t="s">
        <v>4060</v>
      </c>
      <c r="I12775" s="690" t="s">
        <v>4060</v>
      </c>
      <c r="J12775" s="690" t="s">
        <v>4060</v>
      </c>
      <c r="K12775" s="690" t="s">
        <v>4060</v>
      </c>
    </row>
    <row r="12776" spans="1:11">
      <c r="A12776" s="688" t="s">
        <v>2343</v>
      </c>
      <c r="B12776" s="692" t="s">
        <v>4060</v>
      </c>
      <c r="C12776" s="692" t="s">
        <v>4060</v>
      </c>
      <c r="D12776" s="692" t="s">
        <v>4060</v>
      </c>
      <c r="E12776" s="692" t="s">
        <v>4060</v>
      </c>
      <c r="F12776" s="692" t="s">
        <v>4060</v>
      </c>
      <c r="G12776" s="692" t="s">
        <v>4060</v>
      </c>
      <c r="H12776" s="692" t="s">
        <v>4060</v>
      </c>
      <c r="I12776" s="692" t="s">
        <v>4060</v>
      </c>
      <c r="J12776" s="692" t="s">
        <v>4060</v>
      </c>
      <c r="K12776" s="692" t="s">
        <v>4060</v>
      </c>
    </row>
    <row r="12777" spans="1:11">
      <c r="A12777" s="688" t="s">
        <v>4071</v>
      </c>
      <c r="B12777" s="690" t="s">
        <v>4060</v>
      </c>
      <c r="C12777" s="690" t="s">
        <v>4060</v>
      </c>
      <c r="D12777" s="690" t="s">
        <v>4060</v>
      </c>
      <c r="E12777" s="690" t="s">
        <v>4060</v>
      </c>
      <c r="F12777" s="690" t="s">
        <v>4060</v>
      </c>
      <c r="G12777" s="690" t="s">
        <v>4060</v>
      </c>
      <c r="H12777" s="690" t="s">
        <v>4060</v>
      </c>
      <c r="I12777" s="690" t="s">
        <v>4060</v>
      </c>
      <c r="J12777" s="690" t="s">
        <v>4060</v>
      </c>
      <c r="K12777" s="690" t="s">
        <v>4060</v>
      </c>
    </row>
    <row r="12778" spans="1:11">
      <c r="A12778" s="688" t="s">
        <v>2489</v>
      </c>
      <c r="B12778" s="692" t="s">
        <v>4060</v>
      </c>
      <c r="C12778" s="692" t="s">
        <v>4060</v>
      </c>
      <c r="D12778" s="691">
        <v>6.5</v>
      </c>
      <c r="E12778" s="691">
        <v>6.3</v>
      </c>
      <c r="F12778" s="691">
        <v>6.6</v>
      </c>
      <c r="G12778" s="691">
        <v>6.5</v>
      </c>
      <c r="H12778" s="691">
        <v>7.1</v>
      </c>
      <c r="I12778" s="692" t="s">
        <v>4060</v>
      </c>
      <c r="J12778" s="692" t="s">
        <v>4060</v>
      </c>
      <c r="K12778" s="692" t="s">
        <v>4060</v>
      </c>
    </row>
    <row r="12779" spans="1:11">
      <c r="A12779" s="688" t="s">
        <v>2490</v>
      </c>
      <c r="B12779" s="689">
        <v>6.9</v>
      </c>
      <c r="C12779" s="689">
        <v>6.5</v>
      </c>
      <c r="D12779" s="689">
        <v>7.4</v>
      </c>
      <c r="E12779" s="690" t="s">
        <v>4060</v>
      </c>
      <c r="F12779" s="689">
        <v>8.1</v>
      </c>
      <c r="G12779" s="689">
        <v>7.3</v>
      </c>
      <c r="H12779" s="689">
        <v>8.1999999999999993</v>
      </c>
      <c r="I12779" s="690" t="s">
        <v>4060</v>
      </c>
      <c r="J12779" s="690" t="s">
        <v>4060</v>
      </c>
      <c r="K12779" s="690" t="s">
        <v>4060</v>
      </c>
    </row>
    <row r="12781" spans="1:11">
      <c r="A12781" s="683" t="s">
        <v>4233</v>
      </c>
    </row>
    <row r="12782" spans="1:11">
      <c r="A12782" s="683" t="s">
        <v>4060</v>
      </c>
      <c r="B12782" s="682" t="s">
        <v>4234</v>
      </c>
    </row>
    <row r="12784" spans="1:11">
      <c r="A12784" s="682" t="s">
        <v>4331</v>
      </c>
    </row>
    <row r="12785" spans="1:11">
      <c r="A12785" s="682" t="s">
        <v>4210</v>
      </c>
      <c r="B12785" s="683" t="s">
        <v>4211</v>
      </c>
    </row>
    <row r="12786" spans="1:11">
      <c r="A12786" s="682" t="s">
        <v>4212</v>
      </c>
      <c r="B12786" s="682" t="s">
        <v>4213</v>
      </c>
    </row>
    <row r="12788" spans="1:11">
      <c r="A12788" s="683" t="s">
        <v>4214</v>
      </c>
      <c r="C12788" s="682" t="s">
        <v>4215</v>
      </c>
    </row>
    <row r="12789" spans="1:11">
      <c r="A12789" s="683" t="s">
        <v>4216</v>
      </c>
      <c r="C12789" s="682" t="s">
        <v>2967</v>
      </c>
    </row>
    <row r="12790" spans="1:11">
      <c r="A12790" s="683" t="s">
        <v>3893</v>
      </c>
      <c r="C12790" s="682" t="s">
        <v>2168</v>
      </c>
    </row>
    <row r="12791" spans="1:11">
      <c r="A12791" s="683" t="s">
        <v>4218</v>
      </c>
      <c r="C12791" s="682" t="s">
        <v>4317</v>
      </c>
    </row>
    <row r="12793" spans="1:11">
      <c r="A12793" s="684" t="s">
        <v>4220</v>
      </c>
      <c r="B12793" s="685" t="s">
        <v>4221</v>
      </c>
      <c r="C12793" s="685" t="s">
        <v>4222</v>
      </c>
      <c r="D12793" s="685" t="s">
        <v>4223</v>
      </c>
      <c r="E12793" s="685" t="s">
        <v>4224</v>
      </c>
      <c r="F12793" s="685" t="s">
        <v>4225</v>
      </c>
      <c r="G12793" s="685" t="s">
        <v>4226</v>
      </c>
      <c r="H12793" s="685" t="s">
        <v>4227</v>
      </c>
      <c r="I12793" s="685" t="s">
        <v>4228</v>
      </c>
      <c r="J12793" s="685" t="s">
        <v>4229</v>
      </c>
      <c r="K12793" s="685" t="s">
        <v>4230</v>
      </c>
    </row>
    <row r="12794" spans="1:11">
      <c r="A12794" s="686" t="s">
        <v>4231</v>
      </c>
      <c r="B12794" s="687" t="s">
        <v>4232</v>
      </c>
      <c r="C12794" s="687" t="s">
        <v>4232</v>
      </c>
      <c r="D12794" s="687" t="s">
        <v>4232</v>
      </c>
      <c r="E12794" s="687" t="s">
        <v>4232</v>
      </c>
      <c r="F12794" s="687" t="s">
        <v>4232</v>
      </c>
      <c r="G12794" s="687" t="s">
        <v>4232</v>
      </c>
      <c r="H12794" s="687" t="s">
        <v>4232</v>
      </c>
      <c r="I12794" s="687" t="s">
        <v>4232</v>
      </c>
      <c r="J12794" s="687" t="s">
        <v>4232</v>
      </c>
      <c r="K12794" s="687" t="s">
        <v>4232</v>
      </c>
    </row>
    <row r="12795" spans="1:11">
      <c r="A12795" s="688" t="s">
        <v>4064</v>
      </c>
      <c r="B12795" s="689">
        <v>6.9</v>
      </c>
      <c r="C12795" s="689">
        <v>6.6</v>
      </c>
      <c r="D12795" s="689">
        <v>6.8</v>
      </c>
      <c r="E12795" s="689">
        <v>6.7</v>
      </c>
      <c r="F12795" s="689">
        <v>6.6</v>
      </c>
      <c r="G12795" s="689">
        <v>6.7</v>
      </c>
      <c r="H12795" s="689">
        <v>6.8</v>
      </c>
      <c r="I12795" s="689">
        <v>6.4</v>
      </c>
      <c r="J12795" s="689">
        <v>6.5</v>
      </c>
      <c r="K12795" s="689">
        <v>6.5</v>
      </c>
    </row>
    <row r="12796" spans="1:11">
      <c r="A12796" s="688" t="s">
        <v>4065</v>
      </c>
      <c r="B12796" s="691">
        <v>6.9</v>
      </c>
      <c r="C12796" s="691">
        <v>7.1</v>
      </c>
      <c r="D12796" s="691">
        <v>6.8</v>
      </c>
      <c r="E12796" s="691">
        <v>7.1</v>
      </c>
      <c r="F12796" s="615">
        <v>7</v>
      </c>
      <c r="G12796" s="691">
        <v>7.1</v>
      </c>
      <c r="H12796" s="692" t="s">
        <v>4060</v>
      </c>
      <c r="I12796" s="692" t="s">
        <v>4060</v>
      </c>
      <c r="J12796" s="692" t="s">
        <v>4060</v>
      </c>
      <c r="K12796" s="692" t="s">
        <v>4060</v>
      </c>
    </row>
    <row r="12797" spans="1:11">
      <c r="A12797" s="688" t="s">
        <v>4063</v>
      </c>
      <c r="B12797" s="689">
        <v>6.9</v>
      </c>
      <c r="C12797" s="689">
        <v>7.1</v>
      </c>
      <c r="D12797" s="689">
        <v>6.8</v>
      </c>
      <c r="E12797" s="689">
        <v>7.1</v>
      </c>
      <c r="F12797" s="693">
        <v>7</v>
      </c>
      <c r="G12797" s="689">
        <v>7.1</v>
      </c>
      <c r="H12797" s="690" t="s">
        <v>4060</v>
      </c>
      <c r="I12797" s="690" t="s">
        <v>4060</v>
      </c>
      <c r="J12797" s="690" t="s">
        <v>4060</v>
      </c>
      <c r="K12797" s="690" t="s">
        <v>4060</v>
      </c>
    </row>
    <row r="12798" spans="1:11">
      <c r="A12798" s="688" t="s">
        <v>4069</v>
      </c>
      <c r="B12798" s="692" t="s">
        <v>4060</v>
      </c>
      <c r="C12798" s="691">
        <v>6.8</v>
      </c>
      <c r="D12798" s="691">
        <v>6.6</v>
      </c>
      <c r="E12798" s="691">
        <v>6.8</v>
      </c>
      <c r="F12798" s="691">
        <v>6.7</v>
      </c>
      <c r="G12798" s="691">
        <v>6.8</v>
      </c>
      <c r="H12798" s="615">
        <v>7</v>
      </c>
      <c r="I12798" s="691">
        <v>6.5</v>
      </c>
      <c r="J12798" s="691">
        <v>6.7</v>
      </c>
      <c r="K12798" s="691">
        <v>6.6</v>
      </c>
    </row>
    <row r="12799" spans="1:11">
      <c r="A12799" s="688" t="s">
        <v>4068</v>
      </c>
      <c r="B12799" s="693">
        <v>7</v>
      </c>
      <c r="C12799" s="690" t="s">
        <v>4060</v>
      </c>
      <c r="D12799" s="690" t="s">
        <v>4060</v>
      </c>
      <c r="E12799" s="690" t="s">
        <v>4060</v>
      </c>
      <c r="F12799" s="690" t="s">
        <v>4060</v>
      </c>
      <c r="G12799" s="690" t="s">
        <v>4060</v>
      </c>
      <c r="H12799" s="690" t="s">
        <v>4060</v>
      </c>
      <c r="I12799" s="690" t="s">
        <v>4060</v>
      </c>
      <c r="J12799" s="690" t="s">
        <v>4060</v>
      </c>
      <c r="K12799" s="690" t="s">
        <v>4060</v>
      </c>
    </row>
    <row r="12800" spans="1:11">
      <c r="A12800" s="688" t="s">
        <v>0</v>
      </c>
      <c r="B12800" s="691">
        <v>6.6</v>
      </c>
      <c r="C12800" s="691">
        <v>6.6</v>
      </c>
      <c r="D12800" s="691">
        <v>6.5</v>
      </c>
      <c r="E12800" s="691">
        <v>6.7</v>
      </c>
      <c r="F12800" s="691">
        <v>6.7</v>
      </c>
      <c r="G12800" s="691">
        <v>6.7</v>
      </c>
      <c r="H12800" s="691">
        <v>6.9</v>
      </c>
      <c r="I12800" s="691">
        <v>6.2</v>
      </c>
      <c r="J12800" s="691">
        <v>6.9</v>
      </c>
      <c r="K12800" s="691">
        <v>6.8</v>
      </c>
    </row>
    <row r="12801" spans="1:11">
      <c r="A12801" s="688" t="s">
        <v>1</v>
      </c>
      <c r="B12801" s="689">
        <v>5.5</v>
      </c>
      <c r="C12801" s="689">
        <v>5.2</v>
      </c>
      <c r="D12801" s="693">
        <v>5</v>
      </c>
      <c r="E12801" s="689">
        <v>5.3</v>
      </c>
      <c r="F12801" s="689">
        <v>5.0999999999999996</v>
      </c>
      <c r="G12801" s="689">
        <v>5.2</v>
      </c>
      <c r="H12801" s="689">
        <v>5.2</v>
      </c>
      <c r="I12801" s="689">
        <v>4.7</v>
      </c>
      <c r="J12801" s="689">
        <v>4.2</v>
      </c>
      <c r="K12801" s="689">
        <v>4.8</v>
      </c>
    </row>
    <row r="12802" spans="1:11">
      <c r="A12802" s="688" t="s">
        <v>2240</v>
      </c>
      <c r="B12802" s="691">
        <v>5.9</v>
      </c>
      <c r="C12802" s="691">
        <v>5.8</v>
      </c>
      <c r="D12802" s="691">
        <v>5.7</v>
      </c>
      <c r="E12802" s="691">
        <v>5.9</v>
      </c>
      <c r="F12802" s="691">
        <v>5.9</v>
      </c>
      <c r="G12802" s="615">
        <v>6</v>
      </c>
      <c r="H12802" s="615">
        <v>6</v>
      </c>
      <c r="I12802" s="691">
        <v>5.4</v>
      </c>
      <c r="J12802" s="691">
        <v>5.3</v>
      </c>
      <c r="K12802" s="691">
        <v>5.8</v>
      </c>
    </row>
    <row r="12803" spans="1:11">
      <c r="A12803" s="688" t="s">
        <v>2</v>
      </c>
      <c r="B12803" s="689">
        <v>6.4</v>
      </c>
      <c r="C12803" s="689">
        <v>6.5</v>
      </c>
      <c r="D12803" s="689">
        <v>6.4</v>
      </c>
      <c r="E12803" s="689">
        <v>6.5</v>
      </c>
      <c r="F12803" s="689">
        <v>6.4</v>
      </c>
      <c r="G12803" s="689">
        <v>6.3</v>
      </c>
      <c r="H12803" s="689">
        <v>6.6</v>
      </c>
      <c r="I12803" s="689">
        <v>6.5</v>
      </c>
      <c r="J12803" s="689">
        <v>6.5</v>
      </c>
      <c r="K12803" s="689">
        <v>6.4</v>
      </c>
    </row>
    <row r="12804" spans="1:11">
      <c r="A12804" s="688" t="s">
        <v>3</v>
      </c>
      <c r="B12804" s="691">
        <v>6.6</v>
      </c>
      <c r="C12804" s="691">
        <v>6.4</v>
      </c>
      <c r="D12804" s="691">
        <v>6.3</v>
      </c>
      <c r="E12804" s="691">
        <v>6.5</v>
      </c>
      <c r="F12804" s="691">
        <v>6.4</v>
      </c>
      <c r="G12804" s="691">
        <v>6.5</v>
      </c>
      <c r="H12804" s="691">
        <v>6.6</v>
      </c>
      <c r="I12804" s="691">
        <v>6.5</v>
      </c>
      <c r="J12804" s="691">
        <v>6.5</v>
      </c>
      <c r="K12804" s="691">
        <v>6.3</v>
      </c>
    </row>
    <row r="12805" spans="1:11">
      <c r="A12805" s="688" t="s">
        <v>4061</v>
      </c>
      <c r="B12805" s="689">
        <v>6.6</v>
      </c>
      <c r="C12805" s="689">
        <v>6.4</v>
      </c>
      <c r="D12805" s="689">
        <v>6.3</v>
      </c>
      <c r="E12805" s="689">
        <v>6.5</v>
      </c>
      <c r="F12805" s="689">
        <v>6.4</v>
      </c>
      <c r="G12805" s="689">
        <v>6.5</v>
      </c>
      <c r="H12805" s="689">
        <v>6.6</v>
      </c>
      <c r="I12805" s="689">
        <v>6.5</v>
      </c>
      <c r="J12805" s="689">
        <v>6.5</v>
      </c>
      <c r="K12805" s="689">
        <v>6.3</v>
      </c>
    </row>
    <row r="12806" spans="1:11">
      <c r="A12806" s="688" t="s">
        <v>4</v>
      </c>
      <c r="B12806" s="691">
        <v>6.5</v>
      </c>
      <c r="C12806" s="691">
        <v>5.9</v>
      </c>
      <c r="D12806" s="691">
        <v>6.2</v>
      </c>
      <c r="E12806" s="691">
        <v>6.1</v>
      </c>
      <c r="F12806" s="691">
        <v>6.1</v>
      </c>
      <c r="G12806" s="691">
        <v>6.1</v>
      </c>
      <c r="H12806" s="691">
        <v>6.4</v>
      </c>
      <c r="I12806" s="691">
        <v>6.4</v>
      </c>
      <c r="J12806" s="691">
        <v>5.6</v>
      </c>
      <c r="K12806" s="691">
        <v>5.8</v>
      </c>
    </row>
    <row r="12807" spans="1:11">
      <c r="A12807" s="688" t="s">
        <v>8</v>
      </c>
      <c r="B12807" s="689">
        <v>6.3</v>
      </c>
      <c r="C12807" s="689">
        <v>6.4</v>
      </c>
      <c r="D12807" s="689">
        <v>6.3</v>
      </c>
      <c r="E12807" s="689">
        <v>6.4</v>
      </c>
      <c r="F12807" s="689">
        <v>6.7</v>
      </c>
      <c r="G12807" s="689">
        <v>6.7</v>
      </c>
      <c r="H12807" s="689">
        <v>6.7</v>
      </c>
      <c r="I12807" s="689">
        <v>6.7</v>
      </c>
      <c r="J12807" s="689">
        <v>6.6</v>
      </c>
      <c r="K12807" s="689">
        <v>6.8</v>
      </c>
    </row>
    <row r="12808" spans="1:11">
      <c r="A12808" s="688" t="s">
        <v>7</v>
      </c>
      <c r="B12808" s="691">
        <v>7.5</v>
      </c>
      <c r="C12808" s="691">
        <v>6.3</v>
      </c>
      <c r="D12808" s="691">
        <v>6.2</v>
      </c>
      <c r="E12808" s="691">
        <v>6.5</v>
      </c>
      <c r="F12808" s="691">
        <v>6.4</v>
      </c>
      <c r="G12808" s="691">
        <v>6.7</v>
      </c>
      <c r="H12808" s="691">
        <v>6.7</v>
      </c>
      <c r="I12808" s="691">
        <v>6.7</v>
      </c>
      <c r="J12808" s="691">
        <v>6.4</v>
      </c>
      <c r="K12808" s="691">
        <v>6.5</v>
      </c>
    </row>
    <row r="12809" spans="1:11">
      <c r="A12809" s="688" t="s">
        <v>27</v>
      </c>
      <c r="B12809" s="689">
        <v>7.6</v>
      </c>
      <c r="C12809" s="689">
        <v>7.1</v>
      </c>
      <c r="D12809" s="689">
        <v>6.9</v>
      </c>
      <c r="E12809" s="689">
        <v>7.1</v>
      </c>
      <c r="F12809" s="693">
        <v>7</v>
      </c>
      <c r="G12809" s="689">
        <v>7.1</v>
      </c>
      <c r="H12809" s="689">
        <v>7.3</v>
      </c>
      <c r="I12809" s="689">
        <v>6.6</v>
      </c>
      <c r="J12809" s="689">
        <v>7.1</v>
      </c>
      <c r="K12809" s="693">
        <v>7</v>
      </c>
    </row>
    <row r="12810" spans="1:11">
      <c r="A12810" s="688" t="s">
        <v>6</v>
      </c>
      <c r="B12810" s="691">
        <v>7.6</v>
      </c>
      <c r="C12810" s="691">
        <v>7.3</v>
      </c>
      <c r="D12810" s="691">
        <v>7.1</v>
      </c>
      <c r="E12810" s="691">
        <v>7.3</v>
      </c>
      <c r="F12810" s="691">
        <v>7.3</v>
      </c>
      <c r="G12810" s="691">
        <v>7.4</v>
      </c>
      <c r="H12810" s="691">
        <v>7.5</v>
      </c>
      <c r="I12810" s="615">
        <v>7</v>
      </c>
      <c r="J12810" s="691">
        <v>7.2</v>
      </c>
      <c r="K12810" s="691">
        <v>7.2</v>
      </c>
    </row>
    <row r="12811" spans="1:11">
      <c r="A12811" s="688" t="s">
        <v>4058</v>
      </c>
      <c r="B12811" s="690" t="s">
        <v>4060</v>
      </c>
      <c r="C12811" s="690" t="s">
        <v>4060</v>
      </c>
      <c r="D12811" s="690" t="s">
        <v>4060</v>
      </c>
      <c r="E12811" s="690" t="s">
        <v>4060</v>
      </c>
      <c r="F12811" s="690" t="s">
        <v>4060</v>
      </c>
      <c r="G12811" s="690" t="s">
        <v>4060</v>
      </c>
      <c r="H12811" s="690" t="s">
        <v>4060</v>
      </c>
      <c r="I12811" s="690" t="s">
        <v>4060</v>
      </c>
      <c r="J12811" s="690" t="s">
        <v>4060</v>
      </c>
      <c r="K12811" s="690" t="s">
        <v>4060</v>
      </c>
    </row>
    <row r="12812" spans="1:11">
      <c r="A12812" s="688" t="s">
        <v>11</v>
      </c>
      <c r="B12812" s="691">
        <v>5.6</v>
      </c>
      <c r="C12812" s="691">
        <v>5.5</v>
      </c>
      <c r="D12812" s="691">
        <v>5.2</v>
      </c>
      <c r="E12812" s="691">
        <v>5.4</v>
      </c>
      <c r="F12812" s="691">
        <v>5.4</v>
      </c>
      <c r="G12812" s="691">
        <v>5.4</v>
      </c>
      <c r="H12812" s="691">
        <v>5.6</v>
      </c>
      <c r="I12812" s="691">
        <v>5.2</v>
      </c>
      <c r="J12812" s="691">
        <v>4.9000000000000004</v>
      </c>
      <c r="K12812" s="691">
        <v>5.2</v>
      </c>
    </row>
    <row r="12813" spans="1:11">
      <c r="A12813" s="688" t="s">
        <v>10</v>
      </c>
      <c r="B12813" s="689">
        <v>7.1</v>
      </c>
      <c r="C12813" s="689">
        <v>6.8</v>
      </c>
      <c r="D12813" s="689">
        <v>6.5</v>
      </c>
      <c r="E12813" s="689">
        <v>6.8</v>
      </c>
      <c r="F12813" s="689">
        <v>6.7</v>
      </c>
      <c r="G12813" s="689">
        <v>6.9</v>
      </c>
      <c r="H12813" s="693">
        <v>7</v>
      </c>
      <c r="I12813" s="689">
        <v>6.4</v>
      </c>
      <c r="J12813" s="689">
        <v>6.8</v>
      </c>
      <c r="K12813" s="689">
        <v>6.7</v>
      </c>
    </row>
    <row r="12814" spans="1:11">
      <c r="A12814" s="688" t="s">
        <v>30</v>
      </c>
      <c r="B12814" s="691">
        <v>6.8</v>
      </c>
      <c r="C12814" s="691">
        <v>6.6</v>
      </c>
      <c r="D12814" s="615">
        <v>6</v>
      </c>
      <c r="E12814" s="691">
        <v>6.8</v>
      </c>
      <c r="F12814" s="691">
        <v>6.7</v>
      </c>
      <c r="G12814" s="691">
        <v>7.2</v>
      </c>
      <c r="H12814" s="615">
        <v>7</v>
      </c>
      <c r="I12814" s="691">
        <v>7.1</v>
      </c>
      <c r="J12814" s="691">
        <v>6.7</v>
      </c>
      <c r="K12814" s="691">
        <v>6.6</v>
      </c>
    </row>
    <row r="12815" spans="1:11">
      <c r="A12815" s="688" t="s">
        <v>12</v>
      </c>
      <c r="B12815" s="689">
        <v>5.9</v>
      </c>
      <c r="C12815" s="689">
        <v>5.6</v>
      </c>
      <c r="D12815" s="689">
        <v>5.7</v>
      </c>
      <c r="E12815" s="689">
        <v>5.5</v>
      </c>
      <c r="F12815" s="689">
        <v>5.6</v>
      </c>
      <c r="G12815" s="689">
        <v>5.7</v>
      </c>
      <c r="H12815" s="689">
        <v>5.8</v>
      </c>
      <c r="I12815" s="689">
        <v>5.7</v>
      </c>
      <c r="J12815" s="689">
        <v>5.0999999999999996</v>
      </c>
      <c r="K12815" s="689">
        <v>5.5</v>
      </c>
    </row>
    <row r="12816" spans="1:11">
      <c r="A12816" s="688" t="s">
        <v>14</v>
      </c>
      <c r="B12816" s="691">
        <v>5.7</v>
      </c>
      <c r="C12816" s="691">
        <v>5.3</v>
      </c>
      <c r="D12816" s="691">
        <v>5.2</v>
      </c>
      <c r="E12816" s="691">
        <v>5.2</v>
      </c>
      <c r="F12816" s="615">
        <v>5</v>
      </c>
      <c r="G12816" s="691">
        <v>5.0999999999999996</v>
      </c>
      <c r="H12816" s="691">
        <v>5.2</v>
      </c>
      <c r="I12816" s="691">
        <v>5.2</v>
      </c>
      <c r="J12816" s="615">
        <v>5</v>
      </c>
      <c r="K12816" s="691">
        <v>5.4</v>
      </c>
    </row>
    <row r="12817" spans="1:11">
      <c r="A12817" s="688" t="s">
        <v>15</v>
      </c>
      <c r="B12817" s="689">
        <v>7.6</v>
      </c>
      <c r="C12817" s="689">
        <v>6.5</v>
      </c>
      <c r="D12817" s="689">
        <v>6.7</v>
      </c>
      <c r="E12817" s="689">
        <v>6.6</v>
      </c>
      <c r="F12817" s="689">
        <v>6.9</v>
      </c>
      <c r="G12817" s="689">
        <v>6.6</v>
      </c>
      <c r="H12817" s="689">
        <v>6.7</v>
      </c>
      <c r="I12817" s="689">
        <v>6.4</v>
      </c>
      <c r="J12817" s="689">
        <v>6.9</v>
      </c>
      <c r="K12817" s="693">
        <v>7</v>
      </c>
    </row>
    <row r="12818" spans="1:11">
      <c r="A12818" s="688" t="s">
        <v>29</v>
      </c>
      <c r="B12818" s="691">
        <v>5.7</v>
      </c>
      <c r="C12818" s="691">
        <v>5.7</v>
      </c>
      <c r="D12818" s="691">
        <v>5.4</v>
      </c>
      <c r="E12818" s="691">
        <v>5.7</v>
      </c>
      <c r="F12818" s="691">
        <v>5.5</v>
      </c>
      <c r="G12818" s="691">
        <v>5.6</v>
      </c>
      <c r="H12818" s="691">
        <v>5.7</v>
      </c>
      <c r="I12818" s="691">
        <v>5.3</v>
      </c>
      <c r="J12818" s="691">
        <v>5.2</v>
      </c>
      <c r="K12818" s="691">
        <v>5.4</v>
      </c>
    </row>
    <row r="12819" spans="1:11">
      <c r="A12819" s="688" t="s">
        <v>16</v>
      </c>
      <c r="B12819" s="689">
        <v>6.8</v>
      </c>
      <c r="C12819" s="689">
        <v>6.7</v>
      </c>
      <c r="D12819" s="689">
        <v>6.2</v>
      </c>
      <c r="E12819" s="689">
        <v>6.8</v>
      </c>
      <c r="F12819" s="689">
        <v>6.5</v>
      </c>
      <c r="G12819" s="689">
        <v>6.7</v>
      </c>
      <c r="H12819" s="689">
        <v>6.7</v>
      </c>
      <c r="I12819" s="689">
        <v>6.5</v>
      </c>
      <c r="J12819" s="689">
        <v>6.6</v>
      </c>
      <c r="K12819" s="689">
        <v>6.6</v>
      </c>
    </row>
    <row r="12820" spans="1:11">
      <c r="A12820" s="688" t="s">
        <v>17</v>
      </c>
      <c r="B12820" s="691">
        <v>6.6</v>
      </c>
      <c r="C12820" s="691">
        <v>6.5</v>
      </c>
      <c r="D12820" s="691">
        <v>6.4</v>
      </c>
      <c r="E12820" s="691">
        <v>6.4</v>
      </c>
      <c r="F12820" s="691">
        <v>6.4</v>
      </c>
      <c r="G12820" s="691">
        <v>6.5</v>
      </c>
      <c r="H12820" s="691">
        <v>6.6</v>
      </c>
      <c r="I12820" s="691">
        <v>6.1</v>
      </c>
      <c r="J12820" s="691">
        <v>6.2</v>
      </c>
      <c r="K12820" s="691">
        <v>6.4</v>
      </c>
    </row>
    <row r="12821" spans="1:11">
      <c r="A12821" s="688" t="s">
        <v>19</v>
      </c>
      <c r="B12821" s="689">
        <v>6.8</v>
      </c>
      <c r="C12821" s="689">
        <v>6.7</v>
      </c>
      <c r="D12821" s="689">
        <v>6.4</v>
      </c>
      <c r="E12821" s="689">
        <v>6.7</v>
      </c>
      <c r="F12821" s="689">
        <v>6.6</v>
      </c>
      <c r="G12821" s="689">
        <v>6.7</v>
      </c>
      <c r="H12821" s="689">
        <v>6.7</v>
      </c>
      <c r="I12821" s="689">
        <v>6.4</v>
      </c>
      <c r="J12821" s="689">
        <v>6.6</v>
      </c>
      <c r="K12821" s="689">
        <v>6.5</v>
      </c>
    </row>
    <row r="12822" spans="1:11">
      <c r="A12822" s="688" t="s">
        <v>20</v>
      </c>
      <c r="B12822" s="691">
        <v>6.4</v>
      </c>
      <c r="C12822" s="691">
        <v>6.3</v>
      </c>
      <c r="D12822" s="691">
        <v>6.1</v>
      </c>
      <c r="E12822" s="691">
        <v>6.4</v>
      </c>
      <c r="F12822" s="691">
        <v>6.3</v>
      </c>
      <c r="G12822" s="691">
        <v>6.3</v>
      </c>
      <c r="H12822" s="691">
        <v>6.5</v>
      </c>
      <c r="I12822" s="691">
        <v>5.6</v>
      </c>
      <c r="J12822" s="691">
        <v>5.4</v>
      </c>
      <c r="K12822" s="615">
        <v>6</v>
      </c>
    </row>
    <row r="12823" spans="1:11">
      <c r="A12823" s="688" t="s">
        <v>21</v>
      </c>
      <c r="B12823" s="689">
        <v>6.3</v>
      </c>
      <c r="C12823" s="689">
        <v>6.6</v>
      </c>
      <c r="D12823" s="689">
        <v>6.6</v>
      </c>
      <c r="E12823" s="689">
        <v>6.6</v>
      </c>
      <c r="F12823" s="689">
        <v>6.7</v>
      </c>
      <c r="G12823" s="689">
        <v>6.7</v>
      </c>
      <c r="H12823" s="689">
        <v>6.9</v>
      </c>
      <c r="I12823" s="689">
        <v>6.6</v>
      </c>
      <c r="J12823" s="689">
        <v>6.6</v>
      </c>
      <c r="K12823" s="689">
        <v>6.7</v>
      </c>
    </row>
    <row r="12824" spans="1:11">
      <c r="A12824" s="688" t="s">
        <v>22</v>
      </c>
      <c r="B12824" s="691">
        <v>5.9</v>
      </c>
      <c r="C12824" s="691">
        <v>5.7</v>
      </c>
      <c r="D12824" s="691">
        <v>5.6</v>
      </c>
      <c r="E12824" s="691">
        <v>5.9</v>
      </c>
      <c r="F12824" s="691">
        <v>5.9</v>
      </c>
      <c r="G12824" s="691">
        <v>6.1</v>
      </c>
      <c r="H12824" s="691">
        <v>6.4</v>
      </c>
      <c r="I12824" s="691">
        <v>5.6</v>
      </c>
      <c r="J12824" s="691">
        <v>4.9000000000000004</v>
      </c>
      <c r="K12824" s="691">
        <v>5.2</v>
      </c>
    </row>
    <row r="12825" spans="1:11">
      <c r="A12825" s="688" t="s">
        <v>26</v>
      </c>
      <c r="B12825" s="689">
        <v>6.7</v>
      </c>
      <c r="C12825" s="689">
        <v>6.3</v>
      </c>
      <c r="D12825" s="689">
        <v>6.2</v>
      </c>
      <c r="E12825" s="689">
        <v>6.5</v>
      </c>
      <c r="F12825" s="689">
        <v>6.2</v>
      </c>
      <c r="G12825" s="689">
        <v>6.4</v>
      </c>
      <c r="H12825" s="689">
        <v>6.7</v>
      </c>
      <c r="I12825" s="689">
        <v>5.8</v>
      </c>
      <c r="J12825" s="689">
        <v>6.2</v>
      </c>
      <c r="K12825" s="689">
        <v>6.5</v>
      </c>
    </row>
    <row r="12826" spans="1:11">
      <c r="A12826" s="688" t="s">
        <v>25</v>
      </c>
      <c r="B12826" s="691">
        <v>5.7</v>
      </c>
      <c r="C12826" s="691">
        <v>5.8</v>
      </c>
      <c r="D12826" s="691">
        <v>5.7</v>
      </c>
      <c r="E12826" s="615">
        <v>6</v>
      </c>
      <c r="F12826" s="691">
        <v>5.9</v>
      </c>
      <c r="G12826" s="691">
        <v>6.1</v>
      </c>
      <c r="H12826" s="691">
        <v>6.5</v>
      </c>
      <c r="I12826" s="691">
        <v>5.8</v>
      </c>
      <c r="J12826" s="691">
        <v>5.2</v>
      </c>
      <c r="K12826" s="691">
        <v>5.7</v>
      </c>
    </row>
    <row r="12827" spans="1:11">
      <c r="A12827" s="688" t="s">
        <v>5</v>
      </c>
      <c r="B12827" s="689">
        <v>6.9</v>
      </c>
      <c r="C12827" s="689">
        <v>6.5</v>
      </c>
      <c r="D12827" s="689">
        <v>6.5</v>
      </c>
      <c r="E12827" s="689">
        <v>6.4</v>
      </c>
      <c r="F12827" s="689">
        <v>6.6</v>
      </c>
      <c r="G12827" s="689">
        <v>6.7</v>
      </c>
      <c r="H12827" s="689">
        <v>6.8</v>
      </c>
      <c r="I12827" s="689">
        <v>6.9</v>
      </c>
      <c r="J12827" s="689">
        <v>6.7</v>
      </c>
      <c r="K12827" s="689">
        <v>6.3</v>
      </c>
    </row>
    <row r="12828" spans="1:11">
      <c r="A12828" s="688" t="s">
        <v>23</v>
      </c>
      <c r="B12828" s="691">
        <v>6.6</v>
      </c>
      <c r="C12828" s="691">
        <v>6.6</v>
      </c>
      <c r="D12828" s="691">
        <v>6.6</v>
      </c>
      <c r="E12828" s="691">
        <v>6.7</v>
      </c>
      <c r="F12828" s="691">
        <v>6.6</v>
      </c>
      <c r="G12828" s="691">
        <v>6.7</v>
      </c>
      <c r="H12828" s="691">
        <v>6.9</v>
      </c>
      <c r="I12828" s="691">
        <v>6.5</v>
      </c>
      <c r="J12828" s="691">
        <v>6.9</v>
      </c>
      <c r="K12828" s="691">
        <v>6.9</v>
      </c>
    </row>
    <row r="12829" spans="1:11">
      <c r="A12829" s="688" t="s">
        <v>4067</v>
      </c>
      <c r="B12829" s="689">
        <v>6.9</v>
      </c>
      <c r="C12829" s="689">
        <v>7.1</v>
      </c>
      <c r="D12829" s="689">
        <v>6.8</v>
      </c>
      <c r="E12829" s="689">
        <v>7.1</v>
      </c>
      <c r="F12829" s="693">
        <v>7</v>
      </c>
      <c r="G12829" s="689">
        <v>7.1</v>
      </c>
      <c r="H12829" s="690" t="s">
        <v>4060</v>
      </c>
      <c r="I12829" s="690" t="s">
        <v>4060</v>
      </c>
      <c r="J12829" s="690" t="s">
        <v>4060</v>
      </c>
      <c r="K12829" s="690" t="s">
        <v>4060</v>
      </c>
    </row>
    <row r="12830" spans="1:11">
      <c r="A12830" s="688" t="s">
        <v>4066</v>
      </c>
      <c r="B12830" s="691">
        <v>6.9</v>
      </c>
      <c r="C12830" s="691">
        <v>7.1</v>
      </c>
      <c r="D12830" s="691">
        <v>6.8</v>
      </c>
      <c r="E12830" s="691">
        <v>7.1</v>
      </c>
      <c r="F12830" s="615">
        <v>7</v>
      </c>
      <c r="G12830" s="691">
        <v>7.1</v>
      </c>
      <c r="H12830" s="692" t="s">
        <v>4060</v>
      </c>
      <c r="I12830" s="692" t="s">
        <v>4060</v>
      </c>
      <c r="J12830" s="692" t="s">
        <v>4060</v>
      </c>
      <c r="K12830" s="692" t="s">
        <v>4060</v>
      </c>
    </row>
    <row r="12831" spans="1:11">
      <c r="A12831" s="688" t="s">
        <v>4062</v>
      </c>
      <c r="B12831" s="689">
        <v>6.9</v>
      </c>
      <c r="C12831" s="689">
        <v>6.8</v>
      </c>
      <c r="D12831" s="689">
        <v>6.7</v>
      </c>
      <c r="E12831" s="689">
        <v>6.9</v>
      </c>
      <c r="F12831" s="693">
        <v>7</v>
      </c>
      <c r="G12831" s="689">
        <v>7.1</v>
      </c>
      <c r="H12831" s="689">
        <v>7.1</v>
      </c>
      <c r="I12831" s="689">
        <v>6.7</v>
      </c>
      <c r="J12831" s="689">
        <v>7.2</v>
      </c>
      <c r="K12831" s="689">
        <v>6.9</v>
      </c>
    </row>
    <row r="12832" spans="1:11">
      <c r="A12832" s="688" t="s">
        <v>9</v>
      </c>
      <c r="B12832" s="691">
        <v>6.7</v>
      </c>
      <c r="C12832" s="691">
        <v>6.7</v>
      </c>
      <c r="D12832" s="691">
        <v>6.6</v>
      </c>
      <c r="E12832" s="691">
        <v>6.3</v>
      </c>
      <c r="F12832" s="615">
        <v>7</v>
      </c>
      <c r="G12832" s="691">
        <v>6.8</v>
      </c>
      <c r="H12832" s="691">
        <v>6.8</v>
      </c>
      <c r="I12832" s="691">
        <v>7.3</v>
      </c>
      <c r="J12832" s="691">
        <v>7.4</v>
      </c>
      <c r="K12832" s="691">
        <v>6.7</v>
      </c>
    </row>
    <row r="12833" spans="1:11">
      <c r="A12833" s="688" t="s">
        <v>13</v>
      </c>
      <c r="B12833" s="689">
        <v>5.5</v>
      </c>
      <c r="C12833" s="689">
        <v>6.2</v>
      </c>
      <c r="D12833" s="689">
        <v>6.6</v>
      </c>
      <c r="E12833" s="689">
        <v>6.1</v>
      </c>
      <c r="F12833" s="689">
        <v>7.8</v>
      </c>
      <c r="G12833" s="693">
        <v>7</v>
      </c>
      <c r="H12833" s="689">
        <v>7.6</v>
      </c>
      <c r="I12833" s="689">
        <v>5.7</v>
      </c>
      <c r="J12833" s="689">
        <v>7.6</v>
      </c>
      <c r="K12833" s="689">
        <v>7.6</v>
      </c>
    </row>
    <row r="12834" spans="1:11">
      <c r="A12834" s="688" t="s">
        <v>18</v>
      </c>
      <c r="B12834" s="691">
        <v>6.7</v>
      </c>
      <c r="C12834" s="691">
        <v>6.6</v>
      </c>
      <c r="D12834" s="691">
        <v>6.6</v>
      </c>
      <c r="E12834" s="691">
        <v>6.7</v>
      </c>
      <c r="F12834" s="691">
        <v>6.8</v>
      </c>
      <c r="G12834" s="691">
        <v>6.9</v>
      </c>
      <c r="H12834" s="691">
        <v>6.9</v>
      </c>
      <c r="I12834" s="615">
        <v>7</v>
      </c>
      <c r="J12834" s="615">
        <v>7</v>
      </c>
      <c r="K12834" s="691">
        <v>6.6</v>
      </c>
    </row>
    <row r="12835" spans="1:11">
      <c r="A12835" s="688" t="s">
        <v>24</v>
      </c>
      <c r="B12835" s="693">
        <v>7</v>
      </c>
      <c r="C12835" s="689">
        <v>6.9</v>
      </c>
      <c r="D12835" s="689">
        <v>6.8</v>
      </c>
      <c r="E12835" s="689">
        <v>7.1</v>
      </c>
      <c r="F12835" s="689">
        <v>7.1</v>
      </c>
      <c r="G12835" s="689">
        <v>7.2</v>
      </c>
      <c r="H12835" s="689">
        <v>7.2</v>
      </c>
      <c r="I12835" s="689">
        <v>6.6</v>
      </c>
      <c r="J12835" s="689">
        <v>7.2</v>
      </c>
      <c r="K12835" s="693">
        <v>7</v>
      </c>
    </row>
    <row r="12836" spans="1:11">
      <c r="A12836" s="688" t="s">
        <v>4059</v>
      </c>
      <c r="B12836" s="615">
        <v>7</v>
      </c>
      <c r="C12836" s="691">
        <v>7.2</v>
      </c>
      <c r="D12836" s="691">
        <v>6.9</v>
      </c>
      <c r="E12836" s="691">
        <v>7.1</v>
      </c>
      <c r="F12836" s="691">
        <v>7.1</v>
      </c>
      <c r="G12836" s="691">
        <v>7.1</v>
      </c>
      <c r="H12836" s="692" t="s">
        <v>4060</v>
      </c>
      <c r="I12836" s="692" t="s">
        <v>4060</v>
      </c>
      <c r="J12836" s="692" t="s">
        <v>4060</v>
      </c>
      <c r="K12836" s="692" t="s">
        <v>4060</v>
      </c>
    </row>
    <row r="12837" spans="1:11">
      <c r="A12837" s="688" t="s">
        <v>2324</v>
      </c>
      <c r="B12837" s="693">
        <v>6</v>
      </c>
      <c r="C12837" s="693">
        <v>6</v>
      </c>
      <c r="D12837" s="689">
        <v>5.6</v>
      </c>
      <c r="E12837" s="689">
        <v>5.7</v>
      </c>
      <c r="F12837" s="689">
        <v>5.9</v>
      </c>
      <c r="G12837" s="693">
        <v>6</v>
      </c>
      <c r="H12837" s="689">
        <v>6.2</v>
      </c>
      <c r="I12837" s="689">
        <v>5.6</v>
      </c>
      <c r="J12837" s="689">
        <v>4.5</v>
      </c>
      <c r="K12837" s="690" t="s">
        <v>4060</v>
      </c>
    </row>
    <row r="12838" spans="1:11">
      <c r="A12838" s="688" t="s">
        <v>2322</v>
      </c>
      <c r="B12838" s="692" t="s">
        <v>4060</v>
      </c>
      <c r="C12838" s="692" t="s">
        <v>4060</v>
      </c>
      <c r="D12838" s="692" t="s">
        <v>4060</v>
      </c>
      <c r="E12838" s="692" t="s">
        <v>4060</v>
      </c>
      <c r="F12838" s="692" t="s">
        <v>4060</v>
      </c>
      <c r="G12838" s="692" t="s">
        <v>4060</v>
      </c>
      <c r="H12838" s="692" t="s">
        <v>4060</v>
      </c>
      <c r="I12838" s="692" t="s">
        <v>4060</v>
      </c>
      <c r="J12838" s="692" t="s">
        <v>4060</v>
      </c>
      <c r="K12838" s="692" t="s">
        <v>4060</v>
      </c>
    </row>
    <row r="12839" spans="1:11">
      <c r="A12839" s="688" t="s">
        <v>2328</v>
      </c>
      <c r="B12839" s="689">
        <v>4.5999999999999996</v>
      </c>
      <c r="C12839" s="689">
        <v>4.9000000000000004</v>
      </c>
      <c r="D12839" s="689">
        <v>4.7</v>
      </c>
      <c r="E12839" s="689">
        <v>4.5999999999999996</v>
      </c>
      <c r="F12839" s="689">
        <v>4.7</v>
      </c>
      <c r="G12839" s="689">
        <v>4.9000000000000004</v>
      </c>
      <c r="H12839" s="689">
        <v>4.9000000000000004</v>
      </c>
      <c r="I12839" s="689">
        <v>4.2</v>
      </c>
      <c r="J12839" s="689">
        <v>4.2</v>
      </c>
      <c r="K12839" s="690" t="s">
        <v>4060</v>
      </c>
    </row>
    <row r="12840" spans="1:11">
      <c r="A12840" s="688" t="s">
        <v>2496</v>
      </c>
      <c r="B12840" s="692" t="s">
        <v>4060</v>
      </c>
      <c r="C12840" s="691">
        <v>7.4</v>
      </c>
      <c r="D12840" s="691">
        <v>5.4</v>
      </c>
      <c r="E12840" s="691">
        <v>4.4000000000000004</v>
      </c>
      <c r="F12840" s="691">
        <v>4.7</v>
      </c>
      <c r="G12840" s="691">
        <v>4.8</v>
      </c>
      <c r="H12840" s="691">
        <v>4.5999999999999996</v>
      </c>
      <c r="I12840" s="692" t="s">
        <v>4060</v>
      </c>
      <c r="J12840" s="692" t="s">
        <v>4060</v>
      </c>
      <c r="K12840" s="615">
        <v>4</v>
      </c>
    </row>
    <row r="12841" spans="1:11">
      <c r="A12841" s="688" t="s">
        <v>2269</v>
      </c>
      <c r="B12841" s="689">
        <v>5.7</v>
      </c>
      <c r="C12841" s="689">
        <v>5.5</v>
      </c>
      <c r="D12841" s="689">
        <v>5.0999999999999996</v>
      </c>
      <c r="E12841" s="689">
        <v>5.5</v>
      </c>
      <c r="F12841" s="689">
        <v>5.5</v>
      </c>
      <c r="G12841" s="689">
        <v>5.7</v>
      </c>
      <c r="H12841" s="693">
        <v>6</v>
      </c>
      <c r="I12841" s="689">
        <v>4.9000000000000004</v>
      </c>
      <c r="J12841" s="689">
        <v>1.8</v>
      </c>
      <c r="K12841" s="689">
        <v>5.6</v>
      </c>
    </row>
    <row r="12842" spans="1:11">
      <c r="A12842" s="688" t="s">
        <v>2349</v>
      </c>
      <c r="B12842" s="691">
        <v>5.3</v>
      </c>
      <c r="C12842" s="691">
        <v>5.4</v>
      </c>
      <c r="D12842" s="691">
        <v>5.3</v>
      </c>
      <c r="E12842" s="691">
        <v>5.5</v>
      </c>
      <c r="F12842" s="691">
        <v>5.5</v>
      </c>
      <c r="G12842" s="691">
        <v>5.7</v>
      </c>
      <c r="H12842" s="691">
        <v>5.9</v>
      </c>
      <c r="I12842" s="691">
        <v>5.2</v>
      </c>
      <c r="J12842" s="691">
        <v>4.5</v>
      </c>
      <c r="K12842" s="615">
        <v>5</v>
      </c>
    </row>
    <row r="12843" spans="1:11">
      <c r="A12843" s="688" t="s">
        <v>2355</v>
      </c>
      <c r="B12843" s="689">
        <v>6.5</v>
      </c>
      <c r="C12843" s="689">
        <v>6.2</v>
      </c>
      <c r="D12843" s="689">
        <v>6.1</v>
      </c>
      <c r="E12843" s="689">
        <v>6.1</v>
      </c>
      <c r="F12843" s="689">
        <v>6.2</v>
      </c>
      <c r="G12843" s="689">
        <v>6.5</v>
      </c>
      <c r="H12843" s="689">
        <v>6.5</v>
      </c>
      <c r="I12843" s="690" t="s">
        <v>4060</v>
      </c>
      <c r="J12843" s="690" t="s">
        <v>4060</v>
      </c>
      <c r="K12843" s="690" t="s">
        <v>4060</v>
      </c>
    </row>
    <row r="12844" spans="1:11">
      <c r="A12844" s="688" t="s">
        <v>2357</v>
      </c>
      <c r="B12844" s="692" t="s">
        <v>4060</v>
      </c>
      <c r="C12844" s="691">
        <v>5.9</v>
      </c>
      <c r="D12844" s="691">
        <v>6.1</v>
      </c>
      <c r="E12844" s="691">
        <v>6.4</v>
      </c>
      <c r="F12844" s="691">
        <v>6.6</v>
      </c>
      <c r="G12844" s="691">
        <v>6.2</v>
      </c>
      <c r="H12844" s="691">
        <v>6.3</v>
      </c>
      <c r="I12844" s="692" t="s">
        <v>4060</v>
      </c>
      <c r="J12844" s="692" t="s">
        <v>4060</v>
      </c>
      <c r="K12844" s="692" t="s">
        <v>4060</v>
      </c>
    </row>
    <row r="12845" spans="1:11">
      <c r="A12845" s="688" t="s">
        <v>4070</v>
      </c>
      <c r="B12845" s="690" t="s">
        <v>4060</v>
      </c>
      <c r="C12845" s="690" t="s">
        <v>4060</v>
      </c>
      <c r="D12845" s="690" t="s">
        <v>4060</v>
      </c>
      <c r="E12845" s="689">
        <v>6.7</v>
      </c>
      <c r="F12845" s="690" t="s">
        <v>4060</v>
      </c>
      <c r="G12845" s="690" t="s">
        <v>4060</v>
      </c>
      <c r="H12845" s="690" t="s">
        <v>4060</v>
      </c>
      <c r="I12845" s="690" t="s">
        <v>4060</v>
      </c>
      <c r="J12845" s="690" t="s">
        <v>4060</v>
      </c>
      <c r="K12845" s="690" t="s">
        <v>4060</v>
      </c>
    </row>
    <row r="12846" spans="1:11">
      <c r="A12846" s="688" t="s">
        <v>2491</v>
      </c>
      <c r="B12846" s="691">
        <v>5.2</v>
      </c>
      <c r="C12846" s="691">
        <v>5.4</v>
      </c>
      <c r="D12846" s="691">
        <v>5.5</v>
      </c>
      <c r="E12846" s="691">
        <v>5.3</v>
      </c>
      <c r="F12846" s="691">
        <v>5.3</v>
      </c>
      <c r="G12846" s="691">
        <v>5.4</v>
      </c>
      <c r="H12846" s="692" t="s">
        <v>4060</v>
      </c>
      <c r="I12846" s="692" t="s">
        <v>4060</v>
      </c>
      <c r="J12846" s="692" t="s">
        <v>4060</v>
      </c>
      <c r="K12846" s="692" t="s">
        <v>4060</v>
      </c>
    </row>
    <row r="12847" spans="1:11">
      <c r="A12847" s="688" t="s">
        <v>2343</v>
      </c>
      <c r="B12847" s="690" t="s">
        <v>4060</v>
      </c>
      <c r="C12847" s="690" t="s">
        <v>4060</v>
      </c>
      <c r="D12847" s="690" t="s">
        <v>4060</v>
      </c>
      <c r="E12847" s="690" t="s">
        <v>4060</v>
      </c>
      <c r="F12847" s="690" t="s">
        <v>4060</v>
      </c>
      <c r="G12847" s="690" t="s">
        <v>4060</v>
      </c>
      <c r="H12847" s="690" t="s">
        <v>4060</v>
      </c>
      <c r="I12847" s="690" t="s">
        <v>4060</v>
      </c>
      <c r="J12847" s="690" t="s">
        <v>4060</v>
      </c>
      <c r="K12847" s="690" t="s">
        <v>4060</v>
      </c>
    </row>
    <row r="12848" spans="1:11">
      <c r="A12848" s="688" t="s">
        <v>4071</v>
      </c>
      <c r="B12848" s="692" t="s">
        <v>4060</v>
      </c>
      <c r="C12848" s="692" t="s">
        <v>4060</v>
      </c>
      <c r="D12848" s="692" t="s">
        <v>4060</v>
      </c>
      <c r="E12848" s="692" t="s">
        <v>4060</v>
      </c>
      <c r="F12848" s="692" t="s">
        <v>4060</v>
      </c>
      <c r="G12848" s="692" t="s">
        <v>4060</v>
      </c>
      <c r="H12848" s="692" t="s">
        <v>4060</v>
      </c>
      <c r="I12848" s="692" t="s">
        <v>4060</v>
      </c>
      <c r="J12848" s="692" t="s">
        <v>4060</v>
      </c>
      <c r="K12848" s="692" t="s">
        <v>4060</v>
      </c>
    </row>
    <row r="12849" spans="1:11">
      <c r="A12849" s="688" t="s">
        <v>2489</v>
      </c>
      <c r="B12849" s="690" t="s">
        <v>4060</v>
      </c>
      <c r="C12849" s="690" t="s">
        <v>4060</v>
      </c>
      <c r="D12849" s="689">
        <v>6.1</v>
      </c>
      <c r="E12849" s="693">
        <v>6</v>
      </c>
      <c r="F12849" s="689">
        <v>6.2</v>
      </c>
      <c r="G12849" s="689">
        <v>6.1</v>
      </c>
      <c r="H12849" s="689">
        <v>6.8</v>
      </c>
      <c r="I12849" s="690" t="s">
        <v>4060</v>
      </c>
      <c r="J12849" s="690" t="s">
        <v>4060</v>
      </c>
      <c r="K12849" s="690" t="s">
        <v>4060</v>
      </c>
    </row>
    <row r="12850" spans="1:11">
      <c r="A12850" s="688" t="s">
        <v>2490</v>
      </c>
      <c r="B12850" s="691">
        <v>6.6</v>
      </c>
      <c r="C12850" s="691">
        <v>6.4</v>
      </c>
      <c r="D12850" s="691">
        <v>7.2</v>
      </c>
      <c r="E12850" s="692" t="s">
        <v>4060</v>
      </c>
      <c r="F12850" s="615">
        <v>8</v>
      </c>
      <c r="G12850" s="691">
        <v>7.1</v>
      </c>
      <c r="H12850" s="615">
        <v>8</v>
      </c>
      <c r="I12850" s="692" t="s">
        <v>4060</v>
      </c>
      <c r="J12850" s="692" t="s">
        <v>4060</v>
      </c>
      <c r="K12850" s="692" t="s">
        <v>4060</v>
      </c>
    </row>
    <row r="12852" spans="1:11">
      <c r="A12852" s="683" t="s">
        <v>4233</v>
      </c>
    </row>
    <row r="12853" spans="1:11">
      <c r="A12853" s="683" t="s">
        <v>4060</v>
      </c>
      <c r="B12853" s="682" t="s">
        <v>4234</v>
      </c>
    </row>
    <row r="12855" spans="1:11">
      <c r="A12855" s="682" t="s">
        <v>4331</v>
      </c>
    </row>
    <row r="12856" spans="1:11">
      <c r="A12856" s="682" t="s">
        <v>4210</v>
      </c>
      <c r="B12856" s="683" t="s">
        <v>4211</v>
      </c>
    </row>
    <row r="12857" spans="1:11">
      <c r="A12857" s="682" t="s">
        <v>4212</v>
      </c>
      <c r="B12857" s="682" t="s">
        <v>4213</v>
      </c>
    </row>
    <row r="12859" spans="1:11">
      <c r="A12859" s="683" t="s">
        <v>4214</v>
      </c>
      <c r="C12859" s="682" t="s">
        <v>4215</v>
      </c>
    </row>
    <row r="12860" spans="1:11">
      <c r="A12860" s="683" t="s">
        <v>4216</v>
      </c>
      <c r="C12860" s="682" t="s">
        <v>2967</v>
      </c>
    </row>
    <row r="12861" spans="1:11">
      <c r="A12861" s="683" t="s">
        <v>3893</v>
      </c>
      <c r="C12861" s="682" t="s">
        <v>2168</v>
      </c>
    </row>
    <row r="12862" spans="1:11">
      <c r="A12862" s="683" t="s">
        <v>4218</v>
      </c>
      <c r="C12862" s="682" t="s">
        <v>4318</v>
      </c>
    </row>
    <row r="12864" spans="1:11">
      <c r="A12864" s="684" t="s">
        <v>4220</v>
      </c>
      <c r="B12864" s="685" t="s">
        <v>4221</v>
      </c>
      <c r="C12864" s="685" t="s">
        <v>4222</v>
      </c>
      <c r="D12864" s="685" t="s">
        <v>4223</v>
      </c>
      <c r="E12864" s="685" t="s">
        <v>4224</v>
      </c>
      <c r="F12864" s="685" t="s">
        <v>4225</v>
      </c>
      <c r="G12864" s="685" t="s">
        <v>4226</v>
      </c>
      <c r="H12864" s="685" t="s">
        <v>4227</v>
      </c>
      <c r="I12864" s="685" t="s">
        <v>4228</v>
      </c>
      <c r="J12864" s="685" t="s">
        <v>4229</v>
      </c>
      <c r="K12864" s="685" t="s">
        <v>4230</v>
      </c>
    </row>
    <row r="12865" spans="1:11">
      <c r="A12865" s="686" t="s">
        <v>4231</v>
      </c>
      <c r="B12865" s="687" t="s">
        <v>4232</v>
      </c>
      <c r="C12865" s="687" t="s">
        <v>4232</v>
      </c>
      <c r="D12865" s="687" t="s">
        <v>4232</v>
      </c>
      <c r="E12865" s="687" t="s">
        <v>4232</v>
      </c>
      <c r="F12865" s="687" t="s">
        <v>4232</v>
      </c>
      <c r="G12865" s="687" t="s">
        <v>4232</v>
      </c>
      <c r="H12865" s="687" t="s">
        <v>4232</v>
      </c>
      <c r="I12865" s="687" t="s">
        <v>4232</v>
      </c>
      <c r="J12865" s="687" t="s">
        <v>4232</v>
      </c>
      <c r="K12865" s="687" t="s">
        <v>4232</v>
      </c>
    </row>
    <row r="12866" spans="1:11">
      <c r="A12866" s="688" t="s">
        <v>4064</v>
      </c>
      <c r="B12866" s="691">
        <v>6.4</v>
      </c>
      <c r="C12866" s="691">
        <v>6.2</v>
      </c>
      <c r="D12866" s="691">
        <v>6.4</v>
      </c>
      <c r="E12866" s="691">
        <v>6.2</v>
      </c>
      <c r="F12866" s="691">
        <v>6.1</v>
      </c>
      <c r="G12866" s="691">
        <v>6.2</v>
      </c>
      <c r="H12866" s="691">
        <v>6.4</v>
      </c>
      <c r="I12866" s="691">
        <v>5.9</v>
      </c>
      <c r="J12866" s="615">
        <v>6</v>
      </c>
      <c r="K12866" s="615">
        <v>6</v>
      </c>
    </row>
    <row r="12867" spans="1:11">
      <c r="A12867" s="688" t="s">
        <v>4065</v>
      </c>
      <c r="B12867" s="689">
        <v>6.5</v>
      </c>
      <c r="C12867" s="689">
        <v>6.7</v>
      </c>
      <c r="D12867" s="689">
        <v>6.4</v>
      </c>
      <c r="E12867" s="689">
        <v>6.6</v>
      </c>
      <c r="F12867" s="689">
        <v>6.5</v>
      </c>
      <c r="G12867" s="689">
        <v>6.6</v>
      </c>
      <c r="H12867" s="690" t="s">
        <v>4060</v>
      </c>
      <c r="I12867" s="690" t="s">
        <v>4060</v>
      </c>
      <c r="J12867" s="690" t="s">
        <v>4060</v>
      </c>
      <c r="K12867" s="690" t="s">
        <v>4060</v>
      </c>
    </row>
    <row r="12868" spans="1:11">
      <c r="A12868" s="688" t="s">
        <v>4063</v>
      </c>
      <c r="B12868" s="691">
        <v>6.5</v>
      </c>
      <c r="C12868" s="691">
        <v>6.7</v>
      </c>
      <c r="D12868" s="691">
        <v>6.4</v>
      </c>
      <c r="E12868" s="691">
        <v>6.6</v>
      </c>
      <c r="F12868" s="691">
        <v>6.5</v>
      </c>
      <c r="G12868" s="691">
        <v>6.6</v>
      </c>
      <c r="H12868" s="692" t="s">
        <v>4060</v>
      </c>
      <c r="I12868" s="692" t="s">
        <v>4060</v>
      </c>
      <c r="J12868" s="692" t="s">
        <v>4060</v>
      </c>
      <c r="K12868" s="692" t="s">
        <v>4060</v>
      </c>
    </row>
    <row r="12869" spans="1:11">
      <c r="A12869" s="688" t="s">
        <v>4069</v>
      </c>
      <c r="B12869" s="690" t="s">
        <v>4060</v>
      </c>
      <c r="C12869" s="689">
        <v>6.3</v>
      </c>
      <c r="D12869" s="689">
        <v>6.1</v>
      </c>
      <c r="E12869" s="689">
        <v>6.3</v>
      </c>
      <c r="F12869" s="689">
        <v>6.2</v>
      </c>
      <c r="G12869" s="689">
        <v>6.3</v>
      </c>
      <c r="H12869" s="689">
        <v>6.5</v>
      </c>
      <c r="I12869" s="693">
        <v>6</v>
      </c>
      <c r="J12869" s="689">
        <v>6.2</v>
      </c>
      <c r="K12869" s="689">
        <v>6.1</v>
      </c>
    </row>
    <row r="12870" spans="1:11">
      <c r="A12870" s="688" t="s">
        <v>4068</v>
      </c>
      <c r="B12870" s="691">
        <v>6.6</v>
      </c>
      <c r="C12870" s="692" t="s">
        <v>4060</v>
      </c>
      <c r="D12870" s="692" t="s">
        <v>4060</v>
      </c>
      <c r="E12870" s="692" t="s">
        <v>4060</v>
      </c>
      <c r="F12870" s="692" t="s">
        <v>4060</v>
      </c>
      <c r="G12870" s="692" t="s">
        <v>4060</v>
      </c>
      <c r="H12870" s="692" t="s">
        <v>4060</v>
      </c>
      <c r="I12870" s="692" t="s">
        <v>4060</v>
      </c>
      <c r="J12870" s="692" t="s">
        <v>4060</v>
      </c>
      <c r="K12870" s="692" t="s">
        <v>4060</v>
      </c>
    </row>
    <row r="12871" spans="1:11">
      <c r="A12871" s="688" t="s">
        <v>0</v>
      </c>
      <c r="B12871" s="689">
        <v>6.2</v>
      </c>
      <c r="C12871" s="689">
        <v>6.2</v>
      </c>
      <c r="D12871" s="689">
        <v>6.1</v>
      </c>
      <c r="E12871" s="689">
        <v>6.2</v>
      </c>
      <c r="F12871" s="689">
        <v>6.2</v>
      </c>
      <c r="G12871" s="689">
        <v>6.2</v>
      </c>
      <c r="H12871" s="689">
        <v>6.4</v>
      </c>
      <c r="I12871" s="689">
        <v>5.7</v>
      </c>
      <c r="J12871" s="689">
        <v>6.4</v>
      </c>
      <c r="K12871" s="689">
        <v>6.3</v>
      </c>
    </row>
    <row r="12872" spans="1:11">
      <c r="A12872" s="688" t="s">
        <v>1</v>
      </c>
      <c r="B12872" s="691">
        <v>5.2</v>
      </c>
      <c r="C12872" s="691">
        <v>4.8</v>
      </c>
      <c r="D12872" s="691">
        <v>4.7</v>
      </c>
      <c r="E12872" s="691">
        <v>4.9000000000000004</v>
      </c>
      <c r="F12872" s="691">
        <v>4.7</v>
      </c>
      <c r="G12872" s="691">
        <v>4.8</v>
      </c>
      <c r="H12872" s="691">
        <v>4.8</v>
      </c>
      <c r="I12872" s="691">
        <v>4.3</v>
      </c>
      <c r="J12872" s="615">
        <v>4</v>
      </c>
      <c r="K12872" s="691">
        <v>4.4000000000000004</v>
      </c>
    </row>
    <row r="12873" spans="1:11">
      <c r="A12873" s="688" t="s">
        <v>2240</v>
      </c>
      <c r="B12873" s="689">
        <v>5.5</v>
      </c>
      <c r="C12873" s="689">
        <v>5.4</v>
      </c>
      <c r="D12873" s="689">
        <v>5.3</v>
      </c>
      <c r="E12873" s="689">
        <v>5.5</v>
      </c>
      <c r="F12873" s="689">
        <v>5.4</v>
      </c>
      <c r="G12873" s="689">
        <v>5.5</v>
      </c>
      <c r="H12873" s="689">
        <v>5.6</v>
      </c>
      <c r="I12873" s="693">
        <v>5</v>
      </c>
      <c r="J12873" s="689">
        <v>4.9000000000000004</v>
      </c>
      <c r="K12873" s="689">
        <v>5.3</v>
      </c>
    </row>
    <row r="12874" spans="1:11">
      <c r="A12874" s="688" t="s">
        <v>2</v>
      </c>
      <c r="B12874" s="615">
        <v>6</v>
      </c>
      <c r="C12874" s="615">
        <v>6</v>
      </c>
      <c r="D12874" s="691">
        <v>5.9</v>
      </c>
      <c r="E12874" s="615">
        <v>6</v>
      </c>
      <c r="F12874" s="615">
        <v>6</v>
      </c>
      <c r="G12874" s="691">
        <v>5.8</v>
      </c>
      <c r="H12874" s="691">
        <v>6.1</v>
      </c>
      <c r="I12874" s="615">
        <v>6</v>
      </c>
      <c r="J12874" s="615">
        <v>6</v>
      </c>
      <c r="K12874" s="691">
        <v>5.9</v>
      </c>
    </row>
    <row r="12875" spans="1:11">
      <c r="A12875" s="688" t="s">
        <v>3</v>
      </c>
      <c r="B12875" s="689">
        <v>6.2</v>
      </c>
      <c r="C12875" s="693">
        <v>6</v>
      </c>
      <c r="D12875" s="689">
        <v>5.8</v>
      </c>
      <c r="E12875" s="693">
        <v>6</v>
      </c>
      <c r="F12875" s="693">
        <v>6</v>
      </c>
      <c r="G12875" s="693">
        <v>6</v>
      </c>
      <c r="H12875" s="689">
        <v>6.1</v>
      </c>
      <c r="I12875" s="693">
        <v>6</v>
      </c>
      <c r="J12875" s="693">
        <v>6</v>
      </c>
      <c r="K12875" s="689">
        <v>5.8</v>
      </c>
    </row>
    <row r="12876" spans="1:11">
      <c r="A12876" s="688" t="s">
        <v>4061</v>
      </c>
      <c r="B12876" s="691">
        <v>6.2</v>
      </c>
      <c r="C12876" s="615">
        <v>6</v>
      </c>
      <c r="D12876" s="691">
        <v>5.8</v>
      </c>
      <c r="E12876" s="615">
        <v>6</v>
      </c>
      <c r="F12876" s="615">
        <v>6</v>
      </c>
      <c r="G12876" s="615">
        <v>6</v>
      </c>
      <c r="H12876" s="691">
        <v>6.1</v>
      </c>
      <c r="I12876" s="615">
        <v>6</v>
      </c>
      <c r="J12876" s="615">
        <v>6</v>
      </c>
      <c r="K12876" s="691">
        <v>5.8</v>
      </c>
    </row>
    <row r="12877" spans="1:11">
      <c r="A12877" s="688" t="s">
        <v>4</v>
      </c>
      <c r="B12877" s="689">
        <v>6.1</v>
      </c>
      <c r="C12877" s="689">
        <v>5.5</v>
      </c>
      <c r="D12877" s="689">
        <v>5.8</v>
      </c>
      <c r="E12877" s="689">
        <v>5.8</v>
      </c>
      <c r="F12877" s="689">
        <v>5.7</v>
      </c>
      <c r="G12877" s="689">
        <v>5.7</v>
      </c>
      <c r="H12877" s="693">
        <v>6</v>
      </c>
      <c r="I12877" s="693">
        <v>6</v>
      </c>
      <c r="J12877" s="689">
        <v>5.2</v>
      </c>
      <c r="K12877" s="689">
        <v>5.5</v>
      </c>
    </row>
    <row r="12878" spans="1:11">
      <c r="A12878" s="688" t="s">
        <v>8</v>
      </c>
      <c r="B12878" s="691">
        <v>5.9</v>
      </c>
      <c r="C12878" s="691">
        <v>5.9</v>
      </c>
      <c r="D12878" s="691">
        <v>5.8</v>
      </c>
      <c r="E12878" s="615">
        <v>6</v>
      </c>
      <c r="F12878" s="691">
        <v>6.2</v>
      </c>
      <c r="G12878" s="691">
        <v>6.2</v>
      </c>
      <c r="H12878" s="691">
        <v>6.2</v>
      </c>
      <c r="I12878" s="691">
        <v>6.2</v>
      </c>
      <c r="J12878" s="691">
        <v>6.1</v>
      </c>
      <c r="K12878" s="691">
        <v>6.4</v>
      </c>
    </row>
    <row r="12879" spans="1:11">
      <c r="A12879" s="688" t="s">
        <v>7</v>
      </c>
      <c r="B12879" s="689">
        <v>7.1</v>
      </c>
      <c r="C12879" s="689">
        <v>5.8</v>
      </c>
      <c r="D12879" s="689">
        <v>5.7</v>
      </c>
      <c r="E12879" s="689">
        <v>5.9</v>
      </c>
      <c r="F12879" s="689">
        <v>5.9</v>
      </c>
      <c r="G12879" s="689">
        <v>6.2</v>
      </c>
      <c r="H12879" s="689">
        <v>6.2</v>
      </c>
      <c r="I12879" s="689">
        <v>6.2</v>
      </c>
      <c r="J12879" s="693">
        <v>6</v>
      </c>
      <c r="K12879" s="693">
        <v>6</v>
      </c>
    </row>
    <row r="12880" spans="1:11">
      <c r="A12880" s="688" t="s">
        <v>27</v>
      </c>
      <c r="B12880" s="691">
        <v>7.1</v>
      </c>
      <c r="C12880" s="691">
        <v>6.6</v>
      </c>
      <c r="D12880" s="691">
        <v>6.4</v>
      </c>
      <c r="E12880" s="691">
        <v>6.6</v>
      </c>
      <c r="F12880" s="691">
        <v>6.5</v>
      </c>
      <c r="G12880" s="691">
        <v>6.6</v>
      </c>
      <c r="H12880" s="691">
        <v>6.8</v>
      </c>
      <c r="I12880" s="691">
        <v>6.1</v>
      </c>
      <c r="J12880" s="691">
        <v>6.6</v>
      </c>
      <c r="K12880" s="691">
        <v>6.5</v>
      </c>
    </row>
    <row r="12881" spans="1:11">
      <c r="A12881" s="688" t="s">
        <v>6</v>
      </c>
      <c r="B12881" s="689">
        <v>7.1</v>
      </c>
      <c r="C12881" s="689">
        <v>6.8</v>
      </c>
      <c r="D12881" s="689">
        <v>6.6</v>
      </c>
      <c r="E12881" s="689">
        <v>6.8</v>
      </c>
      <c r="F12881" s="689">
        <v>6.8</v>
      </c>
      <c r="G12881" s="689">
        <v>6.8</v>
      </c>
      <c r="H12881" s="689">
        <v>6.9</v>
      </c>
      <c r="I12881" s="689">
        <v>6.5</v>
      </c>
      <c r="J12881" s="689">
        <v>6.7</v>
      </c>
      <c r="K12881" s="689">
        <v>6.7</v>
      </c>
    </row>
    <row r="12882" spans="1:11">
      <c r="A12882" s="688" t="s">
        <v>4058</v>
      </c>
      <c r="B12882" s="692" t="s">
        <v>4060</v>
      </c>
      <c r="C12882" s="692" t="s">
        <v>4060</v>
      </c>
      <c r="D12882" s="692" t="s">
        <v>4060</v>
      </c>
      <c r="E12882" s="692" t="s">
        <v>4060</v>
      </c>
      <c r="F12882" s="692" t="s">
        <v>4060</v>
      </c>
      <c r="G12882" s="692" t="s">
        <v>4060</v>
      </c>
      <c r="H12882" s="692" t="s">
        <v>4060</v>
      </c>
      <c r="I12882" s="692" t="s">
        <v>4060</v>
      </c>
      <c r="J12882" s="692" t="s">
        <v>4060</v>
      </c>
      <c r="K12882" s="692" t="s">
        <v>4060</v>
      </c>
    </row>
    <row r="12883" spans="1:11">
      <c r="A12883" s="688" t="s">
        <v>11</v>
      </c>
      <c r="B12883" s="689">
        <v>5.3</v>
      </c>
      <c r="C12883" s="689">
        <v>5.2</v>
      </c>
      <c r="D12883" s="689">
        <v>4.8</v>
      </c>
      <c r="E12883" s="689">
        <v>5.0999999999999996</v>
      </c>
      <c r="F12883" s="693">
        <v>5</v>
      </c>
      <c r="G12883" s="693">
        <v>5</v>
      </c>
      <c r="H12883" s="689">
        <v>5.2</v>
      </c>
      <c r="I12883" s="689">
        <v>4.9000000000000004</v>
      </c>
      <c r="J12883" s="689">
        <v>4.5999999999999996</v>
      </c>
      <c r="K12883" s="689">
        <v>4.8</v>
      </c>
    </row>
    <row r="12884" spans="1:11">
      <c r="A12884" s="688" t="s">
        <v>10</v>
      </c>
      <c r="B12884" s="691">
        <v>6.6</v>
      </c>
      <c r="C12884" s="691">
        <v>6.3</v>
      </c>
      <c r="D12884" s="615">
        <v>6</v>
      </c>
      <c r="E12884" s="691">
        <v>6.3</v>
      </c>
      <c r="F12884" s="691">
        <v>6.2</v>
      </c>
      <c r="G12884" s="691">
        <v>6.4</v>
      </c>
      <c r="H12884" s="691">
        <v>6.5</v>
      </c>
      <c r="I12884" s="691">
        <v>5.9</v>
      </c>
      <c r="J12884" s="691">
        <v>6.3</v>
      </c>
      <c r="K12884" s="691">
        <v>6.1</v>
      </c>
    </row>
    <row r="12885" spans="1:11">
      <c r="A12885" s="688" t="s">
        <v>30</v>
      </c>
      <c r="B12885" s="689">
        <v>6.3</v>
      </c>
      <c r="C12885" s="689">
        <v>6.1</v>
      </c>
      <c r="D12885" s="689">
        <v>5.6</v>
      </c>
      <c r="E12885" s="689">
        <v>6.4</v>
      </c>
      <c r="F12885" s="689">
        <v>6.2</v>
      </c>
      <c r="G12885" s="689">
        <v>6.7</v>
      </c>
      <c r="H12885" s="689">
        <v>6.6</v>
      </c>
      <c r="I12885" s="689">
        <v>6.6</v>
      </c>
      <c r="J12885" s="689">
        <v>6.1</v>
      </c>
      <c r="K12885" s="689">
        <v>6.2</v>
      </c>
    </row>
    <row r="12886" spans="1:11">
      <c r="A12886" s="688" t="s">
        <v>12</v>
      </c>
      <c r="B12886" s="691">
        <v>5.6</v>
      </c>
      <c r="C12886" s="691">
        <v>5.4</v>
      </c>
      <c r="D12886" s="691">
        <v>5.4</v>
      </c>
      <c r="E12886" s="691">
        <v>5.2</v>
      </c>
      <c r="F12886" s="691">
        <v>5.3</v>
      </c>
      <c r="G12886" s="691">
        <v>5.3</v>
      </c>
      <c r="H12886" s="691">
        <v>5.4</v>
      </c>
      <c r="I12886" s="691">
        <v>5.3</v>
      </c>
      <c r="J12886" s="691">
        <v>4.7</v>
      </c>
      <c r="K12886" s="691">
        <v>5.0999999999999996</v>
      </c>
    </row>
    <row r="12887" spans="1:11">
      <c r="A12887" s="688" t="s">
        <v>14</v>
      </c>
      <c r="B12887" s="689">
        <v>5.4</v>
      </c>
      <c r="C12887" s="693">
        <v>5</v>
      </c>
      <c r="D12887" s="689">
        <v>4.8</v>
      </c>
      <c r="E12887" s="689">
        <v>4.7</v>
      </c>
      <c r="F12887" s="689">
        <v>4.5999999999999996</v>
      </c>
      <c r="G12887" s="689">
        <v>4.5999999999999996</v>
      </c>
      <c r="H12887" s="689">
        <v>4.7</v>
      </c>
      <c r="I12887" s="689">
        <v>4.8</v>
      </c>
      <c r="J12887" s="689">
        <v>4.7</v>
      </c>
      <c r="K12887" s="689">
        <v>5.0999999999999996</v>
      </c>
    </row>
    <row r="12888" spans="1:11">
      <c r="A12888" s="688" t="s">
        <v>15</v>
      </c>
      <c r="B12888" s="691">
        <v>7.2</v>
      </c>
      <c r="C12888" s="691">
        <v>5.9</v>
      </c>
      <c r="D12888" s="691">
        <v>6.2</v>
      </c>
      <c r="E12888" s="691">
        <v>6.1</v>
      </c>
      <c r="F12888" s="691">
        <v>6.3</v>
      </c>
      <c r="G12888" s="691">
        <v>6.2</v>
      </c>
      <c r="H12888" s="691">
        <v>6.2</v>
      </c>
      <c r="I12888" s="691">
        <v>5.9</v>
      </c>
      <c r="J12888" s="691">
        <v>6.3</v>
      </c>
      <c r="K12888" s="691">
        <v>6.6</v>
      </c>
    </row>
    <row r="12889" spans="1:11">
      <c r="A12889" s="688" t="s">
        <v>29</v>
      </c>
      <c r="B12889" s="689">
        <v>5.4</v>
      </c>
      <c r="C12889" s="689">
        <v>5.3</v>
      </c>
      <c r="D12889" s="689">
        <v>5.0999999999999996</v>
      </c>
      <c r="E12889" s="689">
        <v>5.3</v>
      </c>
      <c r="F12889" s="689">
        <v>5.2</v>
      </c>
      <c r="G12889" s="689">
        <v>5.3</v>
      </c>
      <c r="H12889" s="689">
        <v>5.3</v>
      </c>
      <c r="I12889" s="693">
        <v>5</v>
      </c>
      <c r="J12889" s="689">
        <v>4.9000000000000004</v>
      </c>
      <c r="K12889" s="689">
        <v>5.0999999999999996</v>
      </c>
    </row>
    <row r="12890" spans="1:11">
      <c r="A12890" s="688" t="s">
        <v>16</v>
      </c>
      <c r="B12890" s="691">
        <v>6.4</v>
      </c>
      <c r="C12890" s="691">
        <v>6.2</v>
      </c>
      <c r="D12890" s="691">
        <v>5.6</v>
      </c>
      <c r="E12890" s="691">
        <v>6.3</v>
      </c>
      <c r="F12890" s="691">
        <v>5.9</v>
      </c>
      <c r="G12890" s="691">
        <v>6.1</v>
      </c>
      <c r="H12890" s="691">
        <v>6.2</v>
      </c>
      <c r="I12890" s="691">
        <v>6.1</v>
      </c>
      <c r="J12890" s="691">
        <v>6.3</v>
      </c>
      <c r="K12890" s="691">
        <v>6.1</v>
      </c>
    </row>
    <row r="12891" spans="1:11">
      <c r="A12891" s="688" t="s">
        <v>17</v>
      </c>
      <c r="B12891" s="689">
        <v>6.2</v>
      </c>
      <c r="C12891" s="693">
        <v>6</v>
      </c>
      <c r="D12891" s="689">
        <v>5.9</v>
      </c>
      <c r="E12891" s="689">
        <v>5.9</v>
      </c>
      <c r="F12891" s="693">
        <v>6</v>
      </c>
      <c r="G12891" s="693">
        <v>6</v>
      </c>
      <c r="H12891" s="689">
        <v>6.1</v>
      </c>
      <c r="I12891" s="689">
        <v>5.7</v>
      </c>
      <c r="J12891" s="689">
        <v>5.8</v>
      </c>
      <c r="K12891" s="689">
        <v>5.9</v>
      </c>
    </row>
    <row r="12892" spans="1:11">
      <c r="A12892" s="688" t="s">
        <v>19</v>
      </c>
      <c r="B12892" s="691">
        <v>6.4</v>
      </c>
      <c r="C12892" s="691">
        <v>6.2</v>
      </c>
      <c r="D12892" s="615">
        <v>6</v>
      </c>
      <c r="E12892" s="691">
        <v>6.2</v>
      </c>
      <c r="F12892" s="691">
        <v>6.2</v>
      </c>
      <c r="G12892" s="691">
        <v>6.2</v>
      </c>
      <c r="H12892" s="691">
        <v>6.2</v>
      </c>
      <c r="I12892" s="691">
        <v>5.9</v>
      </c>
      <c r="J12892" s="691">
        <v>6.1</v>
      </c>
      <c r="K12892" s="691">
        <v>5.9</v>
      </c>
    </row>
    <row r="12893" spans="1:11">
      <c r="A12893" s="688" t="s">
        <v>20</v>
      </c>
      <c r="B12893" s="693">
        <v>6</v>
      </c>
      <c r="C12893" s="689">
        <v>5.9</v>
      </c>
      <c r="D12893" s="689">
        <v>5.7</v>
      </c>
      <c r="E12893" s="693">
        <v>6</v>
      </c>
      <c r="F12893" s="689">
        <v>5.9</v>
      </c>
      <c r="G12893" s="689">
        <v>5.9</v>
      </c>
      <c r="H12893" s="689">
        <v>6.1</v>
      </c>
      <c r="I12893" s="689">
        <v>5.2</v>
      </c>
      <c r="J12893" s="693">
        <v>5</v>
      </c>
      <c r="K12893" s="689">
        <v>5.6</v>
      </c>
    </row>
    <row r="12894" spans="1:11">
      <c r="A12894" s="688" t="s">
        <v>21</v>
      </c>
      <c r="B12894" s="691">
        <v>5.9</v>
      </c>
      <c r="C12894" s="691">
        <v>6.1</v>
      </c>
      <c r="D12894" s="691">
        <v>6.2</v>
      </c>
      <c r="E12894" s="691">
        <v>6.1</v>
      </c>
      <c r="F12894" s="691">
        <v>6.2</v>
      </c>
      <c r="G12894" s="691">
        <v>6.2</v>
      </c>
      <c r="H12894" s="691">
        <v>6.4</v>
      </c>
      <c r="I12894" s="691">
        <v>6.1</v>
      </c>
      <c r="J12894" s="691">
        <v>6.1</v>
      </c>
      <c r="K12894" s="691">
        <v>6.2</v>
      </c>
    </row>
    <row r="12895" spans="1:11">
      <c r="A12895" s="688" t="s">
        <v>22</v>
      </c>
      <c r="B12895" s="689">
        <v>5.6</v>
      </c>
      <c r="C12895" s="689">
        <v>5.4</v>
      </c>
      <c r="D12895" s="689">
        <v>5.3</v>
      </c>
      <c r="E12895" s="689">
        <v>5.6</v>
      </c>
      <c r="F12895" s="689">
        <v>5.7</v>
      </c>
      <c r="G12895" s="689">
        <v>5.8</v>
      </c>
      <c r="H12895" s="689">
        <v>6.1</v>
      </c>
      <c r="I12895" s="689">
        <v>5.3</v>
      </c>
      <c r="J12895" s="689">
        <v>4.5999999999999996</v>
      </c>
      <c r="K12895" s="689">
        <v>4.8</v>
      </c>
    </row>
    <row r="12896" spans="1:11">
      <c r="A12896" s="688" t="s">
        <v>26</v>
      </c>
      <c r="B12896" s="691">
        <v>6.4</v>
      </c>
      <c r="C12896" s="691">
        <v>5.9</v>
      </c>
      <c r="D12896" s="691">
        <v>5.8</v>
      </c>
      <c r="E12896" s="615">
        <v>6</v>
      </c>
      <c r="F12896" s="691">
        <v>5.8</v>
      </c>
      <c r="G12896" s="691">
        <v>5.9</v>
      </c>
      <c r="H12896" s="691">
        <v>6.2</v>
      </c>
      <c r="I12896" s="691">
        <v>5.4</v>
      </c>
      <c r="J12896" s="691">
        <v>5.7</v>
      </c>
      <c r="K12896" s="615">
        <v>6</v>
      </c>
    </row>
    <row r="12897" spans="1:11">
      <c r="A12897" s="688" t="s">
        <v>25</v>
      </c>
      <c r="B12897" s="689">
        <v>5.4</v>
      </c>
      <c r="C12897" s="689">
        <v>5.5</v>
      </c>
      <c r="D12897" s="689">
        <v>5.4</v>
      </c>
      <c r="E12897" s="689">
        <v>5.7</v>
      </c>
      <c r="F12897" s="689">
        <v>5.5</v>
      </c>
      <c r="G12897" s="689">
        <v>5.8</v>
      </c>
      <c r="H12897" s="689">
        <v>6.1</v>
      </c>
      <c r="I12897" s="689">
        <v>5.5</v>
      </c>
      <c r="J12897" s="689">
        <v>4.9000000000000004</v>
      </c>
      <c r="K12897" s="689">
        <v>5.4</v>
      </c>
    </row>
    <row r="12898" spans="1:11">
      <c r="A12898" s="688" t="s">
        <v>5</v>
      </c>
      <c r="B12898" s="691">
        <v>6.4</v>
      </c>
      <c r="C12898" s="615">
        <v>6</v>
      </c>
      <c r="D12898" s="615">
        <v>6</v>
      </c>
      <c r="E12898" s="615">
        <v>6</v>
      </c>
      <c r="F12898" s="691">
        <v>6.1</v>
      </c>
      <c r="G12898" s="691">
        <v>6.2</v>
      </c>
      <c r="H12898" s="691">
        <v>6.3</v>
      </c>
      <c r="I12898" s="691">
        <v>6.4</v>
      </c>
      <c r="J12898" s="691">
        <v>6.2</v>
      </c>
      <c r="K12898" s="691">
        <v>5.9</v>
      </c>
    </row>
    <row r="12899" spans="1:11">
      <c r="A12899" s="688" t="s">
        <v>23</v>
      </c>
      <c r="B12899" s="689">
        <v>6.1</v>
      </c>
      <c r="C12899" s="689">
        <v>6.1</v>
      </c>
      <c r="D12899" s="689">
        <v>6.1</v>
      </c>
      <c r="E12899" s="689">
        <v>6.2</v>
      </c>
      <c r="F12899" s="689">
        <v>6.1</v>
      </c>
      <c r="G12899" s="689">
        <v>6.2</v>
      </c>
      <c r="H12899" s="689">
        <v>6.4</v>
      </c>
      <c r="I12899" s="689">
        <v>5.9</v>
      </c>
      <c r="J12899" s="689">
        <v>6.4</v>
      </c>
      <c r="K12899" s="689">
        <v>6.4</v>
      </c>
    </row>
    <row r="12900" spans="1:11">
      <c r="A12900" s="688" t="s">
        <v>4067</v>
      </c>
      <c r="B12900" s="691">
        <v>6.5</v>
      </c>
      <c r="C12900" s="691">
        <v>6.7</v>
      </c>
      <c r="D12900" s="691">
        <v>6.4</v>
      </c>
      <c r="E12900" s="691">
        <v>6.6</v>
      </c>
      <c r="F12900" s="691">
        <v>6.5</v>
      </c>
      <c r="G12900" s="691">
        <v>6.6</v>
      </c>
      <c r="H12900" s="692" t="s">
        <v>4060</v>
      </c>
      <c r="I12900" s="692" t="s">
        <v>4060</v>
      </c>
      <c r="J12900" s="692" t="s">
        <v>4060</v>
      </c>
      <c r="K12900" s="692" t="s">
        <v>4060</v>
      </c>
    </row>
    <row r="12901" spans="1:11">
      <c r="A12901" s="688" t="s">
        <v>4066</v>
      </c>
      <c r="B12901" s="689">
        <v>6.5</v>
      </c>
      <c r="C12901" s="689">
        <v>6.7</v>
      </c>
      <c r="D12901" s="689">
        <v>6.4</v>
      </c>
      <c r="E12901" s="689">
        <v>6.6</v>
      </c>
      <c r="F12901" s="689">
        <v>6.5</v>
      </c>
      <c r="G12901" s="689">
        <v>6.6</v>
      </c>
      <c r="H12901" s="690" t="s">
        <v>4060</v>
      </c>
      <c r="I12901" s="690" t="s">
        <v>4060</v>
      </c>
      <c r="J12901" s="690" t="s">
        <v>4060</v>
      </c>
      <c r="K12901" s="690" t="s">
        <v>4060</v>
      </c>
    </row>
    <row r="12902" spans="1:11">
      <c r="A12902" s="688" t="s">
        <v>4062</v>
      </c>
      <c r="B12902" s="691">
        <v>6.4</v>
      </c>
      <c r="C12902" s="691">
        <v>6.3</v>
      </c>
      <c r="D12902" s="691">
        <v>6.2</v>
      </c>
      <c r="E12902" s="691">
        <v>6.4</v>
      </c>
      <c r="F12902" s="691">
        <v>6.4</v>
      </c>
      <c r="G12902" s="691">
        <v>6.5</v>
      </c>
      <c r="H12902" s="691">
        <v>6.6</v>
      </c>
      <c r="I12902" s="691">
        <v>6.2</v>
      </c>
      <c r="J12902" s="691">
        <v>6.6</v>
      </c>
      <c r="K12902" s="691">
        <v>6.4</v>
      </c>
    </row>
    <row r="12903" spans="1:11">
      <c r="A12903" s="688" t="s">
        <v>9</v>
      </c>
      <c r="B12903" s="689">
        <v>6.2</v>
      </c>
      <c r="C12903" s="689">
        <v>6.1</v>
      </c>
      <c r="D12903" s="689">
        <v>6.1</v>
      </c>
      <c r="E12903" s="689">
        <v>5.7</v>
      </c>
      <c r="F12903" s="689">
        <v>6.6</v>
      </c>
      <c r="G12903" s="689">
        <v>6.4</v>
      </c>
      <c r="H12903" s="689">
        <v>6.2</v>
      </c>
      <c r="I12903" s="689">
        <v>6.9</v>
      </c>
      <c r="J12903" s="689">
        <v>6.9</v>
      </c>
      <c r="K12903" s="689">
        <v>6.3</v>
      </c>
    </row>
    <row r="12904" spans="1:11">
      <c r="A12904" s="688" t="s">
        <v>13</v>
      </c>
      <c r="B12904" s="691">
        <v>4.9000000000000004</v>
      </c>
      <c r="C12904" s="691">
        <v>5.9</v>
      </c>
      <c r="D12904" s="691">
        <v>6.4</v>
      </c>
      <c r="E12904" s="691">
        <v>5.4</v>
      </c>
      <c r="F12904" s="691">
        <v>7.5</v>
      </c>
      <c r="G12904" s="691">
        <v>6.6</v>
      </c>
      <c r="H12904" s="691">
        <v>6.8</v>
      </c>
      <c r="I12904" s="691">
        <v>5.2</v>
      </c>
      <c r="J12904" s="691">
        <v>6.9</v>
      </c>
      <c r="K12904" s="691">
        <v>7.1</v>
      </c>
    </row>
    <row r="12905" spans="1:11">
      <c r="A12905" s="688" t="s">
        <v>18</v>
      </c>
      <c r="B12905" s="689">
        <v>6.3</v>
      </c>
      <c r="C12905" s="689">
        <v>6.1</v>
      </c>
      <c r="D12905" s="689">
        <v>6.1</v>
      </c>
      <c r="E12905" s="689">
        <v>6.2</v>
      </c>
      <c r="F12905" s="689">
        <v>6.3</v>
      </c>
      <c r="G12905" s="689">
        <v>6.4</v>
      </c>
      <c r="H12905" s="689">
        <v>6.4</v>
      </c>
      <c r="I12905" s="689">
        <v>6.5</v>
      </c>
      <c r="J12905" s="689">
        <v>6.5</v>
      </c>
      <c r="K12905" s="689">
        <v>6.1</v>
      </c>
    </row>
    <row r="12906" spans="1:11">
      <c r="A12906" s="688" t="s">
        <v>24</v>
      </c>
      <c r="B12906" s="691">
        <v>6.5</v>
      </c>
      <c r="C12906" s="691">
        <v>6.4</v>
      </c>
      <c r="D12906" s="691">
        <v>6.3</v>
      </c>
      <c r="E12906" s="691">
        <v>6.5</v>
      </c>
      <c r="F12906" s="691">
        <v>6.5</v>
      </c>
      <c r="G12906" s="691">
        <v>6.7</v>
      </c>
      <c r="H12906" s="691">
        <v>6.7</v>
      </c>
      <c r="I12906" s="691">
        <v>6.1</v>
      </c>
      <c r="J12906" s="691">
        <v>6.7</v>
      </c>
      <c r="K12906" s="691">
        <v>6.5</v>
      </c>
    </row>
    <row r="12907" spans="1:11">
      <c r="A12907" s="688" t="s">
        <v>4059</v>
      </c>
      <c r="B12907" s="689">
        <v>6.6</v>
      </c>
      <c r="C12907" s="689">
        <v>6.8</v>
      </c>
      <c r="D12907" s="689">
        <v>6.5</v>
      </c>
      <c r="E12907" s="689">
        <v>6.7</v>
      </c>
      <c r="F12907" s="689">
        <v>6.6</v>
      </c>
      <c r="G12907" s="689">
        <v>6.7</v>
      </c>
      <c r="H12907" s="690" t="s">
        <v>4060</v>
      </c>
      <c r="I12907" s="690" t="s">
        <v>4060</v>
      </c>
      <c r="J12907" s="690" t="s">
        <v>4060</v>
      </c>
      <c r="K12907" s="690" t="s">
        <v>4060</v>
      </c>
    </row>
    <row r="12908" spans="1:11">
      <c r="A12908" s="688" t="s">
        <v>2324</v>
      </c>
      <c r="B12908" s="691">
        <v>5.7</v>
      </c>
      <c r="C12908" s="691">
        <v>5.7</v>
      </c>
      <c r="D12908" s="691">
        <v>5.3</v>
      </c>
      <c r="E12908" s="691">
        <v>5.3</v>
      </c>
      <c r="F12908" s="691">
        <v>5.7</v>
      </c>
      <c r="G12908" s="691">
        <v>5.6</v>
      </c>
      <c r="H12908" s="691">
        <v>5.9</v>
      </c>
      <c r="I12908" s="691">
        <v>5.4</v>
      </c>
      <c r="J12908" s="691">
        <v>4.3</v>
      </c>
      <c r="K12908" s="692" t="s">
        <v>4060</v>
      </c>
    </row>
    <row r="12909" spans="1:11">
      <c r="A12909" s="688" t="s">
        <v>2322</v>
      </c>
      <c r="B12909" s="690" t="s">
        <v>4060</v>
      </c>
      <c r="C12909" s="690" t="s">
        <v>4060</v>
      </c>
      <c r="D12909" s="690" t="s">
        <v>4060</v>
      </c>
      <c r="E12909" s="690" t="s">
        <v>4060</v>
      </c>
      <c r="F12909" s="690" t="s">
        <v>4060</v>
      </c>
      <c r="G12909" s="690" t="s">
        <v>4060</v>
      </c>
      <c r="H12909" s="690" t="s">
        <v>4060</v>
      </c>
      <c r="I12909" s="690" t="s">
        <v>4060</v>
      </c>
      <c r="J12909" s="690" t="s">
        <v>4060</v>
      </c>
      <c r="K12909" s="690" t="s">
        <v>4060</v>
      </c>
    </row>
    <row r="12910" spans="1:11">
      <c r="A12910" s="688" t="s">
        <v>2328</v>
      </c>
      <c r="B12910" s="691">
        <v>4.3</v>
      </c>
      <c r="C12910" s="691">
        <v>4.5999999999999996</v>
      </c>
      <c r="D12910" s="691">
        <v>4.3</v>
      </c>
      <c r="E12910" s="691">
        <v>4.2</v>
      </c>
      <c r="F12910" s="691">
        <v>4.4000000000000004</v>
      </c>
      <c r="G12910" s="691">
        <v>4.5</v>
      </c>
      <c r="H12910" s="691">
        <v>4.5</v>
      </c>
      <c r="I12910" s="691">
        <v>3.8</v>
      </c>
      <c r="J12910" s="691">
        <v>3.9</v>
      </c>
      <c r="K12910" s="692" t="s">
        <v>4060</v>
      </c>
    </row>
    <row r="12911" spans="1:11">
      <c r="A12911" s="688" t="s">
        <v>2496</v>
      </c>
      <c r="B12911" s="690" t="s">
        <v>4060</v>
      </c>
      <c r="C12911" s="689">
        <v>7.1</v>
      </c>
      <c r="D12911" s="689">
        <v>5.0999999999999996</v>
      </c>
      <c r="E12911" s="693">
        <v>4</v>
      </c>
      <c r="F12911" s="689">
        <v>4.4000000000000004</v>
      </c>
      <c r="G12911" s="689">
        <v>4.4000000000000004</v>
      </c>
      <c r="H12911" s="689">
        <v>4.3</v>
      </c>
      <c r="I12911" s="690" t="s">
        <v>4060</v>
      </c>
      <c r="J12911" s="690" t="s">
        <v>4060</v>
      </c>
      <c r="K12911" s="689">
        <v>3.6</v>
      </c>
    </row>
    <row r="12912" spans="1:11">
      <c r="A12912" s="688" t="s">
        <v>2269</v>
      </c>
      <c r="B12912" s="691">
        <v>5.4</v>
      </c>
      <c r="C12912" s="691">
        <v>5.0999999999999996</v>
      </c>
      <c r="D12912" s="691">
        <v>4.7</v>
      </c>
      <c r="E12912" s="691">
        <v>5.0999999999999996</v>
      </c>
      <c r="F12912" s="691">
        <v>5.0999999999999996</v>
      </c>
      <c r="G12912" s="691">
        <v>5.3</v>
      </c>
      <c r="H12912" s="691">
        <v>5.7</v>
      </c>
      <c r="I12912" s="691">
        <v>4.5</v>
      </c>
      <c r="J12912" s="691">
        <v>0.9</v>
      </c>
      <c r="K12912" s="691">
        <v>5.2</v>
      </c>
    </row>
    <row r="12913" spans="1:11">
      <c r="A12913" s="688" t="s">
        <v>2349</v>
      </c>
      <c r="B12913" s="693">
        <v>5</v>
      </c>
      <c r="C12913" s="689">
        <v>5.2</v>
      </c>
      <c r="D12913" s="693">
        <v>5</v>
      </c>
      <c r="E12913" s="689">
        <v>5.2</v>
      </c>
      <c r="F12913" s="689">
        <v>5.2</v>
      </c>
      <c r="G12913" s="689">
        <v>5.4</v>
      </c>
      <c r="H12913" s="689">
        <v>5.7</v>
      </c>
      <c r="I12913" s="693">
        <v>5</v>
      </c>
      <c r="J12913" s="689">
        <v>4.3</v>
      </c>
      <c r="K12913" s="689">
        <v>4.7</v>
      </c>
    </row>
    <row r="12914" spans="1:11">
      <c r="A12914" s="688" t="s">
        <v>2355</v>
      </c>
      <c r="B12914" s="691">
        <v>6.2</v>
      </c>
      <c r="C12914" s="691">
        <v>5.9</v>
      </c>
      <c r="D12914" s="691">
        <v>5.8</v>
      </c>
      <c r="E12914" s="691">
        <v>5.8</v>
      </c>
      <c r="F12914" s="691">
        <v>5.8</v>
      </c>
      <c r="G12914" s="691">
        <v>6.1</v>
      </c>
      <c r="H12914" s="691">
        <v>6.1</v>
      </c>
      <c r="I12914" s="692" t="s">
        <v>4060</v>
      </c>
      <c r="J12914" s="692" t="s">
        <v>4060</v>
      </c>
      <c r="K12914" s="692" t="s">
        <v>4060</v>
      </c>
    </row>
    <row r="12915" spans="1:11">
      <c r="A12915" s="688" t="s">
        <v>2357</v>
      </c>
      <c r="B12915" s="690" t="s">
        <v>4060</v>
      </c>
      <c r="C12915" s="689">
        <v>5.7</v>
      </c>
      <c r="D12915" s="689">
        <v>5.9</v>
      </c>
      <c r="E12915" s="689">
        <v>6.1</v>
      </c>
      <c r="F12915" s="689">
        <v>6.3</v>
      </c>
      <c r="G12915" s="689">
        <v>6.1</v>
      </c>
      <c r="H12915" s="689">
        <v>6.1</v>
      </c>
      <c r="I12915" s="690" t="s">
        <v>4060</v>
      </c>
      <c r="J12915" s="690" t="s">
        <v>4060</v>
      </c>
      <c r="K12915" s="690" t="s">
        <v>4060</v>
      </c>
    </row>
    <row r="12916" spans="1:11">
      <c r="A12916" s="688" t="s">
        <v>4070</v>
      </c>
      <c r="B12916" s="692" t="s">
        <v>4060</v>
      </c>
      <c r="C12916" s="692" t="s">
        <v>4060</v>
      </c>
      <c r="D12916" s="692" t="s">
        <v>4060</v>
      </c>
      <c r="E12916" s="691">
        <v>6.4</v>
      </c>
      <c r="F12916" s="692" t="s">
        <v>4060</v>
      </c>
      <c r="G12916" s="692" t="s">
        <v>4060</v>
      </c>
      <c r="H12916" s="692" t="s">
        <v>4060</v>
      </c>
      <c r="I12916" s="692" t="s">
        <v>4060</v>
      </c>
      <c r="J12916" s="692" t="s">
        <v>4060</v>
      </c>
      <c r="K12916" s="692" t="s">
        <v>4060</v>
      </c>
    </row>
    <row r="12917" spans="1:11">
      <c r="A12917" s="688" t="s">
        <v>2491</v>
      </c>
      <c r="B12917" s="689">
        <v>4.9000000000000004</v>
      </c>
      <c r="C12917" s="689">
        <v>5.2</v>
      </c>
      <c r="D12917" s="689">
        <v>5.2</v>
      </c>
      <c r="E12917" s="689">
        <v>5.0999999999999996</v>
      </c>
      <c r="F12917" s="693">
        <v>5</v>
      </c>
      <c r="G12917" s="689">
        <v>5.0999999999999996</v>
      </c>
      <c r="H12917" s="690" t="s">
        <v>4060</v>
      </c>
      <c r="I12917" s="690" t="s">
        <v>4060</v>
      </c>
      <c r="J12917" s="690" t="s">
        <v>4060</v>
      </c>
      <c r="K12917" s="690" t="s">
        <v>4060</v>
      </c>
    </row>
    <row r="12918" spans="1:11">
      <c r="A12918" s="688" t="s">
        <v>2343</v>
      </c>
      <c r="B12918" s="692" t="s">
        <v>4060</v>
      </c>
      <c r="C12918" s="692" t="s">
        <v>4060</v>
      </c>
      <c r="D12918" s="692" t="s">
        <v>4060</v>
      </c>
      <c r="E12918" s="692" t="s">
        <v>4060</v>
      </c>
      <c r="F12918" s="692" t="s">
        <v>4060</v>
      </c>
      <c r="G12918" s="692" t="s">
        <v>4060</v>
      </c>
      <c r="H12918" s="692" t="s">
        <v>4060</v>
      </c>
      <c r="I12918" s="692" t="s">
        <v>4060</v>
      </c>
      <c r="J12918" s="692" t="s">
        <v>4060</v>
      </c>
      <c r="K12918" s="692" t="s">
        <v>4060</v>
      </c>
    </row>
    <row r="12919" spans="1:11">
      <c r="A12919" s="688" t="s">
        <v>4071</v>
      </c>
      <c r="B12919" s="690" t="s">
        <v>4060</v>
      </c>
      <c r="C12919" s="690" t="s">
        <v>4060</v>
      </c>
      <c r="D12919" s="690" t="s">
        <v>4060</v>
      </c>
      <c r="E12919" s="690" t="s">
        <v>4060</v>
      </c>
      <c r="F12919" s="690" t="s">
        <v>4060</v>
      </c>
      <c r="G12919" s="690" t="s">
        <v>4060</v>
      </c>
      <c r="H12919" s="690" t="s">
        <v>4060</v>
      </c>
      <c r="I12919" s="690" t="s">
        <v>4060</v>
      </c>
      <c r="J12919" s="690" t="s">
        <v>4060</v>
      </c>
      <c r="K12919" s="690" t="s">
        <v>4060</v>
      </c>
    </row>
    <row r="12920" spans="1:11">
      <c r="A12920" s="688" t="s">
        <v>2489</v>
      </c>
      <c r="B12920" s="692" t="s">
        <v>4060</v>
      </c>
      <c r="C12920" s="692" t="s">
        <v>4060</v>
      </c>
      <c r="D12920" s="691">
        <v>5.8</v>
      </c>
      <c r="E12920" s="691">
        <v>5.7</v>
      </c>
      <c r="F12920" s="615">
        <v>6</v>
      </c>
      <c r="G12920" s="691">
        <v>5.8</v>
      </c>
      <c r="H12920" s="691">
        <v>6.5</v>
      </c>
      <c r="I12920" s="692" t="s">
        <v>4060</v>
      </c>
      <c r="J12920" s="692" t="s">
        <v>4060</v>
      </c>
      <c r="K12920" s="692" t="s">
        <v>4060</v>
      </c>
    </row>
    <row r="12921" spans="1:11">
      <c r="A12921" s="688" t="s">
        <v>2490</v>
      </c>
      <c r="B12921" s="689">
        <v>6.4</v>
      </c>
      <c r="C12921" s="689">
        <v>6.1</v>
      </c>
      <c r="D12921" s="693">
        <v>7</v>
      </c>
      <c r="E12921" s="690" t="s">
        <v>4060</v>
      </c>
      <c r="F12921" s="689">
        <v>7.9</v>
      </c>
      <c r="G12921" s="693">
        <v>7</v>
      </c>
      <c r="H12921" s="689">
        <v>7.8</v>
      </c>
      <c r="I12921" s="690" t="s">
        <v>4060</v>
      </c>
      <c r="J12921" s="690" t="s">
        <v>4060</v>
      </c>
      <c r="K12921" s="690" t="s">
        <v>4060</v>
      </c>
    </row>
    <row r="12923" spans="1:11">
      <c r="A12923" s="683" t="s">
        <v>4233</v>
      </c>
    </row>
    <row r="12924" spans="1:11">
      <c r="A12924" s="683" t="s">
        <v>4060</v>
      </c>
      <c r="B12924" s="682" t="s">
        <v>4234</v>
      </c>
    </row>
    <row r="12926" spans="1:11">
      <c r="A12926" s="682" t="s">
        <v>4331</v>
      </c>
    </row>
    <row r="12927" spans="1:11">
      <c r="A12927" s="682" t="s">
        <v>4210</v>
      </c>
      <c r="B12927" s="683" t="s">
        <v>4211</v>
      </c>
    </row>
    <row r="12928" spans="1:11">
      <c r="A12928" s="682" t="s">
        <v>4212</v>
      </c>
      <c r="B12928" s="682" t="s">
        <v>4213</v>
      </c>
    </row>
    <row r="12930" spans="1:11">
      <c r="A12930" s="683" t="s">
        <v>4214</v>
      </c>
      <c r="C12930" s="682" t="s">
        <v>4215</v>
      </c>
    </row>
    <row r="12931" spans="1:11">
      <c r="A12931" s="683" t="s">
        <v>4216</v>
      </c>
      <c r="C12931" s="682" t="s">
        <v>2967</v>
      </c>
    </row>
    <row r="12932" spans="1:11">
      <c r="A12932" s="683" t="s">
        <v>3893</v>
      </c>
      <c r="C12932" s="682" t="s">
        <v>2168</v>
      </c>
    </row>
    <row r="12933" spans="1:11">
      <c r="A12933" s="683" t="s">
        <v>4218</v>
      </c>
      <c r="C12933" s="682" t="s">
        <v>4319</v>
      </c>
    </row>
    <row r="12935" spans="1:11">
      <c r="A12935" s="684" t="s">
        <v>4220</v>
      </c>
      <c r="B12935" s="685" t="s">
        <v>4221</v>
      </c>
      <c r="C12935" s="685" t="s">
        <v>4222</v>
      </c>
      <c r="D12935" s="685" t="s">
        <v>4223</v>
      </c>
      <c r="E12935" s="685" t="s">
        <v>4224</v>
      </c>
      <c r="F12935" s="685" t="s">
        <v>4225</v>
      </c>
      <c r="G12935" s="685" t="s">
        <v>4226</v>
      </c>
      <c r="H12935" s="685" t="s">
        <v>4227</v>
      </c>
      <c r="I12935" s="685" t="s">
        <v>4228</v>
      </c>
      <c r="J12935" s="685" t="s">
        <v>4229</v>
      </c>
      <c r="K12935" s="685" t="s">
        <v>4230</v>
      </c>
    </row>
    <row r="12936" spans="1:11">
      <c r="A12936" s="686" t="s">
        <v>4231</v>
      </c>
      <c r="B12936" s="687" t="s">
        <v>4232</v>
      </c>
      <c r="C12936" s="687" t="s">
        <v>4232</v>
      </c>
      <c r="D12936" s="687" t="s">
        <v>4232</v>
      </c>
      <c r="E12936" s="687" t="s">
        <v>4232</v>
      </c>
      <c r="F12936" s="687" t="s">
        <v>4232</v>
      </c>
      <c r="G12936" s="687" t="s">
        <v>4232</v>
      </c>
      <c r="H12936" s="687" t="s">
        <v>4232</v>
      </c>
      <c r="I12936" s="687" t="s">
        <v>4232</v>
      </c>
      <c r="J12936" s="687" t="s">
        <v>4232</v>
      </c>
      <c r="K12936" s="687" t="s">
        <v>4232</v>
      </c>
    </row>
    <row r="12937" spans="1:11">
      <c r="A12937" s="688" t="s">
        <v>4064</v>
      </c>
      <c r="B12937" s="690" t="s">
        <v>4060</v>
      </c>
      <c r="C12937" s="689">
        <v>5.7</v>
      </c>
      <c r="D12937" s="690" t="s">
        <v>4060</v>
      </c>
      <c r="E12937" s="689">
        <v>5.8</v>
      </c>
      <c r="F12937" s="689">
        <v>5.7</v>
      </c>
      <c r="G12937" s="689">
        <v>5.8</v>
      </c>
      <c r="H12937" s="689">
        <v>5.9</v>
      </c>
      <c r="I12937" s="689">
        <v>5.5</v>
      </c>
      <c r="J12937" s="689">
        <v>5.6</v>
      </c>
      <c r="K12937" s="689">
        <v>5.6</v>
      </c>
    </row>
    <row r="12938" spans="1:11">
      <c r="A12938" s="688" t="s">
        <v>4065</v>
      </c>
      <c r="B12938" s="692" t="s">
        <v>4060</v>
      </c>
      <c r="C12938" s="692" t="s">
        <v>4060</v>
      </c>
      <c r="D12938" s="692" t="s">
        <v>4060</v>
      </c>
      <c r="E12938" s="692" t="s">
        <v>4060</v>
      </c>
      <c r="F12938" s="692" t="s">
        <v>4060</v>
      </c>
      <c r="G12938" s="692" t="s">
        <v>4060</v>
      </c>
      <c r="H12938" s="692" t="s">
        <v>4060</v>
      </c>
      <c r="I12938" s="692" t="s">
        <v>4060</v>
      </c>
      <c r="J12938" s="692" t="s">
        <v>4060</v>
      </c>
      <c r="K12938" s="692" t="s">
        <v>4060</v>
      </c>
    </row>
    <row r="12939" spans="1:11">
      <c r="A12939" s="688" t="s">
        <v>4063</v>
      </c>
      <c r="B12939" s="690" t="s">
        <v>4060</v>
      </c>
      <c r="C12939" s="690" t="s">
        <v>4060</v>
      </c>
      <c r="D12939" s="690" t="s">
        <v>4060</v>
      </c>
      <c r="E12939" s="690" t="s">
        <v>4060</v>
      </c>
      <c r="F12939" s="690" t="s">
        <v>4060</v>
      </c>
      <c r="G12939" s="690" t="s">
        <v>4060</v>
      </c>
      <c r="H12939" s="690" t="s">
        <v>4060</v>
      </c>
      <c r="I12939" s="690" t="s">
        <v>4060</v>
      </c>
      <c r="J12939" s="690" t="s">
        <v>4060</v>
      </c>
      <c r="K12939" s="690" t="s">
        <v>4060</v>
      </c>
    </row>
    <row r="12940" spans="1:11">
      <c r="A12940" s="688" t="s">
        <v>4069</v>
      </c>
      <c r="B12940" s="692" t="s">
        <v>4060</v>
      </c>
      <c r="C12940" s="691">
        <v>5.8</v>
      </c>
      <c r="D12940" s="691">
        <v>5.7</v>
      </c>
      <c r="E12940" s="691">
        <v>5.8</v>
      </c>
      <c r="F12940" s="691">
        <v>5.8</v>
      </c>
      <c r="G12940" s="691">
        <v>5.9</v>
      </c>
      <c r="H12940" s="615">
        <v>6</v>
      </c>
      <c r="I12940" s="691">
        <v>5.6</v>
      </c>
      <c r="J12940" s="691">
        <v>5.8</v>
      </c>
      <c r="K12940" s="691">
        <v>5.7</v>
      </c>
    </row>
    <row r="12941" spans="1:11">
      <c r="A12941" s="688" t="s">
        <v>4068</v>
      </c>
      <c r="B12941" s="690" t="s">
        <v>4060</v>
      </c>
      <c r="C12941" s="690" t="s">
        <v>4060</v>
      </c>
      <c r="D12941" s="690" t="s">
        <v>4060</v>
      </c>
      <c r="E12941" s="690" t="s">
        <v>4060</v>
      </c>
      <c r="F12941" s="690" t="s">
        <v>4060</v>
      </c>
      <c r="G12941" s="690" t="s">
        <v>4060</v>
      </c>
      <c r="H12941" s="690" t="s">
        <v>4060</v>
      </c>
      <c r="I12941" s="690" t="s">
        <v>4060</v>
      </c>
      <c r="J12941" s="690" t="s">
        <v>4060</v>
      </c>
      <c r="K12941" s="690" t="s">
        <v>4060</v>
      </c>
    </row>
    <row r="12942" spans="1:11">
      <c r="A12942" s="688" t="s">
        <v>0</v>
      </c>
      <c r="B12942" s="692" t="s">
        <v>4060</v>
      </c>
      <c r="C12942" s="691">
        <v>5.7</v>
      </c>
      <c r="D12942" s="691">
        <v>5.6</v>
      </c>
      <c r="E12942" s="691">
        <v>5.8</v>
      </c>
      <c r="F12942" s="691">
        <v>5.7</v>
      </c>
      <c r="G12942" s="691">
        <v>5.8</v>
      </c>
      <c r="H12942" s="691">
        <v>5.9</v>
      </c>
      <c r="I12942" s="691">
        <v>5.3</v>
      </c>
      <c r="J12942" s="615">
        <v>6</v>
      </c>
      <c r="K12942" s="691">
        <v>5.8</v>
      </c>
    </row>
    <row r="12943" spans="1:11">
      <c r="A12943" s="688" t="s">
        <v>1</v>
      </c>
      <c r="B12943" s="690" t="s">
        <v>4060</v>
      </c>
      <c r="C12943" s="689">
        <v>4.5</v>
      </c>
      <c r="D12943" s="689">
        <v>4.4000000000000004</v>
      </c>
      <c r="E12943" s="689">
        <v>4.5</v>
      </c>
      <c r="F12943" s="689">
        <v>4.4000000000000004</v>
      </c>
      <c r="G12943" s="689">
        <v>4.5</v>
      </c>
      <c r="H12943" s="689">
        <v>4.5</v>
      </c>
      <c r="I12943" s="693">
        <v>4</v>
      </c>
      <c r="J12943" s="689">
        <v>3.7</v>
      </c>
      <c r="K12943" s="689">
        <v>4.0999999999999996</v>
      </c>
    </row>
    <row r="12944" spans="1:11">
      <c r="A12944" s="688" t="s">
        <v>2240</v>
      </c>
      <c r="B12944" s="692" t="s">
        <v>4060</v>
      </c>
      <c r="C12944" s="615">
        <v>5</v>
      </c>
      <c r="D12944" s="691">
        <v>4.9000000000000004</v>
      </c>
      <c r="E12944" s="691">
        <v>5.0999999999999996</v>
      </c>
      <c r="F12944" s="691">
        <v>5.0999999999999996</v>
      </c>
      <c r="G12944" s="691">
        <v>5.2</v>
      </c>
      <c r="H12944" s="691">
        <v>5.2</v>
      </c>
      <c r="I12944" s="691">
        <v>4.5999999999999996</v>
      </c>
      <c r="J12944" s="691">
        <v>4.5</v>
      </c>
      <c r="K12944" s="691">
        <v>4.9000000000000004</v>
      </c>
    </row>
    <row r="12945" spans="1:11">
      <c r="A12945" s="688" t="s">
        <v>2</v>
      </c>
      <c r="B12945" s="690" t="s">
        <v>4060</v>
      </c>
      <c r="C12945" s="689">
        <v>5.6</v>
      </c>
      <c r="D12945" s="689">
        <v>5.5</v>
      </c>
      <c r="E12945" s="689">
        <v>5.6</v>
      </c>
      <c r="F12945" s="689">
        <v>5.5</v>
      </c>
      <c r="G12945" s="689">
        <v>5.4</v>
      </c>
      <c r="H12945" s="689">
        <v>5.7</v>
      </c>
      <c r="I12945" s="689">
        <v>5.5</v>
      </c>
      <c r="J12945" s="689">
        <v>5.5</v>
      </c>
      <c r="K12945" s="689">
        <v>5.5</v>
      </c>
    </row>
    <row r="12946" spans="1:11">
      <c r="A12946" s="688" t="s">
        <v>3</v>
      </c>
      <c r="B12946" s="692" t="s">
        <v>4060</v>
      </c>
      <c r="C12946" s="691">
        <v>5.6</v>
      </c>
      <c r="D12946" s="691">
        <v>5.4</v>
      </c>
      <c r="E12946" s="691">
        <v>5.6</v>
      </c>
      <c r="F12946" s="691">
        <v>5.5</v>
      </c>
      <c r="G12946" s="691">
        <v>5.5</v>
      </c>
      <c r="H12946" s="691">
        <v>5.7</v>
      </c>
      <c r="I12946" s="691">
        <v>5.5</v>
      </c>
      <c r="J12946" s="691">
        <v>5.5</v>
      </c>
      <c r="K12946" s="691">
        <v>5.3</v>
      </c>
    </row>
    <row r="12947" spans="1:11">
      <c r="A12947" s="688" t="s">
        <v>4061</v>
      </c>
      <c r="B12947" s="690" t="s">
        <v>4060</v>
      </c>
      <c r="C12947" s="689">
        <v>5.6</v>
      </c>
      <c r="D12947" s="689">
        <v>5.4</v>
      </c>
      <c r="E12947" s="689">
        <v>5.6</v>
      </c>
      <c r="F12947" s="689">
        <v>5.5</v>
      </c>
      <c r="G12947" s="689">
        <v>5.5</v>
      </c>
      <c r="H12947" s="689">
        <v>5.7</v>
      </c>
      <c r="I12947" s="689">
        <v>5.5</v>
      </c>
      <c r="J12947" s="689">
        <v>5.5</v>
      </c>
      <c r="K12947" s="689">
        <v>5.3</v>
      </c>
    </row>
    <row r="12948" spans="1:11">
      <c r="A12948" s="688" t="s">
        <v>4</v>
      </c>
      <c r="B12948" s="692" t="s">
        <v>4060</v>
      </c>
      <c r="C12948" s="691">
        <v>5.0999999999999996</v>
      </c>
      <c r="D12948" s="691">
        <v>5.5</v>
      </c>
      <c r="E12948" s="691">
        <v>5.4</v>
      </c>
      <c r="F12948" s="691">
        <v>5.4</v>
      </c>
      <c r="G12948" s="691">
        <v>5.2</v>
      </c>
      <c r="H12948" s="691">
        <v>5.6</v>
      </c>
      <c r="I12948" s="691">
        <v>5.6</v>
      </c>
      <c r="J12948" s="691">
        <v>4.8</v>
      </c>
      <c r="K12948" s="691">
        <v>5.0999999999999996</v>
      </c>
    </row>
    <row r="12949" spans="1:11">
      <c r="A12949" s="688" t="s">
        <v>8</v>
      </c>
      <c r="B12949" s="690" t="s">
        <v>4060</v>
      </c>
      <c r="C12949" s="689">
        <v>5.4</v>
      </c>
      <c r="D12949" s="689">
        <v>5.4</v>
      </c>
      <c r="E12949" s="689">
        <v>5.5</v>
      </c>
      <c r="F12949" s="689">
        <v>5.8</v>
      </c>
      <c r="G12949" s="689">
        <v>5.7</v>
      </c>
      <c r="H12949" s="689">
        <v>5.7</v>
      </c>
      <c r="I12949" s="689">
        <v>5.7</v>
      </c>
      <c r="J12949" s="689">
        <v>5.7</v>
      </c>
      <c r="K12949" s="689">
        <v>5.9</v>
      </c>
    </row>
    <row r="12950" spans="1:11">
      <c r="A12950" s="688" t="s">
        <v>7</v>
      </c>
      <c r="B12950" s="692" t="s">
        <v>4060</v>
      </c>
      <c r="C12950" s="691">
        <v>5.3</v>
      </c>
      <c r="D12950" s="691">
        <v>5.2</v>
      </c>
      <c r="E12950" s="691">
        <v>5.5</v>
      </c>
      <c r="F12950" s="691">
        <v>5.4</v>
      </c>
      <c r="G12950" s="691">
        <v>5.7</v>
      </c>
      <c r="H12950" s="691">
        <v>5.7</v>
      </c>
      <c r="I12950" s="691">
        <v>5.7</v>
      </c>
      <c r="J12950" s="691">
        <v>5.5</v>
      </c>
      <c r="K12950" s="691">
        <v>5.6</v>
      </c>
    </row>
    <row r="12951" spans="1:11">
      <c r="A12951" s="688" t="s">
        <v>27</v>
      </c>
      <c r="B12951" s="690" t="s">
        <v>4060</v>
      </c>
      <c r="C12951" s="689">
        <v>6.2</v>
      </c>
      <c r="D12951" s="689">
        <v>5.9</v>
      </c>
      <c r="E12951" s="689">
        <v>6.2</v>
      </c>
      <c r="F12951" s="689">
        <v>6.1</v>
      </c>
      <c r="G12951" s="689">
        <v>6.1</v>
      </c>
      <c r="H12951" s="689">
        <v>6.3</v>
      </c>
      <c r="I12951" s="689">
        <v>5.6</v>
      </c>
      <c r="J12951" s="689">
        <v>6.1</v>
      </c>
      <c r="K12951" s="693">
        <v>6</v>
      </c>
    </row>
    <row r="12952" spans="1:11">
      <c r="A12952" s="688" t="s">
        <v>6</v>
      </c>
      <c r="B12952" s="692" t="s">
        <v>4060</v>
      </c>
      <c r="C12952" s="691">
        <v>6.3</v>
      </c>
      <c r="D12952" s="691">
        <v>6.1</v>
      </c>
      <c r="E12952" s="691">
        <v>6.3</v>
      </c>
      <c r="F12952" s="691">
        <v>6.3</v>
      </c>
      <c r="G12952" s="691">
        <v>6.3</v>
      </c>
      <c r="H12952" s="691">
        <v>6.4</v>
      </c>
      <c r="I12952" s="615">
        <v>6</v>
      </c>
      <c r="J12952" s="691">
        <v>6.2</v>
      </c>
      <c r="K12952" s="691">
        <v>6.2</v>
      </c>
    </row>
    <row r="12953" spans="1:11">
      <c r="A12953" s="688" t="s">
        <v>4058</v>
      </c>
      <c r="B12953" s="690" t="s">
        <v>4060</v>
      </c>
      <c r="C12953" s="690" t="s">
        <v>4060</v>
      </c>
      <c r="D12953" s="690" t="s">
        <v>4060</v>
      </c>
      <c r="E12953" s="690" t="s">
        <v>4060</v>
      </c>
      <c r="F12953" s="690" t="s">
        <v>4060</v>
      </c>
      <c r="G12953" s="690" t="s">
        <v>4060</v>
      </c>
      <c r="H12953" s="690" t="s">
        <v>4060</v>
      </c>
      <c r="I12953" s="690" t="s">
        <v>4060</v>
      </c>
      <c r="J12953" s="690" t="s">
        <v>4060</v>
      </c>
      <c r="K12953" s="690" t="s">
        <v>4060</v>
      </c>
    </row>
    <row r="12954" spans="1:11">
      <c r="A12954" s="688" t="s">
        <v>11</v>
      </c>
      <c r="B12954" s="692" t="s">
        <v>4060</v>
      </c>
      <c r="C12954" s="691">
        <v>4.8</v>
      </c>
      <c r="D12954" s="691">
        <v>4.5</v>
      </c>
      <c r="E12954" s="691">
        <v>4.7</v>
      </c>
      <c r="F12954" s="691">
        <v>4.7</v>
      </c>
      <c r="G12954" s="691">
        <v>4.7</v>
      </c>
      <c r="H12954" s="691">
        <v>4.8</v>
      </c>
      <c r="I12954" s="691">
        <v>4.5</v>
      </c>
      <c r="J12954" s="691">
        <v>4.2</v>
      </c>
      <c r="K12954" s="691">
        <v>4.4000000000000004</v>
      </c>
    </row>
    <row r="12955" spans="1:11">
      <c r="A12955" s="688" t="s">
        <v>10</v>
      </c>
      <c r="B12955" s="690" t="s">
        <v>4060</v>
      </c>
      <c r="C12955" s="689">
        <v>5.8</v>
      </c>
      <c r="D12955" s="689">
        <v>5.6</v>
      </c>
      <c r="E12955" s="689">
        <v>5.9</v>
      </c>
      <c r="F12955" s="689">
        <v>5.7</v>
      </c>
      <c r="G12955" s="689">
        <v>5.9</v>
      </c>
      <c r="H12955" s="693">
        <v>6</v>
      </c>
      <c r="I12955" s="689">
        <v>5.5</v>
      </c>
      <c r="J12955" s="689">
        <v>5.8</v>
      </c>
      <c r="K12955" s="689">
        <v>5.7</v>
      </c>
    </row>
    <row r="12956" spans="1:11">
      <c r="A12956" s="688" t="s">
        <v>30</v>
      </c>
      <c r="B12956" s="692" t="s">
        <v>4060</v>
      </c>
      <c r="C12956" s="691">
        <v>5.7</v>
      </c>
      <c r="D12956" s="691">
        <v>5.0999999999999996</v>
      </c>
      <c r="E12956" s="615">
        <v>6</v>
      </c>
      <c r="F12956" s="691">
        <v>5.6</v>
      </c>
      <c r="G12956" s="691">
        <v>6.3</v>
      </c>
      <c r="H12956" s="691">
        <v>6.2</v>
      </c>
      <c r="I12956" s="691">
        <v>6.2</v>
      </c>
      <c r="J12956" s="691">
        <v>5.7</v>
      </c>
      <c r="K12956" s="691">
        <v>5.7</v>
      </c>
    </row>
    <row r="12957" spans="1:11">
      <c r="A12957" s="688" t="s">
        <v>12</v>
      </c>
      <c r="B12957" s="690" t="s">
        <v>4060</v>
      </c>
      <c r="C12957" s="693">
        <v>5</v>
      </c>
      <c r="D12957" s="693">
        <v>5</v>
      </c>
      <c r="E12957" s="689">
        <v>4.9000000000000004</v>
      </c>
      <c r="F12957" s="689">
        <v>4.9000000000000004</v>
      </c>
      <c r="G12957" s="693">
        <v>5</v>
      </c>
      <c r="H12957" s="689">
        <v>5.0999999999999996</v>
      </c>
      <c r="I12957" s="689">
        <v>4.9000000000000004</v>
      </c>
      <c r="J12957" s="689">
        <v>4.4000000000000004</v>
      </c>
      <c r="K12957" s="689">
        <v>4.7</v>
      </c>
    </row>
    <row r="12958" spans="1:11">
      <c r="A12958" s="688" t="s">
        <v>14</v>
      </c>
      <c r="B12958" s="692" t="s">
        <v>4060</v>
      </c>
      <c r="C12958" s="691">
        <v>4.5999999999999996</v>
      </c>
      <c r="D12958" s="691">
        <v>4.4000000000000004</v>
      </c>
      <c r="E12958" s="691">
        <v>4.3</v>
      </c>
      <c r="F12958" s="691">
        <v>4.0999999999999996</v>
      </c>
      <c r="G12958" s="691">
        <v>4.2</v>
      </c>
      <c r="H12958" s="691">
        <v>4.3</v>
      </c>
      <c r="I12958" s="691">
        <v>4.4000000000000004</v>
      </c>
      <c r="J12958" s="691">
        <v>4.3</v>
      </c>
      <c r="K12958" s="691">
        <v>4.7</v>
      </c>
    </row>
    <row r="12959" spans="1:11">
      <c r="A12959" s="688" t="s">
        <v>15</v>
      </c>
      <c r="B12959" s="690" t="s">
        <v>4060</v>
      </c>
      <c r="C12959" s="689">
        <v>5.4</v>
      </c>
      <c r="D12959" s="689">
        <v>5.8</v>
      </c>
      <c r="E12959" s="689">
        <v>5.7</v>
      </c>
      <c r="F12959" s="689">
        <v>5.8</v>
      </c>
      <c r="G12959" s="689">
        <v>5.8</v>
      </c>
      <c r="H12959" s="689">
        <v>5.7</v>
      </c>
      <c r="I12959" s="689">
        <v>5.5</v>
      </c>
      <c r="J12959" s="689">
        <v>5.9</v>
      </c>
      <c r="K12959" s="689">
        <v>6.1</v>
      </c>
    </row>
    <row r="12960" spans="1:11">
      <c r="A12960" s="688" t="s">
        <v>29</v>
      </c>
      <c r="B12960" s="692" t="s">
        <v>4060</v>
      </c>
      <c r="C12960" s="615">
        <v>5</v>
      </c>
      <c r="D12960" s="691">
        <v>4.8</v>
      </c>
      <c r="E12960" s="615">
        <v>5</v>
      </c>
      <c r="F12960" s="691">
        <v>4.9000000000000004</v>
      </c>
      <c r="G12960" s="615">
        <v>5</v>
      </c>
      <c r="H12960" s="615">
        <v>5</v>
      </c>
      <c r="I12960" s="691">
        <v>4.7</v>
      </c>
      <c r="J12960" s="691">
        <v>4.5999999999999996</v>
      </c>
      <c r="K12960" s="691">
        <v>4.7</v>
      </c>
    </row>
    <row r="12961" spans="1:11">
      <c r="A12961" s="688" t="s">
        <v>16</v>
      </c>
      <c r="B12961" s="690" t="s">
        <v>4060</v>
      </c>
      <c r="C12961" s="689">
        <v>5.6</v>
      </c>
      <c r="D12961" s="689">
        <v>5.2</v>
      </c>
      <c r="E12961" s="689">
        <v>5.8</v>
      </c>
      <c r="F12961" s="689">
        <v>5.4</v>
      </c>
      <c r="G12961" s="689">
        <v>5.7</v>
      </c>
      <c r="H12961" s="689">
        <v>5.9</v>
      </c>
      <c r="I12961" s="689">
        <v>5.7</v>
      </c>
      <c r="J12961" s="689">
        <v>5.9</v>
      </c>
      <c r="K12961" s="689">
        <v>5.6</v>
      </c>
    </row>
    <row r="12962" spans="1:11">
      <c r="A12962" s="688" t="s">
        <v>17</v>
      </c>
      <c r="B12962" s="692" t="s">
        <v>4060</v>
      </c>
      <c r="C12962" s="691">
        <v>5.6</v>
      </c>
      <c r="D12962" s="691">
        <v>5.5</v>
      </c>
      <c r="E12962" s="691">
        <v>5.5</v>
      </c>
      <c r="F12962" s="691">
        <v>5.5</v>
      </c>
      <c r="G12962" s="691">
        <v>5.5</v>
      </c>
      <c r="H12962" s="691">
        <v>5.6</v>
      </c>
      <c r="I12962" s="691">
        <v>5.2</v>
      </c>
      <c r="J12962" s="691">
        <v>5.3</v>
      </c>
      <c r="K12962" s="691">
        <v>5.4</v>
      </c>
    </row>
    <row r="12963" spans="1:11">
      <c r="A12963" s="688" t="s">
        <v>19</v>
      </c>
      <c r="B12963" s="690" t="s">
        <v>4060</v>
      </c>
      <c r="C12963" s="689">
        <v>5.7</v>
      </c>
      <c r="D12963" s="689">
        <v>5.5</v>
      </c>
      <c r="E12963" s="689">
        <v>5.7</v>
      </c>
      <c r="F12963" s="689">
        <v>5.7</v>
      </c>
      <c r="G12963" s="689">
        <v>5.7</v>
      </c>
      <c r="H12963" s="689">
        <v>5.8</v>
      </c>
      <c r="I12963" s="689">
        <v>5.4</v>
      </c>
      <c r="J12963" s="689">
        <v>5.6</v>
      </c>
      <c r="K12963" s="689">
        <v>5.5</v>
      </c>
    </row>
    <row r="12964" spans="1:11">
      <c r="A12964" s="688" t="s">
        <v>20</v>
      </c>
      <c r="B12964" s="692" t="s">
        <v>4060</v>
      </c>
      <c r="C12964" s="691">
        <v>5.5</v>
      </c>
      <c r="D12964" s="691">
        <v>5.4</v>
      </c>
      <c r="E12964" s="691">
        <v>5.6</v>
      </c>
      <c r="F12964" s="691">
        <v>5.5</v>
      </c>
      <c r="G12964" s="691">
        <v>5.5</v>
      </c>
      <c r="H12964" s="691">
        <v>5.8</v>
      </c>
      <c r="I12964" s="691">
        <v>4.9000000000000004</v>
      </c>
      <c r="J12964" s="691">
        <v>4.7</v>
      </c>
      <c r="K12964" s="691">
        <v>5.2</v>
      </c>
    </row>
    <row r="12965" spans="1:11">
      <c r="A12965" s="688" t="s">
        <v>21</v>
      </c>
      <c r="B12965" s="690" t="s">
        <v>4060</v>
      </c>
      <c r="C12965" s="689">
        <v>5.7</v>
      </c>
      <c r="D12965" s="689">
        <v>5.7</v>
      </c>
      <c r="E12965" s="689">
        <v>5.7</v>
      </c>
      <c r="F12965" s="689">
        <v>5.8</v>
      </c>
      <c r="G12965" s="689">
        <v>5.8</v>
      </c>
      <c r="H12965" s="689">
        <v>5.9</v>
      </c>
      <c r="I12965" s="689">
        <v>5.6</v>
      </c>
      <c r="J12965" s="689">
        <v>5.6</v>
      </c>
      <c r="K12965" s="689">
        <v>5.7</v>
      </c>
    </row>
    <row r="12966" spans="1:11">
      <c r="A12966" s="688" t="s">
        <v>22</v>
      </c>
      <c r="B12966" s="692" t="s">
        <v>4060</v>
      </c>
      <c r="C12966" s="691">
        <v>5.0999999999999996</v>
      </c>
      <c r="D12966" s="615">
        <v>5</v>
      </c>
      <c r="E12966" s="691">
        <v>5.3</v>
      </c>
      <c r="F12966" s="691">
        <v>5.4</v>
      </c>
      <c r="G12966" s="691">
        <v>5.5</v>
      </c>
      <c r="H12966" s="691">
        <v>5.8</v>
      </c>
      <c r="I12966" s="691">
        <v>5.0999999999999996</v>
      </c>
      <c r="J12966" s="691">
        <v>4.3</v>
      </c>
      <c r="K12966" s="691">
        <v>4.5</v>
      </c>
    </row>
    <row r="12967" spans="1:11">
      <c r="A12967" s="688" t="s">
        <v>26</v>
      </c>
      <c r="B12967" s="690" t="s">
        <v>4060</v>
      </c>
      <c r="C12967" s="689">
        <v>5.5</v>
      </c>
      <c r="D12967" s="689">
        <v>5.5</v>
      </c>
      <c r="E12967" s="689">
        <v>5.6</v>
      </c>
      <c r="F12967" s="689">
        <v>5.3</v>
      </c>
      <c r="G12967" s="689">
        <v>5.5</v>
      </c>
      <c r="H12967" s="689">
        <v>5.8</v>
      </c>
      <c r="I12967" s="693">
        <v>5</v>
      </c>
      <c r="J12967" s="689">
        <v>5.3</v>
      </c>
      <c r="K12967" s="689">
        <v>5.5</v>
      </c>
    </row>
    <row r="12968" spans="1:11">
      <c r="A12968" s="688" t="s">
        <v>25</v>
      </c>
      <c r="B12968" s="692" t="s">
        <v>4060</v>
      </c>
      <c r="C12968" s="691">
        <v>5.0999999999999996</v>
      </c>
      <c r="D12968" s="691">
        <v>5.0999999999999996</v>
      </c>
      <c r="E12968" s="691">
        <v>5.4</v>
      </c>
      <c r="F12968" s="691">
        <v>5.2</v>
      </c>
      <c r="G12968" s="691">
        <v>5.5</v>
      </c>
      <c r="H12968" s="691">
        <v>5.8</v>
      </c>
      <c r="I12968" s="691">
        <v>5.3</v>
      </c>
      <c r="J12968" s="691">
        <v>4.5999999999999996</v>
      </c>
      <c r="K12968" s="691">
        <v>5.0999999999999996</v>
      </c>
    </row>
    <row r="12969" spans="1:11">
      <c r="A12969" s="688" t="s">
        <v>5</v>
      </c>
      <c r="B12969" s="690" t="s">
        <v>4060</v>
      </c>
      <c r="C12969" s="689">
        <v>5.6</v>
      </c>
      <c r="D12969" s="689">
        <v>5.6</v>
      </c>
      <c r="E12969" s="689">
        <v>5.5</v>
      </c>
      <c r="F12969" s="689">
        <v>5.6</v>
      </c>
      <c r="G12969" s="689">
        <v>5.7</v>
      </c>
      <c r="H12969" s="689">
        <v>5.8</v>
      </c>
      <c r="I12969" s="689">
        <v>5.9</v>
      </c>
      <c r="J12969" s="689">
        <v>5.7</v>
      </c>
      <c r="K12969" s="689">
        <v>5.4</v>
      </c>
    </row>
    <row r="12970" spans="1:11">
      <c r="A12970" s="688" t="s">
        <v>23</v>
      </c>
      <c r="B12970" s="692" t="s">
        <v>4060</v>
      </c>
      <c r="C12970" s="691">
        <v>5.7</v>
      </c>
      <c r="D12970" s="691">
        <v>5.6</v>
      </c>
      <c r="E12970" s="691">
        <v>5.7</v>
      </c>
      <c r="F12970" s="691">
        <v>5.6</v>
      </c>
      <c r="G12970" s="691">
        <v>5.7</v>
      </c>
      <c r="H12970" s="691">
        <v>5.9</v>
      </c>
      <c r="I12970" s="691">
        <v>5.5</v>
      </c>
      <c r="J12970" s="691">
        <v>5.9</v>
      </c>
      <c r="K12970" s="691">
        <v>5.9</v>
      </c>
    </row>
    <row r="12971" spans="1:11">
      <c r="A12971" s="688" t="s">
        <v>4067</v>
      </c>
      <c r="B12971" s="690" t="s">
        <v>4060</v>
      </c>
      <c r="C12971" s="690" t="s">
        <v>4060</v>
      </c>
      <c r="D12971" s="690" t="s">
        <v>4060</v>
      </c>
      <c r="E12971" s="690" t="s">
        <v>4060</v>
      </c>
      <c r="F12971" s="690" t="s">
        <v>4060</v>
      </c>
      <c r="G12971" s="690" t="s">
        <v>4060</v>
      </c>
      <c r="H12971" s="690" t="s">
        <v>4060</v>
      </c>
      <c r="I12971" s="690" t="s">
        <v>4060</v>
      </c>
      <c r="J12971" s="690" t="s">
        <v>4060</v>
      </c>
      <c r="K12971" s="690" t="s">
        <v>4060</v>
      </c>
    </row>
    <row r="12972" spans="1:11">
      <c r="A12972" s="688" t="s">
        <v>4066</v>
      </c>
      <c r="B12972" s="692" t="s">
        <v>4060</v>
      </c>
      <c r="C12972" s="692" t="s">
        <v>4060</v>
      </c>
      <c r="D12972" s="692" t="s">
        <v>4060</v>
      </c>
      <c r="E12972" s="692" t="s">
        <v>4060</v>
      </c>
      <c r="F12972" s="692" t="s">
        <v>4060</v>
      </c>
      <c r="G12972" s="692" t="s">
        <v>4060</v>
      </c>
      <c r="H12972" s="692" t="s">
        <v>4060</v>
      </c>
      <c r="I12972" s="692" t="s">
        <v>4060</v>
      </c>
      <c r="J12972" s="692" t="s">
        <v>4060</v>
      </c>
      <c r="K12972" s="692" t="s">
        <v>4060</v>
      </c>
    </row>
    <row r="12973" spans="1:11">
      <c r="A12973" s="688" t="s">
        <v>4062</v>
      </c>
      <c r="B12973" s="690" t="s">
        <v>4060</v>
      </c>
      <c r="C12973" s="689">
        <v>5.8</v>
      </c>
      <c r="D12973" s="689">
        <v>5.7</v>
      </c>
      <c r="E12973" s="689">
        <v>5.9</v>
      </c>
      <c r="F12973" s="689">
        <v>5.9</v>
      </c>
      <c r="G12973" s="689">
        <v>6.1</v>
      </c>
      <c r="H12973" s="689">
        <v>6.1</v>
      </c>
      <c r="I12973" s="689">
        <v>5.7</v>
      </c>
      <c r="J12973" s="689">
        <v>6.1</v>
      </c>
      <c r="K12973" s="689">
        <v>5.9</v>
      </c>
    </row>
    <row r="12974" spans="1:11">
      <c r="A12974" s="688" t="s">
        <v>9</v>
      </c>
      <c r="B12974" s="692" t="s">
        <v>4060</v>
      </c>
      <c r="C12974" s="691">
        <v>5.7</v>
      </c>
      <c r="D12974" s="691">
        <v>5.6</v>
      </c>
      <c r="E12974" s="691">
        <v>5.2</v>
      </c>
      <c r="F12974" s="691">
        <v>6.2</v>
      </c>
      <c r="G12974" s="691">
        <v>5.9</v>
      </c>
      <c r="H12974" s="691">
        <v>5.9</v>
      </c>
      <c r="I12974" s="691">
        <v>6.5</v>
      </c>
      <c r="J12974" s="691">
        <v>6.3</v>
      </c>
      <c r="K12974" s="691">
        <v>5.9</v>
      </c>
    </row>
    <row r="12975" spans="1:11">
      <c r="A12975" s="688" t="s">
        <v>13</v>
      </c>
      <c r="B12975" s="690" t="s">
        <v>4060</v>
      </c>
      <c r="C12975" s="689">
        <v>5.2</v>
      </c>
      <c r="D12975" s="689">
        <v>5.7</v>
      </c>
      <c r="E12975" s="689">
        <v>4.5999999999999996</v>
      </c>
      <c r="F12975" s="693">
        <v>7</v>
      </c>
      <c r="G12975" s="689">
        <v>6.3</v>
      </c>
      <c r="H12975" s="689">
        <v>6.3</v>
      </c>
      <c r="I12975" s="689">
        <v>4.5999999999999996</v>
      </c>
      <c r="J12975" s="689">
        <v>6.6</v>
      </c>
      <c r="K12975" s="689">
        <v>6.8</v>
      </c>
    </row>
    <row r="12976" spans="1:11">
      <c r="A12976" s="688" t="s">
        <v>18</v>
      </c>
      <c r="B12976" s="692" t="s">
        <v>4060</v>
      </c>
      <c r="C12976" s="691">
        <v>5.7</v>
      </c>
      <c r="D12976" s="691">
        <v>5.7</v>
      </c>
      <c r="E12976" s="691">
        <v>5.7</v>
      </c>
      <c r="F12976" s="691">
        <v>5.8</v>
      </c>
      <c r="G12976" s="691">
        <v>5.9</v>
      </c>
      <c r="H12976" s="691">
        <v>5.9</v>
      </c>
      <c r="I12976" s="615">
        <v>6</v>
      </c>
      <c r="J12976" s="615">
        <v>6</v>
      </c>
      <c r="K12976" s="691">
        <v>5.6</v>
      </c>
    </row>
    <row r="12977" spans="1:11">
      <c r="A12977" s="688" t="s">
        <v>24</v>
      </c>
      <c r="B12977" s="690" t="s">
        <v>4060</v>
      </c>
      <c r="C12977" s="689">
        <v>5.9</v>
      </c>
      <c r="D12977" s="689">
        <v>5.8</v>
      </c>
      <c r="E12977" s="693">
        <v>6</v>
      </c>
      <c r="F12977" s="693">
        <v>6</v>
      </c>
      <c r="G12977" s="689">
        <v>6.1</v>
      </c>
      <c r="H12977" s="689">
        <v>6.2</v>
      </c>
      <c r="I12977" s="689">
        <v>5.6</v>
      </c>
      <c r="J12977" s="689">
        <v>6.2</v>
      </c>
      <c r="K12977" s="693">
        <v>6</v>
      </c>
    </row>
    <row r="12978" spans="1:11">
      <c r="A12978" s="688" t="s">
        <v>4059</v>
      </c>
      <c r="B12978" s="692" t="s">
        <v>4060</v>
      </c>
      <c r="C12978" s="692" t="s">
        <v>4060</v>
      </c>
      <c r="D12978" s="692" t="s">
        <v>4060</v>
      </c>
      <c r="E12978" s="692" t="s">
        <v>4060</v>
      </c>
      <c r="F12978" s="692" t="s">
        <v>4060</v>
      </c>
      <c r="G12978" s="692" t="s">
        <v>4060</v>
      </c>
      <c r="H12978" s="692" t="s">
        <v>4060</v>
      </c>
      <c r="I12978" s="692" t="s">
        <v>4060</v>
      </c>
      <c r="J12978" s="692" t="s">
        <v>4060</v>
      </c>
      <c r="K12978" s="692" t="s">
        <v>4060</v>
      </c>
    </row>
    <row r="12979" spans="1:11">
      <c r="A12979" s="688" t="s">
        <v>2324</v>
      </c>
      <c r="B12979" s="690" t="s">
        <v>4060</v>
      </c>
      <c r="C12979" s="690" t="s">
        <v>4060</v>
      </c>
      <c r="D12979" s="690" t="s">
        <v>4060</v>
      </c>
      <c r="E12979" s="690" t="s">
        <v>4060</v>
      </c>
      <c r="F12979" s="690" t="s">
        <v>4060</v>
      </c>
      <c r="G12979" s="690" t="s">
        <v>4060</v>
      </c>
      <c r="H12979" s="690" t="s">
        <v>4060</v>
      </c>
      <c r="I12979" s="690" t="s">
        <v>4060</v>
      </c>
      <c r="J12979" s="690" t="s">
        <v>4060</v>
      </c>
      <c r="K12979" s="690" t="s">
        <v>4060</v>
      </c>
    </row>
    <row r="12980" spans="1:11">
      <c r="A12980" s="688" t="s">
        <v>2322</v>
      </c>
      <c r="B12980" s="692" t="s">
        <v>4060</v>
      </c>
      <c r="C12980" s="692" t="s">
        <v>4060</v>
      </c>
      <c r="D12980" s="692" t="s">
        <v>4060</v>
      </c>
      <c r="E12980" s="692" t="s">
        <v>4060</v>
      </c>
      <c r="F12980" s="692" t="s">
        <v>4060</v>
      </c>
      <c r="G12980" s="692" t="s">
        <v>4060</v>
      </c>
      <c r="H12980" s="692" t="s">
        <v>4060</v>
      </c>
      <c r="I12980" s="692" t="s">
        <v>4060</v>
      </c>
      <c r="J12980" s="692" t="s">
        <v>4060</v>
      </c>
      <c r="K12980" s="692" t="s">
        <v>4060</v>
      </c>
    </row>
    <row r="12981" spans="1:11">
      <c r="A12981" s="688" t="s">
        <v>2328</v>
      </c>
      <c r="B12981" s="690" t="s">
        <v>4060</v>
      </c>
      <c r="C12981" s="690" t="s">
        <v>4060</v>
      </c>
      <c r="D12981" s="690" t="s">
        <v>4060</v>
      </c>
      <c r="E12981" s="690" t="s">
        <v>4060</v>
      </c>
      <c r="F12981" s="690" t="s">
        <v>4060</v>
      </c>
      <c r="G12981" s="690" t="s">
        <v>4060</v>
      </c>
      <c r="H12981" s="690" t="s">
        <v>4060</v>
      </c>
      <c r="I12981" s="690" t="s">
        <v>4060</v>
      </c>
      <c r="J12981" s="690" t="s">
        <v>4060</v>
      </c>
      <c r="K12981" s="690" t="s">
        <v>4060</v>
      </c>
    </row>
    <row r="12982" spans="1:11">
      <c r="A12982" s="688" t="s">
        <v>2496</v>
      </c>
      <c r="B12982" s="692" t="s">
        <v>4060</v>
      </c>
      <c r="C12982" s="692" t="s">
        <v>4060</v>
      </c>
      <c r="D12982" s="692" t="s">
        <v>4060</v>
      </c>
      <c r="E12982" s="692" t="s">
        <v>4060</v>
      </c>
      <c r="F12982" s="692" t="s">
        <v>4060</v>
      </c>
      <c r="G12982" s="692" t="s">
        <v>4060</v>
      </c>
      <c r="H12982" s="692" t="s">
        <v>4060</v>
      </c>
      <c r="I12982" s="692" t="s">
        <v>4060</v>
      </c>
      <c r="J12982" s="692" t="s">
        <v>4060</v>
      </c>
      <c r="K12982" s="692" t="s">
        <v>4060</v>
      </c>
    </row>
    <row r="12983" spans="1:11">
      <c r="A12983" s="688" t="s">
        <v>2269</v>
      </c>
      <c r="B12983" s="690" t="s">
        <v>4060</v>
      </c>
      <c r="C12983" s="690" t="s">
        <v>4060</v>
      </c>
      <c r="D12983" s="690" t="s">
        <v>4060</v>
      </c>
      <c r="E12983" s="690" t="s">
        <v>4060</v>
      </c>
      <c r="F12983" s="690" t="s">
        <v>4060</v>
      </c>
      <c r="G12983" s="690" t="s">
        <v>4060</v>
      </c>
      <c r="H12983" s="690" t="s">
        <v>4060</v>
      </c>
      <c r="I12983" s="690" t="s">
        <v>4060</v>
      </c>
      <c r="J12983" s="690" t="s">
        <v>4060</v>
      </c>
      <c r="K12983" s="690" t="s">
        <v>4060</v>
      </c>
    </row>
    <row r="12984" spans="1:11">
      <c r="A12984" s="688" t="s">
        <v>2349</v>
      </c>
      <c r="B12984" s="692" t="s">
        <v>4060</v>
      </c>
      <c r="C12984" s="692" t="s">
        <v>4060</v>
      </c>
      <c r="D12984" s="692" t="s">
        <v>4060</v>
      </c>
      <c r="E12984" s="692" t="s">
        <v>4060</v>
      </c>
      <c r="F12984" s="692" t="s">
        <v>4060</v>
      </c>
      <c r="G12984" s="692" t="s">
        <v>4060</v>
      </c>
      <c r="H12984" s="692" t="s">
        <v>4060</v>
      </c>
      <c r="I12984" s="692" t="s">
        <v>4060</v>
      </c>
      <c r="J12984" s="692" t="s">
        <v>4060</v>
      </c>
      <c r="K12984" s="692" t="s">
        <v>4060</v>
      </c>
    </row>
    <row r="12985" spans="1:11">
      <c r="A12985" s="688" t="s">
        <v>2355</v>
      </c>
      <c r="B12985" s="690" t="s">
        <v>4060</v>
      </c>
      <c r="C12985" s="690" t="s">
        <v>4060</v>
      </c>
      <c r="D12985" s="690" t="s">
        <v>4060</v>
      </c>
      <c r="E12985" s="690" t="s">
        <v>4060</v>
      </c>
      <c r="F12985" s="690" t="s">
        <v>4060</v>
      </c>
      <c r="G12985" s="690" t="s">
        <v>4060</v>
      </c>
      <c r="H12985" s="690" t="s">
        <v>4060</v>
      </c>
      <c r="I12985" s="690" t="s">
        <v>4060</v>
      </c>
      <c r="J12985" s="690" t="s">
        <v>4060</v>
      </c>
      <c r="K12985" s="690" t="s">
        <v>4060</v>
      </c>
    </row>
    <row r="12986" spans="1:11">
      <c r="A12986" s="688" t="s">
        <v>2357</v>
      </c>
      <c r="B12986" s="692" t="s">
        <v>4060</v>
      </c>
      <c r="C12986" s="692" t="s">
        <v>4060</v>
      </c>
      <c r="D12986" s="692" t="s">
        <v>4060</v>
      </c>
      <c r="E12986" s="692" t="s">
        <v>4060</v>
      </c>
      <c r="F12986" s="692" t="s">
        <v>4060</v>
      </c>
      <c r="G12986" s="692" t="s">
        <v>4060</v>
      </c>
      <c r="H12986" s="692" t="s">
        <v>4060</v>
      </c>
      <c r="I12986" s="692" t="s">
        <v>4060</v>
      </c>
      <c r="J12986" s="692" t="s">
        <v>4060</v>
      </c>
      <c r="K12986" s="692" t="s">
        <v>4060</v>
      </c>
    </row>
    <row r="12987" spans="1:11">
      <c r="A12987" s="688" t="s">
        <v>4070</v>
      </c>
      <c r="B12987" s="690" t="s">
        <v>4060</v>
      </c>
      <c r="C12987" s="690" t="s">
        <v>4060</v>
      </c>
      <c r="D12987" s="690" t="s">
        <v>4060</v>
      </c>
      <c r="E12987" s="690" t="s">
        <v>4060</v>
      </c>
      <c r="F12987" s="690" t="s">
        <v>4060</v>
      </c>
      <c r="G12987" s="690" t="s">
        <v>4060</v>
      </c>
      <c r="H12987" s="690" t="s">
        <v>4060</v>
      </c>
      <c r="I12987" s="690" t="s">
        <v>4060</v>
      </c>
      <c r="J12987" s="690" t="s">
        <v>4060</v>
      </c>
      <c r="K12987" s="690" t="s">
        <v>4060</v>
      </c>
    </row>
    <row r="12988" spans="1:11">
      <c r="A12988" s="688" t="s">
        <v>2491</v>
      </c>
      <c r="B12988" s="692" t="s">
        <v>4060</v>
      </c>
      <c r="C12988" s="692" t="s">
        <v>4060</v>
      </c>
      <c r="D12988" s="692" t="s">
        <v>4060</v>
      </c>
      <c r="E12988" s="692" t="s">
        <v>4060</v>
      </c>
      <c r="F12988" s="692" t="s">
        <v>4060</v>
      </c>
      <c r="G12988" s="692" t="s">
        <v>4060</v>
      </c>
      <c r="H12988" s="692" t="s">
        <v>4060</v>
      </c>
      <c r="I12988" s="692" t="s">
        <v>4060</v>
      </c>
      <c r="J12988" s="692" t="s">
        <v>4060</v>
      </c>
      <c r="K12988" s="692" t="s">
        <v>4060</v>
      </c>
    </row>
    <row r="12989" spans="1:11">
      <c r="A12989" s="688" t="s">
        <v>2343</v>
      </c>
      <c r="B12989" s="690" t="s">
        <v>4060</v>
      </c>
      <c r="C12989" s="690" t="s">
        <v>4060</v>
      </c>
      <c r="D12989" s="690" t="s">
        <v>4060</v>
      </c>
      <c r="E12989" s="690" t="s">
        <v>4060</v>
      </c>
      <c r="F12989" s="690" t="s">
        <v>4060</v>
      </c>
      <c r="G12989" s="690" t="s">
        <v>4060</v>
      </c>
      <c r="H12989" s="690" t="s">
        <v>4060</v>
      </c>
      <c r="I12989" s="690" t="s">
        <v>4060</v>
      </c>
      <c r="J12989" s="690" t="s">
        <v>4060</v>
      </c>
      <c r="K12989" s="690" t="s">
        <v>4060</v>
      </c>
    </row>
    <row r="12990" spans="1:11">
      <c r="A12990" s="688" t="s">
        <v>4071</v>
      </c>
      <c r="B12990" s="692" t="s">
        <v>4060</v>
      </c>
      <c r="C12990" s="692" t="s">
        <v>4060</v>
      </c>
      <c r="D12990" s="692" t="s">
        <v>4060</v>
      </c>
      <c r="E12990" s="692" t="s">
        <v>4060</v>
      </c>
      <c r="F12990" s="692" t="s">
        <v>4060</v>
      </c>
      <c r="G12990" s="692" t="s">
        <v>4060</v>
      </c>
      <c r="H12990" s="692" t="s">
        <v>4060</v>
      </c>
      <c r="I12990" s="692" t="s">
        <v>4060</v>
      </c>
      <c r="J12990" s="692" t="s">
        <v>4060</v>
      </c>
      <c r="K12990" s="692" t="s">
        <v>4060</v>
      </c>
    </row>
    <row r="12991" spans="1:11">
      <c r="A12991" s="688" t="s">
        <v>2489</v>
      </c>
      <c r="B12991" s="690" t="s">
        <v>4060</v>
      </c>
      <c r="C12991" s="690" t="s">
        <v>4060</v>
      </c>
      <c r="D12991" s="690" t="s">
        <v>4060</v>
      </c>
      <c r="E12991" s="690" t="s">
        <v>4060</v>
      </c>
      <c r="F12991" s="690" t="s">
        <v>4060</v>
      </c>
      <c r="G12991" s="690" t="s">
        <v>4060</v>
      </c>
      <c r="H12991" s="690" t="s">
        <v>4060</v>
      </c>
      <c r="I12991" s="690" t="s">
        <v>4060</v>
      </c>
      <c r="J12991" s="690" t="s">
        <v>4060</v>
      </c>
      <c r="K12991" s="690" t="s">
        <v>4060</v>
      </c>
    </row>
    <row r="12992" spans="1:11">
      <c r="A12992" s="688" t="s">
        <v>2490</v>
      </c>
      <c r="B12992" s="692" t="s">
        <v>4060</v>
      </c>
      <c r="C12992" s="692" t="s">
        <v>4060</v>
      </c>
      <c r="D12992" s="692" t="s">
        <v>4060</v>
      </c>
      <c r="E12992" s="692" t="s">
        <v>4060</v>
      </c>
      <c r="F12992" s="692" t="s">
        <v>4060</v>
      </c>
      <c r="G12992" s="692" t="s">
        <v>4060</v>
      </c>
      <c r="H12992" s="692" t="s">
        <v>4060</v>
      </c>
      <c r="I12992" s="692" t="s">
        <v>4060</v>
      </c>
      <c r="J12992" s="692" t="s">
        <v>4060</v>
      </c>
      <c r="K12992" s="692" t="s">
        <v>4060</v>
      </c>
    </row>
    <row r="12994" spans="1:11">
      <c r="A12994" s="683" t="s">
        <v>4233</v>
      </c>
    </row>
    <row r="12995" spans="1:11">
      <c r="A12995" s="683" t="s">
        <v>4060</v>
      </c>
      <c r="B12995" s="682" t="s">
        <v>4234</v>
      </c>
    </row>
    <row r="12997" spans="1:11">
      <c r="A12997" s="682" t="s">
        <v>4331</v>
      </c>
    </row>
    <row r="12998" spans="1:11">
      <c r="A12998" s="682" t="s">
        <v>4210</v>
      </c>
      <c r="B12998" s="683" t="s">
        <v>4211</v>
      </c>
    </row>
    <row r="12999" spans="1:11">
      <c r="A12999" s="682" t="s">
        <v>4212</v>
      </c>
      <c r="B12999" s="682" t="s">
        <v>4213</v>
      </c>
    </row>
    <row r="13001" spans="1:11">
      <c r="A13001" s="683" t="s">
        <v>4214</v>
      </c>
      <c r="C13001" s="682" t="s">
        <v>4215</v>
      </c>
    </row>
    <row r="13002" spans="1:11">
      <c r="A13002" s="683" t="s">
        <v>4216</v>
      </c>
      <c r="C13002" s="682" t="s">
        <v>2967</v>
      </c>
    </row>
    <row r="13003" spans="1:11">
      <c r="A13003" s="683" t="s">
        <v>3893</v>
      </c>
      <c r="C13003" s="682" t="s">
        <v>2168</v>
      </c>
    </row>
    <row r="13004" spans="1:11">
      <c r="A13004" s="683" t="s">
        <v>4218</v>
      </c>
      <c r="C13004" s="682" t="s">
        <v>4320</v>
      </c>
    </row>
    <row r="13006" spans="1:11">
      <c r="A13006" s="684" t="s">
        <v>4220</v>
      </c>
      <c r="B13006" s="685" t="s">
        <v>4221</v>
      </c>
      <c r="C13006" s="685" t="s">
        <v>4222</v>
      </c>
      <c r="D13006" s="685" t="s">
        <v>4223</v>
      </c>
      <c r="E13006" s="685" t="s">
        <v>4224</v>
      </c>
      <c r="F13006" s="685" t="s">
        <v>4225</v>
      </c>
      <c r="G13006" s="685" t="s">
        <v>4226</v>
      </c>
      <c r="H13006" s="685" t="s">
        <v>4227</v>
      </c>
      <c r="I13006" s="685" t="s">
        <v>4228</v>
      </c>
      <c r="J13006" s="685" t="s">
        <v>4229</v>
      </c>
      <c r="K13006" s="685" t="s">
        <v>4230</v>
      </c>
    </row>
    <row r="13007" spans="1:11">
      <c r="A13007" s="686" t="s">
        <v>4231</v>
      </c>
      <c r="B13007" s="687" t="s">
        <v>4232</v>
      </c>
      <c r="C13007" s="687" t="s">
        <v>4232</v>
      </c>
      <c r="D13007" s="687" t="s">
        <v>4232</v>
      </c>
      <c r="E13007" s="687" t="s">
        <v>4232</v>
      </c>
      <c r="F13007" s="687" t="s">
        <v>4232</v>
      </c>
      <c r="G13007" s="687" t="s">
        <v>4232</v>
      </c>
      <c r="H13007" s="687" t="s">
        <v>4232</v>
      </c>
      <c r="I13007" s="687" t="s">
        <v>4232</v>
      </c>
      <c r="J13007" s="687" t="s">
        <v>4232</v>
      </c>
      <c r="K13007" s="687" t="s">
        <v>4232</v>
      </c>
    </row>
    <row r="13008" spans="1:11">
      <c r="A13008" s="688" t="s">
        <v>4064</v>
      </c>
      <c r="B13008" s="691">
        <v>6.1</v>
      </c>
      <c r="C13008" s="692" t="s">
        <v>4060</v>
      </c>
      <c r="D13008" s="615">
        <v>6</v>
      </c>
      <c r="E13008" s="692" t="s">
        <v>4060</v>
      </c>
      <c r="F13008" s="692" t="s">
        <v>4060</v>
      </c>
      <c r="G13008" s="692" t="s">
        <v>4060</v>
      </c>
      <c r="H13008" s="692" t="s">
        <v>4060</v>
      </c>
      <c r="I13008" s="692" t="s">
        <v>4060</v>
      </c>
      <c r="J13008" s="692" t="s">
        <v>4060</v>
      </c>
      <c r="K13008" s="692" t="s">
        <v>4060</v>
      </c>
    </row>
    <row r="13009" spans="1:11">
      <c r="A13009" s="688" t="s">
        <v>4065</v>
      </c>
      <c r="B13009" s="689">
        <v>6.1</v>
      </c>
      <c r="C13009" s="689">
        <v>6.3</v>
      </c>
      <c r="D13009" s="693">
        <v>6</v>
      </c>
      <c r="E13009" s="689">
        <v>6.2</v>
      </c>
      <c r="F13009" s="689">
        <v>6.1</v>
      </c>
      <c r="G13009" s="689">
        <v>6.2</v>
      </c>
      <c r="H13009" s="690" t="s">
        <v>4060</v>
      </c>
      <c r="I13009" s="690" t="s">
        <v>4060</v>
      </c>
      <c r="J13009" s="690" t="s">
        <v>4060</v>
      </c>
      <c r="K13009" s="690" t="s">
        <v>4060</v>
      </c>
    </row>
    <row r="13010" spans="1:11">
      <c r="A13010" s="688" t="s">
        <v>4063</v>
      </c>
      <c r="B13010" s="691">
        <v>6.1</v>
      </c>
      <c r="C13010" s="691">
        <v>6.3</v>
      </c>
      <c r="D13010" s="615">
        <v>6</v>
      </c>
      <c r="E13010" s="691">
        <v>6.2</v>
      </c>
      <c r="F13010" s="691">
        <v>6.1</v>
      </c>
      <c r="G13010" s="691">
        <v>6.2</v>
      </c>
      <c r="H13010" s="692" t="s">
        <v>4060</v>
      </c>
      <c r="I13010" s="692" t="s">
        <v>4060</v>
      </c>
      <c r="J13010" s="692" t="s">
        <v>4060</v>
      </c>
      <c r="K13010" s="692" t="s">
        <v>4060</v>
      </c>
    </row>
    <row r="13011" spans="1:11">
      <c r="A13011" s="688" t="s">
        <v>4069</v>
      </c>
      <c r="B13011" s="690" t="s">
        <v>4060</v>
      </c>
      <c r="C13011" s="690" t="s">
        <v>4060</v>
      </c>
      <c r="D13011" s="690" t="s">
        <v>4060</v>
      </c>
      <c r="E13011" s="690" t="s">
        <v>4060</v>
      </c>
      <c r="F13011" s="690" t="s">
        <v>4060</v>
      </c>
      <c r="G13011" s="690" t="s">
        <v>4060</v>
      </c>
      <c r="H13011" s="690" t="s">
        <v>4060</v>
      </c>
      <c r="I13011" s="690" t="s">
        <v>4060</v>
      </c>
      <c r="J13011" s="690" t="s">
        <v>4060</v>
      </c>
      <c r="K13011" s="690" t="s">
        <v>4060</v>
      </c>
    </row>
    <row r="13012" spans="1:11">
      <c r="A13012" s="688" t="s">
        <v>4068</v>
      </c>
      <c r="B13012" s="691">
        <v>6.2</v>
      </c>
      <c r="C13012" s="692" t="s">
        <v>4060</v>
      </c>
      <c r="D13012" s="692" t="s">
        <v>4060</v>
      </c>
      <c r="E13012" s="692" t="s">
        <v>4060</v>
      </c>
      <c r="F13012" s="692" t="s">
        <v>4060</v>
      </c>
      <c r="G13012" s="692" t="s">
        <v>4060</v>
      </c>
      <c r="H13012" s="692" t="s">
        <v>4060</v>
      </c>
      <c r="I13012" s="692" t="s">
        <v>4060</v>
      </c>
      <c r="J13012" s="692" t="s">
        <v>4060</v>
      </c>
      <c r="K13012" s="692" t="s">
        <v>4060</v>
      </c>
    </row>
    <row r="13013" spans="1:11">
      <c r="A13013" s="688" t="s">
        <v>0</v>
      </c>
      <c r="B13013" s="689">
        <v>5.8</v>
      </c>
      <c r="C13013" s="690" t="s">
        <v>4060</v>
      </c>
      <c r="D13013" s="690" t="s">
        <v>4060</v>
      </c>
      <c r="E13013" s="690" t="s">
        <v>4060</v>
      </c>
      <c r="F13013" s="690" t="s">
        <v>4060</v>
      </c>
      <c r="G13013" s="690" t="s">
        <v>4060</v>
      </c>
      <c r="H13013" s="690" t="s">
        <v>4060</v>
      </c>
      <c r="I13013" s="690" t="s">
        <v>4060</v>
      </c>
      <c r="J13013" s="690" t="s">
        <v>4060</v>
      </c>
      <c r="K13013" s="690" t="s">
        <v>4060</v>
      </c>
    </row>
    <row r="13014" spans="1:11">
      <c r="A13014" s="688" t="s">
        <v>1</v>
      </c>
      <c r="B13014" s="691">
        <v>4.8</v>
      </c>
      <c r="C13014" s="692" t="s">
        <v>4060</v>
      </c>
      <c r="D13014" s="692" t="s">
        <v>4060</v>
      </c>
      <c r="E13014" s="692" t="s">
        <v>4060</v>
      </c>
      <c r="F13014" s="692" t="s">
        <v>4060</v>
      </c>
      <c r="G13014" s="692" t="s">
        <v>4060</v>
      </c>
      <c r="H13014" s="692" t="s">
        <v>4060</v>
      </c>
      <c r="I13014" s="692" t="s">
        <v>4060</v>
      </c>
      <c r="J13014" s="692" t="s">
        <v>4060</v>
      </c>
      <c r="K13014" s="692" t="s">
        <v>4060</v>
      </c>
    </row>
    <row r="13015" spans="1:11">
      <c r="A13015" s="688" t="s">
        <v>2240</v>
      </c>
      <c r="B13015" s="689">
        <v>5.0999999999999996</v>
      </c>
      <c r="C13015" s="690" t="s">
        <v>4060</v>
      </c>
      <c r="D13015" s="690" t="s">
        <v>4060</v>
      </c>
      <c r="E13015" s="690" t="s">
        <v>4060</v>
      </c>
      <c r="F13015" s="690" t="s">
        <v>4060</v>
      </c>
      <c r="G13015" s="690" t="s">
        <v>4060</v>
      </c>
      <c r="H13015" s="690" t="s">
        <v>4060</v>
      </c>
      <c r="I13015" s="690" t="s">
        <v>4060</v>
      </c>
      <c r="J13015" s="690" t="s">
        <v>4060</v>
      </c>
      <c r="K13015" s="690" t="s">
        <v>4060</v>
      </c>
    </row>
    <row r="13016" spans="1:11">
      <c r="A13016" s="688" t="s">
        <v>2</v>
      </c>
      <c r="B13016" s="691">
        <v>5.7</v>
      </c>
      <c r="C13016" s="692" t="s">
        <v>4060</v>
      </c>
      <c r="D13016" s="692" t="s">
        <v>4060</v>
      </c>
      <c r="E13016" s="692" t="s">
        <v>4060</v>
      </c>
      <c r="F13016" s="692" t="s">
        <v>4060</v>
      </c>
      <c r="G13016" s="692" t="s">
        <v>4060</v>
      </c>
      <c r="H13016" s="692" t="s">
        <v>4060</v>
      </c>
      <c r="I13016" s="692" t="s">
        <v>4060</v>
      </c>
      <c r="J13016" s="692" t="s">
        <v>4060</v>
      </c>
      <c r="K13016" s="692" t="s">
        <v>4060</v>
      </c>
    </row>
    <row r="13017" spans="1:11">
      <c r="A13017" s="688" t="s">
        <v>3</v>
      </c>
      <c r="B13017" s="689">
        <v>5.8</v>
      </c>
      <c r="C13017" s="690" t="s">
        <v>4060</v>
      </c>
      <c r="D13017" s="690" t="s">
        <v>4060</v>
      </c>
      <c r="E13017" s="690" t="s">
        <v>4060</v>
      </c>
      <c r="F13017" s="690" t="s">
        <v>4060</v>
      </c>
      <c r="G13017" s="690" t="s">
        <v>4060</v>
      </c>
      <c r="H13017" s="690" t="s">
        <v>4060</v>
      </c>
      <c r="I13017" s="690" t="s">
        <v>4060</v>
      </c>
      <c r="J13017" s="690" t="s">
        <v>4060</v>
      </c>
      <c r="K13017" s="690" t="s">
        <v>4060</v>
      </c>
    </row>
    <row r="13018" spans="1:11">
      <c r="A13018" s="688" t="s">
        <v>4061</v>
      </c>
      <c r="B13018" s="691">
        <v>5.8</v>
      </c>
      <c r="C13018" s="692" t="s">
        <v>4060</v>
      </c>
      <c r="D13018" s="692" t="s">
        <v>4060</v>
      </c>
      <c r="E13018" s="692" t="s">
        <v>4060</v>
      </c>
      <c r="F13018" s="692" t="s">
        <v>4060</v>
      </c>
      <c r="G13018" s="692" t="s">
        <v>4060</v>
      </c>
      <c r="H13018" s="692" t="s">
        <v>4060</v>
      </c>
      <c r="I13018" s="692" t="s">
        <v>4060</v>
      </c>
      <c r="J13018" s="692" t="s">
        <v>4060</v>
      </c>
      <c r="K13018" s="692" t="s">
        <v>4060</v>
      </c>
    </row>
    <row r="13019" spans="1:11">
      <c r="A13019" s="688" t="s">
        <v>4</v>
      </c>
      <c r="B13019" s="689">
        <v>5.9</v>
      </c>
      <c r="C13019" s="690" t="s">
        <v>4060</v>
      </c>
      <c r="D13019" s="690" t="s">
        <v>4060</v>
      </c>
      <c r="E13019" s="690" t="s">
        <v>4060</v>
      </c>
      <c r="F13019" s="690" t="s">
        <v>4060</v>
      </c>
      <c r="G13019" s="690" t="s">
        <v>4060</v>
      </c>
      <c r="H13019" s="690" t="s">
        <v>4060</v>
      </c>
      <c r="I13019" s="690" t="s">
        <v>4060</v>
      </c>
      <c r="J13019" s="690" t="s">
        <v>4060</v>
      </c>
      <c r="K13019" s="690" t="s">
        <v>4060</v>
      </c>
    </row>
    <row r="13020" spans="1:11">
      <c r="A13020" s="688" t="s">
        <v>8</v>
      </c>
      <c r="B13020" s="691">
        <v>5.4</v>
      </c>
      <c r="C13020" s="692" t="s">
        <v>4060</v>
      </c>
      <c r="D13020" s="692" t="s">
        <v>4060</v>
      </c>
      <c r="E13020" s="692" t="s">
        <v>4060</v>
      </c>
      <c r="F13020" s="692" t="s">
        <v>4060</v>
      </c>
      <c r="G13020" s="692" t="s">
        <v>4060</v>
      </c>
      <c r="H13020" s="692" t="s">
        <v>4060</v>
      </c>
      <c r="I13020" s="692" t="s">
        <v>4060</v>
      </c>
      <c r="J13020" s="692" t="s">
        <v>4060</v>
      </c>
      <c r="K13020" s="692" t="s">
        <v>4060</v>
      </c>
    </row>
    <row r="13021" spans="1:11">
      <c r="A13021" s="688" t="s">
        <v>7</v>
      </c>
      <c r="B13021" s="689">
        <v>6.7</v>
      </c>
      <c r="C13021" s="690" t="s">
        <v>4060</v>
      </c>
      <c r="D13021" s="690" t="s">
        <v>4060</v>
      </c>
      <c r="E13021" s="690" t="s">
        <v>4060</v>
      </c>
      <c r="F13021" s="690" t="s">
        <v>4060</v>
      </c>
      <c r="G13021" s="690" t="s">
        <v>4060</v>
      </c>
      <c r="H13021" s="690" t="s">
        <v>4060</v>
      </c>
      <c r="I13021" s="690" t="s">
        <v>4060</v>
      </c>
      <c r="J13021" s="690" t="s">
        <v>4060</v>
      </c>
      <c r="K13021" s="690" t="s">
        <v>4060</v>
      </c>
    </row>
    <row r="13022" spans="1:11">
      <c r="A13022" s="688" t="s">
        <v>27</v>
      </c>
      <c r="B13022" s="691">
        <v>6.7</v>
      </c>
      <c r="C13022" s="692" t="s">
        <v>4060</v>
      </c>
      <c r="D13022" s="692" t="s">
        <v>4060</v>
      </c>
      <c r="E13022" s="692" t="s">
        <v>4060</v>
      </c>
      <c r="F13022" s="692" t="s">
        <v>4060</v>
      </c>
      <c r="G13022" s="692" t="s">
        <v>4060</v>
      </c>
      <c r="H13022" s="692" t="s">
        <v>4060</v>
      </c>
      <c r="I13022" s="692" t="s">
        <v>4060</v>
      </c>
      <c r="J13022" s="692" t="s">
        <v>4060</v>
      </c>
      <c r="K13022" s="692" t="s">
        <v>4060</v>
      </c>
    </row>
    <row r="13023" spans="1:11">
      <c r="A13023" s="688" t="s">
        <v>6</v>
      </c>
      <c r="B13023" s="689">
        <v>6.7</v>
      </c>
      <c r="C13023" s="690" t="s">
        <v>4060</v>
      </c>
      <c r="D13023" s="690" t="s">
        <v>4060</v>
      </c>
      <c r="E13023" s="690" t="s">
        <v>4060</v>
      </c>
      <c r="F13023" s="690" t="s">
        <v>4060</v>
      </c>
      <c r="G13023" s="690" t="s">
        <v>4060</v>
      </c>
      <c r="H13023" s="690" t="s">
        <v>4060</v>
      </c>
      <c r="I13023" s="690" t="s">
        <v>4060</v>
      </c>
      <c r="J13023" s="690" t="s">
        <v>4060</v>
      </c>
      <c r="K13023" s="690" t="s">
        <v>4060</v>
      </c>
    </row>
    <row r="13024" spans="1:11">
      <c r="A13024" s="688" t="s">
        <v>4058</v>
      </c>
      <c r="B13024" s="692" t="s">
        <v>4060</v>
      </c>
      <c r="C13024" s="692" t="s">
        <v>4060</v>
      </c>
      <c r="D13024" s="692" t="s">
        <v>4060</v>
      </c>
      <c r="E13024" s="692" t="s">
        <v>4060</v>
      </c>
      <c r="F13024" s="692" t="s">
        <v>4060</v>
      </c>
      <c r="G13024" s="692" t="s">
        <v>4060</v>
      </c>
      <c r="H13024" s="692" t="s">
        <v>4060</v>
      </c>
      <c r="I13024" s="692" t="s">
        <v>4060</v>
      </c>
      <c r="J13024" s="692" t="s">
        <v>4060</v>
      </c>
      <c r="K13024" s="692" t="s">
        <v>4060</v>
      </c>
    </row>
    <row r="13025" spans="1:11">
      <c r="A13025" s="688" t="s">
        <v>11</v>
      </c>
      <c r="B13025" s="693">
        <v>5</v>
      </c>
      <c r="C13025" s="690" t="s">
        <v>4060</v>
      </c>
      <c r="D13025" s="690" t="s">
        <v>4060</v>
      </c>
      <c r="E13025" s="690" t="s">
        <v>4060</v>
      </c>
      <c r="F13025" s="690" t="s">
        <v>4060</v>
      </c>
      <c r="G13025" s="690" t="s">
        <v>4060</v>
      </c>
      <c r="H13025" s="690" t="s">
        <v>4060</v>
      </c>
      <c r="I13025" s="690" t="s">
        <v>4060</v>
      </c>
      <c r="J13025" s="690" t="s">
        <v>4060</v>
      </c>
      <c r="K13025" s="690" t="s">
        <v>4060</v>
      </c>
    </row>
    <row r="13026" spans="1:11">
      <c r="A13026" s="688" t="s">
        <v>10</v>
      </c>
      <c r="B13026" s="691">
        <v>6.2</v>
      </c>
      <c r="C13026" s="692" t="s">
        <v>4060</v>
      </c>
      <c r="D13026" s="692" t="s">
        <v>4060</v>
      </c>
      <c r="E13026" s="692" t="s">
        <v>4060</v>
      </c>
      <c r="F13026" s="692" t="s">
        <v>4060</v>
      </c>
      <c r="G13026" s="692" t="s">
        <v>4060</v>
      </c>
      <c r="H13026" s="692" t="s">
        <v>4060</v>
      </c>
      <c r="I13026" s="692" t="s">
        <v>4060</v>
      </c>
      <c r="J13026" s="692" t="s">
        <v>4060</v>
      </c>
      <c r="K13026" s="692" t="s">
        <v>4060</v>
      </c>
    </row>
    <row r="13027" spans="1:11">
      <c r="A13027" s="688" t="s">
        <v>30</v>
      </c>
      <c r="B13027" s="693">
        <v>6</v>
      </c>
      <c r="C13027" s="690" t="s">
        <v>4060</v>
      </c>
      <c r="D13027" s="690" t="s">
        <v>4060</v>
      </c>
      <c r="E13027" s="690" t="s">
        <v>4060</v>
      </c>
      <c r="F13027" s="690" t="s">
        <v>4060</v>
      </c>
      <c r="G13027" s="690" t="s">
        <v>4060</v>
      </c>
      <c r="H13027" s="690" t="s">
        <v>4060</v>
      </c>
      <c r="I13027" s="690" t="s">
        <v>4060</v>
      </c>
      <c r="J13027" s="690" t="s">
        <v>4060</v>
      </c>
      <c r="K13027" s="690" t="s">
        <v>4060</v>
      </c>
    </row>
    <row r="13028" spans="1:11">
      <c r="A13028" s="688" t="s">
        <v>12</v>
      </c>
      <c r="B13028" s="691">
        <v>5.4</v>
      </c>
      <c r="C13028" s="692" t="s">
        <v>4060</v>
      </c>
      <c r="D13028" s="692" t="s">
        <v>4060</v>
      </c>
      <c r="E13028" s="692" t="s">
        <v>4060</v>
      </c>
      <c r="F13028" s="692" t="s">
        <v>4060</v>
      </c>
      <c r="G13028" s="692" t="s">
        <v>4060</v>
      </c>
      <c r="H13028" s="692" t="s">
        <v>4060</v>
      </c>
      <c r="I13028" s="692" t="s">
        <v>4060</v>
      </c>
      <c r="J13028" s="692" t="s">
        <v>4060</v>
      </c>
      <c r="K13028" s="692" t="s">
        <v>4060</v>
      </c>
    </row>
    <row r="13029" spans="1:11">
      <c r="A13029" s="688" t="s">
        <v>14</v>
      </c>
      <c r="B13029" s="689">
        <v>5.0999999999999996</v>
      </c>
      <c r="C13029" s="690" t="s">
        <v>4060</v>
      </c>
      <c r="D13029" s="690" t="s">
        <v>4060</v>
      </c>
      <c r="E13029" s="690" t="s">
        <v>4060</v>
      </c>
      <c r="F13029" s="690" t="s">
        <v>4060</v>
      </c>
      <c r="G13029" s="690" t="s">
        <v>4060</v>
      </c>
      <c r="H13029" s="690" t="s">
        <v>4060</v>
      </c>
      <c r="I13029" s="690" t="s">
        <v>4060</v>
      </c>
      <c r="J13029" s="690" t="s">
        <v>4060</v>
      </c>
      <c r="K13029" s="690" t="s">
        <v>4060</v>
      </c>
    </row>
    <row r="13030" spans="1:11">
      <c r="A13030" s="688" t="s">
        <v>15</v>
      </c>
      <c r="B13030" s="691">
        <v>6.9</v>
      </c>
      <c r="C13030" s="692" t="s">
        <v>4060</v>
      </c>
      <c r="D13030" s="692" t="s">
        <v>4060</v>
      </c>
      <c r="E13030" s="692" t="s">
        <v>4060</v>
      </c>
      <c r="F13030" s="692" t="s">
        <v>4060</v>
      </c>
      <c r="G13030" s="692" t="s">
        <v>4060</v>
      </c>
      <c r="H13030" s="692" t="s">
        <v>4060</v>
      </c>
      <c r="I13030" s="692" t="s">
        <v>4060</v>
      </c>
      <c r="J13030" s="692" t="s">
        <v>4060</v>
      </c>
      <c r="K13030" s="692" t="s">
        <v>4060</v>
      </c>
    </row>
    <row r="13031" spans="1:11">
      <c r="A13031" s="688" t="s">
        <v>29</v>
      </c>
      <c r="B13031" s="689">
        <v>5.0999999999999996</v>
      </c>
      <c r="C13031" s="690" t="s">
        <v>4060</v>
      </c>
      <c r="D13031" s="690" t="s">
        <v>4060</v>
      </c>
      <c r="E13031" s="690" t="s">
        <v>4060</v>
      </c>
      <c r="F13031" s="690" t="s">
        <v>4060</v>
      </c>
      <c r="G13031" s="690" t="s">
        <v>4060</v>
      </c>
      <c r="H13031" s="690" t="s">
        <v>4060</v>
      </c>
      <c r="I13031" s="690" t="s">
        <v>4060</v>
      </c>
      <c r="J13031" s="690" t="s">
        <v>4060</v>
      </c>
      <c r="K13031" s="690" t="s">
        <v>4060</v>
      </c>
    </row>
    <row r="13032" spans="1:11">
      <c r="A13032" s="688" t="s">
        <v>16</v>
      </c>
      <c r="B13032" s="691">
        <v>6.1</v>
      </c>
      <c r="C13032" s="692" t="s">
        <v>4060</v>
      </c>
      <c r="D13032" s="692" t="s">
        <v>4060</v>
      </c>
      <c r="E13032" s="692" t="s">
        <v>4060</v>
      </c>
      <c r="F13032" s="692" t="s">
        <v>4060</v>
      </c>
      <c r="G13032" s="692" t="s">
        <v>4060</v>
      </c>
      <c r="H13032" s="692" t="s">
        <v>4060</v>
      </c>
      <c r="I13032" s="692" t="s">
        <v>4060</v>
      </c>
      <c r="J13032" s="692" t="s">
        <v>4060</v>
      </c>
      <c r="K13032" s="692" t="s">
        <v>4060</v>
      </c>
    </row>
    <row r="13033" spans="1:11">
      <c r="A13033" s="688" t="s">
        <v>17</v>
      </c>
      <c r="B13033" s="689">
        <v>5.8</v>
      </c>
      <c r="C13033" s="690" t="s">
        <v>4060</v>
      </c>
      <c r="D13033" s="690" t="s">
        <v>4060</v>
      </c>
      <c r="E13033" s="690" t="s">
        <v>4060</v>
      </c>
      <c r="F13033" s="690" t="s">
        <v>4060</v>
      </c>
      <c r="G13033" s="690" t="s">
        <v>4060</v>
      </c>
      <c r="H13033" s="690" t="s">
        <v>4060</v>
      </c>
      <c r="I13033" s="690" t="s">
        <v>4060</v>
      </c>
      <c r="J13033" s="690" t="s">
        <v>4060</v>
      </c>
      <c r="K13033" s="690" t="s">
        <v>4060</v>
      </c>
    </row>
    <row r="13034" spans="1:11">
      <c r="A13034" s="688" t="s">
        <v>19</v>
      </c>
      <c r="B13034" s="615">
        <v>6</v>
      </c>
      <c r="C13034" s="692" t="s">
        <v>4060</v>
      </c>
      <c r="D13034" s="692" t="s">
        <v>4060</v>
      </c>
      <c r="E13034" s="692" t="s">
        <v>4060</v>
      </c>
      <c r="F13034" s="692" t="s">
        <v>4060</v>
      </c>
      <c r="G13034" s="692" t="s">
        <v>4060</v>
      </c>
      <c r="H13034" s="692" t="s">
        <v>4060</v>
      </c>
      <c r="I13034" s="692" t="s">
        <v>4060</v>
      </c>
      <c r="J13034" s="692" t="s">
        <v>4060</v>
      </c>
      <c r="K13034" s="692" t="s">
        <v>4060</v>
      </c>
    </row>
    <row r="13035" spans="1:11">
      <c r="A13035" s="688" t="s">
        <v>20</v>
      </c>
      <c r="B13035" s="689">
        <v>5.7</v>
      </c>
      <c r="C13035" s="690" t="s">
        <v>4060</v>
      </c>
      <c r="D13035" s="690" t="s">
        <v>4060</v>
      </c>
      <c r="E13035" s="690" t="s">
        <v>4060</v>
      </c>
      <c r="F13035" s="690" t="s">
        <v>4060</v>
      </c>
      <c r="G13035" s="690" t="s">
        <v>4060</v>
      </c>
      <c r="H13035" s="690" t="s">
        <v>4060</v>
      </c>
      <c r="I13035" s="690" t="s">
        <v>4060</v>
      </c>
      <c r="J13035" s="690" t="s">
        <v>4060</v>
      </c>
      <c r="K13035" s="690" t="s">
        <v>4060</v>
      </c>
    </row>
    <row r="13036" spans="1:11">
      <c r="A13036" s="688" t="s">
        <v>21</v>
      </c>
      <c r="B13036" s="691">
        <v>5.5</v>
      </c>
      <c r="C13036" s="692" t="s">
        <v>4060</v>
      </c>
      <c r="D13036" s="692" t="s">
        <v>4060</v>
      </c>
      <c r="E13036" s="692" t="s">
        <v>4060</v>
      </c>
      <c r="F13036" s="692" t="s">
        <v>4060</v>
      </c>
      <c r="G13036" s="692" t="s">
        <v>4060</v>
      </c>
      <c r="H13036" s="692" t="s">
        <v>4060</v>
      </c>
      <c r="I13036" s="692" t="s">
        <v>4060</v>
      </c>
      <c r="J13036" s="692" t="s">
        <v>4060</v>
      </c>
      <c r="K13036" s="692" t="s">
        <v>4060</v>
      </c>
    </row>
    <row r="13037" spans="1:11">
      <c r="A13037" s="688" t="s">
        <v>22</v>
      </c>
      <c r="B13037" s="689">
        <v>5.3</v>
      </c>
      <c r="C13037" s="690" t="s">
        <v>4060</v>
      </c>
      <c r="D13037" s="690" t="s">
        <v>4060</v>
      </c>
      <c r="E13037" s="690" t="s">
        <v>4060</v>
      </c>
      <c r="F13037" s="690" t="s">
        <v>4060</v>
      </c>
      <c r="G13037" s="690" t="s">
        <v>4060</v>
      </c>
      <c r="H13037" s="690" t="s">
        <v>4060</v>
      </c>
      <c r="I13037" s="690" t="s">
        <v>4060</v>
      </c>
      <c r="J13037" s="690" t="s">
        <v>4060</v>
      </c>
      <c r="K13037" s="690" t="s">
        <v>4060</v>
      </c>
    </row>
    <row r="13038" spans="1:11">
      <c r="A13038" s="688" t="s">
        <v>26</v>
      </c>
      <c r="B13038" s="691">
        <v>6.1</v>
      </c>
      <c r="C13038" s="692" t="s">
        <v>4060</v>
      </c>
      <c r="D13038" s="692" t="s">
        <v>4060</v>
      </c>
      <c r="E13038" s="692" t="s">
        <v>4060</v>
      </c>
      <c r="F13038" s="692" t="s">
        <v>4060</v>
      </c>
      <c r="G13038" s="692" t="s">
        <v>4060</v>
      </c>
      <c r="H13038" s="692" t="s">
        <v>4060</v>
      </c>
      <c r="I13038" s="692" t="s">
        <v>4060</v>
      </c>
      <c r="J13038" s="692" t="s">
        <v>4060</v>
      </c>
      <c r="K13038" s="692" t="s">
        <v>4060</v>
      </c>
    </row>
    <row r="13039" spans="1:11">
      <c r="A13039" s="688" t="s">
        <v>25</v>
      </c>
      <c r="B13039" s="689">
        <v>5.0999999999999996</v>
      </c>
      <c r="C13039" s="690" t="s">
        <v>4060</v>
      </c>
      <c r="D13039" s="690" t="s">
        <v>4060</v>
      </c>
      <c r="E13039" s="690" t="s">
        <v>4060</v>
      </c>
      <c r="F13039" s="690" t="s">
        <v>4060</v>
      </c>
      <c r="G13039" s="690" t="s">
        <v>4060</v>
      </c>
      <c r="H13039" s="690" t="s">
        <v>4060</v>
      </c>
      <c r="I13039" s="690" t="s">
        <v>4060</v>
      </c>
      <c r="J13039" s="690" t="s">
        <v>4060</v>
      </c>
      <c r="K13039" s="690" t="s">
        <v>4060</v>
      </c>
    </row>
    <row r="13040" spans="1:11">
      <c r="A13040" s="688" t="s">
        <v>5</v>
      </c>
      <c r="B13040" s="615">
        <v>6</v>
      </c>
      <c r="C13040" s="692" t="s">
        <v>4060</v>
      </c>
      <c r="D13040" s="692" t="s">
        <v>4060</v>
      </c>
      <c r="E13040" s="692" t="s">
        <v>4060</v>
      </c>
      <c r="F13040" s="692" t="s">
        <v>4060</v>
      </c>
      <c r="G13040" s="692" t="s">
        <v>4060</v>
      </c>
      <c r="H13040" s="692" t="s">
        <v>4060</v>
      </c>
      <c r="I13040" s="692" t="s">
        <v>4060</v>
      </c>
      <c r="J13040" s="692" t="s">
        <v>4060</v>
      </c>
      <c r="K13040" s="692" t="s">
        <v>4060</v>
      </c>
    </row>
    <row r="13041" spans="1:11">
      <c r="A13041" s="688" t="s">
        <v>23</v>
      </c>
      <c r="B13041" s="689">
        <v>5.7</v>
      </c>
      <c r="C13041" s="690" t="s">
        <v>4060</v>
      </c>
      <c r="D13041" s="690" t="s">
        <v>4060</v>
      </c>
      <c r="E13041" s="690" t="s">
        <v>4060</v>
      </c>
      <c r="F13041" s="690" t="s">
        <v>4060</v>
      </c>
      <c r="G13041" s="690" t="s">
        <v>4060</v>
      </c>
      <c r="H13041" s="690" t="s">
        <v>4060</v>
      </c>
      <c r="I13041" s="690" t="s">
        <v>4060</v>
      </c>
      <c r="J13041" s="690" t="s">
        <v>4060</v>
      </c>
      <c r="K13041" s="690" t="s">
        <v>4060</v>
      </c>
    </row>
    <row r="13042" spans="1:11">
      <c r="A13042" s="688" t="s">
        <v>4067</v>
      </c>
      <c r="B13042" s="691">
        <v>6.1</v>
      </c>
      <c r="C13042" s="691">
        <v>6.3</v>
      </c>
      <c r="D13042" s="615">
        <v>6</v>
      </c>
      <c r="E13042" s="691">
        <v>6.2</v>
      </c>
      <c r="F13042" s="691">
        <v>6.1</v>
      </c>
      <c r="G13042" s="691">
        <v>6.2</v>
      </c>
      <c r="H13042" s="692" t="s">
        <v>4060</v>
      </c>
      <c r="I13042" s="692" t="s">
        <v>4060</v>
      </c>
      <c r="J13042" s="692" t="s">
        <v>4060</v>
      </c>
      <c r="K13042" s="692" t="s">
        <v>4060</v>
      </c>
    </row>
    <row r="13043" spans="1:11">
      <c r="A13043" s="688" t="s">
        <v>4066</v>
      </c>
      <c r="B13043" s="689">
        <v>6.1</v>
      </c>
      <c r="C13043" s="689">
        <v>6.3</v>
      </c>
      <c r="D13043" s="693">
        <v>6</v>
      </c>
      <c r="E13043" s="689">
        <v>6.2</v>
      </c>
      <c r="F13043" s="689">
        <v>6.1</v>
      </c>
      <c r="G13043" s="689">
        <v>6.2</v>
      </c>
      <c r="H13043" s="690" t="s">
        <v>4060</v>
      </c>
      <c r="I13043" s="690" t="s">
        <v>4060</v>
      </c>
      <c r="J13043" s="690" t="s">
        <v>4060</v>
      </c>
      <c r="K13043" s="690" t="s">
        <v>4060</v>
      </c>
    </row>
    <row r="13044" spans="1:11">
      <c r="A13044" s="688" t="s">
        <v>4062</v>
      </c>
      <c r="B13044" s="615">
        <v>6</v>
      </c>
      <c r="C13044" s="692" t="s">
        <v>4060</v>
      </c>
      <c r="D13044" s="692" t="s">
        <v>4060</v>
      </c>
      <c r="E13044" s="692" t="s">
        <v>4060</v>
      </c>
      <c r="F13044" s="692" t="s">
        <v>4060</v>
      </c>
      <c r="G13044" s="692" t="s">
        <v>4060</v>
      </c>
      <c r="H13044" s="692" t="s">
        <v>4060</v>
      </c>
      <c r="I13044" s="692" t="s">
        <v>4060</v>
      </c>
      <c r="J13044" s="692" t="s">
        <v>4060</v>
      </c>
      <c r="K13044" s="692" t="s">
        <v>4060</v>
      </c>
    </row>
    <row r="13045" spans="1:11">
      <c r="A13045" s="688" t="s">
        <v>9</v>
      </c>
      <c r="B13045" s="689">
        <v>5.8</v>
      </c>
      <c r="C13045" s="690" t="s">
        <v>4060</v>
      </c>
      <c r="D13045" s="690" t="s">
        <v>4060</v>
      </c>
      <c r="E13045" s="690" t="s">
        <v>4060</v>
      </c>
      <c r="F13045" s="690" t="s">
        <v>4060</v>
      </c>
      <c r="G13045" s="690" t="s">
        <v>4060</v>
      </c>
      <c r="H13045" s="690" t="s">
        <v>4060</v>
      </c>
      <c r="I13045" s="690" t="s">
        <v>4060</v>
      </c>
      <c r="J13045" s="690" t="s">
        <v>4060</v>
      </c>
      <c r="K13045" s="690" t="s">
        <v>4060</v>
      </c>
    </row>
    <row r="13046" spans="1:11">
      <c r="A13046" s="688" t="s">
        <v>13</v>
      </c>
      <c r="B13046" s="691">
        <v>4.4000000000000004</v>
      </c>
      <c r="C13046" s="692" t="s">
        <v>4060</v>
      </c>
      <c r="D13046" s="692" t="s">
        <v>4060</v>
      </c>
      <c r="E13046" s="692" t="s">
        <v>4060</v>
      </c>
      <c r="F13046" s="692" t="s">
        <v>4060</v>
      </c>
      <c r="G13046" s="692" t="s">
        <v>4060</v>
      </c>
      <c r="H13046" s="692" t="s">
        <v>4060</v>
      </c>
      <c r="I13046" s="692" t="s">
        <v>4060</v>
      </c>
      <c r="J13046" s="692" t="s">
        <v>4060</v>
      </c>
      <c r="K13046" s="692" t="s">
        <v>4060</v>
      </c>
    </row>
    <row r="13047" spans="1:11">
      <c r="A13047" s="688" t="s">
        <v>18</v>
      </c>
      <c r="B13047" s="689">
        <v>5.9</v>
      </c>
      <c r="C13047" s="690" t="s">
        <v>4060</v>
      </c>
      <c r="D13047" s="690" t="s">
        <v>4060</v>
      </c>
      <c r="E13047" s="690" t="s">
        <v>4060</v>
      </c>
      <c r="F13047" s="690" t="s">
        <v>4060</v>
      </c>
      <c r="G13047" s="690" t="s">
        <v>4060</v>
      </c>
      <c r="H13047" s="690" t="s">
        <v>4060</v>
      </c>
      <c r="I13047" s="690" t="s">
        <v>4060</v>
      </c>
      <c r="J13047" s="690" t="s">
        <v>4060</v>
      </c>
      <c r="K13047" s="690" t="s">
        <v>4060</v>
      </c>
    </row>
    <row r="13048" spans="1:11">
      <c r="A13048" s="688" t="s">
        <v>24</v>
      </c>
      <c r="B13048" s="691">
        <v>6.1</v>
      </c>
      <c r="C13048" s="692" t="s">
        <v>4060</v>
      </c>
      <c r="D13048" s="692" t="s">
        <v>4060</v>
      </c>
      <c r="E13048" s="692" t="s">
        <v>4060</v>
      </c>
      <c r="F13048" s="692" t="s">
        <v>4060</v>
      </c>
      <c r="G13048" s="692" t="s">
        <v>4060</v>
      </c>
      <c r="H13048" s="692" t="s">
        <v>4060</v>
      </c>
      <c r="I13048" s="692" t="s">
        <v>4060</v>
      </c>
      <c r="J13048" s="692" t="s">
        <v>4060</v>
      </c>
      <c r="K13048" s="692" t="s">
        <v>4060</v>
      </c>
    </row>
    <row r="13049" spans="1:11">
      <c r="A13049" s="688" t="s">
        <v>4059</v>
      </c>
      <c r="B13049" s="689">
        <v>6.2</v>
      </c>
      <c r="C13049" s="689">
        <v>6.3</v>
      </c>
      <c r="D13049" s="693">
        <v>6</v>
      </c>
      <c r="E13049" s="689">
        <v>6.3</v>
      </c>
      <c r="F13049" s="689">
        <v>6.2</v>
      </c>
      <c r="G13049" s="689">
        <v>6.3</v>
      </c>
      <c r="H13049" s="690" t="s">
        <v>4060</v>
      </c>
      <c r="I13049" s="690" t="s">
        <v>4060</v>
      </c>
      <c r="J13049" s="690" t="s">
        <v>4060</v>
      </c>
      <c r="K13049" s="690" t="s">
        <v>4060</v>
      </c>
    </row>
    <row r="13050" spans="1:11">
      <c r="A13050" s="688" t="s">
        <v>2324</v>
      </c>
      <c r="B13050" s="691">
        <v>5.4</v>
      </c>
      <c r="C13050" s="691">
        <v>5.5</v>
      </c>
      <c r="D13050" s="615">
        <v>5</v>
      </c>
      <c r="E13050" s="691">
        <v>4.9000000000000004</v>
      </c>
      <c r="F13050" s="691">
        <v>5.4</v>
      </c>
      <c r="G13050" s="691">
        <v>5.4</v>
      </c>
      <c r="H13050" s="691">
        <v>5.8</v>
      </c>
      <c r="I13050" s="691">
        <v>5.3</v>
      </c>
      <c r="J13050" s="691">
        <v>4.0999999999999996</v>
      </c>
      <c r="K13050" s="692" t="s">
        <v>4060</v>
      </c>
    </row>
    <row r="13051" spans="1:11">
      <c r="A13051" s="688" t="s">
        <v>2322</v>
      </c>
      <c r="B13051" s="690" t="s">
        <v>4060</v>
      </c>
      <c r="C13051" s="690" t="s">
        <v>4060</v>
      </c>
      <c r="D13051" s="690" t="s">
        <v>4060</v>
      </c>
      <c r="E13051" s="690" t="s">
        <v>4060</v>
      </c>
      <c r="F13051" s="690" t="s">
        <v>4060</v>
      </c>
      <c r="G13051" s="690" t="s">
        <v>4060</v>
      </c>
      <c r="H13051" s="690" t="s">
        <v>4060</v>
      </c>
      <c r="I13051" s="690" t="s">
        <v>4060</v>
      </c>
      <c r="J13051" s="690" t="s">
        <v>4060</v>
      </c>
      <c r="K13051" s="690" t="s">
        <v>4060</v>
      </c>
    </row>
    <row r="13052" spans="1:11">
      <c r="A13052" s="688" t="s">
        <v>2328</v>
      </c>
      <c r="B13052" s="615">
        <v>4</v>
      </c>
      <c r="C13052" s="691">
        <v>4.3</v>
      </c>
      <c r="D13052" s="615">
        <v>4</v>
      </c>
      <c r="E13052" s="615">
        <v>4</v>
      </c>
      <c r="F13052" s="691">
        <v>4.0999999999999996</v>
      </c>
      <c r="G13052" s="691">
        <v>4.2</v>
      </c>
      <c r="H13052" s="691">
        <v>4.0999999999999996</v>
      </c>
      <c r="I13052" s="691">
        <v>3.5</v>
      </c>
      <c r="J13052" s="691">
        <v>3.6</v>
      </c>
      <c r="K13052" s="692" t="s">
        <v>4060</v>
      </c>
    </row>
    <row r="13053" spans="1:11">
      <c r="A13053" s="688" t="s">
        <v>2496</v>
      </c>
      <c r="B13053" s="690" t="s">
        <v>4060</v>
      </c>
      <c r="C13053" s="689">
        <v>7.3</v>
      </c>
      <c r="D13053" s="693">
        <v>5</v>
      </c>
      <c r="E13053" s="689">
        <v>3.7</v>
      </c>
      <c r="F13053" s="693">
        <v>4</v>
      </c>
      <c r="G13053" s="689">
        <v>4.0999999999999996</v>
      </c>
      <c r="H13053" s="693">
        <v>4</v>
      </c>
      <c r="I13053" s="690" t="s">
        <v>4060</v>
      </c>
      <c r="J13053" s="690" t="s">
        <v>4060</v>
      </c>
      <c r="K13053" s="689">
        <v>3.3</v>
      </c>
    </row>
    <row r="13054" spans="1:11">
      <c r="A13054" s="688" t="s">
        <v>2269</v>
      </c>
      <c r="B13054" s="615">
        <v>5</v>
      </c>
      <c r="C13054" s="691">
        <v>4.8</v>
      </c>
      <c r="D13054" s="691">
        <v>4.4000000000000004</v>
      </c>
      <c r="E13054" s="691">
        <v>4.7</v>
      </c>
      <c r="F13054" s="691">
        <v>4.7</v>
      </c>
      <c r="G13054" s="691">
        <v>4.9000000000000004</v>
      </c>
      <c r="H13054" s="691">
        <v>5.4</v>
      </c>
      <c r="I13054" s="691">
        <v>4.2</v>
      </c>
      <c r="J13054" s="692" t="s">
        <v>4060</v>
      </c>
      <c r="K13054" s="691">
        <v>4.7</v>
      </c>
    </row>
    <row r="13055" spans="1:11">
      <c r="A13055" s="688" t="s">
        <v>2349</v>
      </c>
      <c r="B13055" s="689">
        <v>4.8</v>
      </c>
      <c r="C13055" s="689">
        <v>4.9000000000000004</v>
      </c>
      <c r="D13055" s="689">
        <v>4.7</v>
      </c>
      <c r="E13055" s="693">
        <v>5</v>
      </c>
      <c r="F13055" s="693">
        <v>5</v>
      </c>
      <c r="G13055" s="689">
        <v>5.2</v>
      </c>
      <c r="H13055" s="689">
        <v>5.5</v>
      </c>
      <c r="I13055" s="689">
        <v>4.8</v>
      </c>
      <c r="J13055" s="689">
        <v>4.0999999999999996</v>
      </c>
      <c r="K13055" s="689">
        <v>4.4000000000000004</v>
      </c>
    </row>
    <row r="13056" spans="1:11">
      <c r="A13056" s="688" t="s">
        <v>2355</v>
      </c>
      <c r="B13056" s="691">
        <v>5.9</v>
      </c>
      <c r="C13056" s="691">
        <v>5.6</v>
      </c>
      <c r="D13056" s="691">
        <v>5.5</v>
      </c>
      <c r="E13056" s="691">
        <v>5.5</v>
      </c>
      <c r="F13056" s="691">
        <v>5.5</v>
      </c>
      <c r="G13056" s="691">
        <v>5.8</v>
      </c>
      <c r="H13056" s="691">
        <v>5.7</v>
      </c>
      <c r="I13056" s="692" t="s">
        <v>4060</v>
      </c>
      <c r="J13056" s="692" t="s">
        <v>4060</v>
      </c>
      <c r="K13056" s="692" t="s">
        <v>4060</v>
      </c>
    </row>
    <row r="13057" spans="1:11">
      <c r="A13057" s="688" t="s">
        <v>2357</v>
      </c>
      <c r="B13057" s="690" t="s">
        <v>4060</v>
      </c>
      <c r="C13057" s="689">
        <v>5.5</v>
      </c>
      <c r="D13057" s="689">
        <v>5.7</v>
      </c>
      <c r="E13057" s="693">
        <v>6</v>
      </c>
      <c r="F13057" s="689">
        <v>6.2</v>
      </c>
      <c r="G13057" s="689">
        <v>5.9</v>
      </c>
      <c r="H13057" s="689">
        <v>6.1</v>
      </c>
      <c r="I13057" s="690" t="s">
        <v>4060</v>
      </c>
      <c r="J13057" s="690" t="s">
        <v>4060</v>
      </c>
      <c r="K13057" s="690" t="s">
        <v>4060</v>
      </c>
    </row>
    <row r="13058" spans="1:11">
      <c r="A13058" s="688" t="s">
        <v>4070</v>
      </c>
      <c r="B13058" s="692" t="s">
        <v>4060</v>
      </c>
      <c r="C13058" s="692" t="s">
        <v>4060</v>
      </c>
      <c r="D13058" s="692" t="s">
        <v>4060</v>
      </c>
      <c r="E13058" s="691">
        <v>6.2</v>
      </c>
      <c r="F13058" s="692" t="s">
        <v>4060</v>
      </c>
      <c r="G13058" s="692" t="s">
        <v>4060</v>
      </c>
      <c r="H13058" s="692" t="s">
        <v>4060</v>
      </c>
      <c r="I13058" s="692" t="s">
        <v>4060</v>
      </c>
      <c r="J13058" s="692" t="s">
        <v>4060</v>
      </c>
      <c r="K13058" s="692" t="s">
        <v>4060</v>
      </c>
    </row>
    <row r="13059" spans="1:11">
      <c r="A13059" s="688" t="s">
        <v>2491</v>
      </c>
      <c r="B13059" s="689">
        <v>4.7</v>
      </c>
      <c r="C13059" s="689">
        <v>4.9000000000000004</v>
      </c>
      <c r="D13059" s="693">
        <v>5</v>
      </c>
      <c r="E13059" s="689">
        <v>4.8</v>
      </c>
      <c r="F13059" s="689">
        <v>4.8</v>
      </c>
      <c r="G13059" s="689">
        <v>4.9000000000000004</v>
      </c>
      <c r="H13059" s="690" t="s">
        <v>4060</v>
      </c>
      <c r="I13059" s="690" t="s">
        <v>4060</v>
      </c>
      <c r="J13059" s="690" t="s">
        <v>4060</v>
      </c>
      <c r="K13059" s="690" t="s">
        <v>4060</v>
      </c>
    </row>
    <row r="13060" spans="1:11">
      <c r="A13060" s="688" t="s">
        <v>2343</v>
      </c>
      <c r="B13060" s="692" t="s">
        <v>4060</v>
      </c>
      <c r="C13060" s="692" t="s">
        <v>4060</v>
      </c>
      <c r="D13060" s="692" t="s">
        <v>4060</v>
      </c>
      <c r="E13060" s="692" t="s">
        <v>4060</v>
      </c>
      <c r="F13060" s="692" t="s">
        <v>4060</v>
      </c>
      <c r="G13060" s="692" t="s">
        <v>4060</v>
      </c>
      <c r="H13060" s="692" t="s">
        <v>4060</v>
      </c>
      <c r="I13060" s="692" t="s">
        <v>4060</v>
      </c>
      <c r="J13060" s="692" t="s">
        <v>4060</v>
      </c>
      <c r="K13060" s="692" t="s">
        <v>4060</v>
      </c>
    </row>
    <row r="13061" spans="1:11">
      <c r="A13061" s="688" t="s">
        <v>4071</v>
      </c>
      <c r="B13061" s="690" t="s">
        <v>4060</v>
      </c>
      <c r="C13061" s="690" t="s">
        <v>4060</v>
      </c>
      <c r="D13061" s="690" t="s">
        <v>4060</v>
      </c>
      <c r="E13061" s="690" t="s">
        <v>4060</v>
      </c>
      <c r="F13061" s="690" t="s">
        <v>4060</v>
      </c>
      <c r="G13061" s="690" t="s">
        <v>4060</v>
      </c>
      <c r="H13061" s="690" t="s">
        <v>4060</v>
      </c>
      <c r="I13061" s="690" t="s">
        <v>4060</v>
      </c>
      <c r="J13061" s="690" t="s">
        <v>4060</v>
      </c>
      <c r="K13061" s="690" t="s">
        <v>4060</v>
      </c>
    </row>
    <row r="13062" spans="1:11">
      <c r="A13062" s="688" t="s">
        <v>2489</v>
      </c>
      <c r="B13062" s="692" t="s">
        <v>4060</v>
      </c>
      <c r="C13062" s="692" t="s">
        <v>4060</v>
      </c>
      <c r="D13062" s="691">
        <v>5.6</v>
      </c>
      <c r="E13062" s="691">
        <v>5.4</v>
      </c>
      <c r="F13062" s="691">
        <v>5.7</v>
      </c>
      <c r="G13062" s="691">
        <v>5.4</v>
      </c>
      <c r="H13062" s="691">
        <v>6.1</v>
      </c>
      <c r="I13062" s="692" t="s">
        <v>4060</v>
      </c>
      <c r="J13062" s="692" t="s">
        <v>4060</v>
      </c>
      <c r="K13062" s="692" t="s">
        <v>4060</v>
      </c>
    </row>
    <row r="13063" spans="1:11">
      <c r="A13063" s="688" t="s">
        <v>2490</v>
      </c>
      <c r="B13063" s="689">
        <v>6.3</v>
      </c>
      <c r="C13063" s="693">
        <v>6</v>
      </c>
      <c r="D13063" s="689">
        <v>6.8</v>
      </c>
      <c r="E13063" s="690" t="s">
        <v>4060</v>
      </c>
      <c r="F13063" s="689">
        <v>7.9</v>
      </c>
      <c r="G13063" s="689">
        <v>6.9</v>
      </c>
      <c r="H13063" s="689">
        <v>7.7</v>
      </c>
      <c r="I13063" s="690" t="s">
        <v>4060</v>
      </c>
      <c r="J13063" s="690" t="s">
        <v>4060</v>
      </c>
      <c r="K13063" s="690" t="s">
        <v>4060</v>
      </c>
    </row>
    <row r="13065" spans="1:11">
      <c r="A13065" s="683" t="s">
        <v>4233</v>
      </c>
    </row>
    <row r="13066" spans="1:11">
      <c r="A13066" s="683" t="s">
        <v>4060</v>
      </c>
      <c r="B13066" s="682" t="s">
        <v>4234</v>
      </c>
    </row>
    <row r="13068" spans="1:11">
      <c r="A13068" s="682" t="s">
        <v>4331</v>
      </c>
    </row>
    <row r="13069" spans="1:11">
      <c r="A13069" s="682" t="s">
        <v>4210</v>
      </c>
      <c r="B13069" s="683" t="s">
        <v>4211</v>
      </c>
    </row>
    <row r="13070" spans="1:11">
      <c r="A13070" s="682" t="s">
        <v>4212</v>
      </c>
      <c r="B13070" s="682" t="s">
        <v>4213</v>
      </c>
    </row>
    <row r="13072" spans="1:11">
      <c r="A13072" s="683" t="s">
        <v>4214</v>
      </c>
      <c r="C13072" s="682" t="s">
        <v>4215</v>
      </c>
    </row>
    <row r="13073" spans="1:11">
      <c r="A13073" s="683" t="s">
        <v>4216</v>
      </c>
      <c r="C13073" s="682" t="s">
        <v>2967</v>
      </c>
    </row>
    <row r="13074" spans="1:11">
      <c r="A13074" s="683" t="s">
        <v>3893</v>
      </c>
      <c r="C13074" s="682" t="s">
        <v>2168</v>
      </c>
    </row>
    <row r="13075" spans="1:11">
      <c r="A13075" s="683" t="s">
        <v>4218</v>
      </c>
      <c r="C13075" s="682" t="s">
        <v>4321</v>
      </c>
    </row>
    <row r="13077" spans="1:11">
      <c r="A13077" s="684" t="s">
        <v>4220</v>
      </c>
      <c r="B13077" s="685" t="s">
        <v>4221</v>
      </c>
      <c r="C13077" s="685" t="s">
        <v>4222</v>
      </c>
      <c r="D13077" s="685" t="s">
        <v>4223</v>
      </c>
      <c r="E13077" s="685" t="s">
        <v>4224</v>
      </c>
      <c r="F13077" s="685" t="s">
        <v>4225</v>
      </c>
      <c r="G13077" s="685" t="s">
        <v>4226</v>
      </c>
      <c r="H13077" s="685" t="s">
        <v>4227</v>
      </c>
      <c r="I13077" s="685" t="s">
        <v>4228</v>
      </c>
      <c r="J13077" s="685" t="s">
        <v>4229</v>
      </c>
      <c r="K13077" s="685" t="s">
        <v>4230</v>
      </c>
    </row>
    <row r="13078" spans="1:11">
      <c r="A13078" s="686" t="s">
        <v>4231</v>
      </c>
      <c r="B13078" s="687" t="s">
        <v>4232</v>
      </c>
      <c r="C13078" s="687" t="s">
        <v>4232</v>
      </c>
      <c r="D13078" s="687" t="s">
        <v>4232</v>
      </c>
      <c r="E13078" s="687" t="s">
        <v>4232</v>
      </c>
      <c r="F13078" s="687" t="s">
        <v>4232</v>
      </c>
      <c r="G13078" s="687" t="s">
        <v>4232</v>
      </c>
      <c r="H13078" s="687" t="s">
        <v>4232</v>
      </c>
      <c r="I13078" s="687" t="s">
        <v>4232</v>
      </c>
      <c r="J13078" s="687" t="s">
        <v>4232</v>
      </c>
      <c r="K13078" s="687" t="s">
        <v>4232</v>
      </c>
    </row>
    <row r="13079" spans="1:11">
      <c r="A13079" s="688" t="s">
        <v>4064</v>
      </c>
      <c r="B13079" s="690" t="s">
        <v>4060</v>
      </c>
      <c r="C13079" s="689">
        <v>5.3</v>
      </c>
      <c r="D13079" s="690" t="s">
        <v>4060</v>
      </c>
      <c r="E13079" s="689">
        <v>5.3</v>
      </c>
      <c r="F13079" s="689">
        <v>5.3</v>
      </c>
      <c r="G13079" s="689">
        <v>5.4</v>
      </c>
      <c r="H13079" s="689">
        <v>5.5</v>
      </c>
      <c r="I13079" s="689">
        <v>5.0999999999999996</v>
      </c>
      <c r="J13079" s="689">
        <v>5.2</v>
      </c>
      <c r="K13079" s="689">
        <v>5.0999999999999996</v>
      </c>
    </row>
    <row r="13080" spans="1:11">
      <c r="A13080" s="688" t="s">
        <v>4065</v>
      </c>
      <c r="B13080" s="692" t="s">
        <v>4060</v>
      </c>
      <c r="C13080" s="692" t="s">
        <v>4060</v>
      </c>
      <c r="D13080" s="692" t="s">
        <v>4060</v>
      </c>
      <c r="E13080" s="692" t="s">
        <v>4060</v>
      </c>
      <c r="F13080" s="692" t="s">
        <v>4060</v>
      </c>
      <c r="G13080" s="692" t="s">
        <v>4060</v>
      </c>
      <c r="H13080" s="692" t="s">
        <v>4060</v>
      </c>
      <c r="I13080" s="692" t="s">
        <v>4060</v>
      </c>
      <c r="J13080" s="692" t="s">
        <v>4060</v>
      </c>
      <c r="K13080" s="692" t="s">
        <v>4060</v>
      </c>
    </row>
    <row r="13081" spans="1:11">
      <c r="A13081" s="688" t="s">
        <v>4063</v>
      </c>
      <c r="B13081" s="690" t="s">
        <v>4060</v>
      </c>
      <c r="C13081" s="690" t="s">
        <v>4060</v>
      </c>
      <c r="D13081" s="690" t="s">
        <v>4060</v>
      </c>
      <c r="E13081" s="690" t="s">
        <v>4060</v>
      </c>
      <c r="F13081" s="690" t="s">
        <v>4060</v>
      </c>
      <c r="G13081" s="690" t="s">
        <v>4060</v>
      </c>
      <c r="H13081" s="690" t="s">
        <v>4060</v>
      </c>
      <c r="I13081" s="690" t="s">
        <v>4060</v>
      </c>
      <c r="J13081" s="690" t="s">
        <v>4060</v>
      </c>
      <c r="K13081" s="690" t="s">
        <v>4060</v>
      </c>
    </row>
    <row r="13082" spans="1:11">
      <c r="A13082" s="688" t="s">
        <v>4069</v>
      </c>
      <c r="B13082" s="692" t="s">
        <v>4060</v>
      </c>
      <c r="C13082" s="691">
        <v>5.4</v>
      </c>
      <c r="D13082" s="691">
        <v>5.2</v>
      </c>
      <c r="E13082" s="691">
        <v>5.4</v>
      </c>
      <c r="F13082" s="691">
        <v>5.3</v>
      </c>
      <c r="G13082" s="691">
        <v>5.4</v>
      </c>
      <c r="H13082" s="691">
        <v>5.5</v>
      </c>
      <c r="I13082" s="691">
        <v>5.2</v>
      </c>
      <c r="J13082" s="691">
        <v>5.3</v>
      </c>
      <c r="K13082" s="691">
        <v>5.2</v>
      </c>
    </row>
    <row r="13083" spans="1:11">
      <c r="A13083" s="688" t="s">
        <v>4068</v>
      </c>
      <c r="B13083" s="690" t="s">
        <v>4060</v>
      </c>
      <c r="C13083" s="690" t="s">
        <v>4060</v>
      </c>
      <c r="D13083" s="690" t="s">
        <v>4060</v>
      </c>
      <c r="E13083" s="690" t="s">
        <v>4060</v>
      </c>
      <c r="F13083" s="690" t="s">
        <v>4060</v>
      </c>
      <c r="G13083" s="690" t="s">
        <v>4060</v>
      </c>
      <c r="H13083" s="690" t="s">
        <v>4060</v>
      </c>
      <c r="I13083" s="690" t="s">
        <v>4060</v>
      </c>
      <c r="J13083" s="690" t="s">
        <v>4060</v>
      </c>
      <c r="K13083" s="690" t="s">
        <v>4060</v>
      </c>
    </row>
    <row r="13084" spans="1:11">
      <c r="A13084" s="688" t="s">
        <v>0</v>
      </c>
      <c r="B13084" s="692" t="s">
        <v>4060</v>
      </c>
      <c r="C13084" s="691">
        <v>5.3</v>
      </c>
      <c r="D13084" s="691">
        <v>5.2</v>
      </c>
      <c r="E13084" s="691">
        <v>5.3</v>
      </c>
      <c r="F13084" s="691">
        <v>5.3</v>
      </c>
      <c r="G13084" s="691">
        <v>5.4</v>
      </c>
      <c r="H13084" s="691">
        <v>5.5</v>
      </c>
      <c r="I13084" s="691">
        <v>4.9000000000000004</v>
      </c>
      <c r="J13084" s="691">
        <v>5.5</v>
      </c>
      <c r="K13084" s="691">
        <v>5.4</v>
      </c>
    </row>
    <row r="13085" spans="1:11">
      <c r="A13085" s="688" t="s">
        <v>1</v>
      </c>
      <c r="B13085" s="690" t="s">
        <v>4060</v>
      </c>
      <c r="C13085" s="689">
        <v>4.2</v>
      </c>
      <c r="D13085" s="689">
        <v>4.0999999999999996</v>
      </c>
      <c r="E13085" s="689">
        <v>4.2</v>
      </c>
      <c r="F13085" s="689">
        <v>4.0999999999999996</v>
      </c>
      <c r="G13085" s="689">
        <v>4.0999999999999996</v>
      </c>
      <c r="H13085" s="689">
        <v>4.0999999999999996</v>
      </c>
      <c r="I13085" s="689">
        <v>3.7</v>
      </c>
      <c r="J13085" s="689">
        <v>3.4</v>
      </c>
      <c r="K13085" s="689">
        <v>3.8</v>
      </c>
    </row>
    <row r="13086" spans="1:11">
      <c r="A13086" s="688" t="s">
        <v>2240</v>
      </c>
      <c r="B13086" s="692" t="s">
        <v>4060</v>
      </c>
      <c r="C13086" s="691">
        <v>4.5999999999999996</v>
      </c>
      <c r="D13086" s="691">
        <v>4.5</v>
      </c>
      <c r="E13086" s="691">
        <v>4.7</v>
      </c>
      <c r="F13086" s="691">
        <v>4.7</v>
      </c>
      <c r="G13086" s="691">
        <v>4.8</v>
      </c>
      <c r="H13086" s="691">
        <v>4.8</v>
      </c>
      <c r="I13086" s="691">
        <v>4.3</v>
      </c>
      <c r="J13086" s="691">
        <v>4.2</v>
      </c>
      <c r="K13086" s="691">
        <v>4.5</v>
      </c>
    </row>
    <row r="13087" spans="1:11">
      <c r="A13087" s="688" t="s">
        <v>2</v>
      </c>
      <c r="B13087" s="690" t="s">
        <v>4060</v>
      </c>
      <c r="C13087" s="689">
        <v>5.2</v>
      </c>
      <c r="D13087" s="689">
        <v>5.0999999999999996</v>
      </c>
      <c r="E13087" s="689">
        <v>5.0999999999999996</v>
      </c>
      <c r="F13087" s="689">
        <v>5.0999999999999996</v>
      </c>
      <c r="G13087" s="689">
        <v>4.9000000000000004</v>
      </c>
      <c r="H13087" s="689">
        <v>5.2</v>
      </c>
      <c r="I13087" s="689">
        <v>5.0999999999999996</v>
      </c>
      <c r="J13087" s="693">
        <v>5</v>
      </c>
      <c r="K13087" s="693">
        <v>5</v>
      </c>
    </row>
    <row r="13088" spans="1:11">
      <c r="A13088" s="688" t="s">
        <v>3</v>
      </c>
      <c r="B13088" s="692" t="s">
        <v>4060</v>
      </c>
      <c r="C13088" s="691">
        <v>5.2</v>
      </c>
      <c r="D13088" s="615">
        <v>5</v>
      </c>
      <c r="E13088" s="691">
        <v>5.2</v>
      </c>
      <c r="F13088" s="691">
        <v>5.0999999999999996</v>
      </c>
      <c r="G13088" s="691">
        <v>5.0999999999999996</v>
      </c>
      <c r="H13088" s="691">
        <v>5.3</v>
      </c>
      <c r="I13088" s="691">
        <v>5.0999999999999996</v>
      </c>
      <c r="J13088" s="691">
        <v>5.0999999999999996</v>
      </c>
      <c r="K13088" s="691">
        <v>4.9000000000000004</v>
      </c>
    </row>
    <row r="13089" spans="1:11">
      <c r="A13089" s="688" t="s">
        <v>4061</v>
      </c>
      <c r="B13089" s="690" t="s">
        <v>4060</v>
      </c>
      <c r="C13089" s="689">
        <v>5.2</v>
      </c>
      <c r="D13089" s="693">
        <v>5</v>
      </c>
      <c r="E13089" s="689">
        <v>5.2</v>
      </c>
      <c r="F13089" s="689">
        <v>5.0999999999999996</v>
      </c>
      <c r="G13089" s="689">
        <v>5.0999999999999996</v>
      </c>
      <c r="H13089" s="689">
        <v>5.3</v>
      </c>
      <c r="I13089" s="689">
        <v>5.0999999999999996</v>
      </c>
      <c r="J13089" s="689">
        <v>5.0999999999999996</v>
      </c>
      <c r="K13089" s="689">
        <v>4.9000000000000004</v>
      </c>
    </row>
    <row r="13090" spans="1:11">
      <c r="A13090" s="688" t="s">
        <v>4</v>
      </c>
      <c r="B13090" s="692" t="s">
        <v>4060</v>
      </c>
      <c r="C13090" s="691">
        <v>4.7</v>
      </c>
      <c r="D13090" s="691">
        <v>5.0999999999999996</v>
      </c>
      <c r="E13090" s="615">
        <v>5</v>
      </c>
      <c r="F13090" s="615">
        <v>5</v>
      </c>
      <c r="G13090" s="615">
        <v>5</v>
      </c>
      <c r="H13090" s="691">
        <v>5.2</v>
      </c>
      <c r="I13090" s="691">
        <v>5.2</v>
      </c>
      <c r="J13090" s="691">
        <v>4.5</v>
      </c>
      <c r="K13090" s="691">
        <v>4.7</v>
      </c>
    </row>
    <row r="13091" spans="1:11">
      <c r="A13091" s="688" t="s">
        <v>8</v>
      </c>
      <c r="B13091" s="690" t="s">
        <v>4060</v>
      </c>
      <c r="C13091" s="693">
        <v>5</v>
      </c>
      <c r="D13091" s="693">
        <v>5</v>
      </c>
      <c r="E13091" s="689">
        <v>5.0999999999999996</v>
      </c>
      <c r="F13091" s="689">
        <v>5.4</v>
      </c>
      <c r="G13091" s="689">
        <v>5.3</v>
      </c>
      <c r="H13091" s="689">
        <v>5.2</v>
      </c>
      <c r="I13091" s="689">
        <v>5.3</v>
      </c>
      <c r="J13091" s="689">
        <v>5.3</v>
      </c>
      <c r="K13091" s="689">
        <v>5.5</v>
      </c>
    </row>
    <row r="13092" spans="1:11">
      <c r="A13092" s="688" t="s">
        <v>7</v>
      </c>
      <c r="B13092" s="692" t="s">
        <v>4060</v>
      </c>
      <c r="C13092" s="691">
        <v>4.8</v>
      </c>
      <c r="D13092" s="691">
        <v>4.7</v>
      </c>
      <c r="E13092" s="615">
        <v>5</v>
      </c>
      <c r="F13092" s="691">
        <v>4.9000000000000004</v>
      </c>
      <c r="G13092" s="691">
        <v>5.2</v>
      </c>
      <c r="H13092" s="691">
        <v>5.3</v>
      </c>
      <c r="I13092" s="691">
        <v>5.3</v>
      </c>
      <c r="J13092" s="691">
        <v>5.0999999999999996</v>
      </c>
      <c r="K13092" s="691">
        <v>5.2</v>
      </c>
    </row>
    <row r="13093" spans="1:11">
      <c r="A13093" s="688" t="s">
        <v>27</v>
      </c>
      <c r="B13093" s="690" t="s">
        <v>4060</v>
      </c>
      <c r="C13093" s="689">
        <v>5.7</v>
      </c>
      <c r="D13093" s="689">
        <v>5.5</v>
      </c>
      <c r="E13093" s="689">
        <v>5.7</v>
      </c>
      <c r="F13093" s="689">
        <v>5.6</v>
      </c>
      <c r="G13093" s="689">
        <v>5.7</v>
      </c>
      <c r="H13093" s="689">
        <v>5.9</v>
      </c>
      <c r="I13093" s="689">
        <v>5.2</v>
      </c>
      <c r="J13093" s="689">
        <v>5.7</v>
      </c>
      <c r="K13093" s="689">
        <v>5.6</v>
      </c>
    </row>
    <row r="13094" spans="1:11">
      <c r="A13094" s="688" t="s">
        <v>6</v>
      </c>
      <c r="B13094" s="692" t="s">
        <v>4060</v>
      </c>
      <c r="C13094" s="691">
        <v>5.9</v>
      </c>
      <c r="D13094" s="691">
        <v>5.7</v>
      </c>
      <c r="E13094" s="691">
        <v>5.8</v>
      </c>
      <c r="F13094" s="691">
        <v>5.8</v>
      </c>
      <c r="G13094" s="691">
        <v>5.8</v>
      </c>
      <c r="H13094" s="691">
        <v>5.9</v>
      </c>
      <c r="I13094" s="691">
        <v>5.5</v>
      </c>
      <c r="J13094" s="691">
        <v>5.7</v>
      </c>
      <c r="K13094" s="691">
        <v>5.7</v>
      </c>
    </row>
    <row r="13095" spans="1:11">
      <c r="A13095" s="688" t="s">
        <v>4058</v>
      </c>
      <c r="B13095" s="690" t="s">
        <v>4060</v>
      </c>
      <c r="C13095" s="690" t="s">
        <v>4060</v>
      </c>
      <c r="D13095" s="690" t="s">
        <v>4060</v>
      </c>
      <c r="E13095" s="690" t="s">
        <v>4060</v>
      </c>
      <c r="F13095" s="690" t="s">
        <v>4060</v>
      </c>
      <c r="G13095" s="690" t="s">
        <v>4060</v>
      </c>
      <c r="H13095" s="690" t="s">
        <v>4060</v>
      </c>
      <c r="I13095" s="690" t="s">
        <v>4060</v>
      </c>
      <c r="J13095" s="690" t="s">
        <v>4060</v>
      </c>
      <c r="K13095" s="690" t="s">
        <v>4060</v>
      </c>
    </row>
    <row r="13096" spans="1:11">
      <c r="A13096" s="688" t="s">
        <v>11</v>
      </c>
      <c r="B13096" s="692" t="s">
        <v>4060</v>
      </c>
      <c r="C13096" s="691">
        <v>4.5</v>
      </c>
      <c r="D13096" s="691">
        <v>4.2</v>
      </c>
      <c r="E13096" s="691">
        <v>4.4000000000000004</v>
      </c>
      <c r="F13096" s="691">
        <v>4.4000000000000004</v>
      </c>
      <c r="G13096" s="691">
        <v>4.3</v>
      </c>
      <c r="H13096" s="691">
        <v>4.5</v>
      </c>
      <c r="I13096" s="691">
        <v>4.2</v>
      </c>
      <c r="J13096" s="691">
        <v>3.9</v>
      </c>
      <c r="K13096" s="691">
        <v>4.0999999999999996</v>
      </c>
    </row>
    <row r="13097" spans="1:11">
      <c r="A13097" s="688" t="s">
        <v>10</v>
      </c>
      <c r="B13097" s="690" t="s">
        <v>4060</v>
      </c>
      <c r="C13097" s="689">
        <v>5.4</v>
      </c>
      <c r="D13097" s="689">
        <v>5.2</v>
      </c>
      <c r="E13097" s="689">
        <v>5.4</v>
      </c>
      <c r="F13097" s="689">
        <v>5.3</v>
      </c>
      <c r="G13097" s="689">
        <v>5.5</v>
      </c>
      <c r="H13097" s="689">
        <v>5.5</v>
      </c>
      <c r="I13097" s="693">
        <v>5</v>
      </c>
      <c r="J13097" s="689">
        <v>5.3</v>
      </c>
      <c r="K13097" s="689">
        <v>5.2</v>
      </c>
    </row>
    <row r="13098" spans="1:11">
      <c r="A13098" s="688" t="s">
        <v>30</v>
      </c>
      <c r="B13098" s="692" t="s">
        <v>4060</v>
      </c>
      <c r="C13098" s="691">
        <v>5.3</v>
      </c>
      <c r="D13098" s="691">
        <v>4.7</v>
      </c>
      <c r="E13098" s="691">
        <v>5.6</v>
      </c>
      <c r="F13098" s="691">
        <v>5.0999999999999996</v>
      </c>
      <c r="G13098" s="691">
        <v>5.8</v>
      </c>
      <c r="H13098" s="691">
        <v>5.7</v>
      </c>
      <c r="I13098" s="691">
        <v>5.7</v>
      </c>
      <c r="J13098" s="691">
        <v>5.4</v>
      </c>
      <c r="K13098" s="691">
        <v>5.3</v>
      </c>
    </row>
    <row r="13099" spans="1:11">
      <c r="A13099" s="688" t="s">
        <v>12</v>
      </c>
      <c r="B13099" s="690" t="s">
        <v>4060</v>
      </c>
      <c r="C13099" s="689">
        <v>4.7</v>
      </c>
      <c r="D13099" s="689">
        <v>4.7</v>
      </c>
      <c r="E13099" s="689">
        <v>4.5999999999999996</v>
      </c>
      <c r="F13099" s="689">
        <v>4.5999999999999996</v>
      </c>
      <c r="G13099" s="689">
        <v>4.5999999999999996</v>
      </c>
      <c r="H13099" s="689">
        <v>4.8</v>
      </c>
      <c r="I13099" s="689">
        <v>4.5999999999999996</v>
      </c>
      <c r="J13099" s="689">
        <v>4.0999999999999996</v>
      </c>
      <c r="K13099" s="689">
        <v>4.4000000000000004</v>
      </c>
    </row>
    <row r="13100" spans="1:11">
      <c r="A13100" s="688" t="s">
        <v>14</v>
      </c>
      <c r="B13100" s="692" t="s">
        <v>4060</v>
      </c>
      <c r="C13100" s="691">
        <v>4.2</v>
      </c>
      <c r="D13100" s="615">
        <v>4</v>
      </c>
      <c r="E13100" s="691">
        <v>3.7</v>
      </c>
      <c r="F13100" s="691">
        <v>3.7</v>
      </c>
      <c r="G13100" s="691">
        <v>3.7</v>
      </c>
      <c r="H13100" s="691">
        <v>3.8</v>
      </c>
      <c r="I13100" s="615">
        <v>4</v>
      </c>
      <c r="J13100" s="615">
        <v>4</v>
      </c>
      <c r="K13100" s="691">
        <v>4.4000000000000004</v>
      </c>
    </row>
    <row r="13101" spans="1:11">
      <c r="A13101" s="688" t="s">
        <v>15</v>
      </c>
      <c r="B13101" s="690" t="s">
        <v>4060</v>
      </c>
      <c r="C13101" s="693">
        <v>5</v>
      </c>
      <c r="D13101" s="689">
        <v>5.4</v>
      </c>
      <c r="E13101" s="689">
        <v>5.2</v>
      </c>
      <c r="F13101" s="689">
        <v>5.4</v>
      </c>
      <c r="G13101" s="689">
        <v>5.4</v>
      </c>
      <c r="H13101" s="689">
        <v>5.3</v>
      </c>
      <c r="I13101" s="689">
        <v>5.0999999999999996</v>
      </c>
      <c r="J13101" s="689">
        <v>5.4</v>
      </c>
      <c r="K13101" s="689">
        <v>5.7</v>
      </c>
    </row>
    <row r="13102" spans="1:11">
      <c r="A13102" s="688" t="s">
        <v>29</v>
      </c>
      <c r="B13102" s="692" t="s">
        <v>4060</v>
      </c>
      <c r="C13102" s="691">
        <v>4.7</v>
      </c>
      <c r="D13102" s="691">
        <v>4.5</v>
      </c>
      <c r="E13102" s="691">
        <v>4.7</v>
      </c>
      <c r="F13102" s="691">
        <v>4.5999999999999996</v>
      </c>
      <c r="G13102" s="691">
        <v>4.7</v>
      </c>
      <c r="H13102" s="691">
        <v>4.7</v>
      </c>
      <c r="I13102" s="691">
        <v>4.5</v>
      </c>
      <c r="J13102" s="691">
        <v>4.3</v>
      </c>
      <c r="K13102" s="691">
        <v>4.5</v>
      </c>
    </row>
    <row r="13103" spans="1:11">
      <c r="A13103" s="688" t="s">
        <v>16</v>
      </c>
      <c r="B13103" s="690" t="s">
        <v>4060</v>
      </c>
      <c r="C13103" s="689">
        <v>5.3</v>
      </c>
      <c r="D13103" s="689">
        <v>4.9000000000000004</v>
      </c>
      <c r="E13103" s="689">
        <v>5.4</v>
      </c>
      <c r="F13103" s="689">
        <v>5.0999999999999996</v>
      </c>
      <c r="G13103" s="689">
        <v>5.2</v>
      </c>
      <c r="H13103" s="689">
        <v>5.4</v>
      </c>
      <c r="I13103" s="689">
        <v>5.3</v>
      </c>
      <c r="J13103" s="689">
        <v>5.4</v>
      </c>
      <c r="K13103" s="689">
        <v>5.2</v>
      </c>
    </row>
    <row r="13104" spans="1:11">
      <c r="A13104" s="688" t="s">
        <v>17</v>
      </c>
      <c r="B13104" s="692" t="s">
        <v>4060</v>
      </c>
      <c r="C13104" s="691">
        <v>5.2</v>
      </c>
      <c r="D13104" s="615">
        <v>5</v>
      </c>
      <c r="E13104" s="691">
        <v>5.0999999999999996</v>
      </c>
      <c r="F13104" s="691">
        <v>5.0999999999999996</v>
      </c>
      <c r="G13104" s="691">
        <v>5.0999999999999996</v>
      </c>
      <c r="H13104" s="691">
        <v>5.2</v>
      </c>
      <c r="I13104" s="691">
        <v>4.8</v>
      </c>
      <c r="J13104" s="691">
        <v>4.9000000000000004</v>
      </c>
      <c r="K13104" s="615">
        <v>5</v>
      </c>
    </row>
    <row r="13105" spans="1:11">
      <c r="A13105" s="688" t="s">
        <v>19</v>
      </c>
      <c r="B13105" s="690" t="s">
        <v>4060</v>
      </c>
      <c r="C13105" s="689">
        <v>5.3</v>
      </c>
      <c r="D13105" s="689">
        <v>5.0999999999999996</v>
      </c>
      <c r="E13105" s="689">
        <v>5.3</v>
      </c>
      <c r="F13105" s="689">
        <v>5.3</v>
      </c>
      <c r="G13105" s="689">
        <v>5.3</v>
      </c>
      <c r="H13105" s="689">
        <v>5.3</v>
      </c>
      <c r="I13105" s="693">
        <v>5</v>
      </c>
      <c r="J13105" s="689">
        <v>5.0999999999999996</v>
      </c>
      <c r="K13105" s="693">
        <v>5</v>
      </c>
    </row>
    <row r="13106" spans="1:11">
      <c r="A13106" s="688" t="s">
        <v>20</v>
      </c>
      <c r="B13106" s="692" t="s">
        <v>4060</v>
      </c>
      <c r="C13106" s="691">
        <v>5.2</v>
      </c>
      <c r="D13106" s="615">
        <v>5</v>
      </c>
      <c r="E13106" s="691">
        <v>5.3</v>
      </c>
      <c r="F13106" s="691">
        <v>5.2</v>
      </c>
      <c r="G13106" s="691">
        <v>5.2</v>
      </c>
      <c r="H13106" s="691">
        <v>5.4</v>
      </c>
      <c r="I13106" s="691">
        <v>4.5999999999999996</v>
      </c>
      <c r="J13106" s="691">
        <v>4.3</v>
      </c>
      <c r="K13106" s="691">
        <v>4.8</v>
      </c>
    </row>
    <row r="13107" spans="1:11">
      <c r="A13107" s="688" t="s">
        <v>21</v>
      </c>
      <c r="B13107" s="690" t="s">
        <v>4060</v>
      </c>
      <c r="C13107" s="689">
        <v>5.3</v>
      </c>
      <c r="D13107" s="689">
        <v>5.3</v>
      </c>
      <c r="E13107" s="689">
        <v>5.3</v>
      </c>
      <c r="F13107" s="689">
        <v>5.4</v>
      </c>
      <c r="G13107" s="689">
        <v>5.4</v>
      </c>
      <c r="H13107" s="689">
        <v>5.5</v>
      </c>
      <c r="I13107" s="689">
        <v>5.2</v>
      </c>
      <c r="J13107" s="689">
        <v>5.2</v>
      </c>
      <c r="K13107" s="689">
        <v>5.3</v>
      </c>
    </row>
    <row r="13108" spans="1:11">
      <c r="A13108" s="688" t="s">
        <v>22</v>
      </c>
      <c r="B13108" s="692" t="s">
        <v>4060</v>
      </c>
      <c r="C13108" s="691">
        <v>4.8</v>
      </c>
      <c r="D13108" s="691">
        <v>4.8</v>
      </c>
      <c r="E13108" s="691">
        <v>5.0999999999999996</v>
      </c>
      <c r="F13108" s="691">
        <v>5.0999999999999996</v>
      </c>
      <c r="G13108" s="691">
        <v>5.3</v>
      </c>
      <c r="H13108" s="691">
        <v>5.6</v>
      </c>
      <c r="I13108" s="615">
        <v>5</v>
      </c>
      <c r="J13108" s="691">
        <v>4.0999999999999996</v>
      </c>
      <c r="K13108" s="691">
        <v>4.2</v>
      </c>
    </row>
    <row r="13109" spans="1:11">
      <c r="A13109" s="688" t="s">
        <v>26</v>
      </c>
      <c r="B13109" s="690" t="s">
        <v>4060</v>
      </c>
      <c r="C13109" s="689">
        <v>5.2</v>
      </c>
      <c r="D13109" s="689">
        <v>5.2</v>
      </c>
      <c r="E13109" s="689">
        <v>5.3</v>
      </c>
      <c r="F13109" s="693">
        <v>5</v>
      </c>
      <c r="G13109" s="693">
        <v>5</v>
      </c>
      <c r="H13109" s="689">
        <v>5.4</v>
      </c>
      <c r="I13109" s="689">
        <v>4.5999999999999996</v>
      </c>
      <c r="J13109" s="693">
        <v>5</v>
      </c>
      <c r="K13109" s="689">
        <v>5.0999999999999996</v>
      </c>
    </row>
    <row r="13110" spans="1:11">
      <c r="A13110" s="688" t="s">
        <v>25</v>
      </c>
      <c r="B13110" s="692" t="s">
        <v>4060</v>
      </c>
      <c r="C13110" s="691">
        <v>4.9000000000000004</v>
      </c>
      <c r="D13110" s="691">
        <v>4.8</v>
      </c>
      <c r="E13110" s="691">
        <v>5.0999999999999996</v>
      </c>
      <c r="F13110" s="691">
        <v>4.9000000000000004</v>
      </c>
      <c r="G13110" s="691">
        <v>5.2</v>
      </c>
      <c r="H13110" s="691">
        <v>5.5</v>
      </c>
      <c r="I13110" s="691">
        <v>5.0999999999999996</v>
      </c>
      <c r="J13110" s="691">
        <v>4.4000000000000004</v>
      </c>
      <c r="K13110" s="691">
        <v>4.9000000000000004</v>
      </c>
    </row>
    <row r="13111" spans="1:11">
      <c r="A13111" s="688" t="s">
        <v>5</v>
      </c>
      <c r="B13111" s="690" t="s">
        <v>4060</v>
      </c>
      <c r="C13111" s="689">
        <v>5.2</v>
      </c>
      <c r="D13111" s="689">
        <v>5.2</v>
      </c>
      <c r="E13111" s="689">
        <v>5.0999999999999996</v>
      </c>
      <c r="F13111" s="689">
        <v>5.2</v>
      </c>
      <c r="G13111" s="689">
        <v>5.3</v>
      </c>
      <c r="H13111" s="689">
        <v>5.4</v>
      </c>
      <c r="I13111" s="689">
        <v>5.5</v>
      </c>
      <c r="J13111" s="689">
        <v>5.3</v>
      </c>
      <c r="K13111" s="693">
        <v>5</v>
      </c>
    </row>
    <row r="13112" spans="1:11">
      <c r="A13112" s="688" t="s">
        <v>23</v>
      </c>
      <c r="B13112" s="692" t="s">
        <v>4060</v>
      </c>
      <c r="C13112" s="691">
        <v>5.3</v>
      </c>
      <c r="D13112" s="691">
        <v>5.2</v>
      </c>
      <c r="E13112" s="691">
        <v>5.3</v>
      </c>
      <c r="F13112" s="691">
        <v>5.2</v>
      </c>
      <c r="G13112" s="691">
        <v>5.3</v>
      </c>
      <c r="H13112" s="691">
        <v>5.5</v>
      </c>
      <c r="I13112" s="615">
        <v>5</v>
      </c>
      <c r="J13112" s="691">
        <v>5.5</v>
      </c>
      <c r="K13112" s="691">
        <v>5.4</v>
      </c>
    </row>
    <row r="13113" spans="1:11">
      <c r="A13113" s="688" t="s">
        <v>4067</v>
      </c>
      <c r="B13113" s="690" t="s">
        <v>4060</v>
      </c>
      <c r="C13113" s="690" t="s">
        <v>4060</v>
      </c>
      <c r="D13113" s="690" t="s">
        <v>4060</v>
      </c>
      <c r="E13113" s="690" t="s">
        <v>4060</v>
      </c>
      <c r="F13113" s="690" t="s">
        <v>4060</v>
      </c>
      <c r="G13113" s="690" t="s">
        <v>4060</v>
      </c>
      <c r="H13113" s="690" t="s">
        <v>4060</v>
      </c>
      <c r="I13113" s="690" t="s">
        <v>4060</v>
      </c>
      <c r="J13113" s="690" t="s">
        <v>4060</v>
      </c>
      <c r="K13113" s="690" t="s">
        <v>4060</v>
      </c>
    </row>
    <row r="13114" spans="1:11">
      <c r="A13114" s="688" t="s">
        <v>4066</v>
      </c>
      <c r="B13114" s="692" t="s">
        <v>4060</v>
      </c>
      <c r="C13114" s="692" t="s">
        <v>4060</v>
      </c>
      <c r="D13114" s="692" t="s">
        <v>4060</v>
      </c>
      <c r="E13114" s="692" t="s">
        <v>4060</v>
      </c>
      <c r="F13114" s="692" t="s">
        <v>4060</v>
      </c>
      <c r="G13114" s="692" t="s">
        <v>4060</v>
      </c>
      <c r="H13114" s="692" t="s">
        <v>4060</v>
      </c>
      <c r="I13114" s="692" t="s">
        <v>4060</v>
      </c>
      <c r="J13114" s="692" t="s">
        <v>4060</v>
      </c>
      <c r="K13114" s="692" t="s">
        <v>4060</v>
      </c>
    </row>
    <row r="13115" spans="1:11">
      <c r="A13115" s="688" t="s">
        <v>4062</v>
      </c>
      <c r="B13115" s="690" t="s">
        <v>4060</v>
      </c>
      <c r="C13115" s="689">
        <v>5.4</v>
      </c>
      <c r="D13115" s="689">
        <v>5.3</v>
      </c>
      <c r="E13115" s="689">
        <v>5.4</v>
      </c>
      <c r="F13115" s="689">
        <v>5.5</v>
      </c>
      <c r="G13115" s="689">
        <v>5.6</v>
      </c>
      <c r="H13115" s="689">
        <v>5.6</v>
      </c>
      <c r="I13115" s="689">
        <v>5.3</v>
      </c>
      <c r="J13115" s="689">
        <v>5.6</v>
      </c>
      <c r="K13115" s="689">
        <v>5.4</v>
      </c>
    </row>
    <row r="13116" spans="1:11">
      <c r="A13116" s="688" t="s">
        <v>9</v>
      </c>
      <c r="B13116" s="692" t="s">
        <v>4060</v>
      </c>
      <c r="C13116" s="691">
        <v>5.2</v>
      </c>
      <c r="D13116" s="691">
        <v>5.0999999999999996</v>
      </c>
      <c r="E13116" s="691">
        <v>4.8</v>
      </c>
      <c r="F13116" s="691">
        <v>5.7</v>
      </c>
      <c r="G13116" s="691">
        <v>5.4</v>
      </c>
      <c r="H13116" s="691">
        <v>5.6</v>
      </c>
      <c r="I13116" s="615">
        <v>6</v>
      </c>
      <c r="J13116" s="691">
        <v>5.8</v>
      </c>
      <c r="K13116" s="691">
        <v>5.4</v>
      </c>
    </row>
    <row r="13117" spans="1:11">
      <c r="A13117" s="688" t="s">
        <v>13</v>
      </c>
      <c r="B13117" s="690" t="s">
        <v>4060</v>
      </c>
      <c r="C13117" s="689">
        <v>4.8</v>
      </c>
      <c r="D13117" s="693">
        <v>5</v>
      </c>
      <c r="E13117" s="689">
        <v>4.0999999999999996</v>
      </c>
      <c r="F13117" s="689">
        <v>6.4</v>
      </c>
      <c r="G13117" s="689">
        <v>6.2</v>
      </c>
      <c r="H13117" s="689">
        <v>5.5</v>
      </c>
      <c r="I13117" s="689">
        <v>4.3</v>
      </c>
      <c r="J13117" s="689">
        <v>5.7</v>
      </c>
      <c r="K13117" s="693">
        <v>6</v>
      </c>
    </row>
    <row r="13118" spans="1:11">
      <c r="A13118" s="688" t="s">
        <v>18</v>
      </c>
      <c r="B13118" s="692" t="s">
        <v>4060</v>
      </c>
      <c r="C13118" s="691">
        <v>5.2</v>
      </c>
      <c r="D13118" s="691">
        <v>5.3</v>
      </c>
      <c r="E13118" s="691">
        <v>5.3</v>
      </c>
      <c r="F13118" s="691">
        <v>5.4</v>
      </c>
      <c r="G13118" s="691">
        <v>5.4</v>
      </c>
      <c r="H13118" s="691">
        <v>5.5</v>
      </c>
      <c r="I13118" s="691">
        <v>5.6</v>
      </c>
      <c r="J13118" s="691">
        <v>5.5</v>
      </c>
      <c r="K13118" s="691">
        <v>5.2</v>
      </c>
    </row>
    <row r="13119" spans="1:11">
      <c r="A13119" s="688" t="s">
        <v>24</v>
      </c>
      <c r="B13119" s="690" t="s">
        <v>4060</v>
      </c>
      <c r="C13119" s="689">
        <v>5.4</v>
      </c>
      <c r="D13119" s="689">
        <v>5.3</v>
      </c>
      <c r="E13119" s="689">
        <v>5.6</v>
      </c>
      <c r="F13119" s="689">
        <v>5.5</v>
      </c>
      <c r="G13119" s="689">
        <v>5.7</v>
      </c>
      <c r="H13119" s="689">
        <v>5.7</v>
      </c>
      <c r="I13119" s="689">
        <v>5.0999999999999996</v>
      </c>
      <c r="J13119" s="689">
        <v>5.7</v>
      </c>
      <c r="K13119" s="689">
        <v>5.5</v>
      </c>
    </row>
    <row r="13120" spans="1:11">
      <c r="A13120" s="688" t="s">
        <v>4059</v>
      </c>
      <c r="B13120" s="692" t="s">
        <v>4060</v>
      </c>
      <c r="C13120" s="692" t="s">
        <v>4060</v>
      </c>
      <c r="D13120" s="692" t="s">
        <v>4060</v>
      </c>
      <c r="E13120" s="692" t="s">
        <v>4060</v>
      </c>
      <c r="F13120" s="692" t="s">
        <v>4060</v>
      </c>
      <c r="G13120" s="692" t="s">
        <v>4060</v>
      </c>
      <c r="H13120" s="692" t="s">
        <v>4060</v>
      </c>
      <c r="I13120" s="692" t="s">
        <v>4060</v>
      </c>
      <c r="J13120" s="692" t="s">
        <v>4060</v>
      </c>
      <c r="K13120" s="692" t="s">
        <v>4060</v>
      </c>
    </row>
    <row r="13121" spans="1:11">
      <c r="A13121" s="688" t="s">
        <v>2324</v>
      </c>
      <c r="B13121" s="690" t="s">
        <v>4060</v>
      </c>
      <c r="C13121" s="690" t="s">
        <v>4060</v>
      </c>
      <c r="D13121" s="690" t="s">
        <v>4060</v>
      </c>
      <c r="E13121" s="690" t="s">
        <v>4060</v>
      </c>
      <c r="F13121" s="690" t="s">
        <v>4060</v>
      </c>
      <c r="G13121" s="690" t="s">
        <v>4060</v>
      </c>
      <c r="H13121" s="690" t="s">
        <v>4060</v>
      </c>
      <c r="I13121" s="690" t="s">
        <v>4060</v>
      </c>
      <c r="J13121" s="690" t="s">
        <v>4060</v>
      </c>
      <c r="K13121" s="690" t="s">
        <v>4060</v>
      </c>
    </row>
    <row r="13122" spans="1:11">
      <c r="A13122" s="688" t="s">
        <v>2322</v>
      </c>
      <c r="B13122" s="692" t="s">
        <v>4060</v>
      </c>
      <c r="C13122" s="692" t="s">
        <v>4060</v>
      </c>
      <c r="D13122" s="692" t="s">
        <v>4060</v>
      </c>
      <c r="E13122" s="692" t="s">
        <v>4060</v>
      </c>
      <c r="F13122" s="692" t="s">
        <v>4060</v>
      </c>
      <c r="G13122" s="692" t="s">
        <v>4060</v>
      </c>
      <c r="H13122" s="692" t="s">
        <v>4060</v>
      </c>
      <c r="I13122" s="692" t="s">
        <v>4060</v>
      </c>
      <c r="J13122" s="692" t="s">
        <v>4060</v>
      </c>
      <c r="K13122" s="692" t="s">
        <v>4060</v>
      </c>
    </row>
    <row r="13123" spans="1:11">
      <c r="A13123" s="688" t="s">
        <v>2328</v>
      </c>
      <c r="B13123" s="690" t="s">
        <v>4060</v>
      </c>
      <c r="C13123" s="690" t="s">
        <v>4060</v>
      </c>
      <c r="D13123" s="690" t="s">
        <v>4060</v>
      </c>
      <c r="E13123" s="690" t="s">
        <v>4060</v>
      </c>
      <c r="F13123" s="690" t="s">
        <v>4060</v>
      </c>
      <c r="G13123" s="690" t="s">
        <v>4060</v>
      </c>
      <c r="H13123" s="690" t="s">
        <v>4060</v>
      </c>
      <c r="I13123" s="690" t="s">
        <v>4060</v>
      </c>
      <c r="J13123" s="690" t="s">
        <v>4060</v>
      </c>
      <c r="K13123" s="690" t="s">
        <v>4060</v>
      </c>
    </row>
    <row r="13124" spans="1:11">
      <c r="A13124" s="688" t="s">
        <v>2496</v>
      </c>
      <c r="B13124" s="692" t="s">
        <v>4060</v>
      </c>
      <c r="C13124" s="692" t="s">
        <v>4060</v>
      </c>
      <c r="D13124" s="692" t="s">
        <v>4060</v>
      </c>
      <c r="E13124" s="692" t="s">
        <v>4060</v>
      </c>
      <c r="F13124" s="692" t="s">
        <v>4060</v>
      </c>
      <c r="G13124" s="692" t="s">
        <v>4060</v>
      </c>
      <c r="H13124" s="692" t="s">
        <v>4060</v>
      </c>
      <c r="I13124" s="692" t="s">
        <v>4060</v>
      </c>
      <c r="J13124" s="692" t="s">
        <v>4060</v>
      </c>
      <c r="K13124" s="692" t="s">
        <v>4060</v>
      </c>
    </row>
    <row r="13125" spans="1:11">
      <c r="A13125" s="688" t="s">
        <v>2269</v>
      </c>
      <c r="B13125" s="690" t="s">
        <v>4060</v>
      </c>
      <c r="C13125" s="690" t="s">
        <v>4060</v>
      </c>
      <c r="D13125" s="690" t="s">
        <v>4060</v>
      </c>
      <c r="E13125" s="690" t="s">
        <v>4060</v>
      </c>
      <c r="F13125" s="690" t="s">
        <v>4060</v>
      </c>
      <c r="G13125" s="690" t="s">
        <v>4060</v>
      </c>
      <c r="H13125" s="690" t="s">
        <v>4060</v>
      </c>
      <c r="I13125" s="690" t="s">
        <v>4060</v>
      </c>
      <c r="J13125" s="690" t="s">
        <v>4060</v>
      </c>
      <c r="K13125" s="690" t="s">
        <v>4060</v>
      </c>
    </row>
    <row r="13126" spans="1:11">
      <c r="A13126" s="688" t="s">
        <v>2349</v>
      </c>
      <c r="B13126" s="692" t="s">
        <v>4060</v>
      </c>
      <c r="C13126" s="692" t="s">
        <v>4060</v>
      </c>
      <c r="D13126" s="692" t="s">
        <v>4060</v>
      </c>
      <c r="E13126" s="692" t="s">
        <v>4060</v>
      </c>
      <c r="F13126" s="692" t="s">
        <v>4060</v>
      </c>
      <c r="G13126" s="692" t="s">
        <v>4060</v>
      </c>
      <c r="H13126" s="692" t="s">
        <v>4060</v>
      </c>
      <c r="I13126" s="692" t="s">
        <v>4060</v>
      </c>
      <c r="J13126" s="692" t="s">
        <v>4060</v>
      </c>
      <c r="K13126" s="692" t="s">
        <v>4060</v>
      </c>
    </row>
    <row r="13127" spans="1:11">
      <c r="A13127" s="688" t="s">
        <v>2355</v>
      </c>
      <c r="B13127" s="690" t="s">
        <v>4060</v>
      </c>
      <c r="C13127" s="690" t="s">
        <v>4060</v>
      </c>
      <c r="D13127" s="690" t="s">
        <v>4060</v>
      </c>
      <c r="E13127" s="690" t="s">
        <v>4060</v>
      </c>
      <c r="F13127" s="690" t="s">
        <v>4060</v>
      </c>
      <c r="G13127" s="690" t="s">
        <v>4060</v>
      </c>
      <c r="H13127" s="690" t="s">
        <v>4060</v>
      </c>
      <c r="I13127" s="690" t="s">
        <v>4060</v>
      </c>
      <c r="J13127" s="690" t="s">
        <v>4060</v>
      </c>
      <c r="K13127" s="690" t="s">
        <v>4060</v>
      </c>
    </row>
    <row r="13128" spans="1:11">
      <c r="A13128" s="688" t="s">
        <v>2357</v>
      </c>
      <c r="B13128" s="692" t="s">
        <v>4060</v>
      </c>
      <c r="C13128" s="692" t="s">
        <v>4060</v>
      </c>
      <c r="D13128" s="692" t="s">
        <v>4060</v>
      </c>
      <c r="E13128" s="692" t="s">
        <v>4060</v>
      </c>
      <c r="F13128" s="692" t="s">
        <v>4060</v>
      </c>
      <c r="G13128" s="692" t="s">
        <v>4060</v>
      </c>
      <c r="H13128" s="692" t="s">
        <v>4060</v>
      </c>
      <c r="I13128" s="692" t="s">
        <v>4060</v>
      </c>
      <c r="J13128" s="692" t="s">
        <v>4060</v>
      </c>
      <c r="K13128" s="692" t="s">
        <v>4060</v>
      </c>
    </row>
    <row r="13129" spans="1:11">
      <c r="A13129" s="688" t="s">
        <v>4070</v>
      </c>
      <c r="B13129" s="690" t="s">
        <v>4060</v>
      </c>
      <c r="C13129" s="690" t="s">
        <v>4060</v>
      </c>
      <c r="D13129" s="690" t="s">
        <v>4060</v>
      </c>
      <c r="E13129" s="690" t="s">
        <v>4060</v>
      </c>
      <c r="F13129" s="690" t="s">
        <v>4060</v>
      </c>
      <c r="G13129" s="690" t="s">
        <v>4060</v>
      </c>
      <c r="H13129" s="690" t="s">
        <v>4060</v>
      </c>
      <c r="I13129" s="690" t="s">
        <v>4060</v>
      </c>
      <c r="J13129" s="690" t="s">
        <v>4060</v>
      </c>
      <c r="K13129" s="690" t="s">
        <v>4060</v>
      </c>
    </row>
    <row r="13130" spans="1:11">
      <c r="A13130" s="688" t="s">
        <v>2491</v>
      </c>
      <c r="B13130" s="692" t="s">
        <v>4060</v>
      </c>
      <c r="C13130" s="692" t="s">
        <v>4060</v>
      </c>
      <c r="D13130" s="692" t="s">
        <v>4060</v>
      </c>
      <c r="E13130" s="692" t="s">
        <v>4060</v>
      </c>
      <c r="F13130" s="692" t="s">
        <v>4060</v>
      </c>
      <c r="G13130" s="692" t="s">
        <v>4060</v>
      </c>
      <c r="H13130" s="692" t="s">
        <v>4060</v>
      </c>
      <c r="I13130" s="692" t="s">
        <v>4060</v>
      </c>
      <c r="J13130" s="692" t="s">
        <v>4060</v>
      </c>
      <c r="K13130" s="692" t="s">
        <v>4060</v>
      </c>
    </row>
    <row r="13131" spans="1:11">
      <c r="A13131" s="688" t="s">
        <v>2343</v>
      </c>
      <c r="B13131" s="690" t="s">
        <v>4060</v>
      </c>
      <c r="C13131" s="690" t="s">
        <v>4060</v>
      </c>
      <c r="D13131" s="690" t="s">
        <v>4060</v>
      </c>
      <c r="E13131" s="690" t="s">
        <v>4060</v>
      </c>
      <c r="F13131" s="690" t="s">
        <v>4060</v>
      </c>
      <c r="G13131" s="690" t="s">
        <v>4060</v>
      </c>
      <c r="H13131" s="690" t="s">
        <v>4060</v>
      </c>
      <c r="I13131" s="690" t="s">
        <v>4060</v>
      </c>
      <c r="J13131" s="690" t="s">
        <v>4060</v>
      </c>
      <c r="K13131" s="690" t="s">
        <v>4060</v>
      </c>
    </row>
    <row r="13132" spans="1:11">
      <c r="A13132" s="688" t="s">
        <v>4071</v>
      </c>
      <c r="B13132" s="692" t="s">
        <v>4060</v>
      </c>
      <c r="C13132" s="692" t="s">
        <v>4060</v>
      </c>
      <c r="D13132" s="692" t="s">
        <v>4060</v>
      </c>
      <c r="E13132" s="692" t="s">
        <v>4060</v>
      </c>
      <c r="F13132" s="692" t="s">
        <v>4060</v>
      </c>
      <c r="G13132" s="692" t="s">
        <v>4060</v>
      </c>
      <c r="H13132" s="692" t="s">
        <v>4060</v>
      </c>
      <c r="I13132" s="692" t="s">
        <v>4060</v>
      </c>
      <c r="J13132" s="692" t="s">
        <v>4060</v>
      </c>
      <c r="K13132" s="692" t="s">
        <v>4060</v>
      </c>
    </row>
    <row r="13133" spans="1:11">
      <c r="A13133" s="688" t="s">
        <v>2489</v>
      </c>
      <c r="B13133" s="690" t="s">
        <v>4060</v>
      </c>
      <c r="C13133" s="690" t="s">
        <v>4060</v>
      </c>
      <c r="D13133" s="690" t="s">
        <v>4060</v>
      </c>
      <c r="E13133" s="690" t="s">
        <v>4060</v>
      </c>
      <c r="F13133" s="690" t="s">
        <v>4060</v>
      </c>
      <c r="G13133" s="690" t="s">
        <v>4060</v>
      </c>
      <c r="H13133" s="690" t="s">
        <v>4060</v>
      </c>
      <c r="I13133" s="690" t="s">
        <v>4060</v>
      </c>
      <c r="J13133" s="690" t="s">
        <v>4060</v>
      </c>
      <c r="K13133" s="690" t="s">
        <v>4060</v>
      </c>
    </row>
    <row r="13134" spans="1:11">
      <c r="A13134" s="688" t="s">
        <v>2490</v>
      </c>
      <c r="B13134" s="692" t="s">
        <v>4060</v>
      </c>
      <c r="C13134" s="692" t="s">
        <v>4060</v>
      </c>
      <c r="D13134" s="692" t="s">
        <v>4060</v>
      </c>
      <c r="E13134" s="692" t="s">
        <v>4060</v>
      </c>
      <c r="F13134" s="692" t="s">
        <v>4060</v>
      </c>
      <c r="G13134" s="692" t="s">
        <v>4060</v>
      </c>
      <c r="H13134" s="692" t="s">
        <v>4060</v>
      </c>
      <c r="I13134" s="692" t="s">
        <v>4060</v>
      </c>
      <c r="J13134" s="692" t="s">
        <v>4060</v>
      </c>
      <c r="K13134" s="692" t="s">
        <v>4060</v>
      </c>
    </row>
    <row r="13136" spans="1:11">
      <c r="A13136" s="683" t="s">
        <v>4233</v>
      </c>
    </row>
    <row r="13137" spans="1:11">
      <c r="A13137" s="683" t="s">
        <v>4060</v>
      </c>
      <c r="B13137" s="682" t="s">
        <v>4234</v>
      </c>
    </row>
    <row r="13139" spans="1:11">
      <c r="A13139" s="682" t="s">
        <v>4331</v>
      </c>
    </row>
    <row r="13140" spans="1:11">
      <c r="A13140" s="682" t="s">
        <v>4210</v>
      </c>
      <c r="B13140" s="683" t="s">
        <v>4211</v>
      </c>
    </row>
    <row r="13141" spans="1:11">
      <c r="A13141" s="682" t="s">
        <v>4212</v>
      </c>
      <c r="B13141" s="682" t="s">
        <v>4213</v>
      </c>
    </row>
    <row r="13143" spans="1:11">
      <c r="A13143" s="683" t="s">
        <v>4214</v>
      </c>
      <c r="C13143" s="682" t="s">
        <v>4215</v>
      </c>
    </row>
    <row r="13144" spans="1:11">
      <c r="A13144" s="683" t="s">
        <v>4216</v>
      </c>
      <c r="C13144" s="682" t="s">
        <v>2967</v>
      </c>
    </row>
    <row r="13145" spans="1:11">
      <c r="A13145" s="683" t="s">
        <v>3893</v>
      </c>
      <c r="C13145" s="682" t="s">
        <v>2168</v>
      </c>
    </row>
    <row r="13146" spans="1:11">
      <c r="A13146" s="683" t="s">
        <v>4218</v>
      </c>
      <c r="C13146" s="682" t="s">
        <v>4322</v>
      </c>
    </row>
    <row r="13148" spans="1:11">
      <c r="A13148" s="684" t="s">
        <v>4220</v>
      </c>
      <c r="B13148" s="685" t="s">
        <v>4221</v>
      </c>
      <c r="C13148" s="685" t="s">
        <v>4222</v>
      </c>
      <c r="D13148" s="685" t="s">
        <v>4223</v>
      </c>
      <c r="E13148" s="685" t="s">
        <v>4224</v>
      </c>
      <c r="F13148" s="685" t="s">
        <v>4225</v>
      </c>
      <c r="G13148" s="685" t="s">
        <v>4226</v>
      </c>
      <c r="H13148" s="685" t="s">
        <v>4227</v>
      </c>
      <c r="I13148" s="685" t="s">
        <v>4228</v>
      </c>
      <c r="J13148" s="685" t="s">
        <v>4229</v>
      </c>
      <c r="K13148" s="685" t="s">
        <v>4230</v>
      </c>
    </row>
    <row r="13149" spans="1:11">
      <c r="A13149" s="686" t="s">
        <v>4231</v>
      </c>
      <c r="B13149" s="687" t="s">
        <v>4232</v>
      </c>
      <c r="C13149" s="687" t="s">
        <v>4232</v>
      </c>
      <c r="D13149" s="687" t="s">
        <v>4232</v>
      </c>
      <c r="E13149" s="687" t="s">
        <v>4232</v>
      </c>
      <c r="F13149" s="687" t="s">
        <v>4232</v>
      </c>
      <c r="G13149" s="687" t="s">
        <v>4232</v>
      </c>
      <c r="H13149" s="687" t="s">
        <v>4232</v>
      </c>
      <c r="I13149" s="687" t="s">
        <v>4232</v>
      </c>
      <c r="J13149" s="687" t="s">
        <v>4232</v>
      </c>
      <c r="K13149" s="687" t="s">
        <v>4232</v>
      </c>
    </row>
    <row r="13150" spans="1:11">
      <c r="A13150" s="688" t="s">
        <v>4064</v>
      </c>
      <c r="B13150" s="692" t="s">
        <v>4060</v>
      </c>
      <c r="C13150" s="615">
        <v>5</v>
      </c>
      <c r="D13150" s="692" t="s">
        <v>4060</v>
      </c>
      <c r="E13150" s="615">
        <v>5</v>
      </c>
      <c r="F13150" s="691">
        <v>4.9000000000000004</v>
      </c>
      <c r="G13150" s="615">
        <v>5</v>
      </c>
      <c r="H13150" s="691">
        <v>5.0999999999999996</v>
      </c>
      <c r="I13150" s="691">
        <v>4.7</v>
      </c>
      <c r="J13150" s="691">
        <v>4.8</v>
      </c>
      <c r="K13150" s="691">
        <v>4.7</v>
      </c>
    </row>
    <row r="13151" spans="1:11">
      <c r="A13151" s="688" t="s">
        <v>4065</v>
      </c>
      <c r="B13151" s="690" t="s">
        <v>4060</v>
      </c>
      <c r="C13151" s="690" t="s">
        <v>4060</v>
      </c>
      <c r="D13151" s="690" t="s">
        <v>4060</v>
      </c>
      <c r="E13151" s="690" t="s">
        <v>4060</v>
      </c>
      <c r="F13151" s="690" t="s">
        <v>4060</v>
      </c>
      <c r="G13151" s="690" t="s">
        <v>4060</v>
      </c>
      <c r="H13151" s="690" t="s">
        <v>4060</v>
      </c>
      <c r="I13151" s="690" t="s">
        <v>4060</v>
      </c>
      <c r="J13151" s="690" t="s">
        <v>4060</v>
      </c>
      <c r="K13151" s="690" t="s">
        <v>4060</v>
      </c>
    </row>
    <row r="13152" spans="1:11">
      <c r="A13152" s="688" t="s">
        <v>4063</v>
      </c>
      <c r="B13152" s="692" t="s">
        <v>4060</v>
      </c>
      <c r="C13152" s="692" t="s">
        <v>4060</v>
      </c>
      <c r="D13152" s="692" t="s">
        <v>4060</v>
      </c>
      <c r="E13152" s="692" t="s">
        <v>4060</v>
      </c>
      <c r="F13152" s="692" t="s">
        <v>4060</v>
      </c>
      <c r="G13152" s="692" t="s">
        <v>4060</v>
      </c>
      <c r="H13152" s="692" t="s">
        <v>4060</v>
      </c>
      <c r="I13152" s="692" t="s">
        <v>4060</v>
      </c>
      <c r="J13152" s="692" t="s">
        <v>4060</v>
      </c>
      <c r="K13152" s="692" t="s">
        <v>4060</v>
      </c>
    </row>
    <row r="13153" spans="1:11">
      <c r="A13153" s="688" t="s">
        <v>4069</v>
      </c>
      <c r="B13153" s="690" t="s">
        <v>4060</v>
      </c>
      <c r="C13153" s="693">
        <v>5</v>
      </c>
      <c r="D13153" s="689">
        <v>4.9000000000000004</v>
      </c>
      <c r="E13153" s="693">
        <v>5</v>
      </c>
      <c r="F13153" s="689">
        <v>4.9000000000000004</v>
      </c>
      <c r="G13153" s="693">
        <v>5</v>
      </c>
      <c r="H13153" s="689">
        <v>5.0999999999999996</v>
      </c>
      <c r="I13153" s="689">
        <v>4.8</v>
      </c>
      <c r="J13153" s="689">
        <v>4.9000000000000004</v>
      </c>
      <c r="K13153" s="689">
        <v>4.8</v>
      </c>
    </row>
    <row r="13154" spans="1:11">
      <c r="A13154" s="688" t="s">
        <v>4068</v>
      </c>
      <c r="B13154" s="692" t="s">
        <v>4060</v>
      </c>
      <c r="C13154" s="692" t="s">
        <v>4060</v>
      </c>
      <c r="D13154" s="692" t="s">
        <v>4060</v>
      </c>
      <c r="E13154" s="692" t="s">
        <v>4060</v>
      </c>
      <c r="F13154" s="692" t="s">
        <v>4060</v>
      </c>
      <c r="G13154" s="692" t="s">
        <v>4060</v>
      </c>
      <c r="H13154" s="692" t="s">
        <v>4060</v>
      </c>
      <c r="I13154" s="692" t="s">
        <v>4060</v>
      </c>
      <c r="J13154" s="692" t="s">
        <v>4060</v>
      </c>
      <c r="K13154" s="692" t="s">
        <v>4060</v>
      </c>
    </row>
    <row r="13155" spans="1:11">
      <c r="A13155" s="688" t="s">
        <v>0</v>
      </c>
      <c r="B13155" s="690" t="s">
        <v>4060</v>
      </c>
      <c r="C13155" s="689">
        <v>4.9000000000000004</v>
      </c>
      <c r="D13155" s="689">
        <v>4.8</v>
      </c>
      <c r="E13155" s="689">
        <v>4.9000000000000004</v>
      </c>
      <c r="F13155" s="689">
        <v>4.9000000000000004</v>
      </c>
      <c r="G13155" s="693">
        <v>5</v>
      </c>
      <c r="H13155" s="689">
        <v>5.0999999999999996</v>
      </c>
      <c r="I13155" s="689">
        <v>4.5</v>
      </c>
      <c r="J13155" s="689">
        <v>5.0999999999999996</v>
      </c>
      <c r="K13155" s="693">
        <v>5</v>
      </c>
    </row>
    <row r="13156" spans="1:11">
      <c r="A13156" s="688" t="s">
        <v>1</v>
      </c>
      <c r="B13156" s="692" t="s">
        <v>4060</v>
      </c>
      <c r="C13156" s="691">
        <v>3.9</v>
      </c>
      <c r="D13156" s="691">
        <v>3.7</v>
      </c>
      <c r="E13156" s="691">
        <v>3.9</v>
      </c>
      <c r="F13156" s="691">
        <v>3.8</v>
      </c>
      <c r="G13156" s="691">
        <v>3.9</v>
      </c>
      <c r="H13156" s="691">
        <v>3.9</v>
      </c>
      <c r="I13156" s="691">
        <v>3.4</v>
      </c>
      <c r="J13156" s="691">
        <v>3.1</v>
      </c>
      <c r="K13156" s="691">
        <v>3.5</v>
      </c>
    </row>
    <row r="13157" spans="1:11">
      <c r="A13157" s="688" t="s">
        <v>2240</v>
      </c>
      <c r="B13157" s="690" t="s">
        <v>4060</v>
      </c>
      <c r="C13157" s="689">
        <v>4.3</v>
      </c>
      <c r="D13157" s="689">
        <v>4.2</v>
      </c>
      <c r="E13157" s="689">
        <v>4.4000000000000004</v>
      </c>
      <c r="F13157" s="689">
        <v>4.3</v>
      </c>
      <c r="G13157" s="689">
        <v>4.5</v>
      </c>
      <c r="H13157" s="689">
        <v>4.5</v>
      </c>
      <c r="I13157" s="693">
        <v>4</v>
      </c>
      <c r="J13157" s="689">
        <v>3.9</v>
      </c>
      <c r="K13157" s="689">
        <v>4.2</v>
      </c>
    </row>
    <row r="13158" spans="1:11">
      <c r="A13158" s="688" t="s">
        <v>2</v>
      </c>
      <c r="B13158" s="692" t="s">
        <v>4060</v>
      </c>
      <c r="C13158" s="691">
        <v>4.8</v>
      </c>
      <c r="D13158" s="691">
        <v>4.7</v>
      </c>
      <c r="E13158" s="691">
        <v>4.7</v>
      </c>
      <c r="F13158" s="691">
        <v>4.7</v>
      </c>
      <c r="G13158" s="691">
        <v>4.5999999999999996</v>
      </c>
      <c r="H13158" s="691">
        <v>4.8</v>
      </c>
      <c r="I13158" s="691">
        <v>4.7</v>
      </c>
      <c r="J13158" s="691">
        <v>4.7</v>
      </c>
      <c r="K13158" s="691">
        <v>4.5999999999999996</v>
      </c>
    </row>
    <row r="13159" spans="1:11">
      <c r="A13159" s="688" t="s">
        <v>3</v>
      </c>
      <c r="B13159" s="690" t="s">
        <v>4060</v>
      </c>
      <c r="C13159" s="689">
        <v>4.8</v>
      </c>
      <c r="D13159" s="689">
        <v>4.7</v>
      </c>
      <c r="E13159" s="689">
        <v>4.8</v>
      </c>
      <c r="F13159" s="689">
        <v>4.7</v>
      </c>
      <c r="G13159" s="689">
        <v>4.7</v>
      </c>
      <c r="H13159" s="689">
        <v>4.9000000000000004</v>
      </c>
      <c r="I13159" s="689">
        <v>4.7</v>
      </c>
      <c r="J13159" s="689">
        <v>4.7</v>
      </c>
      <c r="K13159" s="689">
        <v>4.5</v>
      </c>
    </row>
    <row r="13160" spans="1:11">
      <c r="A13160" s="688" t="s">
        <v>4061</v>
      </c>
      <c r="B13160" s="692" t="s">
        <v>4060</v>
      </c>
      <c r="C13160" s="691">
        <v>4.8</v>
      </c>
      <c r="D13160" s="691">
        <v>4.7</v>
      </c>
      <c r="E13160" s="691">
        <v>4.8</v>
      </c>
      <c r="F13160" s="691">
        <v>4.7</v>
      </c>
      <c r="G13160" s="691">
        <v>4.7</v>
      </c>
      <c r="H13160" s="691">
        <v>4.9000000000000004</v>
      </c>
      <c r="I13160" s="691">
        <v>4.7</v>
      </c>
      <c r="J13160" s="691">
        <v>4.7</v>
      </c>
      <c r="K13160" s="691">
        <v>4.5</v>
      </c>
    </row>
    <row r="13161" spans="1:11">
      <c r="A13161" s="688" t="s">
        <v>4</v>
      </c>
      <c r="B13161" s="690" t="s">
        <v>4060</v>
      </c>
      <c r="C13161" s="689">
        <v>4.4000000000000004</v>
      </c>
      <c r="D13161" s="689">
        <v>4.7</v>
      </c>
      <c r="E13161" s="689">
        <v>4.7</v>
      </c>
      <c r="F13161" s="689">
        <v>4.7</v>
      </c>
      <c r="G13161" s="689">
        <v>4.5999999999999996</v>
      </c>
      <c r="H13161" s="689">
        <v>4.8</v>
      </c>
      <c r="I13161" s="689">
        <v>4.8</v>
      </c>
      <c r="J13161" s="689">
        <v>4.3</v>
      </c>
      <c r="K13161" s="689">
        <v>4.3</v>
      </c>
    </row>
    <row r="13162" spans="1:11">
      <c r="A13162" s="688" t="s">
        <v>8</v>
      </c>
      <c r="B13162" s="692" t="s">
        <v>4060</v>
      </c>
      <c r="C13162" s="691">
        <v>4.7</v>
      </c>
      <c r="D13162" s="691">
        <v>4.5999999999999996</v>
      </c>
      <c r="E13162" s="691">
        <v>4.7</v>
      </c>
      <c r="F13162" s="615">
        <v>5</v>
      </c>
      <c r="G13162" s="691">
        <v>4.9000000000000004</v>
      </c>
      <c r="H13162" s="691">
        <v>4.8</v>
      </c>
      <c r="I13162" s="691">
        <v>4.9000000000000004</v>
      </c>
      <c r="J13162" s="691">
        <v>4.9000000000000004</v>
      </c>
      <c r="K13162" s="691">
        <v>5.0999999999999996</v>
      </c>
    </row>
    <row r="13163" spans="1:11">
      <c r="A13163" s="688" t="s">
        <v>7</v>
      </c>
      <c r="B13163" s="690" t="s">
        <v>4060</v>
      </c>
      <c r="C13163" s="689">
        <v>4.4000000000000004</v>
      </c>
      <c r="D13163" s="689">
        <v>4.3</v>
      </c>
      <c r="E13163" s="689">
        <v>4.5999999999999996</v>
      </c>
      <c r="F13163" s="689">
        <v>4.5</v>
      </c>
      <c r="G13163" s="689">
        <v>4.8</v>
      </c>
      <c r="H13163" s="689">
        <v>4.9000000000000004</v>
      </c>
      <c r="I13163" s="689">
        <v>4.9000000000000004</v>
      </c>
      <c r="J13163" s="689">
        <v>4.7</v>
      </c>
      <c r="K13163" s="689">
        <v>4.8</v>
      </c>
    </row>
    <row r="13164" spans="1:11">
      <c r="A13164" s="688" t="s">
        <v>27</v>
      </c>
      <c r="B13164" s="692" t="s">
        <v>4060</v>
      </c>
      <c r="C13164" s="691">
        <v>5.4</v>
      </c>
      <c r="D13164" s="691">
        <v>5.0999999999999996</v>
      </c>
      <c r="E13164" s="691">
        <v>5.3</v>
      </c>
      <c r="F13164" s="691">
        <v>5.2</v>
      </c>
      <c r="G13164" s="691">
        <v>5.3</v>
      </c>
      <c r="H13164" s="691">
        <v>5.5</v>
      </c>
      <c r="I13164" s="691">
        <v>4.8</v>
      </c>
      <c r="J13164" s="691">
        <v>5.3</v>
      </c>
      <c r="K13164" s="691">
        <v>5.0999999999999996</v>
      </c>
    </row>
    <row r="13165" spans="1:11">
      <c r="A13165" s="688" t="s">
        <v>6</v>
      </c>
      <c r="B13165" s="690" t="s">
        <v>4060</v>
      </c>
      <c r="C13165" s="689">
        <v>5.4</v>
      </c>
      <c r="D13165" s="689">
        <v>5.3</v>
      </c>
      <c r="E13165" s="689">
        <v>5.4</v>
      </c>
      <c r="F13165" s="689">
        <v>5.4</v>
      </c>
      <c r="G13165" s="689">
        <v>5.4</v>
      </c>
      <c r="H13165" s="689">
        <v>5.5</v>
      </c>
      <c r="I13165" s="689">
        <v>5.0999999999999996</v>
      </c>
      <c r="J13165" s="689">
        <v>5.3</v>
      </c>
      <c r="K13165" s="689">
        <v>5.2</v>
      </c>
    </row>
    <row r="13166" spans="1:11">
      <c r="A13166" s="688" t="s">
        <v>4058</v>
      </c>
      <c r="B13166" s="692" t="s">
        <v>4060</v>
      </c>
      <c r="C13166" s="692" t="s">
        <v>4060</v>
      </c>
      <c r="D13166" s="692" t="s">
        <v>4060</v>
      </c>
      <c r="E13166" s="692" t="s">
        <v>4060</v>
      </c>
      <c r="F13166" s="692" t="s">
        <v>4060</v>
      </c>
      <c r="G13166" s="692" t="s">
        <v>4060</v>
      </c>
      <c r="H13166" s="692" t="s">
        <v>4060</v>
      </c>
      <c r="I13166" s="692" t="s">
        <v>4060</v>
      </c>
      <c r="J13166" s="692" t="s">
        <v>4060</v>
      </c>
      <c r="K13166" s="692" t="s">
        <v>4060</v>
      </c>
    </row>
    <row r="13167" spans="1:11">
      <c r="A13167" s="688" t="s">
        <v>11</v>
      </c>
      <c r="B13167" s="690" t="s">
        <v>4060</v>
      </c>
      <c r="C13167" s="689">
        <v>4.0999999999999996</v>
      </c>
      <c r="D13167" s="689">
        <v>3.9</v>
      </c>
      <c r="E13167" s="689">
        <v>4.0999999999999996</v>
      </c>
      <c r="F13167" s="689">
        <v>4.0999999999999996</v>
      </c>
      <c r="G13167" s="689">
        <v>4.0999999999999996</v>
      </c>
      <c r="H13167" s="689">
        <v>4.2</v>
      </c>
      <c r="I13167" s="689">
        <v>3.9</v>
      </c>
      <c r="J13167" s="689">
        <v>3.6</v>
      </c>
      <c r="K13167" s="689">
        <v>3.7</v>
      </c>
    </row>
    <row r="13168" spans="1:11">
      <c r="A13168" s="688" t="s">
        <v>10</v>
      </c>
      <c r="B13168" s="692" t="s">
        <v>4060</v>
      </c>
      <c r="C13168" s="615">
        <v>5</v>
      </c>
      <c r="D13168" s="691">
        <v>4.7</v>
      </c>
      <c r="E13168" s="615">
        <v>5</v>
      </c>
      <c r="F13168" s="691">
        <v>4.8</v>
      </c>
      <c r="G13168" s="691">
        <v>5.0999999999999996</v>
      </c>
      <c r="H13168" s="691">
        <v>5.0999999999999996</v>
      </c>
      <c r="I13168" s="691">
        <v>4.5999999999999996</v>
      </c>
      <c r="J13168" s="691">
        <v>4.9000000000000004</v>
      </c>
      <c r="K13168" s="691">
        <v>4.8</v>
      </c>
    </row>
    <row r="13169" spans="1:11">
      <c r="A13169" s="688" t="s">
        <v>30</v>
      </c>
      <c r="B13169" s="690" t="s">
        <v>4060</v>
      </c>
      <c r="C13169" s="689">
        <v>4.9000000000000004</v>
      </c>
      <c r="D13169" s="689">
        <v>4.3</v>
      </c>
      <c r="E13169" s="689">
        <v>5.3</v>
      </c>
      <c r="F13169" s="689">
        <v>4.8</v>
      </c>
      <c r="G13169" s="689">
        <v>5.4</v>
      </c>
      <c r="H13169" s="689">
        <v>5.2</v>
      </c>
      <c r="I13169" s="689">
        <v>5.3</v>
      </c>
      <c r="J13169" s="693">
        <v>5</v>
      </c>
      <c r="K13169" s="693">
        <v>5</v>
      </c>
    </row>
    <row r="13170" spans="1:11">
      <c r="A13170" s="688" t="s">
        <v>12</v>
      </c>
      <c r="B13170" s="692" t="s">
        <v>4060</v>
      </c>
      <c r="C13170" s="691">
        <v>4.3</v>
      </c>
      <c r="D13170" s="691">
        <v>4.3</v>
      </c>
      <c r="E13170" s="691">
        <v>4.4000000000000004</v>
      </c>
      <c r="F13170" s="691">
        <v>4.3</v>
      </c>
      <c r="G13170" s="691">
        <v>4.3</v>
      </c>
      <c r="H13170" s="691">
        <v>4.4000000000000004</v>
      </c>
      <c r="I13170" s="691">
        <v>4.2</v>
      </c>
      <c r="J13170" s="691">
        <v>3.8</v>
      </c>
      <c r="K13170" s="691">
        <v>4.0999999999999996</v>
      </c>
    </row>
    <row r="13171" spans="1:11">
      <c r="A13171" s="688" t="s">
        <v>14</v>
      </c>
      <c r="B13171" s="690" t="s">
        <v>4060</v>
      </c>
      <c r="C13171" s="689">
        <v>3.8</v>
      </c>
      <c r="D13171" s="689">
        <v>3.6</v>
      </c>
      <c r="E13171" s="689">
        <v>3.3</v>
      </c>
      <c r="F13171" s="689">
        <v>3.3</v>
      </c>
      <c r="G13171" s="689">
        <v>3.3</v>
      </c>
      <c r="H13171" s="689">
        <v>3.3</v>
      </c>
      <c r="I13171" s="689">
        <v>3.6</v>
      </c>
      <c r="J13171" s="689">
        <v>3.7</v>
      </c>
      <c r="K13171" s="689">
        <v>4.0999999999999996</v>
      </c>
    </row>
    <row r="13172" spans="1:11">
      <c r="A13172" s="688" t="s">
        <v>15</v>
      </c>
      <c r="B13172" s="692" t="s">
        <v>4060</v>
      </c>
      <c r="C13172" s="691">
        <v>4.7</v>
      </c>
      <c r="D13172" s="615">
        <v>5</v>
      </c>
      <c r="E13172" s="691">
        <v>4.9000000000000004</v>
      </c>
      <c r="F13172" s="691">
        <v>4.8</v>
      </c>
      <c r="G13172" s="691">
        <v>5.0999999999999996</v>
      </c>
      <c r="H13172" s="691">
        <v>4.9000000000000004</v>
      </c>
      <c r="I13172" s="691">
        <v>4.7</v>
      </c>
      <c r="J13172" s="691">
        <v>5.0999999999999996</v>
      </c>
      <c r="K13172" s="691">
        <v>5.2</v>
      </c>
    </row>
    <row r="13173" spans="1:11">
      <c r="A13173" s="688" t="s">
        <v>29</v>
      </c>
      <c r="B13173" s="690" t="s">
        <v>4060</v>
      </c>
      <c r="C13173" s="689">
        <v>4.5</v>
      </c>
      <c r="D13173" s="689">
        <v>4.2</v>
      </c>
      <c r="E13173" s="689">
        <v>4.4000000000000004</v>
      </c>
      <c r="F13173" s="689">
        <v>4.3</v>
      </c>
      <c r="G13173" s="689">
        <v>4.3</v>
      </c>
      <c r="H13173" s="689">
        <v>4.5</v>
      </c>
      <c r="I13173" s="689">
        <v>4.3</v>
      </c>
      <c r="J13173" s="689">
        <v>4.2</v>
      </c>
      <c r="K13173" s="689">
        <v>4.2</v>
      </c>
    </row>
    <row r="13174" spans="1:11">
      <c r="A13174" s="688" t="s">
        <v>16</v>
      </c>
      <c r="B13174" s="692" t="s">
        <v>4060</v>
      </c>
      <c r="C13174" s="691">
        <v>4.9000000000000004</v>
      </c>
      <c r="D13174" s="691">
        <v>4.5</v>
      </c>
      <c r="E13174" s="615">
        <v>5</v>
      </c>
      <c r="F13174" s="691">
        <v>4.5999999999999996</v>
      </c>
      <c r="G13174" s="691">
        <v>4.9000000000000004</v>
      </c>
      <c r="H13174" s="615">
        <v>5</v>
      </c>
      <c r="I13174" s="691">
        <v>4.8</v>
      </c>
      <c r="J13174" s="615">
        <v>5</v>
      </c>
      <c r="K13174" s="691">
        <v>4.8</v>
      </c>
    </row>
    <row r="13175" spans="1:11">
      <c r="A13175" s="688" t="s">
        <v>17</v>
      </c>
      <c r="B13175" s="690" t="s">
        <v>4060</v>
      </c>
      <c r="C13175" s="689">
        <v>4.8</v>
      </c>
      <c r="D13175" s="689">
        <v>4.7</v>
      </c>
      <c r="E13175" s="689">
        <v>4.7</v>
      </c>
      <c r="F13175" s="689">
        <v>4.7</v>
      </c>
      <c r="G13175" s="689">
        <v>4.7</v>
      </c>
      <c r="H13175" s="689">
        <v>4.8</v>
      </c>
      <c r="I13175" s="689">
        <v>4.4000000000000004</v>
      </c>
      <c r="J13175" s="689">
        <v>4.5</v>
      </c>
      <c r="K13175" s="689">
        <v>4.5999999999999996</v>
      </c>
    </row>
    <row r="13176" spans="1:11">
      <c r="A13176" s="688" t="s">
        <v>19</v>
      </c>
      <c r="B13176" s="692" t="s">
        <v>4060</v>
      </c>
      <c r="C13176" s="691">
        <v>4.9000000000000004</v>
      </c>
      <c r="D13176" s="691">
        <v>4.7</v>
      </c>
      <c r="E13176" s="691">
        <v>4.9000000000000004</v>
      </c>
      <c r="F13176" s="691">
        <v>4.9000000000000004</v>
      </c>
      <c r="G13176" s="691">
        <v>4.9000000000000004</v>
      </c>
      <c r="H13176" s="691">
        <v>4.9000000000000004</v>
      </c>
      <c r="I13176" s="691">
        <v>4.5999999999999996</v>
      </c>
      <c r="J13176" s="691">
        <v>4.8</v>
      </c>
      <c r="K13176" s="691">
        <v>4.5999999999999996</v>
      </c>
    </row>
    <row r="13177" spans="1:11">
      <c r="A13177" s="688" t="s">
        <v>20</v>
      </c>
      <c r="B13177" s="690" t="s">
        <v>4060</v>
      </c>
      <c r="C13177" s="689">
        <v>4.9000000000000004</v>
      </c>
      <c r="D13177" s="689">
        <v>4.7</v>
      </c>
      <c r="E13177" s="689">
        <v>4.9000000000000004</v>
      </c>
      <c r="F13177" s="689">
        <v>4.8</v>
      </c>
      <c r="G13177" s="689">
        <v>4.9000000000000004</v>
      </c>
      <c r="H13177" s="689">
        <v>5.0999999999999996</v>
      </c>
      <c r="I13177" s="689">
        <v>4.3</v>
      </c>
      <c r="J13177" s="689">
        <v>4.0999999999999996</v>
      </c>
      <c r="K13177" s="689">
        <v>4.5</v>
      </c>
    </row>
    <row r="13178" spans="1:11">
      <c r="A13178" s="688" t="s">
        <v>21</v>
      </c>
      <c r="B13178" s="692" t="s">
        <v>4060</v>
      </c>
      <c r="C13178" s="691">
        <v>4.9000000000000004</v>
      </c>
      <c r="D13178" s="691">
        <v>4.9000000000000004</v>
      </c>
      <c r="E13178" s="691">
        <v>4.9000000000000004</v>
      </c>
      <c r="F13178" s="615">
        <v>5</v>
      </c>
      <c r="G13178" s="615">
        <v>5</v>
      </c>
      <c r="H13178" s="691">
        <v>5.2</v>
      </c>
      <c r="I13178" s="691">
        <v>4.8</v>
      </c>
      <c r="J13178" s="691">
        <v>4.8</v>
      </c>
      <c r="K13178" s="691">
        <v>4.9000000000000004</v>
      </c>
    </row>
    <row r="13179" spans="1:11">
      <c r="A13179" s="688" t="s">
        <v>22</v>
      </c>
      <c r="B13179" s="690" t="s">
        <v>4060</v>
      </c>
      <c r="C13179" s="689">
        <v>4.5</v>
      </c>
      <c r="D13179" s="689">
        <v>4.5</v>
      </c>
      <c r="E13179" s="689">
        <v>4.8</v>
      </c>
      <c r="F13179" s="693">
        <v>5</v>
      </c>
      <c r="G13179" s="689">
        <v>5.0999999999999996</v>
      </c>
      <c r="H13179" s="689">
        <v>5.4</v>
      </c>
      <c r="I13179" s="689">
        <v>4.8</v>
      </c>
      <c r="J13179" s="689">
        <v>3.9</v>
      </c>
      <c r="K13179" s="689">
        <v>3.9</v>
      </c>
    </row>
    <row r="13180" spans="1:11">
      <c r="A13180" s="688" t="s">
        <v>26</v>
      </c>
      <c r="B13180" s="692" t="s">
        <v>4060</v>
      </c>
      <c r="C13180" s="691">
        <v>4.8</v>
      </c>
      <c r="D13180" s="691">
        <v>4.9000000000000004</v>
      </c>
      <c r="E13180" s="615">
        <v>5</v>
      </c>
      <c r="F13180" s="691">
        <v>4.7</v>
      </c>
      <c r="G13180" s="691">
        <v>4.7</v>
      </c>
      <c r="H13180" s="615">
        <v>5</v>
      </c>
      <c r="I13180" s="691">
        <v>4.2</v>
      </c>
      <c r="J13180" s="691">
        <v>4.5999999999999996</v>
      </c>
      <c r="K13180" s="691">
        <v>4.8</v>
      </c>
    </row>
    <row r="13181" spans="1:11">
      <c r="A13181" s="688" t="s">
        <v>25</v>
      </c>
      <c r="B13181" s="690" t="s">
        <v>4060</v>
      </c>
      <c r="C13181" s="689">
        <v>4.5999999999999996</v>
      </c>
      <c r="D13181" s="689">
        <v>4.5999999999999996</v>
      </c>
      <c r="E13181" s="689">
        <v>4.9000000000000004</v>
      </c>
      <c r="F13181" s="689">
        <v>4.7</v>
      </c>
      <c r="G13181" s="693">
        <v>5</v>
      </c>
      <c r="H13181" s="689">
        <v>5.3</v>
      </c>
      <c r="I13181" s="689">
        <v>4.9000000000000004</v>
      </c>
      <c r="J13181" s="689">
        <v>4.2</v>
      </c>
      <c r="K13181" s="689">
        <v>4.7</v>
      </c>
    </row>
    <row r="13182" spans="1:11">
      <c r="A13182" s="688" t="s">
        <v>5</v>
      </c>
      <c r="B13182" s="692" t="s">
        <v>4060</v>
      </c>
      <c r="C13182" s="691">
        <v>4.8</v>
      </c>
      <c r="D13182" s="691">
        <v>4.8</v>
      </c>
      <c r="E13182" s="691">
        <v>4.7</v>
      </c>
      <c r="F13182" s="691">
        <v>4.8</v>
      </c>
      <c r="G13182" s="691">
        <v>4.9000000000000004</v>
      </c>
      <c r="H13182" s="615">
        <v>5</v>
      </c>
      <c r="I13182" s="615">
        <v>5</v>
      </c>
      <c r="J13182" s="691">
        <v>4.9000000000000004</v>
      </c>
      <c r="K13182" s="691">
        <v>4.5999999999999996</v>
      </c>
    </row>
    <row r="13183" spans="1:11">
      <c r="A13183" s="688" t="s">
        <v>23</v>
      </c>
      <c r="B13183" s="690" t="s">
        <v>4060</v>
      </c>
      <c r="C13183" s="689">
        <v>4.9000000000000004</v>
      </c>
      <c r="D13183" s="689">
        <v>4.8</v>
      </c>
      <c r="E13183" s="689">
        <v>4.9000000000000004</v>
      </c>
      <c r="F13183" s="689">
        <v>4.8</v>
      </c>
      <c r="G13183" s="689">
        <v>4.9000000000000004</v>
      </c>
      <c r="H13183" s="689">
        <v>5.0999999999999996</v>
      </c>
      <c r="I13183" s="689">
        <v>4.5999999999999996</v>
      </c>
      <c r="J13183" s="693">
        <v>5</v>
      </c>
      <c r="K13183" s="689">
        <v>4.9000000000000004</v>
      </c>
    </row>
    <row r="13184" spans="1:11">
      <c r="A13184" s="688" t="s">
        <v>4067</v>
      </c>
      <c r="B13184" s="692" t="s">
        <v>4060</v>
      </c>
      <c r="C13184" s="692" t="s">
        <v>4060</v>
      </c>
      <c r="D13184" s="692" t="s">
        <v>4060</v>
      </c>
      <c r="E13184" s="692" t="s">
        <v>4060</v>
      </c>
      <c r="F13184" s="692" t="s">
        <v>4060</v>
      </c>
      <c r="G13184" s="692" t="s">
        <v>4060</v>
      </c>
      <c r="H13184" s="692" t="s">
        <v>4060</v>
      </c>
      <c r="I13184" s="692" t="s">
        <v>4060</v>
      </c>
      <c r="J13184" s="692" t="s">
        <v>4060</v>
      </c>
      <c r="K13184" s="692" t="s">
        <v>4060</v>
      </c>
    </row>
    <row r="13185" spans="1:11">
      <c r="A13185" s="688" t="s">
        <v>4066</v>
      </c>
      <c r="B13185" s="690" t="s">
        <v>4060</v>
      </c>
      <c r="C13185" s="690" t="s">
        <v>4060</v>
      </c>
      <c r="D13185" s="690" t="s">
        <v>4060</v>
      </c>
      <c r="E13185" s="690" t="s">
        <v>4060</v>
      </c>
      <c r="F13185" s="690" t="s">
        <v>4060</v>
      </c>
      <c r="G13185" s="690" t="s">
        <v>4060</v>
      </c>
      <c r="H13185" s="690" t="s">
        <v>4060</v>
      </c>
      <c r="I13185" s="690" t="s">
        <v>4060</v>
      </c>
      <c r="J13185" s="690" t="s">
        <v>4060</v>
      </c>
      <c r="K13185" s="690" t="s">
        <v>4060</v>
      </c>
    </row>
    <row r="13186" spans="1:11">
      <c r="A13186" s="688" t="s">
        <v>4062</v>
      </c>
      <c r="B13186" s="692" t="s">
        <v>4060</v>
      </c>
      <c r="C13186" s="691">
        <v>4.9000000000000004</v>
      </c>
      <c r="D13186" s="691">
        <v>4.8</v>
      </c>
      <c r="E13186" s="615">
        <v>5</v>
      </c>
      <c r="F13186" s="615">
        <v>5</v>
      </c>
      <c r="G13186" s="691">
        <v>5.0999999999999996</v>
      </c>
      <c r="H13186" s="691">
        <v>5.2</v>
      </c>
      <c r="I13186" s="691">
        <v>4.9000000000000004</v>
      </c>
      <c r="J13186" s="691">
        <v>5.2</v>
      </c>
      <c r="K13186" s="615">
        <v>5</v>
      </c>
    </row>
    <row r="13187" spans="1:11">
      <c r="A13187" s="688" t="s">
        <v>9</v>
      </c>
      <c r="B13187" s="690" t="s">
        <v>4060</v>
      </c>
      <c r="C13187" s="689">
        <v>4.8</v>
      </c>
      <c r="D13187" s="689">
        <v>4.5</v>
      </c>
      <c r="E13187" s="689">
        <v>4.4000000000000004</v>
      </c>
      <c r="F13187" s="689">
        <v>5.4</v>
      </c>
      <c r="G13187" s="693">
        <v>5</v>
      </c>
      <c r="H13187" s="689">
        <v>5.3</v>
      </c>
      <c r="I13187" s="689">
        <v>5.4</v>
      </c>
      <c r="J13187" s="689">
        <v>5.3</v>
      </c>
      <c r="K13187" s="693">
        <v>5</v>
      </c>
    </row>
    <row r="13188" spans="1:11">
      <c r="A13188" s="688" t="s">
        <v>13</v>
      </c>
      <c r="B13188" s="692" t="s">
        <v>4060</v>
      </c>
      <c r="C13188" s="691">
        <v>4.5999999999999996</v>
      </c>
      <c r="D13188" s="691">
        <v>4.8</v>
      </c>
      <c r="E13188" s="691">
        <v>3.9</v>
      </c>
      <c r="F13188" s="691">
        <v>6.4</v>
      </c>
      <c r="G13188" s="691">
        <v>5.9</v>
      </c>
      <c r="H13188" s="691">
        <v>4.5</v>
      </c>
      <c r="I13188" s="691">
        <v>4.2</v>
      </c>
      <c r="J13188" s="691">
        <v>5.5</v>
      </c>
      <c r="K13188" s="691">
        <v>5.2</v>
      </c>
    </row>
    <row r="13189" spans="1:11">
      <c r="A13189" s="688" t="s">
        <v>18</v>
      </c>
      <c r="B13189" s="690" t="s">
        <v>4060</v>
      </c>
      <c r="C13189" s="689">
        <v>4.8</v>
      </c>
      <c r="D13189" s="689">
        <v>4.8</v>
      </c>
      <c r="E13189" s="689">
        <v>4.9000000000000004</v>
      </c>
      <c r="F13189" s="693">
        <v>5</v>
      </c>
      <c r="G13189" s="693">
        <v>5</v>
      </c>
      <c r="H13189" s="693">
        <v>5</v>
      </c>
      <c r="I13189" s="689">
        <v>5.0999999999999996</v>
      </c>
      <c r="J13189" s="689">
        <v>5.0999999999999996</v>
      </c>
      <c r="K13189" s="689">
        <v>4.8</v>
      </c>
    </row>
    <row r="13190" spans="1:11">
      <c r="A13190" s="688" t="s">
        <v>24</v>
      </c>
      <c r="B13190" s="692" t="s">
        <v>4060</v>
      </c>
      <c r="C13190" s="615">
        <v>5</v>
      </c>
      <c r="D13190" s="691">
        <v>4.9000000000000004</v>
      </c>
      <c r="E13190" s="691">
        <v>5.2</v>
      </c>
      <c r="F13190" s="691">
        <v>5.0999999999999996</v>
      </c>
      <c r="G13190" s="691">
        <v>5.2</v>
      </c>
      <c r="H13190" s="691">
        <v>5.3</v>
      </c>
      <c r="I13190" s="691">
        <v>4.7</v>
      </c>
      <c r="J13190" s="691">
        <v>5.2</v>
      </c>
      <c r="K13190" s="691">
        <v>5.0999999999999996</v>
      </c>
    </row>
    <row r="13191" spans="1:11">
      <c r="A13191" s="688" t="s">
        <v>4059</v>
      </c>
      <c r="B13191" s="690" t="s">
        <v>4060</v>
      </c>
      <c r="C13191" s="690" t="s">
        <v>4060</v>
      </c>
      <c r="D13191" s="690" t="s">
        <v>4060</v>
      </c>
      <c r="E13191" s="690" t="s">
        <v>4060</v>
      </c>
      <c r="F13191" s="690" t="s">
        <v>4060</v>
      </c>
      <c r="G13191" s="690" t="s">
        <v>4060</v>
      </c>
      <c r="H13191" s="690" t="s">
        <v>4060</v>
      </c>
      <c r="I13191" s="690" t="s">
        <v>4060</v>
      </c>
      <c r="J13191" s="690" t="s">
        <v>4060</v>
      </c>
      <c r="K13191" s="690" t="s">
        <v>4060</v>
      </c>
    </row>
    <row r="13192" spans="1:11">
      <c r="A13192" s="688" t="s">
        <v>2324</v>
      </c>
      <c r="B13192" s="692" t="s">
        <v>4060</v>
      </c>
      <c r="C13192" s="692" t="s">
        <v>4060</v>
      </c>
      <c r="D13192" s="692" t="s">
        <v>4060</v>
      </c>
      <c r="E13192" s="692" t="s">
        <v>4060</v>
      </c>
      <c r="F13192" s="692" t="s">
        <v>4060</v>
      </c>
      <c r="G13192" s="692" t="s">
        <v>4060</v>
      </c>
      <c r="H13192" s="692" t="s">
        <v>4060</v>
      </c>
      <c r="I13192" s="692" t="s">
        <v>4060</v>
      </c>
      <c r="J13192" s="692" t="s">
        <v>4060</v>
      </c>
      <c r="K13192" s="692" t="s">
        <v>4060</v>
      </c>
    </row>
    <row r="13193" spans="1:11">
      <c r="A13193" s="688" t="s">
        <v>2322</v>
      </c>
      <c r="B13193" s="690" t="s">
        <v>4060</v>
      </c>
      <c r="C13193" s="690" t="s">
        <v>4060</v>
      </c>
      <c r="D13193" s="690" t="s">
        <v>4060</v>
      </c>
      <c r="E13193" s="690" t="s">
        <v>4060</v>
      </c>
      <c r="F13193" s="690" t="s">
        <v>4060</v>
      </c>
      <c r="G13193" s="690" t="s">
        <v>4060</v>
      </c>
      <c r="H13193" s="690" t="s">
        <v>4060</v>
      </c>
      <c r="I13193" s="690" t="s">
        <v>4060</v>
      </c>
      <c r="J13193" s="690" t="s">
        <v>4060</v>
      </c>
      <c r="K13193" s="690" t="s">
        <v>4060</v>
      </c>
    </row>
    <row r="13194" spans="1:11">
      <c r="A13194" s="688" t="s">
        <v>2328</v>
      </c>
      <c r="B13194" s="692" t="s">
        <v>4060</v>
      </c>
      <c r="C13194" s="692" t="s">
        <v>4060</v>
      </c>
      <c r="D13194" s="692" t="s">
        <v>4060</v>
      </c>
      <c r="E13194" s="692" t="s">
        <v>4060</v>
      </c>
      <c r="F13194" s="692" t="s">
        <v>4060</v>
      </c>
      <c r="G13194" s="692" t="s">
        <v>4060</v>
      </c>
      <c r="H13194" s="692" t="s">
        <v>4060</v>
      </c>
      <c r="I13194" s="692" t="s">
        <v>4060</v>
      </c>
      <c r="J13194" s="692" t="s">
        <v>4060</v>
      </c>
      <c r="K13194" s="692" t="s">
        <v>4060</v>
      </c>
    </row>
    <row r="13195" spans="1:11">
      <c r="A13195" s="688" t="s">
        <v>2496</v>
      </c>
      <c r="B13195" s="690" t="s">
        <v>4060</v>
      </c>
      <c r="C13195" s="690" t="s">
        <v>4060</v>
      </c>
      <c r="D13195" s="690" t="s">
        <v>4060</v>
      </c>
      <c r="E13195" s="690" t="s">
        <v>4060</v>
      </c>
      <c r="F13195" s="690" t="s">
        <v>4060</v>
      </c>
      <c r="G13195" s="690" t="s">
        <v>4060</v>
      </c>
      <c r="H13195" s="690" t="s">
        <v>4060</v>
      </c>
      <c r="I13195" s="690" t="s">
        <v>4060</v>
      </c>
      <c r="J13195" s="690" t="s">
        <v>4060</v>
      </c>
      <c r="K13195" s="690" t="s">
        <v>4060</v>
      </c>
    </row>
    <row r="13196" spans="1:11">
      <c r="A13196" s="688" t="s">
        <v>2269</v>
      </c>
      <c r="B13196" s="692" t="s">
        <v>4060</v>
      </c>
      <c r="C13196" s="692" t="s">
        <v>4060</v>
      </c>
      <c r="D13196" s="692" t="s">
        <v>4060</v>
      </c>
      <c r="E13196" s="692" t="s">
        <v>4060</v>
      </c>
      <c r="F13196" s="692" t="s">
        <v>4060</v>
      </c>
      <c r="G13196" s="692" t="s">
        <v>4060</v>
      </c>
      <c r="H13196" s="692" t="s">
        <v>4060</v>
      </c>
      <c r="I13196" s="692" t="s">
        <v>4060</v>
      </c>
      <c r="J13196" s="692" t="s">
        <v>4060</v>
      </c>
      <c r="K13196" s="692" t="s">
        <v>4060</v>
      </c>
    </row>
    <row r="13197" spans="1:11">
      <c r="A13197" s="688" t="s">
        <v>2349</v>
      </c>
      <c r="B13197" s="690" t="s">
        <v>4060</v>
      </c>
      <c r="C13197" s="690" t="s">
        <v>4060</v>
      </c>
      <c r="D13197" s="690" t="s">
        <v>4060</v>
      </c>
      <c r="E13197" s="690" t="s">
        <v>4060</v>
      </c>
      <c r="F13197" s="690" t="s">
        <v>4060</v>
      </c>
      <c r="G13197" s="690" t="s">
        <v>4060</v>
      </c>
      <c r="H13197" s="690" t="s">
        <v>4060</v>
      </c>
      <c r="I13197" s="690" t="s">
        <v>4060</v>
      </c>
      <c r="J13197" s="690" t="s">
        <v>4060</v>
      </c>
      <c r="K13197" s="690" t="s">
        <v>4060</v>
      </c>
    </row>
    <row r="13198" spans="1:11">
      <c r="A13198" s="688" t="s">
        <v>2355</v>
      </c>
      <c r="B13198" s="692" t="s">
        <v>4060</v>
      </c>
      <c r="C13198" s="692" t="s">
        <v>4060</v>
      </c>
      <c r="D13198" s="692" t="s">
        <v>4060</v>
      </c>
      <c r="E13198" s="692" t="s">
        <v>4060</v>
      </c>
      <c r="F13198" s="692" t="s">
        <v>4060</v>
      </c>
      <c r="G13198" s="692" t="s">
        <v>4060</v>
      </c>
      <c r="H13198" s="692" t="s">
        <v>4060</v>
      </c>
      <c r="I13198" s="692" t="s">
        <v>4060</v>
      </c>
      <c r="J13198" s="692" t="s">
        <v>4060</v>
      </c>
      <c r="K13198" s="692" t="s">
        <v>4060</v>
      </c>
    </row>
    <row r="13199" spans="1:11">
      <c r="A13199" s="688" t="s">
        <v>2357</v>
      </c>
      <c r="B13199" s="690" t="s">
        <v>4060</v>
      </c>
      <c r="C13199" s="690" t="s">
        <v>4060</v>
      </c>
      <c r="D13199" s="690" t="s">
        <v>4060</v>
      </c>
      <c r="E13199" s="690" t="s">
        <v>4060</v>
      </c>
      <c r="F13199" s="690" t="s">
        <v>4060</v>
      </c>
      <c r="G13199" s="690" t="s">
        <v>4060</v>
      </c>
      <c r="H13199" s="690" t="s">
        <v>4060</v>
      </c>
      <c r="I13199" s="690" t="s">
        <v>4060</v>
      </c>
      <c r="J13199" s="690" t="s">
        <v>4060</v>
      </c>
      <c r="K13199" s="690" t="s">
        <v>4060</v>
      </c>
    </row>
    <row r="13200" spans="1:11">
      <c r="A13200" s="688" t="s">
        <v>4070</v>
      </c>
      <c r="B13200" s="692" t="s">
        <v>4060</v>
      </c>
      <c r="C13200" s="692" t="s">
        <v>4060</v>
      </c>
      <c r="D13200" s="692" t="s">
        <v>4060</v>
      </c>
      <c r="E13200" s="692" t="s">
        <v>4060</v>
      </c>
      <c r="F13200" s="692" t="s">
        <v>4060</v>
      </c>
      <c r="G13200" s="692" t="s">
        <v>4060</v>
      </c>
      <c r="H13200" s="692" t="s">
        <v>4060</v>
      </c>
      <c r="I13200" s="692" t="s">
        <v>4060</v>
      </c>
      <c r="J13200" s="692" t="s">
        <v>4060</v>
      </c>
      <c r="K13200" s="692" t="s">
        <v>4060</v>
      </c>
    </row>
    <row r="13201" spans="1:11">
      <c r="A13201" s="688" t="s">
        <v>2491</v>
      </c>
      <c r="B13201" s="690" t="s">
        <v>4060</v>
      </c>
      <c r="C13201" s="690" t="s">
        <v>4060</v>
      </c>
      <c r="D13201" s="690" t="s">
        <v>4060</v>
      </c>
      <c r="E13201" s="690" t="s">
        <v>4060</v>
      </c>
      <c r="F13201" s="690" t="s">
        <v>4060</v>
      </c>
      <c r="G13201" s="690" t="s">
        <v>4060</v>
      </c>
      <c r="H13201" s="690" t="s">
        <v>4060</v>
      </c>
      <c r="I13201" s="690" t="s">
        <v>4060</v>
      </c>
      <c r="J13201" s="690" t="s">
        <v>4060</v>
      </c>
      <c r="K13201" s="690" t="s">
        <v>4060</v>
      </c>
    </row>
    <row r="13202" spans="1:11">
      <c r="A13202" s="688" t="s">
        <v>2343</v>
      </c>
      <c r="B13202" s="692" t="s">
        <v>4060</v>
      </c>
      <c r="C13202" s="692" t="s">
        <v>4060</v>
      </c>
      <c r="D13202" s="692" t="s">
        <v>4060</v>
      </c>
      <c r="E13202" s="692" t="s">
        <v>4060</v>
      </c>
      <c r="F13202" s="692" t="s">
        <v>4060</v>
      </c>
      <c r="G13202" s="692" t="s">
        <v>4060</v>
      </c>
      <c r="H13202" s="692" t="s">
        <v>4060</v>
      </c>
      <c r="I13202" s="692" t="s">
        <v>4060</v>
      </c>
      <c r="J13202" s="692" t="s">
        <v>4060</v>
      </c>
      <c r="K13202" s="692" t="s">
        <v>4060</v>
      </c>
    </row>
    <row r="13203" spans="1:11">
      <c r="A13203" s="688" t="s">
        <v>4071</v>
      </c>
      <c r="B13203" s="690" t="s">
        <v>4060</v>
      </c>
      <c r="C13203" s="690" t="s">
        <v>4060</v>
      </c>
      <c r="D13203" s="690" t="s">
        <v>4060</v>
      </c>
      <c r="E13203" s="690" t="s">
        <v>4060</v>
      </c>
      <c r="F13203" s="690" t="s">
        <v>4060</v>
      </c>
      <c r="G13203" s="690" t="s">
        <v>4060</v>
      </c>
      <c r="H13203" s="690" t="s">
        <v>4060</v>
      </c>
      <c r="I13203" s="690" t="s">
        <v>4060</v>
      </c>
      <c r="J13203" s="690" t="s">
        <v>4060</v>
      </c>
      <c r="K13203" s="690" t="s">
        <v>4060</v>
      </c>
    </row>
    <row r="13204" spans="1:11">
      <c r="A13204" s="688" t="s">
        <v>2489</v>
      </c>
      <c r="B13204" s="692" t="s">
        <v>4060</v>
      </c>
      <c r="C13204" s="692" t="s">
        <v>4060</v>
      </c>
      <c r="D13204" s="692" t="s">
        <v>4060</v>
      </c>
      <c r="E13204" s="692" t="s">
        <v>4060</v>
      </c>
      <c r="F13204" s="692" t="s">
        <v>4060</v>
      </c>
      <c r="G13204" s="692" t="s">
        <v>4060</v>
      </c>
      <c r="H13204" s="692" t="s">
        <v>4060</v>
      </c>
      <c r="I13204" s="692" t="s">
        <v>4060</v>
      </c>
      <c r="J13204" s="692" t="s">
        <v>4060</v>
      </c>
      <c r="K13204" s="692" t="s">
        <v>4060</v>
      </c>
    </row>
    <row r="13205" spans="1:11">
      <c r="A13205" s="688" t="s">
        <v>2490</v>
      </c>
      <c r="B13205" s="690" t="s">
        <v>4060</v>
      </c>
      <c r="C13205" s="690" t="s">
        <v>4060</v>
      </c>
      <c r="D13205" s="690" t="s">
        <v>4060</v>
      </c>
      <c r="E13205" s="690" t="s">
        <v>4060</v>
      </c>
      <c r="F13205" s="690" t="s">
        <v>4060</v>
      </c>
      <c r="G13205" s="690" t="s">
        <v>4060</v>
      </c>
      <c r="H13205" s="690" t="s">
        <v>4060</v>
      </c>
      <c r="I13205" s="690" t="s">
        <v>4060</v>
      </c>
      <c r="J13205" s="690" t="s">
        <v>4060</v>
      </c>
      <c r="K13205" s="690" t="s">
        <v>4060</v>
      </c>
    </row>
    <row r="13207" spans="1:11">
      <c r="A13207" s="683" t="s">
        <v>4233</v>
      </c>
    </row>
    <row r="13208" spans="1:11">
      <c r="A13208" s="683" t="s">
        <v>4060</v>
      </c>
      <c r="B13208" s="682" t="s">
        <v>4234</v>
      </c>
    </row>
    <row r="13210" spans="1:11">
      <c r="A13210" s="682" t="s">
        <v>4332</v>
      </c>
    </row>
    <row r="13211" spans="1:11">
      <c r="A13211" s="682" t="s">
        <v>4210</v>
      </c>
      <c r="B13211" s="683" t="s">
        <v>4211</v>
      </c>
    </row>
    <row r="13212" spans="1:11">
      <c r="A13212" s="682" t="s">
        <v>4212</v>
      </c>
      <c r="B13212" s="682" t="s">
        <v>4213</v>
      </c>
    </row>
    <row r="13214" spans="1:11">
      <c r="A13214" s="683" t="s">
        <v>4214</v>
      </c>
      <c r="C13214" s="682" t="s">
        <v>4215</v>
      </c>
    </row>
    <row r="13215" spans="1:11">
      <c r="A13215" s="683" t="s">
        <v>4216</v>
      </c>
      <c r="C13215" s="682" t="s">
        <v>2967</v>
      </c>
    </row>
    <row r="13216" spans="1:11">
      <c r="A13216" s="683" t="s">
        <v>3893</v>
      </c>
      <c r="C13216" s="682" t="s">
        <v>2168</v>
      </c>
    </row>
    <row r="13217" spans="1:11">
      <c r="A13217" s="683" t="s">
        <v>4218</v>
      </c>
      <c r="C13217" s="682" t="s">
        <v>4323</v>
      </c>
    </row>
    <row r="13219" spans="1:11">
      <c r="A13219" s="684" t="s">
        <v>4220</v>
      </c>
      <c r="B13219" s="685" t="s">
        <v>4221</v>
      </c>
      <c r="C13219" s="685" t="s">
        <v>4222</v>
      </c>
      <c r="D13219" s="685" t="s">
        <v>4223</v>
      </c>
      <c r="E13219" s="685" t="s">
        <v>4224</v>
      </c>
      <c r="F13219" s="685" t="s">
        <v>4225</v>
      </c>
      <c r="G13219" s="685" t="s">
        <v>4226</v>
      </c>
      <c r="H13219" s="685" t="s">
        <v>4227</v>
      </c>
      <c r="I13219" s="685" t="s">
        <v>4228</v>
      </c>
      <c r="J13219" s="685" t="s">
        <v>4229</v>
      </c>
      <c r="K13219" s="685" t="s">
        <v>4230</v>
      </c>
    </row>
    <row r="13220" spans="1:11">
      <c r="A13220" s="686" t="s">
        <v>4231</v>
      </c>
      <c r="B13220" s="687" t="s">
        <v>4232</v>
      </c>
      <c r="C13220" s="687" t="s">
        <v>4232</v>
      </c>
      <c r="D13220" s="687" t="s">
        <v>4232</v>
      </c>
      <c r="E13220" s="687" t="s">
        <v>4232</v>
      </c>
      <c r="F13220" s="687" t="s">
        <v>4232</v>
      </c>
      <c r="G13220" s="687" t="s">
        <v>4232</v>
      </c>
      <c r="H13220" s="687" t="s">
        <v>4232</v>
      </c>
      <c r="I13220" s="687" t="s">
        <v>4232</v>
      </c>
      <c r="J13220" s="687" t="s">
        <v>4232</v>
      </c>
      <c r="K13220" s="687" t="s">
        <v>4232</v>
      </c>
    </row>
    <row r="13221" spans="1:11">
      <c r="A13221" s="688" t="s">
        <v>4064</v>
      </c>
      <c r="B13221" s="690" t="s">
        <v>4060</v>
      </c>
      <c r="C13221" s="689">
        <v>4.5999999999999996</v>
      </c>
      <c r="D13221" s="690" t="s">
        <v>4060</v>
      </c>
      <c r="E13221" s="689">
        <v>4.5999999999999996</v>
      </c>
      <c r="F13221" s="689">
        <v>4.5</v>
      </c>
      <c r="G13221" s="689">
        <v>4.5999999999999996</v>
      </c>
      <c r="H13221" s="689">
        <v>4.7</v>
      </c>
      <c r="I13221" s="689">
        <v>4.3</v>
      </c>
      <c r="J13221" s="689">
        <v>4.4000000000000004</v>
      </c>
      <c r="K13221" s="689">
        <v>4.4000000000000004</v>
      </c>
    </row>
    <row r="13222" spans="1:11">
      <c r="A13222" s="688" t="s">
        <v>4065</v>
      </c>
      <c r="B13222" s="692" t="s">
        <v>4060</v>
      </c>
      <c r="C13222" s="692" t="s">
        <v>4060</v>
      </c>
      <c r="D13222" s="692" t="s">
        <v>4060</v>
      </c>
      <c r="E13222" s="692" t="s">
        <v>4060</v>
      </c>
      <c r="F13222" s="692" t="s">
        <v>4060</v>
      </c>
      <c r="G13222" s="692" t="s">
        <v>4060</v>
      </c>
      <c r="H13222" s="692" t="s">
        <v>4060</v>
      </c>
      <c r="I13222" s="692" t="s">
        <v>4060</v>
      </c>
      <c r="J13222" s="692" t="s">
        <v>4060</v>
      </c>
      <c r="K13222" s="692" t="s">
        <v>4060</v>
      </c>
    </row>
    <row r="13223" spans="1:11">
      <c r="A13223" s="688" t="s">
        <v>4063</v>
      </c>
      <c r="B13223" s="690" t="s">
        <v>4060</v>
      </c>
      <c r="C13223" s="690" t="s">
        <v>4060</v>
      </c>
      <c r="D13223" s="690" t="s">
        <v>4060</v>
      </c>
      <c r="E13223" s="690" t="s">
        <v>4060</v>
      </c>
      <c r="F13223" s="690" t="s">
        <v>4060</v>
      </c>
      <c r="G13223" s="690" t="s">
        <v>4060</v>
      </c>
      <c r="H13223" s="690" t="s">
        <v>4060</v>
      </c>
      <c r="I13223" s="690" t="s">
        <v>4060</v>
      </c>
      <c r="J13223" s="690" t="s">
        <v>4060</v>
      </c>
      <c r="K13223" s="690" t="s">
        <v>4060</v>
      </c>
    </row>
    <row r="13224" spans="1:11">
      <c r="A13224" s="688" t="s">
        <v>4069</v>
      </c>
      <c r="B13224" s="692" t="s">
        <v>4060</v>
      </c>
      <c r="C13224" s="691">
        <v>4.7</v>
      </c>
      <c r="D13224" s="691">
        <v>4.5</v>
      </c>
      <c r="E13224" s="691">
        <v>4.5999999999999996</v>
      </c>
      <c r="F13224" s="691">
        <v>4.5999999999999996</v>
      </c>
      <c r="G13224" s="691">
        <v>4.5999999999999996</v>
      </c>
      <c r="H13224" s="691">
        <v>4.7</v>
      </c>
      <c r="I13224" s="691">
        <v>4.4000000000000004</v>
      </c>
      <c r="J13224" s="691">
        <v>4.5</v>
      </c>
      <c r="K13224" s="691">
        <v>4.4000000000000004</v>
      </c>
    </row>
    <row r="13225" spans="1:11">
      <c r="A13225" s="688" t="s">
        <v>4068</v>
      </c>
      <c r="B13225" s="690" t="s">
        <v>4060</v>
      </c>
      <c r="C13225" s="690" t="s">
        <v>4060</v>
      </c>
      <c r="D13225" s="690" t="s">
        <v>4060</v>
      </c>
      <c r="E13225" s="690" t="s">
        <v>4060</v>
      </c>
      <c r="F13225" s="690" t="s">
        <v>4060</v>
      </c>
      <c r="G13225" s="690" t="s">
        <v>4060</v>
      </c>
      <c r="H13225" s="690" t="s">
        <v>4060</v>
      </c>
      <c r="I13225" s="690" t="s">
        <v>4060</v>
      </c>
      <c r="J13225" s="690" t="s">
        <v>4060</v>
      </c>
      <c r="K13225" s="690" t="s">
        <v>4060</v>
      </c>
    </row>
    <row r="13226" spans="1:11">
      <c r="A13226" s="688" t="s">
        <v>0</v>
      </c>
      <c r="B13226" s="692" t="s">
        <v>4060</v>
      </c>
      <c r="C13226" s="691">
        <v>4.5999999999999996</v>
      </c>
      <c r="D13226" s="691">
        <v>4.4000000000000004</v>
      </c>
      <c r="E13226" s="691">
        <v>4.5999999999999996</v>
      </c>
      <c r="F13226" s="691">
        <v>4.5</v>
      </c>
      <c r="G13226" s="691">
        <v>4.5999999999999996</v>
      </c>
      <c r="H13226" s="691">
        <v>4.7</v>
      </c>
      <c r="I13226" s="691">
        <v>4.0999999999999996</v>
      </c>
      <c r="J13226" s="691">
        <v>4.7</v>
      </c>
      <c r="K13226" s="691">
        <v>4.5999999999999996</v>
      </c>
    </row>
    <row r="13227" spans="1:11">
      <c r="A13227" s="688" t="s">
        <v>1</v>
      </c>
      <c r="B13227" s="690" t="s">
        <v>4060</v>
      </c>
      <c r="C13227" s="689">
        <v>3.6</v>
      </c>
      <c r="D13227" s="689">
        <v>3.5</v>
      </c>
      <c r="E13227" s="689">
        <v>3.6</v>
      </c>
      <c r="F13227" s="689">
        <v>3.5</v>
      </c>
      <c r="G13227" s="689">
        <v>3.6</v>
      </c>
      <c r="H13227" s="689">
        <v>3.6</v>
      </c>
      <c r="I13227" s="689">
        <v>3.2</v>
      </c>
      <c r="J13227" s="689">
        <v>2.9</v>
      </c>
      <c r="K13227" s="689">
        <v>3.2</v>
      </c>
    </row>
    <row r="13228" spans="1:11">
      <c r="A13228" s="688" t="s">
        <v>2240</v>
      </c>
      <c r="B13228" s="692" t="s">
        <v>4060</v>
      </c>
      <c r="C13228" s="615">
        <v>4</v>
      </c>
      <c r="D13228" s="691">
        <v>3.9</v>
      </c>
      <c r="E13228" s="691">
        <v>4.0999999999999996</v>
      </c>
      <c r="F13228" s="615">
        <v>4</v>
      </c>
      <c r="G13228" s="691">
        <v>4.0999999999999996</v>
      </c>
      <c r="H13228" s="691">
        <v>4.0999999999999996</v>
      </c>
      <c r="I13228" s="691">
        <v>3.7</v>
      </c>
      <c r="J13228" s="691">
        <v>3.6</v>
      </c>
      <c r="K13228" s="691">
        <v>3.8</v>
      </c>
    </row>
    <row r="13229" spans="1:11">
      <c r="A13229" s="688" t="s">
        <v>2</v>
      </c>
      <c r="B13229" s="690" t="s">
        <v>4060</v>
      </c>
      <c r="C13229" s="689">
        <v>4.4000000000000004</v>
      </c>
      <c r="D13229" s="689">
        <v>4.3</v>
      </c>
      <c r="E13229" s="689">
        <v>4.4000000000000004</v>
      </c>
      <c r="F13229" s="689">
        <v>4.4000000000000004</v>
      </c>
      <c r="G13229" s="689">
        <v>4.2</v>
      </c>
      <c r="H13229" s="689">
        <v>4.4000000000000004</v>
      </c>
      <c r="I13229" s="689">
        <v>4.4000000000000004</v>
      </c>
      <c r="J13229" s="689">
        <v>4.3</v>
      </c>
      <c r="K13229" s="689">
        <v>4.2</v>
      </c>
    </row>
    <row r="13230" spans="1:11">
      <c r="A13230" s="688" t="s">
        <v>3</v>
      </c>
      <c r="B13230" s="692" t="s">
        <v>4060</v>
      </c>
      <c r="C13230" s="691">
        <v>4.5</v>
      </c>
      <c r="D13230" s="691">
        <v>4.3</v>
      </c>
      <c r="E13230" s="691">
        <v>4.4000000000000004</v>
      </c>
      <c r="F13230" s="691">
        <v>4.4000000000000004</v>
      </c>
      <c r="G13230" s="691">
        <v>4.4000000000000004</v>
      </c>
      <c r="H13230" s="691">
        <v>4.5</v>
      </c>
      <c r="I13230" s="691">
        <v>4.3</v>
      </c>
      <c r="J13230" s="691">
        <v>4.3</v>
      </c>
      <c r="K13230" s="691">
        <v>4.0999999999999996</v>
      </c>
    </row>
    <row r="13231" spans="1:11">
      <c r="A13231" s="688" t="s">
        <v>4061</v>
      </c>
      <c r="B13231" s="690" t="s">
        <v>4060</v>
      </c>
      <c r="C13231" s="689">
        <v>4.5</v>
      </c>
      <c r="D13231" s="689">
        <v>4.3</v>
      </c>
      <c r="E13231" s="689">
        <v>4.4000000000000004</v>
      </c>
      <c r="F13231" s="689">
        <v>4.4000000000000004</v>
      </c>
      <c r="G13231" s="689">
        <v>4.4000000000000004</v>
      </c>
      <c r="H13231" s="689">
        <v>4.5</v>
      </c>
      <c r="I13231" s="689">
        <v>4.3</v>
      </c>
      <c r="J13231" s="689">
        <v>4.3</v>
      </c>
      <c r="K13231" s="689">
        <v>4.0999999999999996</v>
      </c>
    </row>
    <row r="13232" spans="1:11">
      <c r="A13232" s="688" t="s">
        <v>4</v>
      </c>
      <c r="B13232" s="692" t="s">
        <v>4060</v>
      </c>
      <c r="C13232" s="691">
        <v>4.0999999999999996</v>
      </c>
      <c r="D13232" s="691">
        <v>4.3</v>
      </c>
      <c r="E13232" s="691">
        <v>4.4000000000000004</v>
      </c>
      <c r="F13232" s="691">
        <v>4.5</v>
      </c>
      <c r="G13232" s="691">
        <v>4.2</v>
      </c>
      <c r="H13232" s="691">
        <v>4.5999999999999996</v>
      </c>
      <c r="I13232" s="691">
        <v>4.4000000000000004</v>
      </c>
      <c r="J13232" s="691">
        <v>3.9</v>
      </c>
      <c r="K13232" s="691">
        <v>3.9</v>
      </c>
    </row>
    <row r="13233" spans="1:11">
      <c r="A13233" s="688" t="s">
        <v>8</v>
      </c>
      <c r="B13233" s="690" t="s">
        <v>4060</v>
      </c>
      <c r="C13233" s="689">
        <v>4.4000000000000004</v>
      </c>
      <c r="D13233" s="689">
        <v>4.2</v>
      </c>
      <c r="E13233" s="689">
        <v>4.4000000000000004</v>
      </c>
      <c r="F13233" s="689">
        <v>4.7</v>
      </c>
      <c r="G13233" s="689">
        <v>4.5</v>
      </c>
      <c r="H13233" s="689">
        <v>4.5</v>
      </c>
      <c r="I13233" s="689">
        <v>4.5999999999999996</v>
      </c>
      <c r="J13233" s="689">
        <v>4.5999999999999996</v>
      </c>
      <c r="K13233" s="689">
        <v>4.7</v>
      </c>
    </row>
    <row r="13234" spans="1:11">
      <c r="A13234" s="688" t="s">
        <v>7</v>
      </c>
      <c r="B13234" s="692" t="s">
        <v>4060</v>
      </c>
      <c r="C13234" s="615">
        <v>4</v>
      </c>
      <c r="D13234" s="691">
        <v>3.9</v>
      </c>
      <c r="E13234" s="691">
        <v>4.2</v>
      </c>
      <c r="F13234" s="691">
        <v>4.0999999999999996</v>
      </c>
      <c r="G13234" s="691">
        <v>4.4000000000000004</v>
      </c>
      <c r="H13234" s="691">
        <v>4.5</v>
      </c>
      <c r="I13234" s="691">
        <v>4.5</v>
      </c>
      <c r="J13234" s="691">
        <v>4.4000000000000004</v>
      </c>
      <c r="K13234" s="691">
        <v>4.4000000000000004</v>
      </c>
    </row>
    <row r="13235" spans="1:11">
      <c r="A13235" s="688" t="s">
        <v>27</v>
      </c>
      <c r="B13235" s="690" t="s">
        <v>4060</v>
      </c>
      <c r="C13235" s="693">
        <v>5</v>
      </c>
      <c r="D13235" s="689">
        <v>4.7</v>
      </c>
      <c r="E13235" s="693">
        <v>5</v>
      </c>
      <c r="F13235" s="689">
        <v>4.8</v>
      </c>
      <c r="G13235" s="689">
        <v>4.9000000000000004</v>
      </c>
      <c r="H13235" s="689">
        <v>5.0999999999999996</v>
      </c>
      <c r="I13235" s="689">
        <v>4.4000000000000004</v>
      </c>
      <c r="J13235" s="689">
        <v>4.9000000000000004</v>
      </c>
      <c r="K13235" s="689">
        <v>4.7</v>
      </c>
    </row>
    <row r="13236" spans="1:11">
      <c r="A13236" s="688" t="s">
        <v>6</v>
      </c>
      <c r="B13236" s="692" t="s">
        <v>4060</v>
      </c>
      <c r="C13236" s="691">
        <v>5.0999999999999996</v>
      </c>
      <c r="D13236" s="691">
        <v>4.9000000000000004</v>
      </c>
      <c r="E13236" s="615">
        <v>5</v>
      </c>
      <c r="F13236" s="615">
        <v>5</v>
      </c>
      <c r="G13236" s="615">
        <v>5</v>
      </c>
      <c r="H13236" s="615">
        <v>5</v>
      </c>
      <c r="I13236" s="691">
        <v>4.7</v>
      </c>
      <c r="J13236" s="691">
        <v>4.9000000000000004</v>
      </c>
      <c r="K13236" s="691">
        <v>4.8</v>
      </c>
    </row>
    <row r="13237" spans="1:11">
      <c r="A13237" s="688" t="s">
        <v>4058</v>
      </c>
      <c r="B13237" s="690" t="s">
        <v>4060</v>
      </c>
      <c r="C13237" s="690" t="s">
        <v>4060</v>
      </c>
      <c r="D13237" s="690" t="s">
        <v>4060</v>
      </c>
      <c r="E13237" s="690" t="s">
        <v>4060</v>
      </c>
      <c r="F13237" s="690" t="s">
        <v>4060</v>
      </c>
      <c r="G13237" s="690" t="s">
        <v>4060</v>
      </c>
      <c r="H13237" s="690" t="s">
        <v>4060</v>
      </c>
      <c r="I13237" s="690" t="s">
        <v>4060</v>
      </c>
      <c r="J13237" s="690" t="s">
        <v>4060</v>
      </c>
      <c r="K13237" s="690" t="s">
        <v>4060</v>
      </c>
    </row>
    <row r="13238" spans="1:11">
      <c r="A13238" s="688" t="s">
        <v>11</v>
      </c>
      <c r="B13238" s="692" t="s">
        <v>4060</v>
      </c>
      <c r="C13238" s="691">
        <v>3.7</v>
      </c>
      <c r="D13238" s="691">
        <v>3.6</v>
      </c>
      <c r="E13238" s="691">
        <v>3.8</v>
      </c>
      <c r="F13238" s="691">
        <v>3.7</v>
      </c>
      <c r="G13238" s="691">
        <v>3.8</v>
      </c>
      <c r="H13238" s="691">
        <v>3.8</v>
      </c>
      <c r="I13238" s="691">
        <v>3.6</v>
      </c>
      <c r="J13238" s="691">
        <v>3.3</v>
      </c>
      <c r="K13238" s="691">
        <v>3.4</v>
      </c>
    </row>
    <row r="13239" spans="1:11">
      <c r="A13239" s="688" t="s">
        <v>10</v>
      </c>
      <c r="B13239" s="690" t="s">
        <v>4060</v>
      </c>
      <c r="C13239" s="689">
        <v>4.5999999999999996</v>
      </c>
      <c r="D13239" s="689">
        <v>4.4000000000000004</v>
      </c>
      <c r="E13239" s="689">
        <v>4.5999999999999996</v>
      </c>
      <c r="F13239" s="689">
        <v>4.5</v>
      </c>
      <c r="G13239" s="689">
        <v>4.7</v>
      </c>
      <c r="H13239" s="689">
        <v>4.7</v>
      </c>
      <c r="I13239" s="689">
        <v>4.3</v>
      </c>
      <c r="J13239" s="689">
        <v>4.5</v>
      </c>
      <c r="K13239" s="689">
        <v>4.3</v>
      </c>
    </row>
    <row r="13240" spans="1:11">
      <c r="A13240" s="688" t="s">
        <v>30</v>
      </c>
      <c r="B13240" s="692" t="s">
        <v>4060</v>
      </c>
      <c r="C13240" s="691">
        <v>4.5999999999999996</v>
      </c>
      <c r="D13240" s="615">
        <v>4</v>
      </c>
      <c r="E13240" s="615">
        <v>5</v>
      </c>
      <c r="F13240" s="691">
        <v>4.5</v>
      </c>
      <c r="G13240" s="691">
        <v>5.0999999999999996</v>
      </c>
      <c r="H13240" s="691">
        <v>4.8</v>
      </c>
      <c r="I13240" s="691">
        <v>4.9000000000000004</v>
      </c>
      <c r="J13240" s="691">
        <v>4.5999999999999996</v>
      </c>
      <c r="K13240" s="691">
        <v>4.5999999999999996</v>
      </c>
    </row>
    <row r="13241" spans="1:11">
      <c r="A13241" s="688" t="s">
        <v>12</v>
      </c>
      <c r="B13241" s="690" t="s">
        <v>4060</v>
      </c>
      <c r="C13241" s="689">
        <v>4.0999999999999996</v>
      </c>
      <c r="D13241" s="693">
        <v>4</v>
      </c>
      <c r="E13241" s="693">
        <v>4</v>
      </c>
      <c r="F13241" s="693">
        <v>4</v>
      </c>
      <c r="G13241" s="689">
        <v>4.0999999999999996</v>
      </c>
      <c r="H13241" s="689">
        <v>4.2</v>
      </c>
      <c r="I13241" s="693">
        <v>4</v>
      </c>
      <c r="J13241" s="689">
        <v>3.5</v>
      </c>
      <c r="K13241" s="689">
        <v>3.7</v>
      </c>
    </row>
    <row r="13242" spans="1:11">
      <c r="A13242" s="688" t="s">
        <v>14</v>
      </c>
      <c r="B13242" s="692" t="s">
        <v>4060</v>
      </c>
      <c r="C13242" s="691">
        <v>3.5</v>
      </c>
      <c r="D13242" s="691">
        <v>3.2</v>
      </c>
      <c r="E13242" s="691">
        <v>2.9</v>
      </c>
      <c r="F13242" s="691">
        <v>2.8</v>
      </c>
      <c r="G13242" s="691">
        <v>2.8</v>
      </c>
      <c r="H13242" s="691">
        <v>2.9</v>
      </c>
      <c r="I13242" s="691">
        <v>3.3</v>
      </c>
      <c r="J13242" s="691">
        <v>3.5</v>
      </c>
      <c r="K13242" s="691">
        <v>3.8</v>
      </c>
    </row>
    <row r="13243" spans="1:11">
      <c r="A13243" s="688" t="s">
        <v>15</v>
      </c>
      <c r="B13243" s="690" t="s">
        <v>4060</v>
      </c>
      <c r="C13243" s="689">
        <v>4.5</v>
      </c>
      <c r="D13243" s="689">
        <v>4.5999999999999996</v>
      </c>
      <c r="E13243" s="689">
        <v>4.4000000000000004</v>
      </c>
      <c r="F13243" s="689">
        <v>4.5</v>
      </c>
      <c r="G13243" s="689">
        <v>4.5999999999999996</v>
      </c>
      <c r="H13243" s="689">
        <v>4.5999999999999996</v>
      </c>
      <c r="I13243" s="689">
        <v>4.3</v>
      </c>
      <c r="J13243" s="689">
        <v>4.7</v>
      </c>
      <c r="K13243" s="689">
        <v>4.8</v>
      </c>
    </row>
    <row r="13244" spans="1:11">
      <c r="A13244" s="688" t="s">
        <v>29</v>
      </c>
      <c r="B13244" s="692" t="s">
        <v>4060</v>
      </c>
      <c r="C13244" s="691">
        <v>4.2</v>
      </c>
      <c r="D13244" s="615">
        <v>4</v>
      </c>
      <c r="E13244" s="691">
        <v>4.0999999999999996</v>
      </c>
      <c r="F13244" s="615">
        <v>4</v>
      </c>
      <c r="G13244" s="691">
        <v>4.0999999999999996</v>
      </c>
      <c r="H13244" s="691">
        <v>4.2</v>
      </c>
      <c r="I13244" s="691">
        <v>4.0999999999999996</v>
      </c>
      <c r="J13244" s="615">
        <v>4</v>
      </c>
      <c r="K13244" s="615">
        <v>4</v>
      </c>
    </row>
    <row r="13245" spans="1:11">
      <c r="A13245" s="688" t="s">
        <v>16</v>
      </c>
      <c r="B13245" s="690" t="s">
        <v>4060</v>
      </c>
      <c r="C13245" s="689">
        <v>4.5</v>
      </c>
      <c r="D13245" s="689">
        <v>4.0999999999999996</v>
      </c>
      <c r="E13245" s="689">
        <v>4.5999999999999996</v>
      </c>
      <c r="F13245" s="689">
        <v>4.2</v>
      </c>
      <c r="G13245" s="689">
        <v>4.5</v>
      </c>
      <c r="H13245" s="689">
        <v>4.5999999999999996</v>
      </c>
      <c r="I13245" s="689">
        <v>4.5</v>
      </c>
      <c r="J13245" s="689">
        <v>4.7</v>
      </c>
      <c r="K13245" s="689">
        <v>4.3</v>
      </c>
    </row>
    <row r="13246" spans="1:11">
      <c r="A13246" s="688" t="s">
        <v>17</v>
      </c>
      <c r="B13246" s="692" t="s">
        <v>4060</v>
      </c>
      <c r="C13246" s="691">
        <v>4.5</v>
      </c>
      <c r="D13246" s="691">
        <v>4.3</v>
      </c>
      <c r="E13246" s="691">
        <v>4.4000000000000004</v>
      </c>
      <c r="F13246" s="691">
        <v>4.4000000000000004</v>
      </c>
      <c r="G13246" s="691">
        <v>4.3</v>
      </c>
      <c r="H13246" s="691">
        <v>4.4000000000000004</v>
      </c>
      <c r="I13246" s="615">
        <v>4</v>
      </c>
      <c r="J13246" s="691">
        <v>4.0999999999999996</v>
      </c>
      <c r="K13246" s="691">
        <v>4.2</v>
      </c>
    </row>
    <row r="13247" spans="1:11">
      <c r="A13247" s="688" t="s">
        <v>19</v>
      </c>
      <c r="B13247" s="690" t="s">
        <v>4060</v>
      </c>
      <c r="C13247" s="689">
        <v>4.5999999999999996</v>
      </c>
      <c r="D13247" s="689">
        <v>4.4000000000000004</v>
      </c>
      <c r="E13247" s="689">
        <v>4.5</v>
      </c>
      <c r="F13247" s="689">
        <v>4.5</v>
      </c>
      <c r="G13247" s="689">
        <v>4.5</v>
      </c>
      <c r="H13247" s="689">
        <v>4.5</v>
      </c>
      <c r="I13247" s="689">
        <v>4.2</v>
      </c>
      <c r="J13247" s="689">
        <v>4.3</v>
      </c>
      <c r="K13247" s="689">
        <v>4.2</v>
      </c>
    </row>
    <row r="13248" spans="1:11">
      <c r="A13248" s="688" t="s">
        <v>20</v>
      </c>
      <c r="B13248" s="692" t="s">
        <v>4060</v>
      </c>
      <c r="C13248" s="691">
        <v>4.5999999999999996</v>
      </c>
      <c r="D13248" s="691">
        <v>4.4000000000000004</v>
      </c>
      <c r="E13248" s="691">
        <v>4.5999999999999996</v>
      </c>
      <c r="F13248" s="691">
        <v>4.5999999999999996</v>
      </c>
      <c r="G13248" s="691">
        <v>4.5999999999999996</v>
      </c>
      <c r="H13248" s="691">
        <v>4.8</v>
      </c>
      <c r="I13248" s="615">
        <v>4</v>
      </c>
      <c r="J13248" s="691">
        <v>3.8</v>
      </c>
      <c r="K13248" s="691">
        <v>4.2</v>
      </c>
    </row>
    <row r="13249" spans="1:11">
      <c r="A13249" s="688" t="s">
        <v>21</v>
      </c>
      <c r="B13249" s="690" t="s">
        <v>4060</v>
      </c>
      <c r="C13249" s="689">
        <v>4.5999999999999996</v>
      </c>
      <c r="D13249" s="689">
        <v>4.5999999999999996</v>
      </c>
      <c r="E13249" s="689">
        <v>4.5999999999999996</v>
      </c>
      <c r="F13249" s="689">
        <v>4.5999999999999996</v>
      </c>
      <c r="G13249" s="689">
        <v>4.5999999999999996</v>
      </c>
      <c r="H13249" s="689">
        <v>4.8</v>
      </c>
      <c r="I13249" s="689">
        <v>4.5</v>
      </c>
      <c r="J13249" s="689">
        <v>4.4000000000000004</v>
      </c>
      <c r="K13249" s="689">
        <v>4.5</v>
      </c>
    </row>
    <row r="13250" spans="1:11">
      <c r="A13250" s="688" t="s">
        <v>22</v>
      </c>
      <c r="B13250" s="692" t="s">
        <v>4060</v>
      </c>
      <c r="C13250" s="691">
        <v>4.3</v>
      </c>
      <c r="D13250" s="691">
        <v>4.3</v>
      </c>
      <c r="E13250" s="691">
        <v>4.5999999999999996</v>
      </c>
      <c r="F13250" s="691">
        <v>4.8</v>
      </c>
      <c r="G13250" s="691">
        <v>4.9000000000000004</v>
      </c>
      <c r="H13250" s="691">
        <v>5.3</v>
      </c>
      <c r="I13250" s="691">
        <v>4.7</v>
      </c>
      <c r="J13250" s="691">
        <v>3.8</v>
      </c>
      <c r="K13250" s="691">
        <v>3.6</v>
      </c>
    </row>
    <row r="13251" spans="1:11">
      <c r="A13251" s="688" t="s">
        <v>26</v>
      </c>
      <c r="B13251" s="690" t="s">
        <v>4060</v>
      </c>
      <c r="C13251" s="689">
        <v>4.7</v>
      </c>
      <c r="D13251" s="689">
        <v>4.5</v>
      </c>
      <c r="E13251" s="689">
        <v>4.7</v>
      </c>
      <c r="F13251" s="689">
        <v>4.3</v>
      </c>
      <c r="G13251" s="689">
        <v>4.4000000000000004</v>
      </c>
      <c r="H13251" s="689">
        <v>4.5999999999999996</v>
      </c>
      <c r="I13251" s="689">
        <v>3.8</v>
      </c>
      <c r="J13251" s="689">
        <v>4.3</v>
      </c>
      <c r="K13251" s="689">
        <v>4.4000000000000004</v>
      </c>
    </row>
    <row r="13252" spans="1:11">
      <c r="A13252" s="688" t="s">
        <v>25</v>
      </c>
      <c r="B13252" s="692" t="s">
        <v>4060</v>
      </c>
      <c r="C13252" s="691">
        <v>4.4000000000000004</v>
      </c>
      <c r="D13252" s="691">
        <v>4.4000000000000004</v>
      </c>
      <c r="E13252" s="691">
        <v>4.7</v>
      </c>
      <c r="F13252" s="691">
        <v>4.5</v>
      </c>
      <c r="G13252" s="691">
        <v>4.9000000000000004</v>
      </c>
      <c r="H13252" s="691">
        <v>5.0999999999999996</v>
      </c>
      <c r="I13252" s="691">
        <v>4.8</v>
      </c>
      <c r="J13252" s="691">
        <v>4.0999999999999996</v>
      </c>
      <c r="K13252" s="691">
        <v>4.4000000000000004</v>
      </c>
    </row>
    <row r="13253" spans="1:11">
      <c r="A13253" s="688" t="s">
        <v>5</v>
      </c>
      <c r="B13253" s="690" t="s">
        <v>4060</v>
      </c>
      <c r="C13253" s="689">
        <v>4.4000000000000004</v>
      </c>
      <c r="D13253" s="689">
        <v>4.5</v>
      </c>
      <c r="E13253" s="689">
        <v>4.3</v>
      </c>
      <c r="F13253" s="689">
        <v>4.4000000000000004</v>
      </c>
      <c r="G13253" s="689">
        <v>4.5</v>
      </c>
      <c r="H13253" s="689">
        <v>4.5999999999999996</v>
      </c>
      <c r="I13253" s="689">
        <v>4.5999999999999996</v>
      </c>
      <c r="J13253" s="689">
        <v>4.5</v>
      </c>
      <c r="K13253" s="689">
        <v>4.2</v>
      </c>
    </row>
    <row r="13254" spans="1:11">
      <c r="A13254" s="688" t="s">
        <v>23</v>
      </c>
      <c r="B13254" s="692" t="s">
        <v>4060</v>
      </c>
      <c r="C13254" s="691">
        <v>4.5</v>
      </c>
      <c r="D13254" s="691">
        <v>4.4000000000000004</v>
      </c>
      <c r="E13254" s="691">
        <v>4.5</v>
      </c>
      <c r="F13254" s="691">
        <v>4.4000000000000004</v>
      </c>
      <c r="G13254" s="691">
        <v>4.5</v>
      </c>
      <c r="H13254" s="691">
        <v>4.5999999999999996</v>
      </c>
      <c r="I13254" s="691">
        <v>4.2</v>
      </c>
      <c r="J13254" s="691">
        <v>4.5999999999999996</v>
      </c>
      <c r="K13254" s="691">
        <v>4.5</v>
      </c>
    </row>
    <row r="13255" spans="1:11">
      <c r="A13255" s="688" t="s">
        <v>4067</v>
      </c>
      <c r="B13255" s="690" t="s">
        <v>4060</v>
      </c>
      <c r="C13255" s="690" t="s">
        <v>4060</v>
      </c>
      <c r="D13255" s="690" t="s">
        <v>4060</v>
      </c>
      <c r="E13255" s="690" t="s">
        <v>4060</v>
      </c>
      <c r="F13255" s="690" t="s">
        <v>4060</v>
      </c>
      <c r="G13255" s="690" t="s">
        <v>4060</v>
      </c>
      <c r="H13255" s="690" t="s">
        <v>4060</v>
      </c>
      <c r="I13255" s="690" t="s">
        <v>4060</v>
      </c>
      <c r="J13255" s="690" t="s">
        <v>4060</v>
      </c>
      <c r="K13255" s="690" t="s">
        <v>4060</v>
      </c>
    </row>
    <row r="13256" spans="1:11">
      <c r="A13256" s="688" t="s">
        <v>4066</v>
      </c>
      <c r="B13256" s="692" t="s">
        <v>4060</v>
      </c>
      <c r="C13256" s="692" t="s">
        <v>4060</v>
      </c>
      <c r="D13256" s="692" t="s">
        <v>4060</v>
      </c>
      <c r="E13256" s="692" t="s">
        <v>4060</v>
      </c>
      <c r="F13256" s="692" t="s">
        <v>4060</v>
      </c>
      <c r="G13256" s="692" t="s">
        <v>4060</v>
      </c>
      <c r="H13256" s="692" t="s">
        <v>4060</v>
      </c>
      <c r="I13256" s="692" t="s">
        <v>4060</v>
      </c>
      <c r="J13256" s="692" t="s">
        <v>4060</v>
      </c>
      <c r="K13256" s="692" t="s">
        <v>4060</v>
      </c>
    </row>
    <row r="13257" spans="1:11">
      <c r="A13257" s="688" t="s">
        <v>4062</v>
      </c>
      <c r="B13257" s="690" t="s">
        <v>4060</v>
      </c>
      <c r="C13257" s="689">
        <v>4.5999999999999996</v>
      </c>
      <c r="D13257" s="689">
        <v>4.5</v>
      </c>
      <c r="E13257" s="689">
        <v>4.7</v>
      </c>
      <c r="F13257" s="689">
        <v>4.5999999999999996</v>
      </c>
      <c r="G13257" s="689">
        <v>4.7</v>
      </c>
      <c r="H13257" s="689">
        <v>4.8</v>
      </c>
      <c r="I13257" s="689">
        <v>4.5</v>
      </c>
      <c r="J13257" s="689">
        <v>4.8</v>
      </c>
      <c r="K13257" s="689">
        <v>4.5</v>
      </c>
    </row>
    <row r="13258" spans="1:11">
      <c r="A13258" s="688" t="s">
        <v>9</v>
      </c>
      <c r="B13258" s="692" t="s">
        <v>4060</v>
      </c>
      <c r="C13258" s="691">
        <v>4.2</v>
      </c>
      <c r="D13258" s="691">
        <v>4.2</v>
      </c>
      <c r="E13258" s="691">
        <v>4.0999999999999996</v>
      </c>
      <c r="F13258" s="691">
        <v>4.9000000000000004</v>
      </c>
      <c r="G13258" s="691">
        <v>4.7</v>
      </c>
      <c r="H13258" s="691">
        <v>4.8</v>
      </c>
      <c r="I13258" s="615">
        <v>5</v>
      </c>
      <c r="J13258" s="691">
        <v>4.9000000000000004</v>
      </c>
      <c r="K13258" s="691">
        <v>4.5999999999999996</v>
      </c>
    </row>
    <row r="13259" spans="1:11">
      <c r="A13259" s="688" t="s">
        <v>13</v>
      </c>
      <c r="B13259" s="690" t="s">
        <v>4060</v>
      </c>
      <c r="C13259" s="693">
        <v>4</v>
      </c>
      <c r="D13259" s="689">
        <v>4.2</v>
      </c>
      <c r="E13259" s="689">
        <v>3.6</v>
      </c>
      <c r="F13259" s="689">
        <v>6.2</v>
      </c>
      <c r="G13259" s="689">
        <v>4.9000000000000004</v>
      </c>
      <c r="H13259" s="689">
        <v>4.0999999999999996</v>
      </c>
      <c r="I13259" s="689">
        <v>3.6</v>
      </c>
      <c r="J13259" s="689">
        <v>4.8</v>
      </c>
      <c r="K13259" s="689">
        <v>4.5999999999999996</v>
      </c>
    </row>
    <row r="13260" spans="1:11">
      <c r="A13260" s="688" t="s">
        <v>18</v>
      </c>
      <c r="B13260" s="692" t="s">
        <v>4060</v>
      </c>
      <c r="C13260" s="691">
        <v>4.5</v>
      </c>
      <c r="D13260" s="691">
        <v>4.4000000000000004</v>
      </c>
      <c r="E13260" s="691">
        <v>4.5</v>
      </c>
      <c r="F13260" s="691">
        <v>4.5999999999999996</v>
      </c>
      <c r="G13260" s="691">
        <v>4.5999999999999996</v>
      </c>
      <c r="H13260" s="691">
        <v>4.7</v>
      </c>
      <c r="I13260" s="691">
        <v>4.7</v>
      </c>
      <c r="J13260" s="691">
        <v>4.8</v>
      </c>
      <c r="K13260" s="691">
        <v>4.3</v>
      </c>
    </row>
    <row r="13261" spans="1:11">
      <c r="A13261" s="688" t="s">
        <v>24</v>
      </c>
      <c r="B13261" s="690" t="s">
        <v>4060</v>
      </c>
      <c r="C13261" s="689">
        <v>4.7</v>
      </c>
      <c r="D13261" s="689">
        <v>4.5</v>
      </c>
      <c r="E13261" s="689">
        <v>4.8</v>
      </c>
      <c r="F13261" s="689">
        <v>4.7</v>
      </c>
      <c r="G13261" s="689">
        <v>4.8</v>
      </c>
      <c r="H13261" s="689">
        <v>4.9000000000000004</v>
      </c>
      <c r="I13261" s="689">
        <v>4.3</v>
      </c>
      <c r="J13261" s="689">
        <v>4.8</v>
      </c>
      <c r="K13261" s="689">
        <v>4.5999999999999996</v>
      </c>
    </row>
    <row r="13262" spans="1:11">
      <c r="A13262" s="688" t="s">
        <v>4059</v>
      </c>
      <c r="B13262" s="692" t="s">
        <v>4060</v>
      </c>
      <c r="C13262" s="692" t="s">
        <v>4060</v>
      </c>
      <c r="D13262" s="692" t="s">
        <v>4060</v>
      </c>
      <c r="E13262" s="692" t="s">
        <v>4060</v>
      </c>
      <c r="F13262" s="692" t="s">
        <v>4060</v>
      </c>
      <c r="G13262" s="692" t="s">
        <v>4060</v>
      </c>
      <c r="H13262" s="692" t="s">
        <v>4060</v>
      </c>
      <c r="I13262" s="692" t="s">
        <v>4060</v>
      </c>
      <c r="J13262" s="692" t="s">
        <v>4060</v>
      </c>
      <c r="K13262" s="692" t="s">
        <v>4060</v>
      </c>
    </row>
    <row r="13263" spans="1:11">
      <c r="A13263" s="688" t="s">
        <v>2324</v>
      </c>
      <c r="B13263" s="690" t="s">
        <v>4060</v>
      </c>
      <c r="C13263" s="690" t="s">
        <v>4060</v>
      </c>
      <c r="D13263" s="690" t="s">
        <v>4060</v>
      </c>
      <c r="E13263" s="690" t="s">
        <v>4060</v>
      </c>
      <c r="F13263" s="690" t="s">
        <v>4060</v>
      </c>
      <c r="G13263" s="690" t="s">
        <v>4060</v>
      </c>
      <c r="H13263" s="690" t="s">
        <v>4060</v>
      </c>
      <c r="I13263" s="690" t="s">
        <v>4060</v>
      </c>
      <c r="J13263" s="690" t="s">
        <v>4060</v>
      </c>
      <c r="K13263" s="690" t="s">
        <v>4060</v>
      </c>
    </row>
    <row r="13264" spans="1:11">
      <c r="A13264" s="688" t="s">
        <v>2322</v>
      </c>
      <c r="B13264" s="692" t="s">
        <v>4060</v>
      </c>
      <c r="C13264" s="692" t="s">
        <v>4060</v>
      </c>
      <c r="D13264" s="692" t="s">
        <v>4060</v>
      </c>
      <c r="E13264" s="692" t="s">
        <v>4060</v>
      </c>
      <c r="F13264" s="692" t="s">
        <v>4060</v>
      </c>
      <c r="G13264" s="692" t="s">
        <v>4060</v>
      </c>
      <c r="H13264" s="692" t="s">
        <v>4060</v>
      </c>
      <c r="I13264" s="692" t="s">
        <v>4060</v>
      </c>
      <c r="J13264" s="692" t="s">
        <v>4060</v>
      </c>
      <c r="K13264" s="692" t="s">
        <v>4060</v>
      </c>
    </row>
    <row r="13265" spans="1:11">
      <c r="A13265" s="688" t="s">
        <v>2328</v>
      </c>
      <c r="B13265" s="690" t="s">
        <v>4060</v>
      </c>
      <c r="C13265" s="690" t="s">
        <v>4060</v>
      </c>
      <c r="D13265" s="690" t="s">
        <v>4060</v>
      </c>
      <c r="E13265" s="690" t="s">
        <v>4060</v>
      </c>
      <c r="F13265" s="690" t="s">
        <v>4060</v>
      </c>
      <c r="G13265" s="690" t="s">
        <v>4060</v>
      </c>
      <c r="H13265" s="690" t="s">
        <v>4060</v>
      </c>
      <c r="I13265" s="690" t="s">
        <v>4060</v>
      </c>
      <c r="J13265" s="690" t="s">
        <v>4060</v>
      </c>
      <c r="K13265" s="690" t="s">
        <v>4060</v>
      </c>
    </row>
    <row r="13266" spans="1:11">
      <c r="A13266" s="688" t="s">
        <v>2496</v>
      </c>
      <c r="B13266" s="692" t="s">
        <v>4060</v>
      </c>
      <c r="C13266" s="692" t="s">
        <v>4060</v>
      </c>
      <c r="D13266" s="692" t="s">
        <v>4060</v>
      </c>
      <c r="E13266" s="692" t="s">
        <v>4060</v>
      </c>
      <c r="F13266" s="692" t="s">
        <v>4060</v>
      </c>
      <c r="G13266" s="692" t="s">
        <v>4060</v>
      </c>
      <c r="H13266" s="692" t="s">
        <v>4060</v>
      </c>
      <c r="I13266" s="692" t="s">
        <v>4060</v>
      </c>
      <c r="J13266" s="692" t="s">
        <v>4060</v>
      </c>
      <c r="K13266" s="692" t="s">
        <v>4060</v>
      </c>
    </row>
    <row r="13267" spans="1:11">
      <c r="A13267" s="688" t="s">
        <v>2269</v>
      </c>
      <c r="B13267" s="690" t="s">
        <v>4060</v>
      </c>
      <c r="C13267" s="690" t="s">
        <v>4060</v>
      </c>
      <c r="D13267" s="690" t="s">
        <v>4060</v>
      </c>
      <c r="E13267" s="690" t="s">
        <v>4060</v>
      </c>
      <c r="F13267" s="690" t="s">
        <v>4060</v>
      </c>
      <c r="G13267" s="690" t="s">
        <v>4060</v>
      </c>
      <c r="H13267" s="690" t="s">
        <v>4060</v>
      </c>
      <c r="I13267" s="690" t="s">
        <v>4060</v>
      </c>
      <c r="J13267" s="690" t="s">
        <v>4060</v>
      </c>
      <c r="K13267" s="690" t="s">
        <v>4060</v>
      </c>
    </row>
    <row r="13268" spans="1:11">
      <c r="A13268" s="688" t="s">
        <v>2349</v>
      </c>
      <c r="B13268" s="692" t="s">
        <v>4060</v>
      </c>
      <c r="C13268" s="692" t="s">
        <v>4060</v>
      </c>
      <c r="D13268" s="692" t="s">
        <v>4060</v>
      </c>
      <c r="E13268" s="692" t="s">
        <v>4060</v>
      </c>
      <c r="F13268" s="692" t="s">
        <v>4060</v>
      </c>
      <c r="G13268" s="692" t="s">
        <v>4060</v>
      </c>
      <c r="H13268" s="692" t="s">
        <v>4060</v>
      </c>
      <c r="I13268" s="692" t="s">
        <v>4060</v>
      </c>
      <c r="J13268" s="692" t="s">
        <v>4060</v>
      </c>
      <c r="K13268" s="692" t="s">
        <v>4060</v>
      </c>
    </row>
    <row r="13269" spans="1:11">
      <c r="A13269" s="688" t="s">
        <v>2355</v>
      </c>
      <c r="B13269" s="690" t="s">
        <v>4060</v>
      </c>
      <c r="C13269" s="690" t="s">
        <v>4060</v>
      </c>
      <c r="D13269" s="690" t="s">
        <v>4060</v>
      </c>
      <c r="E13269" s="690" t="s">
        <v>4060</v>
      </c>
      <c r="F13269" s="690" t="s">
        <v>4060</v>
      </c>
      <c r="G13269" s="690" t="s">
        <v>4060</v>
      </c>
      <c r="H13269" s="690" t="s">
        <v>4060</v>
      </c>
      <c r="I13269" s="690" t="s">
        <v>4060</v>
      </c>
      <c r="J13269" s="690" t="s">
        <v>4060</v>
      </c>
      <c r="K13269" s="690" t="s">
        <v>4060</v>
      </c>
    </row>
    <row r="13270" spans="1:11">
      <c r="A13270" s="688" t="s">
        <v>2357</v>
      </c>
      <c r="B13270" s="692" t="s">
        <v>4060</v>
      </c>
      <c r="C13270" s="692" t="s">
        <v>4060</v>
      </c>
      <c r="D13270" s="692" t="s">
        <v>4060</v>
      </c>
      <c r="E13270" s="692" t="s">
        <v>4060</v>
      </c>
      <c r="F13270" s="692" t="s">
        <v>4060</v>
      </c>
      <c r="G13270" s="692" t="s">
        <v>4060</v>
      </c>
      <c r="H13270" s="692" t="s">
        <v>4060</v>
      </c>
      <c r="I13270" s="692" t="s">
        <v>4060</v>
      </c>
      <c r="J13270" s="692" t="s">
        <v>4060</v>
      </c>
      <c r="K13270" s="692" t="s">
        <v>4060</v>
      </c>
    </row>
    <row r="13271" spans="1:11">
      <c r="A13271" s="688" t="s">
        <v>4070</v>
      </c>
      <c r="B13271" s="690" t="s">
        <v>4060</v>
      </c>
      <c r="C13271" s="690" t="s">
        <v>4060</v>
      </c>
      <c r="D13271" s="690" t="s">
        <v>4060</v>
      </c>
      <c r="E13271" s="690" t="s">
        <v>4060</v>
      </c>
      <c r="F13271" s="690" t="s">
        <v>4060</v>
      </c>
      <c r="G13271" s="690" t="s">
        <v>4060</v>
      </c>
      <c r="H13271" s="690" t="s">
        <v>4060</v>
      </c>
      <c r="I13271" s="690" t="s">
        <v>4060</v>
      </c>
      <c r="J13271" s="690" t="s">
        <v>4060</v>
      </c>
      <c r="K13271" s="690" t="s">
        <v>4060</v>
      </c>
    </row>
    <row r="13272" spans="1:11">
      <c r="A13272" s="688" t="s">
        <v>2491</v>
      </c>
      <c r="B13272" s="692" t="s">
        <v>4060</v>
      </c>
      <c r="C13272" s="692" t="s">
        <v>4060</v>
      </c>
      <c r="D13272" s="692" t="s">
        <v>4060</v>
      </c>
      <c r="E13272" s="692" t="s">
        <v>4060</v>
      </c>
      <c r="F13272" s="692" t="s">
        <v>4060</v>
      </c>
      <c r="G13272" s="692" t="s">
        <v>4060</v>
      </c>
      <c r="H13272" s="692" t="s">
        <v>4060</v>
      </c>
      <c r="I13272" s="692" t="s">
        <v>4060</v>
      </c>
      <c r="J13272" s="692" t="s">
        <v>4060</v>
      </c>
      <c r="K13272" s="692" t="s">
        <v>4060</v>
      </c>
    </row>
    <row r="13273" spans="1:11">
      <c r="A13273" s="688" t="s">
        <v>2343</v>
      </c>
      <c r="B13273" s="690" t="s">
        <v>4060</v>
      </c>
      <c r="C13273" s="690" t="s">
        <v>4060</v>
      </c>
      <c r="D13273" s="690" t="s">
        <v>4060</v>
      </c>
      <c r="E13273" s="690" t="s">
        <v>4060</v>
      </c>
      <c r="F13273" s="690" t="s">
        <v>4060</v>
      </c>
      <c r="G13273" s="690" t="s">
        <v>4060</v>
      </c>
      <c r="H13273" s="690" t="s">
        <v>4060</v>
      </c>
      <c r="I13273" s="690" t="s">
        <v>4060</v>
      </c>
      <c r="J13273" s="690" t="s">
        <v>4060</v>
      </c>
      <c r="K13273" s="690" t="s">
        <v>4060</v>
      </c>
    </row>
    <row r="13274" spans="1:11">
      <c r="A13274" s="688" t="s">
        <v>4071</v>
      </c>
      <c r="B13274" s="692" t="s">
        <v>4060</v>
      </c>
      <c r="C13274" s="692" t="s">
        <v>4060</v>
      </c>
      <c r="D13274" s="692" t="s">
        <v>4060</v>
      </c>
      <c r="E13274" s="692" t="s">
        <v>4060</v>
      </c>
      <c r="F13274" s="692" t="s">
        <v>4060</v>
      </c>
      <c r="G13274" s="692" t="s">
        <v>4060</v>
      </c>
      <c r="H13274" s="692" t="s">
        <v>4060</v>
      </c>
      <c r="I13274" s="692" t="s">
        <v>4060</v>
      </c>
      <c r="J13274" s="692" t="s">
        <v>4060</v>
      </c>
      <c r="K13274" s="692" t="s">
        <v>4060</v>
      </c>
    </row>
    <row r="13275" spans="1:11">
      <c r="A13275" s="688" t="s">
        <v>2489</v>
      </c>
      <c r="B13275" s="690" t="s">
        <v>4060</v>
      </c>
      <c r="C13275" s="690" t="s">
        <v>4060</v>
      </c>
      <c r="D13275" s="690" t="s">
        <v>4060</v>
      </c>
      <c r="E13275" s="690" t="s">
        <v>4060</v>
      </c>
      <c r="F13275" s="690" t="s">
        <v>4060</v>
      </c>
      <c r="G13275" s="690" t="s">
        <v>4060</v>
      </c>
      <c r="H13275" s="690" t="s">
        <v>4060</v>
      </c>
      <c r="I13275" s="690" t="s">
        <v>4060</v>
      </c>
      <c r="J13275" s="690" t="s">
        <v>4060</v>
      </c>
      <c r="K13275" s="690" t="s">
        <v>4060</v>
      </c>
    </row>
    <row r="13276" spans="1:11">
      <c r="A13276" s="688" t="s">
        <v>2490</v>
      </c>
      <c r="B13276" s="692" t="s">
        <v>4060</v>
      </c>
      <c r="C13276" s="692" t="s">
        <v>4060</v>
      </c>
      <c r="D13276" s="692" t="s">
        <v>4060</v>
      </c>
      <c r="E13276" s="692" t="s">
        <v>4060</v>
      </c>
      <c r="F13276" s="692" t="s">
        <v>4060</v>
      </c>
      <c r="G13276" s="692" t="s">
        <v>4060</v>
      </c>
      <c r="H13276" s="692" t="s">
        <v>4060</v>
      </c>
      <c r="I13276" s="692" t="s">
        <v>4060</v>
      </c>
      <c r="J13276" s="692" t="s">
        <v>4060</v>
      </c>
      <c r="K13276" s="692" t="s">
        <v>4060</v>
      </c>
    </row>
    <row r="13278" spans="1:11">
      <c r="A13278" s="683" t="s">
        <v>4233</v>
      </c>
    </row>
    <row r="13279" spans="1:11">
      <c r="A13279" s="683" t="s">
        <v>4060</v>
      </c>
      <c r="B13279" s="682" t="s">
        <v>4234</v>
      </c>
    </row>
    <row r="13281" spans="1:11">
      <c r="A13281" s="682" t="s">
        <v>4332</v>
      </c>
    </row>
    <row r="13282" spans="1:11">
      <c r="A13282" s="682" t="s">
        <v>4210</v>
      </c>
      <c r="B13282" s="683" t="s">
        <v>4211</v>
      </c>
    </row>
    <row r="13283" spans="1:11">
      <c r="A13283" s="682" t="s">
        <v>4212</v>
      </c>
      <c r="B13283" s="682" t="s">
        <v>4213</v>
      </c>
    </row>
    <row r="13285" spans="1:11">
      <c r="A13285" s="683" t="s">
        <v>4214</v>
      </c>
      <c r="C13285" s="682" t="s">
        <v>4215</v>
      </c>
    </row>
    <row r="13286" spans="1:11">
      <c r="A13286" s="683" t="s">
        <v>4216</v>
      </c>
      <c r="C13286" s="682" t="s">
        <v>2967</v>
      </c>
    </row>
    <row r="13287" spans="1:11">
      <c r="A13287" s="683" t="s">
        <v>3893</v>
      </c>
      <c r="C13287" s="682" t="s">
        <v>2168</v>
      </c>
    </row>
    <row r="13288" spans="1:11">
      <c r="A13288" s="683" t="s">
        <v>4218</v>
      </c>
      <c r="C13288" s="682" t="s">
        <v>4324</v>
      </c>
    </row>
    <row r="13290" spans="1:11">
      <c r="A13290" s="684" t="s">
        <v>4220</v>
      </c>
      <c r="B13290" s="685" t="s">
        <v>4221</v>
      </c>
      <c r="C13290" s="685" t="s">
        <v>4222</v>
      </c>
      <c r="D13290" s="685" t="s">
        <v>4223</v>
      </c>
      <c r="E13290" s="685" t="s">
        <v>4224</v>
      </c>
      <c r="F13290" s="685" t="s">
        <v>4225</v>
      </c>
      <c r="G13290" s="685" t="s">
        <v>4226</v>
      </c>
      <c r="H13290" s="685" t="s">
        <v>4227</v>
      </c>
      <c r="I13290" s="685" t="s">
        <v>4228</v>
      </c>
      <c r="J13290" s="685" t="s">
        <v>4229</v>
      </c>
      <c r="K13290" s="685" t="s">
        <v>4230</v>
      </c>
    </row>
    <row r="13291" spans="1:11">
      <c r="A13291" s="686" t="s">
        <v>4231</v>
      </c>
      <c r="B13291" s="687" t="s">
        <v>4232</v>
      </c>
      <c r="C13291" s="687" t="s">
        <v>4232</v>
      </c>
      <c r="D13291" s="687" t="s">
        <v>4232</v>
      </c>
      <c r="E13291" s="687" t="s">
        <v>4232</v>
      </c>
      <c r="F13291" s="687" t="s">
        <v>4232</v>
      </c>
      <c r="G13291" s="687" t="s">
        <v>4232</v>
      </c>
      <c r="H13291" s="687" t="s">
        <v>4232</v>
      </c>
      <c r="I13291" s="687" t="s">
        <v>4232</v>
      </c>
      <c r="J13291" s="687" t="s">
        <v>4232</v>
      </c>
      <c r="K13291" s="687" t="s">
        <v>4232</v>
      </c>
    </row>
    <row r="13292" spans="1:11">
      <c r="A13292" s="688" t="s">
        <v>4064</v>
      </c>
      <c r="B13292" s="692" t="s">
        <v>4060</v>
      </c>
      <c r="C13292" s="691">
        <v>4.3</v>
      </c>
      <c r="D13292" s="692" t="s">
        <v>4060</v>
      </c>
      <c r="E13292" s="691">
        <v>4.3</v>
      </c>
      <c r="F13292" s="691">
        <v>4.2</v>
      </c>
      <c r="G13292" s="691">
        <v>4.3</v>
      </c>
      <c r="H13292" s="691">
        <v>4.4000000000000004</v>
      </c>
      <c r="I13292" s="615">
        <v>4</v>
      </c>
      <c r="J13292" s="691">
        <v>4.0999999999999996</v>
      </c>
      <c r="K13292" s="615">
        <v>4</v>
      </c>
    </row>
    <row r="13293" spans="1:11">
      <c r="A13293" s="688" t="s">
        <v>4065</v>
      </c>
      <c r="B13293" s="690" t="s">
        <v>4060</v>
      </c>
      <c r="C13293" s="690" t="s">
        <v>4060</v>
      </c>
      <c r="D13293" s="690" t="s">
        <v>4060</v>
      </c>
      <c r="E13293" s="690" t="s">
        <v>4060</v>
      </c>
      <c r="F13293" s="690" t="s">
        <v>4060</v>
      </c>
      <c r="G13293" s="690" t="s">
        <v>4060</v>
      </c>
      <c r="H13293" s="690" t="s">
        <v>4060</v>
      </c>
      <c r="I13293" s="690" t="s">
        <v>4060</v>
      </c>
      <c r="J13293" s="690" t="s">
        <v>4060</v>
      </c>
      <c r="K13293" s="690" t="s">
        <v>4060</v>
      </c>
    </row>
    <row r="13294" spans="1:11">
      <c r="A13294" s="688" t="s">
        <v>4063</v>
      </c>
      <c r="B13294" s="692" t="s">
        <v>4060</v>
      </c>
      <c r="C13294" s="692" t="s">
        <v>4060</v>
      </c>
      <c r="D13294" s="692" t="s">
        <v>4060</v>
      </c>
      <c r="E13294" s="692" t="s">
        <v>4060</v>
      </c>
      <c r="F13294" s="692" t="s">
        <v>4060</v>
      </c>
      <c r="G13294" s="692" t="s">
        <v>4060</v>
      </c>
      <c r="H13294" s="692" t="s">
        <v>4060</v>
      </c>
      <c r="I13294" s="692" t="s">
        <v>4060</v>
      </c>
      <c r="J13294" s="692" t="s">
        <v>4060</v>
      </c>
      <c r="K13294" s="692" t="s">
        <v>4060</v>
      </c>
    </row>
    <row r="13295" spans="1:11">
      <c r="A13295" s="688" t="s">
        <v>4069</v>
      </c>
      <c r="B13295" s="690" t="s">
        <v>4060</v>
      </c>
      <c r="C13295" s="689">
        <v>4.3</v>
      </c>
      <c r="D13295" s="689">
        <v>4.2</v>
      </c>
      <c r="E13295" s="689">
        <v>4.3</v>
      </c>
      <c r="F13295" s="689">
        <v>4.2</v>
      </c>
      <c r="G13295" s="689">
        <v>4.3</v>
      </c>
      <c r="H13295" s="689">
        <v>4.4000000000000004</v>
      </c>
      <c r="I13295" s="693">
        <v>4</v>
      </c>
      <c r="J13295" s="689">
        <v>4.2</v>
      </c>
      <c r="K13295" s="689">
        <v>4.0999999999999996</v>
      </c>
    </row>
    <row r="13296" spans="1:11">
      <c r="A13296" s="688" t="s">
        <v>4068</v>
      </c>
      <c r="B13296" s="692" t="s">
        <v>4060</v>
      </c>
      <c r="C13296" s="692" t="s">
        <v>4060</v>
      </c>
      <c r="D13296" s="692" t="s">
        <v>4060</v>
      </c>
      <c r="E13296" s="692" t="s">
        <v>4060</v>
      </c>
      <c r="F13296" s="692" t="s">
        <v>4060</v>
      </c>
      <c r="G13296" s="692" t="s">
        <v>4060</v>
      </c>
      <c r="H13296" s="692" t="s">
        <v>4060</v>
      </c>
      <c r="I13296" s="692" t="s">
        <v>4060</v>
      </c>
      <c r="J13296" s="692" t="s">
        <v>4060</v>
      </c>
      <c r="K13296" s="692" t="s">
        <v>4060</v>
      </c>
    </row>
    <row r="13297" spans="1:11">
      <c r="A13297" s="688" t="s">
        <v>0</v>
      </c>
      <c r="B13297" s="690" t="s">
        <v>4060</v>
      </c>
      <c r="C13297" s="689">
        <v>4.3</v>
      </c>
      <c r="D13297" s="689">
        <v>4.0999999999999996</v>
      </c>
      <c r="E13297" s="689">
        <v>4.2</v>
      </c>
      <c r="F13297" s="689">
        <v>4.0999999999999996</v>
      </c>
      <c r="G13297" s="689">
        <v>4.3</v>
      </c>
      <c r="H13297" s="689">
        <v>4.3</v>
      </c>
      <c r="I13297" s="689">
        <v>3.8</v>
      </c>
      <c r="J13297" s="689">
        <v>4.4000000000000004</v>
      </c>
      <c r="K13297" s="689">
        <v>4.2</v>
      </c>
    </row>
    <row r="13298" spans="1:11">
      <c r="A13298" s="688" t="s">
        <v>1</v>
      </c>
      <c r="B13298" s="692" t="s">
        <v>4060</v>
      </c>
      <c r="C13298" s="691">
        <v>3.4</v>
      </c>
      <c r="D13298" s="691">
        <v>3.2</v>
      </c>
      <c r="E13298" s="691">
        <v>3.4</v>
      </c>
      <c r="F13298" s="691">
        <v>3.3</v>
      </c>
      <c r="G13298" s="691">
        <v>3.3</v>
      </c>
      <c r="H13298" s="691">
        <v>3.3</v>
      </c>
      <c r="I13298" s="691">
        <v>2.9</v>
      </c>
      <c r="J13298" s="691">
        <v>2.7</v>
      </c>
      <c r="K13298" s="615">
        <v>3</v>
      </c>
    </row>
    <row r="13299" spans="1:11">
      <c r="A13299" s="688" t="s">
        <v>2240</v>
      </c>
      <c r="B13299" s="690" t="s">
        <v>4060</v>
      </c>
      <c r="C13299" s="689">
        <v>3.7</v>
      </c>
      <c r="D13299" s="689">
        <v>3.6</v>
      </c>
      <c r="E13299" s="689">
        <v>3.8</v>
      </c>
      <c r="F13299" s="689">
        <v>3.7</v>
      </c>
      <c r="G13299" s="689">
        <v>3.8</v>
      </c>
      <c r="H13299" s="689">
        <v>3.8</v>
      </c>
      <c r="I13299" s="689">
        <v>3.4</v>
      </c>
      <c r="J13299" s="689">
        <v>3.3</v>
      </c>
      <c r="K13299" s="689">
        <v>3.5</v>
      </c>
    </row>
    <row r="13300" spans="1:11">
      <c r="A13300" s="688" t="s">
        <v>2</v>
      </c>
      <c r="B13300" s="692" t="s">
        <v>4060</v>
      </c>
      <c r="C13300" s="691">
        <v>4.0999999999999996</v>
      </c>
      <c r="D13300" s="615">
        <v>4</v>
      </c>
      <c r="E13300" s="691">
        <v>4.0999999999999996</v>
      </c>
      <c r="F13300" s="691">
        <v>4.0999999999999996</v>
      </c>
      <c r="G13300" s="691">
        <v>3.9</v>
      </c>
      <c r="H13300" s="691">
        <v>4.0999999999999996</v>
      </c>
      <c r="I13300" s="615">
        <v>4</v>
      </c>
      <c r="J13300" s="691">
        <v>3.9</v>
      </c>
      <c r="K13300" s="691">
        <v>3.9</v>
      </c>
    </row>
    <row r="13301" spans="1:11">
      <c r="A13301" s="688" t="s">
        <v>3</v>
      </c>
      <c r="B13301" s="690" t="s">
        <v>4060</v>
      </c>
      <c r="C13301" s="689">
        <v>4.0999999999999996</v>
      </c>
      <c r="D13301" s="693">
        <v>4</v>
      </c>
      <c r="E13301" s="689">
        <v>4.0999999999999996</v>
      </c>
      <c r="F13301" s="693">
        <v>4</v>
      </c>
      <c r="G13301" s="693">
        <v>4</v>
      </c>
      <c r="H13301" s="689">
        <v>4.2</v>
      </c>
      <c r="I13301" s="693">
        <v>4</v>
      </c>
      <c r="J13301" s="693">
        <v>4</v>
      </c>
      <c r="K13301" s="689">
        <v>3.7</v>
      </c>
    </row>
    <row r="13302" spans="1:11">
      <c r="A13302" s="688" t="s">
        <v>4061</v>
      </c>
      <c r="B13302" s="692" t="s">
        <v>4060</v>
      </c>
      <c r="C13302" s="691">
        <v>4.0999999999999996</v>
      </c>
      <c r="D13302" s="615">
        <v>4</v>
      </c>
      <c r="E13302" s="691">
        <v>4.0999999999999996</v>
      </c>
      <c r="F13302" s="615">
        <v>4</v>
      </c>
      <c r="G13302" s="615">
        <v>4</v>
      </c>
      <c r="H13302" s="691">
        <v>4.2</v>
      </c>
      <c r="I13302" s="615">
        <v>4</v>
      </c>
      <c r="J13302" s="615">
        <v>4</v>
      </c>
      <c r="K13302" s="691">
        <v>3.7</v>
      </c>
    </row>
    <row r="13303" spans="1:11">
      <c r="A13303" s="688" t="s">
        <v>4</v>
      </c>
      <c r="B13303" s="690" t="s">
        <v>4060</v>
      </c>
      <c r="C13303" s="689">
        <v>3.9</v>
      </c>
      <c r="D13303" s="693">
        <v>4</v>
      </c>
      <c r="E13303" s="689">
        <v>4.2</v>
      </c>
      <c r="F13303" s="689">
        <v>4.0999999999999996</v>
      </c>
      <c r="G13303" s="689">
        <v>3.8</v>
      </c>
      <c r="H13303" s="689">
        <v>4.3</v>
      </c>
      <c r="I13303" s="693">
        <v>4</v>
      </c>
      <c r="J13303" s="689">
        <v>3.6</v>
      </c>
      <c r="K13303" s="689">
        <v>3.6</v>
      </c>
    </row>
    <row r="13304" spans="1:11">
      <c r="A13304" s="688" t="s">
        <v>8</v>
      </c>
      <c r="B13304" s="692" t="s">
        <v>4060</v>
      </c>
      <c r="C13304" s="691">
        <v>4.0999999999999996</v>
      </c>
      <c r="D13304" s="615">
        <v>4</v>
      </c>
      <c r="E13304" s="615">
        <v>4</v>
      </c>
      <c r="F13304" s="691">
        <v>4.4000000000000004</v>
      </c>
      <c r="G13304" s="691">
        <v>4.2</v>
      </c>
      <c r="H13304" s="691">
        <v>4.0999999999999996</v>
      </c>
      <c r="I13304" s="691">
        <v>4.3</v>
      </c>
      <c r="J13304" s="691">
        <v>4.2</v>
      </c>
      <c r="K13304" s="691">
        <v>4.4000000000000004</v>
      </c>
    </row>
    <row r="13305" spans="1:11">
      <c r="A13305" s="688" t="s">
        <v>7</v>
      </c>
      <c r="B13305" s="690" t="s">
        <v>4060</v>
      </c>
      <c r="C13305" s="689">
        <v>3.6</v>
      </c>
      <c r="D13305" s="689">
        <v>3.5</v>
      </c>
      <c r="E13305" s="689">
        <v>3.8</v>
      </c>
      <c r="F13305" s="689">
        <v>3.7</v>
      </c>
      <c r="G13305" s="693">
        <v>4</v>
      </c>
      <c r="H13305" s="689">
        <v>4.0999999999999996</v>
      </c>
      <c r="I13305" s="689">
        <v>4.0999999999999996</v>
      </c>
      <c r="J13305" s="693">
        <v>4</v>
      </c>
      <c r="K13305" s="689">
        <v>4.0999999999999996</v>
      </c>
    </row>
    <row r="13306" spans="1:11">
      <c r="A13306" s="688" t="s">
        <v>27</v>
      </c>
      <c r="B13306" s="692" t="s">
        <v>4060</v>
      </c>
      <c r="C13306" s="691">
        <v>4.5999999999999996</v>
      </c>
      <c r="D13306" s="691">
        <v>4.4000000000000004</v>
      </c>
      <c r="E13306" s="691">
        <v>4.5999999999999996</v>
      </c>
      <c r="F13306" s="691">
        <v>4.5</v>
      </c>
      <c r="G13306" s="691">
        <v>4.5</v>
      </c>
      <c r="H13306" s="691">
        <v>4.7</v>
      </c>
      <c r="I13306" s="691">
        <v>4.0999999999999996</v>
      </c>
      <c r="J13306" s="691">
        <v>4.5</v>
      </c>
      <c r="K13306" s="691">
        <v>4.4000000000000004</v>
      </c>
    </row>
    <row r="13307" spans="1:11">
      <c r="A13307" s="688" t="s">
        <v>6</v>
      </c>
      <c r="B13307" s="690" t="s">
        <v>4060</v>
      </c>
      <c r="C13307" s="689">
        <v>4.7</v>
      </c>
      <c r="D13307" s="689">
        <v>4.5</v>
      </c>
      <c r="E13307" s="689">
        <v>4.5999999999999996</v>
      </c>
      <c r="F13307" s="689">
        <v>4.5999999999999996</v>
      </c>
      <c r="G13307" s="689">
        <v>4.5999999999999996</v>
      </c>
      <c r="H13307" s="689">
        <v>4.5999999999999996</v>
      </c>
      <c r="I13307" s="689">
        <v>4.3</v>
      </c>
      <c r="J13307" s="689">
        <v>4.5</v>
      </c>
      <c r="K13307" s="689">
        <v>4.4000000000000004</v>
      </c>
    </row>
    <row r="13308" spans="1:11">
      <c r="A13308" s="688" t="s">
        <v>4058</v>
      </c>
      <c r="B13308" s="692" t="s">
        <v>4060</v>
      </c>
      <c r="C13308" s="692" t="s">
        <v>4060</v>
      </c>
      <c r="D13308" s="692" t="s">
        <v>4060</v>
      </c>
      <c r="E13308" s="692" t="s">
        <v>4060</v>
      </c>
      <c r="F13308" s="692" t="s">
        <v>4060</v>
      </c>
      <c r="G13308" s="692" t="s">
        <v>4060</v>
      </c>
      <c r="H13308" s="692" t="s">
        <v>4060</v>
      </c>
      <c r="I13308" s="692" t="s">
        <v>4060</v>
      </c>
      <c r="J13308" s="692" t="s">
        <v>4060</v>
      </c>
      <c r="K13308" s="692" t="s">
        <v>4060</v>
      </c>
    </row>
    <row r="13309" spans="1:11">
      <c r="A13309" s="688" t="s">
        <v>11</v>
      </c>
      <c r="B13309" s="690" t="s">
        <v>4060</v>
      </c>
      <c r="C13309" s="689">
        <v>3.5</v>
      </c>
      <c r="D13309" s="689">
        <v>3.4</v>
      </c>
      <c r="E13309" s="689">
        <v>3.5</v>
      </c>
      <c r="F13309" s="689">
        <v>3.5</v>
      </c>
      <c r="G13309" s="689">
        <v>3.5</v>
      </c>
      <c r="H13309" s="689">
        <v>3.6</v>
      </c>
      <c r="I13309" s="689">
        <v>3.3</v>
      </c>
      <c r="J13309" s="689">
        <v>3.1</v>
      </c>
      <c r="K13309" s="689">
        <v>3.1</v>
      </c>
    </row>
    <row r="13310" spans="1:11">
      <c r="A13310" s="688" t="s">
        <v>10</v>
      </c>
      <c r="B13310" s="692" t="s">
        <v>4060</v>
      </c>
      <c r="C13310" s="691">
        <v>4.3</v>
      </c>
      <c r="D13310" s="615">
        <v>4</v>
      </c>
      <c r="E13310" s="691">
        <v>4.3</v>
      </c>
      <c r="F13310" s="691">
        <v>4.0999999999999996</v>
      </c>
      <c r="G13310" s="691">
        <v>4.3</v>
      </c>
      <c r="H13310" s="691">
        <v>4.3</v>
      </c>
      <c r="I13310" s="691">
        <v>3.9</v>
      </c>
      <c r="J13310" s="691">
        <v>4.2</v>
      </c>
      <c r="K13310" s="615">
        <v>4</v>
      </c>
    </row>
    <row r="13311" spans="1:11">
      <c r="A13311" s="688" t="s">
        <v>30</v>
      </c>
      <c r="B13311" s="690" t="s">
        <v>4060</v>
      </c>
      <c r="C13311" s="689">
        <v>4.3</v>
      </c>
      <c r="D13311" s="689">
        <v>3.7</v>
      </c>
      <c r="E13311" s="689">
        <v>4.5999999999999996</v>
      </c>
      <c r="F13311" s="689">
        <v>4.3</v>
      </c>
      <c r="G13311" s="689">
        <v>4.9000000000000004</v>
      </c>
      <c r="H13311" s="689">
        <v>4.8</v>
      </c>
      <c r="I13311" s="689">
        <v>4.7</v>
      </c>
      <c r="J13311" s="689">
        <v>4.3</v>
      </c>
      <c r="K13311" s="689">
        <v>4.2</v>
      </c>
    </row>
    <row r="13312" spans="1:11">
      <c r="A13312" s="688" t="s">
        <v>12</v>
      </c>
      <c r="B13312" s="692" t="s">
        <v>4060</v>
      </c>
      <c r="C13312" s="691">
        <v>3.8</v>
      </c>
      <c r="D13312" s="691">
        <v>3.9</v>
      </c>
      <c r="E13312" s="691">
        <v>3.7</v>
      </c>
      <c r="F13312" s="691">
        <v>3.7</v>
      </c>
      <c r="G13312" s="691">
        <v>3.8</v>
      </c>
      <c r="H13312" s="691">
        <v>3.8</v>
      </c>
      <c r="I13312" s="691">
        <v>3.6</v>
      </c>
      <c r="J13312" s="691">
        <v>3.3</v>
      </c>
      <c r="K13312" s="691">
        <v>3.5</v>
      </c>
    </row>
    <row r="13313" spans="1:11">
      <c r="A13313" s="688" t="s">
        <v>14</v>
      </c>
      <c r="B13313" s="690" t="s">
        <v>4060</v>
      </c>
      <c r="C13313" s="689">
        <v>3.2</v>
      </c>
      <c r="D13313" s="689">
        <v>2.9</v>
      </c>
      <c r="E13313" s="689">
        <v>2.5</v>
      </c>
      <c r="F13313" s="689">
        <v>2.4</v>
      </c>
      <c r="G13313" s="689">
        <v>2.2999999999999998</v>
      </c>
      <c r="H13313" s="689">
        <v>2.4</v>
      </c>
      <c r="I13313" s="693">
        <v>3</v>
      </c>
      <c r="J13313" s="689">
        <v>3.2</v>
      </c>
      <c r="K13313" s="689">
        <v>3.5</v>
      </c>
    </row>
    <row r="13314" spans="1:11">
      <c r="A13314" s="688" t="s">
        <v>15</v>
      </c>
      <c r="B13314" s="692" t="s">
        <v>4060</v>
      </c>
      <c r="C13314" s="691">
        <v>4.0999999999999996</v>
      </c>
      <c r="D13314" s="691">
        <v>4.4000000000000004</v>
      </c>
      <c r="E13314" s="691">
        <v>4.0999999999999996</v>
      </c>
      <c r="F13314" s="691">
        <v>4.2</v>
      </c>
      <c r="G13314" s="691">
        <v>4.2</v>
      </c>
      <c r="H13314" s="691">
        <v>4.2</v>
      </c>
      <c r="I13314" s="691">
        <v>3.9</v>
      </c>
      <c r="J13314" s="691">
        <v>4.3</v>
      </c>
      <c r="K13314" s="691">
        <v>4.4000000000000004</v>
      </c>
    </row>
    <row r="13315" spans="1:11">
      <c r="A13315" s="688" t="s">
        <v>29</v>
      </c>
      <c r="B13315" s="690" t="s">
        <v>4060</v>
      </c>
      <c r="C13315" s="689">
        <v>4.0999999999999996</v>
      </c>
      <c r="D13315" s="689">
        <v>3.7</v>
      </c>
      <c r="E13315" s="689">
        <v>3.9</v>
      </c>
      <c r="F13315" s="689">
        <v>3.8</v>
      </c>
      <c r="G13315" s="689">
        <v>3.9</v>
      </c>
      <c r="H13315" s="693">
        <v>4</v>
      </c>
      <c r="I13315" s="689">
        <v>3.9</v>
      </c>
      <c r="J13315" s="689">
        <v>3.9</v>
      </c>
      <c r="K13315" s="689">
        <v>3.8</v>
      </c>
    </row>
    <row r="13316" spans="1:11">
      <c r="A13316" s="688" t="s">
        <v>16</v>
      </c>
      <c r="B13316" s="692" t="s">
        <v>4060</v>
      </c>
      <c r="C13316" s="691">
        <v>4.0999999999999996</v>
      </c>
      <c r="D13316" s="691">
        <v>3.8</v>
      </c>
      <c r="E13316" s="691">
        <v>4.3</v>
      </c>
      <c r="F13316" s="691">
        <v>3.9</v>
      </c>
      <c r="G13316" s="615">
        <v>4</v>
      </c>
      <c r="H13316" s="691">
        <v>4.2</v>
      </c>
      <c r="I13316" s="691">
        <v>4.0999999999999996</v>
      </c>
      <c r="J13316" s="691">
        <v>4.5</v>
      </c>
      <c r="K13316" s="615">
        <v>4</v>
      </c>
    </row>
    <row r="13317" spans="1:11">
      <c r="A13317" s="688" t="s">
        <v>17</v>
      </c>
      <c r="B13317" s="690" t="s">
        <v>4060</v>
      </c>
      <c r="C13317" s="689">
        <v>4.0999999999999996</v>
      </c>
      <c r="D13317" s="693">
        <v>4</v>
      </c>
      <c r="E13317" s="693">
        <v>4</v>
      </c>
      <c r="F13317" s="693">
        <v>4</v>
      </c>
      <c r="G13317" s="693">
        <v>4</v>
      </c>
      <c r="H13317" s="689">
        <v>4.0999999999999996</v>
      </c>
      <c r="I13317" s="689">
        <v>3.7</v>
      </c>
      <c r="J13317" s="689">
        <v>3.8</v>
      </c>
      <c r="K13317" s="689">
        <v>3.8</v>
      </c>
    </row>
    <row r="13318" spans="1:11">
      <c r="A13318" s="688" t="s">
        <v>19</v>
      </c>
      <c r="B13318" s="692" t="s">
        <v>4060</v>
      </c>
      <c r="C13318" s="691">
        <v>4.2</v>
      </c>
      <c r="D13318" s="691">
        <v>4.0999999999999996</v>
      </c>
      <c r="E13318" s="691">
        <v>4.2</v>
      </c>
      <c r="F13318" s="691">
        <v>4.2</v>
      </c>
      <c r="G13318" s="691">
        <v>4.0999999999999996</v>
      </c>
      <c r="H13318" s="691">
        <v>4.2</v>
      </c>
      <c r="I13318" s="691">
        <v>3.9</v>
      </c>
      <c r="J13318" s="615">
        <v>4</v>
      </c>
      <c r="K13318" s="691">
        <v>3.9</v>
      </c>
    </row>
    <row r="13319" spans="1:11">
      <c r="A13319" s="688" t="s">
        <v>20</v>
      </c>
      <c r="B13319" s="690" t="s">
        <v>4060</v>
      </c>
      <c r="C13319" s="689">
        <v>4.3</v>
      </c>
      <c r="D13319" s="689">
        <v>4.0999999999999996</v>
      </c>
      <c r="E13319" s="689">
        <v>4.4000000000000004</v>
      </c>
      <c r="F13319" s="689">
        <v>4.3</v>
      </c>
      <c r="G13319" s="689">
        <v>4.3</v>
      </c>
      <c r="H13319" s="689">
        <v>4.5</v>
      </c>
      <c r="I13319" s="689">
        <v>3.8</v>
      </c>
      <c r="J13319" s="689">
        <v>3.5</v>
      </c>
      <c r="K13319" s="689">
        <v>3.9</v>
      </c>
    </row>
    <row r="13320" spans="1:11">
      <c r="A13320" s="688" t="s">
        <v>21</v>
      </c>
      <c r="B13320" s="692" t="s">
        <v>4060</v>
      </c>
      <c r="C13320" s="691">
        <v>4.2</v>
      </c>
      <c r="D13320" s="691">
        <v>4.3</v>
      </c>
      <c r="E13320" s="691">
        <v>4.2</v>
      </c>
      <c r="F13320" s="691">
        <v>4.3</v>
      </c>
      <c r="G13320" s="691">
        <v>4.3</v>
      </c>
      <c r="H13320" s="691">
        <v>4.4000000000000004</v>
      </c>
      <c r="I13320" s="691">
        <v>4.0999999999999996</v>
      </c>
      <c r="J13320" s="691">
        <v>4.0999999999999996</v>
      </c>
      <c r="K13320" s="691">
        <v>4.0999999999999996</v>
      </c>
    </row>
    <row r="13321" spans="1:11">
      <c r="A13321" s="688" t="s">
        <v>22</v>
      </c>
      <c r="B13321" s="690" t="s">
        <v>4060</v>
      </c>
      <c r="C13321" s="689">
        <v>4.0999999999999996</v>
      </c>
      <c r="D13321" s="689">
        <v>4.0999999999999996</v>
      </c>
      <c r="E13321" s="689">
        <v>4.4000000000000004</v>
      </c>
      <c r="F13321" s="689">
        <v>4.5999999999999996</v>
      </c>
      <c r="G13321" s="689">
        <v>4.7</v>
      </c>
      <c r="H13321" s="689">
        <v>5.2</v>
      </c>
      <c r="I13321" s="689">
        <v>4.5999999999999996</v>
      </c>
      <c r="J13321" s="689">
        <v>3.6</v>
      </c>
      <c r="K13321" s="689">
        <v>3.4</v>
      </c>
    </row>
    <row r="13322" spans="1:11">
      <c r="A13322" s="688" t="s">
        <v>26</v>
      </c>
      <c r="B13322" s="692" t="s">
        <v>4060</v>
      </c>
      <c r="C13322" s="691">
        <v>4.3</v>
      </c>
      <c r="D13322" s="691">
        <v>4.2</v>
      </c>
      <c r="E13322" s="691">
        <v>4.5</v>
      </c>
      <c r="F13322" s="615">
        <v>4</v>
      </c>
      <c r="G13322" s="691">
        <v>4.0999999999999996</v>
      </c>
      <c r="H13322" s="691">
        <v>4.3</v>
      </c>
      <c r="I13322" s="691">
        <v>3.4</v>
      </c>
      <c r="J13322" s="615">
        <v>4</v>
      </c>
      <c r="K13322" s="691">
        <v>4.0999999999999996</v>
      </c>
    </row>
    <row r="13323" spans="1:11">
      <c r="A13323" s="688" t="s">
        <v>25</v>
      </c>
      <c r="B13323" s="690" t="s">
        <v>4060</v>
      </c>
      <c r="C13323" s="689">
        <v>4.3</v>
      </c>
      <c r="D13323" s="689">
        <v>4.3</v>
      </c>
      <c r="E13323" s="689">
        <v>4.5</v>
      </c>
      <c r="F13323" s="689">
        <v>4.3</v>
      </c>
      <c r="G13323" s="689">
        <v>4.7</v>
      </c>
      <c r="H13323" s="689">
        <v>4.9000000000000004</v>
      </c>
      <c r="I13323" s="689">
        <v>4.7</v>
      </c>
      <c r="J13323" s="693">
        <v>4</v>
      </c>
      <c r="K13323" s="689">
        <v>4.3</v>
      </c>
    </row>
    <row r="13324" spans="1:11">
      <c r="A13324" s="688" t="s">
        <v>5</v>
      </c>
      <c r="B13324" s="692" t="s">
        <v>4060</v>
      </c>
      <c r="C13324" s="691">
        <v>4.0999999999999996</v>
      </c>
      <c r="D13324" s="691">
        <v>4.0999999999999996</v>
      </c>
      <c r="E13324" s="615">
        <v>4</v>
      </c>
      <c r="F13324" s="691">
        <v>4.0999999999999996</v>
      </c>
      <c r="G13324" s="691">
        <v>4.2</v>
      </c>
      <c r="H13324" s="691">
        <v>4.2</v>
      </c>
      <c r="I13324" s="691">
        <v>4.3</v>
      </c>
      <c r="J13324" s="691">
        <v>4.0999999999999996</v>
      </c>
      <c r="K13324" s="691">
        <v>3.9</v>
      </c>
    </row>
    <row r="13325" spans="1:11">
      <c r="A13325" s="688" t="s">
        <v>23</v>
      </c>
      <c r="B13325" s="690" t="s">
        <v>4060</v>
      </c>
      <c r="C13325" s="689">
        <v>4.0999999999999996</v>
      </c>
      <c r="D13325" s="689">
        <v>4.0999999999999996</v>
      </c>
      <c r="E13325" s="689">
        <v>4.0999999999999996</v>
      </c>
      <c r="F13325" s="693">
        <v>4</v>
      </c>
      <c r="G13325" s="689">
        <v>4.0999999999999996</v>
      </c>
      <c r="H13325" s="689">
        <v>4.3</v>
      </c>
      <c r="I13325" s="689">
        <v>3.9</v>
      </c>
      <c r="J13325" s="689">
        <v>4.3</v>
      </c>
      <c r="K13325" s="689">
        <v>4.0999999999999996</v>
      </c>
    </row>
    <row r="13326" spans="1:11">
      <c r="A13326" s="688" t="s">
        <v>4067</v>
      </c>
      <c r="B13326" s="692" t="s">
        <v>4060</v>
      </c>
      <c r="C13326" s="692" t="s">
        <v>4060</v>
      </c>
      <c r="D13326" s="692" t="s">
        <v>4060</v>
      </c>
      <c r="E13326" s="692" t="s">
        <v>4060</v>
      </c>
      <c r="F13326" s="692" t="s">
        <v>4060</v>
      </c>
      <c r="G13326" s="692" t="s">
        <v>4060</v>
      </c>
      <c r="H13326" s="692" t="s">
        <v>4060</v>
      </c>
      <c r="I13326" s="692" t="s">
        <v>4060</v>
      </c>
      <c r="J13326" s="692" t="s">
        <v>4060</v>
      </c>
      <c r="K13326" s="692" t="s">
        <v>4060</v>
      </c>
    </row>
    <row r="13327" spans="1:11">
      <c r="A13327" s="688" t="s">
        <v>4066</v>
      </c>
      <c r="B13327" s="690" t="s">
        <v>4060</v>
      </c>
      <c r="C13327" s="690" t="s">
        <v>4060</v>
      </c>
      <c r="D13327" s="690" t="s">
        <v>4060</v>
      </c>
      <c r="E13327" s="690" t="s">
        <v>4060</v>
      </c>
      <c r="F13327" s="690" t="s">
        <v>4060</v>
      </c>
      <c r="G13327" s="690" t="s">
        <v>4060</v>
      </c>
      <c r="H13327" s="690" t="s">
        <v>4060</v>
      </c>
      <c r="I13327" s="690" t="s">
        <v>4060</v>
      </c>
      <c r="J13327" s="690" t="s">
        <v>4060</v>
      </c>
      <c r="K13327" s="690" t="s">
        <v>4060</v>
      </c>
    </row>
    <row r="13328" spans="1:11">
      <c r="A13328" s="688" t="s">
        <v>4062</v>
      </c>
      <c r="B13328" s="692" t="s">
        <v>4060</v>
      </c>
      <c r="C13328" s="691">
        <v>4.2</v>
      </c>
      <c r="D13328" s="691">
        <v>4.0999999999999996</v>
      </c>
      <c r="E13328" s="691">
        <v>4.3</v>
      </c>
      <c r="F13328" s="691">
        <v>4.3</v>
      </c>
      <c r="G13328" s="691">
        <v>4.3</v>
      </c>
      <c r="H13328" s="691">
        <v>4.4000000000000004</v>
      </c>
      <c r="I13328" s="691">
        <v>4.0999999999999996</v>
      </c>
      <c r="J13328" s="691">
        <v>4.4000000000000004</v>
      </c>
      <c r="K13328" s="691">
        <v>4.0999999999999996</v>
      </c>
    </row>
    <row r="13329" spans="1:11">
      <c r="A13329" s="688" t="s">
        <v>9</v>
      </c>
      <c r="B13329" s="690" t="s">
        <v>4060</v>
      </c>
      <c r="C13329" s="689">
        <v>3.8</v>
      </c>
      <c r="D13329" s="693">
        <v>4</v>
      </c>
      <c r="E13329" s="689">
        <v>3.9</v>
      </c>
      <c r="F13329" s="689">
        <v>4.5999999999999996</v>
      </c>
      <c r="G13329" s="689">
        <v>4.4000000000000004</v>
      </c>
      <c r="H13329" s="689">
        <v>4.4000000000000004</v>
      </c>
      <c r="I13329" s="689">
        <v>4.5999999999999996</v>
      </c>
      <c r="J13329" s="689">
        <v>4.5999999999999996</v>
      </c>
      <c r="K13329" s="689">
        <v>4.3</v>
      </c>
    </row>
    <row r="13330" spans="1:11">
      <c r="A13330" s="688" t="s">
        <v>13</v>
      </c>
      <c r="B13330" s="692" t="s">
        <v>4060</v>
      </c>
      <c r="C13330" s="691">
        <v>3.8</v>
      </c>
      <c r="D13330" s="691">
        <v>3.7</v>
      </c>
      <c r="E13330" s="691">
        <v>3.4</v>
      </c>
      <c r="F13330" s="691">
        <v>5.5</v>
      </c>
      <c r="G13330" s="691">
        <v>4.2</v>
      </c>
      <c r="H13330" s="691">
        <v>3.6</v>
      </c>
      <c r="I13330" s="615">
        <v>3</v>
      </c>
      <c r="J13330" s="691">
        <v>4.8</v>
      </c>
      <c r="K13330" s="691">
        <v>4.5</v>
      </c>
    </row>
    <row r="13331" spans="1:11">
      <c r="A13331" s="688" t="s">
        <v>18</v>
      </c>
      <c r="B13331" s="690" t="s">
        <v>4060</v>
      </c>
      <c r="C13331" s="689">
        <v>4.0999999999999996</v>
      </c>
      <c r="D13331" s="689">
        <v>4.0999999999999996</v>
      </c>
      <c r="E13331" s="689">
        <v>4.2</v>
      </c>
      <c r="F13331" s="689">
        <v>4.2</v>
      </c>
      <c r="G13331" s="689">
        <v>4.3</v>
      </c>
      <c r="H13331" s="689">
        <v>4.3</v>
      </c>
      <c r="I13331" s="689">
        <v>4.4000000000000004</v>
      </c>
      <c r="J13331" s="689">
        <v>4.4000000000000004</v>
      </c>
      <c r="K13331" s="693">
        <v>4</v>
      </c>
    </row>
    <row r="13332" spans="1:11">
      <c r="A13332" s="688" t="s">
        <v>24</v>
      </c>
      <c r="B13332" s="692" t="s">
        <v>4060</v>
      </c>
      <c r="C13332" s="691">
        <v>4.3</v>
      </c>
      <c r="D13332" s="691">
        <v>4.0999999999999996</v>
      </c>
      <c r="E13332" s="691">
        <v>4.4000000000000004</v>
      </c>
      <c r="F13332" s="691">
        <v>4.3</v>
      </c>
      <c r="G13332" s="691">
        <v>4.3</v>
      </c>
      <c r="H13332" s="691">
        <v>4.5</v>
      </c>
      <c r="I13332" s="691">
        <v>3.9</v>
      </c>
      <c r="J13332" s="691">
        <v>4.4000000000000004</v>
      </c>
      <c r="K13332" s="691">
        <v>4.2</v>
      </c>
    </row>
    <row r="13333" spans="1:11">
      <c r="A13333" s="688" t="s">
        <v>4059</v>
      </c>
      <c r="B13333" s="690" t="s">
        <v>4060</v>
      </c>
      <c r="C13333" s="690" t="s">
        <v>4060</v>
      </c>
      <c r="D13333" s="690" t="s">
        <v>4060</v>
      </c>
      <c r="E13333" s="690" t="s">
        <v>4060</v>
      </c>
      <c r="F13333" s="690" t="s">
        <v>4060</v>
      </c>
      <c r="G13333" s="690" t="s">
        <v>4060</v>
      </c>
      <c r="H13333" s="690" t="s">
        <v>4060</v>
      </c>
      <c r="I13333" s="690" t="s">
        <v>4060</v>
      </c>
      <c r="J13333" s="690" t="s">
        <v>4060</v>
      </c>
      <c r="K13333" s="690" t="s">
        <v>4060</v>
      </c>
    </row>
    <row r="13334" spans="1:11">
      <c r="A13334" s="688" t="s">
        <v>2324</v>
      </c>
      <c r="B13334" s="692" t="s">
        <v>4060</v>
      </c>
      <c r="C13334" s="692" t="s">
        <v>4060</v>
      </c>
      <c r="D13334" s="692" t="s">
        <v>4060</v>
      </c>
      <c r="E13334" s="692" t="s">
        <v>4060</v>
      </c>
      <c r="F13334" s="692" t="s">
        <v>4060</v>
      </c>
      <c r="G13334" s="692" t="s">
        <v>4060</v>
      </c>
      <c r="H13334" s="692" t="s">
        <v>4060</v>
      </c>
      <c r="I13334" s="692" t="s">
        <v>4060</v>
      </c>
      <c r="J13334" s="692" t="s">
        <v>4060</v>
      </c>
      <c r="K13334" s="692" t="s">
        <v>4060</v>
      </c>
    </row>
    <row r="13335" spans="1:11">
      <c r="A13335" s="688" t="s">
        <v>2322</v>
      </c>
      <c r="B13335" s="690" t="s">
        <v>4060</v>
      </c>
      <c r="C13335" s="690" t="s">
        <v>4060</v>
      </c>
      <c r="D13335" s="690" t="s">
        <v>4060</v>
      </c>
      <c r="E13335" s="690" t="s">
        <v>4060</v>
      </c>
      <c r="F13335" s="690" t="s">
        <v>4060</v>
      </c>
      <c r="G13335" s="690" t="s">
        <v>4060</v>
      </c>
      <c r="H13335" s="690" t="s">
        <v>4060</v>
      </c>
      <c r="I13335" s="690" t="s">
        <v>4060</v>
      </c>
      <c r="J13335" s="690" t="s">
        <v>4060</v>
      </c>
      <c r="K13335" s="690" t="s">
        <v>4060</v>
      </c>
    </row>
    <row r="13336" spans="1:11">
      <c r="A13336" s="688" t="s">
        <v>2328</v>
      </c>
      <c r="B13336" s="692" t="s">
        <v>4060</v>
      </c>
      <c r="C13336" s="692" t="s">
        <v>4060</v>
      </c>
      <c r="D13336" s="692" t="s">
        <v>4060</v>
      </c>
      <c r="E13336" s="692" t="s">
        <v>4060</v>
      </c>
      <c r="F13336" s="692" t="s">
        <v>4060</v>
      </c>
      <c r="G13336" s="692" t="s">
        <v>4060</v>
      </c>
      <c r="H13336" s="692" t="s">
        <v>4060</v>
      </c>
      <c r="I13336" s="692" t="s">
        <v>4060</v>
      </c>
      <c r="J13336" s="692" t="s">
        <v>4060</v>
      </c>
      <c r="K13336" s="692" t="s">
        <v>4060</v>
      </c>
    </row>
    <row r="13337" spans="1:11">
      <c r="A13337" s="688" t="s">
        <v>2496</v>
      </c>
      <c r="B13337" s="690" t="s">
        <v>4060</v>
      </c>
      <c r="C13337" s="690" t="s">
        <v>4060</v>
      </c>
      <c r="D13337" s="690" t="s">
        <v>4060</v>
      </c>
      <c r="E13337" s="690" t="s">
        <v>4060</v>
      </c>
      <c r="F13337" s="690" t="s">
        <v>4060</v>
      </c>
      <c r="G13337" s="690" t="s">
        <v>4060</v>
      </c>
      <c r="H13337" s="690" t="s">
        <v>4060</v>
      </c>
      <c r="I13337" s="690" t="s">
        <v>4060</v>
      </c>
      <c r="J13337" s="690" t="s">
        <v>4060</v>
      </c>
      <c r="K13337" s="690" t="s">
        <v>4060</v>
      </c>
    </row>
    <row r="13338" spans="1:11">
      <c r="A13338" s="688" t="s">
        <v>2269</v>
      </c>
      <c r="B13338" s="692" t="s">
        <v>4060</v>
      </c>
      <c r="C13338" s="692" t="s">
        <v>4060</v>
      </c>
      <c r="D13338" s="692" t="s">
        <v>4060</v>
      </c>
      <c r="E13338" s="692" t="s">
        <v>4060</v>
      </c>
      <c r="F13338" s="692" t="s">
        <v>4060</v>
      </c>
      <c r="G13338" s="692" t="s">
        <v>4060</v>
      </c>
      <c r="H13338" s="692" t="s">
        <v>4060</v>
      </c>
      <c r="I13338" s="692" t="s">
        <v>4060</v>
      </c>
      <c r="J13338" s="692" t="s">
        <v>4060</v>
      </c>
      <c r="K13338" s="692" t="s">
        <v>4060</v>
      </c>
    </row>
    <row r="13339" spans="1:11">
      <c r="A13339" s="688" t="s">
        <v>2349</v>
      </c>
      <c r="B13339" s="690" t="s">
        <v>4060</v>
      </c>
      <c r="C13339" s="690" t="s">
        <v>4060</v>
      </c>
      <c r="D13339" s="690" t="s">
        <v>4060</v>
      </c>
      <c r="E13339" s="690" t="s">
        <v>4060</v>
      </c>
      <c r="F13339" s="690" t="s">
        <v>4060</v>
      </c>
      <c r="G13339" s="690" t="s">
        <v>4060</v>
      </c>
      <c r="H13339" s="690" t="s">
        <v>4060</v>
      </c>
      <c r="I13339" s="690" t="s">
        <v>4060</v>
      </c>
      <c r="J13339" s="690" t="s">
        <v>4060</v>
      </c>
      <c r="K13339" s="690" t="s">
        <v>4060</v>
      </c>
    </row>
    <row r="13340" spans="1:11">
      <c r="A13340" s="688" t="s">
        <v>2355</v>
      </c>
      <c r="B13340" s="692" t="s">
        <v>4060</v>
      </c>
      <c r="C13340" s="692" t="s">
        <v>4060</v>
      </c>
      <c r="D13340" s="692" t="s">
        <v>4060</v>
      </c>
      <c r="E13340" s="692" t="s">
        <v>4060</v>
      </c>
      <c r="F13340" s="692" t="s">
        <v>4060</v>
      </c>
      <c r="G13340" s="692" t="s">
        <v>4060</v>
      </c>
      <c r="H13340" s="692" t="s">
        <v>4060</v>
      </c>
      <c r="I13340" s="692" t="s">
        <v>4060</v>
      </c>
      <c r="J13340" s="692" t="s">
        <v>4060</v>
      </c>
      <c r="K13340" s="692" t="s">
        <v>4060</v>
      </c>
    </row>
    <row r="13341" spans="1:11">
      <c r="A13341" s="688" t="s">
        <v>2357</v>
      </c>
      <c r="B13341" s="690" t="s">
        <v>4060</v>
      </c>
      <c r="C13341" s="690" t="s">
        <v>4060</v>
      </c>
      <c r="D13341" s="690" t="s">
        <v>4060</v>
      </c>
      <c r="E13341" s="690" t="s">
        <v>4060</v>
      </c>
      <c r="F13341" s="690" t="s">
        <v>4060</v>
      </c>
      <c r="G13341" s="690" t="s">
        <v>4060</v>
      </c>
      <c r="H13341" s="690" t="s">
        <v>4060</v>
      </c>
      <c r="I13341" s="690" t="s">
        <v>4060</v>
      </c>
      <c r="J13341" s="690" t="s">
        <v>4060</v>
      </c>
      <c r="K13341" s="690" t="s">
        <v>4060</v>
      </c>
    </row>
    <row r="13342" spans="1:11">
      <c r="A13342" s="688" t="s">
        <v>4070</v>
      </c>
      <c r="B13342" s="692" t="s">
        <v>4060</v>
      </c>
      <c r="C13342" s="692" t="s">
        <v>4060</v>
      </c>
      <c r="D13342" s="692" t="s">
        <v>4060</v>
      </c>
      <c r="E13342" s="692" t="s">
        <v>4060</v>
      </c>
      <c r="F13342" s="692" t="s">
        <v>4060</v>
      </c>
      <c r="G13342" s="692" t="s">
        <v>4060</v>
      </c>
      <c r="H13342" s="692" t="s">
        <v>4060</v>
      </c>
      <c r="I13342" s="692" t="s">
        <v>4060</v>
      </c>
      <c r="J13342" s="692" t="s">
        <v>4060</v>
      </c>
      <c r="K13342" s="692" t="s">
        <v>4060</v>
      </c>
    </row>
    <row r="13343" spans="1:11">
      <c r="A13343" s="688" t="s">
        <v>2491</v>
      </c>
      <c r="B13343" s="690" t="s">
        <v>4060</v>
      </c>
      <c r="C13343" s="690" t="s">
        <v>4060</v>
      </c>
      <c r="D13343" s="690" t="s">
        <v>4060</v>
      </c>
      <c r="E13343" s="690" t="s">
        <v>4060</v>
      </c>
      <c r="F13343" s="690" t="s">
        <v>4060</v>
      </c>
      <c r="G13343" s="690" t="s">
        <v>4060</v>
      </c>
      <c r="H13343" s="690" t="s">
        <v>4060</v>
      </c>
      <c r="I13343" s="690" t="s">
        <v>4060</v>
      </c>
      <c r="J13343" s="690" t="s">
        <v>4060</v>
      </c>
      <c r="K13343" s="690" t="s">
        <v>4060</v>
      </c>
    </row>
    <row r="13344" spans="1:11">
      <c r="A13344" s="688" t="s">
        <v>2343</v>
      </c>
      <c r="B13344" s="692" t="s">
        <v>4060</v>
      </c>
      <c r="C13344" s="692" t="s">
        <v>4060</v>
      </c>
      <c r="D13344" s="692" t="s">
        <v>4060</v>
      </c>
      <c r="E13344" s="692" t="s">
        <v>4060</v>
      </c>
      <c r="F13344" s="692" t="s">
        <v>4060</v>
      </c>
      <c r="G13344" s="692" t="s">
        <v>4060</v>
      </c>
      <c r="H13344" s="692" t="s">
        <v>4060</v>
      </c>
      <c r="I13344" s="692" t="s">
        <v>4060</v>
      </c>
      <c r="J13344" s="692" t="s">
        <v>4060</v>
      </c>
      <c r="K13344" s="692" t="s">
        <v>4060</v>
      </c>
    </row>
    <row r="13345" spans="1:11">
      <c r="A13345" s="688" t="s">
        <v>4071</v>
      </c>
      <c r="B13345" s="690" t="s">
        <v>4060</v>
      </c>
      <c r="C13345" s="690" t="s">
        <v>4060</v>
      </c>
      <c r="D13345" s="690" t="s">
        <v>4060</v>
      </c>
      <c r="E13345" s="690" t="s">
        <v>4060</v>
      </c>
      <c r="F13345" s="690" t="s">
        <v>4060</v>
      </c>
      <c r="G13345" s="690" t="s">
        <v>4060</v>
      </c>
      <c r="H13345" s="690" t="s">
        <v>4060</v>
      </c>
      <c r="I13345" s="690" t="s">
        <v>4060</v>
      </c>
      <c r="J13345" s="690" t="s">
        <v>4060</v>
      </c>
      <c r="K13345" s="690" t="s">
        <v>4060</v>
      </c>
    </row>
    <row r="13346" spans="1:11">
      <c r="A13346" s="688" t="s">
        <v>2489</v>
      </c>
      <c r="B13346" s="692" t="s">
        <v>4060</v>
      </c>
      <c r="C13346" s="692" t="s">
        <v>4060</v>
      </c>
      <c r="D13346" s="692" t="s">
        <v>4060</v>
      </c>
      <c r="E13346" s="692" t="s">
        <v>4060</v>
      </c>
      <c r="F13346" s="692" t="s">
        <v>4060</v>
      </c>
      <c r="G13346" s="692" t="s">
        <v>4060</v>
      </c>
      <c r="H13346" s="692" t="s">
        <v>4060</v>
      </c>
      <c r="I13346" s="692" t="s">
        <v>4060</v>
      </c>
      <c r="J13346" s="692" t="s">
        <v>4060</v>
      </c>
      <c r="K13346" s="692" t="s">
        <v>4060</v>
      </c>
    </row>
    <row r="13347" spans="1:11">
      <c r="A13347" s="688" t="s">
        <v>2490</v>
      </c>
      <c r="B13347" s="690" t="s">
        <v>4060</v>
      </c>
      <c r="C13347" s="690" t="s">
        <v>4060</v>
      </c>
      <c r="D13347" s="690" t="s">
        <v>4060</v>
      </c>
      <c r="E13347" s="690" t="s">
        <v>4060</v>
      </c>
      <c r="F13347" s="690" t="s">
        <v>4060</v>
      </c>
      <c r="G13347" s="690" t="s">
        <v>4060</v>
      </c>
      <c r="H13347" s="690" t="s">
        <v>4060</v>
      </c>
      <c r="I13347" s="690" t="s">
        <v>4060</v>
      </c>
      <c r="J13347" s="690" t="s">
        <v>4060</v>
      </c>
      <c r="K13347" s="690" t="s">
        <v>4060</v>
      </c>
    </row>
    <row r="13349" spans="1:11">
      <c r="A13349" s="683" t="s">
        <v>4233</v>
      </c>
    </row>
    <row r="13350" spans="1:11">
      <c r="A13350" s="683" t="s">
        <v>4060</v>
      </c>
      <c r="B13350" s="682" t="s">
        <v>4234</v>
      </c>
    </row>
    <row r="13352" spans="1:11">
      <c r="A13352" s="682" t="s">
        <v>4332</v>
      </c>
    </row>
    <row r="13353" spans="1:11">
      <c r="A13353" s="682" t="s">
        <v>4210</v>
      </c>
      <c r="B13353" s="683" t="s">
        <v>4211</v>
      </c>
    </row>
    <row r="13354" spans="1:11">
      <c r="A13354" s="682" t="s">
        <v>4212</v>
      </c>
      <c r="B13354" s="682" t="s">
        <v>4213</v>
      </c>
    </row>
    <row r="13356" spans="1:11">
      <c r="A13356" s="683" t="s">
        <v>4214</v>
      </c>
      <c r="C13356" s="682" t="s">
        <v>4215</v>
      </c>
    </row>
    <row r="13357" spans="1:11">
      <c r="A13357" s="683" t="s">
        <v>4216</v>
      </c>
      <c r="C13357" s="682" t="s">
        <v>2967</v>
      </c>
    </row>
    <row r="13358" spans="1:11">
      <c r="A13358" s="683" t="s">
        <v>3893</v>
      </c>
      <c r="C13358" s="682" t="s">
        <v>2168</v>
      </c>
    </row>
    <row r="13359" spans="1:11">
      <c r="A13359" s="683" t="s">
        <v>4218</v>
      </c>
      <c r="C13359" s="682" t="s">
        <v>4325</v>
      </c>
    </row>
    <row r="13361" spans="1:11">
      <c r="A13361" s="684" t="s">
        <v>4220</v>
      </c>
      <c r="B13361" s="685" t="s">
        <v>4221</v>
      </c>
      <c r="C13361" s="685" t="s">
        <v>4222</v>
      </c>
      <c r="D13361" s="685" t="s">
        <v>4223</v>
      </c>
      <c r="E13361" s="685" t="s">
        <v>4224</v>
      </c>
      <c r="F13361" s="685" t="s">
        <v>4225</v>
      </c>
      <c r="G13361" s="685" t="s">
        <v>4226</v>
      </c>
      <c r="H13361" s="685" t="s">
        <v>4227</v>
      </c>
      <c r="I13361" s="685" t="s">
        <v>4228</v>
      </c>
      <c r="J13361" s="685" t="s">
        <v>4229</v>
      </c>
      <c r="K13361" s="685" t="s">
        <v>4230</v>
      </c>
    </row>
    <row r="13362" spans="1:11">
      <c r="A13362" s="686" t="s">
        <v>4231</v>
      </c>
      <c r="B13362" s="687" t="s">
        <v>4232</v>
      </c>
      <c r="C13362" s="687" t="s">
        <v>4232</v>
      </c>
      <c r="D13362" s="687" t="s">
        <v>4232</v>
      </c>
      <c r="E13362" s="687" t="s">
        <v>4232</v>
      </c>
      <c r="F13362" s="687" t="s">
        <v>4232</v>
      </c>
      <c r="G13362" s="687" t="s">
        <v>4232</v>
      </c>
      <c r="H13362" s="687" t="s">
        <v>4232</v>
      </c>
      <c r="I13362" s="687" t="s">
        <v>4232</v>
      </c>
      <c r="J13362" s="687" t="s">
        <v>4232</v>
      </c>
      <c r="K13362" s="687" t="s">
        <v>4232</v>
      </c>
    </row>
    <row r="13363" spans="1:11">
      <c r="A13363" s="688" t="s">
        <v>4064</v>
      </c>
      <c r="B13363" s="690" t="s">
        <v>4060</v>
      </c>
      <c r="C13363" s="693">
        <v>4</v>
      </c>
      <c r="D13363" s="690" t="s">
        <v>4060</v>
      </c>
      <c r="E13363" s="693">
        <v>4</v>
      </c>
      <c r="F13363" s="689">
        <v>3.9</v>
      </c>
      <c r="G13363" s="693">
        <v>4</v>
      </c>
      <c r="H13363" s="689">
        <v>4.0999999999999996</v>
      </c>
      <c r="I13363" s="689">
        <v>3.7</v>
      </c>
      <c r="J13363" s="689">
        <v>3.8</v>
      </c>
      <c r="K13363" s="689">
        <v>3.7</v>
      </c>
    </row>
    <row r="13364" spans="1:11">
      <c r="A13364" s="688" t="s">
        <v>4065</v>
      </c>
      <c r="B13364" s="692" t="s">
        <v>4060</v>
      </c>
      <c r="C13364" s="692" t="s">
        <v>4060</v>
      </c>
      <c r="D13364" s="692" t="s">
        <v>4060</v>
      </c>
      <c r="E13364" s="692" t="s">
        <v>4060</v>
      </c>
      <c r="F13364" s="692" t="s">
        <v>4060</v>
      </c>
      <c r="G13364" s="692" t="s">
        <v>4060</v>
      </c>
      <c r="H13364" s="692" t="s">
        <v>4060</v>
      </c>
      <c r="I13364" s="692" t="s">
        <v>4060</v>
      </c>
      <c r="J13364" s="692" t="s">
        <v>4060</v>
      </c>
      <c r="K13364" s="692" t="s">
        <v>4060</v>
      </c>
    </row>
    <row r="13365" spans="1:11">
      <c r="A13365" s="688" t="s">
        <v>4063</v>
      </c>
      <c r="B13365" s="690" t="s">
        <v>4060</v>
      </c>
      <c r="C13365" s="690" t="s">
        <v>4060</v>
      </c>
      <c r="D13365" s="690" t="s">
        <v>4060</v>
      </c>
      <c r="E13365" s="690" t="s">
        <v>4060</v>
      </c>
      <c r="F13365" s="690" t="s">
        <v>4060</v>
      </c>
      <c r="G13365" s="690" t="s">
        <v>4060</v>
      </c>
      <c r="H13365" s="690" t="s">
        <v>4060</v>
      </c>
      <c r="I13365" s="690" t="s">
        <v>4060</v>
      </c>
      <c r="J13365" s="690" t="s">
        <v>4060</v>
      </c>
      <c r="K13365" s="690" t="s">
        <v>4060</v>
      </c>
    </row>
    <row r="13366" spans="1:11">
      <c r="A13366" s="688" t="s">
        <v>4069</v>
      </c>
      <c r="B13366" s="692" t="s">
        <v>4060</v>
      </c>
      <c r="C13366" s="615">
        <v>4</v>
      </c>
      <c r="D13366" s="691">
        <v>3.9</v>
      </c>
      <c r="E13366" s="615">
        <v>4</v>
      </c>
      <c r="F13366" s="691">
        <v>3.9</v>
      </c>
      <c r="G13366" s="615">
        <v>4</v>
      </c>
      <c r="H13366" s="615">
        <v>4</v>
      </c>
      <c r="I13366" s="691">
        <v>3.7</v>
      </c>
      <c r="J13366" s="691">
        <v>3.9</v>
      </c>
      <c r="K13366" s="691">
        <v>3.7</v>
      </c>
    </row>
    <row r="13367" spans="1:11">
      <c r="A13367" s="688" t="s">
        <v>4068</v>
      </c>
      <c r="B13367" s="690" t="s">
        <v>4060</v>
      </c>
      <c r="C13367" s="690" t="s">
        <v>4060</v>
      </c>
      <c r="D13367" s="690" t="s">
        <v>4060</v>
      </c>
      <c r="E13367" s="690" t="s">
        <v>4060</v>
      </c>
      <c r="F13367" s="690" t="s">
        <v>4060</v>
      </c>
      <c r="G13367" s="690" t="s">
        <v>4060</v>
      </c>
      <c r="H13367" s="690" t="s">
        <v>4060</v>
      </c>
      <c r="I13367" s="690" t="s">
        <v>4060</v>
      </c>
      <c r="J13367" s="690" t="s">
        <v>4060</v>
      </c>
      <c r="K13367" s="690" t="s">
        <v>4060</v>
      </c>
    </row>
    <row r="13368" spans="1:11">
      <c r="A13368" s="688" t="s">
        <v>0</v>
      </c>
      <c r="B13368" s="692" t="s">
        <v>4060</v>
      </c>
      <c r="C13368" s="615">
        <v>4</v>
      </c>
      <c r="D13368" s="691">
        <v>3.8</v>
      </c>
      <c r="E13368" s="691">
        <v>3.9</v>
      </c>
      <c r="F13368" s="691">
        <v>3.8</v>
      </c>
      <c r="G13368" s="691">
        <v>3.9</v>
      </c>
      <c r="H13368" s="615">
        <v>4</v>
      </c>
      <c r="I13368" s="691">
        <v>3.4</v>
      </c>
      <c r="J13368" s="615">
        <v>4</v>
      </c>
      <c r="K13368" s="691">
        <v>3.8</v>
      </c>
    </row>
    <row r="13369" spans="1:11">
      <c r="A13369" s="688" t="s">
        <v>1</v>
      </c>
      <c r="B13369" s="690" t="s">
        <v>4060</v>
      </c>
      <c r="C13369" s="689">
        <v>3.2</v>
      </c>
      <c r="D13369" s="693">
        <v>3</v>
      </c>
      <c r="E13369" s="689">
        <v>3.1</v>
      </c>
      <c r="F13369" s="689">
        <v>3.1</v>
      </c>
      <c r="G13369" s="689">
        <v>3.1</v>
      </c>
      <c r="H13369" s="689">
        <v>3.1</v>
      </c>
      <c r="I13369" s="689">
        <v>2.7</v>
      </c>
      <c r="J13369" s="689">
        <v>2.5</v>
      </c>
      <c r="K13369" s="689">
        <v>2.8</v>
      </c>
    </row>
    <row r="13370" spans="1:11">
      <c r="A13370" s="688" t="s">
        <v>2240</v>
      </c>
      <c r="B13370" s="692" t="s">
        <v>4060</v>
      </c>
      <c r="C13370" s="691">
        <v>3.4</v>
      </c>
      <c r="D13370" s="691">
        <v>3.4</v>
      </c>
      <c r="E13370" s="691">
        <v>3.5</v>
      </c>
      <c r="F13370" s="691">
        <v>3.4</v>
      </c>
      <c r="G13370" s="691">
        <v>3.6</v>
      </c>
      <c r="H13370" s="691">
        <v>3.6</v>
      </c>
      <c r="I13370" s="691">
        <v>3.2</v>
      </c>
      <c r="J13370" s="615">
        <v>3</v>
      </c>
      <c r="K13370" s="691">
        <v>3.3</v>
      </c>
    </row>
    <row r="13371" spans="1:11">
      <c r="A13371" s="688" t="s">
        <v>2</v>
      </c>
      <c r="B13371" s="690" t="s">
        <v>4060</v>
      </c>
      <c r="C13371" s="689">
        <v>3.8</v>
      </c>
      <c r="D13371" s="689">
        <v>3.7</v>
      </c>
      <c r="E13371" s="689">
        <v>3.8</v>
      </c>
      <c r="F13371" s="689">
        <v>3.7</v>
      </c>
      <c r="G13371" s="689">
        <v>3.6</v>
      </c>
      <c r="H13371" s="689">
        <v>3.7</v>
      </c>
      <c r="I13371" s="689">
        <v>3.7</v>
      </c>
      <c r="J13371" s="689">
        <v>3.6</v>
      </c>
      <c r="K13371" s="689">
        <v>3.6</v>
      </c>
    </row>
    <row r="13372" spans="1:11">
      <c r="A13372" s="688" t="s">
        <v>3</v>
      </c>
      <c r="B13372" s="692" t="s">
        <v>4060</v>
      </c>
      <c r="C13372" s="691">
        <v>3.8</v>
      </c>
      <c r="D13372" s="691">
        <v>3.7</v>
      </c>
      <c r="E13372" s="691">
        <v>3.8</v>
      </c>
      <c r="F13372" s="691">
        <v>3.7</v>
      </c>
      <c r="G13372" s="691">
        <v>3.7</v>
      </c>
      <c r="H13372" s="691">
        <v>3.9</v>
      </c>
      <c r="I13372" s="691">
        <v>3.7</v>
      </c>
      <c r="J13372" s="691">
        <v>3.7</v>
      </c>
      <c r="K13372" s="691">
        <v>3.4</v>
      </c>
    </row>
    <row r="13373" spans="1:11">
      <c r="A13373" s="688" t="s">
        <v>4061</v>
      </c>
      <c r="B13373" s="690" t="s">
        <v>4060</v>
      </c>
      <c r="C13373" s="689">
        <v>3.8</v>
      </c>
      <c r="D13373" s="689">
        <v>3.7</v>
      </c>
      <c r="E13373" s="689">
        <v>3.8</v>
      </c>
      <c r="F13373" s="689">
        <v>3.7</v>
      </c>
      <c r="G13373" s="689">
        <v>3.7</v>
      </c>
      <c r="H13373" s="689">
        <v>3.9</v>
      </c>
      <c r="I13373" s="689">
        <v>3.7</v>
      </c>
      <c r="J13373" s="689">
        <v>3.7</v>
      </c>
      <c r="K13373" s="689">
        <v>3.4</v>
      </c>
    </row>
    <row r="13374" spans="1:11">
      <c r="A13374" s="688" t="s">
        <v>4</v>
      </c>
      <c r="B13374" s="692" t="s">
        <v>4060</v>
      </c>
      <c r="C13374" s="691">
        <v>3.6</v>
      </c>
      <c r="D13374" s="691">
        <v>3.8</v>
      </c>
      <c r="E13374" s="691">
        <v>3.9</v>
      </c>
      <c r="F13374" s="691">
        <v>3.8</v>
      </c>
      <c r="G13374" s="691">
        <v>3.7</v>
      </c>
      <c r="H13374" s="691">
        <v>3.9</v>
      </c>
      <c r="I13374" s="691">
        <v>3.8</v>
      </c>
      <c r="J13374" s="691">
        <v>3.2</v>
      </c>
      <c r="K13374" s="691">
        <v>3.4</v>
      </c>
    </row>
    <row r="13375" spans="1:11">
      <c r="A13375" s="688" t="s">
        <v>8</v>
      </c>
      <c r="B13375" s="690" t="s">
        <v>4060</v>
      </c>
      <c r="C13375" s="689">
        <v>3.8</v>
      </c>
      <c r="D13375" s="689">
        <v>3.6</v>
      </c>
      <c r="E13375" s="689">
        <v>3.7</v>
      </c>
      <c r="F13375" s="693">
        <v>4</v>
      </c>
      <c r="G13375" s="689">
        <v>3.9</v>
      </c>
      <c r="H13375" s="689">
        <v>3.8</v>
      </c>
      <c r="I13375" s="693">
        <v>4</v>
      </c>
      <c r="J13375" s="689">
        <v>3.8</v>
      </c>
      <c r="K13375" s="689">
        <v>4.0999999999999996</v>
      </c>
    </row>
    <row r="13376" spans="1:11">
      <c r="A13376" s="688" t="s">
        <v>7</v>
      </c>
      <c r="B13376" s="692" t="s">
        <v>4060</v>
      </c>
      <c r="C13376" s="691">
        <v>3.3</v>
      </c>
      <c r="D13376" s="691">
        <v>3.1</v>
      </c>
      <c r="E13376" s="691">
        <v>3.3</v>
      </c>
      <c r="F13376" s="691">
        <v>3.3</v>
      </c>
      <c r="G13376" s="691">
        <v>3.6</v>
      </c>
      <c r="H13376" s="691">
        <v>3.8</v>
      </c>
      <c r="I13376" s="691">
        <v>3.8</v>
      </c>
      <c r="J13376" s="691">
        <v>3.7</v>
      </c>
      <c r="K13376" s="691">
        <v>3.8</v>
      </c>
    </row>
    <row r="13377" spans="1:11">
      <c r="A13377" s="688" t="s">
        <v>27</v>
      </c>
      <c r="B13377" s="690" t="s">
        <v>4060</v>
      </c>
      <c r="C13377" s="689">
        <v>4.3</v>
      </c>
      <c r="D13377" s="689">
        <v>4.0999999999999996</v>
      </c>
      <c r="E13377" s="689">
        <v>4.3</v>
      </c>
      <c r="F13377" s="689">
        <v>4.2</v>
      </c>
      <c r="G13377" s="689">
        <v>4.2</v>
      </c>
      <c r="H13377" s="689">
        <v>4.4000000000000004</v>
      </c>
      <c r="I13377" s="689">
        <v>3.8</v>
      </c>
      <c r="J13377" s="689">
        <v>4.2</v>
      </c>
      <c r="K13377" s="693">
        <v>4</v>
      </c>
    </row>
    <row r="13378" spans="1:11">
      <c r="A13378" s="688" t="s">
        <v>6</v>
      </c>
      <c r="B13378" s="692" t="s">
        <v>4060</v>
      </c>
      <c r="C13378" s="691">
        <v>4.4000000000000004</v>
      </c>
      <c r="D13378" s="691">
        <v>4.2</v>
      </c>
      <c r="E13378" s="691">
        <v>4.2</v>
      </c>
      <c r="F13378" s="691">
        <v>4.2</v>
      </c>
      <c r="G13378" s="691">
        <v>4.2</v>
      </c>
      <c r="H13378" s="691">
        <v>4.3</v>
      </c>
      <c r="I13378" s="691">
        <v>3.9</v>
      </c>
      <c r="J13378" s="691">
        <v>4.0999999999999996</v>
      </c>
      <c r="K13378" s="615">
        <v>4</v>
      </c>
    </row>
    <row r="13379" spans="1:11">
      <c r="A13379" s="688" t="s">
        <v>4058</v>
      </c>
      <c r="B13379" s="690" t="s">
        <v>4060</v>
      </c>
      <c r="C13379" s="690" t="s">
        <v>4060</v>
      </c>
      <c r="D13379" s="690" t="s">
        <v>4060</v>
      </c>
      <c r="E13379" s="690" t="s">
        <v>4060</v>
      </c>
      <c r="F13379" s="690" t="s">
        <v>4060</v>
      </c>
      <c r="G13379" s="690" t="s">
        <v>4060</v>
      </c>
      <c r="H13379" s="690" t="s">
        <v>4060</v>
      </c>
      <c r="I13379" s="690" t="s">
        <v>4060</v>
      </c>
      <c r="J13379" s="690" t="s">
        <v>4060</v>
      </c>
      <c r="K13379" s="690" t="s">
        <v>4060</v>
      </c>
    </row>
    <row r="13380" spans="1:11">
      <c r="A13380" s="688" t="s">
        <v>11</v>
      </c>
      <c r="B13380" s="692" t="s">
        <v>4060</v>
      </c>
      <c r="C13380" s="691">
        <v>3.2</v>
      </c>
      <c r="D13380" s="691">
        <v>3.2</v>
      </c>
      <c r="E13380" s="691">
        <v>3.3</v>
      </c>
      <c r="F13380" s="691">
        <v>3.3</v>
      </c>
      <c r="G13380" s="691">
        <v>3.2</v>
      </c>
      <c r="H13380" s="691">
        <v>3.3</v>
      </c>
      <c r="I13380" s="615">
        <v>3</v>
      </c>
      <c r="J13380" s="691">
        <v>2.9</v>
      </c>
      <c r="K13380" s="691">
        <v>2.8</v>
      </c>
    </row>
    <row r="13381" spans="1:11">
      <c r="A13381" s="688" t="s">
        <v>10</v>
      </c>
      <c r="B13381" s="690" t="s">
        <v>4060</v>
      </c>
      <c r="C13381" s="693">
        <v>4</v>
      </c>
      <c r="D13381" s="689">
        <v>3.7</v>
      </c>
      <c r="E13381" s="689">
        <v>3.9</v>
      </c>
      <c r="F13381" s="689">
        <v>3.8</v>
      </c>
      <c r="G13381" s="693">
        <v>4</v>
      </c>
      <c r="H13381" s="693">
        <v>4</v>
      </c>
      <c r="I13381" s="689">
        <v>3.6</v>
      </c>
      <c r="J13381" s="689">
        <v>3.8</v>
      </c>
      <c r="K13381" s="689">
        <v>3.6</v>
      </c>
    </row>
    <row r="13382" spans="1:11">
      <c r="A13382" s="688" t="s">
        <v>30</v>
      </c>
      <c r="B13382" s="692" t="s">
        <v>4060</v>
      </c>
      <c r="C13382" s="691">
        <v>3.9</v>
      </c>
      <c r="D13382" s="691">
        <v>3.6</v>
      </c>
      <c r="E13382" s="691">
        <v>4.4000000000000004</v>
      </c>
      <c r="F13382" s="615">
        <v>4</v>
      </c>
      <c r="G13382" s="691">
        <v>4.5999999999999996</v>
      </c>
      <c r="H13382" s="691">
        <v>4.5999999999999996</v>
      </c>
      <c r="I13382" s="691">
        <v>4.5</v>
      </c>
      <c r="J13382" s="691">
        <v>4.0999999999999996</v>
      </c>
      <c r="K13382" s="691">
        <v>3.8</v>
      </c>
    </row>
    <row r="13383" spans="1:11">
      <c r="A13383" s="688" t="s">
        <v>12</v>
      </c>
      <c r="B13383" s="690" t="s">
        <v>4060</v>
      </c>
      <c r="C13383" s="689">
        <v>3.6</v>
      </c>
      <c r="D13383" s="689">
        <v>3.6</v>
      </c>
      <c r="E13383" s="689">
        <v>3.4</v>
      </c>
      <c r="F13383" s="689">
        <v>3.4</v>
      </c>
      <c r="G13383" s="689">
        <v>3.5</v>
      </c>
      <c r="H13383" s="689">
        <v>3.5</v>
      </c>
      <c r="I13383" s="689">
        <v>3.4</v>
      </c>
      <c r="J13383" s="689">
        <v>3.1</v>
      </c>
      <c r="K13383" s="689">
        <v>3.2</v>
      </c>
    </row>
    <row r="13384" spans="1:11">
      <c r="A13384" s="688" t="s">
        <v>14</v>
      </c>
      <c r="B13384" s="692" t="s">
        <v>4060</v>
      </c>
      <c r="C13384" s="691">
        <v>2.8</v>
      </c>
      <c r="D13384" s="691">
        <v>2.6</v>
      </c>
      <c r="E13384" s="691">
        <v>2.2999999999999998</v>
      </c>
      <c r="F13384" s="615">
        <v>2</v>
      </c>
      <c r="G13384" s="691">
        <v>1.8</v>
      </c>
      <c r="H13384" s="691">
        <v>1.9</v>
      </c>
      <c r="I13384" s="691">
        <v>2.7</v>
      </c>
      <c r="J13384" s="615">
        <v>3</v>
      </c>
      <c r="K13384" s="691">
        <v>3.1</v>
      </c>
    </row>
    <row r="13385" spans="1:11">
      <c r="A13385" s="688" t="s">
        <v>15</v>
      </c>
      <c r="B13385" s="690" t="s">
        <v>4060</v>
      </c>
      <c r="C13385" s="689">
        <v>3.9</v>
      </c>
      <c r="D13385" s="689">
        <v>4.0999999999999996</v>
      </c>
      <c r="E13385" s="689">
        <v>3.7</v>
      </c>
      <c r="F13385" s="689">
        <v>3.8</v>
      </c>
      <c r="G13385" s="689">
        <v>3.8</v>
      </c>
      <c r="H13385" s="689">
        <v>3.9</v>
      </c>
      <c r="I13385" s="689">
        <v>3.7</v>
      </c>
      <c r="J13385" s="689">
        <v>4.0999999999999996</v>
      </c>
      <c r="K13385" s="689">
        <v>4.0999999999999996</v>
      </c>
    </row>
    <row r="13386" spans="1:11">
      <c r="A13386" s="688" t="s">
        <v>29</v>
      </c>
      <c r="B13386" s="692" t="s">
        <v>4060</v>
      </c>
      <c r="C13386" s="691">
        <v>3.9</v>
      </c>
      <c r="D13386" s="691">
        <v>3.6</v>
      </c>
      <c r="E13386" s="691">
        <v>3.8</v>
      </c>
      <c r="F13386" s="691">
        <v>3.7</v>
      </c>
      <c r="G13386" s="691">
        <v>3.8</v>
      </c>
      <c r="H13386" s="691">
        <v>3.9</v>
      </c>
      <c r="I13386" s="691">
        <v>3.8</v>
      </c>
      <c r="J13386" s="691">
        <v>3.8</v>
      </c>
      <c r="K13386" s="691">
        <v>3.6</v>
      </c>
    </row>
    <row r="13387" spans="1:11">
      <c r="A13387" s="688" t="s">
        <v>16</v>
      </c>
      <c r="B13387" s="690" t="s">
        <v>4060</v>
      </c>
      <c r="C13387" s="689">
        <v>3.7</v>
      </c>
      <c r="D13387" s="689">
        <v>3.5</v>
      </c>
      <c r="E13387" s="693">
        <v>4</v>
      </c>
      <c r="F13387" s="689">
        <v>3.4</v>
      </c>
      <c r="G13387" s="689">
        <v>3.7</v>
      </c>
      <c r="H13387" s="689">
        <v>3.9</v>
      </c>
      <c r="I13387" s="689">
        <v>3.8</v>
      </c>
      <c r="J13387" s="689">
        <v>4.2</v>
      </c>
      <c r="K13387" s="689">
        <v>3.7</v>
      </c>
    </row>
    <row r="13388" spans="1:11">
      <c r="A13388" s="688" t="s">
        <v>17</v>
      </c>
      <c r="B13388" s="692" t="s">
        <v>4060</v>
      </c>
      <c r="C13388" s="691">
        <v>3.8</v>
      </c>
      <c r="D13388" s="691">
        <v>3.7</v>
      </c>
      <c r="E13388" s="691">
        <v>3.7</v>
      </c>
      <c r="F13388" s="691">
        <v>3.7</v>
      </c>
      <c r="G13388" s="691">
        <v>3.7</v>
      </c>
      <c r="H13388" s="691">
        <v>3.8</v>
      </c>
      <c r="I13388" s="691">
        <v>3.4</v>
      </c>
      <c r="J13388" s="691">
        <v>3.5</v>
      </c>
      <c r="K13388" s="691">
        <v>3.5</v>
      </c>
    </row>
    <row r="13389" spans="1:11">
      <c r="A13389" s="688" t="s">
        <v>19</v>
      </c>
      <c r="B13389" s="690" t="s">
        <v>4060</v>
      </c>
      <c r="C13389" s="689">
        <v>3.9</v>
      </c>
      <c r="D13389" s="689">
        <v>3.8</v>
      </c>
      <c r="E13389" s="689">
        <v>3.9</v>
      </c>
      <c r="F13389" s="689">
        <v>3.9</v>
      </c>
      <c r="G13389" s="689">
        <v>3.8</v>
      </c>
      <c r="H13389" s="689">
        <v>3.8</v>
      </c>
      <c r="I13389" s="689">
        <v>3.6</v>
      </c>
      <c r="J13389" s="689">
        <v>3.7</v>
      </c>
      <c r="K13389" s="689">
        <v>3.5</v>
      </c>
    </row>
    <row r="13390" spans="1:11">
      <c r="A13390" s="688" t="s">
        <v>20</v>
      </c>
      <c r="B13390" s="692" t="s">
        <v>4060</v>
      </c>
      <c r="C13390" s="615">
        <v>4</v>
      </c>
      <c r="D13390" s="691">
        <v>3.9</v>
      </c>
      <c r="E13390" s="691">
        <v>4.0999999999999996</v>
      </c>
      <c r="F13390" s="691">
        <v>4.0999999999999996</v>
      </c>
      <c r="G13390" s="691">
        <v>4.0999999999999996</v>
      </c>
      <c r="H13390" s="691">
        <v>4.2</v>
      </c>
      <c r="I13390" s="691">
        <v>3.5</v>
      </c>
      <c r="J13390" s="691">
        <v>3.3</v>
      </c>
      <c r="K13390" s="691">
        <v>3.7</v>
      </c>
    </row>
    <row r="13391" spans="1:11">
      <c r="A13391" s="688" t="s">
        <v>21</v>
      </c>
      <c r="B13391" s="690" t="s">
        <v>4060</v>
      </c>
      <c r="C13391" s="693">
        <v>4</v>
      </c>
      <c r="D13391" s="693">
        <v>4</v>
      </c>
      <c r="E13391" s="693">
        <v>4</v>
      </c>
      <c r="F13391" s="693">
        <v>4</v>
      </c>
      <c r="G13391" s="693">
        <v>4</v>
      </c>
      <c r="H13391" s="693">
        <v>4</v>
      </c>
      <c r="I13391" s="689">
        <v>3.8</v>
      </c>
      <c r="J13391" s="689">
        <v>3.8</v>
      </c>
      <c r="K13391" s="689">
        <v>3.8</v>
      </c>
    </row>
    <row r="13392" spans="1:11">
      <c r="A13392" s="688" t="s">
        <v>22</v>
      </c>
      <c r="B13392" s="692" t="s">
        <v>4060</v>
      </c>
      <c r="C13392" s="691">
        <v>3.9</v>
      </c>
      <c r="D13392" s="615">
        <v>4</v>
      </c>
      <c r="E13392" s="691">
        <v>4.4000000000000004</v>
      </c>
      <c r="F13392" s="691">
        <v>4.5</v>
      </c>
      <c r="G13392" s="691">
        <v>4.7</v>
      </c>
      <c r="H13392" s="691">
        <v>5.2</v>
      </c>
      <c r="I13392" s="691">
        <v>4.5999999999999996</v>
      </c>
      <c r="J13392" s="691">
        <v>3.6</v>
      </c>
      <c r="K13392" s="691">
        <v>3.2</v>
      </c>
    </row>
    <row r="13393" spans="1:11">
      <c r="A13393" s="688" t="s">
        <v>26</v>
      </c>
      <c r="B13393" s="690" t="s">
        <v>4060</v>
      </c>
      <c r="C13393" s="693">
        <v>4</v>
      </c>
      <c r="D13393" s="693">
        <v>4</v>
      </c>
      <c r="E13393" s="689">
        <v>4.0999999999999996</v>
      </c>
      <c r="F13393" s="689">
        <v>3.7</v>
      </c>
      <c r="G13393" s="689">
        <v>3.9</v>
      </c>
      <c r="H13393" s="693">
        <v>4</v>
      </c>
      <c r="I13393" s="689">
        <v>3.2</v>
      </c>
      <c r="J13393" s="689">
        <v>3.6</v>
      </c>
      <c r="K13393" s="689">
        <v>3.8</v>
      </c>
    </row>
    <row r="13394" spans="1:11">
      <c r="A13394" s="688" t="s">
        <v>25</v>
      </c>
      <c r="B13394" s="692" t="s">
        <v>4060</v>
      </c>
      <c r="C13394" s="691">
        <v>4.2</v>
      </c>
      <c r="D13394" s="691">
        <v>4.2</v>
      </c>
      <c r="E13394" s="691">
        <v>4.4000000000000004</v>
      </c>
      <c r="F13394" s="691">
        <v>4.2</v>
      </c>
      <c r="G13394" s="691">
        <v>4.7</v>
      </c>
      <c r="H13394" s="615">
        <v>5</v>
      </c>
      <c r="I13394" s="691">
        <v>4.7</v>
      </c>
      <c r="J13394" s="691">
        <v>3.9</v>
      </c>
      <c r="K13394" s="691">
        <v>4.0999999999999996</v>
      </c>
    </row>
    <row r="13395" spans="1:11">
      <c r="A13395" s="688" t="s">
        <v>5</v>
      </c>
      <c r="B13395" s="690" t="s">
        <v>4060</v>
      </c>
      <c r="C13395" s="689">
        <v>3.8</v>
      </c>
      <c r="D13395" s="689">
        <v>3.8</v>
      </c>
      <c r="E13395" s="689">
        <v>3.7</v>
      </c>
      <c r="F13395" s="689">
        <v>3.8</v>
      </c>
      <c r="G13395" s="689">
        <v>3.8</v>
      </c>
      <c r="H13395" s="689">
        <v>3.9</v>
      </c>
      <c r="I13395" s="689">
        <v>3.9</v>
      </c>
      <c r="J13395" s="689">
        <v>3.7</v>
      </c>
      <c r="K13395" s="689">
        <v>3.5</v>
      </c>
    </row>
    <row r="13396" spans="1:11">
      <c r="A13396" s="688" t="s">
        <v>23</v>
      </c>
      <c r="B13396" s="692" t="s">
        <v>4060</v>
      </c>
      <c r="C13396" s="691">
        <v>3.8</v>
      </c>
      <c r="D13396" s="691">
        <v>3.8</v>
      </c>
      <c r="E13396" s="691">
        <v>3.8</v>
      </c>
      <c r="F13396" s="691">
        <v>3.7</v>
      </c>
      <c r="G13396" s="691">
        <v>3.8</v>
      </c>
      <c r="H13396" s="691">
        <v>3.9</v>
      </c>
      <c r="I13396" s="691">
        <v>3.5</v>
      </c>
      <c r="J13396" s="691">
        <v>3.9</v>
      </c>
      <c r="K13396" s="691">
        <v>3.8</v>
      </c>
    </row>
    <row r="13397" spans="1:11">
      <c r="A13397" s="688" t="s">
        <v>4067</v>
      </c>
      <c r="B13397" s="690" t="s">
        <v>4060</v>
      </c>
      <c r="C13397" s="690" t="s">
        <v>4060</v>
      </c>
      <c r="D13397" s="690" t="s">
        <v>4060</v>
      </c>
      <c r="E13397" s="690" t="s">
        <v>4060</v>
      </c>
      <c r="F13397" s="690" t="s">
        <v>4060</v>
      </c>
      <c r="G13397" s="690" t="s">
        <v>4060</v>
      </c>
      <c r="H13397" s="690" t="s">
        <v>4060</v>
      </c>
      <c r="I13397" s="690" t="s">
        <v>4060</v>
      </c>
      <c r="J13397" s="690" t="s">
        <v>4060</v>
      </c>
      <c r="K13397" s="690" t="s">
        <v>4060</v>
      </c>
    </row>
    <row r="13398" spans="1:11">
      <c r="A13398" s="688" t="s">
        <v>4066</v>
      </c>
      <c r="B13398" s="692" t="s">
        <v>4060</v>
      </c>
      <c r="C13398" s="692" t="s">
        <v>4060</v>
      </c>
      <c r="D13398" s="692" t="s">
        <v>4060</v>
      </c>
      <c r="E13398" s="692" t="s">
        <v>4060</v>
      </c>
      <c r="F13398" s="692" t="s">
        <v>4060</v>
      </c>
      <c r="G13398" s="692" t="s">
        <v>4060</v>
      </c>
      <c r="H13398" s="692" t="s">
        <v>4060</v>
      </c>
      <c r="I13398" s="692" t="s">
        <v>4060</v>
      </c>
      <c r="J13398" s="692" t="s">
        <v>4060</v>
      </c>
      <c r="K13398" s="692" t="s">
        <v>4060</v>
      </c>
    </row>
    <row r="13399" spans="1:11">
      <c r="A13399" s="688" t="s">
        <v>4062</v>
      </c>
      <c r="B13399" s="690" t="s">
        <v>4060</v>
      </c>
      <c r="C13399" s="689">
        <v>3.8</v>
      </c>
      <c r="D13399" s="689">
        <v>3.8</v>
      </c>
      <c r="E13399" s="689">
        <v>3.9</v>
      </c>
      <c r="F13399" s="689">
        <v>3.9</v>
      </c>
      <c r="G13399" s="693">
        <v>4</v>
      </c>
      <c r="H13399" s="693">
        <v>4</v>
      </c>
      <c r="I13399" s="689">
        <v>3.8</v>
      </c>
      <c r="J13399" s="689">
        <v>4.0999999999999996</v>
      </c>
      <c r="K13399" s="689">
        <v>3.8</v>
      </c>
    </row>
    <row r="13400" spans="1:11">
      <c r="A13400" s="688" t="s">
        <v>9</v>
      </c>
      <c r="B13400" s="692" t="s">
        <v>4060</v>
      </c>
      <c r="C13400" s="691">
        <v>3.4</v>
      </c>
      <c r="D13400" s="691">
        <v>3.7</v>
      </c>
      <c r="E13400" s="691">
        <v>3.6</v>
      </c>
      <c r="F13400" s="691">
        <v>4.2</v>
      </c>
      <c r="G13400" s="691">
        <v>4.0999999999999996</v>
      </c>
      <c r="H13400" s="615">
        <v>4</v>
      </c>
      <c r="I13400" s="691">
        <v>4.0999999999999996</v>
      </c>
      <c r="J13400" s="691">
        <v>4.2</v>
      </c>
      <c r="K13400" s="615">
        <v>4</v>
      </c>
    </row>
    <row r="13401" spans="1:11">
      <c r="A13401" s="688" t="s">
        <v>13</v>
      </c>
      <c r="B13401" s="690" t="s">
        <v>4060</v>
      </c>
      <c r="C13401" s="689">
        <v>3.2</v>
      </c>
      <c r="D13401" s="693">
        <v>4</v>
      </c>
      <c r="E13401" s="689">
        <v>3.4</v>
      </c>
      <c r="F13401" s="689">
        <v>4.5</v>
      </c>
      <c r="G13401" s="693">
        <v>4</v>
      </c>
      <c r="H13401" s="693">
        <v>3</v>
      </c>
      <c r="I13401" s="689">
        <v>2.8</v>
      </c>
      <c r="J13401" s="689">
        <v>4.7</v>
      </c>
      <c r="K13401" s="689">
        <v>3.7</v>
      </c>
    </row>
    <row r="13402" spans="1:11">
      <c r="A13402" s="688" t="s">
        <v>18</v>
      </c>
      <c r="B13402" s="692" t="s">
        <v>4060</v>
      </c>
      <c r="C13402" s="691">
        <v>3.7</v>
      </c>
      <c r="D13402" s="691">
        <v>3.8</v>
      </c>
      <c r="E13402" s="691">
        <v>3.8</v>
      </c>
      <c r="F13402" s="691">
        <v>3.9</v>
      </c>
      <c r="G13402" s="615">
        <v>4</v>
      </c>
      <c r="H13402" s="691">
        <v>3.9</v>
      </c>
      <c r="I13402" s="691">
        <v>4.0999999999999996</v>
      </c>
      <c r="J13402" s="691">
        <v>4.0999999999999996</v>
      </c>
      <c r="K13402" s="691">
        <v>3.7</v>
      </c>
    </row>
    <row r="13403" spans="1:11">
      <c r="A13403" s="688" t="s">
        <v>24</v>
      </c>
      <c r="B13403" s="690" t="s">
        <v>4060</v>
      </c>
      <c r="C13403" s="689">
        <v>3.9</v>
      </c>
      <c r="D13403" s="689">
        <v>3.8</v>
      </c>
      <c r="E13403" s="693">
        <v>4</v>
      </c>
      <c r="F13403" s="689">
        <v>3.9</v>
      </c>
      <c r="G13403" s="693">
        <v>4</v>
      </c>
      <c r="H13403" s="689">
        <v>4.0999999999999996</v>
      </c>
      <c r="I13403" s="689">
        <v>3.6</v>
      </c>
      <c r="J13403" s="693">
        <v>4</v>
      </c>
      <c r="K13403" s="689">
        <v>3.9</v>
      </c>
    </row>
    <row r="13404" spans="1:11">
      <c r="A13404" s="688" t="s">
        <v>4059</v>
      </c>
      <c r="B13404" s="692" t="s">
        <v>4060</v>
      </c>
      <c r="C13404" s="692" t="s">
        <v>4060</v>
      </c>
      <c r="D13404" s="692" t="s">
        <v>4060</v>
      </c>
      <c r="E13404" s="692" t="s">
        <v>4060</v>
      </c>
      <c r="F13404" s="692" t="s">
        <v>4060</v>
      </c>
      <c r="G13404" s="692" t="s">
        <v>4060</v>
      </c>
      <c r="H13404" s="692" t="s">
        <v>4060</v>
      </c>
      <c r="I13404" s="692" t="s">
        <v>4060</v>
      </c>
      <c r="J13404" s="692" t="s">
        <v>4060</v>
      </c>
      <c r="K13404" s="692" t="s">
        <v>4060</v>
      </c>
    </row>
    <row r="13405" spans="1:11">
      <c r="A13405" s="688" t="s">
        <v>2324</v>
      </c>
      <c r="B13405" s="690" t="s">
        <v>4060</v>
      </c>
      <c r="C13405" s="690" t="s">
        <v>4060</v>
      </c>
      <c r="D13405" s="690" t="s">
        <v>4060</v>
      </c>
      <c r="E13405" s="690" t="s">
        <v>4060</v>
      </c>
      <c r="F13405" s="690" t="s">
        <v>4060</v>
      </c>
      <c r="G13405" s="690" t="s">
        <v>4060</v>
      </c>
      <c r="H13405" s="690" t="s">
        <v>4060</v>
      </c>
      <c r="I13405" s="690" t="s">
        <v>4060</v>
      </c>
      <c r="J13405" s="690" t="s">
        <v>4060</v>
      </c>
      <c r="K13405" s="690" t="s">
        <v>4060</v>
      </c>
    </row>
    <row r="13406" spans="1:11">
      <c r="A13406" s="688" t="s">
        <v>2322</v>
      </c>
      <c r="B13406" s="692" t="s">
        <v>4060</v>
      </c>
      <c r="C13406" s="692" t="s">
        <v>4060</v>
      </c>
      <c r="D13406" s="692" t="s">
        <v>4060</v>
      </c>
      <c r="E13406" s="692" t="s">
        <v>4060</v>
      </c>
      <c r="F13406" s="692" t="s">
        <v>4060</v>
      </c>
      <c r="G13406" s="692" t="s">
        <v>4060</v>
      </c>
      <c r="H13406" s="692" t="s">
        <v>4060</v>
      </c>
      <c r="I13406" s="692" t="s">
        <v>4060</v>
      </c>
      <c r="J13406" s="692" t="s">
        <v>4060</v>
      </c>
      <c r="K13406" s="692" t="s">
        <v>4060</v>
      </c>
    </row>
    <row r="13407" spans="1:11">
      <c r="A13407" s="688" t="s">
        <v>2328</v>
      </c>
      <c r="B13407" s="690" t="s">
        <v>4060</v>
      </c>
      <c r="C13407" s="690" t="s">
        <v>4060</v>
      </c>
      <c r="D13407" s="690" t="s">
        <v>4060</v>
      </c>
      <c r="E13407" s="690" t="s">
        <v>4060</v>
      </c>
      <c r="F13407" s="690" t="s">
        <v>4060</v>
      </c>
      <c r="G13407" s="690" t="s">
        <v>4060</v>
      </c>
      <c r="H13407" s="690" t="s">
        <v>4060</v>
      </c>
      <c r="I13407" s="690" t="s">
        <v>4060</v>
      </c>
      <c r="J13407" s="690" t="s">
        <v>4060</v>
      </c>
      <c r="K13407" s="690" t="s">
        <v>4060</v>
      </c>
    </row>
    <row r="13408" spans="1:11">
      <c r="A13408" s="688" t="s">
        <v>2496</v>
      </c>
      <c r="B13408" s="692" t="s">
        <v>4060</v>
      </c>
      <c r="C13408" s="692" t="s">
        <v>4060</v>
      </c>
      <c r="D13408" s="692" t="s">
        <v>4060</v>
      </c>
      <c r="E13408" s="692" t="s">
        <v>4060</v>
      </c>
      <c r="F13408" s="692" t="s">
        <v>4060</v>
      </c>
      <c r="G13408" s="692" t="s">
        <v>4060</v>
      </c>
      <c r="H13408" s="692" t="s">
        <v>4060</v>
      </c>
      <c r="I13408" s="692" t="s">
        <v>4060</v>
      </c>
      <c r="J13408" s="692" t="s">
        <v>4060</v>
      </c>
      <c r="K13408" s="692" t="s">
        <v>4060</v>
      </c>
    </row>
    <row r="13409" spans="1:11">
      <c r="A13409" s="688" t="s">
        <v>2269</v>
      </c>
      <c r="B13409" s="690" t="s">
        <v>4060</v>
      </c>
      <c r="C13409" s="690" t="s">
        <v>4060</v>
      </c>
      <c r="D13409" s="690" t="s">
        <v>4060</v>
      </c>
      <c r="E13409" s="690" t="s">
        <v>4060</v>
      </c>
      <c r="F13409" s="690" t="s">
        <v>4060</v>
      </c>
      <c r="G13409" s="690" t="s">
        <v>4060</v>
      </c>
      <c r="H13409" s="690" t="s">
        <v>4060</v>
      </c>
      <c r="I13409" s="690" t="s">
        <v>4060</v>
      </c>
      <c r="J13409" s="690" t="s">
        <v>4060</v>
      </c>
      <c r="K13409" s="690" t="s">
        <v>4060</v>
      </c>
    </row>
    <row r="13410" spans="1:11">
      <c r="A13410" s="688" t="s">
        <v>2349</v>
      </c>
      <c r="B13410" s="692" t="s">
        <v>4060</v>
      </c>
      <c r="C13410" s="692" t="s">
        <v>4060</v>
      </c>
      <c r="D13410" s="692" t="s">
        <v>4060</v>
      </c>
      <c r="E13410" s="692" t="s">
        <v>4060</v>
      </c>
      <c r="F13410" s="692" t="s">
        <v>4060</v>
      </c>
      <c r="G13410" s="692" t="s">
        <v>4060</v>
      </c>
      <c r="H13410" s="692" t="s">
        <v>4060</v>
      </c>
      <c r="I13410" s="692" t="s">
        <v>4060</v>
      </c>
      <c r="J13410" s="692" t="s">
        <v>4060</v>
      </c>
      <c r="K13410" s="692" t="s">
        <v>4060</v>
      </c>
    </row>
    <row r="13411" spans="1:11">
      <c r="A13411" s="688" t="s">
        <v>2355</v>
      </c>
      <c r="B13411" s="690" t="s">
        <v>4060</v>
      </c>
      <c r="C13411" s="690" t="s">
        <v>4060</v>
      </c>
      <c r="D13411" s="690" t="s">
        <v>4060</v>
      </c>
      <c r="E13411" s="690" t="s">
        <v>4060</v>
      </c>
      <c r="F13411" s="690" t="s">
        <v>4060</v>
      </c>
      <c r="G13411" s="690" t="s">
        <v>4060</v>
      </c>
      <c r="H13411" s="690" t="s">
        <v>4060</v>
      </c>
      <c r="I13411" s="690" t="s">
        <v>4060</v>
      </c>
      <c r="J13411" s="690" t="s">
        <v>4060</v>
      </c>
      <c r="K13411" s="690" t="s">
        <v>4060</v>
      </c>
    </row>
    <row r="13412" spans="1:11">
      <c r="A13412" s="688" t="s">
        <v>2357</v>
      </c>
      <c r="B13412" s="692" t="s">
        <v>4060</v>
      </c>
      <c r="C13412" s="692" t="s">
        <v>4060</v>
      </c>
      <c r="D13412" s="692" t="s">
        <v>4060</v>
      </c>
      <c r="E13412" s="692" t="s">
        <v>4060</v>
      </c>
      <c r="F13412" s="692" t="s">
        <v>4060</v>
      </c>
      <c r="G13412" s="692" t="s">
        <v>4060</v>
      </c>
      <c r="H13412" s="692" t="s">
        <v>4060</v>
      </c>
      <c r="I13412" s="692" t="s">
        <v>4060</v>
      </c>
      <c r="J13412" s="692" t="s">
        <v>4060</v>
      </c>
      <c r="K13412" s="692" t="s">
        <v>4060</v>
      </c>
    </row>
    <row r="13413" spans="1:11">
      <c r="A13413" s="688" t="s">
        <v>4070</v>
      </c>
      <c r="B13413" s="690" t="s">
        <v>4060</v>
      </c>
      <c r="C13413" s="690" t="s">
        <v>4060</v>
      </c>
      <c r="D13413" s="690" t="s">
        <v>4060</v>
      </c>
      <c r="E13413" s="690" t="s">
        <v>4060</v>
      </c>
      <c r="F13413" s="690" t="s">
        <v>4060</v>
      </c>
      <c r="G13413" s="690" t="s">
        <v>4060</v>
      </c>
      <c r="H13413" s="690" t="s">
        <v>4060</v>
      </c>
      <c r="I13413" s="690" t="s">
        <v>4060</v>
      </c>
      <c r="J13413" s="690" t="s">
        <v>4060</v>
      </c>
      <c r="K13413" s="690" t="s">
        <v>4060</v>
      </c>
    </row>
    <row r="13414" spans="1:11">
      <c r="A13414" s="688" t="s">
        <v>2491</v>
      </c>
      <c r="B13414" s="692" t="s">
        <v>4060</v>
      </c>
      <c r="C13414" s="692" t="s">
        <v>4060</v>
      </c>
      <c r="D13414" s="692" t="s">
        <v>4060</v>
      </c>
      <c r="E13414" s="692" t="s">
        <v>4060</v>
      </c>
      <c r="F13414" s="692" t="s">
        <v>4060</v>
      </c>
      <c r="G13414" s="692" t="s">
        <v>4060</v>
      </c>
      <c r="H13414" s="692" t="s">
        <v>4060</v>
      </c>
      <c r="I13414" s="692" t="s">
        <v>4060</v>
      </c>
      <c r="J13414" s="692" t="s">
        <v>4060</v>
      </c>
      <c r="K13414" s="692" t="s">
        <v>4060</v>
      </c>
    </row>
    <row r="13415" spans="1:11">
      <c r="A13415" s="688" t="s">
        <v>2343</v>
      </c>
      <c r="B13415" s="690" t="s">
        <v>4060</v>
      </c>
      <c r="C13415" s="690" t="s">
        <v>4060</v>
      </c>
      <c r="D13415" s="690" t="s">
        <v>4060</v>
      </c>
      <c r="E13415" s="690" t="s">
        <v>4060</v>
      </c>
      <c r="F13415" s="690" t="s">
        <v>4060</v>
      </c>
      <c r="G13415" s="690" t="s">
        <v>4060</v>
      </c>
      <c r="H13415" s="690" t="s">
        <v>4060</v>
      </c>
      <c r="I13415" s="690" t="s">
        <v>4060</v>
      </c>
      <c r="J13415" s="690" t="s">
        <v>4060</v>
      </c>
      <c r="K13415" s="690" t="s">
        <v>4060</v>
      </c>
    </row>
    <row r="13416" spans="1:11">
      <c r="A13416" s="688" t="s">
        <v>4071</v>
      </c>
      <c r="B13416" s="692" t="s">
        <v>4060</v>
      </c>
      <c r="C13416" s="692" t="s">
        <v>4060</v>
      </c>
      <c r="D13416" s="692" t="s">
        <v>4060</v>
      </c>
      <c r="E13416" s="692" t="s">
        <v>4060</v>
      </c>
      <c r="F13416" s="692" t="s">
        <v>4060</v>
      </c>
      <c r="G13416" s="692" t="s">
        <v>4060</v>
      </c>
      <c r="H13416" s="692" t="s">
        <v>4060</v>
      </c>
      <c r="I13416" s="692" t="s">
        <v>4060</v>
      </c>
      <c r="J13416" s="692" t="s">
        <v>4060</v>
      </c>
      <c r="K13416" s="692" t="s">
        <v>4060</v>
      </c>
    </row>
    <row r="13417" spans="1:11">
      <c r="A13417" s="688" t="s">
        <v>2489</v>
      </c>
      <c r="B13417" s="690" t="s">
        <v>4060</v>
      </c>
      <c r="C13417" s="690" t="s">
        <v>4060</v>
      </c>
      <c r="D13417" s="690" t="s">
        <v>4060</v>
      </c>
      <c r="E13417" s="690" t="s">
        <v>4060</v>
      </c>
      <c r="F13417" s="690" t="s">
        <v>4060</v>
      </c>
      <c r="G13417" s="690" t="s">
        <v>4060</v>
      </c>
      <c r="H13417" s="690" t="s">
        <v>4060</v>
      </c>
      <c r="I13417" s="690" t="s">
        <v>4060</v>
      </c>
      <c r="J13417" s="690" t="s">
        <v>4060</v>
      </c>
      <c r="K13417" s="690" t="s">
        <v>4060</v>
      </c>
    </row>
    <row r="13418" spans="1:11">
      <c r="A13418" s="688" t="s">
        <v>2490</v>
      </c>
      <c r="B13418" s="692" t="s">
        <v>4060</v>
      </c>
      <c r="C13418" s="692" t="s">
        <v>4060</v>
      </c>
      <c r="D13418" s="692" t="s">
        <v>4060</v>
      </c>
      <c r="E13418" s="692" t="s">
        <v>4060</v>
      </c>
      <c r="F13418" s="692" t="s">
        <v>4060</v>
      </c>
      <c r="G13418" s="692" t="s">
        <v>4060</v>
      </c>
      <c r="H13418" s="692" t="s">
        <v>4060</v>
      </c>
      <c r="I13418" s="692" t="s">
        <v>4060</v>
      </c>
      <c r="J13418" s="692" t="s">
        <v>4060</v>
      </c>
      <c r="K13418" s="692" t="s">
        <v>4060</v>
      </c>
    </row>
    <row r="13420" spans="1:11">
      <c r="A13420" s="683" t="s">
        <v>4233</v>
      </c>
    </row>
    <row r="13421" spans="1:11">
      <c r="A13421" s="683" t="s">
        <v>4060</v>
      </c>
      <c r="B13421" s="682" t="s">
        <v>4234</v>
      </c>
    </row>
    <row r="13423" spans="1:11">
      <c r="A13423" s="682" t="s">
        <v>4332</v>
      </c>
    </row>
    <row r="13424" spans="1:11">
      <c r="A13424" s="682" t="s">
        <v>4210</v>
      </c>
      <c r="B13424" s="683" t="s">
        <v>4211</v>
      </c>
    </row>
    <row r="13425" spans="1:11">
      <c r="A13425" s="682" t="s">
        <v>4212</v>
      </c>
      <c r="B13425" s="682" t="s">
        <v>4213</v>
      </c>
    </row>
    <row r="13427" spans="1:11">
      <c r="A13427" s="683" t="s">
        <v>4214</v>
      </c>
      <c r="C13427" s="682" t="s">
        <v>4215</v>
      </c>
    </row>
    <row r="13428" spans="1:11">
      <c r="A13428" s="683" t="s">
        <v>4216</v>
      </c>
      <c r="C13428" s="682" t="s">
        <v>2967</v>
      </c>
    </row>
    <row r="13429" spans="1:11">
      <c r="A13429" s="683" t="s">
        <v>3893</v>
      </c>
      <c r="C13429" s="682" t="s">
        <v>2168</v>
      </c>
    </row>
    <row r="13430" spans="1:11">
      <c r="A13430" s="683" t="s">
        <v>4218</v>
      </c>
      <c r="C13430" s="682" t="s">
        <v>4326</v>
      </c>
    </row>
    <row r="13432" spans="1:11">
      <c r="A13432" s="684" t="s">
        <v>4220</v>
      </c>
      <c r="B13432" s="685" t="s">
        <v>4221</v>
      </c>
      <c r="C13432" s="685" t="s">
        <v>4222</v>
      </c>
      <c r="D13432" s="685" t="s">
        <v>4223</v>
      </c>
      <c r="E13432" s="685" t="s">
        <v>4224</v>
      </c>
      <c r="F13432" s="685" t="s">
        <v>4225</v>
      </c>
      <c r="G13432" s="685" t="s">
        <v>4226</v>
      </c>
      <c r="H13432" s="685" t="s">
        <v>4227</v>
      </c>
      <c r="I13432" s="685" t="s">
        <v>4228</v>
      </c>
      <c r="J13432" s="685" t="s">
        <v>4229</v>
      </c>
      <c r="K13432" s="685" t="s">
        <v>4230</v>
      </c>
    </row>
    <row r="13433" spans="1:11">
      <c r="A13433" s="686" t="s">
        <v>4231</v>
      </c>
      <c r="B13433" s="687" t="s">
        <v>4232</v>
      </c>
      <c r="C13433" s="687" t="s">
        <v>4232</v>
      </c>
      <c r="D13433" s="687" t="s">
        <v>4232</v>
      </c>
      <c r="E13433" s="687" t="s">
        <v>4232</v>
      </c>
      <c r="F13433" s="687" t="s">
        <v>4232</v>
      </c>
      <c r="G13433" s="687" t="s">
        <v>4232</v>
      </c>
      <c r="H13433" s="687" t="s">
        <v>4232</v>
      </c>
      <c r="I13433" s="687" t="s">
        <v>4232</v>
      </c>
      <c r="J13433" s="687" t="s">
        <v>4232</v>
      </c>
      <c r="K13433" s="687" t="s">
        <v>4232</v>
      </c>
    </row>
    <row r="13434" spans="1:11">
      <c r="A13434" s="688" t="s">
        <v>4064</v>
      </c>
      <c r="B13434" s="692" t="s">
        <v>4060</v>
      </c>
      <c r="C13434" s="691">
        <v>3.7</v>
      </c>
      <c r="D13434" s="692" t="s">
        <v>4060</v>
      </c>
      <c r="E13434" s="691">
        <v>3.7</v>
      </c>
      <c r="F13434" s="691">
        <v>3.6</v>
      </c>
      <c r="G13434" s="691">
        <v>3.7</v>
      </c>
      <c r="H13434" s="691">
        <v>3.8</v>
      </c>
      <c r="I13434" s="691">
        <v>3.4</v>
      </c>
      <c r="J13434" s="691">
        <v>3.5</v>
      </c>
      <c r="K13434" s="691">
        <v>3.4</v>
      </c>
    </row>
    <row r="13435" spans="1:11">
      <c r="A13435" s="688" t="s">
        <v>4065</v>
      </c>
      <c r="B13435" s="690" t="s">
        <v>4060</v>
      </c>
      <c r="C13435" s="690" t="s">
        <v>4060</v>
      </c>
      <c r="D13435" s="690" t="s">
        <v>4060</v>
      </c>
      <c r="E13435" s="690" t="s">
        <v>4060</v>
      </c>
      <c r="F13435" s="690" t="s">
        <v>4060</v>
      </c>
      <c r="G13435" s="690" t="s">
        <v>4060</v>
      </c>
      <c r="H13435" s="690" t="s">
        <v>4060</v>
      </c>
      <c r="I13435" s="690" t="s">
        <v>4060</v>
      </c>
      <c r="J13435" s="690" t="s">
        <v>4060</v>
      </c>
      <c r="K13435" s="690" t="s">
        <v>4060</v>
      </c>
    </row>
    <row r="13436" spans="1:11">
      <c r="A13436" s="688" t="s">
        <v>4063</v>
      </c>
      <c r="B13436" s="692" t="s">
        <v>4060</v>
      </c>
      <c r="C13436" s="692" t="s">
        <v>4060</v>
      </c>
      <c r="D13436" s="692" t="s">
        <v>4060</v>
      </c>
      <c r="E13436" s="692" t="s">
        <v>4060</v>
      </c>
      <c r="F13436" s="692" t="s">
        <v>4060</v>
      </c>
      <c r="G13436" s="692" t="s">
        <v>4060</v>
      </c>
      <c r="H13436" s="692" t="s">
        <v>4060</v>
      </c>
      <c r="I13436" s="692" t="s">
        <v>4060</v>
      </c>
      <c r="J13436" s="692" t="s">
        <v>4060</v>
      </c>
      <c r="K13436" s="692" t="s">
        <v>4060</v>
      </c>
    </row>
    <row r="13437" spans="1:11">
      <c r="A13437" s="688" t="s">
        <v>4069</v>
      </c>
      <c r="B13437" s="690" t="s">
        <v>4060</v>
      </c>
      <c r="C13437" s="689">
        <v>3.7</v>
      </c>
      <c r="D13437" s="689">
        <v>3.6</v>
      </c>
      <c r="E13437" s="689">
        <v>3.7</v>
      </c>
      <c r="F13437" s="689">
        <v>3.6</v>
      </c>
      <c r="G13437" s="689">
        <v>3.7</v>
      </c>
      <c r="H13437" s="689">
        <v>3.8</v>
      </c>
      <c r="I13437" s="689">
        <v>3.4</v>
      </c>
      <c r="J13437" s="689">
        <v>3.6</v>
      </c>
      <c r="K13437" s="689">
        <v>3.4</v>
      </c>
    </row>
    <row r="13438" spans="1:11">
      <c r="A13438" s="688" t="s">
        <v>4068</v>
      </c>
      <c r="B13438" s="692" t="s">
        <v>4060</v>
      </c>
      <c r="C13438" s="692" t="s">
        <v>4060</v>
      </c>
      <c r="D13438" s="692" t="s">
        <v>4060</v>
      </c>
      <c r="E13438" s="692" t="s">
        <v>4060</v>
      </c>
      <c r="F13438" s="692" t="s">
        <v>4060</v>
      </c>
      <c r="G13438" s="692" t="s">
        <v>4060</v>
      </c>
      <c r="H13438" s="692" t="s">
        <v>4060</v>
      </c>
      <c r="I13438" s="692" t="s">
        <v>4060</v>
      </c>
      <c r="J13438" s="692" t="s">
        <v>4060</v>
      </c>
      <c r="K13438" s="692" t="s">
        <v>4060</v>
      </c>
    </row>
    <row r="13439" spans="1:11">
      <c r="A13439" s="688" t="s">
        <v>0</v>
      </c>
      <c r="B13439" s="690" t="s">
        <v>4060</v>
      </c>
      <c r="C13439" s="689">
        <v>3.7</v>
      </c>
      <c r="D13439" s="689">
        <v>3.5</v>
      </c>
      <c r="E13439" s="689">
        <v>3.6</v>
      </c>
      <c r="F13439" s="689">
        <v>3.5</v>
      </c>
      <c r="G13439" s="689">
        <v>3.6</v>
      </c>
      <c r="H13439" s="689">
        <v>3.7</v>
      </c>
      <c r="I13439" s="689">
        <v>3.2</v>
      </c>
      <c r="J13439" s="689">
        <v>3.7</v>
      </c>
      <c r="K13439" s="689">
        <v>3.5</v>
      </c>
    </row>
    <row r="13440" spans="1:11">
      <c r="A13440" s="688" t="s">
        <v>1</v>
      </c>
      <c r="B13440" s="692" t="s">
        <v>4060</v>
      </c>
      <c r="C13440" s="691">
        <v>2.9</v>
      </c>
      <c r="D13440" s="691">
        <v>2.8</v>
      </c>
      <c r="E13440" s="691">
        <v>2.9</v>
      </c>
      <c r="F13440" s="691">
        <v>2.9</v>
      </c>
      <c r="G13440" s="691">
        <v>2.9</v>
      </c>
      <c r="H13440" s="691">
        <v>2.8</v>
      </c>
      <c r="I13440" s="691">
        <v>2.5</v>
      </c>
      <c r="J13440" s="691">
        <v>2.4</v>
      </c>
      <c r="K13440" s="691">
        <v>2.6</v>
      </c>
    </row>
    <row r="13441" spans="1:11">
      <c r="A13441" s="688" t="s">
        <v>2240</v>
      </c>
      <c r="B13441" s="690" t="s">
        <v>4060</v>
      </c>
      <c r="C13441" s="689">
        <v>3.2</v>
      </c>
      <c r="D13441" s="689">
        <v>3.1</v>
      </c>
      <c r="E13441" s="689">
        <v>3.2</v>
      </c>
      <c r="F13441" s="689">
        <v>3.1</v>
      </c>
      <c r="G13441" s="689">
        <v>3.3</v>
      </c>
      <c r="H13441" s="689">
        <v>3.3</v>
      </c>
      <c r="I13441" s="693">
        <v>3</v>
      </c>
      <c r="J13441" s="689">
        <v>2.8</v>
      </c>
      <c r="K13441" s="693">
        <v>3</v>
      </c>
    </row>
    <row r="13442" spans="1:11">
      <c r="A13442" s="688" t="s">
        <v>2</v>
      </c>
      <c r="B13442" s="692" t="s">
        <v>4060</v>
      </c>
      <c r="C13442" s="691">
        <v>3.6</v>
      </c>
      <c r="D13442" s="691">
        <v>3.4</v>
      </c>
      <c r="E13442" s="691">
        <v>3.5</v>
      </c>
      <c r="F13442" s="691">
        <v>3.4</v>
      </c>
      <c r="G13442" s="691">
        <v>3.3</v>
      </c>
      <c r="H13442" s="691">
        <v>3.5</v>
      </c>
      <c r="I13442" s="691">
        <v>3.4</v>
      </c>
      <c r="J13442" s="691">
        <v>3.4</v>
      </c>
      <c r="K13442" s="691">
        <v>3.3</v>
      </c>
    </row>
    <row r="13443" spans="1:11">
      <c r="A13443" s="688" t="s">
        <v>3</v>
      </c>
      <c r="B13443" s="690" t="s">
        <v>4060</v>
      </c>
      <c r="C13443" s="689">
        <v>3.5</v>
      </c>
      <c r="D13443" s="689">
        <v>3.4</v>
      </c>
      <c r="E13443" s="689">
        <v>3.5</v>
      </c>
      <c r="F13443" s="689">
        <v>3.5</v>
      </c>
      <c r="G13443" s="689">
        <v>3.5</v>
      </c>
      <c r="H13443" s="689">
        <v>3.6</v>
      </c>
      <c r="I13443" s="689">
        <v>3.4</v>
      </c>
      <c r="J13443" s="689">
        <v>3.4</v>
      </c>
      <c r="K13443" s="689">
        <v>3.1</v>
      </c>
    </row>
    <row r="13444" spans="1:11">
      <c r="A13444" s="688" t="s">
        <v>4061</v>
      </c>
      <c r="B13444" s="692" t="s">
        <v>4060</v>
      </c>
      <c r="C13444" s="691">
        <v>3.5</v>
      </c>
      <c r="D13444" s="691">
        <v>3.4</v>
      </c>
      <c r="E13444" s="691">
        <v>3.5</v>
      </c>
      <c r="F13444" s="691">
        <v>3.5</v>
      </c>
      <c r="G13444" s="691">
        <v>3.5</v>
      </c>
      <c r="H13444" s="691">
        <v>3.6</v>
      </c>
      <c r="I13444" s="691">
        <v>3.4</v>
      </c>
      <c r="J13444" s="691">
        <v>3.4</v>
      </c>
      <c r="K13444" s="691">
        <v>3.1</v>
      </c>
    </row>
    <row r="13445" spans="1:11">
      <c r="A13445" s="688" t="s">
        <v>4</v>
      </c>
      <c r="B13445" s="690" t="s">
        <v>4060</v>
      </c>
      <c r="C13445" s="689">
        <v>3.3</v>
      </c>
      <c r="D13445" s="689">
        <v>3.6</v>
      </c>
      <c r="E13445" s="689">
        <v>3.6</v>
      </c>
      <c r="F13445" s="689">
        <v>3.6</v>
      </c>
      <c r="G13445" s="689">
        <v>3.4</v>
      </c>
      <c r="H13445" s="689">
        <v>3.7</v>
      </c>
      <c r="I13445" s="689">
        <v>3.5</v>
      </c>
      <c r="J13445" s="693">
        <v>3</v>
      </c>
      <c r="K13445" s="693">
        <v>3</v>
      </c>
    </row>
    <row r="13446" spans="1:11">
      <c r="A13446" s="688" t="s">
        <v>8</v>
      </c>
      <c r="B13446" s="692" t="s">
        <v>4060</v>
      </c>
      <c r="C13446" s="691">
        <v>3.5</v>
      </c>
      <c r="D13446" s="691">
        <v>3.4</v>
      </c>
      <c r="E13446" s="691">
        <v>3.5</v>
      </c>
      <c r="F13446" s="691">
        <v>3.8</v>
      </c>
      <c r="G13446" s="691">
        <v>3.7</v>
      </c>
      <c r="H13446" s="691">
        <v>3.6</v>
      </c>
      <c r="I13446" s="691">
        <v>3.8</v>
      </c>
      <c r="J13446" s="691">
        <v>3.6</v>
      </c>
      <c r="K13446" s="691">
        <v>3.8</v>
      </c>
    </row>
    <row r="13447" spans="1:11">
      <c r="A13447" s="688" t="s">
        <v>7</v>
      </c>
      <c r="B13447" s="690" t="s">
        <v>4060</v>
      </c>
      <c r="C13447" s="689">
        <v>2.9</v>
      </c>
      <c r="D13447" s="689">
        <v>2.8</v>
      </c>
      <c r="E13447" s="693">
        <v>3</v>
      </c>
      <c r="F13447" s="689">
        <v>2.9</v>
      </c>
      <c r="G13447" s="689">
        <v>3.3</v>
      </c>
      <c r="H13447" s="689">
        <v>3.4</v>
      </c>
      <c r="I13447" s="689">
        <v>3.5</v>
      </c>
      <c r="J13447" s="689">
        <v>3.4</v>
      </c>
      <c r="K13447" s="689">
        <v>3.5</v>
      </c>
    </row>
    <row r="13448" spans="1:11">
      <c r="A13448" s="688" t="s">
        <v>27</v>
      </c>
      <c r="B13448" s="692" t="s">
        <v>4060</v>
      </c>
      <c r="C13448" s="615">
        <v>4</v>
      </c>
      <c r="D13448" s="691">
        <v>3.8</v>
      </c>
      <c r="E13448" s="615">
        <v>4</v>
      </c>
      <c r="F13448" s="691">
        <v>3.9</v>
      </c>
      <c r="G13448" s="691">
        <v>3.9</v>
      </c>
      <c r="H13448" s="691">
        <v>4.0999999999999996</v>
      </c>
      <c r="I13448" s="691">
        <v>3.5</v>
      </c>
      <c r="J13448" s="691">
        <v>3.9</v>
      </c>
      <c r="K13448" s="691">
        <v>3.7</v>
      </c>
    </row>
    <row r="13449" spans="1:11">
      <c r="A13449" s="688" t="s">
        <v>6</v>
      </c>
      <c r="B13449" s="690" t="s">
        <v>4060</v>
      </c>
      <c r="C13449" s="693">
        <v>4</v>
      </c>
      <c r="D13449" s="689">
        <v>3.9</v>
      </c>
      <c r="E13449" s="689">
        <v>3.9</v>
      </c>
      <c r="F13449" s="689">
        <v>3.9</v>
      </c>
      <c r="G13449" s="689">
        <v>3.9</v>
      </c>
      <c r="H13449" s="689">
        <v>3.9</v>
      </c>
      <c r="I13449" s="689">
        <v>3.6</v>
      </c>
      <c r="J13449" s="689">
        <v>3.8</v>
      </c>
      <c r="K13449" s="689">
        <v>3.7</v>
      </c>
    </row>
    <row r="13450" spans="1:11">
      <c r="A13450" s="688" t="s">
        <v>4058</v>
      </c>
      <c r="B13450" s="692" t="s">
        <v>4060</v>
      </c>
      <c r="C13450" s="692" t="s">
        <v>4060</v>
      </c>
      <c r="D13450" s="692" t="s">
        <v>4060</v>
      </c>
      <c r="E13450" s="692" t="s">
        <v>4060</v>
      </c>
      <c r="F13450" s="692" t="s">
        <v>4060</v>
      </c>
      <c r="G13450" s="692" t="s">
        <v>4060</v>
      </c>
      <c r="H13450" s="692" t="s">
        <v>4060</v>
      </c>
      <c r="I13450" s="692" t="s">
        <v>4060</v>
      </c>
      <c r="J13450" s="692" t="s">
        <v>4060</v>
      </c>
      <c r="K13450" s="692" t="s">
        <v>4060</v>
      </c>
    </row>
    <row r="13451" spans="1:11">
      <c r="A13451" s="688" t="s">
        <v>11</v>
      </c>
      <c r="B13451" s="690" t="s">
        <v>4060</v>
      </c>
      <c r="C13451" s="693">
        <v>3</v>
      </c>
      <c r="D13451" s="693">
        <v>3</v>
      </c>
      <c r="E13451" s="693">
        <v>3</v>
      </c>
      <c r="F13451" s="693">
        <v>3</v>
      </c>
      <c r="G13451" s="689">
        <v>2.9</v>
      </c>
      <c r="H13451" s="689">
        <v>3.1</v>
      </c>
      <c r="I13451" s="689">
        <v>2.9</v>
      </c>
      <c r="J13451" s="689">
        <v>2.7</v>
      </c>
      <c r="K13451" s="689">
        <v>2.6</v>
      </c>
    </row>
    <row r="13452" spans="1:11">
      <c r="A13452" s="688" t="s">
        <v>10</v>
      </c>
      <c r="B13452" s="692" t="s">
        <v>4060</v>
      </c>
      <c r="C13452" s="691">
        <v>3.7</v>
      </c>
      <c r="D13452" s="691">
        <v>3.4</v>
      </c>
      <c r="E13452" s="691">
        <v>3.6</v>
      </c>
      <c r="F13452" s="691">
        <v>3.5</v>
      </c>
      <c r="G13452" s="691">
        <v>3.7</v>
      </c>
      <c r="H13452" s="691">
        <v>3.7</v>
      </c>
      <c r="I13452" s="691">
        <v>3.3</v>
      </c>
      <c r="J13452" s="691">
        <v>3.5</v>
      </c>
      <c r="K13452" s="691">
        <v>3.3</v>
      </c>
    </row>
    <row r="13453" spans="1:11">
      <c r="A13453" s="688" t="s">
        <v>30</v>
      </c>
      <c r="B13453" s="690" t="s">
        <v>4060</v>
      </c>
      <c r="C13453" s="689">
        <v>3.7</v>
      </c>
      <c r="D13453" s="689">
        <v>3.4</v>
      </c>
      <c r="E13453" s="693">
        <v>4</v>
      </c>
      <c r="F13453" s="689">
        <v>3.9</v>
      </c>
      <c r="G13453" s="689">
        <v>4.3</v>
      </c>
      <c r="H13453" s="689">
        <v>4.3</v>
      </c>
      <c r="I13453" s="689">
        <v>4.5</v>
      </c>
      <c r="J13453" s="693">
        <v>4</v>
      </c>
      <c r="K13453" s="689">
        <v>3.6</v>
      </c>
    </row>
    <row r="13454" spans="1:11">
      <c r="A13454" s="688" t="s">
        <v>12</v>
      </c>
      <c r="B13454" s="692" t="s">
        <v>4060</v>
      </c>
      <c r="C13454" s="691">
        <v>3.3</v>
      </c>
      <c r="D13454" s="691">
        <v>3.5</v>
      </c>
      <c r="E13454" s="691">
        <v>3.1</v>
      </c>
      <c r="F13454" s="691">
        <v>3.2</v>
      </c>
      <c r="G13454" s="691">
        <v>3.3</v>
      </c>
      <c r="H13454" s="691">
        <v>3.3</v>
      </c>
      <c r="I13454" s="691">
        <v>3.2</v>
      </c>
      <c r="J13454" s="691">
        <v>2.8</v>
      </c>
      <c r="K13454" s="691">
        <v>2.9</v>
      </c>
    </row>
    <row r="13455" spans="1:11">
      <c r="A13455" s="688" t="s">
        <v>14</v>
      </c>
      <c r="B13455" s="690" t="s">
        <v>4060</v>
      </c>
      <c r="C13455" s="689">
        <v>2.5</v>
      </c>
      <c r="D13455" s="689">
        <v>2.2999999999999998</v>
      </c>
      <c r="E13455" s="693">
        <v>2</v>
      </c>
      <c r="F13455" s="689">
        <v>1.7</v>
      </c>
      <c r="G13455" s="689">
        <v>1.5</v>
      </c>
      <c r="H13455" s="689">
        <v>1.5</v>
      </c>
      <c r="I13455" s="689">
        <v>2.4</v>
      </c>
      <c r="J13455" s="689">
        <v>2.8</v>
      </c>
      <c r="K13455" s="689">
        <v>2.9</v>
      </c>
    </row>
    <row r="13456" spans="1:11">
      <c r="A13456" s="688" t="s">
        <v>15</v>
      </c>
      <c r="B13456" s="692" t="s">
        <v>4060</v>
      </c>
      <c r="C13456" s="691">
        <v>3.7</v>
      </c>
      <c r="D13456" s="691">
        <v>3.8</v>
      </c>
      <c r="E13456" s="691">
        <v>3.4</v>
      </c>
      <c r="F13456" s="691">
        <v>3.5</v>
      </c>
      <c r="G13456" s="691">
        <v>3.6</v>
      </c>
      <c r="H13456" s="691">
        <v>3.6</v>
      </c>
      <c r="I13456" s="691">
        <v>3.5</v>
      </c>
      <c r="J13456" s="691">
        <v>3.8</v>
      </c>
      <c r="K13456" s="691">
        <v>3.8</v>
      </c>
    </row>
    <row r="13457" spans="1:11">
      <c r="A13457" s="688" t="s">
        <v>29</v>
      </c>
      <c r="B13457" s="690" t="s">
        <v>4060</v>
      </c>
      <c r="C13457" s="689">
        <v>3.8</v>
      </c>
      <c r="D13457" s="689">
        <v>3.4</v>
      </c>
      <c r="E13457" s="689">
        <v>3.6</v>
      </c>
      <c r="F13457" s="689">
        <v>3.6</v>
      </c>
      <c r="G13457" s="689">
        <v>3.7</v>
      </c>
      <c r="H13457" s="689">
        <v>3.8</v>
      </c>
      <c r="I13457" s="689">
        <v>3.7</v>
      </c>
      <c r="J13457" s="689">
        <v>3.7</v>
      </c>
      <c r="K13457" s="689">
        <v>3.4</v>
      </c>
    </row>
    <row r="13458" spans="1:11">
      <c r="A13458" s="688" t="s">
        <v>16</v>
      </c>
      <c r="B13458" s="692" t="s">
        <v>4060</v>
      </c>
      <c r="C13458" s="691">
        <v>3.4</v>
      </c>
      <c r="D13458" s="691">
        <v>3.3</v>
      </c>
      <c r="E13458" s="691">
        <v>3.5</v>
      </c>
      <c r="F13458" s="691">
        <v>3.3</v>
      </c>
      <c r="G13458" s="691">
        <v>3.4</v>
      </c>
      <c r="H13458" s="691">
        <v>3.6</v>
      </c>
      <c r="I13458" s="691">
        <v>3.6</v>
      </c>
      <c r="J13458" s="691">
        <v>3.8</v>
      </c>
      <c r="K13458" s="691">
        <v>3.5</v>
      </c>
    </row>
    <row r="13459" spans="1:11">
      <c r="A13459" s="688" t="s">
        <v>17</v>
      </c>
      <c r="B13459" s="690" t="s">
        <v>4060</v>
      </c>
      <c r="C13459" s="689">
        <v>3.5</v>
      </c>
      <c r="D13459" s="689">
        <v>3.4</v>
      </c>
      <c r="E13459" s="689">
        <v>3.4</v>
      </c>
      <c r="F13459" s="689">
        <v>3.4</v>
      </c>
      <c r="G13459" s="689">
        <v>3.4</v>
      </c>
      <c r="H13459" s="689">
        <v>3.5</v>
      </c>
      <c r="I13459" s="689">
        <v>3.2</v>
      </c>
      <c r="J13459" s="689">
        <v>3.2</v>
      </c>
      <c r="K13459" s="689">
        <v>3.2</v>
      </c>
    </row>
    <row r="13460" spans="1:11">
      <c r="A13460" s="688" t="s">
        <v>19</v>
      </c>
      <c r="B13460" s="692" t="s">
        <v>4060</v>
      </c>
      <c r="C13460" s="691">
        <v>3.6</v>
      </c>
      <c r="D13460" s="691">
        <v>3.5</v>
      </c>
      <c r="E13460" s="691">
        <v>3.6</v>
      </c>
      <c r="F13460" s="691">
        <v>3.6</v>
      </c>
      <c r="G13460" s="691">
        <v>3.5</v>
      </c>
      <c r="H13460" s="691">
        <v>3.5</v>
      </c>
      <c r="I13460" s="691">
        <v>3.3</v>
      </c>
      <c r="J13460" s="691">
        <v>3.4</v>
      </c>
      <c r="K13460" s="691">
        <v>3.3</v>
      </c>
    </row>
    <row r="13461" spans="1:11">
      <c r="A13461" s="688" t="s">
        <v>20</v>
      </c>
      <c r="B13461" s="690" t="s">
        <v>4060</v>
      </c>
      <c r="C13461" s="689">
        <v>3.8</v>
      </c>
      <c r="D13461" s="689">
        <v>3.7</v>
      </c>
      <c r="E13461" s="689">
        <v>3.9</v>
      </c>
      <c r="F13461" s="689">
        <v>3.8</v>
      </c>
      <c r="G13461" s="689">
        <v>3.9</v>
      </c>
      <c r="H13461" s="693">
        <v>4</v>
      </c>
      <c r="I13461" s="689">
        <v>3.3</v>
      </c>
      <c r="J13461" s="689">
        <v>3.1</v>
      </c>
      <c r="K13461" s="689">
        <v>3.4</v>
      </c>
    </row>
    <row r="13462" spans="1:11">
      <c r="A13462" s="688" t="s">
        <v>21</v>
      </c>
      <c r="B13462" s="692" t="s">
        <v>4060</v>
      </c>
      <c r="C13462" s="691">
        <v>3.7</v>
      </c>
      <c r="D13462" s="691">
        <v>3.7</v>
      </c>
      <c r="E13462" s="691">
        <v>3.7</v>
      </c>
      <c r="F13462" s="691">
        <v>3.7</v>
      </c>
      <c r="G13462" s="691">
        <v>3.7</v>
      </c>
      <c r="H13462" s="691">
        <v>3.8</v>
      </c>
      <c r="I13462" s="691">
        <v>3.5</v>
      </c>
      <c r="J13462" s="691">
        <v>3.5</v>
      </c>
      <c r="K13462" s="691">
        <v>3.5</v>
      </c>
    </row>
    <row r="13463" spans="1:11">
      <c r="A13463" s="688" t="s">
        <v>22</v>
      </c>
      <c r="B13463" s="690" t="s">
        <v>4060</v>
      </c>
      <c r="C13463" s="689">
        <v>3.7</v>
      </c>
      <c r="D13463" s="689">
        <v>3.9</v>
      </c>
      <c r="E13463" s="689">
        <v>4.3</v>
      </c>
      <c r="F13463" s="689">
        <v>4.5</v>
      </c>
      <c r="G13463" s="689">
        <v>4.5999999999999996</v>
      </c>
      <c r="H13463" s="689">
        <v>5.2</v>
      </c>
      <c r="I13463" s="689">
        <v>4.7</v>
      </c>
      <c r="J13463" s="689">
        <v>3.6</v>
      </c>
      <c r="K13463" s="689">
        <v>2.9</v>
      </c>
    </row>
    <row r="13464" spans="1:11">
      <c r="A13464" s="688" t="s">
        <v>26</v>
      </c>
      <c r="B13464" s="692" t="s">
        <v>4060</v>
      </c>
      <c r="C13464" s="691">
        <v>3.8</v>
      </c>
      <c r="D13464" s="691">
        <v>3.6</v>
      </c>
      <c r="E13464" s="691">
        <v>3.9</v>
      </c>
      <c r="F13464" s="691">
        <v>3.4</v>
      </c>
      <c r="G13464" s="691">
        <v>3.7</v>
      </c>
      <c r="H13464" s="691">
        <v>3.8</v>
      </c>
      <c r="I13464" s="691">
        <v>2.9</v>
      </c>
      <c r="J13464" s="691">
        <v>3.4</v>
      </c>
      <c r="K13464" s="691">
        <v>3.5</v>
      </c>
    </row>
    <row r="13465" spans="1:11">
      <c r="A13465" s="688" t="s">
        <v>25</v>
      </c>
      <c r="B13465" s="690" t="s">
        <v>4060</v>
      </c>
      <c r="C13465" s="689">
        <v>4.2</v>
      </c>
      <c r="D13465" s="689">
        <v>4.0999999999999996</v>
      </c>
      <c r="E13465" s="689">
        <v>4.4000000000000004</v>
      </c>
      <c r="F13465" s="689">
        <v>4.2</v>
      </c>
      <c r="G13465" s="689">
        <v>4.8</v>
      </c>
      <c r="H13465" s="693">
        <v>5</v>
      </c>
      <c r="I13465" s="689">
        <v>4.8</v>
      </c>
      <c r="J13465" s="693">
        <v>4</v>
      </c>
      <c r="K13465" s="689">
        <v>4.0999999999999996</v>
      </c>
    </row>
    <row r="13466" spans="1:11">
      <c r="A13466" s="688" t="s">
        <v>5</v>
      </c>
      <c r="B13466" s="692" t="s">
        <v>4060</v>
      </c>
      <c r="C13466" s="691">
        <v>3.5</v>
      </c>
      <c r="D13466" s="691">
        <v>3.6</v>
      </c>
      <c r="E13466" s="691">
        <v>3.4</v>
      </c>
      <c r="F13466" s="691">
        <v>3.5</v>
      </c>
      <c r="G13466" s="691">
        <v>3.5</v>
      </c>
      <c r="H13466" s="691">
        <v>3.5</v>
      </c>
      <c r="I13466" s="691">
        <v>3.6</v>
      </c>
      <c r="J13466" s="691">
        <v>3.4</v>
      </c>
      <c r="K13466" s="691">
        <v>3.2</v>
      </c>
    </row>
    <row r="13467" spans="1:11">
      <c r="A13467" s="688" t="s">
        <v>23</v>
      </c>
      <c r="B13467" s="690" t="s">
        <v>4060</v>
      </c>
      <c r="C13467" s="689">
        <v>3.5</v>
      </c>
      <c r="D13467" s="689">
        <v>3.4</v>
      </c>
      <c r="E13467" s="689">
        <v>3.5</v>
      </c>
      <c r="F13467" s="689">
        <v>3.4</v>
      </c>
      <c r="G13467" s="689">
        <v>3.5</v>
      </c>
      <c r="H13467" s="689">
        <v>3.6</v>
      </c>
      <c r="I13467" s="689">
        <v>3.3</v>
      </c>
      <c r="J13467" s="689">
        <v>3.6</v>
      </c>
      <c r="K13467" s="689">
        <v>3.4</v>
      </c>
    </row>
    <row r="13468" spans="1:11">
      <c r="A13468" s="688" t="s">
        <v>4067</v>
      </c>
      <c r="B13468" s="692" t="s">
        <v>4060</v>
      </c>
      <c r="C13468" s="692" t="s">
        <v>4060</v>
      </c>
      <c r="D13468" s="692" t="s">
        <v>4060</v>
      </c>
      <c r="E13468" s="692" t="s">
        <v>4060</v>
      </c>
      <c r="F13468" s="692" t="s">
        <v>4060</v>
      </c>
      <c r="G13468" s="692" t="s">
        <v>4060</v>
      </c>
      <c r="H13468" s="692" t="s">
        <v>4060</v>
      </c>
      <c r="I13468" s="692" t="s">
        <v>4060</v>
      </c>
      <c r="J13468" s="692" t="s">
        <v>4060</v>
      </c>
      <c r="K13468" s="692" t="s">
        <v>4060</v>
      </c>
    </row>
    <row r="13469" spans="1:11">
      <c r="A13469" s="688" t="s">
        <v>4066</v>
      </c>
      <c r="B13469" s="690" t="s">
        <v>4060</v>
      </c>
      <c r="C13469" s="690" t="s">
        <v>4060</v>
      </c>
      <c r="D13469" s="690" t="s">
        <v>4060</v>
      </c>
      <c r="E13469" s="690" t="s">
        <v>4060</v>
      </c>
      <c r="F13469" s="690" t="s">
        <v>4060</v>
      </c>
      <c r="G13469" s="690" t="s">
        <v>4060</v>
      </c>
      <c r="H13469" s="690" t="s">
        <v>4060</v>
      </c>
      <c r="I13469" s="690" t="s">
        <v>4060</v>
      </c>
      <c r="J13469" s="690" t="s">
        <v>4060</v>
      </c>
      <c r="K13469" s="690" t="s">
        <v>4060</v>
      </c>
    </row>
    <row r="13470" spans="1:11">
      <c r="A13470" s="688" t="s">
        <v>4062</v>
      </c>
      <c r="B13470" s="692" t="s">
        <v>4060</v>
      </c>
      <c r="C13470" s="691">
        <v>3.5</v>
      </c>
      <c r="D13470" s="691">
        <v>3.5</v>
      </c>
      <c r="E13470" s="691">
        <v>3.6</v>
      </c>
      <c r="F13470" s="691">
        <v>3.6</v>
      </c>
      <c r="G13470" s="691">
        <v>3.7</v>
      </c>
      <c r="H13470" s="691">
        <v>3.7</v>
      </c>
      <c r="I13470" s="691">
        <v>3.4</v>
      </c>
      <c r="J13470" s="691">
        <v>3.7</v>
      </c>
      <c r="K13470" s="691">
        <v>3.5</v>
      </c>
    </row>
    <row r="13471" spans="1:11">
      <c r="A13471" s="688" t="s">
        <v>9</v>
      </c>
      <c r="B13471" s="690" t="s">
        <v>4060</v>
      </c>
      <c r="C13471" s="689">
        <v>3.2</v>
      </c>
      <c r="D13471" s="689">
        <v>3.2</v>
      </c>
      <c r="E13471" s="689">
        <v>3.4</v>
      </c>
      <c r="F13471" s="693">
        <v>4</v>
      </c>
      <c r="G13471" s="689">
        <v>3.8</v>
      </c>
      <c r="H13471" s="689">
        <v>3.8</v>
      </c>
      <c r="I13471" s="689">
        <v>3.9</v>
      </c>
      <c r="J13471" s="689">
        <v>3.8</v>
      </c>
      <c r="K13471" s="689">
        <v>3.8</v>
      </c>
    </row>
    <row r="13472" spans="1:11">
      <c r="A13472" s="688" t="s">
        <v>13</v>
      </c>
      <c r="B13472" s="692" t="s">
        <v>4060</v>
      </c>
      <c r="C13472" s="615">
        <v>3</v>
      </c>
      <c r="D13472" s="691">
        <v>3.6</v>
      </c>
      <c r="E13472" s="691">
        <v>3.1</v>
      </c>
      <c r="F13472" s="691">
        <v>3.7</v>
      </c>
      <c r="G13472" s="691">
        <v>3.6</v>
      </c>
      <c r="H13472" s="691">
        <v>2.4</v>
      </c>
      <c r="I13472" s="691">
        <v>2.7</v>
      </c>
      <c r="J13472" s="691">
        <v>5.0999999999999996</v>
      </c>
      <c r="K13472" s="691">
        <v>3.2</v>
      </c>
    </row>
    <row r="13473" spans="1:11">
      <c r="A13473" s="688" t="s">
        <v>18</v>
      </c>
      <c r="B13473" s="690" t="s">
        <v>4060</v>
      </c>
      <c r="C13473" s="689">
        <v>3.4</v>
      </c>
      <c r="D13473" s="689">
        <v>3.5</v>
      </c>
      <c r="E13473" s="689">
        <v>3.5</v>
      </c>
      <c r="F13473" s="689">
        <v>3.6</v>
      </c>
      <c r="G13473" s="689">
        <v>3.7</v>
      </c>
      <c r="H13473" s="689">
        <v>3.7</v>
      </c>
      <c r="I13473" s="689">
        <v>3.8</v>
      </c>
      <c r="J13473" s="689">
        <v>3.8</v>
      </c>
      <c r="K13473" s="689">
        <v>3.3</v>
      </c>
    </row>
    <row r="13474" spans="1:11">
      <c r="A13474" s="688" t="s">
        <v>24</v>
      </c>
      <c r="B13474" s="692" t="s">
        <v>4060</v>
      </c>
      <c r="C13474" s="691">
        <v>3.6</v>
      </c>
      <c r="D13474" s="691">
        <v>3.5</v>
      </c>
      <c r="E13474" s="691">
        <v>3.7</v>
      </c>
      <c r="F13474" s="691">
        <v>3.6</v>
      </c>
      <c r="G13474" s="691">
        <v>3.7</v>
      </c>
      <c r="H13474" s="691">
        <v>3.8</v>
      </c>
      <c r="I13474" s="691">
        <v>3.3</v>
      </c>
      <c r="J13474" s="691">
        <v>3.7</v>
      </c>
      <c r="K13474" s="691">
        <v>3.5</v>
      </c>
    </row>
    <row r="13475" spans="1:11">
      <c r="A13475" s="688" t="s">
        <v>4059</v>
      </c>
      <c r="B13475" s="690" t="s">
        <v>4060</v>
      </c>
      <c r="C13475" s="690" t="s">
        <v>4060</v>
      </c>
      <c r="D13475" s="690" t="s">
        <v>4060</v>
      </c>
      <c r="E13475" s="690" t="s">
        <v>4060</v>
      </c>
      <c r="F13475" s="690" t="s">
        <v>4060</v>
      </c>
      <c r="G13475" s="690" t="s">
        <v>4060</v>
      </c>
      <c r="H13475" s="690" t="s">
        <v>4060</v>
      </c>
      <c r="I13475" s="690" t="s">
        <v>4060</v>
      </c>
      <c r="J13475" s="690" t="s">
        <v>4060</v>
      </c>
      <c r="K13475" s="690" t="s">
        <v>4060</v>
      </c>
    </row>
    <row r="13476" spans="1:11">
      <c r="A13476" s="688" t="s">
        <v>2324</v>
      </c>
      <c r="B13476" s="692" t="s">
        <v>4060</v>
      </c>
      <c r="C13476" s="692" t="s">
        <v>4060</v>
      </c>
      <c r="D13476" s="692" t="s">
        <v>4060</v>
      </c>
      <c r="E13476" s="692" t="s">
        <v>4060</v>
      </c>
      <c r="F13476" s="692" t="s">
        <v>4060</v>
      </c>
      <c r="G13476" s="692" t="s">
        <v>4060</v>
      </c>
      <c r="H13476" s="692" t="s">
        <v>4060</v>
      </c>
      <c r="I13476" s="692" t="s">
        <v>4060</v>
      </c>
      <c r="J13476" s="692" t="s">
        <v>4060</v>
      </c>
      <c r="K13476" s="692" t="s">
        <v>4060</v>
      </c>
    </row>
    <row r="13477" spans="1:11">
      <c r="A13477" s="688" t="s">
        <v>2322</v>
      </c>
      <c r="B13477" s="690" t="s">
        <v>4060</v>
      </c>
      <c r="C13477" s="690" t="s">
        <v>4060</v>
      </c>
      <c r="D13477" s="690" t="s">
        <v>4060</v>
      </c>
      <c r="E13477" s="690" t="s">
        <v>4060</v>
      </c>
      <c r="F13477" s="690" t="s">
        <v>4060</v>
      </c>
      <c r="G13477" s="690" t="s">
        <v>4060</v>
      </c>
      <c r="H13477" s="690" t="s">
        <v>4060</v>
      </c>
      <c r="I13477" s="690" t="s">
        <v>4060</v>
      </c>
      <c r="J13477" s="690" t="s">
        <v>4060</v>
      </c>
      <c r="K13477" s="690" t="s">
        <v>4060</v>
      </c>
    </row>
    <row r="13478" spans="1:11">
      <c r="A13478" s="688" t="s">
        <v>2328</v>
      </c>
      <c r="B13478" s="692" t="s">
        <v>4060</v>
      </c>
      <c r="C13478" s="692" t="s">
        <v>4060</v>
      </c>
      <c r="D13478" s="692" t="s">
        <v>4060</v>
      </c>
      <c r="E13478" s="692" t="s">
        <v>4060</v>
      </c>
      <c r="F13478" s="692" t="s">
        <v>4060</v>
      </c>
      <c r="G13478" s="692" t="s">
        <v>4060</v>
      </c>
      <c r="H13478" s="692" t="s">
        <v>4060</v>
      </c>
      <c r="I13478" s="692" t="s">
        <v>4060</v>
      </c>
      <c r="J13478" s="692" t="s">
        <v>4060</v>
      </c>
      <c r="K13478" s="692" t="s">
        <v>4060</v>
      </c>
    </row>
    <row r="13479" spans="1:11">
      <c r="A13479" s="688" t="s">
        <v>2496</v>
      </c>
      <c r="B13479" s="690" t="s">
        <v>4060</v>
      </c>
      <c r="C13479" s="690" t="s">
        <v>4060</v>
      </c>
      <c r="D13479" s="690" t="s">
        <v>4060</v>
      </c>
      <c r="E13479" s="690" t="s">
        <v>4060</v>
      </c>
      <c r="F13479" s="690" t="s">
        <v>4060</v>
      </c>
      <c r="G13479" s="690" t="s">
        <v>4060</v>
      </c>
      <c r="H13479" s="690" t="s">
        <v>4060</v>
      </c>
      <c r="I13479" s="690" t="s">
        <v>4060</v>
      </c>
      <c r="J13479" s="690" t="s">
        <v>4060</v>
      </c>
      <c r="K13479" s="690" t="s">
        <v>4060</v>
      </c>
    </row>
    <row r="13480" spans="1:11">
      <c r="A13480" s="688" t="s">
        <v>2269</v>
      </c>
      <c r="B13480" s="692" t="s">
        <v>4060</v>
      </c>
      <c r="C13480" s="692" t="s">
        <v>4060</v>
      </c>
      <c r="D13480" s="692" t="s">
        <v>4060</v>
      </c>
      <c r="E13480" s="692" t="s">
        <v>4060</v>
      </c>
      <c r="F13480" s="692" t="s">
        <v>4060</v>
      </c>
      <c r="G13480" s="692" t="s">
        <v>4060</v>
      </c>
      <c r="H13480" s="692" t="s">
        <v>4060</v>
      </c>
      <c r="I13480" s="692" t="s">
        <v>4060</v>
      </c>
      <c r="J13480" s="692" t="s">
        <v>4060</v>
      </c>
      <c r="K13480" s="692" t="s">
        <v>4060</v>
      </c>
    </row>
    <row r="13481" spans="1:11">
      <c r="A13481" s="688" t="s">
        <v>2349</v>
      </c>
      <c r="B13481" s="690" t="s">
        <v>4060</v>
      </c>
      <c r="C13481" s="690" t="s">
        <v>4060</v>
      </c>
      <c r="D13481" s="690" t="s">
        <v>4060</v>
      </c>
      <c r="E13481" s="690" t="s">
        <v>4060</v>
      </c>
      <c r="F13481" s="690" t="s">
        <v>4060</v>
      </c>
      <c r="G13481" s="690" t="s">
        <v>4060</v>
      </c>
      <c r="H13481" s="690" t="s">
        <v>4060</v>
      </c>
      <c r="I13481" s="690" t="s">
        <v>4060</v>
      </c>
      <c r="J13481" s="690" t="s">
        <v>4060</v>
      </c>
      <c r="K13481" s="690" t="s">
        <v>4060</v>
      </c>
    </row>
    <row r="13482" spans="1:11">
      <c r="A13482" s="688" t="s">
        <v>2355</v>
      </c>
      <c r="B13482" s="692" t="s">
        <v>4060</v>
      </c>
      <c r="C13482" s="692" t="s">
        <v>4060</v>
      </c>
      <c r="D13482" s="692" t="s">
        <v>4060</v>
      </c>
      <c r="E13482" s="692" t="s">
        <v>4060</v>
      </c>
      <c r="F13482" s="692" t="s">
        <v>4060</v>
      </c>
      <c r="G13482" s="692" t="s">
        <v>4060</v>
      </c>
      <c r="H13482" s="692" t="s">
        <v>4060</v>
      </c>
      <c r="I13482" s="692" t="s">
        <v>4060</v>
      </c>
      <c r="J13482" s="692" t="s">
        <v>4060</v>
      </c>
      <c r="K13482" s="692" t="s">
        <v>4060</v>
      </c>
    </row>
    <row r="13483" spans="1:11">
      <c r="A13483" s="688" t="s">
        <v>2357</v>
      </c>
      <c r="B13483" s="690" t="s">
        <v>4060</v>
      </c>
      <c r="C13483" s="690" t="s">
        <v>4060</v>
      </c>
      <c r="D13483" s="690" t="s">
        <v>4060</v>
      </c>
      <c r="E13483" s="690" t="s">
        <v>4060</v>
      </c>
      <c r="F13483" s="690" t="s">
        <v>4060</v>
      </c>
      <c r="G13483" s="690" t="s">
        <v>4060</v>
      </c>
      <c r="H13483" s="690" t="s">
        <v>4060</v>
      </c>
      <c r="I13483" s="690" t="s">
        <v>4060</v>
      </c>
      <c r="J13483" s="690" t="s">
        <v>4060</v>
      </c>
      <c r="K13483" s="690" t="s">
        <v>4060</v>
      </c>
    </row>
    <row r="13484" spans="1:11">
      <c r="A13484" s="688" t="s">
        <v>4070</v>
      </c>
      <c r="B13484" s="692" t="s">
        <v>4060</v>
      </c>
      <c r="C13484" s="692" t="s">
        <v>4060</v>
      </c>
      <c r="D13484" s="692" t="s">
        <v>4060</v>
      </c>
      <c r="E13484" s="692" t="s">
        <v>4060</v>
      </c>
      <c r="F13484" s="692" t="s">
        <v>4060</v>
      </c>
      <c r="G13484" s="692" t="s">
        <v>4060</v>
      </c>
      <c r="H13484" s="692" t="s">
        <v>4060</v>
      </c>
      <c r="I13484" s="692" t="s">
        <v>4060</v>
      </c>
      <c r="J13484" s="692" t="s">
        <v>4060</v>
      </c>
      <c r="K13484" s="692" t="s">
        <v>4060</v>
      </c>
    </row>
    <row r="13485" spans="1:11">
      <c r="A13485" s="688" t="s">
        <v>2491</v>
      </c>
      <c r="B13485" s="690" t="s">
        <v>4060</v>
      </c>
      <c r="C13485" s="690" t="s">
        <v>4060</v>
      </c>
      <c r="D13485" s="690" t="s">
        <v>4060</v>
      </c>
      <c r="E13485" s="690" t="s">
        <v>4060</v>
      </c>
      <c r="F13485" s="690" t="s">
        <v>4060</v>
      </c>
      <c r="G13485" s="690" t="s">
        <v>4060</v>
      </c>
      <c r="H13485" s="690" t="s">
        <v>4060</v>
      </c>
      <c r="I13485" s="690" t="s">
        <v>4060</v>
      </c>
      <c r="J13485" s="690" t="s">
        <v>4060</v>
      </c>
      <c r="K13485" s="690" t="s">
        <v>4060</v>
      </c>
    </row>
    <row r="13486" spans="1:11">
      <c r="A13486" s="688" t="s">
        <v>2343</v>
      </c>
      <c r="B13486" s="692" t="s">
        <v>4060</v>
      </c>
      <c r="C13486" s="692" t="s">
        <v>4060</v>
      </c>
      <c r="D13486" s="692" t="s">
        <v>4060</v>
      </c>
      <c r="E13486" s="692" t="s">
        <v>4060</v>
      </c>
      <c r="F13486" s="692" t="s">
        <v>4060</v>
      </c>
      <c r="G13486" s="692" t="s">
        <v>4060</v>
      </c>
      <c r="H13486" s="692" t="s">
        <v>4060</v>
      </c>
      <c r="I13486" s="692" t="s">
        <v>4060</v>
      </c>
      <c r="J13486" s="692" t="s">
        <v>4060</v>
      </c>
      <c r="K13486" s="692" t="s">
        <v>4060</v>
      </c>
    </row>
    <row r="13487" spans="1:11">
      <c r="A13487" s="688" t="s">
        <v>4071</v>
      </c>
      <c r="B13487" s="690" t="s">
        <v>4060</v>
      </c>
      <c r="C13487" s="690" t="s">
        <v>4060</v>
      </c>
      <c r="D13487" s="690" t="s">
        <v>4060</v>
      </c>
      <c r="E13487" s="690" t="s">
        <v>4060</v>
      </c>
      <c r="F13487" s="690" t="s">
        <v>4060</v>
      </c>
      <c r="G13487" s="690" t="s">
        <v>4060</v>
      </c>
      <c r="H13487" s="690" t="s">
        <v>4060</v>
      </c>
      <c r="I13487" s="690" t="s">
        <v>4060</v>
      </c>
      <c r="J13487" s="690" t="s">
        <v>4060</v>
      </c>
      <c r="K13487" s="690" t="s">
        <v>4060</v>
      </c>
    </row>
    <row r="13488" spans="1:11">
      <c r="A13488" s="688" t="s">
        <v>2489</v>
      </c>
      <c r="B13488" s="692" t="s">
        <v>4060</v>
      </c>
      <c r="C13488" s="692" t="s">
        <v>4060</v>
      </c>
      <c r="D13488" s="692" t="s">
        <v>4060</v>
      </c>
      <c r="E13488" s="692" t="s">
        <v>4060</v>
      </c>
      <c r="F13488" s="692" t="s">
        <v>4060</v>
      </c>
      <c r="G13488" s="692" t="s">
        <v>4060</v>
      </c>
      <c r="H13488" s="692" t="s">
        <v>4060</v>
      </c>
      <c r="I13488" s="692" t="s">
        <v>4060</v>
      </c>
      <c r="J13488" s="692" t="s">
        <v>4060</v>
      </c>
      <c r="K13488" s="692" t="s">
        <v>4060</v>
      </c>
    </row>
    <row r="13489" spans="1:11">
      <c r="A13489" s="688" t="s">
        <v>2490</v>
      </c>
      <c r="B13489" s="690" t="s">
        <v>4060</v>
      </c>
      <c r="C13489" s="690" t="s">
        <v>4060</v>
      </c>
      <c r="D13489" s="690" t="s">
        <v>4060</v>
      </c>
      <c r="E13489" s="690" t="s">
        <v>4060</v>
      </c>
      <c r="F13489" s="690" t="s">
        <v>4060</v>
      </c>
      <c r="G13489" s="690" t="s">
        <v>4060</v>
      </c>
      <c r="H13489" s="690" t="s">
        <v>4060</v>
      </c>
      <c r="I13489" s="690" t="s">
        <v>4060</v>
      </c>
      <c r="J13489" s="690" t="s">
        <v>4060</v>
      </c>
      <c r="K13489" s="690" t="s">
        <v>4060</v>
      </c>
    </row>
    <row r="13491" spans="1:11">
      <c r="A13491" s="683" t="s">
        <v>4233</v>
      </c>
    </row>
    <row r="13492" spans="1:11">
      <c r="A13492" s="683" t="s">
        <v>4060</v>
      </c>
      <c r="B13492" s="682" t="s">
        <v>4234</v>
      </c>
    </row>
    <row r="13494" spans="1:11">
      <c r="A13494" s="682" t="s">
        <v>4332</v>
      </c>
    </row>
    <row r="13495" spans="1:11">
      <c r="A13495" s="682" t="s">
        <v>4210</v>
      </c>
      <c r="B13495" s="683" t="s">
        <v>4211</v>
      </c>
    </row>
    <row r="13496" spans="1:11">
      <c r="A13496" s="682" t="s">
        <v>4212</v>
      </c>
      <c r="B13496" s="682" t="s">
        <v>4213</v>
      </c>
    </row>
    <row r="13498" spans="1:11">
      <c r="A13498" s="683" t="s">
        <v>4214</v>
      </c>
      <c r="C13498" s="682" t="s">
        <v>4215</v>
      </c>
    </row>
    <row r="13499" spans="1:11">
      <c r="A13499" s="683" t="s">
        <v>4216</v>
      </c>
      <c r="C13499" s="682" t="s">
        <v>2967</v>
      </c>
    </row>
    <row r="13500" spans="1:11">
      <c r="A13500" s="683" t="s">
        <v>3893</v>
      </c>
      <c r="C13500" s="682" t="s">
        <v>2168</v>
      </c>
    </row>
    <row r="13501" spans="1:11">
      <c r="A13501" s="683" t="s">
        <v>4218</v>
      </c>
      <c r="C13501" s="682" t="s">
        <v>4327</v>
      </c>
    </row>
    <row r="13503" spans="1:11">
      <c r="A13503" s="684" t="s">
        <v>4220</v>
      </c>
      <c r="B13503" s="685" t="s">
        <v>4221</v>
      </c>
      <c r="C13503" s="685" t="s">
        <v>4222</v>
      </c>
      <c r="D13503" s="685" t="s">
        <v>4223</v>
      </c>
      <c r="E13503" s="685" t="s">
        <v>4224</v>
      </c>
      <c r="F13503" s="685" t="s">
        <v>4225</v>
      </c>
      <c r="G13503" s="685" t="s">
        <v>4226</v>
      </c>
      <c r="H13503" s="685" t="s">
        <v>4227</v>
      </c>
      <c r="I13503" s="685" t="s">
        <v>4228</v>
      </c>
      <c r="J13503" s="685" t="s">
        <v>4229</v>
      </c>
      <c r="K13503" s="685" t="s">
        <v>4230</v>
      </c>
    </row>
    <row r="13504" spans="1:11">
      <c r="A13504" s="686" t="s">
        <v>4231</v>
      </c>
      <c r="B13504" s="687" t="s">
        <v>4232</v>
      </c>
      <c r="C13504" s="687" t="s">
        <v>4232</v>
      </c>
      <c r="D13504" s="687" t="s">
        <v>4232</v>
      </c>
      <c r="E13504" s="687" t="s">
        <v>4232</v>
      </c>
      <c r="F13504" s="687" t="s">
        <v>4232</v>
      </c>
      <c r="G13504" s="687" t="s">
        <v>4232</v>
      </c>
      <c r="H13504" s="687" t="s">
        <v>4232</v>
      </c>
      <c r="I13504" s="687" t="s">
        <v>4232</v>
      </c>
      <c r="J13504" s="687" t="s">
        <v>4232</v>
      </c>
      <c r="K13504" s="687" t="s">
        <v>4232</v>
      </c>
    </row>
    <row r="13505" spans="1:11">
      <c r="A13505" s="688" t="s">
        <v>4064</v>
      </c>
      <c r="B13505" s="690" t="s">
        <v>4060</v>
      </c>
      <c r="C13505" s="689">
        <v>3.5</v>
      </c>
      <c r="D13505" s="690" t="s">
        <v>4060</v>
      </c>
      <c r="E13505" s="689">
        <v>3.4</v>
      </c>
      <c r="F13505" s="689">
        <v>3.4</v>
      </c>
      <c r="G13505" s="689">
        <v>3.4</v>
      </c>
      <c r="H13505" s="689">
        <v>3.5</v>
      </c>
      <c r="I13505" s="689">
        <v>3.2</v>
      </c>
      <c r="J13505" s="689">
        <v>3.3</v>
      </c>
      <c r="K13505" s="689">
        <v>3.1</v>
      </c>
    </row>
    <row r="13506" spans="1:11">
      <c r="A13506" s="688" t="s">
        <v>4065</v>
      </c>
      <c r="B13506" s="692" t="s">
        <v>4060</v>
      </c>
      <c r="C13506" s="692" t="s">
        <v>4060</v>
      </c>
      <c r="D13506" s="692" t="s">
        <v>4060</v>
      </c>
      <c r="E13506" s="692" t="s">
        <v>4060</v>
      </c>
      <c r="F13506" s="692" t="s">
        <v>4060</v>
      </c>
      <c r="G13506" s="692" t="s">
        <v>4060</v>
      </c>
      <c r="H13506" s="692" t="s">
        <v>4060</v>
      </c>
      <c r="I13506" s="692" t="s">
        <v>4060</v>
      </c>
      <c r="J13506" s="692" t="s">
        <v>4060</v>
      </c>
      <c r="K13506" s="692" t="s">
        <v>4060</v>
      </c>
    </row>
    <row r="13507" spans="1:11">
      <c r="A13507" s="688" t="s">
        <v>4063</v>
      </c>
      <c r="B13507" s="690" t="s">
        <v>4060</v>
      </c>
      <c r="C13507" s="690" t="s">
        <v>4060</v>
      </c>
      <c r="D13507" s="690" t="s">
        <v>4060</v>
      </c>
      <c r="E13507" s="690" t="s">
        <v>4060</v>
      </c>
      <c r="F13507" s="690" t="s">
        <v>4060</v>
      </c>
      <c r="G13507" s="690" t="s">
        <v>4060</v>
      </c>
      <c r="H13507" s="690" t="s">
        <v>4060</v>
      </c>
      <c r="I13507" s="690" t="s">
        <v>4060</v>
      </c>
      <c r="J13507" s="690" t="s">
        <v>4060</v>
      </c>
      <c r="K13507" s="690" t="s">
        <v>4060</v>
      </c>
    </row>
    <row r="13508" spans="1:11">
      <c r="A13508" s="688" t="s">
        <v>4069</v>
      </c>
      <c r="B13508" s="692" t="s">
        <v>4060</v>
      </c>
      <c r="C13508" s="691">
        <v>3.5</v>
      </c>
      <c r="D13508" s="691">
        <v>3.3</v>
      </c>
      <c r="E13508" s="691">
        <v>3.4</v>
      </c>
      <c r="F13508" s="691">
        <v>3.4</v>
      </c>
      <c r="G13508" s="691">
        <v>3.4</v>
      </c>
      <c r="H13508" s="691">
        <v>3.5</v>
      </c>
      <c r="I13508" s="691">
        <v>3.2</v>
      </c>
      <c r="J13508" s="691">
        <v>3.3</v>
      </c>
      <c r="K13508" s="691">
        <v>3.1</v>
      </c>
    </row>
    <row r="13509" spans="1:11">
      <c r="A13509" s="688" t="s">
        <v>4068</v>
      </c>
      <c r="B13509" s="690" t="s">
        <v>4060</v>
      </c>
      <c r="C13509" s="690" t="s">
        <v>4060</v>
      </c>
      <c r="D13509" s="690" t="s">
        <v>4060</v>
      </c>
      <c r="E13509" s="690" t="s">
        <v>4060</v>
      </c>
      <c r="F13509" s="690" t="s">
        <v>4060</v>
      </c>
      <c r="G13509" s="690" t="s">
        <v>4060</v>
      </c>
      <c r="H13509" s="690" t="s">
        <v>4060</v>
      </c>
      <c r="I13509" s="690" t="s">
        <v>4060</v>
      </c>
      <c r="J13509" s="690" t="s">
        <v>4060</v>
      </c>
      <c r="K13509" s="690" t="s">
        <v>4060</v>
      </c>
    </row>
    <row r="13510" spans="1:11">
      <c r="A13510" s="688" t="s">
        <v>0</v>
      </c>
      <c r="B13510" s="692" t="s">
        <v>4060</v>
      </c>
      <c r="C13510" s="691">
        <v>3.5</v>
      </c>
      <c r="D13510" s="691">
        <v>3.2</v>
      </c>
      <c r="E13510" s="691">
        <v>3.4</v>
      </c>
      <c r="F13510" s="691">
        <v>3.3</v>
      </c>
      <c r="G13510" s="691">
        <v>3.3</v>
      </c>
      <c r="H13510" s="691">
        <v>3.4</v>
      </c>
      <c r="I13510" s="615">
        <v>3</v>
      </c>
      <c r="J13510" s="691">
        <v>3.5</v>
      </c>
      <c r="K13510" s="691">
        <v>3.2</v>
      </c>
    </row>
    <row r="13511" spans="1:11">
      <c r="A13511" s="688" t="s">
        <v>1</v>
      </c>
      <c r="B13511" s="690" t="s">
        <v>4060</v>
      </c>
      <c r="C13511" s="689">
        <v>2.8</v>
      </c>
      <c r="D13511" s="689">
        <v>2.6</v>
      </c>
      <c r="E13511" s="689">
        <v>2.7</v>
      </c>
      <c r="F13511" s="689">
        <v>2.7</v>
      </c>
      <c r="G13511" s="689">
        <v>2.7</v>
      </c>
      <c r="H13511" s="689">
        <v>2.5</v>
      </c>
      <c r="I13511" s="689">
        <v>2.4</v>
      </c>
      <c r="J13511" s="689">
        <v>2.2000000000000002</v>
      </c>
      <c r="K13511" s="689">
        <v>2.4</v>
      </c>
    </row>
    <row r="13512" spans="1:11">
      <c r="A13512" s="688" t="s">
        <v>2240</v>
      </c>
      <c r="B13512" s="692" t="s">
        <v>4060</v>
      </c>
      <c r="C13512" s="615">
        <v>3</v>
      </c>
      <c r="D13512" s="691">
        <v>2.9</v>
      </c>
      <c r="E13512" s="615">
        <v>3</v>
      </c>
      <c r="F13512" s="615">
        <v>3</v>
      </c>
      <c r="G13512" s="691">
        <v>3.1</v>
      </c>
      <c r="H13512" s="691">
        <v>3.1</v>
      </c>
      <c r="I13512" s="691">
        <v>2.7</v>
      </c>
      <c r="J13512" s="691">
        <v>2.6</v>
      </c>
      <c r="K13512" s="691">
        <v>2.7</v>
      </c>
    </row>
    <row r="13513" spans="1:11">
      <c r="A13513" s="688" t="s">
        <v>2</v>
      </c>
      <c r="B13513" s="690" t="s">
        <v>4060</v>
      </c>
      <c r="C13513" s="689">
        <v>3.3</v>
      </c>
      <c r="D13513" s="689">
        <v>3.2</v>
      </c>
      <c r="E13513" s="689">
        <v>3.2</v>
      </c>
      <c r="F13513" s="689">
        <v>3.1</v>
      </c>
      <c r="G13513" s="689">
        <v>3.1</v>
      </c>
      <c r="H13513" s="689">
        <v>3.2</v>
      </c>
      <c r="I13513" s="689">
        <v>3.1</v>
      </c>
      <c r="J13513" s="689">
        <v>3.1</v>
      </c>
      <c r="K13513" s="689">
        <v>3.1</v>
      </c>
    </row>
    <row r="13514" spans="1:11">
      <c r="A13514" s="688" t="s">
        <v>3</v>
      </c>
      <c r="B13514" s="692" t="s">
        <v>4060</v>
      </c>
      <c r="C13514" s="691">
        <v>3.3</v>
      </c>
      <c r="D13514" s="691">
        <v>3.2</v>
      </c>
      <c r="E13514" s="691">
        <v>3.3</v>
      </c>
      <c r="F13514" s="691">
        <v>3.2</v>
      </c>
      <c r="G13514" s="691">
        <v>3.2</v>
      </c>
      <c r="H13514" s="691">
        <v>3.3</v>
      </c>
      <c r="I13514" s="691">
        <v>3.2</v>
      </c>
      <c r="J13514" s="691">
        <v>3.1</v>
      </c>
      <c r="K13514" s="691">
        <v>2.9</v>
      </c>
    </row>
    <row r="13515" spans="1:11">
      <c r="A13515" s="688" t="s">
        <v>4061</v>
      </c>
      <c r="B13515" s="690" t="s">
        <v>4060</v>
      </c>
      <c r="C13515" s="689">
        <v>3.3</v>
      </c>
      <c r="D13515" s="689">
        <v>3.2</v>
      </c>
      <c r="E13515" s="689">
        <v>3.3</v>
      </c>
      <c r="F13515" s="689">
        <v>3.2</v>
      </c>
      <c r="G13515" s="689">
        <v>3.2</v>
      </c>
      <c r="H13515" s="689">
        <v>3.3</v>
      </c>
      <c r="I13515" s="689">
        <v>3.2</v>
      </c>
      <c r="J13515" s="689">
        <v>3.1</v>
      </c>
      <c r="K13515" s="689">
        <v>2.9</v>
      </c>
    </row>
    <row r="13516" spans="1:11">
      <c r="A13516" s="688" t="s">
        <v>4</v>
      </c>
      <c r="B13516" s="692" t="s">
        <v>4060</v>
      </c>
      <c r="C13516" s="615">
        <v>3</v>
      </c>
      <c r="D13516" s="691">
        <v>3.4</v>
      </c>
      <c r="E13516" s="691">
        <v>3.2</v>
      </c>
      <c r="F13516" s="691">
        <v>3.3</v>
      </c>
      <c r="G13516" s="615">
        <v>3</v>
      </c>
      <c r="H13516" s="691">
        <v>3.5</v>
      </c>
      <c r="I13516" s="691">
        <v>3.3</v>
      </c>
      <c r="J13516" s="691">
        <v>2.7</v>
      </c>
      <c r="K13516" s="691">
        <v>2.8</v>
      </c>
    </row>
    <row r="13517" spans="1:11">
      <c r="A13517" s="688" t="s">
        <v>8</v>
      </c>
      <c r="B13517" s="690" t="s">
        <v>4060</v>
      </c>
      <c r="C13517" s="689">
        <v>3.5</v>
      </c>
      <c r="D13517" s="689">
        <v>3.2</v>
      </c>
      <c r="E13517" s="689">
        <v>3.4</v>
      </c>
      <c r="F13517" s="689">
        <v>3.6</v>
      </c>
      <c r="G13517" s="689">
        <v>3.5</v>
      </c>
      <c r="H13517" s="689">
        <v>3.4</v>
      </c>
      <c r="I13517" s="689">
        <v>3.5</v>
      </c>
      <c r="J13517" s="689">
        <v>3.4</v>
      </c>
      <c r="K13517" s="689">
        <v>3.7</v>
      </c>
    </row>
    <row r="13518" spans="1:11">
      <c r="A13518" s="688" t="s">
        <v>7</v>
      </c>
      <c r="B13518" s="692" t="s">
        <v>4060</v>
      </c>
      <c r="C13518" s="691">
        <v>2.5</v>
      </c>
      <c r="D13518" s="691">
        <v>2.4</v>
      </c>
      <c r="E13518" s="691">
        <v>2.7</v>
      </c>
      <c r="F13518" s="691">
        <v>2.6</v>
      </c>
      <c r="G13518" s="691">
        <v>2.9</v>
      </c>
      <c r="H13518" s="691">
        <v>3.1</v>
      </c>
      <c r="I13518" s="691">
        <v>3.2</v>
      </c>
      <c r="J13518" s="691">
        <v>3.2</v>
      </c>
      <c r="K13518" s="691">
        <v>3.2</v>
      </c>
    </row>
    <row r="13519" spans="1:11">
      <c r="A13519" s="688" t="s">
        <v>27</v>
      </c>
      <c r="B13519" s="690" t="s">
        <v>4060</v>
      </c>
      <c r="C13519" s="689">
        <v>3.8</v>
      </c>
      <c r="D13519" s="689">
        <v>3.6</v>
      </c>
      <c r="E13519" s="689">
        <v>3.8</v>
      </c>
      <c r="F13519" s="689">
        <v>3.6</v>
      </c>
      <c r="G13519" s="689">
        <v>3.7</v>
      </c>
      <c r="H13519" s="689">
        <v>3.8</v>
      </c>
      <c r="I13519" s="689">
        <v>3.3</v>
      </c>
      <c r="J13519" s="689">
        <v>3.6</v>
      </c>
      <c r="K13519" s="689">
        <v>3.4</v>
      </c>
    </row>
    <row r="13520" spans="1:11">
      <c r="A13520" s="688" t="s">
        <v>6</v>
      </c>
      <c r="B13520" s="692" t="s">
        <v>4060</v>
      </c>
      <c r="C13520" s="691">
        <v>3.7</v>
      </c>
      <c r="D13520" s="691">
        <v>3.6</v>
      </c>
      <c r="E13520" s="691">
        <v>3.6</v>
      </c>
      <c r="F13520" s="691">
        <v>3.7</v>
      </c>
      <c r="G13520" s="691">
        <v>3.7</v>
      </c>
      <c r="H13520" s="691">
        <v>3.6</v>
      </c>
      <c r="I13520" s="691">
        <v>3.3</v>
      </c>
      <c r="J13520" s="691">
        <v>3.5</v>
      </c>
      <c r="K13520" s="691">
        <v>3.4</v>
      </c>
    </row>
    <row r="13521" spans="1:11">
      <c r="A13521" s="688" t="s">
        <v>4058</v>
      </c>
      <c r="B13521" s="690" t="s">
        <v>4060</v>
      </c>
      <c r="C13521" s="690" t="s">
        <v>4060</v>
      </c>
      <c r="D13521" s="690" t="s">
        <v>4060</v>
      </c>
      <c r="E13521" s="690" t="s">
        <v>4060</v>
      </c>
      <c r="F13521" s="690" t="s">
        <v>4060</v>
      </c>
      <c r="G13521" s="690" t="s">
        <v>4060</v>
      </c>
      <c r="H13521" s="690" t="s">
        <v>4060</v>
      </c>
      <c r="I13521" s="690" t="s">
        <v>4060</v>
      </c>
      <c r="J13521" s="690" t="s">
        <v>4060</v>
      </c>
      <c r="K13521" s="690" t="s">
        <v>4060</v>
      </c>
    </row>
    <row r="13522" spans="1:11">
      <c r="A13522" s="688" t="s">
        <v>11</v>
      </c>
      <c r="B13522" s="692" t="s">
        <v>4060</v>
      </c>
      <c r="C13522" s="691">
        <v>2.8</v>
      </c>
      <c r="D13522" s="691">
        <v>2.8</v>
      </c>
      <c r="E13522" s="691">
        <v>2.8</v>
      </c>
      <c r="F13522" s="691">
        <v>2.9</v>
      </c>
      <c r="G13522" s="691">
        <v>2.8</v>
      </c>
      <c r="H13522" s="691">
        <v>2.8</v>
      </c>
      <c r="I13522" s="691">
        <v>2.6</v>
      </c>
      <c r="J13522" s="691">
        <v>2.5</v>
      </c>
      <c r="K13522" s="691">
        <v>2.5</v>
      </c>
    </row>
    <row r="13523" spans="1:11">
      <c r="A13523" s="688" t="s">
        <v>10</v>
      </c>
      <c r="B13523" s="690" t="s">
        <v>4060</v>
      </c>
      <c r="C13523" s="689">
        <v>3.4</v>
      </c>
      <c r="D13523" s="689">
        <v>3.2</v>
      </c>
      <c r="E13523" s="689">
        <v>3.4</v>
      </c>
      <c r="F13523" s="689">
        <v>3.2</v>
      </c>
      <c r="G13523" s="689">
        <v>3.4</v>
      </c>
      <c r="H13523" s="689">
        <v>3.4</v>
      </c>
      <c r="I13523" s="689">
        <v>3.1</v>
      </c>
      <c r="J13523" s="689">
        <v>3.3</v>
      </c>
      <c r="K13523" s="689">
        <v>3.1</v>
      </c>
    </row>
    <row r="13524" spans="1:11">
      <c r="A13524" s="688" t="s">
        <v>30</v>
      </c>
      <c r="B13524" s="692" t="s">
        <v>4060</v>
      </c>
      <c r="C13524" s="691">
        <v>3.3</v>
      </c>
      <c r="D13524" s="691">
        <v>3.3</v>
      </c>
      <c r="E13524" s="691">
        <v>3.6</v>
      </c>
      <c r="F13524" s="691">
        <v>3.6</v>
      </c>
      <c r="G13524" s="691">
        <v>4.2</v>
      </c>
      <c r="H13524" s="691">
        <v>3.9</v>
      </c>
      <c r="I13524" s="691">
        <v>4.3</v>
      </c>
      <c r="J13524" s="691">
        <v>3.8</v>
      </c>
      <c r="K13524" s="691">
        <v>3.5</v>
      </c>
    </row>
    <row r="13525" spans="1:11">
      <c r="A13525" s="688" t="s">
        <v>12</v>
      </c>
      <c r="B13525" s="690" t="s">
        <v>4060</v>
      </c>
      <c r="C13525" s="693">
        <v>3</v>
      </c>
      <c r="D13525" s="689">
        <v>3.2</v>
      </c>
      <c r="E13525" s="689">
        <v>2.9</v>
      </c>
      <c r="F13525" s="689">
        <v>2.9</v>
      </c>
      <c r="G13525" s="693">
        <v>3</v>
      </c>
      <c r="H13525" s="693">
        <v>3</v>
      </c>
      <c r="I13525" s="693">
        <v>3</v>
      </c>
      <c r="J13525" s="689">
        <v>2.7</v>
      </c>
      <c r="K13525" s="689">
        <v>2.7</v>
      </c>
    </row>
    <row r="13526" spans="1:11">
      <c r="A13526" s="688" t="s">
        <v>14</v>
      </c>
      <c r="B13526" s="692" t="s">
        <v>4060</v>
      </c>
      <c r="C13526" s="691">
        <v>2.4</v>
      </c>
      <c r="D13526" s="615">
        <v>2</v>
      </c>
      <c r="E13526" s="691">
        <v>1.7</v>
      </c>
      <c r="F13526" s="691">
        <v>1.5</v>
      </c>
      <c r="G13526" s="691">
        <v>1.3</v>
      </c>
      <c r="H13526" s="691">
        <v>1.1000000000000001</v>
      </c>
      <c r="I13526" s="691">
        <v>2.1</v>
      </c>
      <c r="J13526" s="691">
        <v>2.5</v>
      </c>
      <c r="K13526" s="691">
        <v>2.7</v>
      </c>
    </row>
    <row r="13527" spans="1:11">
      <c r="A13527" s="688" t="s">
        <v>15</v>
      </c>
      <c r="B13527" s="690" t="s">
        <v>4060</v>
      </c>
      <c r="C13527" s="689">
        <v>3.4</v>
      </c>
      <c r="D13527" s="689">
        <v>3.8</v>
      </c>
      <c r="E13527" s="689">
        <v>3.1</v>
      </c>
      <c r="F13527" s="689">
        <v>3.1</v>
      </c>
      <c r="G13527" s="689">
        <v>3.4</v>
      </c>
      <c r="H13527" s="689">
        <v>3.4</v>
      </c>
      <c r="I13527" s="689">
        <v>3.2</v>
      </c>
      <c r="J13527" s="689">
        <v>3.4</v>
      </c>
      <c r="K13527" s="689">
        <v>3.5</v>
      </c>
    </row>
    <row r="13528" spans="1:11">
      <c r="A13528" s="688" t="s">
        <v>29</v>
      </c>
      <c r="B13528" s="692" t="s">
        <v>4060</v>
      </c>
      <c r="C13528" s="691">
        <v>3.7</v>
      </c>
      <c r="D13528" s="691">
        <v>3.3</v>
      </c>
      <c r="E13528" s="691">
        <v>3.5</v>
      </c>
      <c r="F13528" s="691">
        <v>3.5</v>
      </c>
      <c r="G13528" s="691">
        <v>3.6</v>
      </c>
      <c r="H13528" s="691">
        <v>3.7</v>
      </c>
      <c r="I13528" s="691">
        <v>3.6</v>
      </c>
      <c r="J13528" s="691">
        <v>3.7</v>
      </c>
      <c r="K13528" s="691">
        <v>3.4</v>
      </c>
    </row>
    <row r="13529" spans="1:11">
      <c r="A13529" s="688" t="s">
        <v>16</v>
      </c>
      <c r="B13529" s="690" t="s">
        <v>4060</v>
      </c>
      <c r="C13529" s="689">
        <v>3.6</v>
      </c>
      <c r="D13529" s="689">
        <v>3.1</v>
      </c>
      <c r="E13529" s="689">
        <v>3.4</v>
      </c>
      <c r="F13529" s="689">
        <v>2.9</v>
      </c>
      <c r="G13529" s="689">
        <v>3.2</v>
      </c>
      <c r="H13529" s="689">
        <v>3.1</v>
      </c>
      <c r="I13529" s="689">
        <v>3.2</v>
      </c>
      <c r="J13529" s="689">
        <v>3.7</v>
      </c>
      <c r="K13529" s="689">
        <v>3.4</v>
      </c>
    </row>
    <row r="13530" spans="1:11">
      <c r="A13530" s="688" t="s">
        <v>17</v>
      </c>
      <c r="B13530" s="692" t="s">
        <v>4060</v>
      </c>
      <c r="C13530" s="691">
        <v>3.2</v>
      </c>
      <c r="D13530" s="691">
        <v>3.1</v>
      </c>
      <c r="E13530" s="691">
        <v>3.2</v>
      </c>
      <c r="F13530" s="691">
        <v>3.2</v>
      </c>
      <c r="G13530" s="691">
        <v>3.2</v>
      </c>
      <c r="H13530" s="691">
        <v>3.2</v>
      </c>
      <c r="I13530" s="691">
        <v>2.9</v>
      </c>
      <c r="J13530" s="615">
        <v>3</v>
      </c>
      <c r="K13530" s="691">
        <v>2.9</v>
      </c>
    </row>
    <row r="13531" spans="1:11">
      <c r="A13531" s="688" t="s">
        <v>19</v>
      </c>
      <c r="B13531" s="690" t="s">
        <v>4060</v>
      </c>
      <c r="C13531" s="689">
        <v>3.3</v>
      </c>
      <c r="D13531" s="689">
        <v>3.3</v>
      </c>
      <c r="E13531" s="689">
        <v>3.3</v>
      </c>
      <c r="F13531" s="689">
        <v>3.3</v>
      </c>
      <c r="G13531" s="689">
        <v>3.2</v>
      </c>
      <c r="H13531" s="689">
        <v>3.2</v>
      </c>
      <c r="I13531" s="693">
        <v>3</v>
      </c>
      <c r="J13531" s="689">
        <v>3.1</v>
      </c>
      <c r="K13531" s="693">
        <v>3</v>
      </c>
    </row>
    <row r="13532" spans="1:11">
      <c r="A13532" s="688" t="s">
        <v>20</v>
      </c>
      <c r="B13532" s="692" t="s">
        <v>4060</v>
      </c>
      <c r="C13532" s="691">
        <v>3.6</v>
      </c>
      <c r="D13532" s="691">
        <v>3.5</v>
      </c>
      <c r="E13532" s="691">
        <v>3.7</v>
      </c>
      <c r="F13532" s="691">
        <v>3.7</v>
      </c>
      <c r="G13532" s="691">
        <v>3.7</v>
      </c>
      <c r="H13532" s="691">
        <v>3.9</v>
      </c>
      <c r="I13532" s="691">
        <v>3.2</v>
      </c>
      <c r="J13532" s="691">
        <v>2.9</v>
      </c>
      <c r="K13532" s="691">
        <v>3.3</v>
      </c>
    </row>
    <row r="13533" spans="1:11">
      <c r="A13533" s="688" t="s">
        <v>21</v>
      </c>
      <c r="B13533" s="690" t="s">
        <v>4060</v>
      </c>
      <c r="C13533" s="689">
        <v>3.4</v>
      </c>
      <c r="D13533" s="689">
        <v>3.5</v>
      </c>
      <c r="E13533" s="689">
        <v>3.4</v>
      </c>
      <c r="F13533" s="689">
        <v>3.5</v>
      </c>
      <c r="G13533" s="689">
        <v>3.4</v>
      </c>
      <c r="H13533" s="689">
        <v>3.4</v>
      </c>
      <c r="I13533" s="689">
        <v>3.3</v>
      </c>
      <c r="J13533" s="689">
        <v>3.2</v>
      </c>
      <c r="K13533" s="689">
        <v>3.2</v>
      </c>
    </row>
    <row r="13534" spans="1:11">
      <c r="A13534" s="688" t="s">
        <v>22</v>
      </c>
      <c r="B13534" s="692" t="s">
        <v>4060</v>
      </c>
      <c r="C13534" s="691">
        <v>3.6</v>
      </c>
      <c r="D13534" s="691">
        <v>3.8</v>
      </c>
      <c r="E13534" s="691">
        <v>4.3</v>
      </c>
      <c r="F13534" s="691">
        <v>4.5</v>
      </c>
      <c r="G13534" s="691">
        <v>4.5999999999999996</v>
      </c>
      <c r="H13534" s="691">
        <v>5.2</v>
      </c>
      <c r="I13534" s="691">
        <v>4.7</v>
      </c>
      <c r="J13534" s="691">
        <v>3.6</v>
      </c>
      <c r="K13534" s="691">
        <v>2.7</v>
      </c>
    </row>
    <row r="13535" spans="1:11">
      <c r="A13535" s="688" t="s">
        <v>26</v>
      </c>
      <c r="B13535" s="690" t="s">
        <v>4060</v>
      </c>
      <c r="C13535" s="689">
        <v>3.7</v>
      </c>
      <c r="D13535" s="689">
        <v>3.4</v>
      </c>
      <c r="E13535" s="689">
        <v>3.8</v>
      </c>
      <c r="F13535" s="689">
        <v>3.2</v>
      </c>
      <c r="G13535" s="689">
        <v>3.5</v>
      </c>
      <c r="H13535" s="689">
        <v>3.5</v>
      </c>
      <c r="I13535" s="689">
        <v>2.7</v>
      </c>
      <c r="J13535" s="689">
        <v>3.2</v>
      </c>
      <c r="K13535" s="689">
        <v>3.3</v>
      </c>
    </row>
    <row r="13536" spans="1:11">
      <c r="A13536" s="688" t="s">
        <v>25</v>
      </c>
      <c r="B13536" s="692" t="s">
        <v>4060</v>
      </c>
      <c r="C13536" s="691">
        <v>4.2</v>
      </c>
      <c r="D13536" s="691">
        <v>4.0999999999999996</v>
      </c>
      <c r="E13536" s="691">
        <v>4.5</v>
      </c>
      <c r="F13536" s="691">
        <v>4.3</v>
      </c>
      <c r="G13536" s="691">
        <v>4.9000000000000004</v>
      </c>
      <c r="H13536" s="691">
        <v>5.2</v>
      </c>
      <c r="I13536" s="615">
        <v>5</v>
      </c>
      <c r="J13536" s="691">
        <v>4.0999999999999996</v>
      </c>
      <c r="K13536" s="691">
        <v>4.0999999999999996</v>
      </c>
    </row>
    <row r="13537" spans="1:11">
      <c r="A13537" s="688" t="s">
        <v>5</v>
      </c>
      <c r="B13537" s="690" t="s">
        <v>4060</v>
      </c>
      <c r="C13537" s="689">
        <v>3.3</v>
      </c>
      <c r="D13537" s="689">
        <v>3.3</v>
      </c>
      <c r="E13537" s="689">
        <v>3.2</v>
      </c>
      <c r="F13537" s="689">
        <v>3.2</v>
      </c>
      <c r="G13537" s="689">
        <v>3.2</v>
      </c>
      <c r="H13537" s="689">
        <v>3.3</v>
      </c>
      <c r="I13537" s="689">
        <v>3.3</v>
      </c>
      <c r="J13537" s="689">
        <v>3.2</v>
      </c>
      <c r="K13537" s="693">
        <v>3</v>
      </c>
    </row>
    <row r="13538" spans="1:11">
      <c r="A13538" s="688" t="s">
        <v>23</v>
      </c>
      <c r="B13538" s="692" t="s">
        <v>4060</v>
      </c>
      <c r="C13538" s="691">
        <v>3.3</v>
      </c>
      <c r="D13538" s="691">
        <v>3.2</v>
      </c>
      <c r="E13538" s="691">
        <v>3.2</v>
      </c>
      <c r="F13538" s="691">
        <v>3.2</v>
      </c>
      <c r="G13538" s="691">
        <v>3.3</v>
      </c>
      <c r="H13538" s="691">
        <v>3.3</v>
      </c>
      <c r="I13538" s="615">
        <v>3</v>
      </c>
      <c r="J13538" s="691">
        <v>3.3</v>
      </c>
      <c r="K13538" s="691">
        <v>3.2</v>
      </c>
    </row>
    <row r="13539" spans="1:11">
      <c r="A13539" s="688" t="s">
        <v>4067</v>
      </c>
      <c r="B13539" s="690" t="s">
        <v>4060</v>
      </c>
      <c r="C13539" s="690" t="s">
        <v>4060</v>
      </c>
      <c r="D13539" s="690" t="s">
        <v>4060</v>
      </c>
      <c r="E13539" s="690" t="s">
        <v>4060</v>
      </c>
      <c r="F13539" s="690" t="s">
        <v>4060</v>
      </c>
      <c r="G13539" s="690" t="s">
        <v>4060</v>
      </c>
      <c r="H13539" s="690" t="s">
        <v>4060</v>
      </c>
      <c r="I13539" s="690" t="s">
        <v>4060</v>
      </c>
      <c r="J13539" s="690" t="s">
        <v>4060</v>
      </c>
      <c r="K13539" s="690" t="s">
        <v>4060</v>
      </c>
    </row>
    <row r="13540" spans="1:11">
      <c r="A13540" s="688" t="s">
        <v>4066</v>
      </c>
      <c r="B13540" s="692" t="s">
        <v>4060</v>
      </c>
      <c r="C13540" s="692" t="s">
        <v>4060</v>
      </c>
      <c r="D13540" s="692" t="s">
        <v>4060</v>
      </c>
      <c r="E13540" s="692" t="s">
        <v>4060</v>
      </c>
      <c r="F13540" s="692" t="s">
        <v>4060</v>
      </c>
      <c r="G13540" s="692" t="s">
        <v>4060</v>
      </c>
      <c r="H13540" s="692" t="s">
        <v>4060</v>
      </c>
      <c r="I13540" s="692" t="s">
        <v>4060</v>
      </c>
      <c r="J13540" s="692" t="s">
        <v>4060</v>
      </c>
      <c r="K13540" s="692" t="s">
        <v>4060</v>
      </c>
    </row>
    <row r="13541" spans="1:11">
      <c r="A13541" s="688" t="s">
        <v>4062</v>
      </c>
      <c r="B13541" s="690" t="s">
        <v>4060</v>
      </c>
      <c r="C13541" s="689">
        <v>3.3</v>
      </c>
      <c r="D13541" s="689">
        <v>3.2</v>
      </c>
      <c r="E13541" s="689">
        <v>3.3</v>
      </c>
      <c r="F13541" s="689">
        <v>3.3</v>
      </c>
      <c r="G13541" s="689">
        <v>3.4</v>
      </c>
      <c r="H13541" s="689">
        <v>3.4</v>
      </c>
      <c r="I13541" s="689">
        <v>3.1</v>
      </c>
      <c r="J13541" s="689">
        <v>3.5</v>
      </c>
      <c r="K13541" s="689">
        <v>3.2</v>
      </c>
    </row>
    <row r="13542" spans="1:11">
      <c r="A13542" s="688" t="s">
        <v>9</v>
      </c>
      <c r="B13542" s="692" t="s">
        <v>4060</v>
      </c>
      <c r="C13542" s="691">
        <v>3.1</v>
      </c>
      <c r="D13542" s="691">
        <v>3.1</v>
      </c>
      <c r="E13542" s="691">
        <v>3.2</v>
      </c>
      <c r="F13542" s="691">
        <v>3.4</v>
      </c>
      <c r="G13542" s="691">
        <v>3.6</v>
      </c>
      <c r="H13542" s="691">
        <v>3.4</v>
      </c>
      <c r="I13542" s="691">
        <v>3.5</v>
      </c>
      <c r="J13542" s="691">
        <v>3.5</v>
      </c>
      <c r="K13542" s="691">
        <v>3.4</v>
      </c>
    </row>
    <row r="13543" spans="1:11">
      <c r="A13543" s="688" t="s">
        <v>13</v>
      </c>
      <c r="B13543" s="690" t="s">
        <v>4060</v>
      </c>
      <c r="C13543" s="689">
        <v>2.7</v>
      </c>
      <c r="D13543" s="689">
        <v>2.6</v>
      </c>
      <c r="E13543" s="689">
        <v>4.7</v>
      </c>
      <c r="F13543" s="689">
        <v>2.7</v>
      </c>
      <c r="G13543" s="689">
        <v>3.2</v>
      </c>
      <c r="H13543" s="693">
        <v>2</v>
      </c>
      <c r="I13543" s="689">
        <v>2.2000000000000002</v>
      </c>
      <c r="J13543" s="689">
        <v>4.5</v>
      </c>
      <c r="K13543" s="689">
        <v>3.2</v>
      </c>
    </row>
    <row r="13544" spans="1:11">
      <c r="A13544" s="688" t="s">
        <v>18</v>
      </c>
      <c r="B13544" s="692" t="s">
        <v>4060</v>
      </c>
      <c r="C13544" s="691">
        <v>3.2</v>
      </c>
      <c r="D13544" s="691">
        <v>3.2</v>
      </c>
      <c r="E13544" s="691">
        <v>3.2</v>
      </c>
      <c r="F13544" s="691">
        <v>3.3</v>
      </c>
      <c r="G13544" s="691">
        <v>3.4</v>
      </c>
      <c r="H13544" s="691">
        <v>3.4</v>
      </c>
      <c r="I13544" s="691">
        <v>3.5</v>
      </c>
      <c r="J13544" s="691">
        <v>3.5</v>
      </c>
      <c r="K13544" s="691">
        <v>3.1</v>
      </c>
    </row>
    <row r="13545" spans="1:11">
      <c r="A13545" s="688" t="s">
        <v>24</v>
      </c>
      <c r="B13545" s="690" t="s">
        <v>4060</v>
      </c>
      <c r="C13545" s="689">
        <v>3.3</v>
      </c>
      <c r="D13545" s="689">
        <v>3.2</v>
      </c>
      <c r="E13545" s="689">
        <v>3.5</v>
      </c>
      <c r="F13545" s="689">
        <v>3.3</v>
      </c>
      <c r="G13545" s="689">
        <v>3.5</v>
      </c>
      <c r="H13545" s="689">
        <v>3.5</v>
      </c>
      <c r="I13545" s="693">
        <v>3</v>
      </c>
      <c r="J13545" s="689">
        <v>3.4</v>
      </c>
      <c r="K13545" s="689">
        <v>3.2</v>
      </c>
    </row>
    <row r="13546" spans="1:11">
      <c r="A13546" s="688" t="s">
        <v>4059</v>
      </c>
      <c r="B13546" s="692" t="s">
        <v>4060</v>
      </c>
      <c r="C13546" s="692" t="s">
        <v>4060</v>
      </c>
      <c r="D13546" s="692" t="s">
        <v>4060</v>
      </c>
      <c r="E13546" s="692" t="s">
        <v>4060</v>
      </c>
      <c r="F13546" s="692" t="s">
        <v>4060</v>
      </c>
      <c r="G13546" s="692" t="s">
        <v>4060</v>
      </c>
      <c r="H13546" s="692" t="s">
        <v>4060</v>
      </c>
      <c r="I13546" s="692" t="s">
        <v>4060</v>
      </c>
      <c r="J13546" s="692" t="s">
        <v>4060</v>
      </c>
      <c r="K13546" s="692" t="s">
        <v>4060</v>
      </c>
    </row>
    <row r="13547" spans="1:11">
      <c r="A13547" s="688" t="s">
        <v>2324</v>
      </c>
      <c r="B13547" s="690" t="s">
        <v>4060</v>
      </c>
      <c r="C13547" s="690" t="s">
        <v>4060</v>
      </c>
      <c r="D13547" s="690" t="s">
        <v>4060</v>
      </c>
      <c r="E13547" s="690" t="s">
        <v>4060</v>
      </c>
      <c r="F13547" s="690" t="s">
        <v>4060</v>
      </c>
      <c r="G13547" s="690" t="s">
        <v>4060</v>
      </c>
      <c r="H13547" s="690" t="s">
        <v>4060</v>
      </c>
      <c r="I13547" s="690" t="s">
        <v>4060</v>
      </c>
      <c r="J13547" s="690" t="s">
        <v>4060</v>
      </c>
      <c r="K13547" s="690" t="s">
        <v>4060</v>
      </c>
    </row>
    <row r="13548" spans="1:11">
      <c r="A13548" s="688" t="s">
        <v>2322</v>
      </c>
      <c r="B13548" s="692" t="s">
        <v>4060</v>
      </c>
      <c r="C13548" s="692" t="s">
        <v>4060</v>
      </c>
      <c r="D13548" s="692" t="s">
        <v>4060</v>
      </c>
      <c r="E13548" s="692" t="s">
        <v>4060</v>
      </c>
      <c r="F13548" s="692" t="s">
        <v>4060</v>
      </c>
      <c r="G13548" s="692" t="s">
        <v>4060</v>
      </c>
      <c r="H13548" s="692" t="s">
        <v>4060</v>
      </c>
      <c r="I13548" s="692" t="s">
        <v>4060</v>
      </c>
      <c r="J13548" s="692" t="s">
        <v>4060</v>
      </c>
      <c r="K13548" s="692" t="s">
        <v>4060</v>
      </c>
    </row>
    <row r="13549" spans="1:11">
      <c r="A13549" s="688" t="s">
        <v>2328</v>
      </c>
      <c r="B13549" s="690" t="s">
        <v>4060</v>
      </c>
      <c r="C13549" s="690" t="s">
        <v>4060</v>
      </c>
      <c r="D13549" s="690" t="s">
        <v>4060</v>
      </c>
      <c r="E13549" s="690" t="s">
        <v>4060</v>
      </c>
      <c r="F13549" s="690" t="s">
        <v>4060</v>
      </c>
      <c r="G13549" s="690" t="s">
        <v>4060</v>
      </c>
      <c r="H13549" s="690" t="s">
        <v>4060</v>
      </c>
      <c r="I13549" s="690" t="s">
        <v>4060</v>
      </c>
      <c r="J13549" s="690" t="s">
        <v>4060</v>
      </c>
      <c r="K13549" s="690" t="s">
        <v>4060</v>
      </c>
    </row>
    <row r="13550" spans="1:11">
      <c r="A13550" s="688" t="s">
        <v>2496</v>
      </c>
      <c r="B13550" s="692" t="s">
        <v>4060</v>
      </c>
      <c r="C13550" s="692" t="s">
        <v>4060</v>
      </c>
      <c r="D13550" s="692" t="s">
        <v>4060</v>
      </c>
      <c r="E13550" s="692" t="s">
        <v>4060</v>
      </c>
      <c r="F13550" s="692" t="s">
        <v>4060</v>
      </c>
      <c r="G13550" s="692" t="s">
        <v>4060</v>
      </c>
      <c r="H13550" s="692" t="s">
        <v>4060</v>
      </c>
      <c r="I13550" s="692" t="s">
        <v>4060</v>
      </c>
      <c r="J13550" s="692" t="s">
        <v>4060</v>
      </c>
      <c r="K13550" s="692" t="s">
        <v>4060</v>
      </c>
    </row>
    <row r="13551" spans="1:11">
      <c r="A13551" s="688" t="s">
        <v>2269</v>
      </c>
      <c r="B13551" s="690" t="s">
        <v>4060</v>
      </c>
      <c r="C13551" s="690" t="s">
        <v>4060</v>
      </c>
      <c r="D13551" s="690" t="s">
        <v>4060</v>
      </c>
      <c r="E13551" s="690" t="s">
        <v>4060</v>
      </c>
      <c r="F13551" s="690" t="s">
        <v>4060</v>
      </c>
      <c r="G13551" s="690" t="s">
        <v>4060</v>
      </c>
      <c r="H13551" s="690" t="s">
        <v>4060</v>
      </c>
      <c r="I13551" s="690" t="s">
        <v>4060</v>
      </c>
      <c r="J13551" s="690" t="s">
        <v>4060</v>
      </c>
      <c r="K13551" s="690" t="s">
        <v>4060</v>
      </c>
    </row>
    <row r="13552" spans="1:11">
      <c r="A13552" s="688" t="s">
        <v>2349</v>
      </c>
      <c r="B13552" s="692" t="s">
        <v>4060</v>
      </c>
      <c r="C13552" s="692" t="s">
        <v>4060</v>
      </c>
      <c r="D13552" s="692" t="s">
        <v>4060</v>
      </c>
      <c r="E13552" s="692" t="s">
        <v>4060</v>
      </c>
      <c r="F13552" s="692" t="s">
        <v>4060</v>
      </c>
      <c r="G13552" s="692" t="s">
        <v>4060</v>
      </c>
      <c r="H13552" s="692" t="s">
        <v>4060</v>
      </c>
      <c r="I13552" s="692" t="s">
        <v>4060</v>
      </c>
      <c r="J13552" s="692" t="s">
        <v>4060</v>
      </c>
      <c r="K13552" s="692" t="s">
        <v>4060</v>
      </c>
    </row>
    <row r="13553" spans="1:11">
      <c r="A13553" s="688" t="s">
        <v>2355</v>
      </c>
      <c r="B13553" s="690" t="s">
        <v>4060</v>
      </c>
      <c r="C13553" s="690" t="s">
        <v>4060</v>
      </c>
      <c r="D13553" s="690" t="s">
        <v>4060</v>
      </c>
      <c r="E13553" s="690" t="s">
        <v>4060</v>
      </c>
      <c r="F13553" s="690" t="s">
        <v>4060</v>
      </c>
      <c r="G13553" s="690" t="s">
        <v>4060</v>
      </c>
      <c r="H13553" s="690" t="s">
        <v>4060</v>
      </c>
      <c r="I13553" s="690" t="s">
        <v>4060</v>
      </c>
      <c r="J13553" s="690" t="s">
        <v>4060</v>
      </c>
      <c r="K13553" s="690" t="s">
        <v>4060</v>
      </c>
    </row>
    <row r="13554" spans="1:11">
      <c r="A13554" s="688" t="s">
        <v>2357</v>
      </c>
      <c r="B13554" s="692" t="s">
        <v>4060</v>
      </c>
      <c r="C13554" s="692" t="s">
        <v>4060</v>
      </c>
      <c r="D13554" s="692" t="s">
        <v>4060</v>
      </c>
      <c r="E13554" s="692" t="s">
        <v>4060</v>
      </c>
      <c r="F13554" s="692" t="s">
        <v>4060</v>
      </c>
      <c r="G13554" s="692" t="s">
        <v>4060</v>
      </c>
      <c r="H13554" s="692" t="s">
        <v>4060</v>
      </c>
      <c r="I13554" s="692" t="s">
        <v>4060</v>
      </c>
      <c r="J13554" s="692" t="s">
        <v>4060</v>
      </c>
      <c r="K13554" s="692" t="s">
        <v>4060</v>
      </c>
    </row>
    <row r="13555" spans="1:11">
      <c r="A13555" s="688" t="s">
        <v>4070</v>
      </c>
      <c r="B13555" s="690" t="s">
        <v>4060</v>
      </c>
      <c r="C13555" s="690" t="s">
        <v>4060</v>
      </c>
      <c r="D13555" s="690" t="s">
        <v>4060</v>
      </c>
      <c r="E13555" s="690" t="s">
        <v>4060</v>
      </c>
      <c r="F13555" s="690" t="s">
        <v>4060</v>
      </c>
      <c r="G13555" s="690" t="s">
        <v>4060</v>
      </c>
      <c r="H13555" s="690" t="s">
        <v>4060</v>
      </c>
      <c r="I13555" s="690" t="s">
        <v>4060</v>
      </c>
      <c r="J13555" s="690" t="s">
        <v>4060</v>
      </c>
      <c r="K13555" s="690" t="s">
        <v>4060</v>
      </c>
    </row>
    <row r="13556" spans="1:11">
      <c r="A13556" s="688" t="s">
        <v>2491</v>
      </c>
      <c r="B13556" s="692" t="s">
        <v>4060</v>
      </c>
      <c r="C13556" s="692" t="s">
        <v>4060</v>
      </c>
      <c r="D13556" s="692" t="s">
        <v>4060</v>
      </c>
      <c r="E13556" s="692" t="s">
        <v>4060</v>
      </c>
      <c r="F13556" s="692" t="s">
        <v>4060</v>
      </c>
      <c r="G13556" s="692" t="s">
        <v>4060</v>
      </c>
      <c r="H13556" s="692" t="s">
        <v>4060</v>
      </c>
      <c r="I13556" s="692" t="s">
        <v>4060</v>
      </c>
      <c r="J13556" s="692" t="s">
        <v>4060</v>
      </c>
      <c r="K13556" s="692" t="s">
        <v>4060</v>
      </c>
    </row>
    <row r="13557" spans="1:11">
      <c r="A13557" s="688" t="s">
        <v>2343</v>
      </c>
      <c r="B13557" s="690" t="s">
        <v>4060</v>
      </c>
      <c r="C13557" s="690" t="s">
        <v>4060</v>
      </c>
      <c r="D13557" s="690" t="s">
        <v>4060</v>
      </c>
      <c r="E13557" s="690" t="s">
        <v>4060</v>
      </c>
      <c r="F13557" s="690" t="s">
        <v>4060</v>
      </c>
      <c r="G13557" s="690" t="s">
        <v>4060</v>
      </c>
      <c r="H13557" s="690" t="s">
        <v>4060</v>
      </c>
      <c r="I13557" s="690" t="s">
        <v>4060</v>
      </c>
      <c r="J13557" s="690" t="s">
        <v>4060</v>
      </c>
      <c r="K13557" s="690" t="s">
        <v>4060</v>
      </c>
    </row>
    <row r="13558" spans="1:11">
      <c r="A13558" s="688" t="s">
        <v>4071</v>
      </c>
      <c r="B13558" s="692" t="s">
        <v>4060</v>
      </c>
      <c r="C13558" s="692" t="s">
        <v>4060</v>
      </c>
      <c r="D13558" s="692" t="s">
        <v>4060</v>
      </c>
      <c r="E13558" s="692" t="s">
        <v>4060</v>
      </c>
      <c r="F13558" s="692" t="s">
        <v>4060</v>
      </c>
      <c r="G13558" s="692" t="s">
        <v>4060</v>
      </c>
      <c r="H13558" s="692" t="s">
        <v>4060</v>
      </c>
      <c r="I13558" s="692" t="s">
        <v>4060</v>
      </c>
      <c r="J13558" s="692" t="s">
        <v>4060</v>
      </c>
      <c r="K13558" s="692" t="s">
        <v>4060</v>
      </c>
    </row>
    <row r="13559" spans="1:11">
      <c r="A13559" s="688" t="s">
        <v>2489</v>
      </c>
      <c r="B13559" s="690" t="s">
        <v>4060</v>
      </c>
      <c r="C13559" s="690" t="s">
        <v>4060</v>
      </c>
      <c r="D13559" s="690" t="s">
        <v>4060</v>
      </c>
      <c r="E13559" s="690" t="s">
        <v>4060</v>
      </c>
      <c r="F13559" s="690" t="s">
        <v>4060</v>
      </c>
      <c r="G13559" s="690" t="s">
        <v>4060</v>
      </c>
      <c r="H13559" s="690" t="s">
        <v>4060</v>
      </c>
      <c r="I13559" s="690" t="s">
        <v>4060</v>
      </c>
      <c r="J13559" s="690" t="s">
        <v>4060</v>
      </c>
      <c r="K13559" s="690" t="s">
        <v>4060</v>
      </c>
    </row>
    <row r="13560" spans="1:11">
      <c r="A13560" s="688" t="s">
        <v>2490</v>
      </c>
      <c r="B13560" s="692" t="s">
        <v>4060</v>
      </c>
      <c r="C13560" s="692" t="s">
        <v>4060</v>
      </c>
      <c r="D13560" s="692" t="s">
        <v>4060</v>
      </c>
      <c r="E13560" s="692" t="s">
        <v>4060</v>
      </c>
      <c r="F13560" s="692" t="s">
        <v>4060</v>
      </c>
      <c r="G13560" s="692" t="s">
        <v>4060</v>
      </c>
      <c r="H13560" s="692" t="s">
        <v>4060</v>
      </c>
      <c r="I13560" s="692" t="s">
        <v>4060</v>
      </c>
      <c r="J13560" s="692" t="s">
        <v>4060</v>
      </c>
      <c r="K13560" s="692" t="s">
        <v>4060</v>
      </c>
    </row>
    <row r="13562" spans="1:11">
      <c r="A13562" s="683" t="s">
        <v>4233</v>
      </c>
    </row>
    <row r="13563" spans="1:11">
      <c r="A13563" s="683" t="s">
        <v>4060</v>
      </c>
      <c r="B13563" s="682" t="s">
        <v>4234</v>
      </c>
    </row>
    <row r="13565" spans="1:11">
      <c r="A13565" s="682" t="s">
        <v>4332</v>
      </c>
    </row>
    <row r="13566" spans="1:11">
      <c r="A13566" s="682" t="s">
        <v>4210</v>
      </c>
      <c r="B13566" s="683" t="s">
        <v>4211</v>
      </c>
    </row>
    <row r="13567" spans="1:11">
      <c r="A13567" s="682" t="s">
        <v>4212</v>
      </c>
      <c r="B13567" s="682" t="s">
        <v>4213</v>
      </c>
    </row>
    <row r="13569" spans="1:11">
      <c r="A13569" s="683" t="s">
        <v>4214</v>
      </c>
      <c r="C13569" s="682" t="s">
        <v>4215</v>
      </c>
    </row>
    <row r="13570" spans="1:11">
      <c r="A13570" s="683" t="s">
        <v>4216</v>
      </c>
      <c r="C13570" s="682" t="s">
        <v>2967</v>
      </c>
    </row>
    <row r="13571" spans="1:11">
      <c r="A13571" s="683" t="s">
        <v>3893</v>
      </c>
      <c r="C13571" s="682" t="s">
        <v>2168</v>
      </c>
    </row>
    <row r="13572" spans="1:11">
      <c r="A13572" s="683" t="s">
        <v>4218</v>
      </c>
      <c r="C13572" s="682" t="s">
        <v>4328</v>
      </c>
    </row>
    <row r="13574" spans="1:11">
      <c r="A13574" s="684" t="s">
        <v>4220</v>
      </c>
      <c r="B13574" s="685" t="s">
        <v>4221</v>
      </c>
      <c r="C13574" s="685" t="s">
        <v>4222</v>
      </c>
      <c r="D13574" s="685" t="s">
        <v>4223</v>
      </c>
      <c r="E13574" s="685" t="s">
        <v>4224</v>
      </c>
      <c r="F13574" s="685" t="s">
        <v>4225</v>
      </c>
      <c r="G13574" s="685" t="s">
        <v>4226</v>
      </c>
      <c r="H13574" s="685" t="s">
        <v>4227</v>
      </c>
      <c r="I13574" s="685" t="s">
        <v>4228</v>
      </c>
      <c r="J13574" s="685" t="s">
        <v>4229</v>
      </c>
      <c r="K13574" s="685" t="s">
        <v>4230</v>
      </c>
    </row>
    <row r="13575" spans="1:11">
      <c r="A13575" s="686" t="s">
        <v>4231</v>
      </c>
      <c r="B13575" s="687" t="s">
        <v>4232</v>
      </c>
      <c r="C13575" s="687" t="s">
        <v>4232</v>
      </c>
      <c r="D13575" s="687" t="s">
        <v>4232</v>
      </c>
      <c r="E13575" s="687" t="s">
        <v>4232</v>
      </c>
      <c r="F13575" s="687" t="s">
        <v>4232</v>
      </c>
      <c r="G13575" s="687" t="s">
        <v>4232</v>
      </c>
      <c r="H13575" s="687" t="s">
        <v>4232</v>
      </c>
      <c r="I13575" s="687" t="s">
        <v>4232</v>
      </c>
      <c r="J13575" s="687" t="s">
        <v>4232</v>
      </c>
      <c r="K13575" s="687" t="s">
        <v>4232</v>
      </c>
    </row>
    <row r="13576" spans="1:11">
      <c r="A13576" s="688" t="s">
        <v>4064</v>
      </c>
      <c r="B13576" s="692" t="s">
        <v>4060</v>
      </c>
      <c r="C13576" s="691">
        <v>3.2</v>
      </c>
      <c r="D13576" s="692" t="s">
        <v>4060</v>
      </c>
      <c r="E13576" s="691">
        <v>3.2</v>
      </c>
      <c r="F13576" s="691">
        <v>3.2</v>
      </c>
      <c r="G13576" s="691">
        <v>3.2</v>
      </c>
      <c r="H13576" s="691">
        <v>3.3</v>
      </c>
      <c r="I13576" s="615">
        <v>3</v>
      </c>
      <c r="J13576" s="691">
        <v>3.1</v>
      </c>
      <c r="K13576" s="691">
        <v>2.9</v>
      </c>
    </row>
    <row r="13577" spans="1:11">
      <c r="A13577" s="688" t="s">
        <v>4065</v>
      </c>
      <c r="B13577" s="690" t="s">
        <v>4060</v>
      </c>
      <c r="C13577" s="690" t="s">
        <v>4060</v>
      </c>
      <c r="D13577" s="690" t="s">
        <v>4060</v>
      </c>
      <c r="E13577" s="690" t="s">
        <v>4060</v>
      </c>
      <c r="F13577" s="690" t="s">
        <v>4060</v>
      </c>
      <c r="G13577" s="690" t="s">
        <v>4060</v>
      </c>
      <c r="H13577" s="690" t="s">
        <v>4060</v>
      </c>
      <c r="I13577" s="690" t="s">
        <v>4060</v>
      </c>
      <c r="J13577" s="690" t="s">
        <v>4060</v>
      </c>
      <c r="K13577" s="690" t="s">
        <v>4060</v>
      </c>
    </row>
    <row r="13578" spans="1:11">
      <c r="A13578" s="688" t="s">
        <v>4063</v>
      </c>
      <c r="B13578" s="692" t="s">
        <v>4060</v>
      </c>
      <c r="C13578" s="692" t="s">
        <v>4060</v>
      </c>
      <c r="D13578" s="692" t="s">
        <v>4060</v>
      </c>
      <c r="E13578" s="692" t="s">
        <v>4060</v>
      </c>
      <c r="F13578" s="692" t="s">
        <v>4060</v>
      </c>
      <c r="G13578" s="692" t="s">
        <v>4060</v>
      </c>
      <c r="H13578" s="692" t="s">
        <v>4060</v>
      </c>
      <c r="I13578" s="692" t="s">
        <v>4060</v>
      </c>
      <c r="J13578" s="692" t="s">
        <v>4060</v>
      </c>
      <c r="K13578" s="692" t="s">
        <v>4060</v>
      </c>
    </row>
    <row r="13579" spans="1:11">
      <c r="A13579" s="688" t="s">
        <v>4069</v>
      </c>
      <c r="B13579" s="690" t="s">
        <v>4060</v>
      </c>
      <c r="C13579" s="689">
        <v>3.3</v>
      </c>
      <c r="D13579" s="689">
        <v>3.1</v>
      </c>
      <c r="E13579" s="689">
        <v>3.2</v>
      </c>
      <c r="F13579" s="689">
        <v>3.1</v>
      </c>
      <c r="G13579" s="689">
        <v>3.2</v>
      </c>
      <c r="H13579" s="689">
        <v>3.2</v>
      </c>
      <c r="I13579" s="693">
        <v>3</v>
      </c>
      <c r="J13579" s="689">
        <v>3.1</v>
      </c>
      <c r="K13579" s="689">
        <v>2.9</v>
      </c>
    </row>
    <row r="13580" spans="1:11">
      <c r="A13580" s="688" t="s">
        <v>4068</v>
      </c>
      <c r="B13580" s="692" t="s">
        <v>4060</v>
      </c>
      <c r="C13580" s="692" t="s">
        <v>4060</v>
      </c>
      <c r="D13580" s="692" t="s">
        <v>4060</v>
      </c>
      <c r="E13580" s="692" t="s">
        <v>4060</v>
      </c>
      <c r="F13580" s="692" t="s">
        <v>4060</v>
      </c>
      <c r="G13580" s="692" t="s">
        <v>4060</v>
      </c>
      <c r="H13580" s="692" t="s">
        <v>4060</v>
      </c>
      <c r="I13580" s="692" t="s">
        <v>4060</v>
      </c>
      <c r="J13580" s="692" t="s">
        <v>4060</v>
      </c>
      <c r="K13580" s="692" t="s">
        <v>4060</v>
      </c>
    </row>
    <row r="13581" spans="1:11">
      <c r="A13581" s="688" t="s">
        <v>0</v>
      </c>
      <c r="B13581" s="690" t="s">
        <v>4060</v>
      </c>
      <c r="C13581" s="689">
        <v>3.2</v>
      </c>
      <c r="D13581" s="693">
        <v>3</v>
      </c>
      <c r="E13581" s="689">
        <v>3.1</v>
      </c>
      <c r="F13581" s="689">
        <v>3.1</v>
      </c>
      <c r="G13581" s="689">
        <v>3.1</v>
      </c>
      <c r="H13581" s="689">
        <v>3.2</v>
      </c>
      <c r="I13581" s="689">
        <v>2.8</v>
      </c>
      <c r="J13581" s="689">
        <v>3.2</v>
      </c>
      <c r="K13581" s="689">
        <v>2.9</v>
      </c>
    </row>
    <row r="13582" spans="1:11">
      <c r="A13582" s="688" t="s">
        <v>1</v>
      </c>
      <c r="B13582" s="692" t="s">
        <v>4060</v>
      </c>
      <c r="C13582" s="691">
        <v>2.6</v>
      </c>
      <c r="D13582" s="691">
        <v>2.4</v>
      </c>
      <c r="E13582" s="691">
        <v>2.5</v>
      </c>
      <c r="F13582" s="691">
        <v>2.5</v>
      </c>
      <c r="G13582" s="691">
        <v>2.5</v>
      </c>
      <c r="H13582" s="691">
        <v>2.4</v>
      </c>
      <c r="I13582" s="691">
        <v>2.1</v>
      </c>
      <c r="J13582" s="691">
        <v>2.1</v>
      </c>
      <c r="K13582" s="691">
        <v>2.2000000000000002</v>
      </c>
    </row>
    <row r="13583" spans="1:11">
      <c r="A13583" s="688" t="s">
        <v>2240</v>
      </c>
      <c r="B13583" s="690" t="s">
        <v>4060</v>
      </c>
      <c r="C13583" s="689">
        <v>2.9</v>
      </c>
      <c r="D13583" s="689">
        <v>2.7</v>
      </c>
      <c r="E13583" s="689">
        <v>2.9</v>
      </c>
      <c r="F13583" s="689">
        <v>2.9</v>
      </c>
      <c r="G13583" s="689">
        <v>2.8</v>
      </c>
      <c r="H13583" s="689">
        <v>2.9</v>
      </c>
      <c r="I13583" s="689">
        <v>2.6</v>
      </c>
      <c r="J13583" s="689">
        <v>2.2999999999999998</v>
      </c>
      <c r="K13583" s="689">
        <v>2.5</v>
      </c>
    </row>
    <row r="13584" spans="1:11">
      <c r="A13584" s="688" t="s">
        <v>2</v>
      </c>
      <c r="B13584" s="692" t="s">
        <v>4060</v>
      </c>
      <c r="C13584" s="615">
        <v>3</v>
      </c>
      <c r="D13584" s="615">
        <v>3</v>
      </c>
      <c r="E13584" s="615">
        <v>3</v>
      </c>
      <c r="F13584" s="615">
        <v>3</v>
      </c>
      <c r="G13584" s="691">
        <v>2.8</v>
      </c>
      <c r="H13584" s="691">
        <v>2.9</v>
      </c>
      <c r="I13584" s="691">
        <v>2.9</v>
      </c>
      <c r="J13584" s="691">
        <v>2.8</v>
      </c>
      <c r="K13584" s="691">
        <v>2.8</v>
      </c>
    </row>
    <row r="13585" spans="1:11">
      <c r="A13585" s="688" t="s">
        <v>3</v>
      </c>
      <c r="B13585" s="690" t="s">
        <v>4060</v>
      </c>
      <c r="C13585" s="689">
        <v>3.1</v>
      </c>
      <c r="D13585" s="693">
        <v>3</v>
      </c>
      <c r="E13585" s="689">
        <v>3.1</v>
      </c>
      <c r="F13585" s="693">
        <v>3</v>
      </c>
      <c r="G13585" s="693">
        <v>3</v>
      </c>
      <c r="H13585" s="689">
        <v>3.1</v>
      </c>
      <c r="I13585" s="693">
        <v>3</v>
      </c>
      <c r="J13585" s="689">
        <v>2.9</v>
      </c>
      <c r="K13585" s="689">
        <v>2.7</v>
      </c>
    </row>
    <row r="13586" spans="1:11">
      <c r="A13586" s="688" t="s">
        <v>4061</v>
      </c>
      <c r="B13586" s="692" t="s">
        <v>4060</v>
      </c>
      <c r="C13586" s="691">
        <v>3.1</v>
      </c>
      <c r="D13586" s="615">
        <v>3</v>
      </c>
      <c r="E13586" s="691">
        <v>3.1</v>
      </c>
      <c r="F13586" s="615">
        <v>3</v>
      </c>
      <c r="G13586" s="615">
        <v>3</v>
      </c>
      <c r="H13586" s="691">
        <v>3.1</v>
      </c>
      <c r="I13586" s="615">
        <v>3</v>
      </c>
      <c r="J13586" s="691">
        <v>2.9</v>
      </c>
      <c r="K13586" s="691">
        <v>2.7</v>
      </c>
    </row>
    <row r="13587" spans="1:11">
      <c r="A13587" s="688" t="s">
        <v>4</v>
      </c>
      <c r="B13587" s="690" t="s">
        <v>4060</v>
      </c>
      <c r="C13587" s="689">
        <v>2.9</v>
      </c>
      <c r="D13587" s="693">
        <v>3</v>
      </c>
      <c r="E13587" s="693">
        <v>3</v>
      </c>
      <c r="F13587" s="689">
        <v>3.1</v>
      </c>
      <c r="G13587" s="689">
        <v>2.7</v>
      </c>
      <c r="H13587" s="689">
        <v>3.2</v>
      </c>
      <c r="I13587" s="693">
        <v>3</v>
      </c>
      <c r="J13587" s="689">
        <v>2.5</v>
      </c>
      <c r="K13587" s="689">
        <v>2.6</v>
      </c>
    </row>
    <row r="13588" spans="1:11">
      <c r="A13588" s="688" t="s">
        <v>8</v>
      </c>
      <c r="B13588" s="692" t="s">
        <v>4060</v>
      </c>
      <c r="C13588" s="691">
        <v>3.4</v>
      </c>
      <c r="D13588" s="691">
        <v>3.1</v>
      </c>
      <c r="E13588" s="691">
        <v>3.2</v>
      </c>
      <c r="F13588" s="691">
        <v>3.5</v>
      </c>
      <c r="G13588" s="691">
        <v>3.3</v>
      </c>
      <c r="H13588" s="615">
        <v>3</v>
      </c>
      <c r="I13588" s="691">
        <v>3.3</v>
      </c>
      <c r="J13588" s="691">
        <v>3.2</v>
      </c>
      <c r="K13588" s="691">
        <v>3.7</v>
      </c>
    </row>
    <row r="13589" spans="1:11">
      <c r="A13589" s="688" t="s">
        <v>7</v>
      </c>
      <c r="B13589" s="690" t="s">
        <v>4060</v>
      </c>
      <c r="C13589" s="689">
        <v>2.2999999999999998</v>
      </c>
      <c r="D13589" s="689">
        <v>2.1</v>
      </c>
      <c r="E13589" s="689">
        <v>2.4</v>
      </c>
      <c r="F13589" s="689">
        <v>2.4</v>
      </c>
      <c r="G13589" s="689">
        <v>2.7</v>
      </c>
      <c r="H13589" s="689">
        <v>2.7</v>
      </c>
      <c r="I13589" s="693">
        <v>3</v>
      </c>
      <c r="J13589" s="689">
        <v>2.9</v>
      </c>
      <c r="K13589" s="693">
        <v>3</v>
      </c>
    </row>
    <row r="13590" spans="1:11">
      <c r="A13590" s="688" t="s">
        <v>27</v>
      </c>
      <c r="B13590" s="692" t="s">
        <v>4060</v>
      </c>
      <c r="C13590" s="691">
        <v>3.6</v>
      </c>
      <c r="D13590" s="691">
        <v>3.3</v>
      </c>
      <c r="E13590" s="691">
        <v>3.5</v>
      </c>
      <c r="F13590" s="691">
        <v>3.4</v>
      </c>
      <c r="G13590" s="691">
        <v>3.4</v>
      </c>
      <c r="H13590" s="691">
        <v>3.6</v>
      </c>
      <c r="I13590" s="615">
        <v>3</v>
      </c>
      <c r="J13590" s="691">
        <v>3.4</v>
      </c>
      <c r="K13590" s="691">
        <v>3.2</v>
      </c>
    </row>
    <row r="13591" spans="1:11">
      <c r="A13591" s="688" t="s">
        <v>6</v>
      </c>
      <c r="B13591" s="690" t="s">
        <v>4060</v>
      </c>
      <c r="C13591" s="689">
        <v>3.5</v>
      </c>
      <c r="D13591" s="689">
        <v>3.3</v>
      </c>
      <c r="E13591" s="689">
        <v>3.4</v>
      </c>
      <c r="F13591" s="689">
        <v>3.4</v>
      </c>
      <c r="G13591" s="689">
        <v>3.4</v>
      </c>
      <c r="H13591" s="689">
        <v>3.4</v>
      </c>
      <c r="I13591" s="689">
        <v>3.1</v>
      </c>
      <c r="J13591" s="689">
        <v>3.2</v>
      </c>
      <c r="K13591" s="689">
        <v>3.1</v>
      </c>
    </row>
    <row r="13592" spans="1:11">
      <c r="A13592" s="688" t="s">
        <v>4058</v>
      </c>
      <c r="B13592" s="692" t="s">
        <v>4060</v>
      </c>
      <c r="C13592" s="692" t="s">
        <v>4060</v>
      </c>
      <c r="D13592" s="692" t="s">
        <v>4060</v>
      </c>
      <c r="E13592" s="692" t="s">
        <v>4060</v>
      </c>
      <c r="F13592" s="692" t="s">
        <v>4060</v>
      </c>
      <c r="G13592" s="692" t="s">
        <v>4060</v>
      </c>
      <c r="H13592" s="692" t="s">
        <v>4060</v>
      </c>
      <c r="I13592" s="692" t="s">
        <v>4060</v>
      </c>
      <c r="J13592" s="692" t="s">
        <v>4060</v>
      </c>
      <c r="K13592" s="692" t="s">
        <v>4060</v>
      </c>
    </row>
    <row r="13593" spans="1:11">
      <c r="A13593" s="688" t="s">
        <v>11</v>
      </c>
      <c r="B13593" s="690" t="s">
        <v>4060</v>
      </c>
      <c r="C13593" s="689">
        <v>2.6</v>
      </c>
      <c r="D13593" s="689">
        <v>2.6</v>
      </c>
      <c r="E13593" s="689">
        <v>2.6</v>
      </c>
      <c r="F13593" s="689">
        <v>2.6</v>
      </c>
      <c r="G13593" s="689">
        <v>2.6</v>
      </c>
      <c r="H13593" s="689">
        <v>2.7</v>
      </c>
      <c r="I13593" s="689">
        <v>2.5</v>
      </c>
      <c r="J13593" s="689">
        <v>2.4</v>
      </c>
      <c r="K13593" s="689">
        <v>2.2999999999999998</v>
      </c>
    </row>
    <row r="13594" spans="1:11">
      <c r="A13594" s="688" t="s">
        <v>10</v>
      </c>
      <c r="B13594" s="692" t="s">
        <v>4060</v>
      </c>
      <c r="C13594" s="691">
        <v>3.2</v>
      </c>
      <c r="D13594" s="691">
        <v>2.9</v>
      </c>
      <c r="E13594" s="691">
        <v>3.1</v>
      </c>
      <c r="F13594" s="615">
        <v>3</v>
      </c>
      <c r="G13594" s="691">
        <v>3.2</v>
      </c>
      <c r="H13594" s="691">
        <v>3.2</v>
      </c>
      <c r="I13594" s="691">
        <v>2.9</v>
      </c>
      <c r="J13594" s="615">
        <v>3</v>
      </c>
      <c r="K13594" s="691">
        <v>2.8</v>
      </c>
    </row>
    <row r="13595" spans="1:11">
      <c r="A13595" s="688" t="s">
        <v>30</v>
      </c>
      <c r="B13595" s="690" t="s">
        <v>4060</v>
      </c>
      <c r="C13595" s="689">
        <v>2.9</v>
      </c>
      <c r="D13595" s="693">
        <v>3</v>
      </c>
      <c r="E13595" s="689">
        <v>3.9</v>
      </c>
      <c r="F13595" s="689">
        <v>3.5</v>
      </c>
      <c r="G13595" s="689">
        <v>4.0999999999999996</v>
      </c>
      <c r="H13595" s="693">
        <v>4</v>
      </c>
      <c r="I13595" s="689">
        <v>4.0999999999999996</v>
      </c>
      <c r="J13595" s="689">
        <v>3.6</v>
      </c>
      <c r="K13595" s="689">
        <v>3.3</v>
      </c>
    </row>
    <row r="13596" spans="1:11">
      <c r="A13596" s="688" t="s">
        <v>12</v>
      </c>
      <c r="B13596" s="692" t="s">
        <v>4060</v>
      </c>
      <c r="C13596" s="691">
        <v>2.7</v>
      </c>
      <c r="D13596" s="691">
        <v>2.9</v>
      </c>
      <c r="E13596" s="691">
        <v>2.7</v>
      </c>
      <c r="F13596" s="691">
        <v>2.7</v>
      </c>
      <c r="G13596" s="691">
        <v>2.8</v>
      </c>
      <c r="H13596" s="691">
        <v>2.8</v>
      </c>
      <c r="I13596" s="691">
        <v>2.9</v>
      </c>
      <c r="J13596" s="691">
        <v>2.6</v>
      </c>
      <c r="K13596" s="691">
        <v>2.5</v>
      </c>
    </row>
    <row r="13597" spans="1:11">
      <c r="A13597" s="688" t="s">
        <v>14</v>
      </c>
      <c r="B13597" s="690" t="s">
        <v>4060</v>
      </c>
      <c r="C13597" s="689">
        <v>2.2000000000000002</v>
      </c>
      <c r="D13597" s="689">
        <v>1.8</v>
      </c>
      <c r="E13597" s="689">
        <v>1.3</v>
      </c>
      <c r="F13597" s="689">
        <v>1.2</v>
      </c>
      <c r="G13597" s="689">
        <v>1.1000000000000001</v>
      </c>
      <c r="H13597" s="689">
        <v>0.9</v>
      </c>
      <c r="I13597" s="693">
        <v>2</v>
      </c>
      <c r="J13597" s="689">
        <v>2.4</v>
      </c>
      <c r="K13597" s="689">
        <v>2.5</v>
      </c>
    </row>
    <row r="13598" spans="1:11">
      <c r="A13598" s="688" t="s">
        <v>15</v>
      </c>
      <c r="B13598" s="692" t="s">
        <v>4060</v>
      </c>
      <c r="C13598" s="691">
        <v>3.2</v>
      </c>
      <c r="D13598" s="691">
        <v>3.9</v>
      </c>
      <c r="E13598" s="615">
        <v>3</v>
      </c>
      <c r="F13598" s="691">
        <v>2.9</v>
      </c>
      <c r="G13598" s="691">
        <v>3.2</v>
      </c>
      <c r="H13598" s="691">
        <v>3.3</v>
      </c>
      <c r="I13598" s="691">
        <v>3.2</v>
      </c>
      <c r="J13598" s="691">
        <v>3.2</v>
      </c>
      <c r="K13598" s="691">
        <v>3.1</v>
      </c>
    </row>
    <row r="13599" spans="1:11">
      <c r="A13599" s="688" t="s">
        <v>29</v>
      </c>
      <c r="B13599" s="690" t="s">
        <v>4060</v>
      </c>
      <c r="C13599" s="689">
        <v>3.8</v>
      </c>
      <c r="D13599" s="689">
        <v>3.2</v>
      </c>
      <c r="E13599" s="689">
        <v>3.5</v>
      </c>
      <c r="F13599" s="689">
        <v>3.5</v>
      </c>
      <c r="G13599" s="689">
        <v>3.6</v>
      </c>
      <c r="H13599" s="689">
        <v>3.8</v>
      </c>
      <c r="I13599" s="689">
        <v>3.8</v>
      </c>
      <c r="J13599" s="689">
        <v>3.7</v>
      </c>
      <c r="K13599" s="689">
        <v>3.3</v>
      </c>
    </row>
    <row r="13600" spans="1:11">
      <c r="A13600" s="688" t="s">
        <v>16</v>
      </c>
      <c r="B13600" s="692" t="s">
        <v>4060</v>
      </c>
      <c r="C13600" s="691">
        <v>3.3</v>
      </c>
      <c r="D13600" s="691">
        <v>2.9</v>
      </c>
      <c r="E13600" s="691">
        <v>3.1</v>
      </c>
      <c r="F13600" s="691">
        <v>2.6</v>
      </c>
      <c r="G13600" s="691">
        <v>2.8</v>
      </c>
      <c r="H13600" s="615">
        <v>3</v>
      </c>
      <c r="I13600" s="615">
        <v>3</v>
      </c>
      <c r="J13600" s="691">
        <v>3.4</v>
      </c>
      <c r="K13600" s="691">
        <v>3.2</v>
      </c>
    </row>
    <row r="13601" spans="1:11">
      <c r="A13601" s="688" t="s">
        <v>17</v>
      </c>
      <c r="B13601" s="690" t="s">
        <v>4060</v>
      </c>
      <c r="C13601" s="693">
        <v>3</v>
      </c>
      <c r="D13601" s="689">
        <v>2.9</v>
      </c>
      <c r="E13601" s="693">
        <v>3</v>
      </c>
      <c r="F13601" s="689">
        <v>2.9</v>
      </c>
      <c r="G13601" s="693">
        <v>3</v>
      </c>
      <c r="H13601" s="693">
        <v>3</v>
      </c>
      <c r="I13601" s="689">
        <v>2.7</v>
      </c>
      <c r="J13601" s="689">
        <v>2.7</v>
      </c>
      <c r="K13601" s="689">
        <v>2.7</v>
      </c>
    </row>
    <row r="13602" spans="1:11">
      <c r="A13602" s="688" t="s">
        <v>19</v>
      </c>
      <c r="B13602" s="692" t="s">
        <v>4060</v>
      </c>
      <c r="C13602" s="615">
        <v>3</v>
      </c>
      <c r="D13602" s="615">
        <v>3</v>
      </c>
      <c r="E13602" s="615">
        <v>3</v>
      </c>
      <c r="F13602" s="615">
        <v>3</v>
      </c>
      <c r="G13602" s="691">
        <v>2.9</v>
      </c>
      <c r="H13602" s="615">
        <v>3</v>
      </c>
      <c r="I13602" s="691">
        <v>2.8</v>
      </c>
      <c r="J13602" s="691">
        <v>2.9</v>
      </c>
      <c r="K13602" s="691">
        <v>2.7</v>
      </c>
    </row>
    <row r="13603" spans="1:11">
      <c r="A13603" s="688" t="s">
        <v>20</v>
      </c>
      <c r="B13603" s="690" t="s">
        <v>4060</v>
      </c>
      <c r="C13603" s="689">
        <v>3.4</v>
      </c>
      <c r="D13603" s="689">
        <v>3.3</v>
      </c>
      <c r="E13603" s="689">
        <v>3.6</v>
      </c>
      <c r="F13603" s="689">
        <v>3.5</v>
      </c>
      <c r="G13603" s="689">
        <v>3.5</v>
      </c>
      <c r="H13603" s="689">
        <v>3.8</v>
      </c>
      <c r="I13603" s="693">
        <v>3</v>
      </c>
      <c r="J13603" s="689">
        <v>2.8</v>
      </c>
      <c r="K13603" s="689">
        <v>3.1</v>
      </c>
    </row>
    <row r="13604" spans="1:11">
      <c r="A13604" s="688" t="s">
        <v>21</v>
      </c>
      <c r="B13604" s="692" t="s">
        <v>4060</v>
      </c>
      <c r="C13604" s="691">
        <v>3.2</v>
      </c>
      <c r="D13604" s="691">
        <v>3.3</v>
      </c>
      <c r="E13604" s="691">
        <v>3.2</v>
      </c>
      <c r="F13604" s="691">
        <v>3.3</v>
      </c>
      <c r="G13604" s="691">
        <v>3.2</v>
      </c>
      <c r="H13604" s="691">
        <v>3.2</v>
      </c>
      <c r="I13604" s="615">
        <v>3</v>
      </c>
      <c r="J13604" s="615">
        <v>3</v>
      </c>
      <c r="K13604" s="691">
        <v>2.9</v>
      </c>
    </row>
    <row r="13605" spans="1:11">
      <c r="A13605" s="688" t="s">
        <v>22</v>
      </c>
      <c r="B13605" s="690" t="s">
        <v>4060</v>
      </c>
      <c r="C13605" s="689">
        <v>3.5</v>
      </c>
      <c r="D13605" s="689">
        <v>3.7</v>
      </c>
      <c r="E13605" s="689">
        <v>4.3</v>
      </c>
      <c r="F13605" s="689">
        <v>4.5</v>
      </c>
      <c r="G13605" s="689">
        <v>4.7</v>
      </c>
      <c r="H13605" s="689">
        <v>5.4</v>
      </c>
      <c r="I13605" s="689">
        <v>4.9000000000000004</v>
      </c>
      <c r="J13605" s="689">
        <v>3.7</v>
      </c>
      <c r="K13605" s="689">
        <v>2.6</v>
      </c>
    </row>
    <row r="13606" spans="1:11">
      <c r="A13606" s="688" t="s">
        <v>26</v>
      </c>
      <c r="B13606" s="692" t="s">
        <v>4060</v>
      </c>
      <c r="C13606" s="691">
        <v>3.6</v>
      </c>
      <c r="D13606" s="691">
        <v>3.2</v>
      </c>
      <c r="E13606" s="691">
        <v>3.6</v>
      </c>
      <c r="F13606" s="615">
        <v>3</v>
      </c>
      <c r="G13606" s="691">
        <v>3.4</v>
      </c>
      <c r="H13606" s="691">
        <v>3.3</v>
      </c>
      <c r="I13606" s="691">
        <v>2.5</v>
      </c>
      <c r="J13606" s="691">
        <v>2.9</v>
      </c>
      <c r="K13606" s="691">
        <v>3.2</v>
      </c>
    </row>
    <row r="13607" spans="1:11">
      <c r="A13607" s="688" t="s">
        <v>25</v>
      </c>
      <c r="B13607" s="690" t="s">
        <v>4060</v>
      </c>
      <c r="C13607" s="689">
        <v>4.3</v>
      </c>
      <c r="D13607" s="689">
        <v>4.2</v>
      </c>
      <c r="E13607" s="689">
        <v>4.5</v>
      </c>
      <c r="F13607" s="689">
        <v>4.4000000000000004</v>
      </c>
      <c r="G13607" s="689">
        <v>5.3</v>
      </c>
      <c r="H13607" s="689">
        <v>5.5</v>
      </c>
      <c r="I13607" s="689">
        <v>5.6</v>
      </c>
      <c r="J13607" s="689">
        <v>4.3</v>
      </c>
      <c r="K13607" s="689">
        <v>4.2</v>
      </c>
    </row>
    <row r="13608" spans="1:11">
      <c r="A13608" s="688" t="s">
        <v>5</v>
      </c>
      <c r="B13608" s="692" t="s">
        <v>4060</v>
      </c>
      <c r="C13608" s="691">
        <v>3.1</v>
      </c>
      <c r="D13608" s="615">
        <v>3</v>
      </c>
      <c r="E13608" s="691">
        <v>2.9</v>
      </c>
      <c r="F13608" s="615">
        <v>3</v>
      </c>
      <c r="G13608" s="615">
        <v>3</v>
      </c>
      <c r="H13608" s="615">
        <v>3</v>
      </c>
      <c r="I13608" s="615">
        <v>3</v>
      </c>
      <c r="J13608" s="691">
        <v>2.9</v>
      </c>
      <c r="K13608" s="691">
        <v>2.8</v>
      </c>
    </row>
    <row r="13609" spans="1:11">
      <c r="A13609" s="688" t="s">
        <v>23</v>
      </c>
      <c r="B13609" s="690" t="s">
        <v>4060</v>
      </c>
      <c r="C13609" s="693">
        <v>3</v>
      </c>
      <c r="D13609" s="689">
        <v>2.9</v>
      </c>
      <c r="E13609" s="689">
        <v>2.9</v>
      </c>
      <c r="F13609" s="689">
        <v>2.9</v>
      </c>
      <c r="G13609" s="693">
        <v>3</v>
      </c>
      <c r="H13609" s="689">
        <v>3.1</v>
      </c>
      <c r="I13609" s="689">
        <v>2.8</v>
      </c>
      <c r="J13609" s="689">
        <v>3.1</v>
      </c>
      <c r="K13609" s="689">
        <v>2.9</v>
      </c>
    </row>
    <row r="13610" spans="1:11">
      <c r="A13610" s="688" t="s">
        <v>4067</v>
      </c>
      <c r="B13610" s="692" t="s">
        <v>4060</v>
      </c>
      <c r="C13610" s="692" t="s">
        <v>4060</v>
      </c>
      <c r="D13610" s="692" t="s">
        <v>4060</v>
      </c>
      <c r="E13610" s="692" t="s">
        <v>4060</v>
      </c>
      <c r="F13610" s="692" t="s">
        <v>4060</v>
      </c>
      <c r="G13610" s="692" t="s">
        <v>4060</v>
      </c>
      <c r="H13610" s="692" t="s">
        <v>4060</v>
      </c>
      <c r="I13610" s="692" t="s">
        <v>4060</v>
      </c>
      <c r="J13610" s="692" t="s">
        <v>4060</v>
      </c>
      <c r="K13610" s="692" t="s">
        <v>4060</v>
      </c>
    </row>
    <row r="13611" spans="1:11">
      <c r="A13611" s="688" t="s">
        <v>4066</v>
      </c>
      <c r="B13611" s="690" t="s">
        <v>4060</v>
      </c>
      <c r="C13611" s="690" t="s">
        <v>4060</v>
      </c>
      <c r="D13611" s="690" t="s">
        <v>4060</v>
      </c>
      <c r="E13611" s="690" t="s">
        <v>4060</v>
      </c>
      <c r="F13611" s="690" t="s">
        <v>4060</v>
      </c>
      <c r="G13611" s="690" t="s">
        <v>4060</v>
      </c>
      <c r="H13611" s="690" t="s">
        <v>4060</v>
      </c>
      <c r="I13611" s="690" t="s">
        <v>4060</v>
      </c>
      <c r="J13611" s="690" t="s">
        <v>4060</v>
      </c>
      <c r="K13611" s="690" t="s">
        <v>4060</v>
      </c>
    </row>
    <row r="13612" spans="1:11">
      <c r="A13612" s="688" t="s">
        <v>4062</v>
      </c>
      <c r="B13612" s="692" t="s">
        <v>4060</v>
      </c>
      <c r="C13612" s="615">
        <v>3</v>
      </c>
      <c r="D13612" s="615">
        <v>3</v>
      </c>
      <c r="E13612" s="691">
        <v>3.1</v>
      </c>
      <c r="F13612" s="691">
        <v>3.1</v>
      </c>
      <c r="G13612" s="691">
        <v>3.2</v>
      </c>
      <c r="H13612" s="691">
        <v>3.2</v>
      </c>
      <c r="I13612" s="691">
        <v>2.9</v>
      </c>
      <c r="J13612" s="691">
        <v>3.2</v>
      </c>
      <c r="K13612" s="691">
        <v>2.9</v>
      </c>
    </row>
    <row r="13613" spans="1:11">
      <c r="A13613" s="688" t="s">
        <v>9</v>
      </c>
      <c r="B13613" s="690" t="s">
        <v>4060</v>
      </c>
      <c r="C13613" s="693">
        <v>3</v>
      </c>
      <c r="D13613" s="689">
        <v>2.8</v>
      </c>
      <c r="E13613" s="689">
        <v>3.2</v>
      </c>
      <c r="F13613" s="689">
        <v>3.1</v>
      </c>
      <c r="G13613" s="689">
        <v>3.2</v>
      </c>
      <c r="H13613" s="689">
        <v>3.1</v>
      </c>
      <c r="I13613" s="689">
        <v>3.4</v>
      </c>
      <c r="J13613" s="689">
        <v>3.2</v>
      </c>
      <c r="K13613" s="689">
        <v>3.1</v>
      </c>
    </row>
    <row r="13614" spans="1:11">
      <c r="A13614" s="688" t="s">
        <v>13</v>
      </c>
      <c r="B13614" s="692" t="s">
        <v>4060</v>
      </c>
      <c r="C13614" s="691">
        <v>2.9</v>
      </c>
      <c r="D13614" s="691">
        <v>2.2000000000000002</v>
      </c>
      <c r="E13614" s="691">
        <v>4.9000000000000004</v>
      </c>
      <c r="F13614" s="615">
        <v>3</v>
      </c>
      <c r="G13614" s="691">
        <v>3.6</v>
      </c>
      <c r="H13614" s="691">
        <v>2.1</v>
      </c>
      <c r="I13614" s="691">
        <v>2.2999999999999998</v>
      </c>
      <c r="J13614" s="691">
        <v>4.2</v>
      </c>
      <c r="K13614" s="691">
        <v>3.2</v>
      </c>
    </row>
    <row r="13615" spans="1:11">
      <c r="A13615" s="688" t="s">
        <v>18</v>
      </c>
      <c r="B13615" s="690" t="s">
        <v>4060</v>
      </c>
      <c r="C13615" s="693">
        <v>3</v>
      </c>
      <c r="D13615" s="693">
        <v>3</v>
      </c>
      <c r="E13615" s="689">
        <v>2.9</v>
      </c>
      <c r="F13615" s="689">
        <v>3.1</v>
      </c>
      <c r="G13615" s="689">
        <v>3.2</v>
      </c>
      <c r="H13615" s="689">
        <v>3.2</v>
      </c>
      <c r="I13615" s="689">
        <v>3.2</v>
      </c>
      <c r="J13615" s="689">
        <v>3.2</v>
      </c>
      <c r="K13615" s="689">
        <v>2.9</v>
      </c>
    </row>
    <row r="13616" spans="1:11">
      <c r="A13616" s="688" t="s">
        <v>24</v>
      </c>
      <c r="B13616" s="692" t="s">
        <v>4060</v>
      </c>
      <c r="C13616" s="615">
        <v>3</v>
      </c>
      <c r="D13616" s="615">
        <v>3</v>
      </c>
      <c r="E13616" s="691">
        <v>3.2</v>
      </c>
      <c r="F13616" s="691">
        <v>3.1</v>
      </c>
      <c r="G13616" s="691">
        <v>3.2</v>
      </c>
      <c r="H13616" s="691">
        <v>3.2</v>
      </c>
      <c r="I13616" s="691">
        <v>2.7</v>
      </c>
      <c r="J13616" s="691">
        <v>3.1</v>
      </c>
      <c r="K13616" s="691">
        <v>2.9</v>
      </c>
    </row>
    <row r="13617" spans="1:11">
      <c r="A13617" s="688" t="s">
        <v>4059</v>
      </c>
      <c r="B13617" s="690" t="s">
        <v>4060</v>
      </c>
      <c r="C13617" s="690" t="s">
        <v>4060</v>
      </c>
      <c r="D13617" s="690" t="s">
        <v>4060</v>
      </c>
      <c r="E13617" s="690" t="s">
        <v>4060</v>
      </c>
      <c r="F13617" s="690" t="s">
        <v>4060</v>
      </c>
      <c r="G13617" s="690" t="s">
        <v>4060</v>
      </c>
      <c r="H13617" s="690" t="s">
        <v>4060</v>
      </c>
      <c r="I13617" s="690" t="s">
        <v>4060</v>
      </c>
      <c r="J13617" s="690" t="s">
        <v>4060</v>
      </c>
      <c r="K13617" s="690" t="s">
        <v>4060</v>
      </c>
    </row>
    <row r="13618" spans="1:11">
      <c r="A13618" s="688" t="s">
        <v>2324</v>
      </c>
      <c r="B13618" s="692" t="s">
        <v>4060</v>
      </c>
      <c r="C13618" s="692" t="s">
        <v>4060</v>
      </c>
      <c r="D13618" s="692" t="s">
        <v>4060</v>
      </c>
      <c r="E13618" s="692" t="s">
        <v>4060</v>
      </c>
      <c r="F13618" s="692" t="s">
        <v>4060</v>
      </c>
      <c r="G13618" s="692" t="s">
        <v>4060</v>
      </c>
      <c r="H13618" s="692" t="s">
        <v>4060</v>
      </c>
      <c r="I13618" s="692" t="s">
        <v>4060</v>
      </c>
      <c r="J13618" s="692" t="s">
        <v>4060</v>
      </c>
      <c r="K13618" s="692" t="s">
        <v>4060</v>
      </c>
    </row>
    <row r="13619" spans="1:11">
      <c r="A13619" s="688" t="s">
        <v>2322</v>
      </c>
      <c r="B13619" s="690" t="s">
        <v>4060</v>
      </c>
      <c r="C13619" s="690" t="s">
        <v>4060</v>
      </c>
      <c r="D13619" s="690" t="s">
        <v>4060</v>
      </c>
      <c r="E13619" s="690" t="s">
        <v>4060</v>
      </c>
      <c r="F13619" s="690" t="s">
        <v>4060</v>
      </c>
      <c r="G13619" s="690" t="s">
        <v>4060</v>
      </c>
      <c r="H13619" s="690" t="s">
        <v>4060</v>
      </c>
      <c r="I13619" s="690" t="s">
        <v>4060</v>
      </c>
      <c r="J13619" s="690" t="s">
        <v>4060</v>
      </c>
      <c r="K13619" s="690" t="s">
        <v>4060</v>
      </c>
    </row>
    <row r="13620" spans="1:11">
      <c r="A13620" s="688" t="s">
        <v>2328</v>
      </c>
      <c r="B13620" s="692" t="s">
        <v>4060</v>
      </c>
      <c r="C13620" s="692" t="s">
        <v>4060</v>
      </c>
      <c r="D13620" s="692" t="s">
        <v>4060</v>
      </c>
      <c r="E13620" s="692" t="s">
        <v>4060</v>
      </c>
      <c r="F13620" s="692" t="s">
        <v>4060</v>
      </c>
      <c r="G13620" s="692" t="s">
        <v>4060</v>
      </c>
      <c r="H13620" s="692" t="s">
        <v>4060</v>
      </c>
      <c r="I13620" s="692" t="s">
        <v>4060</v>
      </c>
      <c r="J13620" s="692" t="s">
        <v>4060</v>
      </c>
      <c r="K13620" s="692" t="s">
        <v>4060</v>
      </c>
    </row>
    <row r="13621" spans="1:11">
      <c r="A13621" s="688" t="s">
        <v>2496</v>
      </c>
      <c r="B13621" s="690" t="s">
        <v>4060</v>
      </c>
      <c r="C13621" s="690" t="s">
        <v>4060</v>
      </c>
      <c r="D13621" s="690" t="s">
        <v>4060</v>
      </c>
      <c r="E13621" s="690" t="s">
        <v>4060</v>
      </c>
      <c r="F13621" s="690" t="s">
        <v>4060</v>
      </c>
      <c r="G13621" s="690" t="s">
        <v>4060</v>
      </c>
      <c r="H13621" s="690" t="s">
        <v>4060</v>
      </c>
      <c r="I13621" s="690" t="s">
        <v>4060</v>
      </c>
      <c r="J13621" s="690" t="s">
        <v>4060</v>
      </c>
      <c r="K13621" s="690" t="s">
        <v>4060</v>
      </c>
    </row>
    <row r="13622" spans="1:11">
      <c r="A13622" s="688" t="s">
        <v>2269</v>
      </c>
      <c r="B13622" s="692" t="s">
        <v>4060</v>
      </c>
      <c r="C13622" s="692" t="s">
        <v>4060</v>
      </c>
      <c r="D13622" s="692" t="s">
        <v>4060</v>
      </c>
      <c r="E13622" s="692" t="s">
        <v>4060</v>
      </c>
      <c r="F13622" s="692" t="s">
        <v>4060</v>
      </c>
      <c r="G13622" s="692" t="s">
        <v>4060</v>
      </c>
      <c r="H13622" s="692" t="s">
        <v>4060</v>
      </c>
      <c r="I13622" s="692" t="s">
        <v>4060</v>
      </c>
      <c r="J13622" s="692" t="s">
        <v>4060</v>
      </c>
      <c r="K13622" s="692" t="s">
        <v>4060</v>
      </c>
    </row>
    <row r="13623" spans="1:11">
      <c r="A13623" s="688" t="s">
        <v>2349</v>
      </c>
      <c r="B13623" s="690" t="s">
        <v>4060</v>
      </c>
      <c r="C13623" s="690" t="s">
        <v>4060</v>
      </c>
      <c r="D13623" s="690" t="s">
        <v>4060</v>
      </c>
      <c r="E13623" s="690" t="s">
        <v>4060</v>
      </c>
      <c r="F13623" s="690" t="s">
        <v>4060</v>
      </c>
      <c r="G13623" s="690" t="s">
        <v>4060</v>
      </c>
      <c r="H13623" s="690" t="s">
        <v>4060</v>
      </c>
      <c r="I13623" s="690" t="s">
        <v>4060</v>
      </c>
      <c r="J13623" s="690" t="s">
        <v>4060</v>
      </c>
      <c r="K13623" s="690" t="s">
        <v>4060</v>
      </c>
    </row>
    <row r="13624" spans="1:11">
      <c r="A13624" s="688" t="s">
        <v>2355</v>
      </c>
      <c r="B13624" s="692" t="s">
        <v>4060</v>
      </c>
      <c r="C13624" s="692" t="s">
        <v>4060</v>
      </c>
      <c r="D13624" s="692" t="s">
        <v>4060</v>
      </c>
      <c r="E13624" s="692" t="s">
        <v>4060</v>
      </c>
      <c r="F13624" s="692" t="s">
        <v>4060</v>
      </c>
      <c r="G13624" s="692" t="s">
        <v>4060</v>
      </c>
      <c r="H13624" s="692" t="s">
        <v>4060</v>
      </c>
      <c r="I13624" s="692" t="s">
        <v>4060</v>
      </c>
      <c r="J13624" s="692" t="s">
        <v>4060</v>
      </c>
      <c r="K13624" s="692" t="s">
        <v>4060</v>
      </c>
    </row>
    <row r="13625" spans="1:11">
      <c r="A13625" s="688" t="s">
        <v>2357</v>
      </c>
      <c r="B13625" s="690" t="s">
        <v>4060</v>
      </c>
      <c r="C13625" s="690" t="s">
        <v>4060</v>
      </c>
      <c r="D13625" s="690" t="s">
        <v>4060</v>
      </c>
      <c r="E13625" s="690" t="s">
        <v>4060</v>
      </c>
      <c r="F13625" s="690" t="s">
        <v>4060</v>
      </c>
      <c r="G13625" s="690" t="s">
        <v>4060</v>
      </c>
      <c r="H13625" s="690" t="s">
        <v>4060</v>
      </c>
      <c r="I13625" s="690" t="s">
        <v>4060</v>
      </c>
      <c r="J13625" s="690" t="s">
        <v>4060</v>
      </c>
      <c r="K13625" s="690" t="s">
        <v>4060</v>
      </c>
    </row>
    <row r="13626" spans="1:11">
      <c r="A13626" s="688" t="s">
        <v>4070</v>
      </c>
      <c r="B13626" s="692" t="s">
        <v>4060</v>
      </c>
      <c r="C13626" s="692" t="s">
        <v>4060</v>
      </c>
      <c r="D13626" s="692" t="s">
        <v>4060</v>
      </c>
      <c r="E13626" s="692" t="s">
        <v>4060</v>
      </c>
      <c r="F13626" s="692" t="s">
        <v>4060</v>
      </c>
      <c r="G13626" s="692" t="s">
        <v>4060</v>
      </c>
      <c r="H13626" s="692" t="s">
        <v>4060</v>
      </c>
      <c r="I13626" s="692" t="s">
        <v>4060</v>
      </c>
      <c r="J13626" s="692" t="s">
        <v>4060</v>
      </c>
      <c r="K13626" s="692" t="s">
        <v>4060</v>
      </c>
    </row>
    <row r="13627" spans="1:11">
      <c r="A13627" s="688" t="s">
        <v>2491</v>
      </c>
      <c r="B13627" s="690" t="s">
        <v>4060</v>
      </c>
      <c r="C13627" s="690" t="s">
        <v>4060</v>
      </c>
      <c r="D13627" s="690" t="s">
        <v>4060</v>
      </c>
      <c r="E13627" s="690" t="s">
        <v>4060</v>
      </c>
      <c r="F13627" s="690" t="s">
        <v>4060</v>
      </c>
      <c r="G13627" s="690" t="s">
        <v>4060</v>
      </c>
      <c r="H13627" s="690" t="s">
        <v>4060</v>
      </c>
      <c r="I13627" s="690" t="s">
        <v>4060</v>
      </c>
      <c r="J13627" s="690" t="s">
        <v>4060</v>
      </c>
      <c r="K13627" s="690" t="s">
        <v>4060</v>
      </c>
    </row>
    <row r="13628" spans="1:11">
      <c r="A13628" s="688" t="s">
        <v>2343</v>
      </c>
      <c r="B13628" s="692" t="s">
        <v>4060</v>
      </c>
      <c r="C13628" s="692" t="s">
        <v>4060</v>
      </c>
      <c r="D13628" s="692" t="s">
        <v>4060</v>
      </c>
      <c r="E13628" s="692" t="s">
        <v>4060</v>
      </c>
      <c r="F13628" s="692" t="s">
        <v>4060</v>
      </c>
      <c r="G13628" s="692" t="s">
        <v>4060</v>
      </c>
      <c r="H13628" s="692" t="s">
        <v>4060</v>
      </c>
      <c r="I13628" s="692" t="s">
        <v>4060</v>
      </c>
      <c r="J13628" s="692" t="s">
        <v>4060</v>
      </c>
      <c r="K13628" s="692" t="s">
        <v>4060</v>
      </c>
    </row>
    <row r="13629" spans="1:11">
      <c r="A13629" s="688" t="s">
        <v>4071</v>
      </c>
      <c r="B13629" s="690" t="s">
        <v>4060</v>
      </c>
      <c r="C13629" s="690" t="s">
        <v>4060</v>
      </c>
      <c r="D13629" s="690" t="s">
        <v>4060</v>
      </c>
      <c r="E13629" s="690" t="s">
        <v>4060</v>
      </c>
      <c r="F13629" s="690" t="s">
        <v>4060</v>
      </c>
      <c r="G13629" s="690" t="s">
        <v>4060</v>
      </c>
      <c r="H13629" s="690" t="s">
        <v>4060</v>
      </c>
      <c r="I13629" s="690" t="s">
        <v>4060</v>
      </c>
      <c r="J13629" s="690" t="s">
        <v>4060</v>
      </c>
      <c r="K13629" s="690" t="s">
        <v>4060</v>
      </c>
    </row>
    <row r="13630" spans="1:11">
      <c r="A13630" s="688" t="s">
        <v>2489</v>
      </c>
      <c r="B13630" s="692" t="s">
        <v>4060</v>
      </c>
      <c r="C13630" s="692" t="s">
        <v>4060</v>
      </c>
      <c r="D13630" s="692" t="s">
        <v>4060</v>
      </c>
      <c r="E13630" s="692" t="s">
        <v>4060</v>
      </c>
      <c r="F13630" s="692" t="s">
        <v>4060</v>
      </c>
      <c r="G13630" s="692" t="s">
        <v>4060</v>
      </c>
      <c r="H13630" s="692" t="s">
        <v>4060</v>
      </c>
      <c r="I13630" s="692" t="s">
        <v>4060</v>
      </c>
      <c r="J13630" s="692" t="s">
        <v>4060</v>
      </c>
      <c r="K13630" s="692" t="s">
        <v>4060</v>
      </c>
    </row>
    <row r="13631" spans="1:11">
      <c r="A13631" s="688" t="s">
        <v>2490</v>
      </c>
      <c r="B13631" s="690" t="s">
        <v>4060</v>
      </c>
      <c r="C13631" s="690" t="s">
        <v>4060</v>
      </c>
      <c r="D13631" s="690" t="s">
        <v>4060</v>
      </c>
      <c r="E13631" s="690" t="s">
        <v>4060</v>
      </c>
      <c r="F13631" s="690" t="s">
        <v>4060</v>
      </c>
      <c r="G13631" s="690" t="s">
        <v>4060</v>
      </c>
      <c r="H13631" s="690" t="s">
        <v>4060</v>
      </c>
      <c r="I13631" s="690" t="s">
        <v>4060</v>
      </c>
      <c r="J13631" s="690" t="s">
        <v>4060</v>
      </c>
      <c r="K13631" s="690" t="s">
        <v>4060</v>
      </c>
    </row>
    <row r="13633" spans="1:11">
      <c r="A13633" s="683" t="s">
        <v>4233</v>
      </c>
    </row>
    <row r="13634" spans="1:11">
      <c r="A13634" s="683" t="s">
        <v>4060</v>
      </c>
      <c r="B13634" s="682" t="s">
        <v>4234</v>
      </c>
    </row>
    <row r="13636" spans="1:11">
      <c r="A13636" s="682" t="s">
        <v>4332</v>
      </c>
    </row>
    <row r="13637" spans="1:11">
      <c r="A13637" s="682" t="s">
        <v>4210</v>
      </c>
      <c r="B13637" s="683" t="s">
        <v>4211</v>
      </c>
    </row>
    <row r="13638" spans="1:11">
      <c r="A13638" s="682" t="s">
        <v>4212</v>
      </c>
      <c r="B13638" s="682" t="s">
        <v>4213</v>
      </c>
    </row>
    <row r="13640" spans="1:11">
      <c r="A13640" s="683" t="s">
        <v>4214</v>
      </c>
      <c r="C13640" s="682" t="s">
        <v>4215</v>
      </c>
    </row>
    <row r="13641" spans="1:11">
      <c r="A13641" s="683" t="s">
        <v>4216</v>
      </c>
      <c r="C13641" s="682" t="s">
        <v>2967</v>
      </c>
    </row>
    <row r="13642" spans="1:11">
      <c r="A13642" s="683" t="s">
        <v>3893</v>
      </c>
      <c r="C13642" s="682" t="s">
        <v>2168</v>
      </c>
    </row>
    <row r="13643" spans="1:11">
      <c r="A13643" s="683" t="s">
        <v>4218</v>
      </c>
      <c r="C13643" s="682" t="s">
        <v>4329</v>
      </c>
    </row>
    <row r="13645" spans="1:11">
      <c r="A13645" s="684" t="s">
        <v>4220</v>
      </c>
      <c r="B13645" s="685" t="s">
        <v>4221</v>
      </c>
      <c r="C13645" s="685" t="s">
        <v>4222</v>
      </c>
      <c r="D13645" s="685" t="s">
        <v>4223</v>
      </c>
      <c r="E13645" s="685" t="s">
        <v>4224</v>
      </c>
      <c r="F13645" s="685" t="s">
        <v>4225</v>
      </c>
      <c r="G13645" s="685" t="s">
        <v>4226</v>
      </c>
      <c r="H13645" s="685" t="s">
        <v>4227</v>
      </c>
      <c r="I13645" s="685" t="s">
        <v>4228</v>
      </c>
      <c r="J13645" s="685" t="s">
        <v>4229</v>
      </c>
      <c r="K13645" s="685" t="s">
        <v>4230</v>
      </c>
    </row>
    <row r="13646" spans="1:11">
      <c r="A13646" s="686" t="s">
        <v>4231</v>
      </c>
      <c r="B13646" s="687" t="s">
        <v>4232</v>
      </c>
      <c r="C13646" s="687" t="s">
        <v>4232</v>
      </c>
      <c r="D13646" s="687" t="s">
        <v>4232</v>
      </c>
      <c r="E13646" s="687" t="s">
        <v>4232</v>
      </c>
      <c r="F13646" s="687" t="s">
        <v>4232</v>
      </c>
      <c r="G13646" s="687" t="s">
        <v>4232</v>
      </c>
      <c r="H13646" s="687" t="s">
        <v>4232</v>
      </c>
      <c r="I13646" s="687" t="s">
        <v>4232</v>
      </c>
      <c r="J13646" s="687" t="s">
        <v>4232</v>
      </c>
      <c r="K13646" s="687" t="s">
        <v>4232</v>
      </c>
    </row>
    <row r="13647" spans="1:11">
      <c r="A13647" s="688" t="s">
        <v>4064</v>
      </c>
      <c r="B13647" s="690" t="s">
        <v>4060</v>
      </c>
      <c r="C13647" s="689">
        <v>3.1</v>
      </c>
      <c r="D13647" s="690" t="s">
        <v>4060</v>
      </c>
      <c r="E13647" s="693">
        <v>3</v>
      </c>
      <c r="F13647" s="693">
        <v>3</v>
      </c>
      <c r="G13647" s="693">
        <v>3</v>
      </c>
      <c r="H13647" s="689">
        <v>3.1</v>
      </c>
      <c r="I13647" s="689">
        <v>2.8</v>
      </c>
      <c r="J13647" s="689">
        <v>2.9</v>
      </c>
      <c r="K13647" s="689">
        <v>2.7</v>
      </c>
    </row>
    <row r="13648" spans="1:11">
      <c r="A13648" s="688" t="s">
        <v>4065</v>
      </c>
      <c r="B13648" s="692" t="s">
        <v>4060</v>
      </c>
      <c r="C13648" s="692" t="s">
        <v>4060</v>
      </c>
      <c r="D13648" s="692" t="s">
        <v>4060</v>
      </c>
      <c r="E13648" s="692" t="s">
        <v>4060</v>
      </c>
      <c r="F13648" s="692" t="s">
        <v>4060</v>
      </c>
      <c r="G13648" s="692" t="s">
        <v>4060</v>
      </c>
      <c r="H13648" s="692" t="s">
        <v>4060</v>
      </c>
      <c r="I13648" s="692" t="s">
        <v>4060</v>
      </c>
      <c r="J13648" s="692" t="s">
        <v>4060</v>
      </c>
      <c r="K13648" s="692" t="s">
        <v>4060</v>
      </c>
    </row>
    <row r="13649" spans="1:11">
      <c r="A13649" s="688" t="s">
        <v>4063</v>
      </c>
      <c r="B13649" s="690" t="s">
        <v>4060</v>
      </c>
      <c r="C13649" s="690" t="s">
        <v>4060</v>
      </c>
      <c r="D13649" s="690" t="s">
        <v>4060</v>
      </c>
      <c r="E13649" s="690" t="s">
        <v>4060</v>
      </c>
      <c r="F13649" s="690" t="s">
        <v>4060</v>
      </c>
      <c r="G13649" s="690" t="s">
        <v>4060</v>
      </c>
      <c r="H13649" s="690" t="s">
        <v>4060</v>
      </c>
      <c r="I13649" s="690" t="s">
        <v>4060</v>
      </c>
      <c r="J13649" s="690" t="s">
        <v>4060</v>
      </c>
      <c r="K13649" s="690" t="s">
        <v>4060</v>
      </c>
    </row>
    <row r="13650" spans="1:11">
      <c r="A13650" s="688" t="s">
        <v>4069</v>
      </c>
      <c r="B13650" s="692" t="s">
        <v>4060</v>
      </c>
      <c r="C13650" s="691">
        <v>3.1</v>
      </c>
      <c r="D13650" s="691">
        <v>2.9</v>
      </c>
      <c r="E13650" s="615">
        <v>3</v>
      </c>
      <c r="F13650" s="691">
        <v>2.9</v>
      </c>
      <c r="G13650" s="615">
        <v>3</v>
      </c>
      <c r="H13650" s="615">
        <v>3</v>
      </c>
      <c r="I13650" s="691">
        <v>2.8</v>
      </c>
      <c r="J13650" s="691">
        <v>2.9</v>
      </c>
      <c r="K13650" s="691">
        <v>2.7</v>
      </c>
    </row>
    <row r="13651" spans="1:11">
      <c r="A13651" s="688" t="s">
        <v>4068</v>
      </c>
      <c r="B13651" s="690" t="s">
        <v>4060</v>
      </c>
      <c r="C13651" s="690" t="s">
        <v>4060</v>
      </c>
      <c r="D13651" s="690" t="s">
        <v>4060</v>
      </c>
      <c r="E13651" s="690" t="s">
        <v>4060</v>
      </c>
      <c r="F13651" s="690" t="s">
        <v>4060</v>
      </c>
      <c r="G13651" s="690" t="s">
        <v>4060</v>
      </c>
      <c r="H13651" s="690" t="s">
        <v>4060</v>
      </c>
      <c r="I13651" s="690" t="s">
        <v>4060</v>
      </c>
      <c r="J13651" s="690" t="s">
        <v>4060</v>
      </c>
      <c r="K13651" s="690" t="s">
        <v>4060</v>
      </c>
    </row>
    <row r="13652" spans="1:11">
      <c r="A13652" s="688" t="s">
        <v>0</v>
      </c>
      <c r="B13652" s="692" t="s">
        <v>4060</v>
      </c>
      <c r="C13652" s="615">
        <v>3</v>
      </c>
      <c r="D13652" s="691">
        <v>2.8</v>
      </c>
      <c r="E13652" s="615">
        <v>3</v>
      </c>
      <c r="F13652" s="691">
        <v>2.8</v>
      </c>
      <c r="G13652" s="691">
        <v>2.8</v>
      </c>
      <c r="H13652" s="691">
        <v>2.9</v>
      </c>
      <c r="I13652" s="691">
        <v>2.5</v>
      </c>
      <c r="J13652" s="615">
        <v>3</v>
      </c>
      <c r="K13652" s="691">
        <v>2.7</v>
      </c>
    </row>
    <row r="13653" spans="1:11">
      <c r="A13653" s="688" t="s">
        <v>1</v>
      </c>
      <c r="B13653" s="690" t="s">
        <v>4060</v>
      </c>
      <c r="C13653" s="689">
        <v>2.5</v>
      </c>
      <c r="D13653" s="689">
        <v>2.4</v>
      </c>
      <c r="E13653" s="689">
        <v>2.4</v>
      </c>
      <c r="F13653" s="689">
        <v>2.4</v>
      </c>
      <c r="G13653" s="689">
        <v>2.4</v>
      </c>
      <c r="H13653" s="689">
        <v>2.2999999999999998</v>
      </c>
      <c r="I13653" s="693">
        <v>2</v>
      </c>
      <c r="J13653" s="689">
        <v>1.9</v>
      </c>
      <c r="K13653" s="689">
        <v>2.1</v>
      </c>
    </row>
    <row r="13654" spans="1:11">
      <c r="A13654" s="688" t="s">
        <v>2240</v>
      </c>
      <c r="B13654" s="692" t="s">
        <v>4060</v>
      </c>
      <c r="C13654" s="691">
        <v>2.7</v>
      </c>
      <c r="D13654" s="691">
        <v>2.5</v>
      </c>
      <c r="E13654" s="691">
        <v>2.7</v>
      </c>
      <c r="F13654" s="691">
        <v>2.8</v>
      </c>
      <c r="G13654" s="691">
        <v>2.7</v>
      </c>
      <c r="H13654" s="691">
        <v>2.8</v>
      </c>
      <c r="I13654" s="691">
        <v>2.5</v>
      </c>
      <c r="J13654" s="691">
        <v>2.2000000000000002</v>
      </c>
      <c r="K13654" s="691">
        <v>2.2999999999999998</v>
      </c>
    </row>
    <row r="13655" spans="1:11">
      <c r="A13655" s="688" t="s">
        <v>2</v>
      </c>
      <c r="B13655" s="690" t="s">
        <v>4060</v>
      </c>
      <c r="C13655" s="689">
        <v>2.9</v>
      </c>
      <c r="D13655" s="689">
        <v>2.8</v>
      </c>
      <c r="E13655" s="689">
        <v>2.8</v>
      </c>
      <c r="F13655" s="689">
        <v>2.8</v>
      </c>
      <c r="G13655" s="689">
        <v>2.6</v>
      </c>
      <c r="H13655" s="689">
        <v>2.7</v>
      </c>
      <c r="I13655" s="689">
        <v>2.6</v>
      </c>
      <c r="J13655" s="689">
        <v>2.6</v>
      </c>
      <c r="K13655" s="689">
        <v>2.6</v>
      </c>
    </row>
    <row r="13656" spans="1:11">
      <c r="A13656" s="688" t="s">
        <v>3</v>
      </c>
      <c r="B13656" s="692" t="s">
        <v>4060</v>
      </c>
      <c r="C13656" s="691">
        <v>2.9</v>
      </c>
      <c r="D13656" s="691">
        <v>2.8</v>
      </c>
      <c r="E13656" s="691">
        <v>2.9</v>
      </c>
      <c r="F13656" s="691">
        <v>2.8</v>
      </c>
      <c r="G13656" s="691">
        <v>2.8</v>
      </c>
      <c r="H13656" s="615">
        <v>3</v>
      </c>
      <c r="I13656" s="691">
        <v>2.8</v>
      </c>
      <c r="J13656" s="691">
        <v>2.8</v>
      </c>
      <c r="K13656" s="691">
        <v>2.5</v>
      </c>
    </row>
    <row r="13657" spans="1:11">
      <c r="A13657" s="688" t="s">
        <v>4061</v>
      </c>
      <c r="B13657" s="690" t="s">
        <v>4060</v>
      </c>
      <c r="C13657" s="689">
        <v>2.9</v>
      </c>
      <c r="D13657" s="689">
        <v>2.8</v>
      </c>
      <c r="E13657" s="689">
        <v>2.9</v>
      </c>
      <c r="F13657" s="689">
        <v>2.8</v>
      </c>
      <c r="G13657" s="689">
        <v>2.8</v>
      </c>
      <c r="H13657" s="693">
        <v>3</v>
      </c>
      <c r="I13657" s="689">
        <v>2.8</v>
      </c>
      <c r="J13657" s="689">
        <v>2.8</v>
      </c>
      <c r="K13657" s="689">
        <v>2.5</v>
      </c>
    </row>
    <row r="13658" spans="1:11">
      <c r="A13658" s="688" t="s">
        <v>4</v>
      </c>
      <c r="B13658" s="692" t="s">
        <v>4060</v>
      </c>
      <c r="C13658" s="691">
        <v>2.8</v>
      </c>
      <c r="D13658" s="691">
        <v>2.8</v>
      </c>
      <c r="E13658" s="691">
        <v>2.8</v>
      </c>
      <c r="F13658" s="615">
        <v>3</v>
      </c>
      <c r="G13658" s="691">
        <v>2.5</v>
      </c>
      <c r="H13658" s="691">
        <v>3.1</v>
      </c>
      <c r="I13658" s="691">
        <v>2.8</v>
      </c>
      <c r="J13658" s="691">
        <v>2.4</v>
      </c>
      <c r="K13658" s="691">
        <v>2.2999999999999998</v>
      </c>
    </row>
    <row r="13659" spans="1:11">
      <c r="A13659" s="688" t="s">
        <v>8</v>
      </c>
      <c r="B13659" s="690" t="s">
        <v>4060</v>
      </c>
      <c r="C13659" s="689">
        <v>3.5</v>
      </c>
      <c r="D13659" s="689">
        <v>3.2</v>
      </c>
      <c r="E13659" s="689">
        <v>3.2</v>
      </c>
      <c r="F13659" s="689">
        <v>3.3</v>
      </c>
      <c r="G13659" s="689">
        <v>3.3</v>
      </c>
      <c r="H13659" s="689">
        <v>2.8</v>
      </c>
      <c r="I13659" s="689">
        <v>3.3</v>
      </c>
      <c r="J13659" s="689">
        <v>3.1</v>
      </c>
      <c r="K13659" s="689">
        <v>3.5</v>
      </c>
    </row>
    <row r="13660" spans="1:11">
      <c r="A13660" s="688" t="s">
        <v>7</v>
      </c>
      <c r="B13660" s="692" t="s">
        <v>4060</v>
      </c>
      <c r="C13660" s="691">
        <v>2.4</v>
      </c>
      <c r="D13660" s="691">
        <v>1.9</v>
      </c>
      <c r="E13660" s="615">
        <v>2</v>
      </c>
      <c r="F13660" s="615">
        <v>2</v>
      </c>
      <c r="G13660" s="691">
        <v>2.4</v>
      </c>
      <c r="H13660" s="691">
        <v>2.5</v>
      </c>
      <c r="I13660" s="691">
        <v>2.7</v>
      </c>
      <c r="J13660" s="691">
        <v>2.7</v>
      </c>
      <c r="K13660" s="691">
        <v>2.8</v>
      </c>
    </row>
    <row r="13661" spans="1:11">
      <c r="A13661" s="688" t="s">
        <v>27</v>
      </c>
      <c r="B13661" s="690" t="s">
        <v>4060</v>
      </c>
      <c r="C13661" s="689">
        <v>3.4</v>
      </c>
      <c r="D13661" s="689">
        <v>3.2</v>
      </c>
      <c r="E13661" s="689">
        <v>3.4</v>
      </c>
      <c r="F13661" s="689">
        <v>3.2</v>
      </c>
      <c r="G13661" s="689">
        <v>3.2</v>
      </c>
      <c r="H13661" s="689">
        <v>3.4</v>
      </c>
      <c r="I13661" s="689">
        <v>2.9</v>
      </c>
      <c r="J13661" s="689">
        <v>3.1</v>
      </c>
      <c r="K13661" s="693">
        <v>3</v>
      </c>
    </row>
    <row r="13662" spans="1:11">
      <c r="A13662" s="688" t="s">
        <v>6</v>
      </c>
      <c r="B13662" s="692" t="s">
        <v>4060</v>
      </c>
      <c r="C13662" s="691">
        <v>3.3</v>
      </c>
      <c r="D13662" s="691">
        <v>3.1</v>
      </c>
      <c r="E13662" s="691">
        <v>3.1</v>
      </c>
      <c r="F13662" s="691">
        <v>3.2</v>
      </c>
      <c r="G13662" s="691">
        <v>3.2</v>
      </c>
      <c r="H13662" s="691">
        <v>3.2</v>
      </c>
      <c r="I13662" s="691">
        <v>2.8</v>
      </c>
      <c r="J13662" s="615">
        <v>3</v>
      </c>
      <c r="K13662" s="691">
        <v>2.8</v>
      </c>
    </row>
    <row r="13663" spans="1:11">
      <c r="A13663" s="688" t="s">
        <v>4058</v>
      </c>
      <c r="B13663" s="690" t="s">
        <v>4060</v>
      </c>
      <c r="C13663" s="690" t="s">
        <v>4060</v>
      </c>
      <c r="D13663" s="690" t="s">
        <v>4060</v>
      </c>
      <c r="E13663" s="690" t="s">
        <v>4060</v>
      </c>
      <c r="F13663" s="690" t="s">
        <v>4060</v>
      </c>
      <c r="G13663" s="690" t="s">
        <v>4060</v>
      </c>
      <c r="H13663" s="690" t="s">
        <v>4060</v>
      </c>
      <c r="I13663" s="690" t="s">
        <v>4060</v>
      </c>
      <c r="J13663" s="690" t="s">
        <v>4060</v>
      </c>
      <c r="K13663" s="690" t="s">
        <v>4060</v>
      </c>
    </row>
    <row r="13664" spans="1:11">
      <c r="A13664" s="688" t="s">
        <v>11</v>
      </c>
      <c r="B13664" s="692" t="s">
        <v>4060</v>
      </c>
      <c r="C13664" s="691">
        <v>2.2999999999999998</v>
      </c>
      <c r="D13664" s="691">
        <v>2.4</v>
      </c>
      <c r="E13664" s="691">
        <v>2.5</v>
      </c>
      <c r="F13664" s="691">
        <v>2.4</v>
      </c>
      <c r="G13664" s="691">
        <v>2.2999999999999998</v>
      </c>
      <c r="H13664" s="691">
        <v>2.5</v>
      </c>
      <c r="I13664" s="691">
        <v>2.2999999999999998</v>
      </c>
      <c r="J13664" s="691">
        <v>2.2999999999999998</v>
      </c>
      <c r="K13664" s="691">
        <v>2.1</v>
      </c>
    </row>
    <row r="13665" spans="1:11">
      <c r="A13665" s="688" t="s">
        <v>10</v>
      </c>
      <c r="B13665" s="690" t="s">
        <v>4060</v>
      </c>
      <c r="C13665" s="689">
        <v>2.9</v>
      </c>
      <c r="D13665" s="689">
        <v>2.7</v>
      </c>
      <c r="E13665" s="689">
        <v>2.9</v>
      </c>
      <c r="F13665" s="689">
        <v>2.8</v>
      </c>
      <c r="G13665" s="693">
        <v>3</v>
      </c>
      <c r="H13665" s="693">
        <v>3</v>
      </c>
      <c r="I13665" s="689">
        <v>2.6</v>
      </c>
      <c r="J13665" s="689">
        <v>2.8</v>
      </c>
      <c r="K13665" s="689">
        <v>2.6</v>
      </c>
    </row>
    <row r="13666" spans="1:11">
      <c r="A13666" s="688" t="s">
        <v>30</v>
      </c>
      <c r="B13666" s="692" t="s">
        <v>4060</v>
      </c>
      <c r="C13666" s="691">
        <v>2.9</v>
      </c>
      <c r="D13666" s="691">
        <v>2.8</v>
      </c>
      <c r="E13666" s="691">
        <v>3.6</v>
      </c>
      <c r="F13666" s="691">
        <v>3.2</v>
      </c>
      <c r="G13666" s="691">
        <v>4.3</v>
      </c>
      <c r="H13666" s="691">
        <v>4.2</v>
      </c>
      <c r="I13666" s="691">
        <v>4.0999999999999996</v>
      </c>
      <c r="J13666" s="691">
        <v>3.5</v>
      </c>
      <c r="K13666" s="691">
        <v>3.3</v>
      </c>
    </row>
    <row r="13667" spans="1:11">
      <c r="A13667" s="688" t="s">
        <v>12</v>
      </c>
      <c r="B13667" s="690" t="s">
        <v>4060</v>
      </c>
      <c r="C13667" s="689">
        <v>2.6</v>
      </c>
      <c r="D13667" s="689">
        <v>2.8</v>
      </c>
      <c r="E13667" s="689">
        <v>2.5</v>
      </c>
      <c r="F13667" s="689">
        <v>2.4</v>
      </c>
      <c r="G13667" s="689">
        <v>2.8</v>
      </c>
      <c r="H13667" s="689">
        <v>2.7</v>
      </c>
      <c r="I13667" s="689">
        <v>2.9</v>
      </c>
      <c r="J13667" s="689">
        <v>2.4</v>
      </c>
      <c r="K13667" s="689">
        <v>2.2999999999999998</v>
      </c>
    </row>
    <row r="13668" spans="1:11">
      <c r="A13668" s="688" t="s">
        <v>14</v>
      </c>
      <c r="B13668" s="692" t="s">
        <v>4060</v>
      </c>
      <c r="C13668" s="691">
        <v>2.2000000000000002</v>
      </c>
      <c r="D13668" s="691">
        <v>1.7</v>
      </c>
      <c r="E13668" s="691">
        <v>1.3</v>
      </c>
      <c r="F13668" s="691">
        <v>1.2</v>
      </c>
      <c r="G13668" s="615">
        <v>1</v>
      </c>
      <c r="H13668" s="615">
        <v>1</v>
      </c>
      <c r="I13668" s="691">
        <v>1.9</v>
      </c>
      <c r="J13668" s="691">
        <v>2.2999999999999998</v>
      </c>
      <c r="K13668" s="691">
        <v>2.4</v>
      </c>
    </row>
    <row r="13669" spans="1:11">
      <c r="A13669" s="688" t="s">
        <v>15</v>
      </c>
      <c r="B13669" s="690" t="s">
        <v>4060</v>
      </c>
      <c r="C13669" s="689">
        <v>2.8</v>
      </c>
      <c r="D13669" s="689">
        <v>3.9</v>
      </c>
      <c r="E13669" s="689">
        <v>2.9</v>
      </c>
      <c r="F13669" s="689">
        <v>2.6</v>
      </c>
      <c r="G13669" s="689">
        <v>3.1</v>
      </c>
      <c r="H13669" s="689">
        <v>3.1</v>
      </c>
      <c r="I13669" s="693">
        <v>3</v>
      </c>
      <c r="J13669" s="689">
        <v>2.7</v>
      </c>
      <c r="K13669" s="689">
        <v>2.9</v>
      </c>
    </row>
    <row r="13670" spans="1:11">
      <c r="A13670" s="688" t="s">
        <v>29</v>
      </c>
      <c r="B13670" s="692" t="s">
        <v>4060</v>
      </c>
      <c r="C13670" s="691">
        <v>3.8</v>
      </c>
      <c r="D13670" s="691">
        <v>3.2</v>
      </c>
      <c r="E13670" s="691">
        <v>3.6</v>
      </c>
      <c r="F13670" s="691">
        <v>3.6</v>
      </c>
      <c r="G13670" s="691">
        <v>3.8</v>
      </c>
      <c r="H13670" s="691">
        <v>3.9</v>
      </c>
      <c r="I13670" s="615">
        <v>4</v>
      </c>
      <c r="J13670" s="691">
        <v>3.9</v>
      </c>
      <c r="K13670" s="691">
        <v>3.4</v>
      </c>
    </row>
    <row r="13671" spans="1:11">
      <c r="A13671" s="688" t="s">
        <v>16</v>
      </c>
      <c r="B13671" s="690" t="s">
        <v>4060</v>
      </c>
      <c r="C13671" s="689">
        <v>2.9</v>
      </c>
      <c r="D13671" s="689">
        <v>2.8</v>
      </c>
      <c r="E13671" s="689">
        <v>2.9</v>
      </c>
      <c r="F13671" s="689">
        <v>2.2000000000000002</v>
      </c>
      <c r="G13671" s="689">
        <v>2.4</v>
      </c>
      <c r="H13671" s="689">
        <v>2.6</v>
      </c>
      <c r="I13671" s="689">
        <v>2.6</v>
      </c>
      <c r="J13671" s="693">
        <v>3</v>
      </c>
      <c r="K13671" s="693">
        <v>3</v>
      </c>
    </row>
    <row r="13672" spans="1:11">
      <c r="A13672" s="688" t="s">
        <v>17</v>
      </c>
      <c r="B13672" s="692" t="s">
        <v>4060</v>
      </c>
      <c r="C13672" s="691">
        <v>2.8</v>
      </c>
      <c r="D13672" s="691">
        <v>2.7</v>
      </c>
      <c r="E13672" s="691">
        <v>2.8</v>
      </c>
      <c r="F13672" s="691">
        <v>2.7</v>
      </c>
      <c r="G13672" s="691">
        <v>2.7</v>
      </c>
      <c r="H13672" s="691">
        <v>2.8</v>
      </c>
      <c r="I13672" s="691">
        <v>2.5</v>
      </c>
      <c r="J13672" s="691">
        <v>2.5</v>
      </c>
      <c r="K13672" s="691">
        <v>2.5</v>
      </c>
    </row>
    <row r="13673" spans="1:11">
      <c r="A13673" s="688" t="s">
        <v>19</v>
      </c>
      <c r="B13673" s="690" t="s">
        <v>4060</v>
      </c>
      <c r="C13673" s="689">
        <v>2.8</v>
      </c>
      <c r="D13673" s="689">
        <v>2.9</v>
      </c>
      <c r="E13673" s="689">
        <v>2.8</v>
      </c>
      <c r="F13673" s="689">
        <v>2.8</v>
      </c>
      <c r="G13673" s="689">
        <v>2.8</v>
      </c>
      <c r="H13673" s="689">
        <v>2.8</v>
      </c>
      <c r="I13673" s="689">
        <v>2.6</v>
      </c>
      <c r="J13673" s="689">
        <v>2.6</v>
      </c>
      <c r="K13673" s="689">
        <v>2.5</v>
      </c>
    </row>
    <row r="13674" spans="1:11">
      <c r="A13674" s="688" t="s">
        <v>20</v>
      </c>
      <c r="B13674" s="692" t="s">
        <v>4060</v>
      </c>
      <c r="C13674" s="691">
        <v>3.2</v>
      </c>
      <c r="D13674" s="691">
        <v>3.1</v>
      </c>
      <c r="E13674" s="691">
        <v>3.4</v>
      </c>
      <c r="F13674" s="691">
        <v>3.4</v>
      </c>
      <c r="G13674" s="691">
        <v>3.4</v>
      </c>
      <c r="H13674" s="691">
        <v>3.7</v>
      </c>
      <c r="I13674" s="691">
        <v>2.9</v>
      </c>
      <c r="J13674" s="691">
        <v>2.7</v>
      </c>
      <c r="K13674" s="615">
        <v>3</v>
      </c>
    </row>
    <row r="13675" spans="1:11">
      <c r="A13675" s="688" t="s">
        <v>21</v>
      </c>
      <c r="B13675" s="690" t="s">
        <v>4060</v>
      </c>
      <c r="C13675" s="689">
        <v>2.9</v>
      </c>
      <c r="D13675" s="689">
        <v>3.1</v>
      </c>
      <c r="E13675" s="693">
        <v>3</v>
      </c>
      <c r="F13675" s="689">
        <v>3.1</v>
      </c>
      <c r="G13675" s="693">
        <v>3</v>
      </c>
      <c r="H13675" s="693">
        <v>3</v>
      </c>
      <c r="I13675" s="689">
        <v>2.8</v>
      </c>
      <c r="J13675" s="689">
        <v>2.8</v>
      </c>
      <c r="K13675" s="689">
        <v>2.7</v>
      </c>
    </row>
    <row r="13676" spans="1:11">
      <c r="A13676" s="688" t="s">
        <v>22</v>
      </c>
      <c r="B13676" s="692" t="s">
        <v>4060</v>
      </c>
      <c r="C13676" s="691">
        <v>3.3</v>
      </c>
      <c r="D13676" s="691">
        <v>3.6</v>
      </c>
      <c r="E13676" s="691">
        <v>4.3</v>
      </c>
      <c r="F13676" s="691">
        <v>4.5999999999999996</v>
      </c>
      <c r="G13676" s="615">
        <v>5</v>
      </c>
      <c r="H13676" s="691">
        <v>5.6</v>
      </c>
      <c r="I13676" s="691">
        <v>5.2</v>
      </c>
      <c r="J13676" s="691">
        <v>3.8</v>
      </c>
      <c r="K13676" s="691">
        <v>2.4</v>
      </c>
    </row>
    <row r="13677" spans="1:11">
      <c r="A13677" s="688" t="s">
        <v>26</v>
      </c>
      <c r="B13677" s="690" t="s">
        <v>4060</v>
      </c>
      <c r="C13677" s="689">
        <v>3.4</v>
      </c>
      <c r="D13677" s="689">
        <v>3.1</v>
      </c>
      <c r="E13677" s="689">
        <v>3.6</v>
      </c>
      <c r="F13677" s="689">
        <v>2.8</v>
      </c>
      <c r="G13677" s="689">
        <v>3.3</v>
      </c>
      <c r="H13677" s="689">
        <v>3.2</v>
      </c>
      <c r="I13677" s="689">
        <v>2.2999999999999998</v>
      </c>
      <c r="J13677" s="689">
        <v>2.7</v>
      </c>
      <c r="K13677" s="689">
        <v>2.9</v>
      </c>
    </row>
    <row r="13678" spans="1:11">
      <c r="A13678" s="688" t="s">
        <v>25</v>
      </c>
      <c r="B13678" s="692" t="s">
        <v>4060</v>
      </c>
      <c r="C13678" s="691">
        <v>4.4000000000000004</v>
      </c>
      <c r="D13678" s="691">
        <v>4.4000000000000004</v>
      </c>
      <c r="E13678" s="691">
        <v>4.9000000000000004</v>
      </c>
      <c r="F13678" s="691">
        <v>4.7</v>
      </c>
      <c r="G13678" s="691">
        <v>5.5</v>
      </c>
      <c r="H13678" s="615">
        <v>6</v>
      </c>
      <c r="I13678" s="691">
        <v>6.1</v>
      </c>
      <c r="J13678" s="691">
        <v>4.5</v>
      </c>
      <c r="K13678" s="691">
        <v>4.4000000000000004</v>
      </c>
    </row>
    <row r="13679" spans="1:11">
      <c r="A13679" s="688" t="s">
        <v>5</v>
      </c>
      <c r="B13679" s="690" t="s">
        <v>4060</v>
      </c>
      <c r="C13679" s="689">
        <v>2.9</v>
      </c>
      <c r="D13679" s="689">
        <v>2.8</v>
      </c>
      <c r="E13679" s="689">
        <v>2.7</v>
      </c>
      <c r="F13679" s="689">
        <v>2.8</v>
      </c>
      <c r="G13679" s="689">
        <v>2.7</v>
      </c>
      <c r="H13679" s="689">
        <v>2.8</v>
      </c>
      <c r="I13679" s="689">
        <v>2.8</v>
      </c>
      <c r="J13679" s="689">
        <v>2.7</v>
      </c>
      <c r="K13679" s="689">
        <v>2.5</v>
      </c>
    </row>
    <row r="13680" spans="1:11">
      <c r="A13680" s="688" t="s">
        <v>23</v>
      </c>
      <c r="B13680" s="692" t="s">
        <v>4060</v>
      </c>
      <c r="C13680" s="691">
        <v>2.8</v>
      </c>
      <c r="D13680" s="691">
        <v>2.7</v>
      </c>
      <c r="E13680" s="691">
        <v>2.7</v>
      </c>
      <c r="F13680" s="691">
        <v>2.7</v>
      </c>
      <c r="G13680" s="691">
        <v>2.8</v>
      </c>
      <c r="H13680" s="691">
        <v>2.9</v>
      </c>
      <c r="I13680" s="691">
        <v>2.6</v>
      </c>
      <c r="J13680" s="691">
        <v>2.8</v>
      </c>
      <c r="K13680" s="691">
        <v>2.7</v>
      </c>
    </row>
    <row r="13681" spans="1:11">
      <c r="A13681" s="688" t="s">
        <v>4067</v>
      </c>
      <c r="B13681" s="690" t="s">
        <v>4060</v>
      </c>
      <c r="C13681" s="690" t="s">
        <v>4060</v>
      </c>
      <c r="D13681" s="690" t="s">
        <v>4060</v>
      </c>
      <c r="E13681" s="690" t="s">
        <v>4060</v>
      </c>
      <c r="F13681" s="690" t="s">
        <v>4060</v>
      </c>
      <c r="G13681" s="690" t="s">
        <v>4060</v>
      </c>
      <c r="H13681" s="690" t="s">
        <v>4060</v>
      </c>
      <c r="I13681" s="690" t="s">
        <v>4060</v>
      </c>
      <c r="J13681" s="690" t="s">
        <v>4060</v>
      </c>
      <c r="K13681" s="690" t="s">
        <v>4060</v>
      </c>
    </row>
    <row r="13682" spans="1:11">
      <c r="A13682" s="688" t="s">
        <v>4066</v>
      </c>
      <c r="B13682" s="692" t="s">
        <v>4060</v>
      </c>
      <c r="C13682" s="692" t="s">
        <v>4060</v>
      </c>
      <c r="D13682" s="692" t="s">
        <v>4060</v>
      </c>
      <c r="E13682" s="692" t="s">
        <v>4060</v>
      </c>
      <c r="F13682" s="692" t="s">
        <v>4060</v>
      </c>
      <c r="G13682" s="692" t="s">
        <v>4060</v>
      </c>
      <c r="H13682" s="692" t="s">
        <v>4060</v>
      </c>
      <c r="I13682" s="692" t="s">
        <v>4060</v>
      </c>
      <c r="J13682" s="692" t="s">
        <v>4060</v>
      </c>
      <c r="K13682" s="692" t="s">
        <v>4060</v>
      </c>
    </row>
    <row r="13683" spans="1:11">
      <c r="A13683" s="688" t="s">
        <v>4062</v>
      </c>
      <c r="B13683" s="690" t="s">
        <v>4060</v>
      </c>
      <c r="C13683" s="689">
        <v>2.8</v>
      </c>
      <c r="D13683" s="689">
        <v>2.8</v>
      </c>
      <c r="E13683" s="689">
        <v>2.9</v>
      </c>
      <c r="F13683" s="689">
        <v>2.8</v>
      </c>
      <c r="G13683" s="689">
        <v>2.9</v>
      </c>
      <c r="H13683" s="693">
        <v>3</v>
      </c>
      <c r="I13683" s="689">
        <v>2.7</v>
      </c>
      <c r="J13683" s="689">
        <v>2.9</v>
      </c>
      <c r="K13683" s="689">
        <v>2.7</v>
      </c>
    </row>
    <row r="13684" spans="1:11">
      <c r="A13684" s="688" t="s">
        <v>9</v>
      </c>
      <c r="B13684" s="692" t="s">
        <v>4060</v>
      </c>
      <c r="C13684" s="691">
        <v>2.9</v>
      </c>
      <c r="D13684" s="691">
        <v>2.7</v>
      </c>
      <c r="E13684" s="691">
        <v>3.4</v>
      </c>
      <c r="F13684" s="691">
        <v>3.1</v>
      </c>
      <c r="G13684" s="691">
        <v>2.8</v>
      </c>
      <c r="H13684" s="691">
        <v>2.8</v>
      </c>
      <c r="I13684" s="615">
        <v>3</v>
      </c>
      <c r="J13684" s="691">
        <v>3.1</v>
      </c>
      <c r="K13684" s="691">
        <v>2.8</v>
      </c>
    </row>
    <row r="13685" spans="1:11">
      <c r="A13685" s="688" t="s">
        <v>13</v>
      </c>
      <c r="B13685" s="690" t="s">
        <v>4060</v>
      </c>
      <c r="C13685" s="689">
        <v>2.4</v>
      </c>
      <c r="D13685" s="693">
        <v>3</v>
      </c>
      <c r="E13685" s="689">
        <v>4.8</v>
      </c>
      <c r="F13685" s="689">
        <v>2.5</v>
      </c>
      <c r="G13685" s="689">
        <v>2.6</v>
      </c>
      <c r="H13685" s="689">
        <v>1.5</v>
      </c>
      <c r="I13685" s="689">
        <v>1.3</v>
      </c>
      <c r="J13685" s="689">
        <v>5.2</v>
      </c>
      <c r="K13685" s="689">
        <v>2.2000000000000002</v>
      </c>
    </row>
    <row r="13686" spans="1:11">
      <c r="A13686" s="688" t="s">
        <v>18</v>
      </c>
      <c r="B13686" s="692" t="s">
        <v>4060</v>
      </c>
      <c r="C13686" s="691">
        <v>2.8</v>
      </c>
      <c r="D13686" s="691">
        <v>2.8</v>
      </c>
      <c r="E13686" s="691">
        <v>2.7</v>
      </c>
      <c r="F13686" s="691">
        <v>2.8</v>
      </c>
      <c r="G13686" s="691">
        <v>2.9</v>
      </c>
      <c r="H13686" s="615">
        <v>3</v>
      </c>
      <c r="I13686" s="615">
        <v>3</v>
      </c>
      <c r="J13686" s="615">
        <v>3</v>
      </c>
      <c r="K13686" s="691">
        <v>2.6</v>
      </c>
    </row>
    <row r="13687" spans="1:11">
      <c r="A13687" s="688" t="s">
        <v>24</v>
      </c>
      <c r="B13687" s="690" t="s">
        <v>4060</v>
      </c>
      <c r="C13687" s="689">
        <v>2.8</v>
      </c>
      <c r="D13687" s="689">
        <v>2.8</v>
      </c>
      <c r="E13687" s="693">
        <v>3</v>
      </c>
      <c r="F13687" s="689">
        <v>2.9</v>
      </c>
      <c r="G13687" s="693">
        <v>3</v>
      </c>
      <c r="H13687" s="693">
        <v>3</v>
      </c>
      <c r="I13687" s="689">
        <v>2.5</v>
      </c>
      <c r="J13687" s="689">
        <v>2.9</v>
      </c>
      <c r="K13687" s="689">
        <v>2.7</v>
      </c>
    </row>
    <row r="13688" spans="1:11">
      <c r="A13688" s="688" t="s">
        <v>4059</v>
      </c>
      <c r="B13688" s="692" t="s">
        <v>4060</v>
      </c>
      <c r="C13688" s="692" t="s">
        <v>4060</v>
      </c>
      <c r="D13688" s="692" t="s">
        <v>4060</v>
      </c>
      <c r="E13688" s="692" t="s">
        <v>4060</v>
      </c>
      <c r="F13688" s="692" t="s">
        <v>4060</v>
      </c>
      <c r="G13688" s="692" t="s">
        <v>4060</v>
      </c>
      <c r="H13688" s="692" t="s">
        <v>4060</v>
      </c>
      <c r="I13688" s="692" t="s">
        <v>4060</v>
      </c>
      <c r="J13688" s="692" t="s">
        <v>4060</v>
      </c>
      <c r="K13688" s="692" t="s">
        <v>4060</v>
      </c>
    </row>
    <row r="13689" spans="1:11">
      <c r="A13689" s="688" t="s">
        <v>2324</v>
      </c>
      <c r="B13689" s="690" t="s">
        <v>4060</v>
      </c>
      <c r="C13689" s="690" t="s">
        <v>4060</v>
      </c>
      <c r="D13689" s="690" t="s">
        <v>4060</v>
      </c>
      <c r="E13689" s="690" t="s">
        <v>4060</v>
      </c>
      <c r="F13689" s="690" t="s">
        <v>4060</v>
      </c>
      <c r="G13689" s="690" t="s">
        <v>4060</v>
      </c>
      <c r="H13689" s="690" t="s">
        <v>4060</v>
      </c>
      <c r="I13689" s="690" t="s">
        <v>4060</v>
      </c>
      <c r="J13689" s="690" t="s">
        <v>4060</v>
      </c>
      <c r="K13689" s="690" t="s">
        <v>4060</v>
      </c>
    </row>
    <row r="13690" spans="1:11">
      <c r="A13690" s="688" t="s">
        <v>2322</v>
      </c>
      <c r="B13690" s="692" t="s">
        <v>4060</v>
      </c>
      <c r="C13690" s="692" t="s">
        <v>4060</v>
      </c>
      <c r="D13690" s="692" t="s">
        <v>4060</v>
      </c>
      <c r="E13690" s="692" t="s">
        <v>4060</v>
      </c>
      <c r="F13690" s="692" t="s">
        <v>4060</v>
      </c>
      <c r="G13690" s="692" t="s">
        <v>4060</v>
      </c>
      <c r="H13690" s="692" t="s">
        <v>4060</v>
      </c>
      <c r="I13690" s="692" t="s">
        <v>4060</v>
      </c>
      <c r="J13690" s="692" t="s">
        <v>4060</v>
      </c>
      <c r="K13690" s="692" t="s">
        <v>4060</v>
      </c>
    </row>
    <row r="13691" spans="1:11">
      <c r="A13691" s="688" t="s">
        <v>2328</v>
      </c>
      <c r="B13691" s="690" t="s">
        <v>4060</v>
      </c>
      <c r="C13691" s="690" t="s">
        <v>4060</v>
      </c>
      <c r="D13691" s="690" t="s">
        <v>4060</v>
      </c>
      <c r="E13691" s="690" t="s">
        <v>4060</v>
      </c>
      <c r="F13691" s="690" t="s">
        <v>4060</v>
      </c>
      <c r="G13691" s="690" t="s">
        <v>4060</v>
      </c>
      <c r="H13691" s="690" t="s">
        <v>4060</v>
      </c>
      <c r="I13691" s="690" t="s">
        <v>4060</v>
      </c>
      <c r="J13691" s="690" t="s">
        <v>4060</v>
      </c>
      <c r="K13691" s="690" t="s">
        <v>4060</v>
      </c>
    </row>
    <row r="13692" spans="1:11">
      <c r="A13692" s="688" t="s">
        <v>2496</v>
      </c>
      <c r="B13692" s="692" t="s">
        <v>4060</v>
      </c>
      <c r="C13692" s="692" t="s">
        <v>4060</v>
      </c>
      <c r="D13692" s="692" t="s">
        <v>4060</v>
      </c>
      <c r="E13692" s="692" t="s">
        <v>4060</v>
      </c>
      <c r="F13692" s="692" t="s">
        <v>4060</v>
      </c>
      <c r="G13692" s="692" t="s">
        <v>4060</v>
      </c>
      <c r="H13692" s="692" t="s">
        <v>4060</v>
      </c>
      <c r="I13692" s="692" t="s">
        <v>4060</v>
      </c>
      <c r="J13692" s="692" t="s">
        <v>4060</v>
      </c>
      <c r="K13692" s="692" t="s">
        <v>4060</v>
      </c>
    </row>
    <row r="13693" spans="1:11">
      <c r="A13693" s="688" t="s">
        <v>2269</v>
      </c>
      <c r="B13693" s="690" t="s">
        <v>4060</v>
      </c>
      <c r="C13693" s="690" t="s">
        <v>4060</v>
      </c>
      <c r="D13693" s="690" t="s">
        <v>4060</v>
      </c>
      <c r="E13693" s="690" t="s">
        <v>4060</v>
      </c>
      <c r="F13693" s="690" t="s">
        <v>4060</v>
      </c>
      <c r="G13693" s="690" t="s">
        <v>4060</v>
      </c>
      <c r="H13693" s="690" t="s">
        <v>4060</v>
      </c>
      <c r="I13693" s="690" t="s">
        <v>4060</v>
      </c>
      <c r="J13693" s="690" t="s">
        <v>4060</v>
      </c>
      <c r="K13693" s="690" t="s">
        <v>4060</v>
      </c>
    </row>
    <row r="13694" spans="1:11">
      <c r="A13694" s="688" t="s">
        <v>2349</v>
      </c>
      <c r="B13694" s="692" t="s">
        <v>4060</v>
      </c>
      <c r="C13694" s="692" t="s">
        <v>4060</v>
      </c>
      <c r="D13694" s="692" t="s">
        <v>4060</v>
      </c>
      <c r="E13694" s="692" t="s">
        <v>4060</v>
      </c>
      <c r="F13694" s="692" t="s">
        <v>4060</v>
      </c>
      <c r="G13694" s="692" t="s">
        <v>4060</v>
      </c>
      <c r="H13694" s="692" t="s">
        <v>4060</v>
      </c>
      <c r="I13694" s="692" t="s">
        <v>4060</v>
      </c>
      <c r="J13694" s="692" t="s">
        <v>4060</v>
      </c>
      <c r="K13694" s="692" t="s">
        <v>4060</v>
      </c>
    </row>
    <row r="13695" spans="1:11">
      <c r="A13695" s="688" t="s">
        <v>2355</v>
      </c>
      <c r="B13695" s="690" t="s">
        <v>4060</v>
      </c>
      <c r="C13695" s="690" t="s">
        <v>4060</v>
      </c>
      <c r="D13695" s="690" t="s">
        <v>4060</v>
      </c>
      <c r="E13695" s="690" t="s">
        <v>4060</v>
      </c>
      <c r="F13695" s="690" t="s">
        <v>4060</v>
      </c>
      <c r="G13695" s="690" t="s">
        <v>4060</v>
      </c>
      <c r="H13695" s="690" t="s">
        <v>4060</v>
      </c>
      <c r="I13695" s="690" t="s">
        <v>4060</v>
      </c>
      <c r="J13695" s="690" t="s">
        <v>4060</v>
      </c>
      <c r="K13695" s="690" t="s">
        <v>4060</v>
      </c>
    </row>
    <row r="13696" spans="1:11">
      <c r="A13696" s="688" t="s">
        <v>2357</v>
      </c>
      <c r="B13696" s="692" t="s">
        <v>4060</v>
      </c>
      <c r="C13696" s="692" t="s">
        <v>4060</v>
      </c>
      <c r="D13696" s="692" t="s">
        <v>4060</v>
      </c>
      <c r="E13696" s="692" t="s">
        <v>4060</v>
      </c>
      <c r="F13696" s="692" t="s">
        <v>4060</v>
      </c>
      <c r="G13696" s="692" t="s">
        <v>4060</v>
      </c>
      <c r="H13696" s="692" t="s">
        <v>4060</v>
      </c>
      <c r="I13696" s="692" t="s">
        <v>4060</v>
      </c>
      <c r="J13696" s="692" t="s">
        <v>4060</v>
      </c>
      <c r="K13696" s="692" t="s">
        <v>4060</v>
      </c>
    </row>
    <row r="13697" spans="1:11">
      <c r="A13697" s="688" t="s">
        <v>4070</v>
      </c>
      <c r="B13697" s="690" t="s">
        <v>4060</v>
      </c>
      <c r="C13697" s="690" t="s">
        <v>4060</v>
      </c>
      <c r="D13697" s="690" t="s">
        <v>4060</v>
      </c>
      <c r="E13697" s="690" t="s">
        <v>4060</v>
      </c>
      <c r="F13697" s="690" t="s">
        <v>4060</v>
      </c>
      <c r="G13697" s="690" t="s">
        <v>4060</v>
      </c>
      <c r="H13697" s="690" t="s">
        <v>4060</v>
      </c>
      <c r="I13697" s="690" t="s">
        <v>4060</v>
      </c>
      <c r="J13697" s="690" t="s">
        <v>4060</v>
      </c>
      <c r="K13697" s="690" t="s">
        <v>4060</v>
      </c>
    </row>
    <row r="13698" spans="1:11">
      <c r="A13698" s="688" t="s">
        <v>2491</v>
      </c>
      <c r="B13698" s="692" t="s">
        <v>4060</v>
      </c>
      <c r="C13698" s="692" t="s">
        <v>4060</v>
      </c>
      <c r="D13698" s="692" t="s">
        <v>4060</v>
      </c>
      <c r="E13698" s="692" t="s">
        <v>4060</v>
      </c>
      <c r="F13698" s="692" t="s">
        <v>4060</v>
      </c>
      <c r="G13698" s="692" t="s">
        <v>4060</v>
      </c>
      <c r="H13698" s="692" t="s">
        <v>4060</v>
      </c>
      <c r="I13698" s="692" t="s">
        <v>4060</v>
      </c>
      <c r="J13698" s="692" t="s">
        <v>4060</v>
      </c>
      <c r="K13698" s="692" t="s">
        <v>4060</v>
      </c>
    </row>
    <row r="13699" spans="1:11">
      <c r="A13699" s="688" t="s">
        <v>2343</v>
      </c>
      <c r="B13699" s="690" t="s">
        <v>4060</v>
      </c>
      <c r="C13699" s="690" t="s">
        <v>4060</v>
      </c>
      <c r="D13699" s="690" t="s">
        <v>4060</v>
      </c>
      <c r="E13699" s="690" t="s">
        <v>4060</v>
      </c>
      <c r="F13699" s="690" t="s">
        <v>4060</v>
      </c>
      <c r="G13699" s="690" t="s">
        <v>4060</v>
      </c>
      <c r="H13699" s="690" t="s">
        <v>4060</v>
      </c>
      <c r="I13699" s="690" t="s">
        <v>4060</v>
      </c>
      <c r="J13699" s="690" t="s">
        <v>4060</v>
      </c>
      <c r="K13699" s="690" t="s">
        <v>4060</v>
      </c>
    </row>
    <row r="13700" spans="1:11">
      <c r="A13700" s="688" t="s">
        <v>4071</v>
      </c>
      <c r="B13700" s="692" t="s">
        <v>4060</v>
      </c>
      <c r="C13700" s="692" t="s">
        <v>4060</v>
      </c>
      <c r="D13700" s="692" t="s">
        <v>4060</v>
      </c>
      <c r="E13700" s="692" t="s">
        <v>4060</v>
      </c>
      <c r="F13700" s="692" t="s">
        <v>4060</v>
      </c>
      <c r="G13700" s="692" t="s">
        <v>4060</v>
      </c>
      <c r="H13700" s="692" t="s">
        <v>4060</v>
      </c>
      <c r="I13700" s="692" t="s">
        <v>4060</v>
      </c>
      <c r="J13700" s="692" t="s">
        <v>4060</v>
      </c>
      <c r="K13700" s="692" t="s">
        <v>4060</v>
      </c>
    </row>
    <row r="13701" spans="1:11">
      <c r="A13701" s="688" t="s">
        <v>2489</v>
      </c>
      <c r="B13701" s="690" t="s">
        <v>4060</v>
      </c>
      <c r="C13701" s="690" t="s">
        <v>4060</v>
      </c>
      <c r="D13701" s="690" t="s">
        <v>4060</v>
      </c>
      <c r="E13701" s="690" t="s">
        <v>4060</v>
      </c>
      <c r="F13701" s="690" t="s">
        <v>4060</v>
      </c>
      <c r="G13701" s="690" t="s">
        <v>4060</v>
      </c>
      <c r="H13701" s="690" t="s">
        <v>4060</v>
      </c>
      <c r="I13701" s="690" t="s">
        <v>4060</v>
      </c>
      <c r="J13701" s="690" t="s">
        <v>4060</v>
      </c>
      <c r="K13701" s="690" t="s">
        <v>4060</v>
      </c>
    </row>
    <row r="13702" spans="1:11">
      <c r="A13702" s="688" t="s">
        <v>2490</v>
      </c>
      <c r="B13702" s="692" t="s">
        <v>4060</v>
      </c>
      <c r="C13702" s="692" t="s">
        <v>4060</v>
      </c>
      <c r="D13702" s="692" t="s">
        <v>4060</v>
      </c>
      <c r="E13702" s="692" t="s">
        <v>4060</v>
      </c>
      <c r="F13702" s="692" t="s">
        <v>4060</v>
      </c>
      <c r="G13702" s="692" t="s">
        <v>4060</v>
      </c>
      <c r="H13702" s="692" t="s">
        <v>4060</v>
      </c>
      <c r="I13702" s="692" t="s">
        <v>4060</v>
      </c>
      <c r="J13702" s="692" t="s">
        <v>4060</v>
      </c>
      <c r="K13702" s="692" t="s">
        <v>4060</v>
      </c>
    </row>
    <row r="13704" spans="1:11">
      <c r="A13704" s="683" t="s">
        <v>4233</v>
      </c>
    </row>
    <row r="13705" spans="1:11">
      <c r="A13705" s="683" t="s">
        <v>4060</v>
      </c>
      <c r="B13705" s="682" t="s">
        <v>4234</v>
      </c>
    </row>
    <row r="13707" spans="1:11">
      <c r="A13707" s="682" t="s">
        <v>4332</v>
      </c>
    </row>
    <row r="13708" spans="1:11">
      <c r="A13708" s="682" t="s">
        <v>4210</v>
      </c>
      <c r="B13708" s="683" t="s">
        <v>4211</v>
      </c>
    </row>
    <row r="13709" spans="1:11">
      <c r="A13709" s="682" t="s">
        <v>4212</v>
      </c>
      <c r="B13709" s="682" t="s">
        <v>4213</v>
      </c>
    </row>
    <row r="13711" spans="1:11">
      <c r="A13711" s="683" t="s">
        <v>4214</v>
      </c>
      <c r="C13711" s="682" t="s">
        <v>4215</v>
      </c>
    </row>
    <row r="13712" spans="1:11">
      <c r="A13712" s="683" t="s">
        <v>4216</v>
      </c>
      <c r="C13712" s="682" t="s">
        <v>2967</v>
      </c>
    </row>
    <row r="13713" spans="1:11">
      <c r="A13713" s="683" t="s">
        <v>3893</v>
      </c>
      <c r="C13713" s="682" t="s">
        <v>2168</v>
      </c>
    </row>
    <row r="13714" spans="1:11">
      <c r="A13714" s="683" t="s">
        <v>4218</v>
      </c>
      <c r="C13714" s="682" t="s">
        <v>4330</v>
      </c>
    </row>
    <row r="13716" spans="1:11">
      <c r="A13716" s="684" t="s">
        <v>4220</v>
      </c>
      <c r="B13716" s="685" t="s">
        <v>4221</v>
      </c>
      <c r="C13716" s="685" t="s">
        <v>4222</v>
      </c>
      <c r="D13716" s="685" t="s">
        <v>4223</v>
      </c>
      <c r="E13716" s="685" t="s">
        <v>4224</v>
      </c>
      <c r="F13716" s="685" t="s">
        <v>4225</v>
      </c>
      <c r="G13716" s="685" t="s">
        <v>4226</v>
      </c>
      <c r="H13716" s="685" t="s">
        <v>4227</v>
      </c>
      <c r="I13716" s="685" t="s">
        <v>4228</v>
      </c>
      <c r="J13716" s="685" t="s">
        <v>4229</v>
      </c>
      <c r="K13716" s="685" t="s">
        <v>4230</v>
      </c>
    </row>
    <row r="13717" spans="1:11">
      <c r="A13717" s="686" t="s">
        <v>4231</v>
      </c>
      <c r="B13717" s="687" t="s">
        <v>4232</v>
      </c>
      <c r="C13717" s="687" t="s">
        <v>4232</v>
      </c>
      <c r="D13717" s="687" t="s">
        <v>4232</v>
      </c>
      <c r="E13717" s="687" t="s">
        <v>4232</v>
      </c>
      <c r="F13717" s="687" t="s">
        <v>4232</v>
      </c>
      <c r="G13717" s="687" t="s">
        <v>4232</v>
      </c>
      <c r="H13717" s="687" t="s">
        <v>4232</v>
      </c>
      <c r="I13717" s="687" t="s">
        <v>4232</v>
      </c>
      <c r="J13717" s="687" t="s">
        <v>4232</v>
      </c>
      <c r="K13717" s="687" t="s">
        <v>4232</v>
      </c>
    </row>
    <row r="13718" spans="1:11">
      <c r="A13718" s="688" t="s">
        <v>4064</v>
      </c>
      <c r="B13718" s="692" t="s">
        <v>4060</v>
      </c>
      <c r="C13718" s="615">
        <v>3</v>
      </c>
      <c r="D13718" s="692" t="s">
        <v>4060</v>
      </c>
      <c r="E13718" s="691">
        <v>2.9</v>
      </c>
      <c r="F13718" s="691">
        <v>2.8</v>
      </c>
      <c r="G13718" s="691">
        <v>2.9</v>
      </c>
      <c r="H13718" s="615">
        <v>3</v>
      </c>
      <c r="I13718" s="691">
        <v>2.7</v>
      </c>
      <c r="J13718" s="691">
        <v>2.7</v>
      </c>
      <c r="K13718" s="691">
        <v>2.5</v>
      </c>
    </row>
    <row r="13719" spans="1:11">
      <c r="A13719" s="688" t="s">
        <v>4065</v>
      </c>
      <c r="B13719" s="690" t="s">
        <v>4060</v>
      </c>
      <c r="C13719" s="690" t="s">
        <v>4060</v>
      </c>
      <c r="D13719" s="690" t="s">
        <v>4060</v>
      </c>
      <c r="E13719" s="690" t="s">
        <v>4060</v>
      </c>
      <c r="F13719" s="690" t="s">
        <v>4060</v>
      </c>
      <c r="G13719" s="690" t="s">
        <v>4060</v>
      </c>
      <c r="H13719" s="690" t="s">
        <v>4060</v>
      </c>
      <c r="I13719" s="690" t="s">
        <v>4060</v>
      </c>
      <c r="J13719" s="690" t="s">
        <v>4060</v>
      </c>
      <c r="K13719" s="690" t="s">
        <v>4060</v>
      </c>
    </row>
    <row r="13720" spans="1:11">
      <c r="A13720" s="688" t="s">
        <v>4063</v>
      </c>
      <c r="B13720" s="692" t="s">
        <v>4060</v>
      </c>
      <c r="C13720" s="692" t="s">
        <v>4060</v>
      </c>
      <c r="D13720" s="692" t="s">
        <v>4060</v>
      </c>
      <c r="E13720" s="692" t="s">
        <v>4060</v>
      </c>
      <c r="F13720" s="692" t="s">
        <v>4060</v>
      </c>
      <c r="G13720" s="692" t="s">
        <v>4060</v>
      </c>
      <c r="H13720" s="692" t="s">
        <v>4060</v>
      </c>
      <c r="I13720" s="692" t="s">
        <v>4060</v>
      </c>
      <c r="J13720" s="692" t="s">
        <v>4060</v>
      </c>
      <c r="K13720" s="692" t="s">
        <v>4060</v>
      </c>
    </row>
    <row r="13721" spans="1:11">
      <c r="A13721" s="688" t="s">
        <v>4069</v>
      </c>
      <c r="B13721" s="690" t="s">
        <v>4060</v>
      </c>
      <c r="C13721" s="689">
        <v>2.9</v>
      </c>
      <c r="D13721" s="689">
        <v>2.7</v>
      </c>
      <c r="E13721" s="689">
        <v>2.9</v>
      </c>
      <c r="F13721" s="689">
        <v>2.8</v>
      </c>
      <c r="G13721" s="689">
        <v>2.8</v>
      </c>
      <c r="H13721" s="689">
        <v>2.9</v>
      </c>
      <c r="I13721" s="689">
        <v>2.6</v>
      </c>
      <c r="J13721" s="689">
        <v>2.7</v>
      </c>
      <c r="K13721" s="689">
        <v>2.5</v>
      </c>
    </row>
    <row r="13722" spans="1:11">
      <c r="A13722" s="688" t="s">
        <v>4068</v>
      </c>
      <c r="B13722" s="692" t="s">
        <v>4060</v>
      </c>
      <c r="C13722" s="692" t="s">
        <v>4060</v>
      </c>
      <c r="D13722" s="692" t="s">
        <v>4060</v>
      </c>
      <c r="E13722" s="692" t="s">
        <v>4060</v>
      </c>
      <c r="F13722" s="692" t="s">
        <v>4060</v>
      </c>
      <c r="G13722" s="692" t="s">
        <v>4060</v>
      </c>
      <c r="H13722" s="692" t="s">
        <v>4060</v>
      </c>
      <c r="I13722" s="692" t="s">
        <v>4060</v>
      </c>
      <c r="J13722" s="692" t="s">
        <v>4060</v>
      </c>
      <c r="K13722" s="692" t="s">
        <v>4060</v>
      </c>
    </row>
    <row r="13723" spans="1:11">
      <c r="A13723" s="688" t="s">
        <v>0</v>
      </c>
      <c r="B13723" s="690" t="s">
        <v>4060</v>
      </c>
      <c r="C13723" s="693">
        <v>3</v>
      </c>
      <c r="D13723" s="689">
        <v>2.7</v>
      </c>
      <c r="E13723" s="689">
        <v>2.8</v>
      </c>
      <c r="F13723" s="689">
        <v>2.6</v>
      </c>
      <c r="G13723" s="689">
        <v>2.6</v>
      </c>
      <c r="H13723" s="689">
        <v>2.7</v>
      </c>
      <c r="I13723" s="689">
        <v>2.4</v>
      </c>
      <c r="J13723" s="689">
        <v>2.8</v>
      </c>
      <c r="K13723" s="689">
        <v>2.5</v>
      </c>
    </row>
    <row r="13724" spans="1:11">
      <c r="A13724" s="688" t="s">
        <v>1</v>
      </c>
      <c r="B13724" s="692" t="s">
        <v>4060</v>
      </c>
      <c r="C13724" s="691">
        <v>2.6</v>
      </c>
      <c r="D13724" s="691">
        <v>2.2999999999999998</v>
      </c>
      <c r="E13724" s="691">
        <v>2.2999999999999998</v>
      </c>
      <c r="F13724" s="691">
        <v>2.2999999999999998</v>
      </c>
      <c r="G13724" s="691">
        <v>2.2999999999999998</v>
      </c>
      <c r="H13724" s="691">
        <v>2.1</v>
      </c>
      <c r="I13724" s="691">
        <v>1.9</v>
      </c>
      <c r="J13724" s="691">
        <v>1.7</v>
      </c>
      <c r="K13724" s="691">
        <v>1.9</v>
      </c>
    </row>
    <row r="13725" spans="1:11">
      <c r="A13725" s="688" t="s">
        <v>2240</v>
      </c>
      <c r="B13725" s="690" t="s">
        <v>4060</v>
      </c>
      <c r="C13725" s="689">
        <v>2.8</v>
      </c>
      <c r="D13725" s="689">
        <v>2.4</v>
      </c>
      <c r="E13725" s="689">
        <v>2.6</v>
      </c>
      <c r="F13725" s="689">
        <v>2.7</v>
      </c>
      <c r="G13725" s="689">
        <v>2.7</v>
      </c>
      <c r="H13725" s="689">
        <v>2.7</v>
      </c>
      <c r="I13725" s="689">
        <v>2.5</v>
      </c>
      <c r="J13725" s="693">
        <v>2</v>
      </c>
      <c r="K13725" s="689">
        <v>2.2000000000000002</v>
      </c>
    </row>
    <row r="13726" spans="1:11">
      <c r="A13726" s="688" t="s">
        <v>2</v>
      </c>
      <c r="B13726" s="692" t="s">
        <v>4060</v>
      </c>
      <c r="C13726" s="691">
        <v>2.7</v>
      </c>
      <c r="D13726" s="691">
        <v>2.6</v>
      </c>
      <c r="E13726" s="691">
        <v>2.7</v>
      </c>
      <c r="F13726" s="691">
        <v>2.6</v>
      </c>
      <c r="G13726" s="691">
        <v>2.2999999999999998</v>
      </c>
      <c r="H13726" s="691">
        <v>2.6</v>
      </c>
      <c r="I13726" s="691">
        <v>2.4</v>
      </c>
      <c r="J13726" s="691">
        <v>2.4</v>
      </c>
      <c r="K13726" s="691">
        <v>2.4</v>
      </c>
    </row>
    <row r="13727" spans="1:11">
      <c r="A13727" s="688" t="s">
        <v>3</v>
      </c>
      <c r="B13727" s="690" t="s">
        <v>4060</v>
      </c>
      <c r="C13727" s="689">
        <v>2.8</v>
      </c>
      <c r="D13727" s="689">
        <v>2.7</v>
      </c>
      <c r="E13727" s="689">
        <v>2.8</v>
      </c>
      <c r="F13727" s="689">
        <v>2.7</v>
      </c>
      <c r="G13727" s="689">
        <v>2.7</v>
      </c>
      <c r="H13727" s="689">
        <v>2.8</v>
      </c>
      <c r="I13727" s="689">
        <v>2.7</v>
      </c>
      <c r="J13727" s="689">
        <v>2.6</v>
      </c>
      <c r="K13727" s="689">
        <v>2.2999999999999998</v>
      </c>
    </row>
    <row r="13728" spans="1:11">
      <c r="A13728" s="688" t="s">
        <v>4061</v>
      </c>
      <c r="B13728" s="692" t="s">
        <v>4060</v>
      </c>
      <c r="C13728" s="691">
        <v>2.8</v>
      </c>
      <c r="D13728" s="691">
        <v>2.7</v>
      </c>
      <c r="E13728" s="691">
        <v>2.8</v>
      </c>
      <c r="F13728" s="691">
        <v>2.7</v>
      </c>
      <c r="G13728" s="691">
        <v>2.7</v>
      </c>
      <c r="H13728" s="691">
        <v>2.8</v>
      </c>
      <c r="I13728" s="691">
        <v>2.7</v>
      </c>
      <c r="J13728" s="691">
        <v>2.6</v>
      </c>
      <c r="K13728" s="691">
        <v>2.2999999999999998</v>
      </c>
    </row>
    <row r="13729" spans="1:11">
      <c r="A13729" s="688" t="s">
        <v>4</v>
      </c>
      <c r="B13729" s="690" t="s">
        <v>4060</v>
      </c>
      <c r="C13729" s="689">
        <v>2.5</v>
      </c>
      <c r="D13729" s="689">
        <v>2.6</v>
      </c>
      <c r="E13729" s="689">
        <v>2.7</v>
      </c>
      <c r="F13729" s="693">
        <v>3</v>
      </c>
      <c r="G13729" s="689">
        <v>2.2999999999999998</v>
      </c>
      <c r="H13729" s="689">
        <v>2.9</v>
      </c>
      <c r="I13729" s="689">
        <v>2.8</v>
      </c>
      <c r="J13729" s="689">
        <v>2.2000000000000002</v>
      </c>
      <c r="K13729" s="689">
        <v>2.2000000000000002</v>
      </c>
    </row>
    <row r="13730" spans="1:11">
      <c r="A13730" s="688" t="s">
        <v>8</v>
      </c>
      <c r="B13730" s="692" t="s">
        <v>4060</v>
      </c>
      <c r="C13730" s="691">
        <v>3.5</v>
      </c>
      <c r="D13730" s="691">
        <v>3.4</v>
      </c>
      <c r="E13730" s="691">
        <v>3.3</v>
      </c>
      <c r="F13730" s="691">
        <v>3.3</v>
      </c>
      <c r="G13730" s="691">
        <v>3.2</v>
      </c>
      <c r="H13730" s="691">
        <v>2.5</v>
      </c>
      <c r="I13730" s="691">
        <v>3.3</v>
      </c>
      <c r="J13730" s="615">
        <v>3</v>
      </c>
      <c r="K13730" s="691">
        <v>3.4</v>
      </c>
    </row>
    <row r="13731" spans="1:11">
      <c r="A13731" s="688" t="s">
        <v>7</v>
      </c>
      <c r="B13731" s="690" t="s">
        <v>4060</v>
      </c>
      <c r="C13731" s="689">
        <v>2.4</v>
      </c>
      <c r="D13731" s="689">
        <v>2.1</v>
      </c>
      <c r="E13731" s="689">
        <v>1.8</v>
      </c>
      <c r="F13731" s="689">
        <v>1.7</v>
      </c>
      <c r="G13731" s="689">
        <v>2.2000000000000002</v>
      </c>
      <c r="H13731" s="689">
        <v>2.2999999999999998</v>
      </c>
      <c r="I13731" s="689">
        <v>2.5</v>
      </c>
      <c r="J13731" s="689">
        <v>2.5</v>
      </c>
      <c r="K13731" s="689">
        <v>2.6</v>
      </c>
    </row>
    <row r="13732" spans="1:11">
      <c r="A13732" s="688" t="s">
        <v>27</v>
      </c>
      <c r="B13732" s="692" t="s">
        <v>4060</v>
      </c>
      <c r="C13732" s="691">
        <v>3.3</v>
      </c>
      <c r="D13732" s="615">
        <v>3</v>
      </c>
      <c r="E13732" s="691">
        <v>3.3</v>
      </c>
      <c r="F13732" s="691">
        <v>3.1</v>
      </c>
      <c r="G13732" s="691">
        <v>3.1</v>
      </c>
      <c r="H13732" s="691">
        <v>3.2</v>
      </c>
      <c r="I13732" s="691">
        <v>2.7</v>
      </c>
      <c r="J13732" s="615">
        <v>3</v>
      </c>
      <c r="K13732" s="691">
        <v>2.8</v>
      </c>
    </row>
    <row r="13733" spans="1:11">
      <c r="A13733" s="688" t="s">
        <v>6</v>
      </c>
      <c r="B13733" s="690" t="s">
        <v>4060</v>
      </c>
      <c r="C13733" s="689">
        <v>3.1</v>
      </c>
      <c r="D13733" s="689">
        <v>2.9</v>
      </c>
      <c r="E13733" s="693">
        <v>3</v>
      </c>
      <c r="F13733" s="693">
        <v>3</v>
      </c>
      <c r="G13733" s="693">
        <v>3</v>
      </c>
      <c r="H13733" s="693">
        <v>3</v>
      </c>
      <c r="I13733" s="689">
        <v>2.6</v>
      </c>
      <c r="J13733" s="689">
        <v>2.8</v>
      </c>
      <c r="K13733" s="689">
        <v>2.6</v>
      </c>
    </row>
    <row r="13734" spans="1:11">
      <c r="A13734" s="688" t="s">
        <v>4058</v>
      </c>
      <c r="B13734" s="692" t="s">
        <v>4060</v>
      </c>
      <c r="C13734" s="692" t="s">
        <v>4060</v>
      </c>
      <c r="D13734" s="692" t="s">
        <v>4060</v>
      </c>
      <c r="E13734" s="692" t="s">
        <v>4060</v>
      </c>
      <c r="F13734" s="692" t="s">
        <v>4060</v>
      </c>
      <c r="G13734" s="692" t="s">
        <v>4060</v>
      </c>
      <c r="H13734" s="692" t="s">
        <v>4060</v>
      </c>
      <c r="I13734" s="692" t="s">
        <v>4060</v>
      </c>
      <c r="J13734" s="692" t="s">
        <v>4060</v>
      </c>
      <c r="K13734" s="692" t="s">
        <v>4060</v>
      </c>
    </row>
    <row r="13735" spans="1:11">
      <c r="A13735" s="688" t="s">
        <v>11</v>
      </c>
      <c r="B13735" s="690" t="s">
        <v>4060</v>
      </c>
      <c r="C13735" s="689">
        <v>2.2999999999999998</v>
      </c>
      <c r="D13735" s="689">
        <v>2.2000000000000002</v>
      </c>
      <c r="E13735" s="689">
        <v>2.4</v>
      </c>
      <c r="F13735" s="689">
        <v>2.2999999999999998</v>
      </c>
      <c r="G13735" s="689">
        <v>2.2999999999999998</v>
      </c>
      <c r="H13735" s="689">
        <v>2.2999999999999998</v>
      </c>
      <c r="I13735" s="689">
        <v>2.1</v>
      </c>
      <c r="J13735" s="689">
        <v>2.1</v>
      </c>
      <c r="K13735" s="689">
        <v>1.9</v>
      </c>
    </row>
    <row r="13736" spans="1:11">
      <c r="A13736" s="688" t="s">
        <v>10</v>
      </c>
      <c r="B13736" s="692" t="s">
        <v>4060</v>
      </c>
      <c r="C13736" s="691">
        <v>2.8</v>
      </c>
      <c r="D13736" s="691">
        <v>2.5</v>
      </c>
      <c r="E13736" s="691">
        <v>2.8</v>
      </c>
      <c r="F13736" s="691">
        <v>2.6</v>
      </c>
      <c r="G13736" s="691">
        <v>2.8</v>
      </c>
      <c r="H13736" s="691">
        <v>2.8</v>
      </c>
      <c r="I13736" s="691">
        <v>2.5</v>
      </c>
      <c r="J13736" s="691">
        <v>2.6</v>
      </c>
      <c r="K13736" s="691">
        <v>2.4</v>
      </c>
    </row>
    <row r="13737" spans="1:11">
      <c r="A13737" s="688" t="s">
        <v>30</v>
      </c>
      <c r="B13737" s="690" t="s">
        <v>4060</v>
      </c>
      <c r="C13737" s="689">
        <v>2.9</v>
      </c>
      <c r="D13737" s="689">
        <v>3.2</v>
      </c>
      <c r="E13737" s="689">
        <v>3.5</v>
      </c>
      <c r="F13737" s="689">
        <v>3.3</v>
      </c>
      <c r="G13737" s="689">
        <v>4.5999999999999996</v>
      </c>
      <c r="H13737" s="689">
        <v>4.7</v>
      </c>
      <c r="I13737" s="689">
        <v>4.3</v>
      </c>
      <c r="J13737" s="689">
        <v>3.4</v>
      </c>
      <c r="K13737" s="689">
        <v>2.9</v>
      </c>
    </row>
    <row r="13738" spans="1:11">
      <c r="A13738" s="688" t="s">
        <v>12</v>
      </c>
      <c r="B13738" s="692" t="s">
        <v>4060</v>
      </c>
      <c r="C13738" s="691">
        <v>2.7</v>
      </c>
      <c r="D13738" s="691">
        <v>2.6</v>
      </c>
      <c r="E13738" s="691">
        <v>2.4</v>
      </c>
      <c r="F13738" s="691">
        <v>2.5</v>
      </c>
      <c r="G13738" s="691">
        <v>2.6</v>
      </c>
      <c r="H13738" s="691">
        <v>2.5</v>
      </c>
      <c r="I13738" s="691">
        <v>2.8</v>
      </c>
      <c r="J13738" s="691">
        <v>2.2999999999999998</v>
      </c>
      <c r="K13738" s="691">
        <v>2.2000000000000002</v>
      </c>
    </row>
    <row r="13739" spans="1:11">
      <c r="A13739" s="688" t="s">
        <v>14</v>
      </c>
      <c r="B13739" s="690" t="s">
        <v>4060</v>
      </c>
      <c r="C13739" s="689">
        <v>2.4</v>
      </c>
      <c r="D13739" s="693">
        <v>2</v>
      </c>
      <c r="E13739" s="689">
        <v>1.4</v>
      </c>
      <c r="F13739" s="689">
        <v>1.4</v>
      </c>
      <c r="G13739" s="689">
        <v>1.2</v>
      </c>
      <c r="H13739" s="689">
        <v>1.2</v>
      </c>
      <c r="I13739" s="689">
        <v>1.7</v>
      </c>
      <c r="J13739" s="689">
        <v>2.2000000000000002</v>
      </c>
      <c r="K13739" s="689">
        <v>2.2999999999999998</v>
      </c>
    </row>
    <row r="13740" spans="1:11">
      <c r="A13740" s="688" t="s">
        <v>15</v>
      </c>
      <c r="B13740" s="692" t="s">
        <v>4060</v>
      </c>
      <c r="C13740" s="691">
        <v>2.6</v>
      </c>
      <c r="D13740" s="691">
        <v>3.7</v>
      </c>
      <c r="E13740" s="691">
        <v>2.9</v>
      </c>
      <c r="F13740" s="691">
        <v>2.5</v>
      </c>
      <c r="G13740" s="691">
        <v>2.8</v>
      </c>
      <c r="H13740" s="615">
        <v>3</v>
      </c>
      <c r="I13740" s="615">
        <v>3</v>
      </c>
      <c r="J13740" s="691">
        <v>2.2999999999999998</v>
      </c>
      <c r="K13740" s="691">
        <v>2.5</v>
      </c>
    </row>
    <row r="13741" spans="1:11">
      <c r="A13741" s="688" t="s">
        <v>29</v>
      </c>
      <c r="B13741" s="690" t="s">
        <v>4060</v>
      </c>
      <c r="C13741" s="689">
        <v>4.0999999999999996</v>
      </c>
      <c r="D13741" s="689">
        <v>3.2</v>
      </c>
      <c r="E13741" s="689">
        <v>3.8</v>
      </c>
      <c r="F13741" s="689">
        <v>3.7</v>
      </c>
      <c r="G13741" s="689">
        <v>3.9</v>
      </c>
      <c r="H13741" s="693">
        <v>4</v>
      </c>
      <c r="I13741" s="689">
        <v>4.3</v>
      </c>
      <c r="J13741" s="689">
        <v>4.0999999999999996</v>
      </c>
      <c r="K13741" s="689">
        <v>3.4</v>
      </c>
    </row>
    <row r="13742" spans="1:11">
      <c r="A13742" s="688" t="s">
        <v>16</v>
      </c>
      <c r="B13742" s="692" t="s">
        <v>4060</v>
      </c>
      <c r="C13742" s="615">
        <v>3</v>
      </c>
      <c r="D13742" s="691">
        <v>2.2999999999999998</v>
      </c>
      <c r="E13742" s="691">
        <v>2.8</v>
      </c>
      <c r="F13742" s="691">
        <v>1.7</v>
      </c>
      <c r="G13742" s="691">
        <v>2.4</v>
      </c>
      <c r="H13742" s="691">
        <v>2.2999999999999998</v>
      </c>
      <c r="I13742" s="691">
        <v>2.2999999999999998</v>
      </c>
      <c r="J13742" s="691">
        <v>2.8</v>
      </c>
      <c r="K13742" s="691">
        <v>2.8</v>
      </c>
    </row>
    <row r="13743" spans="1:11">
      <c r="A13743" s="688" t="s">
        <v>17</v>
      </c>
      <c r="B13743" s="690" t="s">
        <v>4060</v>
      </c>
      <c r="C13743" s="689">
        <v>2.7</v>
      </c>
      <c r="D13743" s="689">
        <v>2.5</v>
      </c>
      <c r="E13743" s="689">
        <v>2.6</v>
      </c>
      <c r="F13743" s="689">
        <v>2.5</v>
      </c>
      <c r="G13743" s="689">
        <v>2.6</v>
      </c>
      <c r="H13743" s="689">
        <v>2.6</v>
      </c>
      <c r="I13743" s="689">
        <v>2.2999999999999998</v>
      </c>
      <c r="J13743" s="689">
        <v>2.2999999999999998</v>
      </c>
      <c r="K13743" s="689">
        <v>2.2000000000000002</v>
      </c>
    </row>
    <row r="13744" spans="1:11">
      <c r="A13744" s="688" t="s">
        <v>19</v>
      </c>
      <c r="B13744" s="692" t="s">
        <v>4060</v>
      </c>
      <c r="C13744" s="691">
        <v>2.7</v>
      </c>
      <c r="D13744" s="691">
        <v>2.6</v>
      </c>
      <c r="E13744" s="691">
        <v>2.6</v>
      </c>
      <c r="F13744" s="691">
        <v>2.6</v>
      </c>
      <c r="G13744" s="691">
        <v>2.6</v>
      </c>
      <c r="H13744" s="691">
        <v>2.7</v>
      </c>
      <c r="I13744" s="691">
        <v>2.4</v>
      </c>
      <c r="J13744" s="691">
        <v>2.4</v>
      </c>
      <c r="K13744" s="691">
        <v>2.2999999999999998</v>
      </c>
    </row>
    <row r="13745" spans="1:11">
      <c r="A13745" s="688" t="s">
        <v>20</v>
      </c>
      <c r="B13745" s="690" t="s">
        <v>4060</v>
      </c>
      <c r="C13745" s="689">
        <v>3.2</v>
      </c>
      <c r="D13745" s="693">
        <v>3</v>
      </c>
      <c r="E13745" s="689">
        <v>3.3</v>
      </c>
      <c r="F13745" s="689">
        <v>3.3</v>
      </c>
      <c r="G13745" s="689">
        <v>3.4</v>
      </c>
      <c r="H13745" s="689">
        <v>3.7</v>
      </c>
      <c r="I13745" s="689">
        <v>2.9</v>
      </c>
      <c r="J13745" s="689">
        <v>2.6</v>
      </c>
      <c r="K13745" s="689">
        <v>2.9</v>
      </c>
    </row>
    <row r="13746" spans="1:11">
      <c r="A13746" s="688" t="s">
        <v>21</v>
      </c>
      <c r="B13746" s="692" t="s">
        <v>4060</v>
      </c>
      <c r="C13746" s="691">
        <v>2.8</v>
      </c>
      <c r="D13746" s="615">
        <v>3</v>
      </c>
      <c r="E13746" s="691">
        <v>2.9</v>
      </c>
      <c r="F13746" s="691">
        <v>2.9</v>
      </c>
      <c r="G13746" s="691">
        <v>2.9</v>
      </c>
      <c r="H13746" s="691">
        <v>2.8</v>
      </c>
      <c r="I13746" s="691">
        <v>2.7</v>
      </c>
      <c r="J13746" s="691">
        <v>2.6</v>
      </c>
      <c r="K13746" s="691">
        <v>2.5</v>
      </c>
    </row>
    <row r="13747" spans="1:11">
      <c r="A13747" s="688" t="s">
        <v>22</v>
      </c>
      <c r="B13747" s="690" t="s">
        <v>4060</v>
      </c>
      <c r="C13747" s="689">
        <v>3.3</v>
      </c>
      <c r="D13747" s="689">
        <v>3.5</v>
      </c>
      <c r="E13747" s="689">
        <v>4.2</v>
      </c>
      <c r="F13747" s="689">
        <v>4.5999999999999996</v>
      </c>
      <c r="G13747" s="689">
        <v>5.0999999999999996</v>
      </c>
      <c r="H13747" s="689">
        <v>5.8</v>
      </c>
      <c r="I13747" s="689">
        <v>5.4</v>
      </c>
      <c r="J13747" s="689">
        <v>3.9</v>
      </c>
      <c r="K13747" s="689">
        <v>2.4</v>
      </c>
    </row>
    <row r="13748" spans="1:11">
      <c r="A13748" s="688" t="s">
        <v>26</v>
      </c>
      <c r="B13748" s="692" t="s">
        <v>4060</v>
      </c>
      <c r="C13748" s="691">
        <v>3.4</v>
      </c>
      <c r="D13748" s="691">
        <v>2.9</v>
      </c>
      <c r="E13748" s="691">
        <v>3.6</v>
      </c>
      <c r="F13748" s="691">
        <v>2.9</v>
      </c>
      <c r="G13748" s="691">
        <v>3.1</v>
      </c>
      <c r="H13748" s="691">
        <v>3.1</v>
      </c>
      <c r="I13748" s="691">
        <v>2.2000000000000002</v>
      </c>
      <c r="J13748" s="691">
        <v>2.7</v>
      </c>
      <c r="K13748" s="691">
        <v>2.7</v>
      </c>
    </row>
    <row r="13749" spans="1:11">
      <c r="A13749" s="688" t="s">
        <v>25</v>
      </c>
      <c r="B13749" s="690" t="s">
        <v>4060</v>
      </c>
      <c r="C13749" s="689">
        <v>4.9000000000000004</v>
      </c>
      <c r="D13749" s="689">
        <v>4.5999999999999996</v>
      </c>
      <c r="E13749" s="689">
        <v>5.7</v>
      </c>
      <c r="F13749" s="689">
        <v>5.2</v>
      </c>
      <c r="G13749" s="689">
        <v>6.1</v>
      </c>
      <c r="H13749" s="689">
        <v>6.4</v>
      </c>
      <c r="I13749" s="689">
        <v>6.8</v>
      </c>
      <c r="J13749" s="689">
        <v>4.8</v>
      </c>
      <c r="K13749" s="689">
        <v>4.5999999999999996</v>
      </c>
    </row>
    <row r="13750" spans="1:11">
      <c r="A13750" s="688" t="s">
        <v>5</v>
      </c>
      <c r="B13750" s="692" t="s">
        <v>4060</v>
      </c>
      <c r="C13750" s="691">
        <v>2.8</v>
      </c>
      <c r="D13750" s="691">
        <v>2.6</v>
      </c>
      <c r="E13750" s="691">
        <v>2.5</v>
      </c>
      <c r="F13750" s="691">
        <v>2.6</v>
      </c>
      <c r="G13750" s="691">
        <v>2.6</v>
      </c>
      <c r="H13750" s="691">
        <v>2.7</v>
      </c>
      <c r="I13750" s="691">
        <v>2.7</v>
      </c>
      <c r="J13750" s="691">
        <v>2.4</v>
      </c>
      <c r="K13750" s="691">
        <v>2.4</v>
      </c>
    </row>
    <row r="13751" spans="1:11">
      <c r="A13751" s="688" t="s">
        <v>23</v>
      </c>
      <c r="B13751" s="690" t="s">
        <v>4060</v>
      </c>
      <c r="C13751" s="689">
        <v>2.6</v>
      </c>
      <c r="D13751" s="689">
        <v>2.5</v>
      </c>
      <c r="E13751" s="689">
        <v>2.5</v>
      </c>
      <c r="F13751" s="689">
        <v>2.5</v>
      </c>
      <c r="G13751" s="689">
        <v>2.6</v>
      </c>
      <c r="H13751" s="689">
        <v>2.7</v>
      </c>
      <c r="I13751" s="689">
        <v>2.4</v>
      </c>
      <c r="J13751" s="689">
        <v>2.6</v>
      </c>
      <c r="K13751" s="689">
        <v>2.5</v>
      </c>
    </row>
    <row r="13752" spans="1:11">
      <c r="A13752" s="688" t="s">
        <v>4067</v>
      </c>
      <c r="B13752" s="692" t="s">
        <v>4060</v>
      </c>
      <c r="C13752" s="692" t="s">
        <v>4060</v>
      </c>
      <c r="D13752" s="692" t="s">
        <v>4060</v>
      </c>
      <c r="E13752" s="692" t="s">
        <v>4060</v>
      </c>
      <c r="F13752" s="692" t="s">
        <v>4060</v>
      </c>
      <c r="G13752" s="692" t="s">
        <v>4060</v>
      </c>
      <c r="H13752" s="692" t="s">
        <v>4060</v>
      </c>
      <c r="I13752" s="692" t="s">
        <v>4060</v>
      </c>
      <c r="J13752" s="692" t="s">
        <v>4060</v>
      </c>
      <c r="K13752" s="692" t="s">
        <v>4060</v>
      </c>
    </row>
    <row r="13753" spans="1:11">
      <c r="A13753" s="688" t="s">
        <v>4066</v>
      </c>
      <c r="B13753" s="690" t="s">
        <v>4060</v>
      </c>
      <c r="C13753" s="690" t="s">
        <v>4060</v>
      </c>
      <c r="D13753" s="690" t="s">
        <v>4060</v>
      </c>
      <c r="E13753" s="690" t="s">
        <v>4060</v>
      </c>
      <c r="F13753" s="690" t="s">
        <v>4060</v>
      </c>
      <c r="G13753" s="690" t="s">
        <v>4060</v>
      </c>
      <c r="H13753" s="690" t="s">
        <v>4060</v>
      </c>
      <c r="I13753" s="690" t="s">
        <v>4060</v>
      </c>
      <c r="J13753" s="690" t="s">
        <v>4060</v>
      </c>
      <c r="K13753" s="690" t="s">
        <v>4060</v>
      </c>
    </row>
    <row r="13754" spans="1:11">
      <c r="A13754" s="688" t="s">
        <v>4062</v>
      </c>
      <c r="B13754" s="692" t="s">
        <v>4060</v>
      </c>
      <c r="C13754" s="691">
        <v>2.7</v>
      </c>
      <c r="D13754" s="691">
        <v>2.6</v>
      </c>
      <c r="E13754" s="691">
        <v>2.7</v>
      </c>
      <c r="F13754" s="691">
        <v>2.6</v>
      </c>
      <c r="G13754" s="691">
        <v>2.7</v>
      </c>
      <c r="H13754" s="691">
        <v>2.8</v>
      </c>
      <c r="I13754" s="691">
        <v>2.5</v>
      </c>
      <c r="J13754" s="691">
        <v>2.7</v>
      </c>
      <c r="K13754" s="691">
        <v>2.5</v>
      </c>
    </row>
    <row r="13755" spans="1:11">
      <c r="A13755" s="688" t="s">
        <v>9</v>
      </c>
      <c r="B13755" s="690" t="s">
        <v>4060</v>
      </c>
      <c r="C13755" s="689">
        <v>2.8</v>
      </c>
      <c r="D13755" s="689">
        <v>2.4</v>
      </c>
      <c r="E13755" s="689">
        <v>3.3</v>
      </c>
      <c r="F13755" s="693">
        <v>3</v>
      </c>
      <c r="G13755" s="689">
        <v>2.5</v>
      </c>
      <c r="H13755" s="689">
        <v>2.6</v>
      </c>
      <c r="I13755" s="693">
        <v>3</v>
      </c>
      <c r="J13755" s="689">
        <v>2.9</v>
      </c>
      <c r="K13755" s="689">
        <v>2.6</v>
      </c>
    </row>
    <row r="13756" spans="1:11">
      <c r="A13756" s="688" t="s">
        <v>13</v>
      </c>
      <c r="B13756" s="692" t="s">
        <v>4060</v>
      </c>
      <c r="C13756" s="615">
        <v>3</v>
      </c>
      <c r="D13756" s="615">
        <v>3</v>
      </c>
      <c r="E13756" s="691">
        <v>3.8</v>
      </c>
      <c r="F13756" s="691">
        <v>2.8</v>
      </c>
      <c r="G13756" s="691">
        <v>3.7</v>
      </c>
      <c r="H13756" s="691">
        <v>1.4</v>
      </c>
      <c r="I13756" s="691">
        <v>0.8</v>
      </c>
      <c r="J13756" s="615">
        <v>5</v>
      </c>
      <c r="K13756" s="691">
        <v>1.5</v>
      </c>
    </row>
    <row r="13757" spans="1:11">
      <c r="A13757" s="688" t="s">
        <v>18</v>
      </c>
      <c r="B13757" s="690" t="s">
        <v>4060</v>
      </c>
      <c r="C13757" s="689">
        <v>2.7</v>
      </c>
      <c r="D13757" s="689">
        <v>2.6</v>
      </c>
      <c r="E13757" s="689">
        <v>2.5</v>
      </c>
      <c r="F13757" s="689">
        <v>2.6</v>
      </c>
      <c r="G13757" s="689">
        <v>2.7</v>
      </c>
      <c r="H13757" s="689">
        <v>2.9</v>
      </c>
      <c r="I13757" s="689">
        <v>2.8</v>
      </c>
      <c r="J13757" s="689">
        <v>2.7</v>
      </c>
      <c r="K13757" s="689">
        <v>2.5</v>
      </c>
    </row>
    <row r="13758" spans="1:11">
      <c r="A13758" s="688" t="s">
        <v>24</v>
      </c>
      <c r="B13758" s="692" t="s">
        <v>4060</v>
      </c>
      <c r="C13758" s="691">
        <v>2.7</v>
      </c>
      <c r="D13758" s="691">
        <v>2.5</v>
      </c>
      <c r="E13758" s="691">
        <v>2.8</v>
      </c>
      <c r="F13758" s="691">
        <v>2.6</v>
      </c>
      <c r="G13758" s="691">
        <v>2.8</v>
      </c>
      <c r="H13758" s="691">
        <v>2.7</v>
      </c>
      <c r="I13758" s="691">
        <v>2.2999999999999998</v>
      </c>
      <c r="J13758" s="691">
        <v>2.6</v>
      </c>
      <c r="K13758" s="691">
        <v>2.4</v>
      </c>
    </row>
    <row r="13759" spans="1:11">
      <c r="A13759" s="688" t="s">
        <v>4059</v>
      </c>
      <c r="B13759" s="690" t="s">
        <v>4060</v>
      </c>
      <c r="C13759" s="690" t="s">
        <v>4060</v>
      </c>
      <c r="D13759" s="690" t="s">
        <v>4060</v>
      </c>
      <c r="E13759" s="690" t="s">
        <v>4060</v>
      </c>
      <c r="F13759" s="690" t="s">
        <v>4060</v>
      </c>
      <c r="G13759" s="690" t="s">
        <v>4060</v>
      </c>
      <c r="H13759" s="690" t="s">
        <v>4060</v>
      </c>
      <c r="I13759" s="690" t="s">
        <v>4060</v>
      </c>
      <c r="J13759" s="690" t="s">
        <v>4060</v>
      </c>
      <c r="K13759" s="690" t="s">
        <v>4060</v>
      </c>
    </row>
    <row r="13760" spans="1:11">
      <c r="A13760" s="688" t="s">
        <v>2324</v>
      </c>
      <c r="B13760" s="692" t="s">
        <v>4060</v>
      </c>
      <c r="C13760" s="692" t="s">
        <v>4060</v>
      </c>
      <c r="D13760" s="692" t="s">
        <v>4060</v>
      </c>
      <c r="E13760" s="692" t="s">
        <v>4060</v>
      </c>
      <c r="F13760" s="692" t="s">
        <v>4060</v>
      </c>
      <c r="G13760" s="692" t="s">
        <v>4060</v>
      </c>
      <c r="H13760" s="692" t="s">
        <v>4060</v>
      </c>
      <c r="I13760" s="692" t="s">
        <v>4060</v>
      </c>
      <c r="J13760" s="692" t="s">
        <v>4060</v>
      </c>
      <c r="K13760" s="692" t="s">
        <v>4060</v>
      </c>
    </row>
    <row r="13761" spans="1:11">
      <c r="A13761" s="688" t="s">
        <v>2322</v>
      </c>
      <c r="B13761" s="690" t="s">
        <v>4060</v>
      </c>
      <c r="C13761" s="690" t="s">
        <v>4060</v>
      </c>
      <c r="D13761" s="690" t="s">
        <v>4060</v>
      </c>
      <c r="E13761" s="690" t="s">
        <v>4060</v>
      </c>
      <c r="F13761" s="690" t="s">
        <v>4060</v>
      </c>
      <c r="G13761" s="690" t="s">
        <v>4060</v>
      </c>
      <c r="H13761" s="690" t="s">
        <v>4060</v>
      </c>
      <c r="I13761" s="690" t="s">
        <v>4060</v>
      </c>
      <c r="J13761" s="690" t="s">
        <v>4060</v>
      </c>
      <c r="K13761" s="690" t="s">
        <v>4060</v>
      </c>
    </row>
    <row r="13762" spans="1:11">
      <c r="A13762" s="688" t="s">
        <v>2328</v>
      </c>
      <c r="B13762" s="692" t="s">
        <v>4060</v>
      </c>
      <c r="C13762" s="692" t="s">
        <v>4060</v>
      </c>
      <c r="D13762" s="692" t="s">
        <v>4060</v>
      </c>
      <c r="E13762" s="692" t="s">
        <v>4060</v>
      </c>
      <c r="F13762" s="692" t="s">
        <v>4060</v>
      </c>
      <c r="G13762" s="692" t="s">
        <v>4060</v>
      </c>
      <c r="H13762" s="692" t="s">
        <v>4060</v>
      </c>
      <c r="I13762" s="692" t="s">
        <v>4060</v>
      </c>
      <c r="J13762" s="692" t="s">
        <v>4060</v>
      </c>
      <c r="K13762" s="692" t="s">
        <v>4060</v>
      </c>
    </row>
    <row r="13763" spans="1:11">
      <c r="A13763" s="688" t="s">
        <v>2496</v>
      </c>
      <c r="B13763" s="690" t="s">
        <v>4060</v>
      </c>
      <c r="C13763" s="690" t="s">
        <v>4060</v>
      </c>
      <c r="D13763" s="690" t="s">
        <v>4060</v>
      </c>
      <c r="E13763" s="690" t="s">
        <v>4060</v>
      </c>
      <c r="F13763" s="690" t="s">
        <v>4060</v>
      </c>
      <c r="G13763" s="690" t="s">
        <v>4060</v>
      </c>
      <c r="H13763" s="690" t="s">
        <v>4060</v>
      </c>
      <c r="I13763" s="690" t="s">
        <v>4060</v>
      </c>
      <c r="J13763" s="690" t="s">
        <v>4060</v>
      </c>
      <c r="K13763" s="690" t="s">
        <v>4060</v>
      </c>
    </row>
    <row r="13764" spans="1:11">
      <c r="A13764" s="688" t="s">
        <v>2269</v>
      </c>
      <c r="B13764" s="692" t="s">
        <v>4060</v>
      </c>
      <c r="C13764" s="692" t="s">
        <v>4060</v>
      </c>
      <c r="D13764" s="692" t="s">
        <v>4060</v>
      </c>
      <c r="E13764" s="692" t="s">
        <v>4060</v>
      </c>
      <c r="F13764" s="692" t="s">
        <v>4060</v>
      </c>
      <c r="G13764" s="692" t="s">
        <v>4060</v>
      </c>
      <c r="H13764" s="692" t="s">
        <v>4060</v>
      </c>
      <c r="I13764" s="692" t="s">
        <v>4060</v>
      </c>
      <c r="J13764" s="692" t="s">
        <v>4060</v>
      </c>
      <c r="K13764" s="692" t="s">
        <v>4060</v>
      </c>
    </row>
    <row r="13765" spans="1:11">
      <c r="A13765" s="688" t="s">
        <v>2349</v>
      </c>
      <c r="B13765" s="690" t="s">
        <v>4060</v>
      </c>
      <c r="C13765" s="690" t="s">
        <v>4060</v>
      </c>
      <c r="D13765" s="690" t="s">
        <v>4060</v>
      </c>
      <c r="E13765" s="690" t="s">
        <v>4060</v>
      </c>
      <c r="F13765" s="690" t="s">
        <v>4060</v>
      </c>
      <c r="G13765" s="690" t="s">
        <v>4060</v>
      </c>
      <c r="H13765" s="690" t="s">
        <v>4060</v>
      </c>
      <c r="I13765" s="690" t="s">
        <v>4060</v>
      </c>
      <c r="J13765" s="690" t="s">
        <v>4060</v>
      </c>
      <c r="K13765" s="690" t="s">
        <v>4060</v>
      </c>
    </row>
    <row r="13766" spans="1:11">
      <c r="A13766" s="688" t="s">
        <v>2355</v>
      </c>
      <c r="B13766" s="692" t="s">
        <v>4060</v>
      </c>
      <c r="C13766" s="692" t="s">
        <v>4060</v>
      </c>
      <c r="D13766" s="692" t="s">
        <v>4060</v>
      </c>
      <c r="E13766" s="692" t="s">
        <v>4060</v>
      </c>
      <c r="F13766" s="692" t="s">
        <v>4060</v>
      </c>
      <c r="G13766" s="692" t="s">
        <v>4060</v>
      </c>
      <c r="H13766" s="692" t="s">
        <v>4060</v>
      </c>
      <c r="I13766" s="692" t="s">
        <v>4060</v>
      </c>
      <c r="J13766" s="692" t="s">
        <v>4060</v>
      </c>
      <c r="K13766" s="692" t="s">
        <v>4060</v>
      </c>
    </row>
    <row r="13767" spans="1:11">
      <c r="A13767" s="688" t="s">
        <v>2357</v>
      </c>
      <c r="B13767" s="690" t="s">
        <v>4060</v>
      </c>
      <c r="C13767" s="690" t="s">
        <v>4060</v>
      </c>
      <c r="D13767" s="690" t="s">
        <v>4060</v>
      </c>
      <c r="E13767" s="690" t="s">
        <v>4060</v>
      </c>
      <c r="F13767" s="690" t="s">
        <v>4060</v>
      </c>
      <c r="G13767" s="690" t="s">
        <v>4060</v>
      </c>
      <c r="H13767" s="690" t="s">
        <v>4060</v>
      </c>
      <c r="I13767" s="690" t="s">
        <v>4060</v>
      </c>
      <c r="J13767" s="690" t="s">
        <v>4060</v>
      </c>
      <c r="K13767" s="690" t="s">
        <v>4060</v>
      </c>
    </row>
    <row r="13768" spans="1:11">
      <c r="A13768" s="688" t="s">
        <v>4070</v>
      </c>
      <c r="B13768" s="692" t="s">
        <v>4060</v>
      </c>
      <c r="C13768" s="692" t="s">
        <v>4060</v>
      </c>
      <c r="D13768" s="692" t="s">
        <v>4060</v>
      </c>
      <c r="E13768" s="692" t="s">
        <v>4060</v>
      </c>
      <c r="F13768" s="692" t="s">
        <v>4060</v>
      </c>
      <c r="G13768" s="692" t="s">
        <v>4060</v>
      </c>
      <c r="H13768" s="692" t="s">
        <v>4060</v>
      </c>
      <c r="I13768" s="692" t="s">
        <v>4060</v>
      </c>
      <c r="J13768" s="692" t="s">
        <v>4060</v>
      </c>
      <c r="K13768" s="692" t="s">
        <v>4060</v>
      </c>
    </row>
    <row r="13769" spans="1:11">
      <c r="A13769" s="688" t="s">
        <v>2491</v>
      </c>
      <c r="B13769" s="690" t="s">
        <v>4060</v>
      </c>
      <c r="C13769" s="690" t="s">
        <v>4060</v>
      </c>
      <c r="D13769" s="690" t="s">
        <v>4060</v>
      </c>
      <c r="E13769" s="690" t="s">
        <v>4060</v>
      </c>
      <c r="F13769" s="690" t="s">
        <v>4060</v>
      </c>
      <c r="G13769" s="690" t="s">
        <v>4060</v>
      </c>
      <c r="H13769" s="690" t="s">
        <v>4060</v>
      </c>
      <c r="I13769" s="690" t="s">
        <v>4060</v>
      </c>
      <c r="J13769" s="690" t="s">
        <v>4060</v>
      </c>
      <c r="K13769" s="690" t="s">
        <v>4060</v>
      </c>
    </row>
    <row r="13770" spans="1:11">
      <c r="A13770" s="688" t="s">
        <v>2343</v>
      </c>
      <c r="B13770" s="692" t="s">
        <v>4060</v>
      </c>
      <c r="C13770" s="692" t="s">
        <v>4060</v>
      </c>
      <c r="D13770" s="692" t="s">
        <v>4060</v>
      </c>
      <c r="E13770" s="692" t="s">
        <v>4060</v>
      </c>
      <c r="F13770" s="692" t="s">
        <v>4060</v>
      </c>
      <c r="G13770" s="692" t="s">
        <v>4060</v>
      </c>
      <c r="H13770" s="692" t="s">
        <v>4060</v>
      </c>
      <c r="I13770" s="692" t="s">
        <v>4060</v>
      </c>
      <c r="J13770" s="692" t="s">
        <v>4060</v>
      </c>
      <c r="K13770" s="692" t="s">
        <v>4060</v>
      </c>
    </row>
    <row r="13771" spans="1:11">
      <c r="A13771" s="688" t="s">
        <v>4071</v>
      </c>
      <c r="B13771" s="690" t="s">
        <v>4060</v>
      </c>
      <c r="C13771" s="690" t="s">
        <v>4060</v>
      </c>
      <c r="D13771" s="690" t="s">
        <v>4060</v>
      </c>
      <c r="E13771" s="690" t="s">
        <v>4060</v>
      </c>
      <c r="F13771" s="690" t="s">
        <v>4060</v>
      </c>
      <c r="G13771" s="690" t="s">
        <v>4060</v>
      </c>
      <c r="H13771" s="690" t="s">
        <v>4060</v>
      </c>
      <c r="I13771" s="690" t="s">
        <v>4060</v>
      </c>
      <c r="J13771" s="690" t="s">
        <v>4060</v>
      </c>
      <c r="K13771" s="690" t="s">
        <v>4060</v>
      </c>
    </row>
    <row r="13772" spans="1:11">
      <c r="A13772" s="688" t="s">
        <v>2489</v>
      </c>
      <c r="B13772" s="692" t="s">
        <v>4060</v>
      </c>
      <c r="C13772" s="692" t="s">
        <v>4060</v>
      </c>
      <c r="D13772" s="692" t="s">
        <v>4060</v>
      </c>
      <c r="E13772" s="692" t="s">
        <v>4060</v>
      </c>
      <c r="F13772" s="692" t="s">
        <v>4060</v>
      </c>
      <c r="G13772" s="692" t="s">
        <v>4060</v>
      </c>
      <c r="H13772" s="692" t="s">
        <v>4060</v>
      </c>
      <c r="I13772" s="692" t="s">
        <v>4060</v>
      </c>
      <c r="J13772" s="692" t="s">
        <v>4060</v>
      </c>
      <c r="K13772" s="692" t="s">
        <v>4060</v>
      </c>
    </row>
    <row r="13773" spans="1:11">
      <c r="A13773" s="688" t="s">
        <v>2490</v>
      </c>
      <c r="B13773" s="690" t="s">
        <v>4060</v>
      </c>
      <c r="C13773" s="690" t="s">
        <v>4060</v>
      </c>
      <c r="D13773" s="690" t="s">
        <v>4060</v>
      </c>
      <c r="E13773" s="690" t="s">
        <v>4060</v>
      </c>
      <c r="F13773" s="690" t="s">
        <v>4060</v>
      </c>
      <c r="G13773" s="690" t="s">
        <v>4060</v>
      </c>
      <c r="H13773" s="690" t="s">
        <v>4060</v>
      </c>
      <c r="I13773" s="690" t="s">
        <v>4060</v>
      </c>
      <c r="J13773" s="690" t="s">
        <v>4060</v>
      </c>
      <c r="K13773" s="690" t="s">
        <v>4060</v>
      </c>
    </row>
    <row r="13775" spans="1:11">
      <c r="A13775" s="683" t="s">
        <v>4233</v>
      </c>
    </row>
    <row r="13776" spans="1:11">
      <c r="A13776" s="683" t="s">
        <v>4060</v>
      </c>
      <c r="B13776" s="682" t="s">
        <v>4234</v>
      </c>
    </row>
    <row r="13778" spans="1:11">
      <c r="A13778" s="682" t="s">
        <v>4332</v>
      </c>
    </row>
    <row r="13779" spans="1:11">
      <c r="A13779" s="682" t="s">
        <v>4210</v>
      </c>
      <c r="B13779" s="683" t="s">
        <v>4211</v>
      </c>
    </row>
    <row r="13780" spans="1:11">
      <c r="A13780" s="682" t="s">
        <v>4212</v>
      </c>
      <c r="B13780" s="682" t="s">
        <v>4213</v>
      </c>
    </row>
    <row r="13782" spans="1:11">
      <c r="A13782" s="683" t="s">
        <v>4214</v>
      </c>
      <c r="C13782" s="682" t="s">
        <v>4215</v>
      </c>
    </row>
    <row r="13783" spans="1:11">
      <c r="A13783" s="683" t="s">
        <v>4216</v>
      </c>
      <c r="C13783" s="682" t="s">
        <v>2967</v>
      </c>
    </row>
    <row r="13784" spans="1:11">
      <c r="A13784" s="683" t="s">
        <v>3893</v>
      </c>
      <c r="C13784" s="682" t="s">
        <v>2169</v>
      </c>
    </row>
    <row r="13785" spans="1:11">
      <c r="A13785" s="683" t="s">
        <v>4218</v>
      </c>
      <c r="C13785" s="682" t="s">
        <v>4219</v>
      </c>
    </row>
    <row r="13787" spans="1:11">
      <c r="A13787" s="684" t="s">
        <v>4220</v>
      </c>
      <c r="B13787" s="685" t="s">
        <v>4221</v>
      </c>
      <c r="C13787" s="685" t="s">
        <v>4222</v>
      </c>
      <c r="D13787" s="685" t="s">
        <v>4223</v>
      </c>
      <c r="E13787" s="685" t="s">
        <v>4224</v>
      </c>
      <c r="F13787" s="685" t="s">
        <v>4225</v>
      </c>
      <c r="G13787" s="685" t="s">
        <v>4226</v>
      </c>
      <c r="H13787" s="685" t="s">
        <v>4227</v>
      </c>
      <c r="I13787" s="685" t="s">
        <v>4228</v>
      </c>
      <c r="J13787" s="685" t="s">
        <v>4229</v>
      </c>
      <c r="K13787" s="685" t="s">
        <v>4230</v>
      </c>
    </row>
    <row r="13788" spans="1:11">
      <c r="A13788" s="686" t="s">
        <v>4231</v>
      </c>
      <c r="B13788" s="687" t="s">
        <v>4232</v>
      </c>
      <c r="C13788" s="687" t="s">
        <v>4232</v>
      </c>
      <c r="D13788" s="687" t="s">
        <v>4232</v>
      </c>
      <c r="E13788" s="687" t="s">
        <v>4232</v>
      </c>
      <c r="F13788" s="687" t="s">
        <v>4232</v>
      </c>
      <c r="G13788" s="687" t="s">
        <v>4232</v>
      </c>
      <c r="H13788" s="687" t="s">
        <v>4232</v>
      </c>
      <c r="I13788" s="687" t="s">
        <v>4232</v>
      </c>
      <c r="J13788" s="687" t="s">
        <v>4232</v>
      </c>
      <c r="K13788" s="687" t="s">
        <v>4232</v>
      </c>
    </row>
    <row r="13789" spans="1:11">
      <c r="A13789" s="688" t="s">
        <v>2269</v>
      </c>
      <c r="B13789" s="689">
        <v>80.099999999999994</v>
      </c>
      <c r="C13789" s="689">
        <v>80.099999999999994</v>
      </c>
      <c r="D13789" s="689">
        <v>79.7</v>
      </c>
      <c r="E13789" s="689">
        <v>80.099999999999994</v>
      </c>
      <c r="F13789" s="689">
        <v>80.099999999999994</v>
      </c>
      <c r="G13789" s="689">
        <v>80.5</v>
      </c>
      <c r="H13789" s="689">
        <v>80.7</v>
      </c>
      <c r="I13789" s="689">
        <v>79.599999999999994</v>
      </c>
      <c r="J13789" s="689">
        <v>77.7</v>
      </c>
      <c r="K13789" s="689">
        <v>80.900000000000006</v>
      </c>
    </row>
    <row r="13790" spans="1:11">
      <c r="A13790" s="688" t="s">
        <v>2489</v>
      </c>
      <c r="B13790" s="690" t="s">
        <v>4060</v>
      </c>
      <c r="C13790" s="690" t="s">
        <v>4060</v>
      </c>
      <c r="D13790" s="689">
        <v>78.2</v>
      </c>
      <c r="E13790" s="689">
        <v>78.400000000000006</v>
      </c>
      <c r="F13790" s="689">
        <v>78.900000000000006</v>
      </c>
      <c r="G13790" s="689">
        <v>79.7</v>
      </c>
      <c r="H13790" s="689">
        <v>79.7</v>
      </c>
      <c r="I13790" s="690" t="s">
        <v>4060</v>
      </c>
      <c r="J13790" s="690" t="s">
        <v>4060</v>
      </c>
      <c r="K13790" s="690" t="s">
        <v>4060</v>
      </c>
    </row>
    <row r="13791" spans="1:11">
      <c r="A13791" s="688" t="s">
        <v>2490</v>
      </c>
      <c r="B13791" s="691">
        <v>77.099999999999994</v>
      </c>
      <c r="C13791" s="691">
        <v>77.3</v>
      </c>
      <c r="D13791" s="691">
        <v>77.7</v>
      </c>
      <c r="E13791" s="692" t="s">
        <v>4060</v>
      </c>
      <c r="F13791" s="691">
        <v>77.900000000000006</v>
      </c>
      <c r="G13791" s="691">
        <v>78.3</v>
      </c>
      <c r="H13791" s="691">
        <v>78.900000000000006</v>
      </c>
      <c r="I13791" s="692" t="s">
        <v>4060</v>
      </c>
      <c r="J13791" s="692" t="s">
        <v>4060</v>
      </c>
      <c r="K13791" s="692" t="s">
        <v>4060</v>
      </c>
    </row>
    <row r="13792" spans="1:11">
      <c r="A13792" s="688" t="s">
        <v>2491</v>
      </c>
      <c r="B13792" s="615">
        <v>78</v>
      </c>
      <c r="C13792" s="691">
        <v>78.599999999999994</v>
      </c>
      <c r="D13792" s="615">
        <v>79</v>
      </c>
      <c r="E13792" s="691">
        <v>79.2</v>
      </c>
      <c r="F13792" s="691">
        <v>79.3</v>
      </c>
      <c r="G13792" s="691">
        <v>79.5</v>
      </c>
      <c r="H13792" s="692" t="s">
        <v>4060</v>
      </c>
      <c r="I13792" s="692" t="s">
        <v>4060</v>
      </c>
      <c r="J13792" s="692" t="s">
        <v>4060</v>
      </c>
      <c r="K13792" s="692" t="s">
        <v>4060</v>
      </c>
    </row>
    <row r="13793" spans="1:11">
      <c r="A13793" s="688" t="s">
        <v>0</v>
      </c>
      <c r="B13793" s="691">
        <v>83.2</v>
      </c>
      <c r="C13793" s="691">
        <v>83.5</v>
      </c>
      <c r="D13793" s="691">
        <v>83.2</v>
      </c>
      <c r="E13793" s="691">
        <v>83.7</v>
      </c>
      <c r="F13793" s="691">
        <v>83.7</v>
      </c>
      <c r="G13793" s="691">
        <v>83.7</v>
      </c>
      <c r="H13793" s="615">
        <v>84</v>
      </c>
      <c r="I13793" s="691">
        <v>83.1</v>
      </c>
      <c r="J13793" s="691">
        <v>84.1</v>
      </c>
      <c r="K13793" s="691">
        <v>83.8</v>
      </c>
    </row>
    <row r="13794" spans="1:11">
      <c r="A13794" s="688" t="s">
        <v>1</v>
      </c>
      <c r="B13794" s="689">
        <v>78.599999999999994</v>
      </c>
      <c r="C13794" s="689">
        <v>77.900000000000006</v>
      </c>
      <c r="D13794" s="693">
        <v>78</v>
      </c>
      <c r="E13794" s="689">
        <v>78.400000000000006</v>
      </c>
      <c r="F13794" s="689">
        <v>78.2</v>
      </c>
      <c r="G13794" s="689">
        <v>78.3</v>
      </c>
      <c r="H13794" s="689">
        <v>78.5</v>
      </c>
      <c r="I13794" s="689">
        <v>77.3</v>
      </c>
      <c r="J13794" s="693">
        <v>75</v>
      </c>
      <c r="K13794" s="689">
        <v>77.900000000000006</v>
      </c>
    </row>
    <row r="13795" spans="1:11">
      <c r="A13795" s="688" t="s">
        <v>2</v>
      </c>
      <c r="B13795" s="689">
        <v>82.4</v>
      </c>
      <c r="C13795" s="689">
        <v>82.7</v>
      </c>
      <c r="D13795" s="689">
        <v>82.7</v>
      </c>
      <c r="E13795" s="689">
        <v>82.8</v>
      </c>
      <c r="F13795" s="689">
        <v>83.1</v>
      </c>
      <c r="G13795" s="689">
        <v>82.9</v>
      </c>
      <c r="H13795" s="689">
        <v>83.4</v>
      </c>
      <c r="I13795" s="689">
        <v>83.5</v>
      </c>
      <c r="J13795" s="689">
        <v>83.3</v>
      </c>
      <c r="K13795" s="689">
        <v>83.2</v>
      </c>
    </row>
    <row r="13796" spans="1:11">
      <c r="A13796" s="688" t="s">
        <v>3</v>
      </c>
      <c r="B13796" s="615">
        <v>83</v>
      </c>
      <c r="C13796" s="691">
        <v>83.3</v>
      </c>
      <c r="D13796" s="615">
        <v>83</v>
      </c>
      <c r="E13796" s="691">
        <v>83.3</v>
      </c>
      <c r="F13796" s="691">
        <v>83.3</v>
      </c>
      <c r="G13796" s="691">
        <v>83.2</v>
      </c>
      <c r="H13796" s="691">
        <v>83.6</v>
      </c>
      <c r="I13796" s="691">
        <v>83.4</v>
      </c>
      <c r="J13796" s="691">
        <v>83.2</v>
      </c>
      <c r="K13796" s="691">
        <v>82.9</v>
      </c>
    </row>
    <row r="13797" spans="1:11">
      <c r="A13797" s="688" t="s">
        <v>4061</v>
      </c>
      <c r="B13797" s="693">
        <v>83</v>
      </c>
      <c r="C13797" s="689">
        <v>83.3</v>
      </c>
      <c r="D13797" s="693">
        <v>83</v>
      </c>
      <c r="E13797" s="689">
        <v>83.3</v>
      </c>
      <c r="F13797" s="689">
        <v>83.3</v>
      </c>
      <c r="G13797" s="689">
        <v>83.2</v>
      </c>
      <c r="H13797" s="689">
        <v>83.6</v>
      </c>
      <c r="I13797" s="689">
        <v>83.4</v>
      </c>
      <c r="J13797" s="689">
        <v>83.2</v>
      </c>
      <c r="K13797" s="689">
        <v>82.9</v>
      </c>
    </row>
    <row r="13798" spans="1:11">
      <c r="A13798" s="688" t="s">
        <v>4</v>
      </c>
      <c r="B13798" s="691">
        <v>81.7</v>
      </c>
      <c r="C13798" s="691">
        <v>81.5</v>
      </c>
      <c r="D13798" s="691">
        <v>81.8</v>
      </c>
      <c r="E13798" s="691">
        <v>81.900000000000006</v>
      </c>
      <c r="F13798" s="691">
        <v>82.3</v>
      </c>
      <c r="G13798" s="691">
        <v>82.4</v>
      </c>
      <c r="H13798" s="691">
        <v>82.8</v>
      </c>
      <c r="I13798" s="691">
        <v>82.8</v>
      </c>
      <c r="J13798" s="691">
        <v>81.400000000000006</v>
      </c>
      <c r="K13798" s="691">
        <v>82.2</v>
      </c>
    </row>
    <row r="13799" spans="1:11">
      <c r="A13799" s="688" t="s">
        <v>4062</v>
      </c>
      <c r="B13799" s="689">
        <v>84.5</v>
      </c>
      <c r="C13799" s="689">
        <v>84.7</v>
      </c>
      <c r="D13799" s="689">
        <v>84.6</v>
      </c>
      <c r="E13799" s="689">
        <v>84.8</v>
      </c>
      <c r="F13799" s="693">
        <v>85</v>
      </c>
      <c r="G13799" s="689">
        <v>85.1</v>
      </c>
      <c r="H13799" s="689">
        <v>85.3</v>
      </c>
      <c r="I13799" s="693">
        <v>85</v>
      </c>
      <c r="J13799" s="689">
        <v>85.3</v>
      </c>
      <c r="K13799" s="693">
        <v>85</v>
      </c>
    </row>
    <row r="13800" spans="1:11">
      <c r="A13800" s="688" t="s">
        <v>4063</v>
      </c>
      <c r="B13800" s="689">
        <v>83.3</v>
      </c>
      <c r="C13800" s="689">
        <v>83.7</v>
      </c>
      <c r="D13800" s="689">
        <v>83.3</v>
      </c>
      <c r="E13800" s="689">
        <v>83.7</v>
      </c>
      <c r="F13800" s="689">
        <v>83.6</v>
      </c>
      <c r="G13800" s="689">
        <v>83.7</v>
      </c>
      <c r="H13800" s="690" t="s">
        <v>4060</v>
      </c>
      <c r="I13800" s="690" t="s">
        <v>4060</v>
      </c>
      <c r="J13800" s="690" t="s">
        <v>4060</v>
      </c>
      <c r="K13800" s="690" t="s">
        <v>4060</v>
      </c>
    </row>
    <row r="13801" spans="1:11">
      <c r="A13801" s="688" t="s">
        <v>4064</v>
      </c>
      <c r="B13801" s="689">
        <v>83.3</v>
      </c>
      <c r="C13801" s="689">
        <v>83.4</v>
      </c>
      <c r="D13801" s="689">
        <v>83.3</v>
      </c>
      <c r="E13801" s="689">
        <v>83.5</v>
      </c>
      <c r="F13801" s="689">
        <v>83.4</v>
      </c>
      <c r="G13801" s="689">
        <v>83.5</v>
      </c>
      <c r="H13801" s="689">
        <v>83.8</v>
      </c>
      <c r="I13801" s="689">
        <v>83.1</v>
      </c>
      <c r="J13801" s="689">
        <v>82.8</v>
      </c>
      <c r="K13801" s="689">
        <v>83.2</v>
      </c>
    </row>
    <row r="13802" spans="1:11">
      <c r="A13802" s="688" t="s">
        <v>4065</v>
      </c>
      <c r="B13802" s="691">
        <v>83.3</v>
      </c>
      <c r="C13802" s="691">
        <v>83.6</v>
      </c>
      <c r="D13802" s="691">
        <v>83.3</v>
      </c>
      <c r="E13802" s="691">
        <v>83.7</v>
      </c>
      <c r="F13802" s="691">
        <v>83.6</v>
      </c>
      <c r="G13802" s="691">
        <v>83.6</v>
      </c>
      <c r="H13802" s="692" t="s">
        <v>4060</v>
      </c>
      <c r="I13802" s="692" t="s">
        <v>4060</v>
      </c>
      <c r="J13802" s="692" t="s">
        <v>4060</v>
      </c>
      <c r="K13802" s="692" t="s">
        <v>4060</v>
      </c>
    </row>
    <row r="13803" spans="1:11">
      <c r="A13803" s="688" t="s">
        <v>4066</v>
      </c>
      <c r="B13803" s="691">
        <v>83.3</v>
      </c>
      <c r="C13803" s="691">
        <v>83.7</v>
      </c>
      <c r="D13803" s="691">
        <v>83.3</v>
      </c>
      <c r="E13803" s="691">
        <v>83.7</v>
      </c>
      <c r="F13803" s="691">
        <v>83.6</v>
      </c>
      <c r="G13803" s="691">
        <v>83.7</v>
      </c>
      <c r="H13803" s="692" t="s">
        <v>4060</v>
      </c>
      <c r="I13803" s="692" t="s">
        <v>4060</v>
      </c>
      <c r="J13803" s="692" t="s">
        <v>4060</v>
      </c>
      <c r="K13803" s="692" t="s">
        <v>4060</v>
      </c>
    </row>
    <row r="13804" spans="1:11">
      <c r="A13804" s="688" t="s">
        <v>4067</v>
      </c>
      <c r="B13804" s="689">
        <v>83.3</v>
      </c>
      <c r="C13804" s="689">
        <v>83.6</v>
      </c>
      <c r="D13804" s="689">
        <v>83.3</v>
      </c>
      <c r="E13804" s="689">
        <v>83.7</v>
      </c>
      <c r="F13804" s="689">
        <v>83.6</v>
      </c>
      <c r="G13804" s="689">
        <v>83.6</v>
      </c>
      <c r="H13804" s="690" t="s">
        <v>4060</v>
      </c>
      <c r="I13804" s="690" t="s">
        <v>4060</v>
      </c>
      <c r="J13804" s="690" t="s">
        <v>4060</v>
      </c>
      <c r="K13804" s="690" t="s">
        <v>4060</v>
      </c>
    </row>
    <row r="13805" spans="1:11">
      <c r="A13805" s="688" t="s">
        <v>4068</v>
      </c>
      <c r="B13805" s="689">
        <v>84.3</v>
      </c>
      <c r="C13805" s="690" t="s">
        <v>4060</v>
      </c>
      <c r="D13805" s="690" t="s">
        <v>4060</v>
      </c>
      <c r="E13805" s="690" t="s">
        <v>4060</v>
      </c>
      <c r="F13805" s="690" t="s">
        <v>4060</v>
      </c>
      <c r="G13805" s="690" t="s">
        <v>4060</v>
      </c>
      <c r="H13805" s="690" t="s">
        <v>4060</v>
      </c>
      <c r="I13805" s="690" t="s">
        <v>4060</v>
      </c>
      <c r="J13805" s="690" t="s">
        <v>4060</v>
      </c>
      <c r="K13805" s="690" t="s">
        <v>4060</v>
      </c>
    </row>
    <row r="13806" spans="1:11">
      <c r="A13806" s="688" t="s">
        <v>4069</v>
      </c>
      <c r="B13806" s="692" t="s">
        <v>4060</v>
      </c>
      <c r="C13806" s="691">
        <v>84.2</v>
      </c>
      <c r="D13806" s="691">
        <v>83.9</v>
      </c>
      <c r="E13806" s="691">
        <v>84.3</v>
      </c>
      <c r="F13806" s="691">
        <v>84.2</v>
      </c>
      <c r="G13806" s="691">
        <v>84.3</v>
      </c>
      <c r="H13806" s="691">
        <v>84.6</v>
      </c>
      <c r="I13806" s="615">
        <v>84</v>
      </c>
      <c r="J13806" s="615">
        <v>84</v>
      </c>
      <c r="K13806" s="615">
        <v>84</v>
      </c>
    </row>
    <row r="13807" spans="1:11">
      <c r="A13807" s="688" t="s">
        <v>5</v>
      </c>
      <c r="B13807" s="689">
        <v>84.1</v>
      </c>
      <c r="C13807" s="689">
        <v>83.9</v>
      </c>
      <c r="D13807" s="689">
        <v>84.1</v>
      </c>
      <c r="E13807" s="689">
        <v>84.1</v>
      </c>
      <c r="F13807" s="689">
        <v>84.2</v>
      </c>
      <c r="G13807" s="689">
        <v>84.3</v>
      </c>
      <c r="H13807" s="689">
        <v>84.6</v>
      </c>
      <c r="I13807" s="689">
        <v>84.6</v>
      </c>
      <c r="J13807" s="689">
        <v>84.5</v>
      </c>
      <c r="K13807" s="689">
        <v>83.8</v>
      </c>
    </row>
    <row r="13808" spans="1:11">
      <c r="A13808" s="688" t="s">
        <v>6</v>
      </c>
      <c r="B13808" s="691">
        <v>85.6</v>
      </c>
      <c r="C13808" s="691">
        <v>85.4</v>
      </c>
      <c r="D13808" s="691">
        <v>85.1</v>
      </c>
      <c r="E13808" s="691">
        <v>85.3</v>
      </c>
      <c r="F13808" s="691">
        <v>85.3</v>
      </c>
      <c r="G13808" s="691">
        <v>85.5</v>
      </c>
      <c r="H13808" s="691">
        <v>85.6</v>
      </c>
      <c r="I13808" s="691">
        <v>85.1</v>
      </c>
      <c r="J13808" s="691">
        <v>85.2</v>
      </c>
      <c r="K13808" s="691">
        <v>85.1</v>
      </c>
    </row>
    <row r="13809" spans="1:11">
      <c r="A13809" s="688" t="s">
        <v>4058</v>
      </c>
      <c r="B13809" s="690" t="s">
        <v>4060</v>
      </c>
      <c r="C13809" s="690" t="s">
        <v>4060</v>
      </c>
      <c r="D13809" s="690" t="s">
        <v>4060</v>
      </c>
      <c r="E13809" s="690" t="s">
        <v>4060</v>
      </c>
      <c r="F13809" s="690" t="s">
        <v>4060</v>
      </c>
      <c r="G13809" s="690" t="s">
        <v>4060</v>
      </c>
      <c r="H13809" s="690" t="s">
        <v>4060</v>
      </c>
      <c r="I13809" s="690" t="s">
        <v>4060</v>
      </c>
      <c r="J13809" s="690" t="s">
        <v>4060</v>
      </c>
      <c r="K13809" s="690" t="s">
        <v>4060</v>
      </c>
    </row>
    <row r="13810" spans="1:11">
      <c r="A13810" s="688" t="s">
        <v>2496</v>
      </c>
      <c r="B13810" s="692" t="s">
        <v>4060</v>
      </c>
      <c r="C13810" s="691">
        <v>78.2</v>
      </c>
      <c r="D13810" s="691">
        <v>77.400000000000006</v>
      </c>
      <c r="E13810" s="691">
        <v>77.2</v>
      </c>
      <c r="F13810" s="691">
        <v>77.8</v>
      </c>
      <c r="G13810" s="691">
        <v>78.2</v>
      </c>
      <c r="H13810" s="691">
        <v>78.400000000000006</v>
      </c>
      <c r="I13810" s="692" t="s">
        <v>4060</v>
      </c>
      <c r="J13810" s="692" t="s">
        <v>4060</v>
      </c>
      <c r="K13810" s="691">
        <v>78.099999999999994</v>
      </c>
    </row>
    <row r="13811" spans="1:11">
      <c r="A13811" s="688" t="s">
        <v>7</v>
      </c>
      <c r="B13811" s="615">
        <v>84</v>
      </c>
      <c r="C13811" s="691">
        <v>83.8</v>
      </c>
      <c r="D13811" s="691">
        <v>83.5</v>
      </c>
      <c r="E13811" s="691">
        <v>83.7</v>
      </c>
      <c r="F13811" s="691">
        <v>83.7</v>
      </c>
      <c r="G13811" s="691">
        <v>84.2</v>
      </c>
      <c r="H13811" s="691">
        <v>84.1</v>
      </c>
      <c r="I13811" s="691">
        <v>83.8</v>
      </c>
      <c r="J13811" s="691">
        <v>82.9</v>
      </c>
      <c r="K13811" s="691">
        <v>83.4</v>
      </c>
    </row>
    <row r="13812" spans="1:11">
      <c r="A13812" s="688" t="s">
        <v>8</v>
      </c>
      <c r="B13812" s="689">
        <v>83.1</v>
      </c>
      <c r="C13812" s="689">
        <v>83.3</v>
      </c>
      <c r="D13812" s="689">
        <v>83.3</v>
      </c>
      <c r="E13812" s="689">
        <v>83.4</v>
      </c>
      <c r="F13812" s="689">
        <v>83.8</v>
      </c>
      <c r="G13812" s="689">
        <v>83.9</v>
      </c>
      <c r="H13812" s="689">
        <v>84.4</v>
      </c>
      <c r="I13812" s="689">
        <v>84.1</v>
      </c>
      <c r="J13812" s="693">
        <v>84</v>
      </c>
      <c r="K13812" s="693">
        <v>84</v>
      </c>
    </row>
    <row r="13813" spans="1:11">
      <c r="A13813" s="688" t="s">
        <v>9</v>
      </c>
      <c r="B13813" s="691">
        <v>83.7</v>
      </c>
      <c r="C13813" s="691">
        <v>84.1</v>
      </c>
      <c r="D13813" s="691">
        <v>83.6</v>
      </c>
      <c r="E13813" s="691">
        <v>83.9</v>
      </c>
      <c r="F13813" s="691">
        <v>84.1</v>
      </c>
      <c r="G13813" s="691">
        <v>84.2</v>
      </c>
      <c r="H13813" s="691">
        <v>84.6</v>
      </c>
      <c r="I13813" s="691">
        <v>84.4</v>
      </c>
      <c r="J13813" s="691">
        <v>84.5</v>
      </c>
      <c r="K13813" s="691">
        <v>83.5</v>
      </c>
    </row>
    <row r="13814" spans="1:11">
      <c r="A13814" s="688" t="s">
        <v>10</v>
      </c>
      <c r="B13814" s="689">
        <v>85.2</v>
      </c>
      <c r="C13814" s="693">
        <v>85</v>
      </c>
      <c r="D13814" s="689">
        <v>84.6</v>
      </c>
      <c r="E13814" s="689">
        <v>85.2</v>
      </c>
      <c r="F13814" s="689">
        <v>84.9</v>
      </c>
      <c r="G13814" s="689">
        <v>85.2</v>
      </c>
      <c r="H13814" s="689">
        <v>85.5</v>
      </c>
      <c r="I13814" s="689">
        <v>84.5</v>
      </c>
      <c r="J13814" s="689">
        <v>84.8</v>
      </c>
      <c r="K13814" s="689">
        <v>84.8</v>
      </c>
    </row>
    <row r="13815" spans="1:11">
      <c r="A13815" s="688" t="s">
        <v>4070</v>
      </c>
      <c r="B13815" s="690" t="s">
        <v>4060</v>
      </c>
      <c r="C13815" s="690" t="s">
        <v>4060</v>
      </c>
      <c r="D13815" s="690" t="s">
        <v>4060</v>
      </c>
      <c r="E13815" s="689">
        <v>81.599999999999994</v>
      </c>
      <c r="F13815" s="690" t="s">
        <v>4060</v>
      </c>
      <c r="G13815" s="690" t="s">
        <v>4060</v>
      </c>
      <c r="H13815" s="690" t="s">
        <v>4060</v>
      </c>
      <c r="I13815" s="690" t="s">
        <v>4060</v>
      </c>
      <c r="J13815" s="690" t="s">
        <v>4060</v>
      </c>
      <c r="K13815" s="690" t="s">
        <v>4060</v>
      </c>
    </row>
    <row r="13816" spans="1:11">
      <c r="A13816" s="688" t="s">
        <v>11</v>
      </c>
      <c r="B13816" s="615">
        <v>81</v>
      </c>
      <c r="C13816" s="691">
        <v>80.8</v>
      </c>
      <c r="D13816" s="691">
        <v>80.400000000000006</v>
      </c>
      <c r="E13816" s="691">
        <v>81.099999999999994</v>
      </c>
      <c r="F13816" s="691">
        <v>80.8</v>
      </c>
      <c r="G13816" s="691">
        <v>81.2</v>
      </c>
      <c r="H13816" s="691">
        <v>81.3</v>
      </c>
      <c r="I13816" s="691">
        <v>80.7</v>
      </c>
      <c r="J13816" s="691">
        <v>79.7</v>
      </c>
      <c r="K13816" s="691">
        <v>80.8</v>
      </c>
    </row>
    <row r="13817" spans="1:11">
      <c r="A13817" s="688" t="s">
        <v>12</v>
      </c>
      <c r="B13817" s="689">
        <v>78.900000000000006</v>
      </c>
      <c r="C13817" s="689">
        <v>79.2</v>
      </c>
      <c r="D13817" s="689">
        <v>79.3</v>
      </c>
      <c r="E13817" s="689">
        <v>79.400000000000006</v>
      </c>
      <c r="F13817" s="689">
        <v>79.5</v>
      </c>
      <c r="G13817" s="689">
        <v>79.599999999999994</v>
      </c>
      <c r="H13817" s="693">
        <v>80</v>
      </c>
      <c r="I13817" s="689">
        <v>79.900000000000006</v>
      </c>
      <c r="J13817" s="693">
        <v>78</v>
      </c>
      <c r="K13817" s="689">
        <v>79.400000000000006</v>
      </c>
    </row>
    <row r="13818" spans="1:11">
      <c r="A13818" s="688" t="s">
        <v>13</v>
      </c>
      <c r="B13818" s="689">
        <v>83.9</v>
      </c>
      <c r="C13818" s="689">
        <v>83.2</v>
      </c>
      <c r="D13818" s="689">
        <v>84.3</v>
      </c>
      <c r="E13818" s="689">
        <v>83.5</v>
      </c>
      <c r="F13818" s="689">
        <v>85.8</v>
      </c>
      <c r="G13818" s="689">
        <v>85.6</v>
      </c>
      <c r="H13818" s="689">
        <v>85.5</v>
      </c>
      <c r="I13818" s="689">
        <v>83.3</v>
      </c>
      <c r="J13818" s="689">
        <v>86.1</v>
      </c>
      <c r="K13818" s="689">
        <v>85.2</v>
      </c>
    </row>
    <row r="13819" spans="1:11">
      <c r="A13819" s="688" t="s">
        <v>14</v>
      </c>
      <c r="B13819" s="691">
        <v>79.599999999999994</v>
      </c>
      <c r="C13819" s="691">
        <v>79.8</v>
      </c>
      <c r="D13819" s="691">
        <v>79.5</v>
      </c>
      <c r="E13819" s="691">
        <v>79.900000000000006</v>
      </c>
      <c r="F13819" s="691">
        <v>80.3</v>
      </c>
      <c r="G13819" s="691">
        <v>80.5</v>
      </c>
      <c r="H13819" s="691">
        <v>80.900000000000006</v>
      </c>
      <c r="I13819" s="615">
        <v>80</v>
      </c>
      <c r="J13819" s="691">
        <v>78.900000000000006</v>
      </c>
      <c r="K13819" s="691">
        <v>80.099999999999994</v>
      </c>
    </row>
    <row r="13820" spans="1:11">
      <c r="A13820" s="688" t="s">
        <v>15</v>
      </c>
      <c r="B13820" s="689">
        <v>83.9</v>
      </c>
      <c r="C13820" s="689">
        <v>84.5</v>
      </c>
      <c r="D13820" s="689">
        <v>84.3</v>
      </c>
      <c r="E13820" s="689">
        <v>84.8</v>
      </c>
      <c r="F13820" s="693">
        <v>84</v>
      </c>
      <c r="G13820" s="689">
        <v>84.3</v>
      </c>
      <c r="H13820" s="689">
        <v>84.8</v>
      </c>
      <c r="I13820" s="689">
        <v>84.4</v>
      </c>
      <c r="J13820" s="689">
        <v>84.6</v>
      </c>
      <c r="K13820" s="693">
        <v>85</v>
      </c>
    </row>
    <row r="13821" spans="1:11">
      <c r="A13821" s="688" t="s">
        <v>16</v>
      </c>
      <c r="B13821" s="693">
        <v>84</v>
      </c>
      <c r="C13821" s="689">
        <v>83.9</v>
      </c>
      <c r="D13821" s="689">
        <v>83.8</v>
      </c>
      <c r="E13821" s="689">
        <v>83.9</v>
      </c>
      <c r="F13821" s="689">
        <v>84.1</v>
      </c>
      <c r="G13821" s="689">
        <v>84.1</v>
      </c>
      <c r="H13821" s="689">
        <v>83.9</v>
      </c>
      <c r="I13821" s="689">
        <v>84.1</v>
      </c>
      <c r="J13821" s="689">
        <v>83.7</v>
      </c>
      <c r="K13821" s="689">
        <v>84.2</v>
      </c>
    </row>
    <row r="13822" spans="1:11">
      <c r="A13822" s="688" t="s">
        <v>2322</v>
      </c>
      <c r="B13822" s="692" t="s">
        <v>4060</v>
      </c>
      <c r="C13822" s="692" t="s">
        <v>4060</v>
      </c>
      <c r="D13822" s="692" t="s">
        <v>4060</v>
      </c>
      <c r="E13822" s="692" t="s">
        <v>4060</v>
      </c>
      <c r="F13822" s="692" t="s">
        <v>4060</v>
      </c>
      <c r="G13822" s="692" t="s">
        <v>4060</v>
      </c>
      <c r="H13822" s="692" t="s">
        <v>4060</v>
      </c>
      <c r="I13822" s="692" t="s">
        <v>4060</v>
      </c>
      <c r="J13822" s="692" t="s">
        <v>4060</v>
      </c>
      <c r="K13822" s="692" t="s">
        <v>4060</v>
      </c>
    </row>
    <row r="13823" spans="1:11">
      <c r="A13823" s="688" t="s">
        <v>2324</v>
      </c>
      <c r="B13823" s="693">
        <v>79</v>
      </c>
      <c r="C13823" s="689">
        <v>78.900000000000006</v>
      </c>
      <c r="D13823" s="689">
        <v>78.599999999999994</v>
      </c>
      <c r="E13823" s="689">
        <v>78.900000000000006</v>
      </c>
      <c r="F13823" s="689">
        <v>79.2</v>
      </c>
      <c r="G13823" s="689">
        <v>79.3</v>
      </c>
      <c r="H13823" s="689">
        <v>79.5</v>
      </c>
      <c r="I13823" s="689">
        <v>78.8</v>
      </c>
      <c r="J13823" s="693">
        <v>77</v>
      </c>
      <c r="K13823" s="690" t="s">
        <v>4060</v>
      </c>
    </row>
    <row r="13824" spans="1:11">
      <c r="A13824" s="688" t="s">
        <v>17</v>
      </c>
      <c r="B13824" s="691">
        <v>83.2</v>
      </c>
      <c r="C13824" s="691">
        <v>83.3</v>
      </c>
      <c r="D13824" s="691">
        <v>83.1</v>
      </c>
      <c r="E13824" s="691">
        <v>83.1</v>
      </c>
      <c r="F13824" s="691">
        <v>83.3</v>
      </c>
      <c r="G13824" s="691">
        <v>83.3</v>
      </c>
      <c r="H13824" s="691">
        <v>83.6</v>
      </c>
      <c r="I13824" s="691">
        <v>83.1</v>
      </c>
      <c r="J13824" s="615">
        <v>83</v>
      </c>
      <c r="K13824" s="691">
        <v>83.1</v>
      </c>
    </row>
    <row r="13825" spans="1:11">
      <c r="A13825" s="688" t="s">
        <v>2328</v>
      </c>
      <c r="B13825" s="689">
        <v>77.5</v>
      </c>
      <c r="C13825" s="689">
        <v>77.5</v>
      </c>
      <c r="D13825" s="689">
        <v>77.400000000000006</v>
      </c>
      <c r="E13825" s="689">
        <v>77.5</v>
      </c>
      <c r="F13825" s="689">
        <v>77.900000000000006</v>
      </c>
      <c r="G13825" s="689">
        <v>78.8</v>
      </c>
      <c r="H13825" s="689">
        <v>78.599999999999994</v>
      </c>
      <c r="I13825" s="689">
        <v>76.7</v>
      </c>
      <c r="J13825" s="689">
        <v>75.5</v>
      </c>
      <c r="K13825" s="690" t="s">
        <v>4060</v>
      </c>
    </row>
    <row r="13826" spans="1:11">
      <c r="A13826" s="688" t="s">
        <v>18</v>
      </c>
      <c r="B13826" s="691">
        <v>83.8</v>
      </c>
      <c r="C13826" s="691">
        <v>84.1</v>
      </c>
      <c r="D13826" s="691">
        <v>84.2</v>
      </c>
      <c r="E13826" s="691">
        <v>84.2</v>
      </c>
      <c r="F13826" s="691">
        <v>84.3</v>
      </c>
      <c r="G13826" s="691">
        <v>84.5</v>
      </c>
      <c r="H13826" s="691">
        <v>84.7</v>
      </c>
      <c r="I13826" s="691">
        <v>84.9</v>
      </c>
      <c r="J13826" s="691">
        <v>84.7</v>
      </c>
      <c r="K13826" s="691">
        <v>84.3</v>
      </c>
    </row>
    <row r="13827" spans="1:11">
      <c r="A13827" s="688" t="s">
        <v>19</v>
      </c>
      <c r="B13827" s="689">
        <v>83.8</v>
      </c>
      <c r="C13827" s="689">
        <v>83.7</v>
      </c>
      <c r="D13827" s="689">
        <v>83.6</v>
      </c>
      <c r="E13827" s="693">
        <v>84</v>
      </c>
      <c r="F13827" s="689">
        <v>83.9</v>
      </c>
      <c r="G13827" s="693">
        <v>84</v>
      </c>
      <c r="H13827" s="689">
        <v>84.2</v>
      </c>
      <c r="I13827" s="689">
        <v>83.7</v>
      </c>
      <c r="J13827" s="689">
        <v>83.7</v>
      </c>
      <c r="K13827" s="689">
        <v>83.8</v>
      </c>
    </row>
    <row r="13828" spans="1:11">
      <c r="A13828" s="688" t="s">
        <v>20</v>
      </c>
      <c r="B13828" s="691">
        <v>81.2</v>
      </c>
      <c r="C13828" s="691">
        <v>81.400000000000006</v>
      </c>
      <c r="D13828" s="691">
        <v>81.3</v>
      </c>
      <c r="E13828" s="691">
        <v>81.7</v>
      </c>
      <c r="F13828" s="691">
        <v>81.5</v>
      </c>
      <c r="G13828" s="691">
        <v>81.5</v>
      </c>
      <c r="H13828" s="691">
        <v>81.7</v>
      </c>
      <c r="I13828" s="691">
        <v>80.599999999999994</v>
      </c>
      <c r="J13828" s="691">
        <v>79.5</v>
      </c>
      <c r="K13828" s="615">
        <v>81</v>
      </c>
    </row>
    <row r="13829" spans="1:11">
      <c r="A13829" s="688" t="s">
        <v>21</v>
      </c>
      <c r="B13829" s="693">
        <v>84</v>
      </c>
      <c r="C13829" s="689">
        <v>84.3</v>
      </c>
      <c r="D13829" s="689">
        <v>84.3</v>
      </c>
      <c r="E13829" s="689">
        <v>84.3</v>
      </c>
      <c r="F13829" s="689">
        <v>84.5</v>
      </c>
      <c r="G13829" s="689">
        <v>84.5</v>
      </c>
      <c r="H13829" s="689">
        <v>84.8</v>
      </c>
      <c r="I13829" s="689">
        <v>84.2</v>
      </c>
      <c r="J13829" s="689">
        <v>84.3</v>
      </c>
      <c r="K13829" s="689">
        <v>84.4</v>
      </c>
    </row>
    <row r="13830" spans="1:11">
      <c r="A13830" s="688" t="s">
        <v>22</v>
      </c>
      <c r="B13830" s="691">
        <v>78.7</v>
      </c>
      <c r="C13830" s="691">
        <v>78.5</v>
      </c>
      <c r="D13830" s="691">
        <v>78.5</v>
      </c>
      <c r="E13830" s="691">
        <v>78.900000000000006</v>
      </c>
      <c r="F13830" s="691">
        <v>78.900000000000006</v>
      </c>
      <c r="G13830" s="691">
        <v>79.099999999999994</v>
      </c>
      <c r="H13830" s="691">
        <v>79.400000000000006</v>
      </c>
      <c r="I13830" s="691">
        <v>78.2</v>
      </c>
      <c r="J13830" s="691">
        <v>76.599999999999994</v>
      </c>
      <c r="K13830" s="691">
        <v>79.099999999999994</v>
      </c>
    </row>
    <row r="13831" spans="1:11">
      <c r="A13831" s="688" t="s">
        <v>2343</v>
      </c>
      <c r="B13831" s="690" t="s">
        <v>4060</v>
      </c>
      <c r="C13831" s="690" t="s">
        <v>4060</v>
      </c>
      <c r="D13831" s="690" t="s">
        <v>4060</v>
      </c>
      <c r="E13831" s="690" t="s">
        <v>4060</v>
      </c>
      <c r="F13831" s="690" t="s">
        <v>4060</v>
      </c>
      <c r="G13831" s="690" t="s">
        <v>4060</v>
      </c>
      <c r="H13831" s="690" t="s">
        <v>4060</v>
      </c>
      <c r="I13831" s="690" t="s">
        <v>4060</v>
      </c>
      <c r="J13831" s="690" t="s">
        <v>4060</v>
      </c>
      <c r="K13831" s="690" t="s">
        <v>4060</v>
      </c>
    </row>
    <row r="13832" spans="1:11">
      <c r="A13832" s="688" t="s">
        <v>4071</v>
      </c>
      <c r="B13832" s="692" t="s">
        <v>4060</v>
      </c>
      <c r="C13832" s="692" t="s">
        <v>4060</v>
      </c>
      <c r="D13832" s="692" t="s">
        <v>4060</v>
      </c>
      <c r="E13832" s="692" t="s">
        <v>4060</v>
      </c>
      <c r="F13832" s="692" t="s">
        <v>4060</v>
      </c>
      <c r="G13832" s="692" t="s">
        <v>4060</v>
      </c>
      <c r="H13832" s="692" t="s">
        <v>4060</v>
      </c>
      <c r="I13832" s="692" t="s">
        <v>4060</v>
      </c>
      <c r="J13832" s="692" t="s">
        <v>4060</v>
      </c>
      <c r="K13832" s="692" t="s">
        <v>4060</v>
      </c>
    </row>
    <row r="13833" spans="1:11">
      <c r="A13833" s="688" t="s">
        <v>23</v>
      </c>
      <c r="B13833" s="691">
        <v>83.8</v>
      </c>
      <c r="C13833" s="691">
        <v>84.1</v>
      </c>
      <c r="D13833" s="615">
        <v>84</v>
      </c>
      <c r="E13833" s="691">
        <v>84.1</v>
      </c>
      <c r="F13833" s="691">
        <v>84.1</v>
      </c>
      <c r="G13833" s="691">
        <v>84.3</v>
      </c>
      <c r="H13833" s="691">
        <v>84.7</v>
      </c>
      <c r="I13833" s="691">
        <v>84.3</v>
      </c>
      <c r="J13833" s="691">
        <v>84.8</v>
      </c>
      <c r="K13833" s="691">
        <v>84.7</v>
      </c>
    </row>
    <row r="13834" spans="1:11">
      <c r="A13834" s="688" t="s">
        <v>24</v>
      </c>
      <c r="B13834" s="693">
        <v>85</v>
      </c>
      <c r="C13834" s="689">
        <v>85.1</v>
      </c>
      <c r="D13834" s="689">
        <v>84.9</v>
      </c>
      <c r="E13834" s="689">
        <v>85.2</v>
      </c>
      <c r="F13834" s="689">
        <v>85.4</v>
      </c>
      <c r="G13834" s="689">
        <v>85.4</v>
      </c>
      <c r="H13834" s="689">
        <v>85.6</v>
      </c>
      <c r="I13834" s="689">
        <v>85.1</v>
      </c>
      <c r="J13834" s="689">
        <v>85.6</v>
      </c>
      <c r="K13834" s="689">
        <v>85.4</v>
      </c>
    </row>
    <row r="13835" spans="1:11">
      <c r="A13835" s="688" t="s">
        <v>2349</v>
      </c>
      <c r="B13835" s="691">
        <v>77.900000000000006</v>
      </c>
      <c r="C13835" s="615">
        <v>78</v>
      </c>
      <c r="D13835" s="691">
        <v>77.900000000000006</v>
      </c>
      <c r="E13835" s="691">
        <v>78.3</v>
      </c>
      <c r="F13835" s="691">
        <v>78.099999999999994</v>
      </c>
      <c r="G13835" s="691">
        <v>78.400000000000006</v>
      </c>
      <c r="H13835" s="691">
        <v>78.599999999999994</v>
      </c>
      <c r="I13835" s="691">
        <v>77.5</v>
      </c>
      <c r="J13835" s="691">
        <v>75.7</v>
      </c>
      <c r="K13835" s="691">
        <v>77.900000000000006</v>
      </c>
    </row>
    <row r="13836" spans="1:11">
      <c r="A13836" s="688" t="s">
        <v>25</v>
      </c>
      <c r="B13836" s="691">
        <v>80.099999999999994</v>
      </c>
      <c r="C13836" s="691">
        <v>80.400000000000006</v>
      </c>
      <c r="D13836" s="691">
        <v>80.099999999999994</v>
      </c>
      <c r="E13836" s="691">
        <v>80.599999999999994</v>
      </c>
      <c r="F13836" s="691">
        <v>80.599999999999994</v>
      </c>
      <c r="G13836" s="691">
        <v>80.7</v>
      </c>
      <c r="H13836" s="691">
        <v>81.099999999999994</v>
      </c>
      <c r="I13836" s="691">
        <v>80.400000000000006</v>
      </c>
      <c r="J13836" s="691">
        <v>78.2</v>
      </c>
      <c r="K13836" s="691">
        <v>80.400000000000006</v>
      </c>
    </row>
    <row r="13837" spans="1:11">
      <c r="A13837" s="688" t="s">
        <v>26</v>
      </c>
      <c r="B13837" s="689">
        <v>83.6</v>
      </c>
      <c r="C13837" s="689">
        <v>83.7</v>
      </c>
      <c r="D13837" s="689">
        <v>83.5</v>
      </c>
      <c r="E13837" s="689">
        <v>83.9</v>
      </c>
      <c r="F13837" s="689">
        <v>83.7</v>
      </c>
      <c r="G13837" s="693">
        <v>84</v>
      </c>
      <c r="H13837" s="689">
        <v>84.3</v>
      </c>
      <c r="I13837" s="689">
        <v>83.4</v>
      </c>
      <c r="J13837" s="689">
        <v>83.7</v>
      </c>
      <c r="K13837" s="693">
        <v>84</v>
      </c>
    </row>
    <row r="13838" spans="1:11">
      <c r="A13838" s="688" t="s">
        <v>27</v>
      </c>
      <c r="B13838" s="689">
        <v>86.1</v>
      </c>
      <c r="C13838" s="689">
        <v>85.6</v>
      </c>
      <c r="D13838" s="689">
        <v>85.4</v>
      </c>
      <c r="E13838" s="689">
        <v>85.8</v>
      </c>
      <c r="F13838" s="689">
        <v>85.7</v>
      </c>
      <c r="G13838" s="689">
        <v>85.8</v>
      </c>
      <c r="H13838" s="689">
        <v>86.2</v>
      </c>
      <c r="I13838" s="693">
        <v>85</v>
      </c>
      <c r="J13838" s="689">
        <v>85.8</v>
      </c>
      <c r="K13838" s="689">
        <v>85.7</v>
      </c>
    </row>
    <row r="13839" spans="1:11">
      <c r="A13839" s="688" t="s">
        <v>2240</v>
      </c>
      <c r="B13839" s="691">
        <v>81.3</v>
      </c>
      <c r="C13839" s="691">
        <v>81.7</v>
      </c>
      <c r="D13839" s="691">
        <v>81.5</v>
      </c>
      <c r="E13839" s="691">
        <v>81.900000000000006</v>
      </c>
      <c r="F13839" s="691">
        <v>81.900000000000006</v>
      </c>
      <c r="G13839" s="691">
        <v>81.900000000000006</v>
      </c>
      <c r="H13839" s="691">
        <v>82.1</v>
      </c>
      <c r="I13839" s="691">
        <v>81.3</v>
      </c>
      <c r="J13839" s="691">
        <v>80.5</v>
      </c>
      <c r="K13839" s="691">
        <v>81.900000000000006</v>
      </c>
    </row>
    <row r="13840" spans="1:11">
      <c r="A13840" s="688" t="s">
        <v>2355</v>
      </c>
      <c r="B13840" s="689">
        <v>81.099999999999994</v>
      </c>
      <c r="C13840" s="689">
        <v>80.900000000000006</v>
      </c>
      <c r="D13840" s="693">
        <v>81</v>
      </c>
      <c r="E13840" s="693">
        <v>81</v>
      </c>
      <c r="F13840" s="689">
        <v>81.3</v>
      </c>
      <c r="G13840" s="689">
        <v>81.599999999999994</v>
      </c>
      <c r="H13840" s="689">
        <v>81.8</v>
      </c>
      <c r="I13840" s="690" t="s">
        <v>4060</v>
      </c>
      <c r="J13840" s="690" t="s">
        <v>4060</v>
      </c>
      <c r="K13840" s="689">
        <v>78.400000000000006</v>
      </c>
    </row>
    <row r="13841" spans="1:11">
      <c r="A13841" s="688" t="s">
        <v>2357</v>
      </c>
      <c r="B13841" s="692" t="s">
        <v>4060</v>
      </c>
      <c r="C13841" s="691">
        <v>76.7</v>
      </c>
      <c r="D13841" s="691">
        <v>77.3</v>
      </c>
      <c r="E13841" s="691">
        <v>77.599999999999994</v>
      </c>
      <c r="F13841" s="615">
        <v>78</v>
      </c>
      <c r="G13841" s="615">
        <v>78</v>
      </c>
      <c r="H13841" s="691">
        <v>78.3</v>
      </c>
      <c r="I13841" s="692" t="s">
        <v>4060</v>
      </c>
      <c r="J13841" s="692" t="s">
        <v>4060</v>
      </c>
      <c r="K13841" s="692" t="s">
        <v>4060</v>
      </c>
    </row>
    <row r="13842" spans="1:11">
      <c r="A13842" s="688" t="s">
        <v>29</v>
      </c>
      <c r="B13842" s="691">
        <v>79.099999999999994</v>
      </c>
      <c r="C13842" s="691">
        <v>79.2</v>
      </c>
      <c r="D13842" s="691">
        <v>78.8</v>
      </c>
      <c r="E13842" s="691">
        <v>79.400000000000006</v>
      </c>
      <c r="F13842" s="691">
        <v>79.099999999999994</v>
      </c>
      <c r="G13842" s="691">
        <v>79.400000000000006</v>
      </c>
      <c r="H13842" s="691">
        <v>79.5</v>
      </c>
      <c r="I13842" s="691">
        <v>78.8</v>
      </c>
      <c r="J13842" s="691">
        <v>77.599999999999994</v>
      </c>
      <c r="K13842" s="691">
        <v>79.2</v>
      </c>
    </row>
    <row r="13843" spans="1:11">
      <c r="A13843" s="688" t="s">
        <v>4059</v>
      </c>
      <c r="B13843" s="691">
        <v>82.9</v>
      </c>
      <c r="C13843" s="691">
        <v>83.2</v>
      </c>
      <c r="D13843" s="691">
        <v>82.8</v>
      </c>
      <c r="E13843" s="615">
        <v>83</v>
      </c>
      <c r="F13843" s="691">
        <v>83.1</v>
      </c>
      <c r="G13843" s="691">
        <v>83.1</v>
      </c>
      <c r="H13843" s="692" t="s">
        <v>4060</v>
      </c>
      <c r="I13843" s="692" t="s">
        <v>4060</v>
      </c>
      <c r="J13843" s="692" t="s">
        <v>4060</v>
      </c>
      <c r="K13843" s="692" t="s">
        <v>4060</v>
      </c>
    </row>
    <row r="13844" spans="1:11">
      <c r="A13844" s="688" t="s">
        <v>30</v>
      </c>
      <c r="B13844" s="615">
        <v>85</v>
      </c>
      <c r="C13844" s="691">
        <v>84.2</v>
      </c>
      <c r="D13844" s="691">
        <v>83.7</v>
      </c>
      <c r="E13844" s="691">
        <v>84.9</v>
      </c>
      <c r="F13844" s="691">
        <v>84.4</v>
      </c>
      <c r="G13844" s="691">
        <v>84.8</v>
      </c>
      <c r="H13844" s="691">
        <v>84.6</v>
      </c>
      <c r="I13844" s="691">
        <v>84.6</v>
      </c>
      <c r="J13844" s="691">
        <v>83.7</v>
      </c>
      <c r="K13844" s="615">
        <v>84</v>
      </c>
    </row>
    <row r="13846" spans="1:11">
      <c r="A13846" s="683" t="s">
        <v>4233</v>
      </c>
    </row>
    <row r="13847" spans="1:11">
      <c r="A13847" s="683" t="s">
        <v>4060</v>
      </c>
      <c r="B13847" s="682" t="s">
        <v>4234</v>
      </c>
    </row>
    <row r="13849" spans="1:11">
      <c r="A13849" s="682" t="s">
        <v>4332</v>
      </c>
    </row>
    <row r="13850" spans="1:11">
      <c r="A13850" s="682" t="s">
        <v>4210</v>
      </c>
      <c r="B13850" s="683" t="s">
        <v>4211</v>
      </c>
    </row>
    <row r="13851" spans="1:11">
      <c r="A13851" s="682" t="s">
        <v>4212</v>
      </c>
      <c r="B13851" s="682" t="s">
        <v>4213</v>
      </c>
    </row>
    <row r="13853" spans="1:11">
      <c r="A13853" s="683" t="s">
        <v>4214</v>
      </c>
      <c r="C13853" s="682" t="s">
        <v>4215</v>
      </c>
    </row>
    <row r="13854" spans="1:11">
      <c r="A13854" s="683" t="s">
        <v>4216</v>
      </c>
      <c r="C13854" s="682" t="s">
        <v>2967</v>
      </c>
    </row>
    <row r="13855" spans="1:11">
      <c r="A13855" s="683" t="s">
        <v>3893</v>
      </c>
      <c r="C13855" s="682" t="s">
        <v>2169</v>
      </c>
    </row>
    <row r="13856" spans="1:11">
      <c r="A13856" s="683" t="s">
        <v>4218</v>
      </c>
      <c r="C13856" s="682" t="s">
        <v>4235</v>
      </c>
    </row>
    <row r="13858" spans="1:11">
      <c r="A13858" s="684" t="s">
        <v>4220</v>
      </c>
      <c r="B13858" s="685" t="s">
        <v>4221</v>
      </c>
      <c r="C13858" s="685" t="s">
        <v>4222</v>
      </c>
      <c r="D13858" s="685" t="s">
        <v>4223</v>
      </c>
      <c r="E13858" s="685" t="s">
        <v>4224</v>
      </c>
      <c r="F13858" s="685" t="s">
        <v>4225</v>
      </c>
      <c r="G13858" s="685" t="s">
        <v>4226</v>
      </c>
      <c r="H13858" s="685" t="s">
        <v>4227</v>
      </c>
      <c r="I13858" s="685" t="s">
        <v>4228</v>
      </c>
      <c r="J13858" s="685" t="s">
        <v>4229</v>
      </c>
      <c r="K13858" s="685" t="s">
        <v>4230</v>
      </c>
    </row>
    <row r="13859" spans="1:11">
      <c r="A13859" s="686" t="s">
        <v>4231</v>
      </c>
      <c r="B13859" s="687" t="s">
        <v>4232</v>
      </c>
      <c r="C13859" s="687" t="s">
        <v>4232</v>
      </c>
      <c r="D13859" s="687" t="s">
        <v>4232</v>
      </c>
      <c r="E13859" s="687" t="s">
        <v>4232</v>
      </c>
      <c r="F13859" s="687" t="s">
        <v>4232</v>
      </c>
      <c r="G13859" s="687" t="s">
        <v>4232</v>
      </c>
      <c r="H13859" s="687" t="s">
        <v>4232</v>
      </c>
      <c r="I13859" s="687" t="s">
        <v>4232</v>
      </c>
      <c r="J13859" s="687" t="s">
        <v>4232</v>
      </c>
      <c r="K13859" s="687" t="s">
        <v>4232</v>
      </c>
    </row>
    <row r="13860" spans="1:11">
      <c r="A13860" s="688" t="s">
        <v>4064</v>
      </c>
      <c r="B13860" s="691">
        <v>82.6</v>
      </c>
      <c r="C13860" s="691">
        <v>82.6</v>
      </c>
      <c r="D13860" s="691">
        <v>82.6</v>
      </c>
      <c r="E13860" s="691">
        <v>82.7</v>
      </c>
      <c r="F13860" s="691">
        <v>82.7</v>
      </c>
      <c r="G13860" s="691">
        <v>82.8</v>
      </c>
      <c r="H13860" s="615">
        <v>83</v>
      </c>
      <c r="I13860" s="691">
        <v>82.3</v>
      </c>
      <c r="J13860" s="615">
        <v>82</v>
      </c>
      <c r="K13860" s="691">
        <v>82.5</v>
      </c>
    </row>
    <row r="13861" spans="1:11">
      <c r="A13861" s="688" t="s">
        <v>4065</v>
      </c>
      <c r="B13861" s="689">
        <v>82.6</v>
      </c>
      <c r="C13861" s="689">
        <v>82.9</v>
      </c>
      <c r="D13861" s="689">
        <v>82.5</v>
      </c>
      <c r="E13861" s="689">
        <v>82.9</v>
      </c>
      <c r="F13861" s="689">
        <v>82.8</v>
      </c>
      <c r="G13861" s="689">
        <v>82.9</v>
      </c>
      <c r="H13861" s="690" t="s">
        <v>4060</v>
      </c>
      <c r="I13861" s="690" t="s">
        <v>4060</v>
      </c>
      <c r="J13861" s="690" t="s">
        <v>4060</v>
      </c>
      <c r="K13861" s="690" t="s">
        <v>4060</v>
      </c>
    </row>
    <row r="13862" spans="1:11">
      <c r="A13862" s="688" t="s">
        <v>4063</v>
      </c>
      <c r="B13862" s="691">
        <v>82.6</v>
      </c>
      <c r="C13862" s="691">
        <v>82.9</v>
      </c>
      <c r="D13862" s="691">
        <v>82.6</v>
      </c>
      <c r="E13862" s="691">
        <v>82.9</v>
      </c>
      <c r="F13862" s="691">
        <v>82.9</v>
      </c>
      <c r="G13862" s="691">
        <v>82.9</v>
      </c>
      <c r="H13862" s="692" t="s">
        <v>4060</v>
      </c>
      <c r="I13862" s="692" t="s">
        <v>4060</v>
      </c>
      <c r="J13862" s="692" t="s">
        <v>4060</v>
      </c>
      <c r="K13862" s="692" t="s">
        <v>4060</v>
      </c>
    </row>
    <row r="13863" spans="1:11">
      <c r="A13863" s="688" t="s">
        <v>4069</v>
      </c>
      <c r="B13863" s="690" t="s">
        <v>4060</v>
      </c>
      <c r="C13863" s="689">
        <v>83.5</v>
      </c>
      <c r="D13863" s="689">
        <v>83.2</v>
      </c>
      <c r="E13863" s="689">
        <v>83.5</v>
      </c>
      <c r="F13863" s="689">
        <v>83.5</v>
      </c>
      <c r="G13863" s="689">
        <v>83.6</v>
      </c>
      <c r="H13863" s="689">
        <v>83.8</v>
      </c>
      <c r="I13863" s="689">
        <v>83.3</v>
      </c>
      <c r="J13863" s="689">
        <v>83.3</v>
      </c>
      <c r="K13863" s="689">
        <v>83.3</v>
      </c>
    </row>
    <row r="13864" spans="1:11">
      <c r="A13864" s="688" t="s">
        <v>4068</v>
      </c>
      <c r="B13864" s="691">
        <v>83.5</v>
      </c>
      <c r="C13864" s="692" t="s">
        <v>4060</v>
      </c>
      <c r="D13864" s="692" t="s">
        <v>4060</v>
      </c>
      <c r="E13864" s="692" t="s">
        <v>4060</v>
      </c>
      <c r="F13864" s="692" t="s">
        <v>4060</v>
      </c>
      <c r="G13864" s="692" t="s">
        <v>4060</v>
      </c>
      <c r="H13864" s="692" t="s">
        <v>4060</v>
      </c>
      <c r="I13864" s="692" t="s">
        <v>4060</v>
      </c>
      <c r="J13864" s="692" t="s">
        <v>4060</v>
      </c>
      <c r="K13864" s="692" t="s">
        <v>4060</v>
      </c>
    </row>
    <row r="13865" spans="1:11">
      <c r="A13865" s="688" t="s">
        <v>0</v>
      </c>
      <c r="B13865" s="689">
        <v>82.5</v>
      </c>
      <c r="C13865" s="689">
        <v>82.7</v>
      </c>
      <c r="D13865" s="689">
        <v>82.4</v>
      </c>
      <c r="E13865" s="689">
        <v>82.9</v>
      </c>
      <c r="F13865" s="689">
        <v>82.9</v>
      </c>
      <c r="G13865" s="693">
        <v>83</v>
      </c>
      <c r="H13865" s="689">
        <v>83.3</v>
      </c>
      <c r="I13865" s="689">
        <v>82.3</v>
      </c>
      <c r="J13865" s="689">
        <v>83.3</v>
      </c>
      <c r="K13865" s="693">
        <v>83</v>
      </c>
    </row>
    <row r="13866" spans="1:11">
      <c r="A13866" s="688" t="s">
        <v>1</v>
      </c>
      <c r="B13866" s="691">
        <v>78.099999999999994</v>
      </c>
      <c r="C13866" s="691">
        <v>77.5</v>
      </c>
      <c r="D13866" s="691">
        <v>77.5</v>
      </c>
      <c r="E13866" s="691">
        <v>77.8</v>
      </c>
      <c r="F13866" s="691">
        <v>77.7</v>
      </c>
      <c r="G13866" s="691">
        <v>77.8</v>
      </c>
      <c r="H13866" s="615">
        <v>78</v>
      </c>
      <c r="I13866" s="691">
        <v>76.7</v>
      </c>
      <c r="J13866" s="691">
        <v>74.400000000000006</v>
      </c>
      <c r="K13866" s="691">
        <v>77.2</v>
      </c>
    </row>
    <row r="13867" spans="1:11">
      <c r="A13867" s="688" t="s">
        <v>2240</v>
      </c>
      <c r="B13867" s="689">
        <v>80.5</v>
      </c>
      <c r="C13867" s="689">
        <v>80.900000000000006</v>
      </c>
      <c r="D13867" s="689">
        <v>80.599999999999994</v>
      </c>
      <c r="E13867" s="689">
        <v>81.099999999999994</v>
      </c>
      <c r="F13867" s="689">
        <v>81.099999999999994</v>
      </c>
      <c r="G13867" s="689">
        <v>81.099999999999994</v>
      </c>
      <c r="H13867" s="689">
        <v>81.3</v>
      </c>
      <c r="I13867" s="689">
        <v>80.5</v>
      </c>
      <c r="J13867" s="689">
        <v>79.7</v>
      </c>
      <c r="K13867" s="689">
        <v>81.099999999999994</v>
      </c>
    </row>
    <row r="13868" spans="1:11">
      <c r="A13868" s="688" t="s">
        <v>2</v>
      </c>
      <c r="B13868" s="691">
        <v>81.7</v>
      </c>
      <c r="C13868" s="615">
        <v>82</v>
      </c>
      <c r="D13868" s="615">
        <v>82</v>
      </c>
      <c r="E13868" s="615">
        <v>82</v>
      </c>
      <c r="F13868" s="691">
        <v>82.4</v>
      </c>
      <c r="G13868" s="691">
        <v>82.2</v>
      </c>
      <c r="H13868" s="691">
        <v>82.6</v>
      </c>
      <c r="I13868" s="691">
        <v>82.8</v>
      </c>
      <c r="J13868" s="691">
        <v>82.6</v>
      </c>
      <c r="K13868" s="691">
        <v>82.4</v>
      </c>
    </row>
    <row r="13869" spans="1:11">
      <c r="A13869" s="688" t="s">
        <v>3</v>
      </c>
      <c r="B13869" s="689">
        <v>82.3</v>
      </c>
      <c r="C13869" s="689">
        <v>82.6</v>
      </c>
      <c r="D13869" s="689">
        <v>82.2</v>
      </c>
      <c r="E13869" s="689">
        <v>82.6</v>
      </c>
      <c r="F13869" s="689">
        <v>82.6</v>
      </c>
      <c r="G13869" s="689">
        <v>82.5</v>
      </c>
      <c r="H13869" s="689">
        <v>82.8</v>
      </c>
      <c r="I13869" s="689">
        <v>82.7</v>
      </c>
      <c r="J13869" s="689">
        <v>82.4</v>
      </c>
      <c r="K13869" s="689">
        <v>82.2</v>
      </c>
    </row>
    <row r="13870" spans="1:11">
      <c r="A13870" s="688" t="s">
        <v>4061</v>
      </c>
      <c r="B13870" s="691">
        <v>82.3</v>
      </c>
      <c r="C13870" s="691">
        <v>82.6</v>
      </c>
      <c r="D13870" s="691">
        <v>82.2</v>
      </c>
      <c r="E13870" s="691">
        <v>82.6</v>
      </c>
      <c r="F13870" s="691">
        <v>82.6</v>
      </c>
      <c r="G13870" s="691">
        <v>82.5</v>
      </c>
      <c r="H13870" s="691">
        <v>82.8</v>
      </c>
      <c r="I13870" s="691">
        <v>82.7</v>
      </c>
      <c r="J13870" s="691">
        <v>82.4</v>
      </c>
      <c r="K13870" s="691">
        <v>82.2</v>
      </c>
    </row>
    <row r="13871" spans="1:11">
      <c r="A13871" s="688" t="s">
        <v>4</v>
      </c>
      <c r="B13871" s="689">
        <v>80.8</v>
      </c>
      <c r="C13871" s="689">
        <v>80.7</v>
      </c>
      <c r="D13871" s="693">
        <v>81</v>
      </c>
      <c r="E13871" s="693">
        <v>81</v>
      </c>
      <c r="F13871" s="689">
        <v>81.5</v>
      </c>
      <c r="G13871" s="689">
        <v>81.5</v>
      </c>
      <c r="H13871" s="689">
        <v>81.8</v>
      </c>
      <c r="I13871" s="689">
        <v>81.900000000000006</v>
      </c>
      <c r="J13871" s="689">
        <v>80.5</v>
      </c>
      <c r="K13871" s="689">
        <v>81.400000000000006</v>
      </c>
    </row>
    <row r="13872" spans="1:11">
      <c r="A13872" s="688" t="s">
        <v>8</v>
      </c>
      <c r="B13872" s="691">
        <v>82.3</v>
      </c>
      <c r="C13872" s="691">
        <v>82.5</v>
      </c>
      <c r="D13872" s="691">
        <v>82.5</v>
      </c>
      <c r="E13872" s="691">
        <v>82.7</v>
      </c>
      <c r="F13872" s="691">
        <v>83.1</v>
      </c>
      <c r="G13872" s="691">
        <v>83.1</v>
      </c>
      <c r="H13872" s="691">
        <v>83.6</v>
      </c>
      <c r="I13872" s="691">
        <v>83.3</v>
      </c>
      <c r="J13872" s="691">
        <v>83.3</v>
      </c>
      <c r="K13872" s="691">
        <v>83.3</v>
      </c>
    </row>
    <row r="13873" spans="1:11">
      <c r="A13873" s="688" t="s">
        <v>7</v>
      </c>
      <c r="B13873" s="689">
        <v>83.3</v>
      </c>
      <c r="C13873" s="693">
        <v>83</v>
      </c>
      <c r="D13873" s="689">
        <v>82.8</v>
      </c>
      <c r="E13873" s="693">
        <v>83</v>
      </c>
      <c r="F13873" s="693">
        <v>83</v>
      </c>
      <c r="G13873" s="689">
        <v>83.5</v>
      </c>
      <c r="H13873" s="689">
        <v>83.4</v>
      </c>
      <c r="I13873" s="693">
        <v>83</v>
      </c>
      <c r="J13873" s="689">
        <v>82.2</v>
      </c>
      <c r="K13873" s="689">
        <v>82.6</v>
      </c>
    </row>
    <row r="13874" spans="1:11">
      <c r="A13874" s="688" t="s">
        <v>27</v>
      </c>
      <c r="B13874" s="691">
        <v>85.3</v>
      </c>
      <c r="C13874" s="691">
        <v>84.9</v>
      </c>
      <c r="D13874" s="691">
        <v>84.6</v>
      </c>
      <c r="E13874" s="615">
        <v>85</v>
      </c>
      <c r="F13874" s="691">
        <v>84.9</v>
      </c>
      <c r="G13874" s="615">
        <v>85</v>
      </c>
      <c r="H13874" s="691">
        <v>85.4</v>
      </c>
      <c r="I13874" s="691">
        <v>84.2</v>
      </c>
      <c r="J13874" s="615">
        <v>85</v>
      </c>
      <c r="K13874" s="691">
        <v>84.9</v>
      </c>
    </row>
    <row r="13875" spans="1:11">
      <c r="A13875" s="688" t="s">
        <v>6</v>
      </c>
      <c r="B13875" s="689">
        <v>84.9</v>
      </c>
      <c r="C13875" s="689">
        <v>84.7</v>
      </c>
      <c r="D13875" s="689">
        <v>84.4</v>
      </c>
      <c r="E13875" s="689">
        <v>84.6</v>
      </c>
      <c r="F13875" s="689">
        <v>84.7</v>
      </c>
      <c r="G13875" s="689">
        <v>84.8</v>
      </c>
      <c r="H13875" s="689">
        <v>84.9</v>
      </c>
      <c r="I13875" s="689">
        <v>84.4</v>
      </c>
      <c r="J13875" s="689">
        <v>84.5</v>
      </c>
      <c r="K13875" s="689">
        <v>84.4</v>
      </c>
    </row>
    <row r="13876" spans="1:11">
      <c r="A13876" s="688" t="s">
        <v>4058</v>
      </c>
      <c r="B13876" s="692" t="s">
        <v>4060</v>
      </c>
      <c r="C13876" s="692" t="s">
        <v>4060</v>
      </c>
      <c r="D13876" s="692" t="s">
        <v>4060</v>
      </c>
      <c r="E13876" s="692" t="s">
        <v>4060</v>
      </c>
      <c r="F13876" s="692" t="s">
        <v>4060</v>
      </c>
      <c r="G13876" s="692" t="s">
        <v>4060</v>
      </c>
      <c r="H13876" s="692" t="s">
        <v>4060</v>
      </c>
      <c r="I13876" s="692" t="s">
        <v>4060</v>
      </c>
      <c r="J13876" s="692" t="s">
        <v>4060</v>
      </c>
      <c r="K13876" s="692" t="s">
        <v>4060</v>
      </c>
    </row>
    <row r="13877" spans="1:11">
      <c r="A13877" s="688" t="s">
        <v>11</v>
      </c>
      <c r="B13877" s="689">
        <v>80.3</v>
      </c>
      <c r="C13877" s="689">
        <v>80.2</v>
      </c>
      <c r="D13877" s="689">
        <v>79.7</v>
      </c>
      <c r="E13877" s="689">
        <v>80.5</v>
      </c>
      <c r="F13877" s="693">
        <v>80</v>
      </c>
      <c r="G13877" s="689">
        <v>80.5</v>
      </c>
      <c r="H13877" s="689">
        <v>80.599999999999994</v>
      </c>
      <c r="I13877" s="693">
        <v>80</v>
      </c>
      <c r="J13877" s="693">
        <v>79</v>
      </c>
      <c r="K13877" s="693">
        <v>80</v>
      </c>
    </row>
    <row r="13878" spans="1:11">
      <c r="A13878" s="688" t="s">
        <v>10</v>
      </c>
      <c r="B13878" s="691">
        <v>84.4</v>
      </c>
      <c r="C13878" s="691">
        <v>84.3</v>
      </c>
      <c r="D13878" s="691">
        <v>83.8</v>
      </c>
      <c r="E13878" s="691">
        <v>84.4</v>
      </c>
      <c r="F13878" s="691">
        <v>84.1</v>
      </c>
      <c r="G13878" s="691">
        <v>84.5</v>
      </c>
      <c r="H13878" s="691">
        <v>84.7</v>
      </c>
      <c r="I13878" s="691">
        <v>83.7</v>
      </c>
      <c r="J13878" s="615">
        <v>84</v>
      </c>
      <c r="K13878" s="615">
        <v>84</v>
      </c>
    </row>
    <row r="13879" spans="1:11">
      <c r="A13879" s="688" t="s">
        <v>30</v>
      </c>
      <c r="B13879" s="693">
        <v>84</v>
      </c>
      <c r="C13879" s="689">
        <v>83.3</v>
      </c>
      <c r="D13879" s="693">
        <v>83</v>
      </c>
      <c r="E13879" s="689">
        <v>84.1</v>
      </c>
      <c r="F13879" s="689">
        <v>83.5</v>
      </c>
      <c r="G13879" s="689">
        <v>83.9</v>
      </c>
      <c r="H13879" s="689">
        <v>83.7</v>
      </c>
      <c r="I13879" s="689">
        <v>83.7</v>
      </c>
      <c r="J13879" s="689">
        <v>82.9</v>
      </c>
      <c r="K13879" s="689">
        <v>83.2</v>
      </c>
    </row>
    <row r="13880" spans="1:11">
      <c r="A13880" s="688" t="s">
        <v>12</v>
      </c>
      <c r="B13880" s="691">
        <v>78.3</v>
      </c>
      <c r="C13880" s="691">
        <v>78.5</v>
      </c>
      <c r="D13880" s="691">
        <v>78.599999999999994</v>
      </c>
      <c r="E13880" s="691">
        <v>78.7</v>
      </c>
      <c r="F13880" s="691">
        <v>78.8</v>
      </c>
      <c r="G13880" s="691">
        <v>78.8</v>
      </c>
      <c r="H13880" s="691">
        <v>79.3</v>
      </c>
      <c r="I13880" s="691">
        <v>79.2</v>
      </c>
      <c r="J13880" s="691">
        <v>77.2</v>
      </c>
      <c r="K13880" s="691">
        <v>78.599999999999994</v>
      </c>
    </row>
    <row r="13881" spans="1:11">
      <c r="A13881" s="688" t="s">
        <v>14</v>
      </c>
      <c r="B13881" s="689">
        <v>78.8</v>
      </c>
      <c r="C13881" s="689">
        <v>79.099999999999994</v>
      </c>
      <c r="D13881" s="689">
        <v>78.8</v>
      </c>
      <c r="E13881" s="689">
        <v>79.2</v>
      </c>
      <c r="F13881" s="689">
        <v>79.5</v>
      </c>
      <c r="G13881" s="689">
        <v>79.8</v>
      </c>
      <c r="H13881" s="689">
        <v>80.099999999999994</v>
      </c>
      <c r="I13881" s="689">
        <v>79.2</v>
      </c>
      <c r="J13881" s="689">
        <v>78.099999999999994</v>
      </c>
      <c r="K13881" s="689">
        <v>79.3</v>
      </c>
    </row>
    <row r="13882" spans="1:11">
      <c r="A13882" s="688" t="s">
        <v>15</v>
      </c>
      <c r="B13882" s="691">
        <v>83.2</v>
      </c>
      <c r="C13882" s="691">
        <v>83.8</v>
      </c>
      <c r="D13882" s="691">
        <v>83.3</v>
      </c>
      <c r="E13882" s="615">
        <v>84</v>
      </c>
      <c r="F13882" s="691">
        <v>83.1</v>
      </c>
      <c r="G13882" s="691">
        <v>83.7</v>
      </c>
      <c r="H13882" s="691">
        <v>84.1</v>
      </c>
      <c r="I13882" s="691">
        <v>83.8</v>
      </c>
      <c r="J13882" s="691">
        <v>83.9</v>
      </c>
      <c r="K13882" s="691">
        <v>84.2</v>
      </c>
    </row>
    <row r="13883" spans="1:11">
      <c r="A13883" s="688" t="s">
        <v>29</v>
      </c>
      <c r="B13883" s="689">
        <v>78.5</v>
      </c>
      <c r="C13883" s="689">
        <v>78.5</v>
      </c>
      <c r="D13883" s="689">
        <v>78.099999999999994</v>
      </c>
      <c r="E13883" s="689">
        <v>78.7</v>
      </c>
      <c r="F13883" s="689">
        <v>78.400000000000006</v>
      </c>
      <c r="G13883" s="689">
        <v>78.599999999999994</v>
      </c>
      <c r="H13883" s="689">
        <v>78.8</v>
      </c>
      <c r="I13883" s="693">
        <v>78</v>
      </c>
      <c r="J13883" s="689">
        <v>76.8</v>
      </c>
      <c r="K13883" s="689">
        <v>78.400000000000006</v>
      </c>
    </row>
    <row r="13884" spans="1:11">
      <c r="A13884" s="688" t="s">
        <v>16</v>
      </c>
      <c r="B13884" s="691">
        <v>83.5</v>
      </c>
      <c r="C13884" s="691">
        <v>83.3</v>
      </c>
      <c r="D13884" s="691">
        <v>83.1</v>
      </c>
      <c r="E13884" s="691">
        <v>83.4</v>
      </c>
      <c r="F13884" s="691">
        <v>83.5</v>
      </c>
      <c r="G13884" s="691">
        <v>83.4</v>
      </c>
      <c r="H13884" s="691">
        <v>83.7</v>
      </c>
      <c r="I13884" s="691">
        <v>83.4</v>
      </c>
      <c r="J13884" s="691">
        <v>83.1</v>
      </c>
      <c r="K13884" s="691">
        <v>83.5</v>
      </c>
    </row>
    <row r="13885" spans="1:11">
      <c r="A13885" s="688" t="s">
        <v>17</v>
      </c>
      <c r="B13885" s="689">
        <v>82.5</v>
      </c>
      <c r="C13885" s="689">
        <v>82.6</v>
      </c>
      <c r="D13885" s="689">
        <v>82.4</v>
      </c>
      <c r="E13885" s="689">
        <v>82.4</v>
      </c>
      <c r="F13885" s="689">
        <v>82.6</v>
      </c>
      <c r="G13885" s="689">
        <v>82.6</v>
      </c>
      <c r="H13885" s="689">
        <v>82.8</v>
      </c>
      <c r="I13885" s="689">
        <v>82.4</v>
      </c>
      <c r="J13885" s="689">
        <v>82.2</v>
      </c>
      <c r="K13885" s="689">
        <v>82.3</v>
      </c>
    </row>
    <row r="13886" spans="1:11">
      <c r="A13886" s="688" t="s">
        <v>19</v>
      </c>
      <c r="B13886" s="615">
        <v>83</v>
      </c>
      <c r="C13886" s="615">
        <v>83</v>
      </c>
      <c r="D13886" s="691">
        <v>82.8</v>
      </c>
      <c r="E13886" s="691">
        <v>83.2</v>
      </c>
      <c r="F13886" s="691">
        <v>83.2</v>
      </c>
      <c r="G13886" s="691">
        <v>83.2</v>
      </c>
      <c r="H13886" s="691">
        <v>83.4</v>
      </c>
      <c r="I13886" s="615">
        <v>83</v>
      </c>
      <c r="J13886" s="615">
        <v>83</v>
      </c>
      <c r="K13886" s="615">
        <v>83</v>
      </c>
    </row>
    <row r="13887" spans="1:11">
      <c r="A13887" s="688" t="s">
        <v>20</v>
      </c>
      <c r="B13887" s="689">
        <v>80.5</v>
      </c>
      <c r="C13887" s="689">
        <v>80.7</v>
      </c>
      <c r="D13887" s="689">
        <v>80.599999999999994</v>
      </c>
      <c r="E13887" s="693">
        <v>81</v>
      </c>
      <c r="F13887" s="689">
        <v>80.8</v>
      </c>
      <c r="G13887" s="689">
        <v>80.7</v>
      </c>
      <c r="H13887" s="693">
        <v>81</v>
      </c>
      <c r="I13887" s="689">
        <v>79.8</v>
      </c>
      <c r="J13887" s="689">
        <v>78.8</v>
      </c>
      <c r="K13887" s="689">
        <v>80.3</v>
      </c>
    </row>
    <row r="13888" spans="1:11">
      <c r="A13888" s="688" t="s">
        <v>21</v>
      </c>
      <c r="B13888" s="691">
        <v>83.2</v>
      </c>
      <c r="C13888" s="691">
        <v>83.5</v>
      </c>
      <c r="D13888" s="691">
        <v>83.5</v>
      </c>
      <c r="E13888" s="691">
        <v>83.5</v>
      </c>
      <c r="F13888" s="691">
        <v>83.7</v>
      </c>
      <c r="G13888" s="691">
        <v>83.7</v>
      </c>
      <c r="H13888" s="615">
        <v>84</v>
      </c>
      <c r="I13888" s="691">
        <v>83.4</v>
      </c>
      <c r="J13888" s="691">
        <v>83.5</v>
      </c>
      <c r="K13888" s="691">
        <v>83.6</v>
      </c>
    </row>
    <row r="13889" spans="1:11">
      <c r="A13889" s="688" t="s">
        <v>22</v>
      </c>
      <c r="B13889" s="689">
        <v>78.400000000000006</v>
      </c>
      <c r="C13889" s="689">
        <v>78.099999999999994</v>
      </c>
      <c r="D13889" s="689">
        <v>78.099999999999994</v>
      </c>
      <c r="E13889" s="689">
        <v>78.400000000000006</v>
      </c>
      <c r="F13889" s="689">
        <v>78.400000000000006</v>
      </c>
      <c r="G13889" s="689">
        <v>78.5</v>
      </c>
      <c r="H13889" s="689">
        <v>78.900000000000006</v>
      </c>
      <c r="I13889" s="689">
        <v>77.599999999999994</v>
      </c>
      <c r="J13889" s="693">
        <v>76</v>
      </c>
      <c r="K13889" s="689">
        <v>78.5</v>
      </c>
    </row>
    <row r="13890" spans="1:11">
      <c r="A13890" s="688" t="s">
        <v>26</v>
      </c>
      <c r="B13890" s="691">
        <v>82.9</v>
      </c>
      <c r="C13890" s="691">
        <v>82.8</v>
      </c>
      <c r="D13890" s="691">
        <v>82.7</v>
      </c>
      <c r="E13890" s="691">
        <v>83.1</v>
      </c>
      <c r="F13890" s="691">
        <v>82.9</v>
      </c>
      <c r="G13890" s="691">
        <v>83.1</v>
      </c>
      <c r="H13890" s="691">
        <v>83.4</v>
      </c>
      <c r="I13890" s="691">
        <v>82.5</v>
      </c>
      <c r="J13890" s="691">
        <v>82.8</v>
      </c>
      <c r="K13890" s="691">
        <v>83.1</v>
      </c>
    </row>
    <row r="13891" spans="1:11">
      <c r="A13891" s="688" t="s">
        <v>25</v>
      </c>
      <c r="B13891" s="689">
        <v>79.599999999999994</v>
      </c>
      <c r="C13891" s="689">
        <v>79.900000000000006</v>
      </c>
      <c r="D13891" s="689">
        <v>79.5</v>
      </c>
      <c r="E13891" s="693">
        <v>80</v>
      </c>
      <c r="F13891" s="689">
        <v>79.900000000000006</v>
      </c>
      <c r="G13891" s="693">
        <v>80</v>
      </c>
      <c r="H13891" s="689">
        <v>80.400000000000006</v>
      </c>
      <c r="I13891" s="689">
        <v>79.8</v>
      </c>
      <c r="J13891" s="689">
        <v>77.599999999999994</v>
      </c>
      <c r="K13891" s="689">
        <v>79.8</v>
      </c>
    </row>
    <row r="13892" spans="1:11">
      <c r="A13892" s="688" t="s">
        <v>5</v>
      </c>
      <c r="B13892" s="691">
        <v>83.2</v>
      </c>
      <c r="C13892" s="615">
        <v>83</v>
      </c>
      <c r="D13892" s="691">
        <v>83.3</v>
      </c>
      <c r="E13892" s="691">
        <v>83.3</v>
      </c>
      <c r="F13892" s="691">
        <v>83.4</v>
      </c>
      <c r="G13892" s="691">
        <v>83.5</v>
      </c>
      <c r="H13892" s="691">
        <v>83.7</v>
      </c>
      <c r="I13892" s="691">
        <v>83.8</v>
      </c>
      <c r="J13892" s="691">
        <v>83.6</v>
      </c>
      <c r="K13892" s="691">
        <v>82.9</v>
      </c>
    </row>
    <row r="13893" spans="1:11">
      <c r="A13893" s="688" t="s">
        <v>23</v>
      </c>
      <c r="B13893" s="693">
        <v>83</v>
      </c>
      <c r="C13893" s="689">
        <v>83.2</v>
      </c>
      <c r="D13893" s="689">
        <v>83.2</v>
      </c>
      <c r="E13893" s="689">
        <v>83.3</v>
      </c>
      <c r="F13893" s="689">
        <v>83.3</v>
      </c>
      <c r="G13893" s="689">
        <v>83.4</v>
      </c>
      <c r="H13893" s="689">
        <v>83.9</v>
      </c>
      <c r="I13893" s="689">
        <v>83.5</v>
      </c>
      <c r="J13893" s="693">
        <v>84</v>
      </c>
      <c r="K13893" s="689">
        <v>83.9</v>
      </c>
    </row>
    <row r="13894" spans="1:11">
      <c r="A13894" s="688" t="s">
        <v>4067</v>
      </c>
      <c r="B13894" s="691">
        <v>82.6</v>
      </c>
      <c r="C13894" s="691">
        <v>82.9</v>
      </c>
      <c r="D13894" s="691">
        <v>82.5</v>
      </c>
      <c r="E13894" s="691">
        <v>82.9</v>
      </c>
      <c r="F13894" s="691">
        <v>82.8</v>
      </c>
      <c r="G13894" s="691">
        <v>82.9</v>
      </c>
      <c r="H13894" s="692" t="s">
        <v>4060</v>
      </c>
      <c r="I13894" s="692" t="s">
        <v>4060</v>
      </c>
      <c r="J13894" s="692" t="s">
        <v>4060</v>
      </c>
      <c r="K13894" s="692" t="s">
        <v>4060</v>
      </c>
    </row>
    <row r="13895" spans="1:11">
      <c r="A13895" s="688" t="s">
        <v>4066</v>
      </c>
      <c r="B13895" s="689">
        <v>82.6</v>
      </c>
      <c r="C13895" s="693">
        <v>83</v>
      </c>
      <c r="D13895" s="689">
        <v>82.6</v>
      </c>
      <c r="E13895" s="693">
        <v>83</v>
      </c>
      <c r="F13895" s="689">
        <v>82.9</v>
      </c>
      <c r="G13895" s="689">
        <v>82.9</v>
      </c>
      <c r="H13895" s="690" t="s">
        <v>4060</v>
      </c>
      <c r="I13895" s="690" t="s">
        <v>4060</v>
      </c>
      <c r="J13895" s="690" t="s">
        <v>4060</v>
      </c>
      <c r="K13895" s="690" t="s">
        <v>4060</v>
      </c>
    </row>
    <row r="13896" spans="1:11">
      <c r="A13896" s="688" t="s">
        <v>4062</v>
      </c>
      <c r="B13896" s="691">
        <v>83.8</v>
      </c>
      <c r="C13896" s="615">
        <v>84</v>
      </c>
      <c r="D13896" s="691">
        <v>83.9</v>
      </c>
      <c r="E13896" s="691">
        <v>84.1</v>
      </c>
      <c r="F13896" s="691">
        <v>84.2</v>
      </c>
      <c r="G13896" s="691">
        <v>84.3</v>
      </c>
      <c r="H13896" s="691">
        <v>84.5</v>
      </c>
      <c r="I13896" s="691">
        <v>84.2</v>
      </c>
      <c r="J13896" s="691">
        <v>84.5</v>
      </c>
      <c r="K13896" s="691">
        <v>84.2</v>
      </c>
    </row>
    <row r="13897" spans="1:11">
      <c r="A13897" s="688" t="s">
        <v>9</v>
      </c>
      <c r="B13897" s="689">
        <v>82.9</v>
      </c>
      <c r="C13897" s="689">
        <v>83.3</v>
      </c>
      <c r="D13897" s="689">
        <v>82.8</v>
      </c>
      <c r="E13897" s="693">
        <v>83</v>
      </c>
      <c r="F13897" s="689">
        <v>83.3</v>
      </c>
      <c r="G13897" s="689">
        <v>83.3</v>
      </c>
      <c r="H13897" s="689">
        <v>83.6</v>
      </c>
      <c r="I13897" s="689">
        <v>83.5</v>
      </c>
      <c r="J13897" s="689">
        <v>83.8</v>
      </c>
      <c r="K13897" s="689">
        <v>82.7</v>
      </c>
    </row>
    <row r="13898" spans="1:11">
      <c r="A13898" s="688" t="s">
        <v>13</v>
      </c>
      <c r="B13898" s="691">
        <v>83.9</v>
      </c>
      <c r="C13898" s="691">
        <v>82.7</v>
      </c>
      <c r="D13898" s="691">
        <v>83.3</v>
      </c>
      <c r="E13898" s="691">
        <v>82.9</v>
      </c>
      <c r="F13898" s="691">
        <v>84.8</v>
      </c>
      <c r="G13898" s="691">
        <v>84.6</v>
      </c>
      <c r="H13898" s="691">
        <v>84.5</v>
      </c>
      <c r="I13898" s="691">
        <v>82.8</v>
      </c>
      <c r="J13898" s="691">
        <v>85.1</v>
      </c>
      <c r="K13898" s="691">
        <v>84.2</v>
      </c>
    </row>
    <row r="13899" spans="1:11">
      <c r="A13899" s="688" t="s">
        <v>18</v>
      </c>
      <c r="B13899" s="693">
        <v>83</v>
      </c>
      <c r="C13899" s="689">
        <v>83.3</v>
      </c>
      <c r="D13899" s="689">
        <v>83.3</v>
      </c>
      <c r="E13899" s="689">
        <v>83.3</v>
      </c>
      <c r="F13899" s="689">
        <v>83.5</v>
      </c>
      <c r="G13899" s="689">
        <v>83.7</v>
      </c>
      <c r="H13899" s="689">
        <v>83.8</v>
      </c>
      <c r="I13899" s="693">
        <v>84</v>
      </c>
      <c r="J13899" s="689">
        <v>83.9</v>
      </c>
      <c r="K13899" s="689">
        <v>83.5</v>
      </c>
    </row>
    <row r="13900" spans="1:11">
      <c r="A13900" s="688" t="s">
        <v>24</v>
      </c>
      <c r="B13900" s="691">
        <v>84.3</v>
      </c>
      <c r="C13900" s="691">
        <v>84.4</v>
      </c>
      <c r="D13900" s="691">
        <v>84.2</v>
      </c>
      <c r="E13900" s="691">
        <v>84.6</v>
      </c>
      <c r="F13900" s="691">
        <v>84.6</v>
      </c>
      <c r="G13900" s="691">
        <v>84.7</v>
      </c>
      <c r="H13900" s="691">
        <v>84.9</v>
      </c>
      <c r="I13900" s="691">
        <v>84.4</v>
      </c>
      <c r="J13900" s="691">
        <v>84.9</v>
      </c>
      <c r="K13900" s="691">
        <v>84.6</v>
      </c>
    </row>
    <row r="13901" spans="1:11">
      <c r="A13901" s="688" t="s">
        <v>4059</v>
      </c>
      <c r="B13901" s="689">
        <v>82.2</v>
      </c>
      <c r="C13901" s="689">
        <v>82.5</v>
      </c>
      <c r="D13901" s="689">
        <v>82.1</v>
      </c>
      <c r="E13901" s="689">
        <v>82.3</v>
      </c>
      <c r="F13901" s="689">
        <v>82.4</v>
      </c>
      <c r="G13901" s="689">
        <v>82.3</v>
      </c>
      <c r="H13901" s="690" t="s">
        <v>4060</v>
      </c>
      <c r="I13901" s="690" t="s">
        <v>4060</v>
      </c>
      <c r="J13901" s="690" t="s">
        <v>4060</v>
      </c>
      <c r="K13901" s="690" t="s">
        <v>4060</v>
      </c>
    </row>
    <row r="13902" spans="1:11">
      <c r="A13902" s="688" t="s">
        <v>2324</v>
      </c>
      <c r="B13902" s="691">
        <v>78.2</v>
      </c>
      <c r="C13902" s="691">
        <v>78.2</v>
      </c>
      <c r="D13902" s="691">
        <v>77.8</v>
      </c>
      <c r="E13902" s="691">
        <v>78.2</v>
      </c>
      <c r="F13902" s="691">
        <v>78.3</v>
      </c>
      <c r="G13902" s="691">
        <v>78.400000000000006</v>
      </c>
      <c r="H13902" s="691">
        <v>78.599999999999994</v>
      </c>
      <c r="I13902" s="615">
        <v>78</v>
      </c>
      <c r="J13902" s="691">
        <v>76.099999999999994</v>
      </c>
      <c r="K13902" s="692" t="s">
        <v>4060</v>
      </c>
    </row>
    <row r="13903" spans="1:11">
      <c r="A13903" s="688" t="s">
        <v>2322</v>
      </c>
      <c r="B13903" s="690" t="s">
        <v>4060</v>
      </c>
      <c r="C13903" s="690" t="s">
        <v>4060</v>
      </c>
      <c r="D13903" s="690" t="s">
        <v>4060</v>
      </c>
      <c r="E13903" s="690" t="s">
        <v>4060</v>
      </c>
      <c r="F13903" s="690" t="s">
        <v>4060</v>
      </c>
      <c r="G13903" s="690" t="s">
        <v>4060</v>
      </c>
      <c r="H13903" s="690" t="s">
        <v>4060</v>
      </c>
      <c r="I13903" s="690" t="s">
        <v>4060</v>
      </c>
      <c r="J13903" s="690" t="s">
        <v>4060</v>
      </c>
      <c r="K13903" s="690" t="s">
        <v>4060</v>
      </c>
    </row>
    <row r="13904" spans="1:11">
      <c r="A13904" s="688" t="s">
        <v>2328</v>
      </c>
      <c r="B13904" s="691">
        <v>77.3</v>
      </c>
      <c r="C13904" s="691">
        <v>77.2</v>
      </c>
      <c r="D13904" s="615">
        <v>77</v>
      </c>
      <c r="E13904" s="691">
        <v>77.5</v>
      </c>
      <c r="F13904" s="691">
        <v>77.7</v>
      </c>
      <c r="G13904" s="691">
        <v>78.2</v>
      </c>
      <c r="H13904" s="615">
        <v>78</v>
      </c>
      <c r="I13904" s="691">
        <v>76.099999999999994</v>
      </c>
      <c r="J13904" s="691">
        <v>74.8</v>
      </c>
      <c r="K13904" s="692" t="s">
        <v>4060</v>
      </c>
    </row>
    <row r="13905" spans="1:11">
      <c r="A13905" s="688" t="s">
        <v>2496</v>
      </c>
      <c r="B13905" s="690" t="s">
        <v>4060</v>
      </c>
      <c r="C13905" s="693">
        <v>78</v>
      </c>
      <c r="D13905" s="693">
        <v>77</v>
      </c>
      <c r="E13905" s="689">
        <v>76.8</v>
      </c>
      <c r="F13905" s="689">
        <v>77.5</v>
      </c>
      <c r="G13905" s="689">
        <v>77.8</v>
      </c>
      <c r="H13905" s="689">
        <v>77.900000000000006</v>
      </c>
      <c r="I13905" s="690" t="s">
        <v>4060</v>
      </c>
      <c r="J13905" s="690" t="s">
        <v>4060</v>
      </c>
      <c r="K13905" s="689">
        <v>77.7</v>
      </c>
    </row>
    <row r="13906" spans="1:11">
      <c r="A13906" s="688" t="s">
        <v>2269</v>
      </c>
      <c r="B13906" s="691">
        <v>79.599999999999994</v>
      </c>
      <c r="C13906" s="691">
        <v>79.8</v>
      </c>
      <c r="D13906" s="691">
        <v>79.2</v>
      </c>
      <c r="E13906" s="691">
        <v>79.8</v>
      </c>
      <c r="F13906" s="691">
        <v>79.7</v>
      </c>
      <c r="G13906" s="691">
        <v>80.2</v>
      </c>
      <c r="H13906" s="691">
        <v>80.400000000000006</v>
      </c>
      <c r="I13906" s="691">
        <v>79.400000000000006</v>
      </c>
      <c r="J13906" s="691">
        <v>77.2</v>
      </c>
      <c r="K13906" s="691">
        <v>80.3</v>
      </c>
    </row>
    <row r="13907" spans="1:11">
      <c r="A13907" s="688" t="s">
        <v>2349</v>
      </c>
      <c r="B13907" s="689">
        <v>77.3</v>
      </c>
      <c r="C13907" s="689">
        <v>77.3</v>
      </c>
      <c r="D13907" s="689">
        <v>77.3</v>
      </c>
      <c r="E13907" s="689">
        <v>77.599999999999994</v>
      </c>
      <c r="F13907" s="689">
        <v>77.400000000000006</v>
      </c>
      <c r="G13907" s="689">
        <v>77.8</v>
      </c>
      <c r="H13907" s="693">
        <v>78</v>
      </c>
      <c r="I13907" s="689">
        <v>76.8</v>
      </c>
      <c r="J13907" s="689">
        <v>75.099999999999994</v>
      </c>
      <c r="K13907" s="689">
        <v>77.099999999999994</v>
      </c>
    </row>
    <row r="13908" spans="1:11">
      <c r="A13908" s="688" t="s">
        <v>2355</v>
      </c>
      <c r="B13908" s="691">
        <v>80.900000000000006</v>
      </c>
      <c r="C13908" s="691">
        <v>80.8</v>
      </c>
      <c r="D13908" s="691">
        <v>80.8</v>
      </c>
      <c r="E13908" s="691">
        <v>80.7</v>
      </c>
      <c r="F13908" s="615">
        <v>81</v>
      </c>
      <c r="G13908" s="691">
        <v>81.400000000000006</v>
      </c>
      <c r="H13908" s="691">
        <v>81.5</v>
      </c>
      <c r="I13908" s="692" t="s">
        <v>4060</v>
      </c>
      <c r="J13908" s="692" t="s">
        <v>4060</v>
      </c>
      <c r="K13908" s="692" t="s">
        <v>4060</v>
      </c>
    </row>
    <row r="13909" spans="1:11">
      <c r="A13909" s="688" t="s">
        <v>2357</v>
      </c>
      <c r="B13909" s="690" t="s">
        <v>4060</v>
      </c>
      <c r="C13909" s="689">
        <v>76.3</v>
      </c>
      <c r="D13909" s="689">
        <v>76.8</v>
      </c>
      <c r="E13909" s="689">
        <v>77.099999999999994</v>
      </c>
      <c r="F13909" s="689">
        <v>77.5</v>
      </c>
      <c r="G13909" s="689">
        <v>77.5</v>
      </c>
      <c r="H13909" s="689">
        <v>77.7</v>
      </c>
      <c r="I13909" s="690" t="s">
        <v>4060</v>
      </c>
      <c r="J13909" s="690" t="s">
        <v>4060</v>
      </c>
      <c r="K13909" s="690" t="s">
        <v>4060</v>
      </c>
    </row>
    <row r="13910" spans="1:11">
      <c r="A13910" s="688" t="s">
        <v>4070</v>
      </c>
      <c r="B13910" s="692" t="s">
        <v>4060</v>
      </c>
      <c r="C13910" s="692" t="s">
        <v>4060</v>
      </c>
      <c r="D13910" s="692" t="s">
        <v>4060</v>
      </c>
      <c r="E13910" s="691">
        <v>81.099999999999994</v>
      </c>
      <c r="F13910" s="692" t="s">
        <v>4060</v>
      </c>
      <c r="G13910" s="692" t="s">
        <v>4060</v>
      </c>
      <c r="H13910" s="692" t="s">
        <v>4060</v>
      </c>
      <c r="I13910" s="692" t="s">
        <v>4060</v>
      </c>
      <c r="J13910" s="692" t="s">
        <v>4060</v>
      </c>
      <c r="K13910" s="692" t="s">
        <v>4060</v>
      </c>
    </row>
    <row r="13911" spans="1:11">
      <c r="A13911" s="688" t="s">
        <v>2491</v>
      </c>
      <c r="B13911" s="689">
        <v>77.3</v>
      </c>
      <c r="C13911" s="689">
        <v>77.8</v>
      </c>
      <c r="D13911" s="689">
        <v>78.2</v>
      </c>
      <c r="E13911" s="689">
        <v>78.400000000000006</v>
      </c>
      <c r="F13911" s="689">
        <v>78.599999999999994</v>
      </c>
      <c r="G13911" s="689">
        <v>78.7</v>
      </c>
      <c r="H13911" s="690" t="s">
        <v>4060</v>
      </c>
      <c r="I13911" s="690" t="s">
        <v>4060</v>
      </c>
      <c r="J13911" s="690" t="s">
        <v>4060</v>
      </c>
      <c r="K13911" s="690" t="s">
        <v>4060</v>
      </c>
    </row>
    <row r="13912" spans="1:11">
      <c r="A13912" s="688" t="s">
        <v>2343</v>
      </c>
      <c r="B13912" s="692" t="s">
        <v>4060</v>
      </c>
      <c r="C13912" s="692" t="s">
        <v>4060</v>
      </c>
      <c r="D13912" s="692" t="s">
        <v>4060</v>
      </c>
      <c r="E13912" s="692" t="s">
        <v>4060</v>
      </c>
      <c r="F13912" s="692" t="s">
        <v>4060</v>
      </c>
      <c r="G13912" s="692" t="s">
        <v>4060</v>
      </c>
      <c r="H13912" s="692" t="s">
        <v>4060</v>
      </c>
      <c r="I13912" s="692" t="s">
        <v>4060</v>
      </c>
      <c r="J13912" s="692" t="s">
        <v>4060</v>
      </c>
      <c r="K13912" s="692" t="s">
        <v>4060</v>
      </c>
    </row>
    <row r="13913" spans="1:11">
      <c r="A13913" s="688" t="s">
        <v>4071</v>
      </c>
      <c r="B13913" s="690" t="s">
        <v>4060</v>
      </c>
      <c r="C13913" s="690" t="s">
        <v>4060</v>
      </c>
      <c r="D13913" s="690" t="s">
        <v>4060</v>
      </c>
      <c r="E13913" s="690" t="s">
        <v>4060</v>
      </c>
      <c r="F13913" s="690" t="s">
        <v>4060</v>
      </c>
      <c r="G13913" s="690" t="s">
        <v>4060</v>
      </c>
      <c r="H13913" s="690" t="s">
        <v>4060</v>
      </c>
      <c r="I13913" s="690" t="s">
        <v>4060</v>
      </c>
      <c r="J13913" s="690" t="s">
        <v>4060</v>
      </c>
      <c r="K13913" s="690" t="s">
        <v>4060</v>
      </c>
    </row>
    <row r="13914" spans="1:11">
      <c r="A13914" s="688" t="s">
        <v>2489</v>
      </c>
      <c r="B13914" s="692" t="s">
        <v>4060</v>
      </c>
      <c r="C13914" s="692" t="s">
        <v>4060</v>
      </c>
      <c r="D13914" s="691">
        <v>77.900000000000006</v>
      </c>
      <c r="E13914" s="615">
        <v>78</v>
      </c>
      <c r="F13914" s="691">
        <v>78.5</v>
      </c>
      <c r="G13914" s="691">
        <v>79.2</v>
      </c>
      <c r="H13914" s="691">
        <v>79.099999999999994</v>
      </c>
      <c r="I13914" s="692" t="s">
        <v>4060</v>
      </c>
      <c r="J13914" s="692" t="s">
        <v>4060</v>
      </c>
      <c r="K13914" s="692" t="s">
        <v>4060</v>
      </c>
    </row>
    <row r="13915" spans="1:11">
      <c r="A13915" s="688" t="s">
        <v>2490</v>
      </c>
      <c r="B13915" s="689">
        <v>76.900000000000006</v>
      </c>
      <c r="C13915" s="693">
        <v>77</v>
      </c>
      <c r="D13915" s="689">
        <v>77.5</v>
      </c>
      <c r="E13915" s="690" t="s">
        <v>4060</v>
      </c>
      <c r="F13915" s="689">
        <v>77.7</v>
      </c>
      <c r="G13915" s="689">
        <v>78.099999999999994</v>
      </c>
      <c r="H13915" s="689">
        <v>78.599999999999994</v>
      </c>
      <c r="I13915" s="690" t="s">
        <v>4060</v>
      </c>
      <c r="J13915" s="690" t="s">
        <v>4060</v>
      </c>
      <c r="K13915" s="690" t="s">
        <v>4060</v>
      </c>
    </row>
    <row r="13917" spans="1:11">
      <c r="A13917" s="683" t="s">
        <v>4233</v>
      </c>
    </row>
    <row r="13918" spans="1:11">
      <c r="A13918" s="683" t="s">
        <v>4060</v>
      </c>
      <c r="B13918" s="682" t="s">
        <v>4234</v>
      </c>
    </row>
    <row r="13920" spans="1:11">
      <c r="A13920" s="682" t="s">
        <v>4332</v>
      </c>
    </row>
    <row r="13921" spans="1:11">
      <c r="A13921" s="682" t="s">
        <v>4210</v>
      </c>
      <c r="B13921" s="683" t="s">
        <v>4211</v>
      </c>
    </row>
    <row r="13922" spans="1:11">
      <c r="A13922" s="682" t="s">
        <v>4212</v>
      </c>
      <c r="B13922" s="682" t="s">
        <v>4213</v>
      </c>
    </row>
    <row r="13924" spans="1:11">
      <c r="A13924" s="683" t="s">
        <v>4214</v>
      </c>
      <c r="C13924" s="682" t="s">
        <v>4215</v>
      </c>
    </row>
    <row r="13925" spans="1:11">
      <c r="A13925" s="683" t="s">
        <v>4216</v>
      </c>
      <c r="C13925" s="682" t="s">
        <v>2967</v>
      </c>
    </row>
    <row r="13926" spans="1:11">
      <c r="A13926" s="683" t="s">
        <v>3893</v>
      </c>
      <c r="C13926" s="682" t="s">
        <v>2169</v>
      </c>
    </row>
    <row r="13927" spans="1:11">
      <c r="A13927" s="683" t="s">
        <v>4218</v>
      </c>
      <c r="C13927" s="682" t="s">
        <v>4236</v>
      </c>
    </row>
    <row r="13929" spans="1:11">
      <c r="A13929" s="684" t="s">
        <v>4220</v>
      </c>
      <c r="B13929" s="685" t="s">
        <v>4221</v>
      </c>
      <c r="C13929" s="685" t="s">
        <v>4222</v>
      </c>
      <c r="D13929" s="685" t="s">
        <v>4223</v>
      </c>
      <c r="E13929" s="685" t="s">
        <v>4224</v>
      </c>
      <c r="F13929" s="685" t="s">
        <v>4225</v>
      </c>
      <c r="G13929" s="685" t="s">
        <v>4226</v>
      </c>
      <c r="H13929" s="685" t="s">
        <v>4227</v>
      </c>
      <c r="I13929" s="685" t="s">
        <v>4228</v>
      </c>
      <c r="J13929" s="685" t="s">
        <v>4229</v>
      </c>
      <c r="K13929" s="685" t="s">
        <v>4230</v>
      </c>
    </row>
    <row r="13930" spans="1:11">
      <c r="A13930" s="686" t="s">
        <v>4231</v>
      </c>
      <c r="B13930" s="687" t="s">
        <v>4232</v>
      </c>
      <c r="C13930" s="687" t="s">
        <v>4232</v>
      </c>
      <c r="D13930" s="687" t="s">
        <v>4232</v>
      </c>
      <c r="E13930" s="687" t="s">
        <v>4232</v>
      </c>
      <c r="F13930" s="687" t="s">
        <v>4232</v>
      </c>
      <c r="G13930" s="687" t="s">
        <v>4232</v>
      </c>
      <c r="H13930" s="687" t="s">
        <v>4232</v>
      </c>
      <c r="I13930" s="687" t="s">
        <v>4232</v>
      </c>
      <c r="J13930" s="687" t="s">
        <v>4232</v>
      </c>
      <c r="K13930" s="687" t="s">
        <v>4232</v>
      </c>
    </row>
    <row r="13931" spans="1:11">
      <c r="A13931" s="688" t="s">
        <v>4064</v>
      </c>
      <c r="B13931" s="689">
        <v>81.599999999999994</v>
      </c>
      <c r="C13931" s="689">
        <v>81.599999999999994</v>
      </c>
      <c r="D13931" s="689">
        <v>81.599999999999994</v>
      </c>
      <c r="E13931" s="689">
        <v>81.7</v>
      </c>
      <c r="F13931" s="689">
        <v>81.7</v>
      </c>
      <c r="G13931" s="689">
        <v>81.8</v>
      </c>
      <c r="H13931" s="689">
        <v>82.1</v>
      </c>
      <c r="I13931" s="689">
        <v>81.400000000000006</v>
      </c>
      <c r="J13931" s="689">
        <v>81.099999999999994</v>
      </c>
      <c r="K13931" s="689">
        <v>81.5</v>
      </c>
    </row>
    <row r="13932" spans="1:11">
      <c r="A13932" s="688" t="s">
        <v>4065</v>
      </c>
      <c r="B13932" s="691">
        <v>81.599999999999994</v>
      </c>
      <c r="C13932" s="691">
        <v>81.900000000000006</v>
      </c>
      <c r="D13932" s="691">
        <v>81.599999999999994</v>
      </c>
      <c r="E13932" s="691">
        <v>81.900000000000006</v>
      </c>
      <c r="F13932" s="691">
        <v>81.8</v>
      </c>
      <c r="G13932" s="691">
        <v>81.900000000000006</v>
      </c>
      <c r="H13932" s="692" t="s">
        <v>4060</v>
      </c>
      <c r="I13932" s="692" t="s">
        <v>4060</v>
      </c>
      <c r="J13932" s="692" t="s">
        <v>4060</v>
      </c>
      <c r="K13932" s="692" t="s">
        <v>4060</v>
      </c>
    </row>
    <row r="13933" spans="1:11">
      <c r="A13933" s="688" t="s">
        <v>4063</v>
      </c>
      <c r="B13933" s="689">
        <v>81.599999999999994</v>
      </c>
      <c r="C13933" s="693">
        <v>82</v>
      </c>
      <c r="D13933" s="689">
        <v>81.599999999999994</v>
      </c>
      <c r="E13933" s="693">
        <v>82</v>
      </c>
      <c r="F13933" s="689">
        <v>81.900000000000006</v>
      </c>
      <c r="G13933" s="689">
        <v>81.900000000000006</v>
      </c>
      <c r="H13933" s="690" t="s">
        <v>4060</v>
      </c>
      <c r="I13933" s="690" t="s">
        <v>4060</v>
      </c>
      <c r="J13933" s="690" t="s">
        <v>4060</v>
      </c>
      <c r="K13933" s="690" t="s">
        <v>4060</v>
      </c>
    </row>
    <row r="13934" spans="1:11">
      <c r="A13934" s="688" t="s">
        <v>4069</v>
      </c>
      <c r="B13934" s="692" t="s">
        <v>4060</v>
      </c>
      <c r="C13934" s="691">
        <v>82.5</v>
      </c>
      <c r="D13934" s="691">
        <v>82.2</v>
      </c>
      <c r="E13934" s="691">
        <v>82.5</v>
      </c>
      <c r="F13934" s="691">
        <v>82.5</v>
      </c>
      <c r="G13934" s="691">
        <v>82.6</v>
      </c>
      <c r="H13934" s="691">
        <v>82.9</v>
      </c>
      <c r="I13934" s="691">
        <v>82.3</v>
      </c>
      <c r="J13934" s="691">
        <v>82.3</v>
      </c>
      <c r="K13934" s="691">
        <v>82.3</v>
      </c>
    </row>
    <row r="13935" spans="1:11">
      <c r="A13935" s="688" t="s">
        <v>4068</v>
      </c>
      <c r="B13935" s="689">
        <v>82.5</v>
      </c>
      <c r="C13935" s="690" t="s">
        <v>4060</v>
      </c>
      <c r="D13935" s="690" t="s">
        <v>4060</v>
      </c>
      <c r="E13935" s="690" t="s">
        <v>4060</v>
      </c>
      <c r="F13935" s="690" t="s">
        <v>4060</v>
      </c>
      <c r="G13935" s="690" t="s">
        <v>4060</v>
      </c>
      <c r="H13935" s="690" t="s">
        <v>4060</v>
      </c>
      <c r="I13935" s="690" t="s">
        <v>4060</v>
      </c>
      <c r="J13935" s="690" t="s">
        <v>4060</v>
      </c>
      <c r="K13935" s="690" t="s">
        <v>4060</v>
      </c>
    </row>
    <row r="13936" spans="1:11">
      <c r="A13936" s="688" t="s">
        <v>0</v>
      </c>
      <c r="B13936" s="691">
        <v>81.5</v>
      </c>
      <c r="C13936" s="691">
        <v>81.8</v>
      </c>
      <c r="D13936" s="691">
        <v>81.400000000000006</v>
      </c>
      <c r="E13936" s="691">
        <v>81.900000000000006</v>
      </c>
      <c r="F13936" s="615">
        <v>82</v>
      </c>
      <c r="G13936" s="615">
        <v>82</v>
      </c>
      <c r="H13936" s="691">
        <v>82.3</v>
      </c>
      <c r="I13936" s="691">
        <v>81.3</v>
      </c>
      <c r="J13936" s="691">
        <v>82.3</v>
      </c>
      <c r="K13936" s="615">
        <v>82</v>
      </c>
    </row>
    <row r="13937" spans="1:11">
      <c r="A13937" s="688" t="s">
        <v>1</v>
      </c>
      <c r="B13937" s="689">
        <v>77.2</v>
      </c>
      <c r="C13937" s="689">
        <v>76.5</v>
      </c>
      <c r="D13937" s="689">
        <v>76.599999999999994</v>
      </c>
      <c r="E13937" s="689">
        <v>76.8</v>
      </c>
      <c r="F13937" s="689">
        <v>76.7</v>
      </c>
      <c r="G13937" s="689">
        <v>76.8</v>
      </c>
      <c r="H13937" s="693">
        <v>77</v>
      </c>
      <c r="I13937" s="689">
        <v>75.7</v>
      </c>
      <c r="J13937" s="689">
        <v>73.400000000000006</v>
      </c>
      <c r="K13937" s="689">
        <v>76.3</v>
      </c>
    </row>
    <row r="13938" spans="1:11">
      <c r="A13938" s="688" t="s">
        <v>2240</v>
      </c>
      <c r="B13938" s="691">
        <v>79.5</v>
      </c>
      <c r="C13938" s="691">
        <v>79.900000000000006</v>
      </c>
      <c r="D13938" s="691">
        <v>79.599999999999994</v>
      </c>
      <c r="E13938" s="691">
        <v>80.099999999999994</v>
      </c>
      <c r="F13938" s="691">
        <v>80.099999999999994</v>
      </c>
      <c r="G13938" s="691">
        <v>80.099999999999994</v>
      </c>
      <c r="H13938" s="691">
        <v>80.3</v>
      </c>
      <c r="I13938" s="691">
        <v>79.5</v>
      </c>
      <c r="J13938" s="691">
        <v>78.7</v>
      </c>
      <c r="K13938" s="691">
        <v>80.099999999999994</v>
      </c>
    </row>
    <row r="13939" spans="1:11">
      <c r="A13939" s="688" t="s">
        <v>2</v>
      </c>
      <c r="B13939" s="689">
        <v>80.7</v>
      </c>
      <c r="C13939" s="693">
        <v>81</v>
      </c>
      <c r="D13939" s="693">
        <v>81</v>
      </c>
      <c r="E13939" s="693">
        <v>81</v>
      </c>
      <c r="F13939" s="689">
        <v>81.400000000000006</v>
      </c>
      <c r="G13939" s="689">
        <v>81.2</v>
      </c>
      <c r="H13939" s="689">
        <v>81.599999999999994</v>
      </c>
      <c r="I13939" s="689">
        <v>81.8</v>
      </c>
      <c r="J13939" s="689">
        <v>81.599999999999994</v>
      </c>
      <c r="K13939" s="689">
        <v>81.400000000000006</v>
      </c>
    </row>
    <row r="13940" spans="1:11">
      <c r="A13940" s="688" t="s">
        <v>3</v>
      </c>
      <c r="B13940" s="691">
        <v>81.3</v>
      </c>
      <c r="C13940" s="691">
        <v>81.599999999999994</v>
      </c>
      <c r="D13940" s="691">
        <v>81.3</v>
      </c>
      <c r="E13940" s="691">
        <v>81.599999999999994</v>
      </c>
      <c r="F13940" s="691">
        <v>81.599999999999994</v>
      </c>
      <c r="G13940" s="691">
        <v>81.5</v>
      </c>
      <c r="H13940" s="691">
        <v>81.8</v>
      </c>
      <c r="I13940" s="691">
        <v>81.7</v>
      </c>
      <c r="J13940" s="691">
        <v>81.400000000000006</v>
      </c>
      <c r="K13940" s="691">
        <v>81.2</v>
      </c>
    </row>
    <row r="13941" spans="1:11">
      <c r="A13941" s="688" t="s">
        <v>4061</v>
      </c>
      <c r="B13941" s="689">
        <v>81.3</v>
      </c>
      <c r="C13941" s="689">
        <v>81.599999999999994</v>
      </c>
      <c r="D13941" s="689">
        <v>81.3</v>
      </c>
      <c r="E13941" s="689">
        <v>81.599999999999994</v>
      </c>
      <c r="F13941" s="689">
        <v>81.599999999999994</v>
      </c>
      <c r="G13941" s="689">
        <v>81.5</v>
      </c>
      <c r="H13941" s="689">
        <v>81.8</v>
      </c>
      <c r="I13941" s="689">
        <v>81.7</v>
      </c>
      <c r="J13941" s="689">
        <v>81.400000000000006</v>
      </c>
      <c r="K13941" s="689">
        <v>81.2</v>
      </c>
    </row>
    <row r="13942" spans="1:11">
      <c r="A13942" s="688" t="s">
        <v>4</v>
      </c>
      <c r="B13942" s="691">
        <v>79.900000000000006</v>
      </c>
      <c r="C13942" s="691">
        <v>79.7</v>
      </c>
      <c r="D13942" s="615">
        <v>80</v>
      </c>
      <c r="E13942" s="615">
        <v>80</v>
      </c>
      <c r="F13942" s="691">
        <v>80.5</v>
      </c>
      <c r="G13942" s="691">
        <v>80.599999999999994</v>
      </c>
      <c r="H13942" s="691">
        <v>80.8</v>
      </c>
      <c r="I13942" s="691">
        <v>80.900000000000006</v>
      </c>
      <c r="J13942" s="691">
        <v>79.5</v>
      </c>
      <c r="K13942" s="691">
        <v>80.400000000000006</v>
      </c>
    </row>
    <row r="13943" spans="1:11">
      <c r="A13943" s="688" t="s">
        <v>8</v>
      </c>
      <c r="B13943" s="689">
        <v>81.400000000000006</v>
      </c>
      <c r="C13943" s="689">
        <v>81.5</v>
      </c>
      <c r="D13943" s="689">
        <v>81.5</v>
      </c>
      <c r="E13943" s="689">
        <v>81.7</v>
      </c>
      <c r="F13943" s="689">
        <v>82.1</v>
      </c>
      <c r="G13943" s="689">
        <v>82.1</v>
      </c>
      <c r="H13943" s="689">
        <v>82.6</v>
      </c>
      <c r="I13943" s="689">
        <v>82.3</v>
      </c>
      <c r="J13943" s="689">
        <v>82.3</v>
      </c>
      <c r="K13943" s="689">
        <v>82.3</v>
      </c>
    </row>
    <row r="13944" spans="1:11">
      <c r="A13944" s="688" t="s">
        <v>7</v>
      </c>
      <c r="B13944" s="691">
        <v>82.3</v>
      </c>
      <c r="C13944" s="691">
        <v>82.1</v>
      </c>
      <c r="D13944" s="691">
        <v>81.900000000000006</v>
      </c>
      <c r="E13944" s="615">
        <v>82</v>
      </c>
      <c r="F13944" s="615">
        <v>82</v>
      </c>
      <c r="G13944" s="691">
        <v>82.5</v>
      </c>
      <c r="H13944" s="691">
        <v>82.4</v>
      </c>
      <c r="I13944" s="615">
        <v>82</v>
      </c>
      <c r="J13944" s="691">
        <v>81.2</v>
      </c>
      <c r="K13944" s="691">
        <v>81.7</v>
      </c>
    </row>
    <row r="13945" spans="1:11">
      <c r="A13945" s="688" t="s">
        <v>27</v>
      </c>
      <c r="B13945" s="689">
        <v>84.3</v>
      </c>
      <c r="C13945" s="689">
        <v>83.9</v>
      </c>
      <c r="D13945" s="689">
        <v>83.6</v>
      </c>
      <c r="E13945" s="693">
        <v>84</v>
      </c>
      <c r="F13945" s="689">
        <v>83.9</v>
      </c>
      <c r="G13945" s="693">
        <v>84</v>
      </c>
      <c r="H13945" s="689">
        <v>84.4</v>
      </c>
      <c r="I13945" s="689">
        <v>83.2</v>
      </c>
      <c r="J13945" s="693">
        <v>84</v>
      </c>
      <c r="K13945" s="689">
        <v>83.9</v>
      </c>
    </row>
    <row r="13946" spans="1:11">
      <c r="A13946" s="688" t="s">
        <v>6</v>
      </c>
      <c r="B13946" s="691">
        <v>83.9</v>
      </c>
      <c r="C13946" s="691">
        <v>83.7</v>
      </c>
      <c r="D13946" s="691">
        <v>83.4</v>
      </c>
      <c r="E13946" s="691">
        <v>83.7</v>
      </c>
      <c r="F13946" s="691">
        <v>83.7</v>
      </c>
      <c r="G13946" s="691">
        <v>83.8</v>
      </c>
      <c r="H13946" s="691">
        <v>83.9</v>
      </c>
      <c r="I13946" s="691">
        <v>83.4</v>
      </c>
      <c r="J13946" s="691">
        <v>83.5</v>
      </c>
      <c r="K13946" s="691">
        <v>83.4</v>
      </c>
    </row>
    <row r="13947" spans="1:11">
      <c r="A13947" s="688" t="s">
        <v>4058</v>
      </c>
      <c r="B13947" s="690" t="s">
        <v>4060</v>
      </c>
      <c r="C13947" s="690" t="s">
        <v>4060</v>
      </c>
      <c r="D13947" s="690" t="s">
        <v>4060</v>
      </c>
      <c r="E13947" s="690" t="s">
        <v>4060</v>
      </c>
      <c r="F13947" s="690" t="s">
        <v>4060</v>
      </c>
      <c r="G13947" s="690" t="s">
        <v>4060</v>
      </c>
      <c r="H13947" s="690" t="s">
        <v>4060</v>
      </c>
      <c r="I13947" s="690" t="s">
        <v>4060</v>
      </c>
      <c r="J13947" s="690" t="s">
        <v>4060</v>
      </c>
      <c r="K13947" s="690" t="s">
        <v>4060</v>
      </c>
    </row>
    <row r="13948" spans="1:11">
      <c r="A13948" s="688" t="s">
        <v>11</v>
      </c>
      <c r="B13948" s="691">
        <v>79.3</v>
      </c>
      <c r="C13948" s="691">
        <v>79.2</v>
      </c>
      <c r="D13948" s="691">
        <v>78.7</v>
      </c>
      <c r="E13948" s="691">
        <v>79.5</v>
      </c>
      <c r="F13948" s="691">
        <v>79.099999999999994</v>
      </c>
      <c r="G13948" s="691">
        <v>79.5</v>
      </c>
      <c r="H13948" s="691">
        <v>79.599999999999994</v>
      </c>
      <c r="I13948" s="615">
        <v>79</v>
      </c>
      <c r="J13948" s="615">
        <v>78</v>
      </c>
      <c r="K13948" s="691">
        <v>79.099999999999994</v>
      </c>
    </row>
    <row r="13949" spans="1:11">
      <c r="A13949" s="688" t="s">
        <v>10</v>
      </c>
      <c r="B13949" s="689">
        <v>83.5</v>
      </c>
      <c r="C13949" s="689">
        <v>83.3</v>
      </c>
      <c r="D13949" s="689">
        <v>82.8</v>
      </c>
      <c r="E13949" s="689">
        <v>83.4</v>
      </c>
      <c r="F13949" s="689">
        <v>83.2</v>
      </c>
      <c r="G13949" s="689">
        <v>83.5</v>
      </c>
      <c r="H13949" s="689">
        <v>83.7</v>
      </c>
      <c r="I13949" s="689">
        <v>82.7</v>
      </c>
      <c r="J13949" s="693">
        <v>83</v>
      </c>
      <c r="K13949" s="693">
        <v>83</v>
      </c>
    </row>
    <row r="13950" spans="1:11">
      <c r="A13950" s="688" t="s">
        <v>30</v>
      </c>
      <c r="B13950" s="615">
        <v>83</v>
      </c>
      <c r="C13950" s="691">
        <v>82.3</v>
      </c>
      <c r="D13950" s="615">
        <v>82</v>
      </c>
      <c r="E13950" s="691">
        <v>83.1</v>
      </c>
      <c r="F13950" s="691">
        <v>82.5</v>
      </c>
      <c r="G13950" s="691">
        <v>82.9</v>
      </c>
      <c r="H13950" s="691">
        <v>82.8</v>
      </c>
      <c r="I13950" s="691">
        <v>82.8</v>
      </c>
      <c r="J13950" s="615">
        <v>82</v>
      </c>
      <c r="K13950" s="691">
        <v>82.2</v>
      </c>
    </row>
    <row r="13951" spans="1:11">
      <c r="A13951" s="688" t="s">
        <v>12</v>
      </c>
      <c r="B13951" s="689">
        <v>77.3</v>
      </c>
      <c r="C13951" s="689">
        <v>77.5</v>
      </c>
      <c r="D13951" s="689">
        <v>77.599999999999994</v>
      </c>
      <c r="E13951" s="689">
        <v>77.8</v>
      </c>
      <c r="F13951" s="689">
        <v>77.900000000000006</v>
      </c>
      <c r="G13951" s="689">
        <v>77.900000000000006</v>
      </c>
      <c r="H13951" s="689">
        <v>78.3</v>
      </c>
      <c r="I13951" s="689">
        <v>78.2</v>
      </c>
      <c r="J13951" s="689">
        <v>76.2</v>
      </c>
      <c r="K13951" s="689">
        <v>77.599999999999994</v>
      </c>
    </row>
    <row r="13952" spans="1:11">
      <c r="A13952" s="688" t="s">
        <v>14</v>
      </c>
      <c r="B13952" s="691">
        <v>77.8</v>
      </c>
      <c r="C13952" s="691">
        <v>78.099999999999994</v>
      </c>
      <c r="D13952" s="691">
        <v>77.900000000000006</v>
      </c>
      <c r="E13952" s="691">
        <v>78.3</v>
      </c>
      <c r="F13952" s="691">
        <v>78.5</v>
      </c>
      <c r="G13952" s="691">
        <v>78.8</v>
      </c>
      <c r="H13952" s="691">
        <v>79.2</v>
      </c>
      <c r="I13952" s="691">
        <v>78.2</v>
      </c>
      <c r="J13952" s="691">
        <v>77.099999999999994</v>
      </c>
      <c r="K13952" s="691">
        <v>78.3</v>
      </c>
    </row>
    <row r="13953" spans="1:11">
      <c r="A13953" s="688" t="s">
        <v>15</v>
      </c>
      <c r="B13953" s="689">
        <v>82.2</v>
      </c>
      <c r="C13953" s="689">
        <v>82.8</v>
      </c>
      <c r="D13953" s="689">
        <v>82.3</v>
      </c>
      <c r="E13953" s="693">
        <v>83</v>
      </c>
      <c r="F13953" s="689">
        <v>82.2</v>
      </c>
      <c r="G13953" s="689">
        <v>82.7</v>
      </c>
      <c r="H13953" s="689">
        <v>83.1</v>
      </c>
      <c r="I13953" s="689">
        <v>82.8</v>
      </c>
      <c r="J13953" s="693">
        <v>83</v>
      </c>
      <c r="K13953" s="689">
        <v>83.2</v>
      </c>
    </row>
    <row r="13954" spans="1:11">
      <c r="A13954" s="688" t="s">
        <v>29</v>
      </c>
      <c r="B13954" s="691">
        <v>77.5</v>
      </c>
      <c r="C13954" s="691">
        <v>77.5</v>
      </c>
      <c r="D13954" s="691">
        <v>77.099999999999994</v>
      </c>
      <c r="E13954" s="691">
        <v>77.8</v>
      </c>
      <c r="F13954" s="691">
        <v>77.400000000000006</v>
      </c>
      <c r="G13954" s="691">
        <v>77.599999999999994</v>
      </c>
      <c r="H13954" s="691">
        <v>77.8</v>
      </c>
      <c r="I13954" s="691">
        <v>77.099999999999994</v>
      </c>
      <c r="J13954" s="691">
        <v>75.8</v>
      </c>
      <c r="K13954" s="691">
        <v>77.400000000000006</v>
      </c>
    </row>
    <row r="13955" spans="1:11">
      <c r="A13955" s="688" t="s">
        <v>16</v>
      </c>
      <c r="B13955" s="689">
        <v>82.6</v>
      </c>
      <c r="C13955" s="689">
        <v>82.3</v>
      </c>
      <c r="D13955" s="689">
        <v>82.1</v>
      </c>
      <c r="E13955" s="689">
        <v>82.4</v>
      </c>
      <c r="F13955" s="689">
        <v>82.5</v>
      </c>
      <c r="G13955" s="689">
        <v>82.4</v>
      </c>
      <c r="H13955" s="689">
        <v>82.7</v>
      </c>
      <c r="I13955" s="689">
        <v>82.5</v>
      </c>
      <c r="J13955" s="689">
        <v>82.2</v>
      </c>
      <c r="K13955" s="689">
        <v>82.5</v>
      </c>
    </row>
    <row r="13956" spans="1:11">
      <c r="A13956" s="688" t="s">
        <v>17</v>
      </c>
      <c r="B13956" s="691">
        <v>81.5</v>
      </c>
      <c r="C13956" s="691">
        <v>81.599999999999994</v>
      </c>
      <c r="D13956" s="691">
        <v>81.400000000000006</v>
      </c>
      <c r="E13956" s="691">
        <v>81.400000000000006</v>
      </c>
      <c r="F13956" s="691">
        <v>81.599999999999994</v>
      </c>
      <c r="G13956" s="691">
        <v>81.599999999999994</v>
      </c>
      <c r="H13956" s="691">
        <v>81.900000000000006</v>
      </c>
      <c r="I13956" s="691">
        <v>81.400000000000006</v>
      </c>
      <c r="J13956" s="691">
        <v>81.3</v>
      </c>
      <c r="K13956" s="691">
        <v>81.400000000000006</v>
      </c>
    </row>
    <row r="13957" spans="1:11">
      <c r="A13957" s="688" t="s">
        <v>19</v>
      </c>
      <c r="B13957" s="693">
        <v>82</v>
      </c>
      <c r="C13957" s="693">
        <v>82</v>
      </c>
      <c r="D13957" s="689">
        <v>81.900000000000006</v>
      </c>
      <c r="E13957" s="689">
        <v>82.2</v>
      </c>
      <c r="F13957" s="689">
        <v>82.2</v>
      </c>
      <c r="G13957" s="689">
        <v>82.2</v>
      </c>
      <c r="H13957" s="689">
        <v>82.5</v>
      </c>
      <c r="I13957" s="693">
        <v>82</v>
      </c>
      <c r="J13957" s="693">
        <v>82</v>
      </c>
      <c r="K13957" s="693">
        <v>82</v>
      </c>
    </row>
    <row r="13958" spans="1:11">
      <c r="A13958" s="688" t="s">
        <v>20</v>
      </c>
      <c r="B13958" s="691">
        <v>79.599999999999994</v>
      </c>
      <c r="C13958" s="691">
        <v>79.7</v>
      </c>
      <c r="D13958" s="691">
        <v>79.599999999999994</v>
      </c>
      <c r="E13958" s="615">
        <v>80</v>
      </c>
      <c r="F13958" s="691">
        <v>79.8</v>
      </c>
      <c r="G13958" s="691">
        <v>79.8</v>
      </c>
      <c r="H13958" s="615">
        <v>80</v>
      </c>
      <c r="I13958" s="691">
        <v>78.8</v>
      </c>
      <c r="J13958" s="691">
        <v>77.8</v>
      </c>
      <c r="K13958" s="691">
        <v>79.3</v>
      </c>
    </row>
    <row r="13959" spans="1:11">
      <c r="A13959" s="688" t="s">
        <v>21</v>
      </c>
      <c r="B13959" s="689">
        <v>82.3</v>
      </c>
      <c r="C13959" s="689">
        <v>82.6</v>
      </c>
      <c r="D13959" s="689">
        <v>82.5</v>
      </c>
      <c r="E13959" s="689">
        <v>82.6</v>
      </c>
      <c r="F13959" s="689">
        <v>82.7</v>
      </c>
      <c r="G13959" s="689">
        <v>82.8</v>
      </c>
      <c r="H13959" s="693">
        <v>83</v>
      </c>
      <c r="I13959" s="689">
        <v>82.4</v>
      </c>
      <c r="J13959" s="689">
        <v>82.5</v>
      </c>
      <c r="K13959" s="689">
        <v>82.6</v>
      </c>
    </row>
    <row r="13960" spans="1:11">
      <c r="A13960" s="688" t="s">
        <v>22</v>
      </c>
      <c r="B13960" s="691">
        <v>77.400000000000006</v>
      </c>
      <c r="C13960" s="691">
        <v>77.2</v>
      </c>
      <c r="D13960" s="691">
        <v>77.099999999999994</v>
      </c>
      <c r="E13960" s="691">
        <v>77.400000000000006</v>
      </c>
      <c r="F13960" s="691">
        <v>77.400000000000006</v>
      </c>
      <c r="G13960" s="691">
        <v>77.599999999999994</v>
      </c>
      <c r="H13960" s="691">
        <v>77.900000000000006</v>
      </c>
      <c r="I13960" s="691">
        <v>76.599999999999994</v>
      </c>
      <c r="J13960" s="691">
        <v>75.099999999999994</v>
      </c>
      <c r="K13960" s="691">
        <v>77.5</v>
      </c>
    </row>
    <row r="13961" spans="1:11">
      <c r="A13961" s="688" t="s">
        <v>26</v>
      </c>
      <c r="B13961" s="689">
        <v>81.900000000000006</v>
      </c>
      <c r="C13961" s="689">
        <v>81.900000000000006</v>
      </c>
      <c r="D13961" s="689">
        <v>81.7</v>
      </c>
      <c r="E13961" s="689">
        <v>82.1</v>
      </c>
      <c r="F13961" s="689">
        <v>81.900000000000006</v>
      </c>
      <c r="G13961" s="689">
        <v>82.1</v>
      </c>
      <c r="H13961" s="689">
        <v>82.4</v>
      </c>
      <c r="I13961" s="689">
        <v>81.5</v>
      </c>
      <c r="J13961" s="689">
        <v>81.8</v>
      </c>
      <c r="K13961" s="689">
        <v>82.1</v>
      </c>
    </row>
    <row r="13962" spans="1:11">
      <c r="A13962" s="688" t="s">
        <v>25</v>
      </c>
      <c r="B13962" s="691">
        <v>78.599999999999994</v>
      </c>
      <c r="C13962" s="691">
        <v>78.900000000000006</v>
      </c>
      <c r="D13962" s="691">
        <v>78.5</v>
      </c>
      <c r="E13962" s="615">
        <v>79</v>
      </c>
      <c r="F13962" s="615">
        <v>79</v>
      </c>
      <c r="G13962" s="691">
        <v>79.099999999999994</v>
      </c>
      <c r="H13962" s="691">
        <v>79.5</v>
      </c>
      <c r="I13962" s="691">
        <v>78.8</v>
      </c>
      <c r="J13962" s="691">
        <v>76.599999999999994</v>
      </c>
      <c r="K13962" s="691">
        <v>78.8</v>
      </c>
    </row>
    <row r="13963" spans="1:11">
      <c r="A13963" s="688" t="s">
        <v>5</v>
      </c>
      <c r="B13963" s="689">
        <v>82.3</v>
      </c>
      <c r="C13963" s="689">
        <v>82.1</v>
      </c>
      <c r="D13963" s="689">
        <v>82.3</v>
      </c>
      <c r="E13963" s="689">
        <v>82.3</v>
      </c>
      <c r="F13963" s="689">
        <v>82.4</v>
      </c>
      <c r="G13963" s="689">
        <v>82.5</v>
      </c>
      <c r="H13963" s="689">
        <v>82.7</v>
      </c>
      <c r="I13963" s="689">
        <v>82.8</v>
      </c>
      <c r="J13963" s="689">
        <v>82.6</v>
      </c>
      <c r="K13963" s="689">
        <v>81.900000000000006</v>
      </c>
    </row>
    <row r="13964" spans="1:11">
      <c r="A13964" s="688" t="s">
        <v>23</v>
      </c>
      <c r="B13964" s="615">
        <v>82</v>
      </c>
      <c r="C13964" s="691">
        <v>82.2</v>
      </c>
      <c r="D13964" s="691">
        <v>82.2</v>
      </c>
      <c r="E13964" s="691">
        <v>82.3</v>
      </c>
      <c r="F13964" s="691">
        <v>82.3</v>
      </c>
      <c r="G13964" s="691">
        <v>82.4</v>
      </c>
      <c r="H13964" s="691">
        <v>82.9</v>
      </c>
      <c r="I13964" s="691">
        <v>82.5</v>
      </c>
      <c r="J13964" s="615">
        <v>83</v>
      </c>
      <c r="K13964" s="691">
        <v>82.9</v>
      </c>
    </row>
    <row r="13965" spans="1:11">
      <c r="A13965" s="688" t="s">
        <v>4067</v>
      </c>
      <c r="B13965" s="689">
        <v>81.599999999999994</v>
      </c>
      <c r="C13965" s="689">
        <v>81.900000000000006</v>
      </c>
      <c r="D13965" s="689">
        <v>81.599999999999994</v>
      </c>
      <c r="E13965" s="693">
        <v>82</v>
      </c>
      <c r="F13965" s="689">
        <v>81.900000000000006</v>
      </c>
      <c r="G13965" s="689">
        <v>81.900000000000006</v>
      </c>
      <c r="H13965" s="690" t="s">
        <v>4060</v>
      </c>
      <c r="I13965" s="690" t="s">
        <v>4060</v>
      </c>
      <c r="J13965" s="690" t="s">
        <v>4060</v>
      </c>
      <c r="K13965" s="690" t="s">
        <v>4060</v>
      </c>
    </row>
    <row r="13966" spans="1:11">
      <c r="A13966" s="688" t="s">
        <v>4066</v>
      </c>
      <c r="B13966" s="691">
        <v>81.599999999999994</v>
      </c>
      <c r="C13966" s="615">
        <v>82</v>
      </c>
      <c r="D13966" s="691">
        <v>81.599999999999994</v>
      </c>
      <c r="E13966" s="615">
        <v>82</v>
      </c>
      <c r="F13966" s="691">
        <v>81.900000000000006</v>
      </c>
      <c r="G13966" s="615">
        <v>82</v>
      </c>
      <c r="H13966" s="692" t="s">
        <v>4060</v>
      </c>
      <c r="I13966" s="692" t="s">
        <v>4060</v>
      </c>
      <c r="J13966" s="692" t="s">
        <v>4060</v>
      </c>
      <c r="K13966" s="692" t="s">
        <v>4060</v>
      </c>
    </row>
    <row r="13967" spans="1:11">
      <c r="A13967" s="688" t="s">
        <v>4062</v>
      </c>
      <c r="B13967" s="689">
        <v>82.8</v>
      </c>
      <c r="C13967" s="693">
        <v>83</v>
      </c>
      <c r="D13967" s="689">
        <v>82.9</v>
      </c>
      <c r="E13967" s="689">
        <v>83.1</v>
      </c>
      <c r="F13967" s="689">
        <v>83.2</v>
      </c>
      <c r="G13967" s="689">
        <v>83.3</v>
      </c>
      <c r="H13967" s="689">
        <v>83.5</v>
      </c>
      <c r="I13967" s="689">
        <v>83.2</v>
      </c>
      <c r="J13967" s="689">
        <v>83.5</v>
      </c>
      <c r="K13967" s="689">
        <v>83.2</v>
      </c>
    </row>
    <row r="13968" spans="1:11">
      <c r="A13968" s="688" t="s">
        <v>9</v>
      </c>
      <c r="B13968" s="615">
        <v>82</v>
      </c>
      <c r="C13968" s="691">
        <v>82.4</v>
      </c>
      <c r="D13968" s="691">
        <v>81.8</v>
      </c>
      <c r="E13968" s="615">
        <v>82</v>
      </c>
      <c r="F13968" s="691">
        <v>82.4</v>
      </c>
      <c r="G13968" s="691">
        <v>82.4</v>
      </c>
      <c r="H13968" s="691">
        <v>82.6</v>
      </c>
      <c r="I13968" s="691">
        <v>82.5</v>
      </c>
      <c r="J13968" s="691">
        <v>82.8</v>
      </c>
      <c r="K13968" s="691">
        <v>81.7</v>
      </c>
    </row>
    <row r="13969" spans="1:11">
      <c r="A13969" s="688" t="s">
        <v>13</v>
      </c>
      <c r="B13969" s="689">
        <v>82.9</v>
      </c>
      <c r="C13969" s="689">
        <v>81.7</v>
      </c>
      <c r="D13969" s="689">
        <v>82.3</v>
      </c>
      <c r="E13969" s="689">
        <v>81.900000000000006</v>
      </c>
      <c r="F13969" s="689">
        <v>83.8</v>
      </c>
      <c r="G13969" s="689">
        <v>83.6</v>
      </c>
      <c r="H13969" s="689">
        <v>83.5</v>
      </c>
      <c r="I13969" s="689">
        <v>81.8</v>
      </c>
      <c r="J13969" s="689">
        <v>84.1</v>
      </c>
      <c r="K13969" s="689">
        <v>83.2</v>
      </c>
    </row>
    <row r="13970" spans="1:11">
      <c r="A13970" s="688" t="s">
        <v>18</v>
      </c>
      <c r="B13970" s="615">
        <v>82</v>
      </c>
      <c r="C13970" s="691">
        <v>82.3</v>
      </c>
      <c r="D13970" s="691">
        <v>82.3</v>
      </c>
      <c r="E13970" s="691">
        <v>82.4</v>
      </c>
      <c r="F13970" s="691">
        <v>82.5</v>
      </c>
      <c r="G13970" s="691">
        <v>82.7</v>
      </c>
      <c r="H13970" s="691">
        <v>82.8</v>
      </c>
      <c r="I13970" s="615">
        <v>83</v>
      </c>
      <c r="J13970" s="691">
        <v>82.9</v>
      </c>
      <c r="K13970" s="691">
        <v>82.5</v>
      </c>
    </row>
    <row r="13971" spans="1:11">
      <c r="A13971" s="688" t="s">
        <v>24</v>
      </c>
      <c r="B13971" s="689">
        <v>83.3</v>
      </c>
      <c r="C13971" s="689">
        <v>83.4</v>
      </c>
      <c r="D13971" s="689">
        <v>83.2</v>
      </c>
      <c r="E13971" s="689">
        <v>83.6</v>
      </c>
      <c r="F13971" s="689">
        <v>83.7</v>
      </c>
      <c r="G13971" s="689">
        <v>83.7</v>
      </c>
      <c r="H13971" s="689">
        <v>83.9</v>
      </c>
      <c r="I13971" s="689">
        <v>83.4</v>
      </c>
      <c r="J13971" s="689">
        <v>83.9</v>
      </c>
      <c r="K13971" s="689">
        <v>83.7</v>
      </c>
    </row>
    <row r="13972" spans="1:11">
      <c r="A13972" s="688" t="s">
        <v>4059</v>
      </c>
      <c r="B13972" s="691">
        <v>81.2</v>
      </c>
      <c r="C13972" s="691">
        <v>81.5</v>
      </c>
      <c r="D13972" s="691">
        <v>81.099999999999994</v>
      </c>
      <c r="E13972" s="691">
        <v>81.3</v>
      </c>
      <c r="F13972" s="691">
        <v>81.400000000000006</v>
      </c>
      <c r="G13972" s="691">
        <v>81.400000000000006</v>
      </c>
      <c r="H13972" s="692" t="s">
        <v>4060</v>
      </c>
      <c r="I13972" s="692" t="s">
        <v>4060</v>
      </c>
      <c r="J13972" s="692" t="s">
        <v>4060</v>
      </c>
      <c r="K13972" s="692" t="s">
        <v>4060</v>
      </c>
    </row>
    <row r="13973" spans="1:11">
      <c r="A13973" s="688" t="s">
        <v>2324</v>
      </c>
      <c r="B13973" s="689">
        <v>77.2</v>
      </c>
      <c r="C13973" s="689">
        <v>77.3</v>
      </c>
      <c r="D13973" s="689">
        <v>76.8</v>
      </c>
      <c r="E13973" s="689">
        <v>77.2</v>
      </c>
      <c r="F13973" s="689">
        <v>77.3</v>
      </c>
      <c r="G13973" s="689">
        <v>77.5</v>
      </c>
      <c r="H13973" s="689">
        <v>77.7</v>
      </c>
      <c r="I13973" s="693">
        <v>77</v>
      </c>
      <c r="J13973" s="689">
        <v>75.099999999999994</v>
      </c>
      <c r="K13973" s="690" t="s">
        <v>4060</v>
      </c>
    </row>
    <row r="13974" spans="1:11">
      <c r="A13974" s="688" t="s">
        <v>2322</v>
      </c>
      <c r="B13974" s="692" t="s">
        <v>4060</v>
      </c>
      <c r="C13974" s="692" t="s">
        <v>4060</v>
      </c>
      <c r="D13974" s="692" t="s">
        <v>4060</v>
      </c>
      <c r="E13974" s="692" t="s">
        <v>4060</v>
      </c>
      <c r="F13974" s="692" t="s">
        <v>4060</v>
      </c>
      <c r="G13974" s="692" t="s">
        <v>4060</v>
      </c>
      <c r="H13974" s="692" t="s">
        <v>4060</v>
      </c>
      <c r="I13974" s="692" t="s">
        <v>4060</v>
      </c>
      <c r="J13974" s="692" t="s">
        <v>4060</v>
      </c>
      <c r="K13974" s="692" t="s">
        <v>4060</v>
      </c>
    </row>
    <row r="13975" spans="1:11">
      <c r="A13975" s="688" t="s">
        <v>2328</v>
      </c>
      <c r="B13975" s="689">
        <v>76.3</v>
      </c>
      <c r="C13975" s="689">
        <v>76.3</v>
      </c>
      <c r="D13975" s="693">
        <v>76</v>
      </c>
      <c r="E13975" s="689">
        <v>76.5</v>
      </c>
      <c r="F13975" s="689">
        <v>76.7</v>
      </c>
      <c r="G13975" s="689">
        <v>77.2</v>
      </c>
      <c r="H13975" s="693">
        <v>77</v>
      </c>
      <c r="I13975" s="689">
        <v>75.2</v>
      </c>
      <c r="J13975" s="689">
        <v>73.8</v>
      </c>
      <c r="K13975" s="690" t="s">
        <v>4060</v>
      </c>
    </row>
    <row r="13976" spans="1:11">
      <c r="A13976" s="688" t="s">
        <v>2496</v>
      </c>
      <c r="B13976" s="692" t="s">
        <v>4060</v>
      </c>
      <c r="C13976" s="615">
        <v>77</v>
      </c>
      <c r="D13976" s="691">
        <v>76.099999999999994</v>
      </c>
      <c r="E13976" s="691">
        <v>75.8</v>
      </c>
      <c r="F13976" s="691">
        <v>76.5</v>
      </c>
      <c r="G13976" s="691">
        <v>76.8</v>
      </c>
      <c r="H13976" s="691">
        <v>76.900000000000006</v>
      </c>
      <c r="I13976" s="692" t="s">
        <v>4060</v>
      </c>
      <c r="J13976" s="692" t="s">
        <v>4060</v>
      </c>
      <c r="K13976" s="691">
        <v>76.7</v>
      </c>
    </row>
    <row r="13977" spans="1:11">
      <c r="A13977" s="688" t="s">
        <v>2269</v>
      </c>
      <c r="B13977" s="689">
        <v>78.7</v>
      </c>
      <c r="C13977" s="689">
        <v>78.8</v>
      </c>
      <c r="D13977" s="689">
        <v>78.2</v>
      </c>
      <c r="E13977" s="689">
        <v>78.8</v>
      </c>
      <c r="F13977" s="689">
        <v>78.7</v>
      </c>
      <c r="G13977" s="689">
        <v>79.2</v>
      </c>
      <c r="H13977" s="689">
        <v>79.400000000000006</v>
      </c>
      <c r="I13977" s="689">
        <v>78.400000000000006</v>
      </c>
      <c r="J13977" s="689">
        <v>76.2</v>
      </c>
      <c r="K13977" s="689">
        <v>79.400000000000006</v>
      </c>
    </row>
    <row r="13978" spans="1:11">
      <c r="A13978" s="688" t="s">
        <v>2349</v>
      </c>
      <c r="B13978" s="691">
        <v>76.3</v>
      </c>
      <c r="C13978" s="691">
        <v>76.400000000000006</v>
      </c>
      <c r="D13978" s="691">
        <v>76.3</v>
      </c>
      <c r="E13978" s="691">
        <v>76.599999999999994</v>
      </c>
      <c r="F13978" s="691">
        <v>76.5</v>
      </c>
      <c r="G13978" s="691">
        <v>76.8</v>
      </c>
      <c r="H13978" s="615">
        <v>77</v>
      </c>
      <c r="I13978" s="691">
        <v>75.8</v>
      </c>
      <c r="J13978" s="691">
        <v>74.099999999999994</v>
      </c>
      <c r="K13978" s="691">
        <v>76.099999999999994</v>
      </c>
    </row>
    <row r="13979" spans="1:11">
      <c r="A13979" s="688" t="s">
        <v>2355</v>
      </c>
      <c r="B13979" s="693">
        <v>80</v>
      </c>
      <c r="C13979" s="689">
        <v>79.900000000000006</v>
      </c>
      <c r="D13979" s="689">
        <v>79.900000000000006</v>
      </c>
      <c r="E13979" s="689">
        <v>79.8</v>
      </c>
      <c r="F13979" s="689">
        <v>80.099999999999994</v>
      </c>
      <c r="G13979" s="689">
        <v>80.400000000000006</v>
      </c>
      <c r="H13979" s="689">
        <v>80.5</v>
      </c>
      <c r="I13979" s="690" t="s">
        <v>4060</v>
      </c>
      <c r="J13979" s="690" t="s">
        <v>4060</v>
      </c>
      <c r="K13979" s="690" t="s">
        <v>4060</v>
      </c>
    </row>
    <row r="13980" spans="1:11">
      <c r="A13980" s="688" t="s">
        <v>2357</v>
      </c>
      <c r="B13980" s="692" t="s">
        <v>4060</v>
      </c>
      <c r="C13980" s="691">
        <v>75.3</v>
      </c>
      <c r="D13980" s="691">
        <v>75.8</v>
      </c>
      <c r="E13980" s="691">
        <v>76.2</v>
      </c>
      <c r="F13980" s="691">
        <v>76.5</v>
      </c>
      <c r="G13980" s="691">
        <v>76.5</v>
      </c>
      <c r="H13980" s="691">
        <v>76.8</v>
      </c>
      <c r="I13980" s="692" t="s">
        <v>4060</v>
      </c>
      <c r="J13980" s="692" t="s">
        <v>4060</v>
      </c>
      <c r="K13980" s="692" t="s">
        <v>4060</v>
      </c>
    </row>
    <row r="13981" spans="1:11">
      <c r="A13981" s="688" t="s">
        <v>4070</v>
      </c>
      <c r="B13981" s="690" t="s">
        <v>4060</v>
      </c>
      <c r="C13981" s="690" t="s">
        <v>4060</v>
      </c>
      <c r="D13981" s="690" t="s">
        <v>4060</v>
      </c>
      <c r="E13981" s="689">
        <v>80.099999999999994</v>
      </c>
      <c r="F13981" s="690" t="s">
        <v>4060</v>
      </c>
      <c r="G13981" s="690" t="s">
        <v>4060</v>
      </c>
      <c r="H13981" s="690" t="s">
        <v>4060</v>
      </c>
      <c r="I13981" s="690" t="s">
        <v>4060</v>
      </c>
      <c r="J13981" s="690" t="s">
        <v>4060</v>
      </c>
      <c r="K13981" s="690" t="s">
        <v>4060</v>
      </c>
    </row>
    <row r="13982" spans="1:11">
      <c r="A13982" s="688" t="s">
        <v>2491</v>
      </c>
      <c r="B13982" s="691">
        <v>76.3</v>
      </c>
      <c r="C13982" s="691">
        <v>76.8</v>
      </c>
      <c r="D13982" s="691">
        <v>77.3</v>
      </c>
      <c r="E13982" s="691">
        <v>77.400000000000006</v>
      </c>
      <c r="F13982" s="691">
        <v>77.599999999999994</v>
      </c>
      <c r="G13982" s="691">
        <v>77.7</v>
      </c>
      <c r="H13982" s="692" t="s">
        <v>4060</v>
      </c>
      <c r="I13982" s="692" t="s">
        <v>4060</v>
      </c>
      <c r="J13982" s="692" t="s">
        <v>4060</v>
      </c>
      <c r="K13982" s="692" t="s">
        <v>4060</v>
      </c>
    </row>
    <row r="13983" spans="1:11">
      <c r="A13983" s="688" t="s">
        <v>2343</v>
      </c>
      <c r="B13983" s="690" t="s">
        <v>4060</v>
      </c>
      <c r="C13983" s="690" t="s">
        <v>4060</v>
      </c>
      <c r="D13983" s="690" t="s">
        <v>4060</v>
      </c>
      <c r="E13983" s="690" t="s">
        <v>4060</v>
      </c>
      <c r="F13983" s="690" t="s">
        <v>4060</v>
      </c>
      <c r="G13983" s="690" t="s">
        <v>4060</v>
      </c>
      <c r="H13983" s="690" t="s">
        <v>4060</v>
      </c>
      <c r="I13983" s="690" t="s">
        <v>4060</v>
      </c>
      <c r="J13983" s="690" t="s">
        <v>4060</v>
      </c>
      <c r="K13983" s="690" t="s">
        <v>4060</v>
      </c>
    </row>
    <row r="13984" spans="1:11">
      <c r="A13984" s="688" t="s">
        <v>4071</v>
      </c>
      <c r="B13984" s="692" t="s">
        <v>4060</v>
      </c>
      <c r="C13984" s="692" t="s">
        <v>4060</v>
      </c>
      <c r="D13984" s="692" t="s">
        <v>4060</v>
      </c>
      <c r="E13984" s="692" t="s">
        <v>4060</v>
      </c>
      <c r="F13984" s="692" t="s">
        <v>4060</v>
      </c>
      <c r="G13984" s="692" t="s">
        <v>4060</v>
      </c>
      <c r="H13984" s="692" t="s">
        <v>4060</v>
      </c>
      <c r="I13984" s="692" t="s">
        <v>4060</v>
      </c>
      <c r="J13984" s="692" t="s">
        <v>4060</v>
      </c>
      <c r="K13984" s="692" t="s">
        <v>4060</v>
      </c>
    </row>
    <row r="13985" spans="1:11">
      <c r="A13985" s="688" t="s">
        <v>2489</v>
      </c>
      <c r="B13985" s="690" t="s">
        <v>4060</v>
      </c>
      <c r="C13985" s="690" t="s">
        <v>4060</v>
      </c>
      <c r="D13985" s="689">
        <v>76.900000000000006</v>
      </c>
      <c r="E13985" s="693">
        <v>77</v>
      </c>
      <c r="F13985" s="689">
        <v>77.5</v>
      </c>
      <c r="G13985" s="689">
        <v>78.3</v>
      </c>
      <c r="H13985" s="689">
        <v>78.2</v>
      </c>
      <c r="I13985" s="690" t="s">
        <v>4060</v>
      </c>
      <c r="J13985" s="690" t="s">
        <v>4060</v>
      </c>
      <c r="K13985" s="690" t="s">
        <v>4060</v>
      </c>
    </row>
    <row r="13986" spans="1:11">
      <c r="A13986" s="688" t="s">
        <v>2490</v>
      </c>
      <c r="B13986" s="615">
        <v>76</v>
      </c>
      <c r="C13986" s="691">
        <v>76.099999999999994</v>
      </c>
      <c r="D13986" s="691">
        <v>76.5</v>
      </c>
      <c r="E13986" s="692" t="s">
        <v>4060</v>
      </c>
      <c r="F13986" s="691">
        <v>76.7</v>
      </c>
      <c r="G13986" s="691">
        <v>77.2</v>
      </c>
      <c r="H13986" s="691">
        <v>77.7</v>
      </c>
      <c r="I13986" s="692" t="s">
        <v>4060</v>
      </c>
      <c r="J13986" s="692" t="s">
        <v>4060</v>
      </c>
      <c r="K13986" s="692" t="s">
        <v>4060</v>
      </c>
    </row>
    <row r="13988" spans="1:11">
      <c r="A13988" s="683" t="s">
        <v>4233</v>
      </c>
    </row>
    <row r="13989" spans="1:11">
      <c r="A13989" s="683" t="s">
        <v>4060</v>
      </c>
      <c r="B13989" s="682" t="s">
        <v>4234</v>
      </c>
    </row>
    <row r="13991" spans="1:11">
      <c r="A13991" s="682" t="s">
        <v>4332</v>
      </c>
    </row>
    <row r="13992" spans="1:11">
      <c r="A13992" s="682" t="s">
        <v>4210</v>
      </c>
      <c r="B13992" s="683" t="s">
        <v>4211</v>
      </c>
    </row>
    <row r="13993" spans="1:11">
      <c r="A13993" s="682" t="s">
        <v>4212</v>
      </c>
      <c r="B13993" s="682" t="s">
        <v>4213</v>
      </c>
    </row>
    <row r="13995" spans="1:11">
      <c r="A13995" s="683" t="s">
        <v>4214</v>
      </c>
      <c r="C13995" s="682" t="s">
        <v>4215</v>
      </c>
    </row>
    <row r="13996" spans="1:11">
      <c r="A13996" s="683" t="s">
        <v>4216</v>
      </c>
      <c r="C13996" s="682" t="s">
        <v>2967</v>
      </c>
    </row>
    <row r="13997" spans="1:11">
      <c r="A13997" s="683" t="s">
        <v>3893</v>
      </c>
      <c r="C13997" s="682" t="s">
        <v>2169</v>
      </c>
    </row>
    <row r="13998" spans="1:11">
      <c r="A13998" s="683" t="s">
        <v>4218</v>
      </c>
      <c r="C13998" s="682" t="s">
        <v>4237</v>
      </c>
    </row>
    <row r="14000" spans="1:11">
      <c r="A14000" s="684" t="s">
        <v>4220</v>
      </c>
      <c r="B14000" s="685" t="s">
        <v>4221</v>
      </c>
      <c r="C14000" s="685" t="s">
        <v>4222</v>
      </c>
      <c r="D14000" s="685" t="s">
        <v>4223</v>
      </c>
      <c r="E14000" s="685" t="s">
        <v>4224</v>
      </c>
      <c r="F14000" s="685" t="s">
        <v>4225</v>
      </c>
      <c r="G14000" s="685" t="s">
        <v>4226</v>
      </c>
      <c r="H14000" s="685" t="s">
        <v>4227</v>
      </c>
      <c r="I14000" s="685" t="s">
        <v>4228</v>
      </c>
      <c r="J14000" s="685" t="s">
        <v>4229</v>
      </c>
      <c r="K14000" s="685" t="s">
        <v>4230</v>
      </c>
    </row>
    <row r="14001" spans="1:11">
      <c r="A14001" s="686" t="s">
        <v>4231</v>
      </c>
      <c r="B14001" s="687" t="s">
        <v>4232</v>
      </c>
      <c r="C14001" s="687" t="s">
        <v>4232</v>
      </c>
      <c r="D14001" s="687" t="s">
        <v>4232</v>
      </c>
      <c r="E14001" s="687" t="s">
        <v>4232</v>
      </c>
      <c r="F14001" s="687" t="s">
        <v>4232</v>
      </c>
      <c r="G14001" s="687" t="s">
        <v>4232</v>
      </c>
      <c r="H14001" s="687" t="s">
        <v>4232</v>
      </c>
      <c r="I14001" s="687" t="s">
        <v>4232</v>
      </c>
      <c r="J14001" s="687" t="s">
        <v>4232</v>
      </c>
      <c r="K14001" s="687" t="s">
        <v>4232</v>
      </c>
    </row>
    <row r="14002" spans="1:11">
      <c r="A14002" s="688" t="s">
        <v>4064</v>
      </c>
      <c r="B14002" s="691">
        <v>80.7</v>
      </c>
      <c r="C14002" s="691">
        <v>80.7</v>
      </c>
      <c r="D14002" s="691">
        <v>80.599999999999994</v>
      </c>
      <c r="E14002" s="691">
        <v>80.8</v>
      </c>
      <c r="F14002" s="691">
        <v>80.7</v>
      </c>
      <c r="G14002" s="691">
        <v>80.8</v>
      </c>
      <c r="H14002" s="691">
        <v>81.099999999999994</v>
      </c>
      <c r="I14002" s="691">
        <v>80.400000000000006</v>
      </c>
      <c r="J14002" s="691">
        <v>80.099999999999994</v>
      </c>
      <c r="K14002" s="691">
        <v>80.5</v>
      </c>
    </row>
    <row r="14003" spans="1:11">
      <c r="A14003" s="688" t="s">
        <v>4065</v>
      </c>
      <c r="B14003" s="689">
        <v>80.599999999999994</v>
      </c>
      <c r="C14003" s="693">
        <v>81</v>
      </c>
      <c r="D14003" s="689">
        <v>80.599999999999994</v>
      </c>
      <c r="E14003" s="693">
        <v>81</v>
      </c>
      <c r="F14003" s="689">
        <v>80.900000000000006</v>
      </c>
      <c r="G14003" s="689">
        <v>80.900000000000006</v>
      </c>
      <c r="H14003" s="690" t="s">
        <v>4060</v>
      </c>
      <c r="I14003" s="690" t="s">
        <v>4060</v>
      </c>
      <c r="J14003" s="690" t="s">
        <v>4060</v>
      </c>
      <c r="K14003" s="690" t="s">
        <v>4060</v>
      </c>
    </row>
    <row r="14004" spans="1:11">
      <c r="A14004" s="688" t="s">
        <v>4063</v>
      </c>
      <c r="B14004" s="691">
        <v>80.599999999999994</v>
      </c>
      <c r="C14004" s="615">
        <v>81</v>
      </c>
      <c r="D14004" s="691">
        <v>80.599999999999994</v>
      </c>
      <c r="E14004" s="615">
        <v>81</v>
      </c>
      <c r="F14004" s="691">
        <v>80.900000000000006</v>
      </c>
      <c r="G14004" s="615">
        <v>81</v>
      </c>
      <c r="H14004" s="692" t="s">
        <v>4060</v>
      </c>
      <c r="I14004" s="692" t="s">
        <v>4060</v>
      </c>
      <c r="J14004" s="692" t="s">
        <v>4060</v>
      </c>
      <c r="K14004" s="692" t="s">
        <v>4060</v>
      </c>
    </row>
    <row r="14005" spans="1:11">
      <c r="A14005" s="688" t="s">
        <v>4069</v>
      </c>
      <c r="B14005" s="690" t="s">
        <v>4060</v>
      </c>
      <c r="C14005" s="689">
        <v>81.5</v>
      </c>
      <c r="D14005" s="689">
        <v>81.2</v>
      </c>
      <c r="E14005" s="689">
        <v>81.5</v>
      </c>
      <c r="F14005" s="689">
        <v>81.5</v>
      </c>
      <c r="G14005" s="689">
        <v>81.599999999999994</v>
      </c>
      <c r="H14005" s="689">
        <v>81.900000000000006</v>
      </c>
      <c r="I14005" s="689">
        <v>81.3</v>
      </c>
      <c r="J14005" s="689">
        <v>81.3</v>
      </c>
      <c r="K14005" s="689">
        <v>81.3</v>
      </c>
    </row>
    <row r="14006" spans="1:11">
      <c r="A14006" s="688" t="s">
        <v>4068</v>
      </c>
      <c r="B14006" s="691">
        <v>81.5</v>
      </c>
      <c r="C14006" s="692" t="s">
        <v>4060</v>
      </c>
      <c r="D14006" s="692" t="s">
        <v>4060</v>
      </c>
      <c r="E14006" s="692" t="s">
        <v>4060</v>
      </c>
      <c r="F14006" s="692" t="s">
        <v>4060</v>
      </c>
      <c r="G14006" s="692" t="s">
        <v>4060</v>
      </c>
      <c r="H14006" s="692" t="s">
        <v>4060</v>
      </c>
      <c r="I14006" s="692" t="s">
        <v>4060</v>
      </c>
      <c r="J14006" s="692" t="s">
        <v>4060</v>
      </c>
      <c r="K14006" s="692" t="s">
        <v>4060</v>
      </c>
    </row>
    <row r="14007" spans="1:11">
      <c r="A14007" s="688" t="s">
        <v>0</v>
      </c>
      <c r="B14007" s="689">
        <v>80.5</v>
      </c>
      <c r="C14007" s="689">
        <v>80.8</v>
      </c>
      <c r="D14007" s="689">
        <v>80.400000000000006</v>
      </c>
      <c r="E14007" s="689">
        <v>80.900000000000006</v>
      </c>
      <c r="F14007" s="693">
        <v>81</v>
      </c>
      <c r="G14007" s="693">
        <v>81</v>
      </c>
      <c r="H14007" s="689">
        <v>81.3</v>
      </c>
      <c r="I14007" s="689">
        <v>80.3</v>
      </c>
      <c r="J14007" s="689">
        <v>81.3</v>
      </c>
      <c r="K14007" s="689">
        <v>81.099999999999994</v>
      </c>
    </row>
    <row r="14008" spans="1:11">
      <c r="A14008" s="688" t="s">
        <v>1</v>
      </c>
      <c r="B14008" s="691">
        <v>76.2</v>
      </c>
      <c r="C14008" s="691">
        <v>75.599999999999994</v>
      </c>
      <c r="D14008" s="691">
        <v>75.599999999999994</v>
      </c>
      <c r="E14008" s="691">
        <v>75.900000000000006</v>
      </c>
      <c r="F14008" s="691">
        <v>75.8</v>
      </c>
      <c r="G14008" s="691">
        <v>75.900000000000006</v>
      </c>
      <c r="H14008" s="615">
        <v>76</v>
      </c>
      <c r="I14008" s="691">
        <v>74.7</v>
      </c>
      <c r="J14008" s="691">
        <v>72.5</v>
      </c>
      <c r="K14008" s="691">
        <v>75.3</v>
      </c>
    </row>
    <row r="14009" spans="1:11">
      <c r="A14009" s="688" t="s">
        <v>2240</v>
      </c>
      <c r="B14009" s="689">
        <v>78.5</v>
      </c>
      <c r="C14009" s="689">
        <v>78.900000000000006</v>
      </c>
      <c r="D14009" s="689">
        <v>78.7</v>
      </c>
      <c r="E14009" s="689">
        <v>79.099999999999994</v>
      </c>
      <c r="F14009" s="689">
        <v>79.099999999999994</v>
      </c>
      <c r="G14009" s="689">
        <v>79.099999999999994</v>
      </c>
      <c r="H14009" s="689">
        <v>79.3</v>
      </c>
      <c r="I14009" s="689">
        <v>78.5</v>
      </c>
      <c r="J14009" s="689">
        <v>77.7</v>
      </c>
      <c r="K14009" s="689">
        <v>79.099999999999994</v>
      </c>
    </row>
    <row r="14010" spans="1:11">
      <c r="A14010" s="688" t="s">
        <v>2</v>
      </c>
      <c r="B14010" s="691">
        <v>79.7</v>
      </c>
      <c r="C14010" s="615">
        <v>80</v>
      </c>
      <c r="D14010" s="615">
        <v>80</v>
      </c>
      <c r="E14010" s="615">
        <v>80</v>
      </c>
      <c r="F14010" s="691">
        <v>80.400000000000006</v>
      </c>
      <c r="G14010" s="691">
        <v>80.2</v>
      </c>
      <c r="H14010" s="691">
        <v>80.599999999999994</v>
      </c>
      <c r="I14010" s="691">
        <v>80.8</v>
      </c>
      <c r="J14010" s="691">
        <v>80.599999999999994</v>
      </c>
      <c r="K14010" s="691">
        <v>80.400000000000006</v>
      </c>
    </row>
    <row r="14011" spans="1:11">
      <c r="A14011" s="688" t="s">
        <v>3</v>
      </c>
      <c r="B14011" s="689">
        <v>80.3</v>
      </c>
      <c r="C14011" s="689">
        <v>80.599999999999994</v>
      </c>
      <c r="D14011" s="689">
        <v>80.3</v>
      </c>
      <c r="E14011" s="689">
        <v>80.599999999999994</v>
      </c>
      <c r="F14011" s="689">
        <v>80.599999999999994</v>
      </c>
      <c r="G14011" s="689">
        <v>80.5</v>
      </c>
      <c r="H14011" s="689">
        <v>80.8</v>
      </c>
      <c r="I14011" s="689">
        <v>80.7</v>
      </c>
      <c r="J14011" s="689">
        <v>80.400000000000006</v>
      </c>
      <c r="K14011" s="689">
        <v>80.2</v>
      </c>
    </row>
    <row r="14012" spans="1:11">
      <c r="A14012" s="688" t="s">
        <v>4061</v>
      </c>
      <c r="B14012" s="691">
        <v>80.3</v>
      </c>
      <c r="C14012" s="691">
        <v>80.599999999999994</v>
      </c>
      <c r="D14012" s="691">
        <v>80.3</v>
      </c>
      <c r="E14012" s="691">
        <v>80.599999999999994</v>
      </c>
      <c r="F14012" s="691">
        <v>80.599999999999994</v>
      </c>
      <c r="G14012" s="691">
        <v>80.5</v>
      </c>
      <c r="H14012" s="691">
        <v>80.8</v>
      </c>
      <c r="I14012" s="691">
        <v>80.7</v>
      </c>
      <c r="J14012" s="691">
        <v>80.400000000000006</v>
      </c>
      <c r="K14012" s="691">
        <v>80.2</v>
      </c>
    </row>
    <row r="14013" spans="1:11">
      <c r="A14013" s="688" t="s">
        <v>4</v>
      </c>
      <c r="B14013" s="689">
        <v>78.900000000000006</v>
      </c>
      <c r="C14013" s="689">
        <v>78.7</v>
      </c>
      <c r="D14013" s="693">
        <v>79</v>
      </c>
      <c r="E14013" s="689">
        <v>79.099999999999994</v>
      </c>
      <c r="F14013" s="689">
        <v>79.5</v>
      </c>
      <c r="G14013" s="689">
        <v>79.599999999999994</v>
      </c>
      <c r="H14013" s="689">
        <v>79.900000000000006</v>
      </c>
      <c r="I14013" s="689">
        <v>79.900000000000006</v>
      </c>
      <c r="J14013" s="689">
        <v>78.5</v>
      </c>
      <c r="K14013" s="689">
        <v>79.400000000000006</v>
      </c>
    </row>
    <row r="14014" spans="1:11">
      <c r="A14014" s="688" t="s">
        <v>8</v>
      </c>
      <c r="B14014" s="691">
        <v>80.400000000000006</v>
      </c>
      <c r="C14014" s="691">
        <v>80.5</v>
      </c>
      <c r="D14014" s="691">
        <v>80.5</v>
      </c>
      <c r="E14014" s="691">
        <v>80.7</v>
      </c>
      <c r="F14014" s="691">
        <v>81.099999999999994</v>
      </c>
      <c r="G14014" s="691">
        <v>81.099999999999994</v>
      </c>
      <c r="H14014" s="691">
        <v>81.599999999999994</v>
      </c>
      <c r="I14014" s="691">
        <v>81.400000000000006</v>
      </c>
      <c r="J14014" s="691">
        <v>81.3</v>
      </c>
      <c r="K14014" s="691">
        <v>81.3</v>
      </c>
    </row>
    <row r="14015" spans="1:11">
      <c r="A14015" s="688" t="s">
        <v>7</v>
      </c>
      <c r="B14015" s="689">
        <v>81.3</v>
      </c>
      <c r="C14015" s="689">
        <v>81.099999999999994</v>
      </c>
      <c r="D14015" s="689">
        <v>80.900000000000006</v>
      </c>
      <c r="E14015" s="689">
        <v>81.099999999999994</v>
      </c>
      <c r="F14015" s="689">
        <v>81.099999999999994</v>
      </c>
      <c r="G14015" s="689">
        <v>81.5</v>
      </c>
      <c r="H14015" s="689">
        <v>81.400000000000006</v>
      </c>
      <c r="I14015" s="689">
        <v>81.099999999999994</v>
      </c>
      <c r="J14015" s="689">
        <v>80.2</v>
      </c>
      <c r="K14015" s="689">
        <v>80.7</v>
      </c>
    </row>
    <row r="14016" spans="1:11">
      <c r="A14016" s="688" t="s">
        <v>27</v>
      </c>
      <c r="B14016" s="691">
        <v>83.3</v>
      </c>
      <c r="C14016" s="691">
        <v>82.9</v>
      </c>
      <c r="D14016" s="691">
        <v>82.6</v>
      </c>
      <c r="E14016" s="615">
        <v>83</v>
      </c>
      <c r="F14016" s="691">
        <v>82.9</v>
      </c>
      <c r="G14016" s="691">
        <v>83.1</v>
      </c>
      <c r="H14016" s="691">
        <v>83.4</v>
      </c>
      <c r="I14016" s="691">
        <v>82.2</v>
      </c>
      <c r="J14016" s="615">
        <v>83</v>
      </c>
      <c r="K14016" s="691">
        <v>82.9</v>
      </c>
    </row>
    <row r="14017" spans="1:11">
      <c r="A14017" s="688" t="s">
        <v>6</v>
      </c>
      <c r="B14017" s="689">
        <v>82.9</v>
      </c>
      <c r="C14017" s="689">
        <v>82.7</v>
      </c>
      <c r="D14017" s="689">
        <v>82.4</v>
      </c>
      <c r="E14017" s="689">
        <v>82.7</v>
      </c>
      <c r="F14017" s="689">
        <v>82.7</v>
      </c>
      <c r="G14017" s="689">
        <v>82.8</v>
      </c>
      <c r="H14017" s="689">
        <v>82.9</v>
      </c>
      <c r="I14017" s="689">
        <v>82.4</v>
      </c>
      <c r="J14017" s="689">
        <v>82.6</v>
      </c>
      <c r="K14017" s="689">
        <v>82.5</v>
      </c>
    </row>
    <row r="14018" spans="1:11">
      <c r="A14018" s="688" t="s">
        <v>4058</v>
      </c>
      <c r="B14018" s="692" t="s">
        <v>4060</v>
      </c>
      <c r="C14018" s="692" t="s">
        <v>4060</v>
      </c>
      <c r="D14018" s="692" t="s">
        <v>4060</v>
      </c>
      <c r="E14018" s="692" t="s">
        <v>4060</v>
      </c>
      <c r="F14018" s="692" t="s">
        <v>4060</v>
      </c>
      <c r="G14018" s="692" t="s">
        <v>4060</v>
      </c>
      <c r="H14018" s="692" t="s">
        <v>4060</v>
      </c>
      <c r="I14018" s="692" t="s">
        <v>4060</v>
      </c>
      <c r="J14018" s="692" t="s">
        <v>4060</v>
      </c>
      <c r="K14018" s="692" t="s">
        <v>4060</v>
      </c>
    </row>
    <row r="14019" spans="1:11">
      <c r="A14019" s="688" t="s">
        <v>11</v>
      </c>
      <c r="B14019" s="689">
        <v>78.3</v>
      </c>
      <c r="C14019" s="689">
        <v>78.2</v>
      </c>
      <c r="D14019" s="689">
        <v>77.7</v>
      </c>
      <c r="E14019" s="689">
        <v>78.5</v>
      </c>
      <c r="F14019" s="689">
        <v>78.099999999999994</v>
      </c>
      <c r="G14019" s="689">
        <v>78.5</v>
      </c>
      <c r="H14019" s="689">
        <v>78.599999999999994</v>
      </c>
      <c r="I14019" s="693">
        <v>78</v>
      </c>
      <c r="J14019" s="689">
        <v>77.099999999999994</v>
      </c>
      <c r="K14019" s="689">
        <v>78.099999999999994</v>
      </c>
    </row>
    <row r="14020" spans="1:11">
      <c r="A14020" s="688" t="s">
        <v>10</v>
      </c>
      <c r="B14020" s="691">
        <v>82.5</v>
      </c>
      <c r="C14020" s="691">
        <v>82.3</v>
      </c>
      <c r="D14020" s="691">
        <v>81.8</v>
      </c>
      <c r="E14020" s="691">
        <v>82.4</v>
      </c>
      <c r="F14020" s="691">
        <v>82.2</v>
      </c>
      <c r="G14020" s="691">
        <v>82.5</v>
      </c>
      <c r="H14020" s="691">
        <v>82.7</v>
      </c>
      <c r="I14020" s="691">
        <v>81.7</v>
      </c>
      <c r="J14020" s="615">
        <v>82</v>
      </c>
      <c r="K14020" s="615">
        <v>82</v>
      </c>
    </row>
    <row r="14021" spans="1:11">
      <c r="A14021" s="688" t="s">
        <v>30</v>
      </c>
      <c r="B14021" s="693">
        <v>82</v>
      </c>
      <c r="C14021" s="689">
        <v>81.3</v>
      </c>
      <c r="D14021" s="693">
        <v>81</v>
      </c>
      <c r="E14021" s="689">
        <v>82.1</v>
      </c>
      <c r="F14021" s="689">
        <v>81.5</v>
      </c>
      <c r="G14021" s="689">
        <v>81.900000000000006</v>
      </c>
      <c r="H14021" s="689">
        <v>81.8</v>
      </c>
      <c r="I14021" s="689">
        <v>81.8</v>
      </c>
      <c r="J14021" s="693">
        <v>81</v>
      </c>
      <c r="K14021" s="689">
        <v>81.2</v>
      </c>
    </row>
    <row r="14022" spans="1:11">
      <c r="A14022" s="688" t="s">
        <v>12</v>
      </c>
      <c r="B14022" s="691">
        <v>76.3</v>
      </c>
      <c r="C14022" s="691">
        <v>76.599999999999994</v>
      </c>
      <c r="D14022" s="691">
        <v>76.599999999999994</v>
      </c>
      <c r="E14022" s="691">
        <v>76.8</v>
      </c>
      <c r="F14022" s="691">
        <v>76.900000000000006</v>
      </c>
      <c r="G14022" s="691">
        <v>76.900000000000006</v>
      </c>
      <c r="H14022" s="691">
        <v>77.3</v>
      </c>
      <c r="I14022" s="691">
        <v>77.2</v>
      </c>
      <c r="J14022" s="691">
        <v>75.2</v>
      </c>
      <c r="K14022" s="691">
        <v>76.599999999999994</v>
      </c>
    </row>
    <row r="14023" spans="1:11">
      <c r="A14023" s="688" t="s">
        <v>14</v>
      </c>
      <c r="B14023" s="689">
        <v>76.8</v>
      </c>
      <c r="C14023" s="689">
        <v>77.2</v>
      </c>
      <c r="D14023" s="689">
        <v>76.900000000000006</v>
      </c>
      <c r="E14023" s="689">
        <v>77.3</v>
      </c>
      <c r="F14023" s="689">
        <v>77.5</v>
      </c>
      <c r="G14023" s="689">
        <v>77.8</v>
      </c>
      <c r="H14023" s="689">
        <v>78.2</v>
      </c>
      <c r="I14023" s="689">
        <v>77.2</v>
      </c>
      <c r="J14023" s="689">
        <v>76.099999999999994</v>
      </c>
      <c r="K14023" s="689">
        <v>77.400000000000006</v>
      </c>
    </row>
    <row r="14024" spans="1:11">
      <c r="A14024" s="688" t="s">
        <v>15</v>
      </c>
      <c r="B14024" s="691">
        <v>81.2</v>
      </c>
      <c r="C14024" s="691">
        <v>81.8</v>
      </c>
      <c r="D14024" s="691">
        <v>81.3</v>
      </c>
      <c r="E14024" s="615">
        <v>82</v>
      </c>
      <c r="F14024" s="691">
        <v>81.2</v>
      </c>
      <c r="G14024" s="691">
        <v>81.7</v>
      </c>
      <c r="H14024" s="691">
        <v>82.1</v>
      </c>
      <c r="I14024" s="691">
        <v>81.8</v>
      </c>
      <c r="J14024" s="615">
        <v>82</v>
      </c>
      <c r="K14024" s="691">
        <v>82.2</v>
      </c>
    </row>
    <row r="14025" spans="1:11">
      <c r="A14025" s="688" t="s">
        <v>29</v>
      </c>
      <c r="B14025" s="689">
        <v>76.5</v>
      </c>
      <c r="C14025" s="689">
        <v>76.5</v>
      </c>
      <c r="D14025" s="689">
        <v>76.2</v>
      </c>
      <c r="E14025" s="689">
        <v>76.8</v>
      </c>
      <c r="F14025" s="689">
        <v>76.400000000000006</v>
      </c>
      <c r="G14025" s="689">
        <v>76.599999999999994</v>
      </c>
      <c r="H14025" s="689">
        <v>76.8</v>
      </c>
      <c r="I14025" s="689">
        <v>76.099999999999994</v>
      </c>
      <c r="J14025" s="689">
        <v>74.8</v>
      </c>
      <c r="K14025" s="689">
        <v>76.5</v>
      </c>
    </row>
    <row r="14026" spans="1:11">
      <c r="A14026" s="688" t="s">
        <v>16</v>
      </c>
      <c r="B14026" s="691">
        <v>81.599999999999994</v>
      </c>
      <c r="C14026" s="691">
        <v>81.400000000000006</v>
      </c>
      <c r="D14026" s="691">
        <v>81.2</v>
      </c>
      <c r="E14026" s="691">
        <v>81.400000000000006</v>
      </c>
      <c r="F14026" s="691">
        <v>81.599999999999994</v>
      </c>
      <c r="G14026" s="691">
        <v>81.400000000000006</v>
      </c>
      <c r="H14026" s="691">
        <v>81.8</v>
      </c>
      <c r="I14026" s="691">
        <v>81.5</v>
      </c>
      <c r="J14026" s="691">
        <v>81.2</v>
      </c>
      <c r="K14026" s="691">
        <v>81.599999999999994</v>
      </c>
    </row>
    <row r="14027" spans="1:11">
      <c r="A14027" s="688" t="s">
        <v>17</v>
      </c>
      <c r="B14027" s="689">
        <v>80.5</v>
      </c>
      <c r="C14027" s="689">
        <v>80.599999999999994</v>
      </c>
      <c r="D14027" s="689">
        <v>80.400000000000006</v>
      </c>
      <c r="E14027" s="689">
        <v>80.400000000000006</v>
      </c>
      <c r="F14027" s="689">
        <v>80.599999999999994</v>
      </c>
      <c r="G14027" s="689">
        <v>80.599999999999994</v>
      </c>
      <c r="H14027" s="689">
        <v>80.900000000000006</v>
      </c>
      <c r="I14027" s="689">
        <v>80.400000000000006</v>
      </c>
      <c r="J14027" s="689">
        <v>80.3</v>
      </c>
      <c r="K14027" s="689">
        <v>80.400000000000006</v>
      </c>
    </row>
    <row r="14028" spans="1:11">
      <c r="A14028" s="688" t="s">
        <v>19</v>
      </c>
      <c r="B14028" s="691">
        <v>81.099999999999994</v>
      </c>
      <c r="C14028" s="615">
        <v>81</v>
      </c>
      <c r="D14028" s="691">
        <v>80.900000000000006</v>
      </c>
      <c r="E14028" s="691">
        <v>81.2</v>
      </c>
      <c r="F14028" s="691">
        <v>81.2</v>
      </c>
      <c r="G14028" s="691">
        <v>81.3</v>
      </c>
      <c r="H14028" s="691">
        <v>81.5</v>
      </c>
      <c r="I14028" s="615">
        <v>81</v>
      </c>
      <c r="J14028" s="615">
        <v>81</v>
      </c>
      <c r="K14028" s="615">
        <v>81</v>
      </c>
    </row>
    <row r="14029" spans="1:11">
      <c r="A14029" s="688" t="s">
        <v>20</v>
      </c>
      <c r="B14029" s="689">
        <v>78.599999999999994</v>
      </c>
      <c r="C14029" s="689">
        <v>78.8</v>
      </c>
      <c r="D14029" s="689">
        <v>78.599999999999994</v>
      </c>
      <c r="E14029" s="693">
        <v>79</v>
      </c>
      <c r="F14029" s="689">
        <v>78.900000000000006</v>
      </c>
      <c r="G14029" s="689">
        <v>78.8</v>
      </c>
      <c r="H14029" s="693">
        <v>79</v>
      </c>
      <c r="I14029" s="689">
        <v>77.8</v>
      </c>
      <c r="J14029" s="689">
        <v>76.8</v>
      </c>
      <c r="K14029" s="689">
        <v>78.3</v>
      </c>
    </row>
    <row r="14030" spans="1:11">
      <c r="A14030" s="688" t="s">
        <v>21</v>
      </c>
      <c r="B14030" s="691">
        <v>81.3</v>
      </c>
      <c r="C14030" s="691">
        <v>81.599999999999994</v>
      </c>
      <c r="D14030" s="691">
        <v>81.5</v>
      </c>
      <c r="E14030" s="691">
        <v>81.599999999999994</v>
      </c>
      <c r="F14030" s="691">
        <v>81.7</v>
      </c>
      <c r="G14030" s="691">
        <v>81.8</v>
      </c>
      <c r="H14030" s="615">
        <v>82</v>
      </c>
      <c r="I14030" s="691">
        <v>81.400000000000006</v>
      </c>
      <c r="J14030" s="691">
        <v>81.5</v>
      </c>
      <c r="K14030" s="691">
        <v>81.7</v>
      </c>
    </row>
    <row r="14031" spans="1:11">
      <c r="A14031" s="688" t="s">
        <v>22</v>
      </c>
      <c r="B14031" s="689">
        <v>76.400000000000006</v>
      </c>
      <c r="C14031" s="689">
        <v>76.2</v>
      </c>
      <c r="D14031" s="689">
        <v>76.099999999999994</v>
      </c>
      <c r="E14031" s="689">
        <v>76.400000000000006</v>
      </c>
      <c r="F14031" s="689">
        <v>76.5</v>
      </c>
      <c r="G14031" s="689">
        <v>76.599999999999994</v>
      </c>
      <c r="H14031" s="689">
        <v>76.900000000000006</v>
      </c>
      <c r="I14031" s="689">
        <v>75.7</v>
      </c>
      <c r="J14031" s="689">
        <v>74.099999999999994</v>
      </c>
      <c r="K14031" s="689">
        <v>76.5</v>
      </c>
    </row>
    <row r="14032" spans="1:11">
      <c r="A14032" s="688" t="s">
        <v>26</v>
      </c>
      <c r="B14032" s="691">
        <v>80.900000000000006</v>
      </c>
      <c r="C14032" s="691">
        <v>80.900000000000006</v>
      </c>
      <c r="D14032" s="691">
        <v>80.7</v>
      </c>
      <c r="E14032" s="691">
        <v>81.099999999999994</v>
      </c>
      <c r="F14032" s="691">
        <v>80.900000000000006</v>
      </c>
      <c r="G14032" s="691">
        <v>81.2</v>
      </c>
      <c r="H14032" s="691">
        <v>81.400000000000006</v>
      </c>
      <c r="I14032" s="691">
        <v>80.5</v>
      </c>
      <c r="J14032" s="691">
        <v>80.8</v>
      </c>
      <c r="K14032" s="691">
        <v>81.099999999999994</v>
      </c>
    </row>
    <row r="14033" spans="1:11">
      <c r="A14033" s="688" t="s">
        <v>25</v>
      </c>
      <c r="B14033" s="689">
        <v>77.599999999999994</v>
      </c>
      <c r="C14033" s="689">
        <v>77.900000000000006</v>
      </c>
      <c r="D14033" s="689">
        <v>77.599999999999994</v>
      </c>
      <c r="E14033" s="693">
        <v>78</v>
      </c>
      <c r="F14033" s="693">
        <v>78</v>
      </c>
      <c r="G14033" s="689">
        <v>78.099999999999994</v>
      </c>
      <c r="H14033" s="689">
        <v>78.5</v>
      </c>
      <c r="I14033" s="689">
        <v>77.8</v>
      </c>
      <c r="J14033" s="689">
        <v>75.599999999999994</v>
      </c>
      <c r="K14033" s="689">
        <v>77.8</v>
      </c>
    </row>
    <row r="14034" spans="1:11">
      <c r="A14034" s="688" t="s">
        <v>5</v>
      </c>
      <c r="B14034" s="691">
        <v>81.3</v>
      </c>
      <c r="C14034" s="691">
        <v>81.099999999999994</v>
      </c>
      <c r="D14034" s="691">
        <v>81.3</v>
      </c>
      <c r="E14034" s="691">
        <v>81.3</v>
      </c>
      <c r="F14034" s="691">
        <v>81.400000000000006</v>
      </c>
      <c r="G14034" s="691">
        <v>81.5</v>
      </c>
      <c r="H14034" s="691">
        <v>81.7</v>
      </c>
      <c r="I14034" s="691">
        <v>81.8</v>
      </c>
      <c r="J14034" s="691">
        <v>81.599999999999994</v>
      </c>
      <c r="K14034" s="615">
        <v>81</v>
      </c>
    </row>
    <row r="14035" spans="1:11">
      <c r="A14035" s="688" t="s">
        <v>23</v>
      </c>
      <c r="B14035" s="693">
        <v>81</v>
      </c>
      <c r="C14035" s="689">
        <v>81.2</v>
      </c>
      <c r="D14035" s="689">
        <v>81.2</v>
      </c>
      <c r="E14035" s="689">
        <v>81.3</v>
      </c>
      <c r="F14035" s="689">
        <v>81.3</v>
      </c>
      <c r="G14035" s="689">
        <v>81.400000000000006</v>
      </c>
      <c r="H14035" s="689">
        <v>81.900000000000006</v>
      </c>
      <c r="I14035" s="689">
        <v>81.5</v>
      </c>
      <c r="J14035" s="693">
        <v>82</v>
      </c>
      <c r="K14035" s="689">
        <v>81.900000000000006</v>
      </c>
    </row>
    <row r="14036" spans="1:11">
      <c r="A14036" s="688" t="s">
        <v>4067</v>
      </c>
      <c r="B14036" s="691">
        <v>80.599999999999994</v>
      </c>
      <c r="C14036" s="615">
        <v>81</v>
      </c>
      <c r="D14036" s="691">
        <v>80.599999999999994</v>
      </c>
      <c r="E14036" s="615">
        <v>81</v>
      </c>
      <c r="F14036" s="691">
        <v>80.900000000000006</v>
      </c>
      <c r="G14036" s="691">
        <v>80.900000000000006</v>
      </c>
      <c r="H14036" s="692" t="s">
        <v>4060</v>
      </c>
      <c r="I14036" s="692" t="s">
        <v>4060</v>
      </c>
      <c r="J14036" s="692" t="s">
        <v>4060</v>
      </c>
      <c r="K14036" s="692" t="s">
        <v>4060</v>
      </c>
    </row>
    <row r="14037" spans="1:11">
      <c r="A14037" s="688" t="s">
        <v>4066</v>
      </c>
      <c r="B14037" s="689">
        <v>80.599999999999994</v>
      </c>
      <c r="C14037" s="693">
        <v>81</v>
      </c>
      <c r="D14037" s="689">
        <v>80.599999999999994</v>
      </c>
      <c r="E14037" s="693">
        <v>81</v>
      </c>
      <c r="F14037" s="689">
        <v>80.900000000000006</v>
      </c>
      <c r="G14037" s="693">
        <v>81</v>
      </c>
      <c r="H14037" s="690" t="s">
        <v>4060</v>
      </c>
      <c r="I14037" s="690" t="s">
        <v>4060</v>
      </c>
      <c r="J14037" s="690" t="s">
        <v>4060</v>
      </c>
      <c r="K14037" s="690" t="s">
        <v>4060</v>
      </c>
    </row>
    <row r="14038" spans="1:11">
      <c r="A14038" s="688" t="s">
        <v>4062</v>
      </c>
      <c r="B14038" s="691">
        <v>81.8</v>
      </c>
      <c r="C14038" s="615">
        <v>82</v>
      </c>
      <c r="D14038" s="691">
        <v>81.900000000000006</v>
      </c>
      <c r="E14038" s="691">
        <v>82.1</v>
      </c>
      <c r="F14038" s="691">
        <v>82.2</v>
      </c>
      <c r="G14038" s="691">
        <v>82.3</v>
      </c>
      <c r="H14038" s="691">
        <v>82.5</v>
      </c>
      <c r="I14038" s="691">
        <v>82.2</v>
      </c>
      <c r="J14038" s="691">
        <v>82.5</v>
      </c>
      <c r="K14038" s="691">
        <v>82.2</v>
      </c>
    </row>
    <row r="14039" spans="1:11">
      <c r="A14039" s="688" t="s">
        <v>9</v>
      </c>
      <c r="B14039" s="693">
        <v>81</v>
      </c>
      <c r="C14039" s="689">
        <v>81.400000000000006</v>
      </c>
      <c r="D14039" s="689">
        <v>80.8</v>
      </c>
      <c r="E14039" s="693">
        <v>81</v>
      </c>
      <c r="F14039" s="689">
        <v>81.400000000000006</v>
      </c>
      <c r="G14039" s="689">
        <v>81.400000000000006</v>
      </c>
      <c r="H14039" s="689">
        <v>81.599999999999994</v>
      </c>
      <c r="I14039" s="689">
        <v>81.5</v>
      </c>
      <c r="J14039" s="689">
        <v>81.8</v>
      </c>
      <c r="K14039" s="689">
        <v>80.8</v>
      </c>
    </row>
    <row r="14040" spans="1:11">
      <c r="A14040" s="688" t="s">
        <v>13</v>
      </c>
      <c r="B14040" s="691">
        <v>81.900000000000006</v>
      </c>
      <c r="C14040" s="691">
        <v>80.7</v>
      </c>
      <c r="D14040" s="691">
        <v>81.3</v>
      </c>
      <c r="E14040" s="691">
        <v>80.900000000000006</v>
      </c>
      <c r="F14040" s="691">
        <v>82.8</v>
      </c>
      <c r="G14040" s="691">
        <v>82.6</v>
      </c>
      <c r="H14040" s="691">
        <v>82.5</v>
      </c>
      <c r="I14040" s="691">
        <v>80.8</v>
      </c>
      <c r="J14040" s="691">
        <v>83.1</v>
      </c>
      <c r="K14040" s="691">
        <v>82.2</v>
      </c>
    </row>
    <row r="14041" spans="1:11">
      <c r="A14041" s="688" t="s">
        <v>18</v>
      </c>
      <c r="B14041" s="693">
        <v>81</v>
      </c>
      <c r="C14041" s="689">
        <v>81.3</v>
      </c>
      <c r="D14041" s="689">
        <v>81.400000000000006</v>
      </c>
      <c r="E14041" s="689">
        <v>81.400000000000006</v>
      </c>
      <c r="F14041" s="689">
        <v>81.5</v>
      </c>
      <c r="G14041" s="689">
        <v>81.7</v>
      </c>
      <c r="H14041" s="689">
        <v>81.8</v>
      </c>
      <c r="I14041" s="693">
        <v>82</v>
      </c>
      <c r="J14041" s="689">
        <v>81.900000000000006</v>
      </c>
      <c r="K14041" s="689">
        <v>81.5</v>
      </c>
    </row>
    <row r="14042" spans="1:11">
      <c r="A14042" s="688" t="s">
        <v>24</v>
      </c>
      <c r="B14042" s="691">
        <v>82.3</v>
      </c>
      <c r="C14042" s="691">
        <v>82.4</v>
      </c>
      <c r="D14042" s="691">
        <v>82.2</v>
      </c>
      <c r="E14042" s="691">
        <v>82.6</v>
      </c>
      <c r="F14042" s="691">
        <v>82.7</v>
      </c>
      <c r="G14042" s="691">
        <v>82.7</v>
      </c>
      <c r="H14042" s="691">
        <v>82.9</v>
      </c>
      <c r="I14042" s="691">
        <v>82.4</v>
      </c>
      <c r="J14042" s="691">
        <v>82.9</v>
      </c>
      <c r="K14042" s="691">
        <v>82.7</v>
      </c>
    </row>
    <row r="14043" spans="1:11">
      <c r="A14043" s="688" t="s">
        <v>4059</v>
      </c>
      <c r="B14043" s="689">
        <v>80.2</v>
      </c>
      <c r="C14043" s="689">
        <v>80.5</v>
      </c>
      <c r="D14043" s="689">
        <v>80.099999999999994</v>
      </c>
      <c r="E14043" s="689">
        <v>80.3</v>
      </c>
      <c r="F14043" s="689">
        <v>80.400000000000006</v>
      </c>
      <c r="G14043" s="689">
        <v>80.400000000000006</v>
      </c>
      <c r="H14043" s="690" t="s">
        <v>4060</v>
      </c>
      <c r="I14043" s="690" t="s">
        <v>4060</v>
      </c>
      <c r="J14043" s="690" t="s">
        <v>4060</v>
      </c>
      <c r="K14043" s="690" t="s">
        <v>4060</v>
      </c>
    </row>
    <row r="14044" spans="1:11">
      <c r="A14044" s="688" t="s">
        <v>2324</v>
      </c>
      <c r="B14044" s="691">
        <v>76.3</v>
      </c>
      <c r="C14044" s="691">
        <v>76.3</v>
      </c>
      <c r="D14044" s="691">
        <v>75.8</v>
      </c>
      <c r="E14044" s="691">
        <v>76.2</v>
      </c>
      <c r="F14044" s="691">
        <v>76.3</v>
      </c>
      <c r="G14044" s="691">
        <v>76.5</v>
      </c>
      <c r="H14044" s="691">
        <v>76.7</v>
      </c>
      <c r="I14044" s="615">
        <v>76</v>
      </c>
      <c r="J14044" s="691">
        <v>74.099999999999994</v>
      </c>
      <c r="K14044" s="692" t="s">
        <v>4060</v>
      </c>
    </row>
    <row r="14045" spans="1:11">
      <c r="A14045" s="688" t="s">
        <v>2322</v>
      </c>
      <c r="B14045" s="690" t="s">
        <v>4060</v>
      </c>
      <c r="C14045" s="690" t="s">
        <v>4060</v>
      </c>
      <c r="D14045" s="690" t="s">
        <v>4060</v>
      </c>
      <c r="E14045" s="690" t="s">
        <v>4060</v>
      </c>
      <c r="F14045" s="690" t="s">
        <v>4060</v>
      </c>
      <c r="G14045" s="690" t="s">
        <v>4060</v>
      </c>
      <c r="H14045" s="690" t="s">
        <v>4060</v>
      </c>
      <c r="I14045" s="690" t="s">
        <v>4060</v>
      </c>
      <c r="J14045" s="690" t="s">
        <v>4060</v>
      </c>
      <c r="K14045" s="690" t="s">
        <v>4060</v>
      </c>
    </row>
    <row r="14046" spans="1:11">
      <c r="A14046" s="688" t="s">
        <v>2328</v>
      </c>
      <c r="B14046" s="691">
        <v>75.400000000000006</v>
      </c>
      <c r="C14046" s="691">
        <v>75.3</v>
      </c>
      <c r="D14046" s="691">
        <v>75.099999999999994</v>
      </c>
      <c r="E14046" s="691">
        <v>75.5</v>
      </c>
      <c r="F14046" s="691">
        <v>75.7</v>
      </c>
      <c r="G14046" s="691">
        <v>76.2</v>
      </c>
      <c r="H14046" s="615">
        <v>76</v>
      </c>
      <c r="I14046" s="691">
        <v>74.2</v>
      </c>
      <c r="J14046" s="691">
        <v>72.8</v>
      </c>
      <c r="K14046" s="692" t="s">
        <v>4060</v>
      </c>
    </row>
    <row r="14047" spans="1:11">
      <c r="A14047" s="688" t="s">
        <v>2496</v>
      </c>
      <c r="B14047" s="690" t="s">
        <v>4060</v>
      </c>
      <c r="C14047" s="689">
        <v>76.099999999999994</v>
      </c>
      <c r="D14047" s="689">
        <v>75.099999999999994</v>
      </c>
      <c r="E14047" s="689">
        <v>74.8</v>
      </c>
      <c r="F14047" s="689">
        <v>75.5</v>
      </c>
      <c r="G14047" s="689">
        <v>75.8</v>
      </c>
      <c r="H14047" s="689">
        <v>75.900000000000006</v>
      </c>
      <c r="I14047" s="690" t="s">
        <v>4060</v>
      </c>
      <c r="J14047" s="690" t="s">
        <v>4060</v>
      </c>
      <c r="K14047" s="689">
        <v>75.8</v>
      </c>
    </row>
    <row r="14048" spans="1:11">
      <c r="A14048" s="688" t="s">
        <v>2269</v>
      </c>
      <c r="B14048" s="691">
        <v>77.7</v>
      </c>
      <c r="C14048" s="691">
        <v>77.8</v>
      </c>
      <c r="D14048" s="691">
        <v>77.2</v>
      </c>
      <c r="E14048" s="691">
        <v>77.8</v>
      </c>
      <c r="F14048" s="691">
        <v>77.7</v>
      </c>
      <c r="G14048" s="691">
        <v>78.2</v>
      </c>
      <c r="H14048" s="691">
        <v>78.400000000000006</v>
      </c>
      <c r="I14048" s="691">
        <v>77.400000000000006</v>
      </c>
      <c r="J14048" s="691">
        <v>75.3</v>
      </c>
      <c r="K14048" s="691">
        <v>78.400000000000006</v>
      </c>
    </row>
    <row r="14049" spans="1:11">
      <c r="A14049" s="688" t="s">
        <v>2349</v>
      </c>
      <c r="B14049" s="689">
        <v>75.400000000000006</v>
      </c>
      <c r="C14049" s="689">
        <v>75.400000000000006</v>
      </c>
      <c r="D14049" s="689">
        <v>75.3</v>
      </c>
      <c r="E14049" s="689">
        <v>75.7</v>
      </c>
      <c r="F14049" s="689">
        <v>75.5</v>
      </c>
      <c r="G14049" s="689">
        <v>75.8</v>
      </c>
      <c r="H14049" s="693">
        <v>76</v>
      </c>
      <c r="I14049" s="689">
        <v>74.8</v>
      </c>
      <c r="J14049" s="689">
        <v>73.099999999999994</v>
      </c>
      <c r="K14049" s="689">
        <v>75.2</v>
      </c>
    </row>
    <row r="14050" spans="1:11">
      <c r="A14050" s="688" t="s">
        <v>2355</v>
      </c>
      <c r="B14050" s="691">
        <v>79.099999999999994</v>
      </c>
      <c r="C14050" s="691">
        <v>78.900000000000006</v>
      </c>
      <c r="D14050" s="691">
        <v>78.900000000000006</v>
      </c>
      <c r="E14050" s="691">
        <v>78.8</v>
      </c>
      <c r="F14050" s="691">
        <v>79.099999999999994</v>
      </c>
      <c r="G14050" s="691">
        <v>79.5</v>
      </c>
      <c r="H14050" s="691">
        <v>79.599999999999994</v>
      </c>
      <c r="I14050" s="692" t="s">
        <v>4060</v>
      </c>
      <c r="J14050" s="692" t="s">
        <v>4060</v>
      </c>
      <c r="K14050" s="692" t="s">
        <v>4060</v>
      </c>
    </row>
    <row r="14051" spans="1:11">
      <c r="A14051" s="688" t="s">
        <v>2357</v>
      </c>
      <c r="B14051" s="690" t="s">
        <v>4060</v>
      </c>
      <c r="C14051" s="689">
        <v>74.3</v>
      </c>
      <c r="D14051" s="689">
        <v>74.900000000000006</v>
      </c>
      <c r="E14051" s="689">
        <v>75.2</v>
      </c>
      <c r="F14051" s="689">
        <v>75.5</v>
      </c>
      <c r="G14051" s="689">
        <v>75.599999999999994</v>
      </c>
      <c r="H14051" s="689">
        <v>75.8</v>
      </c>
      <c r="I14051" s="690" t="s">
        <v>4060</v>
      </c>
      <c r="J14051" s="690" t="s">
        <v>4060</v>
      </c>
      <c r="K14051" s="690" t="s">
        <v>4060</v>
      </c>
    </row>
    <row r="14052" spans="1:11">
      <c r="A14052" s="688" t="s">
        <v>4070</v>
      </c>
      <c r="B14052" s="692" t="s">
        <v>4060</v>
      </c>
      <c r="C14052" s="692" t="s">
        <v>4060</v>
      </c>
      <c r="D14052" s="692" t="s">
        <v>4060</v>
      </c>
      <c r="E14052" s="691">
        <v>79.099999999999994</v>
      </c>
      <c r="F14052" s="692" t="s">
        <v>4060</v>
      </c>
      <c r="G14052" s="692" t="s">
        <v>4060</v>
      </c>
      <c r="H14052" s="692" t="s">
        <v>4060</v>
      </c>
      <c r="I14052" s="692" t="s">
        <v>4060</v>
      </c>
      <c r="J14052" s="692" t="s">
        <v>4060</v>
      </c>
      <c r="K14052" s="692" t="s">
        <v>4060</v>
      </c>
    </row>
    <row r="14053" spans="1:11">
      <c r="A14053" s="688" t="s">
        <v>2491</v>
      </c>
      <c r="B14053" s="689">
        <v>75.3</v>
      </c>
      <c r="C14053" s="689">
        <v>75.900000000000006</v>
      </c>
      <c r="D14053" s="689">
        <v>76.3</v>
      </c>
      <c r="E14053" s="689">
        <v>76.400000000000006</v>
      </c>
      <c r="F14053" s="689">
        <v>76.599999999999994</v>
      </c>
      <c r="G14053" s="689">
        <v>76.7</v>
      </c>
      <c r="H14053" s="690" t="s">
        <v>4060</v>
      </c>
      <c r="I14053" s="690" t="s">
        <v>4060</v>
      </c>
      <c r="J14053" s="690" t="s">
        <v>4060</v>
      </c>
      <c r="K14053" s="690" t="s">
        <v>4060</v>
      </c>
    </row>
    <row r="14054" spans="1:11">
      <c r="A14054" s="688" t="s">
        <v>2343</v>
      </c>
      <c r="B14054" s="692" t="s">
        <v>4060</v>
      </c>
      <c r="C14054" s="692" t="s">
        <v>4060</v>
      </c>
      <c r="D14054" s="692" t="s">
        <v>4060</v>
      </c>
      <c r="E14054" s="692" t="s">
        <v>4060</v>
      </c>
      <c r="F14054" s="692" t="s">
        <v>4060</v>
      </c>
      <c r="G14054" s="692" t="s">
        <v>4060</v>
      </c>
      <c r="H14054" s="692" t="s">
        <v>4060</v>
      </c>
      <c r="I14054" s="692" t="s">
        <v>4060</v>
      </c>
      <c r="J14054" s="692" t="s">
        <v>4060</v>
      </c>
      <c r="K14054" s="692" t="s">
        <v>4060</v>
      </c>
    </row>
    <row r="14055" spans="1:11">
      <c r="A14055" s="688" t="s">
        <v>4071</v>
      </c>
      <c r="B14055" s="690" t="s">
        <v>4060</v>
      </c>
      <c r="C14055" s="690" t="s">
        <v>4060</v>
      </c>
      <c r="D14055" s="690" t="s">
        <v>4060</v>
      </c>
      <c r="E14055" s="690" t="s">
        <v>4060</v>
      </c>
      <c r="F14055" s="690" t="s">
        <v>4060</v>
      </c>
      <c r="G14055" s="690" t="s">
        <v>4060</v>
      </c>
      <c r="H14055" s="690" t="s">
        <v>4060</v>
      </c>
      <c r="I14055" s="690" t="s">
        <v>4060</v>
      </c>
      <c r="J14055" s="690" t="s">
        <v>4060</v>
      </c>
      <c r="K14055" s="690" t="s">
        <v>4060</v>
      </c>
    </row>
    <row r="14056" spans="1:11">
      <c r="A14056" s="688" t="s">
        <v>2489</v>
      </c>
      <c r="B14056" s="692" t="s">
        <v>4060</v>
      </c>
      <c r="C14056" s="692" t="s">
        <v>4060</v>
      </c>
      <c r="D14056" s="691">
        <v>75.900000000000006</v>
      </c>
      <c r="E14056" s="615">
        <v>76</v>
      </c>
      <c r="F14056" s="691">
        <v>76.599999999999994</v>
      </c>
      <c r="G14056" s="691">
        <v>77.3</v>
      </c>
      <c r="H14056" s="691">
        <v>77.2</v>
      </c>
      <c r="I14056" s="692" t="s">
        <v>4060</v>
      </c>
      <c r="J14056" s="692" t="s">
        <v>4060</v>
      </c>
      <c r="K14056" s="692" t="s">
        <v>4060</v>
      </c>
    </row>
    <row r="14057" spans="1:11">
      <c r="A14057" s="688" t="s">
        <v>2490</v>
      </c>
      <c r="B14057" s="693">
        <v>75</v>
      </c>
      <c r="C14057" s="689">
        <v>75.099999999999994</v>
      </c>
      <c r="D14057" s="689">
        <v>75.599999999999994</v>
      </c>
      <c r="E14057" s="690" t="s">
        <v>4060</v>
      </c>
      <c r="F14057" s="689">
        <v>75.8</v>
      </c>
      <c r="G14057" s="689">
        <v>76.2</v>
      </c>
      <c r="H14057" s="689">
        <v>76.7</v>
      </c>
      <c r="I14057" s="690" t="s">
        <v>4060</v>
      </c>
      <c r="J14057" s="690" t="s">
        <v>4060</v>
      </c>
      <c r="K14057" s="690" t="s">
        <v>4060</v>
      </c>
    </row>
    <row r="14059" spans="1:11">
      <c r="A14059" s="683" t="s">
        <v>4233</v>
      </c>
    </row>
    <row r="14060" spans="1:11">
      <c r="A14060" s="683" t="s">
        <v>4060</v>
      </c>
      <c r="B14060" s="682" t="s">
        <v>4234</v>
      </c>
    </row>
    <row r="14062" spans="1:11">
      <c r="A14062" s="682" t="s">
        <v>4332</v>
      </c>
    </row>
    <row r="14063" spans="1:11">
      <c r="A14063" s="682" t="s">
        <v>4210</v>
      </c>
      <c r="B14063" s="683" t="s">
        <v>4211</v>
      </c>
    </row>
    <row r="14064" spans="1:11">
      <c r="A14064" s="682" t="s">
        <v>4212</v>
      </c>
      <c r="B14064" s="682" t="s">
        <v>4213</v>
      </c>
    </row>
    <row r="14066" spans="1:11">
      <c r="A14066" s="683" t="s">
        <v>4214</v>
      </c>
      <c r="C14066" s="682" t="s">
        <v>4215</v>
      </c>
    </row>
    <row r="14067" spans="1:11">
      <c r="A14067" s="683" t="s">
        <v>4216</v>
      </c>
      <c r="C14067" s="682" t="s">
        <v>2967</v>
      </c>
    </row>
    <row r="14068" spans="1:11">
      <c r="A14068" s="683" t="s">
        <v>3893</v>
      </c>
      <c r="C14068" s="682" t="s">
        <v>2169</v>
      </c>
    </row>
    <row r="14069" spans="1:11">
      <c r="A14069" s="683" t="s">
        <v>4218</v>
      </c>
      <c r="C14069" s="682" t="s">
        <v>4238</v>
      </c>
    </row>
    <row r="14071" spans="1:11">
      <c r="A14071" s="684" t="s">
        <v>4220</v>
      </c>
      <c r="B14071" s="685" t="s">
        <v>4221</v>
      </c>
      <c r="C14071" s="685" t="s">
        <v>4222</v>
      </c>
      <c r="D14071" s="685" t="s">
        <v>4223</v>
      </c>
      <c r="E14071" s="685" t="s">
        <v>4224</v>
      </c>
      <c r="F14071" s="685" t="s">
        <v>4225</v>
      </c>
      <c r="G14071" s="685" t="s">
        <v>4226</v>
      </c>
      <c r="H14071" s="685" t="s">
        <v>4227</v>
      </c>
      <c r="I14071" s="685" t="s">
        <v>4228</v>
      </c>
      <c r="J14071" s="685" t="s">
        <v>4229</v>
      </c>
      <c r="K14071" s="685" t="s">
        <v>4230</v>
      </c>
    </row>
    <row r="14072" spans="1:11">
      <c r="A14072" s="686" t="s">
        <v>4231</v>
      </c>
      <c r="B14072" s="687" t="s">
        <v>4232</v>
      </c>
      <c r="C14072" s="687" t="s">
        <v>4232</v>
      </c>
      <c r="D14072" s="687" t="s">
        <v>4232</v>
      </c>
      <c r="E14072" s="687" t="s">
        <v>4232</v>
      </c>
      <c r="F14072" s="687" t="s">
        <v>4232</v>
      </c>
      <c r="G14072" s="687" t="s">
        <v>4232</v>
      </c>
      <c r="H14072" s="687" t="s">
        <v>4232</v>
      </c>
      <c r="I14072" s="687" t="s">
        <v>4232</v>
      </c>
      <c r="J14072" s="687" t="s">
        <v>4232</v>
      </c>
      <c r="K14072" s="687" t="s">
        <v>4232</v>
      </c>
    </row>
    <row r="14073" spans="1:11">
      <c r="A14073" s="688" t="s">
        <v>4064</v>
      </c>
      <c r="B14073" s="689">
        <v>79.7</v>
      </c>
      <c r="C14073" s="689">
        <v>79.7</v>
      </c>
      <c r="D14073" s="689">
        <v>79.599999999999994</v>
      </c>
      <c r="E14073" s="689">
        <v>79.8</v>
      </c>
      <c r="F14073" s="689">
        <v>79.7</v>
      </c>
      <c r="G14073" s="689">
        <v>79.8</v>
      </c>
      <c r="H14073" s="689">
        <v>80.099999999999994</v>
      </c>
      <c r="I14073" s="689">
        <v>79.400000000000006</v>
      </c>
      <c r="J14073" s="689">
        <v>79.099999999999994</v>
      </c>
      <c r="K14073" s="689">
        <v>79.5</v>
      </c>
    </row>
    <row r="14074" spans="1:11">
      <c r="A14074" s="688" t="s">
        <v>4065</v>
      </c>
      <c r="B14074" s="691">
        <v>79.599999999999994</v>
      </c>
      <c r="C14074" s="615">
        <v>80</v>
      </c>
      <c r="D14074" s="691">
        <v>79.599999999999994</v>
      </c>
      <c r="E14074" s="615">
        <v>80</v>
      </c>
      <c r="F14074" s="691">
        <v>79.900000000000006</v>
      </c>
      <c r="G14074" s="691">
        <v>79.900000000000006</v>
      </c>
      <c r="H14074" s="692" t="s">
        <v>4060</v>
      </c>
      <c r="I14074" s="692" t="s">
        <v>4060</v>
      </c>
      <c r="J14074" s="692" t="s">
        <v>4060</v>
      </c>
      <c r="K14074" s="692" t="s">
        <v>4060</v>
      </c>
    </row>
    <row r="14075" spans="1:11">
      <c r="A14075" s="688" t="s">
        <v>4063</v>
      </c>
      <c r="B14075" s="689">
        <v>79.599999999999994</v>
      </c>
      <c r="C14075" s="693">
        <v>80</v>
      </c>
      <c r="D14075" s="689">
        <v>79.599999999999994</v>
      </c>
      <c r="E14075" s="693">
        <v>80</v>
      </c>
      <c r="F14075" s="689">
        <v>79.900000000000006</v>
      </c>
      <c r="G14075" s="693">
        <v>80</v>
      </c>
      <c r="H14075" s="690" t="s">
        <v>4060</v>
      </c>
      <c r="I14075" s="690" t="s">
        <v>4060</v>
      </c>
      <c r="J14075" s="690" t="s">
        <v>4060</v>
      </c>
      <c r="K14075" s="690" t="s">
        <v>4060</v>
      </c>
    </row>
    <row r="14076" spans="1:11">
      <c r="A14076" s="688" t="s">
        <v>4069</v>
      </c>
      <c r="B14076" s="692" t="s">
        <v>4060</v>
      </c>
      <c r="C14076" s="691">
        <v>80.5</v>
      </c>
      <c r="D14076" s="691">
        <v>80.2</v>
      </c>
      <c r="E14076" s="691">
        <v>80.5</v>
      </c>
      <c r="F14076" s="691">
        <v>80.5</v>
      </c>
      <c r="G14076" s="691">
        <v>80.599999999999994</v>
      </c>
      <c r="H14076" s="691">
        <v>80.900000000000006</v>
      </c>
      <c r="I14076" s="691">
        <v>80.3</v>
      </c>
      <c r="J14076" s="691">
        <v>80.3</v>
      </c>
      <c r="K14076" s="691">
        <v>80.3</v>
      </c>
    </row>
    <row r="14077" spans="1:11">
      <c r="A14077" s="688" t="s">
        <v>4068</v>
      </c>
      <c r="B14077" s="689">
        <v>80.599999999999994</v>
      </c>
      <c r="C14077" s="690" t="s">
        <v>4060</v>
      </c>
      <c r="D14077" s="690" t="s">
        <v>4060</v>
      </c>
      <c r="E14077" s="690" t="s">
        <v>4060</v>
      </c>
      <c r="F14077" s="690" t="s">
        <v>4060</v>
      </c>
      <c r="G14077" s="690" t="s">
        <v>4060</v>
      </c>
      <c r="H14077" s="690" t="s">
        <v>4060</v>
      </c>
      <c r="I14077" s="690" t="s">
        <v>4060</v>
      </c>
      <c r="J14077" s="690" t="s">
        <v>4060</v>
      </c>
      <c r="K14077" s="690" t="s">
        <v>4060</v>
      </c>
    </row>
    <row r="14078" spans="1:11">
      <c r="A14078" s="688" t="s">
        <v>0</v>
      </c>
      <c r="B14078" s="691">
        <v>79.5</v>
      </c>
      <c r="C14078" s="691">
        <v>79.8</v>
      </c>
      <c r="D14078" s="691">
        <v>79.5</v>
      </c>
      <c r="E14078" s="691">
        <v>79.900000000000006</v>
      </c>
      <c r="F14078" s="615">
        <v>80</v>
      </c>
      <c r="G14078" s="615">
        <v>80</v>
      </c>
      <c r="H14078" s="691">
        <v>80.3</v>
      </c>
      <c r="I14078" s="691">
        <v>79.400000000000006</v>
      </c>
      <c r="J14078" s="691">
        <v>80.3</v>
      </c>
      <c r="K14078" s="691">
        <v>80.099999999999994</v>
      </c>
    </row>
    <row r="14079" spans="1:11">
      <c r="A14079" s="688" t="s">
        <v>1</v>
      </c>
      <c r="B14079" s="689">
        <v>75.2</v>
      </c>
      <c r="C14079" s="689">
        <v>74.599999999999994</v>
      </c>
      <c r="D14079" s="689">
        <v>74.599999999999994</v>
      </c>
      <c r="E14079" s="689">
        <v>74.900000000000006</v>
      </c>
      <c r="F14079" s="689">
        <v>74.8</v>
      </c>
      <c r="G14079" s="689">
        <v>74.900000000000006</v>
      </c>
      <c r="H14079" s="689">
        <v>75.099999999999994</v>
      </c>
      <c r="I14079" s="689">
        <v>73.7</v>
      </c>
      <c r="J14079" s="689">
        <v>71.5</v>
      </c>
      <c r="K14079" s="689">
        <v>74.3</v>
      </c>
    </row>
    <row r="14080" spans="1:11">
      <c r="A14080" s="688" t="s">
        <v>2240</v>
      </c>
      <c r="B14080" s="691">
        <v>77.5</v>
      </c>
      <c r="C14080" s="691">
        <v>77.900000000000006</v>
      </c>
      <c r="D14080" s="691">
        <v>77.7</v>
      </c>
      <c r="E14080" s="691">
        <v>78.099999999999994</v>
      </c>
      <c r="F14080" s="691">
        <v>78.099999999999994</v>
      </c>
      <c r="G14080" s="691">
        <v>78.099999999999994</v>
      </c>
      <c r="H14080" s="691">
        <v>78.3</v>
      </c>
      <c r="I14080" s="691">
        <v>77.5</v>
      </c>
      <c r="J14080" s="691">
        <v>76.7</v>
      </c>
      <c r="K14080" s="691">
        <v>78.099999999999994</v>
      </c>
    </row>
    <row r="14081" spans="1:11">
      <c r="A14081" s="688" t="s">
        <v>2</v>
      </c>
      <c r="B14081" s="689">
        <v>78.7</v>
      </c>
      <c r="C14081" s="693">
        <v>79</v>
      </c>
      <c r="D14081" s="693">
        <v>79</v>
      </c>
      <c r="E14081" s="693">
        <v>79</v>
      </c>
      <c r="F14081" s="689">
        <v>79.400000000000006</v>
      </c>
      <c r="G14081" s="689">
        <v>79.2</v>
      </c>
      <c r="H14081" s="689">
        <v>79.599999999999994</v>
      </c>
      <c r="I14081" s="689">
        <v>79.8</v>
      </c>
      <c r="J14081" s="689">
        <v>79.599999999999994</v>
      </c>
      <c r="K14081" s="689">
        <v>79.400000000000006</v>
      </c>
    </row>
    <row r="14082" spans="1:11">
      <c r="A14082" s="688" t="s">
        <v>3</v>
      </c>
      <c r="B14082" s="691">
        <v>79.3</v>
      </c>
      <c r="C14082" s="691">
        <v>79.599999999999994</v>
      </c>
      <c r="D14082" s="691">
        <v>79.3</v>
      </c>
      <c r="E14082" s="691">
        <v>79.599999999999994</v>
      </c>
      <c r="F14082" s="691">
        <v>79.599999999999994</v>
      </c>
      <c r="G14082" s="691">
        <v>79.5</v>
      </c>
      <c r="H14082" s="691">
        <v>79.8</v>
      </c>
      <c r="I14082" s="691">
        <v>79.7</v>
      </c>
      <c r="J14082" s="691">
        <v>79.5</v>
      </c>
      <c r="K14082" s="691">
        <v>79.2</v>
      </c>
    </row>
    <row r="14083" spans="1:11">
      <c r="A14083" s="688" t="s">
        <v>4061</v>
      </c>
      <c r="B14083" s="689">
        <v>79.3</v>
      </c>
      <c r="C14083" s="689">
        <v>79.599999999999994</v>
      </c>
      <c r="D14083" s="689">
        <v>79.3</v>
      </c>
      <c r="E14083" s="689">
        <v>79.599999999999994</v>
      </c>
      <c r="F14083" s="689">
        <v>79.599999999999994</v>
      </c>
      <c r="G14083" s="689">
        <v>79.5</v>
      </c>
      <c r="H14083" s="689">
        <v>79.8</v>
      </c>
      <c r="I14083" s="689">
        <v>79.7</v>
      </c>
      <c r="J14083" s="689">
        <v>79.5</v>
      </c>
      <c r="K14083" s="689">
        <v>79.2</v>
      </c>
    </row>
    <row r="14084" spans="1:11">
      <c r="A14084" s="688" t="s">
        <v>4</v>
      </c>
      <c r="B14084" s="691">
        <v>77.900000000000006</v>
      </c>
      <c r="C14084" s="691">
        <v>77.8</v>
      </c>
      <c r="D14084" s="615">
        <v>78</v>
      </c>
      <c r="E14084" s="691">
        <v>78.099999999999994</v>
      </c>
      <c r="F14084" s="691">
        <v>78.5</v>
      </c>
      <c r="G14084" s="691">
        <v>78.599999999999994</v>
      </c>
      <c r="H14084" s="691">
        <v>78.900000000000006</v>
      </c>
      <c r="I14084" s="691">
        <v>78.900000000000006</v>
      </c>
      <c r="J14084" s="691">
        <v>77.5</v>
      </c>
      <c r="K14084" s="691">
        <v>78.400000000000006</v>
      </c>
    </row>
    <row r="14085" spans="1:11">
      <c r="A14085" s="688" t="s">
        <v>8</v>
      </c>
      <c r="B14085" s="689">
        <v>79.400000000000006</v>
      </c>
      <c r="C14085" s="689">
        <v>79.599999999999994</v>
      </c>
      <c r="D14085" s="689">
        <v>79.5</v>
      </c>
      <c r="E14085" s="689">
        <v>79.7</v>
      </c>
      <c r="F14085" s="689">
        <v>80.099999999999994</v>
      </c>
      <c r="G14085" s="689">
        <v>80.099999999999994</v>
      </c>
      <c r="H14085" s="689">
        <v>80.599999999999994</v>
      </c>
      <c r="I14085" s="689">
        <v>80.400000000000006</v>
      </c>
      <c r="J14085" s="689">
        <v>80.3</v>
      </c>
      <c r="K14085" s="689">
        <v>80.3</v>
      </c>
    </row>
    <row r="14086" spans="1:11">
      <c r="A14086" s="688" t="s">
        <v>7</v>
      </c>
      <c r="B14086" s="691">
        <v>80.3</v>
      </c>
      <c r="C14086" s="691">
        <v>80.099999999999994</v>
      </c>
      <c r="D14086" s="691">
        <v>79.900000000000006</v>
      </c>
      <c r="E14086" s="691">
        <v>80.099999999999994</v>
      </c>
      <c r="F14086" s="691">
        <v>80.099999999999994</v>
      </c>
      <c r="G14086" s="691">
        <v>80.5</v>
      </c>
      <c r="H14086" s="691">
        <v>80.400000000000006</v>
      </c>
      <c r="I14086" s="691">
        <v>80.099999999999994</v>
      </c>
      <c r="J14086" s="691">
        <v>79.2</v>
      </c>
      <c r="K14086" s="691">
        <v>79.7</v>
      </c>
    </row>
    <row r="14087" spans="1:11">
      <c r="A14087" s="688" t="s">
        <v>27</v>
      </c>
      <c r="B14087" s="689">
        <v>82.3</v>
      </c>
      <c r="C14087" s="689">
        <v>81.900000000000006</v>
      </c>
      <c r="D14087" s="689">
        <v>81.599999999999994</v>
      </c>
      <c r="E14087" s="693">
        <v>82</v>
      </c>
      <c r="F14087" s="689">
        <v>81.900000000000006</v>
      </c>
      <c r="G14087" s="689">
        <v>82.1</v>
      </c>
      <c r="H14087" s="689">
        <v>82.4</v>
      </c>
      <c r="I14087" s="689">
        <v>81.2</v>
      </c>
      <c r="J14087" s="693">
        <v>82</v>
      </c>
      <c r="K14087" s="689">
        <v>81.900000000000006</v>
      </c>
    </row>
    <row r="14088" spans="1:11">
      <c r="A14088" s="688" t="s">
        <v>6</v>
      </c>
      <c r="B14088" s="691">
        <v>81.900000000000006</v>
      </c>
      <c r="C14088" s="691">
        <v>81.7</v>
      </c>
      <c r="D14088" s="691">
        <v>81.400000000000006</v>
      </c>
      <c r="E14088" s="691">
        <v>81.7</v>
      </c>
      <c r="F14088" s="691">
        <v>81.7</v>
      </c>
      <c r="G14088" s="691">
        <v>81.8</v>
      </c>
      <c r="H14088" s="691">
        <v>81.900000000000006</v>
      </c>
      <c r="I14088" s="691">
        <v>81.400000000000006</v>
      </c>
      <c r="J14088" s="691">
        <v>81.599999999999994</v>
      </c>
      <c r="K14088" s="691">
        <v>81.5</v>
      </c>
    </row>
    <row r="14089" spans="1:11">
      <c r="A14089" s="688" t="s">
        <v>4058</v>
      </c>
      <c r="B14089" s="690" t="s">
        <v>4060</v>
      </c>
      <c r="C14089" s="690" t="s">
        <v>4060</v>
      </c>
      <c r="D14089" s="690" t="s">
        <v>4060</v>
      </c>
      <c r="E14089" s="690" t="s">
        <v>4060</v>
      </c>
      <c r="F14089" s="690" t="s">
        <v>4060</v>
      </c>
      <c r="G14089" s="690" t="s">
        <v>4060</v>
      </c>
      <c r="H14089" s="690" t="s">
        <v>4060</v>
      </c>
      <c r="I14089" s="690" t="s">
        <v>4060</v>
      </c>
      <c r="J14089" s="690" t="s">
        <v>4060</v>
      </c>
      <c r="K14089" s="690" t="s">
        <v>4060</v>
      </c>
    </row>
    <row r="14090" spans="1:11">
      <c r="A14090" s="688" t="s">
        <v>11</v>
      </c>
      <c r="B14090" s="691">
        <v>77.3</v>
      </c>
      <c r="C14090" s="691">
        <v>77.2</v>
      </c>
      <c r="D14090" s="691">
        <v>76.7</v>
      </c>
      <c r="E14090" s="691">
        <v>77.5</v>
      </c>
      <c r="F14090" s="691">
        <v>77.099999999999994</v>
      </c>
      <c r="G14090" s="691">
        <v>77.5</v>
      </c>
      <c r="H14090" s="691">
        <v>77.599999999999994</v>
      </c>
      <c r="I14090" s="615">
        <v>77</v>
      </c>
      <c r="J14090" s="691">
        <v>76.099999999999994</v>
      </c>
      <c r="K14090" s="691">
        <v>77.099999999999994</v>
      </c>
    </row>
    <row r="14091" spans="1:11">
      <c r="A14091" s="688" t="s">
        <v>10</v>
      </c>
      <c r="B14091" s="689">
        <v>81.5</v>
      </c>
      <c r="C14091" s="689">
        <v>81.3</v>
      </c>
      <c r="D14091" s="689">
        <v>80.8</v>
      </c>
      <c r="E14091" s="689">
        <v>81.400000000000006</v>
      </c>
      <c r="F14091" s="689">
        <v>81.2</v>
      </c>
      <c r="G14091" s="689">
        <v>81.5</v>
      </c>
      <c r="H14091" s="689">
        <v>81.7</v>
      </c>
      <c r="I14091" s="689">
        <v>80.7</v>
      </c>
      <c r="J14091" s="693">
        <v>81</v>
      </c>
      <c r="K14091" s="693">
        <v>81</v>
      </c>
    </row>
    <row r="14092" spans="1:11">
      <c r="A14092" s="688" t="s">
        <v>30</v>
      </c>
      <c r="B14092" s="615">
        <v>81</v>
      </c>
      <c r="C14092" s="691">
        <v>80.3</v>
      </c>
      <c r="D14092" s="615">
        <v>80</v>
      </c>
      <c r="E14092" s="691">
        <v>81.099999999999994</v>
      </c>
      <c r="F14092" s="691">
        <v>80.5</v>
      </c>
      <c r="G14092" s="615">
        <v>81</v>
      </c>
      <c r="H14092" s="691">
        <v>80.8</v>
      </c>
      <c r="I14092" s="691">
        <v>80.8</v>
      </c>
      <c r="J14092" s="615">
        <v>80</v>
      </c>
      <c r="K14092" s="691">
        <v>80.3</v>
      </c>
    </row>
    <row r="14093" spans="1:11">
      <c r="A14093" s="688" t="s">
        <v>12</v>
      </c>
      <c r="B14093" s="689">
        <v>75.3</v>
      </c>
      <c r="C14093" s="689">
        <v>75.599999999999994</v>
      </c>
      <c r="D14093" s="689">
        <v>75.599999999999994</v>
      </c>
      <c r="E14093" s="689">
        <v>75.8</v>
      </c>
      <c r="F14093" s="689">
        <v>75.900000000000006</v>
      </c>
      <c r="G14093" s="689">
        <v>75.900000000000006</v>
      </c>
      <c r="H14093" s="689">
        <v>76.3</v>
      </c>
      <c r="I14093" s="689">
        <v>76.2</v>
      </c>
      <c r="J14093" s="689">
        <v>74.2</v>
      </c>
      <c r="K14093" s="689">
        <v>75.7</v>
      </c>
    </row>
    <row r="14094" spans="1:11">
      <c r="A14094" s="688" t="s">
        <v>14</v>
      </c>
      <c r="B14094" s="691">
        <v>75.8</v>
      </c>
      <c r="C14094" s="691">
        <v>76.2</v>
      </c>
      <c r="D14094" s="691">
        <v>75.900000000000006</v>
      </c>
      <c r="E14094" s="691">
        <v>76.3</v>
      </c>
      <c r="F14094" s="691">
        <v>76.5</v>
      </c>
      <c r="G14094" s="691">
        <v>76.8</v>
      </c>
      <c r="H14094" s="691">
        <v>77.2</v>
      </c>
      <c r="I14094" s="691">
        <v>76.2</v>
      </c>
      <c r="J14094" s="691">
        <v>75.099999999999994</v>
      </c>
      <c r="K14094" s="691">
        <v>76.400000000000006</v>
      </c>
    </row>
    <row r="14095" spans="1:11">
      <c r="A14095" s="688" t="s">
        <v>15</v>
      </c>
      <c r="B14095" s="689">
        <v>80.2</v>
      </c>
      <c r="C14095" s="689">
        <v>80.8</v>
      </c>
      <c r="D14095" s="689">
        <v>80.3</v>
      </c>
      <c r="E14095" s="693">
        <v>81</v>
      </c>
      <c r="F14095" s="689">
        <v>80.2</v>
      </c>
      <c r="G14095" s="689">
        <v>80.7</v>
      </c>
      <c r="H14095" s="689">
        <v>81.099999999999994</v>
      </c>
      <c r="I14095" s="689">
        <v>80.8</v>
      </c>
      <c r="J14095" s="693">
        <v>81</v>
      </c>
      <c r="K14095" s="689">
        <v>81.2</v>
      </c>
    </row>
    <row r="14096" spans="1:11">
      <c r="A14096" s="688" t="s">
        <v>29</v>
      </c>
      <c r="B14096" s="691">
        <v>75.5</v>
      </c>
      <c r="C14096" s="691">
        <v>75.5</v>
      </c>
      <c r="D14096" s="691">
        <v>75.2</v>
      </c>
      <c r="E14096" s="691">
        <v>75.8</v>
      </c>
      <c r="F14096" s="691">
        <v>75.400000000000006</v>
      </c>
      <c r="G14096" s="691">
        <v>75.7</v>
      </c>
      <c r="H14096" s="691">
        <v>75.8</v>
      </c>
      <c r="I14096" s="691">
        <v>75.099999999999994</v>
      </c>
      <c r="J14096" s="691">
        <v>73.8</v>
      </c>
      <c r="K14096" s="691">
        <v>75.5</v>
      </c>
    </row>
    <row r="14097" spans="1:11">
      <c r="A14097" s="688" t="s">
        <v>16</v>
      </c>
      <c r="B14097" s="689">
        <v>80.599999999999994</v>
      </c>
      <c r="C14097" s="689">
        <v>80.400000000000006</v>
      </c>
      <c r="D14097" s="689">
        <v>80.2</v>
      </c>
      <c r="E14097" s="689">
        <v>80.400000000000006</v>
      </c>
      <c r="F14097" s="689">
        <v>80.599999999999994</v>
      </c>
      <c r="G14097" s="689">
        <v>80.400000000000006</v>
      </c>
      <c r="H14097" s="689">
        <v>80.8</v>
      </c>
      <c r="I14097" s="689">
        <v>80.5</v>
      </c>
      <c r="J14097" s="689">
        <v>80.2</v>
      </c>
      <c r="K14097" s="689">
        <v>80.599999999999994</v>
      </c>
    </row>
    <row r="14098" spans="1:11">
      <c r="A14098" s="688" t="s">
        <v>17</v>
      </c>
      <c r="B14098" s="691">
        <v>79.5</v>
      </c>
      <c r="C14098" s="691">
        <v>79.599999999999994</v>
      </c>
      <c r="D14098" s="691">
        <v>79.400000000000006</v>
      </c>
      <c r="E14098" s="691">
        <v>79.400000000000006</v>
      </c>
      <c r="F14098" s="691">
        <v>79.599999999999994</v>
      </c>
      <c r="G14098" s="691">
        <v>79.599999999999994</v>
      </c>
      <c r="H14098" s="691">
        <v>79.900000000000006</v>
      </c>
      <c r="I14098" s="691">
        <v>79.400000000000006</v>
      </c>
      <c r="J14098" s="691">
        <v>79.3</v>
      </c>
      <c r="K14098" s="691">
        <v>79.400000000000006</v>
      </c>
    </row>
    <row r="14099" spans="1:11">
      <c r="A14099" s="688" t="s">
        <v>19</v>
      </c>
      <c r="B14099" s="689">
        <v>80.099999999999994</v>
      </c>
      <c r="C14099" s="693">
        <v>80</v>
      </c>
      <c r="D14099" s="689">
        <v>79.900000000000006</v>
      </c>
      <c r="E14099" s="689">
        <v>80.2</v>
      </c>
      <c r="F14099" s="689">
        <v>80.2</v>
      </c>
      <c r="G14099" s="689">
        <v>80.3</v>
      </c>
      <c r="H14099" s="689">
        <v>80.5</v>
      </c>
      <c r="I14099" s="693">
        <v>80</v>
      </c>
      <c r="J14099" s="693">
        <v>80</v>
      </c>
      <c r="K14099" s="693">
        <v>80</v>
      </c>
    </row>
    <row r="14100" spans="1:11">
      <c r="A14100" s="688" t="s">
        <v>20</v>
      </c>
      <c r="B14100" s="691">
        <v>77.599999999999994</v>
      </c>
      <c r="C14100" s="691">
        <v>77.8</v>
      </c>
      <c r="D14100" s="691">
        <v>77.599999999999994</v>
      </c>
      <c r="E14100" s="615">
        <v>78</v>
      </c>
      <c r="F14100" s="691">
        <v>77.900000000000006</v>
      </c>
      <c r="G14100" s="691">
        <v>77.8</v>
      </c>
      <c r="H14100" s="691">
        <v>78.099999999999994</v>
      </c>
      <c r="I14100" s="691">
        <v>76.900000000000006</v>
      </c>
      <c r="J14100" s="691">
        <v>75.8</v>
      </c>
      <c r="K14100" s="691">
        <v>77.3</v>
      </c>
    </row>
    <row r="14101" spans="1:11">
      <c r="A14101" s="688" t="s">
        <v>21</v>
      </c>
      <c r="B14101" s="689">
        <v>80.3</v>
      </c>
      <c r="C14101" s="689">
        <v>80.599999999999994</v>
      </c>
      <c r="D14101" s="689">
        <v>80.5</v>
      </c>
      <c r="E14101" s="689">
        <v>80.599999999999994</v>
      </c>
      <c r="F14101" s="689">
        <v>80.8</v>
      </c>
      <c r="G14101" s="689">
        <v>80.8</v>
      </c>
      <c r="H14101" s="693">
        <v>81</v>
      </c>
      <c r="I14101" s="689">
        <v>80.400000000000006</v>
      </c>
      <c r="J14101" s="689">
        <v>80.5</v>
      </c>
      <c r="K14101" s="689">
        <v>80.7</v>
      </c>
    </row>
    <row r="14102" spans="1:11">
      <c r="A14102" s="688" t="s">
        <v>22</v>
      </c>
      <c r="B14102" s="691">
        <v>75.400000000000006</v>
      </c>
      <c r="C14102" s="691">
        <v>75.2</v>
      </c>
      <c r="D14102" s="691">
        <v>75.2</v>
      </c>
      <c r="E14102" s="691">
        <v>75.5</v>
      </c>
      <c r="F14102" s="691">
        <v>75.5</v>
      </c>
      <c r="G14102" s="691">
        <v>75.599999999999994</v>
      </c>
      <c r="H14102" s="691">
        <v>75.900000000000006</v>
      </c>
      <c r="I14102" s="691">
        <v>74.7</v>
      </c>
      <c r="J14102" s="691">
        <v>73.099999999999994</v>
      </c>
      <c r="K14102" s="691">
        <v>75.5</v>
      </c>
    </row>
    <row r="14103" spans="1:11">
      <c r="A14103" s="688" t="s">
        <v>26</v>
      </c>
      <c r="B14103" s="689">
        <v>79.900000000000006</v>
      </c>
      <c r="C14103" s="689">
        <v>79.900000000000006</v>
      </c>
      <c r="D14103" s="689">
        <v>79.7</v>
      </c>
      <c r="E14103" s="689">
        <v>80.099999999999994</v>
      </c>
      <c r="F14103" s="689">
        <v>79.900000000000006</v>
      </c>
      <c r="G14103" s="689">
        <v>80.2</v>
      </c>
      <c r="H14103" s="689">
        <v>80.400000000000006</v>
      </c>
      <c r="I14103" s="689">
        <v>79.5</v>
      </c>
      <c r="J14103" s="689">
        <v>79.8</v>
      </c>
      <c r="K14103" s="689">
        <v>80.099999999999994</v>
      </c>
    </row>
    <row r="14104" spans="1:11">
      <c r="A14104" s="688" t="s">
        <v>25</v>
      </c>
      <c r="B14104" s="691">
        <v>76.599999999999994</v>
      </c>
      <c r="C14104" s="691">
        <v>76.900000000000006</v>
      </c>
      <c r="D14104" s="691">
        <v>76.599999999999994</v>
      </c>
      <c r="E14104" s="615">
        <v>77</v>
      </c>
      <c r="F14104" s="615">
        <v>77</v>
      </c>
      <c r="G14104" s="691">
        <v>77.099999999999994</v>
      </c>
      <c r="H14104" s="691">
        <v>77.5</v>
      </c>
      <c r="I14104" s="691">
        <v>76.8</v>
      </c>
      <c r="J14104" s="691">
        <v>74.599999999999994</v>
      </c>
      <c r="K14104" s="691">
        <v>76.8</v>
      </c>
    </row>
    <row r="14105" spans="1:11">
      <c r="A14105" s="688" t="s">
        <v>5</v>
      </c>
      <c r="B14105" s="689">
        <v>80.3</v>
      </c>
      <c r="C14105" s="689">
        <v>80.099999999999994</v>
      </c>
      <c r="D14105" s="689">
        <v>80.3</v>
      </c>
      <c r="E14105" s="689">
        <v>80.3</v>
      </c>
      <c r="F14105" s="689">
        <v>80.400000000000006</v>
      </c>
      <c r="G14105" s="689">
        <v>80.5</v>
      </c>
      <c r="H14105" s="689">
        <v>80.7</v>
      </c>
      <c r="I14105" s="689">
        <v>80.8</v>
      </c>
      <c r="J14105" s="689">
        <v>80.7</v>
      </c>
      <c r="K14105" s="693">
        <v>80</v>
      </c>
    </row>
    <row r="14106" spans="1:11">
      <c r="A14106" s="688" t="s">
        <v>23</v>
      </c>
      <c r="B14106" s="615">
        <v>80</v>
      </c>
      <c r="C14106" s="691">
        <v>80.2</v>
      </c>
      <c r="D14106" s="691">
        <v>80.2</v>
      </c>
      <c r="E14106" s="691">
        <v>80.3</v>
      </c>
      <c r="F14106" s="691">
        <v>80.3</v>
      </c>
      <c r="G14106" s="691">
        <v>80.5</v>
      </c>
      <c r="H14106" s="691">
        <v>80.900000000000006</v>
      </c>
      <c r="I14106" s="691">
        <v>80.5</v>
      </c>
      <c r="J14106" s="615">
        <v>81</v>
      </c>
      <c r="K14106" s="691">
        <v>80.900000000000006</v>
      </c>
    </row>
    <row r="14107" spans="1:11">
      <c r="A14107" s="688" t="s">
        <v>4067</v>
      </c>
      <c r="B14107" s="689">
        <v>79.599999999999994</v>
      </c>
      <c r="C14107" s="693">
        <v>80</v>
      </c>
      <c r="D14107" s="689">
        <v>79.599999999999994</v>
      </c>
      <c r="E14107" s="693">
        <v>80</v>
      </c>
      <c r="F14107" s="689">
        <v>79.900000000000006</v>
      </c>
      <c r="G14107" s="689">
        <v>79.900000000000006</v>
      </c>
      <c r="H14107" s="690" t="s">
        <v>4060</v>
      </c>
      <c r="I14107" s="690" t="s">
        <v>4060</v>
      </c>
      <c r="J14107" s="690" t="s">
        <v>4060</v>
      </c>
      <c r="K14107" s="690" t="s">
        <v>4060</v>
      </c>
    </row>
    <row r="14108" spans="1:11">
      <c r="A14108" s="688" t="s">
        <v>4066</v>
      </c>
      <c r="B14108" s="691">
        <v>79.599999999999994</v>
      </c>
      <c r="C14108" s="615">
        <v>80</v>
      </c>
      <c r="D14108" s="691">
        <v>79.599999999999994</v>
      </c>
      <c r="E14108" s="615">
        <v>80</v>
      </c>
      <c r="F14108" s="691">
        <v>79.900000000000006</v>
      </c>
      <c r="G14108" s="615">
        <v>80</v>
      </c>
      <c r="H14108" s="692" t="s">
        <v>4060</v>
      </c>
      <c r="I14108" s="692" t="s">
        <v>4060</v>
      </c>
      <c r="J14108" s="692" t="s">
        <v>4060</v>
      </c>
      <c r="K14108" s="692" t="s">
        <v>4060</v>
      </c>
    </row>
    <row r="14109" spans="1:11">
      <c r="A14109" s="688" t="s">
        <v>4062</v>
      </c>
      <c r="B14109" s="689">
        <v>80.8</v>
      </c>
      <c r="C14109" s="693">
        <v>81</v>
      </c>
      <c r="D14109" s="689">
        <v>80.900000000000006</v>
      </c>
      <c r="E14109" s="689">
        <v>81.099999999999994</v>
      </c>
      <c r="F14109" s="689">
        <v>81.2</v>
      </c>
      <c r="G14109" s="689">
        <v>81.3</v>
      </c>
      <c r="H14109" s="689">
        <v>81.5</v>
      </c>
      <c r="I14109" s="689">
        <v>81.2</v>
      </c>
      <c r="J14109" s="689">
        <v>81.5</v>
      </c>
      <c r="K14109" s="689">
        <v>81.2</v>
      </c>
    </row>
    <row r="14110" spans="1:11">
      <c r="A14110" s="688" t="s">
        <v>9</v>
      </c>
      <c r="B14110" s="615">
        <v>80</v>
      </c>
      <c r="C14110" s="691">
        <v>80.400000000000006</v>
      </c>
      <c r="D14110" s="691">
        <v>79.8</v>
      </c>
      <c r="E14110" s="615">
        <v>80</v>
      </c>
      <c r="F14110" s="691">
        <v>80.400000000000006</v>
      </c>
      <c r="G14110" s="691">
        <v>80.400000000000006</v>
      </c>
      <c r="H14110" s="691">
        <v>80.599999999999994</v>
      </c>
      <c r="I14110" s="691">
        <v>80.5</v>
      </c>
      <c r="J14110" s="691">
        <v>80.8</v>
      </c>
      <c r="K14110" s="691">
        <v>79.8</v>
      </c>
    </row>
    <row r="14111" spans="1:11">
      <c r="A14111" s="688" t="s">
        <v>13</v>
      </c>
      <c r="B14111" s="689">
        <v>80.900000000000006</v>
      </c>
      <c r="C14111" s="689">
        <v>79.7</v>
      </c>
      <c r="D14111" s="689">
        <v>80.3</v>
      </c>
      <c r="E14111" s="689">
        <v>79.900000000000006</v>
      </c>
      <c r="F14111" s="689">
        <v>81.8</v>
      </c>
      <c r="G14111" s="689">
        <v>81.599999999999994</v>
      </c>
      <c r="H14111" s="689">
        <v>81.5</v>
      </c>
      <c r="I14111" s="689">
        <v>79.8</v>
      </c>
      <c r="J14111" s="689">
        <v>82.1</v>
      </c>
      <c r="K14111" s="689">
        <v>81.2</v>
      </c>
    </row>
    <row r="14112" spans="1:11">
      <c r="A14112" s="688" t="s">
        <v>18</v>
      </c>
      <c r="B14112" s="615">
        <v>80</v>
      </c>
      <c r="C14112" s="691">
        <v>80.3</v>
      </c>
      <c r="D14112" s="691">
        <v>80.400000000000006</v>
      </c>
      <c r="E14112" s="691">
        <v>80.400000000000006</v>
      </c>
      <c r="F14112" s="691">
        <v>80.5</v>
      </c>
      <c r="G14112" s="691">
        <v>80.7</v>
      </c>
      <c r="H14112" s="691">
        <v>80.8</v>
      </c>
      <c r="I14112" s="615">
        <v>81</v>
      </c>
      <c r="J14112" s="691">
        <v>80.900000000000006</v>
      </c>
      <c r="K14112" s="691">
        <v>80.5</v>
      </c>
    </row>
    <row r="14113" spans="1:11">
      <c r="A14113" s="688" t="s">
        <v>24</v>
      </c>
      <c r="B14113" s="689">
        <v>81.3</v>
      </c>
      <c r="C14113" s="689">
        <v>81.400000000000006</v>
      </c>
      <c r="D14113" s="689">
        <v>81.2</v>
      </c>
      <c r="E14113" s="689">
        <v>81.599999999999994</v>
      </c>
      <c r="F14113" s="689">
        <v>81.7</v>
      </c>
      <c r="G14113" s="689">
        <v>81.7</v>
      </c>
      <c r="H14113" s="689">
        <v>81.900000000000006</v>
      </c>
      <c r="I14113" s="689">
        <v>81.400000000000006</v>
      </c>
      <c r="J14113" s="689">
        <v>81.900000000000006</v>
      </c>
      <c r="K14113" s="689">
        <v>81.7</v>
      </c>
    </row>
    <row r="14114" spans="1:11">
      <c r="A14114" s="688" t="s">
        <v>4059</v>
      </c>
      <c r="B14114" s="691">
        <v>79.2</v>
      </c>
      <c r="C14114" s="691">
        <v>79.5</v>
      </c>
      <c r="D14114" s="691">
        <v>79.099999999999994</v>
      </c>
      <c r="E14114" s="691">
        <v>79.400000000000006</v>
      </c>
      <c r="F14114" s="691">
        <v>79.400000000000006</v>
      </c>
      <c r="G14114" s="691">
        <v>79.400000000000006</v>
      </c>
      <c r="H14114" s="692" t="s">
        <v>4060</v>
      </c>
      <c r="I14114" s="692" t="s">
        <v>4060</v>
      </c>
      <c r="J14114" s="692" t="s">
        <v>4060</v>
      </c>
      <c r="K14114" s="692" t="s">
        <v>4060</v>
      </c>
    </row>
    <row r="14115" spans="1:11">
      <c r="A14115" s="688" t="s">
        <v>2324</v>
      </c>
      <c r="B14115" s="689">
        <v>75.3</v>
      </c>
      <c r="C14115" s="689">
        <v>75.3</v>
      </c>
      <c r="D14115" s="689">
        <v>74.900000000000006</v>
      </c>
      <c r="E14115" s="689">
        <v>75.2</v>
      </c>
      <c r="F14115" s="689">
        <v>75.400000000000006</v>
      </c>
      <c r="G14115" s="689">
        <v>75.5</v>
      </c>
      <c r="H14115" s="689">
        <v>75.8</v>
      </c>
      <c r="I14115" s="693">
        <v>75</v>
      </c>
      <c r="J14115" s="689">
        <v>73.099999999999994</v>
      </c>
      <c r="K14115" s="690" t="s">
        <v>4060</v>
      </c>
    </row>
    <row r="14116" spans="1:11">
      <c r="A14116" s="688" t="s">
        <v>2322</v>
      </c>
      <c r="B14116" s="692" t="s">
        <v>4060</v>
      </c>
      <c r="C14116" s="692" t="s">
        <v>4060</v>
      </c>
      <c r="D14116" s="692" t="s">
        <v>4060</v>
      </c>
      <c r="E14116" s="692" t="s">
        <v>4060</v>
      </c>
      <c r="F14116" s="692" t="s">
        <v>4060</v>
      </c>
      <c r="G14116" s="692" t="s">
        <v>4060</v>
      </c>
      <c r="H14116" s="692" t="s">
        <v>4060</v>
      </c>
      <c r="I14116" s="692" t="s">
        <v>4060</v>
      </c>
      <c r="J14116" s="692" t="s">
        <v>4060</v>
      </c>
      <c r="K14116" s="692" t="s">
        <v>4060</v>
      </c>
    </row>
    <row r="14117" spans="1:11">
      <c r="A14117" s="688" t="s">
        <v>2328</v>
      </c>
      <c r="B14117" s="689">
        <v>74.400000000000006</v>
      </c>
      <c r="C14117" s="689">
        <v>74.3</v>
      </c>
      <c r="D14117" s="689">
        <v>74.099999999999994</v>
      </c>
      <c r="E14117" s="689">
        <v>74.5</v>
      </c>
      <c r="F14117" s="689">
        <v>74.7</v>
      </c>
      <c r="G14117" s="689">
        <v>75.2</v>
      </c>
      <c r="H14117" s="693">
        <v>75</v>
      </c>
      <c r="I14117" s="689">
        <v>73.2</v>
      </c>
      <c r="J14117" s="689">
        <v>71.8</v>
      </c>
      <c r="K14117" s="690" t="s">
        <v>4060</v>
      </c>
    </row>
    <row r="14118" spans="1:11">
      <c r="A14118" s="688" t="s">
        <v>2496</v>
      </c>
      <c r="B14118" s="692" t="s">
        <v>4060</v>
      </c>
      <c r="C14118" s="691">
        <v>75.099999999999994</v>
      </c>
      <c r="D14118" s="691">
        <v>74.099999999999994</v>
      </c>
      <c r="E14118" s="691">
        <v>73.900000000000006</v>
      </c>
      <c r="F14118" s="691">
        <v>74.5</v>
      </c>
      <c r="G14118" s="691">
        <v>74.900000000000006</v>
      </c>
      <c r="H14118" s="615">
        <v>75</v>
      </c>
      <c r="I14118" s="692" t="s">
        <v>4060</v>
      </c>
      <c r="J14118" s="692" t="s">
        <v>4060</v>
      </c>
      <c r="K14118" s="691">
        <v>74.8</v>
      </c>
    </row>
    <row r="14119" spans="1:11">
      <c r="A14119" s="688" t="s">
        <v>2269</v>
      </c>
      <c r="B14119" s="689">
        <v>76.8</v>
      </c>
      <c r="C14119" s="689">
        <v>76.900000000000006</v>
      </c>
      <c r="D14119" s="689">
        <v>76.3</v>
      </c>
      <c r="E14119" s="689">
        <v>76.8</v>
      </c>
      <c r="F14119" s="689">
        <v>76.8</v>
      </c>
      <c r="G14119" s="689">
        <v>77.2</v>
      </c>
      <c r="H14119" s="689">
        <v>77.5</v>
      </c>
      <c r="I14119" s="689">
        <v>76.400000000000006</v>
      </c>
      <c r="J14119" s="689">
        <v>74.3</v>
      </c>
      <c r="K14119" s="689">
        <v>77.400000000000006</v>
      </c>
    </row>
    <row r="14120" spans="1:11">
      <c r="A14120" s="688" t="s">
        <v>2349</v>
      </c>
      <c r="B14120" s="691">
        <v>74.400000000000006</v>
      </c>
      <c r="C14120" s="691">
        <v>74.400000000000006</v>
      </c>
      <c r="D14120" s="691">
        <v>74.400000000000006</v>
      </c>
      <c r="E14120" s="691">
        <v>74.7</v>
      </c>
      <c r="F14120" s="691">
        <v>74.5</v>
      </c>
      <c r="G14120" s="691">
        <v>74.8</v>
      </c>
      <c r="H14120" s="615">
        <v>75</v>
      </c>
      <c r="I14120" s="691">
        <v>73.8</v>
      </c>
      <c r="J14120" s="691">
        <v>72.099999999999994</v>
      </c>
      <c r="K14120" s="691">
        <v>74.2</v>
      </c>
    </row>
    <row r="14121" spans="1:11">
      <c r="A14121" s="688" t="s">
        <v>2355</v>
      </c>
      <c r="B14121" s="689">
        <v>78.099999999999994</v>
      </c>
      <c r="C14121" s="689">
        <v>77.900000000000006</v>
      </c>
      <c r="D14121" s="693">
        <v>78</v>
      </c>
      <c r="E14121" s="689">
        <v>77.900000000000006</v>
      </c>
      <c r="F14121" s="689">
        <v>78.099999999999994</v>
      </c>
      <c r="G14121" s="689">
        <v>78.5</v>
      </c>
      <c r="H14121" s="689">
        <v>78.599999999999994</v>
      </c>
      <c r="I14121" s="690" t="s">
        <v>4060</v>
      </c>
      <c r="J14121" s="690" t="s">
        <v>4060</v>
      </c>
      <c r="K14121" s="690" t="s">
        <v>4060</v>
      </c>
    </row>
    <row r="14122" spans="1:11">
      <c r="A14122" s="688" t="s">
        <v>2357</v>
      </c>
      <c r="B14122" s="692" t="s">
        <v>4060</v>
      </c>
      <c r="C14122" s="691">
        <v>73.3</v>
      </c>
      <c r="D14122" s="691">
        <v>73.900000000000006</v>
      </c>
      <c r="E14122" s="691">
        <v>74.2</v>
      </c>
      <c r="F14122" s="691">
        <v>74.5</v>
      </c>
      <c r="G14122" s="691">
        <v>74.599999999999994</v>
      </c>
      <c r="H14122" s="691">
        <v>74.8</v>
      </c>
      <c r="I14122" s="692" t="s">
        <v>4060</v>
      </c>
      <c r="J14122" s="692" t="s">
        <v>4060</v>
      </c>
      <c r="K14122" s="692" t="s">
        <v>4060</v>
      </c>
    </row>
    <row r="14123" spans="1:11">
      <c r="A14123" s="688" t="s">
        <v>4070</v>
      </c>
      <c r="B14123" s="690" t="s">
        <v>4060</v>
      </c>
      <c r="C14123" s="690" t="s">
        <v>4060</v>
      </c>
      <c r="D14123" s="690" t="s">
        <v>4060</v>
      </c>
      <c r="E14123" s="689">
        <v>78.099999999999994</v>
      </c>
      <c r="F14123" s="690" t="s">
        <v>4060</v>
      </c>
      <c r="G14123" s="690" t="s">
        <v>4060</v>
      </c>
      <c r="H14123" s="690" t="s">
        <v>4060</v>
      </c>
      <c r="I14123" s="690" t="s">
        <v>4060</v>
      </c>
      <c r="J14123" s="690" t="s">
        <v>4060</v>
      </c>
      <c r="K14123" s="690" t="s">
        <v>4060</v>
      </c>
    </row>
    <row r="14124" spans="1:11">
      <c r="A14124" s="688" t="s">
        <v>2491</v>
      </c>
      <c r="B14124" s="691">
        <v>74.3</v>
      </c>
      <c r="C14124" s="691">
        <v>74.900000000000006</v>
      </c>
      <c r="D14124" s="691">
        <v>75.3</v>
      </c>
      <c r="E14124" s="691">
        <v>75.400000000000006</v>
      </c>
      <c r="F14124" s="691">
        <v>75.599999999999994</v>
      </c>
      <c r="G14124" s="691">
        <v>75.7</v>
      </c>
      <c r="H14124" s="692" t="s">
        <v>4060</v>
      </c>
      <c r="I14124" s="692" t="s">
        <v>4060</v>
      </c>
      <c r="J14124" s="692" t="s">
        <v>4060</v>
      </c>
      <c r="K14124" s="692" t="s">
        <v>4060</v>
      </c>
    </row>
    <row r="14125" spans="1:11">
      <c r="A14125" s="688" t="s">
        <v>2343</v>
      </c>
      <c r="B14125" s="690" t="s">
        <v>4060</v>
      </c>
      <c r="C14125" s="690" t="s">
        <v>4060</v>
      </c>
      <c r="D14125" s="690" t="s">
        <v>4060</v>
      </c>
      <c r="E14125" s="690" t="s">
        <v>4060</v>
      </c>
      <c r="F14125" s="690" t="s">
        <v>4060</v>
      </c>
      <c r="G14125" s="690" t="s">
        <v>4060</v>
      </c>
      <c r="H14125" s="690" t="s">
        <v>4060</v>
      </c>
      <c r="I14125" s="690" t="s">
        <v>4060</v>
      </c>
      <c r="J14125" s="690" t="s">
        <v>4060</v>
      </c>
      <c r="K14125" s="690" t="s">
        <v>4060</v>
      </c>
    </row>
    <row r="14126" spans="1:11">
      <c r="A14126" s="688" t="s">
        <v>4071</v>
      </c>
      <c r="B14126" s="692" t="s">
        <v>4060</v>
      </c>
      <c r="C14126" s="692" t="s">
        <v>4060</v>
      </c>
      <c r="D14126" s="692" t="s">
        <v>4060</v>
      </c>
      <c r="E14126" s="692" t="s">
        <v>4060</v>
      </c>
      <c r="F14126" s="692" t="s">
        <v>4060</v>
      </c>
      <c r="G14126" s="692" t="s">
        <v>4060</v>
      </c>
      <c r="H14126" s="692" t="s">
        <v>4060</v>
      </c>
      <c r="I14126" s="692" t="s">
        <v>4060</v>
      </c>
      <c r="J14126" s="692" t="s">
        <v>4060</v>
      </c>
      <c r="K14126" s="692" t="s">
        <v>4060</v>
      </c>
    </row>
    <row r="14127" spans="1:11">
      <c r="A14127" s="688" t="s">
        <v>2489</v>
      </c>
      <c r="B14127" s="690" t="s">
        <v>4060</v>
      </c>
      <c r="C14127" s="690" t="s">
        <v>4060</v>
      </c>
      <c r="D14127" s="689">
        <v>74.900000000000006</v>
      </c>
      <c r="E14127" s="689">
        <v>75.099999999999994</v>
      </c>
      <c r="F14127" s="689">
        <v>75.599999999999994</v>
      </c>
      <c r="G14127" s="689">
        <v>76.3</v>
      </c>
      <c r="H14127" s="689">
        <v>76.3</v>
      </c>
      <c r="I14127" s="690" t="s">
        <v>4060</v>
      </c>
      <c r="J14127" s="690" t="s">
        <v>4060</v>
      </c>
      <c r="K14127" s="690" t="s">
        <v>4060</v>
      </c>
    </row>
    <row r="14128" spans="1:11">
      <c r="A14128" s="688" t="s">
        <v>2490</v>
      </c>
      <c r="B14128" s="691">
        <v>74.099999999999994</v>
      </c>
      <c r="C14128" s="691">
        <v>74.099999999999994</v>
      </c>
      <c r="D14128" s="691">
        <v>74.599999999999994</v>
      </c>
      <c r="E14128" s="692" t="s">
        <v>4060</v>
      </c>
      <c r="F14128" s="691">
        <v>74.8</v>
      </c>
      <c r="G14128" s="691">
        <v>75.2</v>
      </c>
      <c r="H14128" s="691">
        <v>75.8</v>
      </c>
      <c r="I14128" s="692" t="s">
        <v>4060</v>
      </c>
      <c r="J14128" s="692" t="s">
        <v>4060</v>
      </c>
      <c r="K14128" s="692" t="s">
        <v>4060</v>
      </c>
    </row>
    <row r="14130" spans="1:11">
      <c r="A14130" s="683" t="s">
        <v>4233</v>
      </c>
    </row>
    <row r="14131" spans="1:11">
      <c r="A14131" s="683" t="s">
        <v>4060</v>
      </c>
      <c r="B14131" s="682" t="s">
        <v>4234</v>
      </c>
    </row>
    <row r="14133" spans="1:11">
      <c r="A14133" s="682" t="s">
        <v>4332</v>
      </c>
    </row>
    <row r="14134" spans="1:11">
      <c r="A14134" s="682" t="s">
        <v>4210</v>
      </c>
      <c r="B14134" s="683" t="s">
        <v>4211</v>
      </c>
    </row>
    <row r="14135" spans="1:11">
      <c r="A14135" s="682" t="s">
        <v>4212</v>
      </c>
      <c r="B14135" s="682" t="s">
        <v>4213</v>
      </c>
    </row>
    <row r="14137" spans="1:11">
      <c r="A14137" s="683" t="s">
        <v>4214</v>
      </c>
      <c r="C14137" s="682" t="s">
        <v>4215</v>
      </c>
    </row>
    <row r="14138" spans="1:11">
      <c r="A14138" s="683" t="s">
        <v>4216</v>
      </c>
      <c r="C14138" s="682" t="s">
        <v>2967</v>
      </c>
    </row>
    <row r="14139" spans="1:11">
      <c r="A14139" s="683" t="s">
        <v>3893</v>
      </c>
      <c r="C14139" s="682" t="s">
        <v>2169</v>
      </c>
    </row>
    <row r="14140" spans="1:11">
      <c r="A14140" s="683" t="s">
        <v>4218</v>
      </c>
      <c r="C14140" s="682" t="s">
        <v>4239</v>
      </c>
    </row>
    <row r="14142" spans="1:11">
      <c r="A14142" s="684" t="s">
        <v>4220</v>
      </c>
      <c r="B14142" s="685" t="s">
        <v>4221</v>
      </c>
      <c r="C14142" s="685" t="s">
        <v>4222</v>
      </c>
      <c r="D14142" s="685" t="s">
        <v>4223</v>
      </c>
      <c r="E14142" s="685" t="s">
        <v>4224</v>
      </c>
      <c r="F14142" s="685" t="s">
        <v>4225</v>
      </c>
      <c r="G14142" s="685" t="s">
        <v>4226</v>
      </c>
      <c r="H14142" s="685" t="s">
        <v>4227</v>
      </c>
      <c r="I14142" s="685" t="s">
        <v>4228</v>
      </c>
      <c r="J14142" s="685" t="s">
        <v>4229</v>
      </c>
      <c r="K14142" s="685" t="s">
        <v>4230</v>
      </c>
    </row>
    <row r="14143" spans="1:11">
      <c r="A14143" s="686" t="s">
        <v>4231</v>
      </c>
      <c r="B14143" s="687" t="s">
        <v>4232</v>
      </c>
      <c r="C14143" s="687" t="s">
        <v>4232</v>
      </c>
      <c r="D14143" s="687" t="s">
        <v>4232</v>
      </c>
      <c r="E14143" s="687" t="s">
        <v>4232</v>
      </c>
      <c r="F14143" s="687" t="s">
        <v>4232</v>
      </c>
      <c r="G14143" s="687" t="s">
        <v>4232</v>
      </c>
      <c r="H14143" s="687" t="s">
        <v>4232</v>
      </c>
      <c r="I14143" s="687" t="s">
        <v>4232</v>
      </c>
      <c r="J14143" s="687" t="s">
        <v>4232</v>
      </c>
      <c r="K14143" s="687" t="s">
        <v>4232</v>
      </c>
    </row>
    <row r="14144" spans="1:11">
      <c r="A14144" s="688" t="s">
        <v>4064</v>
      </c>
      <c r="B14144" s="691">
        <v>78.7</v>
      </c>
      <c r="C14144" s="691">
        <v>78.7</v>
      </c>
      <c r="D14144" s="691">
        <v>78.599999999999994</v>
      </c>
      <c r="E14144" s="691">
        <v>78.8</v>
      </c>
      <c r="F14144" s="691">
        <v>78.7</v>
      </c>
      <c r="G14144" s="691">
        <v>78.8</v>
      </c>
      <c r="H14144" s="691">
        <v>79.099999999999994</v>
      </c>
      <c r="I14144" s="691">
        <v>78.400000000000006</v>
      </c>
      <c r="J14144" s="691">
        <v>78.099999999999994</v>
      </c>
      <c r="K14144" s="691">
        <v>78.5</v>
      </c>
    </row>
    <row r="14145" spans="1:11">
      <c r="A14145" s="688" t="s">
        <v>4065</v>
      </c>
      <c r="B14145" s="689">
        <v>78.599999999999994</v>
      </c>
      <c r="C14145" s="693">
        <v>79</v>
      </c>
      <c r="D14145" s="689">
        <v>78.599999999999994</v>
      </c>
      <c r="E14145" s="693">
        <v>79</v>
      </c>
      <c r="F14145" s="689">
        <v>78.900000000000006</v>
      </c>
      <c r="G14145" s="689">
        <v>78.900000000000006</v>
      </c>
      <c r="H14145" s="690" t="s">
        <v>4060</v>
      </c>
      <c r="I14145" s="690" t="s">
        <v>4060</v>
      </c>
      <c r="J14145" s="690" t="s">
        <v>4060</v>
      </c>
      <c r="K14145" s="690" t="s">
        <v>4060</v>
      </c>
    </row>
    <row r="14146" spans="1:11">
      <c r="A14146" s="688" t="s">
        <v>4063</v>
      </c>
      <c r="B14146" s="691">
        <v>78.599999999999994</v>
      </c>
      <c r="C14146" s="615">
        <v>79</v>
      </c>
      <c r="D14146" s="691">
        <v>78.599999999999994</v>
      </c>
      <c r="E14146" s="615">
        <v>79</v>
      </c>
      <c r="F14146" s="691">
        <v>78.900000000000006</v>
      </c>
      <c r="G14146" s="615">
        <v>79</v>
      </c>
      <c r="H14146" s="692" t="s">
        <v>4060</v>
      </c>
      <c r="I14146" s="692" t="s">
        <v>4060</v>
      </c>
      <c r="J14146" s="692" t="s">
        <v>4060</v>
      </c>
      <c r="K14146" s="692" t="s">
        <v>4060</v>
      </c>
    </row>
    <row r="14147" spans="1:11">
      <c r="A14147" s="688" t="s">
        <v>4069</v>
      </c>
      <c r="B14147" s="690" t="s">
        <v>4060</v>
      </c>
      <c r="C14147" s="689">
        <v>79.5</v>
      </c>
      <c r="D14147" s="689">
        <v>79.2</v>
      </c>
      <c r="E14147" s="689">
        <v>79.599999999999994</v>
      </c>
      <c r="F14147" s="689">
        <v>79.5</v>
      </c>
      <c r="G14147" s="689">
        <v>79.599999999999994</v>
      </c>
      <c r="H14147" s="689">
        <v>79.900000000000006</v>
      </c>
      <c r="I14147" s="689">
        <v>79.3</v>
      </c>
      <c r="J14147" s="689">
        <v>79.3</v>
      </c>
      <c r="K14147" s="689">
        <v>79.3</v>
      </c>
    </row>
    <row r="14148" spans="1:11">
      <c r="A14148" s="688" t="s">
        <v>4068</v>
      </c>
      <c r="B14148" s="691">
        <v>79.599999999999994</v>
      </c>
      <c r="C14148" s="692" t="s">
        <v>4060</v>
      </c>
      <c r="D14148" s="692" t="s">
        <v>4060</v>
      </c>
      <c r="E14148" s="692" t="s">
        <v>4060</v>
      </c>
      <c r="F14148" s="692" t="s">
        <v>4060</v>
      </c>
      <c r="G14148" s="692" t="s">
        <v>4060</v>
      </c>
      <c r="H14148" s="692" t="s">
        <v>4060</v>
      </c>
      <c r="I14148" s="692" t="s">
        <v>4060</v>
      </c>
      <c r="J14148" s="692" t="s">
        <v>4060</v>
      </c>
      <c r="K14148" s="692" t="s">
        <v>4060</v>
      </c>
    </row>
    <row r="14149" spans="1:11">
      <c r="A14149" s="688" t="s">
        <v>0</v>
      </c>
      <c r="B14149" s="689">
        <v>78.5</v>
      </c>
      <c r="C14149" s="689">
        <v>78.8</v>
      </c>
      <c r="D14149" s="689">
        <v>78.5</v>
      </c>
      <c r="E14149" s="693">
        <v>79</v>
      </c>
      <c r="F14149" s="693">
        <v>79</v>
      </c>
      <c r="G14149" s="693">
        <v>79</v>
      </c>
      <c r="H14149" s="689">
        <v>79.3</v>
      </c>
      <c r="I14149" s="689">
        <v>78.400000000000006</v>
      </c>
      <c r="J14149" s="689">
        <v>79.3</v>
      </c>
      <c r="K14149" s="689">
        <v>79.099999999999994</v>
      </c>
    </row>
    <row r="14150" spans="1:11">
      <c r="A14150" s="688" t="s">
        <v>1</v>
      </c>
      <c r="B14150" s="691">
        <v>74.2</v>
      </c>
      <c r="C14150" s="691">
        <v>73.599999999999994</v>
      </c>
      <c r="D14150" s="691">
        <v>73.599999999999994</v>
      </c>
      <c r="E14150" s="691">
        <v>73.900000000000006</v>
      </c>
      <c r="F14150" s="691">
        <v>73.8</v>
      </c>
      <c r="G14150" s="691">
        <v>73.900000000000006</v>
      </c>
      <c r="H14150" s="691">
        <v>74.099999999999994</v>
      </c>
      <c r="I14150" s="691">
        <v>72.7</v>
      </c>
      <c r="J14150" s="691">
        <v>70.5</v>
      </c>
      <c r="K14150" s="691">
        <v>73.3</v>
      </c>
    </row>
    <row r="14151" spans="1:11">
      <c r="A14151" s="688" t="s">
        <v>2240</v>
      </c>
      <c r="B14151" s="689">
        <v>76.599999999999994</v>
      </c>
      <c r="C14151" s="689">
        <v>76.900000000000006</v>
      </c>
      <c r="D14151" s="689">
        <v>76.7</v>
      </c>
      <c r="E14151" s="689">
        <v>77.099999999999994</v>
      </c>
      <c r="F14151" s="689">
        <v>77.099999999999994</v>
      </c>
      <c r="G14151" s="689">
        <v>77.099999999999994</v>
      </c>
      <c r="H14151" s="689">
        <v>77.3</v>
      </c>
      <c r="I14151" s="689">
        <v>76.5</v>
      </c>
      <c r="J14151" s="689">
        <v>75.7</v>
      </c>
      <c r="K14151" s="689">
        <v>77.099999999999994</v>
      </c>
    </row>
    <row r="14152" spans="1:11">
      <c r="A14152" s="688" t="s">
        <v>2</v>
      </c>
      <c r="B14152" s="691">
        <v>77.7</v>
      </c>
      <c r="C14152" s="615">
        <v>78</v>
      </c>
      <c r="D14152" s="615">
        <v>78</v>
      </c>
      <c r="E14152" s="615">
        <v>78</v>
      </c>
      <c r="F14152" s="691">
        <v>78.400000000000006</v>
      </c>
      <c r="G14152" s="691">
        <v>78.2</v>
      </c>
      <c r="H14152" s="691">
        <v>78.599999999999994</v>
      </c>
      <c r="I14152" s="691">
        <v>78.8</v>
      </c>
      <c r="J14152" s="691">
        <v>78.599999999999994</v>
      </c>
      <c r="K14152" s="691">
        <v>78.5</v>
      </c>
    </row>
    <row r="14153" spans="1:11">
      <c r="A14153" s="688" t="s">
        <v>3</v>
      </c>
      <c r="B14153" s="689">
        <v>78.3</v>
      </c>
      <c r="C14153" s="689">
        <v>78.599999999999994</v>
      </c>
      <c r="D14153" s="689">
        <v>78.3</v>
      </c>
      <c r="E14153" s="689">
        <v>78.599999999999994</v>
      </c>
      <c r="F14153" s="689">
        <v>78.599999999999994</v>
      </c>
      <c r="G14153" s="689">
        <v>78.5</v>
      </c>
      <c r="H14153" s="689">
        <v>78.8</v>
      </c>
      <c r="I14153" s="689">
        <v>78.7</v>
      </c>
      <c r="J14153" s="689">
        <v>78.5</v>
      </c>
      <c r="K14153" s="689">
        <v>78.2</v>
      </c>
    </row>
    <row r="14154" spans="1:11">
      <c r="A14154" s="688" t="s">
        <v>4061</v>
      </c>
      <c r="B14154" s="691">
        <v>78.3</v>
      </c>
      <c r="C14154" s="691">
        <v>78.599999999999994</v>
      </c>
      <c r="D14154" s="691">
        <v>78.3</v>
      </c>
      <c r="E14154" s="691">
        <v>78.599999999999994</v>
      </c>
      <c r="F14154" s="691">
        <v>78.599999999999994</v>
      </c>
      <c r="G14154" s="691">
        <v>78.5</v>
      </c>
      <c r="H14154" s="691">
        <v>78.8</v>
      </c>
      <c r="I14154" s="691">
        <v>78.7</v>
      </c>
      <c r="J14154" s="691">
        <v>78.5</v>
      </c>
      <c r="K14154" s="691">
        <v>78.2</v>
      </c>
    </row>
    <row r="14155" spans="1:11">
      <c r="A14155" s="688" t="s">
        <v>4</v>
      </c>
      <c r="B14155" s="693">
        <v>77</v>
      </c>
      <c r="C14155" s="689">
        <v>76.8</v>
      </c>
      <c r="D14155" s="689">
        <v>77.099999999999994</v>
      </c>
      <c r="E14155" s="689">
        <v>77.099999999999994</v>
      </c>
      <c r="F14155" s="689">
        <v>77.5</v>
      </c>
      <c r="G14155" s="689">
        <v>77.599999999999994</v>
      </c>
      <c r="H14155" s="689">
        <v>77.900000000000006</v>
      </c>
      <c r="I14155" s="689">
        <v>77.900000000000006</v>
      </c>
      <c r="J14155" s="689">
        <v>76.5</v>
      </c>
      <c r="K14155" s="689">
        <v>77.400000000000006</v>
      </c>
    </row>
    <row r="14156" spans="1:11">
      <c r="A14156" s="688" t="s">
        <v>8</v>
      </c>
      <c r="B14156" s="691">
        <v>78.400000000000006</v>
      </c>
      <c r="C14156" s="691">
        <v>78.599999999999994</v>
      </c>
      <c r="D14156" s="691">
        <v>78.599999999999994</v>
      </c>
      <c r="E14156" s="691">
        <v>78.7</v>
      </c>
      <c r="F14156" s="691">
        <v>79.099999999999994</v>
      </c>
      <c r="G14156" s="691">
        <v>79.099999999999994</v>
      </c>
      <c r="H14156" s="691">
        <v>79.599999999999994</v>
      </c>
      <c r="I14156" s="691">
        <v>79.400000000000006</v>
      </c>
      <c r="J14156" s="691">
        <v>79.3</v>
      </c>
      <c r="K14156" s="691">
        <v>79.3</v>
      </c>
    </row>
    <row r="14157" spans="1:11">
      <c r="A14157" s="688" t="s">
        <v>7</v>
      </c>
      <c r="B14157" s="689">
        <v>79.3</v>
      </c>
      <c r="C14157" s="689">
        <v>79.099999999999994</v>
      </c>
      <c r="D14157" s="689">
        <v>78.900000000000006</v>
      </c>
      <c r="E14157" s="689">
        <v>79.099999999999994</v>
      </c>
      <c r="F14157" s="689">
        <v>79.099999999999994</v>
      </c>
      <c r="G14157" s="689">
        <v>79.5</v>
      </c>
      <c r="H14157" s="689">
        <v>79.400000000000006</v>
      </c>
      <c r="I14157" s="689">
        <v>79.099999999999994</v>
      </c>
      <c r="J14157" s="689">
        <v>78.2</v>
      </c>
      <c r="K14157" s="689">
        <v>78.7</v>
      </c>
    </row>
    <row r="14158" spans="1:11">
      <c r="A14158" s="688" t="s">
        <v>27</v>
      </c>
      <c r="B14158" s="691">
        <v>81.3</v>
      </c>
      <c r="C14158" s="691">
        <v>80.900000000000006</v>
      </c>
      <c r="D14158" s="691">
        <v>80.599999999999994</v>
      </c>
      <c r="E14158" s="615">
        <v>81</v>
      </c>
      <c r="F14158" s="691">
        <v>80.900000000000006</v>
      </c>
      <c r="G14158" s="691">
        <v>81.099999999999994</v>
      </c>
      <c r="H14158" s="691">
        <v>81.400000000000006</v>
      </c>
      <c r="I14158" s="691">
        <v>80.2</v>
      </c>
      <c r="J14158" s="615">
        <v>81</v>
      </c>
      <c r="K14158" s="691">
        <v>80.900000000000006</v>
      </c>
    </row>
    <row r="14159" spans="1:11">
      <c r="A14159" s="688" t="s">
        <v>6</v>
      </c>
      <c r="B14159" s="693">
        <v>81</v>
      </c>
      <c r="C14159" s="689">
        <v>80.7</v>
      </c>
      <c r="D14159" s="689">
        <v>80.5</v>
      </c>
      <c r="E14159" s="689">
        <v>80.7</v>
      </c>
      <c r="F14159" s="689">
        <v>80.7</v>
      </c>
      <c r="G14159" s="689">
        <v>80.8</v>
      </c>
      <c r="H14159" s="689">
        <v>80.900000000000006</v>
      </c>
      <c r="I14159" s="689">
        <v>80.5</v>
      </c>
      <c r="J14159" s="689">
        <v>80.599999999999994</v>
      </c>
      <c r="K14159" s="689">
        <v>80.5</v>
      </c>
    </row>
    <row r="14160" spans="1:11">
      <c r="A14160" s="688" t="s">
        <v>4058</v>
      </c>
      <c r="B14160" s="692" t="s">
        <v>4060</v>
      </c>
      <c r="C14160" s="692" t="s">
        <v>4060</v>
      </c>
      <c r="D14160" s="692" t="s">
        <v>4060</v>
      </c>
      <c r="E14160" s="692" t="s">
        <v>4060</v>
      </c>
      <c r="F14160" s="692" t="s">
        <v>4060</v>
      </c>
      <c r="G14160" s="692" t="s">
        <v>4060</v>
      </c>
      <c r="H14160" s="692" t="s">
        <v>4060</v>
      </c>
      <c r="I14160" s="692" t="s">
        <v>4060</v>
      </c>
      <c r="J14160" s="692" t="s">
        <v>4060</v>
      </c>
      <c r="K14160" s="692" t="s">
        <v>4060</v>
      </c>
    </row>
    <row r="14161" spans="1:11">
      <c r="A14161" s="688" t="s">
        <v>11</v>
      </c>
      <c r="B14161" s="689">
        <v>76.3</v>
      </c>
      <c r="C14161" s="689">
        <v>76.2</v>
      </c>
      <c r="D14161" s="689">
        <v>75.8</v>
      </c>
      <c r="E14161" s="689">
        <v>76.5</v>
      </c>
      <c r="F14161" s="689">
        <v>76.099999999999994</v>
      </c>
      <c r="G14161" s="689">
        <v>76.5</v>
      </c>
      <c r="H14161" s="689">
        <v>76.599999999999994</v>
      </c>
      <c r="I14161" s="693">
        <v>76</v>
      </c>
      <c r="J14161" s="689">
        <v>75.099999999999994</v>
      </c>
      <c r="K14161" s="689">
        <v>76.099999999999994</v>
      </c>
    </row>
    <row r="14162" spans="1:11">
      <c r="A14162" s="688" t="s">
        <v>10</v>
      </c>
      <c r="B14162" s="691">
        <v>80.5</v>
      </c>
      <c r="C14162" s="691">
        <v>80.3</v>
      </c>
      <c r="D14162" s="691">
        <v>79.8</v>
      </c>
      <c r="E14162" s="691">
        <v>80.400000000000006</v>
      </c>
      <c r="F14162" s="691">
        <v>80.2</v>
      </c>
      <c r="G14162" s="691">
        <v>80.5</v>
      </c>
      <c r="H14162" s="691">
        <v>80.7</v>
      </c>
      <c r="I14162" s="691">
        <v>79.7</v>
      </c>
      <c r="J14162" s="615">
        <v>80</v>
      </c>
      <c r="K14162" s="615">
        <v>80</v>
      </c>
    </row>
    <row r="14163" spans="1:11">
      <c r="A14163" s="688" t="s">
        <v>30</v>
      </c>
      <c r="B14163" s="693">
        <v>80</v>
      </c>
      <c r="C14163" s="689">
        <v>79.3</v>
      </c>
      <c r="D14163" s="693">
        <v>79</v>
      </c>
      <c r="E14163" s="689">
        <v>80.099999999999994</v>
      </c>
      <c r="F14163" s="689">
        <v>79.5</v>
      </c>
      <c r="G14163" s="693">
        <v>80</v>
      </c>
      <c r="H14163" s="689">
        <v>79.8</v>
      </c>
      <c r="I14163" s="689">
        <v>79.8</v>
      </c>
      <c r="J14163" s="693">
        <v>79</v>
      </c>
      <c r="K14163" s="689">
        <v>79.3</v>
      </c>
    </row>
    <row r="14164" spans="1:11">
      <c r="A14164" s="688" t="s">
        <v>12</v>
      </c>
      <c r="B14164" s="691">
        <v>74.3</v>
      </c>
      <c r="C14164" s="691">
        <v>74.599999999999994</v>
      </c>
      <c r="D14164" s="691">
        <v>74.599999999999994</v>
      </c>
      <c r="E14164" s="691">
        <v>74.8</v>
      </c>
      <c r="F14164" s="691">
        <v>74.900000000000006</v>
      </c>
      <c r="G14164" s="691">
        <v>74.900000000000006</v>
      </c>
      <c r="H14164" s="691">
        <v>75.400000000000006</v>
      </c>
      <c r="I14164" s="691">
        <v>75.2</v>
      </c>
      <c r="J14164" s="691">
        <v>73.2</v>
      </c>
      <c r="K14164" s="691">
        <v>74.7</v>
      </c>
    </row>
    <row r="14165" spans="1:11">
      <c r="A14165" s="688" t="s">
        <v>14</v>
      </c>
      <c r="B14165" s="689">
        <v>74.900000000000006</v>
      </c>
      <c r="C14165" s="689">
        <v>75.2</v>
      </c>
      <c r="D14165" s="689">
        <v>74.900000000000006</v>
      </c>
      <c r="E14165" s="689">
        <v>75.3</v>
      </c>
      <c r="F14165" s="689">
        <v>75.5</v>
      </c>
      <c r="G14165" s="689">
        <v>75.8</v>
      </c>
      <c r="H14165" s="689">
        <v>76.2</v>
      </c>
      <c r="I14165" s="689">
        <v>75.3</v>
      </c>
      <c r="J14165" s="689">
        <v>74.099999999999994</v>
      </c>
      <c r="K14165" s="689">
        <v>75.400000000000006</v>
      </c>
    </row>
    <row r="14166" spans="1:11">
      <c r="A14166" s="688" t="s">
        <v>15</v>
      </c>
      <c r="B14166" s="691">
        <v>79.2</v>
      </c>
      <c r="C14166" s="691">
        <v>79.900000000000006</v>
      </c>
      <c r="D14166" s="691">
        <v>79.3</v>
      </c>
      <c r="E14166" s="691">
        <v>80.099999999999994</v>
      </c>
      <c r="F14166" s="691">
        <v>79.2</v>
      </c>
      <c r="G14166" s="691">
        <v>79.7</v>
      </c>
      <c r="H14166" s="691">
        <v>80.099999999999994</v>
      </c>
      <c r="I14166" s="691">
        <v>79.8</v>
      </c>
      <c r="J14166" s="615">
        <v>80</v>
      </c>
      <c r="K14166" s="691">
        <v>80.2</v>
      </c>
    </row>
    <row r="14167" spans="1:11">
      <c r="A14167" s="688" t="s">
        <v>29</v>
      </c>
      <c r="B14167" s="689">
        <v>74.5</v>
      </c>
      <c r="C14167" s="689">
        <v>74.599999999999994</v>
      </c>
      <c r="D14167" s="689">
        <v>74.2</v>
      </c>
      <c r="E14167" s="689">
        <v>74.8</v>
      </c>
      <c r="F14167" s="689">
        <v>74.400000000000006</v>
      </c>
      <c r="G14167" s="689">
        <v>74.7</v>
      </c>
      <c r="H14167" s="689">
        <v>74.8</v>
      </c>
      <c r="I14167" s="689">
        <v>74.099999999999994</v>
      </c>
      <c r="J14167" s="689">
        <v>72.8</v>
      </c>
      <c r="K14167" s="689">
        <v>74.5</v>
      </c>
    </row>
    <row r="14168" spans="1:11">
      <c r="A14168" s="688" t="s">
        <v>16</v>
      </c>
      <c r="B14168" s="691">
        <v>79.599999999999994</v>
      </c>
      <c r="C14168" s="691">
        <v>79.400000000000006</v>
      </c>
      <c r="D14168" s="691">
        <v>79.2</v>
      </c>
      <c r="E14168" s="691">
        <v>79.400000000000006</v>
      </c>
      <c r="F14168" s="691">
        <v>79.599999999999994</v>
      </c>
      <c r="G14168" s="691">
        <v>79.400000000000006</v>
      </c>
      <c r="H14168" s="691">
        <v>79.8</v>
      </c>
      <c r="I14168" s="691">
        <v>79.5</v>
      </c>
      <c r="J14168" s="691">
        <v>79.2</v>
      </c>
      <c r="K14168" s="691">
        <v>79.599999999999994</v>
      </c>
    </row>
    <row r="14169" spans="1:11">
      <c r="A14169" s="688" t="s">
        <v>17</v>
      </c>
      <c r="B14169" s="689">
        <v>78.5</v>
      </c>
      <c r="C14169" s="689">
        <v>78.599999999999994</v>
      </c>
      <c r="D14169" s="689">
        <v>78.400000000000006</v>
      </c>
      <c r="E14169" s="689">
        <v>78.400000000000006</v>
      </c>
      <c r="F14169" s="689">
        <v>78.599999999999994</v>
      </c>
      <c r="G14169" s="689">
        <v>78.599999999999994</v>
      </c>
      <c r="H14169" s="689">
        <v>78.900000000000006</v>
      </c>
      <c r="I14169" s="689">
        <v>78.400000000000006</v>
      </c>
      <c r="J14169" s="689">
        <v>78.3</v>
      </c>
      <c r="K14169" s="689">
        <v>78.400000000000006</v>
      </c>
    </row>
    <row r="14170" spans="1:11">
      <c r="A14170" s="688" t="s">
        <v>19</v>
      </c>
      <c r="B14170" s="691">
        <v>79.099999999999994</v>
      </c>
      <c r="C14170" s="615">
        <v>79</v>
      </c>
      <c r="D14170" s="691">
        <v>78.900000000000006</v>
      </c>
      <c r="E14170" s="691">
        <v>79.2</v>
      </c>
      <c r="F14170" s="691">
        <v>79.2</v>
      </c>
      <c r="G14170" s="691">
        <v>79.3</v>
      </c>
      <c r="H14170" s="691">
        <v>79.5</v>
      </c>
      <c r="I14170" s="615">
        <v>79</v>
      </c>
      <c r="J14170" s="615">
        <v>79</v>
      </c>
      <c r="K14170" s="615">
        <v>79</v>
      </c>
    </row>
    <row r="14171" spans="1:11">
      <c r="A14171" s="688" t="s">
        <v>20</v>
      </c>
      <c r="B14171" s="689">
        <v>76.599999999999994</v>
      </c>
      <c r="C14171" s="689">
        <v>76.8</v>
      </c>
      <c r="D14171" s="689">
        <v>76.599999999999994</v>
      </c>
      <c r="E14171" s="693">
        <v>77</v>
      </c>
      <c r="F14171" s="689">
        <v>76.900000000000006</v>
      </c>
      <c r="G14171" s="689">
        <v>76.8</v>
      </c>
      <c r="H14171" s="689">
        <v>77.099999999999994</v>
      </c>
      <c r="I14171" s="689">
        <v>75.900000000000006</v>
      </c>
      <c r="J14171" s="689">
        <v>74.8</v>
      </c>
      <c r="K14171" s="689">
        <v>76.3</v>
      </c>
    </row>
    <row r="14172" spans="1:11">
      <c r="A14172" s="688" t="s">
        <v>21</v>
      </c>
      <c r="B14172" s="691">
        <v>79.3</v>
      </c>
      <c r="C14172" s="691">
        <v>79.599999999999994</v>
      </c>
      <c r="D14172" s="691">
        <v>79.5</v>
      </c>
      <c r="E14172" s="691">
        <v>79.599999999999994</v>
      </c>
      <c r="F14172" s="691">
        <v>79.8</v>
      </c>
      <c r="G14172" s="691">
        <v>79.8</v>
      </c>
      <c r="H14172" s="615">
        <v>80</v>
      </c>
      <c r="I14172" s="691">
        <v>79.5</v>
      </c>
      <c r="J14172" s="691">
        <v>79.5</v>
      </c>
      <c r="K14172" s="691">
        <v>79.7</v>
      </c>
    </row>
    <row r="14173" spans="1:11">
      <c r="A14173" s="688" t="s">
        <v>22</v>
      </c>
      <c r="B14173" s="689">
        <v>74.5</v>
      </c>
      <c r="C14173" s="689">
        <v>74.2</v>
      </c>
      <c r="D14173" s="689">
        <v>74.2</v>
      </c>
      <c r="E14173" s="689">
        <v>74.5</v>
      </c>
      <c r="F14173" s="689">
        <v>74.5</v>
      </c>
      <c r="G14173" s="689">
        <v>74.599999999999994</v>
      </c>
      <c r="H14173" s="689">
        <v>74.900000000000006</v>
      </c>
      <c r="I14173" s="689">
        <v>73.7</v>
      </c>
      <c r="J14173" s="689">
        <v>72.099999999999994</v>
      </c>
      <c r="K14173" s="689">
        <v>74.599999999999994</v>
      </c>
    </row>
    <row r="14174" spans="1:11">
      <c r="A14174" s="688" t="s">
        <v>26</v>
      </c>
      <c r="B14174" s="691">
        <v>78.900000000000006</v>
      </c>
      <c r="C14174" s="691">
        <v>78.900000000000006</v>
      </c>
      <c r="D14174" s="691">
        <v>78.7</v>
      </c>
      <c r="E14174" s="691">
        <v>79.099999999999994</v>
      </c>
      <c r="F14174" s="691">
        <v>78.900000000000006</v>
      </c>
      <c r="G14174" s="691">
        <v>79.2</v>
      </c>
      <c r="H14174" s="691">
        <v>79.400000000000006</v>
      </c>
      <c r="I14174" s="691">
        <v>78.5</v>
      </c>
      <c r="J14174" s="691">
        <v>78.900000000000006</v>
      </c>
      <c r="K14174" s="691">
        <v>79.099999999999994</v>
      </c>
    </row>
    <row r="14175" spans="1:11">
      <c r="A14175" s="688" t="s">
        <v>25</v>
      </c>
      <c r="B14175" s="689">
        <v>75.599999999999994</v>
      </c>
      <c r="C14175" s="689">
        <v>75.900000000000006</v>
      </c>
      <c r="D14175" s="689">
        <v>75.599999999999994</v>
      </c>
      <c r="E14175" s="693">
        <v>76</v>
      </c>
      <c r="F14175" s="693">
        <v>76</v>
      </c>
      <c r="G14175" s="689">
        <v>76.099999999999994</v>
      </c>
      <c r="H14175" s="689">
        <v>76.5</v>
      </c>
      <c r="I14175" s="689">
        <v>75.8</v>
      </c>
      <c r="J14175" s="689">
        <v>73.599999999999994</v>
      </c>
      <c r="K14175" s="689">
        <v>75.900000000000006</v>
      </c>
    </row>
    <row r="14176" spans="1:11">
      <c r="A14176" s="688" t="s">
        <v>5</v>
      </c>
      <c r="B14176" s="691">
        <v>79.3</v>
      </c>
      <c r="C14176" s="691">
        <v>79.099999999999994</v>
      </c>
      <c r="D14176" s="691">
        <v>79.3</v>
      </c>
      <c r="E14176" s="691">
        <v>79.3</v>
      </c>
      <c r="F14176" s="691">
        <v>79.400000000000006</v>
      </c>
      <c r="G14176" s="691">
        <v>79.5</v>
      </c>
      <c r="H14176" s="691">
        <v>79.7</v>
      </c>
      <c r="I14176" s="691">
        <v>79.8</v>
      </c>
      <c r="J14176" s="691">
        <v>79.7</v>
      </c>
      <c r="K14176" s="615">
        <v>79</v>
      </c>
    </row>
    <row r="14177" spans="1:11">
      <c r="A14177" s="688" t="s">
        <v>23</v>
      </c>
      <c r="B14177" s="693">
        <v>79</v>
      </c>
      <c r="C14177" s="689">
        <v>79.2</v>
      </c>
      <c r="D14177" s="689">
        <v>79.2</v>
      </c>
      <c r="E14177" s="689">
        <v>79.3</v>
      </c>
      <c r="F14177" s="689">
        <v>79.3</v>
      </c>
      <c r="G14177" s="689">
        <v>79.5</v>
      </c>
      <c r="H14177" s="689">
        <v>79.900000000000006</v>
      </c>
      <c r="I14177" s="689">
        <v>79.5</v>
      </c>
      <c r="J14177" s="693">
        <v>80</v>
      </c>
      <c r="K14177" s="689">
        <v>79.900000000000006</v>
      </c>
    </row>
    <row r="14178" spans="1:11">
      <c r="A14178" s="688" t="s">
        <v>4067</v>
      </c>
      <c r="B14178" s="691">
        <v>78.599999999999994</v>
      </c>
      <c r="C14178" s="615">
        <v>79</v>
      </c>
      <c r="D14178" s="691">
        <v>78.599999999999994</v>
      </c>
      <c r="E14178" s="615">
        <v>79</v>
      </c>
      <c r="F14178" s="691">
        <v>78.900000000000006</v>
      </c>
      <c r="G14178" s="615">
        <v>79</v>
      </c>
      <c r="H14178" s="692" t="s">
        <v>4060</v>
      </c>
      <c r="I14178" s="692" t="s">
        <v>4060</v>
      </c>
      <c r="J14178" s="692" t="s">
        <v>4060</v>
      </c>
      <c r="K14178" s="692" t="s">
        <v>4060</v>
      </c>
    </row>
    <row r="14179" spans="1:11">
      <c r="A14179" s="688" t="s">
        <v>4066</v>
      </c>
      <c r="B14179" s="689">
        <v>78.7</v>
      </c>
      <c r="C14179" s="693">
        <v>79</v>
      </c>
      <c r="D14179" s="689">
        <v>78.599999999999994</v>
      </c>
      <c r="E14179" s="693">
        <v>79</v>
      </c>
      <c r="F14179" s="689">
        <v>78.900000000000006</v>
      </c>
      <c r="G14179" s="693">
        <v>79</v>
      </c>
      <c r="H14179" s="690" t="s">
        <v>4060</v>
      </c>
      <c r="I14179" s="690" t="s">
        <v>4060</v>
      </c>
      <c r="J14179" s="690" t="s">
        <v>4060</v>
      </c>
      <c r="K14179" s="690" t="s">
        <v>4060</v>
      </c>
    </row>
    <row r="14180" spans="1:11">
      <c r="A14180" s="688" t="s">
        <v>4062</v>
      </c>
      <c r="B14180" s="691">
        <v>79.8</v>
      </c>
      <c r="C14180" s="615">
        <v>80</v>
      </c>
      <c r="D14180" s="691">
        <v>79.900000000000006</v>
      </c>
      <c r="E14180" s="691">
        <v>80.099999999999994</v>
      </c>
      <c r="F14180" s="691">
        <v>80.2</v>
      </c>
      <c r="G14180" s="691">
        <v>80.3</v>
      </c>
      <c r="H14180" s="691">
        <v>80.5</v>
      </c>
      <c r="I14180" s="691">
        <v>80.2</v>
      </c>
      <c r="J14180" s="691">
        <v>80.5</v>
      </c>
      <c r="K14180" s="691">
        <v>80.2</v>
      </c>
    </row>
    <row r="14181" spans="1:11">
      <c r="A14181" s="688" t="s">
        <v>9</v>
      </c>
      <c r="B14181" s="693">
        <v>79</v>
      </c>
      <c r="C14181" s="689">
        <v>79.400000000000006</v>
      </c>
      <c r="D14181" s="689">
        <v>78.8</v>
      </c>
      <c r="E14181" s="693">
        <v>79</v>
      </c>
      <c r="F14181" s="689">
        <v>79.400000000000006</v>
      </c>
      <c r="G14181" s="689">
        <v>79.400000000000006</v>
      </c>
      <c r="H14181" s="689">
        <v>79.599999999999994</v>
      </c>
      <c r="I14181" s="689">
        <v>79.5</v>
      </c>
      <c r="J14181" s="689">
        <v>79.8</v>
      </c>
      <c r="K14181" s="689">
        <v>78.8</v>
      </c>
    </row>
    <row r="14182" spans="1:11">
      <c r="A14182" s="688" t="s">
        <v>13</v>
      </c>
      <c r="B14182" s="691">
        <v>79.900000000000006</v>
      </c>
      <c r="C14182" s="691">
        <v>78.7</v>
      </c>
      <c r="D14182" s="691">
        <v>79.3</v>
      </c>
      <c r="E14182" s="691">
        <v>78.900000000000006</v>
      </c>
      <c r="F14182" s="691">
        <v>80.8</v>
      </c>
      <c r="G14182" s="691">
        <v>80.599999999999994</v>
      </c>
      <c r="H14182" s="691">
        <v>80.5</v>
      </c>
      <c r="I14182" s="691">
        <v>78.8</v>
      </c>
      <c r="J14182" s="691">
        <v>81.099999999999994</v>
      </c>
      <c r="K14182" s="691">
        <v>80.2</v>
      </c>
    </row>
    <row r="14183" spans="1:11">
      <c r="A14183" s="688" t="s">
        <v>18</v>
      </c>
      <c r="B14183" s="693">
        <v>79</v>
      </c>
      <c r="C14183" s="689">
        <v>79.3</v>
      </c>
      <c r="D14183" s="689">
        <v>79.400000000000006</v>
      </c>
      <c r="E14183" s="689">
        <v>79.400000000000006</v>
      </c>
      <c r="F14183" s="689">
        <v>79.5</v>
      </c>
      <c r="G14183" s="689">
        <v>79.7</v>
      </c>
      <c r="H14183" s="689">
        <v>79.900000000000006</v>
      </c>
      <c r="I14183" s="693">
        <v>80</v>
      </c>
      <c r="J14183" s="689">
        <v>79.900000000000006</v>
      </c>
      <c r="K14183" s="689">
        <v>79.5</v>
      </c>
    </row>
    <row r="14184" spans="1:11">
      <c r="A14184" s="688" t="s">
        <v>24</v>
      </c>
      <c r="B14184" s="691">
        <v>80.3</v>
      </c>
      <c r="C14184" s="691">
        <v>80.400000000000006</v>
      </c>
      <c r="D14184" s="691">
        <v>80.2</v>
      </c>
      <c r="E14184" s="691">
        <v>80.599999999999994</v>
      </c>
      <c r="F14184" s="691">
        <v>80.7</v>
      </c>
      <c r="G14184" s="691">
        <v>80.7</v>
      </c>
      <c r="H14184" s="691">
        <v>80.900000000000006</v>
      </c>
      <c r="I14184" s="691">
        <v>80.400000000000006</v>
      </c>
      <c r="J14184" s="691">
        <v>80.900000000000006</v>
      </c>
      <c r="K14184" s="691">
        <v>80.7</v>
      </c>
    </row>
    <row r="14185" spans="1:11">
      <c r="A14185" s="688" t="s">
        <v>4059</v>
      </c>
      <c r="B14185" s="689">
        <v>78.3</v>
      </c>
      <c r="C14185" s="689">
        <v>78.5</v>
      </c>
      <c r="D14185" s="689">
        <v>78.099999999999994</v>
      </c>
      <c r="E14185" s="689">
        <v>78.400000000000006</v>
      </c>
      <c r="F14185" s="689">
        <v>78.400000000000006</v>
      </c>
      <c r="G14185" s="689">
        <v>78.400000000000006</v>
      </c>
      <c r="H14185" s="690" t="s">
        <v>4060</v>
      </c>
      <c r="I14185" s="690" t="s">
        <v>4060</v>
      </c>
      <c r="J14185" s="690" t="s">
        <v>4060</v>
      </c>
      <c r="K14185" s="690" t="s">
        <v>4060</v>
      </c>
    </row>
    <row r="14186" spans="1:11">
      <c r="A14186" s="688" t="s">
        <v>2324</v>
      </c>
      <c r="B14186" s="691">
        <v>74.3</v>
      </c>
      <c r="C14186" s="691">
        <v>74.3</v>
      </c>
      <c r="D14186" s="691">
        <v>73.900000000000006</v>
      </c>
      <c r="E14186" s="691">
        <v>74.2</v>
      </c>
      <c r="F14186" s="691">
        <v>74.400000000000006</v>
      </c>
      <c r="G14186" s="691">
        <v>74.5</v>
      </c>
      <c r="H14186" s="691">
        <v>74.8</v>
      </c>
      <c r="I14186" s="691">
        <v>74.099999999999994</v>
      </c>
      <c r="J14186" s="691">
        <v>72.099999999999994</v>
      </c>
      <c r="K14186" s="692" t="s">
        <v>4060</v>
      </c>
    </row>
    <row r="14187" spans="1:11">
      <c r="A14187" s="688" t="s">
        <v>2322</v>
      </c>
      <c r="B14187" s="690" t="s">
        <v>4060</v>
      </c>
      <c r="C14187" s="690" t="s">
        <v>4060</v>
      </c>
      <c r="D14187" s="690" t="s">
        <v>4060</v>
      </c>
      <c r="E14187" s="690" t="s">
        <v>4060</v>
      </c>
      <c r="F14187" s="690" t="s">
        <v>4060</v>
      </c>
      <c r="G14187" s="690" t="s">
        <v>4060</v>
      </c>
      <c r="H14187" s="690" t="s">
        <v>4060</v>
      </c>
      <c r="I14187" s="690" t="s">
        <v>4060</v>
      </c>
      <c r="J14187" s="690" t="s">
        <v>4060</v>
      </c>
      <c r="K14187" s="690" t="s">
        <v>4060</v>
      </c>
    </row>
    <row r="14188" spans="1:11">
      <c r="A14188" s="688" t="s">
        <v>2328</v>
      </c>
      <c r="B14188" s="691">
        <v>73.400000000000006</v>
      </c>
      <c r="C14188" s="691">
        <v>73.3</v>
      </c>
      <c r="D14188" s="691">
        <v>73.099999999999994</v>
      </c>
      <c r="E14188" s="691">
        <v>73.5</v>
      </c>
      <c r="F14188" s="691">
        <v>73.7</v>
      </c>
      <c r="G14188" s="691">
        <v>74.2</v>
      </c>
      <c r="H14188" s="615">
        <v>74</v>
      </c>
      <c r="I14188" s="691">
        <v>72.2</v>
      </c>
      <c r="J14188" s="691">
        <v>70.8</v>
      </c>
      <c r="K14188" s="692" t="s">
        <v>4060</v>
      </c>
    </row>
    <row r="14189" spans="1:11">
      <c r="A14189" s="688" t="s">
        <v>2496</v>
      </c>
      <c r="B14189" s="690" t="s">
        <v>4060</v>
      </c>
      <c r="C14189" s="689">
        <v>74.099999999999994</v>
      </c>
      <c r="D14189" s="689">
        <v>73.2</v>
      </c>
      <c r="E14189" s="689">
        <v>72.900000000000006</v>
      </c>
      <c r="F14189" s="689">
        <v>73.599999999999994</v>
      </c>
      <c r="G14189" s="689">
        <v>73.900000000000006</v>
      </c>
      <c r="H14189" s="693">
        <v>74</v>
      </c>
      <c r="I14189" s="690" t="s">
        <v>4060</v>
      </c>
      <c r="J14189" s="690" t="s">
        <v>4060</v>
      </c>
      <c r="K14189" s="689">
        <v>73.8</v>
      </c>
    </row>
    <row r="14190" spans="1:11">
      <c r="A14190" s="688" t="s">
        <v>2269</v>
      </c>
      <c r="B14190" s="691">
        <v>75.8</v>
      </c>
      <c r="C14190" s="691">
        <v>75.900000000000006</v>
      </c>
      <c r="D14190" s="691">
        <v>75.3</v>
      </c>
      <c r="E14190" s="691">
        <v>75.900000000000006</v>
      </c>
      <c r="F14190" s="691">
        <v>75.8</v>
      </c>
      <c r="G14190" s="691">
        <v>76.2</v>
      </c>
      <c r="H14190" s="691">
        <v>76.5</v>
      </c>
      <c r="I14190" s="691">
        <v>75.400000000000006</v>
      </c>
      <c r="J14190" s="691">
        <v>73.3</v>
      </c>
      <c r="K14190" s="691">
        <v>76.400000000000006</v>
      </c>
    </row>
    <row r="14191" spans="1:11">
      <c r="A14191" s="688" t="s">
        <v>2349</v>
      </c>
      <c r="B14191" s="689">
        <v>73.400000000000006</v>
      </c>
      <c r="C14191" s="689">
        <v>73.400000000000006</v>
      </c>
      <c r="D14191" s="689">
        <v>73.400000000000006</v>
      </c>
      <c r="E14191" s="689">
        <v>73.7</v>
      </c>
      <c r="F14191" s="689">
        <v>73.5</v>
      </c>
      <c r="G14191" s="689">
        <v>73.900000000000006</v>
      </c>
      <c r="H14191" s="693">
        <v>74</v>
      </c>
      <c r="I14191" s="689">
        <v>72.900000000000006</v>
      </c>
      <c r="J14191" s="689">
        <v>71.099999999999994</v>
      </c>
      <c r="K14191" s="689">
        <v>73.2</v>
      </c>
    </row>
    <row r="14192" spans="1:11">
      <c r="A14192" s="688" t="s">
        <v>2355</v>
      </c>
      <c r="B14192" s="691">
        <v>77.099999999999994</v>
      </c>
      <c r="C14192" s="615">
        <v>77</v>
      </c>
      <c r="D14192" s="615">
        <v>77</v>
      </c>
      <c r="E14192" s="691">
        <v>76.900000000000006</v>
      </c>
      <c r="F14192" s="691">
        <v>77.2</v>
      </c>
      <c r="G14192" s="691">
        <v>77.5</v>
      </c>
      <c r="H14192" s="691">
        <v>77.599999999999994</v>
      </c>
      <c r="I14192" s="692" t="s">
        <v>4060</v>
      </c>
      <c r="J14192" s="692" t="s">
        <v>4060</v>
      </c>
      <c r="K14192" s="692" t="s">
        <v>4060</v>
      </c>
    </row>
    <row r="14193" spans="1:11">
      <c r="A14193" s="688" t="s">
        <v>2357</v>
      </c>
      <c r="B14193" s="690" t="s">
        <v>4060</v>
      </c>
      <c r="C14193" s="689">
        <v>72.400000000000006</v>
      </c>
      <c r="D14193" s="689">
        <v>72.900000000000006</v>
      </c>
      <c r="E14193" s="689">
        <v>73.2</v>
      </c>
      <c r="F14193" s="689">
        <v>73.5</v>
      </c>
      <c r="G14193" s="689">
        <v>73.599999999999994</v>
      </c>
      <c r="H14193" s="689">
        <v>73.8</v>
      </c>
      <c r="I14193" s="690" t="s">
        <v>4060</v>
      </c>
      <c r="J14193" s="690" t="s">
        <v>4060</v>
      </c>
      <c r="K14193" s="690" t="s">
        <v>4060</v>
      </c>
    </row>
    <row r="14194" spans="1:11">
      <c r="A14194" s="688" t="s">
        <v>4070</v>
      </c>
      <c r="B14194" s="692" t="s">
        <v>4060</v>
      </c>
      <c r="C14194" s="692" t="s">
        <v>4060</v>
      </c>
      <c r="D14194" s="692" t="s">
        <v>4060</v>
      </c>
      <c r="E14194" s="691">
        <v>77.099999999999994</v>
      </c>
      <c r="F14194" s="692" t="s">
        <v>4060</v>
      </c>
      <c r="G14194" s="692" t="s">
        <v>4060</v>
      </c>
      <c r="H14194" s="692" t="s">
        <v>4060</v>
      </c>
      <c r="I14194" s="692" t="s">
        <v>4060</v>
      </c>
      <c r="J14194" s="692" t="s">
        <v>4060</v>
      </c>
      <c r="K14194" s="692" t="s">
        <v>4060</v>
      </c>
    </row>
    <row r="14195" spans="1:11">
      <c r="A14195" s="688" t="s">
        <v>2491</v>
      </c>
      <c r="B14195" s="689">
        <v>73.3</v>
      </c>
      <c r="C14195" s="689">
        <v>73.900000000000006</v>
      </c>
      <c r="D14195" s="689">
        <v>74.3</v>
      </c>
      <c r="E14195" s="689">
        <v>74.400000000000006</v>
      </c>
      <c r="F14195" s="689">
        <v>74.599999999999994</v>
      </c>
      <c r="G14195" s="689">
        <v>74.7</v>
      </c>
      <c r="H14195" s="690" t="s">
        <v>4060</v>
      </c>
      <c r="I14195" s="690" t="s">
        <v>4060</v>
      </c>
      <c r="J14195" s="690" t="s">
        <v>4060</v>
      </c>
      <c r="K14195" s="690" t="s">
        <v>4060</v>
      </c>
    </row>
    <row r="14196" spans="1:11">
      <c r="A14196" s="688" t="s">
        <v>2343</v>
      </c>
      <c r="B14196" s="692" t="s">
        <v>4060</v>
      </c>
      <c r="C14196" s="692" t="s">
        <v>4060</v>
      </c>
      <c r="D14196" s="692" t="s">
        <v>4060</v>
      </c>
      <c r="E14196" s="692" t="s">
        <v>4060</v>
      </c>
      <c r="F14196" s="692" t="s">
        <v>4060</v>
      </c>
      <c r="G14196" s="692" t="s">
        <v>4060</v>
      </c>
      <c r="H14196" s="692" t="s">
        <v>4060</v>
      </c>
      <c r="I14196" s="692" t="s">
        <v>4060</v>
      </c>
      <c r="J14196" s="692" t="s">
        <v>4060</v>
      </c>
      <c r="K14196" s="692" t="s">
        <v>4060</v>
      </c>
    </row>
    <row r="14197" spans="1:11">
      <c r="A14197" s="688" t="s">
        <v>4071</v>
      </c>
      <c r="B14197" s="690" t="s">
        <v>4060</v>
      </c>
      <c r="C14197" s="690" t="s">
        <v>4060</v>
      </c>
      <c r="D14197" s="690" t="s">
        <v>4060</v>
      </c>
      <c r="E14197" s="690" t="s">
        <v>4060</v>
      </c>
      <c r="F14197" s="690" t="s">
        <v>4060</v>
      </c>
      <c r="G14197" s="690" t="s">
        <v>4060</v>
      </c>
      <c r="H14197" s="690" t="s">
        <v>4060</v>
      </c>
      <c r="I14197" s="690" t="s">
        <v>4060</v>
      </c>
      <c r="J14197" s="690" t="s">
        <v>4060</v>
      </c>
      <c r="K14197" s="690" t="s">
        <v>4060</v>
      </c>
    </row>
    <row r="14198" spans="1:11">
      <c r="A14198" s="688" t="s">
        <v>2489</v>
      </c>
      <c r="B14198" s="692" t="s">
        <v>4060</v>
      </c>
      <c r="C14198" s="692" t="s">
        <v>4060</v>
      </c>
      <c r="D14198" s="615">
        <v>74</v>
      </c>
      <c r="E14198" s="691">
        <v>74.099999999999994</v>
      </c>
      <c r="F14198" s="691">
        <v>74.599999999999994</v>
      </c>
      <c r="G14198" s="691">
        <v>75.3</v>
      </c>
      <c r="H14198" s="691">
        <v>75.3</v>
      </c>
      <c r="I14198" s="692" t="s">
        <v>4060</v>
      </c>
      <c r="J14198" s="692" t="s">
        <v>4060</v>
      </c>
      <c r="K14198" s="692" t="s">
        <v>4060</v>
      </c>
    </row>
    <row r="14199" spans="1:11">
      <c r="A14199" s="688" t="s">
        <v>2490</v>
      </c>
      <c r="B14199" s="689">
        <v>73.099999999999994</v>
      </c>
      <c r="C14199" s="689">
        <v>73.2</v>
      </c>
      <c r="D14199" s="689">
        <v>73.599999999999994</v>
      </c>
      <c r="E14199" s="690" t="s">
        <v>4060</v>
      </c>
      <c r="F14199" s="689">
        <v>73.8</v>
      </c>
      <c r="G14199" s="689">
        <v>74.2</v>
      </c>
      <c r="H14199" s="689">
        <v>74.8</v>
      </c>
      <c r="I14199" s="690" t="s">
        <v>4060</v>
      </c>
      <c r="J14199" s="690" t="s">
        <v>4060</v>
      </c>
      <c r="K14199" s="690" t="s">
        <v>4060</v>
      </c>
    </row>
    <row r="14201" spans="1:11">
      <c r="A14201" s="683" t="s">
        <v>4233</v>
      </c>
    </row>
    <row r="14202" spans="1:11">
      <c r="A14202" s="683" t="s">
        <v>4060</v>
      </c>
      <c r="B14202" s="682" t="s">
        <v>4234</v>
      </c>
    </row>
    <row r="14204" spans="1:11">
      <c r="A14204" s="682" t="s">
        <v>4332</v>
      </c>
    </row>
    <row r="14205" spans="1:11">
      <c r="A14205" s="682" t="s">
        <v>4210</v>
      </c>
      <c r="B14205" s="683" t="s">
        <v>4211</v>
      </c>
    </row>
    <row r="14206" spans="1:11">
      <c r="A14206" s="682" t="s">
        <v>4212</v>
      </c>
      <c r="B14206" s="682" t="s">
        <v>4213</v>
      </c>
    </row>
    <row r="14208" spans="1:11">
      <c r="A14208" s="683" t="s">
        <v>4214</v>
      </c>
      <c r="C14208" s="682" t="s">
        <v>4215</v>
      </c>
    </row>
    <row r="14209" spans="1:11">
      <c r="A14209" s="683" t="s">
        <v>4216</v>
      </c>
      <c r="C14209" s="682" t="s">
        <v>2967</v>
      </c>
    </row>
    <row r="14210" spans="1:11">
      <c r="A14210" s="683" t="s">
        <v>3893</v>
      </c>
      <c r="C14210" s="682" t="s">
        <v>2169</v>
      </c>
    </row>
    <row r="14211" spans="1:11">
      <c r="A14211" s="683" t="s">
        <v>4218</v>
      </c>
      <c r="C14211" s="682" t="s">
        <v>4240</v>
      </c>
    </row>
    <row r="14213" spans="1:11">
      <c r="A14213" s="684" t="s">
        <v>4220</v>
      </c>
      <c r="B14213" s="685" t="s">
        <v>4221</v>
      </c>
      <c r="C14213" s="685" t="s">
        <v>4222</v>
      </c>
      <c r="D14213" s="685" t="s">
        <v>4223</v>
      </c>
      <c r="E14213" s="685" t="s">
        <v>4224</v>
      </c>
      <c r="F14213" s="685" t="s">
        <v>4225</v>
      </c>
      <c r="G14213" s="685" t="s">
        <v>4226</v>
      </c>
      <c r="H14213" s="685" t="s">
        <v>4227</v>
      </c>
      <c r="I14213" s="685" t="s">
        <v>4228</v>
      </c>
      <c r="J14213" s="685" t="s">
        <v>4229</v>
      </c>
      <c r="K14213" s="685" t="s">
        <v>4230</v>
      </c>
    </row>
    <row r="14214" spans="1:11">
      <c r="A14214" s="686" t="s">
        <v>4231</v>
      </c>
      <c r="B14214" s="687" t="s">
        <v>4232</v>
      </c>
      <c r="C14214" s="687" t="s">
        <v>4232</v>
      </c>
      <c r="D14214" s="687" t="s">
        <v>4232</v>
      </c>
      <c r="E14214" s="687" t="s">
        <v>4232</v>
      </c>
      <c r="F14214" s="687" t="s">
        <v>4232</v>
      </c>
      <c r="G14214" s="687" t="s">
        <v>4232</v>
      </c>
      <c r="H14214" s="687" t="s">
        <v>4232</v>
      </c>
      <c r="I14214" s="687" t="s">
        <v>4232</v>
      </c>
      <c r="J14214" s="687" t="s">
        <v>4232</v>
      </c>
      <c r="K14214" s="687" t="s">
        <v>4232</v>
      </c>
    </row>
    <row r="14215" spans="1:11">
      <c r="A14215" s="688" t="s">
        <v>4064</v>
      </c>
      <c r="B14215" s="689">
        <v>77.7</v>
      </c>
      <c r="C14215" s="689">
        <v>77.7</v>
      </c>
      <c r="D14215" s="689">
        <v>77.599999999999994</v>
      </c>
      <c r="E14215" s="689">
        <v>77.8</v>
      </c>
      <c r="F14215" s="689">
        <v>77.7</v>
      </c>
      <c r="G14215" s="689">
        <v>77.8</v>
      </c>
      <c r="H14215" s="689">
        <v>78.099999999999994</v>
      </c>
      <c r="I14215" s="689">
        <v>77.400000000000006</v>
      </c>
      <c r="J14215" s="689">
        <v>77.099999999999994</v>
      </c>
      <c r="K14215" s="689">
        <v>77.5</v>
      </c>
    </row>
    <row r="14216" spans="1:11">
      <c r="A14216" s="688" t="s">
        <v>4065</v>
      </c>
      <c r="B14216" s="691">
        <v>77.599999999999994</v>
      </c>
      <c r="C14216" s="615">
        <v>78</v>
      </c>
      <c r="D14216" s="691">
        <v>77.599999999999994</v>
      </c>
      <c r="E14216" s="615">
        <v>78</v>
      </c>
      <c r="F14216" s="691">
        <v>77.900000000000006</v>
      </c>
      <c r="G14216" s="615">
        <v>78</v>
      </c>
      <c r="H14216" s="692" t="s">
        <v>4060</v>
      </c>
      <c r="I14216" s="692" t="s">
        <v>4060</v>
      </c>
      <c r="J14216" s="692" t="s">
        <v>4060</v>
      </c>
      <c r="K14216" s="692" t="s">
        <v>4060</v>
      </c>
    </row>
    <row r="14217" spans="1:11">
      <c r="A14217" s="688" t="s">
        <v>4063</v>
      </c>
      <c r="B14217" s="689">
        <v>77.7</v>
      </c>
      <c r="C14217" s="693">
        <v>78</v>
      </c>
      <c r="D14217" s="689">
        <v>77.599999999999994</v>
      </c>
      <c r="E14217" s="693">
        <v>78</v>
      </c>
      <c r="F14217" s="689">
        <v>77.900000000000006</v>
      </c>
      <c r="G14217" s="693">
        <v>78</v>
      </c>
      <c r="H14217" s="690" t="s">
        <v>4060</v>
      </c>
      <c r="I14217" s="690" t="s">
        <v>4060</v>
      </c>
      <c r="J14217" s="690" t="s">
        <v>4060</v>
      </c>
      <c r="K14217" s="690" t="s">
        <v>4060</v>
      </c>
    </row>
    <row r="14218" spans="1:11">
      <c r="A14218" s="688" t="s">
        <v>4069</v>
      </c>
      <c r="B14218" s="692" t="s">
        <v>4060</v>
      </c>
      <c r="C14218" s="691">
        <v>78.5</v>
      </c>
      <c r="D14218" s="691">
        <v>78.2</v>
      </c>
      <c r="E14218" s="691">
        <v>78.599999999999994</v>
      </c>
      <c r="F14218" s="691">
        <v>78.5</v>
      </c>
      <c r="G14218" s="691">
        <v>78.599999999999994</v>
      </c>
      <c r="H14218" s="691">
        <v>78.900000000000006</v>
      </c>
      <c r="I14218" s="691">
        <v>78.3</v>
      </c>
      <c r="J14218" s="691">
        <v>78.3</v>
      </c>
      <c r="K14218" s="691">
        <v>78.3</v>
      </c>
    </row>
    <row r="14219" spans="1:11">
      <c r="A14219" s="688" t="s">
        <v>4068</v>
      </c>
      <c r="B14219" s="689">
        <v>78.599999999999994</v>
      </c>
      <c r="C14219" s="690" t="s">
        <v>4060</v>
      </c>
      <c r="D14219" s="690" t="s">
        <v>4060</v>
      </c>
      <c r="E14219" s="690" t="s">
        <v>4060</v>
      </c>
      <c r="F14219" s="690" t="s">
        <v>4060</v>
      </c>
      <c r="G14219" s="690" t="s">
        <v>4060</v>
      </c>
      <c r="H14219" s="690" t="s">
        <v>4060</v>
      </c>
      <c r="I14219" s="690" t="s">
        <v>4060</v>
      </c>
      <c r="J14219" s="690" t="s">
        <v>4060</v>
      </c>
      <c r="K14219" s="690" t="s">
        <v>4060</v>
      </c>
    </row>
    <row r="14220" spans="1:11">
      <c r="A14220" s="688" t="s">
        <v>0</v>
      </c>
      <c r="B14220" s="691">
        <v>77.5</v>
      </c>
      <c r="C14220" s="691">
        <v>77.8</v>
      </c>
      <c r="D14220" s="691">
        <v>77.5</v>
      </c>
      <c r="E14220" s="615">
        <v>78</v>
      </c>
      <c r="F14220" s="615">
        <v>78</v>
      </c>
      <c r="G14220" s="615">
        <v>78</v>
      </c>
      <c r="H14220" s="691">
        <v>78.3</v>
      </c>
      <c r="I14220" s="691">
        <v>77.400000000000006</v>
      </c>
      <c r="J14220" s="691">
        <v>78.3</v>
      </c>
      <c r="K14220" s="691">
        <v>78.099999999999994</v>
      </c>
    </row>
    <row r="14221" spans="1:11">
      <c r="A14221" s="688" t="s">
        <v>1</v>
      </c>
      <c r="B14221" s="689">
        <v>73.2</v>
      </c>
      <c r="C14221" s="689">
        <v>72.599999999999994</v>
      </c>
      <c r="D14221" s="689">
        <v>72.599999999999994</v>
      </c>
      <c r="E14221" s="689">
        <v>72.900000000000006</v>
      </c>
      <c r="F14221" s="689">
        <v>72.8</v>
      </c>
      <c r="G14221" s="689">
        <v>72.900000000000006</v>
      </c>
      <c r="H14221" s="689">
        <v>73.099999999999994</v>
      </c>
      <c r="I14221" s="689">
        <v>71.7</v>
      </c>
      <c r="J14221" s="689">
        <v>69.5</v>
      </c>
      <c r="K14221" s="689">
        <v>72.400000000000006</v>
      </c>
    </row>
    <row r="14222" spans="1:11">
      <c r="A14222" s="688" t="s">
        <v>2240</v>
      </c>
      <c r="B14222" s="691">
        <v>75.599999999999994</v>
      </c>
      <c r="C14222" s="615">
        <v>76</v>
      </c>
      <c r="D14222" s="691">
        <v>75.7</v>
      </c>
      <c r="E14222" s="691">
        <v>76.099999999999994</v>
      </c>
      <c r="F14222" s="691">
        <v>76.099999999999994</v>
      </c>
      <c r="G14222" s="691">
        <v>76.099999999999994</v>
      </c>
      <c r="H14222" s="691">
        <v>76.3</v>
      </c>
      <c r="I14222" s="691">
        <v>75.5</v>
      </c>
      <c r="J14222" s="691">
        <v>74.7</v>
      </c>
      <c r="K14222" s="691">
        <v>76.099999999999994</v>
      </c>
    </row>
    <row r="14223" spans="1:11">
      <c r="A14223" s="688" t="s">
        <v>2</v>
      </c>
      <c r="B14223" s="689">
        <v>76.7</v>
      </c>
      <c r="C14223" s="693">
        <v>77</v>
      </c>
      <c r="D14223" s="693">
        <v>77</v>
      </c>
      <c r="E14223" s="693">
        <v>77</v>
      </c>
      <c r="F14223" s="689">
        <v>77.400000000000006</v>
      </c>
      <c r="G14223" s="689">
        <v>77.2</v>
      </c>
      <c r="H14223" s="689">
        <v>77.7</v>
      </c>
      <c r="I14223" s="689">
        <v>77.8</v>
      </c>
      <c r="J14223" s="689">
        <v>77.599999999999994</v>
      </c>
      <c r="K14223" s="689">
        <v>77.5</v>
      </c>
    </row>
    <row r="14224" spans="1:11">
      <c r="A14224" s="688" t="s">
        <v>3</v>
      </c>
      <c r="B14224" s="691">
        <v>77.3</v>
      </c>
      <c r="C14224" s="691">
        <v>77.599999999999994</v>
      </c>
      <c r="D14224" s="691">
        <v>77.3</v>
      </c>
      <c r="E14224" s="691">
        <v>77.599999999999994</v>
      </c>
      <c r="F14224" s="691">
        <v>77.599999999999994</v>
      </c>
      <c r="G14224" s="691">
        <v>77.5</v>
      </c>
      <c r="H14224" s="691">
        <v>77.900000000000006</v>
      </c>
      <c r="I14224" s="691">
        <v>77.7</v>
      </c>
      <c r="J14224" s="691">
        <v>77.5</v>
      </c>
      <c r="K14224" s="691">
        <v>77.2</v>
      </c>
    </row>
    <row r="14225" spans="1:11">
      <c r="A14225" s="688" t="s">
        <v>4061</v>
      </c>
      <c r="B14225" s="689">
        <v>77.3</v>
      </c>
      <c r="C14225" s="689">
        <v>77.599999999999994</v>
      </c>
      <c r="D14225" s="689">
        <v>77.3</v>
      </c>
      <c r="E14225" s="689">
        <v>77.599999999999994</v>
      </c>
      <c r="F14225" s="689">
        <v>77.599999999999994</v>
      </c>
      <c r="G14225" s="689">
        <v>77.5</v>
      </c>
      <c r="H14225" s="689">
        <v>77.900000000000006</v>
      </c>
      <c r="I14225" s="689">
        <v>77.7</v>
      </c>
      <c r="J14225" s="689">
        <v>77.5</v>
      </c>
      <c r="K14225" s="689">
        <v>77.2</v>
      </c>
    </row>
    <row r="14226" spans="1:11">
      <c r="A14226" s="688" t="s">
        <v>4</v>
      </c>
      <c r="B14226" s="615">
        <v>76</v>
      </c>
      <c r="C14226" s="691">
        <v>75.8</v>
      </c>
      <c r="D14226" s="691">
        <v>76.099999999999994</v>
      </c>
      <c r="E14226" s="691">
        <v>76.099999999999994</v>
      </c>
      <c r="F14226" s="691">
        <v>76.5</v>
      </c>
      <c r="G14226" s="691">
        <v>76.599999999999994</v>
      </c>
      <c r="H14226" s="691">
        <v>76.900000000000006</v>
      </c>
      <c r="I14226" s="691">
        <v>76.900000000000006</v>
      </c>
      <c r="J14226" s="691">
        <v>75.5</v>
      </c>
      <c r="K14226" s="691">
        <v>76.400000000000006</v>
      </c>
    </row>
    <row r="14227" spans="1:11">
      <c r="A14227" s="688" t="s">
        <v>8</v>
      </c>
      <c r="B14227" s="689">
        <v>77.400000000000006</v>
      </c>
      <c r="C14227" s="689">
        <v>77.599999999999994</v>
      </c>
      <c r="D14227" s="689">
        <v>77.599999999999994</v>
      </c>
      <c r="E14227" s="689">
        <v>77.7</v>
      </c>
      <c r="F14227" s="689">
        <v>78.099999999999994</v>
      </c>
      <c r="G14227" s="689">
        <v>78.099999999999994</v>
      </c>
      <c r="H14227" s="689">
        <v>78.599999999999994</v>
      </c>
      <c r="I14227" s="689">
        <v>78.400000000000006</v>
      </c>
      <c r="J14227" s="689">
        <v>78.3</v>
      </c>
      <c r="K14227" s="689">
        <v>78.3</v>
      </c>
    </row>
    <row r="14228" spans="1:11">
      <c r="A14228" s="688" t="s">
        <v>7</v>
      </c>
      <c r="B14228" s="691">
        <v>78.3</v>
      </c>
      <c r="C14228" s="691">
        <v>78.099999999999994</v>
      </c>
      <c r="D14228" s="691">
        <v>77.900000000000006</v>
      </c>
      <c r="E14228" s="691">
        <v>78.099999999999994</v>
      </c>
      <c r="F14228" s="691">
        <v>78.099999999999994</v>
      </c>
      <c r="G14228" s="691">
        <v>78.5</v>
      </c>
      <c r="H14228" s="691">
        <v>78.400000000000006</v>
      </c>
      <c r="I14228" s="691">
        <v>78.099999999999994</v>
      </c>
      <c r="J14228" s="691">
        <v>77.2</v>
      </c>
      <c r="K14228" s="691">
        <v>77.7</v>
      </c>
    </row>
    <row r="14229" spans="1:11">
      <c r="A14229" s="688" t="s">
        <v>27</v>
      </c>
      <c r="B14229" s="689">
        <v>80.3</v>
      </c>
      <c r="C14229" s="689">
        <v>79.900000000000006</v>
      </c>
      <c r="D14229" s="689">
        <v>79.599999999999994</v>
      </c>
      <c r="E14229" s="689">
        <v>80.099999999999994</v>
      </c>
      <c r="F14229" s="689">
        <v>79.900000000000006</v>
      </c>
      <c r="G14229" s="689">
        <v>80.099999999999994</v>
      </c>
      <c r="H14229" s="689">
        <v>80.400000000000006</v>
      </c>
      <c r="I14229" s="689">
        <v>79.2</v>
      </c>
      <c r="J14229" s="689">
        <v>80.099999999999994</v>
      </c>
      <c r="K14229" s="689">
        <v>79.900000000000006</v>
      </c>
    </row>
    <row r="14230" spans="1:11">
      <c r="A14230" s="688" t="s">
        <v>6</v>
      </c>
      <c r="B14230" s="615">
        <v>80</v>
      </c>
      <c r="C14230" s="691">
        <v>79.7</v>
      </c>
      <c r="D14230" s="691">
        <v>79.5</v>
      </c>
      <c r="E14230" s="691">
        <v>79.7</v>
      </c>
      <c r="F14230" s="691">
        <v>79.7</v>
      </c>
      <c r="G14230" s="691">
        <v>79.8</v>
      </c>
      <c r="H14230" s="691">
        <v>79.900000000000006</v>
      </c>
      <c r="I14230" s="691">
        <v>79.5</v>
      </c>
      <c r="J14230" s="691">
        <v>79.599999999999994</v>
      </c>
      <c r="K14230" s="691">
        <v>79.5</v>
      </c>
    </row>
    <row r="14231" spans="1:11">
      <c r="A14231" s="688" t="s">
        <v>4058</v>
      </c>
      <c r="B14231" s="690" t="s">
        <v>4060</v>
      </c>
      <c r="C14231" s="690" t="s">
        <v>4060</v>
      </c>
      <c r="D14231" s="690" t="s">
        <v>4060</v>
      </c>
      <c r="E14231" s="690" t="s">
        <v>4060</v>
      </c>
      <c r="F14231" s="690" t="s">
        <v>4060</v>
      </c>
      <c r="G14231" s="690" t="s">
        <v>4060</v>
      </c>
      <c r="H14231" s="690" t="s">
        <v>4060</v>
      </c>
      <c r="I14231" s="690" t="s">
        <v>4060</v>
      </c>
      <c r="J14231" s="690" t="s">
        <v>4060</v>
      </c>
      <c r="K14231" s="690" t="s">
        <v>4060</v>
      </c>
    </row>
    <row r="14232" spans="1:11">
      <c r="A14232" s="688" t="s">
        <v>11</v>
      </c>
      <c r="B14232" s="691">
        <v>75.3</v>
      </c>
      <c r="C14232" s="691">
        <v>75.2</v>
      </c>
      <c r="D14232" s="691">
        <v>74.8</v>
      </c>
      <c r="E14232" s="691">
        <v>75.5</v>
      </c>
      <c r="F14232" s="691">
        <v>75.099999999999994</v>
      </c>
      <c r="G14232" s="691">
        <v>75.5</v>
      </c>
      <c r="H14232" s="691">
        <v>75.7</v>
      </c>
      <c r="I14232" s="615">
        <v>75</v>
      </c>
      <c r="J14232" s="691">
        <v>74.099999999999994</v>
      </c>
      <c r="K14232" s="691">
        <v>75.099999999999994</v>
      </c>
    </row>
    <row r="14233" spans="1:11">
      <c r="A14233" s="688" t="s">
        <v>10</v>
      </c>
      <c r="B14233" s="689">
        <v>79.5</v>
      </c>
      <c r="C14233" s="689">
        <v>79.3</v>
      </c>
      <c r="D14233" s="689">
        <v>78.8</v>
      </c>
      <c r="E14233" s="689">
        <v>79.400000000000006</v>
      </c>
      <c r="F14233" s="689">
        <v>79.2</v>
      </c>
      <c r="G14233" s="689">
        <v>79.5</v>
      </c>
      <c r="H14233" s="689">
        <v>79.7</v>
      </c>
      <c r="I14233" s="689">
        <v>78.7</v>
      </c>
      <c r="J14233" s="693">
        <v>79</v>
      </c>
      <c r="K14233" s="693">
        <v>79</v>
      </c>
    </row>
    <row r="14234" spans="1:11">
      <c r="A14234" s="688" t="s">
        <v>30</v>
      </c>
      <c r="B14234" s="615">
        <v>79</v>
      </c>
      <c r="C14234" s="691">
        <v>78.3</v>
      </c>
      <c r="D14234" s="615">
        <v>78</v>
      </c>
      <c r="E14234" s="691">
        <v>79.099999999999994</v>
      </c>
      <c r="F14234" s="691">
        <v>78.599999999999994</v>
      </c>
      <c r="G14234" s="615">
        <v>79</v>
      </c>
      <c r="H14234" s="691">
        <v>78.8</v>
      </c>
      <c r="I14234" s="691">
        <v>78.8</v>
      </c>
      <c r="J14234" s="615">
        <v>78</v>
      </c>
      <c r="K14234" s="691">
        <v>78.3</v>
      </c>
    </row>
    <row r="14235" spans="1:11">
      <c r="A14235" s="688" t="s">
        <v>12</v>
      </c>
      <c r="B14235" s="689">
        <v>73.400000000000006</v>
      </c>
      <c r="C14235" s="689">
        <v>73.599999999999994</v>
      </c>
      <c r="D14235" s="689">
        <v>73.599999999999994</v>
      </c>
      <c r="E14235" s="689">
        <v>73.8</v>
      </c>
      <c r="F14235" s="689">
        <v>73.900000000000006</v>
      </c>
      <c r="G14235" s="689">
        <v>73.900000000000006</v>
      </c>
      <c r="H14235" s="689">
        <v>74.400000000000006</v>
      </c>
      <c r="I14235" s="689">
        <v>74.3</v>
      </c>
      <c r="J14235" s="689">
        <v>72.2</v>
      </c>
      <c r="K14235" s="689">
        <v>73.7</v>
      </c>
    </row>
    <row r="14236" spans="1:11">
      <c r="A14236" s="688" t="s">
        <v>14</v>
      </c>
      <c r="B14236" s="691">
        <v>73.900000000000006</v>
      </c>
      <c r="C14236" s="691">
        <v>74.2</v>
      </c>
      <c r="D14236" s="691">
        <v>73.900000000000006</v>
      </c>
      <c r="E14236" s="691">
        <v>74.3</v>
      </c>
      <c r="F14236" s="691">
        <v>74.599999999999994</v>
      </c>
      <c r="G14236" s="691">
        <v>74.8</v>
      </c>
      <c r="H14236" s="691">
        <v>75.2</v>
      </c>
      <c r="I14236" s="691">
        <v>74.3</v>
      </c>
      <c r="J14236" s="691">
        <v>73.099999999999994</v>
      </c>
      <c r="K14236" s="691">
        <v>74.400000000000006</v>
      </c>
    </row>
    <row r="14237" spans="1:11">
      <c r="A14237" s="688" t="s">
        <v>15</v>
      </c>
      <c r="B14237" s="689">
        <v>78.2</v>
      </c>
      <c r="C14237" s="689">
        <v>78.900000000000006</v>
      </c>
      <c r="D14237" s="689">
        <v>78.3</v>
      </c>
      <c r="E14237" s="689">
        <v>79.099999999999994</v>
      </c>
      <c r="F14237" s="689">
        <v>78.2</v>
      </c>
      <c r="G14237" s="689">
        <v>78.7</v>
      </c>
      <c r="H14237" s="689">
        <v>79.099999999999994</v>
      </c>
      <c r="I14237" s="689">
        <v>78.8</v>
      </c>
      <c r="J14237" s="693">
        <v>79</v>
      </c>
      <c r="K14237" s="689">
        <v>79.2</v>
      </c>
    </row>
    <row r="14238" spans="1:11">
      <c r="A14238" s="688" t="s">
        <v>29</v>
      </c>
      <c r="B14238" s="691">
        <v>73.5</v>
      </c>
      <c r="C14238" s="691">
        <v>73.599999999999994</v>
      </c>
      <c r="D14238" s="691">
        <v>73.2</v>
      </c>
      <c r="E14238" s="691">
        <v>73.8</v>
      </c>
      <c r="F14238" s="691">
        <v>73.5</v>
      </c>
      <c r="G14238" s="691">
        <v>73.7</v>
      </c>
      <c r="H14238" s="691">
        <v>73.8</v>
      </c>
      <c r="I14238" s="691">
        <v>73.099999999999994</v>
      </c>
      <c r="J14238" s="691">
        <v>71.8</v>
      </c>
      <c r="K14238" s="691">
        <v>73.5</v>
      </c>
    </row>
    <row r="14239" spans="1:11">
      <c r="A14239" s="688" t="s">
        <v>16</v>
      </c>
      <c r="B14239" s="689">
        <v>78.599999999999994</v>
      </c>
      <c r="C14239" s="689">
        <v>78.400000000000006</v>
      </c>
      <c r="D14239" s="689">
        <v>78.2</v>
      </c>
      <c r="E14239" s="689">
        <v>78.400000000000006</v>
      </c>
      <c r="F14239" s="689">
        <v>78.599999999999994</v>
      </c>
      <c r="G14239" s="689">
        <v>78.400000000000006</v>
      </c>
      <c r="H14239" s="689">
        <v>78.8</v>
      </c>
      <c r="I14239" s="689">
        <v>78.5</v>
      </c>
      <c r="J14239" s="689">
        <v>78.2</v>
      </c>
      <c r="K14239" s="689">
        <v>78.599999999999994</v>
      </c>
    </row>
    <row r="14240" spans="1:11">
      <c r="A14240" s="688" t="s">
        <v>17</v>
      </c>
      <c r="B14240" s="691">
        <v>77.5</v>
      </c>
      <c r="C14240" s="691">
        <v>77.599999999999994</v>
      </c>
      <c r="D14240" s="691">
        <v>77.400000000000006</v>
      </c>
      <c r="E14240" s="691">
        <v>77.400000000000006</v>
      </c>
      <c r="F14240" s="691">
        <v>77.599999999999994</v>
      </c>
      <c r="G14240" s="691">
        <v>77.599999999999994</v>
      </c>
      <c r="H14240" s="691">
        <v>77.900000000000006</v>
      </c>
      <c r="I14240" s="691">
        <v>77.400000000000006</v>
      </c>
      <c r="J14240" s="691">
        <v>77.3</v>
      </c>
      <c r="K14240" s="691">
        <v>77.400000000000006</v>
      </c>
    </row>
    <row r="14241" spans="1:11">
      <c r="A14241" s="688" t="s">
        <v>19</v>
      </c>
      <c r="B14241" s="689">
        <v>78.099999999999994</v>
      </c>
      <c r="C14241" s="693">
        <v>78</v>
      </c>
      <c r="D14241" s="689">
        <v>77.900000000000006</v>
      </c>
      <c r="E14241" s="689">
        <v>78.3</v>
      </c>
      <c r="F14241" s="689">
        <v>78.2</v>
      </c>
      <c r="G14241" s="689">
        <v>78.3</v>
      </c>
      <c r="H14241" s="689">
        <v>78.5</v>
      </c>
      <c r="I14241" s="693">
        <v>78</v>
      </c>
      <c r="J14241" s="693">
        <v>78</v>
      </c>
      <c r="K14241" s="693">
        <v>78</v>
      </c>
    </row>
    <row r="14242" spans="1:11">
      <c r="A14242" s="688" t="s">
        <v>20</v>
      </c>
      <c r="B14242" s="691">
        <v>75.599999999999994</v>
      </c>
      <c r="C14242" s="691">
        <v>75.8</v>
      </c>
      <c r="D14242" s="691">
        <v>75.599999999999994</v>
      </c>
      <c r="E14242" s="691">
        <v>76.099999999999994</v>
      </c>
      <c r="F14242" s="691">
        <v>75.900000000000006</v>
      </c>
      <c r="G14242" s="691">
        <v>75.8</v>
      </c>
      <c r="H14242" s="691">
        <v>76.099999999999994</v>
      </c>
      <c r="I14242" s="691">
        <v>74.900000000000006</v>
      </c>
      <c r="J14242" s="691">
        <v>73.8</v>
      </c>
      <c r="K14242" s="691">
        <v>75.3</v>
      </c>
    </row>
    <row r="14243" spans="1:11">
      <c r="A14243" s="688" t="s">
        <v>21</v>
      </c>
      <c r="B14243" s="689">
        <v>78.3</v>
      </c>
      <c r="C14243" s="689">
        <v>78.599999999999994</v>
      </c>
      <c r="D14243" s="689">
        <v>78.5</v>
      </c>
      <c r="E14243" s="689">
        <v>78.599999999999994</v>
      </c>
      <c r="F14243" s="689">
        <v>78.8</v>
      </c>
      <c r="G14243" s="689">
        <v>78.8</v>
      </c>
      <c r="H14243" s="693">
        <v>79</v>
      </c>
      <c r="I14243" s="689">
        <v>78.5</v>
      </c>
      <c r="J14243" s="689">
        <v>78.5</v>
      </c>
      <c r="K14243" s="689">
        <v>78.7</v>
      </c>
    </row>
    <row r="14244" spans="1:11">
      <c r="A14244" s="688" t="s">
        <v>22</v>
      </c>
      <c r="B14244" s="691">
        <v>73.5</v>
      </c>
      <c r="C14244" s="691">
        <v>73.2</v>
      </c>
      <c r="D14244" s="691">
        <v>73.2</v>
      </c>
      <c r="E14244" s="691">
        <v>73.5</v>
      </c>
      <c r="F14244" s="691">
        <v>73.5</v>
      </c>
      <c r="G14244" s="691">
        <v>73.599999999999994</v>
      </c>
      <c r="H14244" s="615">
        <v>74</v>
      </c>
      <c r="I14244" s="691">
        <v>72.7</v>
      </c>
      <c r="J14244" s="691">
        <v>71.099999999999994</v>
      </c>
      <c r="K14244" s="691">
        <v>73.599999999999994</v>
      </c>
    </row>
    <row r="14245" spans="1:11">
      <c r="A14245" s="688" t="s">
        <v>26</v>
      </c>
      <c r="B14245" s="689">
        <v>77.900000000000006</v>
      </c>
      <c r="C14245" s="689">
        <v>77.900000000000006</v>
      </c>
      <c r="D14245" s="689">
        <v>77.7</v>
      </c>
      <c r="E14245" s="689">
        <v>78.099999999999994</v>
      </c>
      <c r="F14245" s="689">
        <v>77.900000000000006</v>
      </c>
      <c r="G14245" s="689">
        <v>78.2</v>
      </c>
      <c r="H14245" s="689">
        <v>78.400000000000006</v>
      </c>
      <c r="I14245" s="689">
        <v>77.599999999999994</v>
      </c>
      <c r="J14245" s="689">
        <v>77.900000000000006</v>
      </c>
      <c r="K14245" s="689">
        <v>78.099999999999994</v>
      </c>
    </row>
    <row r="14246" spans="1:11">
      <c r="A14246" s="688" t="s">
        <v>25</v>
      </c>
      <c r="B14246" s="691">
        <v>74.599999999999994</v>
      </c>
      <c r="C14246" s="691">
        <v>74.900000000000006</v>
      </c>
      <c r="D14246" s="691">
        <v>74.599999999999994</v>
      </c>
      <c r="E14246" s="615">
        <v>75</v>
      </c>
      <c r="F14246" s="615">
        <v>75</v>
      </c>
      <c r="G14246" s="691">
        <v>75.099999999999994</v>
      </c>
      <c r="H14246" s="691">
        <v>75.5</v>
      </c>
      <c r="I14246" s="691">
        <v>74.8</v>
      </c>
      <c r="J14246" s="691">
        <v>72.599999999999994</v>
      </c>
      <c r="K14246" s="691">
        <v>74.900000000000006</v>
      </c>
    </row>
    <row r="14247" spans="1:11">
      <c r="A14247" s="688" t="s">
        <v>5</v>
      </c>
      <c r="B14247" s="689">
        <v>78.3</v>
      </c>
      <c r="C14247" s="689">
        <v>78.099999999999994</v>
      </c>
      <c r="D14247" s="689">
        <v>78.3</v>
      </c>
      <c r="E14247" s="689">
        <v>78.3</v>
      </c>
      <c r="F14247" s="689">
        <v>78.400000000000006</v>
      </c>
      <c r="G14247" s="689">
        <v>78.5</v>
      </c>
      <c r="H14247" s="689">
        <v>78.7</v>
      </c>
      <c r="I14247" s="689">
        <v>78.8</v>
      </c>
      <c r="J14247" s="689">
        <v>78.7</v>
      </c>
      <c r="K14247" s="693">
        <v>78</v>
      </c>
    </row>
    <row r="14248" spans="1:11">
      <c r="A14248" s="688" t="s">
        <v>23</v>
      </c>
      <c r="B14248" s="615">
        <v>78</v>
      </c>
      <c r="C14248" s="691">
        <v>78.3</v>
      </c>
      <c r="D14248" s="691">
        <v>78.2</v>
      </c>
      <c r="E14248" s="691">
        <v>78.3</v>
      </c>
      <c r="F14248" s="691">
        <v>78.3</v>
      </c>
      <c r="G14248" s="691">
        <v>78.5</v>
      </c>
      <c r="H14248" s="691">
        <v>78.900000000000006</v>
      </c>
      <c r="I14248" s="691">
        <v>78.5</v>
      </c>
      <c r="J14248" s="615">
        <v>79</v>
      </c>
      <c r="K14248" s="691">
        <v>78.900000000000006</v>
      </c>
    </row>
    <row r="14249" spans="1:11">
      <c r="A14249" s="688" t="s">
        <v>4067</v>
      </c>
      <c r="B14249" s="689">
        <v>77.599999999999994</v>
      </c>
      <c r="C14249" s="693">
        <v>78</v>
      </c>
      <c r="D14249" s="689">
        <v>77.599999999999994</v>
      </c>
      <c r="E14249" s="693">
        <v>78</v>
      </c>
      <c r="F14249" s="689">
        <v>77.900000000000006</v>
      </c>
      <c r="G14249" s="693">
        <v>78</v>
      </c>
      <c r="H14249" s="690" t="s">
        <v>4060</v>
      </c>
      <c r="I14249" s="690" t="s">
        <v>4060</v>
      </c>
      <c r="J14249" s="690" t="s">
        <v>4060</v>
      </c>
      <c r="K14249" s="690" t="s">
        <v>4060</v>
      </c>
    </row>
    <row r="14250" spans="1:11">
      <c r="A14250" s="688" t="s">
        <v>4066</v>
      </c>
      <c r="B14250" s="691">
        <v>77.7</v>
      </c>
      <c r="C14250" s="615">
        <v>78</v>
      </c>
      <c r="D14250" s="691">
        <v>77.599999999999994</v>
      </c>
      <c r="E14250" s="615">
        <v>78</v>
      </c>
      <c r="F14250" s="691">
        <v>77.900000000000006</v>
      </c>
      <c r="G14250" s="615">
        <v>78</v>
      </c>
      <c r="H14250" s="692" t="s">
        <v>4060</v>
      </c>
      <c r="I14250" s="692" t="s">
        <v>4060</v>
      </c>
      <c r="J14250" s="692" t="s">
        <v>4060</v>
      </c>
      <c r="K14250" s="692" t="s">
        <v>4060</v>
      </c>
    </row>
    <row r="14251" spans="1:11">
      <c r="A14251" s="688" t="s">
        <v>4062</v>
      </c>
      <c r="B14251" s="689">
        <v>78.8</v>
      </c>
      <c r="C14251" s="693">
        <v>79</v>
      </c>
      <c r="D14251" s="689">
        <v>78.900000000000006</v>
      </c>
      <c r="E14251" s="689">
        <v>79.099999999999994</v>
      </c>
      <c r="F14251" s="689">
        <v>79.2</v>
      </c>
      <c r="G14251" s="689">
        <v>79.3</v>
      </c>
      <c r="H14251" s="689">
        <v>79.5</v>
      </c>
      <c r="I14251" s="689">
        <v>79.2</v>
      </c>
      <c r="J14251" s="689">
        <v>79.5</v>
      </c>
      <c r="K14251" s="689">
        <v>79.2</v>
      </c>
    </row>
    <row r="14252" spans="1:11">
      <c r="A14252" s="688" t="s">
        <v>9</v>
      </c>
      <c r="B14252" s="615">
        <v>78</v>
      </c>
      <c r="C14252" s="691">
        <v>78.400000000000006</v>
      </c>
      <c r="D14252" s="691">
        <v>77.8</v>
      </c>
      <c r="E14252" s="615">
        <v>78</v>
      </c>
      <c r="F14252" s="691">
        <v>78.5</v>
      </c>
      <c r="G14252" s="691">
        <v>78.400000000000006</v>
      </c>
      <c r="H14252" s="691">
        <v>78.599999999999994</v>
      </c>
      <c r="I14252" s="691">
        <v>78.5</v>
      </c>
      <c r="J14252" s="691">
        <v>78.8</v>
      </c>
      <c r="K14252" s="691">
        <v>77.8</v>
      </c>
    </row>
    <row r="14253" spans="1:11">
      <c r="A14253" s="688" t="s">
        <v>13</v>
      </c>
      <c r="B14253" s="689">
        <v>78.900000000000006</v>
      </c>
      <c r="C14253" s="689">
        <v>77.7</v>
      </c>
      <c r="D14253" s="689">
        <v>78.3</v>
      </c>
      <c r="E14253" s="689">
        <v>77.900000000000006</v>
      </c>
      <c r="F14253" s="689">
        <v>79.8</v>
      </c>
      <c r="G14253" s="689">
        <v>79.599999999999994</v>
      </c>
      <c r="H14253" s="689">
        <v>79.5</v>
      </c>
      <c r="I14253" s="689">
        <v>77.8</v>
      </c>
      <c r="J14253" s="689">
        <v>80.099999999999994</v>
      </c>
      <c r="K14253" s="689">
        <v>79.2</v>
      </c>
    </row>
    <row r="14254" spans="1:11">
      <c r="A14254" s="688" t="s">
        <v>18</v>
      </c>
      <c r="B14254" s="615">
        <v>78</v>
      </c>
      <c r="C14254" s="691">
        <v>78.3</v>
      </c>
      <c r="D14254" s="691">
        <v>78.400000000000006</v>
      </c>
      <c r="E14254" s="691">
        <v>78.400000000000006</v>
      </c>
      <c r="F14254" s="691">
        <v>78.5</v>
      </c>
      <c r="G14254" s="691">
        <v>78.7</v>
      </c>
      <c r="H14254" s="691">
        <v>78.900000000000006</v>
      </c>
      <c r="I14254" s="615">
        <v>79</v>
      </c>
      <c r="J14254" s="691">
        <v>78.900000000000006</v>
      </c>
      <c r="K14254" s="691">
        <v>78.5</v>
      </c>
    </row>
    <row r="14255" spans="1:11">
      <c r="A14255" s="688" t="s">
        <v>24</v>
      </c>
      <c r="B14255" s="689">
        <v>79.3</v>
      </c>
      <c r="C14255" s="689">
        <v>79.400000000000006</v>
      </c>
      <c r="D14255" s="689">
        <v>79.2</v>
      </c>
      <c r="E14255" s="689">
        <v>79.599999999999994</v>
      </c>
      <c r="F14255" s="689">
        <v>79.7</v>
      </c>
      <c r="G14255" s="689">
        <v>79.7</v>
      </c>
      <c r="H14255" s="689">
        <v>79.900000000000006</v>
      </c>
      <c r="I14255" s="689">
        <v>79.400000000000006</v>
      </c>
      <c r="J14255" s="689">
        <v>79.900000000000006</v>
      </c>
      <c r="K14255" s="689">
        <v>79.7</v>
      </c>
    </row>
    <row r="14256" spans="1:11">
      <c r="A14256" s="688" t="s">
        <v>4059</v>
      </c>
      <c r="B14256" s="691">
        <v>77.3</v>
      </c>
      <c r="C14256" s="691">
        <v>77.5</v>
      </c>
      <c r="D14256" s="691">
        <v>77.099999999999994</v>
      </c>
      <c r="E14256" s="691">
        <v>77.400000000000006</v>
      </c>
      <c r="F14256" s="691">
        <v>77.400000000000006</v>
      </c>
      <c r="G14256" s="691">
        <v>77.400000000000006</v>
      </c>
      <c r="H14256" s="692" t="s">
        <v>4060</v>
      </c>
      <c r="I14256" s="692" t="s">
        <v>4060</v>
      </c>
      <c r="J14256" s="692" t="s">
        <v>4060</v>
      </c>
      <c r="K14256" s="692" t="s">
        <v>4060</v>
      </c>
    </row>
    <row r="14257" spans="1:11">
      <c r="A14257" s="688" t="s">
        <v>2324</v>
      </c>
      <c r="B14257" s="689">
        <v>73.3</v>
      </c>
      <c r="C14257" s="689">
        <v>73.3</v>
      </c>
      <c r="D14257" s="689">
        <v>72.900000000000006</v>
      </c>
      <c r="E14257" s="689">
        <v>73.3</v>
      </c>
      <c r="F14257" s="689">
        <v>73.400000000000006</v>
      </c>
      <c r="G14257" s="689">
        <v>73.5</v>
      </c>
      <c r="H14257" s="689">
        <v>73.8</v>
      </c>
      <c r="I14257" s="689">
        <v>73.099999999999994</v>
      </c>
      <c r="J14257" s="689">
        <v>71.099999999999994</v>
      </c>
      <c r="K14257" s="690" t="s">
        <v>4060</v>
      </c>
    </row>
    <row r="14258" spans="1:11">
      <c r="A14258" s="688" t="s">
        <v>2322</v>
      </c>
      <c r="B14258" s="692" t="s">
        <v>4060</v>
      </c>
      <c r="C14258" s="692" t="s">
        <v>4060</v>
      </c>
      <c r="D14258" s="692" t="s">
        <v>4060</v>
      </c>
      <c r="E14258" s="692" t="s">
        <v>4060</v>
      </c>
      <c r="F14258" s="692" t="s">
        <v>4060</v>
      </c>
      <c r="G14258" s="692" t="s">
        <v>4060</v>
      </c>
      <c r="H14258" s="692" t="s">
        <v>4060</v>
      </c>
      <c r="I14258" s="692" t="s">
        <v>4060</v>
      </c>
      <c r="J14258" s="692" t="s">
        <v>4060</v>
      </c>
      <c r="K14258" s="692" t="s">
        <v>4060</v>
      </c>
    </row>
    <row r="14259" spans="1:11">
      <c r="A14259" s="688" t="s">
        <v>2328</v>
      </c>
      <c r="B14259" s="689">
        <v>72.400000000000006</v>
      </c>
      <c r="C14259" s="689">
        <v>72.3</v>
      </c>
      <c r="D14259" s="689">
        <v>72.099999999999994</v>
      </c>
      <c r="E14259" s="689">
        <v>72.5</v>
      </c>
      <c r="F14259" s="689">
        <v>72.7</v>
      </c>
      <c r="G14259" s="689">
        <v>73.2</v>
      </c>
      <c r="H14259" s="693">
        <v>73</v>
      </c>
      <c r="I14259" s="689">
        <v>71.2</v>
      </c>
      <c r="J14259" s="689">
        <v>69.900000000000006</v>
      </c>
      <c r="K14259" s="690" t="s">
        <v>4060</v>
      </c>
    </row>
    <row r="14260" spans="1:11">
      <c r="A14260" s="688" t="s">
        <v>2496</v>
      </c>
      <c r="B14260" s="692" t="s">
        <v>4060</v>
      </c>
      <c r="C14260" s="691">
        <v>73.099999999999994</v>
      </c>
      <c r="D14260" s="691">
        <v>72.2</v>
      </c>
      <c r="E14260" s="691">
        <v>71.900000000000006</v>
      </c>
      <c r="F14260" s="691">
        <v>72.599999999999994</v>
      </c>
      <c r="G14260" s="691">
        <v>72.900000000000006</v>
      </c>
      <c r="H14260" s="615">
        <v>73</v>
      </c>
      <c r="I14260" s="692" t="s">
        <v>4060</v>
      </c>
      <c r="J14260" s="692" t="s">
        <v>4060</v>
      </c>
      <c r="K14260" s="691">
        <v>72.8</v>
      </c>
    </row>
    <row r="14261" spans="1:11">
      <c r="A14261" s="688" t="s">
        <v>2269</v>
      </c>
      <c r="B14261" s="689">
        <v>74.8</v>
      </c>
      <c r="C14261" s="689">
        <v>74.900000000000006</v>
      </c>
      <c r="D14261" s="689">
        <v>74.3</v>
      </c>
      <c r="E14261" s="689">
        <v>74.900000000000006</v>
      </c>
      <c r="F14261" s="689">
        <v>74.8</v>
      </c>
      <c r="G14261" s="689">
        <v>75.3</v>
      </c>
      <c r="H14261" s="689">
        <v>75.5</v>
      </c>
      <c r="I14261" s="689">
        <v>74.400000000000006</v>
      </c>
      <c r="J14261" s="689">
        <v>72.3</v>
      </c>
      <c r="K14261" s="689">
        <v>75.400000000000006</v>
      </c>
    </row>
    <row r="14262" spans="1:11">
      <c r="A14262" s="688" t="s">
        <v>2349</v>
      </c>
      <c r="B14262" s="691">
        <v>72.400000000000006</v>
      </c>
      <c r="C14262" s="691">
        <v>72.400000000000006</v>
      </c>
      <c r="D14262" s="691">
        <v>72.400000000000006</v>
      </c>
      <c r="E14262" s="691">
        <v>72.7</v>
      </c>
      <c r="F14262" s="691">
        <v>72.5</v>
      </c>
      <c r="G14262" s="691">
        <v>72.900000000000006</v>
      </c>
      <c r="H14262" s="615">
        <v>73</v>
      </c>
      <c r="I14262" s="691">
        <v>71.900000000000006</v>
      </c>
      <c r="J14262" s="691">
        <v>70.099999999999994</v>
      </c>
      <c r="K14262" s="691">
        <v>72.2</v>
      </c>
    </row>
    <row r="14263" spans="1:11">
      <c r="A14263" s="688" t="s">
        <v>2355</v>
      </c>
      <c r="B14263" s="689">
        <v>76.2</v>
      </c>
      <c r="C14263" s="693">
        <v>76</v>
      </c>
      <c r="D14263" s="693">
        <v>76</v>
      </c>
      <c r="E14263" s="689">
        <v>75.900000000000006</v>
      </c>
      <c r="F14263" s="689">
        <v>76.2</v>
      </c>
      <c r="G14263" s="689">
        <v>76.5</v>
      </c>
      <c r="H14263" s="689">
        <v>76.599999999999994</v>
      </c>
      <c r="I14263" s="690" t="s">
        <v>4060</v>
      </c>
      <c r="J14263" s="690" t="s">
        <v>4060</v>
      </c>
      <c r="K14263" s="690" t="s">
        <v>4060</v>
      </c>
    </row>
    <row r="14264" spans="1:11">
      <c r="A14264" s="688" t="s">
        <v>2357</v>
      </c>
      <c r="B14264" s="692" t="s">
        <v>4060</v>
      </c>
      <c r="C14264" s="691">
        <v>71.400000000000006</v>
      </c>
      <c r="D14264" s="691">
        <v>71.900000000000006</v>
      </c>
      <c r="E14264" s="691">
        <v>72.2</v>
      </c>
      <c r="F14264" s="691">
        <v>72.599999999999994</v>
      </c>
      <c r="G14264" s="691">
        <v>72.599999999999994</v>
      </c>
      <c r="H14264" s="691">
        <v>72.8</v>
      </c>
      <c r="I14264" s="692" t="s">
        <v>4060</v>
      </c>
      <c r="J14264" s="692" t="s">
        <v>4060</v>
      </c>
      <c r="K14264" s="692" t="s">
        <v>4060</v>
      </c>
    </row>
    <row r="14265" spans="1:11">
      <c r="A14265" s="688" t="s">
        <v>4070</v>
      </c>
      <c r="B14265" s="690" t="s">
        <v>4060</v>
      </c>
      <c r="C14265" s="690" t="s">
        <v>4060</v>
      </c>
      <c r="D14265" s="690" t="s">
        <v>4060</v>
      </c>
      <c r="E14265" s="689">
        <v>76.099999999999994</v>
      </c>
      <c r="F14265" s="690" t="s">
        <v>4060</v>
      </c>
      <c r="G14265" s="690" t="s">
        <v>4060</v>
      </c>
      <c r="H14265" s="690" t="s">
        <v>4060</v>
      </c>
      <c r="I14265" s="690" t="s">
        <v>4060</v>
      </c>
      <c r="J14265" s="690" t="s">
        <v>4060</v>
      </c>
      <c r="K14265" s="690" t="s">
        <v>4060</v>
      </c>
    </row>
    <row r="14266" spans="1:11">
      <c r="A14266" s="688" t="s">
        <v>2491</v>
      </c>
      <c r="B14266" s="691">
        <v>72.400000000000006</v>
      </c>
      <c r="C14266" s="691">
        <v>72.900000000000006</v>
      </c>
      <c r="D14266" s="691">
        <v>73.3</v>
      </c>
      <c r="E14266" s="691">
        <v>73.5</v>
      </c>
      <c r="F14266" s="691">
        <v>73.599999999999994</v>
      </c>
      <c r="G14266" s="691">
        <v>73.7</v>
      </c>
      <c r="H14266" s="692" t="s">
        <v>4060</v>
      </c>
      <c r="I14266" s="692" t="s">
        <v>4060</v>
      </c>
      <c r="J14266" s="692" t="s">
        <v>4060</v>
      </c>
      <c r="K14266" s="692" t="s">
        <v>4060</v>
      </c>
    </row>
    <row r="14267" spans="1:11">
      <c r="A14267" s="688" t="s">
        <v>2343</v>
      </c>
      <c r="B14267" s="690" t="s">
        <v>4060</v>
      </c>
      <c r="C14267" s="690" t="s">
        <v>4060</v>
      </c>
      <c r="D14267" s="690" t="s">
        <v>4060</v>
      </c>
      <c r="E14267" s="690" t="s">
        <v>4060</v>
      </c>
      <c r="F14267" s="690" t="s">
        <v>4060</v>
      </c>
      <c r="G14267" s="690" t="s">
        <v>4060</v>
      </c>
      <c r="H14267" s="690" t="s">
        <v>4060</v>
      </c>
      <c r="I14267" s="690" t="s">
        <v>4060</v>
      </c>
      <c r="J14267" s="690" t="s">
        <v>4060</v>
      </c>
      <c r="K14267" s="690" t="s">
        <v>4060</v>
      </c>
    </row>
    <row r="14268" spans="1:11">
      <c r="A14268" s="688" t="s">
        <v>4071</v>
      </c>
      <c r="B14268" s="692" t="s">
        <v>4060</v>
      </c>
      <c r="C14268" s="692" t="s">
        <v>4060</v>
      </c>
      <c r="D14268" s="692" t="s">
        <v>4060</v>
      </c>
      <c r="E14268" s="692" t="s">
        <v>4060</v>
      </c>
      <c r="F14268" s="692" t="s">
        <v>4060</v>
      </c>
      <c r="G14268" s="692" t="s">
        <v>4060</v>
      </c>
      <c r="H14268" s="692" t="s">
        <v>4060</v>
      </c>
      <c r="I14268" s="692" t="s">
        <v>4060</v>
      </c>
      <c r="J14268" s="692" t="s">
        <v>4060</v>
      </c>
      <c r="K14268" s="692" t="s">
        <v>4060</v>
      </c>
    </row>
    <row r="14269" spans="1:11">
      <c r="A14269" s="688" t="s">
        <v>2489</v>
      </c>
      <c r="B14269" s="690" t="s">
        <v>4060</v>
      </c>
      <c r="C14269" s="690" t="s">
        <v>4060</v>
      </c>
      <c r="D14269" s="693">
        <v>73</v>
      </c>
      <c r="E14269" s="689">
        <v>73.099999999999994</v>
      </c>
      <c r="F14269" s="689">
        <v>73.599999999999994</v>
      </c>
      <c r="G14269" s="689">
        <v>74.3</v>
      </c>
      <c r="H14269" s="689">
        <v>74.3</v>
      </c>
      <c r="I14269" s="690" t="s">
        <v>4060</v>
      </c>
      <c r="J14269" s="690" t="s">
        <v>4060</v>
      </c>
      <c r="K14269" s="690" t="s">
        <v>4060</v>
      </c>
    </row>
    <row r="14270" spans="1:11">
      <c r="A14270" s="688" t="s">
        <v>2490</v>
      </c>
      <c r="B14270" s="691">
        <v>72.099999999999994</v>
      </c>
      <c r="C14270" s="691">
        <v>72.2</v>
      </c>
      <c r="D14270" s="691">
        <v>72.7</v>
      </c>
      <c r="E14270" s="692" t="s">
        <v>4060</v>
      </c>
      <c r="F14270" s="691">
        <v>72.8</v>
      </c>
      <c r="G14270" s="691">
        <v>73.2</v>
      </c>
      <c r="H14270" s="691">
        <v>73.8</v>
      </c>
      <c r="I14270" s="692" t="s">
        <v>4060</v>
      </c>
      <c r="J14270" s="692" t="s">
        <v>4060</v>
      </c>
      <c r="K14270" s="692" t="s">
        <v>4060</v>
      </c>
    </row>
    <row r="14272" spans="1:11">
      <c r="A14272" s="683" t="s">
        <v>4233</v>
      </c>
    </row>
    <row r="14273" spans="1:11">
      <c r="A14273" s="683" t="s">
        <v>4060</v>
      </c>
      <c r="B14273" s="682" t="s">
        <v>4234</v>
      </c>
    </row>
    <row r="14275" spans="1:11">
      <c r="A14275" s="682" t="s">
        <v>4332</v>
      </c>
    </row>
    <row r="14276" spans="1:11">
      <c r="A14276" s="682" t="s">
        <v>4210</v>
      </c>
      <c r="B14276" s="683" t="s">
        <v>4211</v>
      </c>
    </row>
    <row r="14277" spans="1:11">
      <c r="A14277" s="682" t="s">
        <v>4212</v>
      </c>
      <c r="B14277" s="682" t="s">
        <v>4213</v>
      </c>
    </row>
    <row r="14279" spans="1:11">
      <c r="A14279" s="683" t="s">
        <v>4214</v>
      </c>
      <c r="C14279" s="682" t="s">
        <v>4215</v>
      </c>
    </row>
    <row r="14280" spans="1:11">
      <c r="A14280" s="683" t="s">
        <v>4216</v>
      </c>
      <c r="C14280" s="682" t="s">
        <v>2967</v>
      </c>
    </row>
    <row r="14281" spans="1:11">
      <c r="A14281" s="683" t="s">
        <v>3893</v>
      </c>
      <c r="C14281" s="682" t="s">
        <v>2169</v>
      </c>
    </row>
    <row r="14282" spans="1:11">
      <c r="A14282" s="683" t="s">
        <v>4218</v>
      </c>
      <c r="C14282" s="682" t="s">
        <v>4241</v>
      </c>
    </row>
    <row r="14284" spans="1:11">
      <c r="A14284" s="684" t="s">
        <v>4220</v>
      </c>
      <c r="B14284" s="685" t="s">
        <v>4221</v>
      </c>
      <c r="C14284" s="685" t="s">
        <v>4222</v>
      </c>
      <c r="D14284" s="685" t="s">
        <v>4223</v>
      </c>
      <c r="E14284" s="685" t="s">
        <v>4224</v>
      </c>
      <c r="F14284" s="685" t="s">
        <v>4225</v>
      </c>
      <c r="G14284" s="685" t="s">
        <v>4226</v>
      </c>
      <c r="H14284" s="685" t="s">
        <v>4227</v>
      </c>
      <c r="I14284" s="685" t="s">
        <v>4228</v>
      </c>
      <c r="J14284" s="685" t="s">
        <v>4229</v>
      </c>
      <c r="K14284" s="685" t="s">
        <v>4230</v>
      </c>
    </row>
    <row r="14285" spans="1:11">
      <c r="A14285" s="686" t="s">
        <v>4231</v>
      </c>
      <c r="B14285" s="687" t="s">
        <v>4232</v>
      </c>
      <c r="C14285" s="687" t="s">
        <v>4232</v>
      </c>
      <c r="D14285" s="687" t="s">
        <v>4232</v>
      </c>
      <c r="E14285" s="687" t="s">
        <v>4232</v>
      </c>
      <c r="F14285" s="687" t="s">
        <v>4232</v>
      </c>
      <c r="G14285" s="687" t="s">
        <v>4232</v>
      </c>
      <c r="H14285" s="687" t="s">
        <v>4232</v>
      </c>
      <c r="I14285" s="687" t="s">
        <v>4232</v>
      </c>
      <c r="J14285" s="687" t="s">
        <v>4232</v>
      </c>
      <c r="K14285" s="687" t="s">
        <v>4232</v>
      </c>
    </row>
    <row r="14286" spans="1:11">
      <c r="A14286" s="688" t="s">
        <v>4064</v>
      </c>
      <c r="B14286" s="691">
        <v>76.7</v>
      </c>
      <c r="C14286" s="691">
        <v>76.7</v>
      </c>
      <c r="D14286" s="691">
        <v>76.7</v>
      </c>
      <c r="E14286" s="691">
        <v>76.8</v>
      </c>
      <c r="F14286" s="691">
        <v>76.7</v>
      </c>
      <c r="G14286" s="691">
        <v>76.8</v>
      </c>
      <c r="H14286" s="691">
        <v>77.099999999999994</v>
      </c>
      <c r="I14286" s="691">
        <v>76.400000000000006</v>
      </c>
      <c r="J14286" s="691">
        <v>76.099999999999994</v>
      </c>
      <c r="K14286" s="691">
        <v>76.599999999999994</v>
      </c>
    </row>
    <row r="14287" spans="1:11">
      <c r="A14287" s="688" t="s">
        <v>4065</v>
      </c>
      <c r="B14287" s="689">
        <v>76.599999999999994</v>
      </c>
      <c r="C14287" s="693">
        <v>77</v>
      </c>
      <c r="D14287" s="689">
        <v>76.599999999999994</v>
      </c>
      <c r="E14287" s="693">
        <v>77</v>
      </c>
      <c r="F14287" s="689">
        <v>76.900000000000006</v>
      </c>
      <c r="G14287" s="693">
        <v>77</v>
      </c>
      <c r="H14287" s="690" t="s">
        <v>4060</v>
      </c>
      <c r="I14287" s="690" t="s">
        <v>4060</v>
      </c>
      <c r="J14287" s="690" t="s">
        <v>4060</v>
      </c>
      <c r="K14287" s="690" t="s">
        <v>4060</v>
      </c>
    </row>
    <row r="14288" spans="1:11">
      <c r="A14288" s="688" t="s">
        <v>4063</v>
      </c>
      <c r="B14288" s="691">
        <v>76.7</v>
      </c>
      <c r="C14288" s="615">
        <v>77</v>
      </c>
      <c r="D14288" s="691">
        <v>76.599999999999994</v>
      </c>
      <c r="E14288" s="615">
        <v>77</v>
      </c>
      <c r="F14288" s="691">
        <v>76.900000000000006</v>
      </c>
      <c r="G14288" s="615">
        <v>77</v>
      </c>
      <c r="H14288" s="692" t="s">
        <v>4060</v>
      </c>
      <c r="I14288" s="692" t="s">
        <v>4060</v>
      </c>
      <c r="J14288" s="692" t="s">
        <v>4060</v>
      </c>
      <c r="K14288" s="692" t="s">
        <v>4060</v>
      </c>
    </row>
    <row r="14289" spans="1:11">
      <c r="A14289" s="688" t="s">
        <v>4069</v>
      </c>
      <c r="B14289" s="690" t="s">
        <v>4060</v>
      </c>
      <c r="C14289" s="689">
        <v>77.5</v>
      </c>
      <c r="D14289" s="689">
        <v>77.2</v>
      </c>
      <c r="E14289" s="689">
        <v>77.599999999999994</v>
      </c>
      <c r="F14289" s="689">
        <v>77.5</v>
      </c>
      <c r="G14289" s="689">
        <v>77.599999999999994</v>
      </c>
      <c r="H14289" s="689">
        <v>77.900000000000006</v>
      </c>
      <c r="I14289" s="689">
        <v>77.3</v>
      </c>
      <c r="J14289" s="689">
        <v>77.3</v>
      </c>
      <c r="K14289" s="689">
        <v>77.3</v>
      </c>
    </row>
    <row r="14290" spans="1:11">
      <c r="A14290" s="688" t="s">
        <v>4068</v>
      </c>
      <c r="B14290" s="691">
        <v>77.599999999999994</v>
      </c>
      <c r="C14290" s="692" t="s">
        <v>4060</v>
      </c>
      <c r="D14290" s="692" t="s">
        <v>4060</v>
      </c>
      <c r="E14290" s="692" t="s">
        <v>4060</v>
      </c>
      <c r="F14290" s="692" t="s">
        <v>4060</v>
      </c>
      <c r="G14290" s="692" t="s">
        <v>4060</v>
      </c>
      <c r="H14290" s="692" t="s">
        <v>4060</v>
      </c>
      <c r="I14290" s="692" t="s">
        <v>4060</v>
      </c>
      <c r="J14290" s="692" t="s">
        <v>4060</v>
      </c>
      <c r="K14290" s="692" t="s">
        <v>4060</v>
      </c>
    </row>
    <row r="14291" spans="1:11">
      <c r="A14291" s="688" t="s">
        <v>0</v>
      </c>
      <c r="B14291" s="689">
        <v>76.599999999999994</v>
      </c>
      <c r="C14291" s="689">
        <v>76.8</v>
      </c>
      <c r="D14291" s="689">
        <v>76.5</v>
      </c>
      <c r="E14291" s="693">
        <v>77</v>
      </c>
      <c r="F14291" s="693">
        <v>77</v>
      </c>
      <c r="G14291" s="693">
        <v>77</v>
      </c>
      <c r="H14291" s="689">
        <v>77.400000000000006</v>
      </c>
      <c r="I14291" s="689">
        <v>76.400000000000006</v>
      </c>
      <c r="J14291" s="689">
        <v>77.3</v>
      </c>
      <c r="K14291" s="689">
        <v>77.099999999999994</v>
      </c>
    </row>
    <row r="14292" spans="1:11">
      <c r="A14292" s="688" t="s">
        <v>1</v>
      </c>
      <c r="B14292" s="691">
        <v>72.2</v>
      </c>
      <c r="C14292" s="691">
        <v>71.599999999999994</v>
      </c>
      <c r="D14292" s="691">
        <v>71.599999999999994</v>
      </c>
      <c r="E14292" s="691">
        <v>71.900000000000006</v>
      </c>
      <c r="F14292" s="691">
        <v>71.8</v>
      </c>
      <c r="G14292" s="691">
        <v>71.900000000000006</v>
      </c>
      <c r="H14292" s="691">
        <v>72.099999999999994</v>
      </c>
      <c r="I14292" s="691">
        <v>70.7</v>
      </c>
      <c r="J14292" s="691">
        <v>68.5</v>
      </c>
      <c r="K14292" s="691">
        <v>71.400000000000006</v>
      </c>
    </row>
    <row r="14293" spans="1:11">
      <c r="A14293" s="688" t="s">
        <v>2240</v>
      </c>
      <c r="B14293" s="689">
        <v>74.599999999999994</v>
      </c>
      <c r="C14293" s="693">
        <v>75</v>
      </c>
      <c r="D14293" s="689">
        <v>74.7</v>
      </c>
      <c r="E14293" s="689">
        <v>75.099999999999994</v>
      </c>
      <c r="F14293" s="689">
        <v>75.099999999999994</v>
      </c>
      <c r="G14293" s="689">
        <v>75.2</v>
      </c>
      <c r="H14293" s="689">
        <v>75.400000000000006</v>
      </c>
      <c r="I14293" s="689">
        <v>74.5</v>
      </c>
      <c r="J14293" s="689">
        <v>73.7</v>
      </c>
      <c r="K14293" s="689">
        <v>75.2</v>
      </c>
    </row>
    <row r="14294" spans="1:11">
      <c r="A14294" s="688" t="s">
        <v>2</v>
      </c>
      <c r="B14294" s="691">
        <v>75.7</v>
      </c>
      <c r="C14294" s="615">
        <v>76</v>
      </c>
      <c r="D14294" s="615">
        <v>76</v>
      </c>
      <c r="E14294" s="691">
        <v>76.099999999999994</v>
      </c>
      <c r="F14294" s="691">
        <v>76.400000000000006</v>
      </c>
      <c r="G14294" s="691">
        <v>76.3</v>
      </c>
      <c r="H14294" s="691">
        <v>76.7</v>
      </c>
      <c r="I14294" s="691">
        <v>76.8</v>
      </c>
      <c r="J14294" s="691">
        <v>76.599999999999994</v>
      </c>
      <c r="K14294" s="691">
        <v>76.5</v>
      </c>
    </row>
    <row r="14295" spans="1:11">
      <c r="A14295" s="688" t="s">
        <v>3</v>
      </c>
      <c r="B14295" s="689">
        <v>76.3</v>
      </c>
      <c r="C14295" s="689">
        <v>76.599999999999994</v>
      </c>
      <c r="D14295" s="689">
        <v>76.3</v>
      </c>
      <c r="E14295" s="689">
        <v>76.599999999999994</v>
      </c>
      <c r="F14295" s="689">
        <v>76.599999999999994</v>
      </c>
      <c r="G14295" s="689">
        <v>76.5</v>
      </c>
      <c r="H14295" s="689">
        <v>76.900000000000006</v>
      </c>
      <c r="I14295" s="689">
        <v>76.7</v>
      </c>
      <c r="J14295" s="689">
        <v>76.5</v>
      </c>
      <c r="K14295" s="689">
        <v>76.2</v>
      </c>
    </row>
    <row r="14296" spans="1:11">
      <c r="A14296" s="688" t="s">
        <v>4061</v>
      </c>
      <c r="B14296" s="691">
        <v>76.3</v>
      </c>
      <c r="C14296" s="691">
        <v>76.599999999999994</v>
      </c>
      <c r="D14296" s="691">
        <v>76.3</v>
      </c>
      <c r="E14296" s="691">
        <v>76.599999999999994</v>
      </c>
      <c r="F14296" s="691">
        <v>76.599999999999994</v>
      </c>
      <c r="G14296" s="691">
        <v>76.5</v>
      </c>
      <c r="H14296" s="691">
        <v>76.900000000000006</v>
      </c>
      <c r="I14296" s="691">
        <v>76.7</v>
      </c>
      <c r="J14296" s="691">
        <v>76.5</v>
      </c>
      <c r="K14296" s="691">
        <v>76.2</v>
      </c>
    </row>
    <row r="14297" spans="1:11">
      <c r="A14297" s="688" t="s">
        <v>4</v>
      </c>
      <c r="B14297" s="693">
        <v>75</v>
      </c>
      <c r="C14297" s="689">
        <v>74.8</v>
      </c>
      <c r="D14297" s="689">
        <v>75.099999999999994</v>
      </c>
      <c r="E14297" s="689">
        <v>75.099999999999994</v>
      </c>
      <c r="F14297" s="689">
        <v>75.5</v>
      </c>
      <c r="G14297" s="689">
        <v>75.599999999999994</v>
      </c>
      <c r="H14297" s="689">
        <v>75.900000000000006</v>
      </c>
      <c r="I14297" s="689">
        <v>75.900000000000006</v>
      </c>
      <c r="J14297" s="689">
        <v>74.5</v>
      </c>
      <c r="K14297" s="689">
        <v>75.400000000000006</v>
      </c>
    </row>
    <row r="14298" spans="1:11">
      <c r="A14298" s="688" t="s">
        <v>8</v>
      </c>
      <c r="B14298" s="691">
        <v>76.400000000000006</v>
      </c>
      <c r="C14298" s="691">
        <v>76.599999999999994</v>
      </c>
      <c r="D14298" s="691">
        <v>76.599999999999994</v>
      </c>
      <c r="E14298" s="691">
        <v>76.7</v>
      </c>
      <c r="F14298" s="691">
        <v>77.099999999999994</v>
      </c>
      <c r="G14298" s="691">
        <v>77.099999999999994</v>
      </c>
      <c r="H14298" s="691">
        <v>77.599999999999994</v>
      </c>
      <c r="I14298" s="691">
        <v>77.400000000000006</v>
      </c>
      <c r="J14298" s="691">
        <v>77.3</v>
      </c>
      <c r="K14298" s="691">
        <v>77.3</v>
      </c>
    </row>
    <row r="14299" spans="1:11">
      <c r="A14299" s="688" t="s">
        <v>7</v>
      </c>
      <c r="B14299" s="689">
        <v>77.3</v>
      </c>
      <c r="C14299" s="689">
        <v>77.099999999999994</v>
      </c>
      <c r="D14299" s="689">
        <v>76.900000000000006</v>
      </c>
      <c r="E14299" s="689">
        <v>77.099999999999994</v>
      </c>
      <c r="F14299" s="689">
        <v>77.099999999999994</v>
      </c>
      <c r="G14299" s="689">
        <v>77.5</v>
      </c>
      <c r="H14299" s="689">
        <v>77.5</v>
      </c>
      <c r="I14299" s="689">
        <v>77.099999999999994</v>
      </c>
      <c r="J14299" s="689">
        <v>76.2</v>
      </c>
      <c r="K14299" s="689">
        <v>76.7</v>
      </c>
    </row>
    <row r="14300" spans="1:11">
      <c r="A14300" s="688" t="s">
        <v>27</v>
      </c>
      <c r="B14300" s="691">
        <v>79.3</v>
      </c>
      <c r="C14300" s="691">
        <v>78.900000000000006</v>
      </c>
      <c r="D14300" s="691">
        <v>78.599999999999994</v>
      </c>
      <c r="E14300" s="691">
        <v>79.099999999999994</v>
      </c>
      <c r="F14300" s="691">
        <v>78.900000000000006</v>
      </c>
      <c r="G14300" s="691">
        <v>79.099999999999994</v>
      </c>
      <c r="H14300" s="691">
        <v>79.5</v>
      </c>
      <c r="I14300" s="691">
        <v>78.2</v>
      </c>
      <c r="J14300" s="691">
        <v>79.099999999999994</v>
      </c>
      <c r="K14300" s="615">
        <v>79</v>
      </c>
    </row>
    <row r="14301" spans="1:11">
      <c r="A14301" s="688" t="s">
        <v>6</v>
      </c>
      <c r="B14301" s="693">
        <v>79</v>
      </c>
      <c r="C14301" s="689">
        <v>78.7</v>
      </c>
      <c r="D14301" s="689">
        <v>78.5</v>
      </c>
      <c r="E14301" s="689">
        <v>78.7</v>
      </c>
      <c r="F14301" s="689">
        <v>78.7</v>
      </c>
      <c r="G14301" s="689">
        <v>78.8</v>
      </c>
      <c r="H14301" s="689">
        <v>78.900000000000006</v>
      </c>
      <c r="I14301" s="689">
        <v>78.5</v>
      </c>
      <c r="J14301" s="689">
        <v>78.599999999999994</v>
      </c>
      <c r="K14301" s="689">
        <v>78.5</v>
      </c>
    </row>
    <row r="14302" spans="1:11">
      <c r="A14302" s="688" t="s">
        <v>4058</v>
      </c>
      <c r="B14302" s="692" t="s">
        <v>4060</v>
      </c>
      <c r="C14302" s="692" t="s">
        <v>4060</v>
      </c>
      <c r="D14302" s="692" t="s">
        <v>4060</v>
      </c>
      <c r="E14302" s="692" t="s">
        <v>4060</v>
      </c>
      <c r="F14302" s="692" t="s">
        <v>4060</v>
      </c>
      <c r="G14302" s="692" t="s">
        <v>4060</v>
      </c>
      <c r="H14302" s="692" t="s">
        <v>4060</v>
      </c>
      <c r="I14302" s="692" t="s">
        <v>4060</v>
      </c>
      <c r="J14302" s="692" t="s">
        <v>4060</v>
      </c>
      <c r="K14302" s="692" t="s">
        <v>4060</v>
      </c>
    </row>
    <row r="14303" spans="1:11">
      <c r="A14303" s="688" t="s">
        <v>11</v>
      </c>
      <c r="B14303" s="689">
        <v>74.3</v>
      </c>
      <c r="C14303" s="689">
        <v>74.2</v>
      </c>
      <c r="D14303" s="689">
        <v>73.8</v>
      </c>
      <c r="E14303" s="689">
        <v>74.5</v>
      </c>
      <c r="F14303" s="689">
        <v>74.099999999999994</v>
      </c>
      <c r="G14303" s="689">
        <v>74.5</v>
      </c>
      <c r="H14303" s="689">
        <v>74.7</v>
      </c>
      <c r="I14303" s="693">
        <v>74</v>
      </c>
      <c r="J14303" s="689">
        <v>73.099999999999994</v>
      </c>
      <c r="K14303" s="689">
        <v>74.099999999999994</v>
      </c>
    </row>
    <row r="14304" spans="1:11">
      <c r="A14304" s="688" t="s">
        <v>10</v>
      </c>
      <c r="B14304" s="691">
        <v>78.5</v>
      </c>
      <c r="C14304" s="691">
        <v>78.3</v>
      </c>
      <c r="D14304" s="691">
        <v>77.8</v>
      </c>
      <c r="E14304" s="691">
        <v>78.400000000000006</v>
      </c>
      <c r="F14304" s="691">
        <v>78.2</v>
      </c>
      <c r="G14304" s="691">
        <v>78.5</v>
      </c>
      <c r="H14304" s="691">
        <v>78.7</v>
      </c>
      <c r="I14304" s="691">
        <v>77.7</v>
      </c>
      <c r="J14304" s="615">
        <v>78</v>
      </c>
      <c r="K14304" s="615">
        <v>78</v>
      </c>
    </row>
    <row r="14305" spans="1:11">
      <c r="A14305" s="688" t="s">
        <v>30</v>
      </c>
      <c r="B14305" s="693">
        <v>78</v>
      </c>
      <c r="C14305" s="689">
        <v>77.400000000000006</v>
      </c>
      <c r="D14305" s="693">
        <v>77</v>
      </c>
      <c r="E14305" s="689">
        <v>78.099999999999994</v>
      </c>
      <c r="F14305" s="689">
        <v>77.599999999999994</v>
      </c>
      <c r="G14305" s="693">
        <v>78</v>
      </c>
      <c r="H14305" s="689">
        <v>77.8</v>
      </c>
      <c r="I14305" s="689">
        <v>77.8</v>
      </c>
      <c r="J14305" s="689">
        <v>77.099999999999994</v>
      </c>
      <c r="K14305" s="689">
        <v>77.3</v>
      </c>
    </row>
    <row r="14306" spans="1:11">
      <c r="A14306" s="688" t="s">
        <v>12</v>
      </c>
      <c r="B14306" s="691">
        <v>72.400000000000006</v>
      </c>
      <c r="C14306" s="691">
        <v>72.599999999999994</v>
      </c>
      <c r="D14306" s="691">
        <v>72.599999999999994</v>
      </c>
      <c r="E14306" s="691">
        <v>72.8</v>
      </c>
      <c r="F14306" s="691">
        <v>72.900000000000006</v>
      </c>
      <c r="G14306" s="691">
        <v>72.900000000000006</v>
      </c>
      <c r="H14306" s="691">
        <v>73.400000000000006</v>
      </c>
      <c r="I14306" s="691">
        <v>73.3</v>
      </c>
      <c r="J14306" s="691">
        <v>71.3</v>
      </c>
      <c r="K14306" s="691">
        <v>72.7</v>
      </c>
    </row>
    <row r="14307" spans="1:11">
      <c r="A14307" s="688" t="s">
        <v>14</v>
      </c>
      <c r="B14307" s="689">
        <v>72.900000000000006</v>
      </c>
      <c r="C14307" s="689">
        <v>73.2</v>
      </c>
      <c r="D14307" s="693">
        <v>73</v>
      </c>
      <c r="E14307" s="689">
        <v>73.3</v>
      </c>
      <c r="F14307" s="689">
        <v>73.599999999999994</v>
      </c>
      <c r="G14307" s="689">
        <v>73.8</v>
      </c>
      <c r="H14307" s="689">
        <v>74.2</v>
      </c>
      <c r="I14307" s="689">
        <v>73.3</v>
      </c>
      <c r="J14307" s="689">
        <v>72.099999999999994</v>
      </c>
      <c r="K14307" s="689">
        <v>73.400000000000006</v>
      </c>
    </row>
    <row r="14308" spans="1:11">
      <c r="A14308" s="688" t="s">
        <v>15</v>
      </c>
      <c r="B14308" s="691">
        <v>77.2</v>
      </c>
      <c r="C14308" s="691">
        <v>77.900000000000006</v>
      </c>
      <c r="D14308" s="691">
        <v>77.3</v>
      </c>
      <c r="E14308" s="691">
        <v>78.099999999999994</v>
      </c>
      <c r="F14308" s="691">
        <v>77.2</v>
      </c>
      <c r="G14308" s="691">
        <v>77.7</v>
      </c>
      <c r="H14308" s="691">
        <v>78.099999999999994</v>
      </c>
      <c r="I14308" s="691">
        <v>77.8</v>
      </c>
      <c r="J14308" s="615">
        <v>78</v>
      </c>
      <c r="K14308" s="691">
        <v>78.2</v>
      </c>
    </row>
    <row r="14309" spans="1:11">
      <c r="A14309" s="688" t="s">
        <v>29</v>
      </c>
      <c r="B14309" s="689">
        <v>72.5</v>
      </c>
      <c r="C14309" s="689">
        <v>72.599999999999994</v>
      </c>
      <c r="D14309" s="689">
        <v>72.2</v>
      </c>
      <c r="E14309" s="689">
        <v>72.8</v>
      </c>
      <c r="F14309" s="689">
        <v>72.5</v>
      </c>
      <c r="G14309" s="689">
        <v>72.7</v>
      </c>
      <c r="H14309" s="689">
        <v>72.8</v>
      </c>
      <c r="I14309" s="689">
        <v>72.099999999999994</v>
      </c>
      <c r="J14309" s="689">
        <v>70.8</v>
      </c>
      <c r="K14309" s="689">
        <v>72.5</v>
      </c>
    </row>
    <row r="14310" spans="1:11">
      <c r="A14310" s="688" t="s">
        <v>16</v>
      </c>
      <c r="B14310" s="691">
        <v>77.599999999999994</v>
      </c>
      <c r="C14310" s="691">
        <v>77.400000000000006</v>
      </c>
      <c r="D14310" s="691">
        <v>77.2</v>
      </c>
      <c r="E14310" s="691">
        <v>77.400000000000006</v>
      </c>
      <c r="F14310" s="691">
        <v>77.599999999999994</v>
      </c>
      <c r="G14310" s="691">
        <v>77.5</v>
      </c>
      <c r="H14310" s="691">
        <v>77.8</v>
      </c>
      <c r="I14310" s="691">
        <v>77.5</v>
      </c>
      <c r="J14310" s="691">
        <v>77.2</v>
      </c>
      <c r="K14310" s="691">
        <v>77.599999999999994</v>
      </c>
    </row>
    <row r="14311" spans="1:11">
      <c r="A14311" s="688" t="s">
        <v>17</v>
      </c>
      <c r="B14311" s="689">
        <v>76.5</v>
      </c>
      <c r="C14311" s="689">
        <v>76.599999999999994</v>
      </c>
      <c r="D14311" s="689">
        <v>76.400000000000006</v>
      </c>
      <c r="E14311" s="689">
        <v>76.400000000000006</v>
      </c>
      <c r="F14311" s="689">
        <v>76.599999999999994</v>
      </c>
      <c r="G14311" s="689">
        <v>76.599999999999994</v>
      </c>
      <c r="H14311" s="689">
        <v>76.900000000000006</v>
      </c>
      <c r="I14311" s="689">
        <v>76.400000000000006</v>
      </c>
      <c r="J14311" s="689">
        <v>76.3</v>
      </c>
      <c r="K14311" s="689">
        <v>76.400000000000006</v>
      </c>
    </row>
    <row r="14312" spans="1:11">
      <c r="A14312" s="688" t="s">
        <v>19</v>
      </c>
      <c r="B14312" s="691">
        <v>77.099999999999994</v>
      </c>
      <c r="C14312" s="615">
        <v>77</v>
      </c>
      <c r="D14312" s="691">
        <v>76.900000000000006</v>
      </c>
      <c r="E14312" s="691">
        <v>77.3</v>
      </c>
      <c r="F14312" s="691">
        <v>77.2</v>
      </c>
      <c r="G14312" s="691">
        <v>77.3</v>
      </c>
      <c r="H14312" s="691">
        <v>77.5</v>
      </c>
      <c r="I14312" s="615">
        <v>77</v>
      </c>
      <c r="J14312" s="615">
        <v>77</v>
      </c>
      <c r="K14312" s="615">
        <v>77</v>
      </c>
    </row>
    <row r="14313" spans="1:11">
      <c r="A14313" s="688" t="s">
        <v>20</v>
      </c>
      <c r="B14313" s="689">
        <v>74.599999999999994</v>
      </c>
      <c r="C14313" s="689">
        <v>74.8</v>
      </c>
      <c r="D14313" s="689">
        <v>74.599999999999994</v>
      </c>
      <c r="E14313" s="689">
        <v>75.099999999999994</v>
      </c>
      <c r="F14313" s="689">
        <v>74.900000000000006</v>
      </c>
      <c r="G14313" s="689">
        <v>74.8</v>
      </c>
      <c r="H14313" s="689">
        <v>75.099999999999994</v>
      </c>
      <c r="I14313" s="689">
        <v>73.900000000000006</v>
      </c>
      <c r="J14313" s="689">
        <v>72.8</v>
      </c>
      <c r="K14313" s="689">
        <v>74.3</v>
      </c>
    </row>
    <row r="14314" spans="1:11">
      <c r="A14314" s="688" t="s">
        <v>21</v>
      </c>
      <c r="B14314" s="691">
        <v>77.3</v>
      </c>
      <c r="C14314" s="691">
        <v>77.599999999999994</v>
      </c>
      <c r="D14314" s="691">
        <v>77.5</v>
      </c>
      <c r="E14314" s="691">
        <v>77.599999999999994</v>
      </c>
      <c r="F14314" s="691">
        <v>77.8</v>
      </c>
      <c r="G14314" s="691">
        <v>77.8</v>
      </c>
      <c r="H14314" s="615">
        <v>78</v>
      </c>
      <c r="I14314" s="691">
        <v>77.5</v>
      </c>
      <c r="J14314" s="691">
        <v>77.5</v>
      </c>
      <c r="K14314" s="691">
        <v>77.7</v>
      </c>
    </row>
    <row r="14315" spans="1:11">
      <c r="A14315" s="688" t="s">
        <v>22</v>
      </c>
      <c r="B14315" s="689">
        <v>72.5</v>
      </c>
      <c r="C14315" s="689">
        <v>72.3</v>
      </c>
      <c r="D14315" s="689">
        <v>72.2</v>
      </c>
      <c r="E14315" s="689">
        <v>72.5</v>
      </c>
      <c r="F14315" s="689">
        <v>72.5</v>
      </c>
      <c r="G14315" s="689">
        <v>72.7</v>
      </c>
      <c r="H14315" s="693">
        <v>73</v>
      </c>
      <c r="I14315" s="689">
        <v>71.7</v>
      </c>
      <c r="J14315" s="689">
        <v>70.099999999999994</v>
      </c>
      <c r="K14315" s="689">
        <v>72.599999999999994</v>
      </c>
    </row>
    <row r="14316" spans="1:11">
      <c r="A14316" s="688" t="s">
        <v>26</v>
      </c>
      <c r="B14316" s="691">
        <v>76.900000000000006</v>
      </c>
      <c r="C14316" s="691">
        <v>76.900000000000006</v>
      </c>
      <c r="D14316" s="691">
        <v>76.7</v>
      </c>
      <c r="E14316" s="691">
        <v>77.099999999999994</v>
      </c>
      <c r="F14316" s="691">
        <v>76.900000000000006</v>
      </c>
      <c r="G14316" s="691">
        <v>77.2</v>
      </c>
      <c r="H14316" s="691">
        <v>77.400000000000006</v>
      </c>
      <c r="I14316" s="691">
        <v>76.599999999999994</v>
      </c>
      <c r="J14316" s="691">
        <v>76.900000000000006</v>
      </c>
      <c r="K14316" s="691">
        <v>77.099999999999994</v>
      </c>
    </row>
    <row r="14317" spans="1:11">
      <c r="A14317" s="688" t="s">
        <v>25</v>
      </c>
      <c r="B14317" s="689">
        <v>73.7</v>
      </c>
      <c r="C14317" s="689">
        <v>73.900000000000006</v>
      </c>
      <c r="D14317" s="689">
        <v>73.599999999999994</v>
      </c>
      <c r="E14317" s="693">
        <v>74</v>
      </c>
      <c r="F14317" s="693">
        <v>74</v>
      </c>
      <c r="G14317" s="689">
        <v>74.099999999999994</v>
      </c>
      <c r="H14317" s="689">
        <v>74.5</v>
      </c>
      <c r="I14317" s="689">
        <v>73.8</v>
      </c>
      <c r="J14317" s="689">
        <v>71.599999999999994</v>
      </c>
      <c r="K14317" s="689">
        <v>73.900000000000006</v>
      </c>
    </row>
    <row r="14318" spans="1:11">
      <c r="A14318" s="688" t="s">
        <v>5</v>
      </c>
      <c r="B14318" s="691">
        <v>77.3</v>
      </c>
      <c r="C14318" s="691">
        <v>77.099999999999994</v>
      </c>
      <c r="D14318" s="691">
        <v>77.3</v>
      </c>
      <c r="E14318" s="691">
        <v>77.3</v>
      </c>
      <c r="F14318" s="691">
        <v>77.400000000000006</v>
      </c>
      <c r="G14318" s="691">
        <v>77.5</v>
      </c>
      <c r="H14318" s="691">
        <v>77.7</v>
      </c>
      <c r="I14318" s="691">
        <v>77.8</v>
      </c>
      <c r="J14318" s="691">
        <v>77.7</v>
      </c>
      <c r="K14318" s="615">
        <v>77</v>
      </c>
    </row>
    <row r="14319" spans="1:11">
      <c r="A14319" s="688" t="s">
        <v>23</v>
      </c>
      <c r="B14319" s="693">
        <v>77</v>
      </c>
      <c r="C14319" s="689">
        <v>77.3</v>
      </c>
      <c r="D14319" s="689">
        <v>77.2</v>
      </c>
      <c r="E14319" s="689">
        <v>77.3</v>
      </c>
      <c r="F14319" s="689">
        <v>77.400000000000006</v>
      </c>
      <c r="G14319" s="689">
        <v>77.5</v>
      </c>
      <c r="H14319" s="689">
        <v>77.900000000000006</v>
      </c>
      <c r="I14319" s="689">
        <v>77.5</v>
      </c>
      <c r="J14319" s="693">
        <v>78</v>
      </c>
      <c r="K14319" s="693">
        <v>78</v>
      </c>
    </row>
    <row r="14320" spans="1:11">
      <c r="A14320" s="688" t="s">
        <v>4067</v>
      </c>
      <c r="B14320" s="691">
        <v>76.599999999999994</v>
      </c>
      <c r="C14320" s="615">
        <v>77</v>
      </c>
      <c r="D14320" s="691">
        <v>76.599999999999994</v>
      </c>
      <c r="E14320" s="615">
        <v>77</v>
      </c>
      <c r="F14320" s="691">
        <v>76.900000000000006</v>
      </c>
      <c r="G14320" s="615">
        <v>77</v>
      </c>
      <c r="H14320" s="692" t="s">
        <v>4060</v>
      </c>
      <c r="I14320" s="692" t="s">
        <v>4060</v>
      </c>
      <c r="J14320" s="692" t="s">
        <v>4060</v>
      </c>
      <c r="K14320" s="692" t="s">
        <v>4060</v>
      </c>
    </row>
    <row r="14321" spans="1:11">
      <c r="A14321" s="688" t="s">
        <v>4066</v>
      </c>
      <c r="B14321" s="689">
        <v>76.7</v>
      </c>
      <c r="C14321" s="693">
        <v>77</v>
      </c>
      <c r="D14321" s="689">
        <v>76.599999999999994</v>
      </c>
      <c r="E14321" s="693">
        <v>77</v>
      </c>
      <c r="F14321" s="689">
        <v>76.900000000000006</v>
      </c>
      <c r="G14321" s="693">
        <v>77</v>
      </c>
      <c r="H14321" s="690" t="s">
        <v>4060</v>
      </c>
      <c r="I14321" s="690" t="s">
        <v>4060</v>
      </c>
      <c r="J14321" s="690" t="s">
        <v>4060</v>
      </c>
      <c r="K14321" s="690" t="s">
        <v>4060</v>
      </c>
    </row>
    <row r="14322" spans="1:11">
      <c r="A14322" s="688" t="s">
        <v>4062</v>
      </c>
      <c r="B14322" s="691">
        <v>77.8</v>
      </c>
      <c r="C14322" s="615">
        <v>78</v>
      </c>
      <c r="D14322" s="691">
        <v>77.900000000000006</v>
      </c>
      <c r="E14322" s="691">
        <v>78.099999999999994</v>
      </c>
      <c r="F14322" s="691">
        <v>78.3</v>
      </c>
      <c r="G14322" s="691">
        <v>78.3</v>
      </c>
      <c r="H14322" s="691">
        <v>78.5</v>
      </c>
      <c r="I14322" s="691">
        <v>78.2</v>
      </c>
      <c r="J14322" s="691">
        <v>78.5</v>
      </c>
      <c r="K14322" s="691">
        <v>78.2</v>
      </c>
    </row>
    <row r="14323" spans="1:11">
      <c r="A14323" s="688" t="s">
        <v>9</v>
      </c>
      <c r="B14323" s="693">
        <v>77</v>
      </c>
      <c r="C14323" s="689">
        <v>77.400000000000006</v>
      </c>
      <c r="D14323" s="689">
        <v>76.8</v>
      </c>
      <c r="E14323" s="693">
        <v>77</v>
      </c>
      <c r="F14323" s="689">
        <v>77.5</v>
      </c>
      <c r="G14323" s="689">
        <v>77.400000000000006</v>
      </c>
      <c r="H14323" s="689">
        <v>77.599999999999994</v>
      </c>
      <c r="I14323" s="689">
        <v>77.5</v>
      </c>
      <c r="J14323" s="689">
        <v>77.8</v>
      </c>
      <c r="K14323" s="689">
        <v>76.8</v>
      </c>
    </row>
    <row r="14324" spans="1:11">
      <c r="A14324" s="688" t="s">
        <v>13</v>
      </c>
      <c r="B14324" s="691">
        <v>77.900000000000006</v>
      </c>
      <c r="C14324" s="691">
        <v>76.7</v>
      </c>
      <c r="D14324" s="691">
        <v>77.3</v>
      </c>
      <c r="E14324" s="691">
        <v>76.900000000000006</v>
      </c>
      <c r="F14324" s="691">
        <v>78.8</v>
      </c>
      <c r="G14324" s="691">
        <v>78.599999999999994</v>
      </c>
      <c r="H14324" s="691">
        <v>78.5</v>
      </c>
      <c r="I14324" s="691">
        <v>76.8</v>
      </c>
      <c r="J14324" s="691">
        <v>79.099999999999994</v>
      </c>
      <c r="K14324" s="691">
        <v>78.2</v>
      </c>
    </row>
    <row r="14325" spans="1:11">
      <c r="A14325" s="688" t="s">
        <v>18</v>
      </c>
      <c r="B14325" s="693">
        <v>77</v>
      </c>
      <c r="C14325" s="689">
        <v>77.3</v>
      </c>
      <c r="D14325" s="689">
        <v>77.400000000000006</v>
      </c>
      <c r="E14325" s="689">
        <v>77.400000000000006</v>
      </c>
      <c r="F14325" s="689">
        <v>77.5</v>
      </c>
      <c r="G14325" s="689">
        <v>77.7</v>
      </c>
      <c r="H14325" s="689">
        <v>77.900000000000006</v>
      </c>
      <c r="I14325" s="693">
        <v>78</v>
      </c>
      <c r="J14325" s="689">
        <v>77.900000000000006</v>
      </c>
      <c r="K14325" s="689">
        <v>77.5</v>
      </c>
    </row>
    <row r="14326" spans="1:11">
      <c r="A14326" s="688" t="s">
        <v>24</v>
      </c>
      <c r="B14326" s="691">
        <v>78.3</v>
      </c>
      <c r="C14326" s="691">
        <v>78.5</v>
      </c>
      <c r="D14326" s="691">
        <v>78.2</v>
      </c>
      <c r="E14326" s="691">
        <v>78.599999999999994</v>
      </c>
      <c r="F14326" s="691">
        <v>78.7</v>
      </c>
      <c r="G14326" s="691">
        <v>78.7</v>
      </c>
      <c r="H14326" s="691">
        <v>78.900000000000006</v>
      </c>
      <c r="I14326" s="691">
        <v>78.400000000000006</v>
      </c>
      <c r="J14326" s="691">
        <v>78.900000000000006</v>
      </c>
      <c r="K14326" s="691">
        <v>78.7</v>
      </c>
    </row>
    <row r="14327" spans="1:11">
      <c r="A14327" s="688" t="s">
        <v>4059</v>
      </c>
      <c r="B14327" s="689">
        <v>76.3</v>
      </c>
      <c r="C14327" s="689">
        <v>76.5</v>
      </c>
      <c r="D14327" s="689">
        <v>76.099999999999994</v>
      </c>
      <c r="E14327" s="689">
        <v>76.400000000000006</v>
      </c>
      <c r="F14327" s="689">
        <v>76.400000000000006</v>
      </c>
      <c r="G14327" s="689">
        <v>76.400000000000006</v>
      </c>
      <c r="H14327" s="690" t="s">
        <v>4060</v>
      </c>
      <c r="I14327" s="690" t="s">
        <v>4060</v>
      </c>
      <c r="J14327" s="690" t="s">
        <v>4060</v>
      </c>
      <c r="K14327" s="690" t="s">
        <v>4060</v>
      </c>
    </row>
    <row r="14328" spans="1:11">
      <c r="A14328" s="688" t="s">
        <v>2324</v>
      </c>
      <c r="B14328" s="691">
        <v>72.3</v>
      </c>
      <c r="C14328" s="691">
        <v>72.3</v>
      </c>
      <c r="D14328" s="691">
        <v>71.900000000000006</v>
      </c>
      <c r="E14328" s="691">
        <v>72.3</v>
      </c>
      <c r="F14328" s="691">
        <v>72.400000000000006</v>
      </c>
      <c r="G14328" s="691">
        <v>72.5</v>
      </c>
      <c r="H14328" s="691">
        <v>72.8</v>
      </c>
      <c r="I14328" s="691">
        <v>72.099999999999994</v>
      </c>
      <c r="J14328" s="691">
        <v>70.099999999999994</v>
      </c>
      <c r="K14328" s="692" t="s">
        <v>4060</v>
      </c>
    </row>
    <row r="14329" spans="1:11">
      <c r="A14329" s="688" t="s">
        <v>2322</v>
      </c>
      <c r="B14329" s="690" t="s">
        <v>4060</v>
      </c>
      <c r="C14329" s="690" t="s">
        <v>4060</v>
      </c>
      <c r="D14329" s="690" t="s">
        <v>4060</v>
      </c>
      <c r="E14329" s="690" t="s">
        <v>4060</v>
      </c>
      <c r="F14329" s="690" t="s">
        <v>4060</v>
      </c>
      <c r="G14329" s="690" t="s">
        <v>4060</v>
      </c>
      <c r="H14329" s="690" t="s">
        <v>4060</v>
      </c>
      <c r="I14329" s="690" t="s">
        <v>4060</v>
      </c>
      <c r="J14329" s="690" t="s">
        <v>4060</v>
      </c>
      <c r="K14329" s="690" t="s">
        <v>4060</v>
      </c>
    </row>
    <row r="14330" spans="1:11">
      <c r="A14330" s="688" t="s">
        <v>2328</v>
      </c>
      <c r="B14330" s="691">
        <v>71.400000000000006</v>
      </c>
      <c r="C14330" s="691">
        <v>71.3</v>
      </c>
      <c r="D14330" s="691">
        <v>71.099999999999994</v>
      </c>
      <c r="E14330" s="691">
        <v>71.5</v>
      </c>
      <c r="F14330" s="691">
        <v>71.7</v>
      </c>
      <c r="G14330" s="691">
        <v>72.2</v>
      </c>
      <c r="H14330" s="615">
        <v>72</v>
      </c>
      <c r="I14330" s="691">
        <v>70.2</v>
      </c>
      <c r="J14330" s="691">
        <v>68.900000000000006</v>
      </c>
      <c r="K14330" s="692" t="s">
        <v>4060</v>
      </c>
    </row>
    <row r="14331" spans="1:11">
      <c r="A14331" s="688" t="s">
        <v>2496</v>
      </c>
      <c r="B14331" s="690" t="s">
        <v>4060</v>
      </c>
      <c r="C14331" s="689">
        <v>72.099999999999994</v>
      </c>
      <c r="D14331" s="689">
        <v>71.2</v>
      </c>
      <c r="E14331" s="689">
        <v>70.900000000000006</v>
      </c>
      <c r="F14331" s="689">
        <v>71.599999999999994</v>
      </c>
      <c r="G14331" s="689">
        <v>71.900000000000006</v>
      </c>
      <c r="H14331" s="693">
        <v>72</v>
      </c>
      <c r="I14331" s="690" t="s">
        <v>4060</v>
      </c>
      <c r="J14331" s="690" t="s">
        <v>4060</v>
      </c>
      <c r="K14331" s="689">
        <v>71.8</v>
      </c>
    </row>
    <row r="14332" spans="1:11">
      <c r="A14332" s="688" t="s">
        <v>2269</v>
      </c>
      <c r="B14332" s="691">
        <v>73.8</v>
      </c>
      <c r="C14332" s="691">
        <v>73.900000000000006</v>
      </c>
      <c r="D14332" s="691">
        <v>73.3</v>
      </c>
      <c r="E14332" s="691">
        <v>73.900000000000006</v>
      </c>
      <c r="F14332" s="691">
        <v>73.8</v>
      </c>
      <c r="G14332" s="691">
        <v>74.3</v>
      </c>
      <c r="H14332" s="691">
        <v>74.5</v>
      </c>
      <c r="I14332" s="691">
        <v>73.400000000000006</v>
      </c>
      <c r="J14332" s="691">
        <v>71.3</v>
      </c>
      <c r="K14332" s="691">
        <v>74.400000000000006</v>
      </c>
    </row>
    <row r="14333" spans="1:11">
      <c r="A14333" s="688" t="s">
        <v>2349</v>
      </c>
      <c r="B14333" s="689">
        <v>71.400000000000006</v>
      </c>
      <c r="C14333" s="689">
        <v>71.400000000000006</v>
      </c>
      <c r="D14333" s="689">
        <v>71.400000000000006</v>
      </c>
      <c r="E14333" s="689">
        <v>71.7</v>
      </c>
      <c r="F14333" s="689">
        <v>71.5</v>
      </c>
      <c r="G14333" s="689">
        <v>71.900000000000006</v>
      </c>
      <c r="H14333" s="693">
        <v>72</v>
      </c>
      <c r="I14333" s="689">
        <v>70.900000000000006</v>
      </c>
      <c r="J14333" s="689">
        <v>69.099999999999994</v>
      </c>
      <c r="K14333" s="689">
        <v>71.2</v>
      </c>
    </row>
    <row r="14334" spans="1:11">
      <c r="A14334" s="688" t="s">
        <v>2355</v>
      </c>
      <c r="B14334" s="691">
        <v>75.2</v>
      </c>
      <c r="C14334" s="615">
        <v>75</v>
      </c>
      <c r="D14334" s="615">
        <v>75</v>
      </c>
      <c r="E14334" s="691">
        <v>74.900000000000006</v>
      </c>
      <c r="F14334" s="691">
        <v>75.2</v>
      </c>
      <c r="G14334" s="691">
        <v>75.5</v>
      </c>
      <c r="H14334" s="691">
        <v>75.599999999999994</v>
      </c>
      <c r="I14334" s="692" t="s">
        <v>4060</v>
      </c>
      <c r="J14334" s="692" t="s">
        <v>4060</v>
      </c>
      <c r="K14334" s="692" t="s">
        <v>4060</v>
      </c>
    </row>
    <row r="14335" spans="1:11">
      <c r="A14335" s="688" t="s">
        <v>2357</v>
      </c>
      <c r="B14335" s="690" t="s">
        <v>4060</v>
      </c>
      <c r="C14335" s="689">
        <v>70.400000000000006</v>
      </c>
      <c r="D14335" s="689">
        <v>70.900000000000006</v>
      </c>
      <c r="E14335" s="689">
        <v>71.2</v>
      </c>
      <c r="F14335" s="689">
        <v>71.599999999999994</v>
      </c>
      <c r="G14335" s="689">
        <v>71.599999999999994</v>
      </c>
      <c r="H14335" s="689">
        <v>71.8</v>
      </c>
      <c r="I14335" s="690" t="s">
        <v>4060</v>
      </c>
      <c r="J14335" s="690" t="s">
        <v>4060</v>
      </c>
      <c r="K14335" s="690" t="s">
        <v>4060</v>
      </c>
    </row>
    <row r="14336" spans="1:11">
      <c r="A14336" s="688" t="s">
        <v>4070</v>
      </c>
      <c r="B14336" s="692" t="s">
        <v>4060</v>
      </c>
      <c r="C14336" s="692" t="s">
        <v>4060</v>
      </c>
      <c r="D14336" s="692" t="s">
        <v>4060</v>
      </c>
      <c r="E14336" s="691">
        <v>75.099999999999994</v>
      </c>
      <c r="F14336" s="692" t="s">
        <v>4060</v>
      </c>
      <c r="G14336" s="692" t="s">
        <v>4060</v>
      </c>
      <c r="H14336" s="692" t="s">
        <v>4060</v>
      </c>
      <c r="I14336" s="692" t="s">
        <v>4060</v>
      </c>
      <c r="J14336" s="692" t="s">
        <v>4060</v>
      </c>
      <c r="K14336" s="692" t="s">
        <v>4060</v>
      </c>
    </row>
    <row r="14337" spans="1:11">
      <c r="A14337" s="688" t="s">
        <v>2491</v>
      </c>
      <c r="B14337" s="689">
        <v>71.400000000000006</v>
      </c>
      <c r="C14337" s="689">
        <v>71.900000000000006</v>
      </c>
      <c r="D14337" s="689">
        <v>72.3</v>
      </c>
      <c r="E14337" s="689">
        <v>72.5</v>
      </c>
      <c r="F14337" s="689">
        <v>72.599999999999994</v>
      </c>
      <c r="G14337" s="689">
        <v>72.7</v>
      </c>
      <c r="H14337" s="690" t="s">
        <v>4060</v>
      </c>
      <c r="I14337" s="690" t="s">
        <v>4060</v>
      </c>
      <c r="J14337" s="690" t="s">
        <v>4060</v>
      </c>
      <c r="K14337" s="690" t="s">
        <v>4060</v>
      </c>
    </row>
    <row r="14338" spans="1:11">
      <c r="A14338" s="688" t="s">
        <v>2343</v>
      </c>
      <c r="B14338" s="692" t="s">
        <v>4060</v>
      </c>
      <c r="C14338" s="692" t="s">
        <v>4060</v>
      </c>
      <c r="D14338" s="692" t="s">
        <v>4060</v>
      </c>
      <c r="E14338" s="692" t="s">
        <v>4060</v>
      </c>
      <c r="F14338" s="692" t="s">
        <v>4060</v>
      </c>
      <c r="G14338" s="692" t="s">
        <v>4060</v>
      </c>
      <c r="H14338" s="692" t="s">
        <v>4060</v>
      </c>
      <c r="I14338" s="692" t="s">
        <v>4060</v>
      </c>
      <c r="J14338" s="692" t="s">
        <v>4060</v>
      </c>
      <c r="K14338" s="692" t="s">
        <v>4060</v>
      </c>
    </row>
    <row r="14339" spans="1:11">
      <c r="A14339" s="688" t="s">
        <v>4071</v>
      </c>
      <c r="B14339" s="690" t="s">
        <v>4060</v>
      </c>
      <c r="C14339" s="690" t="s">
        <v>4060</v>
      </c>
      <c r="D14339" s="690" t="s">
        <v>4060</v>
      </c>
      <c r="E14339" s="690" t="s">
        <v>4060</v>
      </c>
      <c r="F14339" s="690" t="s">
        <v>4060</v>
      </c>
      <c r="G14339" s="690" t="s">
        <v>4060</v>
      </c>
      <c r="H14339" s="690" t="s">
        <v>4060</v>
      </c>
      <c r="I14339" s="690" t="s">
        <v>4060</v>
      </c>
      <c r="J14339" s="690" t="s">
        <v>4060</v>
      </c>
      <c r="K14339" s="690" t="s">
        <v>4060</v>
      </c>
    </row>
    <row r="14340" spans="1:11">
      <c r="A14340" s="688" t="s">
        <v>2489</v>
      </c>
      <c r="B14340" s="692" t="s">
        <v>4060</v>
      </c>
      <c r="C14340" s="692" t="s">
        <v>4060</v>
      </c>
      <c r="D14340" s="615">
        <v>72</v>
      </c>
      <c r="E14340" s="691">
        <v>72.099999999999994</v>
      </c>
      <c r="F14340" s="691">
        <v>72.599999999999994</v>
      </c>
      <c r="G14340" s="691">
        <v>73.3</v>
      </c>
      <c r="H14340" s="691">
        <v>73.3</v>
      </c>
      <c r="I14340" s="692" t="s">
        <v>4060</v>
      </c>
      <c r="J14340" s="692" t="s">
        <v>4060</v>
      </c>
      <c r="K14340" s="692" t="s">
        <v>4060</v>
      </c>
    </row>
    <row r="14341" spans="1:11">
      <c r="A14341" s="688" t="s">
        <v>2490</v>
      </c>
      <c r="B14341" s="689">
        <v>71.099999999999994</v>
      </c>
      <c r="C14341" s="689">
        <v>71.2</v>
      </c>
      <c r="D14341" s="689">
        <v>71.7</v>
      </c>
      <c r="E14341" s="690" t="s">
        <v>4060</v>
      </c>
      <c r="F14341" s="689">
        <v>71.900000000000006</v>
      </c>
      <c r="G14341" s="689">
        <v>72.3</v>
      </c>
      <c r="H14341" s="689">
        <v>72.8</v>
      </c>
      <c r="I14341" s="690" t="s">
        <v>4060</v>
      </c>
      <c r="J14341" s="690" t="s">
        <v>4060</v>
      </c>
      <c r="K14341" s="690" t="s">
        <v>4060</v>
      </c>
    </row>
    <row r="14343" spans="1:11">
      <c r="A14343" s="683" t="s">
        <v>4233</v>
      </c>
    </row>
    <row r="14344" spans="1:11">
      <c r="A14344" s="683" t="s">
        <v>4060</v>
      </c>
      <c r="B14344" s="682" t="s">
        <v>4234</v>
      </c>
    </row>
    <row r="14346" spans="1:11">
      <c r="A14346" s="682" t="s">
        <v>4332</v>
      </c>
    </row>
    <row r="14347" spans="1:11">
      <c r="A14347" s="682" t="s">
        <v>4210</v>
      </c>
      <c r="B14347" s="683" t="s">
        <v>4211</v>
      </c>
    </row>
    <row r="14348" spans="1:11">
      <c r="A14348" s="682" t="s">
        <v>4212</v>
      </c>
      <c r="B14348" s="682" t="s">
        <v>4213</v>
      </c>
    </row>
    <row r="14350" spans="1:11">
      <c r="A14350" s="683" t="s">
        <v>4214</v>
      </c>
      <c r="C14350" s="682" t="s">
        <v>4215</v>
      </c>
    </row>
    <row r="14351" spans="1:11">
      <c r="A14351" s="683" t="s">
        <v>4216</v>
      </c>
      <c r="C14351" s="682" t="s">
        <v>2967</v>
      </c>
    </row>
    <row r="14352" spans="1:11">
      <c r="A14352" s="683" t="s">
        <v>3893</v>
      </c>
      <c r="C14352" s="682" t="s">
        <v>2169</v>
      </c>
    </row>
    <row r="14353" spans="1:11">
      <c r="A14353" s="683" t="s">
        <v>4218</v>
      </c>
      <c r="C14353" s="682" t="s">
        <v>4242</v>
      </c>
    </row>
    <row r="14355" spans="1:11">
      <c r="A14355" s="684" t="s">
        <v>4220</v>
      </c>
      <c r="B14355" s="685" t="s">
        <v>4221</v>
      </c>
      <c r="C14355" s="685" t="s">
        <v>4222</v>
      </c>
      <c r="D14355" s="685" t="s">
        <v>4223</v>
      </c>
      <c r="E14355" s="685" t="s">
        <v>4224</v>
      </c>
      <c r="F14355" s="685" t="s">
        <v>4225</v>
      </c>
      <c r="G14355" s="685" t="s">
        <v>4226</v>
      </c>
      <c r="H14355" s="685" t="s">
        <v>4227</v>
      </c>
      <c r="I14355" s="685" t="s">
        <v>4228</v>
      </c>
      <c r="J14355" s="685" t="s">
        <v>4229</v>
      </c>
      <c r="K14355" s="685" t="s">
        <v>4230</v>
      </c>
    </row>
    <row r="14356" spans="1:11">
      <c r="A14356" s="686" t="s">
        <v>4231</v>
      </c>
      <c r="B14356" s="687" t="s">
        <v>4232</v>
      </c>
      <c r="C14356" s="687" t="s">
        <v>4232</v>
      </c>
      <c r="D14356" s="687" t="s">
        <v>4232</v>
      </c>
      <c r="E14356" s="687" t="s">
        <v>4232</v>
      </c>
      <c r="F14356" s="687" t="s">
        <v>4232</v>
      </c>
      <c r="G14356" s="687" t="s">
        <v>4232</v>
      </c>
      <c r="H14356" s="687" t="s">
        <v>4232</v>
      </c>
      <c r="I14356" s="687" t="s">
        <v>4232</v>
      </c>
      <c r="J14356" s="687" t="s">
        <v>4232</v>
      </c>
      <c r="K14356" s="687" t="s">
        <v>4232</v>
      </c>
    </row>
    <row r="14357" spans="1:11">
      <c r="A14357" s="688" t="s">
        <v>4064</v>
      </c>
      <c r="B14357" s="689">
        <v>75.7</v>
      </c>
      <c r="C14357" s="689">
        <v>75.7</v>
      </c>
      <c r="D14357" s="689">
        <v>75.7</v>
      </c>
      <c r="E14357" s="689">
        <v>75.8</v>
      </c>
      <c r="F14357" s="689">
        <v>75.7</v>
      </c>
      <c r="G14357" s="689">
        <v>75.8</v>
      </c>
      <c r="H14357" s="689">
        <v>76.099999999999994</v>
      </c>
      <c r="I14357" s="689">
        <v>75.400000000000006</v>
      </c>
      <c r="J14357" s="689">
        <v>75.099999999999994</v>
      </c>
      <c r="K14357" s="689">
        <v>75.599999999999994</v>
      </c>
    </row>
    <row r="14358" spans="1:11">
      <c r="A14358" s="688" t="s">
        <v>4065</v>
      </c>
      <c r="B14358" s="691">
        <v>75.599999999999994</v>
      </c>
      <c r="C14358" s="615">
        <v>76</v>
      </c>
      <c r="D14358" s="691">
        <v>75.599999999999994</v>
      </c>
      <c r="E14358" s="615">
        <v>76</v>
      </c>
      <c r="F14358" s="691">
        <v>75.900000000000006</v>
      </c>
      <c r="G14358" s="615">
        <v>76</v>
      </c>
      <c r="H14358" s="692" t="s">
        <v>4060</v>
      </c>
      <c r="I14358" s="692" t="s">
        <v>4060</v>
      </c>
      <c r="J14358" s="692" t="s">
        <v>4060</v>
      </c>
      <c r="K14358" s="692" t="s">
        <v>4060</v>
      </c>
    </row>
    <row r="14359" spans="1:11">
      <c r="A14359" s="688" t="s">
        <v>4063</v>
      </c>
      <c r="B14359" s="689">
        <v>75.7</v>
      </c>
      <c r="C14359" s="693">
        <v>76</v>
      </c>
      <c r="D14359" s="689">
        <v>75.599999999999994</v>
      </c>
      <c r="E14359" s="693">
        <v>76</v>
      </c>
      <c r="F14359" s="689">
        <v>75.900000000000006</v>
      </c>
      <c r="G14359" s="693">
        <v>76</v>
      </c>
      <c r="H14359" s="690" t="s">
        <v>4060</v>
      </c>
      <c r="I14359" s="690" t="s">
        <v>4060</v>
      </c>
      <c r="J14359" s="690" t="s">
        <v>4060</v>
      </c>
      <c r="K14359" s="690" t="s">
        <v>4060</v>
      </c>
    </row>
    <row r="14360" spans="1:11">
      <c r="A14360" s="688" t="s">
        <v>4069</v>
      </c>
      <c r="B14360" s="692" t="s">
        <v>4060</v>
      </c>
      <c r="C14360" s="691">
        <v>76.5</v>
      </c>
      <c r="D14360" s="691">
        <v>76.2</v>
      </c>
      <c r="E14360" s="691">
        <v>76.599999999999994</v>
      </c>
      <c r="F14360" s="691">
        <v>76.5</v>
      </c>
      <c r="G14360" s="691">
        <v>76.7</v>
      </c>
      <c r="H14360" s="691">
        <v>76.900000000000006</v>
      </c>
      <c r="I14360" s="691">
        <v>76.3</v>
      </c>
      <c r="J14360" s="691">
        <v>76.3</v>
      </c>
      <c r="K14360" s="691">
        <v>76.3</v>
      </c>
    </row>
    <row r="14361" spans="1:11">
      <c r="A14361" s="688" t="s">
        <v>4068</v>
      </c>
      <c r="B14361" s="689">
        <v>76.599999999999994</v>
      </c>
      <c r="C14361" s="690" t="s">
        <v>4060</v>
      </c>
      <c r="D14361" s="690" t="s">
        <v>4060</v>
      </c>
      <c r="E14361" s="690" t="s">
        <v>4060</v>
      </c>
      <c r="F14361" s="690" t="s">
        <v>4060</v>
      </c>
      <c r="G14361" s="690" t="s">
        <v>4060</v>
      </c>
      <c r="H14361" s="690" t="s">
        <v>4060</v>
      </c>
      <c r="I14361" s="690" t="s">
        <v>4060</v>
      </c>
      <c r="J14361" s="690" t="s">
        <v>4060</v>
      </c>
      <c r="K14361" s="690" t="s">
        <v>4060</v>
      </c>
    </row>
    <row r="14362" spans="1:11">
      <c r="A14362" s="688" t="s">
        <v>0</v>
      </c>
      <c r="B14362" s="691">
        <v>75.599999999999994</v>
      </c>
      <c r="C14362" s="691">
        <v>75.8</v>
      </c>
      <c r="D14362" s="691">
        <v>75.5</v>
      </c>
      <c r="E14362" s="615">
        <v>76</v>
      </c>
      <c r="F14362" s="615">
        <v>76</v>
      </c>
      <c r="G14362" s="615">
        <v>76</v>
      </c>
      <c r="H14362" s="691">
        <v>76.400000000000006</v>
      </c>
      <c r="I14362" s="691">
        <v>75.400000000000006</v>
      </c>
      <c r="J14362" s="691">
        <v>76.3</v>
      </c>
      <c r="K14362" s="691">
        <v>76.099999999999994</v>
      </c>
    </row>
    <row r="14363" spans="1:11">
      <c r="A14363" s="688" t="s">
        <v>1</v>
      </c>
      <c r="B14363" s="689">
        <v>71.2</v>
      </c>
      <c r="C14363" s="689">
        <v>70.599999999999994</v>
      </c>
      <c r="D14363" s="689">
        <v>70.7</v>
      </c>
      <c r="E14363" s="689">
        <v>70.900000000000006</v>
      </c>
      <c r="F14363" s="689">
        <v>70.8</v>
      </c>
      <c r="G14363" s="689">
        <v>70.900000000000006</v>
      </c>
      <c r="H14363" s="689">
        <v>71.099999999999994</v>
      </c>
      <c r="I14363" s="689">
        <v>69.8</v>
      </c>
      <c r="J14363" s="689">
        <v>67.5</v>
      </c>
      <c r="K14363" s="689">
        <v>70.400000000000006</v>
      </c>
    </row>
    <row r="14364" spans="1:11">
      <c r="A14364" s="688" t="s">
        <v>2240</v>
      </c>
      <c r="B14364" s="691">
        <v>73.599999999999994</v>
      </c>
      <c r="C14364" s="615">
        <v>74</v>
      </c>
      <c r="D14364" s="691">
        <v>73.7</v>
      </c>
      <c r="E14364" s="691">
        <v>74.2</v>
      </c>
      <c r="F14364" s="691">
        <v>74.099999999999994</v>
      </c>
      <c r="G14364" s="691">
        <v>74.2</v>
      </c>
      <c r="H14364" s="691">
        <v>74.400000000000006</v>
      </c>
      <c r="I14364" s="691">
        <v>73.5</v>
      </c>
      <c r="J14364" s="691">
        <v>72.7</v>
      </c>
      <c r="K14364" s="691">
        <v>74.2</v>
      </c>
    </row>
    <row r="14365" spans="1:11">
      <c r="A14365" s="688" t="s">
        <v>2</v>
      </c>
      <c r="B14365" s="689">
        <v>74.7</v>
      </c>
      <c r="C14365" s="693">
        <v>75</v>
      </c>
      <c r="D14365" s="693">
        <v>75</v>
      </c>
      <c r="E14365" s="689">
        <v>75.099999999999994</v>
      </c>
      <c r="F14365" s="689">
        <v>75.400000000000006</v>
      </c>
      <c r="G14365" s="689">
        <v>75.3</v>
      </c>
      <c r="H14365" s="689">
        <v>75.7</v>
      </c>
      <c r="I14365" s="689">
        <v>75.8</v>
      </c>
      <c r="J14365" s="689">
        <v>75.599999999999994</v>
      </c>
      <c r="K14365" s="689">
        <v>75.5</v>
      </c>
    </row>
    <row r="14366" spans="1:11">
      <c r="A14366" s="688" t="s">
        <v>3</v>
      </c>
      <c r="B14366" s="691">
        <v>75.3</v>
      </c>
      <c r="C14366" s="691">
        <v>75.7</v>
      </c>
      <c r="D14366" s="691">
        <v>75.3</v>
      </c>
      <c r="E14366" s="691">
        <v>75.599999999999994</v>
      </c>
      <c r="F14366" s="691">
        <v>75.599999999999994</v>
      </c>
      <c r="G14366" s="691">
        <v>75.5</v>
      </c>
      <c r="H14366" s="691">
        <v>75.900000000000006</v>
      </c>
      <c r="I14366" s="691">
        <v>75.7</v>
      </c>
      <c r="J14366" s="691">
        <v>75.5</v>
      </c>
      <c r="K14366" s="691">
        <v>75.2</v>
      </c>
    </row>
    <row r="14367" spans="1:11">
      <c r="A14367" s="688" t="s">
        <v>4061</v>
      </c>
      <c r="B14367" s="689">
        <v>75.3</v>
      </c>
      <c r="C14367" s="689">
        <v>75.7</v>
      </c>
      <c r="D14367" s="689">
        <v>75.3</v>
      </c>
      <c r="E14367" s="689">
        <v>75.599999999999994</v>
      </c>
      <c r="F14367" s="689">
        <v>75.599999999999994</v>
      </c>
      <c r="G14367" s="689">
        <v>75.5</v>
      </c>
      <c r="H14367" s="689">
        <v>75.900000000000006</v>
      </c>
      <c r="I14367" s="689">
        <v>75.7</v>
      </c>
      <c r="J14367" s="689">
        <v>75.5</v>
      </c>
      <c r="K14367" s="689">
        <v>75.2</v>
      </c>
    </row>
    <row r="14368" spans="1:11">
      <c r="A14368" s="688" t="s">
        <v>4</v>
      </c>
      <c r="B14368" s="615">
        <v>74</v>
      </c>
      <c r="C14368" s="691">
        <v>73.8</v>
      </c>
      <c r="D14368" s="691">
        <v>74.099999999999994</v>
      </c>
      <c r="E14368" s="691">
        <v>74.099999999999994</v>
      </c>
      <c r="F14368" s="691">
        <v>74.5</v>
      </c>
      <c r="G14368" s="691">
        <v>74.599999999999994</v>
      </c>
      <c r="H14368" s="691">
        <v>74.900000000000006</v>
      </c>
      <c r="I14368" s="691">
        <v>74.900000000000006</v>
      </c>
      <c r="J14368" s="691">
        <v>73.5</v>
      </c>
      <c r="K14368" s="691">
        <v>74.5</v>
      </c>
    </row>
    <row r="14369" spans="1:11">
      <c r="A14369" s="688" t="s">
        <v>8</v>
      </c>
      <c r="B14369" s="689">
        <v>75.400000000000006</v>
      </c>
      <c r="C14369" s="689">
        <v>75.599999999999994</v>
      </c>
      <c r="D14369" s="689">
        <v>75.599999999999994</v>
      </c>
      <c r="E14369" s="689">
        <v>75.7</v>
      </c>
      <c r="F14369" s="689">
        <v>76.099999999999994</v>
      </c>
      <c r="G14369" s="689">
        <v>76.099999999999994</v>
      </c>
      <c r="H14369" s="689">
        <v>76.599999999999994</v>
      </c>
      <c r="I14369" s="689">
        <v>76.400000000000006</v>
      </c>
      <c r="J14369" s="689">
        <v>76.3</v>
      </c>
      <c r="K14369" s="689">
        <v>76.3</v>
      </c>
    </row>
    <row r="14370" spans="1:11">
      <c r="A14370" s="688" t="s">
        <v>7</v>
      </c>
      <c r="B14370" s="691">
        <v>76.400000000000006</v>
      </c>
      <c r="C14370" s="691">
        <v>76.099999999999994</v>
      </c>
      <c r="D14370" s="691">
        <v>75.900000000000006</v>
      </c>
      <c r="E14370" s="691">
        <v>76.099999999999994</v>
      </c>
      <c r="F14370" s="691">
        <v>76.099999999999994</v>
      </c>
      <c r="G14370" s="691">
        <v>76.599999999999994</v>
      </c>
      <c r="H14370" s="691">
        <v>76.5</v>
      </c>
      <c r="I14370" s="691">
        <v>76.099999999999994</v>
      </c>
      <c r="J14370" s="691">
        <v>75.2</v>
      </c>
      <c r="K14370" s="691">
        <v>75.7</v>
      </c>
    </row>
    <row r="14371" spans="1:11">
      <c r="A14371" s="688" t="s">
        <v>27</v>
      </c>
      <c r="B14371" s="689">
        <v>78.400000000000006</v>
      </c>
      <c r="C14371" s="689">
        <v>77.900000000000006</v>
      </c>
      <c r="D14371" s="689">
        <v>77.599999999999994</v>
      </c>
      <c r="E14371" s="689">
        <v>78.099999999999994</v>
      </c>
      <c r="F14371" s="689">
        <v>77.900000000000006</v>
      </c>
      <c r="G14371" s="689">
        <v>78.099999999999994</v>
      </c>
      <c r="H14371" s="689">
        <v>78.5</v>
      </c>
      <c r="I14371" s="689">
        <v>77.2</v>
      </c>
      <c r="J14371" s="689">
        <v>78.099999999999994</v>
      </c>
      <c r="K14371" s="693">
        <v>78</v>
      </c>
    </row>
    <row r="14372" spans="1:11">
      <c r="A14372" s="688" t="s">
        <v>6</v>
      </c>
      <c r="B14372" s="615">
        <v>78</v>
      </c>
      <c r="C14372" s="691">
        <v>77.7</v>
      </c>
      <c r="D14372" s="691">
        <v>77.5</v>
      </c>
      <c r="E14372" s="691">
        <v>77.7</v>
      </c>
      <c r="F14372" s="691">
        <v>77.7</v>
      </c>
      <c r="G14372" s="691">
        <v>77.8</v>
      </c>
      <c r="H14372" s="691">
        <v>77.900000000000006</v>
      </c>
      <c r="I14372" s="691">
        <v>77.5</v>
      </c>
      <c r="J14372" s="691">
        <v>77.599999999999994</v>
      </c>
      <c r="K14372" s="691">
        <v>77.5</v>
      </c>
    </row>
    <row r="14373" spans="1:11">
      <c r="A14373" s="688" t="s">
        <v>4058</v>
      </c>
      <c r="B14373" s="690" t="s">
        <v>4060</v>
      </c>
      <c r="C14373" s="690" t="s">
        <v>4060</v>
      </c>
      <c r="D14373" s="690" t="s">
        <v>4060</v>
      </c>
      <c r="E14373" s="690" t="s">
        <v>4060</v>
      </c>
      <c r="F14373" s="690" t="s">
        <v>4060</v>
      </c>
      <c r="G14373" s="690" t="s">
        <v>4060</v>
      </c>
      <c r="H14373" s="690" t="s">
        <v>4060</v>
      </c>
      <c r="I14373" s="690" t="s">
        <v>4060</v>
      </c>
      <c r="J14373" s="690" t="s">
        <v>4060</v>
      </c>
      <c r="K14373" s="690" t="s">
        <v>4060</v>
      </c>
    </row>
    <row r="14374" spans="1:11">
      <c r="A14374" s="688" t="s">
        <v>11</v>
      </c>
      <c r="B14374" s="691">
        <v>73.3</v>
      </c>
      <c r="C14374" s="691">
        <v>73.3</v>
      </c>
      <c r="D14374" s="691">
        <v>72.8</v>
      </c>
      <c r="E14374" s="691">
        <v>73.5</v>
      </c>
      <c r="F14374" s="691">
        <v>73.099999999999994</v>
      </c>
      <c r="G14374" s="691">
        <v>73.5</v>
      </c>
      <c r="H14374" s="691">
        <v>73.7</v>
      </c>
      <c r="I14374" s="691">
        <v>73.099999999999994</v>
      </c>
      <c r="J14374" s="691">
        <v>72.099999999999994</v>
      </c>
      <c r="K14374" s="691">
        <v>73.099999999999994</v>
      </c>
    </row>
    <row r="14375" spans="1:11">
      <c r="A14375" s="688" t="s">
        <v>10</v>
      </c>
      <c r="B14375" s="689">
        <v>77.5</v>
      </c>
      <c r="C14375" s="689">
        <v>77.3</v>
      </c>
      <c r="D14375" s="689">
        <v>76.8</v>
      </c>
      <c r="E14375" s="689">
        <v>77.400000000000006</v>
      </c>
      <c r="F14375" s="689">
        <v>77.2</v>
      </c>
      <c r="G14375" s="689">
        <v>77.5</v>
      </c>
      <c r="H14375" s="689">
        <v>77.7</v>
      </c>
      <c r="I14375" s="689">
        <v>76.7</v>
      </c>
      <c r="J14375" s="693">
        <v>77</v>
      </c>
      <c r="K14375" s="693">
        <v>77</v>
      </c>
    </row>
    <row r="14376" spans="1:11">
      <c r="A14376" s="688" t="s">
        <v>30</v>
      </c>
      <c r="B14376" s="691">
        <v>77.099999999999994</v>
      </c>
      <c r="C14376" s="691">
        <v>76.400000000000006</v>
      </c>
      <c r="D14376" s="615">
        <v>76</v>
      </c>
      <c r="E14376" s="691">
        <v>77.099999999999994</v>
      </c>
      <c r="F14376" s="691">
        <v>76.599999999999994</v>
      </c>
      <c r="G14376" s="615">
        <v>77</v>
      </c>
      <c r="H14376" s="691">
        <v>76.8</v>
      </c>
      <c r="I14376" s="691">
        <v>76.8</v>
      </c>
      <c r="J14376" s="691">
        <v>76.099999999999994</v>
      </c>
      <c r="K14376" s="691">
        <v>76.3</v>
      </c>
    </row>
    <row r="14377" spans="1:11">
      <c r="A14377" s="688" t="s">
        <v>12</v>
      </c>
      <c r="B14377" s="689">
        <v>71.400000000000006</v>
      </c>
      <c r="C14377" s="689">
        <v>71.7</v>
      </c>
      <c r="D14377" s="689">
        <v>71.7</v>
      </c>
      <c r="E14377" s="689">
        <v>71.900000000000006</v>
      </c>
      <c r="F14377" s="689">
        <v>71.900000000000006</v>
      </c>
      <c r="G14377" s="689">
        <v>71.900000000000006</v>
      </c>
      <c r="H14377" s="689">
        <v>72.400000000000006</v>
      </c>
      <c r="I14377" s="689">
        <v>72.3</v>
      </c>
      <c r="J14377" s="689">
        <v>70.3</v>
      </c>
      <c r="K14377" s="689">
        <v>71.7</v>
      </c>
    </row>
    <row r="14378" spans="1:11">
      <c r="A14378" s="688" t="s">
        <v>14</v>
      </c>
      <c r="B14378" s="691">
        <v>71.900000000000006</v>
      </c>
      <c r="C14378" s="691">
        <v>72.2</v>
      </c>
      <c r="D14378" s="615">
        <v>72</v>
      </c>
      <c r="E14378" s="691">
        <v>72.3</v>
      </c>
      <c r="F14378" s="691">
        <v>72.599999999999994</v>
      </c>
      <c r="G14378" s="691">
        <v>72.8</v>
      </c>
      <c r="H14378" s="691">
        <v>73.2</v>
      </c>
      <c r="I14378" s="691">
        <v>72.3</v>
      </c>
      <c r="J14378" s="691">
        <v>71.099999999999994</v>
      </c>
      <c r="K14378" s="691">
        <v>72.400000000000006</v>
      </c>
    </row>
    <row r="14379" spans="1:11">
      <c r="A14379" s="688" t="s">
        <v>15</v>
      </c>
      <c r="B14379" s="689">
        <v>76.2</v>
      </c>
      <c r="C14379" s="689">
        <v>76.900000000000006</v>
      </c>
      <c r="D14379" s="689">
        <v>76.3</v>
      </c>
      <c r="E14379" s="689">
        <v>77.099999999999994</v>
      </c>
      <c r="F14379" s="689">
        <v>76.2</v>
      </c>
      <c r="G14379" s="689">
        <v>76.7</v>
      </c>
      <c r="H14379" s="689">
        <v>77.099999999999994</v>
      </c>
      <c r="I14379" s="689">
        <v>76.8</v>
      </c>
      <c r="J14379" s="693">
        <v>77</v>
      </c>
      <c r="K14379" s="689">
        <v>77.2</v>
      </c>
    </row>
    <row r="14380" spans="1:11">
      <c r="A14380" s="688" t="s">
        <v>29</v>
      </c>
      <c r="B14380" s="691">
        <v>71.5</v>
      </c>
      <c r="C14380" s="691">
        <v>71.599999999999994</v>
      </c>
      <c r="D14380" s="691">
        <v>71.2</v>
      </c>
      <c r="E14380" s="691">
        <v>71.8</v>
      </c>
      <c r="F14380" s="691">
        <v>71.5</v>
      </c>
      <c r="G14380" s="691">
        <v>71.7</v>
      </c>
      <c r="H14380" s="691">
        <v>71.8</v>
      </c>
      <c r="I14380" s="691">
        <v>71.099999999999994</v>
      </c>
      <c r="J14380" s="691">
        <v>69.8</v>
      </c>
      <c r="K14380" s="691">
        <v>71.5</v>
      </c>
    </row>
    <row r="14381" spans="1:11">
      <c r="A14381" s="688" t="s">
        <v>16</v>
      </c>
      <c r="B14381" s="689">
        <v>76.599999999999994</v>
      </c>
      <c r="C14381" s="689">
        <v>76.400000000000006</v>
      </c>
      <c r="D14381" s="689">
        <v>76.2</v>
      </c>
      <c r="E14381" s="689">
        <v>76.400000000000006</v>
      </c>
      <c r="F14381" s="689">
        <v>76.599999999999994</v>
      </c>
      <c r="G14381" s="689">
        <v>76.5</v>
      </c>
      <c r="H14381" s="689">
        <v>76.8</v>
      </c>
      <c r="I14381" s="689">
        <v>76.5</v>
      </c>
      <c r="J14381" s="689">
        <v>76.2</v>
      </c>
      <c r="K14381" s="689">
        <v>76.599999999999994</v>
      </c>
    </row>
    <row r="14382" spans="1:11">
      <c r="A14382" s="688" t="s">
        <v>17</v>
      </c>
      <c r="B14382" s="691">
        <v>75.599999999999994</v>
      </c>
      <c r="C14382" s="691">
        <v>75.599999999999994</v>
      </c>
      <c r="D14382" s="691">
        <v>75.400000000000006</v>
      </c>
      <c r="E14382" s="691">
        <v>75.5</v>
      </c>
      <c r="F14382" s="691">
        <v>75.599999999999994</v>
      </c>
      <c r="G14382" s="691">
        <v>75.599999999999994</v>
      </c>
      <c r="H14382" s="691">
        <v>75.900000000000006</v>
      </c>
      <c r="I14382" s="691">
        <v>75.400000000000006</v>
      </c>
      <c r="J14382" s="691">
        <v>75.3</v>
      </c>
      <c r="K14382" s="691">
        <v>75.400000000000006</v>
      </c>
    </row>
    <row r="14383" spans="1:11">
      <c r="A14383" s="688" t="s">
        <v>19</v>
      </c>
      <c r="B14383" s="689">
        <v>76.099999999999994</v>
      </c>
      <c r="C14383" s="689">
        <v>76.099999999999994</v>
      </c>
      <c r="D14383" s="689">
        <v>75.900000000000006</v>
      </c>
      <c r="E14383" s="689">
        <v>76.3</v>
      </c>
      <c r="F14383" s="689">
        <v>76.2</v>
      </c>
      <c r="G14383" s="689">
        <v>76.3</v>
      </c>
      <c r="H14383" s="689">
        <v>76.5</v>
      </c>
      <c r="I14383" s="693">
        <v>76</v>
      </c>
      <c r="J14383" s="693">
        <v>76</v>
      </c>
      <c r="K14383" s="693">
        <v>76</v>
      </c>
    </row>
    <row r="14384" spans="1:11">
      <c r="A14384" s="688" t="s">
        <v>20</v>
      </c>
      <c r="B14384" s="691">
        <v>73.599999999999994</v>
      </c>
      <c r="C14384" s="691">
        <v>73.8</v>
      </c>
      <c r="D14384" s="691">
        <v>73.599999999999994</v>
      </c>
      <c r="E14384" s="691">
        <v>74.099999999999994</v>
      </c>
      <c r="F14384" s="691">
        <v>73.900000000000006</v>
      </c>
      <c r="G14384" s="691">
        <v>73.8</v>
      </c>
      <c r="H14384" s="691">
        <v>74.099999999999994</v>
      </c>
      <c r="I14384" s="691">
        <v>72.900000000000006</v>
      </c>
      <c r="J14384" s="691">
        <v>71.8</v>
      </c>
      <c r="K14384" s="691">
        <v>73.3</v>
      </c>
    </row>
    <row r="14385" spans="1:11">
      <c r="A14385" s="688" t="s">
        <v>21</v>
      </c>
      <c r="B14385" s="689">
        <v>76.3</v>
      </c>
      <c r="C14385" s="689">
        <v>76.599999999999994</v>
      </c>
      <c r="D14385" s="689">
        <v>76.5</v>
      </c>
      <c r="E14385" s="689">
        <v>76.599999999999994</v>
      </c>
      <c r="F14385" s="689">
        <v>76.8</v>
      </c>
      <c r="G14385" s="689">
        <v>76.8</v>
      </c>
      <c r="H14385" s="689">
        <v>77.099999999999994</v>
      </c>
      <c r="I14385" s="689">
        <v>76.5</v>
      </c>
      <c r="J14385" s="689">
        <v>76.5</v>
      </c>
      <c r="K14385" s="689">
        <v>76.7</v>
      </c>
    </row>
    <row r="14386" spans="1:11">
      <c r="A14386" s="688" t="s">
        <v>22</v>
      </c>
      <c r="B14386" s="691">
        <v>71.5</v>
      </c>
      <c r="C14386" s="691">
        <v>71.3</v>
      </c>
      <c r="D14386" s="691">
        <v>71.2</v>
      </c>
      <c r="E14386" s="691">
        <v>71.5</v>
      </c>
      <c r="F14386" s="691">
        <v>71.5</v>
      </c>
      <c r="G14386" s="691">
        <v>71.7</v>
      </c>
      <c r="H14386" s="615">
        <v>72</v>
      </c>
      <c r="I14386" s="691">
        <v>70.7</v>
      </c>
      <c r="J14386" s="691">
        <v>69.2</v>
      </c>
      <c r="K14386" s="691">
        <v>71.599999999999994</v>
      </c>
    </row>
    <row r="14387" spans="1:11">
      <c r="A14387" s="688" t="s">
        <v>26</v>
      </c>
      <c r="B14387" s="689">
        <v>75.900000000000006</v>
      </c>
      <c r="C14387" s="689">
        <v>75.900000000000006</v>
      </c>
      <c r="D14387" s="689">
        <v>75.7</v>
      </c>
      <c r="E14387" s="689">
        <v>76.099999999999994</v>
      </c>
      <c r="F14387" s="689">
        <v>75.900000000000006</v>
      </c>
      <c r="G14387" s="689">
        <v>76.2</v>
      </c>
      <c r="H14387" s="689">
        <v>76.400000000000006</v>
      </c>
      <c r="I14387" s="689">
        <v>75.599999999999994</v>
      </c>
      <c r="J14387" s="689">
        <v>75.900000000000006</v>
      </c>
      <c r="K14387" s="689">
        <v>76.099999999999994</v>
      </c>
    </row>
    <row r="14388" spans="1:11">
      <c r="A14388" s="688" t="s">
        <v>25</v>
      </c>
      <c r="B14388" s="691">
        <v>72.7</v>
      </c>
      <c r="C14388" s="691">
        <v>72.900000000000006</v>
      </c>
      <c r="D14388" s="691">
        <v>72.599999999999994</v>
      </c>
      <c r="E14388" s="615">
        <v>73</v>
      </c>
      <c r="F14388" s="615">
        <v>73</v>
      </c>
      <c r="G14388" s="691">
        <v>73.099999999999994</v>
      </c>
      <c r="H14388" s="691">
        <v>73.5</v>
      </c>
      <c r="I14388" s="691">
        <v>72.900000000000006</v>
      </c>
      <c r="J14388" s="691">
        <v>70.599999999999994</v>
      </c>
      <c r="K14388" s="691">
        <v>72.900000000000006</v>
      </c>
    </row>
    <row r="14389" spans="1:11">
      <c r="A14389" s="688" t="s">
        <v>5</v>
      </c>
      <c r="B14389" s="689">
        <v>76.3</v>
      </c>
      <c r="C14389" s="689">
        <v>76.099999999999994</v>
      </c>
      <c r="D14389" s="689">
        <v>76.3</v>
      </c>
      <c r="E14389" s="689">
        <v>76.3</v>
      </c>
      <c r="F14389" s="689">
        <v>76.5</v>
      </c>
      <c r="G14389" s="689">
        <v>76.5</v>
      </c>
      <c r="H14389" s="689">
        <v>76.7</v>
      </c>
      <c r="I14389" s="689">
        <v>76.8</v>
      </c>
      <c r="J14389" s="689">
        <v>76.7</v>
      </c>
      <c r="K14389" s="693">
        <v>76</v>
      </c>
    </row>
    <row r="14390" spans="1:11">
      <c r="A14390" s="688" t="s">
        <v>23</v>
      </c>
      <c r="B14390" s="691">
        <v>76.099999999999994</v>
      </c>
      <c r="C14390" s="691">
        <v>76.3</v>
      </c>
      <c r="D14390" s="691">
        <v>76.3</v>
      </c>
      <c r="E14390" s="691">
        <v>76.400000000000006</v>
      </c>
      <c r="F14390" s="691">
        <v>76.400000000000006</v>
      </c>
      <c r="G14390" s="691">
        <v>76.5</v>
      </c>
      <c r="H14390" s="615">
        <v>77</v>
      </c>
      <c r="I14390" s="691">
        <v>76.5</v>
      </c>
      <c r="J14390" s="615">
        <v>77</v>
      </c>
      <c r="K14390" s="615">
        <v>77</v>
      </c>
    </row>
    <row r="14391" spans="1:11">
      <c r="A14391" s="688" t="s">
        <v>4067</v>
      </c>
      <c r="B14391" s="689">
        <v>75.7</v>
      </c>
      <c r="C14391" s="693">
        <v>76</v>
      </c>
      <c r="D14391" s="689">
        <v>75.599999999999994</v>
      </c>
      <c r="E14391" s="693">
        <v>76</v>
      </c>
      <c r="F14391" s="689">
        <v>75.900000000000006</v>
      </c>
      <c r="G14391" s="693">
        <v>76</v>
      </c>
      <c r="H14391" s="690" t="s">
        <v>4060</v>
      </c>
      <c r="I14391" s="690" t="s">
        <v>4060</v>
      </c>
      <c r="J14391" s="690" t="s">
        <v>4060</v>
      </c>
      <c r="K14391" s="690" t="s">
        <v>4060</v>
      </c>
    </row>
    <row r="14392" spans="1:11">
      <c r="A14392" s="688" t="s">
        <v>4066</v>
      </c>
      <c r="B14392" s="691">
        <v>75.7</v>
      </c>
      <c r="C14392" s="615">
        <v>76</v>
      </c>
      <c r="D14392" s="691">
        <v>75.599999999999994</v>
      </c>
      <c r="E14392" s="615">
        <v>76</v>
      </c>
      <c r="F14392" s="691">
        <v>75.900000000000006</v>
      </c>
      <c r="G14392" s="615">
        <v>76</v>
      </c>
      <c r="H14392" s="692" t="s">
        <v>4060</v>
      </c>
      <c r="I14392" s="692" t="s">
        <v>4060</v>
      </c>
      <c r="J14392" s="692" t="s">
        <v>4060</v>
      </c>
      <c r="K14392" s="692" t="s">
        <v>4060</v>
      </c>
    </row>
    <row r="14393" spans="1:11">
      <c r="A14393" s="688" t="s">
        <v>4062</v>
      </c>
      <c r="B14393" s="689">
        <v>76.900000000000006</v>
      </c>
      <c r="C14393" s="693">
        <v>77</v>
      </c>
      <c r="D14393" s="689">
        <v>76.900000000000006</v>
      </c>
      <c r="E14393" s="689">
        <v>77.099999999999994</v>
      </c>
      <c r="F14393" s="689">
        <v>77.3</v>
      </c>
      <c r="G14393" s="689">
        <v>77.400000000000006</v>
      </c>
      <c r="H14393" s="689">
        <v>77.5</v>
      </c>
      <c r="I14393" s="689">
        <v>77.3</v>
      </c>
      <c r="J14393" s="689">
        <v>77.5</v>
      </c>
      <c r="K14393" s="689">
        <v>77.2</v>
      </c>
    </row>
    <row r="14394" spans="1:11">
      <c r="A14394" s="688" t="s">
        <v>9</v>
      </c>
      <c r="B14394" s="615">
        <v>76</v>
      </c>
      <c r="C14394" s="691">
        <v>76.400000000000006</v>
      </c>
      <c r="D14394" s="691">
        <v>75.8</v>
      </c>
      <c r="E14394" s="615">
        <v>76</v>
      </c>
      <c r="F14394" s="691">
        <v>76.5</v>
      </c>
      <c r="G14394" s="691">
        <v>76.400000000000006</v>
      </c>
      <c r="H14394" s="691">
        <v>76.599999999999994</v>
      </c>
      <c r="I14394" s="691">
        <v>76.599999999999994</v>
      </c>
      <c r="J14394" s="691">
        <v>76.8</v>
      </c>
      <c r="K14394" s="691">
        <v>75.8</v>
      </c>
    </row>
    <row r="14395" spans="1:11">
      <c r="A14395" s="688" t="s">
        <v>13</v>
      </c>
      <c r="B14395" s="689">
        <v>76.900000000000006</v>
      </c>
      <c r="C14395" s="689">
        <v>75.7</v>
      </c>
      <c r="D14395" s="689">
        <v>76.3</v>
      </c>
      <c r="E14395" s="689">
        <v>75.900000000000006</v>
      </c>
      <c r="F14395" s="689">
        <v>77.8</v>
      </c>
      <c r="G14395" s="689">
        <v>77.599999999999994</v>
      </c>
      <c r="H14395" s="689">
        <v>77.5</v>
      </c>
      <c r="I14395" s="689">
        <v>76.2</v>
      </c>
      <c r="J14395" s="689">
        <v>78.099999999999994</v>
      </c>
      <c r="K14395" s="689">
        <v>77.2</v>
      </c>
    </row>
    <row r="14396" spans="1:11">
      <c r="A14396" s="688" t="s">
        <v>18</v>
      </c>
      <c r="B14396" s="615">
        <v>76</v>
      </c>
      <c r="C14396" s="691">
        <v>76.3</v>
      </c>
      <c r="D14396" s="691">
        <v>76.400000000000006</v>
      </c>
      <c r="E14396" s="691">
        <v>76.400000000000006</v>
      </c>
      <c r="F14396" s="691">
        <v>76.5</v>
      </c>
      <c r="G14396" s="691">
        <v>76.7</v>
      </c>
      <c r="H14396" s="691">
        <v>76.900000000000006</v>
      </c>
      <c r="I14396" s="615">
        <v>77</v>
      </c>
      <c r="J14396" s="691">
        <v>76.900000000000006</v>
      </c>
      <c r="K14396" s="691">
        <v>76.5</v>
      </c>
    </row>
    <row r="14397" spans="1:11">
      <c r="A14397" s="688" t="s">
        <v>24</v>
      </c>
      <c r="B14397" s="689">
        <v>77.400000000000006</v>
      </c>
      <c r="C14397" s="689">
        <v>77.5</v>
      </c>
      <c r="D14397" s="689">
        <v>77.2</v>
      </c>
      <c r="E14397" s="689">
        <v>77.599999999999994</v>
      </c>
      <c r="F14397" s="689">
        <v>77.7</v>
      </c>
      <c r="G14397" s="689">
        <v>77.7</v>
      </c>
      <c r="H14397" s="689">
        <v>77.900000000000006</v>
      </c>
      <c r="I14397" s="689">
        <v>77.400000000000006</v>
      </c>
      <c r="J14397" s="689">
        <v>77.900000000000006</v>
      </c>
      <c r="K14397" s="689">
        <v>77.7</v>
      </c>
    </row>
    <row r="14398" spans="1:11">
      <c r="A14398" s="688" t="s">
        <v>4059</v>
      </c>
      <c r="B14398" s="691">
        <v>75.3</v>
      </c>
      <c r="C14398" s="691">
        <v>75.5</v>
      </c>
      <c r="D14398" s="691">
        <v>75.099999999999994</v>
      </c>
      <c r="E14398" s="691">
        <v>75.400000000000006</v>
      </c>
      <c r="F14398" s="691">
        <v>75.400000000000006</v>
      </c>
      <c r="G14398" s="691">
        <v>75.400000000000006</v>
      </c>
      <c r="H14398" s="692" t="s">
        <v>4060</v>
      </c>
      <c r="I14398" s="692" t="s">
        <v>4060</v>
      </c>
      <c r="J14398" s="692" t="s">
        <v>4060</v>
      </c>
      <c r="K14398" s="692" t="s">
        <v>4060</v>
      </c>
    </row>
    <row r="14399" spans="1:11">
      <c r="A14399" s="688" t="s">
        <v>2324</v>
      </c>
      <c r="B14399" s="689">
        <v>71.3</v>
      </c>
      <c r="C14399" s="689">
        <v>71.3</v>
      </c>
      <c r="D14399" s="689">
        <v>70.900000000000006</v>
      </c>
      <c r="E14399" s="689">
        <v>71.3</v>
      </c>
      <c r="F14399" s="689">
        <v>71.400000000000006</v>
      </c>
      <c r="G14399" s="689">
        <v>71.5</v>
      </c>
      <c r="H14399" s="689">
        <v>71.8</v>
      </c>
      <c r="I14399" s="689">
        <v>71.099999999999994</v>
      </c>
      <c r="J14399" s="689">
        <v>69.099999999999994</v>
      </c>
      <c r="K14399" s="690" t="s">
        <v>4060</v>
      </c>
    </row>
    <row r="14400" spans="1:11">
      <c r="A14400" s="688" t="s">
        <v>2322</v>
      </c>
      <c r="B14400" s="692" t="s">
        <v>4060</v>
      </c>
      <c r="C14400" s="692" t="s">
        <v>4060</v>
      </c>
      <c r="D14400" s="692" t="s">
        <v>4060</v>
      </c>
      <c r="E14400" s="692" t="s">
        <v>4060</v>
      </c>
      <c r="F14400" s="692" t="s">
        <v>4060</v>
      </c>
      <c r="G14400" s="692" t="s">
        <v>4060</v>
      </c>
      <c r="H14400" s="692" t="s">
        <v>4060</v>
      </c>
      <c r="I14400" s="692" t="s">
        <v>4060</v>
      </c>
      <c r="J14400" s="692" t="s">
        <v>4060</v>
      </c>
      <c r="K14400" s="692" t="s">
        <v>4060</v>
      </c>
    </row>
    <row r="14401" spans="1:11">
      <c r="A14401" s="688" t="s">
        <v>2328</v>
      </c>
      <c r="B14401" s="689">
        <v>70.400000000000006</v>
      </c>
      <c r="C14401" s="689">
        <v>70.3</v>
      </c>
      <c r="D14401" s="689">
        <v>70.099999999999994</v>
      </c>
      <c r="E14401" s="689">
        <v>70.5</v>
      </c>
      <c r="F14401" s="689">
        <v>70.7</v>
      </c>
      <c r="G14401" s="689">
        <v>71.2</v>
      </c>
      <c r="H14401" s="689">
        <v>71.099999999999994</v>
      </c>
      <c r="I14401" s="689">
        <v>69.2</v>
      </c>
      <c r="J14401" s="689">
        <v>67.900000000000006</v>
      </c>
      <c r="K14401" s="690" t="s">
        <v>4060</v>
      </c>
    </row>
    <row r="14402" spans="1:11">
      <c r="A14402" s="688" t="s">
        <v>2496</v>
      </c>
      <c r="B14402" s="692" t="s">
        <v>4060</v>
      </c>
      <c r="C14402" s="691">
        <v>71.2</v>
      </c>
      <c r="D14402" s="691">
        <v>70.2</v>
      </c>
      <c r="E14402" s="691">
        <v>69.900000000000006</v>
      </c>
      <c r="F14402" s="691">
        <v>70.599999999999994</v>
      </c>
      <c r="G14402" s="691">
        <v>70.900000000000006</v>
      </c>
      <c r="H14402" s="615">
        <v>71</v>
      </c>
      <c r="I14402" s="692" t="s">
        <v>4060</v>
      </c>
      <c r="J14402" s="692" t="s">
        <v>4060</v>
      </c>
      <c r="K14402" s="691">
        <v>70.8</v>
      </c>
    </row>
    <row r="14403" spans="1:11">
      <c r="A14403" s="688" t="s">
        <v>2269</v>
      </c>
      <c r="B14403" s="689">
        <v>72.8</v>
      </c>
      <c r="C14403" s="689">
        <v>72.900000000000006</v>
      </c>
      <c r="D14403" s="689">
        <v>72.3</v>
      </c>
      <c r="E14403" s="689">
        <v>72.900000000000006</v>
      </c>
      <c r="F14403" s="689">
        <v>72.8</v>
      </c>
      <c r="G14403" s="689">
        <v>73.3</v>
      </c>
      <c r="H14403" s="689">
        <v>73.5</v>
      </c>
      <c r="I14403" s="689">
        <v>72.400000000000006</v>
      </c>
      <c r="J14403" s="689">
        <v>70.3</v>
      </c>
      <c r="K14403" s="689">
        <v>73.400000000000006</v>
      </c>
    </row>
    <row r="14404" spans="1:11">
      <c r="A14404" s="688" t="s">
        <v>2349</v>
      </c>
      <c r="B14404" s="691">
        <v>70.400000000000006</v>
      </c>
      <c r="C14404" s="691">
        <v>70.400000000000006</v>
      </c>
      <c r="D14404" s="691">
        <v>70.400000000000006</v>
      </c>
      <c r="E14404" s="691">
        <v>70.7</v>
      </c>
      <c r="F14404" s="691">
        <v>70.5</v>
      </c>
      <c r="G14404" s="691">
        <v>70.900000000000006</v>
      </c>
      <c r="H14404" s="691">
        <v>71.099999999999994</v>
      </c>
      <c r="I14404" s="691">
        <v>69.900000000000006</v>
      </c>
      <c r="J14404" s="691">
        <v>68.099999999999994</v>
      </c>
      <c r="K14404" s="691">
        <v>70.2</v>
      </c>
    </row>
    <row r="14405" spans="1:11">
      <c r="A14405" s="688" t="s">
        <v>2355</v>
      </c>
      <c r="B14405" s="689">
        <v>74.2</v>
      </c>
      <c r="C14405" s="693">
        <v>74</v>
      </c>
      <c r="D14405" s="693">
        <v>74</v>
      </c>
      <c r="E14405" s="689">
        <v>73.900000000000006</v>
      </c>
      <c r="F14405" s="689">
        <v>74.2</v>
      </c>
      <c r="G14405" s="689">
        <v>74.599999999999994</v>
      </c>
      <c r="H14405" s="689">
        <v>74.599999999999994</v>
      </c>
      <c r="I14405" s="690" t="s">
        <v>4060</v>
      </c>
      <c r="J14405" s="690" t="s">
        <v>4060</v>
      </c>
      <c r="K14405" s="690" t="s">
        <v>4060</v>
      </c>
    </row>
    <row r="14406" spans="1:11">
      <c r="A14406" s="688" t="s">
        <v>2357</v>
      </c>
      <c r="B14406" s="692" t="s">
        <v>4060</v>
      </c>
      <c r="C14406" s="691">
        <v>69.400000000000006</v>
      </c>
      <c r="D14406" s="691">
        <v>69.900000000000006</v>
      </c>
      <c r="E14406" s="691">
        <v>70.2</v>
      </c>
      <c r="F14406" s="691">
        <v>70.599999999999994</v>
      </c>
      <c r="G14406" s="691">
        <v>70.599999999999994</v>
      </c>
      <c r="H14406" s="691">
        <v>70.900000000000006</v>
      </c>
      <c r="I14406" s="692" t="s">
        <v>4060</v>
      </c>
      <c r="J14406" s="692" t="s">
        <v>4060</v>
      </c>
      <c r="K14406" s="692" t="s">
        <v>4060</v>
      </c>
    </row>
    <row r="14407" spans="1:11">
      <c r="A14407" s="688" t="s">
        <v>4070</v>
      </c>
      <c r="B14407" s="690" t="s">
        <v>4060</v>
      </c>
      <c r="C14407" s="690" t="s">
        <v>4060</v>
      </c>
      <c r="D14407" s="690" t="s">
        <v>4060</v>
      </c>
      <c r="E14407" s="689">
        <v>74.099999999999994</v>
      </c>
      <c r="F14407" s="690" t="s">
        <v>4060</v>
      </c>
      <c r="G14407" s="690" t="s">
        <v>4060</v>
      </c>
      <c r="H14407" s="690" t="s">
        <v>4060</v>
      </c>
      <c r="I14407" s="690" t="s">
        <v>4060</v>
      </c>
      <c r="J14407" s="690" t="s">
        <v>4060</v>
      </c>
      <c r="K14407" s="690" t="s">
        <v>4060</v>
      </c>
    </row>
    <row r="14408" spans="1:11">
      <c r="A14408" s="688" t="s">
        <v>2491</v>
      </c>
      <c r="B14408" s="691">
        <v>70.400000000000006</v>
      </c>
      <c r="C14408" s="691">
        <v>70.900000000000006</v>
      </c>
      <c r="D14408" s="691">
        <v>71.3</v>
      </c>
      <c r="E14408" s="691">
        <v>71.5</v>
      </c>
      <c r="F14408" s="691">
        <v>71.599999999999994</v>
      </c>
      <c r="G14408" s="691">
        <v>71.7</v>
      </c>
      <c r="H14408" s="692" t="s">
        <v>4060</v>
      </c>
      <c r="I14408" s="692" t="s">
        <v>4060</v>
      </c>
      <c r="J14408" s="692" t="s">
        <v>4060</v>
      </c>
      <c r="K14408" s="692" t="s">
        <v>4060</v>
      </c>
    </row>
    <row r="14409" spans="1:11">
      <c r="A14409" s="688" t="s">
        <v>2343</v>
      </c>
      <c r="B14409" s="690" t="s">
        <v>4060</v>
      </c>
      <c r="C14409" s="690" t="s">
        <v>4060</v>
      </c>
      <c r="D14409" s="690" t="s">
        <v>4060</v>
      </c>
      <c r="E14409" s="690" t="s">
        <v>4060</v>
      </c>
      <c r="F14409" s="690" t="s">
        <v>4060</v>
      </c>
      <c r="G14409" s="690" t="s">
        <v>4060</v>
      </c>
      <c r="H14409" s="690" t="s">
        <v>4060</v>
      </c>
      <c r="I14409" s="690" t="s">
        <v>4060</v>
      </c>
      <c r="J14409" s="690" t="s">
        <v>4060</v>
      </c>
      <c r="K14409" s="690" t="s">
        <v>4060</v>
      </c>
    </row>
    <row r="14410" spans="1:11">
      <c r="A14410" s="688" t="s">
        <v>4071</v>
      </c>
      <c r="B14410" s="692" t="s">
        <v>4060</v>
      </c>
      <c r="C14410" s="692" t="s">
        <v>4060</v>
      </c>
      <c r="D14410" s="692" t="s">
        <v>4060</v>
      </c>
      <c r="E14410" s="692" t="s">
        <v>4060</v>
      </c>
      <c r="F14410" s="692" t="s">
        <v>4060</v>
      </c>
      <c r="G14410" s="692" t="s">
        <v>4060</v>
      </c>
      <c r="H14410" s="692" t="s">
        <v>4060</v>
      </c>
      <c r="I14410" s="692" t="s">
        <v>4060</v>
      </c>
      <c r="J14410" s="692" t="s">
        <v>4060</v>
      </c>
      <c r="K14410" s="692" t="s">
        <v>4060</v>
      </c>
    </row>
    <row r="14411" spans="1:11">
      <c r="A14411" s="688" t="s">
        <v>2489</v>
      </c>
      <c r="B14411" s="690" t="s">
        <v>4060</v>
      </c>
      <c r="C14411" s="690" t="s">
        <v>4060</v>
      </c>
      <c r="D14411" s="693">
        <v>71</v>
      </c>
      <c r="E14411" s="689">
        <v>71.099999999999994</v>
      </c>
      <c r="F14411" s="689">
        <v>71.599999999999994</v>
      </c>
      <c r="G14411" s="689">
        <v>72.3</v>
      </c>
      <c r="H14411" s="689">
        <v>72.3</v>
      </c>
      <c r="I14411" s="690" t="s">
        <v>4060</v>
      </c>
      <c r="J14411" s="690" t="s">
        <v>4060</v>
      </c>
      <c r="K14411" s="690" t="s">
        <v>4060</v>
      </c>
    </row>
    <row r="14412" spans="1:11">
      <c r="A14412" s="688" t="s">
        <v>2490</v>
      </c>
      <c r="B14412" s="691">
        <v>70.2</v>
      </c>
      <c r="C14412" s="691">
        <v>70.2</v>
      </c>
      <c r="D14412" s="691">
        <v>70.7</v>
      </c>
      <c r="E14412" s="692" t="s">
        <v>4060</v>
      </c>
      <c r="F14412" s="691">
        <v>70.900000000000006</v>
      </c>
      <c r="G14412" s="691">
        <v>71.3</v>
      </c>
      <c r="H14412" s="691">
        <v>71.8</v>
      </c>
      <c r="I14412" s="692" t="s">
        <v>4060</v>
      </c>
      <c r="J14412" s="692" t="s">
        <v>4060</v>
      </c>
      <c r="K14412" s="692" t="s">
        <v>4060</v>
      </c>
    </row>
    <row r="14414" spans="1:11">
      <c r="A14414" s="683" t="s">
        <v>4233</v>
      </c>
    </row>
    <row r="14415" spans="1:11">
      <c r="A14415" s="683" t="s">
        <v>4060</v>
      </c>
      <c r="B14415" s="682" t="s">
        <v>4234</v>
      </c>
    </row>
    <row r="14417" spans="1:11">
      <c r="A14417" s="682" t="s">
        <v>4332</v>
      </c>
    </row>
    <row r="14418" spans="1:11">
      <c r="A14418" s="682" t="s">
        <v>4210</v>
      </c>
      <c r="B14418" s="683" t="s">
        <v>4211</v>
      </c>
    </row>
    <row r="14419" spans="1:11">
      <c r="A14419" s="682" t="s">
        <v>4212</v>
      </c>
      <c r="B14419" s="682" t="s">
        <v>4213</v>
      </c>
    </row>
    <row r="14421" spans="1:11">
      <c r="A14421" s="683" t="s">
        <v>4214</v>
      </c>
      <c r="C14421" s="682" t="s">
        <v>4215</v>
      </c>
    </row>
    <row r="14422" spans="1:11">
      <c r="A14422" s="683" t="s">
        <v>4216</v>
      </c>
      <c r="C14422" s="682" t="s">
        <v>2967</v>
      </c>
    </row>
    <row r="14423" spans="1:11">
      <c r="A14423" s="683" t="s">
        <v>3893</v>
      </c>
      <c r="C14423" s="682" t="s">
        <v>2169</v>
      </c>
    </row>
    <row r="14424" spans="1:11">
      <c r="A14424" s="683" t="s">
        <v>4218</v>
      </c>
      <c r="C14424" s="682" t="s">
        <v>4243</v>
      </c>
    </row>
    <row r="14426" spans="1:11">
      <c r="A14426" s="684" t="s">
        <v>4220</v>
      </c>
      <c r="B14426" s="685" t="s">
        <v>4221</v>
      </c>
      <c r="C14426" s="685" t="s">
        <v>4222</v>
      </c>
      <c r="D14426" s="685" t="s">
        <v>4223</v>
      </c>
      <c r="E14426" s="685" t="s">
        <v>4224</v>
      </c>
      <c r="F14426" s="685" t="s">
        <v>4225</v>
      </c>
      <c r="G14426" s="685" t="s">
        <v>4226</v>
      </c>
      <c r="H14426" s="685" t="s">
        <v>4227</v>
      </c>
      <c r="I14426" s="685" t="s">
        <v>4228</v>
      </c>
      <c r="J14426" s="685" t="s">
        <v>4229</v>
      </c>
      <c r="K14426" s="685" t="s">
        <v>4230</v>
      </c>
    </row>
    <row r="14427" spans="1:11">
      <c r="A14427" s="686" t="s">
        <v>4231</v>
      </c>
      <c r="B14427" s="687" t="s">
        <v>4232</v>
      </c>
      <c r="C14427" s="687" t="s">
        <v>4232</v>
      </c>
      <c r="D14427" s="687" t="s">
        <v>4232</v>
      </c>
      <c r="E14427" s="687" t="s">
        <v>4232</v>
      </c>
      <c r="F14427" s="687" t="s">
        <v>4232</v>
      </c>
      <c r="G14427" s="687" t="s">
        <v>4232</v>
      </c>
      <c r="H14427" s="687" t="s">
        <v>4232</v>
      </c>
      <c r="I14427" s="687" t="s">
        <v>4232</v>
      </c>
      <c r="J14427" s="687" t="s">
        <v>4232</v>
      </c>
      <c r="K14427" s="687" t="s">
        <v>4232</v>
      </c>
    </row>
    <row r="14428" spans="1:11">
      <c r="A14428" s="688" t="s">
        <v>4064</v>
      </c>
      <c r="B14428" s="691">
        <v>74.7</v>
      </c>
      <c r="C14428" s="691">
        <v>74.7</v>
      </c>
      <c r="D14428" s="691">
        <v>74.7</v>
      </c>
      <c r="E14428" s="691">
        <v>74.8</v>
      </c>
      <c r="F14428" s="691">
        <v>74.7</v>
      </c>
      <c r="G14428" s="691">
        <v>74.8</v>
      </c>
      <c r="H14428" s="691">
        <v>75.099999999999994</v>
      </c>
      <c r="I14428" s="691">
        <v>74.400000000000006</v>
      </c>
      <c r="J14428" s="691">
        <v>74.099999999999994</v>
      </c>
      <c r="K14428" s="691">
        <v>74.599999999999994</v>
      </c>
    </row>
    <row r="14429" spans="1:11">
      <c r="A14429" s="688" t="s">
        <v>4065</v>
      </c>
      <c r="B14429" s="689">
        <v>74.7</v>
      </c>
      <c r="C14429" s="693">
        <v>75</v>
      </c>
      <c r="D14429" s="689">
        <v>74.599999999999994</v>
      </c>
      <c r="E14429" s="693">
        <v>75</v>
      </c>
      <c r="F14429" s="689">
        <v>74.900000000000006</v>
      </c>
      <c r="G14429" s="693">
        <v>75</v>
      </c>
      <c r="H14429" s="690" t="s">
        <v>4060</v>
      </c>
      <c r="I14429" s="690" t="s">
        <v>4060</v>
      </c>
      <c r="J14429" s="690" t="s">
        <v>4060</v>
      </c>
      <c r="K14429" s="690" t="s">
        <v>4060</v>
      </c>
    </row>
    <row r="14430" spans="1:11">
      <c r="A14430" s="688" t="s">
        <v>4063</v>
      </c>
      <c r="B14430" s="691">
        <v>74.7</v>
      </c>
      <c r="C14430" s="615">
        <v>75</v>
      </c>
      <c r="D14430" s="691">
        <v>74.599999999999994</v>
      </c>
      <c r="E14430" s="615">
        <v>75</v>
      </c>
      <c r="F14430" s="691">
        <v>74.900000000000006</v>
      </c>
      <c r="G14430" s="615">
        <v>75</v>
      </c>
      <c r="H14430" s="692" t="s">
        <v>4060</v>
      </c>
      <c r="I14430" s="692" t="s">
        <v>4060</v>
      </c>
      <c r="J14430" s="692" t="s">
        <v>4060</v>
      </c>
      <c r="K14430" s="692" t="s">
        <v>4060</v>
      </c>
    </row>
    <row r="14431" spans="1:11">
      <c r="A14431" s="688" t="s">
        <v>4069</v>
      </c>
      <c r="B14431" s="690" t="s">
        <v>4060</v>
      </c>
      <c r="C14431" s="689">
        <v>75.5</v>
      </c>
      <c r="D14431" s="689">
        <v>75.2</v>
      </c>
      <c r="E14431" s="689">
        <v>75.599999999999994</v>
      </c>
      <c r="F14431" s="689">
        <v>75.5</v>
      </c>
      <c r="G14431" s="689">
        <v>75.7</v>
      </c>
      <c r="H14431" s="689">
        <v>75.900000000000006</v>
      </c>
      <c r="I14431" s="689">
        <v>75.3</v>
      </c>
      <c r="J14431" s="689">
        <v>75.3</v>
      </c>
      <c r="K14431" s="689">
        <v>75.3</v>
      </c>
    </row>
    <row r="14432" spans="1:11">
      <c r="A14432" s="688" t="s">
        <v>4068</v>
      </c>
      <c r="B14432" s="691">
        <v>75.599999999999994</v>
      </c>
      <c r="C14432" s="692" t="s">
        <v>4060</v>
      </c>
      <c r="D14432" s="692" t="s">
        <v>4060</v>
      </c>
      <c r="E14432" s="692" t="s">
        <v>4060</v>
      </c>
      <c r="F14432" s="692" t="s">
        <v>4060</v>
      </c>
      <c r="G14432" s="692" t="s">
        <v>4060</v>
      </c>
      <c r="H14432" s="692" t="s">
        <v>4060</v>
      </c>
      <c r="I14432" s="692" t="s">
        <v>4060</v>
      </c>
      <c r="J14432" s="692" t="s">
        <v>4060</v>
      </c>
      <c r="K14432" s="692" t="s">
        <v>4060</v>
      </c>
    </row>
    <row r="14433" spans="1:11">
      <c r="A14433" s="688" t="s">
        <v>0</v>
      </c>
      <c r="B14433" s="689">
        <v>74.599999999999994</v>
      </c>
      <c r="C14433" s="689">
        <v>74.8</v>
      </c>
      <c r="D14433" s="689">
        <v>74.5</v>
      </c>
      <c r="E14433" s="693">
        <v>75</v>
      </c>
      <c r="F14433" s="693">
        <v>75</v>
      </c>
      <c r="G14433" s="689">
        <v>75.099999999999994</v>
      </c>
      <c r="H14433" s="689">
        <v>75.400000000000006</v>
      </c>
      <c r="I14433" s="689">
        <v>74.400000000000006</v>
      </c>
      <c r="J14433" s="689">
        <v>75.3</v>
      </c>
      <c r="K14433" s="689">
        <v>75.099999999999994</v>
      </c>
    </row>
    <row r="14434" spans="1:11">
      <c r="A14434" s="688" t="s">
        <v>1</v>
      </c>
      <c r="B14434" s="691">
        <v>70.3</v>
      </c>
      <c r="C14434" s="691">
        <v>69.599999999999994</v>
      </c>
      <c r="D14434" s="691">
        <v>69.7</v>
      </c>
      <c r="E14434" s="691">
        <v>69.900000000000006</v>
      </c>
      <c r="F14434" s="691">
        <v>69.8</v>
      </c>
      <c r="G14434" s="691">
        <v>69.900000000000006</v>
      </c>
      <c r="H14434" s="691">
        <v>70.099999999999994</v>
      </c>
      <c r="I14434" s="691">
        <v>68.8</v>
      </c>
      <c r="J14434" s="691">
        <v>66.599999999999994</v>
      </c>
      <c r="K14434" s="691">
        <v>69.400000000000006</v>
      </c>
    </row>
    <row r="14435" spans="1:11">
      <c r="A14435" s="688" t="s">
        <v>2240</v>
      </c>
      <c r="B14435" s="689">
        <v>72.599999999999994</v>
      </c>
      <c r="C14435" s="693">
        <v>73</v>
      </c>
      <c r="D14435" s="689">
        <v>72.7</v>
      </c>
      <c r="E14435" s="689">
        <v>73.2</v>
      </c>
      <c r="F14435" s="689">
        <v>73.099999999999994</v>
      </c>
      <c r="G14435" s="689">
        <v>73.2</v>
      </c>
      <c r="H14435" s="689">
        <v>73.400000000000006</v>
      </c>
      <c r="I14435" s="689">
        <v>72.5</v>
      </c>
      <c r="J14435" s="689">
        <v>71.7</v>
      </c>
      <c r="K14435" s="689">
        <v>73.2</v>
      </c>
    </row>
    <row r="14436" spans="1:11">
      <c r="A14436" s="688" t="s">
        <v>2</v>
      </c>
      <c r="B14436" s="691">
        <v>73.7</v>
      </c>
      <c r="C14436" s="615">
        <v>74</v>
      </c>
      <c r="D14436" s="615">
        <v>74</v>
      </c>
      <c r="E14436" s="691">
        <v>74.099999999999994</v>
      </c>
      <c r="F14436" s="691">
        <v>74.400000000000006</v>
      </c>
      <c r="G14436" s="691">
        <v>74.3</v>
      </c>
      <c r="H14436" s="691">
        <v>74.7</v>
      </c>
      <c r="I14436" s="691">
        <v>74.8</v>
      </c>
      <c r="J14436" s="691">
        <v>74.599999999999994</v>
      </c>
      <c r="K14436" s="691">
        <v>74.5</v>
      </c>
    </row>
    <row r="14437" spans="1:11">
      <c r="A14437" s="688" t="s">
        <v>3</v>
      </c>
      <c r="B14437" s="689">
        <v>74.400000000000006</v>
      </c>
      <c r="C14437" s="689">
        <v>74.7</v>
      </c>
      <c r="D14437" s="689">
        <v>74.3</v>
      </c>
      <c r="E14437" s="689">
        <v>74.599999999999994</v>
      </c>
      <c r="F14437" s="689">
        <v>74.599999999999994</v>
      </c>
      <c r="G14437" s="689">
        <v>74.599999999999994</v>
      </c>
      <c r="H14437" s="689">
        <v>74.900000000000006</v>
      </c>
      <c r="I14437" s="689">
        <v>74.7</v>
      </c>
      <c r="J14437" s="689">
        <v>74.5</v>
      </c>
      <c r="K14437" s="689">
        <v>74.2</v>
      </c>
    </row>
    <row r="14438" spans="1:11">
      <c r="A14438" s="688" t="s">
        <v>4061</v>
      </c>
      <c r="B14438" s="691">
        <v>74.400000000000006</v>
      </c>
      <c r="C14438" s="691">
        <v>74.7</v>
      </c>
      <c r="D14438" s="691">
        <v>74.3</v>
      </c>
      <c r="E14438" s="691">
        <v>74.599999999999994</v>
      </c>
      <c r="F14438" s="691">
        <v>74.599999999999994</v>
      </c>
      <c r="G14438" s="691">
        <v>74.599999999999994</v>
      </c>
      <c r="H14438" s="691">
        <v>74.900000000000006</v>
      </c>
      <c r="I14438" s="691">
        <v>74.7</v>
      </c>
      <c r="J14438" s="691">
        <v>74.5</v>
      </c>
      <c r="K14438" s="691">
        <v>74.2</v>
      </c>
    </row>
    <row r="14439" spans="1:11">
      <c r="A14439" s="688" t="s">
        <v>4</v>
      </c>
      <c r="B14439" s="693">
        <v>73</v>
      </c>
      <c r="C14439" s="689">
        <v>72.8</v>
      </c>
      <c r="D14439" s="689">
        <v>73.099999999999994</v>
      </c>
      <c r="E14439" s="689">
        <v>73.099999999999994</v>
      </c>
      <c r="F14439" s="689">
        <v>73.5</v>
      </c>
      <c r="G14439" s="689">
        <v>73.599999999999994</v>
      </c>
      <c r="H14439" s="689">
        <v>73.900000000000006</v>
      </c>
      <c r="I14439" s="689">
        <v>73.900000000000006</v>
      </c>
      <c r="J14439" s="689">
        <v>72.5</v>
      </c>
      <c r="K14439" s="689">
        <v>73.5</v>
      </c>
    </row>
    <row r="14440" spans="1:11">
      <c r="A14440" s="688" t="s">
        <v>8</v>
      </c>
      <c r="B14440" s="691">
        <v>74.400000000000006</v>
      </c>
      <c r="C14440" s="691">
        <v>74.599999999999994</v>
      </c>
      <c r="D14440" s="691">
        <v>74.599999999999994</v>
      </c>
      <c r="E14440" s="691">
        <v>74.7</v>
      </c>
      <c r="F14440" s="691">
        <v>75.099999999999994</v>
      </c>
      <c r="G14440" s="691">
        <v>75.099999999999994</v>
      </c>
      <c r="H14440" s="691">
        <v>75.599999999999994</v>
      </c>
      <c r="I14440" s="691">
        <v>75.400000000000006</v>
      </c>
      <c r="J14440" s="691">
        <v>75.3</v>
      </c>
      <c r="K14440" s="691">
        <v>75.3</v>
      </c>
    </row>
    <row r="14441" spans="1:11">
      <c r="A14441" s="688" t="s">
        <v>7</v>
      </c>
      <c r="B14441" s="689">
        <v>75.400000000000006</v>
      </c>
      <c r="C14441" s="689">
        <v>75.099999999999994</v>
      </c>
      <c r="D14441" s="689">
        <v>74.900000000000006</v>
      </c>
      <c r="E14441" s="689">
        <v>75.099999999999994</v>
      </c>
      <c r="F14441" s="689">
        <v>75.099999999999994</v>
      </c>
      <c r="G14441" s="689">
        <v>75.599999999999994</v>
      </c>
      <c r="H14441" s="689">
        <v>75.5</v>
      </c>
      <c r="I14441" s="689">
        <v>75.099999999999994</v>
      </c>
      <c r="J14441" s="689">
        <v>74.2</v>
      </c>
      <c r="K14441" s="689">
        <v>74.7</v>
      </c>
    </row>
    <row r="14442" spans="1:11">
      <c r="A14442" s="688" t="s">
        <v>27</v>
      </c>
      <c r="B14442" s="691">
        <v>77.400000000000006</v>
      </c>
      <c r="C14442" s="691">
        <v>76.900000000000006</v>
      </c>
      <c r="D14442" s="691">
        <v>76.599999999999994</v>
      </c>
      <c r="E14442" s="691">
        <v>77.099999999999994</v>
      </c>
      <c r="F14442" s="615">
        <v>77</v>
      </c>
      <c r="G14442" s="691">
        <v>77.099999999999994</v>
      </c>
      <c r="H14442" s="691">
        <v>77.5</v>
      </c>
      <c r="I14442" s="691">
        <v>76.3</v>
      </c>
      <c r="J14442" s="691">
        <v>77.099999999999994</v>
      </c>
      <c r="K14442" s="615">
        <v>77</v>
      </c>
    </row>
    <row r="14443" spans="1:11">
      <c r="A14443" s="688" t="s">
        <v>6</v>
      </c>
      <c r="B14443" s="693">
        <v>77</v>
      </c>
      <c r="C14443" s="689">
        <v>76.7</v>
      </c>
      <c r="D14443" s="689">
        <v>76.5</v>
      </c>
      <c r="E14443" s="689">
        <v>76.7</v>
      </c>
      <c r="F14443" s="689">
        <v>76.7</v>
      </c>
      <c r="G14443" s="689">
        <v>76.8</v>
      </c>
      <c r="H14443" s="689">
        <v>76.900000000000006</v>
      </c>
      <c r="I14443" s="689">
        <v>76.5</v>
      </c>
      <c r="J14443" s="689">
        <v>76.599999999999994</v>
      </c>
      <c r="K14443" s="689">
        <v>76.5</v>
      </c>
    </row>
    <row r="14444" spans="1:11">
      <c r="A14444" s="688" t="s">
        <v>4058</v>
      </c>
      <c r="B14444" s="692" t="s">
        <v>4060</v>
      </c>
      <c r="C14444" s="692" t="s">
        <v>4060</v>
      </c>
      <c r="D14444" s="692" t="s">
        <v>4060</v>
      </c>
      <c r="E14444" s="692" t="s">
        <v>4060</v>
      </c>
      <c r="F14444" s="692" t="s">
        <v>4060</v>
      </c>
      <c r="G14444" s="692" t="s">
        <v>4060</v>
      </c>
      <c r="H14444" s="692" t="s">
        <v>4060</v>
      </c>
      <c r="I14444" s="692" t="s">
        <v>4060</v>
      </c>
      <c r="J14444" s="692" t="s">
        <v>4060</v>
      </c>
      <c r="K14444" s="692" t="s">
        <v>4060</v>
      </c>
    </row>
    <row r="14445" spans="1:11">
      <c r="A14445" s="688" t="s">
        <v>11</v>
      </c>
      <c r="B14445" s="689">
        <v>72.400000000000006</v>
      </c>
      <c r="C14445" s="689">
        <v>72.3</v>
      </c>
      <c r="D14445" s="689">
        <v>71.8</v>
      </c>
      <c r="E14445" s="689">
        <v>72.5</v>
      </c>
      <c r="F14445" s="689">
        <v>72.2</v>
      </c>
      <c r="G14445" s="689">
        <v>72.5</v>
      </c>
      <c r="H14445" s="689">
        <v>72.7</v>
      </c>
      <c r="I14445" s="689">
        <v>72.099999999999994</v>
      </c>
      <c r="J14445" s="689">
        <v>71.099999999999994</v>
      </c>
      <c r="K14445" s="689">
        <v>72.099999999999994</v>
      </c>
    </row>
    <row r="14446" spans="1:11">
      <c r="A14446" s="688" t="s">
        <v>10</v>
      </c>
      <c r="B14446" s="691">
        <v>76.5</v>
      </c>
      <c r="C14446" s="691">
        <v>76.3</v>
      </c>
      <c r="D14446" s="691">
        <v>75.900000000000006</v>
      </c>
      <c r="E14446" s="691">
        <v>76.400000000000006</v>
      </c>
      <c r="F14446" s="691">
        <v>76.2</v>
      </c>
      <c r="G14446" s="691">
        <v>76.5</v>
      </c>
      <c r="H14446" s="691">
        <v>76.7</v>
      </c>
      <c r="I14446" s="691">
        <v>75.7</v>
      </c>
      <c r="J14446" s="615">
        <v>76</v>
      </c>
      <c r="K14446" s="615">
        <v>76</v>
      </c>
    </row>
    <row r="14447" spans="1:11">
      <c r="A14447" s="688" t="s">
        <v>30</v>
      </c>
      <c r="B14447" s="689">
        <v>76.099999999999994</v>
      </c>
      <c r="C14447" s="689">
        <v>75.400000000000006</v>
      </c>
      <c r="D14447" s="693">
        <v>75</v>
      </c>
      <c r="E14447" s="689">
        <v>76.099999999999994</v>
      </c>
      <c r="F14447" s="689">
        <v>75.599999999999994</v>
      </c>
      <c r="G14447" s="693">
        <v>76</v>
      </c>
      <c r="H14447" s="689">
        <v>75.8</v>
      </c>
      <c r="I14447" s="689">
        <v>75.8</v>
      </c>
      <c r="J14447" s="689">
        <v>75.099999999999994</v>
      </c>
      <c r="K14447" s="689">
        <v>75.3</v>
      </c>
    </row>
    <row r="14448" spans="1:11">
      <c r="A14448" s="688" t="s">
        <v>12</v>
      </c>
      <c r="B14448" s="691">
        <v>70.400000000000006</v>
      </c>
      <c r="C14448" s="691">
        <v>70.7</v>
      </c>
      <c r="D14448" s="691">
        <v>70.7</v>
      </c>
      <c r="E14448" s="691">
        <v>70.900000000000006</v>
      </c>
      <c r="F14448" s="691">
        <v>70.900000000000006</v>
      </c>
      <c r="G14448" s="691">
        <v>70.900000000000006</v>
      </c>
      <c r="H14448" s="691">
        <v>71.400000000000006</v>
      </c>
      <c r="I14448" s="691">
        <v>71.3</v>
      </c>
      <c r="J14448" s="691">
        <v>69.3</v>
      </c>
      <c r="K14448" s="691">
        <v>70.7</v>
      </c>
    </row>
    <row r="14449" spans="1:11">
      <c r="A14449" s="688" t="s">
        <v>14</v>
      </c>
      <c r="B14449" s="689">
        <v>70.900000000000006</v>
      </c>
      <c r="C14449" s="689">
        <v>71.2</v>
      </c>
      <c r="D14449" s="693">
        <v>71</v>
      </c>
      <c r="E14449" s="689">
        <v>71.3</v>
      </c>
      <c r="F14449" s="689">
        <v>71.599999999999994</v>
      </c>
      <c r="G14449" s="689">
        <v>71.8</v>
      </c>
      <c r="H14449" s="689">
        <v>72.2</v>
      </c>
      <c r="I14449" s="689">
        <v>71.3</v>
      </c>
      <c r="J14449" s="689">
        <v>70.2</v>
      </c>
      <c r="K14449" s="689">
        <v>71.400000000000006</v>
      </c>
    </row>
    <row r="14450" spans="1:11">
      <c r="A14450" s="688" t="s">
        <v>15</v>
      </c>
      <c r="B14450" s="691">
        <v>75.2</v>
      </c>
      <c r="C14450" s="691">
        <v>75.900000000000006</v>
      </c>
      <c r="D14450" s="691">
        <v>75.3</v>
      </c>
      <c r="E14450" s="691">
        <v>76.099999999999994</v>
      </c>
      <c r="F14450" s="691">
        <v>75.2</v>
      </c>
      <c r="G14450" s="691">
        <v>75.7</v>
      </c>
      <c r="H14450" s="691">
        <v>76.099999999999994</v>
      </c>
      <c r="I14450" s="691">
        <v>75.8</v>
      </c>
      <c r="J14450" s="615">
        <v>76</v>
      </c>
      <c r="K14450" s="691">
        <v>76.2</v>
      </c>
    </row>
    <row r="14451" spans="1:11">
      <c r="A14451" s="688" t="s">
        <v>29</v>
      </c>
      <c r="B14451" s="689">
        <v>70.599999999999994</v>
      </c>
      <c r="C14451" s="689">
        <v>70.599999999999994</v>
      </c>
      <c r="D14451" s="689">
        <v>70.2</v>
      </c>
      <c r="E14451" s="689">
        <v>70.8</v>
      </c>
      <c r="F14451" s="689">
        <v>70.5</v>
      </c>
      <c r="G14451" s="689">
        <v>70.7</v>
      </c>
      <c r="H14451" s="689">
        <v>70.8</v>
      </c>
      <c r="I14451" s="689">
        <v>70.099999999999994</v>
      </c>
      <c r="J14451" s="689">
        <v>68.900000000000006</v>
      </c>
      <c r="K14451" s="689">
        <v>70.5</v>
      </c>
    </row>
    <row r="14452" spans="1:11">
      <c r="A14452" s="688" t="s">
        <v>16</v>
      </c>
      <c r="B14452" s="691">
        <v>75.599999999999994</v>
      </c>
      <c r="C14452" s="691">
        <v>75.400000000000006</v>
      </c>
      <c r="D14452" s="691">
        <v>75.2</v>
      </c>
      <c r="E14452" s="691">
        <v>75.400000000000006</v>
      </c>
      <c r="F14452" s="691">
        <v>75.599999999999994</v>
      </c>
      <c r="G14452" s="691">
        <v>75.5</v>
      </c>
      <c r="H14452" s="691">
        <v>75.8</v>
      </c>
      <c r="I14452" s="691">
        <v>75.5</v>
      </c>
      <c r="J14452" s="691">
        <v>75.2</v>
      </c>
      <c r="K14452" s="691">
        <v>75.599999999999994</v>
      </c>
    </row>
    <row r="14453" spans="1:11">
      <c r="A14453" s="688" t="s">
        <v>17</v>
      </c>
      <c r="B14453" s="689">
        <v>74.599999999999994</v>
      </c>
      <c r="C14453" s="689">
        <v>74.599999999999994</v>
      </c>
      <c r="D14453" s="689">
        <v>74.400000000000006</v>
      </c>
      <c r="E14453" s="689">
        <v>74.5</v>
      </c>
      <c r="F14453" s="689">
        <v>74.599999999999994</v>
      </c>
      <c r="G14453" s="689">
        <v>74.599999999999994</v>
      </c>
      <c r="H14453" s="689">
        <v>74.900000000000006</v>
      </c>
      <c r="I14453" s="689">
        <v>74.400000000000006</v>
      </c>
      <c r="J14453" s="689">
        <v>74.3</v>
      </c>
      <c r="K14453" s="689">
        <v>74.400000000000006</v>
      </c>
    </row>
    <row r="14454" spans="1:11">
      <c r="A14454" s="688" t="s">
        <v>19</v>
      </c>
      <c r="B14454" s="691">
        <v>75.099999999999994</v>
      </c>
      <c r="C14454" s="691">
        <v>75.099999999999994</v>
      </c>
      <c r="D14454" s="691">
        <v>74.900000000000006</v>
      </c>
      <c r="E14454" s="691">
        <v>75.3</v>
      </c>
      <c r="F14454" s="691">
        <v>75.2</v>
      </c>
      <c r="G14454" s="691">
        <v>75.3</v>
      </c>
      <c r="H14454" s="691">
        <v>75.5</v>
      </c>
      <c r="I14454" s="615">
        <v>75</v>
      </c>
      <c r="J14454" s="615">
        <v>75</v>
      </c>
      <c r="K14454" s="615">
        <v>75</v>
      </c>
    </row>
    <row r="14455" spans="1:11">
      <c r="A14455" s="688" t="s">
        <v>20</v>
      </c>
      <c r="B14455" s="689">
        <v>72.599999999999994</v>
      </c>
      <c r="C14455" s="689">
        <v>72.8</v>
      </c>
      <c r="D14455" s="689">
        <v>72.7</v>
      </c>
      <c r="E14455" s="689">
        <v>73.099999999999994</v>
      </c>
      <c r="F14455" s="689">
        <v>72.900000000000006</v>
      </c>
      <c r="G14455" s="689">
        <v>72.8</v>
      </c>
      <c r="H14455" s="689">
        <v>73.099999999999994</v>
      </c>
      <c r="I14455" s="689">
        <v>71.900000000000006</v>
      </c>
      <c r="J14455" s="689">
        <v>70.8</v>
      </c>
      <c r="K14455" s="689">
        <v>72.3</v>
      </c>
    </row>
    <row r="14456" spans="1:11">
      <c r="A14456" s="688" t="s">
        <v>21</v>
      </c>
      <c r="B14456" s="691">
        <v>75.3</v>
      </c>
      <c r="C14456" s="691">
        <v>75.599999999999994</v>
      </c>
      <c r="D14456" s="691">
        <v>75.5</v>
      </c>
      <c r="E14456" s="691">
        <v>75.599999999999994</v>
      </c>
      <c r="F14456" s="691">
        <v>75.8</v>
      </c>
      <c r="G14456" s="691">
        <v>75.8</v>
      </c>
      <c r="H14456" s="691">
        <v>76.099999999999994</v>
      </c>
      <c r="I14456" s="691">
        <v>75.5</v>
      </c>
      <c r="J14456" s="691">
        <v>75.5</v>
      </c>
      <c r="K14456" s="691">
        <v>75.7</v>
      </c>
    </row>
    <row r="14457" spans="1:11">
      <c r="A14457" s="688" t="s">
        <v>22</v>
      </c>
      <c r="B14457" s="689">
        <v>70.5</v>
      </c>
      <c r="C14457" s="689">
        <v>70.3</v>
      </c>
      <c r="D14457" s="689">
        <v>70.2</v>
      </c>
      <c r="E14457" s="689">
        <v>70.5</v>
      </c>
      <c r="F14457" s="689">
        <v>70.5</v>
      </c>
      <c r="G14457" s="689">
        <v>70.7</v>
      </c>
      <c r="H14457" s="693">
        <v>71</v>
      </c>
      <c r="I14457" s="689">
        <v>69.7</v>
      </c>
      <c r="J14457" s="689">
        <v>68.2</v>
      </c>
      <c r="K14457" s="689">
        <v>70.599999999999994</v>
      </c>
    </row>
    <row r="14458" spans="1:11">
      <c r="A14458" s="688" t="s">
        <v>26</v>
      </c>
      <c r="B14458" s="691">
        <v>74.900000000000006</v>
      </c>
      <c r="C14458" s="691">
        <v>74.900000000000006</v>
      </c>
      <c r="D14458" s="691">
        <v>74.7</v>
      </c>
      <c r="E14458" s="691">
        <v>75.099999999999994</v>
      </c>
      <c r="F14458" s="691">
        <v>74.900000000000006</v>
      </c>
      <c r="G14458" s="691">
        <v>75.2</v>
      </c>
      <c r="H14458" s="691">
        <v>75.400000000000006</v>
      </c>
      <c r="I14458" s="691">
        <v>74.599999999999994</v>
      </c>
      <c r="J14458" s="691">
        <v>74.900000000000006</v>
      </c>
      <c r="K14458" s="691">
        <v>75.099999999999994</v>
      </c>
    </row>
    <row r="14459" spans="1:11">
      <c r="A14459" s="688" t="s">
        <v>25</v>
      </c>
      <c r="B14459" s="689">
        <v>71.7</v>
      </c>
      <c r="C14459" s="693">
        <v>72</v>
      </c>
      <c r="D14459" s="689">
        <v>71.599999999999994</v>
      </c>
      <c r="E14459" s="689">
        <v>72.099999999999994</v>
      </c>
      <c r="F14459" s="693">
        <v>72</v>
      </c>
      <c r="G14459" s="689">
        <v>72.099999999999994</v>
      </c>
      <c r="H14459" s="689">
        <v>72.5</v>
      </c>
      <c r="I14459" s="689">
        <v>71.900000000000006</v>
      </c>
      <c r="J14459" s="689">
        <v>69.7</v>
      </c>
      <c r="K14459" s="689">
        <v>71.900000000000006</v>
      </c>
    </row>
    <row r="14460" spans="1:11">
      <c r="A14460" s="688" t="s">
        <v>5</v>
      </c>
      <c r="B14460" s="691">
        <v>75.3</v>
      </c>
      <c r="C14460" s="691">
        <v>75.099999999999994</v>
      </c>
      <c r="D14460" s="691">
        <v>75.3</v>
      </c>
      <c r="E14460" s="691">
        <v>75.3</v>
      </c>
      <c r="F14460" s="691">
        <v>75.5</v>
      </c>
      <c r="G14460" s="691">
        <v>75.5</v>
      </c>
      <c r="H14460" s="691">
        <v>75.7</v>
      </c>
      <c r="I14460" s="691">
        <v>75.8</v>
      </c>
      <c r="J14460" s="691">
        <v>75.7</v>
      </c>
      <c r="K14460" s="615">
        <v>75</v>
      </c>
    </row>
    <row r="14461" spans="1:11">
      <c r="A14461" s="688" t="s">
        <v>23</v>
      </c>
      <c r="B14461" s="689">
        <v>75.099999999999994</v>
      </c>
      <c r="C14461" s="689">
        <v>75.3</v>
      </c>
      <c r="D14461" s="689">
        <v>75.3</v>
      </c>
      <c r="E14461" s="689">
        <v>75.400000000000006</v>
      </c>
      <c r="F14461" s="689">
        <v>75.400000000000006</v>
      </c>
      <c r="G14461" s="689">
        <v>75.5</v>
      </c>
      <c r="H14461" s="693">
        <v>76</v>
      </c>
      <c r="I14461" s="689">
        <v>75.5</v>
      </c>
      <c r="J14461" s="693">
        <v>76</v>
      </c>
      <c r="K14461" s="693">
        <v>76</v>
      </c>
    </row>
    <row r="14462" spans="1:11">
      <c r="A14462" s="688" t="s">
        <v>4067</v>
      </c>
      <c r="B14462" s="691">
        <v>74.7</v>
      </c>
      <c r="C14462" s="615">
        <v>75</v>
      </c>
      <c r="D14462" s="691">
        <v>74.599999999999994</v>
      </c>
      <c r="E14462" s="615">
        <v>75</v>
      </c>
      <c r="F14462" s="691">
        <v>74.900000000000006</v>
      </c>
      <c r="G14462" s="615">
        <v>75</v>
      </c>
      <c r="H14462" s="692" t="s">
        <v>4060</v>
      </c>
      <c r="I14462" s="692" t="s">
        <v>4060</v>
      </c>
      <c r="J14462" s="692" t="s">
        <v>4060</v>
      </c>
      <c r="K14462" s="692" t="s">
        <v>4060</v>
      </c>
    </row>
    <row r="14463" spans="1:11">
      <c r="A14463" s="688" t="s">
        <v>4066</v>
      </c>
      <c r="B14463" s="689">
        <v>74.7</v>
      </c>
      <c r="C14463" s="693">
        <v>75</v>
      </c>
      <c r="D14463" s="689">
        <v>74.599999999999994</v>
      </c>
      <c r="E14463" s="693">
        <v>75</v>
      </c>
      <c r="F14463" s="689">
        <v>74.900000000000006</v>
      </c>
      <c r="G14463" s="693">
        <v>75</v>
      </c>
      <c r="H14463" s="690" t="s">
        <v>4060</v>
      </c>
      <c r="I14463" s="690" t="s">
        <v>4060</v>
      </c>
      <c r="J14463" s="690" t="s">
        <v>4060</v>
      </c>
      <c r="K14463" s="690" t="s">
        <v>4060</v>
      </c>
    </row>
    <row r="14464" spans="1:11">
      <c r="A14464" s="688" t="s">
        <v>4062</v>
      </c>
      <c r="B14464" s="691">
        <v>75.900000000000006</v>
      </c>
      <c r="C14464" s="615">
        <v>76</v>
      </c>
      <c r="D14464" s="691">
        <v>75.900000000000006</v>
      </c>
      <c r="E14464" s="691">
        <v>76.099999999999994</v>
      </c>
      <c r="F14464" s="691">
        <v>76.3</v>
      </c>
      <c r="G14464" s="691">
        <v>76.400000000000006</v>
      </c>
      <c r="H14464" s="691">
        <v>76.5</v>
      </c>
      <c r="I14464" s="691">
        <v>76.3</v>
      </c>
      <c r="J14464" s="691">
        <v>76.5</v>
      </c>
      <c r="K14464" s="691">
        <v>76.2</v>
      </c>
    </row>
    <row r="14465" spans="1:11">
      <c r="A14465" s="688" t="s">
        <v>9</v>
      </c>
      <c r="B14465" s="693">
        <v>75</v>
      </c>
      <c r="C14465" s="689">
        <v>75.400000000000006</v>
      </c>
      <c r="D14465" s="689">
        <v>74.8</v>
      </c>
      <c r="E14465" s="689">
        <v>75.099999999999994</v>
      </c>
      <c r="F14465" s="689">
        <v>75.5</v>
      </c>
      <c r="G14465" s="689">
        <v>75.400000000000006</v>
      </c>
      <c r="H14465" s="689">
        <v>75.599999999999994</v>
      </c>
      <c r="I14465" s="689">
        <v>75.599999999999994</v>
      </c>
      <c r="J14465" s="689">
        <v>75.8</v>
      </c>
      <c r="K14465" s="689">
        <v>74.8</v>
      </c>
    </row>
    <row r="14466" spans="1:11">
      <c r="A14466" s="688" t="s">
        <v>13</v>
      </c>
      <c r="B14466" s="691">
        <v>75.900000000000006</v>
      </c>
      <c r="C14466" s="691">
        <v>74.7</v>
      </c>
      <c r="D14466" s="691">
        <v>75.3</v>
      </c>
      <c r="E14466" s="691">
        <v>74.900000000000006</v>
      </c>
      <c r="F14466" s="691">
        <v>76.8</v>
      </c>
      <c r="G14466" s="691">
        <v>76.599999999999994</v>
      </c>
      <c r="H14466" s="691">
        <v>76.5</v>
      </c>
      <c r="I14466" s="691">
        <v>75.2</v>
      </c>
      <c r="J14466" s="691">
        <v>77.099999999999994</v>
      </c>
      <c r="K14466" s="691">
        <v>76.2</v>
      </c>
    </row>
    <row r="14467" spans="1:11">
      <c r="A14467" s="688" t="s">
        <v>18</v>
      </c>
      <c r="B14467" s="693">
        <v>75</v>
      </c>
      <c r="C14467" s="689">
        <v>75.3</v>
      </c>
      <c r="D14467" s="689">
        <v>75.400000000000006</v>
      </c>
      <c r="E14467" s="689">
        <v>75.400000000000006</v>
      </c>
      <c r="F14467" s="689">
        <v>75.5</v>
      </c>
      <c r="G14467" s="689">
        <v>75.7</v>
      </c>
      <c r="H14467" s="689">
        <v>75.900000000000006</v>
      </c>
      <c r="I14467" s="693">
        <v>76</v>
      </c>
      <c r="J14467" s="689">
        <v>75.900000000000006</v>
      </c>
      <c r="K14467" s="689">
        <v>75.5</v>
      </c>
    </row>
    <row r="14468" spans="1:11">
      <c r="A14468" s="688" t="s">
        <v>24</v>
      </c>
      <c r="B14468" s="691">
        <v>76.400000000000006</v>
      </c>
      <c r="C14468" s="691">
        <v>76.5</v>
      </c>
      <c r="D14468" s="691">
        <v>76.3</v>
      </c>
      <c r="E14468" s="691">
        <v>76.599999999999994</v>
      </c>
      <c r="F14468" s="691">
        <v>76.7</v>
      </c>
      <c r="G14468" s="691">
        <v>76.8</v>
      </c>
      <c r="H14468" s="691">
        <v>76.900000000000006</v>
      </c>
      <c r="I14468" s="691">
        <v>76.400000000000006</v>
      </c>
      <c r="J14468" s="691">
        <v>76.900000000000006</v>
      </c>
      <c r="K14468" s="691">
        <v>76.7</v>
      </c>
    </row>
    <row r="14469" spans="1:11">
      <c r="A14469" s="688" t="s">
        <v>4059</v>
      </c>
      <c r="B14469" s="689">
        <v>74.3</v>
      </c>
      <c r="C14469" s="689">
        <v>74.599999999999994</v>
      </c>
      <c r="D14469" s="689">
        <v>74.099999999999994</v>
      </c>
      <c r="E14469" s="689">
        <v>74.400000000000006</v>
      </c>
      <c r="F14469" s="689">
        <v>74.400000000000006</v>
      </c>
      <c r="G14469" s="689">
        <v>74.400000000000006</v>
      </c>
      <c r="H14469" s="690" t="s">
        <v>4060</v>
      </c>
      <c r="I14469" s="690" t="s">
        <v>4060</v>
      </c>
      <c r="J14469" s="690" t="s">
        <v>4060</v>
      </c>
      <c r="K14469" s="690" t="s">
        <v>4060</v>
      </c>
    </row>
    <row r="14470" spans="1:11">
      <c r="A14470" s="688" t="s">
        <v>2324</v>
      </c>
      <c r="B14470" s="691">
        <v>70.3</v>
      </c>
      <c r="C14470" s="691">
        <v>70.3</v>
      </c>
      <c r="D14470" s="691">
        <v>69.900000000000006</v>
      </c>
      <c r="E14470" s="691">
        <v>70.3</v>
      </c>
      <c r="F14470" s="691">
        <v>70.5</v>
      </c>
      <c r="G14470" s="691">
        <v>70.5</v>
      </c>
      <c r="H14470" s="691">
        <v>70.8</v>
      </c>
      <c r="I14470" s="691">
        <v>70.099999999999994</v>
      </c>
      <c r="J14470" s="691">
        <v>68.099999999999994</v>
      </c>
      <c r="K14470" s="692" t="s">
        <v>4060</v>
      </c>
    </row>
    <row r="14471" spans="1:11">
      <c r="A14471" s="688" t="s">
        <v>2322</v>
      </c>
      <c r="B14471" s="690" t="s">
        <v>4060</v>
      </c>
      <c r="C14471" s="690" t="s">
        <v>4060</v>
      </c>
      <c r="D14471" s="690" t="s">
        <v>4060</v>
      </c>
      <c r="E14471" s="690" t="s">
        <v>4060</v>
      </c>
      <c r="F14471" s="690" t="s">
        <v>4060</v>
      </c>
      <c r="G14471" s="690" t="s">
        <v>4060</v>
      </c>
      <c r="H14471" s="690" t="s">
        <v>4060</v>
      </c>
      <c r="I14471" s="690" t="s">
        <v>4060</v>
      </c>
      <c r="J14471" s="690" t="s">
        <v>4060</v>
      </c>
      <c r="K14471" s="690" t="s">
        <v>4060</v>
      </c>
    </row>
    <row r="14472" spans="1:11">
      <c r="A14472" s="688" t="s">
        <v>2328</v>
      </c>
      <c r="B14472" s="691">
        <v>69.400000000000006</v>
      </c>
      <c r="C14472" s="691">
        <v>69.400000000000006</v>
      </c>
      <c r="D14472" s="691">
        <v>69.099999999999994</v>
      </c>
      <c r="E14472" s="691">
        <v>69.5</v>
      </c>
      <c r="F14472" s="691">
        <v>69.8</v>
      </c>
      <c r="G14472" s="691">
        <v>70.2</v>
      </c>
      <c r="H14472" s="691">
        <v>70.099999999999994</v>
      </c>
      <c r="I14472" s="691">
        <v>68.2</v>
      </c>
      <c r="J14472" s="691">
        <v>66.900000000000006</v>
      </c>
      <c r="K14472" s="692" t="s">
        <v>4060</v>
      </c>
    </row>
    <row r="14473" spans="1:11">
      <c r="A14473" s="688" t="s">
        <v>2496</v>
      </c>
      <c r="B14473" s="690" t="s">
        <v>4060</v>
      </c>
      <c r="C14473" s="689">
        <v>70.2</v>
      </c>
      <c r="D14473" s="689">
        <v>69.2</v>
      </c>
      <c r="E14473" s="689">
        <v>68.900000000000006</v>
      </c>
      <c r="F14473" s="689">
        <v>69.599999999999994</v>
      </c>
      <c r="G14473" s="689">
        <v>69.900000000000006</v>
      </c>
      <c r="H14473" s="693">
        <v>70</v>
      </c>
      <c r="I14473" s="690" t="s">
        <v>4060</v>
      </c>
      <c r="J14473" s="690" t="s">
        <v>4060</v>
      </c>
      <c r="K14473" s="689">
        <v>69.8</v>
      </c>
    </row>
    <row r="14474" spans="1:11">
      <c r="A14474" s="688" t="s">
        <v>2269</v>
      </c>
      <c r="B14474" s="691">
        <v>71.8</v>
      </c>
      <c r="C14474" s="615">
        <v>72</v>
      </c>
      <c r="D14474" s="691">
        <v>71.400000000000006</v>
      </c>
      <c r="E14474" s="691">
        <v>71.900000000000006</v>
      </c>
      <c r="F14474" s="691">
        <v>71.8</v>
      </c>
      <c r="G14474" s="691">
        <v>72.3</v>
      </c>
      <c r="H14474" s="691">
        <v>72.5</v>
      </c>
      <c r="I14474" s="691">
        <v>71.400000000000006</v>
      </c>
      <c r="J14474" s="691">
        <v>69.3</v>
      </c>
      <c r="K14474" s="691">
        <v>72.400000000000006</v>
      </c>
    </row>
    <row r="14475" spans="1:11">
      <c r="A14475" s="688" t="s">
        <v>2349</v>
      </c>
      <c r="B14475" s="689">
        <v>69.400000000000006</v>
      </c>
      <c r="C14475" s="689">
        <v>69.400000000000006</v>
      </c>
      <c r="D14475" s="689">
        <v>69.400000000000006</v>
      </c>
      <c r="E14475" s="689">
        <v>69.7</v>
      </c>
      <c r="F14475" s="689">
        <v>69.5</v>
      </c>
      <c r="G14475" s="689">
        <v>69.900000000000006</v>
      </c>
      <c r="H14475" s="689">
        <v>70.099999999999994</v>
      </c>
      <c r="I14475" s="689">
        <v>68.900000000000006</v>
      </c>
      <c r="J14475" s="689">
        <v>67.099999999999994</v>
      </c>
      <c r="K14475" s="689">
        <v>69.2</v>
      </c>
    </row>
    <row r="14476" spans="1:11">
      <c r="A14476" s="688" t="s">
        <v>2355</v>
      </c>
      <c r="B14476" s="691">
        <v>73.2</v>
      </c>
      <c r="C14476" s="615">
        <v>73</v>
      </c>
      <c r="D14476" s="615">
        <v>73</v>
      </c>
      <c r="E14476" s="615">
        <v>73</v>
      </c>
      <c r="F14476" s="691">
        <v>73.2</v>
      </c>
      <c r="G14476" s="691">
        <v>73.599999999999994</v>
      </c>
      <c r="H14476" s="691">
        <v>73.7</v>
      </c>
      <c r="I14476" s="692" t="s">
        <v>4060</v>
      </c>
      <c r="J14476" s="692" t="s">
        <v>4060</v>
      </c>
      <c r="K14476" s="692" t="s">
        <v>4060</v>
      </c>
    </row>
    <row r="14477" spans="1:11">
      <c r="A14477" s="688" t="s">
        <v>2357</v>
      </c>
      <c r="B14477" s="690" t="s">
        <v>4060</v>
      </c>
      <c r="C14477" s="689">
        <v>68.400000000000006</v>
      </c>
      <c r="D14477" s="689">
        <v>68.900000000000006</v>
      </c>
      <c r="E14477" s="689">
        <v>69.3</v>
      </c>
      <c r="F14477" s="689">
        <v>69.599999999999994</v>
      </c>
      <c r="G14477" s="689">
        <v>69.599999999999994</v>
      </c>
      <c r="H14477" s="689">
        <v>69.900000000000006</v>
      </c>
      <c r="I14477" s="690" t="s">
        <v>4060</v>
      </c>
      <c r="J14477" s="690" t="s">
        <v>4060</v>
      </c>
      <c r="K14477" s="690" t="s">
        <v>4060</v>
      </c>
    </row>
    <row r="14478" spans="1:11">
      <c r="A14478" s="688" t="s">
        <v>4070</v>
      </c>
      <c r="B14478" s="692" t="s">
        <v>4060</v>
      </c>
      <c r="C14478" s="692" t="s">
        <v>4060</v>
      </c>
      <c r="D14478" s="692" t="s">
        <v>4060</v>
      </c>
      <c r="E14478" s="691">
        <v>73.099999999999994</v>
      </c>
      <c r="F14478" s="692" t="s">
        <v>4060</v>
      </c>
      <c r="G14478" s="692" t="s">
        <v>4060</v>
      </c>
      <c r="H14478" s="692" t="s">
        <v>4060</v>
      </c>
      <c r="I14478" s="692" t="s">
        <v>4060</v>
      </c>
      <c r="J14478" s="692" t="s">
        <v>4060</v>
      </c>
      <c r="K14478" s="692" t="s">
        <v>4060</v>
      </c>
    </row>
    <row r="14479" spans="1:11">
      <c r="A14479" s="688" t="s">
        <v>2491</v>
      </c>
      <c r="B14479" s="689">
        <v>69.400000000000006</v>
      </c>
      <c r="C14479" s="689">
        <v>69.900000000000006</v>
      </c>
      <c r="D14479" s="689">
        <v>70.3</v>
      </c>
      <c r="E14479" s="689">
        <v>70.5</v>
      </c>
      <c r="F14479" s="689">
        <v>70.599999999999994</v>
      </c>
      <c r="G14479" s="689">
        <v>70.7</v>
      </c>
      <c r="H14479" s="690" t="s">
        <v>4060</v>
      </c>
      <c r="I14479" s="690" t="s">
        <v>4060</v>
      </c>
      <c r="J14479" s="690" t="s">
        <v>4060</v>
      </c>
      <c r="K14479" s="690" t="s">
        <v>4060</v>
      </c>
    </row>
    <row r="14480" spans="1:11">
      <c r="A14480" s="688" t="s">
        <v>2343</v>
      </c>
      <c r="B14480" s="692" t="s">
        <v>4060</v>
      </c>
      <c r="C14480" s="692" t="s">
        <v>4060</v>
      </c>
      <c r="D14480" s="692" t="s">
        <v>4060</v>
      </c>
      <c r="E14480" s="692" t="s">
        <v>4060</v>
      </c>
      <c r="F14480" s="692" t="s">
        <v>4060</v>
      </c>
      <c r="G14480" s="692" t="s">
        <v>4060</v>
      </c>
      <c r="H14480" s="692" t="s">
        <v>4060</v>
      </c>
      <c r="I14480" s="692" t="s">
        <v>4060</v>
      </c>
      <c r="J14480" s="692" t="s">
        <v>4060</v>
      </c>
      <c r="K14480" s="692" t="s">
        <v>4060</v>
      </c>
    </row>
    <row r="14481" spans="1:11">
      <c r="A14481" s="688" t="s">
        <v>4071</v>
      </c>
      <c r="B14481" s="690" t="s">
        <v>4060</v>
      </c>
      <c r="C14481" s="690" t="s">
        <v>4060</v>
      </c>
      <c r="D14481" s="690" t="s">
        <v>4060</v>
      </c>
      <c r="E14481" s="690" t="s">
        <v>4060</v>
      </c>
      <c r="F14481" s="690" t="s">
        <v>4060</v>
      </c>
      <c r="G14481" s="690" t="s">
        <v>4060</v>
      </c>
      <c r="H14481" s="690" t="s">
        <v>4060</v>
      </c>
      <c r="I14481" s="690" t="s">
        <v>4060</v>
      </c>
      <c r="J14481" s="690" t="s">
        <v>4060</v>
      </c>
      <c r="K14481" s="690" t="s">
        <v>4060</v>
      </c>
    </row>
    <row r="14482" spans="1:11">
      <c r="A14482" s="688" t="s">
        <v>2489</v>
      </c>
      <c r="B14482" s="692" t="s">
        <v>4060</v>
      </c>
      <c r="C14482" s="692" t="s">
        <v>4060</v>
      </c>
      <c r="D14482" s="615">
        <v>70</v>
      </c>
      <c r="E14482" s="691">
        <v>70.099999999999994</v>
      </c>
      <c r="F14482" s="691">
        <v>70.599999999999994</v>
      </c>
      <c r="G14482" s="691">
        <v>71.3</v>
      </c>
      <c r="H14482" s="691">
        <v>71.3</v>
      </c>
      <c r="I14482" s="692" t="s">
        <v>4060</v>
      </c>
      <c r="J14482" s="692" t="s">
        <v>4060</v>
      </c>
      <c r="K14482" s="692" t="s">
        <v>4060</v>
      </c>
    </row>
    <row r="14483" spans="1:11">
      <c r="A14483" s="688" t="s">
        <v>2490</v>
      </c>
      <c r="B14483" s="689">
        <v>69.2</v>
      </c>
      <c r="C14483" s="689">
        <v>69.2</v>
      </c>
      <c r="D14483" s="689">
        <v>69.7</v>
      </c>
      <c r="E14483" s="690" t="s">
        <v>4060</v>
      </c>
      <c r="F14483" s="689">
        <v>69.900000000000006</v>
      </c>
      <c r="G14483" s="689">
        <v>70.3</v>
      </c>
      <c r="H14483" s="689">
        <v>70.8</v>
      </c>
      <c r="I14483" s="690" t="s">
        <v>4060</v>
      </c>
      <c r="J14483" s="690" t="s">
        <v>4060</v>
      </c>
      <c r="K14483" s="690" t="s">
        <v>4060</v>
      </c>
    </row>
    <row r="14485" spans="1:11">
      <c r="A14485" s="683" t="s">
        <v>4233</v>
      </c>
    </row>
    <row r="14486" spans="1:11">
      <c r="A14486" s="683" t="s">
        <v>4060</v>
      </c>
      <c r="B14486" s="682" t="s">
        <v>4234</v>
      </c>
    </row>
    <row r="14488" spans="1:11">
      <c r="A14488" s="682" t="s">
        <v>4332</v>
      </c>
    </row>
    <row r="14489" spans="1:11">
      <c r="A14489" s="682" t="s">
        <v>4210</v>
      </c>
      <c r="B14489" s="683" t="s">
        <v>4211</v>
      </c>
    </row>
    <row r="14490" spans="1:11">
      <c r="A14490" s="682" t="s">
        <v>4212</v>
      </c>
      <c r="B14490" s="682" t="s">
        <v>4213</v>
      </c>
    </row>
    <row r="14492" spans="1:11">
      <c r="A14492" s="683" t="s">
        <v>4214</v>
      </c>
      <c r="C14492" s="682" t="s">
        <v>4215</v>
      </c>
    </row>
    <row r="14493" spans="1:11">
      <c r="A14493" s="683" t="s">
        <v>4216</v>
      </c>
      <c r="C14493" s="682" t="s">
        <v>2967</v>
      </c>
    </row>
    <row r="14494" spans="1:11">
      <c r="A14494" s="683" t="s">
        <v>3893</v>
      </c>
      <c r="C14494" s="682" t="s">
        <v>2169</v>
      </c>
    </row>
    <row r="14495" spans="1:11">
      <c r="A14495" s="683" t="s">
        <v>4218</v>
      </c>
      <c r="C14495" s="682" t="s">
        <v>4244</v>
      </c>
    </row>
    <row r="14497" spans="1:11">
      <c r="A14497" s="684" t="s">
        <v>4220</v>
      </c>
      <c r="B14497" s="685" t="s">
        <v>4221</v>
      </c>
      <c r="C14497" s="685" t="s">
        <v>4222</v>
      </c>
      <c r="D14497" s="685" t="s">
        <v>4223</v>
      </c>
      <c r="E14497" s="685" t="s">
        <v>4224</v>
      </c>
      <c r="F14497" s="685" t="s">
        <v>4225</v>
      </c>
      <c r="G14497" s="685" t="s">
        <v>4226</v>
      </c>
      <c r="H14497" s="685" t="s">
        <v>4227</v>
      </c>
      <c r="I14497" s="685" t="s">
        <v>4228</v>
      </c>
      <c r="J14497" s="685" t="s">
        <v>4229</v>
      </c>
      <c r="K14497" s="685" t="s">
        <v>4230</v>
      </c>
    </row>
    <row r="14498" spans="1:11">
      <c r="A14498" s="686" t="s">
        <v>4231</v>
      </c>
      <c r="B14498" s="687" t="s">
        <v>4232</v>
      </c>
      <c r="C14498" s="687" t="s">
        <v>4232</v>
      </c>
      <c r="D14498" s="687" t="s">
        <v>4232</v>
      </c>
      <c r="E14498" s="687" t="s">
        <v>4232</v>
      </c>
      <c r="F14498" s="687" t="s">
        <v>4232</v>
      </c>
      <c r="G14498" s="687" t="s">
        <v>4232</v>
      </c>
      <c r="H14498" s="687" t="s">
        <v>4232</v>
      </c>
      <c r="I14498" s="687" t="s">
        <v>4232</v>
      </c>
      <c r="J14498" s="687" t="s">
        <v>4232</v>
      </c>
      <c r="K14498" s="687" t="s">
        <v>4232</v>
      </c>
    </row>
    <row r="14499" spans="1:11">
      <c r="A14499" s="688" t="s">
        <v>4064</v>
      </c>
      <c r="B14499" s="689">
        <v>73.7</v>
      </c>
      <c r="C14499" s="689">
        <v>73.7</v>
      </c>
      <c r="D14499" s="689">
        <v>73.7</v>
      </c>
      <c r="E14499" s="689">
        <v>73.8</v>
      </c>
      <c r="F14499" s="689">
        <v>73.8</v>
      </c>
      <c r="G14499" s="689">
        <v>73.900000000000006</v>
      </c>
      <c r="H14499" s="689">
        <v>74.099999999999994</v>
      </c>
      <c r="I14499" s="689">
        <v>73.400000000000006</v>
      </c>
      <c r="J14499" s="689">
        <v>73.099999999999994</v>
      </c>
      <c r="K14499" s="689">
        <v>73.599999999999994</v>
      </c>
    </row>
    <row r="14500" spans="1:11">
      <c r="A14500" s="688" t="s">
        <v>4065</v>
      </c>
      <c r="B14500" s="691">
        <v>73.7</v>
      </c>
      <c r="C14500" s="615">
        <v>74</v>
      </c>
      <c r="D14500" s="691">
        <v>73.599999999999994</v>
      </c>
      <c r="E14500" s="615">
        <v>74</v>
      </c>
      <c r="F14500" s="691">
        <v>73.900000000000006</v>
      </c>
      <c r="G14500" s="615">
        <v>74</v>
      </c>
      <c r="H14500" s="692" t="s">
        <v>4060</v>
      </c>
      <c r="I14500" s="692" t="s">
        <v>4060</v>
      </c>
      <c r="J14500" s="692" t="s">
        <v>4060</v>
      </c>
      <c r="K14500" s="692" t="s">
        <v>4060</v>
      </c>
    </row>
    <row r="14501" spans="1:11">
      <c r="A14501" s="688" t="s">
        <v>4063</v>
      </c>
      <c r="B14501" s="689">
        <v>73.7</v>
      </c>
      <c r="C14501" s="693">
        <v>74</v>
      </c>
      <c r="D14501" s="689">
        <v>73.599999999999994</v>
      </c>
      <c r="E14501" s="693">
        <v>74</v>
      </c>
      <c r="F14501" s="689">
        <v>73.900000000000006</v>
      </c>
      <c r="G14501" s="693">
        <v>74</v>
      </c>
      <c r="H14501" s="690" t="s">
        <v>4060</v>
      </c>
      <c r="I14501" s="690" t="s">
        <v>4060</v>
      </c>
      <c r="J14501" s="690" t="s">
        <v>4060</v>
      </c>
      <c r="K14501" s="690" t="s">
        <v>4060</v>
      </c>
    </row>
    <row r="14502" spans="1:11">
      <c r="A14502" s="688" t="s">
        <v>4069</v>
      </c>
      <c r="B14502" s="692" t="s">
        <v>4060</v>
      </c>
      <c r="C14502" s="691">
        <v>74.5</v>
      </c>
      <c r="D14502" s="691">
        <v>74.2</v>
      </c>
      <c r="E14502" s="691">
        <v>74.599999999999994</v>
      </c>
      <c r="F14502" s="691">
        <v>74.5</v>
      </c>
      <c r="G14502" s="691">
        <v>74.7</v>
      </c>
      <c r="H14502" s="691">
        <v>74.900000000000006</v>
      </c>
      <c r="I14502" s="691">
        <v>74.3</v>
      </c>
      <c r="J14502" s="691">
        <v>74.3</v>
      </c>
      <c r="K14502" s="691">
        <v>74.3</v>
      </c>
    </row>
    <row r="14503" spans="1:11">
      <c r="A14503" s="688" t="s">
        <v>4068</v>
      </c>
      <c r="B14503" s="689">
        <v>74.599999999999994</v>
      </c>
      <c r="C14503" s="690" t="s">
        <v>4060</v>
      </c>
      <c r="D14503" s="690" t="s">
        <v>4060</v>
      </c>
      <c r="E14503" s="690" t="s">
        <v>4060</v>
      </c>
      <c r="F14503" s="690" t="s">
        <v>4060</v>
      </c>
      <c r="G14503" s="690" t="s">
        <v>4060</v>
      </c>
      <c r="H14503" s="690" t="s">
        <v>4060</v>
      </c>
      <c r="I14503" s="690" t="s">
        <v>4060</v>
      </c>
      <c r="J14503" s="690" t="s">
        <v>4060</v>
      </c>
      <c r="K14503" s="690" t="s">
        <v>4060</v>
      </c>
    </row>
    <row r="14504" spans="1:11">
      <c r="A14504" s="688" t="s">
        <v>0</v>
      </c>
      <c r="B14504" s="691">
        <v>73.599999999999994</v>
      </c>
      <c r="C14504" s="691">
        <v>73.8</v>
      </c>
      <c r="D14504" s="691">
        <v>73.5</v>
      </c>
      <c r="E14504" s="615">
        <v>74</v>
      </c>
      <c r="F14504" s="615">
        <v>74</v>
      </c>
      <c r="G14504" s="691">
        <v>74.099999999999994</v>
      </c>
      <c r="H14504" s="691">
        <v>74.400000000000006</v>
      </c>
      <c r="I14504" s="691">
        <v>73.400000000000006</v>
      </c>
      <c r="J14504" s="691">
        <v>74.3</v>
      </c>
      <c r="K14504" s="691">
        <v>74.099999999999994</v>
      </c>
    </row>
    <row r="14505" spans="1:11">
      <c r="A14505" s="688" t="s">
        <v>1</v>
      </c>
      <c r="B14505" s="689">
        <v>69.3</v>
      </c>
      <c r="C14505" s="689">
        <v>68.599999999999994</v>
      </c>
      <c r="D14505" s="689">
        <v>68.7</v>
      </c>
      <c r="E14505" s="689">
        <v>68.900000000000006</v>
      </c>
      <c r="F14505" s="689">
        <v>68.8</v>
      </c>
      <c r="G14505" s="689">
        <v>68.900000000000006</v>
      </c>
      <c r="H14505" s="689">
        <v>69.099999999999994</v>
      </c>
      <c r="I14505" s="689">
        <v>67.8</v>
      </c>
      <c r="J14505" s="689">
        <v>65.599999999999994</v>
      </c>
      <c r="K14505" s="689">
        <v>68.400000000000006</v>
      </c>
    </row>
    <row r="14506" spans="1:11">
      <c r="A14506" s="688" t="s">
        <v>2240</v>
      </c>
      <c r="B14506" s="691">
        <v>71.599999999999994</v>
      </c>
      <c r="C14506" s="615">
        <v>72</v>
      </c>
      <c r="D14506" s="691">
        <v>71.7</v>
      </c>
      <c r="E14506" s="691">
        <v>72.2</v>
      </c>
      <c r="F14506" s="691">
        <v>72.099999999999994</v>
      </c>
      <c r="G14506" s="691">
        <v>72.2</v>
      </c>
      <c r="H14506" s="691">
        <v>72.400000000000006</v>
      </c>
      <c r="I14506" s="691">
        <v>71.5</v>
      </c>
      <c r="J14506" s="691">
        <v>70.7</v>
      </c>
      <c r="K14506" s="691">
        <v>72.2</v>
      </c>
    </row>
    <row r="14507" spans="1:11">
      <c r="A14507" s="688" t="s">
        <v>2</v>
      </c>
      <c r="B14507" s="689">
        <v>72.7</v>
      </c>
      <c r="C14507" s="693">
        <v>73</v>
      </c>
      <c r="D14507" s="693">
        <v>73</v>
      </c>
      <c r="E14507" s="689">
        <v>73.099999999999994</v>
      </c>
      <c r="F14507" s="689">
        <v>73.400000000000006</v>
      </c>
      <c r="G14507" s="689">
        <v>73.3</v>
      </c>
      <c r="H14507" s="689">
        <v>73.7</v>
      </c>
      <c r="I14507" s="689">
        <v>73.8</v>
      </c>
      <c r="J14507" s="689">
        <v>73.599999999999994</v>
      </c>
      <c r="K14507" s="689">
        <v>73.5</v>
      </c>
    </row>
    <row r="14508" spans="1:11">
      <c r="A14508" s="688" t="s">
        <v>3</v>
      </c>
      <c r="B14508" s="691">
        <v>73.400000000000006</v>
      </c>
      <c r="C14508" s="691">
        <v>73.7</v>
      </c>
      <c r="D14508" s="691">
        <v>73.3</v>
      </c>
      <c r="E14508" s="691">
        <v>73.599999999999994</v>
      </c>
      <c r="F14508" s="691">
        <v>73.599999999999994</v>
      </c>
      <c r="G14508" s="691">
        <v>73.599999999999994</v>
      </c>
      <c r="H14508" s="691">
        <v>73.900000000000006</v>
      </c>
      <c r="I14508" s="691">
        <v>73.7</v>
      </c>
      <c r="J14508" s="691">
        <v>73.5</v>
      </c>
      <c r="K14508" s="691">
        <v>73.2</v>
      </c>
    </row>
    <row r="14509" spans="1:11">
      <c r="A14509" s="688" t="s">
        <v>4061</v>
      </c>
      <c r="B14509" s="689">
        <v>73.400000000000006</v>
      </c>
      <c r="C14509" s="689">
        <v>73.7</v>
      </c>
      <c r="D14509" s="689">
        <v>73.3</v>
      </c>
      <c r="E14509" s="689">
        <v>73.599999999999994</v>
      </c>
      <c r="F14509" s="689">
        <v>73.599999999999994</v>
      </c>
      <c r="G14509" s="689">
        <v>73.599999999999994</v>
      </c>
      <c r="H14509" s="689">
        <v>73.900000000000006</v>
      </c>
      <c r="I14509" s="689">
        <v>73.7</v>
      </c>
      <c r="J14509" s="689">
        <v>73.5</v>
      </c>
      <c r="K14509" s="689">
        <v>73.2</v>
      </c>
    </row>
    <row r="14510" spans="1:11">
      <c r="A14510" s="688" t="s">
        <v>4</v>
      </c>
      <c r="B14510" s="615">
        <v>72</v>
      </c>
      <c r="C14510" s="691">
        <v>71.8</v>
      </c>
      <c r="D14510" s="691">
        <v>72.099999999999994</v>
      </c>
      <c r="E14510" s="691">
        <v>72.099999999999994</v>
      </c>
      <c r="F14510" s="691">
        <v>72.599999999999994</v>
      </c>
      <c r="G14510" s="691">
        <v>72.599999999999994</v>
      </c>
      <c r="H14510" s="691">
        <v>72.900000000000006</v>
      </c>
      <c r="I14510" s="691">
        <v>72.900000000000006</v>
      </c>
      <c r="J14510" s="691">
        <v>71.5</v>
      </c>
      <c r="K14510" s="691">
        <v>72.5</v>
      </c>
    </row>
    <row r="14511" spans="1:11">
      <c r="A14511" s="688" t="s">
        <v>8</v>
      </c>
      <c r="B14511" s="689">
        <v>73.400000000000006</v>
      </c>
      <c r="C14511" s="689">
        <v>73.599999999999994</v>
      </c>
      <c r="D14511" s="689">
        <v>73.599999999999994</v>
      </c>
      <c r="E14511" s="689">
        <v>73.7</v>
      </c>
      <c r="F14511" s="689">
        <v>74.099999999999994</v>
      </c>
      <c r="G14511" s="689">
        <v>74.099999999999994</v>
      </c>
      <c r="H14511" s="689">
        <v>74.599999999999994</v>
      </c>
      <c r="I14511" s="689">
        <v>74.400000000000006</v>
      </c>
      <c r="J14511" s="689">
        <v>74.3</v>
      </c>
      <c r="K14511" s="689">
        <v>74.3</v>
      </c>
    </row>
    <row r="14512" spans="1:11">
      <c r="A14512" s="688" t="s">
        <v>7</v>
      </c>
      <c r="B14512" s="691">
        <v>74.400000000000006</v>
      </c>
      <c r="C14512" s="691">
        <v>74.099999999999994</v>
      </c>
      <c r="D14512" s="691">
        <v>73.900000000000006</v>
      </c>
      <c r="E14512" s="691">
        <v>74.099999999999994</v>
      </c>
      <c r="F14512" s="691">
        <v>74.099999999999994</v>
      </c>
      <c r="G14512" s="691">
        <v>74.599999999999994</v>
      </c>
      <c r="H14512" s="691">
        <v>74.5</v>
      </c>
      <c r="I14512" s="691">
        <v>74.099999999999994</v>
      </c>
      <c r="J14512" s="691">
        <v>73.2</v>
      </c>
      <c r="K14512" s="691">
        <v>73.7</v>
      </c>
    </row>
    <row r="14513" spans="1:11">
      <c r="A14513" s="688" t="s">
        <v>27</v>
      </c>
      <c r="B14513" s="689">
        <v>76.400000000000006</v>
      </c>
      <c r="C14513" s="689">
        <v>75.900000000000006</v>
      </c>
      <c r="D14513" s="689">
        <v>75.599999999999994</v>
      </c>
      <c r="E14513" s="689">
        <v>76.099999999999994</v>
      </c>
      <c r="F14513" s="693">
        <v>76</v>
      </c>
      <c r="G14513" s="689">
        <v>76.099999999999994</v>
      </c>
      <c r="H14513" s="689">
        <v>76.5</v>
      </c>
      <c r="I14513" s="689">
        <v>75.3</v>
      </c>
      <c r="J14513" s="689">
        <v>76.099999999999994</v>
      </c>
      <c r="K14513" s="693">
        <v>76</v>
      </c>
    </row>
    <row r="14514" spans="1:11">
      <c r="A14514" s="688" t="s">
        <v>6</v>
      </c>
      <c r="B14514" s="615">
        <v>76</v>
      </c>
      <c r="C14514" s="691">
        <v>75.7</v>
      </c>
      <c r="D14514" s="691">
        <v>75.5</v>
      </c>
      <c r="E14514" s="691">
        <v>75.7</v>
      </c>
      <c r="F14514" s="691">
        <v>75.7</v>
      </c>
      <c r="G14514" s="691">
        <v>75.900000000000006</v>
      </c>
      <c r="H14514" s="615">
        <v>76</v>
      </c>
      <c r="I14514" s="691">
        <v>75.5</v>
      </c>
      <c r="J14514" s="691">
        <v>75.599999999999994</v>
      </c>
      <c r="K14514" s="691">
        <v>75.5</v>
      </c>
    </row>
    <row r="14515" spans="1:11">
      <c r="A14515" s="688" t="s">
        <v>4058</v>
      </c>
      <c r="B14515" s="690" t="s">
        <v>4060</v>
      </c>
      <c r="C14515" s="690" t="s">
        <v>4060</v>
      </c>
      <c r="D14515" s="690" t="s">
        <v>4060</v>
      </c>
      <c r="E14515" s="690" t="s">
        <v>4060</v>
      </c>
      <c r="F14515" s="690" t="s">
        <v>4060</v>
      </c>
      <c r="G14515" s="690" t="s">
        <v>4060</v>
      </c>
      <c r="H14515" s="690" t="s">
        <v>4060</v>
      </c>
      <c r="I14515" s="690" t="s">
        <v>4060</v>
      </c>
      <c r="J14515" s="690" t="s">
        <v>4060</v>
      </c>
      <c r="K14515" s="690" t="s">
        <v>4060</v>
      </c>
    </row>
    <row r="14516" spans="1:11">
      <c r="A14516" s="688" t="s">
        <v>11</v>
      </c>
      <c r="B14516" s="691">
        <v>71.400000000000006</v>
      </c>
      <c r="C14516" s="691">
        <v>71.3</v>
      </c>
      <c r="D14516" s="691">
        <v>70.8</v>
      </c>
      <c r="E14516" s="691">
        <v>71.5</v>
      </c>
      <c r="F14516" s="691">
        <v>71.2</v>
      </c>
      <c r="G14516" s="691">
        <v>71.5</v>
      </c>
      <c r="H14516" s="691">
        <v>71.7</v>
      </c>
      <c r="I14516" s="691">
        <v>71.099999999999994</v>
      </c>
      <c r="J14516" s="691">
        <v>70.099999999999994</v>
      </c>
      <c r="K14516" s="691">
        <v>71.099999999999994</v>
      </c>
    </row>
    <row r="14517" spans="1:11">
      <c r="A14517" s="688" t="s">
        <v>10</v>
      </c>
      <c r="B14517" s="689">
        <v>75.5</v>
      </c>
      <c r="C14517" s="689">
        <v>75.3</v>
      </c>
      <c r="D14517" s="689">
        <v>74.900000000000006</v>
      </c>
      <c r="E14517" s="689">
        <v>75.400000000000006</v>
      </c>
      <c r="F14517" s="689">
        <v>75.2</v>
      </c>
      <c r="G14517" s="689">
        <v>75.5</v>
      </c>
      <c r="H14517" s="689">
        <v>75.7</v>
      </c>
      <c r="I14517" s="689">
        <v>74.8</v>
      </c>
      <c r="J14517" s="693">
        <v>75</v>
      </c>
      <c r="K14517" s="693">
        <v>75</v>
      </c>
    </row>
    <row r="14518" spans="1:11">
      <c r="A14518" s="688" t="s">
        <v>30</v>
      </c>
      <c r="B14518" s="691">
        <v>75.099999999999994</v>
      </c>
      <c r="C14518" s="691">
        <v>74.400000000000006</v>
      </c>
      <c r="D14518" s="615">
        <v>74</v>
      </c>
      <c r="E14518" s="691">
        <v>75.099999999999994</v>
      </c>
      <c r="F14518" s="691">
        <v>74.599999999999994</v>
      </c>
      <c r="G14518" s="615">
        <v>75</v>
      </c>
      <c r="H14518" s="691">
        <v>74.8</v>
      </c>
      <c r="I14518" s="691">
        <v>74.8</v>
      </c>
      <c r="J14518" s="691">
        <v>74.099999999999994</v>
      </c>
      <c r="K14518" s="691">
        <v>74.3</v>
      </c>
    </row>
    <row r="14519" spans="1:11">
      <c r="A14519" s="688" t="s">
        <v>12</v>
      </c>
      <c r="B14519" s="689">
        <v>69.400000000000006</v>
      </c>
      <c r="C14519" s="689">
        <v>69.7</v>
      </c>
      <c r="D14519" s="689">
        <v>69.7</v>
      </c>
      <c r="E14519" s="689">
        <v>69.900000000000006</v>
      </c>
      <c r="F14519" s="689">
        <v>69.900000000000006</v>
      </c>
      <c r="G14519" s="689">
        <v>69.900000000000006</v>
      </c>
      <c r="H14519" s="689">
        <v>70.400000000000006</v>
      </c>
      <c r="I14519" s="689">
        <v>70.3</v>
      </c>
      <c r="J14519" s="689">
        <v>68.3</v>
      </c>
      <c r="K14519" s="689">
        <v>69.7</v>
      </c>
    </row>
    <row r="14520" spans="1:11">
      <c r="A14520" s="688" t="s">
        <v>14</v>
      </c>
      <c r="B14520" s="615">
        <v>70</v>
      </c>
      <c r="C14520" s="691">
        <v>70.2</v>
      </c>
      <c r="D14520" s="615">
        <v>70</v>
      </c>
      <c r="E14520" s="691">
        <v>70.400000000000006</v>
      </c>
      <c r="F14520" s="691">
        <v>70.599999999999994</v>
      </c>
      <c r="G14520" s="691">
        <v>70.8</v>
      </c>
      <c r="H14520" s="691">
        <v>71.2</v>
      </c>
      <c r="I14520" s="691">
        <v>70.3</v>
      </c>
      <c r="J14520" s="691">
        <v>69.2</v>
      </c>
      <c r="K14520" s="691">
        <v>70.400000000000006</v>
      </c>
    </row>
    <row r="14521" spans="1:11">
      <c r="A14521" s="688" t="s">
        <v>15</v>
      </c>
      <c r="B14521" s="689">
        <v>74.2</v>
      </c>
      <c r="C14521" s="689">
        <v>74.900000000000006</v>
      </c>
      <c r="D14521" s="689">
        <v>74.3</v>
      </c>
      <c r="E14521" s="689">
        <v>75.099999999999994</v>
      </c>
      <c r="F14521" s="689">
        <v>74.2</v>
      </c>
      <c r="G14521" s="689">
        <v>74.7</v>
      </c>
      <c r="H14521" s="689">
        <v>75.099999999999994</v>
      </c>
      <c r="I14521" s="689">
        <v>74.8</v>
      </c>
      <c r="J14521" s="693">
        <v>75</v>
      </c>
      <c r="K14521" s="689">
        <v>75.2</v>
      </c>
    </row>
    <row r="14522" spans="1:11">
      <c r="A14522" s="688" t="s">
        <v>29</v>
      </c>
      <c r="B14522" s="691">
        <v>69.599999999999994</v>
      </c>
      <c r="C14522" s="691">
        <v>69.599999999999994</v>
      </c>
      <c r="D14522" s="691">
        <v>69.2</v>
      </c>
      <c r="E14522" s="691">
        <v>69.8</v>
      </c>
      <c r="F14522" s="691">
        <v>69.5</v>
      </c>
      <c r="G14522" s="691">
        <v>69.7</v>
      </c>
      <c r="H14522" s="691">
        <v>69.8</v>
      </c>
      <c r="I14522" s="691">
        <v>69.099999999999994</v>
      </c>
      <c r="J14522" s="691">
        <v>67.900000000000006</v>
      </c>
      <c r="K14522" s="691">
        <v>69.5</v>
      </c>
    </row>
    <row r="14523" spans="1:11">
      <c r="A14523" s="688" t="s">
        <v>16</v>
      </c>
      <c r="B14523" s="689">
        <v>74.599999999999994</v>
      </c>
      <c r="C14523" s="689">
        <v>74.400000000000006</v>
      </c>
      <c r="D14523" s="689">
        <v>74.2</v>
      </c>
      <c r="E14523" s="689">
        <v>74.400000000000006</v>
      </c>
      <c r="F14523" s="689">
        <v>74.599999999999994</v>
      </c>
      <c r="G14523" s="689">
        <v>74.5</v>
      </c>
      <c r="H14523" s="689">
        <v>74.8</v>
      </c>
      <c r="I14523" s="689">
        <v>74.5</v>
      </c>
      <c r="J14523" s="689">
        <v>74.2</v>
      </c>
      <c r="K14523" s="689">
        <v>74.599999999999994</v>
      </c>
    </row>
    <row r="14524" spans="1:11">
      <c r="A14524" s="688" t="s">
        <v>17</v>
      </c>
      <c r="B14524" s="691">
        <v>73.599999999999994</v>
      </c>
      <c r="C14524" s="691">
        <v>73.599999999999994</v>
      </c>
      <c r="D14524" s="691">
        <v>73.400000000000006</v>
      </c>
      <c r="E14524" s="691">
        <v>73.5</v>
      </c>
      <c r="F14524" s="691">
        <v>73.599999999999994</v>
      </c>
      <c r="G14524" s="691">
        <v>73.7</v>
      </c>
      <c r="H14524" s="691">
        <v>73.900000000000006</v>
      </c>
      <c r="I14524" s="691">
        <v>73.400000000000006</v>
      </c>
      <c r="J14524" s="691">
        <v>73.3</v>
      </c>
      <c r="K14524" s="691">
        <v>73.400000000000006</v>
      </c>
    </row>
    <row r="14525" spans="1:11">
      <c r="A14525" s="688" t="s">
        <v>19</v>
      </c>
      <c r="B14525" s="689">
        <v>74.099999999999994</v>
      </c>
      <c r="C14525" s="689">
        <v>74.099999999999994</v>
      </c>
      <c r="D14525" s="689">
        <v>73.900000000000006</v>
      </c>
      <c r="E14525" s="689">
        <v>74.3</v>
      </c>
      <c r="F14525" s="689">
        <v>74.2</v>
      </c>
      <c r="G14525" s="689">
        <v>74.3</v>
      </c>
      <c r="H14525" s="689">
        <v>74.5</v>
      </c>
      <c r="I14525" s="693">
        <v>74</v>
      </c>
      <c r="J14525" s="693">
        <v>74</v>
      </c>
      <c r="K14525" s="693">
        <v>74</v>
      </c>
    </row>
    <row r="14526" spans="1:11">
      <c r="A14526" s="688" t="s">
        <v>20</v>
      </c>
      <c r="B14526" s="691">
        <v>71.599999999999994</v>
      </c>
      <c r="C14526" s="691">
        <v>71.8</v>
      </c>
      <c r="D14526" s="691">
        <v>71.7</v>
      </c>
      <c r="E14526" s="691">
        <v>72.099999999999994</v>
      </c>
      <c r="F14526" s="691">
        <v>71.900000000000006</v>
      </c>
      <c r="G14526" s="691">
        <v>71.8</v>
      </c>
      <c r="H14526" s="691">
        <v>72.099999999999994</v>
      </c>
      <c r="I14526" s="691">
        <v>70.900000000000006</v>
      </c>
      <c r="J14526" s="691">
        <v>69.8</v>
      </c>
      <c r="K14526" s="691">
        <v>71.3</v>
      </c>
    </row>
    <row r="14527" spans="1:11">
      <c r="A14527" s="688" t="s">
        <v>21</v>
      </c>
      <c r="B14527" s="689">
        <v>74.3</v>
      </c>
      <c r="C14527" s="689">
        <v>74.599999999999994</v>
      </c>
      <c r="D14527" s="689">
        <v>74.5</v>
      </c>
      <c r="E14527" s="689">
        <v>74.599999999999994</v>
      </c>
      <c r="F14527" s="689">
        <v>74.8</v>
      </c>
      <c r="G14527" s="689">
        <v>74.8</v>
      </c>
      <c r="H14527" s="689">
        <v>75.099999999999994</v>
      </c>
      <c r="I14527" s="689">
        <v>74.5</v>
      </c>
      <c r="J14527" s="689">
        <v>74.5</v>
      </c>
      <c r="K14527" s="689">
        <v>74.7</v>
      </c>
    </row>
    <row r="14528" spans="1:11">
      <c r="A14528" s="688" t="s">
        <v>22</v>
      </c>
      <c r="B14528" s="691">
        <v>69.5</v>
      </c>
      <c r="C14528" s="691">
        <v>69.3</v>
      </c>
      <c r="D14528" s="691">
        <v>69.2</v>
      </c>
      <c r="E14528" s="691">
        <v>69.5</v>
      </c>
      <c r="F14528" s="691">
        <v>69.5</v>
      </c>
      <c r="G14528" s="691">
        <v>69.7</v>
      </c>
      <c r="H14528" s="615">
        <v>70</v>
      </c>
      <c r="I14528" s="691">
        <v>68.7</v>
      </c>
      <c r="J14528" s="691">
        <v>67.2</v>
      </c>
      <c r="K14528" s="691">
        <v>69.599999999999994</v>
      </c>
    </row>
    <row r="14529" spans="1:11">
      <c r="A14529" s="688" t="s">
        <v>26</v>
      </c>
      <c r="B14529" s="689">
        <v>73.900000000000006</v>
      </c>
      <c r="C14529" s="689">
        <v>73.900000000000006</v>
      </c>
      <c r="D14529" s="689">
        <v>73.7</v>
      </c>
      <c r="E14529" s="689">
        <v>74.099999999999994</v>
      </c>
      <c r="F14529" s="689">
        <v>73.900000000000006</v>
      </c>
      <c r="G14529" s="689">
        <v>74.2</v>
      </c>
      <c r="H14529" s="689">
        <v>74.5</v>
      </c>
      <c r="I14529" s="689">
        <v>73.599999999999994</v>
      </c>
      <c r="J14529" s="689">
        <v>73.900000000000006</v>
      </c>
      <c r="K14529" s="689">
        <v>74.099999999999994</v>
      </c>
    </row>
    <row r="14530" spans="1:11">
      <c r="A14530" s="688" t="s">
        <v>25</v>
      </c>
      <c r="B14530" s="691">
        <v>70.7</v>
      </c>
      <c r="C14530" s="615">
        <v>71</v>
      </c>
      <c r="D14530" s="691">
        <v>70.599999999999994</v>
      </c>
      <c r="E14530" s="691">
        <v>71.099999999999994</v>
      </c>
      <c r="F14530" s="615">
        <v>71</v>
      </c>
      <c r="G14530" s="691">
        <v>71.099999999999994</v>
      </c>
      <c r="H14530" s="691">
        <v>71.599999999999994</v>
      </c>
      <c r="I14530" s="691">
        <v>70.900000000000006</v>
      </c>
      <c r="J14530" s="691">
        <v>68.7</v>
      </c>
      <c r="K14530" s="691">
        <v>70.900000000000006</v>
      </c>
    </row>
    <row r="14531" spans="1:11">
      <c r="A14531" s="688" t="s">
        <v>5</v>
      </c>
      <c r="B14531" s="689">
        <v>74.3</v>
      </c>
      <c r="C14531" s="689">
        <v>74.099999999999994</v>
      </c>
      <c r="D14531" s="689">
        <v>74.3</v>
      </c>
      <c r="E14531" s="689">
        <v>74.3</v>
      </c>
      <c r="F14531" s="689">
        <v>74.5</v>
      </c>
      <c r="G14531" s="689">
        <v>74.5</v>
      </c>
      <c r="H14531" s="689">
        <v>74.7</v>
      </c>
      <c r="I14531" s="689">
        <v>74.8</v>
      </c>
      <c r="J14531" s="689">
        <v>74.7</v>
      </c>
      <c r="K14531" s="693">
        <v>74</v>
      </c>
    </row>
    <row r="14532" spans="1:11">
      <c r="A14532" s="688" t="s">
        <v>23</v>
      </c>
      <c r="B14532" s="691">
        <v>74.099999999999994</v>
      </c>
      <c r="C14532" s="691">
        <v>74.3</v>
      </c>
      <c r="D14532" s="691">
        <v>74.3</v>
      </c>
      <c r="E14532" s="691">
        <v>74.400000000000006</v>
      </c>
      <c r="F14532" s="691">
        <v>74.400000000000006</v>
      </c>
      <c r="G14532" s="691">
        <v>74.5</v>
      </c>
      <c r="H14532" s="615">
        <v>75</v>
      </c>
      <c r="I14532" s="691">
        <v>74.5</v>
      </c>
      <c r="J14532" s="615">
        <v>75</v>
      </c>
      <c r="K14532" s="615">
        <v>75</v>
      </c>
    </row>
    <row r="14533" spans="1:11">
      <c r="A14533" s="688" t="s">
        <v>4067</v>
      </c>
      <c r="B14533" s="689">
        <v>73.7</v>
      </c>
      <c r="C14533" s="693">
        <v>74</v>
      </c>
      <c r="D14533" s="689">
        <v>73.599999999999994</v>
      </c>
      <c r="E14533" s="693">
        <v>74</v>
      </c>
      <c r="F14533" s="689">
        <v>73.900000000000006</v>
      </c>
      <c r="G14533" s="693">
        <v>74</v>
      </c>
      <c r="H14533" s="690" t="s">
        <v>4060</v>
      </c>
      <c r="I14533" s="690" t="s">
        <v>4060</v>
      </c>
      <c r="J14533" s="690" t="s">
        <v>4060</v>
      </c>
      <c r="K14533" s="690" t="s">
        <v>4060</v>
      </c>
    </row>
    <row r="14534" spans="1:11">
      <c r="A14534" s="688" t="s">
        <v>4066</v>
      </c>
      <c r="B14534" s="691">
        <v>73.7</v>
      </c>
      <c r="C14534" s="615">
        <v>74</v>
      </c>
      <c r="D14534" s="691">
        <v>73.599999999999994</v>
      </c>
      <c r="E14534" s="615">
        <v>74</v>
      </c>
      <c r="F14534" s="691">
        <v>73.900000000000006</v>
      </c>
      <c r="G14534" s="615">
        <v>74</v>
      </c>
      <c r="H14534" s="692" t="s">
        <v>4060</v>
      </c>
      <c r="I14534" s="692" t="s">
        <v>4060</v>
      </c>
      <c r="J14534" s="692" t="s">
        <v>4060</v>
      </c>
      <c r="K14534" s="692" t="s">
        <v>4060</v>
      </c>
    </row>
    <row r="14535" spans="1:11">
      <c r="A14535" s="688" t="s">
        <v>4062</v>
      </c>
      <c r="B14535" s="689">
        <v>74.900000000000006</v>
      </c>
      <c r="C14535" s="693">
        <v>75</v>
      </c>
      <c r="D14535" s="689">
        <v>74.900000000000006</v>
      </c>
      <c r="E14535" s="689">
        <v>75.099999999999994</v>
      </c>
      <c r="F14535" s="689">
        <v>75.3</v>
      </c>
      <c r="G14535" s="689">
        <v>75.400000000000006</v>
      </c>
      <c r="H14535" s="689">
        <v>75.5</v>
      </c>
      <c r="I14535" s="689">
        <v>75.3</v>
      </c>
      <c r="J14535" s="689">
        <v>75.5</v>
      </c>
      <c r="K14535" s="689">
        <v>75.2</v>
      </c>
    </row>
    <row r="14536" spans="1:11">
      <c r="A14536" s="688" t="s">
        <v>9</v>
      </c>
      <c r="B14536" s="615">
        <v>74</v>
      </c>
      <c r="C14536" s="691">
        <v>74.400000000000006</v>
      </c>
      <c r="D14536" s="691">
        <v>73.8</v>
      </c>
      <c r="E14536" s="691">
        <v>74.099999999999994</v>
      </c>
      <c r="F14536" s="691">
        <v>74.5</v>
      </c>
      <c r="G14536" s="691">
        <v>74.400000000000006</v>
      </c>
      <c r="H14536" s="691">
        <v>74.599999999999994</v>
      </c>
      <c r="I14536" s="691">
        <v>74.599999999999994</v>
      </c>
      <c r="J14536" s="691">
        <v>74.8</v>
      </c>
      <c r="K14536" s="691">
        <v>73.8</v>
      </c>
    </row>
    <row r="14537" spans="1:11">
      <c r="A14537" s="688" t="s">
        <v>13</v>
      </c>
      <c r="B14537" s="689">
        <v>74.900000000000006</v>
      </c>
      <c r="C14537" s="689">
        <v>73.7</v>
      </c>
      <c r="D14537" s="689">
        <v>74.3</v>
      </c>
      <c r="E14537" s="689">
        <v>73.900000000000006</v>
      </c>
      <c r="F14537" s="689">
        <v>75.8</v>
      </c>
      <c r="G14537" s="689">
        <v>75.599999999999994</v>
      </c>
      <c r="H14537" s="689">
        <v>75.5</v>
      </c>
      <c r="I14537" s="689">
        <v>74.2</v>
      </c>
      <c r="J14537" s="689">
        <v>76.099999999999994</v>
      </c>
      <c r="K14537" s="689">
        <v>75.2</v>
      </c>
    </row>
    <row r="14538" spans="1:11">
      <c r="A14538" s="688" t="s">
        <v>18</v>
      </c>
      <c r="B14538" s="615">
        <v>74</v>
      </c>
      <c r="C14538" s="691">
        <v>74.3</v>
      </c>
      <c r="D14538" s="691">
        <v>74.400000000000006</v>
      </c>
      <c r="E14538" s="691">
        <v>74.400000000000006</v>
      </c>
      <c r="F14538" s="691">
        <v>74.5</v>
      </c>
      <c r="G14538" s="691">
        <v>74.7</v>
      </c>
      <c r="H14538" s="691">
        <v>74.900000000000006</v>
      </c>
      <c r="I14538" s="691">
        <v>75.099999999999994</v>
      </c>
      <c r="J14538" s="691">
        <v>74.900000000000006</v>
      </c>
      <c r="K14538" s="691">
        <v>74.5</v>
      </c>
    </row>
    <row r="14539" spans="1:11">
      <c r="A14539" s="688" t="s">
        <v>24</v>
      </c>
      <c r="B14539" s="689">
        <v>75.400000000000006</v>
      </c>
      <c r="C14539" s="689">
        <v>75.5</v>
      </c>
      <c r="D14539" s="689">
        <v>75.3</v>
      </c>
      <c r="E14539" s="689">
        <v>75.599999999999994</v>
      </c>
      <c r="F14539" s="689">
        <v>75.7</v>
      </c>
      <c r="G14539" s="689">
        <v>75.8</v>
      </c>
      <c r="H14539" s="689">
        <v>75.900000000000006</v>
      </c>
      <c r="I14539" s="689">
        <v>75.400000000000006</v>
      </c>
      <c r="J14539" s="689">
        <v>75.900000000000006</v>
      </c>
      <c r="K14539" s="689">
        <v>75.7</v>
      </c>
    </row>
    <row r="14540" spans="1:11">
      <c r="A14540" s="688" t="s">
        <v>4059</v>
      </c>
      <c r="B14540" s="691">
        <v>73.3</v>
      </c>
      <c r="C14540" s="691">
        <v>73.599999999999994</v>
      </c>
      <c r="D14540" s="691">
        <v>73.099999999999994</v>
      </c>
      <c r="E14540" s="691">
        <v>73.400000000000006</v>
      </c>
      <c r="F14540" s="691">
        <v>73.400000000000006</v>
      </c>
      <c r="G14540" s="691">
        <v>73.400000000000006</v>
      </c>
      <c r="H14540" s="692" t="s">
        <v>4060</v>
      </c>
      <c r="I14540" s="692" t="s">
        <v>4060</v>
      </c>
      <c r="J14540" s="692" t="s">
        <v>4060</v>
      </c>
      <c r="K14540" s="692" t="s">
        <v>4060</v>
      </c>
    </row>
    <row r="14541" spans="1:11">
      <c r="A14541" s="688" t="s">
        <v>2324</v>
      </c>
      <c r="B14541" s="689">
        <v>69.3</v>
      </c>
      <c r="C14541" s="689">
        <v>69.3</v>
      </c>
      <c r="D14541" s="689">
        <v>68.900000000000006</v>
      </c>
      <c r="E14541" s="689">
        <v>69.3</v>
      </c>
      <c r="F14541" s="689">
        <v>69.5</v>
      </c>
      <c r="G14541" s="689">
        <v>69.5</v>
      </c>
      <c r="H14541" s="689">
        <v>69.8</v>
      </c>
      <c r="I14541" s="689">
        <v>69.099999999999994</v>
      </c>
      <c r="J14541" s="689">
        <v>67.099999999999994</v>
      </c>
      <c r="K14541" s="690" t="s">
        <v>4060</v>
      </c>
    </row>
    <row r="14542" spans="1:11">
      <c r="A14542" s="688" t="s">
        <v>2322</v>
      </c>
      <c r="B14542" s="692" t="s">
        <v>4060</v>
      </c>
      <c r="C14542" s="692" t="s">
        <v>4060</v>
      </c>
      <c r="D14542" s="692" t="s">
        <v>4060</v>
      </c>
      <c r="E14542" s="692" t="s">
        <v>4060</v>
      </c>
      <c r="F14542" s="692" t="s">
        <v>4060</v>
      </c>
      <c r="G14542" s="692" t="s">
        <v>4060</v>
      </c>
      <c r="H14542" s="692" t="s">
        <v>4060</v>
      </c>
      <c r="I14542" s="692" t="s">
        <v>4060</v>
      </c>
      <c r="J14542" s="692" t="s">
        <v>4060</v>
      </c>
      <c r="K14542" s="692" t="s">
        <v>4060</v>
      </c>
    </row>
    <row r="14543" spans="1:11">
      <c r="A14543" s="688" t="s">
        <v>2328</v>
      </c>
      <c r="B14543" s="689">
        <v>68.400000000000006</v>
      </c>
      <c r="C14543" s="689">
        <v>68.400000000000006</v>
      </c>
      <c r="D14543" s="689">
        <v>68.2</v>
      </c>
      <c r="E14543" s="689">
        <v>68.599999999999994</v>
      </c>
      <c r="F14543" s="689">
        <v>68.8</v>
      </c>
      <c r="G14543" s="689">
        <v>69.2</v>
      </c>
      <c r="H14543" s="689">
        <v>69.099999999999994</v>
      </c>
      <c r="I14543" s="689">
        <v>67.3</v>
      </c>
      <c r="J14543" s="689">
        <v>65.900000000000006</v>
      </c>
      <c r="K14543" s="690" t="s">
        <v>4060</v>
      </c>
    </row>
    <row r="14544" spans="1:11">
      <c r="A14544" s="688" t="s">
        <v>2496</v>
      </c>
      <c r="B14544" s="692" t="s">
        <v>4060</v>
      </c>
      <c r="C14544" s="691">
        <v>69.2</v>
      </c>
      <c r="D14544" s="691">
        <v>68.2</v>
      </c>
      <c r="E14544" s="615">
        <v>68</v>
      </c>
      <c r="F14544" s="691">
        <v>68.599999999999994</v>
      </c>
      <c r="G14544" s="691">
        <v>68.900000000000006</v>
      </c>
      <c r="H14544" s="615">
        <v>69</v>
      </c>
      <c r="I14544" s="692" t="s">
        <v>4060</v>
      </c>
      <c r="J14544" s="692" t="s">
        <v>4060</v>
      </c>
      <c r="K14544" s="691">
        <v>68.900000000000006</v>
      </c>
    </row>
    <row r="14545" spans="1:11">
      <c r="A14545" s="688" t="s">
        <v>2269</v>
      </c>
      <c r="B14545" s="689">
        <v>70.8</v>
      </c>
      <c r="C14545" s="693">
        <v>71</v>
      </c>
      <c r="D14545" s="689">
        <v>70.400000000000006</v>
      </c>
      <c r="E14545" s="689">
        <v>70.900000000000006</v>
      </c>
      <c r="F14545" s="689">
        <v>70.8</v>
      </c>
      <c r="G14545" s="689">
        <v>71.3</v>
      </c>
      <c r="H14545" s="689">
        <v>71.5</v>
      </c>
      <c r="I14545" s="689">
        <v>70.5</v>
      </c>
      <c r="J14545" s="689">
        <v>68.3</v>
      </c>
      <c r="K14545" s="689">
        <v>71.400000000000006</v>
      </c>
    </row>
    <row r="14546" spans="1:11">
      <c r="A14546" s="688" t="s">
        <v>2349</v>
      </c>
      <c r="B14546" s="691">
        <v>68.400000000000006</v>
      </c>
      <c r="C14546" s="691">
        <v>68.400000000000006</v>
      </c>
      <c r="D14546" s="691">
        <v>68.400000000000006</v>
      </c>
      <c r="E14546" s="691">
        <v>68.7</v>
      </c>
      <c r="F14546" s="691">
        <v>68.599999999999994</v>
      </c>
      <c r="G14546" s="691">
        <v>68.900000000000006</v>
      </c>
      <c r="H14546" s="691">
        <v>69.099999999999994</v>
      </c>
      <c r="I14546" s="691">
        <v>67.900000000000006</v>
      </c>
      <c r="J14546" s="691">
        <v>66.099999999999994</v>
      </c>
      <c r="K14546" s="691">
        <v>68.2</v>
      </c>
    </row>
    <row r="14547" spans="1:11">
      <c r="A14547" s="688" t="s">
        <v>2355</v>
      </c>
      <c r="B14547" s="689">
        <v>72.3</v>
      </c>
      <c r="C14547" s="689">
        <v>72.099999999999994</v>
      </c>
      <c r="D14547" s="689">
        <v>72.099999999999994</v>
      </c>
      <c r="E14547" s="693">
        <v>72</v>
      </c>
      <c r="F14547" s="689">
        <v>72.2</v>
      </c>
      <c r="G14547" s="689">
        <v>72.599999999999994</v>
      </c>
      <c r="H14547" s="689">
        <v>72.7</v>
      </c>
      <c r="I14547" s="690" t="s">
        <v>4060</v>
      </c>
      <c r="J14547" s="690" t="s">
        <v>4060</v>
      </c>
      <c r="K14547" s="690" t="s">
        <v>4060</v>
      </c>
    </row>
    <row r="14548" spans="1:11">
      <c r="A14548" s="688" t="s">
        <v>2357</v>
      </c>
      <c r="B14548" s="692" t="s">
        <v>4060</v>
      </c>
      <c r="C14548" s="691">
        <v>67.400000000000006</v>
      </c>
      <c r="D14548" s="615">
        <v>68</v>
      </c>
      <c r="E14548" s="691">
        <v>68.3</v>
      </c>
      <c r="F14548" s="691">
        <v>68.599999999999994</v>
      </c>
      <c r="G14548" s="691">
        <v>68.599999999999994</v>
      </c>
      <c r="H14548" s="691">
        <v>68.900000000000006</v>
      </c>
      <c r="I14548" s="692" t="s">
        <v>4060</v>
      </c>
      <c r="J14548" s="692" t="s">
        <v>4060</v>
      </c>
      <c r="K14548" s="692" t="s">
        <v>4060</v>
      </c>
    </row>
    <row r="14549" spans="1:11">
      <c r="A14549" s="688" t="s">
        <v>4070</v>
      </c>
      <c r="B14549" s="690" t="s">
        <v>4060</v>
      </c>
      <c r="C14549" s="690" t="s">
        <v>4060</v>
      </c>
      <c r="D14549" s="690" t="s">
        <v>4060</v>
      </c>
      <c r="E14549" s="689">
        <v>72.099999999999994</v>
      </c>
      <c r="F14549" s="690" t="s">
        <v>4060</v>
      </c>
      <c r="G14549" s="690" t="s">
        <v>4060</v>
      </c>
      <c r="H14549" s="690" t="s">
        <v>4060</v>
      </c>
      <c r="I14549" s="690" t="s">
        <v>4060</v>
      </c>
      <c r="J14549" s="690" t="s">
        <v>4060</v>
      </c>
      <c r="K14549" s="690" t="s">
        <v>4060</v>
      </c>
    </row>
    <row r="14550" spans="1:11">
      <c r="A14550" s="688" t="s">
        <v>2491</v>
      </c>
      <c r="B14550" s="691">
        <v>68.400000000000006</v>
      </c>
      <c r="C14550" s="691">
        <v>68.900000000000006</v>
      </c>
      <c r="D14550" s="691">
        <v>69.3</v>
      </c>
      <c r="E14550" s="691">
        <v>69.5</v>
      </c>
      <c r="F14550" s="691">
        <v>69.7</v>
      </c>
      <c r="G14550" s="691">
        <v>69.7</v>
      </c>
      <c r="H14550" s="692" t="s">
        <v>4060</v>
      </c>
      <c r="I14550" s="692" t="s">
        <v>4060</v>
      </c>
      <c r="J14550" s="692" t="s">
        <v>4060</v>
      </c>
      <c r="K14550" s="692" t="s">
        <v>4060</v>
      </c>
    </row>
    <row r="14551" spans="1:11">
      <c r="A14551" s="688" t="s">
        <v>2343</v>
      </c>
      <c r="B14551" s="690" t="s">
        <v>4060</v>
      </c>
      <c r="C14551" s="690" t="s">
        <v>4060</v>
      </c>
      <c r="D14551" s="690" t="s">
        <v>4060</v>
      </c>
      <c r="E14551" s="690" t="s">
        <v>4060</v>
      </c>
      <c r="F14551" s="690" t="s">
        <v>4060</v>
      </c>
      <c r="G14551" s="690" t="s">
        <v>4060</v>
      </c>
      <c r="H14551" s="690" t="s">
        <v>4060</v>
      </c>
      <c r="I14551" s="690" t="s">
        <v>4060</v>
      </c>
      <c r="J14551" s="690" t="s">
        <v>4060</v>
      </c>
      <c r="K14551" s="690" t="s">
        <v>4060</v>
      </c>
    </row>
    <row r="14552" spans="1:11">
      <c r="A14552" s="688" t="s">
        <v>4071</v>
      </c>
      <c r="B14552" s="692" t="s">
        <v>4060</v>
      </c>
      <c r="C14552" s="692" t="s">
        <v>4060</v>
      </c>
      <c r="D14552" s="692" t="s">
        <v>4060</v>
      </c>
      <c r="E14552" s="692" t="s">
        <v>4060</v>
      </c>
      <c r="F14552" s="692" t="s">
        <v>4060</v>
      </c>
      <c r="G14552" s="692" t="s">
        <v>4060</v>
      </c>
      <c r="H14552" s="692" t="s">
        <v>4060</v>
      </c>
      <c r="I14552" s="692" t="s">
        <v>4060</v>
      </c>
      <c r="J14552" s="692" t="s">
        <v>4060</v>
      </c>
      <c r="K14552" s="692" t="s">
        <v>4060</v>
      </c>
    </row>
    <row r="14553" spans="1:11">
      <c r="A14553" s="688" t="s">
        <v>2489</v>
      </c>
      <c r="B14553" s="690" t="s">
        <v>4060</v>
      </c>
      <c r="C14553" s="690" t="s">
        <v>4060</v>
      </c>
      <c r="D14553" s="693">
        <v>69</v>
      </c>
      <c r="E14553" s="689">
        <v>69.099999999999994</v>
      </c>
      <c r="F14553" s="689">
        <v>69.599999999999994</v>
      </c>
      <c r="G14553" s="689">
        <v>70.400000000000006</v>
      </c>
      <c r="H14553" s="689">
        <v>70.3</v>
      </c>
      <c r="I14553" s="690" t="s">
        <v>4060</v>
      </c>
      <c r="J14553" s="690" t="s">
        <v>4060</v>
      </c>
      <c r="K14553" s="690" t="s">
        <v>4060</v>
      </c>
    </row>
    <row r="14554" spans="1:11">
      <c r="A14554" s="688" t="s">
        <v>2490</v>
      </c>
      <c r="B14554" s="691">
        <v>68.2</v>
      </c>
      <c r="C14554" s="691">
        <v>68.3</v>
      </c>
      <c r="D14554" s="691">
        <v>68.7</v>
      </c>
      <c r="E14554" s="692" t="s">
        <v>4060</v>
      </c>
      <c r="F14554" s="691">
        <v>68.900000000000006</v>
      </c>
      <c r="G14554" s="691">
        <v>69.3</v>
      </c>
      <c r="H14554" s="691">
        <v>69.900000000000006</v>
      </c>
      <c r="I14554" s="692" t="s">
        <v>4060</v>
      </c>
      <c r="J14554" s="692" t="s">
        <v>4060</v>
      </c>
      <c r="K14554" s="692" t="s">
        <v>4060</v>
      </c>
    </row>
    <row r="14556" spans="1:11">
      <c r="A14556" s="683" t="s">
        <v>4233</v>
      </c>
    </row>
    <row r="14557" spans="1:11">
      <c r="A14557" s="683" t="s">
        <v>4060</v>
      </c>
      <c r="B14557" s="682" t="s">
        <v>4234</v>
      </c>
    </row>
    <row r="14559" spans="1:11">
      <c r="A14559" s="682" t="s">
        <v>4332</v>
      </c>
    </row>
    <row r="14560" spans="1:11">
      <c r="A14560" s="682" t="s">
        <v>4210</v>
      </c>
      <c r="B14560" s="683" t="s">
        <v>4211</v>
      </c>
    </row>
    <row r="14561" spans="1:11">
      <c r="A14561" s="682" t="s">
        <v>4212</v>
      </c>
      <c r="B14561" s="682" t="s">
        <v>4213</v>
      </c>
    </row>
    <row r="14563" spans="1:11">
      <c r="A14563" s="683" t="s">
        <v>4214</v>
      </c>
      <c r="C14563" s="682" t="s">
        <v>4215</v>
      </c>
    </row>
    <row r="14564" spans="1:11">
      <c r="A14564" s="683" t="s">
        <v>4216</v>
      </c>
      <c r="C14564" s="682" t="s">
        <v>2967</v>
      </c>
    </row>
    <row r="14565" spans="1:11">
      <c r="A14565" s="683" t="s">
        <v>3893</v>
      </c>
      <c r="C14565" s="682" t="s">
        <v>2169</v>
      </c>
    </row>
    <row r="14566" spans="1:11">
      <c r="A14566" s="683" t="s">
        <v>4218</v>
      </c>
      <c r="C14566" s="682" t="s">
        <v>4245</v>
      </c>
    </row>
    <row r="14568" spans="1:11">
      <c r="A14568" s="684" t="s">
        <v>4220</v>
      </c>
      <c r="B14568" s="685" t="s">
        <v>4221</v>
      </c>
      <c r="C14568" s="685" t="s">
        <v>4222</v>
      </c>
      <c r="D14568" s="685" t="s">
        <v>4223</v>
      </c>
      <c r="E14568" s="685" t="s">
        <v>4224</v>
      </c>
      <c r="F14568" s="685" t="s">
        <v>4225</v>
      </c>
      <c r="G14568" s="685" t="s">
        <v>4226</v>
      </c>
      <c r="H14568" s="685" t="s">
        <v>4227</v>
      </c>
      <c r="I14568" s="685" t="s">
        <v>4228</v>
      </c>
      <c r="J14568" s="685" t="s">
        <v>4229</v>
      </c>
      <c r="K14568" s="685" t="s">
        <v>4230</v>
      </c>
    </row>
    <row r="14569" spans="1:11">
      <c r="A14569" s="686" t="s">
        <v>4231</v>
      </c>
      <c r="B14569" s="687" t="s">
        <v>4232</v>
      </c>
      <c r="C14569" s="687" t="s">
        <v>4232</v>
      </c>
      <c r="D14569" s="687" t="s">
        <v>4232</v>
      </c>
      <c r="E14569" s="687" t="s">
        <v>4232</v>
      </c>
      <c r="F14569" s="687" t="s">
        <v>4232</v>
      </c>
      <c r="G14569" s="687" t="s">
        <v>4232</v>
      </c>
      <c r="H14569" s="687" t="s">
        <v>4232</v>
      </c>
      <c r="I14569" s="687" t="s">
        <v>4232</v>
      </c>
      <c r="J14569" s="687" t="s">
        <v>4232</v>
      </c>
      <c r="K14569" s="687" t="s">
        <v>4232</v>
      </c>
    </row>
    <row r="14570" spans="1:11">
      <c r="A14570" s="688" t="s">
        <v>4064</v>
      </c>
      <c r="B14570" s="691">
        <v>72.7</v>
      </c>
      <c r="C14570" s="691">
        <v>72.7</v>
      </c>
      <c r="D14570" s="691">
        <v>72.7</v>
      </c>
      <c r="E14570" s="691">
        <v>72.8</v>
      </c>
      <c r="F14570" s="691">
        <v>72.8</v>
      </c>
      <c r="G14570" s="691">
        <v>72.900000000000006</v>
      </c>
      <c r="H14570" s="691">
        <v>73.099999999999994</v>
      </c>
      <c r="I14570" s="691">
        <v>72.400000000000006</v>
      </c>
      <c r="J14570" s="691">
        <v>72.099999999999994</v>
      </c>
      <c r="K14570" s="691">
        <v>72.599999999999994</v>
      </c>
    </row>
    <row r="14571" spans="1:11">
      <c r="A14571" s="688" t="s">
        <v>4065</v>
      </c>
      <c r="B14571" s="689">
        <v>72.7</v>
      </c>
      <c r="C14571" s="693">
        <v>73</v>
      </c>
      <c r="D14571" s="689">
        <v>72.599999999999994</v>
      </c>
      <c r="E14571" s="693">
        <v>73</v>
      </c>
      <c r="F14571" s="689">
        <v>72.900000000000006</v>
      </c>
      <c r="G14571" s="693">
        <v>73</v>
      </c>
      <c r="H14571" s="690" t="s">
        <v>4060</v>
      </c>
      <c r="I14571" s="690" t="s">
        <v>4060</v>
      </c>
      <c r="J14571" s="690" t="s">
        <v>4060</v>
      </c>
      <c r="K14571" s="690" t="s">
        <v>4060</v>
      </c>
    </row>
    <row r="14572" spans="1:11">
      <c r="A14572" s="688" t="s">
        <v>4063</v>
      </c>
      <c r="B14572" s="691">
        <v>72.7</v>
      </c>
      <c r="C14572" s="615">
        <v>73</v>
      </c>
      <c r="D14572" s="691">
        <v>72.599999999999994</v>
      </c>
      <c r="E14572" s="615">
        <v>73</v>
      </c>
      <c r="F14572" s="691">
        <v>72.900000000000006</v>
      </c>
      <c r="G14572" s="615">
        <v>73</v>
      </c>
      <c r="H14572" s="692" t="s">
        <v>4060</v>
      </c>
      <c r="I14572" s="692" t="s">
        <v>4060</v>
      </c>
      <c r="J14572" s="692" t="s">
        <v>4060</v>
      </c>
      <c r="K14572" s="692" t="s">
        <v>4060</v>
      </c>
    </row>
    <row r="14573" spans="1:11">
      <c r="A14573" s="688" t="s">
        <v>4069</v>
      </c>
      <c r="B14573" s="690" t="s">
        <v>4060</v>
      </c>
      <c r="C14573" s="689">
        <v>73.5</v>
      </c>
      <c r="D14573" s="689">
        <v>73.2</v>
      </c>
      <c r="E14573" s="689">
        <v>73.599999999999994</v>
      </c>
      <c r="F14573" s="689">
        <v>73.599999999999994</v>
      </c>
      <c r="G14573" s="689">
        <v>73.7</v>
      </c>
      <c r="H14573" s="689">
        <v>73.900000000000006</v>
      </c>
      <c r="I14573" s="689">
        <v>73.3</v>
      </c>
      <c r="J14573" s="689">
        <v>73.3</v>
      </c>
      <c r="K14573" s="689">
        <v>73.3</v>
      </c>
    </row>
    <row r="14574" spans="1:11">
      <c r="A14574" s="688" t="s">
        <v>4068</v>
      </c>
      <c r="B14574" s="691">
        <v>73.599999999999994</v>
      </c>
      <c r="C14574" s="692" t="s">
        <v>4060</v>
      </c>
      <c r="D14574" s="692" t="s">
        <v>4060</v>
      </c>
      <c r="E14574" s="692" t="s">
        <v>4060</v>
      </c>
      <c r="F14574" s="692" t="s">
        <v>4060</v>
      </c>
      <c r="G14574" s="692" t="s">
        <v>4060</v>
      </c>
      <c r="H14574" s="692" t="s">
        <v>4060</v>
      </c>
      <c r="I14574" s="692" t="s">
        <v>4060</v>
      </c>
      <c r="J14574" s="692" t="s">
        <v>4060</v>
      </c>
      <c r="K14574" s="692" t="s">
        <v>4060</v>
      </c>
    </row>
    <row r="14575" spans="1:11">
      <c r="A14575" s="688" t="s">
        <v>0</v>
      </c>
      <c r="B14575" s="689">
        <v>72.599999999999994</v>
      </c>
      <c r="C14575" s="689">
        <v>72.8</v>
      </c>
      <c r="D14575" s="689">
        <v>72.5</v>
      </c>
      <c r="E14575" s="693">
        <v>73</v>
      </c>
      <c r="F14575" s="693">
        <v>73</v>
      </c>
      <c r="G14575" s="689">
        <v>73.099999999999994</v>
      </c>
      <c r="H14575" s="689">
        <v>73.400000000000006</v>
      </c>
      <c r="I14575" s="689">
        <v>72.400000000000006</v>
      </c>
      <c r="J14575" s="689">
        <v>73.400000000000006</v>
      </c>
      <c r="K14575" s="689">
        <v>73.099999999999994</v>
      </c>
    </row>
    <row r="14576" spans="1:11">
      <c r="A14576" s="688" t="s">
        <v>1</v>
      </c>
      <c r="B14576" s="691">
        <v>68.3</v>
      </c>
      <c r="C14576" s="691">
        <v>67.599999999999994</v>
      </c>
      <c r="D14576" s="691">
        <v>67.7</v>
      </c>
      <c r="E14576" s="615">
        <v>68</v>
      </c>
      <c r="F14576" s="691">
        <v>67.8</v>
      </c>
      <c r="G14576" s="615">
        <v>68</v>
      </c>
      <c r="H14576" s="691">
        <v>68.099999999999994</v>
      </c>
      <c r="I14576" s="691">
        <v>66.8</v>
      </c>
      <c r="J14576" s="691">
        <v>64.599999999999994</v>
      </c>
      <c r="K14576" s="691">
        <v>67.400000000000006</v>
      </c>
    </row>
    <row r="14577" spans="1:11">
      <c r="A14577" s="688" t="s">
        <v>2240</v>
      </c>
      <c r="B14577" s="689">
        <v>70.599999999999994</v>
      </c>
      <c r="C14577" s="693">
        <v>71</v>
      </c>
      <c r="D14577" s="689">
        <v>70.7</v>
      </c>
      <c r="E14577" s="689">
        <v>71.2</v>
      </c>
      <c r="F14577" s="689">
        <v>71.099999999999994</v>
      </c>
      <c r="G14577" s="689">
        <v>71.2</v>
      </c>
      <c r="H14577" s="689">
        <v>71.400000000000006</v>
      </c>
      <c r="I14577" s="689">
        <v>70.599999999999994</v>
      </c>
      <c r="J14577" s="689">
        <v>69.7</v>
      </c>
      <c r="K14577" s="689">
        <v>71.2</v>
      </c>
    </row>
    <row r="14578" spans="1:11">
      <c r="A14578" s="688" t="s">
        <v>2</v>
      </c>
      <c r="B14578" s="691">
        <v>71.7</v>
      </c>
      <c r="C14578" s="615">
        <v>72</v>
      </c>
      <c r="D14578" s="615">
        <v>72</v>
      </c>
      <c r="E14578" s="691">
        <v>72.099999999999994</v>
      </c>
      <c r="F14578" s="691">
        <v>72.400000000000006</v>
      </c>
      <c r="G14578" s="691">
        <v>72.3</v>
      </c>
      <c r="H14578" s="691">
        <v>72.7</v>
      </c>
      <c r="I14578" s="691">
        <v>72.8</v>
      </c>
      <c r="J14578" s="691">
        <v>72.599999999999994</v>
      </c>
      <c r="K14578" s="691">
        <v>72.5</v>
      </c>
    </row>
    <row r="14579" spans="1:11">
      <c r="A14579" s="688" t="s">
        <v>3</v>
      </c>
      <c r="B14579" s="689">
        <v>72.400000000000006</v>
      </c>
      <c r="C14579" s="689">
        <v>72.7</v>
      </c>
      <c r="D14579" s="689">
        <v>72.3</v>
      </c>
      <c r="E14579" s="689">
        <v>72.599999999999994</v>
      </c>
      <c r="F14579" s="689">
        <v>72.599999999999994</v>
      </c>
      <c r="G14579" s="689">
        <v>72.599999999999994</v>
      </c>
      <c r="H14579" s="689">
        <v>72.900000000000006</v>
      </c>
      <c r="I14579" s="689">
        <v>72.7</v>
      </c>
      <c r="J14579" s="689">
        <v>72.5</v>
      </c>
      <c r="K14579" s="689">
        <v>72.2</v>
      </c>
    </row>
    <row r="14580" spans="1:11">
      <c r="A14580" s="688" t="s">
        <v>4061</v>
      </c>
      <c r="B14580" s="691">
        <v>72.400000000000006</v>
      </c>
      <c r="C14580" s="691">
        <v>72.7</v>
      </c>
      <c r="D14580" s="691">
        <v>72.3</v>
      </c>
      <c r="E14580" s="691">
        <v>72.599999999999994</v>
      </c>
      <c r="F14580" s="691">
        <v>72.599999999999994</v>
      </c>
      <c r="G14580" s="691">
        <v>72.599999999999994</v>
      </c>
      <c r="H14580" s="691">
        <v>72.900000000000006</v>
      </c>
      <c r="I14580" s="691">
        <v>72.7</v>
      </c>
      <c r="J14580" s="691">
        <v>72.5</v>
      </c>
      <c r="K14580" s="691">
        <v>72.2</v>
      </c>
    </row>
    <row r="14581" spans="1:11">
      <c r="A14581" s="688" t="s">
        <v>4</v>
      </c>
      <c r="B14581" s="693">
        <v>71</v>
      </c>
      <c r="C14581" s="689">
        <v>70.8</v>
      </c>
      <c r="D14581" s="689">
        <v>71.2</v>
      </c>
      <c r="E14581" s="689">
        <v>71.099999999999994</v>
      </c>
      <c r="F14581" s="689">
        <v>71.599999999999994</v>
      </c>
      <c r="G14581" s="689">
        <v>71.599999999999994</v>
      </c>
      <c r="H14581" s="689">
        <v>71.900000000000006</v>
      </c>
      <c r="I14581" s="689">
        <v>71.900000000000006</v>
      </c>
      <c r="J14581" s="689">
        <v>70.5</v>
      </c>
      <c r="K14581" s="689">
        <v>71.5</v>
      </c>
    </row>
    <row r="14582" spans="1:11">
      <c r="A14582" s="688" t="s">
        <v>8</v>
      </c>
      <c r="B14582" s="691">
        <v>72.400000000000006</v>
      </c>
      <c r="C14582" s="691">
        <v>72.599999999999994</v>
      </c>
      <c r="D14582" s="691">
        <v>72.599999999999994</v>
      </c>
      <c r="E14582" s="691">
        <v>72.7</v>
      </c>
      <c r="F14582" s="691">
        <v>73.099999999999994</v>
      </c>
      <c r="G14582" s="691">
        <v>73.099999999999994</v>
      </c>
      <c r="H14582" s="691">
        <v>73.599999999999994</v>
      </c>
      <c r="I14582" s="691">
        <v>73.400000000000006</v>
      </c>
      <c r="J14582" s="691">
        <v>73.3</v>
      </c>
      <c r="K14582" s="691">
        <v>73.3</v>
      </c>
    </row>
    <row r="14583" spans="1:11">
      <c r="A14583" s="688" t="s">
        <v>7</v>
      </c>
      <c r="B14583" s="689">
        <v>73.400000000000006</v>
      </c>
      <c r="C14583" s="689">
        <v>73.099999999999994</v>
      </c>
      <c r="D14583" s="689">
        <v>72.900000000000006</v>
      </c>
      <c r="E14583" s="689">
        <v>73.099999999999994</v>
      </c>
      <c r="F14583" s="689">
        <v>73.099999999999994</v>
      </c>
      <c r="G14583" s="689">
        <v>73.599999999999994</v>
      </c>
      <c r="H14583" s="689">
        <v>73.5</v>
      </c>
      <c r="I14583" s="689">
        <v>73.099999999999994</v>
      </c>
      <c r="J14583" s="689">
        <v>72.2</v>
      </c>
      <c r="K14583" s="689">
        <v>72.7</v>
      </c>
    </row>
    <row r="14584" spans="1:11">
      <c r="A14584" s="688" t="s">
        <v>27</v>
      </c>
      <c r="B14584" s="691">
        <v>75.400000000000006</v>
      </c>
      <c r="C14584" s="691">
        <v>74.900000000000006</v>
      </c>
      <c r="D14584" s="691">
        <v>74.7</v>
      </c>
      <c r="E14584" s="691">
        <v>75.099999999999994</v>
      </c>
      <c r="F14584" s="615">
        <v>75</v>
      </c>
      <c r="G14584" s="691">
        <v>75.099999999999994</v>
      </c>
      <c r="H14584" s="691">
        <v>75.5</v>
      </c>
      <c r="I14584" s="691">
        <v>74.3</v>
      </c>
      <c r="J14584" s="691">
        <v>75.099999999999994</v>
      </c>
      <c r="K14584" s="615">
        <v>75</v>
      </c>
    </row>
    <row r="14585" spans="1:11">
      <c r="A14585" s="688" t="s">
        <v>6</v>
      </c>
      <c r="B14585" s="693">
        <v>75</v>
      </c>
      <c r="C14585" s="689">
        <v>74.8</v>
      </c>
      <c r="D14585" s="689">
        <v>74.5</v>
      </c>
      <c r="E14585" s="689">
        <v>74.7</v>
      </c>
      <c r="F14585" s="689">
        <v>74.7</v>
      </c>
      <c r="G14585" s="689">
        <v>74.900000000000006</v>
      </c>
      <c r="H14585" s="693">
        <v>75</v>
      </c>
      <c r="I14585" s="689">
        <v>74.5</v>
      </c>
      <c r="J14585" s="689">
        <v>74.599999999999994</v>
      </c>
      <c r="K14585" s="689">
        <v>74.5</v>
      </c>
    </row>
    <row r="14586" spans="1:11">
      <c r="A14586" s="688" t="s">
        <v>4058</v>
      </c>
      <c r="B14586" s="692" t="s">
        <v>4060</v>
      </c>
      <c r="C14586" s="692" t="s">
        <v>4060</v>
      </c>
      <c r="D14586" s="692" t="s">
        <v>4060</v>
      </c>
      <c r="E14586" s="692" t="s">
        <v>4060</v>
      </c>
      <c r="F14586" s="692" t="s">
        <v>4060</v>
      </c>
      <c r="G14586" s="692" t="s">
        <v>4060</v>
      </c>
      <c r="H14586" s="692" t="s">
        <v>4060</v>
      </c>
      <c r="I14586" s="692" t="s">
        <v>4060</v>
      </c>
      <c r="J14586" s="692" t="s">
        <v>4060</v>
      </c>
      <c r="K14586" s="692" t="s">
        <v>4060</v>
      </c>
    </row>
    <row r="14587" spans="1:11">
      <c r="A14587" s="688" t="s">
        <v>11</v>
      </c>
      <c r="B14587" s="689">
        <v>70.400000000000006</v>
      </c>
      <c r="C14587" s="689">
        <v>70.3</v>
      </c>
      <c r="D14587" s="689">
        <v>69.8</v>
      </c>
      <c r="E14587" s="689">
        <v>70.5</v>
      </c>
      <c r="F14587" s="689">
        <v>70.2</v>
      </c>
      <c r="G14587" s="689">
        <v>70.5</v>
      </c>
      <c r="H14587" s="689">
        <v>70.7</v>
      </c>
      <c r="I14587" s="689">
        <v>70.099999999999994</v>
      </c>
      <c r="J14587" s="689">
        <v>69.099999999999994</v>
      </c>
      <c r="K14587" s="689">
        <v>70.099999999999994</v>
      </c>
    </row>
    <row r="14588" spans="1:11">
      <c r="A14588" s="688" t="s">
        <v>10</v>
      </c>
      <c r="B14588" s="691">
        <v>74.5</v>
      </c>
      <c r="C14588" s="691">
        <v>74.3</v>
      </c>
      <c r="D14588" s="691">
        <v>73.900000000000006</v>
      </c>
      <c r="E14588" s="691">
        <v>74.5</v>
      </c>
      <c r="F14588" s="691">
        <v>74.2</v>
      </c>
      <c r="G14588" s="691">
        <v>74.5</v>
      </c>
      <c r="H14588" s="691">
        <v>74.7</v>
      </c>
      <c r="I14588" s="691">
        <v>73.8</v>
      </c>
      <c r="J14588" s="615">
        <v>74</v>
      </c>
      <c r="K14588" s="615">
        <v>74</v>
      </c>
    </row>
    <row r="14589" spans="1:11">
      <c r="A14589" s="688" t="s">
        <v>30</v>
      </c>
      <c r="B14589" s="689">
        <v>74.099999999999994</v>
      </c>
      <c r="C14589" s="689">
        <v>73.400000000000006</v>
      </c>
      <c r="D14589" s="693">
        <v>73</v>
      </c>
      <c r="E14589" s="689">
        <v>74.099999999999994</v>
      </c>
      <c r="F14589" s="689">
        <v>73.599999999999994</v>
      </c>
      <c r="G14589" s="693">
        <v>74</v>
      </c>
      <c r="H14589" s="689">
        <v>73.900000000000006</v>
      </c>
      <c r="I14589" s="689">
        <v>73.8</v>
      </c>
      <c r="J14589" s="689">
        <v>73.099999999999994</v>
      </c>
      <c r="K14589" s="689">
        <v>73.3</v>
      </c>
    </row>
    <row r="14590" spans="1:11">
      <c r="A14590" s="688" t="s">
        <v>12</v>
      </c>
      <c r="B14590" s="691">
        <v>68.400000000000006</v>
      </c>
      <c r="C14590" s="691">
        <v>68.7</v>
      </c>
      <c r="D14590" s="691">
        <v>68.7</v>
      </c>
      <c r="E14590" s="691">
        <v>68.900000000000006</v>
      </c>
      <c r="F14590" s="691">
        <v>68.900000000000006</v>
      </c>
      <c r="G14590" s="691">
        <v>68.900000000000006</v>
      </c>
      <c r="H14590" s="691">
        <v>69.400000000000006</v>
      </c>
      <c r="I14590" s="691">
        <v>69.3</v>
      </c>
      <c r="J14590" s="691">
        <v>67.3</v>
      </c>
      <c r="K14590" s="691">
        <v>68.7</v>
      </c>
    </row>
    <row r="14591" spans="1:11">
      <c r="A14591" s="688" t="s">
        <v>14</v>
      </c>
      <c r="B14591" s="693">
        <v>69</v>
      </c>
      <c r="C14591" s="689">
        <v>69.2</v>
      </c>
      <c r="D14591" s="693">
        <v>69</v>
      </c>
      <c r="E14591" s="689">
        <v>69.400000000000006</v>
      </c>
      <c r="F14591" s="689">
        <v>69.599999999999994</v>
      </c>
      <c r="G14591" s="689">
        <v>69.8</v>
      </c>
      <c r="H14591" s="689">
        <v>70.2</v>
      </c>
      <c r="I14591" s="689">
        <v>69.3</v>
      </c>
      <c r="J14591" s="689">
        <v>68.2</v>
      </c>
      <c r="K14591" s="689">
        <v>69.400000000000006</v>
      </c>
    </row>
    <row r="14592" spans="1:11">
      <c r="A14592" s="688" t="s">
        <v>15</v>
      </c>
      <c r="B14592" s="691">
        <v>73.2</v>
      </c>
      <c r="C14592" s="691">
        <v>73.900000000000006</v>
      </c>
      <c r="D14592" s="691">
        <v>73.3</v>
      </c>
      <c r="E14592" s="691">
        <v>74.099999999999994</v>
      </c>
      <c r="F14592" s="691">
        <v>73.2</v>
      </c>
      <c r="G14592" s="691">
        <v>73.7</v>
      </c>
      <c r="H14592" s="691">
        <v>74.099999999999994</v>
      </c>
      <c r="I14592" s="691">
        <v>73.8</v>
      </c>
      <c r="J14592" s="615">
        <v>74</v>
      </c>
      <c r="K14592" s="691">
        <v>74.2</v>
      </c>
    </row>
    <row r="14593" spans="1:11">
      <c r="A14593" s="688" t="s">
        <v>29</v>
      </c>
      <c r="B14593" s="689">
        <v>68.599999999999994</v>
      </c>
      <c r="C14593" s="689">
        <v>68.599999999999994</v>
      </c>
      <c r="D14593" s="689">
        <v>68.2</v>
      </c>
      <c r="E14593" s="689">
        <v>68.8</v>
      </c>
      <c r="F14593" s="689">
        <v>68.5</v>
      </c>
      <c r="G14593" s="689">
        <v>68.7</v>
      </c>
      <c r="H14593" s="689">
        <v>68.8</v>
      </c>
      <c r="I14593" s="689">
        <v>68.099999999999994</v>
      </c>
      <c r="J14593" s="689">
        <v>66.900000000000006</v>
      </c>
      <c r="K14593" s="689">
        <v>68.5</v>
      </c>
    </row>
    <row r="14594" spans="1:11">
      <c r="A14594" s="688" t="s">
        <v>16</v>
      </c>
      <c r="B14594" s="691">
        <v>73.599999999999994</v>
      </c>
      <c r="C14594" s="691">
        <v>73.400000000000006</v>
      </c>
      <c r="D14594" s="691">
        <v>73.2</v>
      </c>
      <c r="E14594" s="691">
        <v>73.400000000000006</v>
      </c>
      <c r="F14594" s="691">
        <v>73.599999999999994</v>
      </c>
      <c r="G14594" s="691">
        <v>73.5</v>
      </c>
      <c r="H14594" s="691">
        <v>73.900000000000006</v>
      </c>
      <c r="I14594" s="691">
        <v>73.5</v>
      </c>
      <c r="J14594" s="691">
        <v>73.2</v>
      </c>
      <c r="K14594" s="691">
        <v>73.599999999999994</v>
      </c>
    </row>
    <row r="14595" spans="1:11">
      <c r="A14595" s="688" t="s">
        <v>17</v>
      </c>
      <c r="B14595" s="689">
        <v>72.599999999999994</v>
      </c>
      <c r="C14595" s="689">
        <v>72.599999999999994</v>
      </c>
      <c r="D14595" s="689">
        <v>72.400000000000006</v>
      </c>
      <c r="E14595" s="689">
        <v>72.5</v>
      </c>
      <c r="F14595" s="689">
        <v>72.7</v>
      </c>
      <c r="G14595" s="689">
        <v>72.7</v>
      </c>
      <c r="H14595" s="689">
        <v>72.900000000000006</v>
      </c>
      <c r="I14595" s="689">
        <v>72.400000000000006</v>
      </c>
      <c r="J14595" s="689">
        <v>72.3</v>
      </c>
      <c r="K14595" s="689">
        <v>72.400000000000006</v>
      </c>
    </row>
    <row r="14596" spans="1:11">
      <c r="A14596" s="688" t="s">
        <v>19</v>
      </c>
      <c r="B14596" s="691">
        <v>73.099999999999994</v>
      </c>
      <c r="C14596" s="691">
        <v>73.099999999999994</v>
      </c>
      <c r="D14596" s="691">
        <v>72.900000000000006</v>
      </c>
      <c r="E14596" s="691">
        <v>73.3</v>
      </c>
      <c r="F14596" s="691">
        <v>73.2</v>
      </c>
      <c r="G14596" s="691">
        <v>73.3</v>
      </c>
      <c r="H14596" s="691">
        <v>73.5</v>
      </c>
      <c r="I14596" s="615">
        <v>73</v>
      </c>
      <c r="J14596" s="615">
        <v>73</v>
      </c>
      <c r="K14596" s="691">
        <v>73.099999999999994</v>
      </c>
    </row>
    <row r="14597" spans="1:11">
      <c r="A14597" s="688" t="s">
        <v>20</v>
      </c>
      <c r="B14597" s="689">
        <v>70.599999999999994</v>
      </c>
      <c r="C14597" s="689">
        <v>70.8</v>
      </c>
      <c r="D14597" s="689">
        <v>70.7</v>
      </c>
      <c r="E14597" s="689">
        <v>71.099999999999994</v>
      </c>
      <c r="F14597" s="689">
        <v>70.900000000000006</v>
      </c>
      <c r="G14597" s="689">
        <v>70.8</v>
      </c>
      <c r="H14597" s="689">
        <v>71.099999999999994</v>
      </c>
      <c r="I14597" s="689">
        <v>69.900000000000006</v>
      </c>
      <c r="J14597" s="689">
        <v>68.8</v>
      </c>
      <c r="K14597" s="689">
        <v>70.3</v>
      </c>
    </row>
    <row r="14598" spans="1:11">
      <c r="A14598" s="688" t="s">
        <v>21</v>
      </c>
      <c r="B14598" s="691">
        <v>73.3</v>
      </c>
      <c r="C14598" s="691">
        <v>73.599999999999994</v>
      </c>
      <c r="D14598" s="691">
        <v>73.5</v>
      </c>
      <c r="E14598" s="691">
        <v>73.599999999999994</v>
      </c>
      <c r="F14598" s="691">
        <v>73.8</v>
      </c>
      <c r="G14598" s="691">
        <v>73.900000000000006</v>
      </c>
      <c r="H14598" s="691">
        <v>74.099999999999994</v>
      </c>
      <c r="I14598" s="691">
        <v>73.5</v>
      </c>
      <c r="J14598" s="691">
        <v>73.5</v>
      </c>
      <c r="K14598" s="691">
        <v>73.7</v>
      </c>
    </row>
    <row r="14599" spans="1:11">
      <c r="A14599" s="688" t="s">
        <v>22</v>
      </c>
      <c r="B14599" s="689">
        <v>68.5</v>
      </c>
      <c r="C14599" s="689">
        <v>68.3</v>
      </c>
      <c r="D14599" s="689">
        <v>68.3</v>
      </c>
      <c r="E14599" s="689">
        <v>68.5</v>
      </c>
      <c r="F14599" s="689">
        <v>68.599999999999994</v>
      </c>
      <c r="G14599" s="689">
        <v>68.7</v>
      </c>
      <c r="H14599" s="693">
        <v>69</v>
      </c>
      <c r="I14599" s="689">
        <v>67.8</v>
      </c>
      <c r="J14599" s="689">
        <v>66.2</v>
      </c>
      <c r="K14599" s="689">
        <v>68.599999999999994</v>
      </c>
    </row>
    <row r="14600" spans="1:11">
      <c r="A14600" s="688" t="s">
        <v>26</v>
      </c>
      <c r="B14600" s="691">
        <v>72.900000000000006</v>
      </c>
      <c r="C14600" s="691">
        <v>72.900000000000006</v>
      </c>
      <c r="D14600" s="691">
        <v>72.7</v>
      </c>
      <c r="E14600" s="691">
        <v>73.099999999999994</v>
      </c>
      <c r="F14600" s="691">
        <v>72.900000000000006</v>
      </c>
      <c r="G14600" s="691">
        <v>73.2</v>
      </c>
      <c r="H14600" s="691">
        <v>73.5</v>
      </c>
      <c r="I14600" s="691">
        <v>72.599999999999994</v>
      </c>
      <c r="J14600" s="691">
        <v>72.900000000000006</v>
      </c>
      <c r="K14600" s="691">
        <v>73.099999999999994</v>
      </c>
    </row>
    <row r="14601" spans="1:11">
      <c r="A14601" s="688" t="s">
        <v>25</v>
      </c>
      <c r="B14601" s="689">
        <v>69.7</v>
      </c>
      <c r="C14601" s="693">
        <v>70</v>
      </c>
      <c r="D14601" s="689">
        <v>69.599999999999994</v>
      </c>
      <c r="E14601" s="689">
        <v>70.099999999999994</v>
      </c>
      <c r="F14601" s="693">
        <v>70</v>
      </c>
      <c r="G14601" s="689">
        <v>70.099999999999994</v>
      </c>
      <c r="H14601" s="689">
        <v>70.599999999999994</v>
      </c>
      <c r="I14601" s="689">
        <v>69.900000000000006</v>
      </c>
      <c r="J14601" s="689">
        <v>67.7</v>
      </c>
      <c r="K14601" s="689">
        <v>69.900000000000006</v>
      </c>
    </row>
    <row r="14602" spans="1:11">
      <c r="A14602" s="688" t="s">
        <v>5</v>
      </c>
      <c r="B14602" s="691">
        <v>73.3</v>
      </c>
      <c r="C14602" s="691">
        <v>73.099999999999994</v>
      </c>
      <c r="D14602" s="691">
        <v>73.3</v>
      </c>
      <c r="E14602" s="691">
        <v>73.3</v>
      </c>
      <c r="F14602" s="691">
        <v>73.5</v>
      </c>
      <c r="G14602" s="691">
        <v>73.5</v>
      </c>
      <c r="H14602" s="691">
        <v>73.7</v>
      </c>
      <c r="I14602" s="691">
        <v>73.8</v>
      </c>
      <c r="J14602" s="691">
        <v>73.7</v>
      </c>
      <c r="K14602" s="615">
        <v>73</v>
      </c>
    </row>
    <row r="14603" spans="1:11">
      <c r="A14603" s="688" t="s">
        <v>23</v>
      </c>
      <c r="B14603" s="689">
        <v>73.099999999999994</v>
      </c>
      <c r="C14603" s="689">
        <v>73.3</v>
      </c>
      <c r="D14603" s="689">
        <v>73.3</v>
      </c>
      <c r="E14603" s="689">
        <v>73.400000000000006</v>
      </c>
      <c r="F14603" s="689">
        <v>73.400000000000006</v>
      </c>
      <c r="G14603" s="689">
        <v>73.5</v>
      </c>
      <c r="H14603" s="693">
        <v>74</v>
      </c>
      <c r="I14603" s="689">
        <v>73.5</v>
      </c>
      <c r="J14603" s="693">
        <v>74</v>
      </c>
      <c r="K14603" s="693">
        <v>74</v>
      </c>
    </row>
    <row r="14604" spans="1:11">
      <c r="A14604" s="688" t="s">
        <v>4067</v>
      </c>
      <c r="B14604" s="691">
        <v>72.7</v>
      </c>
      <c r="C14604" s="615">
        <v>73</v>
      </c>
      <c r="D14604" s="691">
        <v>72.599999999999994</v>
      </c>
      <c r="E14604" s="615">
        <v>73</v>
      </c>
      <c r="F14604" s="691">
        <v>72.900000000000006</v>
      </c>
      <c r="G14604" s="615">
        <v>73</v>
      </c>
      <c r="H14604" s="692" t="s">
        <v>4060</v>
      </c>
      <c r="I14604" s="692" t="s">
        <v>4060</v>
      </c>
      <c r="J14604" s="692" t="s">
        <v>4060</v>
      </c>
      <c r="K14604" s="692" t="s">
        <v>4060</v>
      </c>
    </row>
    <row r="14605" spans="1:11">
      <c r="A14605" s="688" t="s">
        <v>4066</v>
      </c>
      <c r="B14605" s="689">
        <v>72.7</v>
      </c>
      <c r="C14605" s="693">
        <v>73</v>
      </c>
      <c r="D14605" s="689">
        <v>72.599999999999994</v>
      </c>
      <c r="E14605" s="693">
        <v>73</v>
      </c>
      <c r="F14605" s="689">
        <v>72.900000000000006</v>
      </c>
      <c r="G14605" s="693">
        <v>73</v>
      </c>
      <c r="H14605" s="690" t="s">
        <v>4060</v>
      </c>
      <c r="I14605" s="690" t="s">
        <v>4060</v>
      </c>
      <c r="J14605" s="690" t="s">
        <v>4060</v>
      </c>
      <c r="K14605" s="690" t="s">
        <v>4060</v>
      </c>
    </row>
    <row r="14606" spans="1:11">
      <c r="A14606" s="688" t="s">
        <v>4062</v>
      </c>
      <c r="B14606" s="691">
        <v>73.900000000000006</v>
      </c>
      <c r="C14606" s="615">
        <v>74</v>
      </c>
      <c r="D14606" s="691">
        <v>73.900000000000006</v>
      </c>
      <c r="E14606" s="691">
        <v>74.099999999999994</v>
      </c>
      <c r="F14606" s="691">
        <v>74.3</v>
      </c>
      <c r="G14606" s="691">
        <v>74.400000000000006</v>
      </c>
      <c r="H14606" s="691">
        <v>74.5</v>
      </c>
      <c r="I14606" s="691">
        <v>74.3</v>
      </c>
      <c r="J14606" s="691">
        <v>74.5</v>
      </c>
      <c r="K14606" s="691">
        <v>74.3</v>
      </c>
    </row>
    <row r="14607" spans="1:11">
      <c r="A14607" s="688" t="s">
        <v>9</v>
      </c>
      <c r="B14607" s="693">
        <v>73</v>
      </c>
      <c r="C14607" s="689">
        <v>73.400000000000006</v>
      </c>
      <c r="D14607" s="689">
        <v>72.8</v>
      </c>
      <c r="E14607" s="689">
        <v>73.099999999999994</v>
      </c>
      <c r="F14607" s="689">
        <v>73.5</v>
      </c>
      <c r="G14607" s="689">
        <v>73.400000000000006</v>
      </c>
      <c r="H14607" s="689">
        <v>73.599999999999994</v>
      </c>
      <c r="I14607" s="689">
        <v>73.599999999999994</v>
      </c>
      <c r="J14607" s="689">
        <v>73.8</v>
      </c>
      <c r="K14607" s="689">
        <v>72.8</v>
      </c>
    </row>
    <row r="14608" spans="1:11">
      <c r="A14608" s="688" t="s">
        <v>13</v>
      </c>
      <c r="B14608" s="691">
        <v>73.900000000000006</v>
      </c>
      <c r="C14608" s="691">
        <v>72.7</v>
      </c>
      <c r="D14608" s="691">
        <v>73.3</v>
      </c>
      <c r="E14608" s="691">
        <v>72.900000000000006</v>
      </c>
      <c r="F14608" s="691">
        <v>74.8</v>
      </c>
      <c r="G14608" s="691">
        <v>74.599999999999994</v>
      </c>
      <c r="H14608" s="691">
        <v>74.5</v>
      </c>
      <c r="I14608" s="691">
        <v>73.599999999999994</v>
      </c>
      <c r="J14608" s="691">
        <v>75.099999999999994</v>
      </c>
      <c r="K14608" s="691">
        <v>74.2</v>
      </c>
    </row>
    <row r="14609" spans="1:11">
      <c r="A14609" s="688" t="s">
        <v>18</v>
      </c>
      <c r="B14609" s="693">
        <v>73</v>
      </c>
      <c r="C14609" s="689">
        <v>73.3</v>
      </c>
      <c r="D14609" s="689">
        <v>73.400000000000006</v>
      </c>
      <c r="E14609" s="689">
        <v>73.400000000000006</v>
      </c>
      <c r="F14609" s="689">
        <v>73.5</v>
      </c>
      <c r="G14609" s="689">
        <v>73.7</v>
      </c>
      <c r="H14609" s="689">
        <v>73.900000000000006</v>
      </c>
      <c r="I14609" s="689">
        <v>74.099999999999994</v>
      </c>
      <c r="J14609" s="689">
        <v>73.900000000000006</v>
      </c>
      <c r="K14609" s="689">
        <v>73.5</v>
      </c>
    </row>
    <row r="14610" spans="1:11">
      <c r="A14610" s="688" t="s">
        <v>24</v>
      </c>
      <c r="B14610" s="691">
        <v>74.400000000000006</v>
      </c>
      <c r="C14610" s="691">
        <v>74.5</v>
      </c>
      <c r="D14610" s="691">
        <v>74.3</v>
      </c>
      <c r="E14610" s="691">
        <v>74.599999999999994</v>
      </c>
      <c r="F14610" s="691">
        <v>74.7</v>
      </c>
      <c r="G14610" s="691">
        <v>74.8</v>
      </c>
      <c r="H14610" s="691">
        <v>74.900000000000006</v>
      </c>
      <c r="I14610" s="691">
        <v>74.400000000000006</v>
      </c>
      <c r="J14610" s="691">
        <v>74.900000000000006</v>
      </c>
      <c r="K14610" s="691">
        <v>74.7</v>
      </c>
    </row>
    <row r="14611" spans="1:11">
      <c r="A14611" s="688" t="s">
        <v>4059</v>
      </c>
      <c r="B14611" s="689">
        <v>72.3</v>
      </c>
      <c r="C14611" s="689">
        <v>72.599999999999994</v>
      </c>
      <c r="D14611" s="689">
        <v>72.2</v>
      </c>
      <c r="E14611" s="689">
        <v>72.400000000000006</v>
      </c>
      <c r="F14611" s="689">
        <v>72.400000000000006</v>
      </c>
      <c r="G14611" s="689">
        <v>72.400000000000006</v>
      </c>
      <c r="H14611" s="690" t="s">
        <v>4060</v>
      </c>
      <c r="I14611" s="690" t="s">
        <v>4060</v>
      </c>
      <c r="J14611" s="690" t="s">
        <v>4060</v>
      </c>
      <c r="K14611" s="690" t="s">
        <v>4060</v>
      </c>
    </row>
    <row r="14612" spans="1:11">
      <c r="A14612" s="688" t="s">
        <v>2324</v>
      </c>
      <c r="B14612" s="691">
        <v>68.3</v>
      </c>
      <c r="C14612" s="691">
        <v>68.3</v>
      </c>
      <c r="D14612" s="691">
        <v>67.900000000000006</v>
      </c>
      <c r="E14612" s="691">
        <v>68.3</v>
      </c>
      <c r="F14612" s="691">
        <v>68.5</v>
      </c>
      <c r="G14612" s="691">
        <v>68.5</v>
      </c>
      <c r="H14612" s="691">
        <v>68.8</v>
      </c>
      <c r="I14612" s="691">
        <v>68.099999999999994</v>
      </c>
      <c r="J14612" s="691">
        <v>66.2</v>
      </c>
      <c r="K14612" s="692" t="s">
        <v>4060</v>
      </c>
    </row>
    <row r="14613" spans="1:11">
      <c r="A14613" s="688" t="s">
        <v>2322</v>
      </c>
      <c r="B14613" s="690" t="s">
        <v>4060</v>
      </c>
      <c r="C14613" s="690" t="s">
        <v>4060</v>
      </c>
      <c r="D14613" s="690" t="s">
        <v>4060</v>
      </c>
      <c r="E14613" s="690" t="s">
        <v>4060</v>
      </c>
      <c r="F14613" s="690" t="s">
        <v>4060</v>
      </c>
      <c r="G14613" s="690" t="s">
        <v>4060</v>
      </c>
      <c r="H14613" s="690" t="s">
        <v>4060</v>
      </c>
      <c r="I14613" s="690" t="s">
        <v>4060</v>
      </c>
      <c r="J14613" s="690" t="s">
        <v>4060</v>
      </c>
      <c r="K14613" s="690" t="s">
        <v>4060</v>
      </c>
    </row>
    <row r="14614" spans="1:11">
      <c r="A14614" s="688" t="s">
        <v>2328</v>
      </c>
      <c r="B14614" s="691">
        <v>67.400000000000006</v>
      </c>
      <c r="C14614" s="691">
        <v>67.400000000000006</v>
      </c>
      <c r="D14614" s="691">
        <v>67.2</v>
      </c>
      <c r="E14614" s="691">
        <v>67.599999999999994</v>
      </c>
      <c r="F14614" s="691">
        <v>67.8</v>
      </c>
      <c r="G14614" s="691">
        <v>68.2</v>
      </c>
      <c r="H14614" s="691">
        <v>68.099999999999994</v>
      </c>
      <c r="I14614" s="691">
        <v>66.3</v>
      </c>
      <c r="J14614" s="691">
        <v>64.900000000000006</v>
      </c>
      <c r="K14614" s="692" t="s">
        <v>4060</v>
      </c>
    </row>
    <row r="14615" spans="1:11">
      <c r="A14615" s="688" t="s">
        <v>2496</v>
      </c>
      <c r="B14615" s="690" t="s">
        <v>4060</v>
      </c>
      <c r="C14615" s="689">
        <v>68.2</v>
      </c>
      <c r="D14615" s="689">
        <v>67.2</v>
      </c>
      <c r="E14615" s="693">
        <v>67</v>
      </c>
      <c r="F14615" s="689">
        <v>67.599999999999994</v>
      </c>
      <c r="G14615" s="693">
        <v>68</v>
      </c>
      <c r="H14615" s="693">
        <v>68</v>
      </c>
      <c r="I14615" s="690" t="s">
        <v>4060</v>
      </c>
      <c r="J14615" s="690" t="s">
        <v>4060</v>
      </c>
      <c r="K14615" s="689">
        <v>67.900000000000006</v>
      </c>
    </row>
    <row r="14616" spans="1:11">
      <c r="A14616" s="688" t="s">
        <v>2269</v>
      </c>
      <c r="B14616" s="691">
        <v>69.900000000000006</v>
      </c>
      <c r="C14616" s="615">
        <v>70</v>
      </c>
      <c r="D14616" s="691">
        <v>69.400000000000006</v>
      </c>
      <c r="E14616" s="615">
        <v>70</v>
      </c>
      <c r="F14616" s="691">
        <v>69.8</v>
      </c>
      <c r="G14616" s="691">
        <v>70.3</v>
      </c>
      <c r="H14616" s="691">
        <v>70.599999999999994</v>
      </c>
      <c r="I14616" s="691">
        <v>69.5</v>
      </c>
      <c r="J14616" s="691">
        <v>67.3</v>
      </c>
      <c r="K14616" s="691">
        <v>70.400000000000006</v>
      </c>
    </row>
    <row r="14617" spans="1:11">
      <c r="A14617" s="688" t="s">
        <v>2349</v>
      </c>
      <c r="B14617" s="689">
        <v>67.400000000000006</v>
      </c>
      <c r="C14617" s="689">
        <v>67.5</v>
      </c>
      <c r="D14617" s="689">
        <v>67.400000000000006</v>
      </c>
      <c r="E14617" s="689">
        <v>67.7</v>
      </c>
      <c r="F14617" s="689">
        <v>67.599999999999994</v>
      </c>
      <c r="G14617" s="689">
        <v>67.900000000000006</v>
      </c>
      <c r="H14617" s="689">
        <v>68.099999999999994</v>
      </c>
      <c r="I14617" s="689">
        <v>66.900000000000006</v>
      </c>
      <c r="J14617" s="689">
        <v>65.099999999999994</v>
      </c>
      <c r="K14617" s="689">
        <v>67.2</v>
      </c>
    </row>
    <row r="14618" spans="1:11">
      <c r="A14618" s="688" t="s">
        <v>2355</v>
      </c>
      <c r="B14618" s="691">
        <v>71.3</v>
      </c>
      <c r="C14618" s="691">
        <v>71.099999999999994</v>
      </c>
      <c r="D14618" s="691">
        <v>71.099999999999994</v>
      </c>
      <c r="E14618" s="615">
        <v>71</v>
      </c>
      <c r="F14618" s="691">
        <v>71.2</v>
      </c>
      <c r="G14618" s="691">
        <v>71.599999999999994</v>
      </c>
      <c r="H14618" s="691">
        <v>71.7</v>
      </c>
      <c r="I14618" s="692" t="s">
        <v>4060</v>
      </c>
      <c r="J14618" s="692" t="s">
        <v>4060</v>
      </c>
      <c r="K14618" s="692" t="s">
        <v>4060</v>
      </c>
    </row>
    <row r="14619" spans="1:11">
      <c r="A14619" s="688" t="s">
        <v>2357</v>
      </c>
      <c r="B14619" s="690" t="s">
        <v>4060</v>
      </c>
      <c r="C14619" s="689">
        <v>66.400000000000006</v>
      </c>
      <c r="D14619" s="693">
        <v>67</v>
      </c>
      <c r="E14619" s="689">
        <v>67.3</v>
      </c>
      <c r="F14619" s="689">
        <v>67.599999999999994</v>
      </c>
      <c r="G14619" s="689">
        <v>67.599999999999994</v>
      </c>
      <c r="H14619" s="689">
        <v>67.900000000000006</v>
      </c>
      <c r="I14619" s="690" t="s">
        <v>4060</v>
      </c>
      <c r="J14619" s="690" t="s">
        <v>4060</v>
      </c>
      <c r="K14619" s="690" t="s">
        <v>4060</v>
      </c>
    </row>
    <row r="14620" spans="1:11">
      <c r="A14620" s="688" t="s">
        <v>4070</v>
      </c>
      <c r="B14620" s="692" t="s">
        <v>4060</v>
      </c>
      <c r="C14620" s="692" t="s">
        <v>4060</v>
      </c>
      <c r="D14620" s="692" t="s">
        <v>4060</v>
      </c>
      <c r="E14620" s="691">
        <v>71.099999999999994</v>
      </c>
      <c r="F14620" s="692" t="s">
        <v>4060</v>
      </c>
      <c r="G14620" s="692" t="s">
        <v>4060</v>
      </c>
      <c r="H14620" s="692" t="s">
        <v>4060</v>
      </c>
      <c r="I14620" s="692" t="s">
        <v>4060</v>
      </c>
      <c r="J14620" s="692" t="s">
        <v>4060</v>
      </c>
      <c r="K14620" s="692" t="s">
        <v>4060</v>
      </c>
    </row>
    <row r="14621" spans="1:11">
      <c r="A14621" s="688" t="s">
        <v>2491</v>
      </c>
      <c r="B14621" s="689">
        <v>67.400000000000006</v>
      </c>
      <c r="C14621" s="689">
        <v>67.900000000000006</v>
      </c>
      <c r="D14621" s="689">
        <v>68.3</v>
      </c>
      <c r="E14621" s="689">
        <v>68.5</v>
      </c>
      <c r="F14621" s="689">
        <v>68.7</v>
      </c>
      <c r="G14621" s="689">
        <v>68.7</v>
      </c>
      <c r="H14621" s="690" t="s">
        <v>4060</v>
      </c>
      <c r="I14621" s="690" t="s">
        <v>4060</v>
      </c>
      <c r="J14621" s="690" t="s">
        <v>4060</v>
      </c>
      <c r="K14621" s="690" t="s">
        <v>4060</v>
      </c>
    </row>
    <row r="14622" spans="1:11">
      <c r="A14622" s="688" t="s">
        <v>2343</v>
      </c>
      <c r="B14622" s="692" t="s">
        <v>4060</v>
      </c>
      <c r="C14622" s="692" t="s">
        <v>4060</v>
      </c>
      <c r="D14622" s="692" t="s">
        <v>4060</v>
      </c>
      <c r="E14622" s="692" t="s">
        <v>4060</v>
      </c>
      <c r="F14622" s="692" t="s">
        <v>4060</v>
      </c>
      <c r="G14622" s="692" t="s">
        <v>4060</v>
      </c>
      <c r="H14622" s="692" t="s">
        <v>4060</v>
      </c>
      <c r="I14622" s="692" t="s">
        <v>4060</v>
      </c>
      <c r="J14622" s="692" t="s">
        <v>4060</v>
      </c>
      <c r="K14622" s="692" t="s">
        <v>4060</v>
      </c>
    </row>
    <row r="14623" spans="1:11">
      <c r="A14623" s="688" t="s">
        <v>4071</v>
      </c>
      <c r="B14623" s="690" t="s">
        <v>4060</v>
      </c>
      <c r="C14623" s="690" t="s">
        <v>4060</v>
      </c>
      <c r="D14623" s="690" t="s">
        <v>4060</v>
      </c>
      <c r="E14623" s="690" t="s">
        <v>4060</v>
      </c>
      <c r="F14623" s="690" t="s">
        <v>4060</v>
      </c>
      <c r="G14623" s="690" t="s">
        <v>4060</v>
      </c>
      <c r="H14623" s="690" t="s">
        <v>4060</v>
      </c>
      <c r="I14623" s="690" t="s">
        <v>4060</v>
      </c>
      <c r="J14623" s="690" t="s">
        <v>4060</v>
      </c>
      <c r="K14623" s="690" t="s">
        <v>4060</v>
      </c>
    </row>
    <row r="14624" spans="1:11">
      <c r="A14624" s="688" t="s">
        <v>2489</v>
      </c>
      <c r="B14624" s="692" t="s">
        <v>4060</v>
      </c>
      <c r="C14624" s="692" t="s">
        <v>4060</v>
      </c>
      <c r="D14624" s="615">
        <v>68</v>
      </c>
      <c r="E14624" s="691">
        <v>68.099999999999994</v>
      </c>
      <c r="F14624" s="691">
        <v>68.599999999999994</v>
      </c>
      <c r="G14624" s="691">
        <v>69.400000000000006</v>
      </c>
      <c r="H14624" s="691">
        <v>69.3</v>
      </c>
      <c r="I14624" s="692" t="s">
        <v>4060</v>
      </c>
      <c r="J14624" s="692" t="s">
        <v>4060</v>
      </c>
      <c r="K14624" s="692" t="s">
        <v>4060</v>
      </c>
    </row>
    <row r="14625" spans="1:11">
      <c r="A14625" s="688" t="s">
        <v>2490</v>
      </c>
      <c r="B14625" s="689">
        <v>67.2</v>
      </c>
      <c r="C14625" s="689">
        <v>67.3</v>
      </c>
      <c r="D14625" s="689">
        <v>67.7</v>
      </c>
      <c r="E14625" s="690" t="s">
        <v>4060</v>
      </c>
      <c r="F14625" s="689">
        <v>67.900000000000006</v>
      </c>
      <c r="G14625" s="689">
        <v>68.3</v>
      </c>
      <c r="H14625" s="689">
        <v>68.900000000000006</v>
      </c>
      <c r="I14625" s="690" t="s">
        <v>4060</v>
      </c>
      <c r="J14625" s="690" t="s">
        <v>4060</v>
      </c>
      <c r="K14625" s="690" t="s">
        <v>4060</v>
      </c>
    </row>
    <row r="14627" spans="1:11">
      <c r="A14627" s="683" t="s">
        <v>4233</v>
      </c>
    </row>
    <row r="14628" spans="1:11">
      <c r="A14628" s="683" t="s">
        <v>4060</v>
      </c>
      <c r="B14628" s="682" t="s">
        <v>4234</v>
      </c>
    </row>
    <row r="14630" spans="1:11">
      <c r="A14630" s="682" t="s">
        <v>4332</v>
      </c>
    </row>
    <row r="14631" spans="1:11">
      <c r="A14631" s="682" t="s">
        <v>4210</v>
      </c>
      <c r="B14631" s="683" t="s">
        <v>4211</v>
      </c>
    </row>
    <row r="14632" spans="1:11">
      <c r="A14632" s="682" t="s">
        <v>4212</v>
      </c>
      <c r="B14632" s="682" t="s">
        <v>4213</v>
      </c>
    </row>
    <row r="14634" spans="1:11">
      <c r="A14634" s="683" t="s">
        <v>4214</v>
      </c>
      <c r="C14634" s="682" t="s">
        <v>4215</v>
      </c>
    </row>
    <row r="14635" spans="1:11">
      <c r="A14635" s="683" t="s">
        <v>4216</v>
      </c>
      <c r="C14635" s="682" t="s">
        <v>2967</v>
      </c>
    </row>
    <row r="14636" spans="1:11">
      <c r="A14636" s="683" t="s">
        <v>3893</v>
      </c>
      <c r="C14636" s="682" t="s">
        <v>2169</v>
      </c>
    </row>
    <row r="14637" spans="1:11">
      <c r="A14637" s="683" t="s">
        <v>4218</v>
      </c>
      <c r="C14637" s="682" t="s">
        <v>4246</v>
      </c>
    </row>
    <row r="14639" spans="1:11">
      <c r="A14639" s="684" t="s">
        <v>4220</v>
      </c>
      <c r="B14639" s="685" t="s">
        <v>4221</v>
      </c>
      <c r="C14639" s="685" t="s">
        <v>4222</v>
      </c>
      <c r="D14639" s="685" t="s">
        <v>4223</v>
      </c>
      <c r="E14639" s="685" t="s">
        <v>4224</v>
      </c>
      <c r="F14639" s="685" t="s">
        <v>4225</v>
      </c>
      <c r="G14639" s="685" t="s">
        <v>4226</v>
      </c>
      <c r="H14639" s="685" t="s">
        <v>4227</v>
      </c>
      <c r="I14639" s="685" t="s">
        <v>4228</v>
      </c>
      <c r="J14639" s="685" t="s">
        <v>4229</v>
      </c>
      <c r="K14639" s="685" t="s">
        <v>4230</v>
      </c>
    </row>
    <row r="14640" spans="1:11">
      <c r="A14640" s="686" t="s">
        <v>4231</v>
      </c>
      <c r="B14640" s="687" t="s">
        <v>4232</v>
      </c>
      <c r="C14640" s="687" t="s">
        <v>4232</v>
      </c>
      <c r="D14640" s="687" t="s">
        <v>4232</v>
      </c>
      <c r="E14640" s="687" t="s">
        <v>4232</v>
      </c>
      <c r="F14640" s="687" t="s">
        <v>4232</v>
      </c>
      <c r="G14640" s="687" t="s">
        <v>4232</v>
      </c>
      <c r="H14640" s="687" t="s">
        <v>4232</v>
      </c>
      <c r="I14640" s="687" t="s">
        <v>4232</v>
      </c>
      <c r="J14640" s="687" t="s">
        <v>4232</v>
      </c>
      <c r="K14640" s="687" t="s">
        <v>4232</v>
      </c>
    </row>
    <row r="14641" spans="1:11">
      <c r="A14641" s="688" t="s">
        <v>4064</v>
      </c>
      <c r="B14641" s="689">
        <v>71.7</v>
      </c>
      <c r="C14641" s="689">
        <v>71.7</v>
      </c>
      <c r="D14641" s="689">
        <v>71.7</v>
      </c>
      <c r="E14641" s="689">
        <v>71.8</v>
      </c>
      <c r="F14641" s="689">
        <v>71.8</v>
      </c>
      <c r="G14641" s="689">
        <v>71.900000000000006</v>
      </c>
      <c r="H14641" s="689">
        <v>72.099999999999994</v>
      </c>
      <c r="I14641" s="689">
        <v>71.400000000000006</v>
      </c>
      <c r="J14641" s="689">
        <v>71.099999999999994</v>
      </c>
      <c r="K14641" s="689">
        <v>71.599999999999994</v>
      </c>
    </row>
    <row r="14642" spans="1:11">
      <c r="A14642" s="688" t="s">
        <v>4065</v>
      </c>
      <c r="B14642" s="691">
        <v>71.7</v>
      </c>
      <c r="C14642" s="615">
        <v>72</v>
      </c>
      <c r="D14642" s="691">
        <v>71.599999999999994</v>
      </c>
      <c r="E14642" s="615">
        <v>72</v>
      </c>
      <c r="F14642" s="691">
        <v>71.900000000000006</v>
      </c>
      <c r="G14642" s="615">
        <v>72</v>
      </c>
      <c r="H14642" s="692" t="s">
        <v>4060</v>
      </c>
      <c r="I14642" s="692" t="s">
        <v>4060</v>
      </c>
      <c r="J14642" s="692" t="s">
        <v>4060</v>
      </c>
      <c r="K14642" s="692" t="s">
        <v>4060</v>
      </c>
    </row>
    <row r="14643" spans="1:11">
      <c r="A14643" s="688" t="s">
        <v>4063</v>
      </c>
      <c r="B14643" s="689">
        <v>71.7</v>
      </c>
      <c r="C14643" s="693">
        <v>72</v>
      </c>
      <c r="D14643" s="689">
        <v>71.599999999999994</v>
      </c>
      <c r="E14643" s="693">
        <v>72</v>
      </c>
      <c r="F14643" s="689">
        <v>71.900000000000006</v>
      </c>
      <c r="G14643" s="693">
        <v>72</v>
      </c>
      <c r="H14643" s="690" t="s">
        <v>4060</v>
      </c>
      <c r="I14643" s="690" t="s">
        <v>4060</v>
      </c>
      <c r="J14643" s="690" t="s">
        <v>4060</v>
      </c>
      <c r="K14643" s="690" t="s">
        <v>4060</v>
      </c>
    </row>
    <row r="14644" spans="1:11">
      <c r="A14644" s="688" t="s">
        <v>4069</v>
      </c>
      <c r="B14644" s="692" t="s">
        <v>4060</v>
      </c>
      <c r="C14644" s="691">
        <v>72.5</v>
      </c>
      <c r="D14644" s="691">
        <v>72.2</v>
      </c>
      <c r="E14644" s="691">
        <v>72.599999999999994</v>
      </c>
      <c r="F14644" s="691">
        <v>72.599999999999994</v>
      </c>
      <c r="G14644" s="691">
        <v>72.7</v>
      </c>
      <c r="H14644" s="691">
        <v>72.900000000000006</v>
      </c>
      <c r="I14644" s="691">
        <v>72.3</v>
      </c>
      <c r="J14644" s="691">
        <v>72.3</v>
      </c>
      <c r="K14644" s="691">
        <v>72.3</v>
      </c>
    </row>
    <row r="14645" spans="1:11">
      <c r="A14645" s="688" t="s">
        <v>4068</v>
      </c>
      <c r="B14645" s="689">
        <v>72.599999999999994</v>
      </c>
      <c r="C14645" s="690" t="s">
        <v>4060</v>
      </c>
      <c r="D14645" s="690" t="s">
        <v>4060</v>
      </c>
      <c r="E14645" s="690" t="s">
        <v>4060</v>
      </c>
      <c r="F14645" s="690" t="s">
        <v>4060</v>
      </c>
      <c r="G14645" s="690" t="s">
        <v>4060</v>
      </c>
      <c r="H14645" s="690" t="s">
        <v>4060</v>
      </c>
      <c r="I14645" s="690" t="s">
        <v>4060</v>
      </c>
      <c r="J14645" s="690" t="s">
        <v>4060</v>
      </c>
      <c r="K14645" s="690" t="s">
        <v>4060</v>
      </c>
    </row>
    <row r="14646" spans="1:11">
      <c r="A14646" s="688" t="s">
        <v>0</v>
      </c>
      <c r="B14646" s="691">
        <v>71.599999999999994</v>
      </c>
      <c r="C14646" s="691">
        <v>71.8</v>
      </c>
      <c r="D14646" s="691">
        <v>71.5</v>
      </c>
      <c r="E14646" s="615">
        <v>72</v>
      </c>
      <c r="F14646" s="615">
        <v>72</v>
      </c>
      <c r="G14646" s="691">
        <v>72.099999999999994</v>
      </c>
      <c r="H14646" s="691">
        <v>72.400000000000006</v>
      </c>
      <c r="I14646" s="691">
        <v>71.400000000000006</v>
      </c>
      <c r="J14646" s="691">
        <v>72.400000000000006</v>
      </c>
      <c r="K14646" s="691">
        <v>72.099999999999994</v>
      </c>
    </row>
    <row r="14647" spans="1:11">
      <c r="A14647" s="688" t="s">
        <v>1</v>
      </c>
      <c r="B14647" s="689">
        <v>67.3</v>
      </c>
      <c r="C14647" s="689">
        <v>66.7</v>
      </c>
      <c r="D14647" s="689">
        <v>66.7</v>
      </c>
      <c r="E14647" s="693">
        <v>67</v>
      </c>
      <c r="F14647" s="689">
        <v>66.8</v>
      </c>
      <c r="G14647" s="693">
        <v>67</v>
      </c>
      <c r="H14647" s="689">
        <v>67.2</v>
      </c>
      <c r="I14647" s="689">
        <v>65.8</v>
      </c>
      <c r="J14647" s="689">
        <v>63.6</v>
      </c>
      <c r="K14647" s="689">
        <v>66.400000000000006</v>
      </c>
    </row>
    <row r="14648" spans="1:11">
      <c r="A14648" s="688" t="s">
        <v>2240</v>
      </c>
      <c r="B14648" s="691">
        <v>69.599999999999994</v>
      </c>
      <c r="C14648" s="615">
        <v>70</v>
      </c>
      <c r="D14648" s="691">
        <v>69.7</v>
      </c>
      <c r="E14648" s="691">
        <v>70.2</v>
      </c>
      <c r="F14648" s="691">
        <v>70.099999999999994</v>
      </c>
      <c r="G14648" s="691">
        <v>70.2</v>
      </c>
      <c r="H14648" s="691">
        <v>70.400000000000006</v>
      </c>
      <c r="I14648" s="691">
        <v>69.599999999999994</v>
      </c>
      <c r="J14648" s="691">
        <v>68.7</v>
      </c>
      <c r="K14648" s="691">
        <v>70.2</v>
      </c>
    </row>
    <row r="14649" spans="1:11">
      <c r="A14649" s="688" t="s">
        <v>2</v>
      </c>
      <c r="B14649" s="689">
        <v>70.7</v>
      </c>
      <c r="C14649" s="693">
        <v>71</v>
      </c>
      <c r="D14649" s="693">
        <v>71</v>
      </c>
      <c r="E14649" s="689">
        <v>71.099999999999994</v>
      </c>
      <c r="F14649" s="689">
        <v>71.400000000000006</v>
      </c>
      <c r="G14649" s="689">
        <v>71.3</v>
      </c>
      <c r="H14649" s="689">
        <v>71.7</v>
      </c>
      <c r="I14649" s="689">
        <v>71.8</v>
      </c>
      <c r="J14649" s="689">
        <v>71.599999999999994</v>
      </c>
      <c r="K14649" s="689">
        <v>71.5</v>
      </c>
    </row>
    <row r="14650" spans="1:11">
      <c r="A14650" s="688" t="s">
        <v>3</v>
      </c>
      <c r="B14650" s="691">
        <v>71.400000000000006</v>
      </c>
      <c r="C14650" s="691">
        <v>71.7</v>
      </c>
      <c r="D14650" s="691">
        <v>71.3</v>
      </c>
      <c r="E14650" s="691">
        <v>71.599999999999994</v>
      </c>
      <c r="F14650" s="691">
        <v>71.599999999999994</v>
      </c>
      <c r="G14650" s="691">
        <v>71.599999999999994</v>
      </c>
      <c r="H14650" s="691">
        <v>71.900000000000006</v>
      </c>
      <c r="I14650" s="691">
        <v>71.7</v>
      </c>
      <c r="J14650" s="691">
        <v>71.5</v>
      </c>
      <c r="K14650" s="691">
        <v>71.2</v>
      </c>
    </row>
    <row r="14651" spans="1:11">
      <c r="A14651" s="688" t="s">
        <v>4061</v>
      </c>
      <c r="B14651" s="689">
        <v>71.400000000000006</v>
      </c>
      <c r="C14651" s="689">
        <v>71.7</v>
      </c>
      <c r="D14651" s="689">
        <v>71.3</v>
      </c>
      <c r="E14651" s="689">
        <v>71.599999999999994</v>
      </c>
      <c r="F14651" s="689">
        <v>71.599999999999994</v>
      </c>
      <c r="G14651" s="689">
        <v>71.599999999999994</v>
      </c>
      <c r="H14651" s="689">
        <v>71.900000000000006</v>
      </c>
      <c r="I14651" s="689">
        <v>71.7</v>
      </c>
      <c r="J14651" s="689">
        <v>71.5</v>
      </c>
      <c r="K14651" s="689">
        <v>71.2</v>
      </c>
    </row>
    <row r="14652" spans="1:11">
      <c r="A14652" s="688" t="s">
        <v>4</v>
      </c>
      <c r="B14652" s="615">
        <v>70</v>
      </c>
      <c r="C14652" s="691">
        <v>69.8</v>
      </c>
      <c r="D14652" s="691">
        <v>70.2</v>
      </c>
      <c r="E14652" s="691">
        <v>70.099999999999994</v>
      </c>
      <c r="F14652" s="691">
        <v>70.599999999999994</v>
      </c>
      <c r="G14652" s="691">
        <v>70.599999999999994</v>
      </c>
      <c r="H14652" s="691">
        <v>70.900000000000006</v>
      </c>
      <c r="I14652" s="691">
        <v>70.900000000000006</v>
      </c>
      <c r="J14652" s="691">
        <v>69.5</v>
      </c>
      <c r="K14652" s="691">
        <v>70.5</v>
      </c>
    </row>
    <row r="14653" spans="1:11">
      <c r="A14653" s="688" t="s">
        <v>8</v>
      </c>
      <c r="B14653" s="689">
        <v>71.400000000000006</v>
      </c>
      <c r="C14653" s="689">
        <v>71.599999999999994</v>
      </c>
      <c r="D14653" s="689">
        <v>71.599999999999994</v>
      </c>
      <c r="E14653" s="689">
        <v>71.7</v>
      </c>
      <c r="F14653" s="689">
        <v>72.099999999999994</v>
      </c>
      <c r="G14653" s="689">
        <v>72.099999999999994</v>
      </c>
      <c r="H14653" s="689">
        <v>72.599999999999994</v>
      </c>
      <c r="I14653" s="689">
        <v>72.400000000000006</v>
      </c>
      <c r="J14653" s="689">
        <v>72.3</v>
      </c>
      <c r="K14653" s="689">
        <v>72.3</v>
      </c>
    </row>
    <row r="14654" spans="1:11">
      <c r="A14654" s="688" t="s">
        <v>7</v>
      </c>
      <c r="B14654" s="691">
        <v>72.400000000000006</v>
      </c>
      <c r="C14654" s="691">
        <v>72.099999999999994</v>
      </c>
      <c r="D14654" s="691">
        <v>71.900000000000006</v>
      </c>
      <c r="E14654" s="691">
        <v>72.099999999999994</v>
      </c>
      <c r="F14654" s="691">
        <v>72.099999999999994</v>
      </c>
      <c r="G14654" s="691">
        <v>72.599999999999994</v>
      </c>
      <c r="H14654" s="691">
        <v>72.5</v>
      </c>
      <c r="I14654" s="691">
        <v>72.099999999999994</v>
      </c>
      <c r="J14654" s="691">
        <v>71.2</v>
      </c>
      <c r="K14654" s="691">
        <v>71.7</v>
      </c>
    </row>
    <row r="14655" spans="1:11">
      <c r="A14655" s="688" t="s">
        <v>27</v>
      </c>
      <c r="B14655" s="689">
        <v>74.400000000000006</v>
      </c>
      <c r="C14655" s="689">
        <v>73.900000000000006</v>
      </c>
      <c r="D14655" s="689">
        <v>73.7</v>
      </c>
      <c r="E14655" s="689">
        <v>74.099999999999994</v>
      </c>
      <c r="F14655" s="693">
        <v>74</v>
      </c>
      <c r="G14655" s="689">
        <v>74.099999999999994</v>
      </c>
      <c r="H14655" s="689">
        <v>74.5</v>
      </c>
      <c r="I14655" s="689">
        <v>73.3</v>
      </c>
      <c r="J14655" s="689">
        <v>74.099999999999994</v>
      </c>
      <c r="K14655" s="693">
        <v>74</v>
      </c>
    </row>
    <row r="14656" spans="1:11">
      <c r="A14656" s="688" t="s">
        <v>6</v>
      </c>
      <c r="B14656" s="615">
        <v>74</v>
      </c>
      <c r="C14656" s="691">
        <v>73.8</v>
      </c>
      <c r="D14656" s="691">
        <v>73.5</v>
      </c>
      <c r="E14656" s="691">
        <v>73.7</v>
      </c>
      <c r="F14656" s="691">
        <v>73.7</v>
      </c>
      <c r="G14656" s="691">
        <v>73.900000000000006</v>
      </c>
      <c r="H14656" s="615">
        <v>74</v>
      </c>
      <c r="I14656" s="691">
        <v>73.5</v>
      </c>
      <c r="J14656" s="691">
        <v>73.599999999999994</v>
      </c>
      <c r="K14656" s="691">
        <v>73.5</v>
      </c>
    </row>
    <row r="14657" spans="1:11">
      <c r="A14657" s="688" t="s">
        <v>4058</v>
      </c>
      <c r="B14657" s="690" t="s">
        <v>4060</v>
      </c>
      <c r="C14657" s="690" t="s">
        <v>4060</v>
      </c>
      <c r="D14657" s="690" t="s">
        <v>4060</v>
      </c>
      <c r="E14657" s="690" t="s">
        <v>4060</v>
      </c>
      <c r="F14657" s="690" t="s">
        <v>4060</v>
      </c>
      <c r="G14657" s="690" t="s">
        <v>4060</v>
      </c>
      <c r="H14657" s="690" t="s">
        <v>4060</v>
      </c>
      <c r="I14657" s="690" t="s">
        <v>4060</v>
      </c>
      <c r="J14657" s="690" t="s">
        <v>4060</v>
      </c>
      <c r="K14657" s="690" t="s">
        <v>4060</v>
      </c>
    </row>
    <row r="14658" spans="1:11">
      <c r="A14658" s="688" t="s">
        <v>11</v>
      </c>
      <c r="B14658" s="691">
        <v>69.400000000000006</v>
      </c>
      <c r="C14658" s="691">
        <v>69.3</v>
      </c>
      <c r="D14658" s="691">
        <v>68.8</v>
      </c>
      <c r="E14658" s="691">
        <v>69.5</v>
      </c>
      <c r="F14658" s="691">
        <v>69.2</v>
      </c>
      <c r="G14658" s="691">
        <v>69.599999999999994</v>
      </c>
      <c r="H14658" s="691">
        <v>69.7</v>
      </c>
      <c r="I14658" s="691">
        <v>69.099999999999994</v>
      </c>
      <c r="J14658" s="691">
        <v>68.099999999999994</v>
      </c>
      <c r="K14658" s="691">
        <v>69.099999999999994</v>
      </c>
    </row>
    <row r="14659" spans="1:11">
      <c r="A14659" s="688" t="s">
        <v>10</v>
      </c>
      <c r="B14659" s="689">
        <v>73.5</v>
      </c>
      <c r="C14659" s="689">
        <v>73.3</v>
      </c>
      <c r="D14659" s="689">
        <v>72.900000000000006</v>
      </c>
      <c r="E14659" s="689">
        <v>73.5</v>
      </c>
      <c r="F14659" s="689">
        <v>73.2</v>
      </c>
      <c r="G14659" s="689">
        <v>73.5</v>
      </c>
      <c r="H14659" s="689">
        <v>73.7</v>
      </c>
      <c r="I14659" s="689">
        <v>72.8</v>
      </c>
      <c r="J14659" s="693">
        <v>73</v>
      </c>
      <c r="K14659" s="693">
        <v>73</v>
      </c>
    </row>
    <row r="14660" spans="1:11">
      <c r="A14660" s="688" t="s">
        <v>30</v>
      </c>
      <c r="B14660" s="691">
        <v>73.099999999999994</v>
      </c>
      <c r="C14660" s="691">
        <v>72.400000000000006</v>
      </c>
      <c r="D14660" s="615">
        <v>72</v>
      </c>
      <c r="E14660" s="691">
        <v>73.099999999999994</v>
      </c>
      <c r="F14660" s="691">
        <v>72.7</v>
      </c>
      <c r="G14660" s="615">
        <v>73</v>
      </c>
      <c r="H14660" s="691">
        <v>72.900000000000006</v>
      </c>
      <c r="I14660" s="691">
        <v>72.8</v>
      </c>
      <c r="J14660" s="691">
        <v>72.099999999999994</v>
      </c>
      <c r="K14660" s="691">
        <v>72.3</v>
      </c>
    </row>
    <row r="14661" spans="1:11">
      <c r="A14661" s="688" t="s">
        <v>12</v>
      </c>
      <c r="B14661" s="689">
        <v>67.400000000000006</v>
      </c>
      <c r="C14661" s="689">
        <v>67.7</v>
      </c>
      <c r="D14661" s="689">
        <v>67.7</v>
      </c>
      <c r="E14661" s="689">
        <v>67.900000000000006</v>
      </c>
      <c r="F14661" s="689">
        <v>67.900000000000006</v>
      </c>
      <c r="G14661" s="689">
        <v>67.900000000000006</v>
      </c>
      <c r="H14661" s="689">
        <v>68.400000000000006</v>
      </c>
      <c r="I14661" s="689">
        <v>68.3</v>
      </c>
      <c r="J14661" s="689">
        <v>66.3</v>
      </c>
      <c r="K14661" s="689">
        <v>67.7</v>
      </c>
    </row>
    <row r="14662" spans="1:11">
      <c r="A14662" s="688" t="s">
        <v>14</v>
      </c>
      <c r="B14662" s="615">
        <v>68</v>
      </c>
      <c r="C14662" s="691">
        <v>68.2</v>
      </c>
      <c r="D14662" s="615">
        <v>68</v>
      </c>
      <c r="E14662" s="691">
        <v>68.400000000000006</v>
      </c>
      <c r="F14662" s="691">
        <v>68.599999999999994</v>
      </c>
      <c r="G14662" s="691">
        <v>68.8</v>
      </c>
      <c r="H14662" s="691">
        <v>69.3</v>
      </c>
      <c r="I14662" s="691">
        <v>68.3</v>
      </c>
      <c r="J14662" s="691">
        <v>67.2</v>
      </c>
      <c r="K14662" s="691">
        <v>68.400000000000006</v>
      </c>
    </row>
    <row r="14663" spans="1:11">
      <c r="A14663" s="688" t="s">
        <v>15</v>
      </c>
      <c r="B14663" s="689">
        <v>72.2</v>
      </c>
      <c r="C14663" s="689">
        <v>72.900000000000006</v>
      </c>
      <c r="D14663" s="689">
        <v>72.400000000000006</v>
      </c>
      <c r="E14663" s="689">
        <v>73.099999999999994</v>
      </c>
      <c r="F14663" s="689">
        <v>72.2</v>
      </c>
      <c r="G14663" s="689">
        <v>72.7</v>
      </c>
      <c r="H14663" s="689">
        <v>73.099999999999994</v>
      </c>
      <c r="I14663" s="689">
        <v>72.8</v>
      </c>
      <c r="J14663" s="693">
        <v>73</v>
      </c>
      <c r="K14663" s="689">
        <v>73.2</v>
      </c>
    </row>
    <row r="14664" spans="1:11">
      <c r="A14664" s="688" t="s">
        <v>29</v>
      </c>
      <c r="B14664" s="691">
        <v>67.599999999999994</v>
      </c>
      <c r="C14664" s="691">
        <v>67.599999999999994</v>
      </c>
      <c r="D14664" s="691">
        <v>67.2</v>
      </c>
      <c r="E14664" s="691">
        <v>67.8</v>
      </c>
      <c r="F14664" s="691">
        <v>67.5</v>
      </c>
      <c r="G14664" s="691">
        <v>67.7</v>
      </c>
      <c r="H14664" s="691">
        <v>67.900000000000006</v>
      </c>
      <c r="I14664" s="691">
        <v>67.099999999999994</v>
      </c>
      <c r="J14664" s="691">
        <v>65.900000000000006</v>
      </c>
      <c r="K14664" s="691">
        <v>67.5</v>
      </c>
    </row>
    <row r="14665" spans="1:11">
      <c r="A14665" s="688" t="s">
        <v>16</v>
      </c>
      <c r="B14665" s="689">
        <v>72.599999999999994</v>
      </c>
      <c r="C14665" s="689">
        <v>72.400000000000006</v>
      </c>
      <c r="D14665" s="689">
        <v>72.3</v>
      </c>
      <c r="E14665" s="689">
        <v>72.400000000000006</v>
      </c>
      <c r="F14665" s="689">
        <v>72.599999999999994</v>
      </c>
      <c r="G14665" s="689">
        <v>72.5</v>
      </c>
      <c r="H14665" s="689">
        <v>72.900000000000006</v>
      </c>
      <c r="I14665" s="689">
        <v>72.5</v>
      </c>
      <c r="J14665" s="689">
        <v>72.2</v>
      </c>
      <c r="K14665" s="689">
        <v>72.599999999999994</v>
      </c>
    </row>
    <row r="14666" spans="1:11">
      <c r="A14666" s="688" t="s">
        <v>17</v>
      </c>
      <c r="B14666" s="691">
        <v>71.599999999999994</v>
      </c>
      <c r="C14666" s="691">
        <v>71.599999999999994</v>
      </c>
      <c r="D14666" s="691">
        <v>71.400000000000006</v>
      </c>
      <c r="E14666" s="691">
        <v>71.5</v>
      </c>
      <c r="F14666" s="691">
        <v>71.7</v>
      </c>
      <c r="G14666" s="691">
        <v>71.7</v>
      </c>
      <c r="H14666" s="691">
        <v>71.900000000000006</v>
      </c>
      <c r="I14666" s="691">
        <v>71.400000000000006</v>
      </c>
      <c r="J14666" s="691">
        <v>71.3</v>
      </c>
      <c r="K14666" s="691">
        <v>71.400000000000006</v>
      </c>
    </row>
    <row r="14667" spans="1:11">
      <c r="A14667" s="688" t="s">
        <v>19</v>
      </c>
      <c r="B14667" s="689">
        <v>72.099999999999994</v>
      </c>
      <c r="C14667" s="689">
        <v>72.099999999999994</v>
      </c>
      <c r="D14667" s="689">
        <v>71.900000000000006</v>
      </c>
      <c r="E14667" s="689">
        <v>72.3</v>
      </c>
      <c r="F14667" s="689">
        <v>72.2</v>
      </c>
      <c r="G14667" s="689">
        <v>72.3</v>
      </c>
      <c r="H14667" s="689">
        <v>72.5</v>
      </c>
      <c r="I14667" s="689">
        <v>72.099999999999994</v>
      </c>
      <c r="J14667" s="689">
        <v>72.099999999999994</v>
      </c>
      <c r="K14667" s="689">
        <v>72.099999999999994</v>
      </c>
    </row>
    <row r="14668" spans="1:11">
      <c r="A14668" s="688" t="s">
        <v>20</v>
      </c>
      <c r="B14668" s="691">
        <v>69.599999999999994</v>
      </c>
      <c r="C14668" s="691">
        <v>69.8</v>
      </c>
      <c r="D14668" s="691">
        <v>69.7</v>
      </c>
      <c r="E14668" s="691">
        <v>70.099999999999994</v>
      </c>
      <c r="F14668" s="691">
        <v>69.900000000000006</v>
      </c>
      <c r="G14668" s="691">
        <v>69.8</v>
      </c>
      <c r="H14668" s="691">
        <v>70.099999999999994</v>
      </c>
      <c r="I14668" s="691">
        <v>68.900000000000006</v>
      </c>
      <c r="J14668" s="691">
        <v>67.8</v>
      </c>
      <c r="K14668" s="691">
        <v>69.400000000000006</v>
      </c>
    </row>
    <row r="14669" spans="1:11">
      <c r="A14669" s="688" t="s">
        <v>21</v>
      </c>
      <c r="B14669" s="689">
        <v>72.3</v>
      </c>
      <c r="C14669" s="689">
        <v>72.599999999999994</v>
      </c>
      <c r="D14669" s="689">
        <v>72.5</v>
      </c>
      <c r="E14669" s="689">
        <v>72.599999999999994</v>
      </c>
      <c r="F14669" s="689">
        <v>72.8</v>
      </c>
      <c r="G14669" s="689">
        <v>72.900000000000006</v>
      </c>
      <c r="H14669" s="689">
        <v>73.099999999999994</v>
      </c>
      <c r="I14669" s="689">
        <v>72.5</v>
      </c>
      <c r="J14669" s="689">
        <v>72.5</v>
      </c>
      <c r="K14669" s="689">
        <v>72.7</v>
      </c>
    </row>
    <row r="14670" spans="1:11">
      <c r="A14670" s="688" t="s">
        <v>22</v>
      </c>
      <c r="B14670" s="691">
        <v>67.5</v>
      </c>
      <c r="C14670" s="691">
        <v>67.3</v>
      </c>
      <c r="D14670" s="691">
        <v>67.3</v>
      </c>
      <c r="E14670" s="691">
        <v>67.599999999999994</v>
      </c>
      <c r="F14670" s="691">
        <v>67.599999999999994</v>
      </c>
      <c r="G14670" s="691">
        <v>67.7</v>
      </c>
      <c r="H14670" s="615">
        <v>68</v>
      </c>
      <c r="I14670" s="691">
        <v>66.8</v>
      </c>
      <c r="J14670" s="691">
        <v>65.2</v>
      </c>
      <c r="K14670" s="691">
        <v>67.599999999999994</v>
      </c>
    </row>
    <row r="14671" spans="1:11">
      <c r="A14671" s="688" t="s">
        <v>26</v>
      </c>
      <c r="B14671" s="689">
        <v>71.900000000000006</v>
      </c>
      <c r="C14671" s="689">
        <v>71.900000000000006</v>
      </c>
      <c r="D14671" s="689">
        <v>71.7</v>
      </c>
      <c r="E14671" s="689">
        <v>72.099999999999994</v>
      </c>
      <c r="F14671" s="689">
        <v>71.900000000000006</v>
      </c>
      <c r="G14671" s="689">
        <v>72.2</v>
      </c>
      <c r="H14671" s="689">
        <v>72.5</v>
      </c>
      <c r="I14671" s="689">
        <v>71.599999999999994</v>
      </c>
      <c r="J14671" s="689">
        <v>71.900000000000006</v>
      </c>
      <c r="K14671" s="689">
        <v>72.099999999999994</v>
      </c>
    </row>
    <row r="14672" spans="1:11">
      <c r="A14672" s="688" t="s">
        <v>25</v>
      </c>
      <c r="B14672" s="691">
        <v>68.7</v>
      </c>
      <c r="C14672" s="615">
        <v>69</v>
      </c>
      <c r="D14672" s="691">
        <v>68.7</v>
      </c>
      <c r="E14672" s="691">
        <v>69.099999999999994</v>
      </c>
      <c r="F14672" s="615">
        <v>69</v>
      </c>
      <c r="G14672" s="691">
        <v>69.2</v>
      </c>
      <c r="H14672" s="691">
        <v>69.599999999999994</v>
      </c>
      <c r="I14672" s="691">
        <v>68.900000000000006</v>
      </c>
      <c r="J14672" s="691">
        <v>66.7</v>
      </c>
      <c r="K14672" s="691">
        <v>68.900000000000006</v>
      </c>
    </row>
    <row r="14673" spans="1:11">
      <c r="A14673" s="688" t="s">
        <v>5</v>
      </c>
      <c r="B14673" s="689">
        <v>72.3</v>
      </c>
      <c r="C14673" s="689">
        <v>72.099999999999994</v>
      </c>
      <c r="D14673" s="689">
        <v>72.3</v>
      </c>
      <c r="E14673" s="689">
        <v>72.3</v>
      </c>
      <c r="F14673" s="689">
        <v>72.5</v>
      </c>
      <c r="G14673" s="689">
        <v>72.5</v>
      </c>
      <c r="H14673" s="689">
        <v>72.8</v>
      </c>
      <c r="I14673" s="689">
        <v>72.8</v>
      </c>
      <c r="J14673" s="689">
        <v>72.7</v>
      </c>
      <c r="K14673" s="693">
        <v>72</v>
      </c>
    </row>
    <row r="14674" spans="1:11">
      <c r="A14674" s="688" t="s">
        <v>23</v>
      </c>
      <c r="B14674" s="691">
        <v>72.099999999999994</v>
      </c>
      <c r="C14674" s="691">
        <v>72.3</v>
      </c>
      <c r="D14674" s="691">
        <v>72.3</v>
      </c>
      <c r="E14674" s="691">
        <v>72.400000000000006</v>
      </c>
      <c r="F14674" s="691">
        <v>72.400000000000006</v>
      </c>
      <c r="G14674" s="691">
        <v>72.5</v>
      </c>
      <c r="H14674" s="615">
        <v>73</v>
      </c>
      <c r="I14674" s="691">
        <v>72.5</v>
      </c>
      <c r="J14674" s="615">
        <v>73</v>
      </c>
      <c r="K14674" s="615">
        <v>73</v>
      </c>
    </row>
    <row r="14675" spans="1:11">
      <c r="A14675" s="688" t="s">
        <v>4067</v>
      </c>
      <c r="B14675" s="689">
        <v>71.7</v>
      </c>
      <c r="C14675" s="693">
        <v>72</v>
      </c>
      <c r="D14675" s="689">
        <v>71.599999999999994</v>
      </c>
      <c r="E14675" s="693">
        <v>72</v>
      </c>
      <c r="F14675" s="689">
        <v>71.900000000000006</v>
      </c>
      <c r="G14675" s="693">
        <v>72</v>
      </c>
      <c r="H14675" s="690" t="s">
        <v>4060</v>
      </c>
      <c r="I14675" s="690" t="s">
        <v>4060</v>
      </c>
      <c r="J14675" s="690" t="s">
        <v>4060</v>
      </c>
      <c r="K14675" s="690" t="s">
        <v>4060</v>
      </c>
    </row>
    <row r="14676" spans="1:11">
      <c r="A14676" s="688" t="s">
        <v>4066</v>
      </c>
      <c r="B14676" s="691">
        <v>71.7</v>
      </c>
      <c r="C14676" s="615">
        <v>72</v>
      </c>
      <c r="D14676" s="691">
        <v>71.7</v>
      </c>
      <c r="E14676" s="615">
        <v>72</v>
      </c>
      <c r="F14676" s="691">
        <v>71.900000000000006</v>
      </c>
      <c r="G14676" s="615">
        <v>72</v>
      </c>
      <c r="H14676" s="692" t="s">
        <v>4060</v>
      </c>
      <c r="I14676" s="692" t="s">
        <v>4060</v>
      </c>
      <c r="J14676" s="692" t="s">
        <v>4060</v>
      </c>
      <c r="K14676" s="692" t="s">
        <v>4060</v>
      </c>
    </row>
    <row r="14677" spans="1:11">
      <c r="A14677" s="688" t="s">
        <v>4062</v>
      </c>
      <c r="B14677" s="689">
        <v>72.900000000000006</v>
      </c>
      <c r="C14677" s="693">
        <v>73</v>
      </c>
      <c r="D14677" s="689">
        <v>72.900000000000006</v>
      </c>
      <c r="E14677" s="689">
        <v>73.099999999999994</v>
      </c>
      <c r="F14677" s="689">
        <v>73.3</v>
      </c>
      <c r="G14677" s="689">
        <v>73.400000000000006</v>
      </c>
      <c r="H14677" s="689">
        <v>73.5</v>
      </c>
      <c r="I14677" s="689">
        <v>73.3</v>
      </c>
      <c r="J14677" s="689">
        <v>73.5</v>
      </c>
      <c r="K14677" s="689">
        <v>73.3</v>
      </c>
    </row>
    <row r="14678" spans="1:11">
      <c r="A14678" s="688" t="s">
        <v>9</v>
      </c>
      <c r="B14678" s="615">
        <v>72</v>
      </c>
      <c r="C14678" s="691">
        <v>72.400000000000006</v>
      </c>
      <c r="D14678" s="691">
        <v>71.8</v>
      </c>
      <c r="E14678" s="691">
        <v>72.099999999999994</v>
      </c>
      <c r="F14678" s="691">
        <v>72.5</v>
      </c>
      <c r="G14678" s="691">
        <v>72.400000000000006</v>
      </c>
      <c r="H14678" s="691">
        <v>72.599999999999994</v>
      </c>
      <c r="I14678" s="691">
        <v>72.599999999999994</v>
      </c>
      <c r="J14678" s="691">
        <v>72.8</v>
      </c>
      <c r="K14678" s="691">
        <v>71.8</v>
      </c>
    </row>
    <row r="14679" spans="1:11">
      <c r="A14679" s="688" t="s">
        <v>13</v>
      </c>
      <c r="B14679" s="689">
        <v>72.900000000000006</v>
      </c>
      <c r="C14679" s="689">
        <v>71.7</v>
      </c>
      <c r="D14679" s="689">
        <v>72.3</v>
      </c>
      <c r="E14679" s="689">
        <v>71.900000000000006</v>
      </c>
      <c r="F14679" s="689">
        <v>73.8</v>
      </c>
      <c r="G14679" s="689">
        <v>73.599999999999994</v>
      </c>
      <c r="H14679" s="689">
        <v>73.5</v>
      </c>
      <c r="I14679" s="689">
        <v>73.099999999999994</v>
      </c>
      <c r="J14679" s="689">
        <v>74.099999999999994</v>
      </c>
      <c r="K14679" s="689">
        <v>73.2</v>
      </c>
    </row>
    <row r="14680" spans="1:11">
      <c r="A14680" s="688" t="s">
        <v>18</v>
      </c>
      <c r="B14680" s="615">
        <v>72</v>
      </c>
      <c r="C14680" s="691">
        <v>72.3</v>
      </c>
      <c r="D14680" s="691">
        <v>72.400000000000006</v>
      </c>
      <c r="E14680" s="691">
        <v>72.400000000000006</v>
      </c>
      <c r="F14680" s="691">
        <v>72.5</v>
      </c>
      <c r="G14680" s="691">
        <v>72.7</v>
      </c>
      <c r="H14680" s="691">
        <v>72.900000000000006</v>
      </c>
      <c r="I14680" s="691">
        <v>73.099999999999994</v>
      </c>
      <c r="J14680" s="691">
        <v>72.900000000000006</v>
      </c>
      <c r="K14680" s="691">
        <v>72.5</v>
      </c>
    </row>
    <row r="14681" spans="1:11">
      <c r="A14681" s="688" t="s">
        <v>24</v>
      </c>
      <c r="B14681" s="689">
        <v>73.400000000000006</v>
      </c>
      <c r="C14681" s="689">
        <v>73.5</v>
      </c>
      <c r="D14681" s="689">
        <v>73.3</v>
      </c>
      <c r="E14681" s="689">
        <v>73.599999999999994</v>
      </c>
      <c r="F14681" s="689">
        <v>73.7</v>
      </c>
      <c r="G14681" s="689">
        <v>73.8</v>
      </c>
      <c r="H14681" s="689">
        <v>73.900000000000006</v>
      </c>
      <c r="I14681" s="689">
        <v>73.400000000000006</v>
      </c>
      <c r="J14681" s="689">
        <v>73.900000000000006</v>
      </c>
      <c r="K14681" s="689">
        <v>73.7</v>
      </c>
    </row>
    <row r="14682" spans="1:11">
      <c r="A14682" s="688" t="s">
        <v>4059</v>
      </c>
      <c r="B14682" s="691">
        <v>71.3</v>
      </c>
      <c r="C14682" s="691">
        <v>71.599999999999994</v>
      </c>
      <c r="D14682" s="691">
        <v>71.2</v>
      </c>
      <c r="E14682" s="691">
        <v>71.400000000000006</v>
      </c>
      <c r="F14682" s="691">
        <v>71.5</v>
      </c>
      <c r="G14682" s="691">
        <v>71.400000000000006</v>
      </c>
      <c r="H14682" s="692" t="s">
        <v>4060</v>
      </c>
      <c r="I14682" s="692" t="s">
        <v>4060</v>
      </c>
      <c r="J14682" s="692" t="s">
        <v>4060</v>
      </c>
      <c r="K14682" s="692" t="s">
        <v>4060</v>
      </c>
    </row>
    <row r="14683" spans="1:11">
      <c r="A14683" s="688" t="s">
        <v>2324</v>
      </c>
      <c r="B14683" s="689">
        <v>67.3</v>
      </c>
      <c r="C14683" s="689">
        <v>67.3</v>
      </c>
      <c r="D14683" s="689">
        <v>66.900000000000006</v>
      </c>
      <c r="E14683" s="689">
        <v>67.3</v>
      </c>
      <c r="F14683" s="689">
        <v>67.5</v>
      </c>
      <c r="G14683" s="689">
        <v>67.5</v>
      </c>
      <c r="H14683" s="689">
        <v>67.8</v>
      </c>
      <c r="I14683" s="689">
        <v>67.099999999999994</v>
      </c>
      <c r="J14683" s="689">
        <v>65.2</v>
      </c>
      <c r="K14683" s="690" t="s">
        <v>4060</v>
      </c>
    </row>
    <row r="14684" spans="1:11">
      <c r="A14684" s="688" t="s">
        <v>2322</v>
      </c>
      <c r="B14684" s="692" t="s">
        <v>4060</v>
      </c>
      <c r="C14684" s="692" t="s">
        <v>4060</v>
      </c>
      <c r="D14684" s="692" t="s">
        <v>4060</v>
      </c>
      <c r="E14684" s="692" t="s">
        <v>4060</v>
      </c>
      <c r="F14684" s="692" t="s">
        <v>4060</v>
      </c>
      <c r="G14684" s="692" t="s">
        <v>4060</v>
      </c>
      <c r="H14684" s="692" t="s">
        <v>4060</v>
      </c>
      <c r="I14684" s="692" t="s">
        <v>4060</v>
      </c>
      <c r="J14684" s="692" t="s">
        <v>4060</v>
      </c>
      <c r="K14684" s="692" t="s">
        <v>4060</v>
      </c>
    </row>
    <row r="14685" spans="1:11">
      <c r="A14685" s="688" t="s">
        <v>2328</v>
      </c>
      <c r="B14685" s="689">
        <v>66.400000000000006</v>
      </c>
      <c r="C14685" s="689">
        <v>66.400000000000006</v>
      </c>
      <c r="D14685" s="689">
        <v>66.2</v>
      </c>
      <c r="E14685" s="689">
        <v>66.599999999999994</v>
      </c>
      <c r="F14685" s="689">
        <v>66.8</v>
      </c>
      <c r="G14685" s="689">
        <v>67.2</v>
      </c>
      <c r="H14685" s="689">
        <v>67.099999999999994</v>
      </c>
      <c r="I14685" s="689">
        <v>65.3</v>
      </c>
      <c r="J14685" s="689">
        <v>63.9</v>
      </c>
      <c r="K14685" s="690" t="s">
        <v>4060</v>
      </c>
    </row>
    <row r="14686" spans="1:11">
      <c r="A14686" s="688" t="s">
        <v>2496</v>
      </c>
      <c r="B14686" s="692" t="s">
        <v>4060</v>
      </c>
      <c r="C14686" s="691">
        <v>67.2</v>
      </c>
      <c r="D14686" s="691">
        <v>66.3</v>
      </c>
      <c r="E14686" s="615">
        <v>66</v>
      </c>
      <c r="F14686" s="691">
        <v>66.599999999999994</v>
      </c>
      <c r="G14686" s="615">
        <v>67</v>
      </c>
      <c r="H14686" s="615">
        <v>67</v>
      </c>
      <c r="I14686" s="692" t="s">
        <v>4060</v>
      </c>
      <c r="J14686" s="692" t="s">
        <v>4060</v>
      </c>
      <c r="K14686" s="691">
        <v>66.900000000000006</v>
      </c>
    </row>
    <row r="14687" spans="1:11">
      <c r="A14687" s="688" t="s">
        <v>2269</v>
      </c>
      <c r="B14687" s="689">
        <v>68.900000000000006</v>
      </c>
      <c r="C14687" s="693">
        <v>69</v>
      </c>
      <c r="D14687" s="689">
        <v>68.5</v>
      </c>
      <c r="E14687" s="693">
        <v>69</v>
      </c>
      <c r="F14687" s="689">
        <v>68.900000000000006</v>
      </c>
      <c r="G14687" s="689">
        <v>69.400000000000006</v>
      </c>
      <c r="H14687" s="689">
        <v>69.599999999999994</v>
      </c>
      <c r="I14687" s="689">
        <v>68.5</v>
      </c>
      <c r="J14687" s="689">
        <v>66.3</v>
      </c>
      <c r="K14687" s="689">
        <v>69.400000000000006</v>
      </c>
    </row>
    <row r="14688" spans="1:11">
      <c r="A14688" s="688" t="s">
        <v>2349</v>
      </c>
      <c r="B14688" s="691">
        <v>66.5</v>
      </c>
      <c r="C14688" s="691">
        <v>66.5</v>
      </c>
      <c r="D14688" s="691">
        <v>66.400000000000006</v>
      </c>
      <c r="E14688" s="691">
        <v>66.7</v>
      </c>
      <c r="F14688" s="691">
        <v>66.599999999999994</v>
      </c>
      <c r="G14688" s="691">
        <v>66.900000000000006</v>
      </c>
      <c r="H14688" s="691">
        <v>67.099999999999994</v>
      </c>
      <c r="I14688" s="691">
        <v>65.900000000000006</v>
      </c>
      <c r="J14688" s="691">
        <v>64.099999999999994</v>
      </c>
      <c r="K14688" s="691">
        <v>66.2</v>
      </c>
    </row>
    <row r="14689" spans="1:11">
      <c r="A14689" s="688" t="s">
        <v>2355</v>
      </c>
      <c r="B14689" s="689">
        <v>70.3</v>
      </c>
      <c r="C14689" s="689">
        <v>70.099999999999994</v>
      </c>
      <c r="D14689" s="689">
        <v>70.099999999999994</v>
      </c>
      <c r="E14689" s="693">
        <v>70</v>
      </c>
      <c r="F14689" s="689">
        <v>70.2</v>
      </c>
      <c r="G14689" s="689">
        <v>70.599999999999994</v>
      </c>
      <c r="H14689" s="689">
        <v>70.7</v>
      </c>
      <c r="I14689" s="690" t="s">
        <v>4060</v>
      </c>
      <c r="J14689" s="690" t="s">
        <v>4060</v>
      </c>
      <c r="K14689" s="690" t="s">
        <v>4060</v>
      </c>
    </row>
    <row r="14690" spans="1:11">
      <c r="A14690" s="688" t="s">
        <v>2357</v>
      </c>
      <c r="B14690" s="692" t="s">
        <v>4060</v>
      </c>
      <c r="C14690" s="691">
        <v>65.400000000000006</v>
      </c>
      <c r="D14690" s="615">
        <v>66</v>
      </c>
      <c r="E14690" s="691">
        <v>66.3</v>
      </c>
      <c r="F14690" s="691">
        <v>66.599999999999994</v>
      </c>
      <c r="G14690" s="691">
        <v>66.7</v>
      </c>
      <c r="H14690" s="691">
        <v>66.900000000000006</v>
      </c>
      <c r="I14690" s="692" t="s">
        <v>4060</v>
      </c>
      <c r="J14690" s="692" t="s">
        <v>4060</v>
      </c>
      <c r="K14690" s="692" t="s">
        <v>4060</v>
      </c>
    </row>
    <row r="14691" spans="1:11">
      <c r="A14691" s="688" t="s">
        <v>4070</v>
      </c>
      <c r="B14691" s="690" t="s">
        <v>4060</v>
      </c>
      <c r="C14691" s="690" t="s">
        <v>4060</v>
      </c>
      <c r="D14691" s="690" t="s">
        <v>4060</v>
      </c>
      <c r="E14691" s="689">
        <v>70.2</v>
      </c>
      <c r="F14691" s="690" t="s">
        <v>4060</v>
      </c>
      <c r="G14691" s="690" t="s">
        <v>4060</v>
      </c>
      <c r="H14691" s="690" t="s">
        <v>4060</v>
      </c>
      <c r="I14691" s="690" t="s">
        <v>4060</v>
      </c>
      <c r="J14691" s="690" t="s">
        <v>4060</v>
      </c>
      <c r="K14691" s="690" t="s">
        <v>4060</v>
      </c>
    </row>
    <row r="14692" spans="1:11">
      <c r="A14692" s="688" t="s">
        <v>2491</v>
      </c>
      <c r="B14692" s="691">
        <v>66.400000000000006</v>
      </c>
      <c r="C14692" s="615">
        <v>67</v>
      </c>
      <c r="D14692" s="691">
        <v>67.3</v>
      </c>
      <c r="E14692" s="691">
        <v>67.5</v>
      </c>
      <c r="F14692" s="691">
        <v>67.7</v>
      </c>
      <c r="G14692" s="691">
        <v>67.7</v>
      </c>
      <c r="H14692" s="692" t="s">
        <v>4060</v>
      </c>
      <c r="I14692" s="692" t="s">
        <v>4060</v>
      </c>
      <c r="J14692" s="692" t="s">
        <v>4060</v>
      </c>
      <c r="K14692" s="692" t="s">
        <v>4060</v>
      </c>
    </row>
    <row r="14693" spans="1:11">
      <c r="A14693" s="688" t="s">
        <v>2343</v>
      </c>
      <c r="B14693" s="690" t="s">
        <v>4060</v>
      </c>
      <c r="C14693" s="690" t="s">
        <v>4060</v>
      </c>
      <c r="D14693" s="690" t="s">
        <v>4060</v>
      </c>
      <c r="E14693" s="690" t="s">
        <v>4060</v>
      </c>
      <c r="F14693" s="690" t="s">
        <v>4060</v>
      </c>
      <c r="G14693" s="690" t="s">
        <v>4060</v>
      </c>
      <c r="H14693" s="690" t="s">
        <v>4060</v>
      </c>
      <c r="I14693" s="690" t="s">
        <v>4060</v>
      </c>
      <c r="J14693" s="690" t="s">
        <v>4060</v>
      </c>
      <c r="K14693" s="690" t="s">
        <v>4060</v>
      </c>
    </row>
    <row r="14694" spans="1:11">
      <c r="A14694" s="688" t="s">
        <v>4071</v>
      </c>
      <c r="B14694" s="692" t="s">
        <v>4060</v>
      </c>
      <c r="C14694" s="692" t="s">
        <v>4060</v>
      </c>
      <c r="D14694" s="692" t="s">
        <v>4060</v>
      </c>
      <c r="E14694" s="692" t="s">
        <v>4060</v>
      </c>
      <c r="F14694" s="692" t="s">
        <v>4060</v>
      </c>
      <c r="G14694" s="692" t="s">
        <v>4060</v>
      </c>
      <c r="H14694" s="692" t="s">
        <v>4060</v>
      </c>
      <c r="I14694" s="692" t="s">
        <v>4060</v>
      </c>
      <c r="J14694" s="692" t="s">
        <v>4060</v>
      </c>
      <c r="K14694" s="692" t="s">
        <v>4060</v>
      </c>
    </row>
    <row r="14695" spans="1:11">
      <c r="A14695" s="688" t="s">
        <v>2489</v>
      </c>
      <c r="B14695" s="690" t="s">
        <v>4060</v>
      </c>
      <c r="C14695" s="690" t="s">
        <v>4060</v>
      </c>
      <c r="D14695" s="693">
        <v>67</v>
      </c>
      <c r="E14695" s="689">
        <v>67.2</v>
      </c>
      <c r="F14695" s="689">
        <v>67.7</v>
      </c>
      <c r="G14695" s="689">
        <v>68.400000000000006</v>
      </c>
      <c r="H14695" s="689">
        <v>68.3</v>
      </c>
      <c r="I14695" s="690" t="s">
        <v>4060</v>
      </c>
      <c r="J14695" s="690" t="s">
        <v>4060</v>
      </c>
      <c r="K14695" s="690" t="s">
        <v>4060</v>
      </c>
    </row>
    <row r="14696" spans="1:11">
      <c r="A14696" s="688" t="s">
        <v>2490</v>
      </c>
      <c r="B14696" s="691">
        <v>66.2</v>
      </c>
      <c r="C14696" s="691">
        <v>66.3</v>
      </c>
      <c r="D14696" s="691">
        <v>66.7</v>
      </c>
      <c r="E14696" s="692" t="s">
        <v>4060</v>
      </c>
      <c r="F14696" s="691">
        <v>66.900000000000006</v>
      </c>
      <c r="G14696" s="691">
        <v>67.3</v>
      </c>
      <c r="H14696" s="691">
        <v>67.900000000000006</v>
      </c>
      <c r="I14696" s="692" t="s">
        <v>4060</v>
      </c>
      <c r="J14696" s="692" t="s">
        <v>4060</v>
      </c>
      <c r="K14696" s="692" t="s">
        <v>4060</v>
      </c>
    </row>
    <row r="14698" spans="1:11">
      <c r="A14698" s="683" t="s">
        <v>4233</v>
      </c>
    </row>
    <row r="14699" spans="1:11">
      <c r="A14699" s="683" t="s">
        <v>4060</v>
      </c>
      <c r="B14699" s="682" t="s">
        <v>4234</v>
      </c>
    </row>
    <row r="14701" spans="1:11">
      <c r="A14701" s="682" t="s">
        <v>4332</v>
      </c>
    </row>
    <row r="14702" spans="1:11">
      <c r="A14702" s="682" t="s">
        <v>4210</v>
      </c>
      <c r="B14702" s="683" t="s">
        <v>4211</v>
      </c>
    </row>
    <row r="14703" spans="1:11">
      <c r="A14703" s="682" t="s">
        <v>4212</v>
      </c>
      <c r="B14703" s="682" t="s">
        <v>4213</v>
      </c>
    </row>
    <row r="14705" spans="1:11">
      <c r="A14705" s="683" t="s">
        <v>4214</v>
      </c>
      <c r="C14705" s="682" t="s">
        <v>4215</v>
      </c>
    </row>
    <row r="14706" spans="1:11">
      <c r="A14706" s="683" t="s">
        <v>4216</v>
      </c>
      <c r="C14706" s="682" t="s">
        <v>2967</v>
      </c>
    </row>
    <row r="14707" spans="1:11">
      <c r="A14707" s="683" t="s">
        <v>3893</v>
      </c>
      <c r="C14707" s="682" t="s">
        <v>2169</v>
      </c>
    </row>
    <row r="14708" spans="1:11">
      <c r="A14708" s="683" t="s">
        <v>4218</v>
      </c>
      <c r="C14708" s="682" t="s">
        <v>4247</v>
      </c>
    </row>
    <row r="14710" spans="1:11">
      <c r="A14710" s="684" t="s">
        <v>4220</v>
      </c>
      <c r="B14710" s="685" t="s">
        <v>4221</v>
      </c>
      <c r="C14710" s="685" t="s">
        <v>4222</v>
      </c>
      <c r="D14710" s="685" t="s">
        <v>4223</v>
      </c>
      <c r="E14710" s="685" t="s">
        <v>4224</v>
      </c>
      <c r="F14710" s="685" t="s">
        <v>4225</v>
      </c>
      <c r="G14710" s="685" t="s">
        <v>4226</v>
      </c>
      <c r="H14710" s="685" t="s">
        <v>4227</v>
      </c>
      <c r="I14710" s="685" t="s">
        <v>4228</v>
      </c>
      <c r="J14710" s="685" t="s">
        <v>4229</v>
      </c>
      <c r="K14710" s="685" t="s">
        <v>4230</v>
      </c>
    </row>
    <row r="14711" spans="1:11">
      <c r="A14711" s="686" t="s">
        <v>4231</v>
      </c>
      <c r="B14711" s="687" t="s">
        <v>4232</v>
      </c>
      <c r="C14711" s="687" t="s">
        <v>4232</v>
      </c>
      <c r="D14711" s="687" t="s">
        <v>4232</v>
      </c>
      <c r="E14711" s="687" t="s">
        <v>4232</v>
      </c>
      <c r="F14711" s="687" t="s">
        <v>4232</v>
      </c>
      <c r="G14711" s="687" t="s">
        <v>4232</v>
      </c>
      <c r="H14711" s="687" t="s">
        <v>4232</v>
      </c>
      <c r="I14711" s="687" t="s">
        <v>4232</v>
      </c>
      <c r="J14711" s="687" t="s">
        <v>4232</v>
      </c>
      <c r="K14711" s="687" t="s">
        <v>4232</v>
      </c>
    </row>
    <row r="14712" spans="1:11">
      <c r="A14712" s="688" t="s">
        <v>4064</v>
      </c>
      <c r="B14712" s="691">
        <v>70.7</v>
      </c>
      <c r="C14712" s="691">
        <v>70.7</v>
      </c>
      <c r="D14712" s="691">
        <v>70.7</v>
      </c>
      <c r="E14712" s="691">
        <v>70.8</v>
      </c>
      <c r="F14712" s="691">
        <v>70.8</v>
      </c>
      <c r="G14712" s="691">
        <v>70.900000000000006</v>
      </c>
      <c r="H14712" s="691">
        <v>71.099999999999994</v>
      </c>
      <c r="I14712" s="691">
        <v>70.400000000000006</v>
      </c>
      <c r="J14712" s="691">
        <v>70.099999999999994</v>
      </c>
      <c r="K14712" s="691">
        <v>70.599999999999994</v>
      </c>
    </row>
    <row r="14713" spans="1:11">
      <c r="A14713" s="688" t="s">
        <v>4065</v>
      </c>
      <c r="B14713" s="689">
        <v>70.7</v>
      </c>
      <c r="C14713" s="693">
        <v>71</v>
      </c>
      <c r="D14713" s="689">
        <v>70.599999999999994</v>
      </c>
      <c r="E14713" s="693">
        <v>71</v>
      </c>
      <c r="F14713" s="689">
        <v>70.900000000000006</v>
      </c>
      <c r="G14713" s="693">
        <v>71</v>
      </c>
      <c r="H14713" s="690" t="s">
        <v>4060</v>
      </c>
      <c r="I14713" s="690" t="s">
        <v>4060</v>
      </c>
      <c r="J14713" s="690" t="s">
        <v>4060</v>
      </c>
      <c r="K14713" s="690" t="s">
        <v>4060</v>
      </c>
    </row>
    <row r="14714" spans="1:11">
      <c r="A14714" s="688" t="s">
        <v>4063</v>
      </c>
      <c r="B14714" s="691">
        <v>70.7</v>
      </c>
      <c r="C14714" s="615">
        <v>71</v>
      </c>
      <c r="D14714" s="691">
        <v>70.7</v>
      </c>
      <c r="E14714" s="615">
        <v>71</v>
      </c>
      <c r="F14714" s="691">
        <v>70.900000000000006</v>
      </c>
      <c r="G14714" s="615">
        <v>71</v>
      </c>
      <c r="H14714" s="692" t="s">
        <v>4060</v>
      </c>
      <c r="I14714" s="692" t="s">
        <v>4060</v>
      </c>
      <c r="J14714" s="692" t="s">
        <v>4060</v>
      </c>
      <c r="K14714" s="692" t="s">
        <v>4060</v>
      </c>
    </row>
    <row r="14715" spans="1:11">
      <c r="A14715" s="688" t="s">
        <v>4069</v>
      </c>
      <c r="B14715" s="690" t="s">
        <v>4060</v>
      </c>
      <c r="C14715" s="689">
        <v>71.599999999999994</v>
      </c>
      <c r="D14715" s="689">
        <v>71.2</v>
      </c>
      <c r="E14715" s="689">
        <v>71.599999999999994</v>
      </c>
      <c r="F14715" s="689">
        <v>71.599999999999994</v>
      </c>
      <c r="G14715" s="689">
        <v>71.7</v>
      </c>
      <c r="H14715" s="689">
        <v>71.900000000000006</v>
      </c>
      <c r="I14715" s="689">
        <v>71.3</v>
      </c>
      <c r="J14715" s="689">
        <v>71.3</v>
      </c>
      <c r="K14715" s="689">
        <v>71.400000000000006</v>
      </c>
    </row>
    <row r="14716" spans="1:11">
      <c r="A14716" s="688" t="s">
        <v>4068</v>
      </c>
      <c r="B14716" s="691">
        <v>71.599999999999994</v>
      </c>
      <c r="C14716" s="692" t="s">
        <v>4060</v>
      </c>
      <c r="D14716" s="692" t="s">
        <v>4060</v>
      </c>
      <c r="E14716" s="692" t="s">
        <v>4060</v>
      </c>
      <c r="F14716" s="692" t="s">
        <v>4060</v>
      </c>
      <c r="G14716" s="692" t="s">
        <v>4060</v>
      </c>
      <c r="H14716" s="692" t="s">
        <v>4060</v>
      </c>
      <c r="I14716" s="692" t="s">
        <v>4060</v>
      </c>
      <c r="J14716" s="692" t="s">
        <v>4060</v>
      </c>
      <c r="K14716" s="692" t="s">
        <v>4060</v>
      </c>
    </row>
    <row r="14717" spans="1:11">
      <c r="A14717" s="688" t="s">
        <v>0</v>
      </c>
      <c r="B14717" s="689">
        <v>70.599999999999994</v>
      </c>
      <c r="C14717" s="689">
        <v>70.8</v>
      </c>
      <c r="D14717" s="689">
        <v>70.5</v>
      </c>
      <c r="E14717" s="693">
        <v>71</v>
      </c>
      <c r="F14717" s="693">
        <v>71</v>
      </c>
      <c r="G14717" s="689">
        <v>71.099999999999994</v>
      </c>
      <c r="H14717" s="689">
        <v>71.400000000000006</v>
      </c>
      <c r="I14717" s="689">
        <v>70.400000000000006</v>
      </c>
      <c r="J14717" s="689">
        <v>71.400000000000006</v>
      </c>
      <c r="K14717" s="689">
        <v>71.099999999999994</v>
      </c>
    </row>
    <row r="14718" spans="1:11">
      <c r="A14718" s="688" t="s">
        <v>1</v>
      </c>
      <c r="B14718" s="691">
        <v>66.3</v>
      </c>
      <c r="C14718" s="691">
        <v>65.7</v>
      </c>
      <c r="D14718" s="691">
        <v>65.7</v>
      </c>
      <c r="E14718" s="615">
        <v>66</v>
      </c>
      <c r="F14718" s="691">
        <v>65.8</v>
      </c>
      <c r="G14718" s="615">
        <v>66</v>
      </c>
      <c r="H14718" s="691">
        <v>66.2</v>
      </c>
      <c r="I14718" s="691">
        <v>64.8</v>
      </c>
      <c r="J14718" s="691">
        <v>62.6</v>
      </c>
      <c r="K14718" s="691">
        <v>65.400000000000006</v>
      </c>
    </row>
    <row r="14719" spans="1:11">
      <c r="A14719" s="688" t="s">
        <v>2240</v>
      </c>
      <c r="B14719" s="689">
        <v>68.599999999999994</v>
      </c>
      <c r="C14719" s="693">
        <v>69</v>
      </c>
      <c r="D14719" s="689">
        <v>68.7</v>
      </c>
      <c r="E14719" s="689">
        <v>69.2</v>
      </c>
      <c r="F14719" s="689">
        <v>69.099999999999994</v>
      </c>
      <c r="G14719" s="689">
        <v>69.2</v>
      </c>
      <c r="H14719" s="689">
        <v>69.400000000000006</v>
      </c>
      <c r="I14719" s="689">
        <v>68.599999999999994</v>
      </c>
      <c r="J14719" s="689">
        <v>67.7</v>
      </c>
      <c r="K14719" s="689">
        <v>69.2</v>
      </c>
    </row>
    <row r="14720" spans="1:11">
      <c r="A14720" s="688" t="s">
        <v>2</v>
      </c>
      <c r="B14720" s="691">
        <v>69.7</v>
      </c>
      <c r="C14720" s="615">
        <v>70</v>
      </c>
      <c r="D14720" s="691">
        <v>70.099999999999994</v>
      </c>
      <c r="E14720" s="691">
        <v>70.099999999999994</v>
      </c>
      <c r="F14720" s="691">
        <v>70.400000000000006</v>
      </c>
      <c r="G14720" s="691">
        <v>70.3</v>
      </c>
      <c r="H14720" s="691">
        <v>70.7</v>
      </c>
      <c r="I14720" s="691">
        <v>70.8</v>
      </c>
      <c r="J14720" s="691">
        <v>70.599999999999994</v>
      </c>
      <c r="K14720" s="691">
        <v>70.5</v>
      </c>
    </row>
    <row r="14721" spans="1:11">
      <c r="A14721" s="688" t="s">
        <v>3</v>
      </c>
      <c r="B14721" s="689">
        <v>70.400000000000006</v>
      </c>
      <c r="C14721" s="689">
        <v>70.7</v>
      </c>
      <c r="D14721" s="689">
        <v>70.3</v>
      </c>
      <c r="E14721" s="689">
        <v>70.599999999999994</v>
      </c>
      <c r="F14721" s="689">
        <v>70.599999999999994</v>
      </c>
      <c r="G14721" s="689">
        <v>70.599999999999994</v>
      </c>
      <c r="H14721" s="689">
        <v>70.900000000000006</v>
      </c>
      <c r="I14721" s="689">
        <v>70.8</v>
      </c>
      <c r="J14721" s="689">
        <v>70.5</v>
      </c>
      <c r="K14721" s="689">
        <v>70.2</v>
      </c>
    </row>
    <row r="14722" spans="1:11">
      <c r="A14722" s="688" t="s">
        <v>4061</v>
      </c>
      <c r="B14722" s="691">
        <v>70.400000000000006</v>
      </c>
      <c r="C14722" s="691">
        <v>70.7</v>
      </c>
      <c r="D14722" s="691">
        <v>70.3</v>
      </c>
      <c r="E14722" s="691">
        <v>70.599999999999994</v>
      </c>
      <c r="F14722" s="691">
        <v>70.599999999999994</v>
      </c>
      <c r="G14722" s="691">
        <v>70.599999999999994</v>
      </c>
      <c r="H14722" s="691">
        <v>70.900000000000006</v>
      </c>
      <c r="I14722" s="691">
        <v>70.8</v>
      </c>
      <c r="J14722" s="691">
        <v>70.5</v>
      </c>
      <c r="K14722" s="691">
        <v>70.2</v>
      </c>
    </row>
    <row r="14723" spans="1:11">
      <c r="A14723" s="688" t="s">
        <v>4</v>
      </c>
      <c r="B14723" s="689">
        <v>69.099999999999994</v>
      </c>
      <c r="C14723" s="689">
        <v>68.8</v>
      </c>
      <c r="D14723" s="689">
        <v>69.2</v>
      </c>
      <c r="E14723" s="689">
        <v>69.099999999999994</v>
      </c>
      <c r="F14723" s="689">
        <v>69.599999999999994</v>
      </c>
      <c r="G14723" s="689">
        <v>69.599999999999994</v>
      </c>
      <c r="H14723" s="689">
        <v>69.900000000000006</v>
      </c>
      <c r="I14723" s="693">
        <v>70</v>
      </c>
      <c r="J14723" s="689">
        <v>68.599999999999994</v>
      </c>
      <c r="K14723" s="689">
        <v>69.5</v>
      </c>
    </row>
    <row r="14724" spans="1:11">
      <c r="A14724" s="688" t="s">
        <v>8</v>
      </c>
      <c r="B14724" s="691">
        <v>70.400000000000006</v>
      </c>
      <c r="C14724" s="691">
        <v>70.599999999999994</v>
      </c>
      <c r="D14724" s="691">
        <v>70.599999999999994</v>
      </c>
      <c r="E14724" s="691">
        <v>70.7</v>
      </c>
      <c r="F14724" s="691">
        <v>71.099999999999994</v>
      </c>
      <c r="G14724" s="691">
        <v>71.099999999999994</v>
      </c>
      <c r="H14724" s="691">
        <v>71.599999999999994</v>
      </c>
      <c r="I14724" s="691">
        <v>71.400000000000006</v>
      </c>
      <c r="J14724" s="691">
        <v>71.3</v>
      </c>
      <c r="K14724" s="691">
        <v>71.3</v>
      </c>
    </row>
    <row r="14725" spans="1:11">
      <c r="A14725" s="688" t="s">
        <v>7</v>
      </c>
      <c r="B14725" s="689">
        <v>71.400000000000006</v>
      </c>
      <c r="C14725" s="689">
        <v>71.099999999999994</v>
      </c>
      <c r="D14725" s="689">
        <v>70.900000000000006</v>
      </c>
      <c r="E14725" s="689">
        <v>71.099999999999994</v>
      </c>
      <c r="F14725" s="689">
        <v>71.099999999999994</v>
      </c>
      <c r="G14725" s="689">
        <v>71.599999999999994</v>
      </c>
      <c r="H14725" s="689">
        <v>71.5</v>
      </c>
      <c r="I14725" s="689">
        <v>71.099999999999994</v>
      </c>
      <c r="J14725" s="689">
        <v>70.2</v>
      </c>
      <c r="K14725" s="689">
        <v>70.7</v>
      </c>
    </row>
    <row r="14726" spans="1:11">
      <c r="A14726" s="688" t="s">
        <v>27</v>
      </c>
      <c r="B14726" s="691">
        <v>73.400000000000006</v>
      </c>
      <c r="C14726" s="691">
        <v>72.900000000000006</v>
      </c>
      <c r="D14726" s="691">
        <v>72.7</v>
      </c>
      <c r="E14726" s="691">
        <v>73.099999999999994</v>
      </c>
      <c r="F14726" s="615">
        <v>73</v>
      </c>
      <c r="G14726" s="691">
        <v>73.099999999999994</v>
      </c>
      <c r="H14726" s="691">
        <v>73.5</v>
      </c>
      <c r="I14726" s="691">
        <v>72.3</v>
      </c>
      <c r="J14726" s="691">
        <v>73.099999999999994</v>
      </c>
      <c r="K14726" s="615">
        <v>73</v>
      </c>
    </row>
    <row r="14727" spans="1:11">
      <c r="A14727" s="688" t="s">
        <v>6</v>
      </c>
      <c r="B14727" s="693">
        <v>73</v>
      </c>
      <c r="C14727" s="689">
        <v>72.8</v>
      </c>
      <c r="D14727" s="689">
        <v>72.5</v>
      </c>
      <c r="E14727" s="689">
        <v>72.7</v>
      </c>
      <c r="F14727" s="689">
        <v>72.7</v>
      </c>
      <c r="G14727" s="689">
        <v>72.900000000000006</v>
      </c>
      <c r="H14727" s="693">
        <v>73</v>
      </c>
      <c r="I14727" s="689">
        <v>72.5</v>
      </c>
      <c r="J14727" s="689">
        <v>72.599999999999994</v>
      </c>
      <c r="K14727" s="689">
        <v>72.5</v>
      </c>
    </row>
    <row r="14728" spans="1:11">
      <c r="A14728" s="688" t="s">
        <v>4058</v>
      </c>
      <c r="B14728" s="692" t="s">
        <v>4060</v>
      </c>
      <c r="C14728" s="692" t="s">
        <v>4060</v>
      </c>
      <c r="D14728" s="692" t="s">
        <v>4060</v>
      </c>
      <c r="E14728" s="692" t="s">
        <v>4060</v>
      </c>
      <c r="F14728" s="692" t="s">
        <v>4060</v>
      </c>
      <c r="G14728" s="692" t="s">
        <v>4060</v>
      </c>
      <c r="H14728" s="692" t="s">
        <v>4060</v>
      </c>
      <c r="I14728" s="692" t="s">
        <v>4060</v>
      </c>
      <c r="J14728" s="692" t="s">
        <v>4060</v>
      </c>
      <c r="K14728" s="692" t="s">
        <v>4060</v>
      </c>
    </row>
    <row r="14729" spans="1:11">
      <c r="A14729" s="688" t="s">
        <v>11</v>
      </c>
      <c r="B14729" s="689">
        <v>68.400000000000006</v>
      </c>
      <c r="C14729" s="689">
        <v>68.3</v>
      </c>
      <c r="D14729" s="689">
        <v>67.8</v>
      </c>
      <c r="E14729" s="689">
        <v>68.5</v>
      </c>
      <c r="F14729" s="689">
        <v>68.2</v>
      </c>
      <c r="G14729" s="689">
        <v>68.599999999999994</v>
      </c>
      <c r="H14729" s="689">
        <v>68.7</v>
      </c>
      <c r="I14729" s="689">
        <v>68.099999999999994</v>
      </c>
      <c r="J14729" s="689">
        <v>67.099999999999994</v>
      </c>
      <c r="K14729" s="689">
        <v>68.099999999999994</v>
      </c>
    </row>
    <row r="14730" spans="1:11">
      <c r="A14730" s="688" t="s">
        <v>10</v>
      </c>
      <c r="B14730" s="691">
        <v>72.5</v>
      </c>
      <c r="C14730" s="691">
        <v>72.3</v>
      </c>
      <c r="D14730" s="691">
        <v>71.900000000000006</v>
      </c>
      <c r="E14730" s="691">
        <v>72.5</v>
      </c>
      <c r="F14730" s="691">
        <v>72.2</v>
      </c>
      <c r="G14730" s="691">
        <v>72.5</v>
      </c>
      <c r="H14730" s="691">
        <v>72.7</v>
      </c>
      <c r="I14730" s="691">
        <v>71.8</v>
      </c>
      <c r="J14730" s="615">
        <v>72</v>
      </c>
      <c r="K14730" s="691">
        <v>72.099999999999994</v>
      </c>
    </row>
    <row r="14731" spans="1:11">
      <c r="A14731" s="688" t="s">
        <v>30</v>
      </c>
      <c r="B14731" s="689">
        <v>72.099999999999994</v>
      </c>
      <c r="C14731" s="689">
        <v>71.400000000000006</v>
      </c>
      <c r="D14731" s="693">
        <v>71</v>
      </c>
      <c r="E14731" s="689">
        <v>72.2</v>
      </c>
      <c r="F14731" s="689">
        <v>71.7</v>
      </c>
      <c r="G14731" s="689">
        <v>72.099999999999994</v>
      </c>
      <c r="H14731" s="689">
        <v>71.900000000000006</v>
      </c>
      <c r="I14731" s="689">
        <v>71.8</v>
      </c>
      <c r="J14731" s="689">
        <v>71.099999999999994</v>
      </c>
      <c r="K14731" s="689">
        <v>71.3</v>
      </c>
    </row>
    <row r="14732" spans="1:11">
      <c r="A14732" s="688" t="s">
        <v>12</v>
      </c>
      <c r="B14732" s="691">
        <v>66.400000000000006</v>
      </c>
      <c r="C14732" s="691">
        <v>66.7</v>
      </c>
      <c r="D14732" s="691">
        <v>66.7</v>
      </c>
      <c r="E14732" s="691">
        <v>66.900000000000006</v>
      </c>
      <c r="F14732" s="691">
        <v>66.900000000000006</v>
      </c>
      <c r="G14732" s="691">
        <v>66.900000000000006</v>
      </c>
      <c r="H14732" s="691">
        <v>67.400000000000006</v>
      </c>
      <c r="I14732" s="691">
        <v>67.3</v>
      </c>
      <c r="J14732" s="691">
        <v>65.3</v>
      </c>
      <c r="K14732" s="691">
        <v>66.7</v>
      </c>
    </row>
    <row r="14733" spans="1:11">
      <c r="A14733" s="688" t="s">
        <v>14</v>
      </c>
      <c r="B14733" s="693">
        <v>67</v>
      </c>
      <c r="C14733" s="689">
        <v>67.3</v>
      </c>
      <c r="D14733" s="693">
        <v>67</v>
      </c>
      <c r="E14733" s="689">
        <v>67.400000000000006</v>
      </c>
      <c r="F14733" s="689">
        <v>67.599999999999994</v>
      </c>
      <c r="G14733" s="689">
        <v>67.900000000000006</v>
      </c>
      <c r="H14733" s="689">
        <v>68.3</v>
      </c>
      <c r="I14733" s="689">
        <v>67.3</v>
      </c>
      <c r="J14733" s="689">
        <v>66.2</v>
      </c>
      <c r="K14733" s="689">
        <v>67.400000000000006</v>
      </c>
    </row>
    <row r="14734" spans="1:11">
      <c r="A14734" s="688" t="s">
        <v>15</v>
      </c>
      <c r="B14734" s="691">
        <v>71.3</v>
      </c>
      <c r="C14734" s="691">
        <v>71.900000000000006</v>
      </c>
      <c r="D14734" s="691">
        <v>71.400000000000006</v>
      </c>
      <c r="E14734" s="691">
        <v>72.099999999999994</v>
      </c>
      <c r="F14734" s="691">
        <v>71.2</v>
      </c>
      <c r="G14734" s="691">
        <v>71.7</v>
      </c>
      <c r="H14734" s="691">
        <v>72.099999999999994</v>
      </c>
      <c r="I14734" s="691">
        <v>71.8</v>
      </c>
      <c r="J14734" s="615">
        <v>72</v>
      </c>
      <c r="K14734" s="691">
        <v>72.2</v>
      </c>
    </row>
    <row r="14735" spans="1:11">
      <c r="A14735" s="688" t="s">
        <v>29</v>
      </c>
      <c r="B14735" s="689">
        <v>66.599999999999994</v>
      </c>
      <c r="C14735" s="689">
        <v>66.599999999999994</v>
      </c>
      <c r="D14735" s="689">
        <v>66.2</v>
      </c>
      <c r="E14735" s="689">
        <v>66.8</v>
      </c>
      <c r="F14735" s="689">
        <v>66.5</v>
      </c>
      <c r="G14735" s="689">
        <v>66.7</v>
      </c>
      <c r="H14735" s="689">
        <v>66.900000000000006</v>
      </c>
      <c r="I14735" s="689">
        <v>66.099999999999994</v>
      </c>
      <c r="J14735" s="689">
        <v>64.900000000000006</v>
      </c>
      <c r="K14735" s="689">
        <v>66.5</v>
      </c>
    </row>
    <row r="14736" spans="1:11">
      <c r="A14736" s="688" t="s">
        <v>16</v>
      </c>
      <c r="B14736" s="691">
        <v>71.599999999999994</v>
      </c>
      <c r="C14736" s="691">
        <v>71.400000000000006</v>
      </c>
      <c r="D14736" s="691">
        <v>71.3</v>
      </c>
      <c r="E14736" s="691">
        <v>71.5</v>
      </c>
      <c r="F14736" s="691">
        <v>71.599999999999994</v>
      </c>
      <c r="G14736" s="691">
        <v>71.5</v>
      </c>
      <c r="H14736" s="691">
        <v>71.900000000000006</v>
      </c>
      <c r="I14736" s="691">
        <v>71.5</v>
      </c>
      <c r="J14736" s="691">
        <v>71.2</v>
      </c>
      <c r="K14736" s="691">
        <v>71.599999999999994</v>
      </c>
    </row>
    <row r="14737" spans="1:11">
      <c r="A14737" s="688" t="s">
        <v>17</v>
      </c>
      <c r="B14737" s="689">
        <v>70.599999999999994</v>
      </c>
      <c r="C14737" s="689">
        <v>70.7</v>
      </c>
      <c r="D14737" s="689">
        <v>70.400000000000006</v>
      </c>
      <c r="E14737" s="689">
        <v>70.5</v>
      </c>
      <c r="F14737" s="689">
        <v>70.7</v>
      </c>
      <c r="G14737" s="689">
        <v>70.7</v>
      </c>
      <c r="H14737" s="689">
        <v>70.900000000000006</v>
      </c>
      <c r="I14737" s="689">
        <v>70.400000000000006</v>
      </c>
      <c r="J14737" s="689">
        <v>70.3</v>
      </c>
      <c r="K14737" s="689">
        <v>70.400000000000006</v>
      </c>
    </row>
    <row r="14738" spans="1:11">
      <c r="A14738" s="688" t="s">
        <v>19</v>
      </c>
      <c r="B14738" s="691">
        <v>71.099999999999994</v>
      </c>
      <c r="C14738" s="691">
        <v>71.099999999999994</v>
      </c>
      <c r="D14738" s="691">
        <v>70.900000000000006</v>
      </c>
      <c r="E14738" s="691">
        <v>71.3</v>
      </c>
      <c r="F14738" s="691">
        <v>71.2</v>
      </c>
      <c r="G14738" s="691">
        <v>71.3</v>
      </c>
      <c r="H14738" s="691">
        <v>71.5</v>
      </c>
      <c r="I14738" s="691">
        <v>71.099999999999994</v>
      </c>
      <c r="J14738" s="691">
        <v>71.099999999999994</v>
      </c>
      <c r="K14738" s="691">
        <v>71.099999999999994</v>
      </c>
    </row>
    <row r="14739" spans="1:11">
      <c r="A14739" s="688" t="s">
        <v>20</v>
      </c>
      <c r="B14739" s="689">
        <v>68.599999999999994</v>
      </c>
      <c r="C14739" s="689">
        <v>68.8</v>
      </c>
      <c r="D14739" s="689">
        <v>68.7</v>
      </c>
      <c r="E14739" s="689">
        <v>69.099999999999994</v>
      </c>
      <c r="F14739" s="689">
        <v>68.900000000000006</v>
      </c>
      <c r="G14739" s="689">
        <v>68.8</v>
      </c>
      <c r="H14739" s="689">
        <v>69.099999999999994</v>
      </c>
      <c r="I14739" s="689">
        <v>67.900000000000006</v>
      </c>
      <c r="J14739" s="689">
        <v>66.900000000000006</v>
      </c>
      <c r="K14739" s="689">
        <v>68.400000000000006</v>
      </c>
    </row>
    <row r="14740" spans="1:11">
      <c r="A14740" s="688" t="s">
        <v>21</v>
      </c>
      <c r="B14740" s="691">
        <v>71.3</v>
      </c>
      <c r="C14740" s="691">
        <v>71.599999999999994</v>
      </c>
      <c r="D14740" s="691">
        <v>71.599999999999994</v>
      </c>
      <c r="E14740" s="691">
        <v>71.599999999999994</v>
      </c>
      <c r="F14740" s="691">
        <v>71.8</v>
      </c>
      <c r="G14740" s="691">
        <v>71.900000000000006</v>
      </c>
      <c r="H14740" s="691">
        <v>72.099999999999994</v>
      </c>
      <c r="I14740" s="691">
        <v>71.5</v>
      </c>
      <c r="J14740" s="691">
        <v>71.5</v>
      </c>
      <c r="K14740" s="691">
        <v>71.7</v>
      </c>
    </row>
    <row r="14741" spans="1:11">
      <c r="A14741" s="688" t="s">
        <v>22</v>
      </c>
      <c r="B14741" s="689">
        <v>66.599999999999994</v>
      </c>
      <c r="C14741" s="689">
        <v>66.3</v>
      </c>
      <c r="D14741" s="689">
        <v>66.3</v>
      </c>
      <c r="E14741" s="689">
        <v>66.599999999999994</v>
      </c>
      <c r="F14741" s="689">
        <v>66.599999999999994</v>
      </c>
      <c r="G14741" s="689">
        <v>66.7</v>
      </c>
      <c r="H14741" s="693">
        <v>67</v>
      </c>
      <c r="I14741" s="689">
        <v>65.8</v>
      </c>
      <c r="J14741" s="689">
        <v>64.2</v>
      </c>
      <c r="K14741" s="689">
        <v>66.599999999999994</v>
      </c>
    </row>
    <row r="14742" spans="1:11">
      <c r="A14742" s="688" t="s">
        <v>26</v>
      </c>
      <c r="B14742" s="691">
        <v>70.900000000000006</v>
      </c>
      <c r="C14742" s="691">
        <v>70.900000000000006</v>
      </c>
      <c r="D14742" s="691">
        <v>70.7</v>
      </c>
      <c r="E14742" s="691">
        <v>71.099999999999994</v>
      </c>
      <c r="F14742" s="691">
        <v>70.900000000000006</v>
      </c>
      <c r="G14742" s="691">
        <v>71.2</v>
      </c>
      <c r="H14742" s="691">
        <v>71.5</v>
      </c>
      <c r="I14742" s="691">
        <v>70.599999999999994</v>
      </c>
      <c r="J14742" s="691">
        <v>70.900000000000006</v>
      </c>
      <c r="K14742" s="691">
        <v>71.2</v>
      </c>
    </row>
    <row r="14743" spans="1:11">
      <c r="A14743" s="688" t="s">
        <v>25</v>
      </c>
      <c r="B14743" s="689">
        <v>67.7</v>
      </c>
      <c r="C14743" s="693">
        <v>68</v>
      </c>
      <c r="D14743" s="689">
        <v>67.7</v>
      </c>
      <c r="E14743" s="689">
        <v>68.099999999999994</v>
      </c>
      <c r="F14743" s="693">
        <v>68</v>
      </c>
      <c r="G14743" s="689">
        <v>68.2</v>
      </c>
      <c r="H14743" s="689">
        <v>68.599999999999994</v>
      </c>
      <c r="I14743" s="689">
        <v>67.900000000000006</v>
      </c>
      <c r="J14743" s="689">
        <v>65.7</v>
      </c>
      <c r="K14743" s="689">
        <v>67.900000000000006</v>
      </c>
    </row>
    <row r="14744" spans="1:11">
      <c r="A14744" s="688" t="s">
        <v>5</v>
      </c>
      <c r="B14744" s="691">
        <v>71.3</v>
      </c>
      <c r="C14744" s="691">
        <v>71.099999999999994</v>
      </c>
      <c r="D14744" s="691">
        <v>71.400000000000006</v>
      </c>
      <c r="E14744" s="691">
        <v>71.400000000000006</v>
      </c>
      <c r="F14744" s="691">
        <v>71.5</v>
      </c>
      <c r="G14744" s="691">
        <v>71.599999999999994</v>
      </c>
      <c r="H14744" s="691">
        <v>71.8</v>
      </c>
      <c r="I14744" s="691">
        <v>71.8</v>
      </c>
      <c r="J14744" s="691">
        <v>71.7</v>
      </c>
      <c r="K14744" s="615">
        <v>71</v>
      </c>
    </row>
    <row r="14745" spans="1:11">
      <c r="A14745" s="688" t="s">
        <v>23</v>
      </c>
      <c r="B14745" s="689">
        <v>71.099999999999994</v>
      </c>
      <c r="C14745" s="689">
        <v>71.3</v>
      </c>
      <c r="D14745" s="689">
        <v>71.3</v>
      </c>
      <c r="E14745" s="689">
        <v>71.400000000000006</v>
      </c>
      <c r="F14745" s="689">
        <v>71.400000000000006</v>
      </c>
      <c r="G14745" s="689">
        <v>71.5</v>
      </c>
      <c r="H14745" s="693">
        <v>72</v>
      </c>
      <c r="I14745" s="689">
        <v>71.5</v>
      </c>
      <c r="J14745" s="693">
        <v>72</v>
      </c>
      <c r="K14745" s="693">
        <v>72</v>
      </c>
    </row>
    <row r="14746" spans="1:11">
      <c r="A14746" s="688" t="s">
        <v>4067</v>
      </c>
      <c r="B14746" s="691">
        <v>70.7</v>
      </c>
      <c r="C14746" s="615">
        <v>71</v>
      </c>
      <c r="D14746" s="691">
        <v>70.599999999999994</v>
      </c>
      <c r="E14746" s="615">
        <v>71</v>
      </c>
      <c r="F14746" s="691">
        <v>70.900000000000006</v>
      </c>
      <c r="G14746" s="615">
        <v>71</v>
      </c>
      <c r="H14746" s="692" t="s">
        <v>4060</v>
      </c>
      <c r="I14746" s="692" t="s">
        <v>4060</v>
      </c>
      <c r="J14746" s="692" t="s">
        <v>4060</v>
      </c>
      <c r="K14746" s="692" t="s">
        <v>4060</v>
      </c>
    </row>
    <row r="14747" spans="1:11">
      <c r="A14747" s="688" t="s">
        <v>4066</v>
      </c>
      <c r="B14747" s="689">
        <v>70.7</v>
      </c>
      <c r="C14747" s="693">
        <v>71</v>
      </c>
      <c r="D14747" s="689">
        <v>70.7</v>
      </c>
      <c r="E14747" s="693">
        <v>71</v>
      </c>
      <c r="F14747" s="689">
        <v>70.900000000000006</v>
      </c>
      <c r="G14747" s="693">
        <v>71</v>
      </c>
      <c r="H14747" s="690" t="s">
        <v>4060</v>
      </c>
      <c r="I14747" s="690" t="s">
        <v>4060</v>
      </c>
      <c r="J14747" s="690" t="s">
        <v>4060</v>
      </c>
      <c r="K14747" s="690" t="s">
        <v>4060</v>
      </c>
    </row>
    <row r="14748" spans="1:11">
      <c r="A14748" s="688" t="s">
        <v>4062</v>
      </c>
      <c r="B14748" s="691">
        <v>71.900000000000006</v>
      </c>
      <c r="C14748" s="691">
        <v>72.099999999999994</v>
      </c>
      <c r="D14748" s="691">
        <v>71.900000000000006</v>
      </c>
      <c r="E14748" s="691">
        <v>72.099999999999994</v>
      </c>
      <c r="F14748" s="691">
        <v>72.3</v>
      </c>
      <c r="G14748" s="691">
        <v>72.400000000000006</v>
      </c>
      <c r="H14748" s="691">
        <v>72.5</v>
      </c>
      <c r="I14748" s="691">
        <v>72.3</v>
      </c>
      <c r="J14748" s="691">
        <v>72.599999999999994</v>
      </c>
      <c r="K14748" s="691">
        <v>72.3</v>
      </c>
    </row>
    <row r="14749" spans="1:11">
      <c r="A14749" s="688" t="s">
        <v>9</v>
      </c>
      <c r="B14749" s="693">
        <v>71</v>
      </c>
      <c r="C14749" s="689">
        <v>71.400000000000006</v>
      </c>
      <c r="D14749" s="689">
        <v>70.900000000000006</v>
      </c>
      <c r="E14749" s="689">
        <v>71.099999999999994</v>
      </c>
      <c r="F14749" s="689">
        <v>71.5</v>
      </c>
      <c r="G14749" s="689">
        <v>71.400000000000006</v>
      </c>
      <c r="H14749" s="689">
        <v>71.599999999999994</v>
      </c>
      <c r="I14749" s="689">
        <v>71.599999999999994</v>
      </c>
      <c r="J14749" s="689">
        <v>71.8</v>
      </c>
      <c r="K14749" s="689">
        <v>70.8</v>
      </c>
    </row>
    <row r="14750" spans="1:11">
      <c r="A14750" s="688" t="s">
        <v>13</v>
      </c>
      <c r="B14750" s="691">
        <v>71.900000000000006</v>
      </c>
      <c r="C14750" s="691">
        <v>70.7</v>
      </c>
      <c r="D14750" s="691">
        <v>71.3</v>
      </c>
      <c r="E14750" s="691">
        <v>70.900000000000006</v>
      </c>
      <c r="F14750" s="691">
        <v>72.8</v>
      </c>
      <c r="G14750" s="691">
        <v>72.599999999999994</v>
      </c>
      <c r="H14750" s="691">
        <v>72.5</v>
      </c>
      <c r="I14750" s="691">
        <v>72.099999999999994</v>
      </c>
      <c r="J14750" s="691">
        <v>73.099999999999994</v>
      </c>
      <c r="K14750" s="691">
        <v>72.2</v>
      </c>
    </row>
    <row r="14751" spans="1:11">
      <c r="A14751" s="688" t="s">
        <v>18</v>
      </c>
      <c r="B14751" s="693">
        <v>71</v>
      </c>
      <c r="C14751" s="689">
        <v>71.3</v>
      </c>
      <c r="D14751" s="689">
        <v>71.400000000000006</v>
      </c>
      <c r="E14751" s="689">
        <v>71.400000000000006</v>
      </c>
      <c r="F14751" s="689">
        <v>71.5</v>
      </c>
      <c r="G14751" s="689">
        <v>71.7</v>
      </c>
      <c r="H14751" s="689">
        <v>71.900000000000006</v>
      </c>
      <c r="I14751" s="689">
        <v>72.099999999999994</v>
      </c>
      <c r="J14751" s="689">
        <v>71.900000000000006</v>
      </c>
      <c r="K14751" s="689">
        <v>71.5</v>
      </c>
    </row>
    <row r="14752" spans="1:11">
      <c r="A14752" s="688" t="s">
        <v>24</v>
      </c>
      <c r="B14752" s="691">
        <v>72.400000000000006</v>
      </c>
      <c r="C14752" s="691">
        <v>72.5</v>
      </c>
      <c r="D14752" s="691">
        <v>72.3</v>
      </c>
      <c r="E14752" s="691">
        <v>72.599999999999994</v>
      </c>
      <c r="F14752" s="691">
        <v>72.7</v>
      </c>
      <c r="G14752" s="691">
        <v>72.8</v>
      </c>
      <c r="H14752" s="691">
        <v>72.900000000000006</v>
      </c>
      <c r="I14752" s="691">
        <v>72.400000000000006</v>
      </c>
      <c r="J14752" s="691">
        <v>72.900000000000006</v>
      </c>
      <c r="K14752" s="691">
        <v>72.7</v>
      </c>
    </row>
    <row r="14753" spans="1:11">
      <c r="A14753" s="688" t="s">
        <v>4059</v>
      </c>
      <c r="B14753" s="689">
        <v>70.3</v>
      </c>
      <c r="C14753" s="689">
        <v>70.599999999999994</v>
      </c>
      <c r="D14753" s="689">
        <v>70.2</v>
      </c>
      <c r="E14753" s="689">
        <v>70.400000000000006</v>
      </c>
      <c r="F14753" s="689">
        <v>70.5</v>
      </c>
      <c r="G14753" s="689">
        <v>70.400000000000006</v>
      </c>
      <c r="H14753" s="690" t="s">
        <v>4060</v>
      </c>
      <c r="I14753" s="690" t="s">
        <v>4060</v>
      </c>
      <c r="J14753" s="690" t="s">
        <v>4060</v>
      </c>
      <c r="K14753" s="690" t="s">
        <v>4060</v>
      </c>
    </row>
    <row r="14754" spans="1:11">
      <c r="A14754" s="688" t="s">
        <v>2324</v>
      </c>
      <c r="B14754" s="691">
        <v>66.3</v>
      </c>
      <c r="C14754" s="691">
        <v>66.400000000000006</v>
      </c>
      <c r="D14754" s="691">
        <v>65.900000000000006</v>
      </c>
      <c r="E14754" s="691">
        <v>66.3</v>
      </c>
      <c r="F14754" s="691">
        <v>66.5</v>
      </c>
      <c r="G14754" s="691">
        <v>66.5</v>
      </c>
      <c r="H14754" s="691">
        <v>66.8</v>
      </c>
      <c r="I14754" s="691">
        <v>66.099999999999994</v>
      </c>
      <c r="J14754" s="691">
        <v>64.2</v>
      </c>
      <c r="K14754" s="692" t="s">
        <v>4060</v>
      </c>
    </row>
    <row r="14755" spans="1:11">
      <c r="A14755" s="688" t="s">
        <v>2322</v>
      </c>
      <c r="B14755" s="690" t="s">
        <v>4060</v>
      </c>
      <c r="C14755" s="690" t="s">
        <v>4060</v>
      </c>
      <c r="D14755" s="690" t="s">
        <v>4060</v>
      </c>
      <c r="E14755" s="690" t="s">
        <v>4060</v>
      </c>
      <c r="F14755" s="690" t="s">
        <v>4060</v>
      </c>
      <c r="G14755" s="690" t="s">
        <v>4060</v>
      </c>
      <c r="H14755" s="690" t="s">
        <v>4060</v>
      </c>
      <c r="I14755" s="690" t="s">
        <v>4060</v>
      </c>
      <c r="J14755" s="690" t="s">
        <v>4060</v>
      </c>
      <c r="K14755" s="690" t="s">
        <v>4060</v>
      </c>
    </row>
    <row r="14756" spans="1:11">
      <c r="A14756" s="688" t="s">
        <v>2328</v>
      </c>
      <c r="B14756" s="691">
        <v>65.400000000000006</v>
      </c>
      <c r="C14756" s="691">
        <v>65.400000000000006</v>
      </c>
      <c r="D14756" s="691">
        <v>65.2</v>
      </c>
      <c r="E14756" s="691">
        <v>65.599999999999994</v>
      </c>
      <c r="F14756" s="691">
        <v>65.8</v>
      </c>
      <c r="G14756" s="691">
        <v>66.2</v>
      </c>
      <c r="H14756" s="691">
        <v>66.099999999999994</v>
      </c>
      <c r="I14756" s="691">
        <v>64.3</v>
      </c>
      <c r="J14756" s="691">
        <v>62.9</v>
      </c>
      <c r="K14756" s="692" t="s">
        <v>4060</v>
      </c>
    </row>
    <row r="14757" spans="1:11">
      <c r="A14757" s="688" t="s">
        <v>2496</v>
      </c>
      <c r="B14757" s="690" t="s">
        <v>4060</v>
      </c>
      <c r="C14757" s="689">
        <v>66.2</v>
      </c>
      <c r="D14757" s="689">
        <v>65.3</v>
      </c>
      <c r="E14757" s="693">
        <v>65</v>
      </c>
      <c r="F14757" s="689">
        <v>65.7</v>
      </c>
      <c r="G14757" s="693">
        <v>66</v>
      </c>
      <c r="H14757" s="689">
        <v>66.099999999999994</v>
      </c>
      <c r="I14757" s="690" t="s">
        <v>4060</v>
      </c>
      <c r="J14757" s="690" t="s">
        <v>4060</v>
      </c>
      <c r="K14757" s="689">
        <v>65.900000000000006</v>
      </c>
    </row>
    <row r="14758" spans="1:11">
      <c r="A14758" s="688" t="s">
        <v>2269</v>
      </c>
      <c r="B14758" s="691">
        <v>67.900000000000006</v>
      </c>
      <c r="C14758" s="691">
        <v>68.099999999999994</v>
      </c>
      <c r="D14758" s="691">
        <v>67.5</v>
      </c>
      <c r="E14758" s="615">
        <v>68</v>
      </c>
      <c r="F14758" s="691">
        <v>67.900000000000006</v>
      </c>
      <c r="G14758" s="691">
        <v>68.400000000000006</v>
      </c>
      <c r="H14758" s="691">
        <v>68.599999999999994</v>
      </c>
      <c r="I14758" s="691">
        <v>67.5</v>
      </c>
      <c r="J14758" s="691">
        <v>65.3</v>
      </c>
      <c r="K14758" s="691">
        <v>68.400000000000006</v>
      </c>
    </row>
    <row r="14759" spans="1:11">
      <c r="A14759" s="688" t="s">
        <v>2349</v>
      </c>
      <c r="B14759" s="689">
        <v>65.5</v>
      </c>
      <c r="C14759" s="689">
        <v>65.5</v>
      </c>
      <c r="D14759" s="689">
        <v>65.400000000000006</v>
      </c>
      <c r="E14759" s="689">
        <v>65.7</v>
      </c>
      <c r="F14759" s="689">
        <v>65.599999999999994</v>
      </c>
      <c r="G14759" s="689">
        <v>65.900000000000006</v>
      </c>
      <c r="H14759" s="689">
        <v>66.099999999999994</v>
      </c>
      <c r="I14759" s="689">
        <v>64.900000000000006</v>
      </c>
      <c r="J14759" s="689">
        <v>63.1</v>
      </c>
      <c r="K14759" s="689">
        <v>65.2</v>
      </c>
    </row>
    <row r="14760" spans="1:11">
      <c r="A14760" s="688" t="s">
        <v>2355</v>
      </c>
      <c r="B14760" s="691">
        <v>69.3</v>
      </c>
      <c r="C14760" s="691">
        <v>69.099999999999994</v>
      </c>
      <c r="D14760" s="691">
        <v>69.099999999999994</v>
      </c>
      <c r="E14760" s="615">
        <v>69</v>
      </c>
      <c r="F14760" s="691">
        <v>69.3</v>
      </c>
      <c r="G14760" s="691">
        <v>69.599999999999994</v>
      </c>
      <c r="H14760" s="691">
        <v>69.7</v>
      </c>
      <c r="I14760" s="692" t="s">
        <v>4060</v>
      </c>
      <c r="J14760" s="692" t="s">
        <v>4060</v>
      </c>
      <c r="K14760" s="692" t="s">
        <v>4060</v>
      </c>
    </row>
    <row r="14761" spans="1:11">
      <c r="A14761" s="688" t="s">
        <v>2357</v>
      </c>
      <c r="B14761" s="690" t="s">
        <v>4060</v>
      </c>
      <c r="C14761" s="689">
        <v>64.400000000000006</v>
      </c>
      <c r="D14761" s="693">
        <v>65</v>
      </c>
      <c r="E14761" s="689">
        <v>65.3</v>
      </c>
      <c r="F14761" s="689">
        <v>65.599999999999994</v>
      </c>
      <c r="G14761" s="689">
        <v>65.7</v>
      </c>
      <c r="H14761" s="689">
        <v>65.900000000000006</v>
      </c>
      <c r="I14761" s="690" t="s">
        <v>4060</v>
      </c>
      <c r="J14761" s="690" t="s">
        <v>4060</v>
      </c>
      <c r="K14761" s="690" t="s">
        <v>4060</v>
      </c>
    </row>
    <row r="14762" spans="1:11">
      <c r="A14762" s="688" t="s">
        <v>4070</v>
      </c>
      <c r="B14762" s="692" t="s">
        <v>4060</v>
      </c>
      <c r="C14762" s="692" t="s">
        <v>4060</v>
      </c>
      <c r="D14762" s="692" t="s">
        <v>4060</v>
      </c>
      <c r="E14762" s="691">
        <v>69.2</v>
      </c>
      <c r="F14762" s="692" t="s">
        <v>4060</v>
      </c>
      <c r="G14762" s="692" t="s">
        <v>4060</v>
      </c>
      <c r="H14762" s="692" t="s">
        <v>4060</v>
      </c>
      <c r="I14762" s="692" t="s">
        <v>4060</v>
      </c>
      <c r="J14762" s="692" t="s">
        <v>4060</v>
      </c>
      <c r="K14762" s="692" t="s">
        <v>4060</v>
      </c>
    </row>
    <row r="14763" spans="1:11">
      <c r="A14763" s="688" t="s">
        <v>2491</v>
      </c>
      <c r="B14763" s="689">
        <v>65.400000000000006</v>
      </c>
      <c r="C14763" s="693">
        <v>66</v>
      </c>
      <c r="D14763" s="689">
        <v>66.3</v>
      </c>
      <c r="E14763" s="689">
        <v>66.5</v>
      </c>
      <c r="F14763" s="689">
        <v>66.7</v>
      </c>
      <c r="G14763" s="689">
        <v>66.7</v>
      </c>
      <c r="H14763" s="690" t="s">
        <v>4060</v>
      </c>
      <c r="I14763" s="690" t="s">
        <v>4060</v>
      </c>
      <c r="J14763" s="690" t="s">
        <v>4060</v>
      </c>
      <c r="K14763" s="690" t="s">
        <v>4060</v>
      </c>
    </row>
    <row r="14764" spans="1:11">
      <c r="A14764" s="688" t="s">
        <v>2343</v>
      </c>
      <c r="B14764" s="692" t="s">
        <v>4060</v>
      </c>
      <c r="C14764" s="692" t="s">
        <v>4060</v>
      </c>
      <c r="D14764" s="692" t="s">
        <v>4060</v>
      </c>
      <c r="E14764" s="692" t="s">
        <v>4060</v>
      </c>
      <c r="F14764" s="692" t="s">
        <v>4060</v>
      </c>
      <c r="G14764" s="692" t="s">
        <v>4060</v>
      </c>
      <c r="H14764" s="692" t="s">
        <v>4060</v>
      </c>
      <c r="I14764" s="692" t="s">
        <v>4060</v>
      </c>
      <c r="J14764" s="692" t="s">
        <v>4060</v>
      </c>
      <c r="K14764" s="692" t="s">
        <v>4060</v>
      </c>
    </row>
    <row r="14765" spans="1:11">
      <c r="A14765" s="688" t="s">
        <v>4071</v>
      </c>
      <c r="B14765" s="690" t="s">
        <v>4060</v>
      </c>
      <c r="C14765" s="690" t="s">
        <v>4060</v>
      </c>
      <c r="D14765" s="690" t="s">
        <v>4060</v>
      </c>
      <c r="E14765" s="690" t="s">
        <v>4060</v>
      </c>
      <c r="F14765" s="690" t="s">
        <v>4060</v>
      </c>
      <c r="G14765" s="690" t="s">
        <v>4060</v>
      </c>
      <c r="H14765" s="690" t="s">
        <v>4060</v>
      </c>
      <c r="I14765" s="690" t="s">
        <v>4060</v>
      </c>
      <c r="J14765" s="690" t="s">
        <v>4060</v>
      </c>
      <c r="K14765" s="690" t="s">
        <v>4060</v>
      </c>
    </row>
    <row r="14766" spans="1:11">
      <c r="A14766" s="688" t="s">
        <v>2489</v>
      </c>
      <c r="B14766" s="692" t="s">
        <v>4060</v>
      </c>
      <c r="C14766" s="692" t="s">
        <v>4060</v>
      </c>
      <c r="D14766" s="691">
        <v>66.099999999999994</v>
      </c>
      <c r="E14766" s="691">
        <v>66.2</v>
      </c>
      <c r="F14766" s="691">
        <v>66.7</v>
      </c>
      <c r="G14766" s="691">
        <v>67.400000000000006</v>
      </c>
      <c r="H14766" s="691">
        <v>67.3</v>
      </c>
      <c r="I14766" s="692" t="s">
        <v>4060</v>
      </c>
      <c r="J14766" s="692" t="s">
        <v>4060</v>
      </c>
      <c r="K14766" s="692" t="s">
        <v>4060</v>
      </c>
    </row>
    <row r="14767" spans="1:11">
      <c r="A14767" s="688" t="s">
        <v>2490</v>
      </c>
      <c r="B14767" s="689">
        <v>65.2</v>
      </c>
      <c r="C14767" s="689">
        <v>65.3</v>
      </c>
      <c r="D14767" s="689">
        <v>65.8</v>
      </c>
      <c r="E14767" s="690" t="s">
        <v>4060</v>
      </c>
      <c r="F14767" s="689">
        <v>65.900000000000006</v>
      </c>
      <c r="G14767" s="689">
        <v>66.400000000000006</v>
      </c>
      <c r="H14767" s="689">
        <v>66.900000000000006</v>
      </c>
      <c r="I14767" s="690" t="s">
        <v>4060</v>
      </c>
      <c r="J14767" s="690" t="s">
        <v>4060</v>
      </c>
      <c r="K14767" s="690" t="s">
        <v>4060</v>
      </c>
    </row>
    <row r="14769" spans="1:11">
      <c r="A14769" s="683" t="s">
        <v>4233</v>
      </c>
    </row>
    <row r="14770" spans="1:11">
      <c r="A14770" s="683" t="s">
        <v>4060</v>
      </c>
      <c r="B14770" s="682" t="s">
        <v>4234</v>
      </c>
    </row>
    <row r="14772" spans="1:11">
      <c r="A14772" s="682" t="s">
        <v>4332</v>
      </c>
    </row>
    <row r="14773" spans="1:11">
      <c r="A14773" s="682" t="s">
        <v>4210</v>
      </c>
      <c r="B14773" s="683" t="s">
        <v>4211</v>
      </c>
    </row>
    <row r="14774" spans="1:11">
      <c r="A14774" s="682" t="s">
        <v>4212</v>
      </c>
      <c r="B14774" s="682" t="s">
        <v>4213</v>
      </c>
    </row>
    <row r="14776" spans="1:11">
      <c r="A14776" s="683" t="s">
        <v>4214</v>
      </c>
      <c r="C14776" s="682" t="s">
        <v>4215</v>
      </c>
    </row>
    <row r="14777" spans="1:11">
      <c r="A14777" s="683" t="s">
        <v>4216</v>
      </c>
      <c r="C14777" s="682" t="s">
        <v>2967</v>
      </c>
    </row>
    <row r="14778" spans="1:11">
      <c r="A14778" s="683" t="s">
        <v>3893</v>
      </c>
      <c r="C14778" s="682" t="s">
        <v>2169</v>
      </c>
    </row>
    <row r="14779" spans="1:11">
      <c r="A14779" s="683" t="s">
        <v>4218</v>
      </c>
      <c r="C14779" s="682" t="s">
        <v>4249</v>
      </c>
    </row>
    <row r="14781" spans="1:11">
      <c r="A14781" s="684" t="s">
        <v>4220</v>
      </c>
      <c r="B14781" s="685" t="s">
        <v>4221</v>
      </c>
      <c r="C14781" s="685" t="s">
        <v>4222</v>
      </c>
      <c r="D14781" s="685" t="s">
        <v>4223</v>
      </c>
      <c r="E14781" s="685" t="s">
        <v>4224</v>
      </c>
      <c r="F14781" s="685" t="s">
        <v>4225</v>
      </c>
      <c r="G14781" s="685" t="s">
        <v>4226</v>
      </c>
      <c r="H14781" s="685" t="s">
        <v>4227</v>
      </c>
      <c r="I14781" s="685" t="s">
        <v>4228</v>
      </c>
      <c r="J14781" s="685" t="s">
        <v>4229</v>
      </c>
      <c r="K14781" s="685" t="s">
        <v>4230</v>
      </c>
    </row>
    <row r="14782" spans="1:11">
      <c r="A14782" s="686" t="s">
        <v>4231</v>
      </c>
      <c r="B14782" s="687" t="s">
        <v>4232</v>
      </c>
      <c r="C14782" s="687" t="s">
        <v>4232</v>
      </c>
      <c r="D14782" s="687" t="s">
        <v>4232</v>
      </c>
      <c r="E14782" s="687" t="s">
        <v>4232</v>
      </c>
      <c r="F14782" s="687" t="s">
        <v>4232</v>
      </c>
      <c r="G14782" s="687" t="s">
        <v>4232</v>
      </c>
      <c r="H14782" s="687" t="s">
        <v>4232</v>
      </c>
      <c r="I14782" s="687" t="s">
        <v>4232</v>
      </c>
      <c r="J14782" s="687" t="s">
        <v>4232</v>
      </c>
      <c r="K14782" s="687" t="s">
        <v>4232</v>
      </c>
    </row>
    <row r="14783" spans="1:11">
      <c r="A14783" s="688" t="s">
        <v>4064</v>
      </c>
      <c r="B14783" s="689">
        <v>69.7</v>
      </c>
      <c r="C14783" s="689">
        <v>69.7</v>
      </c>
      <c r="D14783" s="689">
        <v>69.7</v>
      </c>
      <c r="E14783" s="689">
        <v>69.8</v>
      </c>
      <c r="F14783" s="689">
        <v>69.8</v>
      </c>
      <c r="G14783" s="689">
        <v>69.900000000000006</v>
      </c>
      <c r="H14783" s="689">
        <v>70.099999999999994</v>
      </c>
      <c r="I14783" s="689">
        <v>69.400000000000006</v>
      </c>
      <c r="J14783" s="689">
        <v>69.099999999999994</v>
      </c>
      <c r="K14783" s="689">
        <v>69.599999999999994</v>
      </c>
    </row>
    <row r="14784" spans="1:11">
      <c r="A14784" s="688" t="s">
        <v>4065</v>
      </c>
      <c r="B14784" s="691">
        <v>69.7</v>
      </c>
      <c r="C14784" s="615">
        <v>70</v>
      </c>
      <c r="D14784" s="691">
        <v>69.599999999999994</v>
      </c>
      <c r="E14784" s="615">
        <v>70</v>
      </c>
      <c r="F14784" s="691">
        <v>69.900000000000006</v>
      </c>
      <c r="G14784" s="615">
        <v>70</v>
      </c>
      <c r="H14784" s="692" t="s">
        <v>4060</v>
      </c>
      <c r="I14784" s="692" t="s">
        <v>4060</v>
      </c>
      <c r="J14784" s="692" t="s">
        <v>4060</v>
      </c>
      <c r="K14784" s="692" t="s">
        <v>4060</v>
      </c>
    </row>
    <row r="14785" spans="1:11">
      <c r="A14785" s="688" t="s">
        <v>4063</v>
      </c>
      <c r="B14785" s="689">
        <v>69.7</v>
      </c>
      <c r="C14785" s="689">
        <v>70.099999999999994</v>
      </c>
      <c r="D14785" s="689">
        <v>69.7</v>
      </c>
      <c r="E14785" s="693">
        <v>70</v>
      </c>
      <c r="F14785" s="689">
        <v>69.900000000000006</v>
      </c>
      <c r="G14785" s="693">
        <v>70</v>
      </c>
      <c r="H14785" s="690" t="s">
        <v>4060</v>
      </c>
      <c r="I14785" s="690" t="s">
        <v>4060</v>
      </c>
      <c r="J14785" s="690" t="s">
        <v>4060</v>
      </c>
      <c r="K14785" s="690" t="s">
        <v>4060</v>
      </c>
    </row>
    <row r="14786" spans="1:11">
      <c r="A14786" s="688" t="s">
        <v>4069</v>
      </c>
      <c r="B14786" s="692" t="s">
        <v>4060</v>
      </c>
      <c r="C14786" s="691">
        <v>70.599999999999994</v>
      </c>
      <c r="D14786" s="691">
        <v>70.3</v>
      </c>
      <c r="E14786" s="691">
        <v>70.599999999999994</v>
      </c>
      <c r="F14786" s="691">
        <v>70.599999999999994</v>
      </c>
      <c r="G14786" s="691">
        <v>70.7</v>
      </c>
      <c r="H14786" s="691">
        <v>70.900000000000006</v>
      </c>
      <c r="I14786" s="691">
        <v>70.3</v>
      </c>
      <c r="J14786" s="691">
        <v>70.3</v>
      </c>
      <c r="K14786" s="691">
        <v>70.400000000000006</v>
      </c>
    </row>
    <row r="14787" spans="1:11">
      <c r="A14787" s="688" t="s">
        <v>4068</v>
      </c>
      <c r="B14787" s="689">
        <v>70.599999999999994</v>
      </c>
      <c r="C14787" s="690" t="s">
        <v>4060</v>
      </c>
      <c r="D14787" s="690" t="s">
        <v>4060</v>
      </c>
      <c r="E14787" s="690" t="s">
        <v>4060</v>
      </c>
      <c r="F14787" s="690" t="s">
        <v>4060</v>
      </c>
      <c r="G14787" s="690" t="s">
        <v>4060</v>
      </c>
      <c r="H14787" s="690" t="s">
        <v>4060</v>
      </c>
      <c r="I14787" s="690" t="s">
        <v>4060</v>
      </c>
      <c r="J14787" s="690" t="s">
        <v>4060</v>
      </c>
      <c r="K14787" s="690" t="s">
        <v>4060</v>
      </c>
    </row>
    <row r="14788" spans="1:11">
      <c r="A14788" s="688" t="s">
        <v>0</v>
      </c>
      <c r="B14788" s="691">
        <v>69.599999999999994</v>
      </c>
      <c r="C14788" s="691">
        <v>69.8</v>
      </c>
      <c r="D14788" s="691">
        <v>69.5</v>
      </c>
      <c r="E14788" s="615">
        <v>70</v>
      </c>
      <c r="F14788" s="615">
        <v>70</v>
      </c>
      <c r="G14788" s="691">
        <v>70.099999999999994</v>
      </c>
      <c r="H14788" s="691">
        <v>70.400000000000006</v>
      </c>
      <c r="I14788" s="691">
        <v>69.400000000000006</v>
      </c>
      <c r="J14788" s="691">
        <v>70.400000000000006</v>
      </c>
      <c r="K14788" s="691">
        <v>70.099999999999994</v>
      </c>
    </row>
    <row r="14789" spans="1:11">
      <c r="A14789" s="688" t="s">
        <v>1</v>
      </c>
      <c r="B14789" s="689">
        <v>65.3</v>
      </c>
      <c r="C14789" s="689">
        <v>64.7</v>
      </c>
      <c r="D14789" s="689">
        <v>64.7</v>
      </c>
      <c r="E14789" s="693">
        <v>65</v>
      </c>
      <c r="F14789" s="689">
        <v>64.8</v>
      </c>
      <c r="G14789" s="693">
        <v>65</v>
      </c>
      <c r="H14789" s="689">
        <v>65.2</v>
      </c>
      <c r="I14789" s="689">
        <v>63.8</v>
      </c>
      <c r="J14789" s="689">
        <v>61.6</v>
      </c>
      <c r="K14789" s="689">
        <v>64.400000000000006</v>
      </c>
    </row>
    <row r="14790" spans="1:11">
      <c r="A14790" s="688" t="s">
        <v>2240</v>
      </c>
      <c r="B14790" s="691">
        <v>67.599999999999994</v>
      </c>
      <c r="C14790" s="615">
        <v>68</v>
      </c>
      <c r="D14790" s="691">
        <v>67.7</v>
      </c>
      <c r="E14790" s="691">
        <v>68.2</v>
      </c>
      <c r="F14790" s="691">
        <v>68.099999999999994</v>
      </c>
      <c r="G14790" s="691">
        <v>68.2</v>
      </c>
      <c r="H14790" s="691">
        <v>68.400000000000006</v>
      </c>
      <c r="I14790" s="691">
        <v>67.599999999999994</v>
      </c>
      <c r="J14790" s="691">
        <v>66.7</v>
      </c>
      <c r="K14790" s="691">
        <v>68.2</v>
      </c>
    </row>
    <row r="14791" spans="1:11">
      <c r="A14791" s="688" t="s">
        <v>2</v>
      </c>
      <c r="B14791" s="689">
        <v>68.7</v>
      </c>
      <c r="C14791" s="693">
        <v>69</v>
      </c>
      <c r="D14791" s="689">
        <v>69.099999999999994</v>
      </c>
      <c r="E14791" s="689">
        <v>69.099999999999994</v>
      </c>
      <c r="F14791" s="689">
        <v>69.400000000000006</v>
      </c>
      <c r="G14791" s="689">
        <v>69.3</v>
      </c>
      <c r="H14791" s="689">
        <v>69.7</v>
      </c>
      <c r="I14791" s="689">
        <v>69.8</v>
      </c>
      <c r="J14791" s="689">
        <v>69.599999999999994</v>
      </c>
      <c r="K14791" s="689">
        <v>69.5</v>
      </c>
    </row>
    <row r="14792" spans="1:11">
      <c r="A14792" s="688" t="s">
        <v>3</v>
      </c>
      <c r="B14792" s="691">
        <v>69.400000000000006</v>
      </c>
      <c r="C14792" s="691">
        <v>69.7</v>
      </c>
      <c r="D14792" s="691">
        <v>69.3</v>
      </c>
      <c r="E14792" s="691">
        <v>69.7</v>
      </c>
      <c r="F14792" s="691">
        <v>69.7</v>
      </c>
      <c r="G14792" s="691">
        <v>69.599999999999994</v>
      </c>
      <c r="H14792" s="691">
        <v>69.900000000000006</v>
      </c>
      <c r="I14792" s="691">
        <v>69.8</v>
      </c>
      <c r="J14792" s="691">
        <v>69.5</v>
      </c>
      <c r="K14792" s="691">
        <v>69.2</v>
      </c>
    </row>
    <row r="14793" spans="1:11">
      <c r="A14793" s="688" t="s">
        <v>4061</v>
      </c>
      <c r="B14793" s="689">
        <v>69.400000000000006</v>
      </c>
      <c r="C14793" s="689">
        <v>69.7</v>
      </c>
      <c r="D14793" s="689">
        <v>69.3</v>
      </c>
      <c r="E14793" s="689">
        <v>69.7</v>
      </c>
      <c r="F14793" s="689">
        <v>69.7</v>
      </c>
      <c r="G14793" s="689">
        <v>69.599999999999994</v>
      </c>
      <c r="H14793" s="689">
        <v>69.900000000000006</v>
      </c>
      <c r="I14793" s="689">
        <v>69.8</v>
      </c>
      <c r="J14793" s="689">
        <v>69.5</v>
      </c>
      <c r="K14793" s="689">
        <v>69.2</v>
      </c>
    </row>
    <row r="14794" spans="1:11">
      <c r="A14794" s="688" t="s">
        <v>4</v>
      </c>
      <c r="B14794" s="691">
        <v>68.099999999999994</v>
      </c>
      <c r="C14794" s="691">
        <v>67.8</v>
      </c>
      <c r="D14794" s="691">
        <v>68.2</v>
      </c>
      <c r="E14794" s="691">
        <v>68.099999999999994</v>
      </c>
      <c r="F14794" s="691">
        <v>68.599999999999994</v>
      </c>
      <c r="G14794" s="691">
        <v>68.7</v>
      </c>
      <c r="H14794" s="691">
        <v>68.900000000000006</v>
      </c>
      <c r="I14794" s="615">
        <v>69</v>
      </c>
      <c r="J14794" s="691">
        <v>67.599999999999994</v>
      </c>
      <c r="K14794" s="691">
        <v>68.5</v>
      </c>
    </row>
    <row r="14795" spans="1:11">
      <c r="A14795" s="688" t="s">
        <v>8</v>
      </c>
      <c r="B14795" s="689">
        <v>69.400000000000006</v>
      </c>
      <c r="C14795" s="689">
        <v>69.599999999999994</v>
      </c>
      <c r="D14795" s="689">
        <v>69.599999999999994</v>
      </c>
      <c r="E14795" s="689">
        <v>69.7</v>
      </c>
      <c r="F14795" s="689">
        <v>70.099999999999994</v>
      </c>
      <c r="G14795" s="689">
        <v>70.099999999999994</v>
      </c>
      <c r="H14795" s="689">
        <v>70.599999999999994</v>
      </c>
      <c r="I14795" s="689">
        <v>70.400000000000006</v>
      </c>
      <c r="J14795" s="689">
        <v>70.3</v>
      </c>
      <c r="K14795" s="689">
        <v>70.3</v>
      </c>
    </row>
    <row r="14796" spans="1:11">
      <c r="A14796" s="688" t="s">
        <v>7</v>
      </c>
      <c r="B14796" s="691">
        <v>70.400000000000006</v>
      </c>
      <c r="C14796" s="691">
        <v>70.099999999999994</v>
      </c>
      <c r="D14796" s="691">
        <v>69.900000000000006</v>
      </c>
      <c r="E14796" s="691">
        <v>70.099999999999994</v>
      </c>
      <c r="F14796" s="691">
        <v>70.099999999999994</v>
      </c>
      <c r="G14796" s="691">
        <v>70.599999999999994</v>
      </c>
      <c r="H14796" s="691">
        <v>70.5</v>
      </c>
      <c r="I14796" s="691">
        <v>70.099999999999994</v>
      </c>
      <c r="J14796" s="691">
        <v>69.2</v>
      </c>
      <c r="K14796" s="691">
        <v>69.7</v>
      </c>
    </row>
    <row r="14797" spans="1:11">
      <c r="A14797" s="688" t="s">
        <v>27</v>
      </c>
      <c r="B14797" s="689">
        <v>72.400000000000006</v>
      </c>
      <c r="C14797" s="689">
        <v>71.900000000000006</v>
      </c>
      <c r="D14797" s="689">
        <v>71.7</v>
      </c>
      <c r="E14797" s="689">
        <v>72.099999999999994</v>
      </c>
      <c r="F14797" s="693">
        <v>72</v>
      </c>
      <c r="G14797" s="689">
        <v>72.099999999999994</v>
      </c>
      <c r="H14797" s="689">
        <v>72.5</v>
      </c>
      <c r="I14797" s="689">
        <v>71.3</v>
      </c>
      <c r="J14797" s="689">
        <v>72.099999999999994</v>
      </c>
      <c r="K14797" s="693">
        <v>72</v>
      </c>
    </row>
    <row r="14798" spans="1:11">
      <c r="A14798" s="688" t="s">
        <v>6</v>
      </c>
      <c r="B14798" s="615">
        <v>72</v>
      </c>
      <c r="C14798" s="691">
        <v>71.8</v>
      </c>
      <c r="D14798" s="691">
        <v>71.5</v>
      </c>
      <c r="E14798" s="691">
        <v>71.7</v>
      </c>
      <c r="F14798" s="691">
        <v>71.8</v>
      </c>
      <c r="G14798" s="691">
        <v>71.900000000000006</v>
      </c>
      <c r="H14798" s="615">
        <v>72</v>
      </c>
      <c r="I14798" s="691">
        <v>71.5</v>
      </c>
      <c r="J14798" s="691">
        <v>71.599999999999994</v>
      </c>
      <c r="K14798" s="691">
        <v>71.5</v>
      </c>
    </row>
    <row r="14799" spans="1:11">
      <c r="A14799" s="688" t="s">
        <v>4058</v>
      </c>
      <c r="B14799" s="690" t="s">
        <v>4060</v>
      </c>
      <c r="C14799" s="690" t="s">
        <v>4060</v>
      </c>
      <c r="D14799" s="690" t="s">
        <v>4060</v>
      </c>
      <c r="E14799" s="690" t="s">
        <v>4060</v>
      </c>
      <c r="F14799" s="690" t="s">
        <v>4060</v>
      </c>
      <c r="G14799" s="690" t="s">
        <v>4060</v>
      </c>
      <c r="H14799" s="690" t="s">
        <v>4060</v>
      </c>
      <c r="I14799" s="690" t="s">
        <v>4060</v>
      </c>
      <c r="J14799" s="690" t="s">
        <v>4060</v>
      </c>
      <c r="K14799" s="690" t="s">
        <v>4060</v>
      </c>
    </row>
    <row r="14800" spans="1:11">
      <c r="A14800" s="688" t="s">
        <v>11</v>
      </c>
      <c r="B14800" s="691">
        <v>67.400000000000006</v>
      </c>
      <c r="C14800" s="691">
        <v>67.3</v>
      </c>
      <c r="D14800" s="691">
        <v>66.8</v>
      </c>
      <c r="E14800" s="691">
        <v>67.599999999999994</v>
      </c>
      <c r="F14800" s="691">
        <v>67.2</v>
      </c>
      <c r="G14800" s="691">
        <v>67.599999999999994</v>
      </c>
      <c r="H14800" s="691">
        <v>67.7</v>
      </c>
      <c r="I14800" s="691">
        <v>67.099999999999994</v>
      </c>
      <c r="J14800" s="691">
        <v>66.2</v>
      </c>
      <c r="K14800" s="691">
        <v>67.099999999999994</v>
      </c>
    </row>
    <row r="14801" spans="1:11">
      <c r="A14801" s="688" t="s">
        <v>10</v>
      </c>
      <c r="B14801" s="689">
        <v>71.5</v>
      </c>
      <c r="C14801" s="689">
        <v>71.400000000000006</v>
      </c>
      <c r="D14801" s="689">
        <v>70.900000000000006</v>
      </c>
      <c r="E14801" s="689">
        <v>71.5</v>
      </c>
      <c r="F14801" s="689">
        <v>71.2</v>
      </c>
      <c r="G14801" s="689">
        <v>71.5</v>
      </c>
      <c r="H14801" s="689">
        <v>71.7</v>
      </c>
      <c r="I14801" s="689">
        <v>70.8</v>
      </c>
      <c r="J14801" s="693">
        <v>71</v>
      </c>
      <c r="K14801" s="689">
        <v>71.099999999999994</v>
      </c>
    </row>
    <row r="14802" spans="1:11">
      <c r="A14802" s="688" t="s">
        <v>30</v>
      </c>
      <c r="B14802" s="691">
        <v>71.099999999999994</v>
      </c>
      <c r="C14802" s="691">
        <v>70.400000000000006</v>
      </c>
      <c r="D14802" s="691">
        <v>70.099999999999994</v>
      </c>
      <c r="E14802" s="691">
        <v>71.2</v>
      </c>
      <c r="F14802" s="691">
        <v>70.7</v>
      </c>
      <c r="G14802" s="691">
        <v>71.099999999999994</v>
      </c>
      <c r="H14802" s="691">
        <v>70.900000000000006</v>
      </c>
      <c r="I14802" s="691">
        <v>70.8</v>
      </c>
      <c r="J14802" s="691">
        <v>70.099999999999994</v>
      </c>
      <c r="K14802" s="691">
        <v>70.3</v>
      </c>
    </row>
    <row r="14803" spans="1:11">
      <c r="A14803" s="688" t="s">
        <v>12</v>
      </c>
      <c r="B14803" s="689">
        <v>65.400000000000006</v>
      </c>
      <c r="C14803" s="689">
        <v>65.7</v>
      </c>
      <c r="D14803" s="689">
        <v>65.7</v>
      </c>
      <c r="E14803" s="689">
        <v>65.900000000000006</v>
      </c>
      <c r="F14803" s="689">
        <v>65.900000000000006</v>
      </c>
      <c r="G14803" s="693">
        <v>66</v>
      </c>
      <c r="H14803" s="689">
        <v>66.400000000000006</v>
      </c>
      <c r="I14803" s="689">
        <v>66.3</v>
      </c>
      <c r="J14803" s="689">
        <v>64.3</v>
      </c>
      <c r="K14803" s="689">
        <v>65.7</v>
      </c>
    </row>
    <row r="14804" spans="1:11">
      <c r="A14804" s="688" t="s">
        <v>14</v>
      </c>
      <c r="B14804" s="615">
        <v>66</v>
      </c>
      <c r="C14804" s="691">
        <v>66.3</v>
      </c>
      <c r="D14804" s="615">
        <v>66</v>
      </c>
      <c r="E14804" s="691">
        <v>66.400000000000006</v>
      </c>
      <c r="F14804" s="691">
        <v>66.599999999999994</v>
      </c>
      <c r="G14804" s="691">
        <v>66.900000000000006</v>
      </c>
      <c r="H14804" s="691">
        <v>67.3</v>
      </c>
      <c r="I14804" s="691">
        <v>66.3</v>
      </c>
      <c r="J14804" s="691">
        <v>65.2</v>
      </c>
      <c r="K14804" s="691">
        <v>66.400000000000006</v>
      </c>
    </row>
    <row r="14805" spans="1:11">
      <c r="A14805" s="688" t="s">
        <v>15</v>
      </c>
      <c r="B14805" s="689">
        <v>70.3</v>
      </c>
      <c r="C14805" s="689">
        <v>70.900000000000006</v>
      </c>
      <c r="D14805" s="689">
        <v>70.400000000000006</v>
      </c>
      <c r="E14805" s="689">
        <v>71.099999999999994</v>
      </c>
      <c r="F14805" s="689">
        <v>70.2</v>
      </c>
      <c r="G14805" s="689">
        <v>70.7</v>
      </c>
      <c r="H14805" s="689">
        <v>71.099999999999994</v>
      </c>
      <c r="I14805" s="689">
        <v>70.8</v>
      </c>
      <c r="J14805" s="693">
        <v>71</v>
      </c>
      <c r="K14805" s="689">
        <v>71.3</v>
      </c>
    </row>
    <row r="14806" spans="1:11">
      <c r="A14806" s="688" t="s">
        <v>29</v>
      </c>
      <c r="B14806" s="691">
        <v>65.599999999999994</v>
      </c>
      <c r="C14806" s="691">
        <v>65.599999999999994</v>
      </c>
      <c r="D14806" s="691">
        <v>65.2</v>
      </c>
      <c r="E14806" s="691">
        <v>65.8</v>
      </c>
      <c r="F14806" s="691">
        <v>65.5</v>
      </c>
      <c r="G14806" s="691">
        <v>65.7</v>
      </c>
      <c r="H14806" s="691">
        <v>65.900000000000006</v>
      </c>
      <c r="I14806" s="691">
        <v>65.099999999999994</v>
      </c>
      <c r="J14806" s="691">
        <v>63.9</v>
      </c>
      <c r="K14806" s="691">
        <v>65.5</v>
      </c>
    </row>
    <row r="14807" spans="1:11">
      <c r="A14807" s="688" t="s">
        <v>16</v>
      </c>
      <c r="B14807" s="689">
        <v>70.599999999999994</v>
      </c>
      <c r="C14807" s="689">
        <v>70.400000000000006</v>
      </c>
      <c r="D14807" s="689">
        <v>70.3</v>
      </c>
      <c r="E14807" s="689">
        <v>70.5</v>
      </c>
      <c r="F14807" s="689">
        <v>70.599999999999994</v>
      </c>
      <c r="G14807" s="689">
        <v>70.5</v>
      </c>
      <c r="H14807" s="689">
        <v>70.900000000000006</v>
      </c>
      <c r="I14807" s="689">
        <v>70.5</v>
      </c>
      <c r="J14807" s="689">
        <v>70.3</v>
      </c>
      <c r="K14807" s="689">
        <v>70.599999999999994</v>
      </c>
    </row>
    <row r="14808" spans="1:11">
      <c r="A14808" s="688" t="s">
        <v>17</v>
      </c>
      <c r="B14808" s="691">
        <v>69.599999999999994</v>
      </c>
      <c r="C14808" s="691">
        <v>69.7</v>
      </c>
      <c r="D14808" s="691">
        <v>69.5</v>
      </c>
      <c r="E14808" s="691">
        <v>69.5</v>
      </c>
      <c r="F14808" s="691">
        <v>69.7</v>
      </c>
      <c r="G14808" s="691">
        <v>69.7</v>
      </c>
      <c r="H14808" s="691">
        <v>69.900000000000006</v>
      </c>
      <c r="I14808" s="691">
        <v>69.400000000000006</v>
      </c>
      <c r="J14808" s="691">
        <v>69.3</v>
      </c>
      <c r="K14808" s="691">
        <v>69.400000000000006</v>
      </c>
    </row>
    <row r="14809" spans="1:11">
      <c r="A14809" s="688" t="s">
        <v>19</v>
      </c>
      <c r="B14809" s="689">
        <v>70.099999999999994</v>
      </c>
      <c r="C14809" s="689">
        <v>70.099999999999994</v>
      </c>
      <c r="D14809" s="689">
        <v>69.900000000000006</v>
      </c>
      <c r="E14809" s="689">
        <v>70.3</v>
      </c>
      <c r="F14809" s="689">
        <v>70.2</v>
      </c>
      <c r="G14809" s="689">
        <v>70.3</v>
      </c>
      <c r="H14809" s="689">
        <v>70.5</v>
      </c>
      <c r="I14809" s="689">
        <v>70.099999999999994</v>
      </c>
      <c r="J14809" s="689">
        <v>70.099999999999994</v>
      </c>
      <c r="K14809" s="689">
        <v>70.099999999999994</v>
      </c>
    </row>
    <row r="14810" spans="1:11">
      <c r="A14810" s="688" t="s">
        <v>20</v>
      </c>
      <c r="B14810" s="691">
        <v>67.7</v>
      </c>
      <c r="C14810" s="691">
        <v>67.8</v>
      </c>
      <c r="D14810" s="691">
        <v>67.7</v>
      </c>
      <c r="E14810" s="691">
        <v>68.099999999999994</v>
      </c>
      <c r="F14810" s="691">
        <v>67.900000000000006</v>
      </c>
      <c r="G14810" s="691">
        <v>67.900000000000006</v>
      </c>
      <c r="H14810" s="691">
        <v>68.099999999999994</v>
      </c>
      <c r="I14810" s="691">
        <v>66.900000000000006</v>
      </c>
      <c r="J14810" s="691">
        <v>65.900000000000006</v>
      </c>
      <c r="K14810" s="691">
        <v>67.400000000000006</v>
      </c>
    </row>
    <row r="14811" spans="1:11">
      <c r="A14811" s="688" t="s">
        <v>21</v>
      </c>
      <c r="B14811" s="689">
        <v>70.3</v>
      </c>
      <c r="C14811" s="689">
        <v>70.599999999999994</v>
      </c>
      <c r="D14811" s="689">
        <v>70.599999999999994</v>
      </c>
      <c r="E14811" s="689">
        <v>70.599999999999994</v>
      </c>
      <c r="F14811" s="689">
        <v>70.8</v>
      </c>
      <c r="G14811" s="689">
        <v>70.900000000000006</v>
      </c>
      <c r="H14811" s="689">
        <v>71.099999999999994</v>
      </c>
      <c r="I14811" s="689">
        <v>70.5</v>
      </c>
      <c r="J14811" s="689">
        <v>70.599999999999994</v>
      </c>
      <c r="K14811" s="689">
        <v>70.7</v>
      </c>
    </row>
    <row r="14812" spans="1:11">
      <c r="A14812" s="688" t="s">
        <v>22</v>
      </c>
      <c r="B14812" s="691">
        <v>65.599999999999994</v>
      </c>
      <c r="C14812" s="691">
        <v>65.3</v>
      </c>
      <c r="D14812" s="691">
        <v>65.3</v>
      </c>
      <c r="E14812" s="691">
        <v>65.599999999999994</v>
      </c>
      <c r="F14812" s="691">
        <v>65.599999999999994</v>
      </c>
      <c r="G14812" s="691">
        <v>65.7</v>
      </c>
      <c r="H14812" s="615">
        <v>66</v>
      </c>
      <c r="I14812" s="691">
        <v>64.8</v>
      </c>
      <c r="J14812" s="691">
        <v>63.2</v>
      </c>
      <c r="K14812" s="691">
        <v>65.599999999999994</v>
      </c>
    </row>
    <row r="14813" spans="1:11">
      <c r="A14813" s="688" t="s">
        <v>26</v>
      </c>
      <c r="B14813" s="689">
        <v>69.900000000000006</v>
      </c>
      <c r="C14813" s="689">
        <v>69.900000000000006</v>
      </c>
      <c r="D14813" s="689">
        <v>69.7</v>
      </c>
      <c r="E14813" s="689">
        <v>70.099999999999994</v>
      </c>
      <c r="F14813" s="693">
        <v>70</v>
      </c>
      <c r="G14813" s="689">
        <v>70.2</v>
      </c>
      <c r="H14813" s="689">
        <v>70.5</v>
      </c>
      <c r="I14813" s="689">
        <v>69.599999999999994</v>
      </c>
      <c r="J14813" s="689">
        <v>69.900000000000006</v>
      </c>
      <c r="K14813" s="689">
        <v>70.2</v>
      </c>
    </row>
    <row r="14814" spans="1:11">
      <c r="A14814" s="688" t="s">
        <v>25</v>
      </c>
      <c r="B14814" s="691">
        <v>66.7</v>
      </c>
      <c r="C14814" s="615">
        <v>67</v>
      </c>
      <c r="D14814" s="691">
        <v>66.7</v>
      </c>
      <c r="E14814" s="691">
        <v>67.099999999999994</v>
      </c>
      <c r="F14814" s="615">
        <v>67</v>
      </c>
      <c r="G14814" s="691">
        <v>67.2</v>
      </c>
      <c r="H14814" s="691">
        <v>67.599999999999994</v>
      </c>
      <c r="I14814" s="691">
        <v>66.900000000000006</v>
      </c>
      <c r="J14814" s="691">
        <v>64.7</v>
      </c>
      <c r="K14814" s="615">
        <v>67</v>
      </c>
    </row>
    <row r="14815" spans="1:11">
      <c r="A14815" s="688" t="s">
        <v>5</v>
      </c>
      <c r="B14815" s="689">
        <v>70.3</v>
      </c>
      <c r="C14815" s="689">
        <v>70.099999999999994</v>
      </c>
      <c r="D14815" s="689">
        <v>70.400000000000006</v>
      </c>
      <c r="E14815" s="689">
        <v>70.400000000000006</v>
      </c>
      <c r="F14815" s="689">
        <v>70.5</v>
      </c>
      <c r="G14815" s="689">
        <v>70.599999999999994</v>
      </c>
      <c r="H14815" s="689">
        <v>70.8</v>
      </c>
      <c r="I14815" s="689">
        <v>70.8</v>
      </c>
      <c r="J14815" s="689">
        <v>70.7</v>
      </c>
      <c r="K14815" s="693">
        <v>70</v>
      </c>
    </row>
    <row r="14816" spans="1:11">
      <c r="A14816" s="688" t="s">
        <v>23</v>
      </c>
      <c r="B14816" s="691">
        <v>70.099999999999994</v>
      </c>
      <c r="C14816" s="691">
        <v>70.3</v>
      </c>
      <c r="D14816" s="691">
        <v>70.3</v>
      </c>
      <c r="E14816" s="691">
        <v>70.400000000000006</v>
      </c>
      <c r="F14816" s="691">
        <v>70.400000000000006</v>
      </c>
      <c r="G14816" s="691">
        <v>70.5</v>
      </c>
      <c r="H14816" s="615">
        <v>71</v>
      </c>
      <c r="I14816" s="691">
        <v>70.5</v>
      </c>
      <c r="J14816" s="615">
        <v>71</v>
      </c>
      <c r="K14816" s="615">
        <v>71</v>
      </c>
    </row>
    <row r="14817" spans="1:11">
      <c r="A14817" s="688" t="s">
        <v>4067</v>
      </c>
      <c r="B14817" s="689">
        <v>69.7</v>
      </c>
      <c r="C14817" s="693">
        <v>70</v>
      </c>
      <c r="D14817" s="689">
        <v>69.599999999999994</v>
      </c>
      <c r="E14817" s="693">
        <v>70</v>
      </c>
      <c r="F14817" s="689">
        <v>69.900000000000006</v>
      </c>
      <c r="G14817" s="693">
        <v>70</v>
      </c>
      <c r="H14817" s="690" t="s">
        <v>4060</v>
      </c>
      <c r="I14817" s="690" t="s">
        <v>4060</v>
      </c>
      <c r="J14817" s="690" t="s">
        <v>4060</v>
      </c>
      <c r="K14817" s="690" t="s">
        <v>4060</v>
      </c>
    </row>
    <row r="14818" spans="1:11">
      <c r="A14818" s="688" t="s">
        <v>4066</v>
      </c>
      <c r="B14818" s="691">
        <v>69.7</v>
      </c>
      <c r="C14818" s="691">
        <v>70.099999999999994</v>
      </c>
      <c r="D14818" s="691">
        <v>69.7</v>
      </c>
      <c r="E14818" s="691">
        <v>70.099999999999994</v>
      </c>
      <c r="F14818" s="615">
        <v>70</v>
      </c>
      <c r="G14818" s="615">
        <v>70</v>
      </c>
      <c r="H14818" s="692" t="s">
        <v>4060</v>
      </c>
      <c r="I14818" s="692" t="s">
        <v>4060</v>
      </c>
      <c r="J14818" s="692" t="s">
        <v>4060</v>
      </c>
      <c r="K14818" s="692" t="s">
        <v>4060</v>
      </c>
    </row>
    <row r="14819" spans="1:11">
      <c r="A14819" s="688" t="s">
        <v>4062</v>
      </c>
      <c r="B14819" s="689">
        <v>70.900000000000006</v>
      </c>
      <c r="C14819" s="689">
        <v>71.099999999999994</v>
      </c>
      <c r="D14819" s="689">
        <v>70.900000000000006</v>
      </c>
      <c r="E14819" s="689">
        <v>71.2</v>
      </c>
      <c r="F14819" s="689">
        <v>71.3</v>
      </c>
      <c r="G14819" s="689">
        <v>71.400000000000006</v>
      </c>
      <c r="H14819" s="689">
        <v>71.5</v>
      </c>
      <c r="I14819" s="689">
        <v>71.3</v>
      </c>
      <c r="J14819" s="689">
        <v>71.599999999999994</v>
      </c>
      <c r="K14819" s="689">
        <v>71.3</v>
      </c>
    </row>
    <row r="14820" spans="1:11">
      <c r="A14820" s="688" t="s">
        <v>9</v>
      </c>
      <c r="B14820" s="615">
        <v>70</v>
      </c>
      <c r="C14820" s="691">
        <v>70.400000000000006</v>
      </c>
      <c r="D14820" s="691">
        <v>69.900000000000006</v>
      </c>
      <c r="E14820" s="691">
        <v>70.099999999999994</v>
      </c>
      <c r="F14820" s="691">
        <v>70.5</v>
      </c>
      <c r="G14820" s="691">
        <v>70.400000000000006</v>
      </c>
      <c r="H14820" s="691">
        <v>70.599999999999994</v>
      </c>
      <c r="I14820" s="691">
        <v>70.599999999999994</v>
      </c>
      <c r="J14820" s="691">
        <v>70.8</v>
      </c>
      <c r="K14820" s="691">
        <v>69.8</v>
      </c>
    </row>
    <row r="14821" spans="1:11">
      <c r="A14821" s="688" t="s">
        <v>13</v>
      </c>
      <c r="B14821" s="689">
        <v>70.900000000000006</v>
      </c>
      <c r="C14821" s="689">
        <v>69.7</v>
      </c>
      <c r="D14821" s="689">
        <v>70.3</v>
      </c>
      <c r="E14821" s="689">
        <v>69.900000000000006</v>
      </c>
      <c r="F14821" s="689">
        <v>71.8</v>
      </c>
      <c r="G14821" s="689">
        <v>71.900000000000006</v>
      </c>
      <c r="H14821" s="689">
        <v>71.5</v>
      </c>
      <c r="I14821" s="689">
        <v>71.099999999999994</v>
      </c>
      <c r="J14821" s="689">
        <v>72.099999999999994</v>
      </c>
      <c r="K14821" s="689">
        <v>71.2</v>
      </c>
    </row>
    <row r="14822" spans="1:11">
      <c r="A14822" s="688" t="s">
        <v>18</v>
      </c>
      <c r="B14822" s="615">
        <v>70</v>
      </c>
      <c r="C14822" s="691">
        <v>70.3</v>
      </c>
      <c r="D14822" s="691">
        <v>70.400000000000006</v>
      </c>
      <c r="E14822" s="691">
        <v>70.400000000000006</v>
      </c>
      <c r="F14822" s="691">
        <v>70.5</v>
      </c>
      <c r="G14822" s="691">
        <v>70.7</v>
      </c>
      <c r="H14822" s="691">
        <v>70.900000000000006</v>
      </c>
      <c r="I14822" s="691">
        <v>71.099999999999994</v>
      </c>
      <c r="J14822" s="691">
        <v>70.900000000000006</v>
      </c>
      <c r="K14822" s="691">
        <v>70.5</v>
      </c>
    </row>
    <row r="14823" spans="1:11">
      <c r="A14823" s="688" t="s">
        <v>24</v>
      </c>
      <c r="B14823" s="689">
        <v>71.400000000000006</v>
      </c>
      <c r="C14823" s="689">
        <v>71.5</v>
      </c>
      <c r="D14823" s="689">
        <v>71.3</v>
      </c>
      <c r="E14823" s="689">
        <v>71.599999999999994</v>
      </c>
      <c r="F14823" s="689">
        <v>71.7</v>
      </c>
      <c r="G14823" s="689">
        <v>71.8</v>
      </c>
      <c r="H14823" s="689">
        <v>71.900000000000006</v>
      </c>
      <c r="I14823" s="689">
        <v>71.400000000000006</v>
      </c>
      <c r="J14823" s="689">
        <v>71.900000000000006</v>
      </c>
      <c r="K14823" s="689">
        <v>71.7</v>
      </c>
    </row>
    <row r="14824" spans="1:11">
      <c r="A14824" s="688" t="s">
        <v>4059</v>
      </c>
      <c r="B14824" s="691">
        <v>69.3</v>
      </c>
      <c r="C14824" s="691">
        <v>69.599999999999994</v>
      </c>
      <c r="D14824" s="691">
        <v>69.2</v>
      </c>
      <c r="E14824" s="691">
        <v>69.400000000000006</v>
      </c>
      <c r="F14824" s="691">
        <v>69.5</v>
      </c>
      <c r="G14824" s="691">
        <v>69.400000000000006</v>
      </c>
      <c r="H14824" s="692" t="s">
        <v>4060</v>
      </c>
      <c r="I14824" s="692" t="s">
        <v>4060</v>
      </c>
      <c r="J14824" s="692" t="s">
        <v>4060</v>
      </c>
      <c r="K14824" s="692" t="s">
        <v>4060</v>
      </c>
    </row>
    <row r="14825" spans="1:11">
      <c r="A14825" s="688" t="s">
        <v>2324</v>
      </c>
      <c r="B14825" s="689">
        <v>65.3</v>
      </c>
      <c r="C14825" s="689">
        <v>65.400000000000006</v>
      </c>
      <c r="D14825" s="689">
        <v>64.900000000000006</v>
      </c>
      <c r="E14825" s="689">
        <v>65.3</v>
      </c>
      <c r="F14825" s="689">
        <v>65.5</v>
      </c>
      <c r="G14825" s="689">
        <v>65.5</v>
      </c>
      <c r="H14825" s="689">
        <v>65.8</v>
      </c>
      <c r="I14825" s="689">
        <v>65.099999999999994</v>
      </c>
      <c r="J14825" s="689">
        <v>63.2</v>
      </c>
      <c r="K14825" s="690" t="s">
        <v>4060</v>
      </c>
    </row>
    <row r="14826" spans="1:11">
      <c r="A14826" s="688" t="s">
        <v>2322</v>
      </c>
      <c r="B14826" s="692" t="s">
        <v>4060</v>
      </c>
      <c r="C14826" s="692" t="s">
        <v>4060</v>
      </c>
      <c r="D14826" s="692" t="s">
        <v>4060</v>
      </c>
      <c r="E14826" s="692" t="s">
        <v>4060</v>
      </c>
      <c r="F14826" s="692" t="s">
        <v>4060</v>
      </c>
      <c r="G14826" s="692" t="s">
        <v>4060</v>
      </c>
      <c r="H14826" s="692" t="s">
        <v>4060</v>
      </c>
      <c r="I14826" s="692" t="s">
        <v>4060</v>
      </c>
      <c r="J14826" s="692" t="s">
        <v>4060</v>
      </c>
      <c r="K14826" s="692" t="s">
        <v>4060</v>
      </c>
    </row>
    <row r="14827" spans="1:11">
      <c r="A14827" s="688" t="s">
        <v>2328</v>
      </c>
      <c r="B14827" s="689">
        <v>64.5</v>
      </c>
      <c r="C14827" s="689">
        <v>64.400000000000006</v>
      </c>
      <c r="D14827" s="689">
        <v>64.2</v>
      </c>
      <c r="E14827" s="689">
        <v>64.599999999999994</v>
      </c>
      <c r="F14827" s="689">
        <v>64.8</v>
      </c>
      <c r="G14827" s="689">
        <v>65.3</v>
      </c>
      <c r="H14827" s="689">
        <v>65.099999999999994</v>
      </c>
      <c r="I14827" s="689">
        <v>63.3</v>
      </c>
      <c r="J14827" s="689">
        <v>61.9</v>
      </c>
      <c r="K14827" s="690" t="s">
        <v>4060</v>
      </c>
    </row>
    <row r="14828" spans="1:11">
      <c r="A14828" s="688" t="s">
        <v>2496</v>
      </c>
      <c r="B14828" s="692" t="s">
        <v>4060</v>
      </c>
      <c r="C14828" s="691">
        <v>65.2</v>
      </c>
      <c r="D14828" s="691">
        <v>64.3</v>
      </c>
      <c r="E14828" s="615">
        <v>64</v>
      </c>
      <c r="F14828" s="691">
        <v>64.7</v>
      </c>
      <c r="G14828" s="615">
        <v>65</v>
      </c>
      <c r="H14828" s="691">
        <v>65.099999999999994</v>
      </c>
      <c r="I14828" s="692" t="s">
        <v>4060</v>
      </c>
      <c r="J14828" s="692" t="s">
        <v>4060</v>
      </c>
      <c r="K14828" s="691">
        <v>64.900000000000006</v>
      </c>
    </row>
    <row r="14829" spans="1:11">
      <c r="A14829" s="688" t="s">
        <v>2269</v>
      </c>
      <c r="B14829" s="689">
        <v>66.900000000000006</v>
      </c>
      <c r="C14829" s="689">
        <v>67.099999999999994</v>
      </c>
      <c r="D14829" s="689">
        <v>66.5</v>
      </c>
      <c r="E14829" s="693">
        <v>67</v>
      </c>
      <c r="F14829" s="689">
        <v>66.900000000000006</v>
      </c>
      <c r="G14829" s="689">
        <v>67.400000000000006</v>
      </c>
      <c r="H14829" s="689">
        <v>67.599999999999994</v>
      </c>
      <c r="I14829" s="689">
        <v>66.5</v>
      </c>
      <c r="J14829" s="689">
        <v>64.400000000000006</v>
      </c>
      <c r="K14829" s="689">
        <v>67.400000000000006</v>
      </c>
    </row>
    <row r="14830" spans="1:11">
      <c r="A14830" s="688" t="s">
        <v>2349</v>
      </c>
      <c r="B14830" s="691">
        <v>64.5</v>
      </c>
      <c r="C14830" s="691">
        <v>64.5</v>
      </c>
      <c r="D14830" s="691">
        <v>64.400000000000006</v>
      </c>
      <c r="E14830" s="691">
        <v>64.7</v>
      </c>
      <c r="F14830" s="691">
        <v>64.599999999999994</v>
      </c>
      <c r="G14830" s="691">
        <v>64.900000000000006</v>
      </c>
      <c r="H14830" s="691">
        <v>65.099999999999994</v>
      </c>
      <c r="I14830" s="691">
        <v>63.9</v>
      </c>
      <c r="J14830" s="691">
        <v>62.2</v>
      </c>
      <c r="K14830" s="691">
        <v>64.2</v>
      </c>
    </row>
    <row r="14831" spans="1:11">
      <c r="A14831" s="688" t="s">
        <v>2355</v>
      </c>
      <c r="B14831" s="689">
        <v>68.3</v>
      </c>
      <c r="C14831" s="689">
        <v>68.099999999999994</v>
      </c>
      <c r="D14831" s="689">
        <v>68.099999999999994</v>
      </c>
      <c r="E14831" s="693">
        <v>68</v>
      </c>
      <c r="F14831" s="689">
        <v>68.3</v>
      </c>
      <c r="G14831" s="689">
        <v>68.599999999999994</v>
      </c>
      <c r="H14831" s="689">
        <v>68.7</v>
      </c>
      <c r="I14831" s="690" t="s">
        <v>4060</v>
      </c>
      <c r="J14831" s="690" t="s">
        <v>4060</v>
      </c>
      <c r="K14831" s="690" t="s">
        <v>4060</v>
      </c>
    </row>
    <row r="14832" spans="1:11">
      <c r="A14832" s="688" t="s">
        <v>2357</v>
      </c>
      <c r="B14832" s="692" t="s">
        <v>4060</v>
      </c>
      <c r="C14832" s="691">
        <v>63.5</v>
      </c>
      <c r="D14832" s="615">
        <v>64</v>
      </c>
      <c r="E14832" s="691">
        <v>64.3</v>
      </c>
      <c r="F14832" s="691">
        <v>64.599999999999994</v>
      </c>
      <c r="G14832" s="691">
        <v>64.7</v>
      </c>
      <c r="H14832" s="691">
        <v>64.900000000000006</v>
      </c>
      <c r="I14832" s="692" t="s">
        <v>4060</v>
      </c>
      <c r="J14832" s="692" t="s">
        <v>4060</v>
      </c>
      <c r="K14832" s="692" t="s">
        <v>4060</v>
      </c>
    </row>
    <row r="14833" spans="1:11">
      <c r="A14833" s="688" t="s">
        <v>4070</v>
      </c>
      <c r="B14833" s="690" t="s">
        <v>4060</v>
      </c>
      <c r="C14833" s="690" t="s">
        <v>4060</v>
      </c>
      <c r="D14833" s="690" t="s">
        <v>4060</v>
      </c>
      <c r="E14833" s="689">
        <v>68.2</v>
      </c>
      <c r="F14833" s="690" t="s">
        <v>4060</v>
      </c>
      <c r="G14833" s="690" t="s">
        <v>4060</v>
      </c>
      <c r="H14833" s="690" t="s">
        <v>4060</v>
      </c>
      <c r="I14833" s="690" t="s">
        <v>4060</v>
      </c>
      <c r="J14833" s="690" t="s">
        <v>4060</v>
      </c>
      <c r="K14833" s="690" t="s">
        <v>4060</v>
      </c>
    </row>
    <row r="14834" spans="1:11">
      <c r="A14834" s="688" t="s">
        <v>2491</v>
      </c>
      <c r="B14834" s="691">
        <v>64.400000000000006</v>
      </c>
      <c r="C14834" s="615">
        <v>65</v>
      </c>
      <c r="D14834" s="691">
        <v>65.400000000000006</v>
      </c>
      <c r="E14834" s="691">
        <v>65.5</v>
      </c>
      <c r="F14834" s="691">
        <v>65.7</v>
      </c>
      <c r="G14834" s="691">
        <v>65.8</v>
      </c>
      <c r="H14834" s="692" t="s">
        <v>4060</v>
      </c>
      <c r="I14834" s="692" t="s">
        <v>4060</v>
      </c>
      <c r="J14834" s="692" t="s">
        <v>4060</v>
      </c>
      <c r="K14834" s="692" t="s">
        <v>4060</v>
      </c>
    </row>
    <row r="14835" spans="1:11">
      <c r="A14835" s="688" t="s">
        <v>2343</v>
      </c>
      <c r="B14835" s="690" t="s">
        <v>4060</v>
      </c>
      <c r="C14835" s="690" t="s">
        <v>4060</v>
      </c>
      <c r="D14835" s="690" t="s">
        <v>4060</v>
      </c>
      <c r="E14835" s="690" t="s">
        <v>4060</v>
      </c>
      <c r="F14835" s="690" t="s">
        <v>4060</v>
      </c>
      <c r="G14835" s="690" t="s">
        <v>4060</v>
      </c>
      <c r="H14835" s="690" t="s">
        <v>4060</v>
      </c>
      <c r="I14835" s="690" t="s">
        <v>4060</v>
      </c>
      <c r="J14835" s="690" t="s">
        <v>4060</v>
      </c>
      <c r="K14835" s="690" t="s">
        <v>4060</v>
      </c>
    </row>
    <row r="14836" spans="1:11">
      <c r="A14836" s="688" t="s">
        <v>4071</v>
      </c>
      <c r="B14836" s="692" t="s">
        <v>4060</v>
      </c>
      <c r="C14836" s="692" t="s">
        <v>4060</v>
      </c>
      <c r="D14836" s="692" t="s">
        <v>4060</v>
      </c>
      <c r="E14836" s="692" t="s">
        <v>4060</v>
      </c>
      <c r="F14836" s="692" t="s">
        <v>4060</v>
      </c>
      <c r="G14836" s="692" t="s">
        <v>4060</v>
      </c>
      <c r="H14836" s="692" t="s">
        <v>4060</v>
      </c>
      <c r="I14836" s="692" t="s">
        <v>4060</v>
      </c>
      <c r="J14836" s="692" t="s">
        <v>4060</v>
      </c>
      <c r="K14836" s="692" t="s">
        <v>4060</v>
      </c>
    </row>
    <row r="14837" spans="1:11">
      <c r="A14837" s="688" t="s">
        <v>2489</v>
      </c>
      <c r="B14837" s="690" t="s">
        <v>4060</v>
      </c>
      <c r="C14837" s="690" t="s">
        <v>4060</v>
      </c>
      <c r="D14837" s="689">
        <v>65.099999999999994</v>
      </c>
      <c r="E14837" s="689">
        <v>65.2</v>
      </c>
      <c r="F14837" s="689">
        <v>65.7</v>
      </c>
      <c r="G14837" s="689">
        <v>66.400000000000006</v>
      </c>
      <c r="H14837" s="689">
        <v>66.400000000000006</v>
      </c>
      <c r="I14837" s="690" t="s">
        <v>4060</v>
      </c>
      <c r="J14837" s="690" t="s">
        <v>4060</v>
      </c>
      <c r="K14837" s="690" t="s">
        <v>4060</v>
      </c>
    </row>
    <row r="14838" spans="1:11">
      <c r="A14838" s="688" t="s">
        <v>2490</v>
      </c>
      <c r="B14838" s="691">
        <v>64.3</v>
      </c>
      <c r="C14838" s="691">
        <v>64.3</v>
      </c>
      <c r="D14838" s="691">
        <v>64.8</v>
      </c>
      <c r="E14838" s="692" t="s">
        <v>4060</v>
      </c>
      <c r="F14838" s="615">
        <v>65</v>
      </c>
      <c r="G14838" s="691">
        <v>65.400000000000006</v>
      </c>
      <c r="H14838" s="691">
        <v>65.900000000000006</v>
      </c>
      <c r="I14838" s="692" t="s">
        <v>4060</v>
      </c>
      <c r="J14838" s="692" t="s">
        <v>4060</v>
      </c>
      <c r="K14838" s="692" t="s">
        <v>4060</v>
      </c>
    </row>
    <row r="14840" spans="1:11">
      <c r="A14840" s="683" t="s">
        <v>4233</v>
      </c>
    </row>
    <row r="14841" spans="1:11">
      <c r="A14841" s="683" t="s">
        <v>4060</v>
      </c>
      <c r="B14841" s="682" t="s">
        <v>4234</v>
      </c>
    </row>
    <row r="14843" spans="1:11">
      <c r="A14843" s="682" t="s">
        <v>4332</v>
      </c>
    </row>
    <row r="14844" spans="1:11">
      <c r="A14844" s="682" t="s">
        <v>4210</v>
      </c>
      <c r="B14844" s="683" t="s">
        <v>4211</v>
      </c>
    </row>
    <row r="14845" spans="1:11">
      <c r="A14845" s="682" t="s">
        <v>4212</v>
      </c>
      <c r="B14845" s="682" t="s">
        <v>4213</v>
      </c>
    </row>
    <row r="14847" spans="1:11">
      <c r="A14847" s="683" t="s">
        <v>4214</v>
      </c>
      <c r="C14847" s="682" t="s">
        <v>4215</v>
      </c>
    </row>
    <row r="14848" spans="1:11">
      <c r="A14848" s="683" t="s">
        <v>4216</v>
      </c>
      <c r="C14848" s="682" t="s">
        <v>2967</v>
      </c>
    </row>
    <row r="14849" spans="1:11">
      <c r="A14849" s="683" t="s">
        <v>3893</v>
      </c>
      <c r="C14849" s="682" t="s">
        <v>2169</v>
      </c>
    </row>
    <row r="14850" spans="1:11">
      <c r="A14850" s="683" t="s">
        <v>4218</v>
      </c>
      <c r="C14850" s="682" t="s">
        <v>4250</v>
      </c>
    </row>
    <row r="14852" spans="1:11">
      <c r="A14852" s="684" t="s">
        <v>4220</v>
      </c>
      <c r="B14852" s="685" t="s">
        <v>4221</v>
      </c>
      <c r="C14852" s="685" t="s">
        <v>4222</v>
      </c>
      <c r="D14852" s="685" t="s">
        <v>4223</v>
      </c>
      <c r="E14852" s="685" t="s">
        <v>4224</v>
      </c>
      <c r="F14852" s="685" t="s">
        <v>4225</v>
      </c>
      <c r="G14852" s="685" t="s">
        <v>4226</v>
      </c>
      <c r="H14852" s="685" t="s">
        <v>4227</v>
      </c>
      <c r="I14852" s="685" t="s">
        <v>4228</v>
      </c>
      <c r="J14852" s="685" t="s">
        <v>4229</v>
      </c>
      <c r="K14852" s="685" t="s">
        <v>4230</v>
      </c>
    </row>
    <row r="14853" spans="1:11">
      <c r="A14853" s="686" t="s">
        <v>4231</v>
      </c>
      <c r="B14853" s="687" t="s">
        <v>4232</v>
      </c>
      <c r="C14853" s="687" t="s">
        <v>4232</v>
      </c>
      <c r="D14853" s="687" t="s">
        <v>4232</v>
      </c>
      <c r="E14853" s="687" t="s">
        <v>4232</v>
      </c>
      <c r="F14853" s="687" t="s">
        <v>4232</v>
      </c>
      <c r="G14853" s="687" t="s">
        <v>4232</v>
      </c>
      <c r="H14853" s="687" t="s">
        <v>4232</v>
      </c>
      <c r="I14853" s="687" t="s">
        <v>4232</v>
      </c>
      <c r="J14853" s="687" t="s">
        <v>4232</v>
      </c>
      <c r="K14853" s="687" t="s">
        <v>4232</v>
      </c>
    </row>
    <row r="14854" spans="1:11">
      <c r="A14854" s="688" t="s">
        <v>4064</v>
      </c>
      <c r="B14854" s="691">
        <v>68.7</v>
      </c>
      <c r="C14854" s="691">
        <v>68.7</v>
      </c>
      <c r="D14854" s="691">
        <v>68.7</v>
      </c>
      <c r="E14854" s="691">
        <v>68.8</v>
      </c>
      <c r="F14854" s="691">
        <v>68.8</v>
      </c>
      <c r="G14854" s="691">
        <v>68.900000000000006</v>
      </c>
      <c r="H14854" s="691">
        <v>69.099999999999994</v>
      </c>
      <c r="I14854" s="691">
        <v>68.400000000000006</v>
      </c>
      <c r="J14854" s="691">
        <v>68.099999999999994</v>
      </c>
      <c r="K14854" s="691">
        <v>68.599999999999994</v>
      </c>
    </row>
    <row r="14855" spans="1:11">
      <c r="A14855" s="688" t="s">
        <v>4065</v>
      </c>
      <c r="B14855" s="689">
        <v>68.7</v>
      </c>
      <c r="C14855" s="693">
        <v>69</v>
      </c>
      <c r="D14855" s="689">
        <v>68.599999999999994</v>
      </c>
      <c r="E14855" s="693">
        <v>69</v>
      </c>
      <c r="F14855" s="689">
        <v>68.900000000000006</v>
      </c>
      <c r="G14855" s="693">
        <v>69</v>
      </c>
      <c r="H14855" s="690" t="s">
        <v>4060</v>
      </c>
      <c r="I14855" s="690" t="s">
        <v>4060</v>
      </c>
      <c r="J14855" s="690" t="s">
        <v>4060</v>
      </c>
      <c r="K14855" s="690" t="s">
        <v>4060</v>
      </c>
    </row>
    <row r="14856" spans="1:11">
      <c r="A14856" s="688" t="s">
        <v>4063</v>
      </c>
      <c r="B14856" s="691">
        <v>68.7</v>
      </c>
      <c r="C14856" s="691">
        <v>69.099999999999994</v>
      </c>
      <c r="D14856" s="691">
        <v>68.7</v>
      </c>
      <c r="E14856" s="691">
        <v>69.099999999999994</v>
      </c>
      <c r="F14856" s="615">
        <v>69</v>
      </c>
      <c r="G14856" s="615">
        <v>69</v>
      </c>
      <c r="H14856" s="692" t="s">
        <v>4060</v>
      </c>
      <c r="I14856" s="692" t="s">
        <v>4060</v>
      </c>
      <c r="J14856" s="692" t="s">
        <v>4060</v>
      </c>
      <c r="K14856" s="692" t="s">
        <v>4060</v>
      </c>
    </row>
    <row r="14857" spans="1:11">
      <c r="A14857" s="688" t="s">
        <v>4069</v>
      </c>
      <c r="B14857" s="690" t="s">
        <v>4060</v>
      </c>
      <c r="C14857" s="689">
        <v>69.599999999999994</v>
      </c>
      <c r="D14857" s="689">
        <v>69.3</v>
      </c>
      <c r="E14857" s="689">
        <v>69.599999999999994</v>
      </c>
      <c r="F14857" s="689">
        <v>69.599999999999994</v>
      </c>
      <c r="G14857" s="689">
        <v>69.7</v>
      </c>
      <c r="H14857" s="689">
        <v>69.900000000000006</v>
      </c>
      <c r="I14857" s="689">
        <v>69.3</v>
      </c>
      <c r="J14857" s="689">
        <v>69.400000000000006</v>
      </c>
      <c r="K14857" s="689">
        <v>69.400000000000006</v>
      </c>
    </row>
    <row r="14858" spans="1:11">
      <c r="A14858" s="688" t="s">
        <v>4068</v>
      </c>
      <c r="B14858" s="691">
        <v>69.599999999999994</v>
      </c>
      <c r="C14858" s="692" t="s">
        <v>4060</v>
      </c>
      <c r="D14858" s="692" t="s">
        <v>4060</v>
      </c>
      <c r="E14858" s="692" t="s">
        <v>4060</v>
      </c>
      <c r="F14858" s="692" t="s">
        <v>4060</v>
      </c>
      <c r="G14858" s="692" t="s">
        <v>4060</v>
      </c>
      <c r="H14858" s="692" t="s">
        <v>4060</v>
      </c>
      <c r="I14858" s="692" t="s">
        <v>4060</v>
      </c>
      <c r="J14858" s="692" t="s">
        <v>4060</v>
      </c>
      <c r="K14858" s="692" t="s">
        <v>4060</v>
      </c>
    </row>
    <row r="14859" spans="1:11">
      <c r="A14859" s="688" t="s">
        <v>0</v>
      </c>
      <c r="B14859" s="689">
        <v>68.599999999999994</v>
      </c>
      <c r="C14859" s="689">
        <v>68.8</v>
      </c>
      <c r="D14859" s="689">
        <v>68.5</v>
      </c>
      <c r="E14859" s="693">
        <v>69</v>
      </c>
      <c r="F14859" s="693">
        <v>69</v>
      </c>
      <c r="G14859" s="689">
        <v>69.099999999999994</v>
      </c>
      <c r="H14859" s="689">
        <v>69.400000000000006</v>
      </c>
      <c r="I14859" s="689">
        <v>68.400000000000006</v>
      </c>
      <c r="J14859" s="689">
        <v>69.400000000000006</v>
      </c>
      <c r="K14859" s="689">
        <v>69.099999999999994</v>
      </c>
    </row>
    <row r="14860" spans="1:11">
      <c r="A14860" s="688" t="s">
        <v>1</v>
      </c>
      <c r="B14860" s="691">
        <v>64.3</v>
      </c>
      <c r="C14860" s="691">
        <v>63.7</v>
      </c>
      <c r="D14860" s="691">
        <v>63.7</v>
      </c>
      <c r="E14860" s="615">
        <v>64</v>
      </c>
      <c r="F14860" s="691">
        <v>63.9</v>
      </c>
      <c r="G14860" s="615">
        <v>64</v>
      </c>
      <c r="H14860" s="691">
        <v>64.2</v>
      </c>
      <c r="I14860" s="691">
        <v>62.8</v>
      </c>
      <c r="J14860" s="691">
        <v>60.6</v>
      </c>
      <c r="K14860" s="691">
        <v>63.4</v>
      </c>
    </row>
    <row r="14861" spans="1:11">
      <c r="A14861" s="688" t="s">
        <v>2240</v>
      </c>
      <c r="B14861" s="689">
        <v>66.599999999999994</v>
      </c>
      <c r="C14861" s="693">
        <v>67</v>
      </c>
      <c r="D14861" s="689">
        <v>66.7</v>
      </c>
      <c r="E14861" s="689">
        <v>67.2</v>
      </c>
      <c r="F14861" s="689">
        <v>67.099999999999994</v>
      </c>
      <c r="G14861" s="689">
        <v>67.2</v>
      </c>
      <c r="H14861" s="689">
        <v>67.400000000000006</v>
      </c>
      <c r="I14861" s="689">
        <v>66.599999999999994</v>
      </c>
      <c r="J14861" s="689">
        <v>65.7</v>
      </c>
      <c r="K14861" s="689">
        <v>67.2</v>
      </c>
    </row>
    <row r="14862" spans="1:11">
      <c r="A14862" s="688" t="s">
        <v>2</v>
      </c>
      <c r="B14862" s="691">
        <v>67.7</v>
      </c>
      <c r="C14862" s="615">
        <v>68</v>
      </c>
      <c r="D14862" s="691">
        <v>68.099999999999994</v>
      </c>
      <c r="E14862" s="691">
        <v>68.099999999999994</v>
      </c>
      <c r="F14862" s="691">
        <v>68.400000000000006</v>
      </c>
      <c r="G14862" s="691">
        <v>68.3</v>
      </c>
      <c r="H14862" s="691">
        <v>68.7</v>
      </c>
      <c r="I14862" s="691">
        <v>68.8</v>
      </c>
      <c r="J14862" s="691">
        <v>68.599999999999994</v>
      </c>
      <c r="K14862" s="691">
        <v>68.5</v>
      </c>
    </row>
    <row r="14863" spans="1:11">
      <c r="A14863" s="688" t="s">
        <v>3</v>
      </c>
      <c r="B14863" s="689">
        <v>68.400000000000006</v>
      </c>
      <c r="C14863" s="689">
        <v>68.7</v>
      </c>
      <c r="D14863" s="689">
        <v>68.3</v>
      </c>
      <c r="E14863" s="689">
        <v>68.7</v>
      </c>
      <c r="F14863" s="689">
        <v>68.7</v>
      </c>
      <c r="G14863" s="689">
        <v>68.599999999999994</v>
      </c>
      <c r="H14863" s="689">
        <v>68.900000000000006</v>
      </c>
      <c r="I14863" s="689">
        <v>68.8</v>
      </c>
      <c r="J14863" s="689">
        <v>68.5</v>
      </c>
      <c r="K14863" s="689">
        <v>68.3</v>
      </c>
    </row>
    <row r="14864" spans="1:11">
      <c r="A14864" s="688" t="s">
        <v>4061</v>
      </c>
      <c r="B14864" s="691">
        <v>68.400000000000006</v>
      </c>
      <c r="C14864" s="691">
        <v>68.7</v>
      </c>
      <c r="D14864" s="691">
        <v>68.3</v>
      </c>
      <c r="E14864" s="691">
        <v>68.7</v>
      </c>
      <c r="F14864" s="691">
        <v>68.7</v>
      </c>
      <c r="G14864" s="691">
        <v>68.599999999999994</v>
      </c>
      <c r="H14864" s="691">
        <v>68.900000000000006</v>
      </c>
      <c r="I14864" s="691">
        <v>68.8</v>
      </c>
      <c r="J14864" s="691">
        <v>68.5</v>
      </c>
      <c r="K14864" s="691">
        <v>68.3</v>
      </c>
    </row>
    <row r="14865" spans="1:11">
      <c r="A14865" s="688" t="s">
        <v>4</v>
      </c>
      <c r="B14865" s="689">
        <v>67.099999999999994</v>
      </c>
      <c r="C14865" s="689">
        <v>66.900000000000006</v>
      </c>
      <c r="D14865" s="689">
        <v>67.2</v>
      </c>
      <c r="E14865" s="689">
        <v>67.099999999999994</v>
      </c>
      <c r="F14865" s="689">
        <v>67.599999999999994</v>
      </c>
      <c r="G14865" s="689">
        <v>67.7</v>
      </c>
      <c r="H14865" s="693">
        <v>68</v>
      </c>
      <c r="I14865" s="693">
        <v>68</v>
      </c>
      <c r="J14865" s="689">
        <v>66.599999999999994</v>
      </c>
      <c r="K14865" s="689">
        <v>67.5</v>
      </c>
    </row>
    <row r="14866" spans="1:11">
      <c r="A14866" s="688" t="s">
        <v>8</v>
      </c>
      <c r="B14866" s="691">
        <v>68.400000000000006</v>
      </c>
      <c r="C14866" s="691">
        <v>68.599999999999994</v>
      </c>
      <c r="D14866" s="691">
        <v>68.599999999999994</v>
      </c>
      <c r="E14866" s="691">
        <v>68.7</v>
      </c>
      <c r="F14866" s="691">
        <v>69.099999999999994</v>
      </c>
      <c r="G14866" s="691">
        <v>69.2</v>
      </c>
      <c r="H14866" s="691">
        <v>69.599999999999994</v>
      </c>
      <c r="I14866" s="691">
        <v>69.400000000000006</v>
      </c>
      <c r="J14866" s="691">
        <v>69.3</v>
      </c>
      <c r="K14866" s="691">
        <v>69.3</v>
      </c>
    </row>
    <row r="14867" spans="1:11">
      <c r="A14867" s="688" t="s">
        <v>7</v>
      </c>
      <c r="B14867" s="689">
        <v>69.400000000000006</v>
      </c>
      <c r="C14867" s="689">
        <v>69.099999999999994</v>
      </c>
      <c r="D14867" s="689">
        <v>68.900000000000006</v>
      </c>
      <c r="E14867" s="689">
        <v>69.099999999999994</v>
      </c>
      <c r="F14867" s="689">
        <v>69.099999999999994</v>
      </c>
      <c r="G14867" s="689">
        <v>69.599999999999994</v>
      </c>
      <c r="H14867" s="689">
        <v>69.5</v>
      </c>
      <c r="I14867" s="689">
        <v>69.099999999999994</v>
      </c>
      <c r="J14867" s="689">
        <v>68.3</v>
      </c>
      <c r="K14867" s="689">
        <v>68.7</v>
      </c>
    </row>
    <row r="14868" spans="1:11">
      <c r="A14868" s="688" t="s">
        <v>27</v>
      </c>
      <c r="B14868" s="691">
        <v>71.400000000000006</v>
      </c>
      <c r="C14868" s="615">
        <v>71</v>
      </c>
      <c r="D14868" s="691">
        <v>70.7</v>
      </c>
      <c r="E14868" s="691">
        <v>71.099999999999994</v>
      </c>
      <c r="F14868" s="615">
        <v>71</v>
      </c>
      <c r="G14868" s="691">
        <v>71.099999999999994</v>
      </c>
      <c r="H14868" s="691">
        <v>71.5</v>
      </c>
      <c r="I14868" s="691">
        <v>70.3</v>
      </c>
      <c r="J14868" s="691">
        <v>71.099999999999994</v>
      </c>
      <c r="K14868" s="615">
        <v>71</v>
      </c>
    </row>
    <row r="14869" spans="1:11">
      <c r="A14869" s="688" t="s">
        <v>6</v>
      </c>
      <c r="B14869" s="693">
        <v>71</v>
      </c>
      <c r="C14869" s="689">
        <v>70.8</v>
      </c>
      <c r="D14869" s="689">
        <v>70.5</v>
      </c>
      <c r="E14869" s="689">
        <v>70.7</v>
      </c>
      <c r="F14869" s="689">
        <v>70.8</v>
      </c>
      <c r="G14869" s="689">
        <v>70.900000000000006</v>
      </c>
      <c r="H14869" s="693">
        <v>71</v>
      </c>
      <c r="I14869" s="689">
        <v>70.5</v>
      </c>
      <c r="J14869" s="689">
        <v>70.599999999999994</v>
      </c>
      <c r="K14869" s="689">
        <v>70.5</v>
      </c>
    </row>
    <row r="14870" spans="1:11">
      <c r="A14870" s="688" t="s">
        <v>4058</v>
      </c>
      <c r="B14870" s="692" t="s">
        <v>4060</v>
      </c>
      <c r="C14870" s="692" t="s">
        <v>4060</v>
      </c>
      <c r="D14870" s="692" t="s">
        <v>4060</v>
      </c>
      <c r="E14870" s="692" t="s">
        <v>4060</v>
      </c>
      <c r="F14870" s="692" t="s">
        <v>4060</v>
      </c>
      <c r="G14870" s="692" t="s">
        <v>4060</v>
      </c>
      <c r="H14870" s="692" t="s">
        <v>4060</v>
      </c>
      <c r="I14870" s="692" t="s">
        <v>4060</v>
      </c>
      <c r="J14870" s="692" t="s">
        <v>4060</v>
      </c>
      <c r="K14870" s="692" t="s">
        <v>4060</v>
      </c>
    </row>
    <row r="14871" spans="1:11">
      <c r="A14871" s="688" t="s">
        <v>11</v>
      </c>
      <c r="B14871" s="689">
        <v>66.400000000000006</v>
      </c>
      <c r="C14871" s="689">
        <v>66.3</v>
      </c>
      <c r="D14871" s="689">
        <v>65.900000000000006</v>
      </c>
      <c r="E14871" s="689">
        <v>66.599999999999994</v>
      </c>
      <c r="F14871" s="689">
        <v>66.2</v>
      </c>
      <c r="G14871" s="689">
        <v>66.599999999999994</v>
      </c>
      <c r="H14871" s="689">
        <v>66.7</v>
      </c>
      <c r="I14871" s="689">
        <v>66.099999999999994</v>
      </c>
      <c r="J14871" s="689">
        <v>65.2</v>
      </c>
      <c r="K14871" s="689">
        <v>66.2</v>
      </c>
    </row>
    <row r="14872" spans="1:11">
      <c r="A14872" s="688" t="s">
        <v>10</v>
      </c>
      <c r="B14872" s="691">
        <v>70.5</v>
      </c>
      <c r="C14872" s="691">
        <v>70.400000000000006</v>
      </c>
      <c r="D14872" s="691">
        <v>69.900000000000006</v>
      </c>
      <c r="E14872" s="691">
        <v>70.5</v>
      </c>
      <c r="F14872" s="691">
        <v>70.2</v>
      </c>
      <c r="G14872" s="691">
        <v>70.599999999999994</v>
      </c>
      <c r="H14872" s="691">
        <v>70.7</v>
      </c>
      <c r="I14872" s="691">
        <v>69.8</v>
      </c>
      <c r="J14872" s="691">
        <v>70.099999999999994</v>
      </c>
      <c r="K14872" s="691">
        <v>70.099999999999994</v>
      </c>
    </row>
    <row r="14873" spans="1:11">
      <c r="A14873" s="688" t="s">
        <v>30</v>
      </c>
      <c r="B14873" s="689">
        <v>70.099999999999994</v>
      </c>
      <c r="C14873" s="689">
        <v>69.400000000000006</v>
      </c>
      <c r="D14873" s="689">
        <v>69.099999999999994</v>
      </c>
      <c r="E14873" s="689">
        <v>70.2</v>
      </c>
      <c r="F14873" s="689">
        <v>69.7</v>
      </c>
      <c r="G14873" s="689">
        <v>70.099999999999994</v>
      </c>
      <c r="H14873" s="689">
        <v>69.900000000000006</v>
      </c>
      <c r="I14873" s="689">
        <v>69.8</v>
      </c>
      <c r="J14873" s="689">
        <v>69.099999999999994</v>
      </c>
      <c r="K14873" s="689">
        <v>69.3</v>
      </c>
    </row>
    <row r="14874" spans="1:11">
      <c r="A14874" s="688" t="s">
        <v>12</v>
      </c>
      <c r="B14874" s="691">
        <v>64.400000000000006</v>
      </c>
      <c r="C14874" s="691">
        <v>64.7</v>
      </c>
      <c r="D14874" s="691">
        <v>64.7</v>
      </c>
      <c r="E14874" s="691">
        <v>64.900000000000006</v>
      </c>
      <c r="F14874" s="615">
        <v>65</v>
      </c>
      <c r="G14874" s="615">
        <v>65</v>
      </c>
      <c r="H14874" s="691">
        <v>65.400000000000006</v>
      </c>
      <c r="I14874" s="691">
        <v>65.3</v>
      </c>
      <c r="J14874" s="691">
        <v>63.3</v>
      </c>
      <c r="K14874" s="691">
        <v>64.8</v>
      </c>
    </row>
    <row r="14875" spans="1:11">
      <c r="A14875" s="688" t="s">
        <v>14</v>
      </c>
      <c r="B14875" s="693">
        <v>65</v>
      </c>
      <c r="C14875" s="689">
        <v>65.3</v>
      </c>
      <c r="D14875" s="693">
        <v>65</v>
      </c>
      <c r="E14875" s="689">
        <v>65.400000000000006</v>
      </c>
      <c r="F14875" s="689">
        <v>65.599999999999994</v>
      </c>
      <c r="G14875" s="689">
        <v>65.900000000000006</v>
      </c>
      <c r="H14875" s="689">
        <v>66.3</v>
      </c>
      <c r="I14875" s="689">
        <v>65.3</v>
      </c>
      <c r="J14875" s="689">
        <v>64.2</v>
      </c>
      <c r="K14875" s="689">
        <v>65.400000000000006</v>
      </c>
    </row>
    <row r="14876" spans="1:11">
      <c r="A14876" s="688" t="s">
        <v>15</v>
      </c>
      <c r="B14876" s="691">
        <v>69.3</v>
      </c>
      <c r="C14876" s="691">
        <v>69.900000000000006</v>
      </c>
      <c r="D14876" s="691">
        <v>69.400000000000006</v>
      </c>
      <c r="E14876" s="691">
        <v>70.099999999999994</v>
      </c>
      <c r="F14876" s="691">
        <v>69.2</v>
      </c>
      <c r="G14876" s="691">
        <v>69.7</v>
      </c>
      <c r="H14876" s="691">
        <v>70.099999999999994</v>
      </c>
      <c r="I14876" s="691">
        <v>69.8</v>
      </c>
      <c r="J14876" s="615">
        <v>70</v>
      </c>
      <c r="K14876" s="691">
        <v>70.3</v>
      </c>
    </row>
    <row r="14877" spans="1:11">
      <c r="A14877" s="688" t="s">
        <v>29</v>
      </c>
      <c r="B14877" s="689">
        <v>64.599999999999994</v>
      </c>
      <c r="C14877" s="689">
        <v>64.599999999999994</v>
      </c>
      <c r="D14877" s="689">
        <v>64.2</v>
      </c>
      <c r="E14877" s="689">
        <v>64.900000000000006</v>
      </c>
      <c r="F14877" s="689">
        <v>64.5</v>
      </c>
      <c r="G14877" s="689">
        <v>64.7</v>
      </c>
      <c r="H14877" s="689">
        <v>64.900000000000006</v>
      </c>
      <c r="I14877" s="689">
        <v>64.099999999999994</v>
      </c>
      <c r="J14877" s="689">
        <v>62.9</v>
      </c>
      <c r="K14877" s="689">
        <v>64.599999999999994</v>
      </c>
    </row>
    <row r="14878" spans="1:11">
      <c r="A14878" s="688" t="s">
        <v>16</v>
      </c>
      <c r="B14878" s="691">
        <v>69.599999999999994</v>
      </c>
      <c r="C14878" s="691">
        <v>69.400000000000006</v>
      </c>
      <c r="D14878" s="691">
        <v>69.3</v>
      </c>
      <c r="E14878" s="691">
        <v>69.5</v>
      </c>
      <c r="F14878" s="691">
        <v>69.599999999999994</v>
      </c>
      <c r="G14878" s="691">
        <v>69.5</v>
      </c>
      <c r="H14878" s="691">
        <v>69.900000000000006</v>
      </c>
      <c r="I14878" s="691">
        <v>69.5</v>
      </c>
      <c r="J14878" s="691">
        <v>69.3</v>
      </c>
      <c r="K14878" s="691">
        <v>69.599999999999994</v>
      </c>
    </row>
    <row r="14879" spans="1:11">
      <c r="A14879" s="688" t="s">
        <v>17</v>
      </c>
      <c r="B14879" s="689">
        <v>68.599999999999994</v>
      </c>
      <c r="C14879" s="689">
        <v>68.7</v>
      </c>
      <c r="D14879" s="689">
        <v>68.5</v>
      </c>
      <c r="E14879" s="689">
        <v>68.5</v>
      </c>
      <c r="F14879" s="689">
        <v>68.7</v>
      </c>
      <c r="G14879" s="689">
        <v>68.7</v>
      </c>
      <c r="H14879" s="689">
        <v>68.900000000000006</v>
      </c>
      <c r="I14879" s="689">
        <v>68.5</v>
      </c>
      <c r="J14879" s="689">
        <v>68.3</v>
      </c>
      <c r="K14879" s="689">
        <v>68.400000000000006</v>
      </c>
    </row>
    <row r="14880" spans="1:11">
      <c r="A14880" s="688" t="s">
        <v>19</v>
      </c>
      <c r="B14880" s="691">
        <v>69.099999999999994</v>
      </c>
      <c r="C14880" s="691">
        <v>69.099999999999994</v>
      </c>
      <c r="D14880" s="691">
        <v>68.900000000000006</v>
      </c>
      <c r="E14880" s="691">
        <v>69.3</v>
      </c>
      <c r="F14880" s="691">
        <v>69.2</v>
      </c>
      <c r="G14880" s="691">
        <v>69.3</v>
      </c>
      <c r="H14880" s="691">
        <v>69.5</v>
      </c>
      <c r="I14880" s="691">
        <v>69.099999999999994</v>
      </c>
      <c r="J14880" s="691">
        <v>69.099999999999994</v>
      </c>
      <c r="K14880" s="691">
        <v>69.099999999999994</v>
      </c>
    </row>
    <row r="14881" spans="1:11">
      <c r="A14881" s="688" t="s">
        <v>20</v>
      </c>
      <c r="B14881" s="689">
        <v>66.7</v>
      </c>
      <c r="C14881" s="689">
        <v>66.900000000000006</v>
      </c>
      <c r="D14881" s="689">
        <v>66.7</v>
      </c>
      <c r="E14881" s="689">
        <v>67.099999999999994</v>
      </c>
      <c r="F14881" s="689">
        <v>66.900000000000006</v>
      </c>
      <c r="G14881" s="689">
        <v>66.900000000000006</v>
      </c>
      <c r="H14881" s="689">
        <v>67.099999999999994</v>
      </c>
      <c r="I14881" s="689">
        <v>65.900000000000006</v>
      </c>
      <c r="J14881" s="689">
        <v>64.900000000000006</v>
      </c>
      <c r="K14881" s="689">
        <v>66.400000000000006</v>
      </c>
    </row>
    <row r="14882" spans="1:11">
      <c r="A14882" s="688" t="s">
        <v>21</v>
      </c>
      <c r="B14882" s="691">
        <v>69.400000000000006</v>
      </c>
      <c r="C14882" s="691">
        <v>69.599999999999994</v>
      </c>
      <c r="D14882" s="691">
        <v>69.599999999999994</v>
      </c>
      <c r="E14882" s="691">
        <v>69.599999999999994</v>
      </c>
      <c r="F14882" s="691">
        <v>69.8</v>
      </c>
      <c r="G14882" s="691">
        <v>69.900000000000006</v>
      </c>
      <c r="H14882" s="691">
        <v>70.099999999999994</v>
      </c>
      <c r="I14882" s="691">
        <v>69.5</v>
      </c>
      <c r="J14882" s="691">
        <v>69.599999999999994</v>
      </c>
      <c r="K14882" s="691">
        <v>69.7</v>
      </c>
    </row>
    <row r="14883" spans="1:11">
      <c r="A14883" s="688" t="s">
        <v>22</v>
      </c>
      <c r="B14883" s="689">
        <v>64.599999999999994</v>
      </c>
      <c r="C14883" s="689">
        <v>64.3</v>
      </c>
      <c r="D14883" s="689">
        <v>64.3</v>
      </c>
      <c r="E14883" s="689">
        <v>64.599999999999994</v>
      </c>
      <c r="F14883" s="689">
        <v>64.599999999999994</v>
      </c>
      <c r="G14883" s="689">
        <v>64.7</v>
      </c>
      <c r="H14883" s="693">
        <v>65</v>
      </c>
      <c r="I14883" s="689">
        <v>63.8</v>
      </c>
      <c r="J14883" s="689">
        <v>62.2</v>
      </c>
      <c r="K14883" s="689">
        <v>64.7</v>
      </c>
    </row>
    <row r="14884" spans="1:11">
      <c r="A14884" s="688" t="s">
        <v>26</v>
      </c>
      <c r="B14884" s="691">
        <v>68.900000000000006</v>
      </c>
      <c r="C14884" s="691">
        <v>68.900000000000006</v>
      </c>
      <c r="D14884" s="691">
        <v>68.7</v>
      </c>
      <c r="E14884" s="691">
        <v>69.099999999999994</v>
      </c>
      <c r="F14884" s="615">
        <v>69</v>
      </c>
      <c r="G14884" s="691">
        <v>69.2</v>
      </c>
      <c r="H14884" s="691">
        <v>69.5</v>
      </c>
      <c r="I14884" s="691">
        <v>68.599999999999994</v>
      </c>
      <c r="J14884" s="691">
        <v>68.900000000000006</v>
      </c>
      <c r="K14884" s="691">
        <v>69.2</v>
      </c>
    </row>
    <row r="14885" spans="1:11">
      <c r="A14885" s="688" t="s">
        <v>25</v>
      </c>
      <c r="B14885" s="689">
        <v>65.7</v>
      </c>
      <c r="C14885" s="693">
        <v>66</v>
      </c>
      <c r="D14885" s="689">
        <v>65.7</v>
      </c>
      <c r="E14885" s="689">
        <v>66.099999999999994</v>
      </c>
      <c r="F14885" s="689">
        <v>66.099999999999994</v>
      </c>
      <c r="G14885" s="689">
        <v>66.2</v>
      </c>
      <c r="H14885" s="689">
        <v>66.599999999999994</v>
      </c>
      <c r="I14885" s="689">
        <v>65.900000000000006</v>
      </c>
      <c r="J14885" s="689">
        <v>63.7</v>
      </c>
      <c r="K14885" s="693">
        <v>66</v>
      </c>
    </row>
    <row r="14886" spans="1:11">
      <c r="A14886" s="688" t="s">
        <v>5</v>
      </c>
      <c r="B14886" s="691">
        <v>69.3</v>
      </c>
      <c r="C14886" s="691">
        <v>69.099999999999994</v>
      </c>
      <c r="D14886" s="691">
        <v>69.400000000000006</v>
      </c>
      <c r="E14886" s="691">
        <v>69.400000000000006</v>
      </c>
      <c r="F14886" s="691">
        <v>69.5</v>
      </c>
      <c r="G14886" s="691">
        <v>69.599999999999994</v>
      </c>
      <c r="H14886" s="691">
        <v>69.8</v>
      </c>
      <c r="I14886" s="691">
        <v>69.8</v>
      </c>
      <c r="J14886" s="691">
        <v>69.7</v>
      </c>
      <c r="K14886" s="615">
        <v>69</v>
      </c>
    </row>
    <row r="14887" spans="1:11">
      <c r="A14887" s="688" t="s">
        <v>23</v>
      </c>
      <c r="B14887" s="689">
        <v>69.099999999999994</v>
      </c>
      <c r="C14887" s="689">
        <v>69.3</v>
      </c>
      <c r="D14887" s="689">
        <v>69.3</v>
      </c>
      <c r="E14887" s="689">
        <v>69.400000000000006</v>
      </c>
      <c r="F14887" s="689">
        <v>69.400000000000006</v>
      </c>
      <c r="G14887" s="689">
        <v>69.5</v>
      </c>
      <c r="H14887" s="693">
        <v>70</v>
      </c>
      <c r="I14887" s="689">
        <v>69.5</v>
      </c>
      <c r="J14887" s="693">
        <v>70</v>
      </c>
      <c r="K14887" s="693">
        <v>70</v>
      </c>
    </row>
    <row r="14888" spans="1:11">
      <c r="A14888" s="688" t="s">
        <v>4067</v>
      </c>
      <c r="B14888" s="691">
        <v>68.7</v>
      </c>
      <c r="C14888" s="615">
        <v>69</v>
      </c>
      <c r="D14888" s="691">
        <v>68.599999999999994</v>
      </c>
      <c r="E14888" s="615">
        <v>69</v>
      </c>
      <c r="F14888" s="691">
        <v>68.900000000000006</v>
      </c>
      <c r="G14888" s="615">
        <v>69</v>
      </c>
      <c r="H14888" s="692" t="s">
        <v>4060</v>
      </c>
      <c r="I14888" s="692" t="s">
        <v>4060</v>
      </c>
      <c r="J14888" s="692" t="s">
        <v>4060</v>
      </c>
      <c r="K14888" s="692" t="s">
        <v>4060</v>
      </c>
    </row>
    <row r="14889" spans="1:11">
      <c r="A14889" s="688" t="s">
        <v>4066</v>
      </c>
      <c r="B14889" s="689">
        <v>68.7</v>
      </c>
      <c r="C14889" s="689">
        <v>69.099999999999994</v>
      </c>
      <c r="D14889" s="689">
        <v>68.7</v>
      </c>
      <c r="E14889" s="689">
        <v>69.099999999999994</v>
      </c>
      <c r="F14889" s="693">
        <v>69</v>
      </c>
      <c r="G14889" s="693">
        <v>69</v>
      </c>
      <c r="H14889" s="690" t="s">
        <v>4060</v>
      </c>
      <c r="I14889" s="690" t="s">
        <v>4060</v>
      </c>
      <c r="J14889" s="690" t="s">
        <v>4060</v>
      </c>
      <c r="K14889" s="690" t="s">
        <v>4060</v>
      </c>
    </row>
    <row r="14890" spans="1:11">
      <c r="A14890" s="688" t="s">
        <v>4062</v>
      </c>
      <c r="B14890" s="691">
        <v>69.900000000000006</v>
      </c>
      <c r="C14890" s="691">
        <v>70.099999999999994</v>
      </c>
      <c r="D14890" s="691">
        <v>69.900000000000006</v>
      </c>
      <c r="E14890" s="691">
        <v>70.2</v>
      </c>
      <c r="F14890" s="691">
        <v>70.3</v>
      </c>
      <c r="G14890" s="691">
        <v>70.400000000000006</v>
      </c>
      <c r="H14890" s="691">
        <v>70.5</v>
      </c>
      <c r="I14890" s="691">
        <v>70.3</v>
      </c>
      <c r="J14890" s="691">
        <v>70.599999999999994</v>
      </c>
      <c r="K14890" s="691">
        <v>70.3</v>
      </c>
    </row>
    <row r="14891" spans="1:11">
      <c r="A14891" s="688" t="s">
        <v>9</v>
      </c>
      <c r="B14891" s="693">
        <v>69</v>
      </c>
      <c r="C14891" s="689">
        <v>69.400000000000006</v>
      </c>
      <c r="D14891" s="689">
        <v>68.900000000000006</v>
      </c>
      <c r="E14891" s="689">
        <v>69.099999999999994</v>
      </c>
      <c r="F14891" s="689">
        <v>69.5</v>
      </c>
      <c r="G14891" s="689">
        <v>69.400000000000006</v>
      </c>
      <c r="H14891" s="689">
        <v>69.599999999999994</v>
      </c>
      <c r="I14891" s="689">
        <v>69.599999999999994</v>
      </c>
      <c r="J14891" s="689">
        <v>69.900000000000006</v>
      </c>
      <c r="K14891" s="689">
        <v>68.8</v>
      </c>
    </row>
    <row r="14892" spans="1:11">
      <c r="A14892" s="688" t="s">
        <v>13</v>
      </c>
      <c r="B14892" s="691">
        <v>69.900000000000006</v>
      </c>
      <c r="C14892" s="691">
        <v>68.7</v>
      </c>
      <c r="D14892" s="691">
        <v>69.3</v>
      </c>
      <c r="E14892" s="691">
        <v>68.900000000000006</v>
      </c>
      <c r="F14892" s="691">
        <v>70.8</v>
      </c>
      <c r="G14892" s="691">
        <v>70.900000000000006</v>
      </c>
      <c r="H14892" s="691">
        <v>70.5</v>
      </c>
      <c r="I14892" s="691">
        <v>70.099999999999994</v>
      </c>
      <c r="J14892" s="691">
        <v>71.099999999999994</v>
      </c>
      <c r="K14892" s="691">
        <v>70.2</v>
      </c>
    </row>
    <row r="14893" spans="1:11">
      <c r="A14893" s="688" t="s">
        <v>18</v>
      </c>
      <c r="B14893" s="689">
        <v>69.099999999999994</v>
      </c>
      <c r="C14893" s="689">
        <v>69.3</v>
      </c>
      <c r="D14893" s="689">
        <v>69.400000000000006</v>
      </c>
      <c r="E14893" s="689">
        <v>69.400000000000006</v>
      </c>
      <c r="F14893" s="689">
        <v>69.599999999999994</v>
      </c>
      <c r="G14893" s="689">
        <v>69.7</v>
      </c>
      <c r="H14893" s="689">
        <v>69.900000000000006</v>
      </c>
      <c r="I14893" s="689">
        <v>70.099999999999994</v>
      </c>
      <c r="J14893" s="689">
        <v>69.900000000000006</v>
      </c>
      <c r="K14893" s="689">
        <v>69.5</v>
      </c>
    </row>
    <row r="14894" spans="1:11">
      <c r="A14894" s="688" t="s">
        <v>24</v>
      </c>
      <c r="B14894" s="691">
        <v>70.400000000000006</v>
      </c>
      <c r="C14894" s="691">
        <v>70.5</v>
      </c>
      <c r="D14894" s="691">
        <v>70.3</v>
      </c>
      <c r="E14894" s="691">
        <v>70.599999999999994</v>
      </c>
      <c r="F14894" s="691">
        <v>70.7</v>
      </c>
      <c r="G14894" s="691">
        <v>70.8</v>
      </c>
      <c r="H14894" s="691">
        <v>70.900000000000006</v>
      </c>
      <c r="I14894" s="691">
        <v>70.5</v>
      </c>
      <c r="J14894" s="615">
        <v>71</v>
      </c>
      <c r="K14894" s="691">
        <v>70.8</v>
      </c>
    </row>
    <row r="14895" spans="1:11">
      <c r="A14895" s="688" t="s">
        <v>4059</v>
      </c>
      <c r="B14895" s="689">
        <v>68.3</v>
      </c>
      <c r="C14895" s="689">
        <v>68.599999999999994</v>
      </c>
      <c r="D14895" s="689">
        <v>68.2</v>
      </c>
      <c r="E14895" s="689">
        <v>68.400000000000006</v>
      </c>
      <c r="F14895" s="689">
        <v>68.5</v>
      </c>
      <c r="G14895" s="689">
        <v>68.400000000000006</v>
      </c>
      <c r="H14895" s="690" t="s">
        <v>4060</v>
      </c>
      <c r="I14895" s="690" t="s">
        <v>4060</v>
      </c>
      <c r="J14895" s="690" t="s">
        <v>4060</v>
      </c>
      <c r="K14895" s="690" t="s">
        <v>4060</v>
      </c>
    </row>
    <row r="14896" spans="1:11">
      <c r="A14896" s="688" t="s">
        <v>2324</v>
      </c>
      <c r="B14896" s="691">
        <v>64.400000000000006</v>
      </c>
      <c r="C14896" s="691">
        <v>64.400000000000006</v>
      </c>
      <c r="D14896" s="615">
        <v>64</v>
      </c>
      <c r="E14896" s="691">
        <v>64.400000000000006</v>
      </c>
      <c r="F14896" s="691">
        <v>64.5</v>
      </c>
      <c r="G14896" s="691">
        <v>64.599999999999994</v>
      </c>
      <c r="H14896" s="691">
        <v>64.8</v>
      </c>
      <c r="I14896" s="691">
        <v>64.099999999999994</v>
      </c>
      <c r="J14896" s="691">
        <v>62.2</v>
      </c>
      <c r="K14896" s="692" t="s">
        <v>4060</v>
      </c>
    </row>
    <row r="14897" spans="1:11">
      <c r="A14897" s="688" t="s">
        <v>2322</v>
      </c>
      <c r="B14897" s="690" t="s">
        <v>4060</v>
      </c>
      <c r="C14897" s="690" t="s">
        <v>4060</v>
      </c>
      <c r="D14897" s="690" t="s">
        <v>4060</v>
      </c>
      <c r="E14897" s="690" t="s">
        <v>4060</v>
      </c>
      <c r="F14897" s="690" t="s">
        <v>4060</v>
      </c>
      <c r="G14897" s="690" t="s">
        <v>4060</v>
      </c>
      <c r="H14897" s="690" t="s">
        <v>4060</v>
      </c>
      <c r="I14897" s="690" t="s">
        <v>4060</v>
      </c>
      <c r="J14897" s="690" t="s">
        <v>4060</v>
      </c>
      <c r="K14897" s="690" t="s">
        <v>4060</v>
      </c>
    </row>
    <row r="14898" spans="1:11">
      <c r="A14898" s="688" t="s">
        <v>2328</v>
      </c>
      <c r="B14898" s="691">
        <v>63.5</v>
      </c>
      <c r="C14898" s="691">
        <v>63.4</v>
      </c>
      <c r="D14898" s="691">
        <v>63.2</v>
      </c>
      <c r="E14898" s="691">
        <v>63.6</v>
      </c>
      <c r="F14898" s="691">
        <v>63.8</v>
      </c>
      <c r="G14898" s="691">
        <v>64.3</v>
      </c>
      <c r="H14898" s="691">
        <v>64.099999999999994</v>
      </c>
      <c r="I14898" s="691">
        <v>62.3</v>
      </c>
      <c r="J14898" s="691">
        <v>60.9</v>
      </c>
      <c r="K14898" s="692" t="s">
        <v>4060</v>
      </c>
    </row>
    <row r="14899" spans="1:11">
      <c r="A14899" s="688" t="s">
        <v>2496</v>
      </c>
      <c r="B14899" s="690" t="s">
        <v>4060</v>
      </c>
      <c r="C14899" s="689">
        <v>64.2</v>
      </c>
      <c r="D14899" s="689">
        <v>63.3</v>
      </c>
      <c r="E14899" s="693">
        <v>63</v>
      </c>
      <c r="F14899" s="689">
        <v>63.7</v>
      </c>
      <c r="G14899" s="693">
        <v>64</v>
      </c>
      <c r="H14899" s="689">
        <v>64.099999999999994</v>
      </c>
      <c r="I14899" s="690" t="s">
        <v>4060</v>
      </c>
      <c r="J14899" s="690" t="s">
        <v>4060</v>
      </c>
      <c r="K14899" s="689">
        <v>63.9</v>
      </c>
    </row>
    <row r="14900" spans="1:11">
      <c r="A14900" s="688" t="s">
        <v>2269</v>
      </c>
      <c r="B14900" s="691">
        <v>65.900000000000006</v>
      </c>
      <c r="C14900" s="691">
        <v>66.099999999999994</v>
      </c>
      <c r="D14900" s="691">
        <v>65.5</v>
      </c>
      <c r="E14900" s="615">
        <v>66</v>
      </c>
      <c r="F14900" s="691">
        <v>65.900000000000006</v>
      </c>
      <c r="G14900" s="691">
        <v>66.400000000000006</v>
      </c>
      <c r="H14900" s="691">
        <v>66.599999999999994</v>
      </c>
      <c r="I14900" s="691">
        <v>65.5</v>
      </c>
      <c r="J14900" s="691">
        <v>63.4</v>
      </c>
      <c r="K14900" s="691">
        <v>66.400000000000006</v>
      </c>
    </row>
    <row r="14901" spans="1:11">
      <c r="A14901" s="688" t="s">
        <v>2349</v>
      </c>
      <c r="B14901" s="689">
        <v>63.5</v>
      </c>
      <c r="C14901" s="689">
        <v>63.5</v>
      </c>
      <c r="D14901" s="689">
        <v>63.4</v>
      </c>
      <c r="E14901" s="689">
        <v>63.8</v>
      </c>
      <c r="F14901" s="689">
        <v>63.6</v>
      </c>
      <c r="G14901" s="689">
        <v>63.9</v>
      </c>
      <c r="H14901" s="689">
        <v>64.099999999999994</v>
      </c>
      <c r="I14901" s="689">
        <v>62.9</v>
      </c>
      <c r="J14901" s="689">
        <v>61.2</v>
      </c>
      <c r="K14901" s="689">
        <v>63.2</v>
      </c>
    </row>
    <row r="14902" spans="1:11">
      <c r="A14902" s="688" t="s">
        <v>2355</v>
      </c>
      <c r="B14902" s="691">
        <v>67.3</v>
      </c>
      <c r="C14902" s="691">
        <v>67.099999999999994</v>
      </c>
      <c r="D14902" s="691">
        <v>67.099999999999994</v>
      </c>
      <c r="E14902" s="615">
        <v>67</v>
      </c>
      <c r="F14902" s="691">
        <v>67.3</v>
      </c>
      <c r="G14902" s="691">
        <v>67.599999999999994</v>
      </c>
      <c r="H14902" s="691">
        <v>67.7</v>
      </c>
      <c r="I14902" s="692" t="s">
        <v>4060</v>
      </c>
      <c r="J14902" s="692" t="s">
        <v>4060</v>
      </c>
      <c r="K14902" s="692" t="s">
        <v>4060</v>
      </c>
    </row>
    <row r="14903" spans="1:11">
      <c r="A14903" s="688" t="s">
        <v>2357</v>
      </c>
      <c r="B14903" s="690" t="s">
        <v>4060</v>
      </c>
      <c r="C14903" s="689">
        <v>62.5</v>
      </c>
      <c r="D14903" s="693">
        <v>63</v>
      </c>
      <c r="E14903" s="689">
        <v>63.3</v>
      </c>
      <c r="F14903" s="689">
        <v>63.7</v>
      </c>
      <c r="G14903" s="689">
        <v>63.7</v>
      </c>
      <c r="H14903" s="689">
        <v>63.9</v>
      </c>
      <c r="I14903" s="690" t="s">
        <v>4060</v>
      </c>
      <c r="J14903" s="690" t="s">
        <v>4060</v>
      </c>
      <c r="K14903" s="690" t="s">
        <v>4060</v>
      </c>
    </row>
    <row r="14904" spans="1:11">
      <c r="A14904" s="688" t="s">
        <v>4070</v>
      </c>
      <c r="B14904" s="692" t="s">
        <v>4060</v>
      </c>
      <c r="C14904" s="692" t="s">
        <v>4060</v>
      </c>
      <c r="D14904" s="692" t="s">
        <v>4060</v>
      </c>
      <c r="E14904" s="691">
        <v>67.2</v>
      </c>
      <c r="F14904" s="692" t="s">
        <v>4060</v>
      </c>
      <c r="G14904" s="692" t="s">
        <v>4060</v>
      </c>
      <c r="H14904" s="692" t="s">
        <v>4060</v>
      </c>
      <c r="I14904" s="692" t="s">
        <v>4060</v>
      </c>
      <c r="J14904" s="692" t="s">
        <v>4060</v>
      </c>
      <c r="K14904" s="692" t="s">
        <v>4060</v>
      </c>
    </row>
    <row r="14905" spans="1:11">
      <c r="A14905" s="688" t="s">
        <v>2491</v>
      </c>
      <c r="B14905" s="689">
        <v>63.4</v>
      </c>
      <c r="C14905" s="693">
        <v>64</v>
      </c>
      <c r="D14905" s="689">
        <v>64.400000000000006</v>
      </c>
      <c r="E14905" s="689">
        <v>64.5</v>
      </c>
      <c r="F14905" s="689">
        <v>64.7</v>
      </c>
      <c r="G14905" s="689">
        <v>64.8</v>
      </c>
      <c r="H14905" s="690" t="s">
        <v>4060</v>
      </c>
      <c r="I14905" s="690" t="s">
        <v>4060</v>
      </c>
      <c r="J14905" s="690" t="s">
        <v>4060</v>
      </c>
      <c r="K14905" s="690" t="s">
        <v>4060</v>
      </c>
    </row>
    <row r="14906" spans="1:11">
      <c r="A14906" s="688" t="s">
        <v>2343</v>
      </c>
      <c r="B14906" s="692" t="s">
        <v>4060</v>
      </c>
      <c r="C14906" s="692" t="s">
        <v>4060</v>
      </c>
      <c r="D14906" s="692" t="s">
        <v>4060</v>
      </c>
      <c r="E14906" s="692" t="s">
        <v>4060</v>
      </c>
      <c r="F14906" s="692" t="s">
        <v>4060</v>
      </c>
      <c r="G14906" s="692" t="s">
        <v>4060</v>
      </c>
      <c r="H14906" s="692" t="s">
        <v>4060</v>
      </c>
      <c r="I14906" s="692" t="s">
        <v>4060</v>
      </c>
      <c r="J14906" s="692" t="s">
        <v>4060</v>
      </c>
      <c r="K14906" s="692" t="s">
        <v>4060</v>
      </c>
    </row>
    <row r="14907" spans="1:11">
      <c r="A14907" s="688" t="s">
        <v>4071</v>
      </c>
      <c r="B14907" s="690" t="s">
        <v>4060</v>
      </c>
      <c r="C14907" s="690" t="s">
        <v>4060</v>
      </c>
      <c r="D14907" s="690" t="s">
        <v>4060</v>
      </c>
      <c r="E14907" s="690" t="s">
        <v>4060</v>
      </c>
      <c r="F14907" s="690" t="s">
        <v>4060</v>
      </c>
      <c r="G14907" s="690" t="s">
        <v>4060</v>
      </c>
      <c r="H14907" s="690" t="s">
        <v>4060</v>
      </c>
      <c r="I14907" s="690" t="s">
        <v>4060</v>
      </c>
      <c r="J14907" s="690" t="s">
        <v>4060</v>
      </c>
      <c r="K14907" s="690" t="s">
        <v>4060</v>
      </c>
    </row>
    <row r="14908" spans="1:11">
      <c r="A14908" s="688" t="s">
        <v>2489</v>
      </c>
      <c r="B14908" s="692" t="s">
        <v>4060</v>
      </c>
      <c r="C14908" s="692" t="s">
        <v>4060</v>
      </c>
      <c r="D14908" s="691">
        <v>64.099999999999994</v>
      </c>
      <c r="E14908" s="691">
        <v>64.2</v>
      </c>
      <c r="F14908" s="691">
        <v>64.7</v>
      </c>
      <c r="G14908" s="691">
        <v>65.400000000000006</v>
      </c>
      <c r="H14908" s="691">
        <v>65.400000000000006</v>
      </c>
      <c r="I14908" s="692" t="s">
        <v>4060</v>
      </c>
      <c r="J14908" s="692" t="s">
        <v>4060</v>
      </c>
      <c r="K14908" s="692" t="s">
        <v>4060</v>
      </c>
    </row>
    <row r="14909" spans="1:11">
      <c r="A14909" s="688" t="s">
        <v>2490</v>
      </c>
      <c r="B14909" s="689">
        <v>63.3</v>
      </c>
      <c r="C14909" s="689">
        <v>63.3</v>
      </c>
      <c r="D14909" s="689">
        <v>63.8</v>
      </c>
      <c r="E14909" s="690" t="s">
        <v>4060</v>
      </c>
      <c r="F14909" s="693">
        <v>64</v>
      </c>
      <c r="G14909" s="689">
        <v>64.400000000000006</v>
      </c>
      <c r="H14909" s="693">
        <v>65</v>
      </c>
      <c r="I14909" s="690" t="s">
        <v>4060</v>
      </c>
      <c r="J14909" s="690" t="s">
        <v>4060</v>
      </c>
      <c r="K14909" s="690" t="s">
        <v>4060</v>
      </c>
    </row>
    <row r="14911" spans="1:11">
      <c r="A14911" s="683" t="s">
        <v>4233</v>
      </c>
    </row>
    <row r="14912" spans="1:11">
      <c r="A14912" s="683" t="s">
        <v>4060</v>
      </c>
      <c r="B14912" s="682" t="s">
        <v>4234</v>
      </c>
    </row>
    <row r="14914" spans="1:11">
      <c r="A14914" s="682" t="s">
        <v>4332</v>
      </c>
    </row>
    <row r="14915" spans="1:11">
      <c r="A14915" s="682" t="s">
        <v>4210</v>
      </c>
      <c r="B14915" s="683" t="s">
        <v>4211</v>
      </c>
    </row>
    <row r="14916" spans="1:11">
      <c r="A14916" s="682" t="s">
        <v>4212</v>
      </c>
      <c r="B14916" s="682" t="s">
        <v>4213</v>
      </c>
    </row>
    <row r="14918" spans="1:11">
      <c r="A14918" s="683" t="s">
        <v>4214</v>
      </c>
      <c r="C14918" s="682" t="s">
        <v>4215</v>
      </c>
    </row>
    <row r="14919" spans="1:11">
      <c r="A14919" s="683" t="s">
        <v>4216</v>
      </c>
      <c r="C14919" s="682" t="s">
        <v>2967</v>
      </c>
    </row>
    <row r="14920" spans="1:11">
      <c r="A14920" s="683" t="s">
        <v>3893</v>
      </c>
      <c r="C14920" s="682" t="s">
        <v>2169</v>
      </c>
    </row>
    <row r="14921" spans="1:11">
      <c r="A14921" s="683" t="s">
        <v>4218</v>
      </c>
      <c r="C14921" s="682" t="s">
        <v>4251</v>
      </c>
    </row>
    <row r="14923" spans="1:11">
      <c r="A14923" s="684" t="s">
        <v>4220</v>
      </c>
      <c r="B14923" s="685" t="s">
        <v>4221</v>
      </c>
      <c r="C14923" s="685" t="s">
        <v>4222</v>
      </c>
      <c r="D14923" s="685" t="s">
        <v>4223</v>
      </c>
      <c r="E14923" s="685" t="s">
        <v>4224</v>
      </c>
      <c r="F14923" s="685" t="s">
        <v>4225</v>
      </c>
      <c r="G14923" s="685" t="s">
        <v>4226</v>
      </c>
      <c r="H14923" s="685" t="s">
        <v>4227</v>
      </c>
      <c r="I14923" s="685" t="s">
        <v>4228</v>
      </c>
      <c r="J14923" s="685" t="s">
        <v>4229</v>
      </c>
      <c r="K14923" s="685" t="s">
        <v>4230</v>
      </c>
    </row>
    <row r="14924" spans="1:11">
      <c r="A14924" s="686" t="s">
        <v>4231</v>
      </c>
      <c r="B14924" s="687" t="s">
        <v>4232</v>
      </c>
      <c r="C14924" s="687" t="s">
        <v>4232</v>
      </c>
      <c r="D14924" s="687" t="s">
        <v>4232</v>
      </c>
      <c r="E14924" s="687" t="s">
        <v>4232</v>
      </c>
      <c r="F14924" s="687" t="s">
        <v>4232</v>
      </c>
      <c r="G14924" s="687" t="s">
        <v>4232</v>
      </c>
      <c r="H14924" s="687" t="s">
        <v>4232</v>
      </c>
      <c r="I14924" s="687" t="s">
        <v>4232</v>
      </c>
      <c r="J14924" s="687" t="s">
        <v>4232</v>
      </c>
      <c r="K14924" s="687" t="s">
        <v>4232</v>
      </c>
    </row>
    <row r="14925" spans="1:11">
      <c r="A14925" s="688" t="s">
        <v>4064</v>
      </c>
      <c r="B14925" s="689">
        <v>67.7</v>
      </c>
      <c r="C14925" s="689">
        <v>67.7</v>
      </c>
      <c r="D14925" s="689">
        <v>67.7</v>
      </c>
      <c r="E14925" s="689">
        <v>67.8</v>
      </c>
      <c r="F14925" s="689">
        <v>67.8</v>
      </c>
      <c r="G14925" s="689">
        <v>67.900000000000006</v>
      </c>
      <c r="H14925" s="689">
        <v>68.099999999999994</v>
      </c>
      <c r="I14925" s="689">
        <v>67.400000000000006</v>
      </c>
      <c r="J14925" s="689">
        <v>67.099999999999994</v>
      </c>
      <c r="K14925" s="689">
        <v>67.599999999999994</v>
      </c>
    </row>
    <row r="14926" spans="1:11">
      <c r="A14926" s="688" t="s">
        <v>4065</v>
      </c>
      <c r="B14926" s="691">
        <v>67.7</v>
      </c>
      <c r="C14926" s="615">
        <v>68</v>
      </c>
      <c r="D14926" s="691">
        <v>67.599999999999994</v>
      </c>
      <c r="E14926" s="615">
        <v>68</v>
      </c>
      <c r="F14926" s="691">
        <v>67.900000000000006</v>
      </c>
      <c r="G14926" s="615">
        <v>68</v>
      </c>
      <c r="H14926" s="692" t="s">
        <v>4060</v>
      </c>
      <c r="I14926" s="692" t="s">
        <v>4060</v>
      </c>
      <c r="J14926" s="692" t="s">
        <v>4060</v>
      </c>
      <c r="K14926" s="692" t="s">
        <v>4060</v>
      </c>
    </row>
    <row r="14927" spans="1:11">
      <c r="A14927" s="688" t="s">
        <v>4063</v>
      </c>
      <c r="B14927" s="689">
        <v>67.7</v>
      </c>
      <c r="C14927" s="689">
        <v>68.099999999999994</v>
      </c>
      <c r="D14927" s="689">
        <v>67.7</v>
      </c>
      <c r="E14927" s="689">
        <v>68.099999999999994</v>
      </c>
      <c r="F14927" s="693">
        <v>68</v>
      </c>
      <c r="G14927" s="693">
        <v>68</v>
      </c>
      <c r="H14927" s="690" t="s">
        <v>4060</v>
      </c>
      <c r="I14927" s="690" t="s">
        <v>4060</v>
      </c>
      <c r="J14927" s="690" t="s">
        <v>4060</v>
      </c>
      <c r="K14927" s="690" t="s">
        <v>4060</v>
      </c>
    </row>
    <row r="14928" spans="1:11">
      <c r="A14928" s="688" t="s">
        <v>4069</v>
      </c>
      <c r="B14928" s="692" t="s">
        <v>4060</v>
      </c>
      <c r="C14928" s="691">
        <v>68.599999999999994</v>
      </c>
      <c r="D14928" s="691">
        <v>68.3</v>
      </c>
      <c r="E14928" s="691">
        <v>68.599999999999994</v>
      </c>
      <c r="F14928" s="691">
        <v>68.599999999999994</v>
      </c>
      <c r="G14928" s="691">
        <v>68.7</v>
      </c>
      <c r="H14928" s="691">
        <v>68.900000000000006</v>
      </c>
      <c r="I14928" s="691">
        <v>68.400000000000006</v>
      </c>
      <c r="J14928" s="691">
        <v>68.400000000000006</v>
      </c>
      <c r="K14928" s="691">
        <v>68.400000000000006</v>
      </c>
    </row>
    <row r="14929" spans="1:11">
      <c r="A14929" s="688" t="s">
        <v>4068</v>
      </c>
      <c r="B14929" s="689">
        <v>68.599999999999994</v>
      </c>
      <c r="C14929" s="690" t="s">
        <v>4060</v>
      </c>
      <c r="D14929" s="690" t="s">
        <v>4060</v>
      </c>
      <c r="E14929" s="690" t="s">
        <v>4060</v>
      </c>
      <c r="F14929" s="690" t="s">
        <v>4060</v>
      </c>
      <c r="G14929" s="690" t="s">
        <v>4060</v>
      </c>
      <c r="H14929" s="690" t="s">
        <v>4060</v>
      </c>
      <c r="I14929" s="690" t="s">
        <v>4060</v>
      </c>
      <c r="J14929" s="690" t="s">
        <v>4060</v>
      </c>
      <c r="K14929" s="690" t="s">
        <v>4060</v>
      </c>
    </row>
    <row r="14930" spans="1:11">
      <c r="A14930" s="688" t="s">
        <v>0</v>
      </c>
      <c r="B14930" s="691">
        <v>67.599999999999994</v>
      </c>
      <c r="C14930" s="691">
        <v>67.900000000000006</v>
      </c>
      <c r="D14930" s="691">
        <v>67.5</v>
      </c>
      <c r="E14930" s="615">
        <v>68</v>
      </c>
      <c r="F14930" s="615">
        <v>68</v>
      </c>
      <c r="G14930" s="691">
        <v>68.099999999999994</v>
      </c>
      <c r="H14930" s="691">
        <v>68.400000000000006</v>
      </c>
      <c r="I14930" s="691">
        <v>67.400000000000006</v>
      </c>
      <c r="J14930" s="691">
        <v>68.400000000000006</v>
      </c>
      <c r="K14930" s="691">
        <v>68.099999999999994</v>
      </c>
    </row>
    <row r="14931" spans="1:11">
      <c r="A14931" s="688" t="s">
        <v>1</v>
      </c>
      <c r="B14931" s="689">
        <v>63.3</v>
      </c>
      <c r="C14931" s="689">
        <v>62.7</v>
      </c>
      <c r="D14931" s="689">
        <v>62.7</v>
      </c>
      <c r="E14931" s="693">
        <v>63</v>
      </c>
      <c r="F14931" s="689">
        <v>62.9</v>
      </c>
      <c r="G14931" s="693">
        <v>63</v>
      </c>
      <c r="H14931" s="689">
        <v>63.2</v>
      </c>
      <c r="I14931" s="689">
        <v>61.8</v>
      </c>
      <c r="J14931" s="689">
        <v>59.6</v>
      </c>
      <c r="K14931" s="689">
        <v>62.5</v>
      </c>
    </row>
    <row r="14932" spans="1:11">
      <c r="A14932" s="688" t="s">
        <v>2240</v>
      </c>
      <c r="B14932" s="691">
        <v>65.599999999999994</v>
      </c>
      <c r="C14932" s="615">
        <v>66</v>
      </c>
      <c r="D14932" s="691">
        <v>65.8</v>
      </c>
      <c r="E14932" s="691">
        <v>66.2</v>
      </c>
      <c r="F14932" s="691">
        <v>66.2</v>
      </c>
      <c r="G14932" s="691">
        <v>66.2</v>
      </c>
      <c r="H14932" s="691">
        <v>66.400000000000006</v>
      </c>
      <c r="I14932" s="691">
        <v>65.599999999999994</v>
      </c>
      <c r="J14932" s="691">
        <v>64.8</v>
      </c>
      <c r="K14932" s="691">
        <v>66.2</v>
      </c>
    </row>
    <row r="14933" spans="1:11">
      <c r="A14933" s="688" t="s">
        <v>2</v>
      </c>
      <c r="B14933" s="689">
        <v>66.8</v>
      </c>
      <c r="C14933" s="693">
        <v>67</v>
      </c>
      <c r="D14933" s="689">
        <v>67.099999999999994</v>
      </c>
      <c r="E14933" s="689">
        <v>67.099999999999994</v>
      </c>
      <c r="F14933" s="689">
        <v>67.5</v>
      </c>
      <c r="G14933" s="689">
        <v>67.3</v>
      </c>
      <c r="H14933" s="689">
        <v>67.7</v>
      </c>
      <c r="I14933" s="689">
        <v>67.8</v>
      </c>
      <c r="J14933" s="689">
        <v>67.599999999999994</v>
      </c>
      <c r="K14933" s="689">
        <v>67.5</v>
      </c>
    </row>
    <row r="14934" spans="1:11">
      <c r="A14934" s="688" t="s">
        <v>3</v>
      </c>
      <c r="B14934" s="691">
        <v>67.400000000000006</v>
      </c>
      <c r="C14934" s="691">
        <v>67.7</v>
      </c>
      <c r="D14934" s="691">
        <v>67.400000000000006</v>
      </c>
      <c r="E14934" s="691">
        <v>67.7</v>
      </c>
      <c r="F14934" s="691">
        <v>67.7</v>
      </c>
      <c r="G14934" s="691">
        <v>67.599999999999994</v>
      </c>
      <c r="H14934" s="691">
        <v>67.900000000000006</v>
      </c>
      <c r="I14934" s="691">
        <v>67.8</v>
      </c>
      <c r="J14934" s="691">
        <v>67.5</v>
      </c>
      <c r="K14934" s="691">
        <v>67.3</v>
      </c>
    </row>
    <row r="14935" spans="1:11">
      <c r="A14935" s="688" t="s">
        <v>4061</v>
      </c>
      <c r="B14935" s="689">
        <v>67.400000000000006</v>
      </c>
      <c r="C14935" s="689">
        <v>67.7</v>
      </c>
      <c r="D14935" s="689">
        <v>67.400000000000006</v>
      </c>
      <c r="E14935" s="689">
        <v>67.7</v>
      </c>
      <c r="F14935" s="689">
        <v>67.7</v>
      </c>
      <c r="G14935" s="689">
        <v>67.599999999999994</v>
      </c>
      <c r="H14935" s="689">
        <v>67.900000000000006</v>
      </c>
      <c r="I14935" s="689">
        <v>67.8</v>
      </c>
      <c r="J14935" s="689">
        <v>67.5</v>
      </c>
      <c r="K14935" s="689">
        <v>67.3</v>
      </c>
    </row>
    <row r="14936" spans="1:11">
      <c r="A14936" s="688" t="s">
        <v>4</v>
      </c>
      <c r="B14936" s="691">
        <v>66.099999999999994</v>
      </c>
      <c r="C14936" s="691">
        <v>65.900000000000006</v>
      </c>
      <c r="D14936" s="691">
        <v>66.2</v>
      </c>
      <c r="E14936" s="691">
        <v>66.2</v>
      </c>
      <c r="F14936" s="691">
        <v>66.7</v>
      </c>
      <c r="G14936" s="691">
        <v>66.7</v>
      </c>
      <c r="H14936" s="615">
        <v>67</v>
      </c>
      <c r="I14936" s="615">
        <v>67</v>
      </c>
      <c r="J14936" s="691">
        <v>65.599999999999994</v>
      </c>
      <c r="K14936" s="691">
        <v>66.5</v>
      </c>
    </row>
    <row r="14937" spans="1:11">
      <c r="A14937" s="688" t="s">
        <v>8</v>
      </c>
      <c r="B14937" s="689">
        <v>67.5</v>
      </c>
      <c r="C14937" s="689">
        <v>67.599999999999994</v>
      </c>
      <c r="D14937" s="689">
        <v>67.599999999999994</v>
      </c>
      <c r="E14937" s="689">
        <v>67.7</v>
      </c>
      <c r="F14937" s="689">
        <v>68.2</v>
      </c>
      <c r="G14937" s="689">
        <v>68.2</v>
      </c>
      <c r="H14937" s="689">
        <v>68.7</v>
      </c>
      <c r="I14937" s="689">
        <v>68.400000000000006</v>
      </c>
      <c r="J14937" s="689">
        <v>68.3</v>
      </c>
      <c r="K14937" s="689">
        <v>68.3</v>
      </c>
    </row>
    <row r="14938" spans="1:11">
      <c r="A14938" s="688" t="s">
        <v>7</v>
      </c>
      <c r="B14938" s="691">
        <v>68.400000000000006</v>
      </c>
      <c r="C14938" s="691">
        <v>68.2</v>
      </c>
      <c r="D14938" s="691">
        <v>67.900000000000006</v>
      </c>
      <c r="E14938" s="691">
        <v>68.2</v>
      </c>
      <c r="F14938" s="691">
        <v>68.099999999999994</v>
      </c>
      <c r="G14938" s="691">
        <v>68.599999999999994</v>
      </c>
      <c r="H14938" s="691">
        <v>68.5</v>
      </c>
      <c r="I14938" s="691">
        <v>68.099999999999994</v>
      </c>
      <c r="J14938" s="691">
        <v>67.3</v>
      </c>
      <c r="K14938" s="691">
        <v>67.8</v>
      </c>
    </row>
    <row r="14939" spans="1:11">
      <c r="A14939" s="688" t="s">
        <v>27</v>
      </c>
      <c r="B14939" s="689">
        <v>70.400000000000006</v>
      </c>
      <c r="C14939" s="693">
        <v>70</v>
      </c>
      <c r="D14939" s="689">
        <v>69.7</v>
      </c>
      <c r="E14939" s="689">
        <v>70.099999999999994</v>
      </c>
      <c r="F14939" s="693">
        <v>70</v>
      </c>
      <c r="G14939" s="689">
        <v>70.099999999999994</v>
      </c>
      <c r="H14939" s="689">
        <v>70.5</v>
      </c>
      <c r="I14939" s="689">
        <v>69.3</v>
      </c>
      <c r="J14939" s="689">
        <v>70.099999999999994</v>
      </c>
      <c r="K14939" s="693">
        <v>70</v>
      </c>
    </row>
    <row r="14940" spans="1:11">
      <c r="A14940" s="688" t="s">
        <v>6</v>
      </c>
      <c r="B14940" s="615">
        <v>70</v>
      </c>
      <c r="C14940" s="691">
        <v>69.8</v>
      </c>
      <c r="D14940" s="691">
        <v>69.5</v>
      </c>
      <c r="E14940" s="691">
        <v>69.7</v>
      </c>
      <c r="F14940" s="691">
        <v>69.8</v>
      </c>
      <c r="G14940" s="691">
        <v>69.900000000000006</v>
      </c>
      <c r="H14940" s="615">
        <v>70</v>
      </c>
      <c r="I14940" s="691">
        <v>69.5</v>
      </c>
      <c r="J14940" s="691">
        <v>69.599999999999994</v>
      </c>
      <c r="K14940" s="691">
        <v>69.599999999999994</v>
      </c>
    </row>
    <row r="14941" spans="1:11">
      <c r="A14941" s="688" t="s">
        <v>4058</v>
      </c>
      <c r="B14941" s="690" t="s">
        <v>4060</v>
      </c>
      <c r="C14941" s="690" t="s">
        <v>4060</v>
      </c>
      <c r="D14941" s="690" t="s">
        <v>4060</v>
      </c>
      <c r="E14941" s="690" t="s">
        <v>4060</v>
      </c>
      <c r="F14941" s="690" t="s">
        <v>4060</v>
      </c>
      <c r="G14941" s="690" t="s">
        <v>4060</v>
      </c>
      <c r="H14941" s="690" t="s">
        <v>4060</v>
      </c>
      <c r="I14941" s="690" t="s">
        <v>4060</v>
      </c>
      <c r="J14941" s="690" t="s">
        <v>4060</v>
      </c>
      <c r="K14941" s="690" t="s">
        <v>4060</v>
      </c>
    </row>
    <row r="14942" spans="1:11">
      <c r="A14942" s="688" t="s">
        <v>11</v>
      </c>
      <c r="B14942" s="691">
        <v>65.400000000000006</v>
      </c>
      <c r="C14942" s="691">
        <v>65.3</v>
      </c>
      <c r="D14942" s="691">
        <v>64.900000000000006</v>
      </c>
      <c r="E14942" s="691">
        <v>65.599999999999994</v>
      </c>
      <c r="F14942" s="691">
        <v>65.2</v>
      </c>
      <c r="G14942" s="691">
        <v>65.599999999999994</v>
      </c>
      <c r="H14942" s="691">
        <v>65.7</v>
      </c>
      <c r="I14942" s="691">
        <v>65.099999999999994</v>
      </c>
      <c r="J14942" s="691">
        <v>64.2</v>
      </c>
      <c r="K14942" s="691">
        <v>65.2</v>
      </c>
    </row>
    <row r="14943" spans="1:11">
      <c r="A14943" s="688" t="s">
        <v>10</v>
      </c>
      <c r="B14943" s="689">
        <v>69.5</v>
      </c>
      <c r="C14943" s="689">
        <v>69.400000000000006</v>
      </c>
      <c r="D14943" s="689">
        <v>68.900000000000006</v>
      </c>
      <c r="E14943" s="689">
        <v>69.5</v>
      </c>
      <c r="F14943" s="689">
        <v>69.2</v>
      </c>
      <c r="G14943" s="689">
        <v>69.599999999999994</v>
      </c>
      <c r="H14943" s="689">
        <v>69.7</v>
      </c>
      <c r="I14943" s="689">
        <v>68.8</v>
      </c>
      <c r="J14943" s="689">
        <v>69.099999999999994</v>
      </c>
      <c r="K14943" s="689">
        <v>69.099999999999994</v>
      </c>
    </row>
    <row r="14944" spans="1:11">
      <c r="A14944" s="688" t="s">
        <v>30</v>
      </c>
      <c r="B14944" s="691">
        <v>69.099999999999994</v>
      </c>
      <c r="C14944" s="691">
        <v>68.400000000000006</v>
      </c>
      <c r="D14944" s="691">
        <v>68.099999999999994</v>
      </c>
      <c r="E14944" s="691">
        <v>69.2</v>
      </c>
      <c r="F14944" s="691">
        <v>68.7</v>
      </c>
      <c r="G14944" s="691">
        <v>69.099999999999994</v>
      </c>
      <c r="H14944" s="691">
        <v>68.900000000000006</v>
      </c>
      <c r="I14944" s="691">
        <v>68.8</v>
      </c>
      <c r="J14944" s="691">
        <v>68.099999999999994</v>
      </c>
      <c r="K14944" s="691">
        <v>68.3</v>
      </c>
    </row>
    <row r="14945" spans="1:11">
      <c r="A14945" s="688" t="s">
        <v>12</v>
      </c>
      <c r="B14945" s="689">
        <v>63.4</v>
      </c>
      <c r="C14945" s="689">
        <v>63.7</v>
      </c>
      <c r="D14945" s="689">
        <v>63.8</v>
      </c>
      <c r="E14945" s="689">
        <v>63.9</v>
      </c>
      <c r="F14945" s="693">
        <v>64</v>
      </c>
      <c r="G14945" s="693">
        <v>64</v>
      </c>
      <c r="H14945" s="689">
        <v>64.5</v>
      </c>
      <c r="I14945" s="689">
        <v>64.3</v>
      </c>
      <c r="J14945" s="689">
        <v>62.3</v>
      </c>
      <c r="K14945" s="689">
        <v>63.8</v>
      </c>
    </row>
    <row r="14946" spans="1:11">
      <c r="A14946" s="688" t="s">
        <v>14</v>
      </c>
      <c r="B14946" s="615">
        <v>64</v>
      </c>
      <c r="C14946" s="691">
        <v>64.3</v>
      </c>
      <c r="D14946" s="691">
        <v>64.099999999999994</v>
      </c>
      <c r="E14946" s="691">
        <v>64.400000000000006</v>
      </c>
      <c r="F14946" s="691">
        <v>64.599999999999994</v>
      </c>
      <c r="G14946" s="691">
        <v>64.900000000000006</v>
      </c>
      <c r="H14946" s="691">
        <v>65.3</v>
      </c>
      <c r="I14946" s="691">
        <v>64.3</v>
      </c>
      <c r="J14946" s="691">
        <v>63.2</v>
      </c>
      <c r="K14946" s="691">
        <v>64.400000000000006</v>
      </c>
    </row>
    <row r="14947" spans="1:11">
      <c r="A14947" s="688" t="s">
        <v>15</v>
      </c>
      <c r="B14947" s="689">
        <v>68.3</v>
      </c>
      <c r="C14947" s="689">
        <v>68.900000000000006</v>
      </c>
      <c r="D14947" s="689">
        <v>68.400000000000006</v>
      </c>
      <c r="E14947" s="689">
        <v>69.099999999999994</v>
      </c>
      <c r="F14947" s="689">
        <v>68.2</v>
      </c>
      <c r="G14947" s="689">
        <v>68.7</v>
      </c>
      <c r="H14947" s="689">
        <v>69.099999999999994</v>
      </c>
      <c r="I14947" s="689">
        <v>68.900000000000006</v>
      </c>
      <c r="J14947" s="689">
        <v>69.099999999999994</v>
      </c>
      <c r="K14947" s="689">
        <v>69.3</v>
      </c>
    </row>
    <row r="14948" spans="1:11">
      <c r="A14948" s="688" t="s">
        <v>29</v>
      </c>
      <c r="B14948" s="691">
        <v>63.6</v>
      </c>
      <c r="C14948" s="691">
        <v>63.6</v>
      </c>
      <c r="D14948" s="691">
        <v>63.2</v>
      </c>
      <c r="E14948" s="691">
        <v>63.9</v>
      </c>
      <c r="F14948" s="691">
        <v>63.5</v>
      </c>
      <c r="G14948" s="691">
        <v>63.7</v>
      </c>
      <c r="H14948" s="691">
        <v>63.9</v>
      </c>
      <c r="I14948" s="691">
        <v>63.2</v>
      </c>
      <c r="J14948" s="691">
        <v>61.9</v>
      </c>
      <c r="K14948" s="691">
        <v>63.6</v>
      </c>
    </row>
    <row r="14949" spans="1:11">
      <c r="A14949" s="688" t="s">
        <v>16</v>
      </c>
      <c r="B14949" s="689">
        <v>68.599999999999994</v>
      </c>
      <c r="C14949" s="689">
        <v>68.400000000000006</v>
      </c>
      <c r="D14949" s="689">
        <v>68.3</v>
      </c>
      <c r="E14949" s="689">
        <v>68.5</v>
      </c>
      <c r="F14949" s="689">
        <v>68.7</v>
      </c>
      <c r="G14949" s="689">
        <v>68.5</v>
      </c>
      <c r="H14949" s="689">
        <v>68.900000000000006</v>
      </c>
      <c r="I14949" s="689">
        <v>68.5</v>
      </c>
      <c r="J14949" s="689">
        <v>68.3</v>
      </c>
      <c r="K14949" s="689">
        <v>68.599999999999994</v>
      </c>
    </row>
    <row r="14950" spans="1:11">
      <c r="A14950" s="688" t="s">
        <v>17</v>
      </c>
      <c r="B14950" s="691">
        <v>67.599999999999994</v>
      </c>
      <c r="C14950" s="691">
        <v>67.7</v>
      </c>
      <c r="D14950" s="691">
        <v>67.5</v>
      </c>
      <c r="E14950" s="691">
        <v>67.5</v>
      </c>
      <c r="F14950" s="691">
        <v>67.7</v>
      </c>
      <c r="G14950" s="691">
        <v>67.7</v>
      </c>
      <c r="H14950" s="691">
        <v>67.900000000000006</v>
      </c>
      <c r="I14950" s="691">
        <v>67.5</v>
      </c>
      <c r="J14950" s="691">
        <v>67.3</v>
      </c>
      <c r="K14950" s="691">
        <v>67.5</v>
      </c>
    </row>
    <row r="14951" spans="1:11">
      <c r="A14951" s="688" t="s">
        <v>19</v>
      </c>
      <c r="B14951" s="689">
        <v>68.2</v>
      </c>
      <c r="C14951" s="689">
        <v>68.099999999999994</v>
      </c>
      <c r="D14951" s="689">
        <v>67.900000000000006</v>
      </c>
      <c r="E14951" s="689">
        <v>68.3</v>
      </c>
      <c r="F14951" s="689">
        <v>68.2</v>
      </c>
      <c r="G14951" s="689">
        <v>68.3</v>
      </c>
      <c r="H14951" s="689">
        <v>68.599999999999994</v>
      </c>
      <c r="I14951" s="689">
        <v>68.099999999999994</v>
      </c>
      <c r="J14951" s="689">
        <v>68.099999999999994</v>
      </c>
      <c r="K14951" s="689">
        <v>68.099999999999994</v>
      </c>
    </row>
    <row r="14952" spans="1:11">
      <c r="A14952" s="688" t="s">
        <v>20</v>
      </c>
      <c r="B14952" s="691">
        <v>65.7</v>
      </c>
      <c r="C14952" s="691">
        <v>65.900000000000006</v>
      </c>
      <c r="D14952" s="691">
        <v>65.7</v>
      </c>
      <c r="E14952" s="691">
        <v>66.099999999999994</v>
      </c>
      <c r="F14952" s="691">
        <v>65.900000000000006</v>
      </c>
      <c r="G14952" s="691">
        <v>65.900000000000006</v>
      </c>
      <c r="H14952" s="691">
        <v>66.099999999999994</v>
      </c>
      <c r="I14952" s="691">
        <v>64.900000000000006</v>
      </c>
      <c r="J14952" s="691">
        <v>63.9</v>
      </c>
      <c r="K14952" s="691">
        <v>65.400000000000006</v>
      </c>
    </row>
    <row r="14953" spans="1:11">
      <c r="A14953" s="688" t="s">
        <v>21</v>
      </c>
      <c r="B14953" s="689">
        <v>68.400000000000006</v>
      </c>
      <c r="C14953" s="689">
        <v>68.599999999999994</v>
      </c>
      <c r="D14953" s="689">
        <v>68.599999999999994</v>
      </c>
      <c r="E14953" s="689">
        <v>68.7</v>
      </c>
      <c r="F14953" s="689">
        <v>68.8</v>
      </c>
      <c r="G14953" s="689">
        <v>68.900000000000006</v>
      </c>
      <c r="H14953" s="689">
        <v>69.099999999999994</v>
      </c>
      <c r="I14953" s="689">
        <v>68.5</v>
      </c>
      <c r="J14953" s="689">
        <v>68.599999999999994</v>
      </c>
      <c r="K14953" s="689">
        <v>68.8</v>
      </c>
    </row>
    <row r="14954" spans="1:11">
      <c r="A14954" s="688" t="s">
        <v>22</v>
      </c>
      <c r="B14954" s="691">
        <v>63.6</v>
      </c>
      <c r="C14954" s="691">
        <v>63.4</v>
      </c>
      <c r="D14954" s="691">
        <v>63.3</v>
      </c>
      <c r="E14954" s="691">
        <v>63.6</v>
      </c>
      <c r="F14954" s="691">
        <v>63.6</v>
      </c>
      <c r="G14954" s="691">
        <v>63.7</v>
      </c>
      <c r="H14954" s="691">
        <v>64.099999999999994</v>
      </c>
      <c r="I14954" s="691">
        <v>62.8</v>
      </c>
      <c r="J14954" s="691">
        <v>61.2</v>
      </c>
      <c r="K14954" s="691">
        <v>63.7</v>
      </c>
    </row>
    <row r="14955" spans="1:11">
      <c r="A14955" s="688" t="s">
        <v>26</v>
      </c>
      <c r="B14955" s="689">
        <v>67.900000000000006</v>
      </c>
      <c r="C14955" s="689">
        <v>67.900000000000006</v>
      </c>
      <c r="D14955" s="689">
        <v>67.7</v>
      </c>
      <c r="E14955" s="689">
        <v>68.2</v>
      </c>
      <c r="F14955" s="693">
        <v>68</v>
      </c>
      <c r="G14955" s="689">
        <v>68.2</v>
      </c>
      <c r="H14955" s="689">
        <v>68.5</v>
      </c>
      <c r="I14955" s="689">
        <v>67.599999999999994</v>
      </c>
      <c r="J14955" s="689">
        <v>67.900000000000006</v>
      </c>
      <c r="K14955" s="689">
        <v>68.2</v>
      </c>
    </row>
    <row r="14956" spans="1:11">
      <c r="A14956" s="688" t="s">
        <v>25</v>
      </c>
      <c r="B14956" s="691">
        <v>64.7</v>
      </c>
      <c r="C14956" s="615">
        <v>65</v>
      </c>
      <c r="D14956" s="691">
        <v>64.7</v>
      </c>
      <c r="E14956" s="691">
        <v>65.099999999999994</v>
      </c>
      <c r="F14956" s="691">
        <v>65.099999999999994</v>
      </c>
      <c r="G14956" s="691">
        <v>65.2</v>
      </c>
      <c r="H14956" s="691">
        <v>65.599999999999994</v>
      </c>
      <c r="I14956" s="691">
        <v>64.900000000000006</v>
      </c>
      <c r="J14956" s="691">
        <v>62.7</v>
      </c>
      <c r="K14956" s="615">
        <v>65</v>
      </c>
    </row>
    <row r="14957" spans="1:11">
      <c r="A14957" s="688" t="s">
        <v>5</v>
      </c>
      <c r="B14957" s="689">
        <v>68.400000000000006</v>
      </c>
      <c r="C14957" s="689">
        <v>68.2</v>
      </c>
      <c r="D14957" s="689">
        <v>68.400000000000006</v>
      </c>
      <c r="E14957" s="689">
        <v>68.400000000000006</v>
      </c>
      <c r="F14957" s="689">
        <v>68.5</v>
      </c>
      <c r="G14957" s="689">
        <v>68.599999999999994</v>
      </c>
      <c r="H14957" s="689">
        <v>68.8</v>
      </c>
      <c r="I14957" s="689">
        <v>68.8</v>
      </c>
      <c r="J14957" s="689">
        <v>68.7</v>
      </c>
      <c r="K14957" s="693">
        <v>68</v>
      </c>
    </row>
    <row r="14958" spans="1:11">
      <c r="A14958" s="688" t="s">
        <v>23</v>
      </c>
      <c r="B14958" s="691">
        <v>68.099999999999994</v>
      </c>
      <c r="C14958" s="691">
        <v>68.3</v>
      </c>
      <c r="D14958" s="691">
        <v>68.3</v>
      </c>
      <c r="E14958" s="691">
        <v>68.400000000000006</v>
      </c>
      <c r="F14958" s="691">
        <v>68.400000000000006</v>
      </c>
      <c r="G14958" s="691">
        <v>68.5</v>
      </c>
      <c r="H14958" s="615">
        <v>69</v>
      </c>
      <c r="I14958" s="691">
        <v>68.5</v>
      </c>
      <c r="J14958" s="691">
        <v>69.099999999999994</v>
      </c>
      <c r="K14958" s="615">
        <v>69</v>
      </c>
    </row>
    <row r="14959" spans="1:11">
      <c r="A14959" s="688" t="s">
        <v>4067</v>
      </c>
      <c r="B14959" s="689">
        <v>67.7</v>
      </c>
      <c r="C14959" s="693">
        <v>68</v>
      </c>
      <c r="D14959" s="689">
        <v>67.7</v>
      </c>
      <c r="E14959" s="693">
        <v>68</v>
      </c>
      <c r="F14959" s="689">
        <v>67.900000000000006</v>
      </c>
      <c r="G14959" s="693">
        <v>68</v>
      </c>
      <c r="H14959" s="690" t="s">
        <v>4060</v>
      </c>
      <c r="I14959" s="690" t="s">
        <v>4060</v>
      </c>
      <c r="J14959" s="690" t="s">
        <v>4060</v>
      </c>
      <c r="K14959" s="690" t="s">
        <v>4060</v>
      </c>
    </row>
    <row r="14960" spans="1:11">
      <c r="A14960" s="688" t="s">
        <v>4066</v>
      </c>
      <c r="B14960" s="691">
        <v>67.7</v>
      </c>
      <c r="C14960" s="691">
        <v>68.099999999999994</v>
      </c>
      <c r="D14960" s="691">
        <v>67.7</v>
      </c>
      <c r="E14960" s="691">
        <v>68.099999999999994</v>
      </c>
      <c r="F14960" s="615">
        <v>68</v>
      </c>
      <c r="G14960" s="615">
        <v>68</v>
      </c>
      <c r="H14960" s="692" t="s">
        <v>4060</v>
      </c>
      <c r="I14960" s="692" t="s">
        <v>4060</v>
      </c>
      <c r="J14960" s="692" t="s">
        <v>4060</v>
      </c>
      <c r="K14960" s="692" t="s">
        <v>4060</v>
      </c>
    </row>
    <row r="14961" spans="1:11">
      <c r="A14961" s="688" t="s">
        <v>4062</v>
      </c>
      <c r="B14961" s="689">
        <v>68.900000000000006</v>
      </c>
      <c r="C14961" s="689">
        <v>69.099999999999994</v>
      </c>
      <c r="D14961" s="693">
        <v>69</v>
      </c>
      <c r="E14961" s="689">
        <v>69.2</v>
      </c>
      <c r="F14961" s="689">
        <v>69.3</v>
      </c>
      <c r="G14961" s="689">
        <v>69.400000000000006</v>
      </c>
      <c r="H14961" s="689">
        <v>69.599999999999994</v>
      </c>
      <c r="I14961" s="689">
        <v>69.3</v>
      </c>
      <c r="J14961" s="689">
        <v>69.599999999999994</v>
      </c>
      <c r="K14961" s="689">
        <v>69.3</v>
      </c>
    </row>
    <row r="14962" spans="1:11">
      <c r="A14962" s="688" t="s">
        <v>9</v>
      </c>
      <c r="B14962" s="615">
        <v>68</v>
      </c>
      <c r="C14962" s="691">
        <v>68.5</v>
      </c>
      <c r="D14962" s="691">
        <v>67.900000000000006</v>
      </c>
      <c r="E14962" s="691">
        <v>68.099999999999994</v>
      </c>
      <c r="F14962" s="691">
        <v>68.5</v>
      </c>
      <c r="G14962" s="691">
        <v>68.400000000000006</v>
      </c>
      <c r="H14962" s="691">
        <v>68.599999999999994</v>
      </c>
      <c r="I14962" s="691">
        <v>68.599999999999994</v>
      </c>
      <c r="J14962" s="691">
        <v>68.900000000000006</v>
      </c>
      <c r="K14962" s="691">
        <v>67.8</v>
      </c>
    </row>
    <row r="14963" spans="1:11">
      <c r="A14963" s="688" t="s">
        <v>13</v>
      </c>
      <c r="B14963" s="689">
        <v>68.900000000000006</v>
      </c>
      <c r="C14963" s="689">
        <v>67.7</v>
      </c>
      <c r="D14963" s="689">
        <v>68.599999999999994</v>
      </c>
      <c r="E14963" s="689">
        <v>67.900000000000006</v>
      </c>
      <c r="F14963" s="689">
        <v>69.8</v>
      </c>
      <c r="G14963" s="689">
        <v>69.900000000000006</v>
      </c>
      <c r="H14963" s="689">
        <v>69.5</v>
      </c>
      <c r="I14963" s="689">
        <v>69.099999999999994</v>
      </c>
      <c r="J14963" s="689">
        <v>70.099999999999994</v>
      </c>
      <c r="K14963" s="689">
        <v>69.2</v>
      </c>
    </row>
    <row r="14964" spans="1:11">
      <c r="A14964" s="688" t="s">
        <v>18</v>
      </c>
      <c r="B14964" s="691">
        <v>68.099999999999994</v>
      </c>
      <c r="C14964" s="691">
        <v>68.400000000000006</v>
      </c>
      <c r="D14964" s="691">
        <v>68.400000000000006</v>
      </c>
      <c r="E14964" s="691">
        <v>68.400000000000006</v>
      </c>
      <c r="F14964" s="691">
        <v>68.599999999999994</v>
      </c>
      <c r="G14964" s="691">
        <v>68.7</v>
      </c>
      <c r="H14964" s="691">
        <v>68.900000000000006</v>
      </c>
      <c r="I14964" s="691">
        <v>69.099999999999994</v>
      </c>
      <c r="J14964" s="691">
        <v>68.900000000000006</v>
      </c>
      <c r="K14964" s="691">
        <v>68.5</v>
      </c>
    </row>
    <row r="14965" spans="1:11">
      <c r="A14965" s="688" t="s">
        <v>24</v>
      </c>
      <c r="B14965" s="689">
        <v>69.400000000000006</v>
      </c>
      <c r="C14965" s="689">
        <v>69.5</v>
      </c>
      <c r="D14965" s="689">
        <v>69.3</v>
      </c>
      <c r="E14965" s="689">
        <v>69.599999999999994</v>
      </c>
      <c r="F14965" s="689">
        <v>69.7</v>
      </c>
      <c r="G14965" s="689">
        <v>69.8</v>
      </c>
      <c r="H14965" s="693">
        <v>70</v>
      </c>
      <c r="I14965" s="689">
        <v>69.5</v>
      </c>
      <c r="J14965" s="693">
        <v>70</v>
      </c>
      <c r="K14965" s="689">
        <v>69.8</v>
      </c>
    </row>
    <row r="14966" spans="1:11">
      <c r="A14966" s="688" t="s">
        <v>4059</v>
      </c>
      <c r="B14966" s="691">
        <v>67.3</v>
      </c>
      <c r="C14966" s="691">
        <v>67.599999999999994</v>
      </c>
      <c r="D14966" s="691">
        <v>67.2</v>
      </c>
      <c r="E14966" s="691">
        <v>67.400000000000006</v>
      </c>
      <c r="F14966" s="691">
        <v>67.5</v>
      </c>
      <c r="G14966" s="691">
        <v>67.400000000000006</v>
      </c>
      <c r="H14966" s="692" t="s">
        <v>4060</v>
      </c>
      <c r="I14966" s="692" t="s">
        <v>4060</v>
      </c>
      <c r="J14966" s="692" t="s">
        <v>4060</v>
      </c>
      <c r="K14966" s="692" t="s">
        <v>4060</v>
      </c>
    </row>
    <row r="14967" spans="1:11">
      <c r="A14967" s="688" t="s">
        <v>2324</v>
      </c>
      <c r="B14967" s="689">
        <v>63.4</v>
      </c>
      <c r="C14967" s="689">
        <v>63.4</v>
      </c>
      <c r="D14967" s="693">
        <v>63</v>
      </c>
      <c r="E14967" s="689">
        <v>63.4</v>
      </c>
      <c r="F14967" s="689">
        <v>63.5</v>
      </c>
      <c r="G14967" s="689">
        <v>63.6</v>
      </c>
      <c r="H14967" s="689">
        <v>63.8</v>
      </c>
      <c r="I14967" s="689">
        <v>63.1</v>
      </c>
      <c r="J14967" s="689">
        <v>61.2</v>
      </c>
      <c r="K14967" s="690" t="s">
        <v>4060</v>
      </c>
    </row>
    <row r="14968" spans="1:11">
      <c r="A14968" s="688" t="s">
        <v>2322</v>
      </c>
      <c r="B14968" s="692" t="s">
        <v>4060</v>
      </c>
      <c r="C14968" s="692" t="s">
        <v>4060</v>
      </c>
      <c r="D14968" s="692" t="s">
        <v>4060</v>
      </c>
      <c r="E14968" s="692" t="s">
        <v>4060</v>
      </c>
      <c r="F14968" s="692" t="s">
        <v>4060</v>
      </c>
      <c r="G14968" s="692" t="s">
        <v>4060</v>
      </c>
      <c r="H14968" s="692" t="s">
        <v>4060</v>
      </c>
      <c r="I14968" s="692" t="s">
        <v>4060</v>
      </c>
      <c r="J14968" s="692" t="s">
        <v>4060</v>
      </c>
      <c r="K14968" s="692" t="s">
        <v>4060</v>
      </c>
    </row>
    <row r="14969" spans="1:11">
      <c r="A14969" s="688" t="s">
        <v>2328</v>
      </c>
      <c r="B14969" s="689">
        <v>62.5</v>
      </c>
      <c r="C14969" s="689">
        <v>62.4</v>
      </c>
      <c r="D14969" s="689">
        <v>62.2</v>
      </c>
      <c r="E14969" s="689">
        <v>62.6</v>
      </c>
      <c r="F14969" s="689">
        <v>62.8</v>
      </c>
      <c r="G14969" s="689">
        <v>63.3</v>
      </c>
      <c r="H14969" s="689">
        <v>63.1</v>
      </c>
      <c r="I14969" s="689">
        <v>61.3</v>
      </c>
      <c r="J14969" s="689">
        <v>59.9</v>
      </c>
      <c r="K14969" s="690" t="s">
        <v>4060</v>
      </c>
    </row>
    <row r="14970" spans="1:11">
      <c r="A14970" s="688" t="s">
        <v>2496</v>
      </c>
      <c r="B14970" s="692" t="s">
        <v>4060</v>
      </c>
      <c r="C14970" s="691">
        <v>63.3</v>
      </c>
      <c r="D14970" s="691">
        <v>62.3</v>
      </c>
      <c r="E14970" s="615">
        <v>62</v>
      </c>
      <c r="F14970" s="691">
        <v>62.7</v>
      </c>
      <c r="G14970" s="615">
        <v>63</v>
      </c>
      <c r="H14970" s="691">
        <v>63.1</v>
      </c>
      <c r="I14970" s="692" t="s">
        <v>4060</v>
      </c>
      <c r="J14970" s="692" t="s">
        <v>4060</v>
      </c>
      <c r="K14970" s="691">
        <v>62.9</v>
      </c>
    </row>
    <row r="14971" spans="1:11">
      <c r="A14971" s="688" t="s">
        <v>2269</v>
      </c>
      <c r="B14971" s="689">
        <v>64.900000000000006</v>
      </c>
      <c r="C14971" s="689">
        <v>65.099999999999994</v>
      </c>
      <c r="D14971" s="689">
        <v>64.5</v>
      </c>
      <c r="E14971" s="693">
        <v>65</v>
      </c>
      <c r="F14971" s="689">
        <v>64.900000000000006</v>
      </c>
      <c r="G14971" s="689">
        <v>65.400000000000006</v>
      </c>
      <c r="H14971" s="689">
        <v>65.599999999999994</v>
      </c>
      <c r="I14971" s="689">
        <v>64.5</v>
      </c>
      <c r="J14971" s="689">
        <v>62.4</v>
      </c>
      <c r="K14971" s="689">
        <v>65.5</v>
      </c>
    </row>
    <row r="14972" spans="1:11">
      <c r="A14972" s="688" t="s">
        <v>2349</v>
      </c>
      <c r="B14972" s="691">
        <v>62.5</v>
      </c>
      <c r="C14972" s="691">
        <v>62.5</v>
      </c>
      <c r="D14972" s="691">
        <v>62.4</v>
      </c>
      <c r="E14972" s="691">
        <v>62.8</v>
      </c>
      <c r="F14972" s="691">
        <v>62.6</v>
      </c>
      <c r="G14972" s="691">
        <v>62.9</v>
      </c>
      <c r="H14972" s="691">
        <v>63.1</v>
      </c>
      <c r="I14972" s="691">
        <v>61.9</v>
      </c>
      <c r="J14972" s="691">
        <v>60.2</v>
      </c>
      <c r="K14972" s="691">
        <v>62.3</v>
      </c>
    </row>
    <row r="14973" spans="1:11">
      <c r="A14973" s="688" t="s">
        <v>2355</v>
      </c>
      <c r="B14973" s="689">
        <v>66.3</v>
      </c>
      <c r="C14973" s="689">
        <v>66.099999999999994</v>
      </c>
      <c r="D14973" s="689">
        <v>66.099999999999994</v>
      </c>
      <c r="E14973" s="689">
        <v>66.099999999999994</v>
      </c>
      <c r="F14973" s="689">
        <v>66.3</v>
      </c>
      <c r="G14973" s="689">
        <v>66.599999999999994</v>
      </c>
      <c r="H14973" s="689">
        <v>66.7</v>
      </c>
      <c r="I14973" s="690" t="s">
        <v>4060</v>
      </c>
      <c r="J14973" s="690" t="s">
        <v>4060</v>
      </c>
      <c r="K14973" s="690" t="s">
        <v>4060</v>
      </c>
    </row>
    <row r="14974" spans="1:11">
      <c r="A14974" s="688" t="s">
        <v>2357</v>
      </c>
      <c r="B14974" s="692" t="s">
        <v>4060</v>
      </c>
      <c r="C14974" s="691">
        <v>61.5</v>
      </c>
      <c r="D14974" s="615">
        <v>62</v>
      </c>
      <c r="E14974" s="691">
        <v>62.3</v>
      </c>
      <c r="F14974" s="691">
        <v>62.7</v>
      </c>
      <c r="G14974" s="691">
        <v>62.7</v>
      </c>
      <c r="H14974" s="691">
        <v>62.9</v>
      </c>
      <c r="I14974" s="692" t="s">
        <v>4060</v>
      </c>
      <c r="J14974" s="692" t="s">
        <v>4060</v>
      </c>
      <c r="K14974" s="692" t="s">
        <v>4060</v>
      </c>
    </row>
    <row r="14975" spans="1:11">
      <c r="A14975" s="688" t="s">
        <v>4070</v>
      </c>
      <c r="B14975" s="690" t="s">
        <v>4060</v>
      </c>
      <c r="C14975" s="690" t="s">
        <v>4060</v>
      </c>
      <c r="D14975" s="690" t="s">
        <v>4060</v>
      </c>
      <c r="E14975" s="689">
        <v>66.2</v>
      </c>
      <c r="F14975" s="690" t="s">
        <v>4060</v>
      </c>
      <c r="G14975" s="690" t="s">
        <v>4060</v>
      </c>
      <c r="H14975" s="690" t="s">
        <v>4060</v>
      </c>
      <c r="I14975" s="690" t="s">
        <v>4060</v>
      </c>
      <c r="J14975" s="690" t="s">
        <v>4060</v>
      </c>
      <c r="K14975" s="690" t="s">
        <v>4060</v>
      </c>
    </row>
    <row r="14976" spans="1:11">
      <c r="A14976" s="688" t="s">
        <v>2491</v>
      </c>
      <c r="B14976" s="691">
        <v>62.4</v>
      </c>
      <c r="C14976" s="615">
        <v>63</v>
      </c>
      <c r="D14976" s="691">
        <v>63.4</v>
      </c>
      <c r="E14976" s="691">
        <v>63.5</v>
      </c>
      <c r="F14976" s="691">
        <v>63.7</v>
      </c>
      <c r="G14976" s="691">
        <v>63.8</v>
      </c>
      <c r="H14976" s="692" t="s">
        <v>4060</v>
      </c>
      <c r="I14976" s="692" t="s">
        <v>4060</v>
      </c>
      <c r="J14976" s="692" t="s">
        <v>4060</v>
      </c>
      <c r="K14976" s="692" t="s">
        <v>4060</v>
      </c>
    </row>
    <row r="14977" spans="1:11">
      <c r="A14977" s="688" t="s">
        <v>2343</v>
      </c>
      <c r="B14977" s="690" t="s">
        <v>4060</v>
      </c>
      <c r="C14977" s="690" t="s">
        <v>4060</v>
      </c>
      <c r="D14977" s="690" t="s">
        <v>4060</v>
      </c>
      <c r="E14977" s="690" t="s">
        <v>4060</v>
      </c>
      <c r="F14977" s="690" t="s">
        <v>4060</v>
      </c>
      <c r="G14977" s="690" t="s">
        <v>4060</v>
      </c>
      <c r="H14977" s="690" t="s">
        <v>4060</v>
      </c>
      <c r="I14977" s="690" t="s">
        <v>4060</v>
      </c>
      <c r="J14977" s="690" t="s">
        <v>4060</v>
      </c>
      <c r="K14977" s="690" t="s">
        <v>4060</v>
      </c>
    </row>
    <row r="14978" spans="1:11">
      <c r="A14978" s="688" t="s">
        <v>4071</v>
      </c>
      <c r="B14978" s="692" t="s">
        <v>4060</v>
      </c>
      <c r="C14978" s="692" t="s">
        <v>4060</v>
      </c>
      <c r="D14978" s="692" t="s">
        <v>4060</v>
      </c>
      <c r="E14978" s="692" t="s">
        <v>4060</v>
      </c>
      <c r="F14978" s="692" t="s">
        <v>4060</v>
      </c>
      <c r="G14978" s="692" t="s">
        <v>4060</v>
      </c>
      <c r="H14978" s="692" t="s">
        <v>4060</v>
      </c>
      <c r="I14978" s="692" t="s">
        <v>4060</v>
      </c>
      <c r="J14978" s="692" t="s">
        <v>4060</v>
      </c>
      <c r="K14978" s="692" t="s">
        <v>4060</v>
      </c>
    </row>
    <row r="14979" spans="1:11">
      <c r="A14979" s="688" t="s">
        <v>2489</v>
      </c>
      <c r="B14979" s="690" t="s">
        <v>4060</v>
      </c>
      <c r="C14979" s="690" t="s">
        <v>4060</v>
      </c>
      <c r="D14979" s="689">
        <v>63.1</v>
      </c>
      <c r="E14979" s="689">
        <v>63.2</v>
      </c>
      <c r="F14979" s="689">
        <v>63.7</v>
      </c>
      <c r="G14979" s="689">
        <v>64.400000000000006</v>
      </c>
      <c r="H14979" s="689">
        <v>64.400000000000006</v>
      </c>
      <c r="I14979" s="690" t="s">
        <v>4060</v>
      </c>
      <c r="J14979" s="690" t="s">
        <v>4060</v>
      </c>
      <c r="K14979" s="690" t="s">
        <v>4060</v>
      </c>
    </row>
    <row r="14980" spans="1:11">
      <c r="A14980" s="688" t="s">
        <v>2490</v>
      </c>
      <c r="B14980" s="691">
        <v>62.3</v>
      </c>
      <c r="C14980" s="691">
        <v>62.3</v>
      </c>
      <c r="D14980" s="691">
        <v>62.8</v>
      </c>
      <c r="E14980" s="692" t="s">
        <v>4060</v>
      </c>
      <c r="F14980" s="615">
        <v>63</v>
      </c>
      <c r="G14980" s="691">
        <v>63.4</v>
      </c>
      <c r="H14980" s="615">
        <v>64</v>
      </c>
      <c r="I14980" s="692" t="s">
        <v>4060</v>
      </c>
      <c r="J14980" s="692" t="s">
        <v>4060</v>
      </c>
      <c r="K14980" s="692" t="s">
        <v>4060</v>
      </c>
    </row>
    <row r="14982" spans="1:11">
      <c r="A14982" s="683" t="s">
        <v>4233</v>
      </c>
    </row>
    <row r="14983" spans="1:11">
      <c r="A14983" s="683" t="s">
        <v>4060</v>
      </c>
      <c r="B14983" s="682" t="s">
        <v>4234</v>
      </c>
    </row>
    <row r="14985" spans="1:11">
      <c r="A14985" s="682" t="s">
        <v>4332</v>
      </c>
    </row>
    <row r="14986" spans="1:11">
      <c r="A14986" s="682" t="s">
        <v>4210</v>
      </c>
      <c r="B14986" s="683" t="s">
        <v>4211</v>
      </c>
    </row>
    <row r="14987" spans="1:11">
      <c r="A14987" s="682" t="s">
        <v>4212</v>
      </c>
      <c r="B14987" s="682" t="s">
        <v>4213</v>
      </c>
    </row>
    <row r="14989" spans="1:11">
      <c r="A14989" s="683" t="s">
        <v>4214</v>
      </c>
      <c r="C14989" s="682" t="s">
        <v>4215</v>
      </c>
    </row>
    <row r="14990" spans="1:11">
      <c r="A14990" s="683" t="s">
        <v>4216</v>
      </c>
      <c r="C14990" s="682" t="s">
        <v>2967</v>
      </c>
    </row>
    <row r="14991" spans="1:11">
      <c r="A14991" s="683" t="s">
        <v>3893</v>
      </c>
      <c r="C14991" s="682" t="s">
        <v>2169</v>
      </c>
    </row>
    <row r="14992" spans="1:11">
      <c r="A14992" s="683" t="s">
        <v>4218</v>
      </c>
      <c r="C14992" s="682" t="s">
        <v>4252</v>
      </c>
    </row>
    <row r="14994" spans="1:11">
      <c r="A14994" s="684" t="s">
        <v>4220</v>
      </c>
      <c r="B14994" s="685" t="s">
        <v>4221</v>
      </c>
      <c r="C14994" s="685" t="s">
        <v>4222</v>
      </c>
      <c r="D14994" s="685" t="s">
        <v>4223</v>
      </c>
      <c r="E14994" s="685" t="s">
        <v>4224</v>
      </c>
      <c r="F14994" s="685" t="s">
        <v>4225</v>
      </c>
      <c r="G14994" s="685" t="s">
        <v>4226</v>
      </c>
      <c r="H14994" s="685" t="s">
        <v>4227</v>
      </c>
      <c r="I14994" s="685" t="s">
        <v>4228</v>
      </c>
      <c r="J14994" s="685" t="s">
        <v>4229</v>
      </c>
      <c r="K14994" s="685" t="s">
        <v>4230</v>
      </c>
    </row>
    <row r="14995" spans="1:11">
      <c r="A14995" s="686" t="s">
        <v>4231</v>
      </c>
      <c r="B14995" s="687" t="s">
        <v>4232</v>
      </c>
      <c r="C14995" s="687" t="s">
        <v>4232</v>
      </c>
      <c r="D14995" s="687" t="s">
        <v>4232</v>
      </c>
      <c r="E14995" s="687" t="s">
        <v>4232</v>
      </c>
      <c r="F14995" s="687" t="s">
        <v>4232</v>
      </c>
      <c r="G14995" s="687" t="s">
        <v>4232</v>
      </c>
      <c r="H14995" s="687" t="s">
        <v>4232</v>
      </c>
      <c r="I14995" s="687" t="s">
        <v>4232</v>
      </c>
      <c r="J14995" s="687" t="s">
        <v>4232</v>
      </c>
      <c r="K14995" s="687" t="s">
        <v>4232</v>
      </c>
    </row>
    <row r="14996" spans="1:11">
      <c r="A14996" s="688" t="s">
        <v>4064</v>
      </c>
      <c r="B14996" s="691">
        <v>66.8</v>
      </c>
      <c r="C14996" s="691">
        <v>66.8</v>
      </c>
      <c r="D14996" s="691">
        <v>66.7</v>
      </c>
      <c r="E14996" s="691">
        <v>66.900000000000006</v>
      </c>
      <c r="F14996" s="691">
        <v>66.8</v>
      </c>
      <c r="G14996" s="691">
        <v>66.900000000000006</v>
      </c>
      <c r="H14996" s="691">
        <v>67.2</v>
      </c>
      <c r="I14996" s="691">
        <v>66.5</v>
      </c>
      <c r="J14996" s="691">
        <v>66.2</v>
      </c>
      <c r="K14996" s="691">
        <v>66.599999999999994</v>
      </c>
    </row>
    <row r="14997" spans="1:11">
      <c r="A14997" s="688" t="s">
        <v>4065</v>
      </c>
      <c r="B14997" s="689">
        <v>66.7</v>
      </c>
      <c r="C14997" s="689">
        <v>67.099999999999994</v>
      </c>
      <c r="D14997" s="689">
        <v>66.7</v>
      </c>
      <c r="E14997" s="689">
        <v>67.099999999999994</v>
      </c>
      <c r="F14997" s="689">
        <v>66.900000000000006</v>
      </c>
      <c r="G14997" s="693">
        <v>67</v>
      </c>
      <c r="H14997" s="690" t="s">
        <v>4060</v>
      </c>
      <c r="I14997" s="690" t="s">
        <v>4060</v>
      </c>
      <c r="J14997" s="690" t="s">
        <v>4060</v>
      </c>
      <c r="K14997" s="690" t="s">
        <v>4060</v>
      </c>
    </row>
    <row r="14998" spans="1:11">
      <c r="A14998" s="688" t="s">
        <v>4063</v>
      </c>
      <c r="B14998" s="691">
        <v>66.7</v>
      </c>
      <c r="C14998" s="691">
        <v>67.099999999999994</v>
      </c>
      <c r="D14998" s="691">
        <v>66.7</v>
      </c>
      <c r="E14998" s="691">
        <v>67.099999999999994</v>
      </c>
      <c r="F14998" s="615">
        <v>67</v>
      </c>
      <c r="G14998" s="615">
        <v>67</v>
      </c>
      <c r="H14998" s="692" t="s">
        <v>4060</v>
      </c>
      <c r="I14998" s="692" t="s">
        <v>4060</v>
      </c>
      <c r="J14998" s="692" t="s">
        <v>4060</v>
      </c>
      <c r="K14998" s="692" t="s">
        <v>4060</v>
      </c>
    </row>
    <row r="14999" spans="1:11">
      <c r="A14999" s="688" t="s">
        <v>4069</v>
      </c>
      <c r="B14999" s="690" t="s">
        <v>4060</v>
      </c>
      <c r="C14999" s="689">
        <v>67.599999999999994</v>
      </c>
      <c r="D14999" s="689">
        <v>67.3</v>
      </c>
      <c r="E14999" s="689">
        <v>67.599999999999994</v>
      </c>
      <c r="F14999" s="689">
        <v>67.599999999999994</v>
      </c>
      <c r="G14999" s="689">
        <v>67.7</v>
      </c>
      <c r="H14999" s="689">
        <v>67.900000000000006</v>
      </c>
      <c r="I14999" s="689">
        <v>67.400000000000006</v>
      </c>
      <c r="J14999" s="689">
        <v>67.400000000000006</v>
      </c>
      <c r="K14999" s="689">
        <v>67.400000000000006</v>
      </c>
    </row>
    <row r="15000" spans="1:11">
      <c r="A15000" s="688" t="s">
        <v>4068</v>
      </c>
      <c r="B15000" s="691">
        <v>67.599999999999994</v>
      </c>
      <c r="C15000" s="692" t="s">
        <v>4060</v>
      </c>
      <c r="D15000" s="692" t="s">
        <v>4060</v>
      </c>
      <c r="E15000" s="692" t="s">
        <v>4060</v>
      </c>
      <c r="F15000" s="692" t="s">
        <v>4060</v>
      </c>
      <c r="G15000" s="692" t="s">
        <v>4060</v>
      </c>
      <c r="H15000" s="692" t="s">
        <v>4060</v>
      </c>
      <c r="I15000" s="692" t="s">
        <v>4060</v>
      </c>
      <c r="J15000" s="692" t="s">
        <v>4060</v>
      </c>
      <c r="K15000" s="692" t="s">
        <v>4060</v>
      </c>
    </row>
    <row r="15001" spans="1:11">
      <c r="A15001" s="688" t="s">
        <v>0</v>
      </c>
      <c r="B15001" s="689">
        <v>66.599999999999994</v>
      </c>
      <c r="C15001" s="689">
        <v>66.900000000000006</v>
      </c>
      <c r="D15001" s="689">
        <v>66.599999999999994</v>
      </c>
      <c r="E15001" s="693">
        <v>67</v>
      </c>
      <c r="F15001" s="689">
        <v>67.099999999999994</v>
      </c>
      <c r="G15001" s="689">
        <v>67.099999999999994</v>
      </c>
      <c r="H15001" s="689">
        <v>67.400000000000006</v>
      </c>
      <c r="I15001" s="689">
        <v>66.400000000000006</v>
      </c>
      <c r="J15001" s="689">
        <v>67.400000000000006</v>
      </c>
      <c r="K15001" s="689">
        <v>67.2</v>
      </c>
    </row>
    <row r="15002" spans="1:11">
      <c r="A15002" s="688" t="s">
        <v>1</v>
      </c>
      <c r="B15002" s="691">
        <v>62.4</v>
      </c>
      <c r="C15002" s="691">
        <v>61.7</v>
      </c>
      <c r="D15002" s="691">
        <v>61.8</v>
      </c>
      <c r="E15002" s="615">
        <v>62</v>
      </c>
      <c r="F15002" s="691">
        <v>61.9</v>
      </c>
      <c r="G15002" s="615">
        <v>62</v>
      </c>
      <c r="H15002" s="691">
        <v>62.2</v>
      </c>
      <c r="I15002" s="691">
        <v>60.9</v>
      </c>
      <c r="J15002" s="691">
        <v>58.6</v>
      </c>
      <c r="K15002" s="691">
        <v>61.5</v>
      </c>
    </row>
    <row r="15003" spans="1:11">
      <c r="A15003" s="688" t="s">
        <v>2240</v>
      </c>
      <c r="B15003" s="689">
        <v>64.599999999999994</v>
      </c>
      <c r="C15003" s="693">
        <v>65</v>
      </c>
      <c r="D15003" s="689">
        <v>64.8</v>
      </c>
      <c r="E15003" s="689">
        <v>65.2</v>
      </c>
      <c r="F15003" s="689">
        <v>65.2</v>
      </c>
      <c r="G15003" s="689">
        <v>65.2</v>
      </c>
      <c r="H15003" s="689">
        <v>65.400000000000006</v>
      </c>
      <c r="I15003" s="689">
        <v>64.599999999999994</v>
      </c>
      <c r="J15003" s="689">
        <v>63.8</v>
      </c>
      <c r="K15003" s="689">
        <v>65.2</v>
      </c>
    </row>
    <row r="15004" spans="1:11">
      <c r="A15004" s="688" t="s">
        <v>2</v>
      </c>
      <c r="B15004" s="691">
        <v>65.8</v>
      </c>
      <c r="C15004" s="615">
        <v>66</v>
      </c>
      <c r="D15004" s="691">
        <v>66.099999999999994</v>
      </c>
      <c r="E15004" s="691">
        <v>66.099999999999994</v>
      </c>
      <c r="F15004" s="691">
        <v>66.5</v>
      </c>
      <c r="G15004" s="691">
        <v>66.3</v>
      </c>
      <c r="H15004" s="691">
        <v>66.7</v>
      </c>
      <c r="I15004" s="691">
        <v>66.8</v>
      </c>
      <c r="J15004" s="691">
        <v>66.599999999999994</v>
      </c>
      <c r="K15004" s="691">
        <v>66.5</v>
      </c>
    </row>
    <row r="15005" spans="1:11">
      <c r="A15005" s="688" t="s">
        <v>3</v>
      </c>
      <c r="B15005" s="689">
        <v>66.400000000000006</v>
      </c>
      <c r="C15005" s="689">
        <v>66.7</v>
      </c>
      <c r="D15005" s="689">
        <v>66.400000000000006</v>
      </c>
      <c r="E15005" s="689">
        <v>66.7</v>
      </c>
      <c r="F15005" s="689">
        <v>66.7</v>
      </c>
      <c r="G15005" s="689">
        <v>66.599999999999994</v>
      </c>
      <c r="H15005" s="689">
        <v>66.900000000000006</v>
      </c>
      <c r="I15005" s="689">
        <v>66.8</v>
      </c>
      <c r="J15005" s="689">
        <v>66.5</v>
      </c>
      <c r="K15005" s="689">
        <v>66.3</v>
      </c>
    </row>
    <row r="15006" spans="1:11">
      <c r="A15006" s="688" t="s">
        <v>4061</v>
      </c>
      <c r="B15006" s="691">
        <v>66.400000000000006</v>
      </c>
      <c r="C15006" s="691">
        <v>66.7</v>
      </c>
      <c r="D15006" s="691">
        <v>66.400000000000006</v>
      </c>
      <c r="E15006" s="691">
        <v>66.7</v>
      </c>
      <c r="F15006" s="691">
        <v>66.7</v>
      </c>
      <c r="G15006" s="691">
        <v>66.599999999999994</v>
      </c>
      <c r="H15006" s="691">
        <v>66.900000000000006</v>
      </c>
      <c r="I15006" s="691">
        <v>66.8</v>
      </c>
      <c r="J15006" s="691">
        <v>66.5</v>
      </c>
      <c r="K15006" s="691">
        <v>66.3</v>
      </c>
    </row>
    <row r="15007" spans="1:11">
      <c r="A15007" s="688" t="s">
        <v>4</v>
      </c>
      <c r="B15007" s="689">
        <v>65.099999999999994</v>
      </c>
      <c r="C15007" s="689">
        <v>64.900000000000006</v>
      </c>
      <c r="D15007" s="689">
        <v>65.2</v>
      </c>
      <c r="E15007" s="689">
        <v>65.2</v>
      </c>
      <c r="F15007" s="689">
        <v>65.7</v>
      </c>
      <c r="G15007" s="689">
        <v>65.7</v>
      </c>
      <c r="H15007" s="693">
        <v>66</v>
      </c>
      <c r="I15007" s="693">
        <v>66</v>
      </c>
      <c r="J15007" s="689">
        <v>64.599999999999994</v>
      </c>
      <c r="K15007" s="689">
        <v>65.5</v>
      </c>
    </row>
    <row r="15008" spans="1:11">
      <c r="A15008" s="688" t="s">
        <v>8</v>
      </c>
      <c r="B15008" s="691">
        <v>66.5</v>
      </c>
      <c r="C15008" s="691">
        <v>66.599999999999994</v>
      </c>
      <c r="D15008" s="691">
        <v>66.599999999999994</v>
      </c>
      <c r="E15008" s="691">
        <v>66.7</v>
      </c>
      <c r="F15008" s="691">
        <v>67.2</v>
      </c>
      <c r="G15008" s="691">
        <v>67.2</v>
      </c>
      <c r="H15008" s="691">
        <v>67.7</v>
      </c>
      <c r="I15008" s="691">
        <v>67.400000000000006</v>
      </c>
      <c r="J15008" s="691">
        <v>67.3</v>
      </c>
      <c r="K15008" s="691">
        <v>67.3</v>
      </c>
    </row>
    <row r="15009" spans="1:11">
      <c r="A15009" s="688" t="s">
        <v>7</v>
      </c>
      <c r="B15009" s="689">
        <v>67.400000000000006</v>
      </c>
      <c r="C15009" s="689">
        <v>67.2</v>
      </c>
      <c r="D15009" s="693">
        <v>67</v>
      </c>
      <c r="E15009" s="689">
        <v>67.2</v>
      </c>
      <c r="F15009" s="689">
        <v>67.2</v>
      </c>
      <c r="G15009" s="689">
        <v>67.599999999999994</v>
      </c>
      <c r="H15009" s="689">
        <v>67.5</v>
      </c>
      <c r="I15009" s="689">
        <v>67.099999999999994</v>
      </c>
      <c r="J15009" s="689">
        <v>66.3</v>
      </c>
      <c r="K15009" s="689">
        <v>66.8</v>
      </c>
    </row>
    <row r="15010" spans="1:11">
      <c r="A15010" s="688" t="s">
        <v>27</v>
      </c>
      <c r="B15010" s="691">
        <v>69.400000000000006</v>
      </c>
      <c r="C15010" s="615">
        <v>69</v>
      </c>
      <c r="D15010" s="691">
        <v>68.7</v>
      </c>
      <c r="E15010" s="691">
        <v>69.099999999999994</v>
      </c>
      <c r="F15010" s="615">
        <v>69</v>
      </c>
      <c r="G15010" s="691">
        <v>69.099999999999994</v>
      </c>
      <c r="H15010" s="691">
        <v>69.5</v>
      </c>
      <c r="I15010" s="691">
        <v>68.3</v>
      </c>
      <c r="J15010" s="691">
        <v>69.099999999999994</v>
      </c>
      <c r="K15010" s="615">
        <v>69</v>
      </c>
    </row>
    <row r="15011" spans="1:11">
      <c r="A15011" s="688" t="s">
        <v>6</v>
      </c>
      <c r="B15011" s="693">
        <v>69</v>
      </c>
      <c r="C15011" s="689">
        <v>68.8</v>
      </c>
      <c r="D15011" s="689">
        <v>68.5</v>
      </c>
      <c r="E15011" s="689">
        <v>68.8</v>
      </c>
      <c r="F15011" s="689">
        <v>68.8</v>
      </c>
      <c r="G15011" s="689">
        <v>68.900000000000006</v>
      </c>
      <c r="H15011" s="693">
        <v>69</v>
      </c>
      <c r="I15011" s="689">
        <v>68.5</v>
      </c>
      <c r="J15011" s="689">
        <v>68.599999999999994</v>
      </c>
      <c r="K15011" s="689">
        <v>68.599999999999994</v>
      </c>
    </row>
    <row r="15012" spans="1:11">
      <c r="A15012" s="688" t="s">
        <v>4058</v>
      </c>
      <c r="B15012" s="692" t="s">
        <v>4060</v>
      </c>
      <c r="C15012" s="692" t="s">
        <v>4060</v>
      </c>
      <c r="D15012" s="692" t="s">
        <v>4060</v>
      </c>
      <c r="E15012" s="692" t="s">
        <v>4060</v>
      </c>
      <c r="F15012" s="692" t="s">
        <v>4060</v>
      </c>
      <c r="G15012" s="692" t="s">
        <v>4060</v>
      </c>
      <c r="H15012" s="692" t="s">
        <v>4060</v>
      </c>
      <c r="I15012" s="692" t="s">
        <v>4060</v>
      </c>
      <c r="J15012" s="692" t="s">
        <v>4060</v>
      </c>
      <c r="K15012" s="692" t="s">
        <v>4060</v>
      </c>
    </row>
    <row r="15013" spans="1:11">
      <c r="A15013" s="688" t="s">
        <v>11</v>
      </c>
      <c r="B15013" s="689">
        <v>64.400000000000006</v>
      </c>
      <c r="C15013" s="689">
        <v>64.3</v>
      </c>
      <c r="D15013" s="689">
        <v>63.9</v>
      </c>
      <c r="E15013" s="689">
        <v>64.599999999999994</v>
      </c>
      <c r="F15013" s="689">
        <v>64.2</v>
      </c>
      <c r="G15013" s="689">
        <v>64.599999999999994</v>
      </c>
      <c r="H15013" s="689">
        <v>64.7</v>
      </c>
      <c r="I15013" s="689">
        <v>64.099999999999994</v>
      </c>
      <c r="J15013" s="689">
        <v>63.2</v>
      </c>
      <c r="K15013" s="689">
        <v>64.2</v>
      </c>
    </row>
    <row r="15014" spans="1:11">
      <c r="A15014" s="688" t="s">
        <v>10</v>
      </c>
      <c r="B15014" s="691">
        <v>68.599999999999994</v>
      </c>
      <c r="C15014" s="691">
        <v>68.400000000000006</v>
      </c>
      <c r="D15014" s="691">
        <v>67.900000000000006</v>
      </c>
      <c r="E15014" s="691">
        <v>68.5</v>
      </c>
      <c r="F15014" s="691">
        <v>68.2</v>
      </c>
      <c r="G15014" s="691">
        <v>68.599999999999994</v>
      </c>
      <c r="H15014" s="691">
        <v>68.7</v>
      </c>
      <c r="I15014" s="691">
        <v>67.8</v>
      </c>
      <c r="J15014" s="691">
        <v>68.099999999999994</v>
      </c>
      <c r="K15014" s="691">
        <v>68.099999999999994</v>
      </c>
    </row>
    <row r="15015" spans="1:11">
      <c r="A15015" s="688" t="s">
        <v>30</v>
      </c>
      <c r="B15015" s="689">
        <v>68.099999999999994</v>
      </c>
      <c r="C15015" s="689">
        <v>67.400000000000006</v>
      </c>
      <c r="D15015" s="689">
        <v>67.099999999999994</v>
      </c>
      <c r="E15015" s="689">
        <v>68.2</v>
      </c>
      <c r="F15015" s="689">
        <v>67.7</v>
      </c>
      <c r="G15015" s="689">
        <v>68.099999999999994</v>
      </c>
      <c r="H15015" s="689">
        <v>67.900000000000006</v>
      </c>
      <c r="I15015" s="689">
        <v>67.8</v>
      </c>
      <c r="J15015" s="689">
        <v>67.099999999999994</v>
      </c>
      <c r="K15015" s="689">
        <v>67.3</v>
      </c>
    </row>
    <row r="15016" spans="1:11">
      <c r="A15016" s="688" t="s">
        <v>12</v>
      </c>
      <c r="B15016" s="691">
        <v>62.5</v>
      </c>
      <c r="C15016" s="691">
        <v>62.8</v>
      </c>
      <c r="D15016" s="691">
        <v>62.8</v>
      </c>
      <c r="E15016" s="691">
        <v>62.9</v>
      </c>
      <c r="F15016" s="615">
        <v>63</v>
      </c>
      <c r="G15016" s="615">
        <v>63</v>
      </c>
      <c r="H15016" s="691">
        <v>63.5</v>
      </c>
      <c r="I15016" s="691">
        <v>63.3</v>
      </c>
      <c r="J15016" s="691">
        <v>61.3</v>
      </c>
      <c r="K15016" s="691">
        <v>62.8</v>
      </c>
    </row>
    <row r="15017" spans="1:11">
      <c r="A15017" s="688" t="s">
        <v>14</v>
      </c>
      <c r="B15017" s="693">
        <v>63</v>
      </c>
      <c r="C15017" s="689">
        <v>63.3</v>
      </c>
      <c r="D15017" s="689">
        <v>63.1</v>
      </c>
      <c r="E15017" s="689">
        <v>63.4</v>
      </c>
      <c r="F15017" s="689">
        <v>63.6</v>
      </c>
      <c r="G15017" s="689">
        <v>63.9</v>
      </c>
      <c r="H15017" s="689">
        <v>64.3</v>
      </c>
      <c r="I15017" s="689">
        <v>63.4</v>
      </c>
      <c r="J15017" s="689">
        <v>62.2</v>
      </c>
      <c r="K15017" s="689">
        <v>63.4</v>
      </c>
    </row>
    <row r="15018" spans="1:11">
      <c r="A15018" s="688" t="s">
        <v>15</v>
      </c>
      <c r="B15018" s="691">
        <v>67.3</v>
      </c>
      <c r="C15018" s="615">
        <v>68</v>
      </c>
      <c r="D15018" s="691">
        <v>67.400000000000006</v>
      </c>
      <c r="E15018" s="691">
        <v>68.099999999999994</v>
      </c>
      <c r="F15018" s="691">
        <v>67.2</v>
      </c>
      <c r="G15018" s="691">
        <v>67.7</v>
      </c>
      <c r="H15018" s="691">
        <v>68.099999999999994</v>
      </c>
      <c r="I15018" s="691">
        <v>67.900000000000006</v>
      </c>
      <c r="J15018" s="691">
        <v>68.099999999999994</v>
      </c>
      <c r="K15018" s="691">
        <v>68.3</v>
      </c>
    </row>
    <row r="15019" spans="1:11">
      <c r="A15019" s="688" t="s">
        <v>29</v>
      </c>
      <c r="B15019" s="689">
        <v>62.6</v>
      </c>
      <c r="C15019" s="689">
        <v>62.6</v>
      </c>
      <c r="D15019" s="689">
        <v>62.2</v>
      </c>
      <c r="E15019" s="689">
        <v>62.9</v>
      </c>
      <c r="F15019" s="689">
        <v>62.5</v>
      </c>
      <c r="G15019" s="689">
        <v>62.7</v>
      </c>
      <c r="H15019" s="689">
        <v>62.9</v>
      </c>
      <c r="I15019" s="689">
        <v>62.2</v>
      </c>
      <c r="J15019" s="689">
        <v>60.9</v>
      </c>
      <c r="K15019" s="689">
        <v>62.6</v>
      </c>
    </row>
    <row r="15020" spans="1:11">
      <c r="A15020" s="688" t="s">
        <v>16</v>
      </c>
      <c r="B15020" s="691">
        <v>67.599999999999994</v>
      </c>
      <c r="C15020" s="691">
        <v>67.400000000000006</v>
      </c>
      <c r="D15020" s="691">
        <v>67.3</v>
      </c>
      <c r="E15020" s="691">
        <v>67.5</v>
      </c>
      <c r="F15020" s="691">
        <v>67.7</v>
      </c>
      <c r="G15020" s="691">
        <v>67.5</v>
      </c>
      <c r="H15020" s="691">
        <v>67.900000000000006</v>
      </c>
      <c r="I15020" s="691">
        <v>67.5</v>
      </c>
      <c r="J15020" s="691">
        <v>67.3</v>
      </c>
      <c r="K15020" s="691">
        <v>67.599999999999994</v>
      </c>
    </row>
    <row r="15021" spans="1:11">
      <c r="A15021" s="688" t="s">
        <v>17</v>
      </c>
      <c r="B15021" s="689">
        <v>66.599999999999994</v>
      </c>
      <c r="C15021" s="689">
        <v>66.7</v>
      </c>
      <c r="D15021" s="689">
        <v>66.5</v>
      </c>
      <c r="E15021" s="689">
        <v>66.5</v>
      </c>
      <c r="F15021" s="689">
        <v>66.7</v>
      </c>
      <c r="G15021" s="689">
        <v>66.7</v>
      </c>
      <c r="H15021" s="689">
        <v>66.900000000000006</v>
      </c>
      <c r="I15021" s="689">
        <v>66.5</v>
      </c>
      <c r="J15021" s="689">
        <v>66.400000000000006</v>
      </c>
      <c r="K15021" s="689">
        <v>66.5</v>
      </c>
    </row>
    <row r="15022" spans="1:11">
      <c r="A15022" s="688" t="s">
        <v>19</v>
      </c>
      <c r="B15022" s="691">
        <v>67.2</v>
      </c>
      <c r="C15022" s="691">
        <v>67.099999999999994</v>
      </c>
      <c r="D15022" s="691">
        <v>66.900000000000006</v>
      </c>
      <c r="E15022" s="691">
        <v>67.3</v>
      </c>
      <c r="F15022" s="691">
        <v>67.3</v>
      </c>
      <c r="G15022" s="691">
        <v>67.3</v>
      </c>
      <c r="H15022" s="691">
        <v>67.599999999999994</v>
      </c>
      <c r="I15022" s="691">
        <v>67.099999999999994</v>
      </c>
      <c r="J15022" s="691">
        <v>67.099999999999994</v>
      </c>
      <c r="K15022" s="691">
        <v>67.099999999999994</v>
      </c>
    </row>
    <row r="15023" spans="1:11">
      <c r="A15023" s="688" t="s">
        <v>20</v>
      </c>
      <c r="B15023" s="689">
        <v>64.7</v>
      </c>
      <c r="C15023" s="689">
        <v>64.900000000000006</v>
      </c>
      <c r="D15023" s="689">
        <v>64.7</v>
      </c>
      <c r="E15023" s="689">
        <v>65.099999999999994</v>
      </c>
      <c r="F15023" s="693">
        <v>65</v>
      </c>
      <c r="G15023" s="689">
        <v>64.900000000000006</v>
      </c>
      <c r="H15023" s="689">
        <v>65.099999999999994</v>
      </c>
      <c r="I15023" s="689">
        <v>63.9</v>
      </c>
      <c r="J15023" s="689">
        <v>62.9</v>
      </c>
      <c r="K15023" s="689">
        <v>64.400000000000006</v>
      </c>
    </row>
    <row r="15024" spans="1:11">
      <c r="A15024" s="688" t="s">
        <v>21</v>
      </c>
      <c r="B15024" s="691">
        <v>67.400000000000006</v>
      </c>
      <c r="C15024" s="691">
        <v>67.7</v>
      </c>
      <c r="D15024" s="691">
        <v>67.599999999999994</v>
      </c>
      <c r="E15024" s="691">
        <v>67.7</v>
      </c>
      <c r="F15024" s="691">
        <v>67.8</v>
      </c>
      <c r="G15024" s="691">
        <v>67.900000000000006</v>
      </c>
      <c r="H15024" s="691">
        <v>68.099999999999994</v>
      </c>
      <c r="I15024" s="691">
        <v>67.5</v>
      </c>
      <c r="J15024" s="691">
        <v>67.599999999999994</v>
      </c>
      <c r="K15024" s="691">
        <v>67.8</v>
      </c>
    </row>
    <row r="15025" spans="1:11">
      <c r="A15025" s="688" t="s">
        <v>22</v>
      </c>
      <c r="B15025" s="689">
        <v>62.6</v>
      </c>
      <c r="C15025" s="689">
        <v>62.4</v>
      </c>
      <c r="D15025" s="689">
        <v>62.3</v>
      </c>
      <c r="E15025" s="689">
        <v>62.6</v>
      </c>
      <c r="F15025" s="689">
        <v>62.6</v>
      </c>
      <c r="G15025" s="689">
        <v>62.8</v>
      </c>
      <c r="H15025" s="689">
        <v>63.1</v>
      </c>
      <c r="I15025" s="689">
        <v>61.8</v>
      </c>
      <c r="J15025" s="689">
        <v>60.3</v>
      </c>
      <c r="K15025" s="689">
        <v>62.7</v>
      </c>
    </row>
    <row r="15026" spans="1:11">
      <c r="A15026" s="688" t="s">
        <v>26</v>
      </c>
      <c r="B15026" s="691">
        <v>66.900000000000006</v>
      </c>
      <c r="C15026" s="691">
        <v>66.900000000000006</v>
      </c>
      <c r="D15026" s="691">
        <v>66.7</v>
      </c>
      <c r="E15026" s="691">
        <v>67.2</v>
      </c>
      <c r="F15026" s="615">
        <v>67</v>
      </c>
      <c r="G15026" s="691">
        <v>67.2</v>
      </c>
      <c r="H15026" s="691">
        <v>67.5</v>
      </c>
      <c r="I15026" s="691">
        <v>66.599999999999994</v>
      </c>
      <c r="J15026" s="691">
        <v>66.900000000000006</v>
      </c>
      <c r="K15026" s="691">
        <v>67.2</v>
      </c>
    </row>
    <row r="15027" spans="1:11">
      <c r="A15027" s="688" t="s">
        <v>25</v>
      </c>
      <c r="B15027" s="689">
        <v>63.8</v>
      </c>
      <c r="C15027" s="693">
        <v>64</v>
      </c>
      <c r="D15027" s="689">
        <v>63.7</v>
      </c>
      <c r="E15027" s="689">
        <v>64.099999999999994</v>
      </c>
      <c r="F15027" s="689">
        <v>64.099999999999994</v>
      </c>
      <c r="G15027" s="689">
        <v>64.2</v>
      </c>
      <c r="H15027" s="689">
        <v>64.599999999999994</v>
      </c>
      <c r="I15027" s="689">
        <v>63.9</v>
      </c>
      <c r="J15027" s="689">
        <v>61.7</v>
      </c>
      <c r="K15027" s="693">
        <v>64</v>
      </c>
    </row>
    <row r="15028" spans="1:11">
      <c r="A15028" s="688" t="s">
        <v>5</v>
      </c>
      <c r="B15028" s="691">
        <v>67.400000000000006</v>
      </c>
      <c r="C15028" s="691">
        <v>67.2</v>
      </c>
      <c r="D15028" s="691">
        <v>67.400000000000006</v>
      </c>
      <c r="E15028" s="691">
        <v>67.400000000000006</v>
      </c>
      <c r="F15028" s="691">
        <v>67.5</v>
      </c>
      <c r="G15028" s="691">
        <v>67.599999999999994</v>
      </c>
      <c r="H15028" s="691">
        <v>67.8</v>
      </c>
      <c r="I15028" s="691">
        <v>67.900000000000006</v>
      </c>
      <c r="J15028" s="691">
        <v>67.7</v>
      </c>
      <c r="K15028" s="691">
        <v>67.099999999999994</v>
      </c>
    </row>
    <row r="15029" spans="1:11">
      <c r="A15029" s="688" t="s">
        <v>23</v>
      </c>
      <c r="B15029" s="689">
        <v>67.099999999999994</v>
      </c>
      <c r="C15029" s="689">
        <v>67.3</v>
      </c>
      <c r="D15029" s="689">
        <v>67.3</v>
      </c>
      <c r="E15029" s="689">
        <v>67.400000000000006</v>
      </c>
      <c r="F15029" s="689">
        <v>67.400000000000006</v>
      </c>
      <c r="G15029" s="689">
        <v>67.5</v>
      </c>
      <c r="H15029" s="693">
        <v>68</v>
      </c>
      <c r="I15029" s="689">
        <v>67.599999999999994</v>
      </c>
      <c r="J15029" s="689">
        <v>68.099999999999994</v>
      </c>
      <c r="K15029" s="693">
        <v>68</v>
      </c>
    </row>
    <row r="15030" spans="1:11">
      <c r="A15030" s="688" t="s">
        <v>4067</v>
      </c>
      <c r="B15030" s="691">
        <v>66.7</v>
      </c>
      <c r="C15030" s="691">
        <v>67.099999999999994</v>
      </c>
      <c r="D15030" s="691">
        <v>66.7</v>
      </c>
      <c r="E15030" s="691">
        <v>67.099999999999994</v>
      </c>
      <c r="F15030" s="615">
        <v>67</v>
      </c>
      <c r="G15030" s="615">
        <v>67</v>
      </c>
      <c r="H15030" s="692" t="s">
        <v>4060</v>
      </c>
      <c r="I15030" s="692" t="s">
        <v>4060</v>
      </c>
      <c r="J15030" s="692" t="s">
        <v>4060</v>
      </c>
      <c r="K15030" s="692" t="s">
        <v>4060</v>
      </c>
    </row>
    <row r="15031" spans="1:11">
      <c r="A15031" s="688" t="s">
        <v>4066</v>
      </c>
      <c r="B15031" s="689">
        <v>66.7</v>
      </c>
      <c r="C15031" s="689">
        <v>67.099999999999994</v>
      </c>
      <c r="D15031" s="689">
        <v>66.7</v>
      </c>
      <c r="E15031" s="689">
        <v>67.099999999999994</v>
      </c>
      <c r="F15031" s="693">
        <v>67</v>
      </c>
      <c r="G15031" s="689">
        <v>67.099999999999994</v>
      </c>
      <c r="H15031" s="690" t="s">
        <v>4060</v>
      </c>
      <c r="I15031" s="690" t="s">
        <v>4060</v>
      </c>
      <c r="J15031" s="690" t="s">
        <v>4060</v>
      </c>
      <c r="K15031" s="690" t="s">
        <v>4060</v>
      </c>
    </row>
    <row r="15032" spans="1:11">
      <c r="A15032" s="688" t="s">
        <v>4062</v>
      </c>
      <c r="B15032" s="691">
        <v>67.900000000000006</v>
      </c>
      <c r="C15032" s="691">
        <v>68.099999999999994</v>
      </c>
      <c r="D15032" s="615">
        <v>68</v>
      </c>
      <c r="E15032" s="691">
        <v>68.2</v>
      </c>
      <c r="F15032" s="691">
        <v>68.3</v>
      </c>
      <c r="G15032" s="691">
        <v>68.400000000000006</v>
      </c>
      <c r="H15032" s="691">
        <v>68.599999999999994</v>
      </c>
      <c r="I15032" s="691">
        <v>68.3</v>
      </c>
      <c r="J15032" s="691">
        <v>68.599999999999994</v>
      </c>
      <c r="K15032" s="691">
        <v>68.3</v>
      </c>
    </row>
    <row r="15033" spans="1:11">
      <c r="A15033" s="688" t="s">
        <v>9</v>
      </c>
      <c r="B15033" s="693">
        <v>67</v>
      </c>
      <c r="C15033" s="689">
        <v>67.5</v>
      </c>
      <c r="D15033" s="689">
        <v>66.900000000000006</v>
      </c>
      <c r="E15033" s="689">
        <v>67.099999999999994</v>
      </c>
      <c r="F15033" s="689">
        <v>67.5</v>
      </c>
      <c r="G15033" s="689">
        <v>67.400000000000006</v>
      </c>
      <c r="H15033" s="689">
        <v>67.599999999999994</v>
      </c>
      <c r="I15033" s="689">
        <v>67.599999999999994</v>
      </c>
      <c r="J15033" s="689">
        <v>67.900000000000006</v>
      </c>
      <c r="K15033" s="689">
        <v>66.8</v>
      </c>
    </row>
    <row r="15034" spans="1:11">
      <c r="A15034" s="688" t="s">
        <v>13</v>
      </c>
      <c r="B15034" s="691">
        <v>67.900000000000006</v>
      </c>
      <c r="C15034" s="691">
        <v>66.7</v>
      </c>
      <c r="D15034" s="691">
        <v>67.599999999999994</v>
      </c>
      <c r="E15034" s="691">
        <v>66.900000000000006</v>
      </c>
      <c r="F15034" s="691">
        <v>68.8</v>
      </c>
      <c r="G15034" s="691">
        <v>68.900000000000006</v>
      </c>
      <c r="H15034" s="691">
        <v>68.5</v>
      </c>
      <c r="I15034" s="691">
        <v>68.099999999999994</v>
      </c>
      <c r="J15034" s="691">
        <v>69.099999999999994</v>
      </c>
      <c r="K15034" s="691">
        <v>68.2</v>
      </c>
    </row>
    <row r="15035" spans="1:11">
      <c r="A15035" s="688" t="s">
        <v>18</v>
      </c>
      <c r="B15035" s="689">
        <v>67.099999999999994</v>
      </c>
      <c r="C15035" s="689">
        <v>67.400000000000006</v>
      </c>
      <c r="D15035" s="689">
        <v>67.400000000000006</v>
      </c>
      <c r="E15035" s="689">
        <v>67.400000000000006</v>
      </c>
      <c r="F15035" s="689">
        <v>67.599999999999994</v>
      </c>
      <c r="G15035" s="689">
        <v>67.8</v>
      </c>
      <c r="H15035" s="689">
        <v>67.900000000000006</v>
      </c>
      <c r="I15035" s="689">
        <v>68.099999999999994</v>
      </c>
      <c r="J15035" s="693">
        <v>68</v>
      </c>
      <c r="K15035" s="689">
        <v>67.5</v>
      </c>
    </row>
    <row r="15036" spans="1:11">
      <c r="A15036" s="688" t="s">
        <v>24</v>
      </c>
      <c r="B15036" s="691">
        <v>68.400000000000006</v>
      </c>
      <c r="C15036" s="691">
        <v>68.5</v>
      </c>
      <c r="D15036" s="691">
        <v>68.3</v>
      </c>
      <c r="E15036" s="691">
        <v>68.7</v>
      </c>
      <c r="F15036" s="691">
        <v>68.7</v>
      </c>
      <c r="G15036" s="691">
        <v>68.8</v>
      </c>
      <c r="H15036" s="615">
        <v>69</v>
      </c>
      <c r="I15036" s="691">
        <v>68.5</v>
      </c>
      <c r="J15036" s="615">
        <v>69</v>
      </c>
      <c r="K15036" s="691">
        <v>68.8</v>
      </c>
    </row>
    <row r="15037" spans="1:11">
      <c r="A15037" s="688" t="s">
        <v>4059</v>
      </c>
      <c r="B15037" s="689">
        <v>66.3</v>
      </c>
      <c r="C15037" s="689">
        <v>66.599999999999994</v>
      </c>
      <c r="D15037" s="689">
        <v>66.2</v>
      </c>
      <c r="E15037" s="689">
        <v>66.400000000000006</v>
      </c>
      <c r="F15037" s="689">
        <v>66.5</v>
      </c>
      <c r="G15037" s="689">
        <v>66.5</v>
      </c>
      <c r="H15037" s="690" t="s">
        <v>4060</v>
      </c>
      <c r="I15037" s="690" t="s">
        <v>4060</v>
      </c>
      <c r="J15037" s="690" t="s">
        <v>4060</v>
      </c>
      <c r="K15037" s="690" t="s">
        <v>4060</v>
      </c>
    </row>
    <row r="15038" spans="1:11">
      <c r="A15038" s="688" t="s">
        <v>2324</v>
      </c>
      <c r="B15038" s="691">
        <v>62.4</v>
      </c>
      <c r="C15038" s="691">
        <v>62.4</v>
      </c>
      <c r="D15038" s="615">
        <v>62</v>
      </c>
      <c r="E15038" s="691">
        <v>62.4</v>
      </c>
      <c r="F15038" s="691">
        <v>62.6</v>
      </c>
      <c r="G15038" s="691">
        <v>62.6</v>
      </c>
      <c r="H15038" s="691">
        <v>62.8</v>
      </c>
      <c r="I15038" s="691">
        <v>62.1</v>
      </c>
      <c r="J15038" s="691">
        <v>60.2</v>
      </c>
      <c r="K15038" s="692" t="s">
        <v>4060</v>
      </c>
    </row>
    <row r="15039" spans="1:11">
      <c r="A15039" s="688" t="s">
        <v>2322</v>
      </c>
      <c r="B15039" s="690" t="s">
        <v>4060</v>
      </c>
      <c r="C15039" s="690" t="s">
        <v>4060</v>
      </c>
      <c r="D15039" s="690" t="s">
        <v>4060</v>
      </c>
      <c r="E15039" s="690" t="s">
        <v>4060</v>
      </c>
      <c r="F15039" s="690" t="s">
        <v>4060</v>
      </c>
      <c r="G15039" s="690" t="s">
        <v>4060</v>
      </c>
      <c r="H15039" s="690" t="s">
        <v>4060</v>
      </c>
      <c r="I15039" s="690" t="s">
        <v>4060</v>
      </c>
      <c r="J15039" s="690" t="s">
        <v>4060</v>
      </c>
      <c r="K15039" s="690" t="s">
        <v>4060</v>
      </c>
    </row>
    <row r="15040" spans="1:11">
      <c r="A15040" s="688" t="s">
        <v>2328</v>
      </c>
      <c r="B15040" s="691">
        <v>61.5</v>
      </c>
      <c r="C15040" s="691">
        <v>61.4</v>
      </c>
      <c r="D15040" s="691">
        <v>61.3</v>
      </c>
      <c r="E15040" s="691">
        <v>61.6</v>
      </c>
      <c r="F15040" s="691">
        <v>61.8</v>
      </c>
      <c r="G15040" s="691">
        <v>62.3</v>
      </c>
      <c r="H15040" s="691">
        <v>62.2</v>
      </c>
      <c r="I15040" s="691">
        <v>60.3</v>
      </c>
      <c r="J15040" s="691">
        <v>58.9</v>
      </c>
      <c r="K15040" s="692" t="s">
        <v>4060</v>
      </c>
    </row>
    <row r="15041" spans="1:11">
      <c r="A15041" s="688" t="s">
        <v>2496</v>
      </c>
      <c r="B15041" s="690" t="s">
        <v>4060</v>
      </c>
      <c r="C15041" s="689">
        <v>62.3</v>
      </c>
      <c r="D15041" s="689">
        <v>61.3</v>
      </c>
      <c r="E15041" s="693">
        <v>61</v>
      </c>
      <c r="F15041" s="689">
        <v>61.8</v>
      </c>
      <c r="G15041" s="693">
        <v>62</v>
      </c>
      <c r="H15041" s="689">
        <v>62.1</v>
      </c>
      <c r="I15041" s="690" t="s">
        <v>4060</v>
      </c>
      <c r="J15041" s="690" t="s">
        <v>4060</v>
      </c>
      <c r="K15041" s="689">
        <v>61.9</v>
      </c>
    </row>
    <row r="15042" spans="1:11">
      <c r="A15042" s="688" t="s">
        <v>2269</v>
      </c>
      <c r="B15042" s="615">
        <v>64</v>
      </c>
      <c r="C15042" s="691">
        <v>64.099999999999994</v>
      </c>
      <c r="D15042" s="691">
        <v>63.5</v>
      </c>
      <c r="E15042" s="691">
        <v>64.099999999999994</v>
      </c>
      <c r="F15042" s="691">
        <v>63.9</v>
      </c>
      <c r="G15042" s="691">
        <v>64.5</v>
      </c>
      <c r="H15042" s="691">
        <v>64.7</v>
      </c>
      <c r="I15042" s="691">
        <v>63.5</v>
      </c>
      <c r="J15042" s="691">
        <v>61.4</v>
      </c>
      <c r="K15042" s="691">
        <v>64.5</v>
      </c>
    </row>
    <row r="15043" spans="1:11">
      <c r="A15043" s="688" t="s">
        <v>2349</v>
      </c>
      <c r="B15043" s="689">
        <v>61.5</v>
      </c>
      <c r="C15043" s="689">
        <v>61.5</v>
      </c>
      <c r="D15043" s="689">
        <v>61.4</v>
      </c>
      <c r="E15043" s="689">
        <v>61.8</v>
      </c>
      <c r="F15043" s="689">
        <v>61.6</v>
      </c>
      <c r="G15043" s="693">
        <v>62</v>
      </c>
      <c r="H15043" s="689">
        <v>62.1</v>
      </c>
      <c r="I15043" s="689">
        <v>60.9</v>
      </c>
      <c r="J15043" s="689">
        <v>59.2</v>
      </c>
      <c r="K15043" s="689">
        <v>61.3</v>
      </c>
    </row>
    <row r="15044" spans="1:11">
      <c r="A15044" s="688" t="s">
        <v>2355</v>
      </c>
      <c r="B15044" s="691">
        <v>65.400000000000006</v>
      </c>
      <c r="C15044" s="691">
        <v>65.099999999999994</v>
      </c>
      <c r="D15044" s="691">
        <v>65.2</v>
      </c>
      <c r="E15044" s="691">
        <v>65.099999999999994</v>
      </c>
      <c r="F15044" s="691">
        <v>65.3</v>
      </c>
      <c r="G15044" s="691">
        <v>65.7</v>
      </c>
      <c r="H15044" s="691">
        <v>65.8</v>
      </c>
      <c r="I15044" s="692" t="s">
        <v>4060</v>
      </c>
      <c r="J15044" s="692" t="s">
        <v>4060</v>
      </c>
      <c r="K15044" s="692" t="s">
        <v>4060</v>
      </c>
    </row>
    <row r="15045" spans="1:11">
      <c r="A15045" s="688" t="s">
        <v>2357</v>
      </c>
      <c r="B15045" s="690" t="s">
        <v>4060</v>
      </c>
      <c r="C15045" s="689">
        <v>60.5</v>
      </c>
      <c r="D15045" s="689">
        <v>61.1</v>
      </c>
      <c r="E15045" s="689">
        <v>61.3</v>
      </c>
      <c r="F15045" s="689">
        <v>61.7</v>
      </c>
      <c r="G15045" s="689">
        <v>61.7</v>
      </c>
      <c r="H15045" s="689">
        <v>61.9</v>
      </c>
      <c r="I15045" s="690" t="s">
        <v>4060</v>
      </c>
      <c r="J15045" s="690" t="s">
        <v>4060</v>
      </c>
      <c r="K15045" s="690" t="s">
        <v>4060</v>
      </c>
    </row>
    <row r="15046" spans="1:11">
      <c r="A15046" s="688" t="s">
        <v>4070</v>
      </c>
      <c r="B15046" s="692" t="s">
        <v>4060</v>
      </c>
      <c r="C15046" s="692" t="s">
        <v>4060</v>
      </c>
      <c r="D15046" s="692" t="s">
        <v>4060</v>
      </c>
      <c r="E15046" s="691">
        <v>65.2</v>
      </c>
      <c r="F15046" s="692" t="s">
        <v>4060</v>
      </c>
      <c r="G15046" s="692" t="s">
        <v>4060</v>
      </c>
      <c r="H15046" s="692" t="s">
        <v>4060</v>
      </c>
      <c r="I15046" s="692" t="s">
        <v>4060</v>
      </c>
      <c r="J15046" s="692" t="s">
        <v>4060</v>
      </c>
      <c r="K15046" s="692" t="s">
        <v>4060</v>
      </c>
    </row>
    <row r="15047" spans="1:11">
      <c r="A15047" s="688" t="s">
        <v>2491</v>
      </c>
      <c r="B15047" s="689">
        <v>61.5</v>
      </c>
      <c r="C15047" s="693">
        <v>62</v>
      </c>
      <c r="D15047" s="689">
        <v>62.4</v>
      </c>
      <c r="E15047" s="689">
        <v>62.6</v>
      </c>
      <c r="F15047" s="689">
        <v>62.7</v>
      </c>
      <c r="G15047" s="689">
        <v>62.8</v>
      </c>
      <c r="H15047" s="690" t="s">
        <v>4060</v>
      </c>
      <c r="I15047" s="690" t="s">
        <v>4060</v>
      </c>
      <c r="J15047" s="690" t="s">
        <v>4060</v>
      </c>
      <c r="K15047" s="690" t="s">
        <v>4060</v>
      </c>
    </row>
    <row r="15048" spans="1:11">
      <c r="A15048" s="688" t="s">
        <v>2343</v>
      </c>
      <c r="B15048" s="692" t="s">
        <v>4060</v>
      </c>
      <c r="C15048" s="692" t="s">
        <v>4060</v>
      </c>
      <c r="D15048" s="692" t="s">
        <v>4060</v>
      </c>
      <c r="E15048" s="692" t="s">
        <v>4060</v>
      </c>
      <c r="F15048" s="692" t="s">
        <v>4060</v>
      </c>
      <c r="G15048" s="692" t="s">
        <v>4060</v>
      </c>
      <c r="H15048" s="692" t="s">
        <v>4060</v>
      </c>
      <c r="I15048" s="692" t="s">
        <v>4060</v>
      </c>
      <c r="J15048" s="692" t="s">
        <v>4060</v>
      </c>
      <c r="K15048" s="692" t="s">
        <v>4060</v>
      </c>
    </row>
    <row r="15049" spans="1:11">
      <c r="A15049" s="688" t="s">
        <v>4071</v>
      </c>
      <c r="B15049" s="690" t="s">
        <v>4060</v>
      </c>
      <c r="C15049" s="690" t="s">
        <v>4060</v>
      </c>
      <c r="D15049" s="690" t="s">
        <v>4060</v>
      </c>
      <c r="E15049" s="690" t="s">
        <v>4060</v>
      </c>
      <c r="F15049" s="690" t="s">
        <v>4060</v>
      </c>
      <c r="G15049" s="690" t="s">
        <v>4060</v>
      </c>
      <c r="H15049" s="690" t="s">
        <v>4060</v>
      </c>
      <c r="I15049" s="690" t="s">
        <v>4060</v>
      </c>
      <c r="J15049" s="690" t="s">
        <v>4060</v>
      </c>
      <c r="K15049" s="690" t="s">
        <v>4060</v>
      </c>
    </row>
    <row r="15050" spans="1:11">
      <c r="A15050" s="688" t="s">
        <v>2489</v>
      </c>
      <c r="B15050" s="692" t="s">
        <v>4060</v>
      </c>
      <c r="C15050" s="692" t="s">
        <v>4060</v>
      </c>
      <c r="D15050" s="691">
        <v>62.1</v>
      </c>
      <c r="E15050" s="691">
        <v>62.2</v>
      </c>
      <c r="F15050" s="691">
        <v>62.7</v>
      </c>
      <c r="G15050" s="691">
        <v>63.4</v>
      </c>
      <c r="H15050" s="691">
        <v>63.4</v>
      </c>
      <c r="I15050" s="692" t="s">
        <v>4060</v>
      </c>
      <c r="J15050" s="692" t="s">
        <v>4060</v>
      </c>
      <c r="K15050" s="692" t="s">
        <v>4060</v>
      </c>
    </row>
    <row r="15051" spans="1:11">
      <c r="A15051" s="688" t="s">
        <v>2490</v>
      </c>
      <c r="B15051" s="689">
        <v>61.3</v>
      </c>
      <c r="C15051" s="689">
        <v>61.4</v>
      </c>
      <c r="D15051" s="689">
        <v>61.8</v>
      </c>
      <c r="E15051" s="690" t="s">
        <v>4060</v>
      </c>
      <c r="F15051" s="693">
        <v>62</v>
      </c>
      <c r="G15051" s="689">
        <v>62.4</v>
      </c>
      <c r="H15051" s="693">
        <v>63</v>
      </c>
      <c r="I15051" s="690" t="s">
        <v>4060</v>
      </c>
      <c r="J15051" s="690" t="s">
        <v>4060</v>
      </c>
      <c r="K15051" s="690" t="s">
        <v>4060</v>
      </c>
    </row>
    <row r="15053" spans="1:11">
      <c r="A15053" s="683" t="s">
        <v>4233</v>
      </c>
    </row>
    <row r="15054" spans="1:11">
      <c r="A15054" s="683" t="s">
        <v>4060</v>
      </c>
      <c r="B15054" s="682" t="s">
        <v>4234</v>
      </c>
    </row>
    <row r="15056" spans="1:11">
      <c r="A15056" s="682" t="s">
        <v>4332</v>
      </c>
    </row>
    <row r="15057" spans="1:11">
      <c r="A15057" s="682" t="s">
        <v>4210</v>
      </c>
      <c r="B15057" s="683" t="s">
        <v>4211</v>
      </c>
    </row>
    <row r="15058" spans="1:11">
      <c r="A15058" s="682" t="s">
        <v>4212</v>
      </c>
      <c r="B15058" s="682" t="s">
        <v>4213</v>
      </c>
    </row>
    <row r="15060" spans="1:11">
      <c r="A15060" s="683" t="s">
        <v>4214</v>
      </c>
      <c r="C15060" s="682" t="s">
        <v>4215</v>
      </c>
    </row>
    <row r="15061" spans="1:11">
      <c r="A15061" s="683" t="s">
        <v>4216</v>
      </c>
      <c r="C15061" s="682" t="s">
        <v>2967</v>
      </c>
    </row>
    <row r="15062" spans="1:11">
      <c r="A15062" s="683" t="s">
        <v>3893</v>
      </c>
      <c r="C15062" s="682" t="s">
        <v>2169</v>
      </c>
    </row>
    <row r="15063" spans="1:11">
      <c r="A15063" s="683" t="s">
        <v>4218</v>
      </c>
      <c r="C15063" s="682" t="s">
        <v>4253</v>
      </c>
    </row>
    <row r="15065" spans="1:11">
      <c r="A15065" s="684" t="s">
        <v>4220</v>
      </c>
      <c r="B15065" s="685" t="s">
        <v>4221</v>
      </c>
      <c r="C15065" s="685" t="s">
        <v>4222</v>
      </c>
      <c r="D15065" s="685" t="s">
        <v>4223</v>
      </c>
      <c r="E15065" s="685" t="s">
        <v>4224</v>
      </c>
      <c r="F15065" s="685" t="s">
        <v>4225</v>
      </c>
      <c r="G15065" s="685" t="s">
        <v>4226</v>
      </c>
      <c r="H15065" s="685" t="s">
        <v>4227</v>
      </c>
      <c r="I15065" s="685" t="s">
        <v>4228</v>
      </c>
      <c r="J15065" s="685" t="s">
        <v>4229</v>
      </c>
      <c r="K15065" s="685" t="s">
        <v>4230</v>
      </c>
    </row>
    <row r="15066" spans="1:11">
      <c r="A15066" s="686" t="s">
        <v>4231</v>
      </c>
      <c r="B15066" s="687" t="s">
        <v>4232</v>
      </c>
      <c r="C15066" s="687" t="s">
        <v>4232</v>
      </c>
      <c r="D15066" s="687" t="s">
        <v>4232</v>
      </c>
      <c r="E15066" s="687" t="s">
        <v>4232</v>
      </c>
      <c r="F15066" s="687" t="s">
        <v>4232</v>
      </c>
      <c r="G15066" s="687" t="s">
        <v>4232</v>
      </c>
      <c r="H15066" s="687" t="s">
        <v>4232</v>
      </c>
      <c r="I15066" s="687" t="s">
        <v>4232</v>
      </c>
      <c r="J15066" s="687" t="s">
        <v>4232</v>
      </c>
      <c r="K15066" s="687" t="s">
        <v>4232</v>
      </c>
    </row>
    <row r="15067" spans="1:11">
      <c r="A15067" s="688" t="s">
        <v>4064</v>
      </c>
      <c r="B15067" s="689">
        <v>65.8</v>
      </c>
      <c r="C15067" s="689">
        <v>65.8</v>
      </c>
      <c r="D15067" s="689">
        <v>65.7</v>
      </c>
      <c r="E15067" s="689">
        <v>65.900000000000006</v>
      </c>
      <c r="F15067" s="689">
        <v>65.8</v>
      </c>
      <c r="G15067" s="689">
        <v>65.900000000000006</v>
      </c>
      <c r="H15067" s="689">
        <v>66.2</v>
      </c>
      <c r="I15067" s="689">
        <v>65.5</v>
      </c>
      <c r="J15067" s="689">
        <v>65.2</v>
      </c>
      <c r="K15067" s="689">
        <v>65.599999999999994</v>
      </c>
    </row>
    <row r="15068" spans="1:11">
      <c r="A15068" s="688" t="s">
        <v>4065</v>
      </c>
      <c r="B15068" s="691">
        <v>65.7</v>
      </c>
      <c r="C15068" s="691">
        <v>66.099999999999994</v>
      </c>
      <c r="D15068" s="691">
        <v>65.7</v>
      </c>
      <c r="E15068" s="691">
        <v>66.099999999999994</v>
      </c>
      <c r="F15068" s="615">
        <v>66</v>
      </c>
      <c r="G15068" s="615">
        <v>66</v>
      </c>
      <c r="H15068" s="692" t="s">
        <v>4060</v>
      </c>
      <c r="I15068" s="692" t="s">
        <v>4060</v>
      </c>
      <c r="J15068" s="692" t="s">
        <v>4060</v>
      </c>
      <c r="K15068" s="692" t="s">
        <v>4060</v>
      </c>
    </row>
    <row r="15069" spans="1:11">
      <c r="A15069" s="688" t="s">
        <v>4063</v>
      </c>
      <c r="B15069" s="689">
        <v>65.7</v>
      </c>
      <c r="C15069" s="689">
        <v>66.099999999999994</v>
      </c>
      <c r="D15069" s="689">
        <v>65.7</v>
      </c>
      <c r="E15069" s="689">
        <v>66.099999999999994</v>
      </c>
      <c r="F15069" s="693">
        <v>66</v>
      </c>
      <c r="G15069" s="689">
        <v>66.099999999999994</v>
      </c>
      <c r="H15069" s="690" t="s">
        <v>4060</v>
      </c>
      <c r="I15069" s="690" t="s">
        <v>4060</v>
      </c>
      <c r="J15069" s="690" t="s">
        <v>4060</v>
      </c>
      <c r="K15069" s="690" t="s">
        <v>4060</v>
      </c>
    </row>
    <row r="15070" spans="1:11">
      <c r="A15070" s="688" t="s">
        <v>4069</v>
      </c>
      <c r="B15070" s="692" t="s">
        <v>4060</v>
      </c>
      <c r="C15070" s="691">
        <v>66.599999999999994</v>
      </c>
      <c r="D15070" s="691">
        <v>66.3</v>
      </c>
      <c r="E15070" s="691">
        <v>66.599999999999994</v>
      </c>
      <c r="F15070" s="691">
        <v>66.599999999999994</v>
      </c>
      <c r="G15070" s="691">
        <v>66.7</v>
      </c>
      <c r="H15070" s="615">
        <v>67</v>
      </c>
      <c r="I15070" s="691">
        <v>66.400000000000006</v>
      </c>
      <c r="J15070" s="691">
        <v>66.400000000000006</v>
      </c>
      <c r="K15070" s="691">
        <v>66.400000000000006</v>
      </c>
    </row>
    <row r="15071" spans="1:11">
      <c r="A15071" s="688" t="s">
        <v>4068</v>
      </c>
      <c r="B15071" s="689">
        <v>66.7</v>
      </c>
      <c r="C15071" s="690" t="s">
        <v>4060</v>
      </c>
      <c r="D15071" s="690" t="s">
        <v>4060</v>
      </c>
      <c r="E15071" s="690" t="s">
        <v>4060</v>
      </c>
      <c r="F15071" s="690" t="s">
        <v>4060</v>
      </c>
      <c r="G15071" s="690" t="s">
        <v>4060</v>
      </c>
      <c r="H15071" s="690" t="s">
        <v>4060</v>
      </c>
      <c r="I15071" s="690" t="s">
        <v>4060</v>
      </c>
      <c r="J15071" s="690" t="s">
        <v>4060</v>
      </c>
      <c r="K15071" s="690" t="s">
        <v>4060</v>
      </c>
    </row>
    <row r="15072" spans="1:11">
      <c r="A15072" s="688" t="s">
        <v>0</v>
      </c>
      <c r="B15072" s="691">
        <v>65.599999999999994</v>
      </c>
      <c r="C15072" s="691">
        <v>65.900000000000006</v>
      </c>
      <c r="D15072" s="691">
        <v>65.599999999999994</v>
      </c>
      <c r="E15072" s="615">
        <v>66</v>
      </c>
      <c r="F15072" s="691">
        <v>66.099999999999994</v>
      </c>
      <c r="G15072" s="691">
        <v>66.099999999999994</v>
      </c>
      <c r="H15072" s="691">
        <v>66.400000000000006</v>
      </c>
      <c r="I15072" s="691">
        <v>65.5</v>
      </c>
      <c r="J15072" s="691">
        <v>66.400000000000006</v>
      </c>
      <c r="K15072" s="691">
        <v>66.2</v>
      </c>
    </row>
    <row r="15073" spans="1:11">
      <c r="A15073" s="688" t="s">
        <v>1</v>
      </c>
      <c r="B15073" s="689">
        <v>61.4</v>
      </c>
      <c r="C15073" s="689">
        <v>60.7</v>
      </c>
      <c r="D15073" s="689">
        <v>60.8</v>
      </c>
      <c r="E15073" s="689">
        <v>61.1</v>
      </c>
      <c r="F15073" s="689">
        <v>60.9</v>
      </c>
      <c r="G15073" s="693">
        <v>61</v>
      </c>
      <c r="H15073" s="689">
        <v>61.2</v>
      </c>
      <c r="I15073" s="689">
        <v>59.9</v>
      </c>
      <c r="J15073" s="689">
        <v>57.7</v>
      </c>
      <c r="K15073" s="689">
        <v>60.5</v>
      </c>
    </row>
    <row r="15074" spans="1:11">
      <c r="A15074" s="688" t="s">
        <v>2240</v>
      </c>
      <c r="B15074" s="691">
        <v>63.6</v>
      </c>
      <c r="C15074" s="615">
        <v>64</v>
      </c>
      <c r="D15074" s="691">
        <v>63.8</v>
      </c>
      <c r="E15074" s="691">
        <v>64.2</v>
      </c>
      <c r="F15074" s="691">
        <v>64.2</v>
      </c>
      <c r="G15074" s="691">
        <v>64.2</v>
      </c>
      <c r="H15074" s="691">
        <v>64.400000000000006</v>
      </c>
      <c r="I15074" s="691">
        <v>63.6</v>
      </c>
      <c r="J15074" s="691">
        <v>62.8</v>
      </c>
      <c r="K15074" s="691">
        <v>64.2</v>
      </c>
    </row>
    <row r="15075" spans="1:11">
      <c r="A15075" s="688" t="s">
        <v>2</v>
      </c>
      <c r="B15075" s="689">
        <v>64.8</v>
      </c>
      <c r="C15075" s="689">
        <v>65.099999999999994</v>
      </c>
      <c r="D15075" s="689">
        <v>65.099999999999994</v>
      </c>
      <c r="E15075" s="689">
        <v>65.099999999999994</v>
      </c>
      <c r="F15075" s="689">
        <v>65.5</v>
      </c>
      <c r="G15075" s="689">
        <v>65.3</v>
      </c>
      <c r="H15075" s="689">
        <v>65.7</v>
      </c>
      <c r="I15075" s="689">
        <v>65.8</v>
      </c>
      <c r="J15075" s="689">
        <v>65.599999999999994</v>
      </c>
      <c r="K15075" s="689">
        <v>65.5</v>
      </c>
    </row>
    <row r="15076" spans="1:11">
      <c r="A15076" s="688" t="s">
        <v>3</v>
      </c>
      <c r="B15076" s="691">
        <v>65.400000000000006</v>
      </c>
      <c r="C15076" s="691">
        <v>65.7</v>
      </c>
      <c r="D15076" s="691">
        <v>65.400000000000006</v>
      </c>
      <c r="E15076" s="691">
        <v>65.7</v>
      </c>
      <c r="F15076" s="691">
        <v>65.7</v>
      </c>
      <c r="G15076" s="691">
        <v>65.599999999999994</v>
      </c>
      <c r="H15076" s="691">
        <v>65.900000000000006</v>
      </c>
      <c r="I15076" s="691">
        <v>65.8</v>
      </c>
      <c r="J15076" s="691">
        <v>65.5</v>
      </c>
      <c r="K15076" s="691">
        <v>65.3</v>
      </c>
    </row>
    <row r="15077" spans="1:11">
      <c r="A15077" s="688" t="s">
        <v>4061</v>
      </c>
      <c r="B15077" s="689">
        <v>65.400000000000006</v>
      </c>
      <c r="C15077" s="689">
        <v>65.7</v>
      </c>
      <c r="D15077" s="689">
        <v>65.400000000000006</v>
      </c>
      <c r="E15077" s="689">
        <v>65.7</v>
      </c>
      <c r="F15077" s="689">
        <v>65.7</v>
      </c>
      <c r="G15077" s="689">
        <v>65.599999999999994</v>
      </c>
      <c r="H15077" s="689">
        <v>65.900000000000006</v>
      </c>
      <c r="I15077" s="689">
        <v>65.8</v>
      </c>
      <c r="J15077" s="689">
        <v>65.5</v>
      </c>
      <c r="K15077" s="689">
        <v>65.3</v>
      </c>
    </row>
    <row r="15078" spans="1:11">
      <c r="A15078" s="688" t="s">
        <v>4</v>
      </c>
      <c r="B15078" s="691">
        <v>64.099999999999994</v>
      </c>
      <c r="C15078" s="691">
        <v>63.9</v>
      </c>
      <c r="D15078" s="691">
        <v>64.3</v>
      </c>
      <c r="E15078" s="691">
        <v>64.2</v>
      </c>
      <c r="F15078" s="691">
        <v>64.7</v>
      </c>
      <c r="G15078" s="691">
        <v>64.7</v>
      </c>
      <c r="H15078" s="615">
        <v>65</v>
      </c>
      <c r="I15078" s="615">
        <v>65</v>
      </c>
      <c r="J15078" s="691">
        <v>63.6</v>
      </c>
      <c r="K15078" s="691">
        <v>64.599999999999994</v>
      </c>
    </row>
    <row r="15079" spans="1:11">
      <c r="A15079" s="688" t="s">
        <v>8</v>
      </c>
      <c r="B15079" s="689">
        <v>65.5</v>
      </c>
      <c r="C15079" s="689">
        <v>65.599999999999994</v>
      </c>
      <c r="D15079" s="689">
        <v>65.599999999999994</v>
      </c>
      <c r="E15079" s="689">
        <v>65.8</v>
      </c>
      <c r="F15079" s="689">
        <v>66.2</v>
      </c>
      <c r="G15079" s="689">
        <v>66.2</v>
      </c>
      <c r="H15079" s="689">
        <v>66.7</v>
      </c>
      <c r="I15079" s="689">
        <v>66.400000000000006</v>
      </c>
      <c r="J15079" s="689">
        <v>66.3</v>
      </c>
      <c r="K15079" s="689">
        <v>66.400000000000006</v>
      </c>
    </row>
    <row r="15080" spans="1:11">
      <c r="A15080" s="688" t="s">
        <v>7</v>
      </c>
      <c r="B15080" s="691">
        <v>66.400000000000006</v>
      </c>
      <c r="C15080" s="691">
        <v>66.2</v>
      </c>
      <c r="D15080" s="615">
        <v>66</v>
      </c>
      <c r="E15080" s="691">
        <v>66.2</v>
      </c>
      <c r="F15080" s="691">
        <v>66.2</v>
      </c>
      <c r="G15080" s="691">
        <v>66.599999999999994</v>
      </c>
      <c r="H15080" s="691">
        <v>66.5</v>
      </c>
      <c r="I15080" s="691">
        <v>66.099999999999994</v>
      </c>
      <c r="J15080" s="691">
        <v>65.3</v>
      </c>
      <c r="K15080" s="691">
        <v>65.8</v>
      </c>
    </row>
    <row r="15081" spans="1:11">
      <c r="A15081" s="688" t="s">
        <v>27</v>
      </c>
      <c r="B15081" s="689">
        <v>68.400000000000006</v>
      </c>
      <c r="C15081" s="693">
        <v>68</v>
      </c>
      <c r="D15081" s="689">
        <v>67.7</v>
      </c>
      <c r="E15081" s="689">
        <v>68.099999999999994</v>
      </c>
      <c r="F15081" s="693">
        <v>68</v>
      </c>
      <c r="G15081" s="689">
        <v>68.099999999999994</v>
      </c>
      <c r="H15081" s="689">
        <v>68.5</v>
      </c>
      <c r="I15081" s="689">
        <v>67.3</v>
      </c>
      <c r="J15081" s="689">
        <v>68.099999999999994</v>
      </c>
      <c r="K15081" s="693">
        <v>68</v>
      </c>
    </row>
    <row r="15082" spans="1:11">
      <c r="A15082" s="688" t="s">
        <v>6</v>
      </c>
      <c r="B15082" s="615">
        <v>68</v>
      </c>
      <c r="C15082" s="691">
        <v>67.8</v>
      </c>
      <c r="D15082" s="691">
        <v>67.5</v>
      </c>
      <c r="E15082" s="691">
        <v>67.8</v>
      </c>
      <c r="F15082" s="691">
        <v>67.8</v>
      </c>
      <c r="G15082" s="691">
        <v>67.900000000000006</v>
      </c>
      <c r="H15082" s="615">
        <v>68</v>
      </c>
      <c r="I15082" s="691">
        <v>67.5</v>
      </c>
      <c r="J15082" s="691">
        <v>67.599999999999994</v>
      </c>
      <c r="K15082" s="691">
        <v>67.599999999999994</v>
      </c>
    </row>
    <row r="15083" spans="1:11">
      <c r="A15083" s="688" t="s">
        <v>4058</v>
      </c>
      <c r="B15083" s="690" t="s">
        <v>4060</v>
      </c>
      <c r="C15083" s="690" t="s">
        <v>4060</v>
      </c>
      <c r="D15083" s="690" t="s">
        <v>4060</v>
      </c>
      <c r="E15083" s="690" t="s">
        <v>4060</v>
      </c>
      <c r="F15083" s="690" t="s">
        <v>4060</v>
      </c>
      <c r="G15083" s="690" t="s">
        <v>4060</v>
      </c>
      <c r="H15083" s="690" t="s">
        <v>4060</v>
      </c>
      <c r="I15083" s="690" t="s">
        <v>4060</v>
      </c>
      <c r="J15083" s="690" t="s">
        <v>4060</v>
      </c>
      <c r="K15083" s="690" t="s">
        <v>4060</v>
      </c>
    </row>
    <row r="15084" spans="1:11">
      <c r="A15084" s="688" t="s">
        <v>11</v>
      </c>
      <c r="B15084" s="691">
        <v>63.4</v>
      </c>
      <c r="C15084" s="691">
        <v>63.3</v>
      </c>
      <c r="D15084" s="691">
        <v>62.9</v>
      </c>
      <c r="E15084" s="691">
        <v>63.6</v>
      </c>
      <c r="F15084" s="691">
        <v>63.2</v>
      </c>
      <c r="G15084" s="691">
        <v>63.6</v>
      </c>
      <c r="H15084" s="691">
        <v>63.7</v>
      </c>
      <c r="I15084" s="691">
        <v>63.1</v>
      </c>
      <c r="J15084" s="691">
        <v>62.2</v>
      </c>
      <c r="K15084" s="691">
        <v>63.2</v>
      </c>
    </row>
    <row r="15085" spans="1:11">
      <c r="A15085" s="688" t="s">
        <v>10</v>
      </c>
      <c r="B15085" s="689">
        <v>67.599999999999994</v>
      </c>
      <c r="C15085" s="689">
        <v>67.400000000000006</v>
      </c>
      <c r="D15085" s="689">
        <v>66.900000000000006</v>
      </c>
      <c r="E15085" s="689">
        <v>67.5</v>
      </c>
      <c r="F15085" s="689">
        <v>67.3</v>
      </c>
      <c r="G15085" s="689">
        <v>67.599999999999994</v>
      </c>
      <c r="H15085" s="689">
        <v>67.8</v>
      </c>
      <c r="I15085" s="689">
        <v>66.8</v>
      </c>
      <c r="J15085" s="689">
        <v>67.099999999999994</v>
      </c>
      <c r="K15085" s="689">
        <v>67.099999999999994</v>
      </c>
    </row>
    <row r="15086" spans="1:11">
      <c r="A15086" s="688" t="s">
        <v>30</v>
      </c>
      <c r="B15086" s="691">
        <v>67.099999999999994</v>
      </c>
      <c r="C15086" s="691">
        <v>66.400000000000006</v>
      </c>
      <c r="D15086" s="691">
        <v>66.099999999999994</v>
      </c>
      <c r="E15086" s="691">
        <v>67.2</v>
      </c>
      <c r="F15086" s="691">
        <v>66.7</v>
      </c>
      <c r="G15086" s="691">
        <v>67.099999999999994</v>
      </c>
      <c r="H15086" s="691">
        <v>66.900000000000006</v>
      </c>
      <c r="I15086" s="691">
        <v>66.8</v>
      </c>
      <c r="J15086" s="691">
        <v>66.099999999999994</v>
      </c>
      <c r="K15086" s="691">
        <v>66.3</v>
      </c>
    </row>
    <row r="15087" spans="1:11">
      <c r="A15087" s="688" t="s">
        <v>12</v>
      </c>
      <c r="B15087" s="689">
        <v>61.5</v>
      </c>
      <c r="C15087" s="689">
        <v>61.8</v>
      </c>
      <c r="D15087" s="689">
        <v>61.8</v>
      </c>
      <c r="E15087" s="689">
        <v>61.9</v>
      </c>
      <c r="F15087" s="693">
        <v>62</v>
      </c>
      <c r="G15087" s="693">
        <v>62</v>
      </c>
      <c r="H15087" s="689">
        <v>62.5</v>
      </c>
      <c r="I15087" s="689">
        <v>62.3</v>
      </c>
      <c r="J15087" s="689">
        <v>60.3</v>
      </c>
      <c r="K15087" s="689">
        <v>61.8</v>
      </c>
    </row>
    <row r="15088" spans="1:11">
      <c r="A15088" s="688" t="s">
        <v>14</v>
      </c>
      <c r="B15088" s="691">
        <v>62.1</v>
      </c>
      <c r="C15088" s="691">
        <v>62.3</v>
      </c>
      <c r="D15088" s="691">
        <v>62.1</v>
      </c>
      <c r="E15088" s="691">
        <v>62.4</v>
      </c>
      <c r="F15088" s="691">
        <v>62.6</v>
      </c>
      <c r="G15088" s="691">
        <v>62.9</v>
      </c>
      <c r="H15088" s="691">
        <v>63.3</v>
      </c>
      <c r="I15088" s="691">
        <v>62.4</v>
      </c>
      <c r="J15088" s="691">
        <v>61.2</v>
      </c>
      <c r="K15088" s="691">
        <v>62.4</v>
      </c>
    </row>
    <row r="15089" spans="1:11">
      <c r="A15089" s="688" t="s">
        <v>15</v>
      </c>
      <c r="B15089" s="689">
        <v>66.3</v>
      </c>
      <c r="C15089" s="693">
        <v>67</v>
      </c>
      <c r="D15089" s="689">
        <v>66.400000000000006</v>
      </c>
      <c r="E15089" s="689">
        <v>67.099999999999994</v>
      </c>
      <c r="F15089" s="689">
        <v>66.3</v>
      </c>
      <c r="G15089" s="689">
        <v>66.7</v>
      </c>
      <c r="H15089" s="689">
        <v>67.099999999999994</v>
      </c>
      <c r="I15089" s="689">
        <v>66.900000000000006</v>
      </c>
      <c r="J15089" s="689">
        <v>67.099999999999994</v>
      </c>
      <c r="K15089" s="689">
        <v>67.3</v>
      </c>
    </row>
    <row r="15090" spans="1:11">
      <c r="A15090" s="688" t="s">
        <v>29</v>
      </c>
      <c r="B15090" s="691">
        <v>61.6</v>
      </c>
      <c r="C15090" s="691">
        <v>61.6</v>
      </c>
      <c r="D15090" s="691">
        <v>61.3</v>
      </c>
      <c r="E15090" s="691">
        <v>61.9</v>
      </c>
      <c r="F15090" s="691">
        <v>61.6</v>
      </c>
      <c r="G15090" s="691">
        <v>61.7</v>
      </c>
      <c r="H15090" s="691">
        <v>61.9</v>
      </c>
      <c r="I15090" s="691">
        <v>61.2</v>
      </c>
      <c r="J15090" s="691">
        <v>59.9</v>
      </c>
      <c r="K15090" s="691">
        <v>61.6</v>
      </c>
    </row>
    <row r="15091" spans="1:11">
      <c r="A15091" s="688" t="s">
        <v>16</v>
      </c>
      <c r="B15091" s="689">
        <v>66.599999999999994</v>
      </c>
      <c r="C15091" s="689">
        <v>66.400000000000006</v>
      </c>
      <c r="D15091" s="689">
        <v>66.3</v>
      </c>
      <c r="E15091" s="689">
        <v>66.5</v>
      </c>
      <c r="F15091" s="689">
        <v>66.7</v>
      </c>
      <c r="G15091" s="689">
        <v>66.5</v>
      </c>
      <c r="H15091" s="689">
        <v>66.900000000000006</v>
      </c>
      <c r="I15091" s="689">
        <v>66.5</v>
      </c>
      <c r="J15091" s="689">
        <v>66.3</v>
      </c>
      <c r="K15091" s="689">
        <v>66.599999999999994</v>
      </c>
    </row>
    <row r="15092" spans="1:11">
      <c r="A15092" s="688" t="s">
        <v>17</v>
      </c>
      <c r="B15092" s="691">
        <v>65.599999999999994</v>
      </c>
      <c r="C15092" s="691">
        <v>65.7</v>
      </c>
      <c r="D15092" s="691">
        <v>65.5</v>
      </c>
      <c r="E15092" s="691">
        <v>65.5</v>
      </c>
      <c r="F15092" s="691">
        <v>65.7</v>
      </c>
      <c r="G15092" s="691">
        <v>65.7</v>
      </c>
      <c r="H15092" s="615">
        <v>66</v>
      </c>
      <c r="I15092" s="691">
        <v>65.5</v>
      </c>
      <c r="J15092" s="691">
        <v>65.400000000000006</v>
      </c>
      <c r="K15092" s="691">
        <v>65.5</v>
      </c>
    </row>
    <row r="15093" spans="1:11">
      <c r="A15093" s="688" t="s">
        <v>19</v>
      </c>
      <c r="B15093" s="689">
        <v>66.2</v>
      </c>
      <c r="C15093" s="689">
        <v>66.099999999999994</v>
      </c>
      <c r="D15093" s="693">
        <v>66</v>
      </c>
      <c r="E15093" s="689">
        <v>66.3</v>
      </c>
      <c r="F15093" s="689">
        <v>66.3</v>
      </c>
      <c r="G15093" s="689">
        <v>66.400000000000006</v>
      </c>
      <c r="H15093" s="689">
        <v>66.599999999999994</v>
      </c>
      <c r="I15093" s="689">
        <v>66.099999999999994</v>
      </c>
      <c r="J15093" s="689">
        <v>66.099999999999994</v>
      </c>
      <c r="K15093" s="689">
        <v>66.099999999999994</v>
      </c>
    </row>
    <row r="15094" spans="1:11">
      <c r="A15094" s="688" t="s">
        <v>20</v>
      </c>
      <c r="B15094" s="691">
        <v>63.7</v>
      </c>
      <c r="C15094" s="691">
        <v>63.9</v>
      </c>
      <c r="D15094" s="691">
        <v>63.7</v>
      </c>
      <c r="E15094" s="691">
        <v>64.099999999999994</v>
      </c>
      <c r="F15094" s="615">
        <v>64</v>
      </c>
      <c r="G15094" s="691">
        <v>63.9</v>
      </c>
      <c r="H15094" s="691">
        <v>64.2</v>
      </c>
      <c r="I15094" s="615">
        <v>63</v>
      </c>
      <c r="J15094" s="691">
        <v>61.9</v>
      </c>
      <c r="K15094" s="691">
        <v>63.4</v>
      </c>
    </row>
    <row r="15095" spans="1:11">
      <c r="A15095" s="688" t="s">
        <v>21</v>
      </c>
      <c r="B15095" s="689">
        <v>66.400000000000006</v>
      </c>
      <c r="C15095" s="689">
        <v>66.7</v>
      </c>
      <c r="D15095" s="689">
        <v>66.599999999999994</v>
      </c>
      <c r="E15095" s="689">
        <v>66.7</v>
      </c>
      <c r="F15095" s="689">
        <v>66.900000000000006</v>
      </c>
      <c r="G15095" s="689">
        <v>66.900000000000006</v>
      </c>
      <c r="H15095" s="689">
        <v>67.099999999999994</v>
      </c>
      <c r="I15095" s="689">
        <v>66.5</v>
      </c>
      <c r="J15095" s="689">
        <v>66.599999999999994</v>
      </c>
      <c r="K15095" s="689">
        <v>66.8</v>
      </c>
    </row>
    <row r="15096" spans="1:11">
      <c r="A15096" s="688" t="s">
        <v>22</v>
      </c>
      <c r="B15096" s="691">
        <v>61.6</v>
      </c>
      <c r="C15096" s="691">
        <v>61.4</v>
      </c>
      <c r="D15096" s="691">
        <v>61.4</v>
      </c>
      <c r="E15096" s="691">
        <v>61.6</v>
      </c>
      <c r="F15096" s="691">
        <v>61.6</v>
      </c>
      <c r="G15096" s="691">
        <v>61.8</v>
      </c>
      <c r="H15096" s="691">
        <v>62.1</v>
      </c>
      <c r="I15096" s="691">
        <v>60.8</v>
      </c>
      <c r="J15096" s="691">
        <v>59.3</v>
      </c>
      <c r="K15096" s="691">
        <v>61.7</v>
      </c>
    </row>
    <row r="15097" spans="1:11">
      <c r="A15097" s="688" t="s">
        <v>26</v>
      </c>
      <c r="B15097" s="689">
        <v>65.900000000000006</v>
      </c>
      <c r="C15097" s="689">
        <v>65.900000000000006</v>
      </c>
      <c r="D15097" s="689">
        <v>65.8</v>
      </c>
      <c r="E15097" s="689">
        <v>66.2</v>
      </c>
      <c r="F15097" s="693">
        <v>66</v>
      </c>
      <c r="G15097" s="689">
        <v>66.3</v>
      </c>
      <c r="H15097" s="689">
        <v>66.5</v>
      </c>
      <c r="I15097" s="689">
        <v>65.599999999999994</v>
      </c>
      <c r="J15097" s="693">
        <v>66</v>
      </c>
      <c r="K15097" s="689">
        <v>66.2</v>
      </c>
    </row>
    <row r="15098" spans="1:11">
      <c r="A15098" s="688" t="s">
        <v>25</v>
      </c>
      <c r="B15098" s="691">
        <v>62.8</v>
      </c>
      <c r="C15098" s="615">
        <v>63</v>
      </c>
      <c r="D15098" s="691">
        <v>62.7</v>
      </c>
      <c r="E15098" s="691">
        <v>63.1</v>
      </c>
      <c r="F15098" s="691">
        <v>63.1</v>
      </c>
      <c r="G15098" s="691">
        <v>63.2</v>
      </c>
      <c r="H15098" s="691">
        <v>63.6</v>
      </c>
      <c r="I15098" s="615">
        <v>63</v>
      </c>
      <c r="J15098" s="691">
        <v>60.7</v>
      </c>
      <c r="K15098" s="615">
        <v>63</v>
      </c>
    </row>
    <row r="15099" spans="1:11">
      <c r="A15099" s="688" t="s">
        <v>5</v>
      </c>
      <c r="B15099" s="689">
        <v>66.400000000000006</v>
      </c>
      <c r="C15099" s="689">
        <v>66.2</v>
      </c>
      <c r="D15099" s="689">
        <v>66.400000000000006</v>
      </c>
      <c r="E15099" s="689">
        <v>66.400000000000006</v>
      </c>
      <c r="F15099" s="689">
        <v>66.5</v>
      </c>
      <c r="G15099" s="689">
        <v>66.599999999999994</v>
      </c>
      <c r="H15099" s="689">
        <v>66.8</v>
      </c>
      <c r="I15099" s="689">
        <v>66.900000000000006</v>
      </c>
      <c r="J15099" s="689">
        <v>66.8</v>
      </c>
      <c r="K15099" s="689">
        <v>66.099999999999994</v>
      </c>
    </row>
    <row r="15100" spans="1:11">
      <c r="A15100" s="688" t="s">
        <v>23</v>
      </c>
      <c r="B15100" s="691">
        <v>66.099999999999994</v>
      </c>
      <c r="C15100" s="691">
        <v>66.3</v>
      </c>
      <c r="D15100" s="691">
        <v>66.3</v>
      </c>
      <c r="E15100" s="691">
        <v>66.400000000000006</v>
      </c>
      <c r="F15100" s="691">
        <v>66.400000000000006</v>
      </c>
      <c r="G15100" s="691">
        <v>66.599999999999994</v>
      </c>
      <c r="H15100" s="615">
        <v>67</v>
      </c>
      <c r="I15100" s="691">
        <v>66.599999999999994</v>
      </c>
      <c r="J15100" s="691">
        <v>67.099999999999994</v>
      </c>
      <c r="K15100" s="615">
        <v>67</v>
      </c>
    </row>
    <row r="15101" spans="1:11">
      <c r="A15101" s="688" t="s">
        <v>4067</v>
      </c>
      <c r="B15101" s="689">
        <v>65.7</v>
      </c>
      <c r="C15101" s="689">
        <v>66.099999999999994</v>
      </c>
      <c r="D15101" s="689">
        <v>65.7</v>
      </c>
      <c r="E15101" s="689">
        <v>66.099999999999994</v>
      </c>
      <c r="F15101" s="693">
        <v>66</v>
      </c>
      <c r="G15101" s="693">
        <v>66</v>
      </c>
      <c r="H15101" s="690" t="s">
        <v>4060</v>
      </c>
      <c r="I15101" s="690" t="s">
        <v>4060</v>
      </c>
      <c r="J15101" s="690" t="s">
        <v>4060</v>
      </c>
      <c r="K15101" s="690" t="s">
        <v>4060</v>
      </c>
    </row>
    <row r="15102" spans="1:11">
      <c r="A15102" s="688" t="s">
        <v>4066</v>
      </c>
      <c r="B15102" s="691">
        <v>65.7</v>
      </c>
      <c r="C15102" s="691">
        <v>66.099999999999994</v>
      </c>
      <c r="D15102" s="691">
        <v>65.7</v>
      </c>
      <c r="E15102" s="691">
        <v>66.099999999999994</v>
      </c>
      <c r="F15102" s="615">
        <v>66</v>
      </c>
      <c r="G15102" s="691">
        <v>66.099999999999994</v>
      </c>
      <c r="H15102" s="692" t="s">
        <v>4060</v>
      </c>
      <c r="I15102" s="692" t="s">
        <v>4060</v>
      </c>
      <c r="J15102" s="692" t="s">
        <v>4060</v>
      </c>
      <c r="K15102" s="692" t="s">
        <v>4060</v>
      </c>
    </row>
    <row r="15103" spans="1:11">
      <c r="A15103" s="688" t="s">
        <v>4062</v>
      </c>
      <c r="B15103" s="689">
        <v>66.900000000000006</v>
      </c>
      <c r="C15103" s="689">
        <v>67.099999999999994</v>
      </c>
      <c r="D15103" s="693">
        <v>67</v>
      </c>
      <c r="E15103" s="689">
        <v>67.2</v>
      </c>
      <c r="F15103" s="689">
        <v>67.3</v>
      </c>
      <c r="G15103" s="689">
        <v>67.400000000000006</v>
      </c>
      <c r="H15103" s="689">
        <v>67.599999999999994</v>
      </c>
      <c r="I15103" s="689">
        <v>67.3</v>
      </c>
      <c r="J15103" s="689">
        <v>67.599999999999994</v>
      </c>
      <c r="K15103" s="689">
        <v>67.3</v>
      </c>
    </row>
    <row r="15104" spans="1:11">
      <c r="A15104" s="688" t="s">
        <v>9</v>
      </c>
      <c r="B15104" s="691">
        <v>66.099999999999994</v>
      </c>
      <c r="C15104" s="691">
        <v>66.5</v>
      </c>
      <c r="D15104" s="615">
        <v>66</v>
      </c>
      <c r="E15104" s="691">
        <v>66.099999999999994</v>
      </c>
      <c r="F15104" s="691">
        <v>66.5</v>
      </c>
      <c r="G15104" s="691">
        <v>66.400000000000006</v>
      </c>
      <c r="H15104" s="691">
        <v>66.599999999999994</v>
      </c>
      <c r="I15104" s="691">
        <v>66.599999999999994</v>
      </c>
      <c r="J15104" s="691">
        <v>66.900000000000006</v>
      </c>
      <c r="K15104" s="691">
        <v>65.8</v>
      </c>
    </row>
    <row r="15105" spans="1:11">
      <c r="A15105" s="688" t="s">
        <v>13</v>
      </c>
      <c r="B15105" s="689">
        <v>66.900000000000006</v>
      </c>
      <c r="C15105" s="689">
        <v>65.7</v>
      </c>
      <c r="D15105" s="689">
        <v>66.599999999999994</v>
      </c>
      <c r="E15105" s="689">
        <v>66.599999999999994</v>
      </c>
      <c r="F15105" s="689">
        <v>67.8</v>
      </c>
      <c r="G15105" s="689">
        <v>67.900000000000006</v>
      </c>
      <c r="H15105" s="689">
        <v>67.5</v>
      </c>
      <c r="I15105" s="689">
        <v>67.099999999999994</v>
      </c>
      <c r="J15105" s="689">
        <v>68.099999999999994</v>
      </c>
      <c r="K15105" s="689">
        <v>67.2</v>
      </c>
    </row>
    <row r="15106" spans="1:11">
      <c r="A15106" s="688" t="s">
        <v>18</v>
      </c>
      <c r="B15106" s="691">
        <v>66.099999999999994</v>
      </c>
      <c r="C15106" s="691">
        <v>66.400000000000006</v>
      </c>
      <c r="D15106" s="691">
        <v>66.400000000000006</v>
      </c>
      <c r="E15106" s="691">
        <v>66.5</v>
      </c>
      <c r="F15106" s="691">
        <v>66.599999999999994</v>
      </c>
      <c r="G15106" s="691">
        <v>66.8</v>
      </c>
      <c r="H15106" s="691">
        <v>66.900000000000006</v>
      </c>
      <c r="I15106" s="691">
        <v>67.099999999999994</v>
      </c>
      <c r="J15106" s="615">
        <v>67</v>
      </c>
      <c r="K15106" s="691">
        <v>66.5</v>
      </c>
    </row>
    <row r="15107" spans="1:11">
      <c r="A15107" s="688" t="s">
        <v>24</v>
      </c>
      <c r="B15107" s="689">
        <v>67.400000000000006</v>
      </c>
      <c r="C15107" s="689">
        <v>67.5</v>
      </c>
      <c r="D15107" s="689">
        <v>67.3</v>
      </c>
      <c r="E15107" s="689">
        <v>67.7</v>
      </c>
      <c r="F15107" s="689">
        <v>67.7</v>
      </c>
      <c r="G15107" s="689">
        <v>67.8</v>
      </c>
      <c r="H15107" s="693">
        <v>68</v>
      </c>
      <c r="I15107" s="689">
        <v>67.5</v>
      </c>
      <c r="J15107" s="693">
        <v>68</v>
      </c>
      <c r="K15107" s="689">
        <v>67.8</v>
      </c>
    </row>
    <row r="15108" spans="1:11">
      <c r="A15108" s="688" t="s">
        <v>4059</v>
      </c>
      <c r="B15108" s="691">
        <v>65.3</v>
      </c>
      <c r="C15108" s="691">
        <v>65.599999999999994</v>
      </c>
      <c r="D15108" s="691">
        <v>65.2</v>
      </c>
      <c r="E15108" s="691">
        <v>65.400000000000006</v>
      </c>
      <c r="F15108" s="691">
        <v>65.5</v>
      </c>
      <c r="G15108" s="691">
        <v>65.5</v>
      </c>
      <c r="H15108" s="692" t="s">
        <v>4060</v>
      </c>
      <c r="I15108" s="692" t="s">
        <v>4060</v>
      </c>
      <c r="J15108" s="692" t="s">
        <v>4060</v>
      </c>
      <c r="K15108" s="692" t="s">
        <v>4060</v>
      </c>
    </row>
    <row r="15109" spans="1:11">
      <c r="A15109" s="688" t="s">
        <v>2324</v>
      </c>
      <c r="B15109" s="689">
        <v>61.4</v>
      </c>
      <c r="C15109" s="689">
        <v>61.4</v>
      </c>
      <c r="D15109" s="693">
        <v>61</v>
      </c>
      <c r="E15109" s="689">
        <v>61.4</v>
      </c>
      <c r="F15109" s="689">
        <v>61.6</v>
      </c>
      <c r="G15109" s="689">
        <v>61.6</v>
      </c>
      <c r="H15109" s="689">
        <v>61.8</v>
      </c>
      <c r="I15109" s="689">
        <v>61.1</v>
      </c>
      <c r="J15109" s="689">
        <v>59.2</v>
      </c>
      <c r="K15109" s="690" t="s">
        <v>4060</v>
      </c>
    </row>
    <row r="15110" spans="1:11">
      <c r="A15110" s="688" t="s">
        <v>2322</v>
      </c>
      <c r="B15110" s="692" t="s">
        <v>4060</v>
      </c>
      <c r="C15110" s="692" t="s">
        <v>4060</v>
      </c>
      <c r="D15110" s="692" t="s">
        <v>4060</v>
      </c>
      <c r="E15110" s="692" t="s">
        <v>4060</v>
      </c>
      <c r="F15110" s="692" t="s">
        <v>4060</v>
      </c>
      <c r="G15110" s="692" t="s">
        <v>4060</v>
      </c>
      <c r="H15110" s="692" t="s">
        <v>4060</v>
      </c>
      <c r="I15110" s="692" t="s">
        <v>4060</v>
      </c>
      <c r="J15110" s="692" t="s">
        <v>4060</v>
      </c>
      <c r="K15110" s="692" t="s">
        <v>4060</v>
      </c>
    </row>
    <row r="15111" spans="1:11">
      <c r="A15111" s="688" t="s">
        <v>2328</v>
      </c>
      <c r="B15111" s="689">
        <v>60.5</v>
      </c>
      <c r="C15111" s="689">
        <v>60.4</v>
      </c>
      <c r="D15111" s="689">
        <v>60.3</v>
      </c>
      <c r="E15111" s="689">
        <v>60.7</v>
      </c>
      <c r="F15111" s="689">
        <v>60.8</v>
      </c>
      <c r="G15111" s="689">
        <v>61.3</v>
      </c>
      <c r="H15111" s="689">
        <v>61.2</v>
      </c>
      <c r="I15111" s="689">
        <v>59.3</v>
      </c>
      <c r="J15111" s="689">
        <v>57.9</v>
      </c>
      <c r="K15111" s="690" t="s">
        <v>4060</v>
      </c>
    </row>
    <row r="15112" spans="1:11">
      <c r="A15112" s="688" t="s">
        <v>2496</v>
      </c>
      <c r="B15112" s="692" t="s">
        <v>4060</v>
      </c>
      <c r="C15112" s="691">
        <v>61.3</v>
      </c>
      <c r="D15112" s="691">
        <v>60.3</v>
      </c>
      <c r="E15112" s="691">
        <v>60.1</v>
      </c>
      <c r="F15112" s="691">
        <v>60.8</v>
      </c>
      <c r="G15112" s="691">
        <v>61.1</v>
      </c>
      <c r="H15112" s="691">
        <v>61.1</v>
      </c>
      <c r="I15112" s="692" t="s">
        <v>4060</v>
      </c>
      <c r="J15112" s="692" t="s">
        <v>4060</v>
      </c>
      <c r="K15112" s="691">
        <v>60.9</v>
      </c>
    </row>
    <row r="15113" spans="1:11">
      <c r="A15113" s="688" t="s">
        <v>2269</v>
      </c>
      <c r="B15113" s="693">
        <v>63</v>
      </c>
      <c r="C15113" s="689">
        <v>63.1</v>
      </c>
      <c r="D15113" s="689">
        <v>62.6</v>
      </c>
      <c r="E15113" s="689">
        <v>63.1</v>
      </c>
      <c r="F15113" s="693">
        <v>63</v>
      </c>
      <c r="G15113" s="689">
        <v>63.5</v>
      </c>
      <c r="H15113" s="689">
        <v>63.7</v>
      </c>
      <c r="I15113" s="689">
        <v>62.5</v>
      </c>
      <c r="J15113" s="689">
        <v>60.4</v>
      </c>
      <c r="K15113" s="689">
        <v>63.5</v>
      </c>
    </row>
    <row r="15114" spans="1:11">
      <c r="A15114" s="688" t="s">
        <v>2349</v>
      </c>
      <c r="B15114" s="691">
        <v>60.5</v>
      </c>
      <c r="C15114" s="691">
        <v>60.5</v>
      </c>
      <c r="D15114" s="691">
        <v>60.5</v>
      </c>
      <c r="E15114" s="691">
        <v>60.8</v>
      </c>
      <c r="F15114" s="691">
        <v>60.6</v>
      </c>
      <c r="G15114" s="615">
        <v>61</v>
      </c>
      <c r="H15114" s="691">
        <v>61.1</v>
      </c>
      <c r="I15114" s="615">
        <v>60</v>
      </c>
      <c r="J15114" s="691">
        <v>58.2</v>
      </c>
      <c r="K15114" s="691">
        <v>60.3</v>
      </c>
    </row>
    <row r="15115" spans="1:11">
      <c r="A15115" s="688" t="s">
        <v>2355</v>
      </c>
      <c r="B15115" s="689">
        <v>64.400000000000006</v>
      </c>
      <c r="C15115" s="689">
        <v>64.2</v>
      </c>
      <c r="D15115" s="689">
        <v>64.2</v>
      </c>
      <c r="E15115" s="689">
        <v>64.099999999999994</v>
      </c>
      <c r="F15115" s="689">
        <v>64.3</v>
      </c>
      <c r="G15115" s="689">
        <v>64.7</v>
      </c>
      <c r="H15115" s="689">
        <v>64.8</v>
      </c>
      <c r="I15115" s="690" t="s">
        <v>4060</v>
      </c>
      <c r="J15115" s="690" t="s">
        <v>4060</v>
      </c>
      <c r="K15115" s="690" t="s">
        <v>4060</v>
      </c>
    </row>
    <row r="15116" spans="1:11">
      <c r="A15116" s="688" t="s">
        <v>2357</v>
      </c>
      <c r="B15116" s="692" t="s">
        <v>4060</v>
      </c>
      <c r="C15116" s="691">
        <v>59.5</v>
      </c>
      <c r="D15116" s="691">
        <v>60.1</v>
      </c>
      <c r="E15116" s="691">
        <v>60.4</v>
      </c>
      <c r="F15116" s="691">
        <v>60.7</v>
      </c>
      <c r="G15116" s="691">
        <v>60.7</v>
      </c>
      <c r="H15116" s="615">
        <v>61</v>
      </c>
      <c r="I15116" s="692" t="s">
        <v>4060</v>
      </c>
      <c r="J15116" s="692" t="s">
        <v>4060</v>
      </c>
      <c r="K15116" s="692" t="s">
        <v>4060</v>
      </c>
    </row>
    <row r="15117" spans="1:11">
      <c r="A15117" s="688" t="s">
        <v>4070</v>
      </c>
      <c r="B15117" s="690" t="s">
        <v>4060</v>
      </c>
      <c r="C15117" s="690" t="s">
        <v>4060</v>
      </c>
      <c r="D15117" s="690" t="s">
        <v>4060</v>
      </c>
      <c r="E15117" s="689">
        <v>64.2</v>
      </c>
      <c r="F15117" s="690" t="s">
        <v>4060</v>
      </c>
      <c r="G15117" s="690" t="s">
        <v>4060</v>
      </c>
      <c r="H15117" s="690" t="s">
        <v>4060</v>
      </c>
      <c r="I15117" s="690" t="s">
        <v>4060</v>
      </c>
      <c r="J15117" s="690" t="s">
        <v>4060</v>
      </c>
      <c r="K15117" s="690" t="s">
        <v>4060</v>
      </c>
    </row>
    <row r="15118" spans="1:11">
      <c r="A15118" s="688" t="s">
        <v>2491</v>
      </c>
      <c r="B15118" s="691">
        <v>60.5</v>
      </c>
      <c r="C15118" s="615">
        <v>61</v>
      </c>
      <c r="D15118" s="691">
        <v>61.4</v>
      </c>
      <c r="E15118" s="691">
        <v>61.6</v>
      </c>
      <c r="F15118" s="691">
        <v>61.7</v>
      </c>
      <c r="G15118" s="691">
        <v>61.8</v>
      </c>
      <c r="H15118" s="692" t="s">
        <v>4060</v>
      </c>
      <c r="I15118" s="692" t="s">
        <v>4060</v>
      </c>
      <c r="J15118" s="692" t="s">
        <v>4060</v>
      </c>
      <c r="K15118" s="692" t="s">
        <v>4060</v>
      </c>
    </row>
    <row r="15119" spans="1:11">
      <c r="A15119" s="688" t="s">
        <v>2343</v>
      </c>
      <c r="B15119" s="690" t="s">
        <v>4060</v>
      </c>
      <c r="C15119" s="690" t="s">
        <v>4060</v>
      </c>
      <c r="D15119" s="690" t="s">
        <v>4060</v>
      </c>
      <c r="E15119" s="690" t="s">
        <v>4060</v>
      </c>
      <c r="F15119" s="690" t="s">
        <v>4060</v>
      </c>
      <c r="G15119" s="690" t="s">
        <v>4060</v>
      </c>
      <c r="H15119" s="690" t="s">
        <v>4060</v>
      </c>
      <c r="I15119" s="690" t="s">
        <v>4060</v>
      </c>
      <c r="J15119" s="690" t="s">
        <v>4060</v>
      </c>
      <c r="K15119" s="690" t="s">
        <v>4060</v>
      </c>
    </row>
    <row r="15120" spans="1:11">
      <c r="A15120" s="688" t="s">
        <v>4071</v>
      </c>
      <c r="B15120" s="692" t="s">
        <v>4060</v>
      </c>
      <c r="C15120" s="692" t="s">
        <v>4060</v>
      </c>
      <c r="D15120" s="692" t="s">
        <v>4060</v>
      </c>
      <c r="E15120" s="692" t="s">
        <v>4060</v>
      </c>
      <c r="F15120" s="692" t="s">
        <v>4060</v>
      </c>
      <c r="G15120" s="692" t="s">
        <v>4060</v>
      </c>
      <c r="H15120" s="692" t="s">
        <v>4060</v>
      </c>
      <c r="I15120" s="692" t="s">
        <v>4060</v>
      </c>
      <c r="J15120" s="692" t="s">
        <v>4060</v>
      </c>
      <c r="K15120" s="692" t="s">
        <v>4060</v>
      </c>
    </row>
    <row r="15121" spans="1:11">
      <c r="A15121" s="688" t="s">
        <v>2489</v>
      </c>
      <c r="B15121" s="690" t="s">
        <v>4060</v>
      </c>
      <c r="C15121" s="690" t="s">
        <v>4060</v>
      </c>
      <c r="D15121" s="689">
        <v>61.1</v>
      </c>
      <c r="E15121" s="689">
        <v>61.2</v>
      </c>
      <c r="F15121" s="689">
        <v>61.7</v>
      </c>
      <c r="G15121" s="689">
        <v>62.4</v>
      </c>
      <c r="H15121" s="689">
        <v>62.4</v>
      </c>
      <c r="I15121" s="690" t="s">
        <v>4060</v>
      </c>
      <c r="J15121" s="690" t="s">
        <v>4060</v>
      </c>
      <c r="K15121" s="690" t="s">
        <v>4060</v>
      </c>
    </row>
    <row r="15122" spans="1:11">
      <c r="A15122" s="688" t="s">
        <v>2490</v>
      </c>
      <c r="B15122" s="691">
        <v>60.3</v>
      </c>
      <c r="C15122" s="691">
        <v>60.4</v>
      </c>
      <c r="D15122" s="691">
        <v>60.9</v>
      </c>
      <c r="E15122" s="692" t="s">
        <v>4060</v>
      </c>
      <c r="F15122" s="615">
        <v>61</v>
      </c>
      <c r="G15122" s="691">
        <v>61.5</v>
      </c>
      <c r="H15122" s="615">
        <v>62</v>
      </c>
      <c r="I15122" s="692" t="s">
        <v>4060</v>
      </c>
      <c r="J15122" s="692" t="s">
        <v>4060</v>
      </c>
      <c r="K15122" s="692" t="s">
        <v>4060</v>
      </c>
    </row>
    <row r="15124" spans="1:11">
      <c r="A15124" s="683" t="s">
        <v>4233</v>
      </c>
    </row>
    <row r="15125" spans="1:11">
      <c r="A15125" s="683" t="s">
        <v>4060</v>
      </c>
      <c r="B15125" s="682" t="s">
        <v>4234</v>
      </c>
    </row>
    <row r="15127" spans="1:11">
      <c r="A15127" s="682" t="s">
        <v>4332</v>
      </c>
    </row>
    <row r="15128" spans="1:11">
      <c r="A15128" s="682" t="s">
        <v>4210</v>
      </c>
      <c r="B15128" s="683" t="s">
        <v>4211</v>
      </c>
    </row>
    <row r="15129" spans="1:11">
      <c r="A15129" s="682" t="s">
        <v>4212</v>
      </c>
      <c r="B15129" s="682" t="s">
        <v>4213</v>
      </c>
    </row>
    <row r="15131" spans="1:11">
      <c r="A15131" s="683" t="s">
        <v>4214</v>
      </c>
      <c r="C15131" s="682" t="s">
        <v>4215</v>
      </c>
    </row>
    <row r="15132" spans="1:11">
      <c r="A15132" s="683" t="s">
        <v>4216</v>
      </c>
      <c r="C15132" s="682" t="s">
        <v>2967</v>
      </c>
    </row>
    <row r="15133" spans="1:11">
      <c r="A15133" s="683" t="s">
        <v>3893</v>
      </c>
      <c r="C15133" s="682" t="s">
        <v>2169</v>
      </c>
    </row>
    <row r="15134" spans="1:11">
      <c r="A15134" s="683" t="s">
        <v>4218</v>
      </c>
      <c r="C15134" s="682" t="s">
        <v>4254</v>
      </c>
    </row>
    <row r="15136" spans="1:11">
      <c r="A15136" s="684" t="s">
        <v>4220</v>
      </c>
      <c r="B15136" s="685" t="s">
        <v>4221</v>
      </c>
      <c r="C15136" s="685" t="s">
        <v>4222</v>
      </c>
      <c r="D15136" s="685" t="s">
        <v>4223</v>
      </c>
      <c r="E15136" s="685" t="s">
        <v>4224</v>
      </c>
      <c r="F15136" s="685" t="s">
        <v>4225</v>
      </c>
      <c r="G15136" s="685" t="s">
        <v>4226</v>
      </c>
      <c r="H15136" s="685" t="s">
        <v>4227</v>
      </c>
      <c r="I15136" s="685" t="s">
        <v>4228</v>
      </c>
      <c r="J15136" s="685" t="s">
        <v>4229</v>
      </c>
      <c r="K15136" s="685" t="s">
        <v>4230</v>
      </c>
    </row>
    <row r="15137" spans="1:11">
      <c r="A15137" s="686" t="s">
        <v>4231</v>
      </c>
      <c r="B15137" s="687" t="s">
        <v>4232</v>
      </c>
      <c r="C15137" s="687" t="s">
        <v>4232</v>
      </c>
      <c r="D15137" s="687" t="s">
        <v>4232</v>
      </c>
      <c r="E15137" s="687" t="s">
        <v>4232</v>
      </c>
      <c r="F15137" s="687" t="s">
        <v>4232</v>
      </c>
      <c r="G15137" s="687" t="s">
        <v>4232</v>
      </c>
      <c r="H15137" s="687" t="s">
        <v>4232</v>
      </c>
      <c r="I15137" s="687" t="s">
        <v>4232</v>
      </c>
      <c r="J15137" s="687" t="s">
        <v>4232</v>
      </c>
      <c r="K15137" s="687" t="s">
        <v>4232</v>
      </c>
    </row>
    <row r="15138" spans="1:11">
      <c r="A15138" s="688" t="s">
        <v>4064</v>
      </c>
      <c r="B15138" s="691">
        <v>64.8</v>
      </c>
      <c r="C15138" s="691">
        <v>64.8</v>
      </c>
      <c r="D15138" s="691">
        <v>64.7</v>
      </c>
      <c r="E15138" s="691">
        <v>64.900000000000006</v>
      </c>
      <c r="F15138" s="691">
        <v>64.8</v>
      </c>
      <c r="G15138" s="691">
        <v>64.900000000000006</v>
      </c>
      <c r="H15138" s="691">
        <v>65.2</v>
      </c>
      <c r="I15138" s="691">
        <v>64.5</v>
      </c>
      <c r="J15138" s="691">
        <v>64.2</v>
      </c>
      <c r="K15138" s="691">
        <v>64.599999999999994</v>
      </c>
    </row>
    <row r="15139" spans="1:11">
      <c r="A15139" s="688" t="s">
        <v>4065</v>
      </c>
      <c r="B15139" s="689">
        <v>64.7</v>
      </c>
      <c r="C15139" s="689">
        <v>65.099999999999994</v>
      </c>
      <c r="D15139" s="689">
        <v>64.7</v>
      </c>
      <c r="E15139" s="689">
        <v>65.099999999999994</v>
      </c>
      <c r="F15139" s="693">
        <v>65</v>
      </c>
      <c r="G15139" s="693">
        <v>65</v>
      </c>
      <c r="H15139" s="690" t="s">
        <v>4060</v>
      </c>
      <c r="I15139" s="690" t="s">
        <v>4060</v>
      </c>
      <c r="J15139" s="690" t="s">
        <v>4060</v>
      </c>
      <c r="K15139" s="690" t="s">
        <v>4060</v>
      </c>
    </row>
    <row r="15140" spans="1:11">
      <c r="A15140" s="688" t="s">
        <v>4063</v>
      </c>
      <c r="B15140" s="691">
        <v>64.8</v>
      </c>
      <c r="C15140" s="691">
        <v>65.099999999999994</v>
      </c>
      <c r="D15140" s="691">
        <v>64.7</v>
      </c>
      <c r="E15140" s="691">
        <v>65.099999999999994</v>
      </c>
      <c r="F15140" s="615">
        <v>65</v>
      </c>
      <c r="G15140" s="691">
        <v>65.099999999999994</v>
      </c>
      <c r="H15140" s="692" t="s">
        <v>4060</v>
      </c>
      <c r="I15140" s="692" t="s">
        <v>4060</v>
      </c>
      <c r="J15140" s="692" t="s">
        <v>4060</v>
      </c>
      <c r="K15140" s="692" t="s">
        <v>4060</v>
      </c>
    </row>
    <row r="15141" spans="1:11">
      <c r="A15141" s="688" t="s">
        <v>4069</v>
      </c>
      <c r="B15141" s="690" t="s">
        <v>4060</v>
      </c>
      <c r="C15141" s="689">
        <v>65.599999999999994</v>
      </c>
      <c r="D15141" s="689">
        <v>65.3</v>
      </c>
      <c r="E15141" s="689">
        <v>65.7</v>
      </c>
      <c r="F15141" s="689">
        <v>65.599999999999994</v>
      </c>
      <c r="G15141" s="689">
        <v>65.7</v>
      </c>
      <c r="H15141" s="693">
        <v>66</v>
      </c>
      <c r="I15141" s="689">
        <v>65.400000000000006</v>
      </c>
      <c r="J15141" s="689">
        <v>65.400000000000006</v>
      </c>
      <c r="K15141" s="689">
        <v>65.400000000000006</v>
      </c>
    </row>
    <row r="15142" spans="1:11">
      <c r="A15142" s="688" t="s">
        <v>4068</v>
      </c>
      <c r="B15142" s="691">
        <v>65.7</v>
      </c>
      <c r="C15142" s="692" t="s">
        <v>4060</v>
      </c>
      <c r="D15142" s="692" t="s">
        <v>4060</v>
      </c>
      <c r="E15142" s="692" t="s">
        <v>4060</v>
      </c>
      <c r="F15142" s="692" t="s">
        <v>4060</v>
      </c>
      <c r="G15142" s="692" t="s">
        <v>4060</v>
      </c>
      <c r="H15142" s="692" t="s">
        <v>4060</v>
      </c>
      <c r="I15142" s="692" t="s">
        <v>4060</v>
      </c>
      <c r="J15142" s="692" t="s">
        <v>4060</v>
      </c>
      <c r="K15142" s="692" t="s">
        <v>4060</v>
      </c>
    </row>
    <row r="15143" spans="1:11">
      <c r="A15143" s="688" t="s">
        <v>0</v>
      </c>
      <c r="B15143" s="689">
        <v>64.599999999999994</v>
      </c>
      <c r="C15143" s="689">
        <v>64.900000000000006</v>
      </c>
      <c r="D15143" s="689">
        <v>64.599999999999994</v>
      </c>
      <c r="E15143" s="693">
        <v>65</v>
      </c>
      <c r="F15143" s="689">
        <v>65.099999999999994</v>
      </c>
      <c r="G15143" s="689">
        <v>65.099999999999994</v>
      </c>
      <c r="H15143" s="689">
        <v>65.400000000000006</v>
      </c>
      <c r="I15143" s="689">
        <v>64.5</v>
      </c>
      <c r="J15143" s="689">
        <v>65.400000000000006</v>
      </c>
      <c r="K15143" s="689">
        <v>65.2</v>
      </c>
    </row>
    <row r="15144" spans="1:11">
      <c r="A15144" s="688" t="s">
        <v>1</v>
      </c>
      <c r="B15144" s="691">
        <v>60.4</v>
      </c>
      <c r="C15144" s="691">
        <v>59.7</v>
      </c>
      <c r="D15144" s="691">
        <v>59.8</v>
      </c>
      <c r="E15144" s="691">
        <v>60.1</v>
      </c>
      <c r="F15144" s="691">
        <v>59.9</v>
      </c>
      <c r="G15144" s="691">
        <v>60.1</v>
      </c>
      <c r="H15144" s="691">
        <v>60.3</v>
      </c>
      <c r="I15144" s="691">
        <v>58.9</v>
      </c>
      <c r="J15144" s="691">
        <v>56.7</v>
      </c>
      <c r="K15144" s="691">
        <v>59.5</v>
      </c>
    </row>
    <row r="15145" spans="1:11">
      <c r="A15145" s="688" t="s">
        <v>2240</v>
      </c>
      <c r="B15145" s="689">
        <v>62.6</v>
      </c>
      <c r="C15145" s="693">
        <v>63</v>
      </c>
      <c r="D15145" s="689">
        <v>62.8</v>
      </c>
      <c r="E15145" s="689">
        <v>63.2</v>
      </c>
      <c r="F15145" s="689">
        <v>63.2</v>
      </c>
      <c r="G15145" s="689">
        <v>63.2</v>
      </c>
      <c r="H15145" s="689">
        <v>63.5</v>
      </c>
      <c r="I15145" s="689">
        <v>62.6</v>
      </c>
      <c r="J15145" s="689">
        <v>61.8</v>
      </c>
      <c r="K15145" s="689">
        <v>63.3</v>
      </c>
    </row>
    <row r="15146" spans="1:11">
      <c r="A15146" s="688" t="s">
        <v>2</v>
      </c>
      <c r="B15146" s="691">
        <v>63.8</v>
      </c>
      <c r="C15146" s="691">
        <v>64.099999999999994</v>
      </c>
      <c r="D15146" s="691">
        <v>64.099999999999994</v>
      </c>
      <c r="E15146" s="691">
        <v>64.099999999999994</v>
      </c>
      <c r="F15146" s="691">
        <v>64.5</v>
      </c>
      <c r="G15146" s="691">
        <v>64.3</v>
      </c>
      <c r="H15146" s="691">
        <v>64.7</v>
      </c>
      <c r="I15146" s="691">
        <v>64.8</v>
      </c>
      <c r="J15146" s="691">
        <v>64.7</v>
      </c>
      <c r="K15146" s="691">
        <v>64.5</v>
      </c>
    </row>
    <row r="15147" spans="1:11">
      <c r="A15147" s="688" t="s">
        <v>3</v>
      </c>
      <c r="B15147" s="689">
        <v>64.400000000000006</v>
      </c>
      <c r="C15147" s="689">
        <v>64.7</v>
      </c>
      <c r="D15147" s="689">
        <v>64.400000000000006</v>
      </c>
      <c r="E15147" s="689">
        <v>64.7</v>
      </c>
      <c r="F15147" s="689">
        <v>64.7</v>
      </c>
      <c r="G15147" s="689">
        <v>64.599999999999994</v>
      </c>
      <c r="H15147" s="689">
        <v>64.900000000000006</v>
      </c>
      <c r="I15147" s="689">
        <v>64.8</v>
      </c>
      <c r="J15147" s="689">
        <v>64.599999999999994</v>
      </c>
      <c r="K15147" s="689">
        <v>64.3</v>
      </c>
    </row>
    <row r="15148" spans="1:11">
      <c r="A15148" s="688" t="s">
        <v>4061</v>
      </c>
      <c r="B15148" s="691">
        <v>64.400000000000006</v>
      </c>
      <c r="C15148" s="691">
        <v>64.7</v>
      </c>
      <c r="D15148" s="691">
        <v>64.400000000000006</v>
      </c>
      <c r="E15148" s="691">
        <v>64.7</v>
      </c>
      <c r="F15148" s="691">
        <v>64.7</v>
      </c>
      <c r="G15148" s="691">
        <v>64.599999999999994</v>
      </c>
      <c r="H15148" s="691">
        <v>64.900000000000006</v>
      </c>
      <c r="I15148" s="691">
        <v>64.8</v>
      </c>
      <c r="J15148" s="691">
        <v>64.599999999999994</v>
      </c>
      <c r="K15148" s="691">
        <v>64.3</v>
      </c>
    </row>
    <row r="15149" spans="1:11">
      <c r="A15149" s="688" t="s">
        <v>4</v>
      </c>
      <c r="B15149" s="689">
        <v>63.2</v>
      </c>
      <c r="C15149" s="689">
        <v>62.9</v>
      </c>
      <c r="D15149" s="689">
        <v>63.3</v>
      </c>
      <c r="E15149" s="689">
        <v>63.3</v>
      </c>
      <c r="F15149" s="689">
        <v>63.7</v>
      </c>
      <c r="G15149" s="689">
        <v>63.8</v>
      </c>
      <c r="H15149" s="693">
        <v>64</v>
      </c>
      <c r="I15149" s="693">
        <v>64</v>
      </c>
      <c r="J15149" s="689">
        <v>62.6</v>
      </c>
      <c r="K15149" s="689">
        <v>63.6</v>
      </c>
    </row>
    <row r="15150" spans="1:11">
      <c r="A15150" s="688" t="s">
        <v>8</v>
      </c>
      <c r="B15150" s="691">
        <v>64.5</v>
      </c>
      <c r="C15150" s="691">
        <v>64.599999999999994</v>
      </c>
      <c r="D15150" s="691">
        <v>64.599999999999994</v>
      </c>
      <c r="E15150" s="691">
        <v>64.8</v>
      </c>
      <c r="F15150" s="691">
        <v>65.2</v>
      </c>
      <c r="G15150" s="691">
        <v>65.2</v>
      </c>
      <c r="H15150" s="691">
        <v>65.7</v>
      </c>
      <c r="I15150" s="691">
        <v>65.400000000000006</v>
      </c>
      <c r="J15150" s="691">
        <v>65.3</v>
      </c>
      <c r="K15150" s="691">
        <v>65.400000000000006</v>
      </c>
    </row>
    <row r="15151" spans="1:11">
      <c r="A15151" s="688" t="s">
        <v>7</v>
      </c>
      <c r="B15151" s="689">
        <v>65.400000000000006</v>
      </c>
      <c r="C15151" s="689">
        <v>65.2</v>
      </c>
      <c r="D15151" s="693">
        <v>65</v>
      </c>
      <c r="E15151" s="689">
        <v>65.2</v>
      </c>
      <c r="F15151" s="689">
        <v>65.2</v>
      </c>
      <c r="G15151" s="689">
        <v>65.599999999999994</v>
      </c>
      <c r="H15151" s="689">
        <v>65.5</v>
      </c>
      <c r="I15151" s="689">
        <v>65.099999999999994</v>
      </c>
      <c r="J15151" s="689">
        <v>64.3</v>
      </c>
      <c r="K15151" s="689">
        <v>64.8</v>
      </c>
    </row>
    <row r="15152" spans="1:11">
      <c r="A15152" s="688" t="s">
        <v>27</v>
      </c>
      <c r="B15152" s="691">
        <v>67.400000000000006</v>
      </c>
      <c r="C15152" s="615">
        <v>67</v>
      </c>
      <c r="D15152" s="691">
        <v>66.7</v>
      </c>
      <c r="E15152" s="691">
        <v>67.099999999999994</v>
      </c>
      <c r="F15152" s="615">
        <v>67</v>
      </c>
      <c r="G15152" s="691">
        <v>67.2</v>
      </c>
      <c r="H15152" s="691">
        <v>67.5</v>
      </c>
      <c r="I15152" s="691">
        <v>66.3</v>
      </c>
      <c r="J15152" s="691">
        <v>67.099999999999994</v>
      </c>
      <c r="K15152" s="615">
        <v>67</v>
      </c>
    </row>
    <row r="15153" spans="1:11">
      <c r="A15153" s="688" t="s">
        <v>6</v>
      </c>
      <c r="B15153" s="689">
        <v>67.099999999999994</v>
      </c>
      <c r="C15153" s="689">
        <v>66.8</v>
      </c>
      <c r="D15153" s="689">
        <v>66.599999999999994</v>
      </c>
      <c r="E15153" s="689">
        <v>66.8</v>
      </c>
      <c r="F15153" s="689">
        <v>66.8</v>
      </c>
      <c r="G15153" s="689">
        <v>66.900000000000006</v>
      </c>
      <c r="H15153" s="693">
        <v>67</v>
      </c>
      <c r="I15153" s="689">
        <v>66.5</v>
      </c>
      <c r="J15153" s="689">
        <v>66.7</v>
      </c>
      <c r="K15153" s="689">
        <v>66.599999999999994</v>
      </c>
    </row>
    <row r="15154" spans="1:11">
      <c r="A15154" s="688" t="s">
        <v>4058</v>
      </c>
      <c r="B15154" s="692" t="s">
        <v>4060</v>
      </c>
      <c r="C15154" s="692" t="s">
        <v>4060</v>
      </c>
      <c r="D15154" s="692" t="s">
        <v>4060</v>
      </c>
      <c r="E15154" s="692" t="s">
        <v>4060</v>
      </c>
      <c r="F15154" s="692" t="s">
        <v>4060</v>
      </c>
      <c r="G15154" s="692" t="s">
        <v>4060</v>
      </c>
      <c r="H15154" s="692" t="s">
        <v>4060</v>
      </c>
      <c r="I15154" s="692" t="s">
        <v>4060</v>
      </c>
      <c r="J15154" s="692" t="s">
        <v>4060</v>
      </c>
      <c r="K15154" s="692" t="s">
        <v>4060</v>
      </c>
    </row>
    <row r="15155" spans="1:11">
      <c r="A15155" s="688" t="s">
        <v>11</v>
      </c>
      <c r="B15155" s="689">
        <v>62.4</v>
      </c>
      <c r="C15155" s="689">
        <v>62.3</v>
      </c>
      <c r="D15155" s="689">
        <v>61.9</v>
      </c>
      <c r="E15155" s="689">
        <v>62.6</v>
      </c>
      <c r="F15155" s="689">
        <v>62.2</v>
      </c>
      <c r="G15155" s="689">
        <v>62.6</v>
      </c>
      <c r="H15155" s="689">
        <v>62.8</v>
      </c>
      <c r="I15155" s="689">
        <v>62.1</v>
      </c>
      <c r="J15155" s="689">
        <v>61.2</v>
      </c>
      <c r="K15155" s="689">
        <v>62.2</v>
      </c>
    </row>
    <row r="15156" spans="1:11">
      <c r="A15156" s="688" t="s">
        <v>10</v>
      </c>
      <c r="B15156" s="691">
        <v>66.599999999999994</v>
      </c>
      <c r="C15156" s="691">
        <v>66.400000000000006</v>
      </c>
      <c r="D15156" s="691">
        <v>65.900000000000006</v>
      </c>
      <c r="E15156" s="691">
        <v>66.5</v>
      </c>
      <c r="F15156" s="691">
        <v>66.3</v>
      </c>
      <c r="G15156" s="691">
        <v>66.599999999999994</v>
      </c>
      <c r="H15156" s="691">
        <v>66.8</v>
      </c>
      <c r="I15156" s="691">
        <v>65.8</v>
      </c>
      <c r="J15156" s="691">
        <v>66.099999999999994</v>
      </c>
      <c r="K15156" s="691">
        <v>66.099999999999994</v>
      </c>
    </row>
    <row r="15157" spans="1:11">
      <c r="A15157" s="688" t="s">
        <v>30</v>
      </c>
      <c r="B15157" s="689">
        <v>66.099999999999994</v>
      </c>
      <c r="C15157" s="689">
        <v>65.400000000000006</v>
      </c>
      <c r="D15157" s="689">
        <v>65.099999999999994</v>
      </c>
      <c r="E15157" s="689">
        <v>66.2</v>
      </c>
      <c r="F15157" s="689">
        <v>65.7</v>
      </c>
      <c r="G15157" s="689">
        <v>66.099999999999994</v>
      </c>
      <c r="H15157" s="689">
        <v>65.900000000000006</v>
      </c>
      <c r="I15157" s="689">
        <v>65.8</v>
      </c>
      <c r="J15157" s="689">
        <v>65.099999999999994</v>
      </c>
      <c r="K15157" s="689">
        <v>65.3</v>
      </c>
    </row>
    <row r="15158" spans="1:11">
      <c r="A15158" s="688" t="s">
        <v>12</v>
      </c>
      <c r="B15158" s="691">
        <v>60.5</v>
      </c>
      <c r="C15158" s="691">
        <v>60.8</v>
      </c>
      <c r="D15158" s="691">
        <v>60.8</v>
      </c>
      <c r="E15158" s="615">
        <v>61</v>
      </c>
      <c r="F15158" s="615">
        <v>61</v>
      </c>
      <c r="G15158" s="615">
        <v>61</v>
      </c>
      <c r="H15158" s="691">
        <v>61.5</v>
      </c>
      <c r="I15158" s="691">
        <v>61.4</v>
      </c>
      <c r="J15158" s="691">
        <v>59.3</v>
      </c>
      <c r="K15158" s="691">
        <v>60.8</v>
      </c>
    </row>
    <row r="15159" spans="1:11">
      <c r="A15159" s="688" t="s">
        <v>14</v>
      </c>
      <c r="B15159" s="689">
        <v>61.1</v>
      </c>
      <c r="C15159" s="689">
        <v>61.4</v>
      </c>
      <c r="D15159" s="689">
        <v>61.1</v>
      </c>
      <c r="E15159" s="689">
        <v>61.4</v>
      </c>
      <c r="F15159" s="689">
        <v>61.7</v>
      </c>
      <c r="G15159" s="693">
        <v>62</v>
      </c>
      <c r="H15159" s="689">
        <v>62.3</v>
      </c>
      <c r="I15159" s="689">
        <v>61.4</v>
      </c>
      <c r="J15159" s="689">
        <v>60.2</v>
      </c>
      <c r="K15159" s="689">
        <v>61.5</v>
      </c>
    </row>
    <row r="15160" spans="1:11">
      <c r="A15160" s="688" t="s">
        <v>15</v>
      </c>
      <c r="B15160" s="691">
        <v>65.3</v>
      </c>
      <c r="C15160" s="615">
        <v>66</v>
      </c>
      <c r="D15160" s="691">
        <v>65.400000000000006</v>
      </c>
      <c r="E15160" s="691">
        <v>66.099999999999994</v>
      </c>
      <c r="F15160" s="691">
        <v>65.3</v>
      </c>
      <c r="G15160" s="691">
        <v>65.7</v>
      </c>
      <c r="H15160" s="691">
        <v>66.099999999999994</v>
      </c>
      <c r="I15160" s="691">
        <v>65.900000000000006</v>
      </c>
      <c r="J15160" s="691">
        <v>66.099999999999994</v>
      </c>
      <c r="K15160" s="691">
        <v>66.3</v>
      </c>
    </row>
    <row r="15161" spans="1:11">
      <c r="A15161" s="688" t="s">
        <v>29</v>
      </c>
      <c r="B15161" s="689">
        <v>60.6</v>
      </c>
      <c r="C15161" s="689">
        <v>60.7</v>
      </c>
      <c r="D15161" s="689">
        <v>60.3</v>
      </c>
      <c r="E15161" s="689">
        <v>60.9</v>
      </c>
      <c r="F15161" s="689">
        <v>60.6</v>
      </c>
      <c r="G15161" s="689">
        <v>60.7</v>
      </c>
      <c r="H15161" s="689">
        <v>60.9</v>
      </c>
      <c r="I15161" s="689">
        <v>60.2</v>
      </c>
      <c r="J15161" s="689">
        <v>58.9</v>
      </c>
      <c r="K15161" s="689">
        <v>60.6</v>
      </c>
    </row>
    <row r="15162" spans="1:11">
      <c r="A15162" s="688" t="s">
        <v>16</v>
      </c>
      <c r="B15162" s="691">
        <v>65.599999999999994</v>
      </c>
      <c r="C15162" s="691">
        <v>65.400000000000006</v>
      </c>
      <c r="D15162" s="691">
        <v>65.3</v>
      </c>
      <c r="E15162" s="691">
        <v>65.5</v>
      </c>
      <c r="F15162" s="691">
        <v>65.7</v>
      </c>
      <c r="G15162" s="691">
        <v>65.5</v>
      </c>
      <c r="H15162" s="691">
        <v>65.900000000000006</v>
      </c>
      <c r="I15162" s="691">
        <v>65.5</v>
      </c>
      <c r="J15162" s="691">
        <v>65.3</v>
      </c>
      <c r="K15162" s="691">
        <v>65.599999999999994</v>
      </c>
    </row>
    <row r="15163" spans="1:11">
      <c r="A15163" s="688" t="s">
        <v>17</v>
      </c>
      <c r="B15163" s="689">
        <v>64.599999999999994</v>
      </c>
      <c r="C15163" s="689">
        <v>64.7</v>
      </c>
      <c r="D15163" s="689">
        <v>64.5</v>
      </c>
      <c r="E15163" s="689">
        <v>64.5</v>
      </c>
      <c r="F15163" s="689">
        <v>64.7</v>
      </c>
      <c r="G15163" s="689">
        <v>64.7</v>
      </c>
      <c r="H15163" s="693">
        <v>65</v>
      </c>
      <c r="I15163" s="689">
        <v>64.5</v>
      </c>
      <c r="J15163" s="689">
        <v>64.400000000000006</v>
      </c>
      <c r="K15163" s="689">
        <v>64.5</v>
      </c>
    </row>
    <row r="15164" spans="1:11">
      <c r="A15164" s="688" t="s">
        <v>19</v>
      </c>
      <c r="B15164" s="691">
        <v>65.2</v>
      </c>
      <c r="C15164" s="691">
        <v>65.099999999999994</v>
      </c>
      <c r="D15164" s="615">
        <v>65</v>
      </c>
      <c r="E15164" s="691">
        <v>65.400000000000006</v>
      </c>
      <c r="F15164" s="691">
        <v>65.3</v>
      </c>
      <c r="G15164" s="691">
        <v>65.400000000000006</v>
      </c>
      <c r="H15164" s="691">
        <v>65.599999999999994</v>
      </c>
      <c r="I15164" s="691">
        <v>65.099999999999994</v>
      </c>
      <c r="J15164" s="691">
        <v>65.099999999999994</v>
      </c>
      <c r="K15164" s="691">
        <v>65.099999999999994</v>
      </c>
    </row>
    <row r="15165" spans="1:11">
      <c r="A15165" s="688" t="s">
        <v>20</v>
      </c>
      <c r="B15165" s="689">
        <v>62.7</v>
      </c>
      <c r="C15165" s="689">
        <v>62.9</v>
      </c>
      <c r="D15165" s="689">
        <v>62.7</v>
      </c>
      <c r="E15165" s="689">
        <v>63.2</v>
      </c>
      <c r="F15165" s="693">
        <v>63</v>
      </c>
      <c r="G15165" s="689">
        <v>62.9</v>
      </c>
      <c r="H15165" s="689">
        <v>63.2</v>
      </c>
      <c r="I15165" s="693">
        <v>62</v>
      </c>
      <c r="J15165" s="689">
        <v>60.9</v>
      </c>
      <c r="K15165" s="689">
        <v>62.5</v>
      </c>
    </row>
    <row r="15166" spans="1:11">
      <c r="A15166" s="688" t="s">
        <v>21</v>
      </c>
      <c r="B15166" s="691">
        <v>65.400000000000006</v>
      </c>
      <c r="C15166" s="691">
        <v>65.7</v>
      </c>
      <c r="D15166" s="691">
        <v>65.599999999999994</v>
      </c>
      <c r="E15166" s="691">
        <v>65.7</v>
      </c>
      <c r="F15166" s="691">
        <v>65.900000000000006</v>
      </c>
      <c r="G15166" s="691">
        <v>65.900000000000006</v>
      </c>
      <c r="H15166" s="691">
        <v>66.099999999999994</v>
      </c>
      <c r="I15166" s="691">
        <v>65.599999999999994</v>
      </c>
      <c r="J15166" s="691">
        <v>65.599999999999994</v>
      </c>
      <c r="K15166" s="691">
        <v>65.8</v>
      </c>
    </row>
    <row r="15167" spans="1:11">
      <c r="A15167" s="688" t="s">
        <v>22</v>
      </c>
      <c r="B15167" s="689">
        <v>60.7</v>
      </c>
      <c r="C15167" s="689">
        <v>60.4</v>
      </c>
      <c r="D15167" s="689">
        <v>60.4</v>
      </c>
      <c r="E15167" s="689">
        <v>60.7</v>
      </c>
      <c r="F15167" s="689">
        <v>60.7</v>
      </c>
      <c r="G15167" s="689">
        <v>60.8</v>
      </c>
      <c r="H15167" s="689">
        <v>61.1</v>
      </c>
      <c r="I15167" s="689">
        <v>59.8</v>
      </c>
      <c r="J15167" s="689">
        <v>58.3</v>
      </c>
      <c r="K15167" s="689">
        <v>60.7</v>
      </c>
    </row>
    <row r="15168" spans="1:11">
      <c r="A15168" s="688" t="s">
        <v>26</v>
      </c>
      <c r="B15168" s="691">
        <v>64.900000000000006</v>
      </c>
      <c r="C15168" s="615">
        <v>65</v>
      </c>
      <c r="D15168" s="691">
        <v>64.8</v>
      </c>
      <c r="E15168" s="691">
        <v>65.2</v>
      </c>
      <c r="F15168" s="615">
        <v>65</v>
      </c>
      <c r="G15168" s="691">
        <v>65.3</v>
      </c>
      <c r="H15168" s="691">
        <v>65.5</v>
      </c>
      <c r="I15168" s="691">
        <v>64.599999999999994</v>
      </c>
      <c r="J15168" s="615">
        <v>65</v>
      </c>
      <c r="K15168" s="691">
        <v>65.2</v>
      </c>
    </row>
    <row r="15169" spans="1:11">
      <c r="A15169" s="688" t="s">
        <v>25</v>
      </c>
      <c r="B15169" s="689">
        <v>61.8</v>
      </c>
      <c r="C15169" s="693">
        <v>62</v>
      </c>
      <c r="D15169" s="689">
        <v>61.7</v>
      </c>
      <c r="E15169" s="689">
        <v>62.2</v>
      </c>
      <c r="F15169" s="689">
        <v>62.1</v>
      </c>
      <c r="G15169" s="689">
        <v>62.3</v>
      </c>
      <c r="H15169" s="689">
        <v>62.7</v>
      </c>
      <c r="I15169" s="693">
        <v>62</v>
      </c>
      <c r="J15169" s="689">
        <v>59.7</v>
      </c>
      <c r="K15169" s="693">
        <v>62</v>
      </c>
    </row>
    <row r="15170" spans="1:11">
      <c r="A15170" s="688" t="s">
        <v>5</v>
      </c>
      <c r="B15170" s="691">
        <v>65.400000000000006</v>
      </c>
      <c r="C15170" s="691">
        <v>65.2</v>
      </c>
      <c r="D15170" s="691">
        <v>65.400000000000006</v>
      </c>
      <c r="E15170" s="691">
        <v>65.400000000000006</v>
      </c>
      <c r="F15170" s="691">
        <v>65.5</v>
      </c>
      <c r="G15170" s="691">
        <v>65.599999999999994</v>
      </c>
      <c r="H15170" s="691">
        <v>65.900000000000006</v>
      </c>
      <c r="I15170" s="691">
        <v>65.900000000000006</v>
      </c>
      <c r="J15170" s="691">
        <v>65.8</v>
      </c>
      <c r="K15170" s="691">
        <v>65.099999999999994</v>
      </c>
    </row>
    <row r="15171" spans="1:11">
      <c r="A15171" s="688" t="s">
        <v>23</v>
      </c>
      <c r="B15171" s="689">
        <v>65.099999999999994</v>
      </c>
      <c r="C15171" s="689">
        <v>65.3</v>
      </c>
      <c r="D15171" s="689">
        <v>65.3</v>
      </c>
      <c r="E15171" s="689">
        <v>65.400000000000006</v>
      </c>
      <c r="F15171" s="689">
        <v>65.400000000000006</v>
      </c>
      <c r="G15171" s="689">
        <v>65.599999999999994</v>
      </c>
      <c r="H15171" s="693">
        <v>66</v>
      </c>
      <c r="I15171" s="689">
        <v>65.599999999999994</v>
      </c>
      <c r="J15171" s="689">
        <v>66.099999999999994</v>
      </c>
      <c r="K15171" s="693">
        <v>66</v>
      </c>
    </row>
    <row r="15172" spans="1:11">
      <c r="A15172" s="688" t="s">
        <v>4067</v>
      </c>
      <c r="B15172" s="691">
        <v>64.7</v>
      </c>
      <c r="C15172" s="691">
        <v>65.099999999999994</v>
      </c>
      <c r="D15172" s="691">
        <v>64.7</v>
      </c>
      <c r="E15172" s="691">
        <v>65.099999999999994</v>
      </c>
      <c r="F15172" s="615">
        <v>65</v>
      </c>
      <c r="G15172" s="691">
        <v>65.099999999999994</v>
      </c>
      <c r="H15172" s="692" t="s">
        <v>4060</v>
      </c>
      <c r="I15172" s="692" t="s">
        <v>4060</v>
      </c>
      <c r="J15172" s="692" t="s">
        <v>4060</v>
      </c>
      <c r="K15172" s="692" t="s">
        <v>4060</v>
      </c>
    </row>
    <row r="15173" spans="1:11">
      <c r="A15173" s="688" t="s">
        <v>4066</v>
      </c>
      <c r="B15173" s="689">
        <v>64.8</v>
      </c>
      <c r="C15173" s="689">
        <v>65.099999999999994</v>
      </c>
      <c r="D15173" s="689">
        <v>64.7</v>
      </c>
      <c r="E15173" s="689">
        <v>65.099999999999994</v>
      </c>
      <c r="F15173" s="693">
        <v>65</v>
      </c>
      <c r="G15173" s="689">
        <v>65.099999999999994</v>
      </c>
      <c r="H15173" s="690" t="s">
        <v>4060</v>
      </c>
      <c r="I15173" s="690" t="s">
        <v>4060</v>
      </c>
      <c r="J15173" s="690" t="s">
        <v>4060</v>
      </c>
      <c r="K15173" s="690" t="s">
        <v>4060</v>
      </c>
    </row>
    <row r="15174" spans="1:11">
      <c r="A15174" s="688" t="s">
        <v>4062</v>
      </c>
      <c r="B15174" s="691">
        <v>65.900000000000006</v>
      </c>
      <c r="C15174" s="691">
        <v>66.099999999999994</v>
      </c>
      <c r="D15174" s="615">
        <v>66</v>
      </c>
      <c r="E15174" s="691">
        <v>66.2</v>
      </c>
      <c r="F15174" s="691">
        <v>66.3</v>
      </c>
      <c r="G15174" s="691">
        <v>66.400000000000006</v>
      </c>
      <c r="H15174" s="691">
        <v>66.599999999999994</v>
      </c>
      <c r="I15174" s="691">
        <v>66.3</v>
      </c>
      <c r="J15174" s="691">
        <v>66.599999999999994</v>
      </c>
      <c r="K15174" s="691">
        <v>66.3</v>
      </c>
    </row>
    <row r="15175" spans="1:11">
      <c r="A15175" s="688" t="s">
        <v>9</v>
      </c>
      <c r="B15175" s="689">
        <v>65.099999999999994</v>
      </c>
      <c r="C15175" s="689">
        <v>65.5</v>
      </c>
      <c r="D15175" s="693">
        <v>65</v>
      </c>
      <c r="E15175" s="689">
        <v>65.099999999999994</v>
      </c>
      <c r="F15175" s="689">
        <v>65.5</v>
      </c>
      <c r="G15175" s="689">
        <v>65.400000000000006</v>
      </c>
      <c r="H15175" s="689">
        <v>65.599999999999994</v>
      </c>
      <c r="I15175" s="689">
        <v>65.599999999999994</v>
      </c>
      <c r="J15175" s="689">
        <v>65.900000000000006</v>
      </c>
      <c r="K15175" s="689">
        <v>64.8</v>
      </c>
    </row>
    <row r="15176" spans="1:11">
      <c r="A15176" s="688" t="s">
        <v>13</v>
      </c>
      <c r="B15176" s="691">
        <v>65.900000000000006</v>
      </c>
      <c r="C15176" s="691">
        <v>64.7</v>
      </c>
      <c r="D15176" s="691">
        <v>65.599999999999994</v>
      </c>
      <c r="E15176" s="691">
        <v>65.599999999999994</v>
      </c>
      <c r="F15176" s="691">
        <v>66.8</v>
      </c>
      <c r="G15176" s="691">
        <v>66.900000000000006</v>
      </c>
      <c r="H15176" s="691">
        <v>66.5</v>
      </c>
      <c r="I15176" s="691">
        <v>66.099999999999994</v>
      </c>
      <c r="J15176" s="691">
        <v>67.099999999999994</v>
      </c>
      <c r="K15176" s="691">
        <v>66.2</v>
      </c>
    </row>
    <row r="15177" spans="1:11">
      <c r="A15177" s="688" t="s">
        <v>18</v>
      </c>
      <c r="B15177" s="689">
        <v>65.099999999999994</v>
      </c>
      <c r="C15177" s="689">
        <v>65.400000000000006</v>
      </c>
      <c r="D15177" s="689">
        <v>65.400000000000006</v>
      </c>
      <c r="E15177" s="689">
        <v>65.5</v>
      </c>
      <c r="F15177" s="689">
        <v>65.599999999999994</v>
      </c>
      <c r="G15177" s="689">
        <v>65.8</v>
      </c>
      <c r="H15177" s="689">
        <v>65.900000000000006</v>
      </c>
      <c r="I15177" s="689">
        <v>66.099999999999994</v>
      </c>
      <c r="J15177" s="693">
        <v>66</v>
      </c>
      <c r="K15177" s="689">
        <v>65.599999999999994</v>
      </c>
    </row>
    <row r="15178" spans="1:11">
      <c r="A15178" s="688" t="s">
        <v>24</v>
      </c>
      <c r="B15178" s="691">
        <v>66.400000000000006</v>
      </c>
      <c r="C15178" s="691">
        <v>66.5</v>
      </c>
      <c r="D15178" s="691">
        <v>66.3</v>
      </c>
      <c r="E15178" s="691">
        <v>66.7</v>
      </c>
      <c r="F15178" s="691">
        <v>66.8</v>
      </c>
      <c r="G15178" s="691">
        <v>66.8</v>
      </c>
      <c r="H15178" s="615">
        <v>67</v>
      </c>
      <c r="I15178" s="691">
        <v>66.5</v>
      </c>
      <c r="J15178" s="615">
        <v>67</v>
      </c>
      <c r="K15178" s="691">
        <v>66.8</v>
      </c>
    </row>
    <row r="15179" spans="1:11">
      <c r="A15179" s="688" t="s">
        <v>4059</v>
      </c>
      <c r="B15179" s="689">
        <v>64.3</v>
      </c>
      <c r="C15179" s="689">
        <v>64.599999999999994</v>
      </c>
      <c r="D15179" s="689">
        <v>64.2</v>
      </c>
      <c r="E15179" s="689">
        <v>64.5</v>
      </c>
      <c r="F15179" s="689">
        <v>64.5</v>
      </c>
      <c r="G15179" s="689">
        <v>64.5</v>
      </c>
      <c r="H15179" s="690" t="s">
        <v>4060</v>
      </c>
      <c r="I15179" s="690" t="s">
        <v>4060</v>
      </c>
      <c r="J15179" s="690" t="s">
        <v>4060</v>
      </c>
      <c r="K15179" s="690" t="s">
        <v>4060</v>
      </c>
    </row>
    <row r="15180" spans="1:11">
      <c r="A15180" s="688" t="s">
        <v>2324</v>
      </c>
      <c r="B15180" s="691">
        <v>60.5</v>
      </c>
      <c r="C15180" s="691">
        <v>60.4</v>
      </c>
      <c r="D15180" s="615">
        <v>60</v>
      </c>
      <c r="E15180" s="691">
        <v>60.4</v>
      </c>
      <c r="F15180" s="691">
        <v>60.6</v>
      </c>
      <c r="G15180" s="691">
        <v>60.6</v>
      </c>
      <c r="H15180" s="691">
        <v>60.9</v>
      </c>
      <c r="I15180" s="691">
        <v>60.2</v>
      </c>
      <c r="J15180" s="691">
        <v>58.2</v>
      </c>
      <c r="K15180" s="692" t="s">
        <v>4060</v>
      </c>
    </row>
    <row r="15181" spans="1:11">
      <c r="A15181" s="688" t="s">
        <v>2322</v>
      </c>
      <c r="B15181" s="690" t="s">
        <v>4060</v>
      </c>
      <c r="C15181" s="690" t="s">
        <v>4060</v>
      </c>
      <c r="D15181" s="690" t="s">
        <v>4060</v>
      </c>
      <c r="E15181" s="690" t="s">
        <v>4060</v>
      </c>
      <c r="F15181" s="690" t="s">
        <v>4060</v>
      </c>
      <c r="G15181" s="690" t="s">
        <v>4060</v>
      </c>
      <c r="H15181" s="690" t="s">
        <v>4060</v>
      </c>
      <c r="I15181" s="690" t="s">
        <v>4060</v>
      </c>
      <c r="J15181" s="690" t="s">
        <v>4060</v>
      </c>
      <c r="K15181" s="690" t="s">
        <v>4060</v>
      </c>
    </row>
    <row r="15182" spans="1:11">
      <c r="A15182" s="688" t="s">
        <v>2328</v>
      </c>
      <c r="B15182" s="691">
        <v>59.5</v>
      </c>
      <c r="C15182" s="691">
        <v>59.4</v>
      </c>
      <c r="D15182" s="691">
        <v>59.3</v>
      </c>
      <c r="E15182" s="691">
        <v>59.7</v>
      </c>
      <c r="F15182" s="691">
        <v>59.9</v>
      </c>
      <c r="G15182" s="691">
        <v>60.3</v>
      </c>
      <c r="H15182" s="691">
        <v>60.2</v>
      </c>
      <c r="I15182" s="691">
        <v>58.4</v>
      </c>
      <c r="J15182" s="615">
        <v>57</v>
      </c>
      <c r="K15182" s="692" t="s">
        <v>4060</v>
      </c>
    </row>
    <row r="15183" spans="1:11">
      <c r="A15183" s="688" t="s">
        <v>2496</v>
      </c>
      <c r="B15183" s="690" t="s">
        <v>4060</v>
      </c>
      <c r="C15183" s="689">
        <v>60.3</v>
      </c>
      <c r="D15183" s="689">
        <v>59.4</v>
      </c>
      <c r="E15183" s="689">
        <v>59.1</v>
      </c>
      <c r="F15183" s="689">
        <v>59.8</v>
      </c>
      <c r="G15183" s="689">
        <v>60.1</v>
      </c>
      <c r="H15183" s="689">
        <v>60.2</v>
      </c>
      <c r="I15183" s="690" t="s">
        <v>4060</v>
      </c>
      <c r="J15183" s="690" t="s">
        <v>4060</v>
      </c>
      <c r="K15183" s="689">
        <v>59.9</v>
      </c>
    </row>
    <row r="15184" spans="1:11">
      <c r="A15184" s="688" t="s">
        <v>2269</v>
      </c>
      <c r="B15184" s="615">
        <v>62</v>
      </c>
      <c r="C15184" s="691">
        <v>62.2</v>
      </c>
      <c r="D15184" s="691">
        <v>61.6</v>
      </c>
      <c r="E15184" s="691">
        <v>62.1</v>
      </c>
      <c r="F15184" s="615">
        <v>62</v>
      </c>
      <c r="G15184" s="691">
        <v>62.5</v>
      </c>
      <c r="H15184" s="691">
        <v>62.7</v>
      </c>
      <c r="I15184" s="691">
        <v>61.5</v>
      </c>
      <c r="J15184" s="691">
        <v>59.4</v>
      </c>
      <c r="K15184" s="691">
        <v>62.5</v>
      </c>
    </row>
    <row r="15185" spans="1:11">
      <c r="A15185" s="688" t="s">
        <v>2349</v>
      </c>
      <c r="B15185" s="689">
        <v>59.5</v>
      </c>
      <c r="C15185" s="689">
        <v>59.5</v>
      </c>
      <c r="D15185" s="689">
        <v>59.5</v>
      </c>
      <c r="E15185" s="689">
        <v>59.8</v>
      </c>
      <c r="F15185" s="689">
        <v>59.6</v>
      </c>
      <c r="G15185" s="693">
        <v>60</v>
      </c>
      <c r="H15185" s="689">
        <v>60.2</v>
      </c>
      <c r="I15185" s="693">
        <v>59</v>
      </c>
      <c r="J15185" s="689">
        <v>57.2</v>
      </c>
      <c r="K15185" s="689">
        <v>59.3</v>
      </c>
    </row>
    <row r="15186" spans="1:11">
      <c r="A15186" s="688" t="s">
        <v>2355</v>
      </c>
      <c r="B15186" s="691">
        <v>63.4</v>
      </c>
      <c r="C15186" s="691">
        <v>63.2</v>
      </c>
      <c r="D15186" s="691">
        <v>63.2</v>
      </c>
      <c r="E15186" s="691">
        <v>63.1</v>
      </c>
      <c r="F15186" s="691">
        <v>63.3</v>
      </c>
      <c r="G15186" s="691">
        <v>63.7</v>
      </c>
      <c r="H15186" s="691">
        <v>63.8</v>
      </c>
      <c r="I15186" s="692" t="s">
        <v>4060</v>
      </c>
      <c r="J15186" s="692" t="s">
        <v>4060</v>
      </c>
      <c r="K15186" s="692" t="s">
        <v>4060</v>
      </c>
    </row>
    <row r="15187" spans="1:11">
      <c r="A15187" s="688" t="s">
        <v>2357</v>
      </c>
      <c r="B15187" s="690" t="s">
        <v>4060</v>
      </c>
      <c r="C15187" s="689">
        <v>58.6</v>
      </c>
      <c r="D15187" s="689">
        <v>59.1</v>
      </c>
      <c r="E15187" s="689">
        <v>59.4</v>
      </c>
      <c r="F15187" s="689">
        <v>59.7</v>
      </c>
      <c r="G15187" s="689">
        <v>59.7</v>
      </c>
      <c r="H15187" s="693">
        <v>60</v>
      </c>
      <c r="I15187" s="690" t="s">
        <v>4060</v>
      </c>
      <c r="J15187" s="690" t="s">
        <v>4060</v>
      </c>
      <c r="K15187" s="690" t="s">
        <v>4060</v>
      </c>
    </row>
    <row r="15188" spans="1:11">
      <c r="A15188" s="688" t="s">
        <v>4070</v>
      </c>
      <c r="B15188" s="692" t="s">
        <v>4060</v>
      </c>
      <c r="C15188" s="692" t="s">
        <v>4060</v>
      </c>
      <c r="D15188" s="692" t="s">
        <v>4060</v>
      </c>
      <c r="E15188" s="691">
        <v>63.2</v>
      </c>
      <c r="F15188" s="692" t="s">
        <v>4060</v>
      </c>
      <c r="G15188" s="692" t="s">
        <v>4060</v>
      </c>
      <c r="H15188" s="692" t="s">
        <v>4060</v>
      </c>
      <c r="I15188" s="692" t="s">
        <v>4060</v>
      </c>
      <c r="J15188" s="692" t="s">
        <v>4060</v>
      </c>
      <c r="K15188" s="692" t="s">
        <v>4060</v>
      </c>
    </row>
    <row r="15189" spans="1:11">
      <c r="A15189" s="688" t="s">
        <v>2491</v>
      </c>
      <c r="B15189" s="689">
        <v>59.5</v>
      </c>
      <c r="C15189" s="693">
        <v>60</v>
      </c>
      <c r="D15189" s="689">
        <v>60.4</v>
      </c>
      <c r="E15189" s="689">
        <v>60.6</v>
      </c>
      <c r="F15189" s="689">
        <v>60.8</v>
      </c>
      <c r="G15189" s="689">
        <v>60.8</v>
      </c>
      <c r="H15189" s="690" t="s">
        <v>4060</v>
      </c>
      <c r="I15189" s="690" t="s">
        <v>4060</v>
      </c>
      <c r="J15189" s="690" t="s">
        <v>4060</v>
      </c>
      <c r="K15189" s="690" t="s">
        <v>4060</v>
      </c>
    </row>
    <row r="15190" spans="1:11">
      <c r="A15190" s="688" t="s">
        <v>2343</v>
      </c>
      <c r="B15190" s="692" t="s">
        <v>4060</v>
      </c>
      <c r="C15190" s="692" t="s">
        <v>4060</v>
      </c>
      <c r="D15190" s="692" t="s">
        <v>4060</v>
      </c>
      <c r="E15190" s="692" t="s">
        <v>4060</v>
      </c>
      <c r="F15190" s="692" t="s">
        <v>4060</v>
      </c>
      <c r="G15190" s="692" t="s">
        <v>4060</v>
      </c>
      <c r="H15190" s="692" t="s">
        <v>4060</v>
      </c>
      <c r="I15190" s="692" t="s">
        <v>4060</v>
      </c>
      <c r="J15190" s="692" t="s">
        <v>4060</v>
      </c>
      <c r="K15190" s="692" t="s">
        <v>4060</v>
      </c>
    </row>
    <row r="15191" spans="1:11">
      <c r="A15191" s="688" t="s">
        <v>4071</v>
      </c>
      <c r="B15191" s="690" t="s">
        <v>4060</v>
      </c>
      <c r="C15191" s="690" t="s">
        <v>4060</v>
      </c>
      <c r="D15191" s="690" t="s">
        <v>4060</v>
      </c>
      <c r="E15191" s="690" t="s">
        <v>4060</v>
      </c>
      <c r="F15191" s="690" t="s">
        <v>4060</v>
      </c>
      <c r="G15191" s="690" t="s">
        <v>4060</v>
      </c>
      <c r="H15191" s="690" t="s">
        <v>4060</v>
      </c>
      <c r="I15191" s="690" t="s">
        <v>4060</v>
      </c>
      <c r="J15191" s="690" t="s">
        <v>4060</v>
      </c>
      <c r="K15191" s="690" t="s">
        <v>4060</v>
      </c>
    </row>
    <row r="15192" spans="1:11">
      <c r="A15192" s="688" t="s">
        <v>2489</v>
      </c>
      <c r="B15192" s="692" t="s">
        <v>4060</v>
      </c>
      <c r="C15192" s="692" t="s">
        <v>4060</v>
      </c>
      <c r="D15192" s="691">
        <v>60.1</v>
      </c>
      <c r="E15192" s="691">
        <v>60.2</v>
      </c>
      <c r="F15192" s="691">
        <v>60.7</v>
      </c>
      <c r="G15192" s="691">
        <v>61.4</v>
      </c>
      <c r="H15192" s="691">
        <v>61.4</v>
      </c>
      <c r="I15192" s="692" t="s">
        <v>4060</v>
      </c>
      <c r="J15192" s="692" t="s">
        <v>4060</v>
      </c>
      <c r="K15192" s="692" t="s">
        <v>4060</v>
      </c>
    </row>
    <row r="15193" spans="1:11">
      <c r="A15193" s="688" t="s">
        <v>2490</v>
      </c>
      <c r="B15193" s="689">
        <v>59.4</v>
      </c>
      <c r="C15193" s="689">
        <v>59.4</v>
      </c>
      <c r="D15193" s="689">
        <v>59.9</v>
      </c>
      <c r="E15193" s="690" t="s">
        <v>4060</v>
      </c>
      <c r="F15193" s="689">
        <v>60.1</v>
      </c>
      <c r="G15193" s="689">
        <v>60.5</v>
      </c>
      <c r="H15193" s="689">
        <v>61.1</v>
      </c>
      <c r="I15193" s="690" t="s">
        <v>4060</v>
      </c>
      <c r="J15193" s="690" t="s">
        <v>4060</v>
      </c>
      <c r="K15193" s="690" t="s">
        <v>4060</v>
      </c>
    </row>
    <row r="15195" spans="1:11">
      <c r="A15195" s="683" t="s">
        <v>4233</v>
      </c>
    </row>
    <row r="15196" spans="1:11">
      <c r="A15196" s="683" t="s">
        <v>4060</v>
      </c>
      <c r="B15196" s="682" t="s">
        <v>4234</v>
      </c>
    </row>
    <row r="15198" spans="1:11">
      <c r="A15198" s="682" t="s">
        <v>4332</v>
      </c>
    </row>
    <row r="15199" spans="1:11">
      <c r="A15199" s="682" t="s">
        <v>4210</v>
      </c>
      <c r="B15199" s="683" t="s">
        <v>4211</v>
      </c>
    </row>
    <row r="15200" spans="1:11">
      <c r="A15200" s="682" t="s">
        <v>4212</v>
      </c>
      <c r="B15200" s="682" t="s">
        <v>4213</v>
      </c>
    </row>
    <row r="15202" spans="1:11">
      <c r="A15202" s="683" t="s">
        <v>4214</v>
      </c>
      <c r="C15202" s="682" t="s">
        <v>4215</v>
      </c>
    </row>
    <row r="15203" spans="1:11">
      <c r="A15203" s="683" t="s">
        <v>4216</v>
      </c>
      <c r="C15203" s="682" t="s">
        <v>2967</v>
      </c>
    </row>
    <row r="15204" spans="1:11">
      <c r="A15204" s="683" t="s">
        <v>3893</v>
      </c>
      <c r="C15204" s="682" t="s">
        <v>2169</v>
      </c>
    </row>
    <row r="15205" spans="1:11">
      <c r="A15205" s="683" t="s">
        <v>4218</v>
      </c>
      <c r="C15205" s="682" t="s">
        <v>4255</v>
      </c>
    </row>
    <row r="15207" spans="1:11">
      <c r="A15207" s="684" t="s">
        <v>4220</v>
      </c>
      <c r="B15207" s="685" t="s">
        <v>4221</v>
      </c>
      <c r="C15207" s="685" t="s">
        <v>4222</v>
      </c>
      <c r="D15207" s="685" t="s">
        <v>4223</v>
      </c>
      <c r="E15207" s="685" t="s">
        <v>4224</v>
      </c>
      <c r="F15207" s="685" t="s">
        <v>4225</v>
      </c>
      <c r="G15207" s="685" t="s">
        <v>4226</v>
      </c>
      <c r="H15207" s="685" t="s">
        <v>4227</v>
      </c>
      <c r="I15207" s="685" t="s">
        <v>4228</v>
      </c>
      <c r="J15207" s="685" t="s">
        <v>4229</v>
      </c>
      <c r="K15207" s="685" t="s">
        <v>4230</v>
      </c>
    </row>
    <row r="15208" spans="1:11">
      <c r="A15208" s="686" t="s">
        <v>4231</v>
      </c>
      <c r="B15208" s="687" t="s">
        <v>4232</v>
      </c>
      <c r="C15208" s="687" t="s">
        <v>4232</v>
      </c>
      <c r="D15208" s="687" t="s">
        <v>4232</v>
      </c>
      <c r="E15208" s="687" t="s">
        <v>4232</v>
      </c>
      <c r="F15208" s="687" t="s">
        <v>4232</v>
      </c>
      <c r="G15208" s="687" t="s">
        <v>4232</v>
      </c>
      <c r="H15208" s="687" t="s">
        <v>4232</v>
      </c>
      <c r="I15208" s="687" t="s">
        <v>4232</v>
      </c>
      <c r="J15208" s="687" t="s">
        <v>4232</v>
      </c>
      <c r="K15208" s="687" t="s">
        <v>4232</v>
      </c>
    </row>
    <row r="15209" spans="1:11">
      <c r="A15209" s="688" t="s">
        <v>4064</v>
      </c>
      <c r="B15209" s="689">
        <v>63.8</v>
      </c>
      <c r="C15209" s="689">
        <v>63.8</v>
      </c>
      <c r="D15209" s="689">
        <v>63.8</v>
      </c>
      <c r="E15209" s="689">
        <v>63.9</v>
      </c>
      <c r="F15209" s="689">
        <v>63.8</v>
      </c>
      <c r="G15209" s="689">
        <v>63.9</v>
      </c>
      <c r="H15209" s="689">
        <v>64.2</v>
      </c>
      <c r="I15209" s="689">
        <v>63.5</v>
      </c>
      <c r="J15209" s="689">
        <v>63.2</v>
      </c>
      <c r="K15209" s="689">
        <v>63.7</v>
      </c>
    </row>
    <row r="15210" spans="1:11">
      <c r="A15210" s="688" t="s">
        <v>4065</v>
      </c>
      <c r="B15210" s="691">
        <v>63.7</v>
      </c>
      <c r="C15210" s="691">
        <v>64.099999999999994</v>
      </c>
      <c r="D15210" s="691">
        <v>63.7</v>
      </c>
      <c r="E15210" s="691">
        <v>64.099999999999994</v>
      </c>
      <c r="F15210" s="615">
        <v>64</v>
      </c>
      <c r="G15210" s="691">
        <v>64.099999999999994</v>
      </c>
      <c r="H15210" s="692" t="s">
        <v>4060</v>
      </c>
      <c r="I15210" s="692" t="s">
        <v>4060</v>
      </c>
      <c r="J15210" s="692" t="s">
        <v>4060</v>
      </c>
      <c r="K15210" s="692" t="s">
        <v>4060</v>
      </c>
    </row>
    <row r="15211" spans="1:11">
      <c r="A15211" s="688" t="s">
        <v>4063</v>
      </c>
      <c r="B15211" s="689">
        <v>63.8</v>
      </c>
      <c r="C15211" s="689">
        <v>64.099999999999994</v>
      </c>
      <c r="D15211" s="689">
        <v>63.7</v>
      </c>
      <c r="E15211" s="689">
        <v>64.099999999999994</v>
      </c>
      <c r="F15211" s="693">
        <v>64</v>
      </c>
      <c r="G15211" s="689">
        <v>64.099999999999994</v>
      </c>
      <c r="H15211" s="690" t="s">
        <v>4060</v>
      </c>
      <c r="I15211" s="690" t="s">
        <v>4060</v>
      </c>
      <c r="J15211" s="690" t="s">
        <v>4060</v>
      </c>
      <c r="K15211" s="690" t="s">
        <v>4060</v>
      </c>
    </row>
    <row r="15212" spans="1:11">
      <c r="A15212" s="688" t="s">
        <v>4069</v>
      </c>
      <c r="B15212" s="692" t="s">
        <v>4060</v>
      </c>
      <c r="C15212" s="691">
        <v>64.599999999999994</v>
      </c>
      <c r="D15212" s="691">
        <v>64.3</v>
      </c>
      <c r="E15212" s="691">
        <v>64.7</v>
      </c>
      <c r="F15212" s="691">
        <v>64.599999999999994</v>
      </c>
      <c r="G15212" s="691">
        <v>64.7</v>
      </c>
      <c r="H15212" s="615">
        <v>65</v>
      </c>
      <c r="I15212" s="691">
        <v>64.400000000000006</v>
      </c>
      <c r="J15212" s="691">
        <v>64.400000000000006</v>
      </c>
      <c r="K15212" s="691">
        <v>64.400000000000006</v>
      </c>
    </row>
    <row r="15213" spans="1:11">
      <c r="A15213" s="688" t="s">
        <v>4068</v>
      </c>
      <c r="B15213" s="689">
        <v>64.7</v>
      </c>
      <c r="C15213" s="690" t="s">
        <v>4060</v>
      </c>
      <c r="D15213" s="690" t="s">
        <v>4060</v>
      </c>
      <c r="E15213" s="690" t="s">
        <v>4060</v>
      </c>
      <c r="F15213" s="690" t="s">
        <v>4060</v>
      </c>
      <c r="G15213" s="690" t="s">
        <v>4060</v>
      </c>
      <c r="H15213" s="690" t="s">
        <v>4060</v>
      </c>
      <c r="I15213" s="690" t="s">
        <v>4060</v>
      </c>
      <c r="J15213" s="690" t="s">
        <v>4060</v>
      </c>
      <c r="K15213" s="690" t="s">
        <v>4060</v>
      </c>
    </row>
    <row r="15214" spans="1:11">
      <c r="A15214" s="688" t="s">
        <v>0</v>
      </c>
      <c r="B15214" s="691">
        <v>63.6</v>
      </c>
      <c r="C15214" s="691">
        <v>63.9</v>
      </c>
      <c r="D15214" s="691">
        <v>63.6</v>
      </c>
      <c r="E15214" s="615">
        <v>64</v>
      </c>
      <c r="F15214" s="691">
        <v>64.099999999999994</v>
      </c>
      <c r="G15214" s="691">
        <v>64.099999999999994</v>
      </c>
      <c r="H15214" s="691">
        <v>64.400000000000006</v>
      </c>
      <c r="I15214" s="691">
        <v>63.5</v>
      </c>
      <c r="J15214" s="691">
        <v>64.400000000000006</v>
      </c>
      <c r="K15214" s="691">
        <v>64.2</v>
      </c>
    </row>
    <row r="15215" spans="1:11">
      <c r="A15215" s="688" t="s">
        <v>1</v>
      </c>
      <c r="B15215" s="689">
        <v>59.4</v>
      </c>
      <c r="C15215" s="689">
        <v>58.8</v>
      </c>
      <c r="D15215" s="689">
        <v>58.8</v>
      </c>
      <c r="E15215" s="689">
        <v>59.1</v>
      </c>
      <c r="F15215" s="689">
        <v>58.9</v>
      </c>
      <c r="G15215" s="689">
        <v>59.1</v>
      </c>
      <c r="H15215" s="689">
        <v>59.3</v>
      </c>
      <c r="I15215" s="689">
        <v>57.9</v>
      </c>
      <c r="J15215" s="689">
        <v>55.7</v>
      </c>
      <c r="K15215" s="689">
        <v>58.5</v>
      </c>
    </row>
    <row r="15216" spans="1:11">
      <c r="A15216" s="688" t="s">
        <v>2240</v>
      </c>
      <c r="B15216" s="691">
        <v>61.7</v>
      </c>
      <c r="C15216" s="691">
        <v>62.1</v>
      </c>
      <c r="D15216" s="691">
        <v>61.8</v>
      </c>
      <c r="E15216" s="691">
        <v>62.3</v>
      </c>
      <c r="F15216" s="691">
        <v>62.2</v>
      </c>
      <c r="G15216" s="691">
        <v>62.3</v>
      </c>
      <c r="H15216" s="691">
        <v>62.5</v>
      </c>
      <c r="I15216" s="691">
        <v>61.6</v>
      </c>
      <c r="J15216" s="691">
        <v>60.8</v>
      </c>
      <c r="K15216" s="691">
        <v>62.3</v>
      </c>
    </row>
    <row r="15217" spans="1:11">
      <c r="A15217" s="688" t="s">
        <v>2</v>
      </c>
      <c r="B15217" s="689">
        <v>62.8</v>
      </c>
      <c r="C15217" s="689">
        <v>63.1</v>
      </c>
      <c r="D15217" s="689">
        <v>63.1</v>
      </c>
      <c r="E15217" s="689">
        <v>63.2</v>
      </c>
      <c r="F15217" s="689">
        <v>63.5</v>
      </c>
      <c r="G15217" s="689">
        <v>63.3</v>
      </c>
      <c r="H15217" s="689">
        <v>63.7</v>
      </c>
      <c r="I15217" s="689">
        <v>63.8</v>
      </c>
      <c r="J15217" s="689">
        <v>63.7</v>
      </c>
      <c r="K15217" s="689">
        <v>63.5</v>
      </c>
    </row>
    <row r="15218" spans="1:11">
      <c r="A15218" s="688" t="s">
        <v>3</v>
      </c>
      <c r="B15218" s="691">
        <v>63.4</v>
      </c>
      <c r="C15218" s="691">
        <v>63.7</v>
      </c>
      <c r="D15218" s="691">
        <v>63.4</v>
      </c>
      <c r="E15218" s="691">
        <v>63.7</v>
      </c>
      <c r="F15218" s="691">
        <v>63.7</v>
      </c>
      <c r="G15218" s="691">
        <v>63.6</v>
      </c>
      <c r="H15218" s="691">
        <v>63.9</v>
      </c>
      <c r="I15218" s="691">
        <v>63.8</v>
      </c>
      <c r="J15218" s="691">
        <v>63.6</v>
      </c>
      <c r="K15218" s="691">
        <v>63.3</v>
      </c>
    </row>
    <row r="15219" spans="1:11">
      <c r="A15219" s="688" t="s">
        <v>4061</v>
      </c>
      <c r="B15219" s="689">
        <v>63.4</v>
      </c>
      <c r="C15219" s="689">
        <v>63.7</v>
      </c>
      <c r="D15219" s="689">
        <v>63.4</v>
      </c>
      <c r="E15219" s="689">
        <v>63.7</v>
      </c>
      <c r="F15219" s="689">
        <v>63.7</v>
      </c>
      <c r="G15219" s="689">
        <v>63.6</v>
      </c>
      <c r="H15219" s="689">
        <v>63.9</v>
      </c>
      <c r="I15219" s="689">
        <v>63.8</v>
      </c>
      <c r="J15219" s="689">
        <v>63.6</v>
      </c>
      <c r="K15219" s="689">
        <v>63.3</v>
      </c>
    </row>
    <row r="15220" spans="1:11">
      <c r="A15220" s="688" t="s">
        <v>4</v>
      </c>
      <c r="B15220" s="691">
        <v>62.2</v>
      </c>
      <c r="C15220" s="615">
        <v>62</v>
      </c>
      <c r="D15220" s="691">
        <v>62.3</v>
      </c>
      <c r="E15220" s="691">
        <v>62.3</v>
      </c>
      <c r="F15220" s="691">
        <v>62.7</v>
      </c>
      <c r="G15220" s="691">
        <v>62.8</v>
      </c>
      <c r="H15220" s="691">
        <v>63.1</v>
      </c>
      <c r="I15220" s="691">
        <v>63.1</v>
      </c>
      <c r="J15220" s="691">
        <v>61.7</v>
      </c>
      <c r="K15220" s="691">
        <v>62.6</v>
      </c>
    </row>
    <row r="15221" spans="1:11">
      <c r="A15221" s="688" t="s">
        <v>8</v>
      </c>
      <c r="B15221" s="689">
        <v>63.5</v>
      </c>
      <c r="C15221" s="689">
        <v>63.7</v>
      </c>
      <c r="D15221" s="689">
        <v>63.6</v>
      </c>
      <c r="E15221" s="689">
        <v>63.8</v>
      </c>
      <c r="F15221" s="689">
        <v>64.2</v>
      </c>
      <c r="G15221" s="689">
        <v>64.2</v>
      </c>
      <c r="H15221" s="689">
        <v>64.7</v>
      </c>
      <c r="I15221" s="689">
        <v>64.400000000000006</v>
      </c>
      <c r="J15221" s="689">
        <v>64.3</v>
      </c>
      <c r="K15221" s="689">
        <v>64.400000000000006</v>
      </c>
    </row>
    <row r="15222" spans="1:11">
      <c r="A15222" s="688" t="s">
        <v>7</v>
      </c>
      <c r="B15222" s="691">
        <v>64.400000000000006</v>
      </c>
      <c r="C15222" s="691">
        <v>64.2</v>
      </c>
      <c r="D15222" s="615">
        <v>64</v>
      </c>
      <c r="E15222" s="691">
        <v>64.2</v>
      </c>
      <c r="F15222" s="691">
        <v>64.2</v>
      </c>
      <c r="G15222" s="691">
        <v>64.599999999999994</v>
      </c>
      <c r="H15222" s="691">
        <v>64.5</v>
      </c>
      <c r="I15222" s="691">
        <v>64.2</v>
      </c>
      <c r="J15222" s="691">
        <v>63.3</v>
      </c>
      <c r="K15222" s="691">
        <v>63.8</v>
      </c>
    </row>
    <row r="15223" spans="1:11">
      <c r="A15223" s="688" t="s">
        <v>27</v>
      </c>
      <c r="B15223" s="689">
        <v>66.400000000000006</v>
      </c>
      <c r="C15223" s="693">
        <v>66</v>
      </c>
      <c r="D15223" s="689">
        <v>65.7</v>
      </c>
      <c r="E15223" s="689">
        <v>66.099999999999994</v>
      </c>
      <c r="F15223" s="693">
        <v>66</v>
      </c>
      <c r="G15223" s="689">
        <v>66.2</v>
      </c>
      <c r="H15223" s="689">
        <v>66.5</v>
      </c>
      <c r="I15223" s="689">
        <v>65.3</v>
      </c>
      <c r="J15223" s="689">
        <v>66.099999999999994</v>
      </c>
      <c r="K15223" s="693">
        <v>66</v>
      </c>
    </row>
    <row r="15224" spans="1:11">
      <c r="A15224" s="688" t="s">
        <v>6</v>
      </c>
      <c r="B15224" s="691">
        <v>66.099999999999994</v>
      </c>
      <c r="C15224" s="691">
        <v>65.8</v>
      </c>
      <c r="D15224" s="691">
        <v>65.599999999999994</v>
      </c>
      <c r="E15224" s="691">
        <v>65.8</v>
      </c>
      <c r="F15224" s="691">
        <v>65.8</v>
      </c>
      <c r="G15224" s="691">
        <v>65.900000000000006</v>
      </c>
      <c r="H15224" s="615">
        <v>66</v>
      </c>
      <c r="I15224" s="691">
        <v>65.5</v>
      </c>
      <c r="J15224" s="691">
        <v>65.7</v>
      </c>
      <c r="K15224" s="691">
        <v>65.599999999999994</v>
      </c>
    </row>
    <row r="15225" spans="1:11">
      <c r="A15225" s="688" t="s">
        <v>4058</v>
      </c>
      <c r="B15225" s="690" t="s">
        <v>4060</v>
      </c>
      <c r="C15225" s="690" t="s">
        <v>4060</v>
      </c>
      <c r="D15225" s="690" t="s">
        <v>4060</v>
      </c>
      <c r="E15225" s="690" t="s">
        <v>4060</v>
      </c>
      <c r="F15225" s="690" t="s">
        <v>4060</v>
      </c>
      <c r="G15225" s="690" t="s">
        <v>4060</v>
      </c>
      <c r="H15225" s="690" t="s">
        <v>4060</v>
      </c>
      <c r="I15225" s="690" t="s">
        <v>4060</v>
      </c>
      <c r="J15225" s="690" t="s">
        <v>4060</v>
      </c>
      <c r="K15225" s="690" t="s">
        <v>4060</v>
      </c>
    </row>
    <row r="15226" spans="1:11">
      <c r="A15226" s="688" t="s">
        <v>11</v>
      </c>
      <c r="B15226" s="691">
        <v>61.4</v>
      </c>
      <c r="C15226" s="691">
        <v>61.3</v>
      </c>
      <c r="D15226" s="691">
        <v>60.9</v>
      </c>
      <c r="E15226" s="691">
        <v>61.6</v>
      </c>
      <c r="F15226" s="691">
        <v>61.2</v>
      </c>
      <c r="G15226" s="691">
        <v>61.6</v>
      </c>
      <c r="H15226" s="691">
        <v>61.8</v>
      </c>
      <c r="I15226" s="691">
        <v>61.1</v>
      </c>
      <c r="J15226" s="691">
        <v>60.2</v>
      </c>
      <c r="K15226" s="691">
        <v>61.2</v>
      </c>
    </row>
    <row r="15227" spans="1:11">
      <c r="A15227" s="688" t="s">
        <v>10</v>
      </c>
      <c r="B15227" s="689">
        <v>65.599999999999994</v>
      </c>
      <c r="C15227" s="689">
        <v>65.400000000000006</v>
      </c>
      <c r="D15227" s="689">
        <v>64.900000000000006</v>
      </c>
      <c r="E15227" s="689">
        <v>65.5</v>
      </c>
      <c r="F15227" s="689">
        <v>65.3</v>
      </c>
      <c r="G15227" s="689">
        <v>65.599999999999994</v>
      </c>
      <c r="H15227" s="689">
        <v>65.8</v>
      </c>
      <c r="I15227" s="689">
        <v>64.8</v>
      </c>
      <c r="J15227" s="689">
        <v>65.099999999999994</v>
      </c>
      <c r="K15227" s="689">
        <v>65.099999999999994</v>
      </c>
    </row>
    <row r="15228" spans="1:11">
      <c r="A15228" s="688" t="s">
        <v>30</v>
      </c>
      <c r="B15228" s="691">
        <v>65.099999999999994</v>
      </c>
      <c r="C15228" s="691">
        <v>64.400000000000006</v>
      </c>
      <c r="D15228" s="691">
        <v>64.099999999999994</v>
      </c>
      <c r="E15228" s="691">
        <v>65.2</v>
      </c>
      <c r="F15228" s="691">
        <v>64.7</v>
      </c>
      <c r="G15228" s="691">
        <v>65.099999999999994</v>
      </c>
      <c r="H15228" s="691">
        <v>64.900000000000006</v>
      </c>
      <c r="I15228" s="691">
        <v>64.8</v>
      </c>
      <c r="J15228" s="691">
        <v>64.099999999999994</v>
      </c>
      <c r="K15228" s="691">
        <v>64.400000000000006</v>
      </c>
    </row>
    <row r="15229" spans="1:11">
      <c r="A15229" s="688" t="s">
        <v>12</v>
      </c>
      <c r="B15229" s="689">
        <v>59.5</v>
      </c>
      <c r="C15229" s="689">
        <v>59.8</v>
      </c>
      <c r="D15229" s="689">
        <v>59.8</v>
      </c>
      <c r="E15229" s="693">
        <v>60</v>
      </c>
      <c r="F15229" s="689">
        <v>60.1</v>
      </c>
      <c r="G15229" s="693">
        <v>60</v>
      </c>
      <c r="H15229" s="689">
        <v>60.6</v>
      </c>
      <c r="I15229" s="689">
        <v>60.4</v>
      </c>
      <c r="J15229" s="689">
        <v>58.4</v>
      </c>
      <c r="K15229" s="689">
        <v>59.8</v>
      </c>
    </row>
    <row r="15230" spans="1:11">
      <c r="A15230" s="688" t="s">
        <v>14</v>
      </c>
      <c r="B15230" s="691">
        <v>60.1</v>
      </c>
      <c r="C15230" s="691">
        <v>60.4</v>
      </c>
      <c r="D15230" s="691">
        <v>60.1</v>
      </c>
      <c r="E15230" s="691">
        <v>60.5</v>
      </c>
      <c r="F15230" s="691">
        <v>60.7</v>
      </c>
      <c r="G15230" s="615">
        <v>61</v>
      </c>
      <c r="H15230" s="691">
        <v>61.4</v>
      </c>
      <c r="I15230" s="691">
        <v>60.4</v>
      </c>
      <c r="J15230" s="691">
        <v>59.2</v>
      </c>
      <c r="K15230" s="691">
        <v>60.5</v>
      </c>
    </row>
    <row r="15231" spans="1:11">
      <c r="A15231" s="688" t="s">
        <v>15</v>
      </c>
      <c r="B15231" s="689">
        <v>64.3</v>
      </c>
      <c r="C15231" s="693">
        <v>65</v>
      </c>
      <c r="D15231" s="689">
        <v>64.400000000000006</v>
      </c>
      <c r="E15231" s="689">
        <v>65.099999999999994</v>
      </c>
      <c r="F15231" s="689">
        <v>64.3</v>
      </c>
      <c r="G15231" s="689">
        <v>64.7</v>
      </c>
      <c r="H15231" s="689">
        <v>65.099999999999994</v>
      </c>
      <c r="I15231" s="689">
        <v>64.900000000000006</v>
      </c>
      <c r="J15231" s="689">
        <v>65.099999999999994</v>
      </c>
      <c r="K15231" s="689">
        <v>65.3</v>
      </c>
    </row>
    <row r="15232" spans="1:11">
      <c r="A15232" s="688" t="s">
        <v>29</v>
      </c>
      <c r="B15232" s="691">
        <v>59.7</v>
      </c>
      <c r="C15232" s="691">
        <v>59.7</v>
      </c>
      <c r="D15232" s="691">
        <v>59.3</v>
      </c>
      <c r="E15232" s="691">
        <v>59.9</v>
      </c>
      <c r="F15232" s="691">
        <v>59.6</v>
      </c>
      <c r="G15232" s="691">
        <v>59.8</v>
      </c>
      <c r="H15232" s="691">
        <v>59.9</v>
      </c>
      <c r="I15232" s="691">
        <v>59.2</v>
      </c>
      <c r="J15232" s="691">
        <v>57.9</v>
      </c>
      <c r="K15232" s="691">
        <v>59.6</v>
      </c>
    </row>
    <row r="15233" spans="1:11">
      <c r="A15233" s="688" t="s">
        <v>16</v>
      </c>
      <c r="B15233" s="689">
        <v>64.599999999999994</v>
      </c>
      <c r="C15233" s="689">
        <v>64.400000000000006</v>
      </c>
      <c r="D15233" s="689">
        <v>64.3</v>
      </c>
      <c r="E15233" s="689">
        <v>64.599999999999994</v>
      </c>
      <c r="F15233" s="689">
        <v>64.7</v>
      </c>
      <c r="G15233" s="689">
        <v>64.5</v>
      </c>
      <c r="H15233" s="693">
        <v>65</v>
      </c>
      <c r="I15233" s="689">
        <v>64.599999999999994</v>
      </c>
      <c r="J15233" s="689">
        <v>64.3</v>
      </c>
      <c r="K15233" s="689">
        <v>64.599999999999994</v>
      </c>
    </row>
    <row r="15234" spans="1:11">
      <c r="A15234" s="688" t="s">
        <v>17</v>
      </c>
      <c r="B15234" s="691">
        <v>63.6</v>
      </c>
      <c r="C15234" s="691">
        <v>63.7</v>
      </c>
      <c r="D15234" s="691">
        <v>63.5</v>
      </c>
      <c r="E15234" s="691">
        <v>63.5</v>
      </c>
      <c r="F15234" s="691">
        <v>63.7</v>
      </c>
      <c r="G15234" s="691">
        <v>63.7</v>
      </c>
      <c r="H15234" s="615">
        <v>64</v>
      </c>
      <c r="I15234" s="691">
        <v>63.5</v>
      </c>
      <c r="J15234" s="691">
        <v>63.4</v>
      </c>
      <c r="K15234" s="691">
        <v>63.5</v>
      </c>
    </row>
    <row r="15235" spans="1:11">
      <c r="A15235" s="688" t="s">
        <v>19</v>
      </c>
      <c r="B15235" s="689">
        <v>64.2</v>
      </c>
      <c r="C15235" s="689">
        <v>64.2</v>
      </c>
      <c r="D15235" s="693">
        <v>64</v>
      </c>
      <c r="E15235" s="689">
        <v>64.400000000000006</v>
      </c>
      <c r="F15235" s="689">
        <v>64.3</v>
      </c>
      <c r="G15235" s="689">
        <v>64.400000000000006</v>
      </c>
      <c r="H15235" s="689">
        <v>64.599999999999994</v>
      </c>
      <c r="I15235" s="689">
        <v>64.099999999999994</v>
      </c>
      <c r="J15235" s="689">
        <v>64.099999999999994</v>
      </c>
      <c r="K15235" s="689">
        <v>64.2</v>
      </c>
    </row>
    <row r="15236" spans="1:11">
      <c r="A15236" s="688" t="s">
        <v>20</v>
      </c>
      <c r="B15236" s="691">
        <v>61.7</v>
      </c>
      <c r="C15236" s="691">
        <v>61.9</v>
      </c>
      <c r="D15236" s="691">
        <v>61.8</v>
      </c>
      <c r="E15236" s="691">
        <v>62.2</v>
      </c>
      <c r="F15236" s="615">
        <v>62</v>
      </c>
      <c r="G15236" s="691">
        <v>61.9</v>
      </c>
      <c r="H15236" s="691">
        <v>62.2</v>
      </c>
      <c r="I15236" s="615">
        <v>61</v>
      </c>
      <c r="J15236" s="615">
        <v>60</v>
      </c>
      <c r="K15236" s="691">
        <v>61.5</v>
      </c>
    </row>
    <row r="15237" spans="1:11">
      <c r="A15237" s="688" t="s">
        <v>21</v>
      </c>
      <c r="B15237" s="689">
        <v>64.400000000000006</v>
      </c>
      <c r="C15237" s="689">
        <v>64.7</v>
      </c>
      <c r="D15237" s="689">
        <v>64.599999999999994</v>
      </c>
      <c r="E15237" s="689">
        <v>64.7</v>
      </c>
      <c r="F15237" s="689">
        <v>64.900000000000006</v>
      </c>
      <c r="G15237" s="689">
        <v>64.900000000000006</v>
      </c>
      <c r="H15237" s="689">
        <v>65.099999999999994</v>
      </c>
      <c r="I15237" s="689">
        <v>64.599999999999994</v>
      </c>
      <c r="J15237" s="689">
        <v>64.599999999999994</v>
      </c>
      <c r="K15237" s="689">
        <v>64.8</v>
      </c>
    </row>
    <row r="15238" spans="1:11">
      <c r="A15238" s="688" t="s">
        <v>22</v>
      </c>
      <c r="B15238" s="691">
        <v>59.7</v>
      </c>
      <c r="C15238" s="691">
        <v>59.4</v>
      </c>
      <c r="D15238" s="691">
        <v>59.4</v>
      </c>
      <c r="E15238" s="691">
        <v>59.7</v>
      </c>
      <c r="F15238" s="691">
        <v>59.7</v>
      </c>
      <c r="G15238" s="691">
        <v>59.8</v>
      </c>
      <c r="H15238" s="691">
        <v>60.1</v>
      </c>
      <c r="I15238" s="691">
        <v>58.9</v>
      </c>
      <c r="J15238" s="691">
        <v>57.3</v>
      </c>
      <c r="K15238" s="691">
        <v>59.7</v>
      </c>
    </row>
    <row r="15239" spans="1:11">
      <c r="A15239" s="688" t="s">
        <v>26</v>
      </c>
      <c r="B15239" s="693">
        <v>64</v>
      </c>
      <c r="C15239" s="693">
        <v>64</v>
      </c>
      <c r="D15239" s="689">
        <v>63.8</v>
      </c>
      <c r="E15239" s="689">
        <v>64.2</v>
      </c>
      <c r="F15239" s="693">
        <v>64</v>
      </c>
      <c r="G15239" s="689">
        <v>64.3</v>
      </c>
      <c r="H15239" s="689">
        <v>64.5</v>
      </c>
      <c r="I15239" s="689">
        <v>63.6</v>
      </c>
      <c r="J15239" s="693">
        <v>64</v>
      </c>
      <c r="K15239" s="689">
        <v>64.2</v>
      </c>
    </row>
    <row r="15240" spans="1:11">
      <c r="A15240" s="688" t="s">
        <v>25</v>
      </c>
      <c r="B15240" s="691">
        <v>60.8</v>
      </c>
      <c r="C15240" s="691">
        <v>61.1</v>
      </c>
      <c r="D15240" s="691">
        <v>60.8</v>
      </c>
      <c r="E15240" s="691">
        <v>61.2</v>
      </c>
      <c r="F15240" s="691">
        <v>61.1</v>
      </c>
      <c r="G15240" s="691">
        <v>61.3</v>
      </c>
      <c r="H15240" s="691">
        <v>61.7</v>
      </c>
      <c r="I15240" s="615">
        <v>61</v>
      </c>
      <c r="J15240" s="691">
        <v>58.8</v>
      </c>
      <c r="K15240" s="615">
        <v>61</v>
      </c>
    </row>
    <row r="15241" spans="1:11">
      <c r="A15241" s="688" t="s">
        <v>5</v>
      </c>
      <c r="B15241" s="689">
        <v>64.400000000000006</v>
      </c>
      <c r="C15241" s="689">
        <v>64.2</v>
      </c>
      <c r="D15241" s="689">
        <v>64.400000000000006</v>
      </c>
      <c r="E15241" s="689">
        <v>64.400000000000006</v>
      </c>
      <c r="F15241" s="689">
        <v>64.599999999999994</v>
      </c>
      <c r="G15241" s="689">
        <v>64.599999999999994</v>
      </c>
      <c r="H15241" s="689">
        <v>64.900000000000006</v>
      </c>
      <c r="I15241" s="689">
        <v>64.900000000000006</v>
      </c>
      <c r="J15241" s="689">
        <v>64.8</v>
      </c>
      <c r="K15241" s="689">
        <v>64.099999999999994</v>
      </c>
    </row>
    <row r="15242" spans="1:11">
      <c r="A15242" s="688" t="s">
        <v>23</v>
      </c>
      <c r="B15242" s="691">
        <v>64.099999999999994</v>
      </c>
      <c r="C15242" s="691">
        <v>64.400000000000006</v>
      </c>
      <c r="D15242" s="691">
        <v>64.400000000000006</v>
      </c>
      <c r="E15242" s="691">
        <v>64.400000000000006</v>
      </c>
      <c r="F15242" s="691">
        <v>64.5</v>
      </c>
      <c r="G15242" s="691">
        <v>64.599999999999994</v>
      </c>
      <c r="H15242" s="615">
        <v>65</v>
      </c>
      <c r="I15242" s="691">
        <v>64.599999999999994</v>
      </c>
      <c r="J15242" s="691">
        <v>65.099999999999994</v>
      </c>
      <c r="K15242" s="615">
        <v>65</v>
      </c>
    </row>
    <row r="15243" spans="1:11">
      <c r="A15243" s="688" t="s">
        <v>4067</v>
      </c>
      <c r="B15243" s="689">
        <v>63.7</v>
      </c>
      <c r="C15243" s="689">
        <v>64.099999999999994</v>
      </c>
      <c r="D15243" s="689">
        <v>63.7</v>
      </c>
      <c r="E15243" s="689">
        <v>64.099999999999994</v>
      </c>
      <c r="F15243" s="693">
        <v>64</v>
      </c>
      <c r="G15243" s="689">
        <v>64.099999999999994</v>
      </c>
      <c r="H15243" s="690" t="s">
        <v>4060</v>
      </c>
      <c r="I15243" s="690" t="s">
        <v>4060</v>
      </c>
      <c r="J15243" s="690" t="s">
        <v>4060</v>
      </c>
      <c r="K15243" s="690" t="s">
        <v>4060</v>
      </c>
    </row>
    <row r="15244" spans="1:11">
      <c r="A15244" s="688" t="s">
        <v>4066</v>
      </c>
      <c r="B15244" s="691">
        <v>63.8</v>
      </c>
      <c r="C15244" s="691">
        <v>64.099999999999994</v>
      </c>
      <c r="D15244" s="691">
        <v>63.7</v>
      </c>
      <c r="E15244" s="691">
        <v>64.099999999999994</v>
      </c>
      <c r="F15244" s="615">
        <v>64</v>
      </c>
      <c r="G15244" s="691">
        <v>64.099999999999994</v>
      </c>
      <c r="H15244" s="692" t="s">
        <v>4060</v>
      </c>
      <c r="I15244" s="692" t="s">
        <v>4060</v>
      </c>
      <c r="J15244" s="692" t="s">
        <v>4060</v>
      </c>
      <c r="K15244" s="692" t="s">
        <v>4060</v>
      </c>
    </row>
    <row r="15245" spans="1:11">
      <c r="A15245" s="688" t="s">
        <v>4062</v>
      </c>
      <c r="B15245" s="689">
        <v>64.900000000000006</v>
      </c>
      <c r="C15245" s="689">
        <v>65.099999999999994</v>
      </c>
      <c r="D15245" s="693">
        <v>65</v>
      </c>
      <c r="E15245" s="689">
        <v>65.2</v>
      </c>
      <c r="F15245" s="689">
        <v>65.3</v>
      </c>
      <c r="G15245" s="689">
        <v>65.400000000000006</v>
      </c>
      <c r="H15245" s="689">
        <v>65.599999999999994</v>
      </c>
      <c r="I15245" s="689">
        <v>65.3</v>
      </c>
      <c r="J15245" s="689">
        <v>65.599999999999994</v>
      </c>
      <c r="K15245" s="689">
        <v>65.3</v>
      </c>
    </row>
    <row r="15246" spans="1:11">
      <c r="A15246" s="688" t="s">
        <v>9</v>
      </c>
      <c r="B15246" s="691">
        <v>64.099999999999994</v>
      </c>
      <c r="C15246" s="691">
        <v>64.5</v>
      </c>
      <c r="D15246" s="615">
        <v>64</v>
      </c>
      <c r="E15246" s="691">
        <v>64.099999999999994</v>
      </c>
      <c r="F15246" s="691">
        <v>64.599999999999994</v>
      </c>
      <c r="G15246" s="691">
        <v>64.400000000000006</v>
      </c>
      <c r="H15246" s="691">
        <v>64.599999999999994</v>
      </c>
      <c r="I15246" s="691">
        <v>64.599999999999994</v>
      </c>
      <c r="J15246" s="691">
        <v>64.900000000000006</v>
      </c>
      <c r="K15246" s="691">
        <v>63.9</v>
      </c>
    </row>
    <row r="15247" spans="1:11">
      <c r="A15247" s="688" t="s">
        <v>13</v>
      </c>
      <c r="B15247" s="689">
        <v>64.900000000000006</v>
      </c>
      <c r="C15247" s="689">
        <v>63.7</v>
      </c>
      <c r="D15247" s="689">
        <v>64.599999999999994</v>
      </c>
      <c r="E15247" s="689">
        <v>64.599999999999994</v>
      </c>
      <c r="F15247" s="689">
        <v>65.8</v>
      </c>
      <c r="G15247" s="689">
        <v>65.900000000000006</v>
      </c>
      <c r="H15247" s="689">
        <v>65.5</v>
      </c>
      <c r="I15247" s="689">
        <v>65.099999999999994</v>
      </c>
      <c r="J15247" s="689">
        <v>66.099999999999994</v>
      </c>
      <c r="K15247" s="689">
        <v>65.2</v>
      </c>
    </row>
    <row r="15248" spans="1:11">
      <c r="A15248" s="688" t="s">
        <v>18</v>
      </c>
      <c r="B15248" s="691">
        <v>64.099999999999994</v>
      </c>
      <c r="C15248" s="691">
        <v>64.400000000000006</v>
      </c>
      <c r="D15248" s="691">
        <v>64.400000000000006</v>
      </c>
      <c r="E15248" s="691">
        <v>64.5</v>
      </c>
      <c r="F15248" s="691">
        <v>64.599999999999994</v>
      </c>
      <c r="G15248" s="691">
        <v>64.8</v>
      </c>
      <c r="H15248" s="615">
        <v>65</v>
      </c>
      <c r="I15248" s="691">
        <v>65.2</v>
      </c>
      <c r="J15248" s="615">
        <v>65</v>
      </c>
      <c r="K15248" s="691">
        <v>64.599999999999994</v>
      </c>
    </row>
    <row r="15249" spans="1:11">
      <c r="A15249" s="688" t="s">
        <v>24</v>
      </c>
      <c r="B15249" s="689">
        <v>65.400000000000006</v>
      </c>
      <c r="C15249" s="689">
        <v>65.5</v>
      </c>
      <c r="D15249" s="689">
        <v>65.3</v>
      </c>
      <c r="E15249" s="689">
        <v>65.7</v>
      </c>
      <c r="F15249" s="689">
        <v>65.8</v>
      </c>
      <c r="G15249" s="689">
        <v>65.8</v>
      </c>
      <c r="H15249" s="693">
        <v>66</v>
      </c>
      <c r="I15249" s="689">
        <v>65.5</v>
      </c>
      <c r="J15249" s="693">
        <v>66</v>
      </c>
      <c r="K15249" s="689">
        <v>65.8</v>
      </c>
    </row>
    <row r="15250" spans="1:11">
      <c r="A15250" s="688" t="s">
        <v>4059</v>
      </c>
      <c r="B15250" s="691">
        <v>63.4</v>
      </c>
      <c r="C15250" s="691">
        <v>63.6</v>
      </c>
      <c r="D15250" s="691">
        <v>63.2</v>
      </c>
      <c r="E15250" s="691">
        <v>63.5</v>
      </c>
      <c r="F15250" s="691">
        <v>63.5</v>
      </c>
      <c r="G15250" s="691">
        <v>63.5</v>
      </c>
      <c r="H15250" s="692" t="s">
        <v>4060</v>
      </c>
      <c r="I15250" s="692" t="s">
        <v>4060</v>
      </c>
      <c r="J15250" s="692" t="s">
        <v>4060</v>
      </c>
      <c r="K15250" s="692" t="s">
        <v>4060</v>
      </c>
    </row>
    <row r="15251" spans="1:11">
      <c r="A15251" s="688" t="s">
        <v>2324</v>
      </c>
      <c r="B15251" s="689">
        <v>59.5</v>
      </c>
      <c r="C15251" s="689">
        <v>59.4</v>
      </c>
      <c r="D15251" s="693">
        <v>59</v>
      </c>
      <c r="E15251" s="689">
        <v>59.4</v>
      </c>
      <c r="F15251" s="689">
        <v>59.6</v>
      </c>
      <c r="G15251" s="689">
        <v>59.6</v>
      </c>
      <c r="H15251" s="689">
        <v>59.9</v>
      </c>
      <c r="I15251" s="689">
        <v>59.2</v>
      </c>
      <c r="J15251" s="689">
        <v>57.3</v>
      </c>
      <c r="K15251" s="690" t="s">
        <v>4060</v>
      </c>
    </row>
    <row r="15252" spans="1:11">
      <c r="A15252" s="688" t="s">
        <v>2322</v>
      </c>
      <c r="B15252" s="692" t="s">
        <v>4060</v>
      </c>
      <c r="C15252" s="692" t="s">
        <v>4060</v>
      </c>
      <c r="D15252" s="692" t="s">
        <v>4060</v>
      </c>
      <c r="E15252" s="692" t="s">
        <v>4060</v>
      </c>
      <c r="F15252" s="692" t="s">
        <v>4060</v>
      </c>
      <c r="G15252" s="692" t="s">
        <v>4060</v>
      </c>
      <c r="H15252" s="692" t="s">
        <v>4060</v>
      </c>
      <c r="I15252" s="692" t="s">
        <v>4060</v>
      </c>
      <c r="J15252" s="692" t="s">
        <v>4060</v>
      </c>
      <c r="K15252" s="692" t="s">
        <v>4060</v>
      </c>
    </row>
    <row r="15253" spans="1:11">
      <c r="A15253" s="688" t="s">
        <v>2328</v>
      </c>
      <c r="B15253" s="689">
        <v>58.5</v>
      </c>
      <c r="C15253" s="689">
        <v>58.4</v>
      </c>
      <c r="D15253" s="689">
        <v>58.3</v>
      </c>
      <c r="E15253" s="689">
        <v>58.7</v>
      </c>
      <c r="F15253" s="689">
        <v>58.9</v>
      </c>
      <c r="G15253" s="689">
        <v>59.3</v>
      </c>
      <c r="H15253" s="689">
        <v>59.2</v>
      </c>
      <c r="I15253" s="689">
        <v>57.4</v>
      </c>
      <c r="J15253" s="693">
        <v>56</v>
      </c>
      <c r="K15253" s="690" t="s">
        <v>4060</v>
      </c>
    </row>
    <row r="15254" spans="1:11">
      <c r="A15254" s="688" t="s">
        <v>2496</v>
      </c>
      <c r="B15254" s="692" t="s">
        <v>4060</v>
      </c>
      <c r="C15254" s="691">
        <v>59.3</v>
      </c>
      <c r="D15254" s="691">
        <v>58.4</v>
      </c>
      <c r="E15254" s="691">
        <v>58.1</v>
      </c>
      <c r="F15254" s="691">
        <v>58.8</v>
      </c>
      <c r="G15254" s="691">
        <v>59.1</v>
      </c>
      <c r="H15254" s="691">
        <v>59.2</v>
      </c>
      <c r="I15254" s="692" t="s">
        <v>4060</v>
      </c>
      <c r="J15254" s="692" t="s">
        <v>4060</v>
      </c>
      <c r="K15254" s="615">
        <v>59</v>
      </c>
    </row>
    <row r="15255" spans="1:11">
      <c r="A15255" s="688" t="s">
        <v>2269</v>
      </c>
      <c r="B15255" s="689">
        <v>61.1</v>
      </c>
      <c r="C15255" s="689">
        <v>61.2</v>
      </c>
      <c r="D15255" s="689">
        <v>60.6</v>
      </c>
      <c r="E15255" s="689">
        <v>61.1</v>
      </c>
      <c r="F15255" s="693">
        <v>61</v>
      </c>
      <c r="G15255" s="689">
        <v>61.5</v>
      </c>
      <c r="H15255" s="689">
        <v>61.7</v>
      </c>
      <c r="I15255" s="689">
        <v>60.5</v>
      </c>
      <c r="J15255" s="689">
        <v>58.4</v>
      </c>
      <c r="K15255" s="689">
        <v>61.5</v>
      </c>
    </row>
    <row r="15256" spans="1:11">
      <c r="A15256" s="688" t="s">
        <v>2349</v>
      </c>
      <c r="B15256" s="691">
        <v>58.5</v>
      </c>
      <c r="C15256" s="691">
        <v>58.5</v>
      </c>
      <c r="D15256" s="691">
        <v>58.5</v>
      </c>
      <c r="E15256" s="691">
        <v>58.8</v>
      </c>
      <c r="F15256" s="691">
        <v>58.7</v>
      </c>
      <c r="G15256" s="615">
        <v>59</v>
      </c>
      <c r="H15256" s="691">
        <v>59.2</v>
      </c>
      <c r="I15256" s="615">
        <v>58</v>
      </c>
      <c r="J15256" s="691">
        <v>56.2</v>
      </c>
      <c r="K15256" s="691">
        <v>58.3</v>
      </c>
    </row>
    <row r="15257" spans="1:11">
      <c r="A15257" s="688" t="s">
        <v>2355</v>
      </c>
      <c r="B15257" s="689">
        <v>62.4</v>
      </c>
      <c r="C15257" s="689">
        <v>62.2</v>
      </c>
      <c r="D15257" s="689">
        <v>62.2</v>
      </c>
      <c r="E15257" s="689">
        <v>62.1</v>
      </c>
      <c r="F15257" s="689">
        <v>62.4</v>
      </c>
      <c r="G15257" s="689">
        <v>62.7</v>
      </c>
      <c r="H15257" s="689">
        <v>62.8</v>
      </c>
      <c r="I15257" s="690" t="s">
        <v>4060</v>
      </c>
      <c r="J15257" s="690" t="s">
        <v>4060</v>
      </c>
      <c r="K15257" s="690" t="s">
        <v>4060</v>
      </c>
    </row>
    <row r="15258" spans="1:11">
      <c r="A15258" s="688" t="s">
        <v>2357</v>
      </c>
      <c r="B15258" s="692" t="s">
        <v>4060</v>
      </c>
      <c r="C15258" s="691">
        <v>57.6</v>
      </c>
      <c r="D15258" s="691">
        <v>58.1</v>
      </c>
      <c r="E15258" s="691">
        <v>58.4</v>
      </c>
      <c r="F15258" s="691">
        <v>58.7</v>
      </c>
      <c r="G15258" s="691">
        <v>58.8</v>
      </c>
      <c r="H15258" s="615">
        <v>59</v>
      </c>
      <c r="I15258" s="692" t="s">
        <v>4060</v>
      </c>
      <c r="J15258" s="692" t="s">
        <v>4060</v>
      </c>
      <c r="K15258" s="692" t="s">
        <v>4060</v>
      </c>
    </row>
    <row r="15259" spans="1:11">
      <c r="A15259" s="688" t="s">
        <v>4070</v>
      </c>
      <c r="B15259" s="690" t="s">
        <v>4060</v>
      </c>
      <c r="C15259" s="690" t="s">
        <v>4060</v>
      </c>
      <c r="D15259" s="690" t="s">
        <v>4060</v>
      </c>
      <c r="E15259" s="689">
        <v>62.2</v>
      </c>
      <c r="F15259" s="690" t="s">
        <v>4060</v>
      </c>
      <c r="G15259" s="690" t="s">
        <v>4060</v>
      </c>
      <c r="H15259" s="690" t="s">
        <v>4060</v>
      </c>
      <c r="I15259" s="690" t="s">
        <v>4060</v>
      </c>
      <c r="J15259" s="690" t="s">
        <v>4060</v>
      </c>
      <c r="K15259" s="690" t="s">
        <v>4060</v>
      </c>
    </row>
    <row r="15260" spans="1:11">
      <c r="A15260" s="688" t="s">
        <v>2491</v>
      </c>
      <c r="B15260" s="691">
        <v>58.5</v>
      </c>
      <c r="C15260" s="691">
        <v>59.1</v>
      </c>
      <c r="D15260" s="691">
        <v>59.4</v>
      </c>
      <c r="E15260" s="691">
        <v>59.6</v>
      </c>
      <c r="F15260" s="691">
        <v>59.8</v>
      </c>
      <c r="G15260" s="691">
        <v>59.8</v>
      </c>
      <c r="H15260" s="692" t="s">
        <v>4060</v>
      </c>
      <c r="I15260" s="692" t="s">
        <v>4060</v>
      </c>
      <c r="J15260" s="692" t="s">
        <v>4060</v>
      </c>
      <c r="K15260" s="692" t="s">
        <v>4060</v>
      </c>
    </row>
    <row r="15261" spans="1:11">
      <c r="A15261" s="688" t="s">
        <v>2343</v>
      </c>
      <c r="B15261" s="690" t="s">
        <v>4060</v>
      </c>
      <c r="C15261" s="690" t="s">
        <v>4060</v>
      </c>
      <c r="D15261" s="690" t="s">
        <v>4060</v>
      </c>
      <c r="E15261" s="690" t="s">
        <v>4060</v>
      </c>
      <c r="F15261" s="690" t="s">
        <v>4060</v>
      </c>
      <c r="G15261" s="690" t="s">
        <v>4060</v>
      </c>
      <c r="H15261" s="690" t="s">
        <v>4060</v>
      </c>
      <c r="I15261" s="690" t="s">
        <v>4060</v>
      </c>
      <c r="J15261" s="690" t="s">
        <v>4060</v>
      </c>
      <c r="K15261" s="690" t="s">
        <v>4060</v>
      </c>
    </row>
    <row r="15262" spans="1:11">
      <c r="A15262" s="688" t="s">
        <v>4071</v>
      </c>
      <c r="B15262" s="692" t="s">
        <v>4060</v>
      </c>
      <c r="C15262" s="692" t="s">
        <v>4060</v>
      </c>
      <c r="D15262" s="692" t="s">
        <v>4060</v>
      </c>
      <c r="E15262" s="692" t="s">
        <v>4060</v>
      </c>
      <c r="F15262" s="692" t="s">
        <v>4060</v>
      </c>
      <c r="G15262" s="692" t="s">
        <v>4060</v>
      </c>
      <c r="H15262" s="692" t="s">
        <v>4060</v>
      </c>
      <c r="I15262" s="692" t="s">
        <v>4060</v>
      </c>
      <c r="J15262" s="692" t="s">
        <v>4060</v>
      </c>
      <c r="K15262" s="692" t="s">
        <v>4060</v>
      </c>
    </row>
    <row r="15263" spans="1:11">
      <c r="A15263" s="688" t="s">
        <v>2489</v>
      </c>
      <c r="B15263" s="690" t="s">
        <v>4060</v>
      </c>
      <c r="C15263" s="690" t="s">
        <v>4060</v>
      </c>
      <c r="D15263" s="689">
        <v>59.1</v>
      </c>
      <c r="E15263" s="689">
        <v>59.2</v>
      </c>
      <c r="F15263" s="689">
        <v>59.7</v>
      </c>
      <c r="G15263" s="689">
        <v>60.4</v>
      </c>
      <c r="H15263" s="689">
        <v>60.4</v>
      </c>
      <c r="I15263" s="690" t="s">
        <v>4060</v>
      </c>
      <c r="J15263" s="690" t="s">
        <v>4060</v>
      </c>
      <c r="K15263" s="690" t="s">
        <v>4060</v>
      </c>
    </row>
    <row r="15264" spans="1:11">
      <c r="A15264" s="688" t="s">
        <v>2490</v>
      </c>
      <c r="B15264" s="691">
        <v>58.4</v>
      </c>
      <c r="C15264" s="691">
        <v>58.4</v>
      </c>
      <c r="D15264" s="691">
        <v>58.9</v>
      </c>
      <c r="E15264" s="692" t="s">
        <v>4060</v>
      </c>
      <c r="F15264" s="691">
        <v>59.1</v>
      </c>
      <c r="G15264" s="691">
        <v>59.5</v>
      </c>
      <c r="H15264" s="691">
        <v>60.1</v>
      </c>
      <c r="I15264" s="692" t="s">
        <v>4060</v>
      </c>
      <c r="J15264" s="692" t="s">
        <v>4060</v>
      </c>
      <c r="K15264" s="692" t="s">
        <v>4060</v>
      </c>
    </row>
    <row r="15266" spans="1:11">
      <c r="A15266" s="683" t="s">
        <v>4233</v>
      </c>
    </row>
    <row r="15267" spans="1:11">
      <c r="A15267" s="683" t="s">
        <v>4060</v>
      </c>
      <c r="B15267" s="682" t="s">
        <v>4234</v>
      </c>
    </row>
    <row r="15269" spans="1:11">
      <c r="A15269" s="682" t="s">
        <v>4332</v>
      </c>
    </row>
    <row r="15270" spans="1:11">
      <c r="A15270" s="682" t="s">
        <v>4210</v>
      </c>
      <c r="B15270" s="683" t="s">
        <v>4211</v>
      </c>
    </row>
    <row r="15271" spans="1:11">
      <c r="A15271" s="682" t="s">
        <v>4212</v>
      </c>
      <c r="B15271" s="682" t="s">
        <v>4213</v>
      </c>
    </row>
    <row r="15273" spans="1:11">
      <c r="A15273" s="683" t="s">
        <v>4214</v>
      </c>
      <c r="C15273" s="682" t="s">
        <v>4215</v>
      </c>
    </row>
    <row r="15274" spans="1:11">
      <c r="A15274" s="683" t="s">
        <v>4216</v>
      </c>
      <c r="C15274" s="682" t="s">
        <v>2967</v>
      </c>
    </row>
    <row r="15275" spans="1:11">
      <c r="A15275" s="683" t="s">
        <v>3893</v>
      </c>
      <c r="C15275" s="682" t="s">
        <v>2169</v>
      </c>
    </row>
    <row r="15276" spans="1:11">
      <c r="A15276" s="683" t="s">
        <v>4218</v>
      </c>
      <c r="C15276" s="682" t="s">
        <v>4256</v>
      </c>
    </row>
    <row r="15278" spans="1:11">
      <c r="A15278" s="684" t="s">
        <v>4220</v>
      </c>
      <c r="B15278" s="685" t="s">
        <v>4221</v>
      </c>
      <c r="C15278" s="685" t="s">
        <v>4222</v>
      </c>
      <c r="D15278" s="685" t="s">
        <v>4223</v>
      </c>
      <c r="E15278" s="685" t="s">
        <v>4224</v>
      </c>
      <c r="F15278" s="685" t="s">
        <v>4225</v>
      </c>
      <c r="G15278" s="685" t="s">
        <v>4226</v>
      </c>
      <c r="H15278" s="685" t="s">
        <v>4227</v>
      </c>
      <c r="I15278" s="685" t="s">
        <v>4228</v>
      </c>
      <c r="J15278" s="685" t="s">
        <v>4229</v>
      </c>
      <c r="K15278" s="685" t="s">
        <v>4230</v>
      </c>
    </row>
    <row r="15279" spans="1:11">
      <c r="A15279" s="686" t="s">
        <v>4231</v>
      </c>
      <c r="B15279" s="687" t="s">
        <v>4232</v>
      </c>
      <c r="C15279" s="687" t="s">
        <v>4232</v>
      </c>
      <c r="D15279" s="687" t="s">
        <v>4232</v>
      </c>
      <c r="E15279" s="687" t="s">
        <v>4232</v>
      </c>
      <c r="F15279" s="687" t="s">
        <v>4232</v>
      </c>
      <c r="G15279" s="687" t="s">
        <v>4232</v>
      </c>
      <c r="H15279" s="687" t="s">
        <v>4232</v>
      </c>
      <c r="I15279" s="687" t="s">
        <v>4232</v>
      </c>
      <c r="J15279" s="687" t="s">
        <v>4232</v>
      </c>
      <c r="K15279" s="687" t="s">
        <v>4232</v>
      </c>
    </row>
    <row r="15280" spans="1:11">
      <c r="A15280" s="688" t="s">
        <v>4064</v>
      </c>
      <c r="B15280" s="691">
        <v>62.8</v>
      </c>
      <c r="C15280" s="691">
        <v>62.8</v>
      </c>
      <c r="D15280" s="691">
        <v>62.8</v>
      </c>
      <c r="E15280" s="691">
        <v>62.9</v>
      </c>
      <c r="F15280" s="691">
        <v>62.9</v>
      </c>
      <c r="G15280" s="691">
        <v>62.9</v>
      </c>
      <c r="H15280" s="691">
        <v>63.2</v>
      </c>
      <c r="I15280" s="691">
        <v>62.5</v>
      </c>
      <c r="J15280" s="691">
        <v>62.2</v>
      </c>
      <c r="K15280" s="691">
        <v>62.7</v>
      </c>
    </row>
    <row r="15281" spans="1:11">
      <c r="A15281" s="688" t="s">
        <v>4065</v>
      </c>
      <c r="B15281" s="689">
        <v>62.8</v>
      </c>
      <c r="C15281" s="689">
        <v>63.1</v>
      </c>
      <c r="D15281" s="689">
        <v>62.7</v>
      </c>
      <c r="E15281" s="689">
        <v>63.1</v>
      </c>
      <c r="F15281" s="693">
        <v>63</v>
      </c>
      <c r="G15281" s="689">
        <v>63.1</v>
      </c>
      <c r="H15281" s="690" t="s">
        <v>4060</v>
      </c>
      <c r="I15281" s="690" t="s">
        <v>4060</v>
      </c>
      <c r="J15281" s="690" t="s">
        <v>4060</v>
      </c>
      <c r="K15281" s="690" t="s">
        <v>4060</v>
      </c>
    </row>
    <row r="15282" spans="1:11">
      <c r="A15282" s="688" t="s">
        <v>4063</v>
      </c>
      <c r="B15282" s="691">
        <v>62.8</v>
      </c>
      <c r="C15282" s="691">
        <v>63.1</v>
      </c>
      <c r="D15282" s="691">
        <v>62.7</v>
      </c>
      <c r="E15282" s="691">
        <v>63.1</v>
      </c>
      <c r="F15282" s="615">
        <v>63</v>
      </c>
      <c r="G15282" s="691">
        <v>63.1</v>
      </c>
      <c r="H15282" s="692" t="s">
        <v>4060</v>
      </c>
      <c r="I15282" s="692" t="s">
        <v>4060</v>
      </c>
      <c r="J15282" s="692" t="s">
        <v>4060</v>
      </c>
      <c r="K15282" s="692" t="s">
        <v>4060</v>
      </c>
    </row>
    <row r="15283" spans="1:11">
      <c r="A15283" s="688" t="s">
        <v>4069</v>
      </c>
      <c r="B15283" s="690" t="s">
        <v>4060</v>
      </c>
      <c r="C15283" s="689">
        <v>63.6</v>
      </c>
      <c r="D15283" s="689">
        <v>63.3</v>
      </c>
      <c r="E15283" s="689">
        <v>63.7</v>
      </c>
      <c r="F15283" s="689">
        <v>63.6</v>
      </c>
      <c r="G15283" s="689">
        <v>63.7</v>
      </c>
      <c r="H15283" s="693">
        <v>64</v>
      </c>
      <c r="I15283" s="689">
        <v>63.4</v>
      </c>
      <c r="J15283" s="689">
        <v>63.4</v>
      </c>
      <c r="K15283" s="689">
        <v>63.4</v>
      </c>
    </row>
    <row r="15284" spans="1:11">
      <c r="A15284" s="688" t="s">
        <v>4068</v>
      </c>
      <c r="B15284" s="691">
        <v>63.7</v>
      </c>
      <c r="C15284" s="692" t="s">
        <v>4060</v>
      </c>
      <c r="D15284" s="692" t="s">
        <v>4060</v>
      </c>
      <c r="E15284" s="692" t="s">
        <v>4060</v>
      </c>
      <c r="F15284" s="692" t="s">
        <v>4060</v>
      </c>
      <c r="G15284" s="692" t="s">
        <v>4060</v>
      </c>
      <c r="H15284" s="692" t="s">
        <v>4060</v>
      </c>
      <c r="I15284" s="692" t="s">
        <v>4060</v>
      </c>
      <c r="J15284" s="692" t="s">
        <v>4060</v>
      </c>
      <c r="K15284" s="692" t="s">
        <v>4060</v>
      </c>
    </row>
    <row r="15285" spans="1:11">
      <c r="A15285" s="688" t="s">
        <v>0</v>
      </c>
      <c r="B15285" s="689">
        <v>62.7</v>
      </c>
      <c r="C15285" s="689">
        <v>62.9</v>
      </c>
      <c r="D15285" s="689">
        <v>62.6</v>
      </c>
      <c r="E15285" s="689">
        <v>63.1</v>
      </c>
      <c r="F15285" s="689">
        <v>63.1</v>
      </c>
      <c r="G15285" s="689">
        <v>63.1</v>
      </c>
      <c r="H15285" s="689">
        <v>63.5</v>
      </c>
      <c r="I15285" s="689">
        <v>62.5</v>
      </c>
      <c r="J15285" s="689">
        <v>63.4</v>
      </c>
      <c r="K15285" s="689">
        <v>63.2</v>
      </c>
    </row>
    <row r="15286" spans="1:11">
      <c r="A15286" s="688" t="s">
        <v>1</v>
      </c>
      <c r="B15286" s="691">
        <v>58.4</v>
      </c>
      <c r="C15286" s="691">
        <v>57.8</v>
      </c>
      <c r="D15286" s="691">
        <v>57.8</v>
      </c>
      <c r="E15286" s="691">
        <v>58.1</v>
      </c>
      <c r="F15286" s="615">
        <v>58</v>
      </c>
      <c r="G15286" s="691">
        <v>58.1</v>
      </c>
      <c r="H15286" s="691">
        <v>58.3</v>
      </c>
      <c r="I15286" s="691">
        <v>56.9</v>
      </c>
      <c r="J15286" s="691">
        <v>54.7</v>
      </c>
      <c r="K15286" s="691">
        <v>57.5</v>
      </c>
    </row>
    <row r="15287" spans="1:11">
      <c r="A15287" s="688" t="s">
        <v>2240</v>
      </c>
      <c r="B15287" s="689">
        <v>60.7</v>
      </c>
      <c r="C15287" s="689">
        <v>61.1</v>
      </c>
      <c r="D15287" s="689">
        <v>60.8</v>
      </c>
      <c r="E15287" s="689">
        <v>61.3</v>
      </c>
      <c r="F15287" s="689">
        <v>61.2</v>
      </c>
      <c r="G15287" s="689">
        <v>61.3</v>
      </c>
      <c r="H15287" s="689">
        <v>61.5</v>
      </c>
      <c r="I15287" s="689">
        <v>60.6</v>
      </c>
      <c r="J15287" s="689">
        <v>59.8</v>
      </c>
      <c r="K15287" s="689">
        <v>61.3</v>
      </c>
    </row>
    <row r="15288" spans="1:11">
      <c r="A15288" s="688" t="s">
        <v>2</v>
      </c>
      <c r="B15288" s="691">
        <v>61.8</v>
      </c>
      <c r="C15288" s="691">
        <v>62.1</v>
      </c>
      <c r="D15288" s="691">
        <v>62.1</v>
      </c>
      <c r="E15288" s="691">
        <v>62.2</v>
      </c>
      <c r="F15288" s="691">
        <v>62.5</v>
      </c>
      <c r="G15288" s="691">
        <v>62.3</v>
      </c>
      <c r="H15288" s="691">
        <v>62.8</v>
      </c>
      <c r="I15288" s="691">
        <v>62.9</v>
      </c>
      <c r="J15288" s="691">
        <v>62.7</v>
      </c>
      <c r="K15288" s="691">
        <v>62.5</v>
      </c>
    </row>
    <row r="15289" spans="1:11">
      <c r="A15289" s="688" t="s">
        <v>3</v>
      </c>
      <c r="B15289" s="689">
        <v>62.5</v>
      </c>
      <c r="C15289" s="689">
        <v>62.7</v>
      </c>
      <c r="D15289" s="689">
        <v>62.4</v>
      </c>
      <c r="E15289" s="689">
        <v>62.7</v>
      </c>
      <c r="F15289" s="689">
        <v>62.7</v>
      </c>
      <c r="G15289" s="689">
        <v>62.6</v>
      </c>
      <c r="H15289" s="693">
        <v>63</v>
      </c>
      <c r="I15289" s="689">
        <v>62.8</v>
      </c>
      <c r="J15289" s="689">
        <v>62.6</v>
      </c>
      <c r="K15289" s="689">
        <v>62.3</v>
      </c>
    </row>
    <row r="15290" spans="1:11">
      <c r="A15290" s="688" t="s">
        <v>4061</v>
      </c>
      <c r="B15290" s="691">
        <v>62.5</v>
      </c>
      <c r="C15290" s="691">
        <v>62.7</v>
      </c>
      <c r="D15290" s="691">
        <v>62.4</v>
      </c>
      <c r="E15290" s="691">
        <v>62.7</v>
      </c>
      <c r="F15290" s="691">
        <v>62.7</v>
      </c>
      <c r="G15290" s="691">
        <v>62.6</v>
      </c>
      <c r="H15290" s="615">
        <v>63</v>
      </c>
      <c r="I15290" s="691">
        <v>62.8</v>
      </c>
      <c r="J15290" s="691">
        <v>62.6</v>
      </c>
      <c r="K15290" s="691">
        <v>62.3</v>
      </c>
    </row>
    <row r="15291" spans="1:11">
      <c r="A15291" s="688" t="s">
        <v>4</v>
      </c>
      <c r="B15291" s="689">
        <v>61.2</v>
      </c>
      <c r="C15291" s="693">
        <v>61</v>
      </c>
      <c r="D15291" s="689">
        <v>61.3</v>
      </c>
      <c r="E15291" s="689">
        <v>61.4</v>
      </c>
      <c r="F15291" s="689">
        <v>61.7</v>
      </c>
      <c r="G15291" s="689">
        <v>61.8</v>
      </c>
      <c r="H15291" s="689">
        <v>62.1</v>
      </c>
      <c r="I15291" s="689">
        <v>62.1</v>
      </c>
      <c r="J15291" s="689">
        <v>60.7</v>
      </c>
      <c r="K15291" s="689">
        <v>61.6</v>
      </c>
    </row>
    <row r="15292" spans="1:11">
      <c r="A15292" s="688" t="s">
        <v>8</v>
      </c>
      <c r="B15292" s="691">
        <v>62.5</v>
      </c>
      <c r="C15292" s="691">
        <v>62.7</v>
      </c>
      <c r="D15292" s="691">
        <v>62.6</v>
      </c>
      <c r="E15292" s="691">
        <v>62.8</v>
      </c>
      <c r="F15292" s="691">
        <v>63.2</v>
      </c>
      <c r="G15292" s="691">
        <v>63.2</v>
      </c>
      <c r="H15292" s="691">
        <v>63.7</v>
      </c>
      <c r="I15292" s="691">
        <v>63.4</v>
      </c>
      <c r="J15292" s="691">
        <v>63.4</v>
      </c>
      <c r="K15292" s="691">
        <v>63.4</v>
      </c>
    </row>
    <row r="15293" spans="1:11">
      <c r="A15293" s="688" t="s">
        <v>7</v>
      </c>
      <c r="B15293" s="689">
        <v>63.5</v>
      </c>
      <c r="C15293" s="689">
        <v>63.2</v>
      </c>
      <c r="D15293" s="693">
        <v>63</v>
      </c>
      <c r="E15293" s="689">
        <v>63.2</v>
      </c>
      <c r="F15293" s="689">
        <v>63.2</v>
      </c>
      <c r="G15293" s="689">
        <v>63.6</v>
      </c>
      <c r="H15293" s="689">
        <v>63.6</v>
      </c>
      <c r="I15293" s="689">
        <v>63.2</v>
      </c>
      <c r="J15293" s="689">
        <v>62.3</v>
      </c>
      <c r="K15293" s="689">
        <v>62.8</v>
      </c>
    </row>
    <row r="15294" spans="1:11">
      <c r="A15294" s="688" t="s">
        <v>27</v>
      </c>
      <c r="B15294" s="691">
        <v>65.400000000000006</v>
      </c>
      <c r="C15294" s="615">
        <v>65</v>
      </c>
      <c r="D15294" s="691">
        <v>64.7</v>
      </c>
      <c r="E15294" s="691">
        <v>65.099999999999994</v>
      </c>
      <c r="F15294" s="615">
        <v>65</v>
      </c>
      <c r="G15294" s="691">
        <v>65.2</v>
      </c>
      <c r="H15294" s="691">
        <v>65.5</v>
      </c>
      <c r="I15294" s="691">
        <v>64.3</v>
      </c>
      <c r="J15294" s="691">
        <v>65.2</v>
      </c>
      <c r="K15294" s="691">
        <v>65.099999999999994</v>
      </c>
    </row>
    <row r="15295" spans="1:11">
      <c r="A15295" s="688" t="s">
        <v>6</v>
      </c>
      <c r="B15295" s="689">
        <v>65.099999999999994</v>
      </c>
      <c r="C15295" s="689">
        <v>64.8</v>
      </c>
      <c r="D15295" s="689">
        <v>64.599999999999994</v>
      </c>
      <c r="E15295" s="689">
        <v>64.8</v>
      </c>
      <c r="F15295" s="689">
        <v>64.8</v>
      </c>
      <c r="G15295" s="689">
        <v>64.900000000000006</v>
      </c>
      <c r="H15295" s="693">
        <v>65</v>
      </c>
      <c r="I15295" s="689">
        <v>64.599999999999994</v>
      </c>
      <c r="J15295" s="689">
        <v>64.7</v>
      </c>
      <c r="K15295" s="689">
        <v>64.599999999999994</v>
      </c>
    </row>
    <row r="15296" spans="1:11">
      <c r="A15296" s="688" t="s">
        <v>4058</v>
      </c>
      <c r="B15296" s="692" t="s">
        <v>4060</v>
      </c>
      <c r="C15296" s="692" t="s">
        <v>4060</v>
      </c>
      <c r="D15296" s="692" t="s">
        <v>4060</v>
      </c>
      <c r="E15296" s="692" t="s">
        <v>4060</v>
      </c>
      <c r="F15296" s="692" t="s">
        <v>4060</v>
      </c>
      <c r="G15296" s="692" t="s">
        <v>4060</v>
      </c>
      <c r="H15296" s="692" t="s">
        <v>4060</v>
      </c>
      <c r="I15296" s="692" t="s">
        <v>4060</v>
      </c>
      <c r="J15296" s="692" t="s">
        <v>4060</v>
      </c>
      <c r="K15296" s="692" t="s">
        <v>4060</v>
      </c>
    </row>
    <row r="15297" spans="1:11">
      <c r="A15297" s="688" t="s">
        <v>11</v>
      </c>
      <c r="B15297" s="689">
        <v>60.4</v>
      </c>
      <c r="C15297" s="689">
        <v>60.3</v>
      </c>
      <c r="D15297" s="689">
        <v>59.9</v>
      </c>
      <c r="E15297" s="689">
        <v>60.6</v>
      </c>
      <c r="F15297" s="689">
        <v>60.3</v>
      </c>
      <c r="G15297" s="689">
        <v>60.7</v>
      </c>
      <c r="H15297" s="689">
        <v>60.8</v>
      </c>
      <c r="I15297" s="689">
        <v>60.2</v>
      </c>
      <c r="J15297" s="689">
        <v>59.2</v>
      </c>
      <c r="K15297" s="689">
        <v>60.2</v>
      </c>
    </row>
    <row r="15298" spans="1:11">
      <c r="A15298" s="688" t="s">
        <v>10</v>
      </c>
      <c r="B15298" s="691">
        <v>64.599999999999994</v>
      </c>
      <c r="C15298" s="691">
        <v>64.400000000000006</v>
      </c>
      <c r="D15298" s="691">
        <v>63.9</v>
      </c>
      <c r="E15298" s="691">
        <v>64.5</v>
      </c>
      <c r="F15298" s="691">
        <v>64.3</v>
      </c>
      <c r="G15298" s="691">
        <v>64.599999999999994</v>
      </c>
      <c r="H15298" s="691">
        <v>64.8</v>
      </c>
      <c r="I15298" s="691">
        <v>63.8</v>
      </c>
      <c r="J15298" s="691">
        <v>64.099999999999994</v>
      </c>
      <c r="K15298" s="691">
        <v>64.099999999999994</v>
      </c>
    </row>
    <row r="15299" spans="1:11">
      <c r="A15299" s="688" t="s">
        <v>30</v>
      </c>
      <c r="B15299" s="689">
        <v>64.2</v>
      </c>
      <c r="C15299" s="689">
        <v>63.5</v>
      </c>
      <c r="D15299" s="689">
        <v>63.1</v>
      </c>
      <c r="E15299" s="689">
        <v>64.2</v>
      </c>
      <c r="F15299" s="689">
        <v>63.7</v>
      </c>
      <c r="G15299" s="689">
        <v>64.099999999999994</v>
      </c>
      <c r="H15299" s="689">
        <v>63.9</v>
      </c>
      <c r="I15299" s="689">
        <v>63.9</v>
      </c>
      <c r="J15299" s="689">
        <v>63.1</v>
      </c>
      <c r="K15299" s="689">
        <v>63.4</v>
      </c>
    </row>
    <row r="15300" spans="1:11">
      <c r="A15300" s="688" t="s">
        <v>12</v>
      </c>
      <c r="B15300" s="691">
        <v>58.5</v>
      </c>
      <c r="C15300" s="691">
        <v>58.9</v>
      </c>
      <c r="D15300" s="691">
        <v>58.8</v>
      </c>
      <c r="E15300" s="615">
        <v>59</v>
      </c>
      <c r="F15300" s="691">
        <v>59.1</v>
      </c>
      <c r="G15300" s="691">
        <v>59.1</v>
      </c>
      <c r="H15300" s="691">
        <v>59.6</v>
      </c>
      <c r="I15300" s="691">
        <v>59.4</v>
      </c>
      <c r="J15300" s="691">
        <v>57.4</v>
      </c>
      <c r="K15300" s="691">
        <v>58.8</v>
      </c>
    </row>
    <row r="15301" spans="1:11">
      <c r="A15301" s="688" t="s">
        <v>14</v>
      </c>
      <c r="B15301" s="689">
        <v>59.1</v>
      </c>
      <c r="C15301" s="689">
        <v>59.4</v>
      </c>
      <c r="D15301" s="689">
        <v>59.1</v>
      </c>
      <c r="E15301" s="689">
        <v>59.5</v>
      </c>
      <c r="F15301" s="689">
        <v>59.7</v>
      </c>
      <c r="G15301" s="693">
        <v>60</v>
      </c>
      <c r="H15301" s="689">
        <v>60.4</v>
      </c>
      <c r="I15301" s="689">
        <v>59.4</v>
      </c>
      <c r="J15301" s="689">
        <v>58.3</v>
      </c>
      <c r="K15301" s="689">
        <v>59.5</v>
      </c>
    </row>
    <row r="15302" spans="1:11">
      <c r="A15302" s="688" t="s">
        <v>15</v>
      </c>
      <c r="B15302" s="691">
        <v>63.3</v>
      </c>
      <c r="C15302" s="615">
        <v>64</v>
      </c>
      <c r="D15302" s="691">
        <v>63.4</v>
      </c>
      <c r="E15302" s="691">
        <v>64.099999999999994</v>
      </c>
      <c r="F15302" s="691">
        <v>63.3</v>
      </c>
      <c r="G15302" s="691">
        <v>63.7</v>
      </c>
      <c r="H15302" s="691">
        <v>64.099999999999994</v>
      </c>
      <c r="I15302" s="691">
        <v>63.9</v>
      </c>
      <c r="J15302" s="691">
        <v>64.099999999999994</v>
      </c>
      <c r="K15302" s="691">
        <v>64.3</v>
      </c>
    </row>
    <row r="15303" spans="1:11">
      <c r="A15303" s="688" t="s">
        <v>29</v>
      </c>
      <c r="B15303" s="689">
        <v>58.7</v>
      </c>
      <c r="C15303" s="689">
        <v>58.7</v>
      </c>
      <c r="D15303" s="689">
        <v>58.3</v>
      </c>
      <c r="E15303" s="689">
        <v>58.9</v>
      </c>
      <c r="F15303" s="689">
        <v>58.6</v>
      </c>
      <c r="G15303" s="689">
        <v>58.8</v>
      </c>
      <c r="H15303" s="689">
        <v>58.9</v>
      </c>
      <c r="I15303" s="689">
        <v>58.2</v>
      </c>
      <c r="J15303" s="693">
        <v>57</v>
      </c>
      <c r="K15303" s="689">
        <v>58.6</v>
      </c>
    </row>
    <row r="15304" spans="1:11">
      <c r="A15304" s="688" t="s">
        <v>16</v>
      </c>
      <c r="B15304" s="691">
        <v>63.7</v>
      </c>
      <c r="C15304" s="691">
        <v>63.4</v>
      </c>
      <c r="D15304" s="691">
        <v>63.3</v>
      </c>
      <c r="E15304" s="691">
        <v>63.6</v>
      </c>
      <c r="F15304" s="691">
        <v>63.7</v>
      </c>
      <c r="G15304" s="691">
        <v>63.5</v>
      </c>
      <c r="H15304" s="615">
        <v>64</v>
      </c>
      <c r="I15304" s="691">
        <v>63.6</v>
      </c>
      <c r="J15304" s="691">
        <v>63.3</v>
      </c>
      <c r="K15304" s="691">
        <v>63.6</v>
      </c>
    </row>
    <row r="15305" spans="1:11">
      <c r="A15305" s="688" t="s">
        <v>17</v>
      </c>
      <c r="B15305" s="689">
        <v>62.7</v>
      </c>
      <c r="C15305" s="689">
        <v>62.7</v>
      </c>
      <c r="D15305" s="689">
        <v>62.5</v>
      </c>
      <c r="E15305" s="689">
        <v>62.6</v>
      </c>
      <c r="F15305" s="689">
        <v>62.7</v>
      </c>
      <c r="G15305" s="689">
        <v>62.7</v>
      </c>
      <c r="H15305" s="693">
        <v>63</v>
      </c>
      <c r="I15305" s="689">
        <v>62.5</v>
      </c>
      <c r="J15305" s="689">
        <v>62.4</v>
      </c>
      <c r="K15305" s="689">
        <v>62.5</v>
      </c>
    </row>
    <row r="15306" spans="1:11">
      <c r="A15306" s="688" t="s">
        <v>19</v>
      </c>
      <c r="B15306" s="691">
        <v>63.2</v>
      </c>
      <c r="C15306" s="691">
        <v>63.2</v>
      </c>
      <c r="D15306" s="615">
        <v>63</v>
      </c>
      <c r="E15306" s="691">
        <v>63.4</v>
      </c>
      <c r="F15306" s="691">
        <v>63.3</v>
      </c>
      <c r="G15306" s="691">
        <v>63.4</v>
      </c>
      <c r="H15306" s="691">
        <v>63.6</v>
      </c>
      <c r="I15306" s="691">
        <v>63.1</v>
      </c>
      <c r="J15306" s="691">
        <v>63.1</v>
      </c>
      <c r="K15306" s="691">
        <v>63.2</v>
      </c>
    </row>
    <row r="15307" spans="1:11">
      <c r="A15307" s="688" t="s">
        <v>20</v>
      </c>
      <c r="B15307" s="689">
        <v>60.8</v>
      </c>
      <c r="C15307" s="689">
        <v>60.9</v>
      </c>
      <c r="D15307" s="689">
        <v>60.8</v>
      </c>
      <c r="E15307" s="689">
        <v>61.2</v>
      </c>
      <c r="F15307" s="693">
        <v>61</v>
      </c>
      <c r="G15307" s="693">
        <v>61</v>
      </c>
      <c r="H15307" s="689">
        <v>61.2</v>
      </c>
      <c r="I15307" s="693">
        <v>60</v>
      </c>
      <c r="J15307" s="693">
        <v>59</v>
      </c>
      <c r="K15307" s="689">
        <v>60.5</v>
      </c>
    </row>
    <row r="15308" spans="1:11">
      <c r="A15308" s="688" t="s">
        <v>21</v>
      </c>
      <c r="B15308" s="691">
        <v>63.4</v>
      </c>
      <c r="C15308" s="691">
        <v>63.7</v>
      </c>
      <c r="D15308" s="691">
        <v>63.6</v>
      </c>
      <c r="E15308" s="691">
        <v>63.7</v>
      </c>
      <c r="F15308" s="691">
        <v>63.9</v>
      </c>
      <c r="G15308" s="691">
        <v>63.9</v>
      </c>
      <c r="H15308" s="691">
        <v>64.2</v>
      </c>
      <c r="I15308" s="691">
        <v>63.6</v>
      </c>
      <c r="J15308" s="691">
        <v>63.6</v>
      </c>
      <c r="K15308" s="691">
        <v>63.8</v>
      </c>
    </row>
    <row r="15309" spans="1:11">
      <c r="A15309" s="688" t="s">
        <v>22</v>
      </c>
      <c r="B15309" s="689">
        <v>58.7</v>
      </c>
      <c r="C15309" s="689">
        <v>58.4</v>
      </c>
      <c r="D15309" s="689">
        <v>58.4</v>
      </c>
      <c r="E15309" s="689">
        <v>58.7</v>
      </c>
      <c r="F15309" s="689">
        <v>58.7</v>
      </c>
      <c r="G15309" s="689">
        <v>58.8</v>
      </c>
      <c r="H15309" s="689">
        <v>59.1</v>
      </c>
      <c r="I15309" s="689">
        <v>57.9</v>
      </c>
      <c r="J15309" s="689">
        <v>56.3</v>
      </c>
      <c r="K15309" s="689">
        <v>58.7</v>
      </c>
    </row>
    <row r="15310" spans="1:11">
      <c r="A15310" s="688" t="s">
        <v>26</v>
      </c>
      <c r="B15310" s="615">
        <v>63</v>
      </c>
      <c r="C15310" s="615">
        <v>63</v>
      </c>
      <c r="D15310" s="691">
        <v>62.8</v>
      </c>
      <c r="E15310" s="691">
        <v>63.3</v>
      </c>
      <c r="F15310" s="615">
        <v>63</v>
      </c>
      <c r="G15310" s="691">
        <v>63.3</v>
      </c>
      <c r="H15310" s="691">
        <v>63.5</v>
      </c>
      <c r="I15310" s="691">
        <v>62.6</v>
      </c>
      <c r="J15310" s="615">
        <v>63</v>
      </c>
      <c r="K15310" s="691">
        <v>63.2</v>
      </c>
    </row>
    <row r="15311" spans="1:11">
      <c r="A15311" s="688" t="s">
        <v>25</v>
      </c>
      <c r="B15311" s="689">
        <v>59.8</v>
      </c>
      <c r="C15311" s="689">
        <v>60.1</v>
      </c>
      <c r="D15311" s="689">
        <v>59.8</v>
      </c>
      <c r="E15311" s="689">
        <v>60.2</v>
      </c>
      <c r="F15311" s="689">
        <v>60.1</v>
      </c>
      <c r="G15311" s="689">
        <v>60.3</v>
      </c>
      <c r="H15311" s="689">
        <v>60.7</v>
      </c>
      <c r="I15311" s="693">
        <v>60</v>
      </c>
      <c r="J15311" s="689">
        <v>57.8</v>
      </c>
      <c r="K15311" s="693">
        <v>60</v>
      </c>
    </row>
    <row r="15312" spans="1:11">
      <c r="A15312" s="688" t="s">
        <v>5</v>
      </c>
      <c r="B15312" s="691">
        <v>63.4</v>
      </c>
      <c r="C15312" s="691">
        <v>63.2</v>
      </c>
      <c r="D15312" s="691">
        <v>63.4</v>
      </c>
      <c r="E15312" s="691">
        <v>63.4</v>
      </c>
      <c r="F15312" s="691">
        <v>63.6</v>
      </c>
      <c r="G15312" s="691">
        <v>63.6</v>
      </c>
      <c r="H15312" s="691">
        <v>63.9</v>
      </c>
      <c r="I15312" s="691">
        <v>63.9</v>
      </c>
      <c r="J15312" s="691">
        <v>63.8</v>
      </c>
      <c r="K15312" s="691">
        <v>63.1</v>
      </c>
    </row>
    <row r="15313" spans="1:11">
      <c r="A15313" s="688" t="s">
        <v>23</v>
      </c>
      <c r="B15313" s="689">
        <v>63.1</v>
      </c>
      <c r="C15313" s="689">
        <v>63.4</v>
      </c>
      <c r="D15313" s="689">
        <v>63.4</v>
      </c>
      <c r="E15313" s="689">
        <v>63.4</v>
      </c>
      <c r="F15313" s="689">
        <v>63.5</v>
      </c>
      <c r="G15313" s="689">
        <v>63.6</v>
      </c>
      <c r="H15313" s="689">
        <v>64.099999999999994</v>
      </c>
      <c r="I15313" s="689">
        <v>63.6</v>
      </c>
      <c r="J15313" s="689">
        <v>64.099999999999994</v>
      </c>
      <c r="K15313" s="689">
        <v>64.099999999999994</v>
      </c>
    </row>
    <row r="15314" spans="1:11">
      <c r="A15314" s="688" t="s">
        <v>4067</v>
      </c>
      <c r="B15314" s="691">
        <v>62.8</v>
      </c>
      <c r="C15314" s="691">
        <v>63.1</v>
      </c>
      <c r="D15314" s="691">
        <v>62.7</v>
      </c>
      <c r="E15314" s="691">
        <v>63.1</v>
      </c>
      <c r="F15314" s="615">
        <v>63</v>
      </c>
      <c r="G15314" s="691">
        <v>63.1</v>
      </c>
      <c r="H15314" s="692" t="s">
        <v>4060</v>
      </c>
      <c r="I15314" s="692" t="s">
        <v>4060</v>
      </c>
      <c r="J15314" s="692" t="s">
        <v>4060</v>
      </c>
      <c r="K15314" s="692" t="s">
        <v>4060</v>
      </c>
    </row>
    <row r="15315" spans="1:11">
      <c r="A15315" s="688" t="s">
        <v>4066</v>
      </c>
      <c r="B15315" s="689">
        <v>62.8</v>
      </c>
      <c r="C15315" s="689">
        <v>63.1</v>
      </c>
      <c r="D15315" s="689">
        <v>62.7</v>
      </c>
      <c r="E15315" s="689">
        <v>63.1</v>
      </c>
      <c r="F15315" s="693">
        <v>63</v>
      </c>
      <c r="G15315" s="689">
        <v>63.1</v>
      </c>
      <c r="H15315" s="690" t="s">
        <v>4060</v>
      </c>
      <c r="I15315" s="690" t="s">
        <v>4060</v>
      </c>
      <c r="J15315" s="690" t="s">
        <v>4060</v>
      </c>
      <c r="K15315" s="690" t="s">
        <v>4060</v>
      </c>
    </row>
    <row r="15316" spans="1:11">
      <c r="A15316" s="688" t="s">
        <v>4062</v>
      </c>
      <c r="B15316" s="615">
        <v>64</v>
      </c>
      <c r="C15316" s="691">
        <v>64.099999999999994</v>
      </c>
      <c r="D15316" s="615">
        <v>64</v>
      </c>
      <c r="E15316" s="691">
        <v>64.2</v>
      </c>
      <c r="F15316" s="691">
        <v>64.3</v>
      </c>
      <c r="G15316" s="691">
        <v>64.5</v>
      </c>
      <c r="H15316" s="691">
        <v>64.599999999999994</v>
      </c>
      <c r="I15316" s="691">
        <v>64.400000000000006</v>
      </c>
      <c r="J15316" s="691">
        <v>64.599999999999994</v>
      </c>
      <c r="K15316" s="691">
        <v>64.3</v>
      </c>
    </row>
    <row r="15317" spans="1:11">
      <c r="A15317" s="688" t="s">
        <v>9</v>
      </c>
      <c r="B15317" s="689">
        <v>63.1</v>
      </c>
      <c r="C15317" s="689">
        <v>63.5</v>
      </c>
      <c r="D15317" s="693">
        <v>63</v>
      </c>
      <c r="E15317" s="689">
        <v>63.1</v>
      </c>
      <c r="F15317" s="689">
        <v>63.6</v>
      </c>
      <c r="G15317" s="689">
        <v>63.4</v>
      </c>
      <c r="H15317" s="689">
        <v>63.6</v>
      </c>
      <c r="I15317" s="689">
        <v>63.6</v>
      </c>
      <c r="J15317" s="689">
        <v>63.9</v>
      </c>
      <c r="K15317" s="689">
        <v>62.9</v>
      </c>
    </row>
    <row r="15318" spans="1:11">
      <c r="A15318" s="688" t="s">
        <v>13</v>
      </c>
      <c r="B15318" s="691">
        <v>63.9</v>
      </c>
      <c r="C15318" s="691">
        <v>62.7</v>
      </c>
      <c r="D15318" s="691">
        <v>63.6</v>
      </c>
      <c r="E15318" s="691">
        <v>63.6</v>
      </c>
      <c r="F15318" s="691">
        <v>64.8</v>
      </c>
      <c r="G15318" s="691">
        <v>64.900000000000006</v>
      </c>
      <c r="H15318" s="691">
        <v>64.5</v>
      </c>
      <c r="I15318" s="691">
        <v>64.099999999999994</v>
      </c>
      <c r="J15318" s="691">
        <v>65.099999999999994</v>
      </c>
      <c r="K15318" s="691">
        <v>64.2</v>
      </c>
    </row>
    <row r="15319" spans="1:11">
      <c r="A15319" s="688" t="s">
        <v>18</v>
      </c>
      <c r="B15319" s="689">
        <v>63.1</v>
      </c>
      <c r="C15319" s="689">
        <v>63.4</v>
      </c>
      <c r="D15319" s="689">
        <v>63.4</v>
      </c>
      <c r="E15319" s="689">
        <v>63.5</v>
      </c>
      <c r="F15319" s="689">
        <v>63.6</v>
      </c>
      <c r="G15319" s="689">
        <v>63.8</v>
      </c>
      <c r="H15319" s="693">
        <v>64</v>
      </c>
      <c r="I15319" s="689">
        <v>64.2</v>
      </c>
      <c r="J15319" s="693">
        <v>64</v>
      </c>
      <c r="K15319" s="689">
        <v>63.6</v>
      </c>
    </row>
    <row r="15320" spans="1:11">
      <c r="A15320" s="688" t="s">
        <v>24</v>
      </c>
      <c r="B15320" s="691">
        <v>64.5</v>
      </c>
      <c r="C15320" s="691">
        <v>64.5</v>
      </c>
      <c r="D15320" s="691">
        <v>64.3</v>
      </c>
      <c r="E15320" s="691">
        <v>64.7</v>
      </c>
      <c r="F15320" s="691">
        <v>64.8</v>
      </c>
      <c r="G15320" s="691">
        <v>64.900000000000006</v>
      </c>
      <c r="H15320" s="615">
        <v>65</v>
      </c>
      <c r="I15320" s="691">
        <v>64.5</v>
      </c>
      <c r="J15320" s="615">
        <v>65</v>
      </c>
      <c r="K15320" s="691">
        <v>64.8</v>
      </c>
    </row>
    <row r="15321" spans="1:11">
      <c r="A15321" s="688" t="s">
        <v>4059</v>
      </c>
      <c r="B15321" s="689">
        <v>62.4</v>
      </c>
      <c r="C15321" s="689">
        <v>62.7</v>
      </c>
      <c r="D15321" s="689">
        <v>62.2</v>
      </c>
      <c r="E15321" s="689">
        <v>62.5</v>
      </c>
      <c r="F15321" s="689">
        <v>62.5</v>
      </c>
      <c r="G15321" s="689">
        <v>62.5</v>
      </c>
      <c r="H15321" s="690" t="s">
        <v>4060</v>
      </c>
      <c r="I15321" s="690" t="s">
        <v>4060</v>
      </c>
      <c r="J15321" s="690" t="s">
        <v>4060</v>
      </c>
      <c r="K15321" s="690" t="s">
        <v>4060</v>
      </c>
    </row>
    <row r="15322" spans="1:11">
      <c r="A15322" s="688" t="s">
        <v>2324</v>
      </c>
      <c r="B15322" s="691">
        <v>58.5</v>
      </c>
      <c r="C15322" s="691">
        <v>58.5</v>
      </c>
      <c r="D15322" s="615">
        <v>58</v>
      </c>
      <c r="E15322" s="691">
        <v>58.4</v>
      </c>
      <c r="F15322" s="691">
        <v>58.6</v>
      </c>
      <c r="G15322" s="691">
        <v>58.6</v>
      </c>
      <c r="H15322" s="691">
        <v>58.9</v>
      </c>
      <c r="I15322" s="691">
        <v>58.2</v>
      </c>
      <c r="J15322" s="691">
        <v>56.3</v>
      </c>
      <c r="K15322" s="692" t="s">
        <v>4060</v>
      </c>
    </row>
    <row r="15323" spans="1:11">
      <c r="A15323" s="688" t="s">
        <v>2322</v>
      </c>
      <c r="B15323" s="690" t="s">
        <v>4060</v>
      </c>
      <c r="C15323" s="690" t="s">
        <v>4060</v>
      </c>
      <c r="D15323" s="690" t="s">
        <v>4060</v>
      </c>
      <c r="E15323" s="690" t="s">
        <v>4060</v>
      </c>
      <c r="F15323" s="690" t="s">
        <v>4060</v>
      </c>
      <c r="G15323" s="690" t="s">
        <v>4060</v>
      </c>
      <c r="H15323" s="690" t="s">
        <v>4060</v>
      </c>
      <c r="I15323" s="690" t="s">
        <v>4060</v>
      </c>
      <c r="J15323" s="690" t="s">
        <v>4060</v>
      </c>
      <c r="K15323" s="690" t="s">
        <v>4060</v>
      </c>
    </row>
    <row r="15324" spans="1:11">
      <c r="A15324" s="688" t="s">
        <v>2328</v>
      </c>
      <c r="B15324" s="691">
        <v>57.6</v>
      </c>
      <c r="C15324" s="691">
        <v>57.4</v>
      </c>
      <c r="D15324" s="691">
        <v>57.3</v>
      </c>
      <c r="E15324" s="691">
        <v>57.7</v>
      </c>
      <c r="F15324" s="691">
        <v>57.9</v>
      </c>
      <c r="G15324" s="691">
        <v>58.3</v>
      </c>
      <c r="H15324" s="691">
        <v>58.2</v>
      </c>
      <c r="I15324" s="691">
        <v>56.4</v>
      </c>
      <c r="J15324" s="615">
        <v>55</v>
      </c>
      <c r="K15324" s="692" t="s">
        <v>4060</v>
      </c>
    </row>
    <row r="15325" spans="1:11">
      <c r="A15325" s="688" t="s">
        <v>2496</v>
      </c>
      <c r="B15325" s="690" t="s">
        <v>4060</v>
      </c>
      <c r="C15325" s="689">
        <v>58.4</v>
      </c>
      <c r="D15325" s="689">
        <v>57.4</v>
      </c>
      <c r="E15325" s="689">
        <v>57.1</v>
      </c>
      <c r="F15325" s="689">
        <v>57.8</v>
      </c>
      <c r="G15325" s="689">
        <v>58.1</v>
      </c>
      <c r="H15325" s="689">
        <v>58.2</v>
      </c>
      <c r="I15325" s="690" t="s">
        <v>4060</v>
      </c>
      <c r="J15325" s="690" t="s">
        <v>4060</v>
      </c>
      <c r="K15325" s="693">
        <v>58</v>
      </c>
    </row>
    <row r="15326" spans="1:11">
      <c r="A15326" s="688" t="s">
        <v>2269</v>
      </c>
      <c r="B15326" s="691">
        <v>60.1</v>
      </c>
      <c r="C15326" s="691">
        <v>60.2</v>
      </c>
      <c r="D15326" s="691">
        <v>59.6</v>
      </c>
      <c r="E15326" s="691">
        <v>60.2</v>
      </c>
      <c r="F15326" s="615">
        <v>60</v>
      </c>
      <c r="G15326" s="691">
        <v>60.5</v>
      </c>
      <c r="H15326" s="691">
        <v>60.7</v>
      </c>
      <c r="I15326" s="691">
        <v>59.6</v>
      </c>
      <c r="J15326" s="691">
        <v>57.5</v>
      </c>
      <c r="K15326" s="691">
        <v>60.5</v>
      </c>
    </row>
    <row r="15327" spans="1:11">
      <c r="A15327" s="688" t="s">
        <v>2349</v>
      </c>
      <c r="B15327" s="689">
        <v>57.5</v>
      </c>
      <c r="C15327" s="689">
        <v>57.6</v>
      </c>
      <c r="D15327" s="689">
        <v>57.5</v>
      </c>
      <c r="E15327" s="689">
        <v>57.8</v>
      </c>
      <c r="F15327" s="689">
        <v>57.7</v>
      </c>
      <c r="G15327" s="693">
        <v>58</v>
      </c>
      <c r="H15327" s="689">
        <v>58.2</v>
      </c>
      <c r="I15327" s="693">
        <v>57</v>
      </c>
      <c r="J15327" s="689">
        <v>55.2</v>
      </c>
      <c r="K15327" s="689">
        <v>57.3</v>
      </c>
    </row>
    <row r="15328" spans="1:11">
      <c r="A15328" s="688" t="s">
        <v>2355</v>
      </c>
      <c r="B15328" s="691">
        <v>61.4</v>
      </c>
      <c r="C15328" s="691">
        <v>61.2</v>
      </c>
      <c r="D15328" s="691">
        <v>61.2</v>
      </c>
      <c r="E15328" s="691">
        <v>61.1</v>
      </c>
      <c r="F15328" s="691">
        <v>61.4</v>
      </c>
      <c r="G15328" s="691">
        <v>61.7</v>
      </c>
      <c r="H15328" s="691">
        <v>61.8</v>
      </c>
      <c r="I15328" s="692" t="s">
        <v>4060</v>
      </c>
      <c r="J15328" s="692" t="s">
        <v>4060</v>
      </c>
      <c r="K15328" s="692" t="s">
        <v>4060</v>
      </c>
    </row>
    <row r="15329" spans="1:11">
      <c r="A15329" s="688" t="s">
        <v>2357</v>
      </c>
      <c r="B15329" s="690" t="s">
        <v>4060</v>
      </c>
      <c r="C15329" s="689">
        <v>56.6</v>
      </c>
      <c r="D15329" s="689">
        <v>57.1</v>
      </c>
      <c r="E15329" s="689">
        <v>57.4</v>
      </c>
      <c r="F15329" s="689">
        <v>57.8</v>
      </c>
      <c r="G15329" s="689">
        <v>57.8</v>
      </c>
      <c r="H15329" s="693">
        <v>58</v>
      </c>
      <c r="I15329" s="690" t="s">
        <v>4060</v>
      </c>
      <c r="J15329" s="690" t="s">
        <v>4060</v>
      </c>
      <c r="K15329" s="690" t="s">
        <v>4060</v>
      </c>
    </row>
    <row r="15330" spans="1:11">
      <c r="A15330" s="688" t="s">
        <v>4070</v>
      </c>
      <c r="B15330" s="692" t="s">
        <v>4060</v>
      </c>
      <c r="C15330" s="692" t="s">
        <v>4060</v>
      </c>
      <c r="D15330" s="692" t="s">
        <v>4060</v>
      </c>
      <c r="E15330" s="691">
        <v>61.2</v>
      </c>
      <c r="F15330" s="692" t="s">
        <v>4060</v>
      </c>
      <c r="G15330" s="692" t="s">
        <v>4060</v>
      </c>
      <c r="H15330" s="692" t="s">
        <v>4060</v>
      </c>
      <c r="I15330" s="692" t="s">
        <v>4060</v>
      </c>
      <c r="J15330" s="692" t="s">
        <v>4060</v>
      </c>
      <c r="K15330" s="692" t="s">
        <v>4060</v>
      </c>
    </row>
    <row r="15331" spans="1:11">
      <c r="A15331" s="688" t="s">
        <v>2491</v>
      </c>
      <c r="B15331" s="689">
        <v>57.5</v>
      </c>
      <c r="C15331" s="689">
        <v>58.1</v>
      </c>
      <c r="D15331" s="689">
        <v>58.4</v>
      </c>
      <c r="E15331" s="689">
        <v>58.6</v>
      </c>
      <c r="F15331" s="689">
        <v>58.8</v>
      </c>
      <c r="G15331" s="689">
        <v>58.8</v>
      </c>
      <c r="H15331" s="690" t="s">
        <v>4060</v>
      </c>
      <c r="I15331" s="690" t="s">
        <v>4060</v>
      </c>
      <c r="J15331" s="690" t="s">
        <v>4060</v>
      </c>
      <c r="K15331" s="690" t="s">
        <v>4060</v>
      </c>
    </row>
    <row r="15332" spans="1:11">
      <c r="A15332" s="688" t="s">
        <v>2343</v>
      </c>
      <c r="B15332" s="692" t="s">
        <v>4060</v>
      </c>
      <c r="C15332" s="692" t="s">
        <v>4060</v>
      </c>
      <c r="D15332" s="692" t="s">
        <v>4060</v>
      </c>
      <c r="E15332" s="692" t="s">
        <v>4060</v>
      </c>
      <c r="F15332" s="692" t="s">
        <v>4060</v>
      </c>
      <c r="G15332" s="692" t="s">
        <v>4060</v>
      </c>
      <c r="H15332" s="692" t="s">
        <v>4060</v>
      </c>
      <c r="I15332" s="692" t="s">
        <v>4060</v>
      </c>
      <c r="J15332" s="692" t="s">
        <v>4060</v>
      </c>
      <c r="K15332" s="692" t="s">
        <v>4060</v>
      </c>
    </row>
    <row r="15333" spans="1:11">
      <c r="A15333" s="688" t="s">
        <v>4071</v>
      </c>
      <c r="B15333" s="690" t="s">
        <v>4060</v>
      </c>
      <c r="C15333" s="690" t="s">
        <v>4060</v>
      </c>
      <c r="D15333" s="690" t="s">
        <v>4060</v>
      </c>
      <c r="E15333" s="690" t="s">
        <v>4060</v>
      </c>
      <c r="F15333" s="690" t="s">
        <v>4060</v>
      </c>
      <c r="G15333" s="690" t="s">
        <v>4060</v>
      </c>
      <c r="H15333" s="690" t="s">
        <v>4060</v>
      </c>
      <c r="I15333" s="690" t="s">
        <v>4060</v>
      </c>
      <c r="J15333" s="690" t="s">
        <v>4060</v>
      </c>
      <c r="K15333" s="690" t="s">
        <v>4060</v>
      </c>
    </row>
    <row r="15334" spans="1:11">
      <c r="A15334" s="688" t="s">
        <v>2489</v>
      </c>
      <c r="B15334" s="692" t="s">
        <v>4060</v>
      </c>
      <c r="C15334" s="692" t="s">
        <v>4060</v>
      </c>
      <c r="D15334" s="691">
        <v>58.1</v>
      </c>
      <c r="E15334" s="691">
        <v>58.2</v>
      </c>
      <c r="F15334" s="691">
        <v>58.8</v>
      </c>
      <c r="G15334" s="691">
        <v>59.5</v>
      </c>
      <c r="H15334" s="691">
        <v>59.4</v>
      </c>
      <c r="I15334" s="692" t="s">
        <v>4060</v>
      </c>
      <c r="J15334" s="692" t="s">
        <v>4060</v>
      </c>
      <c r="K15334" s="692" t="s">
        <v>4060</v>
      </c>
    </row>
    <row r="15335" spans="1:11">
      <c r="A15335" s="688" t="s">
        <v>2490</v>
      </c>
      <c r="B15335" s="689">
        <v>57.4</v>
      </c>
      <c r="C15335" s="689">
        <v>57.5</v>
      </c>
      <c r="D15335" s="689">
        <v>57.9</v>
      </c>
      <c r="E15335" s="690" t="s">
        <v>4060</v>
      </c>
      <c r="F15335" s="689">
        <v>58.1</v>
      </c>
      <c r="G15335" s="689">
        <v>58.5</v>
      </c>
      <c r="H15335" s="689">
        <v>59.1</v>
      </c>
      <c r="I15335" s="690" t="s">
        <v>4060</v>
      </c>
      <c r="J15335" s="690" t="s">
        <v>4060</v>
      </c>
      <c r="K15335" s="690" t="s">
        <v>4060</v>
      </c>
    </row>
    <row r="15337" spans="1:11">
      <c r="A15337" s="683" t="s">
        <v>4233</v>
      </c>
    </row>
    <row r="15338" spans="1:11">
      <c r="A15338" s="683" t="s">
        <v>4060</v>
      </c>
      <c r="B15338" s="682" t="s">
        <v>4234</v>
      </c>
    </row>
    <row r="15340" spans="1:11">
      <c r="A15340" s="682" t="s">
        <v>4332</v>
      </c>
    </row>
    <row r="15341" spans="1:11">
      <c r="A15341" s="682" t="s">
        <v>4210</v>
      </c>
      <c r="B15341" s="683" t="s">
        <v>4211</v>
      </c>
    </row>
    <row r="15342" spans="1:11">
      <c r="A15342" s="682" t="s">
        <v>4212</v>
      </c>
      <c r="B15342" s="682" t="s">
        <v>4213</v>
      </c>
    </row>
    <row r="15344" spans="1:11">
      <c r="A15344" s="683" t="s">
        <v>4214</v>
      </c>
      <c r="C15344" s="682" t="s">
        <v>4215</v>
      </c>
    </row>
    <row r="15345" spans="1:11">
      <c r="A15345" s="683" t="s">
        <v>4216</v>
      </c>
      <c r="C15345" s="682" t="s">
        <v>2967</v>
      </c>
    </row>
    <row r="15346" spans="1:11">
      <c r="A15346" s="683" t="s">
        <v>3893</v>
      </c>
      <c r="C15346" s="682" t="s">
        <v>2169</v>
      </c>
    </row>
    <row r="15347" spans="1:11">
      <c r="A15347" s="683" t="s">
        <v>4218</v>
      </c>
      <c r="C15347" s="682" t="s">
        <v>4257</v>
      </c>
    </row>
    <row r="15349" spans="1:11">
      <c r="A15349" s="684" t="s">
        <v>4220</v>
      </c>
      <c r="B15349" s="685" t="s">
        <v>4221</v>
      </c>
      <c r="C15349" s="685" t="s">
        <v>4222</v>
      </c>
      <c r="D15349" s="685" t="s">
        <v>4223</v>
      </c>
      <c r="E15349" s="685" t="s">
        <v>4224</v>
      </c>
      <c r="F15349" s="685" t="s">
        <v>4225</v>
      </c>
      <c r="G15349" s="685" t="s">
        <v>4226</v>
      </c>
      <c r="H15349" s="685" t="s">
        <v>4227</v>
      </c>
      <c r="I15349" s="685" t="s">
        <v>4228</v>
      </c>
      <c r="J15349" s="685" t="s">
        <v>4229</v>
      </c>
      <c r="K15349" s="685" t="s">
        <v>4230</v>
      </c>
    </row>
    <row r="15350" spans="1:11">
      <c r="A15350" s="686" t="s">
        <v>4231</v>
      </c>
      <c r="B15350" s="687" t="s">
        <v>4232</v>
      </c>
      <c r="C15350" s="687" t="s">
        <v>4232</v>
      </c>
      <c r="D15350" s="687" t="s">
        <v>4232</v>
      </c>
      <c r="E15350" s="687" t="s">
        <v>4232</v>
      </c>
      <c r="F15350" s="687" t="s">
        <v>4232</v>
      </c>
      <c r="G15350" s="687" t="s">
        <v>4232</v>
      </c>
      <c r="H15350" s="687" t="s">
        <v>4232</v>
      </c>
      <c r="I15350" s="687" t="s">
        <v>4232</v>
      </c>
      <c r="J15350" s="687" t="s">
        <v>4232</v>
      </c>
      <c r="K15350" s="687" t="s">
        <v>4232</v>
      </c>
    </row>
    <row r="15351" spans="1:11">
      <c r="A15351" s="688" t="s">
        <v>4064</v>
      </c>
      <c r="B15351" s="689">
        <v>61.8</v>
      </c>
      <c r="C15351" s="689">
        <v>61.8</v>
      </c>
      <c r="D15351" s="689">
        <v>61.8</v>
      </c>
      <c r="E15351" s="689">
        <v>61.9</v>
      </c>
      <c r="F15351" s="689">
        <v>61.9</v>
      </c>
      <c r="G15351" s="693">
        <v>62</v>
      </c>
      <c r="H15351" s="689">
        <v>62.2</v>
      </c>
      <c r="I15351" s="689">
        <v>61.5</v>
      </c>
      <c r="J15351" s="689">
        <v>61.2</v>
      </c>
      <c r="K15351" s="689">
        <v>61.7</v>
      </c>
    </row>
    <row r="15352" spans="1:11">
      <c r="A15352" s="688" t="s">
        <v>4065</v>
      </c>
      <c r="B15352" s="691">
        <v>61.8</v>
      </c>
      <c r="C15352" s="691">
        <v>62.1</v>
      </c>
      <c r="D15352" s="691">
        <v>61.7</v>
      </c>
      <c r="E15352" s="691">
        <v>62.1</v>
      </c>
      <c r="F15352" s="615">
        <v>62</v>
      </c>
      <c r="G15352" s="691">
        <v>62.1</v>
      </c>
      <c r="H15352" s="692" t="s">
        <v>4060</v>
      </c>
      <c r="I15352" s="692" t="s">
        <v>4060</v>
      </c>
      <c r="J15352" s="692" t="s">
        <v>4060</v>
      </c>
      <c r="K15352" s="692" t="s">
        <v>4060</v>
      </c>
    </row>
    <row r="15353" spans="1:11">
      <c r="A15353" s="688" t="s">
        <v>4063</v>
      </c>
      <c r="B15353" s="689">
        <v>61.8</v>
      </c>
      <c r="C15353" s="689">
        <v>62.1</v>
      </c>
      <c r="D15353" s="689">
        <v>61.7</v>
      </c>
      <c r="E15353" s="689">
        <v>62.1</v>
      </c>
      <c r="F15353" s="693">
        <v>62</v>
      </c>
      <c r="G15353" s="689">
        <v>62.1</v>
      </c>
      <c r="H15353" s="690" t="s">
        <v>4060</v>
      </c>
      <c r="I15353" s="690" t="s">
        <v>4060</v>
      </c>
      <c r="J15353" s="690" t="s">
        <v>4060</v>
      </c>
      <c r="K15353" s="690" t="s">
        <v>4060</v>
      </c>
    </row>
    <row r="15354" spans="1:11">
      <c r="A15354" s="688" t="s">
        <v>4069</v>
      </c>
      <c r="B15354" s="692" t="s">
        <v>4060</v>
      </c>
      <c r="C15354" s="691">
        <v>62.6</v>
      </c>
      <c r="D15354" s="691">
        <v>62.3</v>
      </c>
      <c r="E15354" s="691">
        <v>62.7</v>
      </c>
      <c r="F15354" s="691">
        <v>62.6</v>
      </c>
      <c r="G15354" s="691">
        <v>62.8</v>
      </c>
      <c r="H15354" s="615">
        <v>63</v>
      </c>
      <c r="I15354" s="691">
        <v>62.4</v>
      </c>
      <c r="J15354" s="691">
        <v>62.4</v>
      </c>
      <c r="K15354" s="691">
        <v>62.4</v>
      </c>
    </row>
    <row r="15355" spans="1:11">
      <c r="A15355" s="688" t="s">
        <v>4068</v>
      </c>
      <c r="B15355" s="689">
        <v>62.7</v>
      </c>
      <c r="C15355" s="690" t="s">
        <v>4060</v>
      </c>
      <c r="D15355" s="690" t="s">
        <v>4060</v>
      </c>
      <c r="E15355" s="690" t="s">
        <v>4060</v>
      </c>
      <c r="F15355" s="690" t="s">
        <v>4060</v>
      </c>
      <c r="G15355" s="690" t="s">
        <v>4060</v>
      </c>
      <c r="H15355" s="690" t="s">
        <v>4060</v>
      </c>
      <c r="I15355" s="690" t="s">
        <v>4060</v>
      </c>
      <c r="J15355" s="690" t="s">
        <v>4060</v>
      </c>
      <c r="K15355" s="690" t="s">
        <v>4060</v>
      </c>
    </row>
    <row r="15356" spans="1:11">
      <c r="A15356" s="688" t="s">
        <v>0</v>
      </c>
      <c r="B15356" s="691">
        <v>61.7</v>
      </c>
      <c r="C15356" s="691">
        <v>61.9</v>
      </c>
      <c r="D15356" s="691">
        <v>61.6</v>
      </c>
      <c r="E15356" s="691">
        <v>62.1</v>
      </c>
      <c r="F15356" s="691">
        <v>62.1</v>
      </c>
      <c r="G15356" s="691">
        <v>62.1</v>
      </c>
      <c r="H15356" s="691">
        <v>62.5</v>
      </c>
      <c r="I15356" s="691">
        <v>61.5</v>
      </c>
      <c r="J15356" s="691">
        <v>62.4</v>
      </c>
      <c r="K15356" s="691">
        <v>62.2</v>
      </c>
    </row>
    <row r="15357" spans="1:11">
      <c r="A15357" s="688" t="s">
        <v>1</v>
      </c>
      <c r="B15357" s="689">
        <v>57.4</v>
      </c>
      <c r="C15357" s="689">
        <v>56.8</v>
      </c>
      <c r="D15357" s="689">
        <v>56.9</v>
      </c>
      <c r="E15357" s="689">
        <v>57.1</v>
      </c>
      <c r="F15357" s="693">
        <v>57</v>
      </c>
      <c r="G15357" s="689">
        <v>57.1</v>
      </c>
      <c r="H15357" s="689">
        <v>57.4</v>
      </c>
      <c r="I15357" s="693">
        <v>56</v>
      </c>
      <c r="J15357" s="689">
        <v>53.8</v>
      </c>
      <c r="K15357" s="689">
        <v>56.6</v>
      </c>
    </row>
    <row r="15358" spans="1:11">
      <c r="A15358" s="688" t="s">
        <v>2240</v>
      </c>
      <c r="B15358" s="691">
        <v>59.7</v>
      </c>
      <c r="C15358" s="691">
        <v>60.1</v>
      </c>
      <c r="D15358" s="691">
        <v>59.8</v>
      </c>
      <c r="E15358" s="691">
        <v>60.3</v>
      </c>
      <c r="F15358" s="691">
        <v>60.2</v>
      </c>
      <c r="G15358" s="691">
        <v>60.3</v>
      </c>
      <c r="H15358" s="691">
        <v>60.5</v>
      </c>
      <c r="I15358" s="691">
        <v>59.6</v>
      </c>
      <c r="J15358" s="691">
        <v>58.8</v>
      </c>
      <c r="K15358" s="691">
        <v>60.3</v>
      </c>
    </row>
    <row r="15359" spans="1:11">
      <c r="A15359" s="688" t="s">
        <v>2</v>
      </c>
      <c r="B15359" s="689">
        <v>60.8</v>
      </c>
      <c r="C15359" s="689">
        <v>61.1</v>
      </c>
      <c r="D15359" s="689">
        <v>61.1</v>
      </c>
      <c r="E15359" s="689">
        <v>61.2</v>
      </c>
      <c r="F15359" s="689">
        <v>61.5</v>
      </c>
      <c r="G15359" s="689">
        <v>61.3</v>
      </c>
      <c r="H15359" s="689">
        <v>61.8</v>
      </c>
      <c r="I15359" s="689">
        <v>61.9</v>
      </c>
      <c r="J15359" s="689">
        <v>61.7</v>
      </c>
      <c r="K15359" s="689">
        <v>61.6</v>
      </c>
    </row>
    <row r="15360" spans="1:11">
      <c r="A15360" s="688" t="s">
        <v>3</v>
      </c>
      <c r="B15360" s="691">
        <v>61.5</v>
      </c>
      <c r="C15360" s="691">
        <v>61.8</v>
      </c>
      <c r="D15360" s="691">
        <v>61.4</v>
      </c>
      <c r="E15360" s="691">
        <v>61.7</v>
      </c>
      <c r="F15360" s="691">
        <v>61.7</v>
      </c>
      <c r="G15360" s="691">
        <v>61.7</v>
      </c>
      <c r="H15360" s="615">
        <v>62</v>
      </c>
      <c r="I15360" s="691">
        <v>61.8</v>
      </c>
      <c r="J15360" s="691">
        <v>61.6</v>
      </c>
      <c r="K15360" s="691">
        <v>61.3</v>
      </c>
    </row>
    <row r="15361" spans="1:11">
      <c r="A15361" s="688" t="s">
        <v>4061</v>
      </c>
      <c r="B15361" s="689">
        <v>61.5</v>
      </c>
      <c r="C15361" s="689">
        <v>61.8</v>
      </c>
      <c r="D15361" s="689">
        <v>61.4</v>
      </c>
      <c r="E15361" s="689">
        <v>61.7</v>
      </c>
      <c r="F15361" s="689">
        <v>61.7</v>
      </c>
      <c r="G15361" s="689">
        <v>61.7</v>
      </c>
      <c r="H15361" s="693">
        <v>62</v>
      </c>
      <c r="I15361" s="689">
        <v>61.8</v>
      </c>
      <c r="J15361" s="689">
        <v>61.6</v>
      </c>
      <c r="K15361" s="689">
        <v>61.3</v>
      </c>
    </row>
    <row r="15362" spans="1:11">
      <c r="A15362" s="688" t="s">
        <v>4</v>
      </c>
      <c r="B15362" s="691">
        <v>60.2</v>
      </c>
      <c r="C15362" s="615">
        <v>60</v>
      </c>
      <c r="D15362" s="691">
        <v>60.3</v>
      </c>
      <c r="E15362" s="691">
        <v>60.4</v>
      </c>
      <c r="F15362" s="691">
        <v>60.8</v>
      </c>
      <c r="G15362" s="691">
        <v>60.8</v>
      </c>
      <c r="H15362" s="691">
        <v>61.1</v>
      </c>
      <c r="I15362" s="691">
        <v>61.1</v>
      </c>
      <c r="J15362" s="691">
        <v>59.7</v>
      </c>
      <c r="K15362" s="691">
        <v>60.7</v>
      </c>
    </row>
    <row r="15363" spans="1:11">
      <c r="A15363" s="688" t="s">
        <v>8</v>
      </c>
      <c r="B15363" s="689">
        <v>61.5</v>
      </c>
      <c r="C15363" s="689">
        <v>61.7</v>
      </c>
      <c r="D15363" s="689">
        <v>61.6</v>
      </c>
      <c r="E15363" s="689">
        <v>61.8</v>
      </c>
      <c r="F15363" s="689">
        <v>62.2</v>
      </c>
      <c r="G15363" s="689">
        <v>62.2</v>
      </c>
      <c r="H15363" s="689">
        <v>62.7</v>
      </c>
      <c r="I15363" s="689">
        <v>62.4</v>
      </c>
      <c r="J15363" s="689">
        <v>62.4</v>
      </c>
      <c r="K15363" s="689">
        <v>62.4</v>
      </c>
    </row>
    <row r="15364" spans="1:11">
      <c r="A15364" s="688" t="s">
        <v>7</v>
      </c>
      <c r="B15364" s="691">
        <v>62.5</v>
      </c>
      <c r="C15364" s="691">
        <v>62.2</v>
      </c>
      <c r="D15364" s="615">
        <v>62</v>
      </c>
      <c r="E15364" s="691">
        <v>62.2</v>
      </c>
      <c r="F15364" s="691">
        <v>62.2</v>
      </c>
      <c r="G15364" s="691">
        <v>62.7</v>
      </c>
      <c r="H15364" s="691">
        <v>62.6</v>
      </c>
      <c r="I15364" s="691">
        <v>62.2</v>
      </c>
      <c r="J15364" s="691">
        <v>61.3</v>
      </c>
      <c r="K15364" s="691">
        <v>61.8</v>
      </c>
    </row>
    <row r="15365" spans="1:11">
      <c r="A15365" s="688" t="s">
        <v>27</v>
      </c>
      <c r="B15365" s="689">
        <v>64.5</v>
      </c>
      <c r="C15365" s="693">
        <v>64</v>
      </c>
      <c r="D15365" s="689">
        <v>63.7</v>
      </c>
      <c r="E15365" s="689">
        <v>64.2</v>
      </c>
      <c r="F15365" s="689">
        <v>64.099999999999994</v>
      </c>
      <c r="G15365" s="689">
        <v>64.2</v>
      </c>
      <c r="H15365" s="689">
        <v>64.5</v>
      </c>
      <c r="I15365" s="689">
        <v>63.3</v>
      </c>
      <c r="J15365" s="689">
        <v>64.2</v>
      </c>
      <c r="K15365" s="689">
        <v>64.099999999999994</v>
      </c>
    </row>
    <row r="15366" spans="1:11">
      <c r="A15366" s="688" t="s">
        <v>6</v>
      </c>
      <c r="B15366" s="691">
        <v>64.099999999999994</v>
      </c>
      <c r="C15366" s="691">
        <v>63.8</v>
      </c>
      <c r="D15366" s="691">
        <v>63.6</v>
      </c>
      <c r="E15366" s="691">
        <v>63.8</v>
      </c>
      <c r="F15366" s="691">
        <v>63.8</v>
      </c>
      <c r="G15366" s="615">
        <v>64</v>
      </c>
      <c r="H15366" s="691">
        <v>64.099999999999994</v>
      </c>
      <c r="I15366" s="691">
        <v>63.6</v>
      </c>
      <c r="J15366" s="691">
        <v>63.7</v>
      </c>
      <c r="K15366" s="691">
        <v>63.6</v>
      </c>
    </row>
    <row r="15367" spans="1:11">
      <c r="A15367" s="688" t="s">
        <v>4058</v>
      </c>
      <c r="B15367" s="690" t="s">
        <v>4060</v>
      </c>
      <c r="C15367" s="690" t="s">
        <v>4060</v>
      </c>
      <c r="D15367" s="690" t="s">
        <v>4060</v>
      </c>
      <c r="E15367" s="690" t="s">
        <v>4060</v>
      </c>
      <c r="F15367" s="690" t="s">
        <v>4060</v>
      </c>
      <c r="G15367" s="690" t="s">
        <v>4060</v>
      </c>
      <c r="H15367" s="690" t="s">
        <v>4060</v>
      </c>
      <c r="I15367" s="690" t="s">
        <v>4060</v>
      </c>
      <c r="J15367" s="690" t="s">
        <v>4060</v>
      </c>
      <c r="K15367" s="690" t="s">
        <v>4060</v>
      </c>
    </row>
    <row r="15368" spans="1:11">
      <c r="A15368" s="688" t="s">
        <v>11</v>
      </c>
      <c r="B15368" s="691">
        <v>59.5</v>
      </c>
      <c r="C15368" s="691">
        <v>59.4</v>
      </c>
      <c r="D15368" s="691">
        <v>58.9</v>
      </c>
      <c r="E15368" s="691">
        <v>59.6</v>
      </c>
      <c r="F15368" s="691">
        <v>59.3</v>
      </c>
      <c r="G15368" s="691">
        <v>59.7</v>
      </c>
      <c r="H15368" s="691">
        <v>59.8</v>
      </c>
      <c r="I15368" s="691">
        <v>59.2</v>
      </c>
      <c r="J15368" s="691">
        <v>58.2</v>
      </c>
      <c r="K15368" s="691">
        <v>59.2</v>
      </c>
    </row>
    <row r="15369" spans="1:11">
      <c r="A15369" s="688" t="s">
        <v>10</v>
      </c>
      <c r="B15369" s="689">
        <v>63.6</v>
      </c>
      <c r="C15369" s="689">
        <v>63.4</v>
      </c>
      <c r="D15369" s="689">
        <v>62.9</v>
      </c>
      <c r="E15369" s="689">
        <v>63.5</v>
      </c>
      <c r="F15369" s="689">
        <v>63.3</v>
      </c>
      <c r="G15369" s="689">
        <v>63.6</v>
      </c>
      <c r="H15369" s="689">
        <v>63.8</v>
      </c>
      <c r="I15369" s="689">
        <v>62.8</v>
      </c>
      <c r="J15369" s="689">
        <v>63.1</v>
      </c>
      <c r="K15369" s="689">
        <v>63.1</v>
      </c>
    </row>
    <row r="15370" spans="1:11">
      <c r="A15370" s="688" t="s">
        <v>30</v>
      </c>
      <c r="B15370" s="691">
        <v>63.2</v>
      </c>
      <c r="C15370" s="691">
        <v>62.5</v>
      </c>
      <c r="D15370" s="691">
        <v>62.1</v>
      </c>
      <c r="E15370" s="691">
        <v>63.2</v>
      </c>
      <c r="F15370" s="691">
        <v>62.7</v>
      </c>
      <c r="G15370" s="691">
        <v>63.1</v>
      </c>
      <c r="H15370" s="691">
        <v>62.9</v>
      </c>
      <c r="I15370" s="691">
        <v>62.9</v>
      </c>
      <c r="J15370" s="691">
        <v>62.1</v>
      </c>
      <c r="K15370" s="691">
        <v>62.4</v>
      </c>
    </row>
    <row r="15371" spans="1:11">
      <c r="A15371" s="688" t="s">
        <v>12</v>
      </c>
      <c r="B15371" s="689">
        <v>57.5</v>
      </c>
      <c r="C15371" s="689">
        <v>57.9</v>
      </c>
      <c r="D15371" s="689">
        <v>57.8</v>
      </c>
      <c r="E15371" s="693">
        <v>58</v>
      </c>
      <c r="F15371" s="689">
        <v>58.1</v>
      </c>
      <c r="G15371" s="689">
        <v>58.1</v>
      </c>
      <c r="H15371" s="689">
        <v>58.6</v>
      </c>
      <c r="I15371" s="689">
        <v>58.4</v>
      </c>
      <c r="J15371" s="689">
        <v>56.4</v>
      </c>
      <c r="K15371" s="689">
        <v>57.9</v>
      </c>
    </row>
    <row r="15372" spans="1:11">
      <c r="A15372" s="688" t="s">
        <v>14</v>
      </c>
      <c r="B15372" s="691">
        <v>58.2</v>
      </c>
      <c r="C15372" s="691">
        <v>58.4</v>
      </c>
      <c r="D15372" s="691">
        <v>58.2</v>
      </c>
      <c r="E15372" s="691">
        <v>58.5</v>
      </c>
      <c r="F15372" s="691">
        <v>58.7</v>
      </c>
      <c r="G15372" s="615">
        <v>59</v>
      </c>
      <c r="H15372" s="691">
        <v>59.4</v>
      </c>
      <c r="I15372" s="691">
        <v>58.5</v>
      </c>
      <c r="J15372" s="691">
        <v>57.3</v>
      </c>
      <c r="K15372" s="691">
        <v>58.5</v>
      </c>
    </row>
    <row r="15373" spans="1:11">
      <c r="A15373" s="688" t="s">
        <v>15</v>
      </c>
      <c r="B15373" s="689">
        <v>62.3</v>
      </c>
      <c r="C15373" s="693">
        <v>63</v>
      </c>
      <c r="D15373" s="689">
        <v>62.4</v>
      </c>
      <c r="E15373" s="689">
        <v>63.1</v>
      </c>
      <c r="F15373" s="689">
        <v>62.3</v>
      </c>
      <c r="G15373" s="689">
        <v>62.7</v>
      </c>
      <c r="H15373" s="689">
        <v>63.1</v>
      </c>
      <c r="I15373" s="689">
        <v>62.9</v>
      </c>
      <c r="J15373" s="689">
        <v>63.1</v>
      </c>
      <c r="K15373" s="689">
        <v>63.3</v>
      </c>
    </row>
    <row r="15374" spans="1:11">
      <c r="A15374" s="688" t="s">
        <v>29</v>
      </c>
      <c r="B15374" s="691">
        <v>57.7</v>
      </c>
      <c r="C15374" s="691">
        <v>57.7</v>
      </c>
      <c r="D15374" s="691">
        <v>57.3</v>
      </c>
      <c r="E15374" s="691">
        <v>57.9</v>
      </c>
      <c r="F15374" s="691">
        <v>57.6</v>
      </c>
      <c r="G15374" s="691">
        <v>57.8</v>
      </c>
      <c r="H15374" s="615">
        <v>58</v>
      </c>
      <c r="I15374" s="691">
        <v>57.2</v>
      </c>
      <c r="J15374" s="615">
        <v>56</v>
      </c>
      <c r="K15374" s="691">
        <v>57.6</v>
      </c>
    </row>
    <row r="15375" spans="1:11">
      <c r="A15375" s="688" t="s">
        <v>16</v>
      </c>
      <c r="B15375" s="689">
        <v>62.7</v>
      </c>
      <c r="C15375" s="689">
        <v>62.4</v>
      </c>
      <c r="D15375" s="689">
        <v>62.3</v>
      </c>
      <c r="E15375" s="689">
        <v>62.6</v>
      </c>
      <c r="F15375" s="689">
        <v>62.7</v>
      </c>
      <c r="G15375" s="689">
        <v>62.5</v>
      </c>
      <c r="H15375" s="693">
        <v>63</v>
      </c>
      <c r="I15375" s="689">
        <v>62.6</v>
      </c>
      <c r="J15375" s="689">
        <v>62.3</v>
      </c>
      <c r="K15375" s="689">
        <v>62.6</v>
      </c>
    </row>
    <row r="15376" spans="1:11">
      <c r="A15376" s="688" t="s">
        <v>17</v>
      </c>
      <c r="B15376" s="691">
        <v>61.7</v>
      </c>
      <c r="C15376" s="691">
        <v>61.7</v>
      </c>
      <c r="D15376" s="691">
        <v>61.5</v>
      </c>
      <c r="E15376" s="691">
        <v>61.6</v>
      </c>
      <c r="F15376" s="691">
        <v>61.7</v>
      </c>
      <c r="G15376" s="691">
        <v>61.7</v>
      </c>
      <c r="H15376" s="615">
        <v>62</v>
      </c>
      <c r="I15376" s="691">
        <v>61.5</v>
      </c>
      <c r="J15376" s="691">
        <v>61.4</v>
      </c>
      <c r="K15376" s="691">
        <v>61.5</v>
      </c>
    </row>
    <row r="15377" spans="1:11">
      <c r="A15377" s="688" t="s">
        <v>19</v>
      </c>
      <c r="B15377" s="689">
        <v>62.2</v>
      </c>
      <c r="C15377" s="689">
        <v>62.2</v>
      </c>
      <c r="D15377" s="693">
        <v>62</v>
      </c>
      <c r="E15377" s="689">
        <v>62.4</v>
      </c>
      <c r="F15377" s="689">
        <v>62.3</v>
      </c>
      <c r="G15377" s="689">
        <v>62.4</v>
      </c>
      <c r="H15377" s="689">
        <v>62.6</v>
      </c>
      <c r="I15377" s="689">
        <v>62.2</v>
      </c>
      <c r="J15377" s="689">
        <v>62.1</v>
      </c>
      <c r="K15377" s="689">
        <v>62.2</v>
      </c>
    </row>
    <row r="15378" spans="1:11">
      <c r="A15378" s="688" t="s">
        <v>20</v>
      </c>
      <c r="B15378" s="691">
        <v>59.8</v>
      </c>
      <c r="C15378" s="615">
        <v>60</v>
      </c>
      <c r="D15378" s="691">
        <v>59.8</v>
      </c>
      <c r="E15378" s="691">
        <v>60.2</v>
      </c>
      <c r="F15378" s="615">
        <v>60</v>
      </c>
      <c r="G15378" s="615">
        <v>60</v>
      </c>
      <c r="H15378" s="691">
        <v>60.2</v>
      </c>
      <c r="I15378" s="615">
        <v>59</v>
      </c>
      <c r="J15378" s="615">
        <v>58</v>
      </c>
      <c r="K15378" s="691">
        <v>59.5</v>
      </c>
    </row>
    <row r="15379" spans="1:11">
      <c r="A15379" s="688" t="s">
        <v>21</v>
      </c>
      <c r="B15379" s="689">
        <v>62.4</v>
      </c>
      <c r="C15379" s="689">
        <v>62.7</v>
      </c>
      <c r="D15379" s="689">
        <v>62.6</v>
      </c>
      <c r="E15379" s="689">
        <v>62.7</v>
      </c>
      <c r="F15379" s="689">
        <v>62.9</v>
      </c>
      <c r="G15379" s="689">
        <v>62.9</v>
      </c>
      <c r="H15379" s="689">
        <v>63.2</v>
      </c>
      <c r="I15379" s="689">
        <v>62.6</v>
      </c>
      <c r="J15379" s="689">
        <v>62.6</v>
      </c>
      <c r="K15379" s="689">
        <v>62.8</v>
      </c>
    </row>
    <row r="15380" spans="1:11">
      <c r="A15380" s="688" t="s">
        <v>22</v>
      </c>
      <c r="B15380" s="691">
        <v>57.7</v>
      </c>
      <c r="C15380" s="691">
        <v>57.4</v>
      </c>
      <c r="D15380" s="691">
        <v>57.4</v>
      </c>
      <c r="E15380" s="691">
        <v>57.7</v>
      </c>
      <c r="F15380" s="691">
        <v>57.7</v>
      </c>
      <c r="G15380" s="691">
        <v>57.8</v>
      </c>
      <c r="H15380" s="691">
        <v>58.2</v>
      </c>
      <c r="I15380" s="691">
        <v>56.9</v>
      </c>
      <c r="J15380" s="691">
        <v>55.3</v>
      </c>
      <c r="K15380" s="691">
        <v>57.8</v>
      </c>
    </row>
    <row r="15381" spans="1:11">
      <c r="A15381" s="688" t="s">
        <v>26</v>
      </c>
      <c r="B15381" s="693">
        <v>62</v>
      </c>
      <c r="C15381" s="693">
        <v>62</v>
      </c>
      <c r="D15381" s="689">
        <v>61.8</v>
      </c>
      <c r="E15381" s="689">
        <v>62.3</v>
      </c>
      <c r="F15381" s="693">
        <v>62</v>
      </c>
      <c r="G15381" s="689">
        <v>62.3</v>
      </c>
      <c r="H15381" s="689">
        <v>62.5</v>
      </c>
      <c r="I15381" s="689">
        <v>61.6</v>
      </c>
      <c r="J15381" s="693">
        <v>62</v>
      </c>
      <c r="K15381" s="689">
        <v>62.2</v>
      </c>
    </row>
    <row r="15382" spans="1:11">
      <c r="A15382" s="688" t="s">
        <v>25</v>
      </c>
      <c r="B15382" s="691">
        <v>58.8</v>
      </c>
      <c r="C15382" s="691">
        <v>59.1</v>
      </c>
      <c r="D15382" s="691">
        <v>58.8</v>
      </c>
      <c r="E15382" s="691">
        <v>59.2</v>
      </c>
      <c r="F15382" s="691">
        <v>59.2</v>
      </c>
      <c r="G15382" s="691">
        <v>59.3</v>
      </c>
      <c r="H15382" s="691">
        <v>59.7</v>
      </c>
      <c r="I15382" s="615">
        <v>59</v>
      </c>
      <c r="J15382" s="691">
        <v>56.8</v>
      </c>
      <c r="K15382" s="615">
        <v>59</v>
      </c>
    </row>
    <row r="15383" spans="1:11">
      <c r="A15383" s="688" t="s">
        <v>5</v>
      </c>
      <c r="B15383" s="689">
        <v>62.5</v>
      </c>
      <c r="C15383" s="689">
        <v>62.2</v>
      </c>
      <c r="D15383" s="689">
        <v>62.5</v>
      </c>
      <c r="E15383" s="689">
        <v>62.5</v>
      </c>
      <c r="F15383" s="689">
        <v>62.6</v>
      </c>
      <c r="G15383" s="689">
        <v>62.7</v>
      </c>
      <c r="H15383" s="689">
        <v>62.9</v>
      </c>
      <c r="I15383" s="689">
        <v>62.9</v>
      </c>
      <c r="J15383" s="689">
        <v>62.8</v>
      </c>
      <c r="K15383" s="689">
        <v>62.1</v>
      </c>
    </row>
    <row r="15384" spans="1:11">
      <c r="A15384" s="688" t="s">
        <v>23</v>
      </c>
      <c r="B15384" s="691">
        <v>62.2</v>
      </c>
      <c r="C15384" s="691">
        <v>62.4</v>
      </c>
      <c r="D15384" s="691">
        <v>62.4</v>
      </c>
      <c r="E15384" s="691">
        <v>62.5</v>
      </c>
      <c r="F15384" s="691">
        <v>62.5</v>
      </c>
      <c r="G15384" s="691">
        <v>62.6</v>
      </c>
      <c r="H15384" s="691">
        <v>63.1</v>
      </c>
      <c r="I15384" s="691">
        <v>62.6</v>
      </c>
      <c r="J15384" s="691">
        <v>63.1</v>
      </c>
      <c r="K15384" s="691">
        <v>63.1</v>
      </c>
    </row>
    <row r="15385" spans="1:11">
      <c r="A15385" s="688" t="s">
        <v>4067</v>
      </c>
      <c r="B15385" s="689">
        <v>61.8</v>
      </c>
      <c r="C15385" s="689">
        <v>62.1</v>
      </c>
      <c r="D15385" s="689">
        <v>61.7</v>
      </c>
      <c r="E15385" s="689">
        <v>62.1</v>
      </c>
      <c r="F15385" s="693">
        <v>62</v>
      </c>
      <c r="G15385" s="689">
        <v>62.1</v>
      </c>
      <c r="H15385" s="690" t="s">
        <v>4060</v>
      </c>
      <c r="I15385" s="690" t="s">
        <v>4060</v>
      </c>
      <c r="J15385" s="690" t="s">
        <v>4060</v>
      </c>
      <c r="K15385" s="690" t="s">
        <v>4060</v>
      </c>
    </row>
    <row r="15386" spans="1:11">
      <c r="A15386" s="688" t="s">
        <v>4066</v>
      </c>
      <c r="B15386" s="691">
        <v>61.8</v>
      </c>
      <c r="C15386" s="691">
        <v>62.1</v>
      </c>
      <c r="D15386" s="691">
        <v>61.8</v>
      </c>
      <c r="E15386" s="691">
        <v>62.1</v>
      </c>
      <c r="F15386" s="615">
        <v>62</v>
      </c>
      <c r="G15386" s="691">
        <v>62.1</v>
      </c>
      <c r="H15386" s="692" t="s">
        <v>4060</v>
      </c>
      <c r="I15386" s="692" t="s">
        <v>4060</v>
      </c>
      <c r="J15386" s="692" t="s">
        <v>4060</v>
      </c>
      <c r="K15386" s="692" t="s">
        <v>4060</v>
      </c>
    </row>
    <row r="15387" spans="1:11">
      <c r="A15387" s="688" t="s">
        <v>4062</v>
      </c>
      <c r="B15387" s="693">
        <v>63</v>
      </c>
      <c r="C15387" s="689">
        <v>63.1</v>
      </c>
      <c r="D15387" s="693">
        <v>63</v>
      </c>
      <c r="E15387" s="689">
        <v>63.2</v>
      </c>
      <c r="F15387" s="689">
        <v>63.4</v>
      </c>
      <c r="G15387" s="689">
        <v>63.5</v>
      </c>
      <c r="H15387" s="689">
        <v>63.6</v>
      </c>
      <c r="I15387" s="689">
        <v>63.4</v>
      </c>
      <c r="J15387" s="689">
        <v>63.6</v>
      </c>
      <c r="K15387" s="689">
        <v>63.4</v>
      </c>
    </row>
    <row r="15388" spans="1:11">
      <c r="A15388" s="688" t="s">
        <v>9</v>
      </c>
      <c r="B15388" s="691">
        <v>62.2</v>
      </c>
      <c r="C15388" s="691">
        <v>62.6</v>
      </c>
      <c r="D15388" s="615">
        <v>62</v>
      </c>
      <c r="E15388" s="691">
        <v>62.1</v>
      </c>
      <c r="F15388" s="691">
        <v>62.6</v>
      </c>
      <c r="G15388" s="691">
        <v>62.4</v>
      </c>
      <c r="H15388" s="691">
        <v>62.6</v>
      </c>
      <c r="I15388" s="691">
        <v>62.7</v>
      </c>
      <c r="J15388" s="691">
        <v>62.9</v>
      </c>
      <c r="K15388" s="691">
        <v>61.9</v>
      </c>
    </row>
    <row r="15389" spans="1:11">
      <c r="A15389" s="688" t="s">
        <v>13</v>
      </c>
      <c r="B15389" s="689">
        <v>62.9</v>
      </c>
      <c r="C15389" s="689">
        <v>61.9</v>
      </c>
      <c r="D15389" s="689">
        <v>62.9</v>
      </c>
      <c r="E15389" s="689">
        <v>62.6</v>
      </c>
      <c r="F15389" s="689">
        <v>63.8</v>
      </c>
      <c r="G15389" s="689">
        <v>63.9</v>
      </c>
      <c r="H15389" s="689">
        <v>63.5</v>
      </c>
      <c r="I15389" s="689">
        <v>63.1</v>
      </c>
      <c r="J15389" s="689">
        <v>64.099999999999994</v>
      </c>
      <c r="K15389" s="689">
        <v>63.2</v>
      </c>
    </row>
    <row r="15390" spans="1:11">
      <c r="A15390" s="688" t="s">
        <v>18</v>
      </c>
      <c r="B15390" s="691">
        <v>62.1</v>
      </c>
      <c r="C15390" s="691">
        <v>62.4</v>
      </c>
      <c r="D15390" s="691">
        <v>62.5</v>
      </c>
      <c r="E15390" s="691">
        <v>62.5</v>
      </c>
      <c r="F15390" s="691">
        <v>62.6</v>
      </c>
      <c r="G15390" s="691">
        <v>62.8</v>
      </c>
      <c r="H15390" s="615">
        <v>63</v>
      </c>
      <c r="I15390" s="691">
        <v>63.2</v>
      </c>
      <c r="J15390" s="615">
        <v>63</v>
      </c>
      <c r="K15390" s="691">
        <v>62.6</v>
      </c>
    </row>
    <row r="15391" spans="1:11">
      <c r="A15391" s="688" t="s">
        <v>24</v>
      </c>
      <c r="B15391" s="689">
        <v>63.5</v>
      </c>
      <c r="C15391" s="689">
        <v>63.6</v>
      </c>
      <c r="D15391" s="689">
        <v>63.4</v>
      </c>
      <c r="E15391" s="689">
        <v>63.7</v>
      </c>
      <c r="F15391" s="689">
        <v>63.8</v>
      </c>
      <c r="G15391" s="689">
        <v>63.9</v>
      </c>
      <c r="H15391" s="693">
        <v>64</v>
      </c>
      <c r="I15391" s="689">
        <v>63.5</v>
      </c>
      <c r="J15391" s="693">
        <v>64</v>
      </c>
      <c r="K15391" s="689">
        <v>63.8</v>
      </c>
    </row>
    <row r="15392" spans="1:11">
      <c r="A15392" s="688" t="s">
        <v>4059</v>
      </c>
      <c r="B15392" s="691">
        <v>61.4</v>
      </c>
      <c r="C15392" s="691">
        <v>61.7</v>
      </c>
      <c r="D15392" s="691">
        <v>61.3</v>
      </c>
      <c r="E15392" s="691">
        <v>61.5</v>
      </c>
      <c r="F15392" s="691">
        <v>61.5</v>
      </c>
      <c r="G15392" s="691">
        <v>61.5</v>
      </c>
      <c r="H15392" s="692" t="s">
        <v>4060</v>
      </c>
      <c r="I15392" s="692" t="s">
        <v>4060</v>
      </c>
      <c r="J15392" s="692" t="s">
        <v>4060</v>
      </c>
      <c r="K15392" s="692" t="s">
        <v>4060</v>
      </c>
    </row>
    <row r="15393" spans="1:11">
      <c r="A15393" s="688" t="s">
        <v>2324</v>
      </c>
      <c r="B15393" s="689">
        <v>57.5</v>
      </c>
      <c r="C15393" s="689">
        <v>57.5</v>
      </c>
      <c r="D15393" s="693">
        <v>57</v>
      </c>
      <c r="E15393" s="689">
        <v>57.4</v>
      </c>
      <c r="F15393" s="689">
        <v>57.6</v>
      </c>
      <c r="G15393" s="689">
        <v>57.6</v>
      </c>
      <c r="H15393" s="689">
        <v>57.9</v>
      </c>
      <c r="I15393" s="689">
        <v>57.2</v>
      </c>
      <c r="J15393" s="689">
        <v>55.3</v>
      </c>
      <c r="K15393" s="690" t="s">
        <v>4060</v>
      </c>
    </row>
    <row r="15394" spans="1:11">
      <c r="A15394" s="688" t="s">
        <v>2322</v>
      </c>
      <c r="B15394" s="692" t="s">
        <v>4060</v>
      </c>
      <c r="C15394" s="692" t="s">
        <v>4060</v>
      </c>
      <c r="D15394" s="692" t="s">
        <v>4060</v>
      </c>
      <c r="E15394" s="692" t="s">
        <v>4060</v>
      </c>
      <c r="F15394" s="692" t="s">
        <v>4060</v>
      </c>
      <c r="G15394" s="692" t="s">
        <v>4060</v>
      </c>
      <c r="H15394" s="692" t="s">
        <v>4060</v>
      </c>
      <c r="I15394" s="692" t="s">
        <v>4060</v>
      </c>
      <c r="J15394" s="692" t="s">
        <v>4060</v>
      </c>
      <c r="K15394" s="692" t="s">
        <v>4060</v>
      </c>
    </row>
    <row r="15395" spans="1:11">
      <c r="A15395" s="688" t="s">
        <v>2328</v>
      </c>
      <c r="B15395" s="689">
        <v>56.6</v>
      </c>
      <c r="C15395" s="689">
        <v>56.5</v>
      </c>
      <c r="D15395" s="689">
        <v>56.3</v>
      </c>
      <c r="E15395" s="689">
        <v>56.7</v>
      </c>
      <c r="F15395" s="689">
        <v>56.9</v>
      </c>
      <c r="G15395" s="689">
        <v>57.3</v>
      </c>
      <c r="H15395" s="689">
        <v>57.2</v>
      </c>
      <c r="I15395" s="689">
        <v>55.4</v>
      </c>
      <c r="J15395" s="693">
        <v>54</v>
      </c>
      <c r="K15395" s="690" t="s">
        <v>4060</v>
      </c>
    </row>
    <row r="15396" spans="1:11">
      <c r="A15396" s="688" t="s">
        <v>2496</v>
      </c>
      <c r="B15396" s="692" t="s">
        <v>4060</v>
      </c>
      <c r="C15396" s="691">
        <v>57.4</v>
      </c>
      <c r="D15396" s="691">
        <v>56.4</v>
      </c>
      <c r="E15396" s="691">
        <v>56.1</v>
      </c>
      <c r="F15396" s="691">
        <v>56.8</v>
      </c>
      <c r="G15396" s="691">
        <v>57.1</v>
      </c>
      <c r="H15396" s="691">
        <v>57.2</v>
      </c>
      <c r="I15396" s="692" t="s">
        <v>4060</v>
      </c>
      <c r="J15396" s="692" t="s">
        <v>4060</v>
      </c>
      <c r="K15396" s="615">
        <v>57</v>
      </c>
    </row>
    <row r="15397" spans="1:11">
      <c r="A15397" s="688" t="s">
        <v>2269</v>
      </c>
      <c r="B15397" s="689">
        <v>59.1</v>
      </c>
      <c r="C15397" s="689">
        <v>59.2</v>
      </c>
      <c r="D15397" s="689">
        <v>58.6</v>
      </c>
      <c r="E15397" s="689">
        <v>59.2</v>
      </c>
      <c r="F15397" s="693">
        <v>59</v>
      </c>
      <c r="G15397" s="689">
        <v>59.5</v>
      </c>
      <c r="H15397" s="689">
        <v>59.8</v>
      </c>
      <c r="I15397" s="689">
        <v>58.6</v>
      </c>
      <c r="J15397" s="689">
        <v>56.5</v>
      </c>
      <c r="K15397" s="689">
        <v>59.5</v>
      </c>
    </row>
    <row r="15398" spans="1:11">
      <c r="A15398" s="688" t="s">
        <v>2349</v>
      </c>
      <c r="B15398" s="691">
        <v>56.6</v>
      </c>
      <c r="C15398" s="691">
        <v>56.6</v>
      </c>
      <c r="D15398" s="691">
        <v>56.5</v>
      </c>
      <c r="E15398" s="691">
        <v>56.8</v>
      </c>
      <c r="F15398" s="691">
        <v>56.7</v>
      </c>
      <c r="G15398" s="615">
        <v>57</v>
      </c>
      <c r="H15398" s="691">
        <v>57.2</v>
      </c>
      <c r="I15398" s="615">
        <v>56</v>
      </c>
      <c r="J15398" s="691">
        <v>54.3</v>
      </c>
      <c r="K15398" s="691">
        <v>56.3</v>
      </c>
    </row>
    <row r="15399" spans="1:11">
      <c r="A15399" s="688" t="s">
        <v>2355</v>
      </c>
      <c r="B15399" s="689">
        <v>60.4</v>
      </c>
      <c r="C15399" s="689">
        <v>60.2</v>
      </c>
      <c r="D15399" s="689">
        <v>60.2</v>
      </c>
      <c r="E15399" s="689">
        <v>60.2</v>
      </c>
      <c r="F15399" s="689">
        <v>60.4</v>
      </c>
      <c r="G15399" s="689">
        <v>60.7</v>
      </c>
      <c r="H15399" s="689">
        <v>60.8</v>
      </c>
      <c r="I15399" s="690" t="s">
        <v>4060</v>
      </c>
      <c r="J15399" s="690" t="s">
        <v>4060</v>
      </c>
      <c r="K15399" s="690" t="s">
        <v>4060</v>
      </c>
    </row>
    <row r="15400" spans="1:11">
      <c r="A15400" s="688" t="s">
        <v>2357</v>
      </c>
      <c r="B15400" s="692" t="s">
        <v>4060</v>
      </c>
      <c r="C15400" s="691">
        <v>55.6</v>
      </c>
      <c r="D15400" s="691">
        <v>56.2</v>
      </c>
      <c r="E15400" s="691">
        <v>56.4</v>
      </c>
      <c r="F15400" s="691">
        <v>56.8</v>
      </c>
      <c r="G15400" s="691">
        <v>56.8</v>
      </c>
      <c r="H15400" s="615">
        <v>57</v>
      </c>
      <c r="I15400" s="692" t="s">
        <v>4060</v>
      </c>
      <c r="J15400" s="692" t="s">
        <v>4060</v>
      </c>
      <c r="K15400" s="692" t="s">
        <v>4060</v>
      </c>
    </row>
    <row r="15401" spans="1:11">
      <c r="A15401" s="688" t="s">
        <v>4070</v>
      </c>
      <c r="B15401" s="690" t="s">
        <v>4060</v>
      </c>
      <c r="C15401" s="690" t="s">
        <v>4060</v>
      </c>
      <c r="D15401" s="690" t="s">
        <v>4060</v>
      </c>
      <c r="E15401" s="689">
        <v>60.2</v>
      </c>
      <c r="F15401" s="690" t="s">
        <v>4060</v>
      </c>
      <c r="G15401" s="690" t="s">
        <v>4060</v>
      </c>
      <c r="H15401" s="690" t="s">
        <v>4060</v>
      </c>
      <c r="I15401" s="690" t="s">
        <v>4060</v>
      </c>
      <c r="J15401" s="690" t="s">
        <v>4060</v>
      </c>
      <c r="K15401" s="690" t="s">
        <v>4060</v>
      </c>
    </row>
    <row r="15402" spans="1:11">
      <c r="A15402" s="688" t="s">
        <v>2491</v>
      </c>
      <c r="B15402" s="691">
        <v>56.6</v>
      </c>
      <c r="C15402" s="691">
        <v>57.1</v>
      </c>
      <c r="D15402" s="691">
        <v>57.5</v>
      </c>
      <c r="E15402" s="691">
        <v>57.6</v>
      </c>
      <c r="F15402" s="691">
        <v>57.8</v>
      </c>
      <c r="G15402" s="691">
        <v>57.9</v>
      </c>
      <c r="H15402" s="692" t="s">
        <v>4060</v>
      </c>
      <c r="I15402" s="692" t="s">
        <v>4060</v>
      </c>
      <c r="J15402" s="692" t="s">
        <v>4060</v>
      </c>
      <c r="K15402" s="692" t="s">
        <v>4060</v>
      </c>
    </row>
    <row r="15403" spans="1:11">
      <c r="A15403" s="688" t="s">
        <v>2343</v>
      </c>
      <c r="B15403" s="690" t="s">
        <v>4060</v>
      </c>
      <c r="C15403" s="690" t="s">
        <v>4060</v>
      </c>
      <c r="D15403" s="690" t="s">
        <v>4060</v>
      </c>
      <c r="E15403" s="690" t="s">
        <v>4060</v>
      </c>
      <c r="F15403" s="690" t="s">
        <v>4060</v>
      </c>
      <c r="G15403" s="690" t="s">
        <v>4060</v>
      </c>
      <c r="H15403" s="690" t="s">
        <v>4060</v>
      </c>
      <c r="I15403" s="690" t="s">
        <v>4060</v>
      </c>
      <c r="J15403" s="690" t="s">
        <v>4060</v>
      </c>
      <c r="K15403" s="690" t="s">
        <v>4060</v>
      </c>
    </row>
    <row r="15404" spans="1:11">
      <c r="A15404" s="688" t="s">
        <v>4071</v>
      </c>
      <c r="B15404" s="692" t="s">
        <v>4060</v>
      </c>
      <c r="C15404" s="692" t="s">
        <v>4060</v>
      </c>
      <c r="D15404" s="692" t="s">
        <v>4060</v>
      </c>
      <c r="E15404" s="692" t="s">
        <v>4060</v>
      </c>
      <c r="F15404" s="692" t="s">
        <v>4060</v>
      </c>
      <c r="G15404" s="692" t="s">
        <v>4060</v>
      </c>
      <c r="H15404" s="692" t="s">
        <v>4060</v>
      </c>
      <c r="I15404" s="692" t="s">
        <v>4060</v>
      </c>
      <c r="J15404" s="692" t="s">
        <v>4060</v>
      </c>
      <c r="K15404" s="692" t="s">
        <v>4060</v>
      </c>
    </row>
    <row r="15405" spans="1:11">
      <c r="A15405" s="688" t="s">
        <v>2489</v>
      </c>
      <c r="B15405" s="690" t="s">
        <v>4060</v>
      </c>
      <c r="C15405" s="690" t="s">
        <v>4060</v>
      </c>
      <c r="D15405" s="689">
        <v>57.1</v>
      </c>
      <c r="E15405" s="689">
        <v>57.3</v>
      </c>
      <c r="F15405" s="689">
        <v>57.8</v>
      </c>
      <c r="G15405" s="689">
        <v>58.5</v>
      </c>
      <c r="H15405" s="689">
        <v>58.4</v>
      </c>
      <c r="I15405" s="690" t="s">
        <v>4060</v>
      </c>
      <c r="J15405" s="690" t="s">
        <v>4060</v>
      </c>
      <c r="K15405" s="690" t="s">
        <v>4060</v>
      </c>
    </row>
    <row r="15406" spans="1:11">
      <c r="A15406" s="688" t="s">
        <v>2490</v>
      </c>
      <c r="B15406" s="691">
        <v>56.4</v>
      </c>
      <c r="C15406" s="691">
        <v>56.5</v>
      </c>
      <c r="D15406" s="691">
        <v>56.9</v>
      </c>
      <c r="E15406" s="692" t="s">
        <v>4060</v>
      </c>
      <c r="F15406" s="691">
        <v>57.1</v>
      </c>
      <c r="G15406" s="691">
        <v>57.5</v>
      </c>
      <c r="H15406" s="691">
        <v>58.1</v>
      </c>
      <c r="I15406" s="692" t="s">
        <v>4060</v>
      </c>
      <c r="J15406" s="692" t="s">
        <v>4060</v>
      </c>
      <c r="K15406" s="692" t="s">
        <v>4060</v>
      </c>
    </row>
    <row r="15408" spans="1:11">
      <c r="A15408" s="683" t="s">
        <v>4233</v>
      </c>
    </row>
    <row r="15409" spans="1:11">
      <c r="A15409" s="683" t="s">
        <v>4060</v>
      </c>
      <c r="B15409" s="682" t="s">
        <v>4234</v>
      </c>
    </row>
    <row r="15411" spans="1:11">
      <c r="A15411" s="682" t="s">
        <v>4332</v>
      </c>
    </row>
    <row r="15412" spans="1:11">
      <c r="A15412" s="682" t="s">
        <v>4210</v>
      </c>
      <c r="B15412" s="683" t="s">
        <v>4211</v>
      </c>
    </row>
    <row r="15413" spans="1:11">
      <c r="A15413" s="682" t="s">
        <v>4212</v>
      </c>
      <c r="B15413" s="682" t="s">
        <v>4213</v>
      </c>
    </row>
    <row r="15415" spans="1:11">
      <c r="A15415" s="683" t="s">
        <v>4214</v>
      </c>
      <c r="C15415" s="682" t="s">
        <v>4215</v>
      </c>
    </row>
    <row r="15416" spans="1:11">
      <c r="A15416" s="683" t="s">
        <v>4216</v>
      </c>
      <c r="C15416" s="682" t="s">
        <v>2967</v>
      </c>
    </row>
    <row r="15417" spans="1:11">
      <c r="A15417" s="683" t="s">
        <v>3893</v>
      </c>
      <c r="C15417" s="682" t="s">
        <v>2169</v>
      </c>
    </row>
    <row r="15418" spans="1:11">
      <c r="A15418" s="683" t="s">
        <v>4218</v>
      </c>
      <c r="C15418" s="682" t="s">
        <v>4258</v>
      </c>
    </row>
    <row r="15420" spans="1:11">
      <c r="A15420" s="684" t="s">
        <v>4220</v>
      </c>
      <c r="B15420" s="685" t="s">
        <v>4221</v>
      </c>
      <c r="C15420" s="685" t="s">
        <v>4222</v>
      </c>
      <c r="D15420" s="685" t="s">
        <v>4223</v>
      </c>
      <c r="E15420" s="685" t="s">
        <v>4224</v>
      </c>
      <c r="F15420" s="685" t="s">
        <v>4225</v>
      </c>
      <c r="G15420" s="685" t="s">
        <v>4226</v>
      </c>
      <c r="H15420" s="685" t="s">
        <v>4227</v>
      </c>
      <c r="I15420" s="685" t="s">
        <v>4228</v>
      </c>
      <c r="J15420" s="685" t="s">
        <v>4229</v>
      </c>
      <c r="K15420" s="685" t="s">
        <v>4230</v>
      </c>
    </row>
    <row r="15421" spans="1:11">
      <c r="A15421" s="686" t="s">
        <v>4231</v>
      </c>
      <c r="B15421" s="687" t="s">
        <v>4232</v>
      </c>
      <c r="C15421" s="687" t="s">
        <v>4232</v>
      </c>
      <c r="D15421" s="687" t="s">
        <v>4232</v>
      </c>
      <c r="E15421" s="687" t="s">
        <v>4232</v>
      </c>
      <c r="F15421" s="687" t="s">
        <v>4232</v>
      </c>
      <c r="G15421" s="687" t="s">
        <v>4232</v>
      </c>
      <c r="H15421" s="687" t="s">
        <v>4232</v>
      </c>
      <c r="I15421" s="687" t="s">
        <v>4232</v>
      </c>
      <c r="J15421" s="687" t="s">
        <v>4232</v>
      </c>
      <c r="K15421" s="687" t="s">
        <v>4232</v>
      </c>
    </row>
    <row r="15422" spans="1:11">
      <c r="A15422" s="688" t="s">
        <v>4064</v>
      </c>
      <c r="B15422" s="691">
        <v>60.8</v>
      </c>
      <c r="C15422" s="691">
        <v>60.8</v>
      </c>
      <c r="D15422" s="691">
        <v>60.8</v>
      </c>
      <c r="E15422" s="691">
        <v>60.9</v>
      </c>
      <c r="F15422" s="691">
        <v>60.9</v>
      </c>
      <c r="G15422" s="615">
        <v>61</v>
      </c>
      <c r="H15422" s="691">
        <v>61.2</v>
      </c>
      <c r="I15422" s="691">
        <v>60.5</v>
      </c>
      <c r="J15422" s="691">
        <v>60.2</v>
      </c>
      <c r="K15422" s="691">
        <v>60.7</v>
      </c>
    </row>
    <row r="15423" spans="1:11">
      <c r="A15423" s="688" t="s">
        <v>4065</v>
      </c>
      <c r="B15423" s="689">
        <v>60.8</v>
      </c>
      <c r="C15423" s="689">
        <v>61.1</v>
      </c>
      <c r="D15423" s="689">
        <v>60.7</v>
      </c>
      <c r="E15423" s="689">
        <v>61.1</v>
      </c>
      <c r="F15423" s="693">
        <v>61</v>
      </c>
      <c r="G15423" s="689">
        <v>61.1</v>
      </c>
      <c r="H15423" s="690" t="s">
        <v>4060</v>
      </c>
      <c r="I15423" s="690" t="s">
        <v>4060</v>
      </c>
      <c r="J15423" s="690" t="s">
        <v>4060</v>
      </c>
      <c r="K15423" s="690" t="s">
        <v>4060</v>
      </c>
    </row>
    <row r="15424" spans="1:11">
      <c r="A15424" s="688" t="s">
        <v>4063</v>
      </c>
      <c r="B15424" s="691">
        <v>60.8</v>
      </c>
      <c r="C15424" s="691">
        <v>61.1</v>
      </c>
      <c r="D15424" s="691">
        <v>60.8</v>
      </c>
      <c r="E15424" s="691">
        <v>61.1</v>
      </c>
      <c r="F15424" s="615">
        <v>61</v>
      </c>
      <c r="G15424" s="691">
        <v>61.1</v>
      </c>
      <c r="H15424" s="692" t="s">
        <v>4060</v>
      </c>
      <c r="I15424" s="692" t="s">
        <v>4060</v>
      </c>
      <c r="J15424" s="692" t="s">
        <v>4060</v>
      </c>
      <c r="K15424" s="692" t="s">
        <v>4060</v>
      </c>
    </row>
    <row r="15425" spans="1:11">
      <c r="A15425" s="688" t="s">
        <v>4069</v>
      </c>
      <c r="B15425" s="690" t="s">
        <v>4060</v>
      </c>
      <c r="C15425" s="689">
        <v>61.6</v>
      </c>
      <c r="D15425" s="689">
        <v>61.3</v>
      </c>
      <c r="E15425" s="689">
        <v>61.7</v>
      </c>
      <c r="F15425" s="689">
        <v>61.7</v>
      </c>
      <c r="G15425" s="689">
        <v>61.8</v>
      </c>
      <c r="H15425" s="693">
        <v>62</v>
      </c>
      <c r="I15425" s="689">
        <v>61.4</v>
      </c>
      <c r="J15425" s="689">
        <v>61.4</v>
      </c>
      <c r="K15425" s="689">
        <v>61.5</v>
      </c>
    </row>
    <row r="15426" spans="1:11">
      <c r="A15426" s="688" t="s">
        <v>4068</v>
      </c>
      <c r="B15426" s="691">
        <v>61.7</v>
      </c>
      <c r="C15426" s="692" t="s">
        <v>4060</v>
      </c>
      <c r="D15426" s="692" t="s">
        <v>4060</v>
      </c>
      <c r="E15426" s="692" t="s">
        <v>4060</v>
      </c>
      <c r="F15426" s="692" t="s">
        <v>4060</v>
      </c>
      <c r="G15426" s="692" t="s">
        <v>4060</v>
      </c>
      <c r="H15426" s="692" t="s">
        <v>4060</v>
      </c>
      <c r="I15426" s="692" t="s">
        <v>4060</v>
      </c>
      <c r="J15426" s="692" t="s">
        <v>4060</v>
      </c>
      <c r="K15426" s="692" t="s">
        <v>4060</v>
      </c>
    </row>
    <row r="15427" spans="1:11">
      <c r="A15427" s="688" t="s">
        <v>0</v>
      </c>
      <c r="B15427" s="689">
        <v>60.7</v>
      </c>
      <c r="C15427" s="689">
        <v>60.9</v>
      </c>
      <c r="D15427" s="689">
        <v>60.6</v>
      </c>
      <c r="E15427" s="689">
        <v>61.1</v>
      </c>
      <c r="F15427" s="689">
        <v>61.1</v>
      </c>
      <c r="G15427" s="689">
        <v>61.2</v>
      </c>
      <c r="H15427" s="689">
        <v>61.5</v>
      </c>
      <c r="I15427" s="689">
        <v>60.5</v>
      </c>
      <c r="J15427" s="689">
        <v>61.5</v>
      </c>
      <c r="K15427" s="689">
        <v>61.2</v>
      </c>
    </row>
    <row r="15428" spans="1:11">
      <c r="A15428" s="688" t="s">
        <v>1</v>
      </c>
      <c r="B15428" s="691">
        <v>56.5</v>
      </c>
      <c r="C15428" s="691">
        <v>55.8</v>
      </c>
      <c r="D15428" s="691">
        <v>55.9</v>
      </c>
      <c r="E15428" s="691">
        <v>56.1</v>
      </c>
      <c r="F15428" s="615">
        <v>56</v>
      </c>
      <c r="G15428" s="691">
        <v>56.2</v>
      </c>
      <c r="H15428" s="691">
        <v>56.4</v>
      </c>
      <c r="I15428" s="615">
        <v>55</v>
      </c>
      <c r="J15428" s="691">
        <v>52.8</v>
      </c>
      <c r="K15428" s="691">
        <v>55.6</v>
      </c>
    </row>
    <row r="15429" spans="1:11">
      <c r="A15429" s="688" t="s">
        <v>2240</v>
      </c>
      <c r="B15429" s="689">
        <v>58.7</v>
      </c>
      <c r="C15429" s="689">
        <v>59.1</v>
      </c>
      <c r="D15429" s="689">
        <v>58.9</v>
      </c>
      <c r="E15429" s="689">
        <v>59.3</v>
      </c>
      <c r="F15429" s="689">
        <v>59.3</v>
      </c>
      <c r="G15429" s="689">
        <v>59.3</v>
      </c>
      <c r="H15429" s="689">
        <v>59.5</v>
      </c>
      <c r="I15429" s="689">
        <v>58.7</v>
      </c>
      <c r="J15429" s="689">
        <v>57.8</v>
      </c>
      <c r="K15429" s="689">
        <v>59.3</v>
      </c>
    </row>
    <row r="15430" spans="1:11">
      <c r="A15430" s="688" t="s">
        <v>2</v>
      </c>
      <c r="B15430" s="691">
        <v>59.8</v>
      </c>
      <c r="C15430" s="691">
        <v>60.1</v>
      </c>
      <c r="D15430" s="691">
        <v>60.1</v>
      </c>
      <c r="E15430" s="691">
        <v>60.2</v>
      </c>
      <c r="F15430" s="691">
        <v>60.5</v>
      </c>
      <c r="G15430" s="691">
        <v>60.3</v>
      </c>
      <c r="H15430" s="691">
        <v>60.8</v>
      </c>
      <c r="I15430" s="691">
        <v>60.9</v>
      </c>
      <c r="J15430" s="691">
        <v>60.7</v>
      </c>
      <c r="K15430" s="691">
        <v>60.6</v>
      </c>
    </row>
    <row r="15431" spans="1:11">
      <c r="A15431" s="688" t="s">
        <v>3</v>
      </c>
      <c r="B15431" s="689">
        <v>60.5</v>
      </c>
      <c r="C15431" s="689">
        <v>60.8</v>
      </c>
      <c r="D15431" s="689">
        <v>60.4</v>
      </c>
      <c r="E15431" s="689">
        <v>60.7</v>
      </c>
      <c r="F15431" s="689">
        <v>60.7</v>
      </c>
      <c r="G15431" s="689">
        <v>60.7</v>
      </c>
      <c r="H15431" s="693">
        <v>61</v>
      </c>
      <c r="I15431" s="689">
        <v>60.8</v>
      </c>
      <c r="J15431" s="689">
        <v>60.6</v>
      </c>
      <c r="K15431" s="689">
        <v>60.4</v>
      </c>
    </row>
    <row r="15432" spans="1:11">
      <c r="A15432" s="688" t="s">
        <v>4061</v>
      </c>
      <c r="B15432" s="691">
        <v>60.5</v>
      </c>
      <c r="C15432" s="691">
        <v>60.8</v>
      </c>
      <c r="D15432" s="691">
        <v>60.4</v>
      </c>
      <c r="E15432" s="691">
        <v>60.7</v>
      </c>
      <c r="F15432" s="691">
        <v>60.7</v>
      </c>
      <c r="G15432" s="691">
        <v>60.7</v>
      </c>
      <c r="H15432" s="615">
        <v>61</v>
      </c>
      <c r="I15432" s="691">
        <v>60.8</v>
      </c>
      <c r="J15432" s="691">
        <v>60.6</v>
      </c>
      <c r="K15432" s="691">
        <v>60.4</v>
      </c>
    </row>
    <row r="15433" spans="1:11">
      <c r="A15433" s="688" t="s">
        <v>4</v>
      </c>
      <c r="B15433" s="689">
        <v>59.2</v>
      </c>
      <c r="C15433" s="693">
        <v>59</v>
      </c>
      <c r="D15433" s="689">
        <v>59.4</v>
      </c>
      <c r="E15433" s="689">
        <v>59.4</v>
      </c>
      <c r="F15433" s="689">
        <v>59.8</v>
      </c>
      <c r="G15433" s="689">
        <v>59.8</v>
      </c>
      <c r="H15433" s="689">
        <v>60.1</v>
      </c>
      <c r="I15433" s="689">
        <v>60.1</v>
      </c>
      <c r="J15433" s="689">
        <v>58.7</v>
      </c>
      <c r="K15433" s="689">
        <v>59.7</v>
      </c>
    </row>
    <row r="15434" spans="1:11">
      <c r="A15434" s="688" t="s">
        <v>8</v>
      </c>
      <c r="B15434" s="691">
        <v>60.5</v>
      </c>
      <c r="C15434" s="691">
        <v>60.7</v>
      </c>
      <c r="D15434" s="691">
        <v>60.6</v>
      </c>
      <c r="E15434" s="691">
        <v>60.8</v>
      </c>
      <c r="F15434" s="691">
        <v>61.2</v>
      </c>
      <c r="G15434" s="691">
        <v>61.2</v>
      </c>
      <c r="H15434" s="691">
        <v>61.7</v>
      </c>
      <c r="I15434" s="691">
        <v>61.5</v>
      </c>
      <c r="J15434" s="691">
        <v>61.4</v>
      </c>
      <c r="K15434" s="691">
        <v>61.4</v>
      </c>
    </row>
    <row r="15435" spans="1:11">
      <c r="A15435" s="688" t="s">
        <v>7</v>
      </c>
      <c r="B15435" s="689">
        <v>61.5</v>
      </c>
      <c r="C15435" s="689">
        <v>61.2</v>
      </c>
      <c r="D15435" s="693">
        <v>61</v>
      </c>
      <c r="E15435" s="689">
        <v>61.2</v>
      </c>
      <c r="F15435" s="689">
        <v>61.2</v>
      </c>
      <c r="G15435" s="689">
        <v>61.7</v>
      </c>
      <c r="H15435" s="689">
        <v>61.6</v>
      </c>
      <c r="I15435" s="689">
        <v>61.2</v>
      </c>
      <c r="J15435" s="689">
        <v>60.3</v>
      </c>
      <c r="K15435" s="689">
        <v>60.8</v>
      </c>
    </row>
    <row r="15436" spans="1:11">
      <c r="A15436" s="688" t="s">
        <v>27</v>
      </c>
      <c r="B15436" s="691">
        <v>63.5</v>
      </c>
      <c r="C15436" s="615">
        <v>63</v>
      </c>
      <c r="D15436" s="691">
        <v>62.7</v>
      </c>
      <c r="E15436" s="691">
        <v>63.2</v>
      </c>
      <c r="F15436" s="691">
        <v>63.1</v>
      </c>
      <c r="G15436" s="691">
        <v>63.2</v>
      </c>
      <c r="H15436" s="691">
        <v>63.6</v>
      </c>
      <c r="I15436" s="691">
        <v>62.3</v>
      </c>
      <c r="J15436" s="691">
        <v>63.2</v>
      </c>
      <c r="K15436" s="691">
        <v>63.1</v>
      </c>
    </row>
    <row r="15437" spans="1:11">
      <c r="A15437" s="688" t="s">
        <v>6</v>
      </c>
      <c r="B15437" s="689">
        <v>63.1</v>
      </c>
      <c r="C15437" s="689">
        <v>62.9</v>
      </c>
      <c r="D15437" s="689">
        <v>62.6</v>
      </c>
      <c r="E15437" s="689">
        <v>62.8</v>
      </c>
      <c r="F15437" s="689">
        <v>62.9</v>
      </c>
      <c r="G15437" s="693">
        <v>63</v>
      </c>
      <c r="H15437" s="689">
        <v>63.1</v>
      </c>
      <c r="I15437" s="689">
        <v>62.6</v>
      </c>
      <c r="J15437" s="689">
        <v>62.7</v>
      </c>
      <c r="K15437" s="689">
        <v>62.6</v>
      </c>
    </row>
    <row r="15438" spans="1:11">
      <c r="A15438" s="688" t="s">
        <v>4058</v>
      </c>
      <c r="B15438" s="692" t="s">
        <v>4060</v>
      </c>
      <c r="C15438" s="692" t="s">
        <v>4060</v>
      </c>
      <c r="D15438" s="692" t="s">
        <v>4060</v>
      </c>
      <c r="E15438" s="692" t="s">
        <v>4060</v>
      </c>
      <c r="F15438" s="692" t="s">
        <v>4060</v>
      </c>
      <c r="G15438" s="692" t="s">
        <v>4060</v>
      </c>
      <c r="H15438" s="692" t="s">
        <v>4060</v>
      </c>
      <c r="I15438" s="692" t="s">
        <v>4060</v>
      </c>
      <c r="J15438" s="692" t="s">
        <v>4060</v>
      </c>
      <c r="K15438" s="692" t="s">
        <v>4060</v>
      </c>
    </row>
    <row r="15439" spans="1:11">
      <c r="A15439" s="688" t="s">
        <v>11</v>
      </c>
      <c r="B15439" s="689">
        <v>58.5</v>
      </c>
      <c r="C15439" s="689">
        <v>58.4</v>
      </c>
      <c r="D15439" s="689">
        <v>57.9</v>
      </c>
      <c r="E15439" s="689">
        <v>58.6</v>
      </c>
      <c r="F15439" s="689">
        <v>58.3</v>
      </c>
      <c r="G15439" s="689">
        <v>58.7</v>
      </c>
      <c r="H15439" s="689">
        <v>58.8</v>
      </c>
      <c r="I15439" s="689">
        <v>58.2</v>
      </c>
      <c r="J15439" s="689">
        <v>57.3</v>
      </c>
      <c r="K15439" s="689">
        <v>58.3</v>
      </c>
    </row>
    <row r="15440" spans="1:11">
      <c r="A15440" s="688" t="s">
        <v>10</v>
      </c>
      <c r="B15440" s="691">
        <v>62.6</v>
      </c>
      <c r="C15440" s="691">
        <v>62.4</v>
      </c>
      <c r="D15440" s="691">
        <v>61.9</v>
      </c>
      <c r="E15440" s="691">
        <v>62.5</v>
      </c>
      <c r="F15440" s="691">
        <v>62.3</v>
      </c>
      <c r="G15440" s="691">
        <v>62.6</v>
      </c>
      <c r="H15440" s="691">
        <v>62.8</v>
      </c>
      <c r="I15440" s="691">
        <v>61.8</v>
      </c>
      <c r="J15440" s="691">
        <v>62.1</v>
      </c>
      <c r="K15440" s="691">
        <v>62.1</v>
      </c>
    </row>
    <row r="15441" spans="1:11">
      <c r="A15441" s="688" t="s">
        <v>30</v>
      </c>
      <c r="B15441" s="689">
        <v>62.2</v>
      </c>
      <c r="C15441" s="689">
        <v>61.5</v>
      </c>
      <c r="D15441" s="689">
        <v>61.1</v>
      </c>
      <c r="E15441" s="689">
        <v>62.2</v>
      </c>
      <c r="F15441" s="689">
        <v>61.7</v>
      </c>
      <c r="G15441" s="689">
        <v>62.1</v>
      </c>
      <c r="H15441" s="693">
        <v>62</v>
      </c>
      <c r="I15441" s="689">
        <v>61.9</v>
      </c>
      <c r="J15441" s="689">
        <v>61.1</v>
      </c>
      <c r="K15441" s="689">
        <v>61.4</v>
      </c>
    </row>
    <row r="15442" spans="1:11">
      <c r="A15442" s="688" t="s">
        <v>12</v>
      </c>
      <c r="B15442" s="691">
        <v>56.5</v>
      </c>
      <c r="C15442" s="691">
        <v>56.9</v>
      </c>
      <c r="D15442" s="691">
        <v>56.9</v>
      </c>
      <c r="E15442" s="691">
        <v>57.1</v>
      </c>
      <c r="F15442" s="691">
        <v>57.1</v>
      </c>
      <c r="G15442" s="691">
        <v>57.1</v>
      </c>
      <c r="H15442" s="691">
        <v>57.7</v>
      </c>
      <c r="I15442" s="691">
        <v>57.4</v>
      </c>
      <c r="J15442" s="691">
        <v>55.4</v>
      </c>
      <c r="K15442" s="691">
        <v>56.9</v>
      </c>
    </row>
    <row r="15443" spans="1:11">
      <c r="A15443" s="688" t="s">
        <v>14</v>
      </c>
      <c r="B15443" s="689">
        <v>57.2</v>
      </c>
      <c r="C15443" s="689">
        <v>57.4</v>
      </c>
      <c r="D15443" s="689">
        <v>57.2</v>
      </c>
      <c r="E15443" s="689">
        <v>57.5</v>
      </c>
      <c r="F15443" s="689">
        <v>57.7</v>
      </c>
      <c r="G15443" s="689">
        <v>58.1</v>
      </c>
      <c r="H15443" s="689">
        <v>58.4</v>
      </c>
      <c r="I15443" s="689">
        <v>57.5</v>
      </c>
      <c r="J15443" s="689">
        <v>56.3</v>
      </c>
      <c r="K15443" s="689">
        <v>57.6</v>
      </c>
    </row>
    <row r="15444" spans="1:11">
      <c r="A15444" s="688" t="s">
        <v>15</v>
      </c>
      <c r="B15444" s="691">
        <v>61.3</v>
      </c>
      <c r="C15444" s="615">
        <v>62</v>
      </c>
      <c r="D15444" s="691">
        <v>61.4</v>
      </c>
      <c r="E15444" s="691">
        <v>62.2</v>
      </c>
      <c r="F15444" s="691">
        <v>61.3</v>
      </c>
      <c r="G15444" s="691">
        <v>61.8</v>
      </c>
      <c r="H15444" s="691">
        <v>62.1</v>
      </c>
      <c r="I15444" s="615">
        <v>62</v>
      </c>
      <c r="J15444" s="691">
        <v>62.1</v>
      </c>
      <c r="K15444" s="691">
        <v>62.3</v>
      </c>
    </row>
    <row r="15445" spans="1:11">
      <c r="A15445" s="688" t="s">
        <v>29</v>
      </c>
      <c r="B15445" s="689">
        <v>56.7</v>
      </c>
      <c r="C15445" s="689">
        <v>56.7</v>
      </c>
      <c r="D15445" s="689">
        <v>56.3</v>
      </c>
      <c r="E15445" s="689">
        <v>56.9</v>
      </c>
      <c r="F15445" s="689">
        <v>56.6</v>
      </c>
      <c r="G15445" s="689">
        <v>56.8</v>
      </c>
      <c r="H15445" s="693">
        <v>57</v>
      </c>
      <c r="I15445" s="689">
        <v>56.2</v>
      </c>
      <c r="J15445" s="693">
        <v>55</v>
      </c>
      <c r="K15445" s="689">
        <v>56.6</v>
      </c>
    </row>
    <row r="15446" spans="1:11">
      <c r="A15446" s="688" t="s">
        <v>16</v>
      </c>
      <c r="B15446" s="691">
        <v>61.7</v>
      </c>
      <c r="C15446" s="691">
        <v>61.4</v>
      </c>
      <c r="D15446" s="691">
        <v>61.4</v>
      </c>
      <c r="E15446" s="691">
        <v>61.6</v>
      </c>
      <c r="F15446" s="691">
        <v>61.7</v>
      </c>
      <c r="G15446" s="691">
        <v>61.5</v>
      </c>
      <c r="H15446" s="615">
        <v>62</v>
      </c>
      <c r="I15446" s="691">
        <v>61.6</v>
      </c>
      <c r="J15446" s="691">
        <v>61.3</v>
      </c>
      <c r="K15446" s="691">
        <v>61.6</v>
      </c>
    </row>
    <row r="15447" spans="1:11">
      <c r="A15447" s="688" t="s">
        <v>17</v>
      </c>
      <c r="B15447" s="689">
        <v>60.7</v>
      </c>
      <c r="C15447" s="689">
        <v>60.8</v>
      </c>
      <c r="D15447" s="689">
        <v>60.5</v>
      </c>
      <c r="E15447" s="689">
        <v>60.6</v>
      </c>
      <c r="F15447" s="689">
        <v>60.8</v>
      </c>
      <c r="G15447" s="689">
        <v>60.7</v>
      </c>
      <c r="H15447" s="693">
        <v>61</v>
      </c>
      <c r="I15447" s="689">
        <v>60.5</v>
      </c>
      <c r="J15447" s="689">
        <v>60.4</v>
      </c>
      <c r="K15447" s="689">
        <v>60.5</v>
      </c>
    </row>
    <row r="15448" spans="1:11">
      <c r="A15448" s="688" t="s">
        <v>19</v>
      </c>
      <c r="B15448" s="691">
        <v>61.2</v>
      </c>
      <c r="C15448" s="691">
        <v>61.2</v>
      </c>
      <c r="D15448" s="615">
        <v>61</v>
      </c>
      <c r="E15448" s="691">
        <v>61.4</v>
      </c>
      <c r="F15448" s="691">
        <v>61.3</v>
      </c>
      <c r="G15448" s="691">
        <v>61.4</v>
      </c>
      <c r="H15448" s="691">
        <v>61.6</v>
      </c>
      <c r="I15448" s="691">
        <v>61.2</v>
      </c>
      <c r="J15448" s="691">
        <v>61.1</v>
      </c>
      <c r="K15448" s="691">
        <v>61.2</v>
      </c>
    </row>
    <row r="15449" spans="1:11">
      <c r="A15449" s="688" t="s">
        <v>20</v>
      </c>
      <c r="B15449" s="689">
        <v>58.8</v>
      </c>
      <c r="C15449" s="693">
        <v>59</v>
      </c>
      <c r="D15449" s="689">
        <v>58.8</v>
      </c>
      <c r="E15449" s="689">
        <v>59.2</v>
      </c>
      <c r="F15449" s="689">
        <v>59.1</v>
      </c>
      <c r="G15449" s="693">
        <v>59</v>
      </c>
      <c r="H15449" s="689">
        <v>59.2</v>
      </c>
      <c r="I15449" s="693">
        <v>58</v>
      </c>
      <c r="J15449" s="693">
        <v>57</v>
      </c>
      <c r="K15449" s="689">
        <v>58.5</v>
      </c>
    </row>
    <row r="15450" spans="1:11">
      <c r="A15450" s="688" t="s">
        <v>21</v>
      </c>
      <c r="B15450" s="691">
        <v>61.4</v>
      </c>
      <c r="C15450" s="691">
        <v>61.7</v>
      </c>
      <c r="D15450" s="691">
        <v>61.6</v>
      </c>
      <c r="E15450" s="691">
        <v>61.7</v>
      </c>
      <c r="F15450" s="691">
        <v>61.9</v>
      </c>
      <c r="G15450" s="615">
        <v>62</v>
      </c>
      <c r="H15450" s="691">
        <v>62.2</v>
      </c>
      <c r="I15450" s="691">
        <v>61.6</v>
      </c>
      <c r="J15450" s="691">
        <v>61.6</v>
      </c>
      <c r="K15450" s="691">
        <v>61.9</v>
      </c>
    </row>
    <row r="15451" spans="1:11">
      <c r="A15451" s="688" t="s">
        <v>22</v>
      </c>
      <c r="B15451" s="689">
        <v>56.7</v>
      </c>
      <c r="C15451" s="689">
        <v>56.5</v>
      </c>
      <c r="D15451" s="689">
        <v>56.4</v>
      </c>
      <c r="E15451" s="689">
        <v>56.7</v>
      </c>
      <c r="F15451" s="689">
        <v>56.7</v>
      </c>
      <c r="G15451" s="689">
        <v>56.9</v>
      </c>
      <c r="H15451" s="689">
        <v>57.2</v>
      </c>
      <c r="I15451" s="689">
        <v>55.9</v>
      </c>
      <c r="J15451" s="689">
        <v>54.4</v>
      </c>
      <c r="K15451" s="689">
        <v>56.8</v>
      </c>
    </row>
    <row r="15452" spans="1:11">
      <c r="A15452" s="688" t="s">
        <v>26</v>
      </c>
      <c r="B15452" s="615">
        <v>61</v>
      </c>
      <c r="C15452" s="615">
        <v>61</v>
      </c>
      <c r="D15452" s="691">
        <v>60.8</v>
      </c>
      <c r="E15452" s="691">
        <v>61.3</v>
      </c>
      <c r="F15452" s="691">
        <v>61.1</v>
      </c>
      <c r="G15452" s="691">
        <v>61.3</v>
      </c>
      <c r="H15452" s="691">
        <v>61.5</v>
      </c>
      <c r="I15452" s="691">
        <v>60.6</v>
      </c>
      <c r="J15452" s="615">
        <v>61</v>
      </c>
      <c r="K15452" s="691">
        <v>61.2</v>
      </c>
    </row>
    <row r="15453" spans="1:11">
      <c r="A15453" s="688" t="s">
        <v>25</v>
      </c>
      <c r="B15453" s="689">
        <v>57.9</v>
      </c>
      <c r="C15453" s="689">
        <v>58.1</v>
      </c>
      <c r="D15453" s="689">
        <v>57.8</v>
      </c>
      <c r="E15453" s="689">
        <v>58.2</v>
      </c>
      <c r="F15453" s="689">
        <v>58.2</v>
      </c>
      <c r="G15453" s="689">
        <v>58.3</v>
      </c>
      <c r="H15453" s="689">
        <v>58.7</v>
      </c>
      <c r="I15453" s="693">
        <v>58</v>
      </c>
      <c r="J15453" s="689">
        <v>55.8</v>
      </c>
      <c r="K15453" s="689">
        <v>58.1</v>
      </c>
    </row>
    <row r="15454" spans="1:11">
      <c r="A15454" s="688" t="s">
        <v>5</v>
      </c>
      <c r="B15454" s="691">
        <v>61.5</v>
      </c>
      <c r="C15454" s="691">
        <v>61.2</v>
      </c>
      <c r="D15454" s="691">
        <v>61.5</v>
      </c>
      <c r="E15454" s="691">
        <v>61.5</v>
      </c>
      <c r="F15454" s="691">
        <v>61.6</v>
      </c>
      <c r="G15454" s="691">
        <v>61.7</v>
      </c>
      <c r="H15454" s="615">
        <v>62</v>
      </c>
      <c r="I15454" s="615">
        <v>62</v>
      </c>
      <c r="J15454" s="691">
        <v>61.9</v>
      </c>
      <c r="K15454" s="691">
        <v>61.2</v>
      </c>
    </row>
    <row r="15455" spans="1:11">
      <c r="A15455" s="688" t="s">
        <v>23</v>
      </c>
      <c r="B15455" s="689">
        <v>61.2</v>
      </c>
      <c r="C15455" s="689">
        <v>61.4</v>
      </c>
      <c r="D15455" s="689">
        <v>61.4</v>
      </c>
      <c r="E15455" s="689">
        <v>61.5</v>
      </c>
      <c r="F15455" s="689">
        <v>61.5</v>
      </c>
      <c r="G15455" s="689">
        <v>61.6</v>
      </c>
      <c r="H15455" s="689">
        <v>62.1</v>
      </c>
      <c r="I15455" s="689">
        <v>61.6</v>
      </c>
      <c r="J15455" s="689">
        <v>62.2</v>
      </c>
      <c r="K15455" s="689">
        <v>62.1</v>
      </c>
    </row>
    <row r="15456" spans="1:11">
      <c r="A15456" s="688" t="s">
        <v>4067</v>
      </c>
      <c r="B15456" s="691">
        <v>60.8</v>
      </c>
      <c r="C15456" s="691">
        <v>61.1</v>
      </c>
      <c r="D15456" s="691">
        <v>60.7</v>
      </c>
      <c r="E15456" s="691">
        <v>61.1</v>
      </c>
      <c r="F15456" s="615">
        <v>61</v>
      </c>
      <c r="G15456" s="691">
        <v>61.1</v>
      </c>
      <c r="H15456" s="692" t="s">
        <v>4060</v>
      </c>
      <c r="I15456" s="692" t="s">
        <v>4060</v>
      </c>
      <c r="J15456" s="692" t="s">
        <v>4060</v>
      </c>
      <c r="K15456" s="692" t="s">
        <v>4060</v>
      </c>
    </row>
    <row r="15457" spans="1:11">
      <c r="A15457" s="688" t="s">
        <v>4066</v>
      </c>
      <c r="B15457" s="689">
        <v>60.8</v>
      </c>
      <c r="C15457" s="689">
        <v>61.2</v>
      </c>
      <c r="D15457" s="689">
        <v>60.8</v>
      </c>
      <c r="E15457" s="689">
        <v>61.2</v>
      </c>
      <c r="F15457" s="689">
        <v>61.1</v>
      </c>
      <c r="G15457" s="689">
        <v>61.1</v>
      </c>
      <c r="H15457" s="690" t="s">
        <v>4060</v>
      </c>
      <c r="I15457" s="690" t="s">
        <v>4060</v>
      </c>
      <c r="J15457" s="690" t="s">
        <v>4060</v>
      </c>
      <c r="K15457" s="690" t="s">
        <v>4060</v>
      </c>
    </row>
    <row r="15458" spans="1:11">
      <c r="A15458" s="688" t="s">
        <v>4062</v>
      </c>
      <c r="B15458" s="615">
        <v>62</v>
      </c>
      <c r="C15458" s="691">
        <v>62.1</v>
      </c>
      <c r="D15458" s="615">
        <v>62</v>
      </c>
      <c r="E15458" s="691">
        <v>62.3</v>
      </c>
      <c r="F15458" s="691">
        <v>62.4</v>
      </c>
      <c r="G15458" s="691">
        <v>62.5</v>
      </c>
      <c r="H15458" s="691">
        <v>62.6</v>
      </c>
      <c r="I15458" s="691">
        <v>62.4</v>
      </c>
      <c r="J15458" s="691">
        <v>62.7</v>
      </c>
      <c r="K15458" s="691">
        <v>62.4</v>
      </c>
    </row>
    <row r="15459" spans="1:11">
      <c r="A15459" s="688" t="s">
        <v>9</v>
      </c>
      <c r="B15459" s="689">
        <v>61.2</v>
      </c>
      <c r="C15459" s="689">
        <v>61.6</v>
      </c>
      <c r="D15459" s="693">
        <v>61</v>
      </c>
      <c r="E15459" s="689">
        <v>61.1</v>
      </c>
      <c r="F15459" s="689">
        <v>61.6</v>
      </c>
      <c r="G15459" s="689">
        <v>61.4</v>
      </c>
      <c r="H15459" s="689">
        <v>61.6</v>
      </c>
      <c r="I15459" s="689">
        <v>61.7</v>
      </c>
      <c r="J15459" s="689">
        <v>61.9</v>
      </c>
      <c r="K15459" s="689">
        <v>60.9</v>
      </c>
    </row>
    <row r="15460" spans="1:11">
      <c r="A15460" s="688" t="s">
        <v>13</v>
      </c>
      <c r="B15460" s="691">
        <v>61.9</v>
      </c>
      <c r="C15460" s="691">
        <v>60.9</v>
      </c>
      <c r="D15460" s="691">
        <v>61.9</v>
      </c>
      <c r="E15460" s="691">
        <v>61.6</v>
      </c>
      <c r="F15460" s="691">
        <v>62.8</v>
      </c>
      <c r="G15460" s="691">
        <v>62.9</v>
      </c>
      <c r="H15460" s="691">
        <v>62.5</v>
      </c>
      <c r="I15460" s="691">
        <v>62.1</v>
      </c>
      <c r="J15460" s="691">
        <v>63.1</v>
      </c>
      <c r="K15460" s="691">
        <v>62.8</v>
      </c>
    </row>
    <row r="15461" spans="1:11">
      <c r="A15461" s="688" t="s">
        <v>18</v>
      </c>
      <c r="B15461" s="689">
        <v>61.2</v>
      </c>
      <c r="C15461" s="689">
        <v>61.4</v>
      </c>
      <c r="D15461" s="689">
        <v>61.5</v>
      </c>
      <c r="E15461" s="689">
        <v>61.5</v>
      </c>
      <c r="F15461" s="689">
        <v>61.6</v>
      </c>
      <c r="G15461" s="689">
        <v>61.8</v>
      </c>
      <c r="H15461" s="693">
        <v>62</v>
      </c>
      <c r="I15461" s="689">
        <v>62.2</v>
      </c>
      <c r="J15461" s="693">
        <v>62</v>
      </c>
      <c r="K15461" s="689">
        <v>61.6</v>
      </c>
    </row>
    <row r="15462" spans="1:11">
      <c r="A15462" s="688" t="s">
        <v>24</v>
      </c>
      <c r="B15462" s="691">
        <v>62.5</v>
      </c>
      <c r="C15462" s="691">
        <v>62.6</v>
      </c>
      <c r="D15462" s="691">
        <v>62.4</v>
      </c>
      <c r="E15462" s="691">
        <v>62.7</v>
      </c>
      <c r="F15462" s="691">
        <v>62.8</v>
      </c>
      <c r="G15462" s="691">
        <v>62.9</v>
      </c>
      <c r="H15462" s="615">
        <v>63</v>
      </c>
      <c r="I15462" s="691">
        <v>62.5</v>
      </c>
      <c r="J15462" s="615">
        <v>63</v>
      </c>
      <c r="K15462" s="691">
        <v>62.9</v>
      </c>
    </row>
    <row r="15463" spans="1:11">
      <c r="A15463" s="688" t="s">
        <v>4059</v>
      </c>
      <c r="B15463" s="689">
        <v>60.4</v>
      </c>
      <c r="C15463" s="689">
        <v>60.7</v>
      </c>
      <c r="D15463" s="689">
        <v>60.3</v>
      </c>
      <c r="E15463" s="689">
        <v>60.5</v>
      </c>
      <c r="F15463" s="689">
        <v>60.6</v>
      </c>
      <c r="G15463" s="689">
        <v>60.5</v>
      </c>
      <c r="H15463" s="690" t="s">
        <v>4060</v>
      </c>
      <c r="I15463" s="690" t="s">
        <v>4060</v>
      </c>
      <c r="J15463" s="690" t="s">
        <v>4060</v>
      </c>
      <c r="K15463" s="690" t="s">
        <v>4060</v>
      </c>
    </row>
    <row r="15464" spans="1:11">
      <c r="A15464" s="688" t="s">
        <v>2324</v>
      </c>
      <c r="B15464" s="691">
        <v>56.5</v>
      </c>
      <c r="C15464" s="691">
        <v>56.5</v>
      </c>
      <c r="D15464" s="615">
        <v>56</v>
      </c>
      <c r="E15464" s="691">
        <v>56.4</v>
      </c>
      <c r="F15464" s="691">
        <v>56.6</v>
      </c>
      <c r="G15464" s="691">
        <v>56.6</v>
      </c>
      <c r="H15464" s="691">
        <v>56.9</v>
      </c>
      <c r="I15464" s="691">
        <v>56.2</v>
      </c>
      <c r="J15464" s="691">
        <v>54.3</v>
      </c>
      <c r="K15464" s="692" t="s">
        <v>4060</v>
      </c>
    </row>
    <row r="15465" spans="1:11">
      <c r="A15465" s="688" t="s">
        <v>2322</v>
      </c>
      <c r="B15465" s="690" t="s">
        <v>4060</v>
      </c>
      <c r="C15465" s="690" t="s">
        <v>4060</v>
      </c>
      <c r="D15465" s="690" t="s">
        <v>4060</v>
      </c>
      <c r="E15465" s="690" t="s">
        <v>4060</v>
      </c>
      <c r="F15465" s="690" t="s">
        <v>4060</v>
      </c>
      <c r="G15465" s="690" t="s">
        <v>4060</v>
      </c>
      <c r="H15465" s="690" t="s">
        <v>4060</v>
      </c>
      <c r="I15465" s="690" t="s">
        <v>4060</v>
      </c>
      <c r="J15465" s="690" t="s">
        <v>4060</v>
      </c>
      <c r="K15465" s="690" t="s">
        <v>4060</v>
      </c>
    </row>
    <row r="15466" spans="1:11">
      <c r="A15466" s="688" t="s">
        <v>2328</v>
      </c>
      <c r="B15466" s="691">
        <v>55.6</v>
      </c>
      <c r="C15466" s="691">
        <v>55.5</v>
      </c>
      <c r="D15466" s="691">
        <v>55.3</v>
      </c>
      <c r="E15466" s="691">
        <v>55.7</v>
      </c>
      <c r="F15466" s="691">
        <v>55.9</v>
      </c>
      <c r="G15466" s="691">
        <v>56.3</v>
      </c>
      <c r="H15466" s="691">
        <v>56.2</v>
      </c>
      <c r="I15466" s="691">
        <v>54.4</v>
      </c>
      <c r="J15466" s="615">
        <v>53</v>
      </c>
      <c r="K15466" s="692" t="s">
        <v>4060</v>
      </c>
    </row>
    <row r="15467" spans="1:11">
      <c r="A15467" s="688" t="s">
        <v>2496</v>
      </c>
      <c r="B15467" s="690" t="s">
        <v>4060</v>
      </c>
      <c r="C15467" s="689">
        <v>56.4</v>
      </c>
      <c r="D15467" s="689">
        <v>55.5</v>
      </c>
      <c r="E15467" s="689">
        <v>55.2</v>
      </c>
      <c r="F15467" s="689">
        <v>55.9</v>
      </c>
      <c r="G15467" s="689">
        <v>56.2</v>
      </c>
      <c r="H15467" s="689">
        <v>56.2</v>
      </c>
      <c r="I15467" s="690" t="s">
        <v>4060</v>
      </c>
      <c r="J15467" s="690" t="s">
        <v>4060</v>
      </c>
      <c r="K15467" s="693">
        <v>56</v>
      </c>
    </row>
    <row r="15468" spans="1:11">
      <c r="A15468" s="688" t="s">
        <v>2269</v>
      </c>
      <c r="B15468" s="691">
        <v>58.1</v>
      </c>
      <c r="C15468" s="691">
        <v>58.3</v>
      </c>
      <c r="D15468" s="691">
        <v>57.6</v>
      </c>
      <c r="E15468" s="691">
        <v>58.2</v>
      </c>
      <c r="F15468" s="615">
        <v>58</v>
      </c>
      <c r="G15468" s="691">
        <v>58.6</v>
      </c>
      <c r="H15468" s="691">
        <v>58.8</v>
      </c>
      <c r="I15468" s="691">
        <v>57.6</v>
      </c>
      <c r="J15468" s="691">
        <v>55.5</v>
      </c>
      <c r="K15468" s="691">
        <v>58.5</v>
      </c>
    </row>
    <row r="15469" spans="1:11">
      <c r="A15469" s="688" t="s">
        <v>2349</v>
      </c>
      <c r="B15469" s="689">
        <v>55.6</v>
      </c>
      <c r="C15469" s="689">
        <v>55.6</v>
      </c>
      <c r="D15469" s="689">
        <v>55.5</v>
      </c>
      <c r="E15469" s="689">
        <v>55.8</v>
      </c>
      <c r="F15469" s="689">
        <v>55.7</v>
      </c>
      <c r="G15469" s="693">
        <v>56</v>
      </c>
      <c r="H15469" s="689">
        <v>56.2</v>
      </c>
      <c r="I15469" s="693">
        <v>55</v>
      </c>
      <c r="J15469" s="689">
        <v>53.3</v>
      </c>
      <c r="K15469" s="689">
        <v>55.3</v>
      </c>
    </row>
    <row r="15470" spans="1:11">
      <c r="A15470" s="688" t="s">
        <v>2355</v>
      </c>
      <c r="B15470" s="691">
        <v>59.5</v>
      </c>
      <c r="C15470" s="691">
        <v>59.3</v>
      </c>
      <c r="D15470" s="691">
        <v>59.3</v>
      </c>
      <c r="E15470" s="691">
        <v>59.2</v>
      </c>
      <c r="F15470" s="691">
        <v>59.4</v>
      </c>
      <c r="G15470" s="691">
        <v>59.8</v>
      </c>
      <c r="H15470" s="691">
        <v>59.9</v>
      </c>
      <c r="I15470" s="692" t="s">
        <v>4060</v>
      </c>
      <c r="J15470" s="692" t="s">
        <v>4060</v>
      </c>
      <c r="K15470" s="692" t="s">
        <v>4060</v>
      </c>
    </row>
    <row r="15471" spans="1:11">
      <c r="A15471" s="688" t="s">
        <v>2357</v>
      </c>
      <c r="B15471" s="690" t="s">
        <v>4060</v>
      </c>
      <c r="C15471" s="689">
        <v>54.6</v>
      </c>
      <c r="D15471" s="689">
        <v>55.2</v>
      </c>
      <c r="E15471" s="689">
        <v>55.5</v>
      </c>
      <c r="F15471" s="689">
        <v>55.8</v>
      </c>
      <c r="G15471" s="689">
        <v>55.8</v>
      </c>
      <c r="H15471" s="689">
        <v>56.1</v>
      </c>
      <c r="I15471" s="690" t="s">
        <v>4060</v>
      </c>
      <c r="J15471" s="690" t="s">
        <v>4060</v>
      </c>
      <c r="K15471" s="690" t="s">
        <v>4060</v>
      </c>
    </row>
    <row r="15472" spans="1:11">
      <c r="A15472" s="688" t="s">
        <v>4070</v>
      </c>
      <c r="B15472" s="692" t="s">
        <v>4060</v>
      </c>
      <c r="C15472" s="692" t="s">
        <v>4060</v>
      </c>
      <c r="D15472" s="692" t="s">
        <v>4060</v>
      </c>
      <c r="E15472" s="691">
        <v>59.2</v>
      </c>
      <c r="F15472" s="692" t="s">
        <v>4060</v>
      </c>
      <c r="G15472" s="692" t="s">
        <v>4060</v>
      </c>
      <c r="H15472" s="692" t="s">
        <v>4060</v>
      </c>
      <c r="I15472" s="692" t="s">
        <v>4060</v>
      </c>
      <c r="J15472" s="692" t="s">
        <v>4060</v>
      </c>
      <c r="K15472" s="692" t="s">
        <v>4060</v>
      </c>
    </row>
    <row r="15473" spans="1:11">
      <c r="A15473" s="688" t="s">
        <v>2491</v>
      </c>
      <c r="B15473" s="689">
        <v>55.6</v>
      </c>
      <c r="C15473" s="689">
        <v>56.1</v>
      </c>
      <c r="D15473" s="689">
        <v>56.5</v>
      </c>
      <c r="E15473" s="689">
        <v>56.7</v>
      </c>
      <c r="F15473" s="689">
        <v>56.8</v>
      </c>
      <c r="G15473" s="689">
        <v>56.9</v>
      </c>
      <c r="H15473" s="690" t="s">
        <v>4060</v>
      </c>
      <c r="I15473" s="690" t="s">
        <v>4060</v>
      </c>
      <c r="J15473" s="690" t="s">
        <v>4060</v>
      </c>
      <c r="K15473" s="690" t="s">
        <v>4060</v>
      </c>
    </row>
    <row r="15474" spans="1:11">
      <c r="A15474" s="688" t="s">
        <v>2343</v>
      </c>
      <c r="B15474" s="692" t="s">
        <v>4060</v>
      </c>
      <c r="C15474" s="692" t="s">
        <v>4060</v>
      </c>
      <c r="D15474" s="692" t="s">
        <v>4060</v>
      </c>
      <c r="E15474" s="692" t="s">
        <v>4060</v>
      </c>
      <c r="F15474" s="692" t="s">
        <v>4060</v>
      </c>
      <c r="G15474" s="692" t="s">
        <v>4060</v>
      </c>
      <c r="H15474" s="692" t="s">
        <v>4060</v>
      </c>
      <c r="I15474" s="692" t="s">
        <v>4060</v>
      </c>
      <c r="J15474" s="692" t="s">
        <v>4060</v>
      </c>
      <c r="K15474" s="692" t="s">
        <v>4060</v>
      </c>
    </row>
    <row r="15475" spans="1:11">
      <c r="A15475" s="688" t="s">
        <v>4071</v>
      </c>
      <c r="B15475" s="690" t="s">
        <v>4060</v>
      </c>
      <c r="C15475" s="690" t="s">
        <v>4060</v>
      </c>
      <c r="D15475" s="690" t="s">
        <v>4060</v>
      </c>
      <c r="E15475" s="690" t="s">
        <v>4060</v>
      </c>
      <c r="F15475" s="690" t="s">
        <v>4060</v>
      </c>
      <c r="G15475" s="690" t="s">
        <v>4060</v>
      </c>
      <c r="H15475" s="690" t="s">
        <v>4060</v>
      </c>
      <c r="I15475" s="690" t="s">
        <v>4060</v>
      </c>
      <c r="J15475" s="690" t="s">
        <v>4060</v>
      </c>
      <c r="K15475" s="690" t="s">
        <v>4060</v>
      </c>
    </row>
    <row r="15476" spans="1:11">
      <c r="A15476" s="688" t="s">
        <v>2489</v>
      </c>
      <c r="B15476" s="692" t="s">
        <v>4060</v>
      </c>
      <c r="C15476" s="692" t="s">
        <v>4060</v>
      </c>
      <c r="D15476" s="691">
        <v>56.1</v>
      </c>
      <c r="E15476" s="691">
        <v>56.3</v>
      </c>
      <c r="F15476" s="691">
        <v>56.8</v>
      </c>
      <c r="G15476" s="691">
        <v>57.5</v>
      </c>
      <c r="H15476" s="691">
        <v>57.5</v>
      </c>
      <c r="I15476" s="692" t="s">
        <v>4060</v>
      </c>
      <c r="J15476" s="692" t="s">
        <v>4060</v>
      </c>
      <c r="K15476" s="692" t="s">
        <v>4060</v>
      </c>
    </row>
    <row r="15477" spans="1:11">
      <c r="A15477" s="688" t="s">
        <v>2490</v>
      </c>
      <c r="B15477" s="689">
        <v>55.4</v>
      </c>
      <c r="C15477" s="689">
        <v>55.5</v>
      </c>
      <c r="D15477" s="693">
        <v>56</v>
      </c>
      <c r="E15477" s="690" t="s">
        <v>4060</v>
      </c>
      <c r="F15477" s="689">
        <v>56.2</v>
      </c>
      <c r="G15477" s="689">
        <v>56.6</v>
      </c>
      <c r="H15477" s="689">
        <v>57.1</v>
      </c>
      <c r="I15477" s="690" t="s">
        <v>4060</v>
      </c>
      <c r="J15477" s="690" t="s">
        <v>4060</v>
      </c>
      <c r="K15477" s="690" t="s">
        <v>4060</v>
      </c>
    </row>
    <row r="15479" spans="1:11">
      <c r="A15479" s="683" t="s">
        <v>4233</v>
      </c>
    </row>
    <row r="15480" spans="1:11">
      <c r="A15480" s="683" t="s">
        <v>4060</v>
      </c>
      <c r="B15480" s="682" t="s">
        <v>4234</v>
      </c>
    </row>
    <row r="15482" spans="1:11">
      <c r="A15482" s="682" t="s">
        <v>4332</v>
      </c>
    </row>
    <row r="15483" spans="1:11">
      <c r="A15483" s="682" t="s">
        <v>4210</v>
      </c>
      <c r="B15483" s="683" t="s">
        <v>4211</v>
      </c>
    </row>
    <row r="15484" spans="1:11">
      <c r="A15484" s="682" t="s">
        <v>4212</v>
      </c>
      <c r="B15484" s="682" t="s">
        <v>4213</v>
      </c>
    </row>
    <row r="15486" spans="1:11">
      <c r="A15486" s="683" t="s">
        <v>4214</v>
      </c>
      <c r="C15486" s="682" t="s">
        <v>4215</v>
      </c>
    </row>
    <row r="15487" spans="1:11">
      <c r="A15487" s="683" t="s">
        <v>4216</v>
      </c>
      <c r="C15487" s="682" t="s">
        <v>2967</v>
      </c>
    </row>
    <row r="15488" spans="1:11">
      <c r="A15488" s="683" t="s">
        <v>3893</v>
      </c>
      <c r="C15488" s="682" t="s">
        <v>2169</v>
      </c>
    </row>
    <row r="15489" spans="1:11">
      <c r="A15489" s="683" t="s">
        <v>4218</v>
      </c>
      <c r="C15489" s="682" t="s">
        <v>4259</v>
      </c>
    </row>
    <row r="15491" spans="1:11">
      <c r="A15491" s="684" t="s">
        <v>4220</v>
      </c>
      <c r="B15491" s="685" t="s">
        <v>4221</v>
      </c>
      <c r="C15491" s="685" t="s">
        <v>4222</v>
      </c>
      <c r="D15491" s="685" t="s">
        <v>4223</v>
      </c>
      <c r="E15491" s="685" t="s">
        <v>4224</v>
      </c>
      <c r="F15491" s="685" t="s">
        <v>4225</v>
      </c>
      <c r="G15491" s="685" t="s">
        <v>4226</v>
      </c>
      <c r="H15491" s="685" t="s">
        <v>4227</v>
      </c>
      <c r="I15491" s="685" t="s">
        <v>4228</v>
      </c>
      <c r="J15491" s="685" t="s">
        <v>4229</v>
      </c>
      <c r="K15491" s="685" t="s">
        <v>4230</v>
      </c>
    </row>
    <row r="15492" spans="1:11">
      <c r="A15492" s="686" t="s">
        <v>4231</v>
      </c>
      <c r="B15492" s="687" t="s">
        <v>4232</v>
      </c>
      <c r="C15492" s="687" t="s">
        <v>4232</v>
      </c>
      <c r="D15492" s="687" t="s">
        <v>4232</v>
      </c>
      <c r="E15492" s="687" t="s">
        <v>4232</v>
      </c>
      <c r="F15492" s="687" t="s">
        <v>4232</v>
      </c>
      <c r="G15492" s="687" t="s">
        <v>4232</v>
      </c>
      <c r="H15492" s="687" t="s">
        <v>4232</v>
      </c>
      <c r="I15492" s="687" t="s">
        <v>4232</v>
      </c>
      <c r="J15492" s="687" t="s">
        <v>4232</v>
      </c>
      <c r="K15492" s="687" t="s">
        <v>4232</v>
      </c>
    </row>
    <row r="15493" spans="1:11">
      <c r="A15493" s="688" t="s">
        <v>4064</v>
      </c>
      <c r="B15493" s="689">
        <v>59.8</v>
      </c>
      <c r="C15493" s="689">
        <v>59.8</v>
      </c>
      <c r="D15493" s="689">
        <v>59.8</v>
      </c>
      <c r="E15493" s="689">
        <v>59.9</v>
      </c>
      <c r="F15493" s="689">
        <v>59.9</v>
      </c>
      <c r="G15493" s="693">
        <v>60</v>
      </c>
      <c r="H15493" s="689">
        <v>60.2</v>
      </c>
      <c r="I15493" s="689">
        <v>59.5</v>
      </c>
      <c r="J15493" s="689">
        <v>59.2</v>
      </c>
      <c r="K15493" s="689">
        <v>59.7</v>
      </c>
    </row>
    <row r="15494" spans="1:11">
      <c r="A15494" s="688" t="s">
        <v>4065</v>
      </c>
      <c r="B15494" s="691">
        <v>59.8</v>
      </c>
      <c r="C15494" s="691">
        <v>60.1</v>
      </c>
      <c r="D15494" s="691">
        <v>59.7</v>
      </c>
      <c r="E15494" s="691">
        <v>60.1</v>
      </c>
      <c r="F15494" s="615">
        <v>60</v>
      </c>
      <c r="G15494" s="691">
        <v>60.1</v>
      </c>
      <c r="H15494" s="692" t="s">
        <v>4060</v>
      </c>
      <c r="I15494" s="692" t="s">
        <v>4060</v>
      </c>
      <c r="J15494" s="692" t="s">
        <v>4060</v>
      </c>
      <c r="K15494" s="692" t="s">
        <v>4060</v>
      </c>
    </row>
    <row r="15495" spans="1:11">
      <c r="A15495" s="688" t="s">
        <v>4063</v>
      </c>
      <c r="B15495" s="689">
        <v>59.8</v>
      </c>
      <c r="C15495" s="689">
        <v>60.2</v>
      </c>
      <c r="D15495" s="689">
        <v>59.8</v>
      </c>
      <c r="E15495" s="689">
        <v>60.2</v>
      </c>
      <c r="F15495" s="689">
        <v>60.1</v>
      </c>
      <c r="G15495" s="689">
        <v>60.1</v>
      </c>
      <c r="H15495" s="690" t="s">
        <v>4060</v>
      </c>
      <c r="I15495" s="690" t="s">
        <v>4060</v>
      </c>
      <c r="J15495" s="690" t="s">
        <v>4060</v>
      </c>
      <c r="K15495" s="690" t="s">
        <v>4060</v>
      </c>
    </row>
    <row r="15496" spans="1:11">
      <c r="A15496" s="688" t="s">
        <v>4069</v>
      </c>
      <c r="B15496" s="692" t="s">
        <v>4060</v>
      </c>
      <c r="C15496" s="691">
        <v>60.7</v>
      </c>
      <c r="D15496" s="691">
        <v>60.4</v>
      </c>
      <c r="E15496" s="691">
        <v>60.7</v>
      </c>
      <c r="F15496" s="691">
        <v>60.7</v>
      </c>
      <c r="G15496" s="691">
        <v>60.8</v>
      </c>
      <c r="H15496" s="615">
        <v>61</v>
      </c>
      <c r="I15496" s="691">
        <v>60.4</v>
      </c>
      <c r="J15496" s="691">
        <v>60.4</v>
      </c>
      <c r="K15496" s="691">
        <v>60.5</v>
      </c>
    </row>
    <row r="15497" spans="1:11">
      <c r="A15497" s="688" t="s">
        <v>4068</v>
      </c>
      <c r="B15497" s="689">
        <v>60.7</v>
      </c>
      <c r="C15497" s="690" t="s">
        <v>4060</v>
      </c>
      <c r="D15497" s="690" t="s">
        <v>4060</v>
      </c>
      <c r="E15497" s="690" t="s">
        <v>4060</v>
      </c>
      <c r="F15497" s="690" t="s">
        <v>4060</v>
      </c>
      <c r="G15497" s="690" t="s">
        <v>4060</v>
      </c>
      <c r="H15497" s="690" t="s">
        <v>4060</v>
      </c>
      <c r="I15497" s="690" t="s">
        <v>4060</v>
      </c>
      <c r="J15497" s="690" t="s">
        <v>4060</v>
      </c>
      <c r="K15497" s="690" t="s">
        <v>4060</v>
      </c>
    </row>
    <row r="15498" spans="1:11">
      <c r="A15498" s="688" t="s">
        <v>0</v>
      </c>
      <c r="B15498" s="691">
        <v>59.7</v>
      </c>
      <c r="C15498" s="691">
        <v>59.9</v>
      </c>
      <c r="D15498" s="691">
        <v>59.6</v>
      </c>
      <c r="E15498" s="691">
        <v>60.1</v>
      </c>
      <c r="F15498" s="691">
        <v>60.2</v>
      </c>
      <c r="G15498" s="691">
        <v>60.2</v>
      </c>
      <c r="H15498" s="691">
        <v>60.5</v>
      </c>
      <c r="I15498" s="691">
        <v>59.5</v>
      </c>
      <c r="J15498" s="691">
        <v>60.5</v>
      </c>
      <c r="K15498" s="691">
        <v>60.2</v>
      </c>
    </row>
    <row r="15499" spans="1:11">
      <c r="A15499" s="688" t="s">
        <v>1</v>
      </c>
      <c r="B15499" s="689">
        <v>55.5</v>
      </c>
      <c r="C15499" s="689">
        <v>54.8</v>
      </c>
      <c r="D15499" s="689">
        <v>54.9</v>
      </c>
      <c r="E15499" s="689">
        <v>55.2</v>
      </c>
      <c r="F15499" s="693">
        <v>55</v>
      </c>
      <c r="G15499" s="689">
        <v>55.2</v>
      </c>
      <c r="H15499" s="689">
        <v>55.4</v>
      </c>
      <c r="I15499" s="693">
        <v>54</v>
      </c>
      <c r="J15499" s="689">
        <v>51.8</v>
      </c>
      <c r="K15499" s="689">
        <v>54.6</v>
      </c>
    </row>
    <row r="15500" spans="1:11">
      <c r="A15500" s="688" t="s">
        <v>2240</v>
      </c>
      <c r="B15500" s="691">
        <v>57.7</v>
      </c>
      <c r="C15500" s="691">
        <v>58.1</v>
      </c>
      <c r="D15500" s="691">
        <v>57.9</v>
      </c>
      <c r="E15500" s="691">
        <v>58.3</v>
      </c>
      <c r="F15500" s="691">
        <v>58.3</v>
      </c>
      <c r="G15500" s="691">
        <v>58.3</v>
      </c>
      <c r="H15500" s="691">
        <v>58.5</v>
      </c>
      <c r="I15500" s="691">
        <v>57.7</v>
      </c>
      <c r="J15500" s="691">
        <v>56.9</v>
      </c>
      <c r="K15500" s="691">
        <v>58.3</v>
      </c>
    </row>
    <row r="15501" spans="1:11">
      <c r="A15501" s="688" t="s">
        <v>2</v>
      </c>
      <c r="B15501" s="689">
        <v>58.8</v>
      </c>
      <c r="C15501" s="689">
        <v>59.1</v>
      </c>
      <c r="D15501" s="689">
        <v>59.1</v>
      </c>
      <c r="E15501" s="689">
        <v>59.2</v>
      </c>
      <c r="F15501" s="689">
        <v>59.5</v>
      </c>
      <c r="G15501" s="689">
        <v>59.3</v>
      </c>
      <c r="H15501" s="689">
        <v>59.8</v>
      </c>
      <c r="I15501" s="689">
        <v>59.9</v>
      </c>
      <c r="J15501" s="689">
        <v>59.7</v>
      </c>
      <c r="K15501" s="689">
        <v>59.6</v>
      </c>
    </row>
    <row r="15502" spans="1:11">
      <c r="A15502" s="688" t="s">
        <v>3</v>
      </c>
      <c r="B15502" s="691">
        <v>59.5</v>
      </c>
      <c r="C15502" s="691">
        <v>59.8</v>
      </c>
      <c r="D15502" s="691">
        <v>59.5</v>
      </c>
      <c r="E15502" s="691">
        <v>59.8</v>
      </c>
      <c r="F15502" s="691">
        <v>59.8</v>
      </c>
      <c r="G15502" s="691">
        <v>59.7</v>
      </c>
      <c r="H15502" s="615">
        <v>60</v>
      </c>
      <c r="I15502" s="691">
        <v>59.8</v>
      </c>
      <c r="J15502" s="691">
        <v>59.6</v>
      </c>
      <c r="K15502" s="691">
        <v>59.4</v>
      </c>
    </row>
    <row r="15503" spans="1:11">
      <c r="A15503" s="688" t="s">
        <v>4061</v>
      </c>
      <c r="B15503" s="689">
        <v>59.5</v>
      </c>
      <c r="C15503" s="689">
        <v>59.8</v>
      </c>
      <c r="D15503" s="689">
        <v>59.5</v>
      </c>
      <c r="E15503" s="689">
        <v>59.8</v>
      </c>
      <c r="F15503" s="689">
        <v>59.8</v>
      </c>
      <c r="G15503" s="689">
        <v>59.7</v>
      </c>
      <c r="H15503" s="693">
        <v>60</v>
      </c>
      <c r="I15503" s="689">
        <v>59.8</v>
      </c>
      <c r="J15503" s="689">
        <v>59.6</v>
      </c>
      <c r="K15503" s="689">
        <v>59.4</v>
      </c>
    </row>
    <row r="15504" spans="1:11">
      <c r="A15504" s="688" t="s">
        <v>4</v>
      </c>
      <c r="B15504" s="691">
        <v>58.2</v>
      </c>
      <c r="C15504" s="691">
        <v>58.1</v>
      </c>
      <c r="D15504" s="691">
        <v>58.4</v>
      </c>
      <c r="E15504" s="691">
        <v>58.5</v>
      </c>
      <c r="F15504" s="691">
        <v>58.8</v>
      </c>
      <c r="G15504" s="691">
        <v>58.8</v>
      </c>
      <c r="H15504" s="691">
        <v>59.1</v>
      </c>
      <c r="I15504" s="691">
        <v>59.1</v>
      </c>
      <c r="J15504" s="691">
        <v>57.8</v>
      </c>
      <c r="K15504" s="691">
        <v>58.7</v>
      </c>
    </row>
    <row r="15505" spans="1:11">
      <c r="A15505" s="688" t="s">
        <v>8</v>
      </c>
      <c r="B15505" s="689">
        <v>59.6</v>
      </c>
      <c r="C15505" s="689">
        <v>59.7</v>
      </c>
      <c r="D15505" s="689">
        <v>59.7</v>
      </c>
      <c r="E15505" s="689">
        <v>59.8</v>
      </c>
      <c r="F15505" s="689">
        <v>60.2</v>
      </c>
      <c r="G15505" s="689">
        <v>60.3</v>
      </c>
      <c r="H15505" s="689">
        <v>60.7</v>
      </c>
      <c r="I15505" s="689">
        <v>60.5</v>
      </c>
      <c r="J15505" s="689">
        <v>60.4</v>
      </c>
      <c r="K15505" s="689">
        <v>60.4</v>
      </c>
    </row>
    <row r="15506" spans="1:11">
      <c r="A15506" s="688" t="s">
        <v>7</v>
      </c>
      <c r="B15506" s="691">
        <v>60.5</v>
      </c>
      <c r="C15506" s="691">
        <v>60.3</v>
      </c>
      <c r="D15506" s="615">
        <v>60</v>
      </c>
      <c r="E15506" s="691">
        <v>60.2</v>
      </c>
      <c r="F15506" s="691">
        <v>60.2</v>
      </c>
      <c r="G15506" s="691">
        <v>60.7</v>
      </c>
      <c r="H15506" s="691">
        <v>60.6</v>
      </c>
      <c r="I15506" s="691">
        <v>60.2</v>
      </c>
      <c r="J15506" s="691">
        <v>59.3</v>
      </c>
      <c r="K15506" s="691">
        <v>59.8</v>
      </c>
    </row>
    <row r="15507" spans="1:11">
      <c r="A15507" s="688" t="s">
        <v>27</v>
      </c>
      <c r="B15507" s="689">
        <v>62.5</v>
      </c>
      <c r="C15507" s="693">
        <v>62</v>
      </c>
      <c r="D15507" s="689">
        <v>61.7</v>
      </c>
      <c r="E15507" s="689">
        <v>62.2</v>
      </c>
      <c r="F15507" s="689">
        <v>62.1</v>
      </c>
      <c r="G15507" s="689">
        <v>62.2</v>
      </c>
      <c r="H15507" s="689">
        <v>62.6</v>
      </c>
      <c r="I15507" s="689">
        <v>61.4</v>
      </c>
      <c r="J15507" s="689">
        <v>62.2</v>
      </c>
      <c r="K15507" s="689">
        <v>62.1</v>
      </c>
    </row>
    <row r="15508" spans="1:11">
      <c r="A15508" s="688" t="s">
        <v>6</v>
      </c>
      <c r="B15508" s="691">
        <v>62.1</v>
      </c>
      <c r="C15508" s="691">
        <v>61.9</v>
      </c>
      <c r="D15508" s="691">
        <v>61.6</v>
      </c>
      <c r="E15508" s="691">
        <v>61.8</v>
      </c>
      <c r="F15508" s="691">
        <v>61.9</v>
      </c>
      <c r="G15508" s="615">
        <v>62</v>
      </c>
      <c r="H15508" s="691">
        <v>62.1</v>
      </c>
      <c r="I15508" s="691">
        <v>61.6</v>
      </c>
      <c r="J15508" s="691">
        <v>61.7</v>
      </c>
      <c r="K15508" s="691">
        <v>61.7</v>
      </c>
    </row>
    <row r="15509" spans="1:11">
      <c r="A15509" s="688" t="s">
        <v>4058</v>
      </c>
      <c r="B15509" s="690" t="s">
        <v>4060</v>
      </c>
      <c r="C15509" s="690" t="s">
        <v>4060</v>
      </c>
      <c r="D15509" s="690" t="s">
        <v>4060</v>
      </c>
      <c r="E15509" s="690" t="s">
        <v>4060</v>
      </c>
      <c r="F15509" s="690" t="s">
        <v>4060</v>
      </c>
      <c r="G15509" s="690" t="s">
        <v>4060</v>
      </c>
      <c r="H15509" s="690" t="s">
        <v>4060</v>
      </c>
      <c r="I15509" s="690" t="s">
        <v>4060</v>
      </c>
      <c r="J15509" s="690" t="s">
        <v>4060</v>
      </c>
      <c r="K15509" s="690" t="s">
        <v>4060</v>
      </c>
    </row>
    <row r="15510" spans="1:11">
      <c r="A15510" s="688" t="s">
        <v>11</v>
      </c>
      <c r="B15510" s="691">
        <v>57.5</v>
      </c>
      <c r="C15510" s="691">
        <v>57.4</v>
      </c>
      <c r="D15510" s="691">
        <v>56.9</v>
      </c>
      <c r="E15510" s="691">
        <v>57.6</v>
      </c>
      <c r="F15510" s="691">
        <v>57.3</v>
      </c>
      <c r="G15510" s="691">
        <v>57.7</v>
      </c>
      <c r="H15510" s="691">
        <v>57.8</v>
      </c>
      <c r="I15510" s="691">
        <v>57.2</v>
      </c>
      <c r="J15510" s="691">
        <v>56.3</v>
      </c>
      <c r="K15510" s="691">
        <v>57.3</v>
      </c>
    </row>
    <row r="15511" spans="1:11">
      <c r="A15511" s="688" t="s">
        <v>10</v>
      </c>
      <c r="B15511" s="689">
        <v>61.6</v>
      </c>
      <c r="C15511" s="689">
        <v>61.4</v>
      </c>
      <c r="D15511" s="693">
        <v>61</v>
      </c>
      <c r="E15511" s="689">
        <v>61.6</v>
      </c>
      <c r="F15511" s="689">
        <v>61.3</v>
      </c>
      <c r="G15511" s="689">
        <v>61.6</v>
      </c>
      <c r="H15511" s="689">
        <v>61.8</v>
      </c>
      <c r="I15511" s="689">
        <v>60.8</v>
      </c>
      <c r="J15511" s="689">
        <v>61.1</v>
      </c>
      <c r="K15511" s="689">
        <v>61.1</v>
      </c>
    </row>
    <row r="15512" spans="1:11">
      <c r="A15512" s="688" t="s">
        <v>30</v>
      </c>
      <c r="B15512" s="691">
        <v>61.2</v>
      </c>
      <c r="C15512" s="691">
        <v>60.5</v>
      </c>
      <c r="D15512" s="691">
        <v>60.2</v>
      </c>
      <c r="E15512" s="691">
        <v>61.2</v>
      </c>
      <c r="F15512" s="691">
        <v>60.7</v>
      </c>
      <c r="G15512" s="691">
        <v>61.1</v>
      </c>
      <c r="H15512" s="615">
        <v>61</v>
      </c>
      <c r="I15512" s="691">
        <v>60.9</v>
      </c>
      <c r="J15512" s="691">
        <v>60.1</v>
      </c>
      <c r="K15512" s="691">
        <v>60.5</v>
      </c>
    </row>
    <row r="15513" spans="1:11">
      <c r="A15513" s="688" t="s">
        <v>12</v>
      </c>
      <c r="B15513" s="689">
        <v>55.6</v>
      </c>
      <c r="C15513" s="693">
        <v>56</v>
      </c>
      <c r="D15513" s="689">
        <v>55.9</v>
      </c>
      <c r="E15513" s="689">
        <v>56.1</v>
      </c>
      <c r="F15513" s="689">
        <v>56.2</v>
      </c>
      <c r="G15513" s="689">
        <v>56.2</v>
      </c>
      <c r="H15513" s="689">
        <v>56.7</v>
      </c>
      <c r="I15513" s="689">
        <v>56.5</v>
      </c>
      <c r="J15513" s="689">
        <v>54.5</v>
      </c>
      <c r="K15513" s="689">
        <v>55.9</v>
      </c>
    </row>
    <row r="15514" spans="1:11">
      <c r="A15514" s="688" t="s">
        <v>14</v>
      </c>
      <c r="B15514" s="691">
        <v>56.2</v>
      </c>
      <c r="C15514" s="691">
        <v>56.5</v>
      </c>
      <c r="D15514" s="691">
        <v>56.2</v>
      </c>
      <c r="E15514" s="691">
        <v>56.5</v>
      </c>
      <c r="F15514" s="691">
        <v>56.7</v>
      </c>
      <c r="G15514" s="691">
        <v>57.1</v>
      </c>
      <c r="H15514" s="691">
        <v>57.4</v>
      </c>
      <c r="I15514" s="691">
        <v>56.5</v>
      </c>
      <c r="J15514" s="691">
        <v>55.3</v>
      </c>
      <c r="K15514" s="691">
        <v>56.6</v>
      </c>
    </row>
    <row r="15515" spans="1:11">
      <c r="A15515" s="688" t="s">
        <v>15</v>
      </c>
      <c r="B15515" s="689">
        <v>60.4</v>
      </c>
      <c r="C15515" s="693">
        <v>61</v>
      </c>
      <c r="D15515" s="689">
        <v>60.4</v>
      </c>
      <c r="E15515" s="689">
        <v>61.2</v>
      </c>
      <c r="F15515" s="689">
        <v>60.3</v>
      </c>
      <c r="G15515" s="689">
        <v>60.8</v>
      </c>
      <c r="H15515" s="689">
        <v>61.1</v>
      </c>
      <c r="I15515" s="693">
        <v>61</v>
      </c>
      <c r="J15515" s="689">
        <v>61.1</v>
      </c>
      <c r="K15515" s="689">
        <v>61.3</v>
      </c>
    </row>
    <row r="15516" spans="1:11">
      <c r="A15516" s="688" t="s">
        <v>29</v>
      </c>
      <c r="B15516" s="691">
        <v>55.7</v>
      </c>
      <c r="C15516" s="691">
        <v>55.7</v>
      </c>
      <c r="D15516" s="691">
        <v>55.3</v>
      </c>
      <c r="E15516" s="615">
        <v>56</v>
      </c>
      <c r="F15516" s="691">
        <v>55.6</v>
      </c>
      <c r="G15516" s="691">
        <v>55.8</v>
      </c>
      <c r="H15516" s="615">
        <v>56</v>
      </c>
      <c r="I15516" s="691">
        <v>55.3</v>
      </c>
      <c r="J15516" s="615">
        <v>54</v>
      </c>
      <c r="K15516" s="691">
        <v>55.6</v>
      </c>
    </row>
    <row r="15517" spans="1:11">
      <c r="A15517" s="688" t="s">
        <v>16</v>
      </c>
      <c r="B15517" s="689">
        <v>60.7</v>
      </c>
      <c r="C15517" s="689">
        <v>60.4</v>
      </c>
      <c r="D15517" s="689">
        <v>60.4</v>
      </c>
      <c r="E15517" s="689">
        <v>60.6</v>
      </c>
      <c r="F15517" s="689">
        <v>60.7</v>
      </c>
      <c r="G15517" s="689">
        <v>60.6</v>
      </c>
      <c r="H15517" s="693">
        <v>61</v>
      </c>
      <c r="I15517" s="689">
        <v>60.6</v>
      </c>
      <c r="J15517" s="689">
        <v>60.3</v>
      </c>
      <c r="K15517" s="689">
        <v>60.6</v>
      </c>
    </row>
    <row r="15518" spans="1:11">
      <c r="A15518" s="688" t="s">
        <v>17</v>
      </c>
      <c r="B15518" s="691">
        <v>59.7</v>
      </c>
      <c r="C15518" s="691">
        <v>59.8</v>
      </c>
      <c r="D15518" s="691">
        <v>59.5</v>
      </c>
      <c r="E15518" s="691">
        <v>59.6</v>
      </c>
      <c r="F15518" s="691">
        <v>59.8</v>
      </c>
      <c r="G15518" s="691">
        <v>59.8</v>
      </c>
      <c r="H15518" s="615">
        <v>60</v>
      </c>
      <c r="I15518" s="691">
        <v>59.5</v>
      </c>
      <c r="J15518" s="691">
        <v>59.4</v>
      </c>
      <c r="K15518" s="691">
        <v>59.5</v>
      </c>
    </row>
    <row r="15519" spans="1:11">
      <c r="A15519" s="688" t="s">
        <v>19</v>
      </c>
      <c r="B15519" s="689">
        <v>60.3</v>
      </c>
      <c r="C15519" s="689">
        <v>60.2</v>
      </c>
      <c r="D15519" s="693">
        <v>60</v>
      </c>
      <c r="E15519" s="689">
        <v>60.4</v>
      </c>
      <c r="F15519" s="689">
        <v>60.3</v>
      </c>
      <c r="G15519" s="689">
        <v>60.4</v>
      </c>
      <c r="H15519" s="689">
        <v>60.6</v>
      </c>
      <c r="I15519" s="689">
        <v>60.2</v>
      </c>
      <c r="J15519" s="689">
        <v>60.2</v>
      </c>
      <c r="K15519" s="689">
        <v>60.2</v>
      </c>
    </row>
    <row r="15520" spans="1:11">
      <c r="A15520" s="688" t="s">
        <v>20</v>
      </c>
      <c r="B15520" s="691">
        <v>57.8</v>
      </c>
      <c r="C15520" s="615">
        <v>58</v>
      </c>
      <c r="D15520" s="691">
        <v>57.8</v>
      </c>
      <c r="E15520" s="691">
        <v>58.2</v>
      </c>
      <c r="F15520" s="691">
        <v>58.1</v>
      </c>
      <c r="G15520" s="615">
        <v>58</v>
      </c>
      <c r="H15520" s="691">
        <v>58.2</v>
      </c>
      <c r="I15520" s="691">
        <v>57.1</v>
      </c>
      <c r="J15520" s="615">
        <v>56</v>
      </c>
      <c r="K15520" s="691">
        <v>57.5</v>
      </c>
    </row>
    <row r="15521" spans="1:11">
      <c r="A15521" s="688" t="s">
        <v>21</v>
      </c>
      <c r="B15521" s="689">
        <v>60.5</v>
      </c>
      <c r="C15521" s="689">
        <v>60.7</v>
      </c>
      <c r="D15521" s="689">
        <v>60.7</v>
      </c>
      <c r="E15521" s="689">
        <v>60.7</v>
      </c>
      <c r="F15521" s="689">
        <v>60.9</v>
      </c>
      <c r="G15521" s="693">
        <v>61</v>
      </c>
      <c r="H15521" s="689">
        <v>61.2</v>
      </c>
      <c r="I15521" s="689">
        <v>60.6</v>
      </c>
      <c r="J15521" s="689">
        <v>60.7</v>
      </c>
      <c r="K15521" s="689">
        <v>60.9</v>
      </c>
    </row>
    <row r="15522" spans="1:11">
      <c r="A15522" s="688" t="s">
        <v>22</v>
      </c>
      <c r="B15522" s="691">
        <v>55.7</v>
      </c>
      <c r="C15522" s="691">
        <v>55.5</v>
      </c>
      <c r="D15522" s="691">
        <v>55.4</v>
      </c>
      <c r="E15522" s="691">
        <v>55.7</v>
      </c>
      <c r="F15522" s="691">
        <v>55.7</v>
      </c>
      <c r="G15522" s="691">
        <v>55.9</v>
      </c>
      <c r="H15522" s="691">
        <v>56.2</v>
      </c>
      <c r="I15522" s="691">
        <v>54.9</v>
      </c>
      <c r="J15522" s="691">
        <v>53.4</v>
      </c>
      <c r="K15522" s="691">
        <v>55.8</v>
      </c>
    </row>
    <row r="15523" spans="1:11">
      <c r="A15523" s="688" t="s">
        <v>26</v>
      </c>
      <c r="B15523" s="693">
        <v>60</v>
      </c>
      <c r="C15523" s="693">
        <v>60</v>
      </c>
      <c r="D15523" s="689">
        <v>59.8</v>
      </c>
      <c r="E15523" s="689">
        <v>60.3</v>
      </c>
      <c r="F15523" s="689">
        <v>60.1</v>
      </c>
      <c r="G15523" s="689">
        <v>60.3</v>
      </c>
      <c r="H15523" s="689">
        <v>60.5</v>
      </c>
      <c r="I15523" s="689">
        <v>59.6</v>
      </c>
      <c r="J15523" s="693">
        <v>60</v>
      </c>
      <c r="K15523" s="689">
        <v>60.2</v>
      </c>
    </row>
    <row r="15524" spans="1:11">
      <c r="A15524" s="688" t="s">
        <v>25</v>
      </c>
      <c r="B15524" s="691">
        <v>56.9</v>
      </c>
      <c r="C15524" s="691">
        <v>57.1</v>
      </c>
      <c r="D15524" s="691">
        <v>56.8</v>
      </c>
      <c r="E15524" s="691">
        <v>57.2</v>
      </c>
      <c r="F15524" s="691">
        <v>57.2</v>
      </c>
      <c r="G15524" s="691">
        <v>57.3</v>
      </c>
      <c r="H15524" s="691">
        <v>57.7</v>
      </c>
      <c r="I15524" s="615">
        <v>57</v>
      </c>
      <c r="J15524" s="691">
        <v>54.8</v>
      </c>
      <c r="K15524" s="691">
        <v>57.1</v>
      </c>
    </row>
    <row r="15525" spans="1:11">
      <c r="A15525" s="688" t="s">
        <v>5</v>
      </c>
      <c r="B15525" s="689">
        <v>60.5</v>
      </c>
      <c r="C15525" s="689">
        <v>60.3</v>
      </c>
      <c r="D15525" s="689">
        <v>60.5</v>
      </c>
      <c r="E15525" s="689">
        <v>60.5</v>
      </c>
      <c r="F15525" s="689">
        <v>60.6</v>
      </c>
      <c r="G15525" s="689">
        <v>60.7</v>
      </c>
      <c r="H15525" s="693">
        <v>61</v>
      </c>
      <c r="I15525" s="693">
        <v>61</v>
      </c>
      <c r="J15525" s="689">
        <v>60.9</v>
      </c>
      <c r="K15525" s="689">
        <v>60.2</v>
      </c>
    </row>
    <row r="15526" spans="1:11">
      <c r="A15526" s="688" t="s">
        <v>23</v>
      </c>
      <c r="B15526" s="691">
        <v>60.2</v>
      </c>
      <c r="C15526" s="691">
        <v>60.4</v>
      </c>
      <c r="D15526" s="691">
        <v>60.4</v>
      </c>
      <c r="E15526" s="691">
        <v>60.5</v>
      </c>
      <c r="F15526" s="691">
        <v>60.5</v>
      </c>
      <c r="G15526" s="691">
        <v>60.7</v>
      </c>
      <c r="H15526" s="691">
        <v>61.1</v>
      </c>
      <c r="I15526" s="691">
        <v>60.6</v>
      </c>
      <c r="J15526" s="691">
        <v>61.2</v>
      </c>
      <c r="K15526" s="691">
        <v>61.1</v>
      </c>
    </row>
    <row r="15527" spans="1:11">
      <c r="A15527" s="688" t="s">
        <v>4067</v>
      </c>
      <c r="B15527" s="689">
        <v>59.8</v>
      </c>
      <c r="C15527" s="689">
        <v>60.1</v>
      </c>
      <c r="D15527" s="689">
        <v>59.8</v>
      </c>
      <c r="E15527" s="689">
        <v>60.1</v>
      </c>
      <c r="F15527" s="693">
        <v>60</v>
      </c>
      <c r="G15527" s="689">
        <v>60.1</v>
      </c>
      <c r="H15527" s="690" t="s">
        <v>4060</v>
      </c>
      <c r="I15527" s="690" t="s">
        <v>4060</v>
      </c>
      <c r="J15527" s="690" t="s">
        <v>4060</v>
      </c>
      <c r="K15527" s="690" t="s">
        <v>4060</v>
      </c>
    </row>
    <row r="15528" spans="1:11">
      <c r="A15528" s="688" t="s">
        <v>4066</v>
      </c>
      <c r="B15528" s="691">
        <v>59.8</v>
      </c>
      <c r="C15528" s="691">
        <v>60.2</v>
      </c>
      <c r="D15528" s="691">
        <v>59.8</v>
      </c>
      <c r="E15528" s="691">
        <v>60.2</v>
      </c>
      <c r="F15528" s="691">
        <v>60.1</v>
      </c>
      <c r="G15528" s="691">
        <v>60.1</v>
      </c>
      <c r="H15528" s="692" t="s">
        <v>4060</v>
      </c>
      <c r="I15528" s="692" t="s">
        <v>4060</v>
      </c>
      <c r="J15528" s="692" t="s">
        <v>4060</v>
      </c>
      <c r="K15528" s="692" t="s">
        <v>4060</v>
      </c>
    </row>
    <row r="15529" spans="1:11">
      <c r="A15529" s="688" t="s">
        <v>4062</v>
      </c>
      <c r="B15529" s="693">
        <v>61</v>
      </c>
      <c r="C15529" s="689">
        <v>61.2</v>
      </c>
      <c r="D15529" s="693">
        <v>61</v>
      </c>
      <c r="E15529" s="689">
        <v>61.3</v>
      </c>
      <c r="F15529" s="689">
        <v>61.4</v>
      </c>
      <c r="G15529" s="689">
        <v>61.5</v>
      </c>
      <c r="H15529" s="689">
        <v>61.6</v>
      </c>
      <c r="I15529" s="689">
        <v>61.4</v>
      </c>
      <c r="J15529" s="689">
        <v>61.7</v>
      </c>
      <c r="K15529" s="689">
        <v>61.4</v>
      </c>
    </row>
    <row r="15530" spans="1:11">
      <c r="A15530" s="688" t="s">
        <v>9</v>
      </c>
      <c r="B15530" s="691">
        <v>60.2</v>
      </c>
      <c r="C15530" s="691">
        <v>60.6</v>
      </c>
      <c r="D15530" s="615">
        <v>60</v>
      </c>
      <c r="E15530" s="691">
        <v>60.2</v>
      </c>
      <c r="F15530" s="691">
        <v>60.6</v>
      </c>
      <c r="G15530" s="691">
        <v>60.5</v>
      </c>
      <c r="H15530" s="691">
        <v>60.6</v>
      </c>
      <c r="I15530" s="691">
        <v>60.7</v>
      </c>
      <c r="J15530" s="691">
        <v>60.9</v>
      </c>
      <c r="K15530" s="615">
        <v>60</v>
      </c>
    </row>
    <row r="15531" spans="1:11">
      <c r="A15531" s="688" t="s">
        <v>13</v>
      </c>
      <c r="B15531" s="689">
        <v>60.9</v>
      </c>
      <c r="C15531" s="689">
        <v>59.9</v>
      </c>
      <c r="D15531" s="689">
        <v>60.9</v>
      </c>
      <c r="E15531" s="689">
        <v>60.6</v>
      </c>
      <c r="F15531" s="689">
        <v>61.8</v>
      </c>
      <c r="G15531" s="689">
        <v>61.9</v>
      </c>
      <c r="H15531" s="689">
        <v>61.5</v>
      </c>
      <c r="I15531" s="689">
        <v>61.1</v>
      </c>
      <c r="J15531" s="689">
        <v>62.1</v>
      </c>
      <c r="K15531" s="689">
        <v>61.8</v>
      </c>
    </row>
    <row r="15532" spans="1:11">
      <c r="A15532" s="688" t="s">
        <v>18</v>
      </c>
      <c r="B15532" s="691">
        <v>60.2</v>
      </c>
      <c r="C15532" s="691">
        <v>60.4</v>
      </c>
      <c r="D15532" s="691">
        <v>60.5</v>
      </c>
      <c r="E15532" s="691">
        <v>60.5</v>
      </c>
      <c r="F15532" s="691">
        <v>60.7</v>
      </c>
      <c r="G15532" s="691">
        <v>60.8</v>
      </c>
      <c r="H15532" s="615">
        <v>61</v>
      </c>
      <c r="I15532" s="691">
        <v>61.2</v>
      </c>
      <c r="J15532" s="691">
        <v>61.1</v>
      </c>
      <c r="K15532" s="691">
        <v>60.7</v>
      </c>
    </row>
    <row r="15533" spans="1:11">
      <c r="A15533" s="688" t="s">
        <v>24</v>
      </c>
      <c r="B15533" s="689">
        <v>61.5</v>
      </c>
      <c r="C15533" s="689">
        <v>61.6</v>
      </c>
      <c r="D15533" s="689">
        <v>61.4</v>
      </c>
      <c r="E15533" s="689">
        <v>61.7</v>
      </c>
      <c r="F15533" s="689">
        <v>61.8</v>
      </c>
      <c r="G15533" s="689">
        <v>61.9</v>
      </c>
      <c r="H15533" s="693">
        <v>62</v>
      </c>
      <c r="I15533" s="689">
        <v>61.6</v>
      </c>
      <c r="J15533" s="693">
        <v>62</v>
      </c>
      <c r="K15533" s="689">
        <v>61.9</v>
      </c>
    </row>
    <row r="15534" spans="1:11">
      <c r="A15534" s="688" t="s">
        <v>4059</v>
      </c>
      <c r="B15534" s="691">
        <v>59.4</v>
      </c>
      <c r="C15534" s="691">
        <v>59.7</v>
      </c>
      <c r="D15534" s="691">
        <v>59.3</v>
      </c>
      <c r="E15534" s="691">
        <v>59.5</v>
      </c>
      <c r="F15534" s="691">
        <v>59.6</v>
      </c>
      <c r="G15534" s="691">
        <v>59.6</v>
      </c>
      <c r="H15534" s="692" t="s">
        <v>4060</v>
      </c>
      <c r="I15534" s="692" t="s">
        <v>4060</v>
      </c>
      <c r="J15534" s="692" t="s">
        <v>4060</v>
      </c>
      <c r="K15534" s="692" t="s">
        <v>4060</v>
      </c>
    </row>
    <row r="15535" spans="1:11">
      <c r="A15535" s="688" t="s">
        <v>2324</v>
      </c>
      <c r="B15535" s="689">
        <v>55.5</v>
      </c>
      <c r="C15535" s="689">
        <v>55.5</v>
      </c>
      <c r="D15535" s="693">
        <v>55</v>
      </c>
      <c r="E15535" s="689">
        <v>55.4</v>
      </c>
      <c r="F15535" s="689">
        <v>55.6</v>
      </c>
      <c r="G15535" s="689">
        <v>55.6</v>
      </c>
      <c r="H15535" s="689">
        <v>55.9</v>
      </c>
      <c r="I15535" s="689">
        <v>55.2</v>
      </c>
      <c r="J15535" s="689">
        <v>53.3</v>
      </c>
      <c r="K15535" s="690" t="s">
        <v>4060</v>
      </c>
    </row>
    <row r="15536" spans="1:11">
      <c r="A15536" s="688" t="s">
        <v>2322</v>
      </c>
      <c r="B15536" s="692" t="s">
        <v>4060</v>
      </c>
      <c r="C15536" s="692" t="s">
        <v>4060</v>
      </c>
      <c r="D15536" s="692" t="s">
        <v>4060</v>
      </c>
      <c r="E15536" s="692" t="s">
        <v>4060</v>
      </c>
      <c r="F15536" s="692" t="s">
        <v>4060</v>
      </c>
      <c r="G15536" s="692" t="s">
        <v>4060</v>
      </c>
      <c r="H15536" s="692" t="s">
        <v>4060</v>
      </c>
      <c r="I15536" s="692" t="s">
        <v>4060</v>
      </c>
      <c r="J15536" s="692" t="s">
        <v>4060</v>
      </c>
      <c r="K15536" s="692" t="s">
        <v>4060</v>
      </c>
    </row>
    <row r="15537" spans="1:11">
      <c r="A15537" s="688" t="s">
        <v>2328</v>
      </c>
      <c r="B15537" s="689">
        <v>54.6</v>
      </c>
      <c r="C15537" s="689">
        <v>54.5</v>
      </c>
      <c r="D15537" s="689">
        <v>54.3</v>
      </c>
      <c r="E15537" s="689">
        <v>54.7</v>
      </c>
      <c r="F15537" s="689">
        <v>54.9</v>
      </c>
      <c r="G15537" s="689">
        <v>55.3</v>
      </c>
      <c r="H15537" s="689">
        <v>55.2</v>
      </c>
      <c r="I15537" s="689">
        <v>53.4</v>
      </c>
      <c r="J15537" s="689">
        <v>52.1</v>
      </c>
      <c r="K15537" s="690" t="s">
        <v>4060</v>
      </c>
    </row>
    <row r="15538" spans="1:11">
      <c r="A15538" s="688" t="s">
        <v>2496</v>
      </c>
      <c r="B15538" s="692" t="s">
        <v>4060</v>
      </c>
      <c r="C15538" s="691">
        <v>55.4</v>
      </c>
      <c r="D15538" s="691">
        <v>54.5</v>
      </c>
      <c r="E15538" s="691">
        <v>54.2</v>
      </c>
      <c r="F15538" s="691">
        <v>54.9</v>
      </c>
      <c r="G15538" s="691">
        <v>55.2</v>
      </c>
      <c r="H15538" s="691">
        <v>55.3</v>
      </c>
      <c r="I15538" s="692" t="s">
        <v>4060</v>
      </c>
      <c r="J15538" s="692" t="s">
        <v>4060</v>
      </c>
      <c r="K15538" s="615">
        <v>55</v>
      </c>
    </row>
    <row r="15539" spans="1:11">
      <c r="A15539" s="688" t="s">
        <v>2269</v>
      </c>
      <c r="B15539" s="689">
        <v>57.2</v>
      </c>
      <c r="C15539" s="689">
        <v>57.3</v>
      </c>
      <c r="D15539" s="689">
        <v>56.7</v>
      </c>
      <c r="E15539" s="689">
        <v>57.2</v>
      </c>
      <c r="F15539" s="689">
        <v>57.1</v>
      </c>
      <c r="G15539" s="689">
        <v>57.6</v>
      </c>
      <c r="H15539" s="689">
        <v>57.8</v>
      </c>
      <c r="I15539" s="689">
        <v>56.6</v>
      </c>
      <c r="J15539" s="689">
        <v>54.5</v>
      </c>
      <c r="K15539" s="689">
        <v>57.5</v>
      </c>
    </row>
    <row r="15540" spans="1:11">
      <c r="A15540" s="688" t="s">
        <v>2349</v>
      </c>
      <c r="B15540" s="691">
        <v>54.6</v>
      </c>
      <c r="C15540" s="691">
        <v>54.6</v>
      </c>
      <c r="D15540" s="691">
        <v>54.5</v>
      </c>
      <c r="E15540" s="691">
        <v>54.9</v>
      </c>
      <c r="F15540" s="691">
        <v>54.7</v>
      </c>
      <c r="G15540" s="615">
        <v>55</v>
      </c>
      <c r="H15540" s="691">
        <v>55.2</v>
      </c>
      <c r="I15540" s="615">
        <v>54</v>
      </c>
      <c r="J15540" s="691">
        <v>52.3</v>
      </c>
      <c r="K15540" s="691">
        <v>54.3</v>
      </c>
    </row>
    <row r="15541" spans="1:11">
      <c r="A15541" s="688" t="s">
        <v>2355</v>
      </c>
      <c r="B15541" s="689">
        <v>58.5</v>
      </c>
      <c r="C15541" s="689">
        <v>58.3</v>
      </c>
      <c r="D15541" s="689">
        <v>58.3</v>
      </c>
      <c r="E15541" s="689">
        <v>58.2</v>
      </c>
      <c r="F15541" s="689">
        <v>58.4</v>
      </c>
      <c r="G15541" s="689">
        <v>58.8</v>
      </c>
      <c r="H15541" s="689">
        <v>58.9</v>
      </c>
      <c r="I15541" s="690" t="s">
        <v>4060</v>
      </c>
      <c r="J15541" s="690" t="s">
        <v>4060</v>
      </c>
      <c r="K15541" s="690" t="s">
        <v>4060</v>
      </c>
    </row>
    <row r="15542" spans="1:11">
      <c r="A15542" s="688" t="s">
        <v>2357</v>
      </c>
      <c r="B15542" s="692" t="s">
        <v>4060</v>
      </c>
      <c r="C15542" s="691">
        <v>53.7</v>
      </c>
      <c r="D15542" s="691">
        <v>54.2</v>
      </c>
      <c r="E15542" s="691">
        <v>54.5</v>
      </c>
      <c r="F15542" s="691">
        <v>54.8</v>
      </c>
      <c r="G15542" s="691">
        <v>54.8</v>
      </c>
      <c r="H15542" s="691">
        <v>55.1</v>
      </c>
      <c r="I15542" s="692" t="s">
        <v>4060</v>
      </c>
      <c r="J15542" s="692" t="s">
        <v>4060</v>
      </c>
      <c r="K15542" s="692" t="s">
        <v>4060</v>
      </c>
    </row>
    <row r="15543" spans="1:11">
      <c r="A15543" s="688" t="s">
        <v>4070</v>
      </c>
      <c r="B15543" s="690" t="s">
        <v>4060</v>
      </c>
      <c r="C15543" s="690" t="s">
        <v>4060</v>
      </c>
      <c r="D15543" s="690" t="s">
        <v>4060</v>
      </c>
      <c r="E15543" s="689">
        <v>58.3</v>
      </c>
      <c r="F15543" s="690" t="s">
        <v>4060</v>
      </c>
      <c r="G15543" s="690" t="s">
        <v>4060</v>
      </c>
      <c r="H15543" s="690" t="s">
        <v>4060</v>
      </c>
      <c r="I15543" s="690" t="s">
        <v>4060</v>
      </c>
      <c r="J15543" s="690" t="s">
        <v>4060</v>
      </c>
      <c r="K15543" s="690" t="s">
        <v>4060</v>
      </c>
    </row>
    <row r="15544" spans="1:11">
      <c r="A15544" s="688" t="s">
        <v>2491</v>
      </c>
      <c r="B15544" s="691">
        <v>54.6</v>
      </c>
      <c r="C15544" s="691">
        <v>55.1</v>
      </c>
      <c r="D15544" s="691">
        <v>55.5</v>
      </c>
      <c r="E15544" s="691">
        <v>55.7</v>
      </c>
      <c r="F15544" s="691">
        <v>55.9</v>
      </c>
      <c r="G15544" s="691">
        <v>55.9</v>
      </c>
      <c r="H15544" s="692" t="s">
        <v>4060</v>
      </c>
      <c r="I15544" s="692" t="s">
        <v>4060</v>
      </c>
      <c r="J15544" s="692" t="s">
        <v>4060</v>
      </c>
      <c r="K15544" s="692" t="s">
        <v>4060</v>
      </c>
    </row>
    <row r="15545" spans="1:11">
      <c r="A15545" s="688" t="s">
        <v>2343</v>
      </c>
      <c r="B15545" s="690" t="s">
        <v>4060</v>
      </c>
      <c r="C15545" s="690" t="s">
        <v>4060</v>
      </c>
      <c r="D15545" s="690" t="s">
        <v>4060</v>
      </c>
      <c r="E15545" s="690" t="s">
        <v>4060</v>
      </c>
      <c r="F15545" s="690" t="s">
        <v>4060</v>
      </c>
      <c r="G15545" s="690" t="s">
        <v>4060</v>
      </c>
      <c r="H15545" s="690" t="s">
        <v>4060</v>
      </c>
      <c r="I15545" s="690" t="s">
        <v>4060</v>
      </c>
      <c r="J15545" s="690" t="s">
        <v>4060</v>
      </c>
      <c r="K15545" s="690" t="s">
        <v>4060</v>
      </c>
    </row>
    <row r="15546" spans="1:11">
      <c r="A15546" s="688" t="s">
        <v>4071</v>
      </c>
      <c r="B15546" s="692" t="s">
        <v>4060</v>
      </c>
      <c r="C15546" s="692" t="s">
        <v>4060</v>
      </c>
      <c r="D15546" s="692" t="s">
        <v>4060</v>
      </c>
      <c r="E15546" s="692" t="s">
        <v>4060</v>
      </c>
      <c r="F15546" s="692" t="s">
        <v>4060</v>
      </c>
      <c r="G15546" s="692" t="s">
        <v>4060</v>
      </c>
      <c r="H15546" s="692" t="s">
        <v>4060</v>
      </c>
      <c r="I15546" s="692" t="s">
        <v>4060</v>
      </c>
      <c r="J15546" s="692" t="s">
        <v>4060</v>
      </c>
      <c r="K15546" s="692" t="s">
        <v>4060</v>
      </c>
    </row>
    <row r="15547" spans="1:11">
      <c r="A15547" s="688" t="s">
        <v>2489</v>
      </c>
      <c r="B15547" s="690" t="s">
        <v>4060</v>
      </c>
      <c r="C15547" s="690" t="s">
        <v>4060</v>
      </c>
      <c r="D15547" s="689">
        <v>55.2</v>
      </c>
      <c r="E15547" s="689">
        <v>55.3</v>
      </c>
      <c r="F15547" s="689">
        <v>55.8</v>
      </c>
      <c r="G15547" s="689">
        <v>56.5</v>
      </c>
      <c r="H15547" s="689">
        <v>56.5</v>
      </c>
      <c r="I15547" s="690" t="s">
        <v>4060</v>
      </c>
      <c r="J15547" s="690" t="s">
        <v>4060</v>
      </c>
      <c r="K15547" s="690" t="s">
        <v>4060</v>
      </c>
    </row>
    <row r="15548" spans="1:11">
      <c r="A15548" s="688" t="s">
        <v>2490</v>
      </c>
      <c r="B15548" s="691">
        <v>54.5</v>
      </c>
      <c r="C15548" s="691">
        <v>54.5</v>
      </c>
      <c r="D15548" s="615">
        <v>55</v>
      </c>
      <c r="E15548" s="692" t="s">
        <v>4060</v>
      </c>
      <c r="F15548" s="691">
        <v>55.2</v>
      </c>
      <c r="G15548" s="691">
        <v>55.6</v>
      </c>
      <c r="H15548" s="691">
        <v>56.2</v>
      </c>
      <c r="I15548" s="692" t="s">
        <v>4060</v>
      </c>
      <c r="J15548" s="692" t="s">
        <v>4060</v>
      </c>
      <c r="K15548" s="692" t="s">
        <v>4060</v>
      </c>
    </row>
    <row r="15550" spans="1:11">
      <c r="A15550" s="683" t="s">
        <v>4233</v>
      </c>
    </row>
    <row r="15551" spans="1:11">
      <c r="A15551" s="683" t="s">
        <v>4060</v>
      </c>
      <c r="B15551" s="682" t="s">
        <v>4234</v>
      </c>
    </row>
    <row r="15553" spans="1:11">
      <c r="A15553" s="682" t="s">
        <v>4332</v>
      </c>
    </row>
    <row r="15554" spans="1:11">
      <c r="A15554" s="682" t="s">
        <v>4210</v>
      </c>
      <c r="B15554" s="683" t="s">
        <v>4211</v>
      </c>
    </row>
    <row r="15555" spans="1:11">
      <c r="A15555" s="682" t="s">
        <v>4212</v>
      </c>
      <c r="B15555" s="682" t="s">
        <v>4213</v>
      </c>
    </row>
    <row r="15557" spans="1:11">
      <c r="A15557" s="683" t="s">
        <v>4214</v>
      </c>
      <c r="C15557" s="682" t="s">
        <v>4215</v>
      </c>
    </row>
    <row r="15558" spans="1:11">
      <c r="A15558" s="683" t="s">
        <v>4216</v>
      </c>
      <c r="C15558" s="682" t="s">
        <v>2967</v>
      </c>
    </row>
    <row r="15559" spans="1:11">
      <c r="A15559" s="683" t="s">
        <v>3893</v>
      </c>
      <c r="C15559" s="682" t="s">
        <v>2169</v>
      </c>
    </row>
    <row r="15560" spans="1:11">
      <c r="A15560" s="683" t="s">
        <v>4218</v>
      </c>
      <c r="C15560" s="682" t="s">
        <v>4260</v>
      </c>
    </row>
    <row r="15562" spans="1:11">
      <c r="A15562" s="684" t="s">
        <v>4220</v>
      </c>
      <c r="B15562" s="685" t="s">
        <v>4221</v>
      </c>
      <c r="C15562" s="685" t="s">
        <v>4222</v>
      </c>
      <c r="D15562" s="685" t="s">
        <v>4223</v>
      </c>
      <c r="E15562" s="685" t="s">
        <v>4224</v>
      </c>
      <c r="F15562" s="685" t="s">
        <v>4225</v>
      </c>
      <c r="G15562" s="685" t="s">
        <v>4226</v>
      </c>
      <c r="H15562" s="685" t="s">
        <v>4227</v>
      </c>
      <c r="I15562" s="685" t="s">
        <v>4228</v>
      </c>
      <c r="J15562" s="685" t="s">
        <v>4229</v>
      </c>
      <c r="K15562" s="685" t="s">
        <v>4230</v>
      </c>
    </row>
    <row r="15563" spans="1:11">
      <c r="A15563" s="686" t="s">
        <v>4231</v>
      </c>
      <c r="B15563" s="687" t="s">
        <v>4232</v>
      </c>
      <c r="C15563" s="687" t="s">
        <v>4232</v>
      </c>
      <c r="D15563" s="687" t="s">
        <v>4232</v>
      </c>
      <c r="E15563" s="687" t="s">
        <v>4232</v>
      </c>
      <c r="F15563" s="687" t="s">
        <v>4232</v>
      </c>
      <c r="G15563" s="687" t="s">
        <v>4232</v>
      </c>
      <c r="H15563" s="687" t="s">
        <v>4232</v>
      </c>
      <c r="I15563" s="687" t="s">
        <v>4232</v>
      </c>
      <c r="J15563" s="687" t="s">
        <v>4232</v>
      </c>
      <c r="K15563" s="687" t="s">
        <v>4232</v>
      </c>
    </row>
    <row r="15564" spans="1:11">
      <c r="A15564" s="688" t="s">
        <v>4064</v>
      </c>
      <c r="B15564" s="691">
        <v>58.9</v>
      </c>
      <c r="C15564" s="691">
        <v>58.9</v>
      </c>
      <c r="D15564" s="691">
        <v>58.8</v>
      </c>
      <c r="E15564" s="615">
        <v>59</v>
      </c>
      <c r="F15564" s="691">
        <v>58.9</v>
      </c>
      <c r="G15564" s="615">
        <v>59</v>
      </c>
      <c r="H15564" s="691">
        <v>59.2</v>
      </c>
      <c r="I15564" s="691">
        <v>58.5</v>
      </c>
      <c r="J15564" s="691">
        <v>58.3</v>
      </c>
      <c r="K15564" s="691">
        <v>58.7</v>
      </c>
    </row>
    <row r="15565" spans="1:11">
      <c r="A15565" s="688" t="s">
        <v>4065</v>
      </c>
      <c r="B15565" s="689">
        <v>58.8</v>
      </c>
      <c r="C15565" s="689">
        <v>59.2</v>
      </c>
      <c r="D15565" s="689">
        <v>58.8</v>
      </c>
      <c r="E15565" s="689">
        <v>59.2</v>
      </c>
      <c r="F15565" s="693">
        <v>59</v>
      </c>
      <c r="G15565" s="689">
        <v>59.1</v>
      </c>
      <c r="H15565" s="690" t="s">
        <v>4060</v>
      </c>
      <c r="I15565" s="690" t="s">
        <v>4060</v>
      </c>
      <c r="J15565" s="690" t="s">
        <v>4060</v>
      </c>
      <c r="K15565" s="690" t="s">
        <v>4060</v>
      </c>
    </row>
    <row r="15566" spans="1:11">
      <c r="A15566" s="688" t="s">
        <v>4063</v>
      </c>
      <c r="B15566" s="691">
        <v>58.8</v>
      </c>
      <c r="C15566" s="691">
        <v>59.2</v>
      </c>
      <c r="D15566" s="691">
        <v>58.8</v>
      </c>
      <c r="E15566" s="691">
        <v>59.2</v>
      </c>
      <c r="F15566" s="691">
        <v>59.1</v>
      </c>
      <c r="G15566" s="691">
        <v>59.1</v>
      </c>
      <c r="H15566" s="692" t="s">
        <v>4060</v>
      </c>
      <c r="I15566" s="692" t="s">
        <v>4060</v>
      </c>
      <c r="J15566" s="692" t="s">
        <v>4060</v>
      </c>
      <c r="K15566" s="692" t="s">
        <v>4060</v>
      </c>
    </row>
    <row r="15567" spans="1:11">
      <c r="A15567" s="688" t="s">
        <v>4069</v>
      </c>
      <c r="B15567" s="690" t="s">
        <v>4060</v>
      </c>
      <c r="C15567" s="689">
        <v>59.7</v>
      </c>
      <c r="D15567" s="689">
        <v>59.4</v>
      </c>
      <c r="E15567" s="689">
        <v>59.7</v>
      </c>
      <c r="F15567" s="689">
        <v>59.7</v>
      </c>
      <c r="G15567" s="689">
        <v>59.8</v>
      </c>
      <c r="H15567" s="693">
        <v>60</v>
      </c>
      <c r="I15567" s="689">
        <v>59.4</v>
      </c>
      <c r="J15567" s="689">
        <v>59.5</v>
      </c>
      <c r="K15567" s="689">
        <v>59.5</v>
      </c>
    </row>
    <row r="15568" spans="1:11">
      <c r="A15568" s="688" t="s">
        <v>4068</v>
      </c>
      <c r="B15568" s="691">
        <v>59.7</v>
      </c>
      <c r="C15568" s="692" t="s">
        <v>4060</v>
      </c>
      <c r="D15568" s="692" t="s">
        <v>4060</v>
      </c>
      <c r="E15568" s="692" t="s">
        <v>4060</v>
      </c>
      <c r="F15568" s="692" t="s">
        <v>4060</v>
      </c>
      <c r="G15568" s="692" t="s">
        <v>4060</v>
      </c>
      <c r="H15568" s="692" t="s">
        <v>4060</v>
      </c>
      <c r="I15568" s="692" t="s">
        <v>4060</v>
      </c>
      <c r="J15568" s="692" t="s">
        <v>4060</v>
      </c>
      <c r="K15568" s="692" t="s">
        <v>4060</v>
      </c>
    </row>
    <row r="15569" spans="1:11">
      <c r="A15569" s="688" t="s">
        <v>0</v>
      </c>
      <c r="B15569" s="689">
        <v>58.7</v>
      </c>
      <c r="C15569" s="693">
        <v>59</v>
      </c>
      <c r="D15569" s="689">
        <v>58.7</v>
      </c>
      <c r="E15569" s="689">
        <v>59.1</v>
      </c>
      <c r="F15569" s="689">
        <v>59.2</v>
      </c>
      <c r="G15569" s="689">
        <v>59.2</v>
      </c>
      <c r="H15569" s="689">
        <v>59.5</v>
      </c>
      <c r="I15569" s="689">
        <v>58.5</v>
      </c>
      <c r="J15569" s="689">
        <v>59.5</v>
      </c>
      <c r="K15569" s="689">
        <v>59.3</v>
      </c>
    </row>
    <row r="15570" spans="1:11">
      <c r="A15570" s="688" t="s">
        <v>1</v>
      </c>
      <c r="B15570" s="691">
        <v>54.5</v>
      </c>
      <c r="C15570" s="691">
        <v>53.9</v>
      </c>
      <c r="D15570" s="691">
        <v>53.9</v>
      </c>
      <c r="E15570" s="691">
        <v>54.2</v>
      </c>
      <c r="F15570" s="691">
        <v>54.1</v>
      </c>
      <c r="G15570" s="691">
        <v>54.2</v>
      </c>
      <c r="H15570" s="691">
        <v>54.4</v>
      </c>
      <c r="I15570" s="615">
        <v>53</v>
      </c>
      <c r="J15570" s="691">
        <v>50.9</v>
      </c>
      <c r="K15570" s="691">
        <v>53.6</v>
      </c>
    </row>
    <row r="15571" spans="1:11">
      <c r="A15571" s="688" t="s">
        <v>2240</v>
      </c>
      <c r="B15571" s="689">
        <v>56.7</v>
      </c>
      <c r="C15571" s="689">
        <v>57.1</v>
      </c>
      <c r="D15571" s="689">
        <v>56.9</v>
      </c>
      <c r="E15571" s="689">
        <v>57.3</v>
      </c>
      <c r="F15571" s="689">
        <v>57.3</v>
      </c>
      <c r="G15571" s="689">
        <v>57.3</v>
      </c>
      <c r="H15571" s="689">
        <v>57.5</v>
      </c>
      <c r="I15571" s="689">
        <v>56.7</v>
      </c>
      <c r="J15571" s="689">
        <v>55.9</v>
      </c>
      <c r="K15571" s="689">
        <v>57.4</v>
      </c>
    </row>
    <row r="15572" spans="1:11">
      <c r="A15572" s="688" t="s">
        <v>2</v>
      </c>
      <c r="B15572" s="691">
        <v>57.8</v>
      </c>
      <c r="C15572" s="691">
        <v>58.1</v>
      </c>
      <c r="D15572" s="691">
        <v>58.2</v>
      </c>
      <c r="E15572" s="691">
        <v>58.2</v>
      </c>
      <c r="F15572" s="691">
        <v>58.5</v>
      </c>
      <c r="G15572" s="691">
        <v>58.3</v>
      </c>
      <c r="H15572" s="691">
        <v>58.8</v>
      </c>
      <c r="I15572" s="691">
        <v>58.9</v>
      </c>
      <c r="J15572" s="691">
        <v>58.7</v>
      </c>
      <c r="K15572" s="691">
        <v>58.6</v>
      </c>
    </row>
    <row r="15573" spans="1:11">
      <c r="A15573" s="688" t="s">
        <v>3</v>
      </c>
      <c r="B15573" s="689">
        <v>58.5</v>
      </c>
      <c r="C15573" s="689">
        <v>58.8</v>
      </c>
      <c r="D15573" s="689">
        <v>58.5</v>
      </c>
      <c r="E15573" s="689">
        <v>58.8</v>
      </c>
      <c r="F15573" s="689">
        <v>58.8</v>
      </c>
      <c r="G15573" s="689">
        <v>58.7</v>
      </c>
      <c r="H15573" s="693">
        <v>59</v>
      </c>
      <c r="I15573" s="689">
        <v>58.9</v>
      </c>
      <c r="J15573" s="689">
        <v>58.6</v>
      </c>
      <c r="K15573" s="689">
        <v>58.4</v>
      </c>
    </row>
    <row r="15574" spans="1:11">
      <c r="A15574" s="688" t="s">
        <v>4061</v>
      </c>
      <c r="B15574" s="691">
        <v>58.5</v>
      </c>
      <c r="C15574" s="691">
        <v>58.8</v>
      </c>
      <c r="D15574" s="691">
        <v>58.5</v>
      </c>
      <c r="E15574" s="691">
        <v>58.8</v>
      </c>
      <c r="F15574" s="691">
        <v>58.8</v>
      </c>
      <c r="G15574" s="691">
        <v>58.7</v>
      </c>
      <c r="H15574" s="615">
        <v>59</v>
      </c>
      <c r="I15574" s="691">
        <v>58.9</v>
      </c>
      <c r="J15574" s="691">
        <v>58.6</v>
      </c>
      <c r="K15574" s="691">
        <v>58.4</v>
      </c>
    </row>
    <row r="15575" spans="1:11">
      <c r="A15575" s="688" t="s">
        <v>4</v>
      </c>
      <c r="B15575" s="689">
        <v>57.2</v>
      </c>
      <c r="C15575" s="689">
        <v>57.1</v>
      </c>
      <c r="D15575" s="689">
        <v>57.4</v>
      </c>
      <c r="E15575" s="689">
        <v>57.5</v>
      </c>
      <c r="F15575" s="689">
        <v>57.8</v>
      </c>
      <c r="G15575" s="689">
        <v>57.8</v>
      </c>
      <c r="H15575" s="689">
        <v>58.1</v>
      </c>
      <c r="I15575" s="689">
        <v>58.1</v>
      </c>
      <c r="J15575" s="689">
        <v>56.8</v>
      </c>
      <c r="K15575" s="689">
        <v>57.7</v>
      </c>
    </row>
    <row r="15576" spans="1:11">
      <c r="A15576" s="688" t="s">
        <v>8</v>
      </c>
      <c r="B15576" s="691">
        <v>58.6</v>
      </c>
      <c r="C15576" s="691">
        <v>58.7</v>
      </c>
      <c r="D15576" s="691">
        <v>58.7</v>
      </c>
      <c r="E15576" s="691">
        <v>58.8</v>
      </c>
      <c r="F15576" s="691">
        <v>59.2</v>
      </c>
      <c r="G15576" s="691">
        <v>59.3</v>
      </c>
      <c r="H15576" s="691">
        <v>59.7</v>
      </c>
      <c r="I15576" s="691">
        <v>59.5</v>
      </c>
      <c r="J15576" s="691">
        <v>59.4</v>
      </c>
      <c r="K15576" s="691">
        <v>59.4</v>
      </c>
    </row>
    <row r="15577" spans="1:11">
      <c r="A15577" s="688" t="s">
        <v>7</v>
      </c>
      <c r="B15577" s="689">
        <v>59.5</v>
      </c>
      <c r="C15577" s="689">
        <v>59.3</v>
      </c>
      <c r="D15577" s="693">
        <v>59</v>
      </c>
      <c r="E15577" s="689">
        <v>59.3</v>
      </c>
      <c r="F15577" s="689">
        <v>59.2</v>
      </c>
      <c r="G15577" s="689">
        <v>59.7</v>
      </c>
      <c r="H15577" s="689">
        <v>59.6</v>
      </c>
      <c r="I15577" s="689">
        <v>59.2</v>
      </c>
      <c r="J15577" s="689">
        <v>58.4</v>
      </c>
      <c r="K15577" s="689">
        <v>58.8</v>
      </c>
    </row>
    <row r="15578" spans="1:11">
      <c r="A15578" s="688" t="s">
        <v>27</v>
      </c>
      <c r="B15578" s="691">
        <v>61.5</v>
      </c>
      <c r="C15578" s="615">
        <v>61</v>
      </c>
      <c r="D15578" s="691">
        <v>60.8</v>
      </c>
      <c r="E15578" s="691">
        <v>61.2</v>
      </c>
      <c r="F15578" s="691">
        <v>61.1</v>
      </c>
      <c r="G15578" s="691">
        <v>61.2</v>
      </c>
      <c r="H15578" s="691">
        <v>61.6</v>
      </c>
      <c r="I15578" s="691">
        <v>60.4</v>
      </c>
      <c r="J15578" s="691">
        <v>61.2</v>
      </c>
      <c r="K15578" s="691">
        <v>61.1</v>
      </c>
    </row>
    <row r="15579" spans="1:11">
      <c r="A15579" s="688" t="s">
        <v>6</v>
      </c>
      <c r="B15579" s="689">
        <v>61.1</v>
      </c>
      <c r="C15579" s="689">
        <v>60.9</v>
      </c>
      <c r="D15579" s="689">
        <v>60.6</v>
      </c>
      <c r="E15579" s="689">
        <v>60.9</v>
      </c>
      <c r="F15579" s="689">
        <v>60.9</v>
      </c>
      <c r="G15579" s="693">
        <v>61</v>
      </c>
      <c r="H15579" s="689">
        <v>61.1</v>
      </c>
      <c r="I15579" s="689">
        <v>60.6</v>
      </c>
      <c r="J15579" s="689">
        <v>60.7</v>
      </c>
      <c r="K15579" s="689">
        <v>60.7</v>
      </c>
    </row>
    <row r="15580" spans="1:11">
      <c r="A15580" s="688" t="s">
        <v>4058</v>
      </c>
      <c r="B15580" s="692" t="s">
        <v>4060</v>
      </c>
      <c r="C15580" s="692" t="s">
        <v>4060</v>
      </c>
      <c r="D15580" s="692" t="s">
        <v>4060</v>
      </c>
      <c r="E15580" s="692" t="s">
        <v>4060</v>
      </c>
      <c r="F15580" s="692" t="s">
        <v>4060</v>
      </c>
      <c r="G15580" s="692" t="s">
        <v>4060</v>
      </c>
      <c r="H15580" s="692" t="s">
        <v>4060</v>
      </c>
      <c r="I15580" s="692" t="s">
        <v>4060</v>
      </c>
      <c r="J15580" s="692" t="s">
        <v>4060</v>
      </c>
      <c r="K15580" s="692" t="s">
        <v>4060</v>
      </c>
    </row>
    <row r="15581" spans="1:11">
      <c r="A15581" s="688" t="s">
        <v>11</v>
      </c>
      <c r="B15581" s="689">
        <v>56.5</v>
      </c>
      <c r="C15581" s="689">
        <v>56.4</v>
      </c>
      <c r="D15581" s="693">
        <v>56</v>
      </c>
      <c r="E15581" s="689">
        <v>56.6</v>
      </c>
      <c r="F15581" s="689">
        <v>56.3</v>
      </c>
      <c r="G15581" s="689">
        <v>56.7</v>
      </c>
      <c r="H15581" s="689">
        <v>56.8</v>
      </c>
      <c r="I15581" s="689">
        <v>56.2</v>
      </c>
      <c r="J15581" s="689">
        <v>55.3</v>
      </c>
      <c r="K15581" s="689">
        <v>56.3</v>
      </c>
    </row>
    <row r="15582" spans="1:11">
      <c r="A15582" s="688" t="s">
        <v>10</v>
      </c>
      <c r="B15582" s="691">
        <v>60.6</v>
      </c>
      <c r="C15582" s="691">
        <v>60.4</v>
      </c>
      <c r="D15582" s="615">
        <v>60</v>
      </c>
      <c r="E15582" s="691">
        <v>60.6</v>
      </c>
      <c r="F15582" s="691">
        <v>60.3</v>
      </c>
      <c r="G15582" s="691">
        <v>60.6</v>
      </c>
      <c r="H15582" s="691">
        <v>60.8</v>
      </c>
      <c r="I15582" s="691">
        <v>59.9</v>
      </c>
      <c r="J15582" s="691">
        <v>60.1</v>
      </c>
      <c r="K15582" s="691">
        <v>60.1</v>
      </c>
    </row>
    <row r="15583" spans="1:11">
      <c r="A15583" s="688" t="s">
        <v>30</v>
      </c>
      <c r="B15583" s="689">
        <v>60.2</v>
      </c>
      <c r="C15583" s="689">
        <v>59.5</v>
      </c>
      <c r="D15583" s="689">
        <v>59.2</v>
      </c>
      <c r="E15583" s="689">
        <v>60.2</v>
      </c>
      <c r="F15583" s="689">
        <v>59.7</v>
      </c>
      <c r="G15583" s="689">
        <v>60.1</v>
      </c>
      <c r="H15583" s="693">
        <v>60</v>
      </c>
      <c r="I15583" s="689">
        <v>59.9</v>
      </c>
      <c r="J15583" s="689">
        <v>59.1</v>
      </c>
      <c r="K15583" s="689">
        <v>59.5</v>
      </c>
    </row>
    <row r="15584" spans="1:11">
      <c r="A15584" s="688" t="s">
        <v>12</v>
      </c>
      <c r="B15584" s="691">
        <v>54.6</v>
      </c>
      <c r="C15584" s="615">
        <v>55</v>
      </c>
      <c r="D15584" s="691">
        <v>54.9</v>
      </c>
      <c r="E15584" s="691">
        <v>55.1</v>
      </c>
      <c r="F15584" s="691">
        <v>55.2</v>
      </c>
      <c r="G15584" s="691">
        <v>55.2</v>
      </c>
      <c r="H15584" s="691">
        <v>55.7</v>
      </c>
      <c r="I15584" s="691">
        <v>55.5</v>
      </c>
      <c r="J15584" s="691">
        <v>53.5</v>
      </c>
      <c r="K15584" s="691">
        <v>54.9</v>
      </c>
    </row>
    <row r="15585" spans="1:11">
      <c r="A15585" s="688" t="s">
        <v>14</v>
      </c>
      <c r="B15585" s="689">
        <v>55.2</v>
      </c>
      <c r="C15585" s="689">
        <v>55.5</v>
      </c>
      <c r="D15585" s="689">
        <v>55.2</v>
      </c>
      <c r="E15585" s="689">
        <v>55.5</v>
      </c>
      <c r="F15585" s="689">
        <v>55.8</v>
      </c>
      <c r="G15585" s="689">
        <v>56.1</v>
      </c>
      <c r="H15585" s="689">
        <v>56.5</v>
      </c>
      <c r="I15585" s="689">
        <v>55.5</v>
      </c>
      <c r="J15585" s="689">
        <v>54.3</v>
      </c>
      <c r="K15585" s="689">
        <v>55.6</v>
      </c>
    </row>
    <row r="15586" spans="1:11">
      <c r="A15586" s="688" t="s">
        <v>15</v>
      </c>
      <c r="B15586" s="691">
        <v>59.4</v>
      </c>
      <c r="C15586" s="615">
        <v>60</v>
      </c>
      <c r="D15586" s="691">
        <v>59.4</v>
      </c>
      <c r="E15586" s="691">
        <v>60.2</v>
      </c>
      <c r="F15586" s="691">
        <v>59.3</v>
      </c>
      <c r="G15586" s="691">
        <v>59.8</v>
      </c>
      <c r="H15586" s="691">
        <v>60.1</v>
      </c>
      <c r="I15586" s="615">
        <v>60</v>
      </c>
      <c r="J15586" s="691">
        <v>60.1</v>
      </c>
      <c r="K15586" s="691">
        <v>60.3</v>
      </c>
    </row>
    <row r="15587" spans="1:11">
      <c r="A15587" s="688" t="s">
        <v>29</v>
      </c>
      <c r="B15587" s="689">
        <v>54.7</v>
      </c>
      <c r="C15587" s="689">
        <v>54.7</v>
      </c>
      <c r="D15587" s="689">
        <v>54.4</v>
      </c>
      <c r="E15587" s="693">
        <v>55</v>
      </c>
      <c r="F15587" s="689">
        <v>54.6</v>
      </c>
      <c r="G15587" s="689">
        <v>54.9</v>
      </c>
      <c r="H15587" s="693">
        <v>55</v>
      </c>
      <c r="I15587" s="689">
        <v>54.3</v>
      </c>
      <c r="J15587" s="693">
        <v>53</v>
      </c>
      <c r="K15587" s="689">
        <v>54.7</v>
      </c>
    </row>
    <row r="15588" spans="1:11">
      <c r="A15588" s="688" t="s">
        <v>16</v>
      </c>
      <c r="B15588" s="691">
        <v>59.8</v>
      </c>
      <c r="C15588" s="691">
        <v>59.5</v>
      </c>
      <c r="D15588" s="691">
        <v>59.5</v>
      </c>
      <c r="E15588" s="691">
        <v>59.6</v>
      </c>
      <c r="F15588" s="691">
        <v>59.7</v>
      </c>
      <c r="G15588" s="691">
        <v>59.6</v>
      </c>
      <c r="H15588" s="615">
        <v>60</v>
      </c>
      <c r="I15588" s="691">
        <v>59.7</v>
      </c>
      <c r="J15588" s="691">
        <v>59.3</v>
      </c>
      <c r="K15588" s="691">
        <v>59.7</v>
      </c>
    </row>
    <row r="15589" spans="1:11">
      <c r="A15589" s="688" t="s">
        <v>17</v>
      </c>
      <c r="B15589" s="689">
        <v>58.7</v>
      </c>
      <c r="C15589" s="689">
        <v>58.8</v>
      </c>
      <c r="D15589" s="689">
        <v>58.5</v>
      </c>
      <c r="E15589" s="689">
        <v>58.6</v>
      </c>
      <c r="F15589" s="689">
        <v>58.8</v>
      </c>
      <c r="G15589" s="689">
        <v>58.8</v>
      </c>
      <c r="H15589" s="693">
        <v>59</v>
      </c>
      <c r="I15589" s="689">
        <v>58.6</v>
      </c>
      <c r="J15589" s="689">
        <v>58.4</v>
      </c>
      <c r="K15589" s="689">
        <v>58.6</v>
      </c>
    </row>
    <row r="15590" spans="1:11">
      <c r="A15590" s="688" t="s">
        <v>19</v>
      </c>
      <c r="B15590" s="691">
        <v>59.3</v>
      </c>
      <c r="C15590" s="691">
        <v>59.2</v>
      </c>
      <c r="D15590" s="615">
        <v>59</v>
      </c>
      <c r="E15590" s="691">
        <v>59.4</v>
      </c>
      <c r="F15590" s="691">
        <v>59.3</v>
      </c>
      <c r="G15590" s="691">
        <v>59.4</v>
      </c>
      <c r="H15590" s="691">
        <v>59.6</v>
      </c>
      <c r="I15590" s="691">
        <v>59.2</v>
      </c>
      <c r="J15590" s="691">
        <v>59.2</v>
      </c>
      <c r="K15590" s="691">
        <v>59.2</v>
      </c>
    </row>
    <row r="15591" spans="1:11">
      <c r="A15591" s="688" t="s">
        <v>20</v>
      </c>
      <c r="B15591" s="689">
        <v>56.8</v>
      </c>
      <c r="C15591" s="693">
        <v>57</v>
      </c>
      <c r="D15591" s="689">
        <v>56.8</v>
      </c>
      <c r="E15591" s="689">
        <v>57.2</v>
      </c>
      <c r="F15591" s="689">
        <v>57.1</v>
      </c>
      <c r="G15591" s="693">
        <v>57</v>
      </c>
      <c r="H15591" s="689">
        <v>57.3</v>
      </c>
      <c r="I15591" s="689">
        <v>56.1</v>
      </c>
      <c r="J15591" s="693">
        <v>55</v>
      </c>
      <c r="K15591" s="689">
        <v>56.6</v>
      </c>
    </row>
    <row r="15592" spans="1:11">
      <c r="A15592" s="688" t="s">
        <v>21</v>
      </c>
      <c r="B15592" s="691">
        <v>59.5</v>
      </c>
      <c r="C15592" s="691">
        <v>59.7</v>
      </c>
      <c r="D15592" s="691">
        <v>59.7</v>
      </c>
      <c r="E15592" s="691">
        <v>59.7</v>
      </c>
      <c r="F15592" s="615">
        <v>60</v>
      </c>
      <c r="G15592" s="615">
        <v>60</v>
      </c>
      <c r="H15592" s="691">
        <v>60.2</v>
      </c>
      <c r="I15592" s="691">
        <v>59.6</v>
      </c>
      <c r="J15592" s="691">
        <v>59.7</v>
      </c>
      <c r="K15592" s="691">
        <v>59.9</v>
      </c>
    </row>
    <row r="15593" spans="1:11">
      <c r="A15593" s="688" t="s">
        <v>22</v>
      </c>
      <c r="B15593" s="689">
        <v>54.8</v>
      </c>
      <c r="C15593" s="689">
        <v>54.5</v>
      </c>
      <c r="D15593" s="689">
        <v>54.5</v>
      </c>
      <c r="E15593" s="689">
        <v>54.8</v>
      </c>
      <c r="F15593" s="689">
        <v>54.8</v>
      </c>
      <c r="G15593" s="689">
        <v>54.9</v>
      </c>
      <c r="H15593" s="689">
        <v>55.2</v>
      </c>
      <c r="I15593" s="689">
        <v>53.9</v>
      </c>
      <c r="J15593" s="689">
        <v>52.4</v>
      </c>
      <c r="K15593" s="689">
        <v>54.8</v>
      </c>
    </row>
    <row r="15594" spans="1:11">
      <c r="A15594" s="688" t="s">
        <v>26</v>
      </c>
      <c r="B15594" s="691">
        <v>59.1</v>
      </c>
      <c r="C15594" s="691">
        <v>59.1</v>
      </c>
      <c r="D15594" s="691">
        <v>58.9</v>
      </c>
      <c r="E15594" s="691">
        <v>59.3</v>
      </c>
      <c r="F15594" s="691">
        <v>59.1</v>
      </c>
      <c r="G15594" s="691">
        <v>59.3</v>
      </c>
      <c r="H15594" s="691">
        <v>59.5</v>
      </c>
      <c r="I15594" s="691">
        <v>58.6</v>
      </c>
      <c r="J15594" s="615">
        <v>59</v>
      </c>
      <c r="K15594" s="691">
        <v>59.2</v>
      </c>
    </row>
    <row r="15595" spans="1:11">
      <c r="A15595" s="688" t="s">
        <v>25</v>
      </c>
      <c r="B15595" s="689">
        <v>55.9</v>
      </c>
      <c r="C15595" s="689">
        <v>56.1</v>
      </c>
      <c r="D15595" s="689">
        <v>55.8</v>
      </c>
      <c r="E15595" s="689">
        <v>56.3</v>
      </c>
      <c r="F15595" s="689">
        <v>56.2</v>
      </c>
      <c r="G15595" s="689">
        <v>56.4</v>
      </c>
      <c r="H15595" s="689">
        <v>56.8</v>
      </c>
      <c r="I15595" s="693">
        <v>56</v>
      </c>
      <c r="J15595" s="689">
        <v>53.8</v>
      </c>
      <c r="K15595" s="689">
        <v>56.1</v>
      </c>
    </row>
    <row r="15596" spans="1:11">
      <c r="A15596" s="688" t="s">
        <v>5</v>
      </c>
      <c r="B15596" s="691">
        <v>59.5</v>
      </c>
      <c r="C15596" s="691">
        <v>59.3</v>
      </c>
      <c r="D15596" s="691">
        <v>59.5</v>
      </c>
      <c r="E15596" s="691">
        <v>59.5</v>
      </c>
      <c r="F15596" s="691">
        <v>59.7</v>
      </c>
      <c r="G15596" s="691">
        <v>59.7</v>
      </c>
      <c r="H15596" s="615">
        <v>60</v>
      </c>
      <c r="I15596" s="615">
        <v>60</v>
      </c>
      <c r="J15596" s="691">
        <v>59.9</v>
      </c>
      <c r="K15596" s="691">
        <v>59.2</v>
      </c>
    </row>
    <row r="15597" spans="1:11">
      <c r="A15597" s="688" t="s">
        <v>23</v>
      </c>
      <c r="B15597" s="689">
        <v>59.2</v>
      </c>
      <c r="C15597" s="689">
        <v>59.4</v>
      </c>
      <c r="D15597" s="689">
        <v>59.4</v>
      </c>
      <c r="E15597" s="689">
        <v>59.5</v>
      </c>
      <c r="F15597" s="689">
        <v>59.5</v>
      </c>
      <c r="G15597" s="689">
        <v>59.7</v>
      </c>
      <c r="H15597" s="689">
        <v>60.1</v>
      </c>
      <c r="I15597" s="689">
        <v>59.7</v>
      </c>
      <c r="J15597" s="689">
        <v>60.2</v>
      </c>
      <c r="K15597" s="689">
        <v>60.1</v>
      </c>
    </row>
    <row r="15598" spans="1:11">
      <c r="A15598" s="688" t="s">
        <v>4067</v>
      </c>
      <c r="B15598" s="691">
        <v>58.8</v>
      </c>
      <c r="C15598" s="691">
        <v>59.2</v>
      </c>
      <c r="D15598" s="691">
        <v>58.8</v>
      </c>
      <c r="E15598" s="691">
        <v>59.2</v>
      </c>
      <c r="F15598" s="615">
        <v>59</v>
      </c>
      <c r="G15598" s="691">
        <v>59.1</v>
      </c>
      <c r="H15598" s="692" t="s">
        <v>4060</v>
      </c>
      <c r="I15598" s="692" t="s">
        <v>4060</v>
      </c>
      <c r="J15598" s="692" t="s">
        <v>4060</v>
      </c>
      <c r="K15598" s="692" t="s">
        <v>4060</v>
      </c>
    </row>
    <row r="15599" spans="1:11">
      <c r="A15599" s="688" t="s">
        <v>4066</v>
      </c>
      <c r="B15599" s="689">
        <v>58.8</v>
      </c>
      <c r="C15599" s="689">
        <v>59.2</v>
      </c>
      <c r="D15599" s="689">
        <v>58.8</v>
      </c>
      <c r="E15599" s="689">
        <v>59.2</v>
      </c>
      <c r="F15599" s="689">
        <v>59.1</v>
      </c>
      <c r="G15599" s="689">
        <v>59.2</v>
      </c>
      <c r="H15599" s="690" t="s">
        <v>4060</v>
      </c>
      <c r="I15599" s="690" t="s">
        <v>4060</v>
      </c>
      <c r="J15599" s="690" t="s">
        <v>4060</v>
      </c>
      <c r="K15599" s="690" t="s">
        <v>4060</v>
      </c>
    </row>
    <row r="15600" spans="1:11">
      <c r="A15600" s="688" t="s">
        <v>4062</v>
      </c>
      <c r="B15600" s="615">
        <v>60</v>
      </c>
      <c r="C15600" s="691">
        <v>60.2</v>
      </c>
      <c r="D15600" s="615">
        <v>60</v>
      </c>
      <c r="E15600" s="691">
        <v>60.3</v>
      </c>
      <c r="F15600" s="691">
        <v>60.4</v>
      </c>
      <c r="G15600" s="691">
        <v>60.5</v>
      </c>
      <c r="H15600" s="691">
        <v>60.7</v>
      </c>
      <c r="I15600" s="691">
        <v>60.4</v>
      </c>
      <c r="J15600" s="691">
        <v>60.7</v>
      </c>
      <c r="K15600" s="691">
        <v>60.4</v>
      </c>
    </row>
    <row r="15601" spans="1:11">
      <c r="A15601" s="688" t="s">
        <v>9</v>
      </c>
      <c r="B15601" s="689">
        <v>59.2</v>
      </c>
      <c r="C15601" s="689">
        <v>59.6</v>
      </c>
      <c r="D15601" s="693">
        <v>59</v>
      </c>
      <c r="E15601" s="689">
        <v>59.2</v>
      </c>
      <c r="F15601" s="689">
        <v>59.6</v>
      </c>
      <c r="G15601" s="689">
        <v>59.5</v>
      </c>
      <c r="H15601" s="689">
        <v>59.7</v>
      </c>
      <c r="I15601" s="689">
        <v>59.7</v>
      </c>
      <c r="J15601" s="689">
        <v>59.9</v>
      </c>
      <c r="K15601" s="693">
        <v>59</v>
      </c>
    </row>
    <row r="15602" spans="1:11">
      <c r="A15602" s="688" t="s">
        <v>13</v>
      </c>
      <c r="B15602" s="691">
        <v>59.9</v>
      </c>
      <c r="C15602" s="691">
        <v>58.9</v>
      </c>
      <c r="D15602" s="691">
        <v>59.9</v>
      </c>
      <c r="E15602" s="691">
        <v>59.6</v>
      </c>
      <c r="F15602" s="691">
        <v>60.8</v>
      </c>
      <c r="G15602" s="691">
        <v>60.9</v>
      </c>
      <c r="H15602" s="691">
        <v>60.8</v>
      </c>
      <c r="I15602" s="691">
        <v>60.1</v>
      </c>
      <c r="J15602" s="691">
        <v>61.1</v>
      </c>
      <c r="K15602" s="691">
        <v>60.8</v>
      </c>
    </row>
    <row r="15603" spans="1:11">
      <c r="A15603" s="688" t="s">
        <v>18</v>
      </c>
      <c r="B15603" s="689">
        <v>59.2</v>
      </c>
      <c r="C15603" s="689">
        <v>59.5</v>
      </c>
      <c r="D15603" s="689">
        <v>59.5</v>
      </c>
      <c r="E15603" s="689">
        <v>59.6</v>
      </c>
      <c r="F15603" s="689">
        <v>59.7</v>
      </c>
      <c r="G15603" s="689">
        <v>59.8</v>
      </c>
      <c r="H15603" s="689">
        <v>60.1</v>
      </c>
      <c r="I15603" s="689">
        <v>60.2</v>
      </c>
      <c r="J15603" s="689">
        <v>60.1</v>
      </c>
      <c r="K15603" s="689">
        <v>59.7</v>
      </c>
    </row>
    <row r="15604" spans="1:11">
      <c r="A15604" s="688" t="s">
        <v>24</v>
      </c>
      <c r="B15604" s="691">
        <v>60.5</v>
      </c>
      <c r="C15604" s="691">
        <v>60.6</v>
      </c>
      <c r="D15604" s="691">
        <v>60.4</v>
      </c>
      <c r="E15604" s="691">
        <v>60.7</v>
      </c>
      <c r="F15604" s="691">
        <v>60.8</v>
      </c>
      <c r="G15604" s="691">
        <v>60.9</v>
      </c>
      <c r="H15604" s="615">
        <v>61</v>
      </c>
      <c r="I15604" s="691">
        <v>60.6</v>
      </c>
      <c r="J15604" s="691">
        <v>61.1</v>
      </c>
      <c r="K15604" s="691">
        <v>60.9</v>
      </c>
    </row>
    <row r="15605" spans="1:11">
      <c r="A15605" s="688" t="s">
        <v>4059</v>
      </c>
      <c r="B15605" s="689">
        <v>58.4</v>
      </c>
      <c r="C15605" s="689">
        <v>58.7</v>
      </c>
      <c r="D15605" s="689">
        <v>58.3</v>
      </c>
      <c r="E15605" s="689">
        <v>58.5</v>
      </c>
      <c r="F15605" s="689">
        <v>58.6</v>
      </c>
      <c r="G15605" s="689">
        <v>58.6</v>
      </c>
      <c r="H15605" s="690" t="s">
        <v>4060</v>
      </c>
      <c r="I15605" s="690" t="s">
        <v>4060</v>
      </c>
      <c r="J15605" s="690" t="s">
        <v>4060</v>
      </c>
      <c r="K15605" s="690" t="s">
        <v>4060</v>
      </c>
    </row>
    <row r="15606" spans="1:11">
      <c r="A15606" s="688" t="s">
        <v>2324</v>
      </c>
      <c r="B15606" s="691">
        <v>54.5</v>
      </c>
      <c r="C15606" s="691">
        <v>54.6</v>
      </c>
      <c r="D15606" s="615">
        <v>54</v>
      </c>
      <c r="E15606" s="691">
        <v>54.5</v>
      </c>
      <c r="F15606" s="691">
        <v>54.6</v>
      </c>
      <c r="G15606" s="691">
        <v>54.6</v>
      </c>
      <c r="H15606" s="615">
        <v>55</v>
      </c>
      <c r="I15606" s="691">
        <v>54.2</v>
      </c>
      <c r="J15606" s="691">
        <v>52.3</v>
      </c>
      <c r="K15606" s="692" t="s">
        <v>4060</v>
      </c>
    </row>
    <row r="15607" spans="1:11">
      <c r="A15607" s="688" t="s">
        <v>2322</v>
      </c>
      <c r="B15607" s="690" t="s">
        <v>4060</v>
      </c>
      <c r="C15607" s="690" t="s">
        <v>4060</v>
      </c>
      <c r="D15607" s="690" t="s">
        <v>4060</v>
      </c>
      <c r="E15607" s="690" t="s">
        <v>4060</v>
      </c>
      <c r="F15607" s="690" t="s">
        <v>4060</v>
      </c>
      <c r="G15607" s="690" t="s">
        <v>4060</v>
      </c>
      <c r="H15607" s="690" t="s">
        <v>4060</v>
      </c>
      <c r="I15607" s="690" t="s">
        <v>4060</v>
      </c>
      <c r="J15607" s="690" t="s">
        <v>4060</v>
      </c>
      <c r="K15607" s="690" t="s">
        <v>4060</v>
      </c>
    </row>
    <row r="15608" spans="1:11">
      <c r="A15608" s="688" t="s">
        <v>2328</v>
      </c>
      <c r="B15608" s="691">
        <v>53.6</v>
      </c>
      <c r="C15608" s="691">
        <v>53.5</v>
      </c>
      <c r="D15608" s="691">
        <v>53.4</v>
      </c>
      <c r="E15608" s="691">
        <v>53.7</v>
      </c>
      <c r="F15608" s="691">
        <v>53.9</v>
      </c>
      <c r="G15608" s="691">
        <v>54.4</v>
      </c>
      <c r="H15608" s="691">
        <v>54.2</v>
      </c>
      <c r="I15608" s="691">
        <v>52.5</v>
      </c>
      <c r="J15608" s="691">
        <v>51.1</v>
      </c>
      <c r="K15608" s="692" t="s">
        <v>4060</v>
      </c>
    </row>
    <row r="15609" spans="1:11">
      <c r="A15609" s="688" t="s">
        <v>2496</v>
      </c>
      <c r="B15609" s="690" t="s">
        <v>4060</v>
      </c>
      <c r="C15609" s="689">
        <v>54.4</v>
      </c>
      <c r="D15609" s="689">
        <v>53.5</v>
      </c>
      <c r="E15609" s="689">
        <v>53.2</v>
      </c>
      <c r="F15609" s="689">
        <v>53.9</v>
      </c>
      <c r="G15609" s="689">
        <v>54.2</v>
      </c>
      <c r="H15609" s="689">
        <v>54.3</v>
      </c>
      <c r="I15609" s="690" t="s">
        <v>4060</v>
      </c>
      <c r="J15609" s="690" t="s">
        <v>4060</v>
      </c>
      <c r="K15609" s="693">
        <v>54</v>
      </c>
    </row>
    <row r="15610" spans="1:11">
      <c r="A15610" s="688" t="s">
        <v>2269</v>
      </c>
      <c r="B15610" s="691">
        <v>56.2</v>
      </c>
      <c r="C15610" s="691">
        <v>56.3</v>
      </c>
      <c r="D15610" s="691">
        <v>55.7</v>
      </c>
      <c r="E15610" s="691">
        <v>56.2</v>
      </c>
      <c r="F15610" s="691">
        <v>56.1</v>
      </c>
      <c r="G15610" s="691">
        <v>56.6</v>
      </c>
      <c r="H15610" s="691">
        <v>56.8</v>
      </c>
      <c r="I15610" s="691">
        <v>55.6</v>
      </c>
      <c r="J15610" s="691">
        <v>53.5</v>
      </c>
      <c r="K15610" s="691">
        <v>56.6</v>
      </c>
    </row>
    <row r="15611" spans="1:11">
      <c r="A15611" s="688" t="s">
        <v>2349</v>
      </c>
      <c r="B15611" s="689">
        <v>53.6</v>
      </c>
      <c r="C15611" s="689">
        <v>53.6</v>
      </c>
      <c r="D15611" s="689">
        <v>53.5</v>
      </c>
      <c r="E15611" s="689">
        <v>53.9</v>
      </c>
      <c r="F15611" s="689">
        <v>53.7</v>
      </c>
      <c r="G15611" s="689">
        <v>54.1</v>
      </c>
      <c r="H15611" s="689">
        <v>54.2</v>
      </c>
      <c r="I15611" s="693">
        <v>53</v>
      </c>
      <c r="J15611" s="689">
        <v>51.3</v>
      </c>
      <c r="K15611" s="689">
        <v>53.4</v>
      </c>
    </row>
    <row r="15612" spans="1:11">
      <c r="A15612" s="688" t="s">
        <v>2355</v>
      </c>
      <c r="B15612" s="691">
        <v>57.5</v>
      </c>
      <c r="C15612" s="691">
        <v>57.3</v>
      </c>
      <c r="D15612" s="691">
        <v>57.3</v>
      </c>
      <c r="E15612" s="691">
        <v>57.2</v>
      </c>
      <c r="F15612" s="691">
        <v>57.4</v>
      </c>
      <c r="G15612" s="691">
        <v>57.8</v>
      </c>
      <c r="H15612" s="691">
        <v>57.9</v>
      </c>
      <c r="I15612" s="692" t="s">
        <v>4060</v>
      </c>
      <c r="J15612" s="692" t="s">
        <v>4060</v>
      </c>
      <c r="K15612" s="692" t="s">
        <v>4060</v>
      </c>
    </row>
    <row r="15613" spans="1:11">
      <c r="A15613" s="688" t="s">
        <v>2357</v>
      </c>
      <c r="B15613" s="690" t="s">
        <v>4060</v>
      </c>
      <c r="C15613" s="689">
        <v>52.7</v>
      </c>
      <c r="D15613" s="689">
        <v>53.2</v>
      </c>
      <c r="E15613" s="689">
        <v>53.5</v>
      </c>
      <c r="F15613" s="689">
        <v>53.8</v>
      </c>
      <c r="G15613" s="689">
        <v>53.8</v>
      </c>
      <c r="H15613" s="689">
        <v>54.1</v>
      </c>
      <c r="I15613" s="690" t="s">
        <v>4060</v>
      </c>
      <c r="J15613" s="690" t="s">
        <v>4060</v>
      </c>
      <c r="K15613" s="690" t="s">
        <v>4060</v>
      </c>
    </row>
    <row r="15614" spans="1:11">
      <c r="A15614" s="688" t="s">
        <v>4070</v>
      </c>
      <c r="B15614" s="692" t="s">
        <v>4060</v>
      </c>
      <c r="C15614" s="692" t="s">
        <v>4060</v>
      </c>
      <c r="D15614" s="692" t="s">
        <v>4060</v>
      </c>
      <c r="E15614" s="691">
        <v>57.3</v>
      </c>
      <c r="F15614" s="692" t="s">
        <v>4060</v>
      </c>
      <c r="G15614" s="692" t="s">
        <v>4060</v>
      </c>
      <c r="H15614" s="692" t="s">
        <v>4060</v>
      </c>
      <c r="I15614" s="692" t="s">
        <v>4060</v>
      </c>
      <c r="J15614" s="692" t="s">
        <v>4060</v>
      </c>
      <c r="K15614" s="692" t="s">
        <v>4060</v>
      </c>
    </row>
    <row r="15615" spans="1:11">
      <c r="A15615" s="688" t="s">
        <v>2491</v>
      </c>
      <c r="B15615" s="689">
        <v>53.6</v>
      </c>
      <c r="C15615" s="689">
        <v>54.2</v>
      </c>
      <c r="D15615" s="689">
        <v>54.5</v>
      </c>
      <c r="E15615" s="689">
        <v>54.7</v>
      </c>
      <c r="F15615" s="689">
        <v>54.9</v>
      </c>
      <c r="G15615" s="689">
        <v>54.9</v>
      </c>
      <c r="H15615" s="690" t="s">
        <v>4060</v>
      </c>
      <c r="I15615" s="690" t="s">
        <v>4060</v>
      </c>
      <c r="J15615" s="690" t="s">
        <v>4060</v>
      </c>
      <c r="K15615" s="690" t="s">
        <v>4060</v>
      </c>
    </row>
    <row r="15616" spans="1:11">
      <c r="A15616" s="688" t="s">
        <v>2343</v>
      </c>
      <c r="B15616" s="692" t="s">
        <v>4060</v>
      </c>
      <c r="C15616" s="692" t="s">
        <v>4060</v>
      </c>
      <c r="D15616" s="692" t="s">
        <v>4060</v>
      </c>
      <c r="E15616" s="692" t="s">
        <v>4060</v>
      </c>
      <c r="F15616" s="692" t="s">
        <v>4060</v>
      </c>
      <c r="G15616" s="692" t="s">
        <v>4060</v>
      </c>
      <c r="H15616" s="692" t="s">
        <v>4060</v>
      </c>
      <c r="I15616" s="692" t="s">
        <v>4060</v>
      </c>
      <c r="J15616" s="692" t="s">
        <v>4060</v>
      </c>
      <c r="K15616" s="692" t="s">
        <v>4060</v>
      </c>
    </row>
    <row r="15617" spans="1:11">
      <c r="A15617" s="688" t="s">
        <v>4071</v>
      </c>
      <c r="B15617" s="690" t="s">
        <v>4060</v>
      </c>
      <c r="C15617" s="690" t="s">
        <v>4060</v>
      </c>
      <c r="D15617" s="690" t="s">
        <v>4060</v>
      </c>
      <c r="E15617" s="690" t="s">
        <v>4060</v>
      </c>
      <c r="F15617" s="690" t="s">
        <v>4060</v>
      </c>
      <c r="G15617" s="690" t="s">
        <v>4060</v>
      </c>
      <c r="H15617" s="690" t="s">
        <v>4060</v>
      </c>
      <c r="I15617" s="690" t="s">
        <v>4060</v>
      </c>
      <c r="J15617" s="690" t="s">
        <v>4060</v>
      </c>
      <c r="K15617" s="690" t="s">
        <v>4060</v>
      </c>
    </row>
    <row r="15618" spans="1:11">
      <c r="A15618" s="688" t="s">
        <v>2489</v>
      </c>
      <c r="B15618" s="692" t="s">
        <v>4060</v>
      </c>
      <c r="C15618" s="692" t="s">
        <v>4060</v>
      </c>
      <c r="D15618" s="691">
        <v>54.2</v>
      </c>
      <c r="E15618" s="691">
        <v>54.3</v>
      </c>
      <c r="F15618" s="691">
        <v>54.8</v>
      </c>
      <c r="G15618" s="691">
        <v>55.5</v>
      </c>
      <c r="H15618" s="691">
        <v>55.5</v>
      </c>
      <c r="I15618" s="692" t="s">
        <v>4060</v>
      </c>
      <c r="J15618" s="692" t="s">
        <v>4060</v>
      </c>
      <c r="K15618" s="692" t="s">
        <v>4060</v>
      </c>
    </row>
    <row r="15619" spans="1:11">
      <c r="A15619" s="688" t="s">
        <v>2490</v>
      </c>
      <c r="B15619" s="689">
        <v>53.5</v>
      </c>
      <c r="C15619" s="689">
        <v>53.5</v>
      </c>
      <c r="D15619" s="693">
        <v>54</v>
      </c>
      <c r="E15619" s="690" t="s">
        <v>4060</v>
      </c>
      <c r="F15619" s="689">
        <v>54.2</v>
      </c>
      <c r="G15619" s="689">
        <v>54.6</v>
      </c>
      <c r="H15619" s="689">
        <v>55.2</v>
      </c>
      <c r="I15619" s="690" t="s">
        <v>4060</v>
      </c>
      <c r="J15619" s="690" t="s">
        <v>4060</v>
      </c>
      <c r="K15619" s="690" t="s">
        <v>4060</v>
      </c>
    </row>
    <row r="15621" spans="1:11">
      <c r="A15621" s="683" t="s">
        <v>4233</v>
      </c>
    </row>
    <row r="15622" spans="1:11">
      <c r="A15622" s="683" t="s">
        <v>4060</v>
      </c>
      <c r="B15622" s="682" t="s">
        <v>4234</v>
      </c>
    </row>
    <row r="15624" spans="1:11">
      <c r="A15624" s="682" t="s">
        <v>4332</v>
      </c>
    </row>
    <row r="15625" spans="1:11">
      <c r="A15625" s="682" t="s">
        <v>4210</v>
      </c>
      <c r="B15625" s="683" t="s">
        <v>4211</v>
      </c>
    </row>
    <row r="15626" spans="1:11">
      <c r="A15626" s="682" t="s">
        <v>4212</v>
      </c>
      <c r="B15626" s="682" t="s">
        <v>4213</v>
      </c>
    </row>
    <row r="15628" spans="1:11">
      <c r="A15628" s="683" t="s">
        <v>4214</v>
      </c>
      <c r="C15628" s="682" t="s">
        <v>4215</v>
      </c>
    </row>
    <row r="15629" spans="1:11">
      <c r="A15629" s="683" t="s">
        <v>4216</v>
      </c>
      <c r="C15629" s="682" t="s">
        <v>2967</v>
      </c>
    </row>
    <row r="15630" spans="1:11">
      <c r="A15630" s="683" t="s">
        <v>3893</v>
      </c>
      <c r="C15630" s="682" t="s">
        <v>2169</v>
      </c>
    </row>
    <row r="15631" spans="1:11">
      <c r="A15631" s="683" t="s">
        <v>4218</v>
      </c>
      <c r="C15631" s="682" t="s">
        <v>4261</v>
      </c>
    </row>
    <row r="15633" spans="1:11">
      <c r="A15633" s="684" t="s">
        <v>4220</v>
      </c>
      <c r="B15633" s="685" t="s">
        <v>4221</v>
      </c>
      <c r="C15633" s="685" t="s">
        <v>4222</v>
      </c>
      <c r="D15633" s="685" t="s">
        <v>4223</v>
      </c>
      <c r="E15633" s="685" t="s">
        <v>4224</v>
      </c>
      <c r="F15633" s="685" t="s">
        <v>4225</v>
      </c>
      <c r="G15633" s="685" t="s">
        <v>4226</v>
      </c>
      <c r="H15633" s="685" t="s">
        <v>4227</v>
      </c>
      <c r="I15633" s="685" t="s">
        <v>4228</v>
      </c>
      <c r="J15633" s="685" t="s">
        <v>4229</v>
      </c>
      <c r="K15633" s="685" t="s">
        <v>4230</v>
      </c>
    </row>
    <row r="15634" spans="1:11">
      <c r="A15634" s="686" t="s">
        <v>4231</v>
      </c>
      <c r="B15634" s="687" t="s">
        <v>4232</v>
      </c>
      <c r="C15634" s="687" t="s">
        <v>4232</v>
      </c>
      <c r="D15634" s="687" t="s">
        <v>4232</v>
      </c>
      <c r="E15634" s="687" t="s">
        <v>4232</v>
      </c>
      <c r="F15634" s="687" t="s">
        <v>4232</v>
      </c>
      <c r="G15634" s="687" t="s">
        <v>4232</v>
      </c>
      <c r="H15634" s="687" t="s">
        <v>4232</v>
      </c>
      <c r="I15634" s="687" t="s">
        <v>4232</v>
      </c>
      <c r="J15634" s="687" t="s">
        <v>4232</v>
      </c>
      <c r="K15634" s="687" t="s">
        <v>4232</v>
      </c>
    </row>
    <row r="15635" spans="1:11">
      <c r="A15635" s="688" t="s">
        <v>4064</v>
      </c>
      <c r="B15635" s="689">
        <v>57.9</v>
      </c>
      <c r="C15635" s="689">
        <v>57.9</v>
      </c>
      <c r="D15635" s="689">
        <v>57.8</v>
      </c>
      <c r="E15635" s="693">
        <v>58</v>
      </c>
      <c r="F15635" s="689">
        <v>57.9</v>
      </c>
      <c r="G15635" s="693">
        <v>58</v>
      </c>
      <c r="H15635" s="689">
        <v>58.3</v>
      </c>
      <c r="I15635" s="689">
        <v>57.6</v>
      </c>
      <c r="J15635" s="689">
        <v>57.3</v>
      </c>
      <c r="K15635" s="689">
        <v>57.7</v>
      </c>
    </row>
    <row r="15636" spans="1:11">
      <c r="A15636" s="688" t="s">
        <v>4065</v>
      </c>
      <c r="B15636" s="691">
        <v>57.8</v>
      </c>
      <c r="C15636" s="691">
        <v>58.2</v>
      </c>
      <c r="D15636" s="691">
        <v>57.8</v>
      </c>
      <c r="E15636" s="691">
        <v>58.2</v>
      </c>
      <c r="F15636" s="691">
        <v>58.1</v>
      </c>
      <c r="G15636" s="691">
        <v>58.1</v>
      </c>
      <c r="H15636" s="692" t="s">
        <v>4060</v>
      </c>
      <c r="I15636" s="692" t="s">
        <v>4060</v>
      </c>
      <c r="J15636" s="692" t="s">
        <v>4060</v>
      </c>
      <c r="K15636" s="692" t="s">
        <v>4060</v>
      </c>
    </row>
    <row r="15637" spans="1:11">
      <c r="A15637" s="688" t="s">
        <v>4063</v>
      </c>
      <c r="B15637" s="689">
        <v>57.8</v>
      </c>
      <c r="C15637" s="689">
        <v>58.2</v>
      </c>
      <c r="D15637" s="689">
        <v>57.8</v>
      </c>
      <c r="E15637" s="689">
        <v>58.2</v>
      </c>
      <c r="F15637" s="689">
        <v>58.1</v>
      </c>
      <c r="G15637" s="689">
        <v>58.2</v>
      </c>
      <c r="H15637" s="690" t="s">
        <v>4060</v>
      </c>
      <c r="I15637" s="690" t="s">
        <v>4060</v>
      </c>
      <c r="J15637" s="690" t="s">
        <v>4060</v>
      </c>
      <c r="K15637" s="690" t="s">
        <v>4060</v>
      </c>
    </row>
    <row r="15638" spans="1:11">
      <c r="A15638" s="688" t="s">
        <v>4069</v>
      </c>
      <c r="B15638" s="692" t="s">
        <v>4060</v>
      </c>
      <c r="C15638" s="691">
        <v>58.7</v>
      </c>
      <c r="D15638" s="691">
        <v>58.4</v>
      </c>
      <c r="E15638" s="691">
        <v>58.7</v>
      </c>
      <c r="F15638" s="691">
        <v>58.7</v>
      </c>
      <c r="G15638" s="691">
        <v>58.8</v>
      </c>
      <c r="H15638" s="615">
        <v>59</v>
      </c>
      <c r="I15638" s="691">
        <v>58.5</v>
      </c>
      <c r="J15638" s="691">
        <v>58.5</v>
      </c>
      <c r="K15638" s="691">
        <v>58.5</v>
      </c>
    </row>
    <row r="15639" spans="1:11">
      <c r="A15639" s="688" t="s">
        <v>4068</v>
      </c>
      <c r="B15639" s="689">
        <v>58.8</v>
      </c>
      <c r="C15639" s="690" t="s">
        <v>4060</v>
      </c>
      <c r="D15639" s="690" t="s">
        <v>4060</v>
      </c>
      <c r="E15639" s="690" t="s">
        <v>4060</v>
      </c>
      <c r="F15639" s="690" t="s">
        <v>4060</v>
      </c>
      <c r="G15639" s="690" t="s">
        <v>4060</v>
      </c>
      <c r="H15639" s="690" t="s">
        <v>4060</v>
      </c>
      <c r="I15639" s="690" t="s">
        <v>4060</v>
      </c>
      <c r="J15639" s="690" t="s">
        <v>4060</v>
      </c>
      <c r="K15639" s="690" t="s">
        <v>4060</v>
      </c>
    </row>
    <row r="15640" spans="1:11">
      <c r="A15640" s="688" t="s">
        <v>0</v>
      </c>
      <c r="B15640" s="691">
        <v>57.7</v>
      </c>
      <c r="C15640" s="615">
        <v>58</v>
      </c>
      <c r="D15640" s="691">
        <v>57.7</v>
      </c>
      <c r="E15640" s="691">
        <v>58.1</v>
      </c>
      <c r="F15640" s="691">
        <v>58.2</v>
      </c>
      <c r="G15640" s="691">
        <v>58.2</v>
      </c>
      <c r="H15640" s="691">
        <v>58.5</v>
      </c>
      <c r="I15640" s="691">
        <v>57.5</v>
      </c>
      <c r="J15640" s="691">
        <v>58.5</v>
      </c>
      <c r="K15640" s="691">
        <v>58.3</v>
      </c>
    </row>
    <row r="15641" spans="1:11">
      <c r="A15641" s="688" t="s">
        <v>1</v>
      </c>
      <c r="B15641" s="689">
        <v>53.5</v>
      </c>
      <c r="C15641" s="689">
        <v>52.9</v>
      </c>
      <c r="D15641" s="693">
        <v>53</v>
      </c>
      <c r="E15641" s="689">
        <v>53.2</v>
      </c>
      <c r="F15641" s="689">
        <v>53.1</v>
      </c>
      <c r="G15641" s="689">
        <v>53.2</v>
      </c>
      <c r="H15641" s="689">
        <v>53.4</v>
      </c>
      <c r="I15641" s="693">
        <v>52</v>
      </c>
      <c r="J15641" s="689">
        <v>49.9</v>
      </c>
      <c r="K15641" s="689">
        <v>52.7</v>
      </c>
    </row>
    <row r="15642" spans="1:11">
      <c r="A15642" s="688" t="s">
        <v>2240</v>
      </c>
      <c r="B15642" s="691">
        <v>55.7</v>
      </c>
      <c r="C15642" s="691">
        <v>56.1</v>
      </c>
      <c r="D15642" s="691">
        <v>55.9</v>
      </c>
      <c r="E15642" s="691">
        <v>56.3</v>
      </c>
      <c r="F15642" s="691">
        <v>56.3</v>
      </c>
      <c r="G15642" s="691">
        <v>56.3</v>
      </c>
      <c r="H15642" s="691">
        <v>56.6</v>
      </c>
      <c r="I15642" s="691">
        <v>55.7</v>
      </c>
      <c r="J15642" s="691">
        <v>54.9</v>
      </c>
      <c r="K15642" s="691">
        <v>56.4</v>
      </c>
    </row>
    <row r="15643" spans="1:11">
      <c r="A15643" s="688" t="s">
        <v>2</v>
      </c>
      <c r="B15643" s="689">
        <v>56.9</v>
      </c>
      <c r="C15643" s="689">
        <v>57.1</v>
      </c>
      <c r="D15643" s="689">
        <v>57.2</v>
      </c>
      <c r="E15643" s="689">
        <v>57.2</v>
      </c>
      <c r="F15643" s="689">
        <v>57.5</v>
      </c>
      <c r="G15643" s="689">
        <v>57.4</v>
      </c>
      <c r="H15643" s="689">
        <v>57.8</v>
      </c>
      <c r="I15643" s="689">
        <v>57.9</v>
      </c>
      <c r="J15643" s="689">
        <v>57.7</v>
      </c>
      <c r="K15643" s="689">
        <v>57.6</v>
      </c>
    </row>
    <row r="15644" spans="1:11">
      <c r="A15644" s="688" t="s">
        <v>3</v>
      </c>
      <c r="B15644" s="691">
        <v>57.5</v>
      </c>
      <c r="C15644" s="691">
        <v>57.8</v>
      </c>
      <c r="D15644" s="691">
        <v>57.5</v>
      </c>
      <c r="E15644" s="691">
        <v>57.8</v>
      </c>
      <c r="F15644" s="691">
        <v>57.8</v>
      </c>
      <c r="G15644" s="691">
        <v>57.7</v>
      </c>
      <c r="H15644" s="615">
        <v>58</v>
      </c>
      <c r="I15644" s="691">
        <v>57.9</v>
      </c>
      <c r="J15644" s="691">
        <v>57.6</v>
      </c>
      <c r="K15644" s="691">
        <v>57.4</v>
      </c>
    </row>
    <row r="15645" spans="1:11">
      <c r="A15645" s="688" t="s">
        <v>4061</v>
      </c>
      <c r="B15645" s="689">
        <v>57.5</v>
      </c>
      <c r="C15645" s="689">
        <v>57.8</v>
      </c>
      <c r="D15645" s="689">
        <v>57.5</v>
      </c>
      <c r="E15645" s="689">
        <v>57.8</v>
      </c>
      <c r="F15645" s="689">
        <v>57.8</v>
      </c>
      <c r="G15645" s="689">
        <v>57.7</v>
      </c>
      <c r="H15645" s="693">
        <v>58</v>
      </c>
      <c r="I15645" s="689">
        <v>57.9</v>
      </c>
      <c r="J15645" s="689">
        <v>57.6</v>
      </c>
      <c r="K15645" s="689">
        <v>57.4</v>
      </c>
    </row>
    <row r="15646" spans="1:11">
      <c r="A15646" s="688" t="s">
        <v>4</v>
      </c>
      <c r="B15646" s="691">
        <v>56.2</v>
      </c>
      <c r="C15646" s="691">
        <v>56.1</v>
      </c>
      <c r="D15646" s="691">
        <v>56.4</v>
      </c>
      <c r="E15646" s="691">
        <v>56.5</v>
      </c>
      <c r="F15646" s="691">
        <v>56.8</v>
      </c>
      <c r="G15646" s="691">
        <v>56.8</v>
      </c>
      <c r="H15646" s="691">
        <v>57.1</v>
      </c>
      <c r="I15646" s="691">
        <v>57.1</v>
      </c>
      <c r="J15646" s="691">
        <v>55.8</v>
      </c>
      <c r="K15646" s="691">
        <v>56.7</v>
      </c>
    </row>
    <row r="15647" spans="1:11">
      <c r="A15647" s="688" t="s">
        <v>8</v>
      </c>
      <c r="B15647" s="689">
        <v>57.6</v>
      </c>
      <c r="C15647" s="689">
        <v>57.7</v>
      </c>
      <c r="D15647" s="689">
        <v>57.7</v>
      </c>
      <c r="E15647" s="689">
        <v>57.8</v>
      </c>
      <c r="F15647" s="689">
        <v>58.3</v>
      </c>
      <c r="G15647" s="689">
        <v>58.3</v>
      </c>
      <c r="H15647" s="689">
        <v>58.7</v>
      </c>
      <c r="I15647" s="689">
        <v>58.5</v>
      </c>
      <c r="J15647" s="689">
        <v>58.4</v>
      </c>
      <c r="K15647" s="689">
        <v>58.4</v>
      </c>
    </row>
    <row r="15648" spans="1:11">
      <c r="A15648" s="688" t="s">
        <v>7</v>
      </c>
      <c r="B15648" s="691">
        <v>58.5</v>
      </c>
      <c r="C15648" s="691">
        <v>58.3</v>
      </c>
      <c r="D15648" s="691">
        <v>58.1</v>
      </c>
      <c r="E15648" s="691">
        <v>58.3</v>
      </c>
      <c r="F15648" s="691">
        <v>58.2</v>
      </c>
      <c r="G15648" s="691">
        <v>58.7</v>
      </c>
      <c r="H15648" s="691">
        <v>58.6</v>
      </c>
      <c r="I15648" s="691">
        <v>58.2</v>
      </c>
      <c r="J15648" s="691">
        <v>57.4</v>
      </c>
      <c r="K15648" s="691">
        <v>57.8</v>
      </c>
    </row>
    <row r="15649" spans="1:11">
      <c r="A15649" s="688" t="s">
        <v>27</v>
      </c>
      <c r="B15649" s="689">
        <v>60.5</v>
      </c>
      <c r="C15649" s="689">
        <v>60.1</v>
      </c>
      <c r="D15649" s="689">
        <v>59.8</v>
      </c>
      <c r="E15649" s="689">
        <v>60.2</v>
      </c>
      <c r="F15649" s="689">
        <v>60.1</v>
      </c>
      <c r="G15649" s="689">
        <v>60.2</v>
      </c>
      <c r="H15649" s="689">
        <v>60.6</v>
      </c>
      <c r="I15649" s="689">
        <v>59.4</v>
      </c>
      <c r="J15649" s="689">
        <v>60.2</v>
      </c>
      <c r="K15649" s="689">
        <v>60.1</v>
      </c>
    </row>
    <row r="15650" spans="1:11">
      <c r="A15650" s="688" t="s">
        <v>6</v>
      </c>
      <c r="B15650" s="691">
        <v>60.2</v>
      </c>
      <c r="C15650" s="691">
        <v>59.9</v>
      </c>
      <c r="D15650" s="691">
        <v>59.7</v>
      </c>
      <c r="E15650" s="691">
        <v>59.9</v>
      </c>
      <c r="F15650" s="691">
        <v>59.9</v>
      </c>
      <c r="G15650" s="615">
        <v>60</v>
      </c>
      <c r="H15650" s="691">
        <v>60.1</v>
      </c>
      <c r="I15650" s="691">
        <v>59.6</v>
      </c>
      <c r="J15650" s="691">
        <v>59.8</v>
      </c>
      <c r="K15650" s="691">
        <v>59.7</v>
      </c>
    </row>
    <row r="15651" spans="1:11">
      <c r="A15651" s="688" t="s">
        <v>4058</v>
      </c>
      <c r="B15651" s="690" t="s">
        <v>4060</v>
      </c>
      <c r="C15651" s="690" t="s">
        <v>4060</v>
      </c>
      <c r="D15651" s="690" t="s">
        <v>4060</v>
      </c>
      <c r="E15651" s="690" t="s">
        <v>4060</v>
      </c>
      <c r="F15651" s="690" t="s">
        <v>4060</v>
      </c>
      <c r="G15651" s="690" t="s">
        <v>4060</v>
      </c>
      <c r="H15651" s="690" t="s">
        <v>4060</v>
      </c>
      <c r="I15651" s="690" t="s">
        <v>4060</v>
      </c>
      <c r="J15651" s="690" t="s">
        <v>4060</v>
      </c>
      <c r="K15651" s="690" t="s">
        <v>4060</v>
      </c>
    </row>
    <row r="15652" spans="1:11">
      <c r="A15652" s="688" t="s">
        <v>11</v>
      </c>
      <c r="B15652" s="691">
        <v>55.5</v>
      </c>
      <c r="C15652" s="691">
        <v>55.4</v>
      </c>
      <c r="D15652" s="615">
        <v>55</v>
      </c>
      <c r="E15652" s="691">
        <v>55.7</v>
      </c>
      <c r="F15652" s="691">
        <v>55.3</v>
      </c>
      <c r="G15652" s="691">
        <v>55.7</v>
      </c>
      <c r="H15652" s="691">
        <v>55.9</v>
      </c>
      <c r="I15652" s="691">
        <v>55.2</v>
      </c>
      <c r="J15652" s="691">
        <v>54.3</v>
      </c>
      <c r="K15652" s="691">
        <v>55.3</v>
      </c>
    </row>
    <row r="15653" spans="1:11">
      <c r="A15653" s="688" t="s">
        <v>10</v>
      </c>
      <c r="B15653" s="689">
        <v>59.6</v>
      </c>
      <c r="C15653" s="689">
        <v>59.5</v>
      </c>
      <c r="D15653" s="693">
        <v>59</v>
      </c>
      <c r="E15653" s="689">
        <v>59.6</v>
      </c>
      <c r="F15653" s="689">
        <v>59.3</v>
      </c>
      <c r="G15653" s="689">
        <v>59.6</v>
      </c>
      <c r="H15653" s="689">
        <v>59.8</v>
      </c>
      <c r="I15653" s="689">
        <v>58.9</v>
      </c>
      <c r="J15653" s="689">
        <v>59.2</v>
      </c>
      <c r="K15653" s="689">
        <v>59.2</v>
      </c>
    </row>
    <row r="15654" spans="1:11">
      <c r="A15654" s="688" t="s">
        <v>30</v>
      </c>
      <c r="B15654" s="691">
        <v>59.2</v>
      </c>
      <c r="C15654" s="691">
        <v>58.5</v>
      </c>
      <c r="D15654" s="691">
        <v>58.2</v>
      </c>
      <c r="E15654" s="691">
        <v>59.2</v>
      </c>
      <c r="F15654" s="691">
        <v>58.7</v>
      </c>
      <c r="G15654" s="691">
        <v>59.2</v>
      </c>
      <c r="H15654" s="615">
        <v>59</v>
      </c>
      <c r="I15654" s="691">
        <v>58.9</v>
      </c>
      <c r="J15654" s="691">
        <v>58.2</v>
      </c>
      <c r="K15654" s="691">
        <v>58.5</v>
      </c>
    </row>
    <row r="15655" spans="1:11">
      <c r="A15655" s="688" t="s">
        <v>12</v>
      </c>
      <c r="B15655" s="689">
        <v>53.6</v>
      </c>
      <c r="C15655" s="693">
        <v>54</v>
      </c>
      <c r="D15655" s="693">
        <v>54</v>
      </c>
      <c r="E15655" s="689">
        <v>54.1</v>
      </c>
      <c r="F15655" s="689">
        <v>54.2</v>
      </c>
      <c r="G15655" s="689">
        <v>54.2</v>
      </c>
      <c r="H15655" s="689">
        <v>54.7</v>
      </c>
      <c r="I15655" s="689">
        <v>54.5</v>
      </c>
      <c r="J15655" s="689">
        <v>52.5</v>
      </c>
      <c r="K15655" s="693">
        <v>54</v>
      </c>
    </row>
    <row r="15656" spans="1:11">
      <c r="A15656" s="688" t="s">
        <v>14</v>
      </c>
      <c r="B15656" s="691">
        <v>54.2</v>
      </c>
      <c r="C15656" s="691">
        <v>54.5</v>
      </c>
      <c r="D15656" s="691">
        <v>54.2</v>
      </c>
      <c r="E15656" s="691">
        <v>54.5</v>
      </c>
      <c r="F15656" s="691">
        <v>54.8</v>
      </c>
      <c r="G15656" s="691">
        <v>55.1</v>
      </c>
      <c r="H15656" s="691">
        <v>55.5</v>
      </c>
      <c r="I15656" s="691">
        <v>54.5</v>
      </c>
      <c r="J15656" s="691">
        <v>53.4</v>
      </c>
      <c r="K15656" s="691">
        <v>54.6</v>
      </c>
    </row>
    <row r="15657" spans="1:11">
      <c r="A15657" s="688" t="s">
        <v>15</v>
      </c>
      <c r="B15657" s="689">
        <v>58.4</v>
      </c>
      <c r="C15657" s="693">
        <v>59</v>
      </c>
      <c r="D15657" s="689">
        <v>58.4</v>
      </c>
      <c r="E15657" s="689">
        <v>59.2</v>
      </c>
      <c r="F15657" s="689">
        <v>58.3</v>
      </c>
      <c r="G15657" s="689">
        <v>58.8</v>
      </c>
      <c r="H15657" s="689">
        <v>59.2</v>
      </c>
      <c r="I15657" s="693">
        <v>59</v>
      </c>
      <c r="J15657" s="689">
        <v>59.2</v>
      </c>
      <c r="K15657" s="689">
        <v>59.4</v>
      </c>
    </row>
    <row r="15658" spans="1:11">
      <c r="A15658" s="688" t="s">
        <v>29</v>
      </c>
      <c r="B15658" s="691">
        <v>53.7</v>
      </c>
      <c r="C15658" s="691">
        <v>53.7</v>
      </c>
      <c r="D15658" s="691">
        <v>53.4</v>
      </c>
      <c r="E15658" s="615">
        <v>54</v>
      </c>
      <c r="F15658" s="691">
        <v>53.6</v>
      </c>
      <c r="G15658" s="691">
        <v>53.9</v>
      </c>
      <c r="H15658" s="615">
        <v>54</v>
      </c>
      <c r="I15658" s="691">
        <v>53.3</v>
      </c>
      <c r="J15658" s="691">
        <v>52.1</v>
      </c>
      <c r="K15658" s="691">
        <v>53.7</v>
      </c>
    </row>
    <row r="15659" spans="1:11">
      <c r="A15659" s="688" t="s">
        <v>16</v>
      </c>
      <c r="B15659" s="689">
        <v>58.8</v>
      </c>
      <c r="C15659" s="689">
        <v>58.5</v>
      </c>
      <c r="D15659" s="689">
        <v>58.5</v>
      </c>
      <c r="E15659" s="689">
        <v>58.6</v>
      </c>
      <c r="F15659" s="689">
        <v>58.7</v>
      </c>
      <c r="G15659" s="689">
        <v>58.6</v>
      </c>
      <c r="H15659" s="693">
        <v>59</v>
      </c>
      <c r="I15659" s="689">
        <v>58.7</v>
      </c>
      <c r="J15659" s="689">
        <v>58.3</v>
      </c>
      <c r="K15659" s="689">
        <v>58.7</v>
      </c>
    </row>
    <row r="15660" spans="1:11">
      <c r="A15660" s="688" t="s">
        <v>17</v>
      </c>
      <c r="B15660" s="691">
        <v>57.7</v>
      </c>
      <c r="C15660" s="691">
        <v>57.8</v>
      </c>
      <c r="D15660" s="691">
        <v>57.6</v>
      </c>
      <c r="E15660" s="691">
        <v>57.6</v>
      </c>
      <c r="F15660" s="691">
        <v>57.8</v>
      </c>
      <c r="G15660" s="691">
        <v>57.8</v>
      </c>
      <c r="H15660" s="691">
        <v>58.1</v>
      </c>
      <c r="I15660" s="691">
        <v>57.6</v>
      </c>
      <c r="J15660" s="691">
        <v>57.4</v>
      </c>
      <c r="K15660" s="691">
        <v>57.6</v>
      </c>
    </row>
    <row r="15661" spans="1:11">
      <c r="A15661" s="688" t="s">
        <v>19</v>
      </c>
      <c r="B15661" s="689">
        <v>58.3</v>
      </c>
      <c r="C15661" s="689">
        <v>58.2</v>
      </c>
      <c r="D15661" s="689">
        <v>58.1</v>
      </c>
      <c r="E15661" s="689">
        <v>58.4</v>
      </c>
      <c r="F15661" s="689">
        <v>58.4</v>
      </c>
      <c r="G15661" s="689">
        <v>58.4</v>
      </c>
      <c r="H15661" s="689">
        <v>58.7</v>
      </c>
      <c r="I15661" s="689">
        <v>58.2</v>
      </c>
      <c r="J15661" s="689">
        <v>58.2</v>
      </c>
      <c r="K15661" s="689">
        <v>58.2</v>
      </c>
    </row>
    <row r="15662" spans="1:11">
      <c r="A15662" s="688" t="s">
        <v>20</v>
      </c>
      <c r="B15662" s="691">
        <v>55.8</v>
      </c>
      <c r="C15662" s="615">
        <v>56</v>
      </c>
      <c r="D15662" s="691">
        <v>55.8</v>
      </c>
      <c r="E15662" s="691">
        <v>56.3</v>
      </c>
      <c r="F15662" s="691">
        <v>56.1</v>
      </c>
      <c r="G15662" s="615">
        <v>56</v>
      </c>
      <c r="H15662" s="691">
        <v>56.3</v>
      </c>
      <c r="I15662" s="691">
        <v>55.1</v>
      </c>
      <c r="J15662" s="691">
        <v>54.1</v>
      </c>
      <c r="K15662" s="691">
        <v>55.6</v>
      </c>
    </row>
    <row r="15663" spans="1:11">
      <c r="A15663" s="688" t="s">
        <v>21</v>
      </c>
      <c r="B15663" s="689">
        <v>58.5</v>
      </c>
      <c r="C15663" s="689">
        <v>58.7</v>
      </c>
      <c r="D15663" s="689">
        <v>58.7</v>
      </c>
      <c r="E15663" s="689">
        <v>58.8</v>
      </c>
      <c r="F15663" s="693">
        <v>59</v>
      </c>
      <c r="G15663" s="693">
        <v>59</v>
      </c>
      <c r="H15663" s="689">
        <v>59.2</v>
      </c>
      <c r="I15663" s="689">
        <v>58.6</v>
      </c>
      <c r="J15663" s="689">
        <v>58.7</v>
      </c>
      <c r="K15663" s="689">
        <v>58.9</v>
      </c>
    </row>
    <row r="15664" spans="1:11">
      <c r="A15664" s="688" t="s">
        <v>22</v>
      </c>
      <c r="B15664" s="691">
        <v>53.8</v>
      </c>
      <c r="C15664" s="691">
        <v>53.5</v>
      </c>
      <c r="D15664" s="691">
        <v>53.5</v>
      </c>
      <c r="E15664" s="691">
        <v>53.8</v>
      </c>
      <c r="F15664" s="691">
        <v>53.8</v>
      </c>
      <c r="G15664" s="691">
        <v>53.9</v>
      </c>
      <c r="H15664" s="691">
        <v>54.2</v>
      </c>
      <c r="I15664" s="691">
        <v>52.9</v>
      </c>
      <c r="J15664" s="691">
        <v>51.4</v>
      </c>
      <c r="K15664" s="691">
        <v>53.8</v>
      </c>
    </row>
    <row r="15665" spans="1:11">
      <c r="A15665" s="688" t="s">
        <v>26</v>
      </c>
      <c r="B15665" s="689">
        <v>58.1</v>
      </c>
      <c r="C15665" s="689">
        <v>58.1</v>
      </c>
      <c r="D15665" s="689">
        <v>57.9</v>
      </c>
      <c r="E15665" s="689">
        <v>58.3</v>
      </c>
      <c r="F15665" s="689">
        <v>58.1</v>
      </c>
      <c r="G15665" s="689">
        <v>58.3</v>
      </c>
      <c r="H15665" s="689">
        <v>58.6</v>
      </c>
      <c r="I15665" s="689">
        <v>57.7</v>
      </c>
      <c r="J15665" s="693">
        <v>58</v>
      </c>
      <c r="K15665" s="689">
        <v>58.3</v>
      </c>
    </row>
    <row r="15666" spans="1:11">
      <c r="A15666" s="688" t="s">
        <v>25</v>
      </c>
      <c r="B15666" s="691">
        <v>54.9</v>
      </c>
      <c r="C15666" s="691">
        <v>55.1</v>
      </c>
      <c r="D15666" s="691">
        <v>54.9</v>
      </c>
      <c r="E15666" s="691">
        <v>55.3</v>
      </c>
      <c r="F15666" s="691">
        <v>55.2</v>
      </c>
      <c r="G15666" s="691">
        <v>55.4</v>
      </c>
      <c r="H15666" s="691">
        <v>55.8</v>
      </c>
      <c r="I15666" s="691">
        <v>55.1</v>
      </c>
      <c r="J15666" s="691">
        <v>52.9</v>
      </c>
      <c r="K15666" s="691">
        <v>55.1</v>
      </c>
    </row>
    <row r="15667" spans="1:11">
      <c r="A15667" s="688" t="s">
        <v>5</v>
      </c>
      <c r="B15667" s="689">
        <v>58.5</v>
      </c>
      <c r="C15667" s="689">
        <v>58.3</v>
      </c>
      <c r="D15667" s="689">
        <v>58.5</v>
      </c>
      <c r="E15667" s="689">
        <v>58.5</v>
      </c>
      <c r="F15667" s="689">
        <v>58.7</v>
      </c>
      <c r="G15667" s="689">
        <v>58.7</v>
      </c>
      <c r="H15667" s="693">
        <v>59</v>
      </c>
      <c r="I15667" s="693">
        <v>59</v>
      </c>
      <c r="J15667" s="689">
        <v>58.9</v>
      </c>
      <c r="K15667" s="689">
        <v>58.2</v>
      </c>
    </row>
    <row r="15668" spans="1:11">
      <c r="A15668" s="688" t="s">
        <v>23</v>
      </c>
      <c r="B15668" s="691">
        <v>58.2</v>
      </c>
      <c r="C15668" s="691">
        <v>58.4</v>
      </c>
      <c r="D15668" s="691">
        <v>58.4</v>
      </c>
      <c r="E15668" s="691">
        <v>58.5</v>
      </c>
      <c r="F15668" s="691">
        <v>58.5</v>
      </c>
      <c r="G15668" s="691">
        <v>58.7</v>
      </c>
      <c r="H15668" s="691">
        <v>59.1</v>
      </c>
      <c r="I15668" s="691">
        <v>58.7</v>
      </c>
      <c r="J15668" s="691">
        <v>59.2</v>
      </c>
      <c r="K15668" s="691">
        <v>59.1</v>
      </c>
    </row>
    <row r="15669" spans="1:11">
      <c r="A15669" s="688" t="s">
        <v>4067</v>
      </c>
      <c r="B15669" s="689">
        <v>57.8</v>
      </c>
      <c r="C15669" s="689">
        <v>58.2</v>
      </c>
      <c r="D15669" s="689">
        <v>57.8</v>
      </c>
      <c r="E15669" s="689">
        <v>58.2</v>
      </c>
      <c r="F15669" s="689">
        <v>58.1</v>
      </c>
      <c r="G15669" s="689">
        <v>58.1</v>
      </c>
      <c r="H15669" s="690" t="s">
        <v>4060</v>
      </c>
      <c r="I15669" s="690" t="s">
        <v>4060</v>
      </c>
      <c r="J15669" s="690" t="s">
        <v>4060</v>
      </c>
      <c r="K15669" s="690" t="s">
        <v>4060</v>
      </c>
    </row>
    <row r="15670" spans="1:11">
      <c r="A15670" s="688" t="s">
        <v>4066</v>
      </c>
      <c r="B15670" s="691">
        <v>57.9</v>
      </c>
      <c r="C15670" s="691">
        <v>58.2</v>
      </c>
      <c r="D15670" s="691">
        <v>57.8</v>
      </c>
      <c r="E15670" s="691">
        <v>58.2</v>
      </c>
      <c r="F15670" s="691">
        <v>58.1</v>
      </c>
      <c r="G15670" s="691">
        <v>58.2</v>
      </c>
      <c r="H15670" s="692" t="s">
        <v>4060</v>
      </c>
      <c r="I15670" s="692" t="s">
        <v>4060</v>
      </c>
      <c r="J15670" s="692" t="s">
        <v>4060</v>
      </c>
      <c r="K15670" s="692" t="s">
        <v>4060</v>
      </c>
    </row>
    <row r="15671" spans="1:11">
      <c r="A15671" s="688" t="s">
        <v>4062</v>
      </c>
      <c r="B15671" s="693">
        <v>59</v>
      </c>
      <c r="C15671" s="689">
        <v>59.2</v>
      </c>
      <c r="D15671" s="689">
        <v>59.1</v>
      </c>
      <c r="E15671" s="689">
        <v>59.3</v>
      </c>
      <c r="F15671" s="689">
        <v>59.4</v>
      </c>
      <c r="G15671" s="689">
        <v>59.5</v>
      </c>
      <c r="H15671" s="689">
        <v>59.7</v>
      </c>
      <c r="I15671" s="689">
        <v>59.4</v>
      </c>
      <c r="J15671" s="689">
        <v>59.7</v>
      </c>
      <c r="K15671" s="689">
        <v>59.4</v>
      </c>
    </row>
    <row r="15672" spans="1:11">
      <c r="A15672" s="688" t="s">
        <v>9</v>
      </c>
      <c r="B15672" s="691">
        <v>58.2</v>
      </c>
      <c r="C15672" s="691">
        <v>58.6</v>
      </c>
      <c r="D15672" s="615">
        <v>58</v>
      </c>
      <c r="E15672" s="691">
        <v>58.2</v>
      </c>
      <c r="F15672" s="691">
        <v>58.6</v>
      </c>
      <c r="G15672" s="691">
        <v>58.5</v>
      </c>
      <c r="H15672" s="691">
        <v>58.7</v>
      </c>
      <c r="I15672" s="691">
        <v>58.7</v>
      </c>
      <c r="J15672" s="691">
        <v>58.9</v>
      </c>
      <c r="K15672" s="615">
        <v>58</v>
      </c>
    </row>
    <row r="15673" spans="1:11">
      <c r="A15673" s="688" t="s">
        <v>13</v>
      </c>
      <c r="B15673" s="689">
        <v>58.9</v>
      </c>
      <c r="C15673" s="689">
        <v>57.9</v>
      </c>
      <c r="D15673" s="689">
        <v>58.9</v>
      </c>
      <c r="E15673" s="689">
        <v>58.6</v>
      </c>
      <c r="F15673" s="689">
        <v>59.8</v>
      </c>
      <c r="G15673" s="689">
        <v>59.9</v>
      </c>
      <c r="H15673" s="689">
        <v>59.8</v>
      </c>
      <c r="I15673" s="689">
        <v>59.1</v>
      </c>
      <c r="J15673" s="689">
        <v>60.1</v>
      </c>
      <c r="K15673" s="689">
        <v>59.8</v>
      </c>
    </row>
    <row r="15674" spans="1:11">
      <c r="A15674" s="688" t="s">
        <v>18</v>
      </c>
      <c r="B15674" s="691">
        <v>58.2</v>
      </c>
      <c r="C15674" s="691">
        <v>58.5</v>
      </c>
      <c r="D15674" s="691">
        <v>58.5</v>
      </c>
      <c r="E15674" s="691">
        <v>58.6</v>
      </c>
      <c r="F15674" s="691">
        <v>58.7</v>
      </c>
      <c r="G15674" s="691">
        <v>58.9</v>
      </c>
      <c r="H15674" s="691">
        <v>59.1</v>
      </c>
      <c r="I15674" s="691">
        <v>59.2</v>
      </c>
      <c r="J15674" s="691">
        <v>59.1</v>
      </c>
      <c r="K15674" s="691">
        <v>58.7</v>
      </c>
    </row>
    <row r="15675" spans="1:11">
      <c r="A15675" s="688" t="s">
        <v>24</v>
      </c>
      <c r="B15675" s="689">
        <v>59.5</v>
      </c>
      <c r="C15675" s="689">
        <v>59.6</v>
      </c>
      <c r="D15675" s="689">
        <v>59.4</v>
      </c>
      <c r="E15675" s="689">
        <v>59.8</v>
      </c>
      <c r="F15675" s="689">
        <v>59.8</v>
      </c>
      <c r="G15675" s="689">
        <v>59.9</v>
      </c>
      <c r="H15675" s="689">
        <v>60.1</v>
      </c>
      <c r="I15675" s="689">
        <v>59.6</v>
      </c>
      <c r="J15675" s="689">
        <v>60.1</v>
      </c>
      <c r="K15675" s="689">
        <v>59.9</v>
      </c>
    </row>
    <row r="15676" spans="1:11">
      <c r="A15676" s="688" t="s">
        <v>4059</v>
      </c>
      <c r="B15676" s="691">
        <v>57.4</v>
      </c>
      <c r="C15676" s="691">
        <v>57.7</v>
      </c>
      <c r="D15676" s="691">
        <v>57.3</v>
      </c>
      <c r="E15676" s="691">
        <v>57.5</v>
      </c>
      <c r="F15676" s="691">
        <v>57.6</v>
      </c>
      <c r="G15676" s="691">
        <v>57.6</v>
      </c>
      <c r="H15676" s="692" t="s">
        <v>4060</v>
      </c>
      <c r="I15676" s="692" t="s">
        <v>4060</v>
      </c>
      <c r="J15676" s="692" t="s">
        <v>4060</v>
      </c>
      <c r="K15676" s="692" t="s">
        <v>4060</v>
      </c>
    </row>
    <row r="15677" spans="1:11">
      <c r="A15677" s="688" t="s">
        <v>2324</v>
      </c>
      <c r="B15677" s="689">
        <v>53.6</v>
      </c>
      <c r="C15677" s="689">
        <v>53.6</v>
      </c>
      <c r="D15677" s="693">
        <v>53</v>
      </c>
      <c r="E15677" s="689">
        <v>53.5</v>
      </c>
      <c r="F15677" s="689">
        <v>53.7</v>
      </c>
      <c r="G15677" s="689">
        <v>53.7</v>
      </c>
      <c r="H15677" s="693">
        <v>54</v>
      </c>
      <c r="I15677" s="689">
        <v>53.2</v>
      </c>
      <c r="J15677" s="689">
        <v>51.4</v>
      </c>
      <c r="K15677" s="690" t="s">
        <v>4060</v>
      </c>
    </row>
    <row r="15678" spans="1:11">
      <c r="A15678" s="688" t="s">
        <v>2322</v>
      </c>
      <c r="B15678" s="692" t="s">
        <v>4060</v>
      </c>
      <c r="C15678" s="692" t="s">
        <v>4060</v>
      </c>
      <c r="D15678" s="692" t="s">
        <v>4060</v>
      </c>
      <c r="E15678" s="692" t="s">
        <v>4060</v>
      </c>
      <c r="F15678" s="692" t="s">
        <v>4060</v>
      </c>
      <c r="G15678" s="692" t="s">
        <v>4060</v>
      </c>
      <c r="H15678" s="692" t="s">
        <v>4060</v>
      </c>
      <c r="I15678" s="692" t="s">
        <v>4060</v>
      </c>
      <c r="J15678" s="692" t="s">
        <v>4060</v>
      </c>
      <c r="K15678" s="692" t="s">
        <v>4060</v>
      </c>
    </row>
    <row r="15679" spans="1:11">
      <c r="A15679" s="688" t="s">
        <v>2328</v>
      </c>
      <c r="B15679" s="689">
        <v>52.7</v>
      </c>
      <c r="C15679" s="689">
        <v>52.5</v>
      </c>
      <c r="D15679" s="689">
        <v>52.4</v>
      </c>
      <c r="E15679" s="689">
        <v>52.8</v>
      </c>
      <c r="F15679" s="689">
        <v>52.9</v>
      </c>
      <c r="G15679" s="689">
        <v>53.4</v>
      </c>
      <c r="H15679" s="689">
        <v>53.3</v>
      </c>
      <c r="I15679" s="689">
        <v>51.5</v>
      </c>
      <c r="J15679" s="689">
        <v>50.1</v>
      </c>
      <c r="K15679" s="690" t="s">
        <v>4060</v>
      </c>
    </row>
    <row r="15680" spans="1:11">
      <c r="A15680" s="688" t="s">
        <v>2496</v>
      </c>
      <c r="B15680" s="692" t="s">
        <v>4060</v>
      </c>
      <c r="C15680" s="691">
        <v>53.5</v>
      </c>
      <c r="D15680" s="691">
        <v>52.5</v>
      </c>
      <c r="E15680" s="691">
        <v>52.2</v>
      </c>
      <c r="F15680" s="691">
        <v>52.9</v>
      </c>
      <c r="G15680" s="691">
        <v>53.2</v>
      </c>
      <c r="H15680" s="691">
        <v>53.3</v>
      </c>
      <c r="I15680" s="692" t="s">
        <v>4060</v>
      </c>
      <c r="J15680" s="692" t="s">
        <v>4060</v>
      </c>
      <c r="K15680" s="691">
        <v>53.1</v>
      </c>
    </row>
    <row r="15681" spans="1:11">
      <c r="A15681" s="688" t="s">
        <v>2269</v>
      </c>
      <c r="B15681" s="689">
        <v>55.2</v>
      </c>
      <c r="C15681" s="689">
        <v>55.3</v>
      </c>
      <c r="D15681" s="689">
        <v>54.7</v>
      </c>
      <c r="E15681" s="689">
        <v>55.2</v>
      </c>
      <c r="F15681" s="689">
        <v>55.1</v>
      </c>
      <c r="G15681" s="689">
        <v>55.6</v>
      </c>
      <c r="H15681" s="689">
        <v>55.8</v>
      </c>
      <c r="I15681" s="689">
        <v>54.6</v>
      </c>
      <c r="J15681" s="689">
        <v>52.5</v>
      </c>
      <c r="K15681" s="689">
        <v>55.6</v>
      </c>
    </row>
    <row r="15682" spans="1:11">
      <c r="A15682" s="688" t="s">
        <v>2349</v>
      </c>
      <c r="B15682" s="691">
        <v>52.6</v>
      </c>
      <c r="C15682" s="691">
        <v>52.6</v>
      </c>
      <c r="D15682" s="691">
        <v>52.5</v>
      </c>
      <c r="E15682" s="691">
        <v>52.9</v>
      </c>
      <c r="F15682" s="691">
        <v>52.7</v>
      </c>
      <c r="G15682" s="691">
        <v>53.1</v>
      </c>
      <c r="H15682" s="691">
        <v>53.2</v>
      </c>
      <c r="I15682" s="691">
        <v>52.1</v>
      </c>
      <c r="J15682" s="691">
        <v>50.3</v>
      </c>
      <c r="K15682" s="691">
        <v>52.4</v>
      </c>
    </row>
    <row r="15683" spans="1:11">
      <c r="A15683" s="688" t="s">
        <v>2355</v>
      </c>
      <c r="B15683" s="689">
        <v>56.5</v>
      </c>
      <c r="C15683" s="689">
        <v>56.3</v>
      </c>
      <c r="D15683" s="689">
        <v>56.3</v>
      </c>
      <c r="E15683" s="689">
        <v>56.2</v>
      </c>
      <c r="F15683" s="689">
        <v>56.5</v>
      </c>
      <c r="G15683" s="689">
        <v>56.8</v>
      </c>
      <c r="H15683" s="689">
        <v>56.9</v>
      </c>
      <c r="I15683" s="690" t="s">
        <v>4060</v>
      </c>
      <c r="J15683" s="690" t="s">
        <v>4060</v>
      </c>
      <c r="K15683" s="690" t="s">
        <v>4060</v>
      </c>
    </row>
    <row r="15684" spans="1:11">
      <c r="A15684" s="688" t="s">
        <v>2357</v>
      </c>
      <c r="B15684" s="692" t="s">
        <v>4060</v>
      </c>
      <c r="C15684" s="691">
        <v>51.7</v>
      </c>
      <c r="D15684" s="691">
        <v>52.3</v>
      </c>
      <c r="E15684" s="691">
        <v>52.5</v>
      </c>
      <c r="F15684" s="691">
        <v>52.9</v>
      </c>
      <c r="G15684" s="691">
        <v>52.9</v>
      </c>
      <c r="H15684" s="691">
        <v>53.1</v>
      </c>
      <c r="I15684" s="692" t="s">
        <v>4060</v>
      </c>
      <c r="J15684" s="692" t="s">
        <v>4060</v>
      </c>
      <c r="K15684" s="692" t="s">
        <v>4060</v>
      </c>
    </row>
    <row r="15685" spans="1:11">
      <c r="A15685" s="688" t="s">
        <v>4070</v>
      </c>
      <c r="B15685" s="690" t="s">
        <v>4060</v>
      </c>
      <c r="C15685" s="690" t="s">
        <v>4060</v>
      </c>
      <c r="D15685" s="690" t="s">
        <v>4060</v>
      </c>
      <c r="E15685" s="689">
        <v>56.3</v>
      </c>
      <c r="F15685" s="690" t="s">
        <v>4060</v>
      </c>
      <c r="G15685" s="690" t="s">
        <v>4060</v>
      </c>
      <c r="H15685" s="690" t="s">
        <v>4060</v>
      </c>
      <c r="I15685" s="690" t="s">
        <v>4060</v>
      </c>
      <c r="J15685" s="690" t="s">
        <v>4060</v>
      </c>
      <c r="K15685" s="690" t="s">
        <v>4060</v>
      </c>
    </row>
    <row r="15686" spans="1:11">
      <c r="A15686" s="688" t="s">
        <v>2491</v>
      </c>
      <c r="B15686" s="691">
        <v>52.7</v>
      </c>
      <c r="C15686" s="691">
        <v>53.2</v>
      </c>
      <c r="D15686" s="691">
        <v>53.5</v>
      </c>
      <c r="E15686" s="691">
        <v>53.7</v>
      </c>
      <c r="F15686" s="691">
        <v>53.9</v>
      </c>
      <c r="G15686" s="691">
        <v>53.9</v>
      </c>
      <c r="H15686" s="692" t="s">
        <v>4060</v>
      </c>
      <c r="I15686" s="692" t="s">
        <v>4060</v>
      </c>
      <c r="J15686" s="692" t="s">
        <v>4060</v>
      </c>
      <c r="K15686" s="692" t="s">
        <v>4060</v>
      </c>
    </row>
    <row r="15687" spans="1:11">
      <c r="A15687" s="688" t="s">
        <v>2343</v>
      </c>
      <c r="B15687" s="690" t="s">
        <v>4060</v>
      </c>
      <c r="C15687" s="690" t="s">
        <v>4060</v>
      </c>
      <c r="D15687" s="690" t="s">
        <v>4060</v>
      </c>
      <c r="E15687" s="690" t="s">
        <v>4060</v>
      </c>
      <c r="F15687" s="690" t="s">
        <v>4060</v>
      </c>
      <c r="G15687" s="690" t="s">
        <v>4060</v>
      </c>
      <c r="H15687" s="690" t="s">
        <v>4060</v>
      </c>
      <c r="I15687" s="690" t="s">
        <v>4060</v>
      </c>
      <c r="J15687" s="690" t="s">
        <v>4060</v>
      </c>
      <c r="K15687" s="690" t="s">
        <v>4060</v>
      </c>
    </row>
    <row r="15688" spans="1:11">
      <c r="A15688" s="688" t="s">
        <v>4071</v>
      </c>
      <c r="B15688" s="692" t="s">
        <v>4060</v>
      </c>
      <c r="C15688" s="692" t="s">
        <v>4060</v>
      </c>
      <c r="D15688" s="692" t="s">
        <v>4060</v>
      </c>
      <c r="E15688" s="692" t="s">
        <v>4060</v>
      </c>
      <c r="F15688" s="692" t="s">
        <v>4060</v>
      </c>
      <c r="G15688" s="692" t="s">
        <v>4060</v>
      </c>
      <c r="H15688" s="692" t="s">
        <v>4060</v>
      </c>
      <c r="I15688" s="692" t="s">
        <v>4060</v>
      </c>
      <c r="J15688" s="692" t="s">
        <v>4060</v>
      </c>
      <c r="K15688" s="692" t="s">
        <v>4060</v>
      </c>
    </row>
    <row r="15689" spans="1:11">
      <c r="A15689" s="688" t="s">
        <v>2489</v>
      </c>
      <c r="B15689" s="690" t="s">
        <v>4060</v>
      </c>
      <c r="C15689" s="690" t="s">
        <v>4060</v>
      </c>
      <c r="D15689" s="689">
        <v>53.2</v>
      </c>
      <c r="E15689" s="689">
        <v>53.3</v>
      </c>
      <c r="F15689" s="689">
        <v>53.8</v>
      </c>
      <c r="G15689" s="689">
        <v>54.5</v>
      </c>
      <c r="H15689" s="689">
        <v>54.5</v>
      </c>
      <c r="I15689" s="690" t="s">
        <v>4060</v>
      </c>
      <c r="J15689" s="690" t="s">
        <v>4060</v>
      </c>
      <c r="K15689" s="690" t="s">
        <v>4060</v>
      </c>
    </row>
    <row r="15690" spans="1:11">
      <c r="A15690" s="688" t="s">
        <v>2490</v>
      </c>
      <c r="B15690" s="691">
        <v>52.5</v>
      </c>
      <c r="C15690" s="691">
        <v>52.6</v>
      </c>
      <c r="D15690" s="615">
        <v>53</v>
      </c>
      <c r="E15690" s="692" t="s">
        <v>4060</v>
      </c>
      <c r="F15690" s="691">
        <v>53.2</v>
      </c>
      <c r="G15690" s="691">
        <v>53.6</v>
      </c>
      <c r="H15690" s="691">
        <v>54.2</v>
      </c>
      <c r="I15690" s="692" t="s">
        <v>4060</v>
      </c>
      <c r="J15690" s="692" t="s">
        <v>4060</v>
      </c>
      <c r="K15690" s="692" t="s">
        <v>4060</v>
      </c>
    </row>
    <row r="15692" spans="1:11">
      <c r="A15692" s="683" t="s">
        <v>4233</v>
      </c>
    </row>
    <row r="15693" spans="1:11">
      <c r="A15693" s="683" t="s">
        <v>4060</v>
      </c>
      <c r="B15693" s="682" t="s">
        <v>4234</v>
      </c>
    </row>
    <row r="15695" spans="1:11">
      <c r="A15695" s="682" t="s">
        <v>4332</v>
      </c>
    </row>
    <row r="15696" spans="1:11">
      <c r="A15696" s="682" t="s">
        <v>4210</v>
      </c>
      <c r="B15696" s="683" t="s">
        <v>4211</v>
      </c>
    </row>
    <row r="15697" spans="1:11">
      <c r="A15697" s="682" t="s">
        <v>4212</v>
      </c>
      <c r="B15697" s="682" t="s">
        <v>4213</v>
      </c>
    </row>
    <row r="15699" spans="1:11">
      <c r="A15699" s="683" t="s">
        <v>4214</v>
      </c>
      <c r="C15699" s="682" t="s">
        <v>4215</v>
      </c>
    </row>
    <row r="15700" spans="1:11">
      <c r="A15700" s="683" t="s">
        <v>4216</v>
      </c>
      <c r="C15700" s="682" t="s">
        <v>2967</v>
      </c>
    </row>
    <row r="15701" spans="1:11">
      <c r="A15701" s="683" t="s">
        <v>3893</v>
      </c>
      <c r="C15701" s="682" t="s">
        <v>2169</v>
      </c>
    </row>
    <row r="15702" spans="1:11">
      <c r="A15702" s="683" t="s">
        <v>4218</v>
      </c>
      <c r="C15702" s="682" t="s">
        <v>4262</v>
      </c>
    </row>
    <row r="15704" spans="1:11">
      <c r="A15704" s="684" t="s">
        <v>4220</v>
      </c>
      <c r="B15704" s="685" t="s">
        <v>4221</v>
      </c>
      <c r="C15704" s="685" t="s">
        <v>4222</v>
      </c>
      <c r="D15704" s="685" t="s">
        <v>4223</v>
      </c>
      <c r="E15704" s="685" t="s">
        <v>4224</v>
      </c>
      <c r="F15704" s="685" t="s">
        <v>4225</v>
      </c>
      <c r="G15704" s="685" t="s">
        <v>4226</v>
      </c>
      <c r="H15704" s="685" t="s">
        <v>4227</v>
      </c>
      <c r="I15704" s="685" t="s">
        <v>4228</v>
      </c>
      <c r="J15704" s="685" t="s">
        <v>4229</v>
      </c>
      <c r="K15704" s="685" t="s">
        <v>4230</v>
      </c>
    </row>
    <row r="15705" spans="1:11">
      <c r="A15705" s="686" t="s">
        <v>4231</v>
      </c>
      <c r="B15705" s="687" t="s">
        <v>4232</v>
      </c>
      <c r="C15705" s="687" t="s">
        <v>4232</v>
      </c>
      <c r="D15705" s="687" t="s">
        <v>4232</v>
      </c>
      <c r="E15705" s="687" t="s">
        <v>4232</v>
      </c>
      <c r="F15705" s="687" t="s">
        <v>4232</v>
      </c>
      <c r="G15705" s="687" t="s">
        <v>4232</v>
      </c>
      <c r="H15705" s="687" t="s">
        <v>4232</v>
      </c>
      <c r="I15705" s="687" t="s">
        <v>4232</v>
      </c>
      <c r="J15705" s="687" t="s">
        <v>4232</v>
      </c>
      <c r="K15705" s="687" t="s">
        <v>4232</v>
      </c>
    </row>
    <row r="15706" spans="1:11">
      <c r="A15706" s="688" t="s">
        <v>4064</v>
      </c>
      <c r="B15706" s="691">
        <v>56.9</v>
      </c>
      <c r="C15706" s="691">
        <v>56.9</v>
      </c>
      <c r="D15706" s="691">
        <v>56.8</v>
      </c>
      <c r="E15706" s="615">
        <v>57</v>
      </c>
      <c r="F15706" s="691">
        <v>56.9</v>
      </c>
      <c r="G15706" s="615">
        <v>57</v>
      </c>
      <c r="H15706" s="691">
        <v>57.3</v>
      </c>
      <c r="I15706" s="691">
        <v>56.6</v>
      </c>
      <c r="J15706" s="691">
        <v>56.3</v>
      </c>
      <c r="K15706" s="691">
        <v>56.8</v>
      </c>
    </row>
    <row r="15707" spans="1:11">
      <c r="A15707" s="688" t="s">
        <v>4065</v>
      </c>
      <c r="B15707" s="689">
        <v>56.8</v>
      </c>
      <c r="C15707" s="689">
        <v>57.2</v>
      </c>
      <c r="D15707" s="689">
        <v>56.8</v>
      </c>
      <c r="E15707" s="689">
        <v>57.2</v>
      </c>
      <c r="F15707" s="689">
        <v>57.1</v>
      </c>
      <c r="G15707" s="689">
        <v>57.1</v>
      </c>
      <c r="H15707" s="690" t="s">
        <v>4060</v>
      </c>
      <c r="I15707" s="690" t="s">
        <v>4060</v>
      </c>
      <c r="J15707" s="690" t="s">
        <v>4060</v>
      </c>
      <c r="K15707" s="690" t="s">
        <v>4060</v>
      </c>
    </row>
    <row r="15708" spans="1:11">
      <c r="A15708" s="688" t="s">
        <v>4063</v>
      </c>
      <c r="B15708" s="691">
        <v>56.9</v>
      </c>
      <c r="C15708" s="691">
        <v>57.2</v>
      </c>
      <c r="D15708" s="691">
        <v>56.8</v>
      </c>
      <c r="E15708" s="691">
        <v>57.2</v>
      </c>
      <c r="F15708" s="691">
        <v>57.1</v>
      </c>
      <c r="G15708" s="691">
        <v>57.2</v>
      </c>
      <c r="H15708" s="692" t="s">
        <v>4060</v>
      </c>
      <c r="I15708" s="692" t="s">
        <v>4060</v>
      </c>
      <c r="J15708" s="692" t="s">
        <v>4060</v>
      </c>
      <c r="K15708" s="692" t="s">
        <v>4060</v>
      </c>
    </row>
    <row r="15709" spans="1:11">
      <c r="A15709" s="688" t="s">
        <v>4069</v>
      </c>
      <c r="B15709" s="690" t="s">
        <v>4060</v>
      </c>
      <c r="C15709" s="689">
        <v>57.7</v>
      </c>
      <c r="D15709" s="689">
        <v>57.4</v>
      </c>
      <c r="E15709" s="689">
        <v>57.7</v>
      </c>
      <c r="F15709" s="689">
        <v>57.7</v>
      </c>
      <c r="G15709" s="689">
        <v>57.8</v>
      </c>
      <c r="H15709" s="689">
        <v>58.1</v>
      </c>
      <c r="I15709" s="689">
        <v>57.5</v>
      </c>
      <c r="J15709" s="689">
        <v>57.5</v>
      </c>
      <c r="K15709" s="689">
        <v>57.5</v>
      </c>
    </row>
    <row r="15710" spans="1:11">
      <c r="A15710" s="688" t="s">
        <v>4068</v>
      </c>
      <c r="B15710" s="691">
        <v>57.8</v>
      </c>
      <c r="C15710" s="692" t="s">
        <v>4060</v>
      </c>
      <c r="D15710" s="692" t="s">
        <v>4060</v>
      </c>
      <c r="E15710" s="692" t="s">
        <v>4060</v>
      </c>
      <c r="F15710" s="692" t="s">
        <v>4060</v>
      </c>
      <c r="G15710" s="692" t="s">
        <v>4060</v>
      </c>
      <c r="H15710" s="692" t="s">
        <v>4060</v>
      </c>
      <c r="I15710" s="692" t="s">
        <v>4060</v>
      </c>
      <c r="J15710" s="692" t="s">
        <v>4060</v>
      </c>
      <c r="K15710" s="692" t="s">
        <v>4060</v>
      </c>
    </row>
    <row r="15711" spans="1:11">
      <c r="A15711" s="688" t="s">
        <v>0</v>
      </c>
      <c r="B15711" s="689">
        <v>56.8</v>
      </c>
      <c r="C15711" s="693">
        <v>57</v>
      </c>
      <c r="D15711" s="689">
        <v>56.7</v>
      </c>
      <c r="E15711" s="689">
        <v>57.1</v>
      </c>
      <c r="F15711" s="689">
        <v>57.2</v>
      </c>
      <c r="G15711" s="689">
        <v>57.2</v>
      </c>
      <c r="H15711" s="689">
        <v>57.5</v>
      </c>
      <c r="I15711" s="689">
        <v>56.5</v>
      </c>
      <c r="J15711" s="689">
        <v>57.5</v>
      </c>
      <c r="K15711" s="689">
        <v>57.3</v>
      </c>
    </row>
    <row r="15712" spans="1:11">
      <c r="A15712" s="688" t="s">
        <v>1</v>
      </c>
      <c r="B15712" s="691">
        <v>52.5</v>
      </c>
      <c r="C15712" s="691">
        <v>51.9</v>
      </c>
      <c r="D15712" s="615">
        <v>52</v>
      </c>
      <c r="E15712" s="691">
        <v>52.2</v>
      </c>
      <c r="F15712" s="691">
        <v>52.1</v>
      </c>
      <c r="G15712" s="691">
        <v>52.3</v>
      </c>
      <c r="H15712" s="691">
        <v>52.4</v>
      </c>
      <c r="I15712" s="691">
        <v>51.1</v>
      </c>
      <c r="J15712" s="691">
        <v>48.9</v>
      </c>
      <c r="K15712" s="691">
        <v>51.7</v>
      </c>
    </row>
    <row r="15713" spans="1:11">
      <c r="A15713" s="688" t="s">
        <v>2240</v>
      </c>
      <c r="B15713" s="689">
        <v>54.8</v>
      </c>
      <c r="C15713" s="689">
        <v>55.1</v>
      </c>
      <c r="D15713" s="689">
        <v>54.9</v>
      </c>
      <c r="E15713" s="689">
        <v>55.4</v>
      </c>
      <c r="F15713" s="689">
        <v>55.3</v>
      </c>
      <c r="G15713" s="689">
        <v>55.4</v>
      </c>
      <c r="H15713" s="689">
        <v>55.6</v>
      </c>
      <c r="I15713" s="689">
        <v>54.7</v>
      </c>
      <c r="J15713" s="689">
        <v>53.9</v>
      </c>
      <c r="K15713" s="689">
        <v>55.4</v>
      </c>
    </row>
    <row r="15714" spans="1:11">
      <c r="A15714" s="688" t="s">
        <v>2</v>
      </c>
      <c r="B15714" s="691">
        <v>55.9</v>
      </c>
      <c r="C15714" s="691">
        <v>56.1</v>
      </c>
      <c r="D15714" s="691">
        <v>56.2</v>
      </c>
      <c r="E15714" s="691">
        <v>56.3</v>
      </c>
      <c r="F15714" s="691">
        <v>56.6</v>
      </c>
      <c r="G15714" s="691">
        <v>56.4</v>
      </c>
      <c r="H15714" s="691">
        <v>56.8</v>
      </c>
      <c r="I15714" s="691">
        <v>56.9</v>
      </c>
      <c r="J15714" s="691">
        <v>56.8</v>
      </c>
      <c r="K15714" s="691">
        <v>56.6</v>
      </c>
    </row>
    <row r="15715" spans="1:11">
      <c r="A15715" s="688" t="s">
        <v>3</v>
      </c>
      <c r="B15715" s="689">
        <v>56.5</v>
      </c>
      <c r="C15715" s="689">
        <v>56.8</v>
      </c>
      <c r="D15715" s="689">
        <v>56.5</v>
      </c>
      <c r="E15715" s="689">
        <v>56.8</v>
      </c>
      <c r="F15715" s="689">
        <v>56.8</v>
      </c>
      <c r="G15715" s="689">
        <v>56.7</v>
      </c>
      <c r="H15715" s="693">
        <v>57</v>
      </c>
      <c r="I15715" s="689">
        <v>56.9</v>
      </c>
      <c r="J15715" s="689">
        <v>56.6</v>
      </c>
      <c r="K15715" s="689">
        <v>56.4</v>
      </c>
    </row>
    <row r="15716" spans="1:11">
      <c r="A15716" s="688" t="s">
        <v>4061</v>
      </c>
      <c r="B15716" s="691">
        <v>56.5</v>
      </c>
      <c r="C15716" s="691">
        <v>56.8</v>
      </c>
      <c r="D15716" s="691">
        <v>56.5</v>
      </c>
      <c r="E15716" s="691">
        <v>56.8</v>
      </c>
      <c r="F15716" s="691">
        <v>56.8</v>
      </c>
      <c r="G15716" s="691">
        <v>56.7</v>
      </c>
      <c r="H15716" s="615">
        <v>57</v>
      </c>
      <c r="I15716" s="691">
        <v>56.9</v>
      </c>
      <c r="J15716" s="691">
        <v>56.6</v>
      </c>
      <c r="K15716" s="691">
        <v>56.4</v>
      </c>
    </row>
    <row r="15717" spans="1:11">
      <c r="A15717" s="688" t="s">
        <v>4</v>
      </c>
      <c r="B15717" s="689">
        <v>55.3</v>
      </c>
      <c r="C15717" s="689">
        <v>55.1</v>
      </c>
      <c r="D15717" s="689">
        <v>55.4</v>
      </c>
      <c r="E15717" s="689">
        <v>55.5</v>
      </c>
      <c r="F15717" s="689">
        <v>55.8</v>
      </c>
      <c r="G15717" s="689">
        <v>55.8</v>
      </c>
      <c r="H15717" s="689">
        <v>56.2</v>
      </c>
      <c r="I15717" s="689">
        <v>56.1</v>
      </c>
      <c r="J15717" s="689">
        <v>54.8</v>
      </c>
      <c r="K15717" s="689">
        <v>55.8</v>
      </c>
    </row>
    <row r="15718" spans="1:11">
      <c r="A15718" s="688" t="s">
        <v>8</v>
      </c>
      <c r="B15718" s="691">
        <v>56.6</v>
      </c>
      <c r="C15718" s="691">
        <v>56.7</v>
      </c>
      <c r="D15718" s="691">
        <v>56.7</v>
      </c>
      <c r="E15718" s="691">
        <v>56.9</v>
      </c>
      <c r="F15718" s="691">
        <v>57.3</v>
      </c>
      <c r="G15718" s="691">
        <v>57.3</v>
      </c>
      <c r="H15718" s="691">
        <v>57.7</v>
      </c>
      <c r="I15718" s="691">
        <v>57.5</v>
      </c>
      <c r="J15718" s="691">
        <v>57.4</v>
      </c>
      <c r="K15718" s="691">
        <v>57.4</v>
      </c>
    </row>
    <row r="15719" spans="1:11">
      <c r="A15719" s="688" t="s">
        <v>7</v>
      </c>
      <c r="B15719" s="689">
        <v>57.5</v>
      </c>
      <c r="C15719" s="689">
        <v>57.3</v>
      </c>
      <c r="D15719" s="689">
        <v>57.1</v>
      </c>
      <c r="E15719" s="689">
        <v>57.3</v>
      </c>
      <c r="F15719" s="689">
        <v>57.3</v>
      </c>
      <c r="G15719" s="689">
        <v>57.7</v>
      </c>
      <c r="H15719" s="689">
        <v>57.6</v>
      </c>
      <c r="I15719" s="689">
        <v>57.2</v>
      </c>
      <c r="J15719" s="689">
        <v>56.4</v>
      </c>
      <c r="K15719" s="689">
        <v>56.9</v>
      </c>
    </row>
    <row r="15720" spans="1:11">
      <c r="A15720" s="688" t="s">
        <v>27</v>
      </c>
      <c r="B15720" s="691">
        <v>59.5</v>
      </c>
      <c r="C15720" s="691">
        <v>59.1</v>
      </c>
      <c r="D15720" s="691">
        <v>58.8</v>
      </c>
      <c r="E15720" s="691">
        <v>59.2</v>
      </c>
      <c r="F15720" s="691">
        <v>59.1</v>
      </c>
      <c r="G15720" s="691">
        <v>59.2</v>
      </c>
      <c r="H15720" s="691">
        <v>59.6</v>
      </c>
      <c r="I15720" s="691">
        <v>58.4</v>
      </c>
      <c r="J15720" s="691">
        <v>59.2</v>
      </c>
      <c r="K15720" s="691">
        <v>59.1</v>
      </c>
    </row>
    <row r="15721" spans="1:11">
      <c r="A15721" s="688" t="s">
        <v>6</v>
      </c>
      <c r="B15721" s="689">
        <v>59.2</v>
      </c>
      <c r="C15721" s="689">
        <v>58.9</v>
      </c>
      <c r="D15721" s="689">
        <v>58.7</v>
      </c>
      <c r="E15721" s="689">
        <v>58.9</v>
      </c>
      <c r="F15721" s="689">
        <v>58.9</v>
      </c>
      <c r="G15721" s="693">
        <v>59</v>
      </c>
      <c r="H15721" s="689">
        <v>59.1</v>
      </c>
      <c r="I15721" s="689">
        <v>58.6</v>
      </c>
      <c r="J15721" s="689">
        <v>58.8</v>
      </c>
      <c r="K15721" s="689">
        <v>58.7</v>
      </c>
    </row>
    <row r="15722" spans="1:11">
      <c r="A15722" s="688" t="s">
        <v>4058</v>
      </c>
      <c r="B15722" s="692" t="s">
        <v>4060</v>
      </c>
      <c r="C15722" s="692" t="s">
        <v>4060</v>
      </c>
      <c r="D15722" s="692" t="s">
        <v>4060</v>
      </c>
      <c r="E15722" s="692" t="s">
        <v>4060</v>
      </c>
      <c r="F15722" s="692" t="s">
        <v>4060</v>
      </c>
      <c r="G15722" s="692" t="s">
        <v>4060</v>
      </c>
      <c r="H15722" s="692" t="s">
        <v>4060</v>
      </c>
      <c r="I15722" s="692" t="s">
        <v>4060</v>
      </c>
      <c r="J15722" s="692" t="s">
        <v>4060</v>
      </c>
      <c r="K15722" s="692" t="s">
        <v>4060</v>
      </c>
    </row>
    <row r="15723" spans="1:11">
      <c r="A15723" s="688" t="s">
        <v>11</v>
      </c>
      <c r="B15723" s="689">
        <v>54.5</v>
      </c>
      <c r="C15723" s="689">
        <v>54.4</v>
      </c>
      <c r="D15723" s="693">
        <v>54</v>
      </c>
      <c r="E15723" s="689">
        <v>54.7</v>
      </c>
      <c r="F15723" s="689">
        <v>54.3</v>
      </c>
      <c r="G15723" s="689">
        <v>54.7</v>
      </c>
      <c r="H15723" s="689">
        <v>54.9</v>
      </c>
      <c r="I15723" s="689">
        <v>54.2</v>
      </c>
      <c r="J15723" s="689">
        <v>53.3</v>
      </c>
      <c r="K15723" s="689">
        <v>54.3</v>
      </c>
    </row>
    <row r="15724" spans="1:11">
      <c r="A15724" s="688" t="s">
        <v>10</v>
      </c>
      <c r="B15724" s="691">
        <v>58.7</v>
      </c>
      <c r="C15724" s="691">
        <v>58.5</v>
      </c>
      <c r="D15724" s="615">
        <v>58</v>
      </c>
      <c r="E15724" s="691">
        <v>58.6</v>
      </c>
      <c r="F15724" s="691">
        <v>58.3</v>
      </c>
      <c r="G15724" s="691">
        <v>58.7</v>
      </c>
      <c r="H15724" s="691">
        <v>58.8</v>
      </c>
      <c r="I15724" s="691">
        <v>57.9</v>
      </c>
      <c r="J15724" s="691">
        <v>58.2</v>
      </c>
      <c r="K15724" s="691">
        <v>58.2</v>
      </c>
    </row>
    <row r="15725" spans="1:11">
      <c r="A15725" s="688" t="s">
        <v>30</v>
      </c>
      <c r="B15725" s="689">
        <v>58.2</v>
      </c>
      <c r="C15725" s="689">
        <v>57.5</v>
      </c>
      <c r="D15725" s="689">
        <v>57.2</v>
      </c>
      <c r="E15725" s="689">
        <v>58.2</v>
      </c>
      <c r="F15725" s="689">
        <v>57.8</v>
      </c>
      <c r="G15725" s="689">
        <v>58.2</v>
      </c>
      <c r="H15725" s="693">
        <v>58</v>
      </c>
      <c r="I15725" s="689">
        <v>57.9</v>
      </c>
      <c r="J15725" s="689">
        <v>57.2</v>
      </c>
      <c r="K15725" s="689">
        <v>57.5</v>
      </c>
    </row>
    <row r="15726" spans="1:11">
      <c r="A15726" s="688" t="s">
        <v>12</v>
      </c>
      <c r="B15726" s="691">
        <v>52.6</v>
      </c>
      <c r="C15726" s="615">
        <v>53</v>
      </c>
      <c r="D15726" s="615">
        <v>53</v>
      </c>
      <c r="E15726" s="691">
        <v>53.2</v>
      </c>
      <c r="F15726" s="691">
        <v>53.3</v>
      </c>
      <c r="G15726" s="691">
        <v>53.2</v>
      </c>
      <c r="H15726" s="691">
        <v>53.7</v>
      </c>
      <c r="I15726" s="691">
        <v>53.5</v>
      </c>
      <c r="J15726" s="691">
        <v>51.5</v>
      </c>
      <c r="K15726" s="615">
        <v>53</v>
      </c>
    </row>
    <row r="15727" spans="1:11">
      <c r="A15727" s="688" t="s">
        <v>14</v>
      </c>
      <c r="B15727" s="689">
        <v>53.3</v>
      </c>
      <c r="C15727" s="689">
        <v>53.5</v>
      </c>
      <c r="D15727" s="689">
        <v>53.3</v>
      </c>
      <c r="E15727" s="689">
        <v>53.6</v>
      </c>
      <c r="F15727" s="689">
        <v>53.8</v>
      </c>
      <c r="G15727" s="689">
        <v>54.1</v>
      </c>
      <c r="H15727" s="689">
        <v>54.5</v>
      </c>
      <c r="I15727" s="689">
        <v>53.5</v>
      </c>
      <c r="J15727" s="689">
        <v>52.4</v>
      </c>
      <c r="K15727" s="689">
        <v>53.6</v>
      </c>
    </row>
    <row r="15728" spans="1:11">
      <c r="A15728" s="688" t="s">
        <v>15</v>
      </c>
      <c r="B15728" s="691">
        <v>57.4</v>
      </c>
      <c r="C15728" s="615">
        <v>58</v>
      </c>
      <c r="D15728" s="691">
        <v>57.4</v>
      </c>
      <c r="E15728" s="691">
        <v>58.2</v>
      </c>
      <c r="F15728" s="691">
        <v>57.4</v>
      </c>
      <c r="G15728" s="691">
        <v>57.8</v>
      </c>
      <c r="H15728" s="691">
        <v>58.2</v>
      </c>
      <c r="I15728" s="615">
        <v>58</v>
      </c>
      <c r="J15728" s="691">
        <v>58.2</v>
      </c>
      <c r="K15728" s="691">
        <v>58.4</v>
      </c>
    </row>
    <row r="15729" spans="1:11">
      <c r="A15729" s="688" t="s">
        <v>29</v>
      </c>
      <c r="B15729" s="689">
        <v>52.8</v>
      </c>
      <c r="C15729" s="689">
        <v>52.7</v>
      </c>
      <c r="D15729" s="689">
        <v>52.4</v>
      </c>
      <c r="E15729" s="693">
        <v>53</v>
      </c>
      <c r="F15729" s="689">
        <v>52.6</v>
      </c>
      <c r="G15729" s="689">
        <v>52.9</v>
      </c>
      <c r="H15729" s="693">
        <v>53</v>
      </c>
      <c r="I15729" s="689">
        <v>52.3</v>
      </c>
      <c r="J15729" s="689">
        <v>51.1</v>
      </c>
      <c r="K15729" s="689">
        <v>52.7</v>
      </c>
    </row>
    <row r="15730" spans="1:11">
      <c r="A15730" s="688" t="s">
        <v>16</v>
      </c>
      <c r="B15730" s="691">
        <v>57.8</v>
      </c>
      <c r="C15730" s="691">
        <v>57.5</v>
      </c>
      <c r="D15730" s="691">
        <v>57.5</v>
      </c>
      <c r="E15730" s="691">
        <v>57.6</v>
      </c>
      <c r="F15730" s="691">
        <v>57.7</v>
      </c>
      <c r="G15730" s="691">
        <v>57.6</v>
      </c>
      <c r="H15730" s="615">
        <v>58</v>
      </c>
      <c r="I15730" s="691">
        <v>57.7</v>
      </c>
      <c r="J15730" s="691">
        <v>57.3</v>
      </c>
      <c r="K15730" s="691">
        <v>57.7</v>
      </c>
    </row>
    <row r="15731" spans="1:11">
      <c r="A15731" s="688" t="s">
        <v>17</v>
      </c>
      <c r="B15731" s="689">
        <v>56.7</v>
      </c>
      <c r="C15731" s="689">
        <v>56.8</v>
      </c>
      <c r="D15731" s="689">
        <v>56.6</v>
      </c>
      <c r="E15731" s="689">
        <v>56.6</v>
      </c>
      <c r="F15731" s="689">
        <v>56.8</v>
      </c>
      <c r="G15731" s="689">
        <v>56.8</v>
      </c>
      <c r="H15731" s="689">
        <v>57.1</v>
      </c>
      <c r="I15731" s="689">
        <v>56.6</v>
      </c>
      <c r="J15731" s="689">
        <v>56.5</v>
      </c>
      <c r="K15731" s="689">
        <v>56.6</v>
      </c>
    </row>
    <row r="15732" spans="1:11">
      <c r="A15732" s="688" t="s">
        <v>19</v>
      </c>
      <c r="B15732" s="691">
        <v>57.3</v>
      </c>
      <c r="C15732" s="691">
        <v>57.2</v>
      </c>
      <c r="D15732" s="691">
        <v>57.1</v>
      </c>
      <c r="E15732" s="691">
        <v>57.5</v>
      </c>
      <c r="F15732" s="691">
        <v>57.4</v>
      </c>
      <c r="G15732" s="691">
        <v>57.4</v>
      </c>
      <c r="H15732" s="691">
        <v>57.7</v>
      </c>
      <c r="I15732" s="691">
        <v>57.2</v>
      </c>
      <c r="J15732" s="691">
        <v>57.2</v>
      </c>
      <c r="K15732" s="691">
        <v>57.3</v>
      </c>
    </row>
    <row r="15733" spans="1:11">
      <c r="A15733" s="688" t="s">
        <v>20</v>
      </c>
      <c r="B15733" s="689">
        <v>54.8</v>
      </c>
      <c r="C15733" s="693">
        <v>55</v>
      </c>
      <c r="D15733" s="689">
        <v>54.9</v>
      </c>
      <c r="E15733" s="689">
        <v>55.3</v>
      </c>
      <c r="F15733" s="689">
        <v>55.1</v>
      </c>
      <c r="G15733" s="693">
        <v>55</v>
      </c>
      <c r="H15733" s="689">
        <v>55.3</v>
      </c>
      <c r="I15733" s="689">
        <v>54.1</v>
      </c>
      <c r="J15733" s="689">
        <v>53.1</v>
      </c>
      <c r="K15733" s="689">
        <v>54.6</v>
      </c>
    </row>
    <row r="15734" spans="1:11">
      <c r="A15734" s="688" t="s">
        <v>21</v>
      </c>
      <c r="B15734" s="691">
        <v>57.5</v>
      </c>
      <c r="C15734" s="691">
        <v>57.8</v>
      </c>
      <c r="D15734" s="691">
        <v>57.7</v>
      </c>
      <c r="E15734" s="691">
        <v>57.8</v>
      </c>
      <c r="F15734" s="615">
        <v>58</v>
      </c>
      <c r="G15734" s="615">
        <v>58</v>
      </c>
      <c r="H15734" s="691">
        <v>58.2</v>
      </c>
      <c r="I15734" s="691">
        <v>57.7</v>
      </c>
      <c r="J15734" s="691">
        <v>57.7</v>
      </c>
      <c r="K15734" s="691">
        <v>57.9</v>
      </c>
    </row>
    <row r="15735" spans="1:11">
      <c r="A15735" s="688" t="s">
        <v>22</v>
      </c>
      <c r="B15735" s="689">
        <v>52.8</v>
      </c>
      <c r="C15735" s="689">
        <v>52.6</v>
      </c>
      <c r="D15735" s="689">
        <v>52.5</v>
      </c>
      <c r="E15735" s="689">
        <v>52.8</v>
      </c>
      <c r="F15735" s="689">
        <v>52.8</v>
      </c>
      <c r="G15735" s="689">
        <v>52.9</v>
      </c>
      <c r="H15735" s="689">
        <v>53.2</v>
      </c>
      <c r="I15735" s="693">
        <v>52</v>
      </c>
      <c r="J15735" s="689">
        <v>50.4</v>
      </c>
      <c r="K15735" s="689">
        <v>52.9</v>
      </c>
    </row>
    <row r="15736" spans="1:11">
      <c r="A15736" s="688" t="s">
        <v>26</v>
      </c>
      <c r="B15736" s="691">
        <v>57.1</v>
      </c>
      <c r="C15736" s="691">
        <v>57.1</v>
      </c>
      <c r="D15736" s="691">
        <v>56.9</v>
      </c>
      <c r="E15736" s="691">
        <v>57.3</v>
      </c>
      <c r="F15736" s="691">
        <v>57.1</v>
      </c>
      <c r="G15736" s="691">
        <v>57.3</v>
      </c>
      <c r="H15736" s="691">
        <v>57.6</v>
      </c>
      <c r="I15736" s="691">
        <v>56.7</v>
      </c>
      <c r="J15736" s="615">
        <v>57</v>
      </c>
      <c r="K15736" s="691">
        <v>57.3</v>
      </c>
    </row>
    <row r="15737" spans="1:11">
      <c r="A15737" s="688" t="s">
        <v>25</v>
      </c>
      <c r="B15737" s="689">
        <v>53.9</v>
      </c>
      <c r="C15737" s="689">
        <v>54.2</v>
      </c>
      <c r="D15737" s="689">
        <v>53.9</v>
      </c>
      <c r="E15737" s="689">
        <v>54.3</v>
      </c>
      <c r="F15737" s="689">
        <v>54.2</v>
      </c>
      <c r="G15737" s="689">
        <v>54.4</v>
      </c>
      <c r="H15737" s="689">
        <v>54.8</v>
      </c>
      <c r="I15737" s="689">
        <v>54.1</v>
      </c>
      <c r="J15737" s="689">
        <v>51.9</v>
      </c>
      <c r="K15737" s="689">
        <v>54.1</v>
      </c>
    </row>
    <row r="15738" spans="1:11">
      <c r="A15738" s="688" t="s">
        <v>5</v>
      </c>
      <c r="B15738" s="691">
        <v>57.5</v>
      </c>
      <c r="C15738" s="691">
        <v>57.3</v>
      </c>
      <c r="D15738" s="691">
        <v>57.5</v>
      </c>
      <c r="E15738" s="691">
        <v>57.6</v>
      </c>
      <c r="F15738" s="691">
        <v>57.7</v>
      </c>
      <c r="G15738" s="691">
        <v>57.8</v>
      </c>
      <c r="H15738" s="615">
        <v>58</v>
      </c>
      <c r="I15738" s="615">
        <v>58</v>
      </c>
      <c r="J15738" s="691">
        <v>57.9</v>
      </c>
      <c r="K15738" s="691">
        <v>57.2</v>
      </c>
    </row>
    <row r="15739" spans="1:11">
      <c r="A15739" s="688" t="s">
        <v>23</v>
      </c>
      <c r="B15739" s="689">
        <v>57.2</v>
      </c>
      <c r="C15739" s="689">
        <v>57.5</v>
      </c>
      <c r="D15739" s="689">
        <v>57.5</v>
      </c>
      <c r="E15739" s="689">
        <v>57.5</v>
      </c>
      <c r="F15739" s="689">
        <v>57.5</v>
      </c>
      <c r="G15739" s="689">
        <v>57.7</v>
      </c>
      <c r="H15739" s="689">
        <v>58.2</v>
      </c>
      <c r="I15739" s="689">
        <v>57.7</v>
      </c>
      <c r="J15739" s="689">
        <v>58.2</v>
      </c>
      <c r="K15739" s="689">
        <v>58.1</v>
      </c>
    </row>
    <row r="15740" spans="1:11">
      <c r="A15740" s="688" t="s">
        <v>4067</v>
      </c>
      <c r="B15740" s="691">
        <v>56.8</v>
      </c>
      <c r="C15740" s="691">
        <v>57.2</v>
      </c>
      <c r="D15740" s="691">
        <v>56.8</v>
      </c>
      <c r="E15740" s="691">
        <v>57.2</v>
      </c>
      <c r="F15740" s="691">
        <v>57.1</v>
      </c>
      <c r="G15740" s="691">
        <v>57.2</v>
      </c>
      <c r="H15740" s="692" t="s">
        <v>4060</v>
      </c>
      <c r="I15740" s="692" t="s">
        <v>4060</v>
      </c>
      <c r="J15740" s="692" t="s">
        <v>4060</v>
      </c>
      <c r="K15740" s="692" t="s">
        <v>4060</v>
      </c>
    </row>
    <row r="15741" spans="1:11">
      <c r="A15741" s="688" t="s">
        <v>4066</v>
      </c>
      <c r="B15741" s="689">
        <v>56.9</v>
      </c>
      <c r="C15741" s="689">
        <v>57.2</v>
      </c>
      <c r="D15741" s="689">
        <v>56.8</v>
      </c>
      <c r="E15741" s="689">
        <v>57.2</v>
      </c>
      <c r="F15741" s="689">
        <v>57.1</v>
      </c>
      <c r="G15741" s="689">
        <v>57.2</v>
      </c>
      <c r="H15741" s="690" t="s">
        <v>4060</v>
      </c>
      <c r="I15741" s="690" t="s">
        <v>4060</v>
      </c>
      <c r="J15741" s="690" t="s">
        <v>4060</v>
      </c>
      <c r="K15741" s="690" t="s">
        <v>4060</v>
      </c>
    </row>
    <row r="15742" spans="1:11">
      <c r="A15742" s="688" t="s">
        <v>4062</v>
      </c>
      <c r="B15742" s="615">
        <v>58</v>
      </c>
      <c r="C15742" s="691">
        <v>58.2</v>
      </c>
      <c r="D15742" s="691">
        <v>58.1</v>
      </c>
      <c r="E15742" s="691">
        <v>58.3</v>
      </c>
      <c r="F15742" s="691">
        <v>58.4</v>
      </c>
      <c r="G15742" s="691">
        <v>58.5</v>
      </c>
      <c r="H15742" s="691">
        <v>58.7</v>
      </c>
      <c r="I15742" s="691">
        <v>58.4</v>
      </c>
      <c r="J15742" s="691">
        <v>58.7</v>
      </c>
      <c r="K15742" s="691">
        <v>58.4</v>
      </c>
    </row>
    <row r="15743" spans="1:11">
      <c r="A15743" s="688" t="s">
        <v>9</v>
      </c>
      <c r="B15743" s="689">
        <v>57.2</v>
      </c>
      <c r="C15743" s="689">
        <v>57.7</v>
      </c>
      <c r="D15743" s="693">
        <v>57</v>
      </c>
      <c r="E15743" s="689">
        <v>57.2</v>
      </c>
      <c r="F15743" s="689">
        <v>57.6</v>
      </c>
      <c r="G15743" s="689">
        <v>57.5</v>
      </c>
      <c r="H15743" s="689">
        <v>57.8</v>
      </c>
      <c r="I15743" s="689">
        <v>57.8</v>
      </c>
      <c r="J15743" s="689">
        <v>57.9</v>
      </c>
      <c r="K15743" s="693">
        <v>57</v>
      </c>
    </row>
    <row r="15744" spans="1:11">
      <c r="A15744" s="688" t="s">
        <v>13</v>
      </c>
      <c r="B15744" s="691">
        <v>57.9</v>
      </c>
      <c r="C15744" s="691">
        <v>56.9</v>
      </c>
      <c r="D15744" s="691">
        <v>57.9</v>
      </c>
      <c r="E15744" s="691">
        <v>57.6</v>
      </c>
      <c r="F15744" s="691">
        <v>58.8</v>
      </c>
      <c r="G15744" s="691">
        <v>58.9</v>
      </c>
      <c r="H15744" s="691">
        <v>58.8</v>
      </c>
      <c r="I15744" s="691">
        <v>58.1</v>
      </c>
      <c r="J15744" s="691">
        <v>59.1</v>
      </c>
      <c r="K15744" s="691">
        <v>58.8</v>
      </c>
    </row>
    <row r="15745" spans="1:11">
      <c r="A15745" s="688" t="s">
        <v>18</v>
      </c>
      <c r="B15745" s="689">
        <v>57.2</v>
      </c>
      <c r="C15745" s="689">
        <v>57.5</v>
      </c>
      <c r="D15745" s="689">
        <v>57.5</v>
      </c>
      <c r="E15745" s="689">
        <v>57.6</v>
      </c>
      <c r="F15745" s="689">
        <v>57.7</v>
      </c>
      <c r="G15745" s="689">
        <v>57.9</v>
      </c>
      <c r="H15745" s="689">
        <v>58.1</v>
      </c>
      <c r="I15745" s="689">
        <v>58.2</v>
      </c>
      <c r="J15745" s="689">
        <v>58.1</v>
      </c>
      <c r="K15745" s="689">
        <v>57.7</v>
      </c>
    </row>
    <row r="15746" spans="1:11">
      <c r="A15746" s="688" t="s">
        <v>24</v>
      </c>
      <c r="B15746" s="691">
        <v>58.5</v>
      </c>
      <c r="C15746" s="691">
        <v>58.6</v>
      </c>
      <c r="D15746" s="691">
        <v>58.4</v>
      </c>
      <c r="E15746" s="691">
        <v>58.8</v>
      </c>
      <c r="F15746" s="691">
        <v>58.8</v>
      </c>
      <c r="G15746" s="691">
        <v>58.9</v>
      </c>
      <c r="H15746" s="691">
        <v>59.1</v>
      </c>
      <c r="I15746" s="691">
        <v>58.6</v>
      </c>
      <c r="J15746" s="691">
        <v>59.1</v>
      </c>
      <c r="K15746" s="691">
        <v>58.9</v>
      </c>
    </row>
    <row r="15747" spans="1:11">
      <c r="A15747" s="688" t="s">
        <v>4059</v>
      </c>
      <c r="B15747" s="689">
        <v>56.5</v>
      </c>
      <c r="C15747" s="689">
        <v>56.7</v>
      </c>
      <c r="D15747" s="689">
        <v>56.3</v>
      </c>
      <c r="E15747" s="689">
        <v>56.6</v>
      </c>
      <c r="F15747" s="689">
        <v>56.6</v>
      </c>
      <c r="G15747" s="689">
        <v>56.6</v>
      </c>
      <c r="H15747" s="690" t="s">
        <v>4060</v>
      </c>
      <c r="I15747" s="690" t="s">
        <v>4060</v>
      </c>
      <c r="J15747" s="690" t="s">
        <v>4060</v>
      </c>
      <c r="K15747" s="690" t="s">
        <v>4060</v>
      </c>
    </row>
    <row r="15748" spans="1:11">
      <c r="A15748" s="688" t="s">
        <v>2324</v>
      </c>
      <c r="B15748" s="691">
        <v>52.6</v>
      </c>
      <c r="C15748" s="691">
        <v>52.6</v>
      </c>
      <c r="D15748" s="691">
        <v>52.1</v>
      </c>
      <c r="E15748" s="691">
        <v>52.5</v>
      </c>
      <c r="F15748" s="691">
        <v>52.7</v>
      </c>
      <c r="G15748" s="691">
        <v>52.7</v>
      </c>
      <c r="H15748" s="615">
        <v>53</v>
      </c>
      <c r="I15748" s="691">
        <v>52.3</v>
      </c>
      <c r="J15748" s="691">
        <v>50.4</v>
      </c>
      <c r="K15748" s="692" t="s">
        <v>4060</v>
      </c>
    </row>
    <row r="15749" spans="1:11">
      <c r="A15749" s="688" t="s">
        <v>2322</v>
      </c>
      <c r="B15749" s="690" t="s">
        <v>4060</v>
      </c>
      <c r="C15749" s="690" t="s">
        <v>4060</v>
      </c>
      <c r="D15749" s="690" t="s">
        <v>4060</v>
      </c>
      <c r="E15749" s="690" t="s">
        <v>4060</v>
      </c>
      <c r="F15749" s="690" t="s">
        <v>4060</v>
      </c>
      <c r="G15749" s="690" t="s">
        <v>4060</v>
      </c>
      <c r="H15749" s="690" t="s">
        <v>4060</v>
      </c>
      <c r="I15749" s="690" t="s">
        <v>4060</v>
      </c>
      <c r="J15749" s="690" t="s">
        <v>4060</v>
      </c>
      <c r="K15749" s="690" t="s">
        <v>4060</v>
      </c>
    </row>
    <row r="15750" spans="1:11">
      <c r="A15750" s="688" t="s">
        <v>2328</v>
      </c>
      <c r="B15750" s="691">
        <v>51.7</v>
      </c>
      <c r="C15750" s="691">
        <v>51.5</v>
      </c>
      <c r="D15750" s="691">
        <v>51.4</v>
      </c>
      <c r="E15750" s="691">
        <v>51.8</v>
      </c>
      <c r="F15750" s="691">
        <v>51.9</v>
      </c>
      <c r="G15750" s="691">
        <v>52.4</v>
      </c>
      <c r="H15750" s="691">
        <v>52.3</v>
      </c>
      <c r="I15750" s="691">
        <v>50.5</v>
      </c>
      <c r="J15750" s="691">
        <v>49.1</v>
      </c>
      <c r="K15750" s="692" t="s">
        <v>4060</v>
      </c>
    </row>
    <row r="15751" spans="1:11">
      <c r="A15751" s="688" t="s">
        <v>2496</v>
      </c>
      <c r="B15751" s="690" t="s">
        <v>4060</v>
      </c>
      <c r="C15751" s="689">
        <v>52.5</v>
      </c>
      <c r="D15751" s="689">
        <v>51.5</v>
      </c>
      <c r="E15751" s="689">
        <v>51.3</v>
      </c>
      <c r="F15751" s="689">
        <v>51.9</v>
      </c>
      <c r="G15751" s="689">
        <v>52.3</v>
      </c>
      <c r="H15751" s="689">
        <v>52.3</v>
      </c>
      <c r="I15751" s="690" t="s">
        <v>4060</v>
      </c>
      <c r="J15751" s="690" t="s">
        <v>4060</v>
      </c>
      <c r="K15751" s="689">
        <v>52.1</v>
      </c>
    </row>
    <row r="15752" spans="1:11">
      <c r="A15752" s="688" t="s">
        <v>2269</v>
      </c>
      <c r="B15752" s="691">
        <v>54.2</v>
      </c>
      <c r="C15752" s="691">
        <v>54.3</v>
      </c>
      <c r="D15752" s="691">
        <v>53.7</v>
      </c>
      <c r="E15752" s="691">
        <v>54.2</v>
      </c>
      <c r="F15752" s="691">
        <v>54.1</v>
      </c>
      <c r="G15752" s="691">
        <v>54.6</v>
      </c>
      <c r="H15752" s="691">
        <v>54.8</v>
      </c>
      <c r="I15752" s="691">
        <v>53.6</v>
      </c>
      <c r="J15752" s="691">
        <v>51.6</v>
      </c>
      <c r="K15752" s="691">
        <v>54.6</v>
      </c>
    </row>
    <row r="15753" spans="1:11">
      <c r="A15753" s="688" t="s">
        <v>2349</v>
      </c>
      <c r="B15753" s="689">
        <v>51.6</v>
      </c>
      <c r="C15753" s="689">
        <v>51.7</v>
      </c>
      <c r="D15753" s="689">
        <v>51.6</v>
      </c>
      <c r="E15753" s="689">
        <v>51.9</v>
      </c>
      <c r="F15753" s="689">
        <v>51.7</v>
      </c>
      <c r="G15753" s="689">
        <v>52.1</v>
      </c>
      <c r="H15753" s="689">
        <v>52.3</v>
      </c>
      <c r="I15753" s="689">
        <v>51.1</v>
      </c>
      <c r="J15753" s="689">
        <v>49.3</v>
      </c>
      <c r="K15753" s="689">
        <v>51.4</v>
      </c>
    </row>
    <row r="15754" spans="1:11">
      <c r="A15754" s="688" t="s">
        <v>2355</v>
      </c>
      <c r="B15754" s="691">
        <v>55.5</v>
      </c>
      <c r="C15754" s="691">
        <v>55.3</v>
      </c>
      <c r="D15754" s="691">
        <v>55.3</v>
      </c>
      <c r="E15754" s="691">
        <v>55.2</v>
      </c>
      <c r="F15754" s="691">
        <v>55.5</v>
      </c>
      <c r="G15754" s="691">
        <v>55.8</v>
      </c>
      <c r="H15754" s="691">
        <v>55.9</v>
      </c>
      <c r="I15754" s="692" t="s">
        <v>4060</v>
      </c>
      <c r="J15754" s="692" t="s">
        <v>4060</v>
      </c>
      <c r="K15754" s="692" t="s">
        <v>4060</v>
      </c>
    </row>
    <row r="15755" spans="1:11">
      <c r="A15755" s="688" t="s">
        <v>2357</v>
      </c>
      <c r="B15755" s="690" t="s">
        <v>4060</v>
      </c>
      <c r="C15755" s="689">
        <v>50.8</v>
      </c>
      <c r="D15755" s="689">
        <v>51.3</v>
      </c>
      <c r="E15755" s="689">
        <v>51.6</v>
      </c>
      <c r="F15755" s="689">
        <v>51.9</v>
      </c>
      <c r="G15755" s="689">
        <v>51.9</v>
      </c>
      <c r="H15755" s="689">
        <v>52.1</v>
      </c>
      <c r="I15755" s="690" t="s">
        <v>4060</v>
      </c>
      <c r="J15755" s="690" t="s">
        <v>4060</v>
      </c>
      <c r="K15755" s="690" t="s">
        <v>4060</v>
      </c>
    </row>
    <row r="15756" spans="1:11">
      <c r="A15756" s="688" t="s">
        <v>4070</v>
      </c>
      <c r="B15756" s="692" t="s">
        <v>4060</v>
      </c>
      <c r="C15756" s="692" t="s">
        <v>4060</v>
      </c>
      <c r="D15756" s="692" t="s">
        <v>4060</v>
      </c>
      <c r="E15756" s="691">
        <v>55.3</v>
      </c>
      <c r="F15756" s="692" t="s">
        <v>4060</v>
      </c>
      <c r="G15756" s="692" t="s">
        <v>4060</v>
      </c>
      <c r="H15756" s="692" t="s">
        <v>4060</v>
      </c>
      <c r="I15756" s="692" t="s">
        <v>4060</v>
      </c>
      <c r="J15756" s="692" t="s">
        <v>4060</v>
      </c>
      <c r="K15756" s="692" t="s">
        <v>4060</v>
      </c>
    </row>
    <row r="15757" spans="1:11">
      <c r="A15757" s="688" t="s">
        <v>2491</v>
      </c>
      <c r="B15757" s="689">
        <v>51.7</v>
      </c>
      <c r="C15757" s="689">
        <v>52.2</v>
      </c>
      <c r="D15757" s="689">
        <v>52.6</v>
      </c>
      <c r="E15757" s="689">
        <v>52.7</v>
      </c>
      <c r="F15757" s="689">
        <v>52.9</v>
      </c>
      <c r="G15757" s="689">
        <v>52.9</v>
      </c>
      <c r="H15757" s="690" t="s">
        <v>4060</v>
      </c>
      <c r="I15757" s="690" t="s">
        <v>4060</v>
      </c>
      <c r="J15757" s="690" t="s">
        <v>4060</v>
      </c>
      <c r="K15757" s="690" t="s">
        <v>4060</v>
      </c>
    </row>
    <row r="15758" spans="1:11">
      <c r="A15758" s="688" t="s">
        <v>2343</v>
      </c>
      <c r="B15758" s="692" t="s">
        <v>4060</v>
      </c>
      <c r="C15758" s="692" t="s">
        <v>4060</v>
      </c>
      <c r="D15758" s="692" t="s">
        <v>4060</v>
      </c>
      <c r="E15758" s="692" t="s">
        <v>4060</v>
      </c>
      <c r="F15758" s="692" t="s">
        <v>4060</v>
      </c>
      <c r="G15758" s="692" t="s">
        <v>4060</v>
      </c>
      <c r="H15758" s="692" t="s">
        <v>4060</v>
      </c>
      <c r="I15758" s="692" t="s">
        <v>4060</v>
      </c>
      <c r="J15758" s="692" t="s">
        <v>4060</v>
      </c>
      <c r="K15758" s="692" t="s">
        <v>4060</v>
      </c>
    </row>
    <row r="15759" spans="1:11">
      <c r="A15759" s="688" t="s">
        <v>4071</v>
      </c>
      <c r="B15759" s="690" t="s">
        <v>4060</v>
      </c>
      <c r="C15759" s="690" t="s">
        <v>4060</v>
      </c>
      <c r="D15759" s="690" t="s">
        <v>4060</v>
      </c>
      <c r="E15759" s="690" t="s">
        <v>4060</v>
      </c>
      <c r="F15759" s="690" t="s">
        <v>4060</v>
      </c>
      <c r="G15759" s="690" t="s">
        <v>4060</v>
      </c>
      <c r="H15759" s="690" t="s">
        <v>4060</v>
      </c>
      <c r="I15759" s="690" t="s">
        <v>4060</v>
      </c>
      <c r="J15759" s="690" t="s">
        <v>4060</v>
      </c>
      <c r="K15759" s="690" t="s">
        <v>4060</v>
      </c>
    </row>
    <row r="15760" spans="1:11">
      <c r="A15760" s="688" t="s">
        <v>2489</v>
      </c>
      <c r="B15760" s="692" t="s">
        <v>4060</v>
      </c>
      <c r="C15760" s="692" t="s">
        <v>4060</v>
      </c>
      <c r="D15760" s="691">
        <v>52.2</v>
      </c>
      <c r="E15760" s="691">
        <v>52.3</v>
      </c>
      <c r="F15760" s="691">
        <v>52.9</v>
      </c>
      <c r="G15760" s="691">
        <v>53.5</v>
      </c>
      <c r="H15760" s="691">
        <v>53.6</v>
      </c>
      <c r="I15760" s="692" t="s">
        <v>4060</v>
      </c>
      <c r="J15760" s="692" t="s">
        <v>4060</v>
      </c>
      <c r="K15760" s="692" t="s">
        <v>4060</v>
      </c>
    </row>
    <row r="15761" spans="1:11">
      <c r="A15761" s="688" t="s">
        <v>2490</v>
      </c>
      <c r="B15761" s="689">
        <v>51.5</v>
      </c>
      <c r="C15761" s="689">
        <v>51.6</v>
      </c>
      <c r="D15761" s="689">
        <v>52.1</v>
      </c>
      <c r="E15761" s="690" t="s">
        <v>4060</v>
      </c>
      <c r="F15761" s="689">
        <v>52.2</v>
      </c>
      <c r="G15761" s="689">
        <v>52.6</v>
      </c>
      <c r="H15761" s="689">
        <v>53.2</v>
      </c>
      <c r="I15761" s="690" t="s">
        <v>4060</v>
      </c>
      <c r="J15761" s="690" t="s">
        <v>4060</v>
      </c>
      <c r="K15761" s="690" t="s">
        <v>4060</v>
      </c>
    </row>
    <row r="15763" spans="1:11">
      <c r="A15763" s="683" t="s">
        <v>4233</v>
      </c>
    </row>
    <row r="15764" spans="1:11">
      <c r="A15764" s="683" t="s">
        <v>4060</v>
      </c>
      <c r="B15764" s="682" t="s">
        <v>4234</v>
      </c>
    </row>
    <row r="15766" spans="1:11">
      <c r="A15766" s="682" t="s">
        <v>4332</v>
      </c>
    </row>
    <row r="15767" spans="1:11">
      <c r="A15767" s="682" t="s">
        <v>4210</v>
      </c>
      <c r="B15767" s="683" t="s">
        <v>4211</v>
      </c>
    </row>
    <row r="15768" spans="1:11">
      <c r="A15768" s="682" t="s">
        <v>4212</v>
      </c>
      <c r="B15768" s="682" t="s">
        <v>4213</v>
      </c>
    </row>
    <row r="15770" spans="1:11">
      <c r="A15770" s="683" t="s">
        <v>4214</v>
      </c>
      <c r="C15770" s="682" t="s">
        <v>4215</v>
      </c>
    </row>
    <row r="15771" spans="1:11">
      <c r="A15771" s="683" t="s">
        <v>4216</v>
      </c>
      <c r="C15771" s="682" t="s">
        <v>2967</v>
      </c>
    </row>
    <row r="15772" spans="1:11">
      <c r="A15772" s="683" t="s">
        <v>3893</v>
      </c>
      <c r="C15772" s="682" t="s">
        <v>2169</v>
      </c>
    </row>
    <row r="15773" spans="1:11">
      <c r="A15773" s="683" t="s">
        <v>4218</v>
      </c>
      <c r="C15773" s="682" t="s">
        <v>4263</v>
      </c>
    </row>
    <row r="15775" spans="1:11">
      <c r="A15775" s="684" t="s">
        <v>4220</v>
      </c>
      <c r="B15775" s="685" t="s">
        <v>4221</v>
      </c>
      <c r="C15775" s="685" t="s">
        <v>4222</v>
      </c>
      <c r="D15775" s="685" t="s">
        <v>4223</v>
      </c>
      <c r="E15775" s="685" t="s">
        <v>4224</v>
      </c>
      <c r="F15775" s="685" t="s">
        <v>4225</v>
      </c>
      <c r="G15775" s="685" t="s">
        <v>4226</v>
      </c>
      <c r="H15775" s="685" t="s">
        <v>4227</v>
      </c>
      <c r="I15775" s="685" t="s">
        <v>4228</v>
      </c>
      <c r="J15775" s="685" t="s">
        <v>4229</v>
      </c>
      <c r="K15775" s="685" t="s">
        <v>4230</v>
      </c>
    </row>
    <row r="15776" spans="1:11">
      <c r="A15776" s="686" t="s">
        <v>4231</v>
      </c>
      <c r="B15776" s="687" t="s">
        <v>4232</v>
      </c>
      <c r="C15776" s="687" t="s">
        <v>4232</v>
      </c>
      <c r="D15776" s="687" t="s">
        <v>4232</v>
      </c>
      <c r="E15776" s="687" t="s">
        <v>4232</v>
      </c>
      <c r="F15776" s="687" t="s">
        <v>4232</v>
      </c>
      <c r="G15776" s="687" t="s">
        <v>4232</v>
      </c>
      <c r="H15776" s="687" t="s">
        <v>4232</v>
      </c>
      <c r="I15776" s="687" t="s">
        <v>4232</v>
      </c>
      <c r="J15776" s="687" t="s">
        <v>4232</v>
      </c>
      <c r="K15776" s="687" t="s">
        <v>4232</v>
      </c>
    </row>
    <row r="15777" spans="1:11">
      <c r="A15777" s="688" t="s">
        <v>4064</v>
      </c>
      <c r="B15777" s="689">
        <v>55.9</v>
      </c>
      <c r="C15777" s="689">
        <v>55.9</v>
      </c>
      <c r="D15777" s="689">
        <v>55.9</v>
      </c>
      <c r="E15777" s="693">
        <v>56</v>
      </c>
      <c r="F15777" s="689">
        <v>55.9</v>
      </c>
      <c r="G15777" s="693">
        <v>56</v>
      </c>
      <c r="H15777" s="689">
        <v>56.3</v>
      </c>
      <c r="I15777" s="689">
        <v>55.6</v>
      </c>
      <c r="J15777" s="689">
        <v>55.3</v>
      </c>
      <c r="K15777" s="689">
        <v>55.8</v>
      </c>
    </row>
    <row r="15778" spans="1:11">
      <c r="A15778" s="688" t="s">
        <v>4065</v>
      </c>
      <c r="B15778" s="691">
        <v>55.9</v>
      </c>
      <c r="C15778" s="691">
        <v>56.2</v>
      </c>
      <c r="D15778" s="691">
        <v>55.8</v>
      </c>
      <c r="E15778" s="691">
        <v>56.2</v>
      </c>
      <c r="F15778" s="691">
        <v>56.1</v>
      </c>
      <c r="G15778" s="691">
        <v>56.2</v>
      </c>
      <c r="H15778" s="692" t="s">
        <v>4060</v>
      </c>
      <c r="I15778" s="692" t="s">
        <v>4060</v>
      </c>
      <c r="J15778" s="692" t="s">
        <v>4060</v>
      </c>
      <c r="K15778" s="692" t="s">
        <v>4060</v>
      </c>
    </row>
    <row r="15779" spans="1:11">
      <c r="A15779" s="688" t="s">
        <v>4063</v>
      </c>
      <c r="B15779" s="689">
        <v>55.9</v>
      </c>
      <c r="C15779" s="689">
        <v>56.2</v>
      </c>
      <c r="D15779" s="689">
        <v>55.8</v>
      </c>
      <c r="E15779" s="689">
        <v>56.2</v>
      </c>
      <c r="F15779" s="689">
        <v>56.1</v>
      </c>
      <c r="G15779" s="689">
        <v>56.2</v>
      </c>
      <c r="H15779" s="690" t="s">
        <v>4060</v>
      </c>
      <c r="I15779" s="690" t="s">
        <v>4060</v>
      </c>
      <c r="J15779" s="690" t="s">
        <v>4060</v>
      </c>
      <c r="K15779" s="690" t="s">
        <v>4060</v>
      </c>
    </row>
    <row r="15780" spans="1:11">
      <c r="A15780" s="688" t="s">
        <v>4069</v>
      </c>
      <c r="B15780" s="692" t="s">
        <v>4060</v>
      </c>
      <c r="C15780" s="691">
        <v>56.7</v>
      </c>
      <c r="D15780" s="691">
        <v>56.4</v>
      </c>
      <c r="E15780" s="691">
        <v>56.8</v>
      </c>
      <c r="F15780" s="691">
        <v>56.7</v>
      </c>
      <c r="G15780" s="691">
        <v>56.8</v>
      </c>
      <c r="H15780" s="691">
        <v>57.1</v>
      </c>
      <c r="I15780" s="691">
        <v>56.5</v>
      </c>
      <c r="J15780" s="691">
        <v>56.5</v>
      </c>
      <c r="K15780" s="691">
        <v>56.5</v>
      </c>
    </row>
    <row r="15781" spans="1:11">
      <c r="A15781" s="688" t="s">
        <v>4068</v>
      </c>
      <c r="B15781" s="689">
        <v>56.8</v>
      </c>
      <c r="C15781" s="690" t="s">
        <v>4060</v>
      </c>
      <c r="D15781" s="690" t="s">
        <v>4060</v>
      </c>
      <c r="E15781" s="690" t="s">
        <v>4060</v>
      </c>
      <c r="F15781" s="690" t="s">
        <v>4060</v>
      </c>
      <c r="G15781" s="690" t="s">
        <v>4060</v>
      </c>
      <c r="H15781" s="690" t="s">
        <v>4060</v>
      </c>
      <c r="I15781" s="690" t="s">
        <v>4060</v>
      </c>
      <c r="J15781" s="690" t="s">
        <v>4060</v>
      </c>
      <c r="K15781" s="690" t="s">
        <v>4060</v>
      </c>
    </row>
    <row r="15782" spans="1:11">
      <c r="A15782" s="688" t="s">
        <v>0</v>
      </c>
      <c r="B15782" s="691">
        <v>55.8</v>
      </c>
      <c r="C15782" s="615">
        <v>56</v>
      </c>
      <c r="D15782" s="691">
        <v>55.7</v>
      </c>
      <c r="E15782" s="691">
        <v>56.2</v>
      </c>
      <c r="F15782" s="691">
        <v>56.2</v>
      </c>
      <c r="G15782" s="691">
        <v>56.2</v>
      </c>
      <c r="H15782" s="691">
        <v>56.5</v>
      </c>
      <c r="I15782" s="691">
        <v>55.6</v>
      </c>
      <c r="J15782" s="691">
        <v>56.5</v>
      </c>
      <c r="K15782" s="691">
        <v>56.3</v>
      </c>
    </row>
    <row r="15783" spans="1:11">
      <c r="A15783" s="688" t="s">
        <v>1</v>
      </c>
      <c r="B15783" s="689">
        <v>51.6</v>
      </c>
      <c r="C15783" s="689">
        <v>50.9</v>
      </c>
      <c r="D15783" s="693">
        <v>51</v>
      </c>
      <c r="E15783" s="689">
        <v>51.3</v>
      </c>
      <c r="F15783" s="689">
        <v>51.1</v>
      </c>
      <c r="G15783" s="689">
        <v>51.3</v>
      </c>
      <c r="H15783" s="689">
        <v>51.5</v>
      </c>
      <c r="I15783" s="689">
        <v>50.1</v>
      </c>
      <c r="J15783" s="689">
        <v>47.9</v>
      </c>
      <c r="K15783" s="689">
        <v>50.7</v>
      </c>
    </row>
    <row r="15784" spans="1:11">
      <c r="A15784" s="688" t="s">
        <v>2240</v>
      </c>
      <c r="B15784" s="691">
        <v>53.8</v>
      </c>
      <c r="C15784" s="691">
        <v>54.2</v>
      </c>
      <c r="D15784" s="691">
        <v>53.9</v>
      </c>
      <c r="E15784" s="691">
        <v>54.4</v>
      </c>
      <c r="F15784" s="691">
        <v>54.3</v>
      </c>
      <c r="G15784" s="691">
        <v>54.4</v>
      </c>
      <c r="H15784" s="691">
        <v>54.6</v>
      </c>
      <c r="I15784" s="691">
        <v>53.7</v>
      </c>
      <c r="J15784" s="691">
        <v>52.9</v>
      </c>
      <c r="K15784" s="691">
        <v>54.4</v>
      </c>
    </row>
    <row r="15785" spans="1:11">
      <c r="A15785" s="688" t="s">
        <v>2</v>
      </c>
      <c r="B15785" s="689">
        <v>54.9</v>
      </c>
      <c r="C15785" s="689">
        <v>55.2</v>
      </c>
      <c r="D15785" s="689">
        <v>55.2</v>
      </c>
      <c r="E15785" s="689">
        <v>55.3</v>
      </c>
      <c r="F15785" s="689">
        <v>55.6</v>
      </c>
      <c r="G15785" s="689">
        <v>55.4</v>
      </c>
      <c r="H15785" s="689">
        <v>55.8</v>
      </c>
      <c r="I15785" s="689">
        <v>55.9</v>
      </c>
      <c r="J15785" s="689">
        <v>55.8</v>
      </c>
      <c r="K15785" s="689">
        <v>55.6</v>
      </c>
    </row>
    <row r="15786" spans="1:11">
      <c r="A15786" s="688" t="s">
        <v>3</v>
      </c>
      <c r="B15786" s="691">
        <v>55.5</v>
      </c>
      <c r="C15786" s="691">
        <v>55.8</v>
      </c>
      <c r="D15786" s="691">
        <v>55.5</v>
      </c>
      <c r="E15786" s="691">
        <v>55.8</v>
      </c>
      <c r="F15786" s="691">
        <v>55.8</v>
      </c>
      <c r="G15786" s="691">
        <v>55.7</v>
      </c>
      <c r="H15786" s="615">
        <v>56</v>
      </c>
      <c r="I15786" s="691">
        <v>55.9</v>
      </c>
      <c r="J15786" s="691">
        <v>55.6</v>
      </c>
      <c r="K15786" s="691">
        <v>55.4</v>
      </c>
    </row>
    <row r="15787" spans="1:11">
      <c r="A15787" s="688" t="s">
        <v>4061</v>
      </c>
      <c r="B15787" s="689">
        <v>55.5</v>
      </c>
      <c r="C15787" s="689">
        <v>55.8</v>
      </c>
      <c r="D15787" s="689">
        <v>55.5</v>
      </c>
      <c r="E15787" s="689">
        <v>55.8</v>
      </c>
      <c r="F15787" s="689">
        <v>55.8</v>
      </c>
      <c r="G15787" s="689">
        <v>55.7</v>
      </c>
      <c r="H15787" s="693">
        <v>56</v>
      </c>
      <c r="I15787" s="689">
        <v>55.9</v>
      </c>
      <c r="J15787" s="689">
        <v>55.6</v>
      </c>
      <c r="K15787" s="689">
        <v>55.4</v>
      </c>
    </row>
    <row r="15788" spans="1:11">
      <c r="A15788" s="688" t="s">
        <v>4</v>
      </c>
      <c r="B15788" s="691">
        <v>54.3</v>
      </c>
      <c r="C15788" s="691">
        <v>54.1</v>
      </c>
      <c r="D15788" s="691">
        <v>54.4</v>
      </c>
      <c r="E15788" s="691">
        <v>54.6</v>
      </c>
      <c r="F15788" s="691">
        <v>54.8</v>
      </c>
      <c r="G15788" s="691">
        <v>54.8</v>
      </c>
      <c r="H15788" s="691">
        <v>55.2</v>
      </c>
      <c r="I15788" s="691">
        <v>55.2</v>
      </c>
      <c r="J15788" s="691">
        <v>53.8</v>
      </c>
      <c r="K15788" s="691">
        <v>54.8</v>
      </c>
    </row>
    <row r="15789" spans="1:11">
      <c r="A15789" s="688" t="s">
        <v>8</v>
      </c>
      <c r="B15789" s="689">
        <v>55.6</v>
      </c>
      <c r="C15789" s="689">
        <v>55.8</v>
      </c>
      <c r="D15789" s="689">
        <v>55.7</v>
      </c>
      <c r="E15789" s="689">
        <v>55.9</v>
      </c>
      <c r="F15789" s="689">
        <v>56.3</v>
      </c>
      <c r="G15789" s="689">
        <v>56.3</v>
      </c>
      <c r="H15789" s="689">
        <v>56.8</v>
      </c>
      <c r="I15789" s="689">
        <v>56.5</v>
      </c>
      <c r="J15789" s="689">
        <v>56.4</v>
      </c>
      <c r="K15789" s="689">
        <v>56.5</v>
      </c>
    </row>
    <row r="15790" spans="1:11">
      <c r="A15790" s="688" t="s">
        <v>7</v>
      </c>
      <c r="B15790" s="691">
        <v>56.5</v>
      </c>
      <c r="C15790" s="691">
        <v>56.3</v>
      </c>
      <c r="D15790" s="691">
        <v>56.1</v>
      </c>
      <c r="E15790" s="691">
        <v>56.3</v>
      </c>
      <c r="F15790" s="691">
        <v>56.3</v>
      </c>
      <c r="G15790" s="691">
        <v>56.7</v>
      </c>
      <c r="H15790" s="691">
        <v>56.6</v>
      </c>
      <c r="I15790" s="691">
        <v>56.2</v>
      </c>
      <c r="J15790" s="691">
        <v>55.4</v>
      </c>
      <c r="K15790" s="691">
        <v>55.9</v>
      </c>
    </row>
    <row r="15791" spans="1:11">
      <c r="A15791" s="688" t="s">
        <v>27</v>
      </c>
      <c r="B15791" s="689">
        <v>58.5</v>
      </c>
      <c r="C15791" s="689">
        <v>58.1</v>
      </c>
      <c r="D15791" s="689">
        <v>57.8</v>
      </c>
      <c r="E15791" s="689">
        <v>58.2</v>
      </c>
      <c r="F15791" s="689">
        <v>58.1</v>
      </c>
      <c r="G15791" s="689">
        <v>58.2</v>
      </c>
      <c r="H15791" s="689">
        <v>58.6</v>
      </c>
      <c r="I15791" s="689">
        <v>57.4</v>
      </c>
      <c r="J15791" s="689">
        <v>58.2</v>
      </c>
      <c r="K15791" s="689">
        <v>58.1</v>
      </c>
    </row>
    <row r="15792" spans="1:11">
      <c r="A15792" s="688" t="s">
        <v>6</v>
      </c>
      <c r="B15792" s="691">
        <v>58.2</v>
      </c>
      <c r="C15792" s="691">
        <v>57.9</v>
      </c>
      <c r="D15792" s="691">
        <v>57.7</v>
      </c>
      <c r="E15792" s="691">
        <v>57.9</v>
      </c>
      <c r="F15792" s="691">
        <v>57.9</v>
      </c>
      <c r="G15792" s="615">
        <v>58</v>
      </c>
      <c r="H15792" s="691">
        <v>58.1</v>
      </c>
      <c r="I15792" s="691">
        <v>57.7</v>
      </c>
      <c r="J15792" s="691">
        <v>57.8</v>
      </c>
      <c r="K15792" s="691">
        <v>57.7</v>
      </c>
    </row>
    <row r="15793" spans="1:11">
      <c r="A15793" s="688" t="s">
        <v>4058</v>
      </c>
      <c r="B15793" s="690" t="s">
        <v>4060</v>
      </c>
      <c r="C15793" s="690" t="s">
        <v>4060</v>
      </c>
      <c r="D15793" s="690" t="s">
        <v>4060</v>
      </c>
      <c r="E15793" s="690" t="s">
        <v>4060</v>
      </c>
      <c r="F15793" s="690" t="s">
        <v>4060</v>
      </c>
      <c r="G15793" s="690" t="s">
        <v>4060</v>
      </c>
      <c r="H15793" s="690" t="s">
        <v>4060</v>
      </c>
      <c r="I15793" s="690" t="s">
        <v>4060</v>
      </c>
      <c r="J15793" s="690" t="s">
        <v>4060</v>
      </c>
      <c r="K15793" s="690" t="s">
        <v>4060</v>
      </c>
    </row>
    <row r="15794" spans="1:11">
      <c r="A15794" s="688" t="s">
        <v>11</v>
      </c>
      <c r="B15794" s="691">
        <v>53.6</v>
      </c>
      <c r="C15794" s="691">
        <v>53.4</v>
      </c>
      <c r="D15794" s="615">
        <v>53</v>
      </c>
      <c r="E15794" s="691">
        <v>53.7</v>
      </c>
      <c r="F15794" s="691">
        <v>53.3</v>
      </c>
      <c r="G15794" s="691">
        <v>53.7</v>
      </c>
      <c r="H15794" s="691">
        <v>53.9</v>
      </c>
      <c r="I15794" s="691">
        <v>53.2</v>
      </c>
      <c r="J15794" s="691">
        <v>52.3</v>
      </c>
      <c r="K15794" s="691">
        <v>53.3</v>
      </c>
    </row>
    <row r="15795" spans="1:11">
      <c r="A15795" s="688" t="s">
        <v>10</v>
      </c>
      <c r="B15795" s="689">
        <v>57.7</v>
      </c>
      <c r="C15795" s="689">
        <v>57.5</v>
      </c>
      <c r="D15795" s="693">
        <v>57</v>
      </c>
      <c r="E15795" s="689">
        <v>57.6</v>
      </c>
      <c r="F15795" s="689">
        <v>57.4</v>
      </c>
      <c r="G15795" s="689">
        <v>57.7</v>
      </c>
      <c r="H15795" s="689">
        <v>57.8</v>
      </c>
      <c r="I15795" s="689">
        <v>56.9</v>
      </c>
      <c r="J15795" s="689">
        <v>57.2</v>
      </c>
      <c r="K15795" s="689">
        <v>57.2</v>
      </c>
    </row>
    <row r="15796" spans="1:11">
      <c r="A15796" s="688" t="s">
        <v>30</v>
      </c>
      <c r="B15796" s="691">
        <v>57.2</v>
      </c>
      <c r="C15796" s="691">
        <v>56.5</v>
      </c>
      <c r="D15796" s="691">
        <v>56.2</v>
      </c>
      <c r="E15796" s="691">
        <v>57.2</v>
      </c>
      <c r="F15796" s="691">
        <v>56.8</v>
      </c>
      <c r="G15796" s="691">
        <v>57.2</v>
      </c>
      <c r="H15796" s="615">
        <v>57</v>
      </c>
      <c r="I15796" s="691">
        <v>56.9</v>
      </c>
      <c r="J15796" s="691">
        <v>56.2</v>
      </c>
      <c r="K15796" s="691">
        <v>56.6</v>
      </c>
    </row>
    <row r="15797" spans="1:11">
      <c r="A15797" s="688" t="s">
        <v>12</v>
      </c>
      <c r="B15797" s="689">
        <v>51.7</v>
      </c>
      <c r="C15797" s="689">
        <v>52.1</v>
      </c>
      <c r="D15797" s="693">
        <v>52</v>
      </c>
      <c r="E15797" s="689">
        <v>52.2</v>
      </c>
      <c r="F15797" s="689">
        <v>52.3</v>
      </c>
      <c r="G15797" s="689">
        <v>52.3</v>
      </c>
      <c r="H15797" s="689">
        <v>52.7</v>
      </c>
      <c r="I15797" s="689">
        <v>52.5</v>
      </c>
      <c r="J15797" s="689">
        <v>50.5</v>
      </c>
      <c r="K15797" s="693">
        <v>52</v>
      </c>
    </row>
    <row r="15798" spans="1:11">
      <c r="A15798" s="688" t="s">
        <v>14</v>
      </c>
      <c r="B15798" s="691">
        <v>52.3</v>
      </c>
      <c r="C15798" s="691">
        <v>52.5</v>
      </c>
      <c r="D15798" s="691">
        <v>52.3</v>
      </c>
      <c r="E15798" s="691">
        <v>52.6</v>
      </c>
      <c r="F15798" s="691">
        <v>52.9</v>
      </c>
      <c r="G15798" s="691">
        <v>53.2</v>
      </c>
      <c r="H15798" s="691">
        <v>53.5</v>
      </c>
      <c r="I15798" s="691">
        <v>52.5</v>
      </c>
      <c r="J15798" s="691">
        <v>51.4</v>
      </c>
      <c r="K15798" s="691">
        <v>52.7</v>
      </c>
    </row>
    <row r="15799" spans="1:11">
      <c r="A15799" s="688" t="s">
        <v>15</v>
      </c>
      <c r="B15799" s="689">
        <v>56.4</v>
      </c>
      <c r="C15799" s="689">
        <v>57.1</v>
      </c>
      <c r="D15799" s="689">
        <v>56.4</v>
      </c>
      <c r="E15799" s="689">
        <v>57.2</v>
      </c>
      <c r="F15799" s="689">
        <v>56.4</v>
      </c>
      <c r="G15799" s="689">
        <v>56.8</v>
      </c>
      <c r="H15799" s="689">
        <v>57.2</v>
      </c>
      <c r="I15799" s="693">
        <v>57</v>
      </c>
      <c r="J15799" s="689">
        <v>57.2</v>
      </c>
      <c r="K15799" s="689">
        <v>57.4</v>
      </c>
    </row>
    <row r="15800" spans="1:11">
      <c r="A15800" s="688" t="s">
        <v>29</v>
      </c>
      <c r="B15800" s="691">
        <v>51.8</v>
      </c>
      <c r="C15800" s="691">
        <v>51.8</v>
      </c>
      <c r="D15800" s="691">
        <v>51.4</v>
      </c>
      <c r="E15800" s="615">
        <v>52</v>
      </c>
      <c r="F15800" s="691">
        <v>51.7</v>
      </c>
      <c r="G15800" s="691">
        <v>51.9</v>
      </c>
      <c r="H15800" s="615">
        <v>52</v>
      </c>
      <c r="I15800" s="691">
        <v>51.3</v>
      </c>
      <c r="J15800" s="691">
        <v>50.1</v>
      </c>
      <c r="K15800" s="691">
        <v>51.7</v>
      </c>
    </row>
    <row r="15801" spans="1:11">
      <c r="A15801" s="688" t="s">
        <v>16</v>
      </c>
      <c r="B15801" s="689">
        <v>56.8</v>
      </c>
      <c r="C15801" s="689">
        <v>56.5</v>
      </c>
      <c r="D15801" s="689">
        <v>56.5</v>
      </c>
      <c r="E15801" s="689">
        <v>56.6</v>
      </c>
      <c r="F15801" s="689">
        <v>56.7</v>
      </c>
      <c r="G15801" s="689">
        <v>56.6</v>
      </c>
      <c r="H15801" s="693">
        <v>57</v>
      </c>
      <c r="I15801" s="689">
        <v>56.7</v>
      </c>
      <c r="J15801" s="689">
        <v>56.3</v>
      </c>
      <c r="K15801" s="689">
        <v>56.7</v>
      </c>
    </row>
    <row r="15802" spans="1:11">
      <c r="A15802" s="688" t="s">
        <v>17</v>
      </c>
      <c r="B15802" s="691">
        <v>55.7</v>
      </c>
      <c r="C15802" s="691">
        <v>55.8</v>
      </c>
      <c r="D15802" s="691">
        <v>55.6</v>
      </c>
      <c r="E15802" s="691">
        <v>55.6</v>
      </c>
      <c r="F15802" s="691">
        <v>55.8</v>
      </c>
      <c r="G15802" s="691">
        <v>55.8</v>
      </c>
      <c r="H15802" s="691">
        <v>56.1</v>
      </c>
      <c r="I15802" s="691">
        <v>55.6</v>
      </c>
      <c r="J15802" s="691">
        <v>55.5</v>
      </c>
      <c r="K15802" s="691">
        <v>55.6</v>
      </c>
    </row>
    <row r="15803" spans="1:11">
      <c r="A15803" s="688" t="s">
        <v>19</v>
      </c>
      <c r="B15803" s="689">
        <v>56.3</v>
      </c>
      <c r="C15803" s="689">
        <v>56.3</v>
      </c>
      <c r="D15803" s="689">
        <v>56.1</v>
      </c>
      <c r="E15803" s="689">
        <v>56.5</v>
      </c>
      <c r="F15803" s="689">
        <v>56.4</v>
      </c>
      <c r="G15803" s="689">
        <v>56.5</v>
      </c>
      <c r="H15803" s="689">
        <v>56.7</v>
      </c>
      <c r="I15803" s="689">
        <v>56.2</v>
      </c>
      <c r="J15803" s="689">
        <v>56.2</v>
      </c>
      <c r="K15803" s="689">
        <v>56.3</v>
      </c>
    </row>
    <row r="15804" spans="1:11">
      <c r="A15804" s="688" t="s">
        <v>20</v>
      </c>
      <c r="B15804" s="691">
        <v>53.8</v>
      </c>
      <c r="C15804" s="615">
        <v>54</v>
      </c>
      <c r="D15804" s="691">
        <v>53.9</v>
      </c>
      <c r="E15804" s="691">
        <v>54.3</v>
      </c>
      <c r="F15804" s="691">
        <v>54.1</v>
      </c>
      <c r="G15804" s="691">
        <v>54.1</v>
      </c>
      <c r="H15804" s="691">
        <v>54.3</v>
      </c>
      <c r="I15804" s="691">
        <v>53.1</v>
      </c>
      <c r="J15804" s="691">
        <v>52.1</v>
      </c>
      <c r="K15804" s="691">
        <v>53.6</v>
      </c>
    </row>
    <row r="15805" spans="1:11">
      <c r="A15805" s="688" t="s">
        <v>21</v>
      </c>
      <c r="B15805" s="689">
        <v>56.5</v>
      </c>
      <c r="C15805" s="689">
        <v>56.8</v>
      </c>
      <c r="D15805" s="689">
        <v>56.7</v>
      </c>
      <c r="E15805" s="689">
        <v>56.8</v>
      </c>
      <c r="F15805" s="693">
        <v>57</v>
      </c>
      <c r="G15805" s="693">
        <v>57</v>
      </c>
      <c r="H15805" s="689">
        <v>57.2</v>
      </c>
      <c r="I15805" s="689">
        <v>56.7</v>
      </c>
      <c r="J15805" s="689">
        <v>56.7</v>
      </c>
      <c r="K15805" s="689">
        <v>56.9</v>
      </c>
    </row>
    <row r="15806" spans="1:11">
      <c r="A15806" s="688" t="s">
        <v>22</v>
      </c>
      <c r="B15806" s="691">
        <v>51.8</v>
      </c>
      <c r="C15806" s="691">
        <v>51.6</v>
      </c>
      <c r="D15806" s="691">
        <v>51.5</v>
      </c>
      <c r="E15806" s="691">
        <v>51.8</v>
      </c>
      <c r="F15806" s="691">
        <v>51.8</v>
      </c>
      <c r="G15806" s="691">
        <v>51.9</v>
      </c>
      <c r="H15806" s="691">
        <v>52.3</v>
      </c>
      <c r="I15806" s="615">
        <v>51</v>
      </c>
      <c r="J15806" s="691">
        <v>49.4</v>
      </c>
      <c r="K15806" s="691">
        <v>51.9</v>
      </c>
    </row>
    <row r="15807" spans="1:11">
      <c r="A15807" s="688" t="s">
        <v>26</v>
      </c>
      <c r="B15807" s="689">
        <v>56.1</v>
      </c>
      <c r="C15807" s="689">
        <v>56.1</v>
      </c>
      <c r="D15807" s="689">
        <v>55.9</v>
      </c>
      <c r="E15807" s="689">
        <v>56.3</v>
      </c>
      <c r="F15807" s="689">
        <v>56.2</v>
      </c>
      <c r="G15807" s="689">
        <v>56.4</v>
      </c>
      <c r="H15807" s="689">
        <v>56.6</v>
      </c>
      <c r="I15807" s="689">
        <v>55.7</v>
      </c>
      <c r="J15807" s="693">
        <v>56</v>
      </c>
      <c r="K15807" s="689">
        <v>56.3</v>
      </c>
    </row>
    <row r="15808" spans="1:11">
      <c r="A15808" s="688" t="s">
        <v>25</v>
      </c>
      <c r="B15808" s="691">
        <v>52.9</v>
      </c>
      <c r="C15808" s="691">
        <v>53.2</v>
      </c>
      <c r="D15808" s="691">
        <v>52.9</v>
      </c>
      <c r="E15808" s="691">
        <v>53.3</v>
      </c>
      <c r="F15808" s="691">
        <v>53.2</v>
      </c>
      <c r="G15808" s="691">
        <v>53.4</v>
      </c>
      <c r="H15808" s="691">
        <v>53.8</v>
      </c>
      <c r="I15808" s="691">
        <v>53.1</v>
      </c>
      <c r="J15808" s="691">
        <v>50.9</v>
      </c>
      <c r="K15808" s="691">
        <v>53.1</v>
      </c>
    </row>
    <row r="15809" spans="1:11">
      <c r="A15809" s="688" t="s">
        <v>5</v>
      </c>
      <c r="B15809" s="689">
        <v>56.6</v>
      </c>
      <c r="C15809" s="689">
        <v>56.3</v>
      </c>
      <c r="D15809" s="689">
        <v>56.5</v>
      </c>
      <c r="E15809" s="689">
        <v>56.6</v>
      </c>
      <c r="F15809" s="689">
        <v>56.7</v>
      </c>
      <c r="G15809" s="689">
        <v>56.8</v>
      </c>
      <c r="H15809" s="689">
        <v>57.1</v>
      </c>
      <c r="I15809" s="689">
        <v>57.1</v>
      </c>
      <c r="J15809" s="689">
        <v>56.9</v>
      </c>
      <c r="K15809" s="689">
        <v>56.3</v>
      </c>
    </row>
    <row r="15810" spans="1:11">
      <c r="A15810" s="688" t="s">
        <v>23</v>
      </c>
      <c r="B15810" s="691">
        <v>56.3</v>
      </c>
      <c r="C15810" s="691">
        <v>56.5</v>
      </c>
      <c r="D15810" s="691">
        <v>56.5</v>
      </c>
      <c r="E15810" s="691">
        <v>56.6</v>
      </c>
      <c r="F15810" s="691">
        <v>56.6</v>
      </c>
      <c r="G15810" s="691">
        <v>56.7</v>
      </c>
      <c r="H15810" s="691">
        <v>57.2</v>
      </c>
      <c r="I15810" s="691">
        <v>56.7</v>
      </c>
      <c r="J15810" s="691">
        <v>57.2</v>
      </c>
      <c r="K15810" s="691">
        <v>57.1</v>
      </c>
    </row>
    <row r="15811" spans="1:11">
      <c r="A15811" s="688" t="s">
        <v>4067</v>
      </c>
      <c r="B15811" s="689">
        <v>55.9</v>
      </c>
      <c r="C15811" s="689">
        <v>56.2</v>
      </c>
      <c r="D15811" s="689">
        <v>55.8</v>
      </c>
      <c r="E15811" s="689">
        <v>56.2</v>
      </c>
      <c r="F15811" s="689">
        <v>56.1</v>
      </c>
      <c r="G15811" s="689">
        <v>56.2</v>
      </c>
      <c r="H15811" s="690" t="s">
        <v>4060</v>
      </c>
      <c r="I15811" s="690" t="s">
        <v>4060</v>
      </c>
      <c r="J15811" s="690" t="s">
        <v>4060</v>
      </c>
      <c r="K15811" s="690" t="s">
        <v>4060</v>
      </c>
    </row>
    <row r="15812" spans="1:11">
      <c r="A15812" s="688" t="s">
        <v>4066</v>
      </c>
      <c r="B15812" s="691">
        <v>55.9</v>
      </c>
      <c r="C15812" s="691">
        <v>56.2</v>
      </c>
      <c r="D15812" s="691">
        <v>55.8</v>
      </c>
      <c r="E15812" s="691">
        <v>56.2</v>
      </c>
      <c r="F15812" s="691">
        <v>56.1</v>
      </c>
      <c r="G15812" s="691">
        <v>56.2</v>
      </c>
      <c r="H15812" s="692" t="s">
        <v>4060</v>
      </c>
      <c r="I15812" s="692" t="s">
        <v>4060</v>
      </c>
      <c r="J15812" s="692" t="s">
        <v>4060</v>
      </c>
      <c r="K15812" s="692" t="s">
        <v>4060</v>
      </c>
    </row>
    <row r="15813" spans="1:11">
      <c r="A15813" s="688" t="s">
        <v>4062</v>
      </c>
      <c r="B15813" s="693">
        <v>57</v>
      </c>
      <c r="C15813" s="689">
        <v>57.2</v>
      </c>
      <c r="D15813" s="689">
        <v>57.1</v>
      </c>
      <c r="E15813" s="689">
        <v>57.3</v>
      </c>
      <c r="F15813" s="689">
        <v>57.4</v>
      </c>
      <c r="G15813" s="689">
        <v>57.5</v>
      </c>
      <c r="H15813" s="689">
        <v>57.7</v>
      </c>
      <c r="I15813" s="689">
        <v>57.4</v>
      </c>
      <c r="J15813" s="689">
        <v>57.7</v>
      </c>
      <c r="K15813" s="689">
        <v>57.4</v>
      </c>
    </row>
    <row r="15814" spans="1:11">
      <c r="A15814" s="688" t="s">
        <v>9</v>
      </c>
      <c r="B15814" s="691">
        <v>56.2</v>
      </c>
      <c r="C15814" s="691">
        <v>56.7</v>
      </c>
      <c r="D15814" s="615">
        <v>56</v>
      </c>
      <c r="E15814" s="691">
        <v>56.2</v>
      </c>
      <c r="F15814" s="691">
        <v>56.6</v>
      </c>
      <c r="G15814" s="691">
        <v>56.5</v>
      </c>
      <c r="H15814" s="691">
        <v>56.8</v>
      </c>
      <c r="I15814" s="691">
        <v>56.8</v>
      </c>
      <c r="J15814" s="691">
        <v>56.9</v>
      </c>
      <c r="K15814" s="615">
        <v>56</v>
      </c>
    </row>
    <row r="15815" spans="1:11">
      <c r="A15815" s="688" t="s">
        <v>13</v>
      </c>
      <c r="B15815" s="689">
        <v>56.9</v>
      </c>
      <c r="C15815" s="689">
        <v>55.9</v>
      </c>
      <c r="D15815" s="689">
        <v>56.9</v>
      </c>
      <c r="E15815" s="689">
        <v>56.6</v>
      </c>
      <c r="F15815" s="689">
        <v>57.8</v>
      </c>
      <c r="G15815" s="689">
        <v>57.9</v>
      </c>
      <c r="H15815" s="689">
        <v>57.8</v>
      </c>
      <c r="I15815" s="689">
        <v>57.1</v>
      </c>
      <c r="J15815" s="689">
        <v>58.1</v>
      </c>
      <c r="K15815" s="689">
        <v>57.8</v>
      </c>
    </row>
    <row r="15816" spans="1:11">
      <c r="A15816" s="688" t="s">
        <v>18</v>
      </c>
      <c r="B15816" s="691">
        <v>56.2</v>
      </c>
      <c r="C15816" s="691">
        <v>56.5</v>
      </c>
      <c r="D15816" s="691">
        <v>56.6</v>
      </c>
      <c r="E15816" s="691">
        <v>56.6</v>
      </c>
      <c r="F15816" s="691">
        <v>56.7</v>
      </c>
      <c r="G15816" s="691">
        <v>56.9</v>
      </c>
      <c r="H15816" s="691">
        <v>57.1</v>
      </c>
      <c r="I15816" s="691">
        <v>57.3</v>
      </c>
      <c r="J15816" s="691">
        <v>57.1</v>
      </c>
      <c r="K15816" s="691">
        <v>56.7</v>
      </c>
    </row>
    <row r="15817" spans="1:11">
      <c r="A15817" s="688" t="s">
        <v>24</v>
      </c>
      <c r="B15817" s="689">
        <v>57.5</v>
      </c>
      <c r="C15817" s="689">
        <v>57.6</v>
      </c>
      <c r="D15817" s="689">
        <v>57.4</v>
      </c>
      <c r="E15817" s="689">
        <v>57.8</v>
      </c>
      <c r="F15817" s="689">
        <v>57.9</v>
      </c>
      <c r="G15817" s="689">
        <v>57.9</v>
      </c>
      <c r="H15817" s="689">
        <v>58.1</v>
      </c>
      <c r="I15817" s="689">
        <v>57.6</v>
      </c>
      <c r="J15817" s="689">
        <v>58.1</v>
      </c>
      <c r="K15817" s="689">
        <v>57.9</v>
      </c>
    </row>
    <row r="15818" spans="1:11">
      <c r="A15818" s="688" t="s">
        <v>4059</v>
      </c>
      <c r="B15818" s="691">
        <v>55.5</v>
      </c>
      <c r="C15818" s="691">
        <v>55.8</v>
      </c>
      <c r="D15818" s="691">
        <v>55.3</v>
      </c>
      <c r="E15818" s="691">
        <v>55.6</v>
      </c>
      <c r="F15818" s="691">
        <v>55.6</v>
      </c>
      <c r="G15818" s="691">
        <v>55.6</v>
      </c>
      <c r="H15818" s="692" t="s">
        <v>4060</v>
      </c>
      <c r="I15818" s="692" t="s">
        <v>4060</v>
      </c>
      <c r="J15818" s="692" t="s">
        <v>4060</v>
      </c>
      <c r="K15818" s="692" t="s">
        <v>4060</v>
      </c>
    </row>
    <row r="15819" spans="1:11">
      <c r="A15819" s="688" t="s">
        <v>2324</v>
      </c>
      <c r="B15819" s="689">
        <v>51.6</v>
      </c>
      <c r="C15819" s="689">
        <v>51.6</v>
      </c>
      <c r="D15819" s="689">
        <v>51.1</v>
      </c>
      <c r="E15819" s="689">
        <v>51.5</v>
      </c>
      <c r="F15819" s="689">
        <v>51.7</v>
      </c>
      <c r="G15819" s="689">
        <v>51.7</v>
      </c>
      <c r="H15819" s="693">
        <v>52</v>
      </c>
      <c r="I15819" s="689">
        <v>51.3</v>
      </c>
      <c r="J15819" s="689">
        <v>49.4</v>
      </c>
      <c r="K15819" s="690" t="s">
        <v>4060</v>
      </c>
    </row>
    <row r="15820" spans="1:11">
      <c r="A15820" s="688" t="s">
        <v>2322</v>
      </c>
      <c r="B15820" s="692" t="s">
        <v>4060</v>
      </c>
      <c r="C15820" s="692" t="s">
        <v>4060</v>
      </c>
      <c r="D15820" s="692" t="s">
        <v>4060</v>
      </c>
      <c r="E15820" s="692" t="s">
        <v>4060</v>
      </c>
      <c r="F15820" s="692" t="s">
        <v>4060</v>
      </c>
      <c r="G15820" s="692" t="s">
        <v>4060</v>
      </c>
      <c r="H15820" s="692" t="s">
        <v>4060</v>
      </c>
      <c r="I15820" s="692" t="s">
        <v>4060</v>
      </c>
      <c r="J15820" s="692" t="s">
        <v>4060</v>
      </c>
      <c r="K15820" s="692" t="s">
        <v>4060</v>
      </c>
    </row>
    <row r="15821" spans="1:11">
      <c r="A15821" s="688" t="s">
        <v>2328</v>
      </c>
      <c r="B15821" s="689">
        <v>50.7</v>
      </c>
      <c r="C15821" s="689">
        <v>50.5</v>
      </c>
      <c r="D15821" s="689">
        <v>50.4</v>
      </c>
      <c r="E15821" s="689">
        <v>50.8</v>
      </c>
      <c r="F15821" s="693">
        <v>51</v>
      </c>
      <c r="G15821" s="689">
        <v>51.4</v>
      </c>
      <c r="H15821" s="689">
        <v>51.3</v>
      </c>
      <c r="I15821" s="689">
        <v>49.5</v>
      </c>
      <c r="J15821" s="689">
        <v>48.1</v>
      </c>
      <c r="K15821" s="690" t="s">
        <v>4060</v>
      </c>
    </row>
    <row r="15822" spans="1:11">
      <c r="A15822" s="688" t="s">
        <v>2496</v>
      </c>
      <c r="B15822" s="692" t="s">
        <v>4060</v>
      </c>
      <c r="C15822" s="691">
        <v>51.5</v>
      </c>
      <c r="D15822" s="691">
        <v>50.6</v>
      </c>
      <c r="E15822" s="691">
        <v>50.3</v>
      </c>
      <c r="F15822" s="615">
        <v>51</v>
      </c>
      <c r="G15822" s="691">
        <v>51.3</v>
      </c>
      <c r="H15822" s="691">
        <v>51.3</v>
      </c>
      <c r="I15822" s="692" t="s">
        <v>4060</v>
      </c>
      <c r="J15822" s="692" t="s">
        <v>4060</v>
      </c>
      <c r="K15822" s="691">
        <v>51.1</v>
      </c>
    </row>
    <row r="15823" spans="1:11">
      <c r="A15823" s="688" t="s">
        <v>2269</v>
      </c>
      <c r="B15823" s="689">
        <v>53.2</v>
      </c>
      <c r="C15823" s="689">
        <v>53.3</v>
      </c>
      <c r="D15823" s="689">
        <v>52.7</v>
      </c>
      <c r="E15823" s="689">
        <v>53.3</v>
      </c>
      <c r="F15823" s="689">
        <v>53.1</v>
      </c>
      <c r="G15823" s="689">
        <v>53.6</v>
      </c>
      <c r="H15823" s="689">
        <v>53.8</v>
      </c>
      <c r="I15823" s="689">
        <v>52.6</v>
      </c>
      <c r="J15823" s="689">
        <v>50.6</v>
      </c>
      <c r="K15823" s="689">
        <v>53.6</v>
      </c>
    </row>
    <row r="15824" spans="1:11">
      <c r="A15824" s="688" t="s">
        <v>2349</v>
      </c>
      <c r="B15824" s="691">
        <v>50.6</v>
      </c>
      <c r="C15824" s="691">
        <v>50.7</v>
      </c>
      <c r="D15824" s="691">
        <v>50.6</v>
      </c>
      <c r="E15824" s="691">
        <v>50.9</v>
      </c>
      <c r="F15824" s="691">
        <v>50.7</v>
      </c>
      <c r="G15824" s="691">
        <v>51.1</v>
      </c>
      <c r="H15824" s="691">
        <v>51.3</v>
      </c>
      <c r="I15824" s="691">
        <v>50.1</v>
      </c>
      <c r="J15824" s="691">
        <v>48.4</v>
      </c>
      <c r="K15824" s="691">
        <v>50.4</v>
      </c>
    </row>
    <row r="15825" spans="1:11">
      <c r="A15825" s="688" t="s">
        <v>2355</v>
      </c>
      <c r="B15825" s="689">
        <v>54.5</v>
      </c>
      <c r="C15825" s="689">
        <v>54.3</v>
      </c>
      <c r="D15825" s="689">
        <v>54.3</v>
      </c>
      <c r="E15825" s="689">
        <v>54.3</v>
      </c>
      <c r="F15825" s="689">
        <v>54.5</v>
      </c>
      <c r="G15825" s="689">
        <v>54.8</v>
      </c>
      <c r="H15825" s="689">
        <v>54.9</v>
      </c>
      <c r="I15825" s="690" t="s">
        <v>4060</v>
      </c>
      <c r="J15825" s="690" t="s">
        <v>4060</v>
      </c>
      <c r="K15825" s="690" t="s">
        <v>4060</v>
      </c>
    </row>
    <row r="15826" spans="1:11">
      <c r="A15826" s="688" t="s">
        <v>2357</v>
      </c>
      <c r="B15826" s="692" t="s">
        <v>4060</v>
      </c>
      <c r="C15826" s="691">
        <v>49.8</v>
      </c>
      <c r="D15826" s="691">
        <v>50.3</v>
      </c>
      <c r="E15826" s="691">
        <v>50.6</v>
      </c>
      <c r="F15826" s="691">
        <v>50.9</v>
      </c>
      <c r="G15826" s="691">
        <v>50.9</v>
      </c>
      <c r="H15826" s="691">
        <v>51.2</v>
      </c>
      <c r="I15826" s="692" t="s">
        <v>4060</v>
      </c>
      <c r="J15826" s="692" t="s">
        <v>4060</v>
      </c>
      <c r="K15826" s="692" t="s">
        <v>4060</v>
      </c>
    </row>
    <row r="15827" spans="1:11">
      <c r="A15827" s="688" t="s">
        <v>4070</v>
      </c>
      <c r="B15827" s="690" t="s">
        <v>4060</v>
      </c>
      <c r="C15827" s="690" t="s">
        <v>4060</v>
      </c>
      <c r="D15827" s="690" t="s">
        <v>4060</v>
      </c>
      <c r="E15827" s="689">
        <v>54.3</v>
      </c>
      <c r="F15827" s="690" t="s">
        <v>4060</v>
      </c>
      <c r="G15827" s="690" t="s">
        <v>4060</v>
      </c>
      <c r="H15827" s="690" t="s">
        <v>4060</v>
      </c>
      <c r="I15827" s="690" t="s">
        <v>4060</v>
      </c>
      <c r="J15827" s="690" t="s">
        <v>4060</v>
      </c>
      <c r="K15827" s="690" t="s">
        <v>4060</v>
      </c>
    </row>
    <row r="15828" spans="1:11">
      <c r="A15828" s="688" t="s">
        <v>2491</v>
      </c>
      <c r="B15828" s="691">
        <v>50.7</v>
      </c>
      <c r="C15828" s="691">
        <v>51.2</v>
      </c>
      <c r="D15828" s="691">
        <v>51.6</v>
      </c>
      <c r="E15828" s="691">
        <v>51.7</v>
      </c>
      <c r="F15828" s="691">
        <v>51.9</v>
      </c>
      <c r="G15828" s="691">
        <v>51.9</v>
      </c>
      <c r="H15828" s="692" t="s">
        <v>4060</v>
      </c>
      <c r="I15828" s="692" t="s">
        <v>4060</v>
      </c>
      <c r="J15828" s="692" t="s">
        <v>4060</v>
      </c>
      <c r="K15828" s="692" t="s">
        <v>4060</v>
      </c>
    </row>
    <row r="15829" spans="1:11">
      <c r="A15829" s="688" t="s">
        <v>2343</v>
      </c>
      <c r="B15829" s="690" t="s">
        <v>4060</v>
      </c>
      <c r="C15829" s="690" t="s">
        <v>4060</v>
      </c>
      <c r="D15829" s="690" t="s">
        <v>4060</v>
      </c>
      <c r="E15829" s="690" t="s">
        <v>4060</v>
      </c>
      <c r="F15829" s="690" t="s">
        <v>4060</v>
      </c>
      <c r="G15829" s="690" t="s">
        <v>4060</v>
      </c>
      <c r="H15829" s="690" t="s">
        <v>4060</v>
      </c>
      <c r="I15829" s="690" t="s">
        <v>4060</v>
      </c>
      <c r="J15829" s="690" t="s">
        <v>4060</v>
      </c>
      <c r="K15829" s="690" t="s">
        <v>4060</v>
      </c>
    </row>
    <row r="15830" spans="1:11">
      <c r="A15830" s="688" t="s">
        <v>4071</v>
      </c>
      <c r="B15830" s="692" t="s">
        <v>4060</v>
      </c>
      <c r="C15830" s="692" t="s">
        <v>4060</v>
      </c>
      <c r="D15830" s="692" t="s">
        <v>4060</v>
      </c>
      <c r="E15830" s="692" t="s">
        <v>4060</v>
      </c>
      <c r="F15830" s="692" t="s">
        <v>4060</v>
      </c>
      <c r="G15830" s="692" t="s">
        <v>4060</v>
      </c>
      <c r="H15830" s="692" t="s">
        <v>4060</v>
      </c>
      <c r="I15830" s="692" t="s">
        <v>4060</v>
      </c>
      <c r="J15830" s="692" t="s">
        <v>4060</v>
      </c>
      <c r="K15830" s="692" t="s">
        <v>4060</v>
      </c>
    </row>
    <row r="15831" spans="1:11">
      <c r="A15831" s="688" t="s">
        <v>2489</v>
      </c>
      <c r="B15831" s="690" t="s">
        <v>4060</v>
      </c>
      <c r="C15831" s="690" t="s">
        <v>4060</v>
      </c>
      <c r="D15831" s="689">
        <v>51.2</v>
      </c>
      <c r="E15831" s="689">
        <v>51.3</v>
      </c>
      <c r="F15831" s="689">
        <v>51.9</v>
      </c>
      <c r="G15831" s="689">
        <v>52.5</v>
      </c>
      <c r="H15831" s="689">
        <v>52.6</v>
      </c>
      <c r="I15831" s="690" t="s">
        <v>4060</v>
      </c>
      <c r="J15831" s="690" t="s">
        <v>4060</v>
      </c>
      <c r="K15831" s="690" t="s">
        <v>4060</v>
      </c>
    </row>
    <row r="15832" spans="1:11">
      <c r="A15832" s="688" t="s">
        <v>2490</v>
      </c>
      <c r="B15832" s="691">
        <v>50.6</v>
      </c>
      <c r="C15832" s="691">
        <v>50.6</v>
      </c>
      <c r="D15832" s="691">
        <v>51.1</v>
      </c>
      <c r="E15832" s="692" t="s">
        <v>4060</v>
      </c>
      <c r="F15832" s="691">
        <v>51.3</v>
      </c>
      <c r="G15832" s="691">
        <v>51.7</v>
      </c>
      <c r="H15832" s="691">
        <v>52.3</v>
      </c>
      <c r="I15832" s="692" t="s">
        <v>4060</v>
      </c>
      <c r="J15832" s="692" t="s">
        <v>4060</v>
      </c>
      <c r="K15832" s="692" t="s">
        <v>4060</v>
      </c>
    </row>
    <row r="15834" spans="1:11">
      <c r="A15834" s="683" t="s">
        <v>4233</v>
      </c>
    </row>
    <row r="15835" spans="1:11">
      <c r="A15835" s="683" t="s">
        <v>4060</v>
      </c>
      <c r="B15835" s="682" t="s">
        <v>4234</v>
      </c>
    </row>
    <row r="15837" spans="1:11">
      <c r="A15837" s="682" t="s">
        <v>4332</v>
      </c>
    </row>
    <row r="15838" spans="1:11">
      <c r="A15838" s="682" t="s">
        <v>4210</v>
      </c>
      <c r="B15838" s="683" t="s">
        <v>4211</v>
      </c>
    </row>
    <row r="15839" spans="1:11">
      <c r="A15839" s="682" t="s">
        <v>4212</v>
      </c>
      <c r="B15839" s="682" t="s">
        <v>4213</v>
      </c>
    </row>
    <row r="15841" spans="1:11">
      <c r="A15841" s="683" t="s">
        <v>4214</v>
      </c>
      <c r="C15841" s="682" t="s">
        <v>4215</v>
      </c>
    </row>
    <row r="15842" spans="1:11">
      <c r="A15842" s="683" t="s">
        <v>4216</v>
      </c>
      <c r="C15842" s="682" t="s">
        <v>2967</v>
      </c>
    </row>
    <row r="15843" spans="1:11">
      <c r="A15843" s="683" t="s">
        <v>3893</v>
      </c>
      <c r="C15843" s="682" t="s">
        <v>2169</v>
      </c>
    </row>
    <row r="15844" spans="1:11">
      <c r="A15844" s="683" t="s">
        <v>4218</v>
      </c>
      <c r="C15844" s="682" t="s">
        <v>4264</v>
      </c>
    </row>
    <row r="15846" spans="1:11">
      <c r="A15846" s="684" t="s">
        <v>4220</v>
      </c>
      <c r="B15846" s="685" t="s">
        <v>4221</v>
      </c>
      <c r="C15846" s="685" t="s">
        <v>4222</v>
      </c>
      <c r="D15846" s="685" t="s">
        <v>4223</v>
      </c>
      <c r="E15846" s="685" t="s">
        <v>4224</v>
      </c>
      <c r="F15846" s="685" t="s">
        <v>4225</v>
      </c>
      <c r="G15846" s="685" t="s">
        <v>4226</v>
      </c>
      <c r="H15846" s="685" t="s">
        <v>4227</v>
      </c>
      <c r="I15846" s="685" t="s">
        <v>4228</v>
      </c>
      <c r="J15846" s="685" t="s">
        <v>4229</v>
      </c>
      <c r="K15846" s="685" t="s">
        <v>4230</v>
      </c>
    </row>
    <row r="15847" spans="1:11">
      <c r="A15847" s="686" t="s">
        <v>4231</v>
      </c>
      <c r="B15847" s="687" t="s">
        <v>4232</v>
      </c>
      <c r="C15847" s="687" t="s">
        <v>4232</v>
      </c>
      <c r="D15847" s="687" t="s">
        <v>4232</v>
      </c>
      <c r="E15847" s="687" t="s">
        <v>4232</v>
      </c>
      <c r="F15847" s="687" t="s">
        <v>4232</v>
      </c>
      <c r="G15847" s="687" t="s">
        <v>4232</v>
      </c>
      <c r="H15847" s="687" t="s">
        <v>4232</v>
      </c>
      <c r="I15847" s="687" t="s">
        <v>4232</v>
      </c>
      <c r="J15847" s="687" t="s">
        <v>4232</v>
      </c>
      <c r="K15847" s="687" t="s">
        <v>4232</v>
      </c>
    </row>
    <row r="15848" spans="1:11">
      <c r="A15848" s="688" t="s">
        <v>4064</v>
      </c>
      <c r="B15848" s="691">
        <v>54.9</v>
      </c>
      <c r="C15848" s="691">
        <v>54.9</v>
      </c>
      <c r="D15848" s="691">
        <v>54.9</v>
      </c>
      <c r="E15848" s="615">
        <v>55</v>
      </c>
      <c r="F15848" s="615">
        <v>55</v>
      </c>
      <c r="G15848" s="691">
        <v>55.1</v>
      </c>
      <c r="H15848" s="691">
        <v>55.3</v>
      </c>
      <c r="I15848" s="691">
        <v>54.6</v>
      </c>
      <c r="J15848" s="691">
        <v>54.3</v>
      </c>
      <c r="K15848" s="691">
        <v>54.8</v>
      </c>
    </row>
    <row r="15849" spans="1:11">
      <c r="A15849" s="688" t="s">
        <v>4065</v>
      </c>
      <c r="B15849" s="689">
        <v>54.9</v>
      </c>
      <c r="C15849" s="689">
        <v>55.2</v>
      </c>
      <c r="D15849" s="689">
        <v>54.8</v>
      </c>
      <c r="E15849" s="689">
        <v>55.2</v>
      </c>
      <c r="F15849" s="689">
        <v>55.1</v>
      </c>
      <c r="G15849" s="689">
        <v>55.2</v>
      </c>
      <c r="H15849" s="690" t="s">
        <v>4060</v>
      </c>
      <c r="I15849" s="690" t="s">
        <v>4060</v>
      </c>
      <c r="J15849" s="690" t="s">
        <v>4060</v>
      </c>
      <c r="K15849" s="690" t="s">
        <v>4060</v>
      </c>
    </row>
    <row r="15850" spans="1:11">
      <c r="A15850" s="688" t="s">
        <v>4063</v>
      </c>
      <c r="B15850" s="691">
        <v>54.9</v>
      </c>
      <c r="C15850" s="691">
        <v>55.2</v>
      </c>
      <c r="D15850" s="691">
        <v>54.8</v>
      </c>
      <c r="E15850" s="691">
        <v>55.2</v>
      </c>
      <c r="F15850" s="691">
        <v>55.1</v>
      </c>
      <c r="G15850" s="691">
        <v>55.2</v>
      </c>
      <c r="H15850" s="692" t="s">
        <v>4060</v>
      </c>
      <c r="I15850" s="692" t="s">
        <v>4060</v>
      </c>
      <c r="J15850" s="692" t="s">
        <v>4060</v>
      </c>
      <c r="K15850" s="692" t="s">
        <v>4060</v>
      </c>
    </row>
    <row r="15851" spans="1:11">
      <c r="A15851" s="688" t="s">
        <v>4069</v>
      </c>
      <c r="B15851" s="690" t="s">
        <v>4060</v>
      </c>
      <c r="C15851" s="689">
        <v>55.7</v>
      </c>
      <c r="D15851" s="689">
        <v>55.4</v>
      </c>
      <c r="E15851" s="689">
        <v>55.8</v>
      </c>
      <c r="F15851" s="689">
        <v>55.7</v>
      </c>
      <c r="G15851" s="689">
        <v>55.8</v>
      </c>
      <c r="H15851" s="689">
        <v>56.1</v>
      </c>
      <c r="I15851" s="689">
        <v>55.5</v>
      </c>
      <c r="J15851" s="689">
        <v>55.5</v>
      </c>
      <c r="K15851" s="689">
        <v>55.5</v>
      </c>
    </row>
    <row r="15852" spans="1:11">
      <c r="A15852" s="688" t="s">
        <v>4068</v>
      </c>
      <c r="B15852" s="691">
        <v>55.8</v>
      </c>
      <c r="C15852" s="692" t="s">
        <v>4060</v>
      </c>
      <c r="D15852" s="692" t="s">
        <v>4060</v>
      </c>
      <c r="E15852" s="692" t="s">
        <v>4060</v>
      </c>
      <c r="F15852" s="692" t="s">
        <v>4060</v>
      </c>
      <c r="G15852" s="692" t="s">
        <v>4060</v>
      </c>
      <c r="H15852" s="692" t="s">
        <v>4060</v>
      </c>
      <c r="I15852" s="692" t="s">
        <v>4060</v>
      </c>
      <c r="J15852" s="692" t="s">
        <v>4060</v>
      </c>
      <c r="K15852" s="692" t="s">
        <v>4060</v>
      </c>
    </row>
    <row r="15853" spans="1:11">
      <c r="A15853" s="688" t="s">
        <v>0</v>
      </c>
      <c r="B15853" s="689">
        <v>54.8</v>
      </c>
      <c r="C15853" s="693">
        <v>55</v>
      </c>
      <c r="D15853" s="689">
        <v>54.7</v>
      </c>
      <c r="E15853" s="689">
        <v>55.2</v>
      </c>
      <c r="F15853" s="689">
        <v>55.2</v>
      </c>
      <c r="G15853" s="689">
        <v>55.2</v>
      </c>
      <c r="H15853" s="689">
        <v>55.6</v>
      </c>
      <c r="I15853" s="689">
        <v>54.6</v>
      </c>
      <c r="J15853" s="689">
        <v>55.5</v>
      </c>
      <c r="K15853" s="689">
        <v>55.3</v>
      </c>
    </row>
    <row r="15854" spans="1:11">
      <c r="A15854" s="688" t="s">
        <v>1</v>
      </c>
      <c r="B15854" s="691">
        <v>50.6</v>
      </c>
      <c r="C15854" s="615">
        <v>50</v>
      </c>
      <c r="D15854" s="615">
        <v>50</v>
      </c>
      <c r="E15854" s="691">
        <v>50.3</v>
      </c>
      <c r="F15854" s="691">
        <v>50.1</v>
      </c>
      <c r="G15854" s="691">
        <v>50.3</v>
      </c>
      <c r="H15854" s="691">
        <v>50.5</v>
      </c>
      <c r="I15854" s="691">
        <v>49.1</v>
      </c>
      <c r="J15854" s="615">
        <v>47</v>
      </c>
      <c r="K15854" s="691">
        <v>49.7</v>
      </c>
    </row>
    <row r="15855" spans="1:11">
      <c r="A15855" s="688" t="s">
        <v>2240</v>
      </c>
      <c r="B15855" s="689">
        <v>52.8</v>
      </c>
      <c r="C15855" s="689">
        <v>53.2</v>
      </c>
      <c r="D15855" s="689">
        <v>52.9</v>
      </c>
      <c r="E15855" s="689">
        <v>53.4</v>
      </c>
      <c r="F15855" s="689">
        <v>53.3</v>
      </c>
      <c r="G15855" s="689">
        <v>53.4</v>
      </c>
      <c r="H15855" s="689">
        <v>53.6</v>
      </c>
      <c r="I15855" s="689">
        <v>52.7</v>
      </c>
      <c r="J15855" s="689">
        <v>51.9</v>
      </c>
      <c r="K15855" s="689">
        <v>53.4</v>
      </c>
    </row>
    <row r="15856" spans="1:11">
      <c r="A15856" s="688" t="s">
        <v>2</v>
      </c>
      <c r="B15856" s="691">
        <v>53.9</v>
      </c>
      <c r="C15856" s="691">
        <v>54.2</v>
      </c>
      <c r="D15856" s="691">
        <v>54.2</v>
      </c>
      <c r="E15856" s="691">
        <v>54.3</v>
      </c>
      <c r="F15856" s="691">
        <v>54.6</v>
      </c>
      <c r="G15856" s="691">
        <v>54.4</v>
      </c>
      <c r="H15856" s="691">
        <v>54.8</v>
      </c>
      <c r="I15856" s="691">
        <v>54.9</v>
      </c>
      <c r="J15856" s="691">
        <v>54.8</v>
      </c>
      <c r="K15856" s="691">
        <v>54.6</v>
      </c>
    </row>
    <row r="15857" spans="1:11">
      <c r="A15857" s="688" t="s">
        <v>3</v>
      </c>
      <c r="B15857" s="689">
        <v>54.6</v>
      </c>
      <c r="C15857" s="689">
        <v>54.8</v>
      </c>
      <c r="D15857" s="689">
        <v>54.5</v>
      </c>
      <c r="E15857" s="689">
        <v>54.8</v>
      </c>
      <c r="F15857" s="689">
        <v>54.8</v>
      </c>
      <c r="G15857" s="689">
        <v>54.7</v>
      </c>
      <c r="H15857" s="693">
        <v>55</v>
      </c>
      <c r="I15857" s="689">
        <v>54.9</v>
      </c>
      <c r="J15857" s="689">
        <v>54.7</v>
      </c>
      <c r="K15857" s="689">
        <v>54.4</v>
      </c>
    </row>
    <row r="15858" spans="1:11">
      <c r="A15858" s="688" t="s">
        <v>4061</v>
      </c>
      <c r="B15858" s="691">
        <v>54.6</v>
      </c>
      <c r="C15858" s="691">
        <v>54.8</v>
      </c>
      <c r="D15858" s="691">
        <v>54.5</v>
      </c>
      <c r="E15858" s="691">
        <v>54.8</v>
      </c>
      <c r="F15858" s="691">
        <v>54.8</v>
      </c>
      <c r="G15858" s="691">
        <v>54.7</v>
      </c>
      <c r="H15858" s="615">
        <v>55</v>
      </c>
      <c r="I15858" s="691">
        <v>54.9</v>
      </c>
      <c r="J15858" s="691">
        <v>54.7</v>
      </c>
      <c r="K15858" s="691">
        <v>54.4</v>
      </c>
    </row>
    <row r="15859" spans="1:11">
      <c r="A15859" s="688" t="s">
        <v>4</v>
      </c>
      <c r="B15859" s="689">
        <v>53.3</v>
      </c>
      <c r="C15859" s="689">
        <v>53.2</v>
      </c>
      <c r="D15859" s="689">
        <v>53.5</v>
      </c>
      <c r="E15859" s="689">
        <v>53.6</v>
      </c>
      <c r="F15859" s="689">
        <v>53.9</v>
      </c>
      <c r="G15859" s="689">
        <v>53.9</v>
      </c>
      <c r="H15859" s="689">
        <v>54.2</v>
      </c>
      <c r="I15859" s="689">
        <v>54.2</v>
      </c>
      <c r="J15859" s="689">
        <v>52.8</v>
      </c>
      <c r="K15859" s="689">
        <v>53.8</v>
      </c>
    </row>
    <row r="15860" spans="1:11">
      <c r="A15860" s="688" t="s">
        <v>8</v>
      </c>
      <c r="B15860" s="691">
        <v>54.6</v>
      </c>
      <c r="C15860" s="691">
        <v>54.8</v>
      </c>
      <c r="D15860" s="691">
        <v>54.7</v>
      </c>
      <c r="E15860" s="691">
        <v>54.9</v>
      </c>
      <c r="F15860" s="691">
        <v>55.3</v>
      </c>
      <c r="G15860" s="691">
        <v>55.3</v>
      </c>
      <c r="H15860" s="691">
        <v>55.8</v>
      </c>
      <c r="I15860" s="691">
        <v>55.5</v>
      </c>
      <c r="J15860" s="691">
        <v>55.4</v>
      </c>
      <c r="K15860" s="691">
        <v>55.5</v>
      </c>
    </row>
    <row r="15861" spans="1:11">
      <c r="A15861" s="688" t="s">
        <v>7</v>
      </c>
      <c r="B15861" s="689">
        <v>55.6</v>
      </c>
      <c r="C15861" s="689">
        <v>55.3</v>
      </c>
      <c r="D15861" s="689">
        <v>55.1</v>
      </c>
      <c r="E15861" s="689">
        <v>55.3</v>
      </c>
      <c r="F15861" s="689">
        <v>55.3</v>
      </c>
      <c r="G15861" s="689">
        <v>55.7</v>
      </c>
      <c r="H15861" s="689">
        <v>55.6</v>
      </c>
      <c r="I15861" s="689">
        <v>55.2</v>
      </c>
      <c r="J15861" s="689">
        <v>54.4</v>
      </c>
      <c r="K15861" s="689">
        <v>54.9</v>
      </c>
    </row>
    <row r="15862" spans="1:11">
      <c r="A15862" s="688" t="s">
        <v>27</v>
      </c>
      <c r="B15862" s="691">
        <v>57.5</v>
      </c>
      <c r="C15862" s="691">
        <v>57.1</v>
      </c>
      <c r="D15862" s="691">
        <v>56.8</v>
      </c>
      <c r="E15862" s="691">
        <v>57.2</v>
      </c>
      <c r="F15862" s="691">
        <v>57.1</v>
      </c>
      <c r="G15862" s="691">
        <v>57.3</v>
      </c>
      <c r="H15862" s="691">
        <v>57.6</v>
      </c>
      <c r="I15862" s="691">
        <v>56.4</v>
      </c>
      <c r="J15862" s="691">
        <v>57.2</v>
      </c>
      <c r="K15862" s="691">
        <v>57.1</v>
      </c>
    </row>
    <row r="15863" spans="1:11">
      <c r="A15863" s="688" t="s">
        <v>6</v>
      </c>
      <c r="B15863" s="689">
        <v>57.2</v>
      </c>
      <c r="C15863" s="689">
        <v>56.9</v>
      </c>
      <c r="D15863" s="689">
        <v>56.7</v>
      </c>
      <c r="E15863" s="689">
        <v>56.9</v>
      </c>
      <c r="F15863" s="689">
        <v>56.9</v>
      </c>
      <c r="G15863" s="689">
        <v>57.1</v>
      </c>
      <c r="H15863" s="689">
        <v>57.2</v>
      </c>
      <c r="I15863" s="689">
        <v>56.7</v>
      </c>
      <c r="J15863" s="689">
        <v>56.8</v>
      </c>
      <c r="K15863" s="689">
        <v>56.7</v>
      </c>
    </row>
    <row r="15864" spans="1:11">
      <c r="A15864" s="688" t="s">
        <v>4058</v>
      </c>
      <c r="B15864" s="692" t="s">
        <v>4060</v>
      </c>
      <c r="C15864" s="692" t="s">
        <v>4060</v>
      </c>
      <c r="D15864" s="692" t="s">
        <v>4060</v>
      </c>
      <c r="E15864" s="692" t="s">
        <v>4060</v>
      </c>
      <c r="F15864" s="692" t="s">
        <v>4060</v>
      </c>
      <c r="G15864" s="692" t="s">
        <v>4060</v>
      </c>
      <c r="H15864" s="692" t="s">
        <v>4060</v>
      </c>
      <c r="I15864" s="692" t="s">
        <v>4060</v>
      </c>
      <c r="J15864" s="692" t="s">
        <v>4060</v>
      </c>
      <c r="K15864" s="692" t="s">
        <v>4060</v>
      </c>
    </row>
    <row r="15865" spans="1:11">
      <c r="A15865" s="688" t="s">
        <v>11</v>
      </c>
      <c r="B15865" s="689">
        <v>52.6</v>
      </c>
      <c r="C15865" s="689">
        <v>52.4</v>
      </c>
      <c r="D15865" s="693">
        <v>52</v>
      </c>
      <c r="E15865" s="689">
        <v>52.7</v>
      </c>
      <c r="F15865" s="689">
        <v>52.3</v>
      </c>
      <c r="G15865" s="689">
        <v>52.8</v>
      </c>
      <c r="H15865" s="689">
        <v>52.9</v>
      </c>
      <c r="I15865" s="689">
        <v>52.2</v>
      </c>
      <c r="J15865" s="689">
        <v>51.4</v>
      </c>
      <c r="K15865" s="689">
        <v>52.3</v>
      </c>
    </row>
    <row r="15866" spans="1:11">
      <c r="A15866" s="688" t="s">
        <v>10</v>
      </c>
      <c r="B15866" s="691">
        <v>56.7</v>
      </c>
      <c r="C15866" s="691">
        <v>56.5</v>
      </c>
      <c r="D15866" s="615">
        <v>56</v>
      </c>
      <c r="E15866" s="691">
        <v>56.6</v>
      </c>
      <c r="F15866" s="691">
        <v>56.4</v>
      </c>
      <c r="G15866" s="691">
        <v>56.7</v>
      </c>
      <c r="H15866" s="691">
        <v>56.9</v>
      </c>
      <c r="I15866" s="691">
        <v>55.9</v>
      </c>
      <c r="J15866" s="691">
        <v>56.2</v>
      </c>
      <c r="K15866" s="691">
        <v>56.2</v>
      </c>
    </row>
    <row r="15867" spans="1:11">
      <c r="A15867" s="688" t="s">
        <v>30</v>
      </c>
      <c r="B15867" s="689">
        <v>56.2</v>
      </c>
      <c r="C15867" s="689">
        <v>55.5</v>
      </c>
      <c r="D15867" s="689">
        <v>55.2</v>
      </c>
      <c r="E15867" s="689">
        <v>56.2</v>
      </c>
      <c r="F15867" s="689">
        <v>55.8</v>
      </c>
      <c r="G15867" s="689">
        <v>56.2</v>
      </c>
      <c r="H15867" s="693">
        <v>56</v>
      </c>
      <c r="I15867" s="689">
        <v>55.9</v>
      </c>
      <c r="J15867" s="689">
        <v>55.2</v>
      </c>
      <c r="K15867" s="689">
        <v>55.6</v>
      </c>
    </row>
    <row r="15868" spans="1:11">
      <c r="A15868" s="688" t="s">
        <v>12</v>
      </c>
      <c r="B15868" s="691">
        <v>50.7</v>
      </c>
      <c r="C15868" s="691">
        <v>51.1</v>
      </c>
      <c r="D15868" s="615">
        <v>51</v>
      </c>
      <c r="E15868" s="691">
        <v>51.2</v>
      </c>
      <c r="F15868" s="691">
        <v>51.3</v>
      </c>
      <c r="G15868" s="691">
        <v>51.3</v>
      </c>
      <c r="H15868" s="691">
        <v>51.8</v>
      </c>
      <c r="I15868" s="691">
        <v>51.6</v>
      </c>
      <c r="J15868" s="691">
        <v>49.6</v>
      </c>
      <c r="K15868" s="615">
        <v>51</v>
      </c>
    </row>
    <row r="15869" spans="1:11">
      <c r="A15869" s="688" t="s">
        <v>14</v>
      </c>
      <c r="B15869" s="689">
        <v>51.4</v>
      </c>
      <c r="C15869" s="689">
        <v>51.6</v>
      </c>
      <c r="D15869" s="689">
        <v>51.3</v>
      </c>
      <c r="E15869" s="689">
        <v>51.6</v>
      </c>
      <c r="F15869" s="689">
        <v>51.9</v>
      </c>
      <c r="G15869" s="689">
        <v>52.2</v>
      </c>
      <c r="H15869" s="689">
        <v>52.5</v>
      </c>
      <c r="I15869" s="689">
        <v>51.6</v>
      </c>
      <c r="J15869" s="689">
        <v>50.4</v>
      </c>
      <c r="K15869" s="689">
        <v>51.7</v>
      </c>
    </row>
    <row r="15870" spans="1:11">
      <c r="A15870" s="688" t="s">
        <v>15</v>
      </c>
      <c r="B15870" s="691">
        <v>55.5</v>
      </c>
      <c r="C15870" s="691">
        <v>56.1</v>
      </c>
      <c r="D15870" s="691">
        <v>55.4</v>
      </c>
      <c r="E15870" s="691">
        <v>56.2</v>
      </c>
      <c r="F15870" s="691">
        <v>55.4</v>
      </c>
      <c r="G15870" s="691">
        <v>55.9</v>
      </c>
      <c r="H15870" s="691">
        <v>56.2</v>
      </c>
      <c r="I15870" s="615">
        <v>56</v>
      </c>
      <c r="J15870" s="691">
        <v>56.2</v>
      </c>
      <c r="K15870" s="691">
        <v>56.4</v>
      </c>
    </row>
    <row r="15871" spans="1:11">
      <c r="A15871" s="688" t="s">
        <v>29</v>
      </c>
      <c r="B15871" s="689">
        <v>50.8</v>
      </c>
      <c r="C15871" s="689">
        <v>50.8</v>
      </c>
      <c r="D15871" s="689">
        <v>50.4</v>
      </c>
      <c r="E15871" s="693">
        <v>51</v>
      </c>
      <c r="F15871" s="689">
        <v>50.7</v>
      </c>
      <c r="G15871" s="689">
        <v>50.9</v>
      </c>
      <c r="H15871" s="693">
        <v>51</v>
      </c>
      <c r="I15871" s="689">
        <v>50.3</v>
      </c>
      <c r="J15871" s="689">
        <v>49.1</v>
      </c>
      <c r="K15871" s="689">
        <v>50.7</v>
      </c>
    </row>
    <row r="15872" spans="1:11">
      <c r="A15872" s="688" t="s">
        <v>16</v>
      </c>
      <c r="B15872" s="691">
        <v>55.8</v>
      </c>
      <c r="C15872" s="691">
        <v>55.5</v>
      </c>
      <c r="D15872" s="691">
        <v>55.5</v>
      </c>
      <c r="E15872" s="691">
        <v>55.6</v>
      </c>
      <c r="F15872" s="691">
        <v>55.7</v>
      </c>
      <c r="G15872" s="691">
        <v>55.6</v>
      </c>
      <c r="H15872" s="615">
        <v>56</v>
      </c>
      <c r="I15872" s="691">
        <v>55.7</v>
      </c>
      <c r="J15872" s="691">
        <v>55.3</v>
      </c>
      <c r="K15872" s="691">
        <v>55.7</v>
      </c>
    </row>
    <row r="15873" spans="1:11">
      <c r="A15873" s="688" t="s">
        <v>17</v>
      </c>
      <c r="B15873" s="689">
        <v>54.7</v>
      </c>
      <c r="C15873" s="689">
        <v>54.8</v>
      </c>
      <c r="D15873" s="689">
        <v>54.6</v>
      </c>
      <c r="E15873" s="689">
        <v>54.7</v>
      </c>
      <c r="F15873" s="689">
        <v>54.8</v>
      </c>
      <c r="G15873" s="689">
        <v>54.8</v>
      </c>
      <c r="H15873" s="689">
        <v>55.1</v>
      </c>
      <c r="I15873" s="689">
        <v>54.6</v>
      </c>
      <c r="J15873" s="689">
        <v>54.5</v>
      </c>
      <c r="K15873" s="689">
        <v>54.6</v>
      </c>
    </row>
    <row r="15874" spans="1:11">
      <c r="A15874" s="688" t="s">
        <v>19</v>
      </c>
      <c r="B15874" s="691">
        <v>55.3</v>
      </c>
      <c r="C15874" s="691">
        <v>55.3</v>
      </c>
      <c r="D15874" s="691">
        <v>55.1</v>
      </c>
      <c r="E15874" s="691">
        <v>55.5</v>
      </c>
      <c r="F15874" s="691">
        <v>55.4</v>
      </c>
      <c r="G15874" s="691">
        <v>55.5</v>
      </c>
      <c r="H15874" s="691">
        <v>55.7</v>
      </c>
      <c r="I15874" s="691">
        <v>55.2</v>
      </c>
      <c r="J15874" s="691">
        <v>55.2</v>
      </c>
      <c r="K15874" s="691">
        <v>55.3</v>
      </c>
    </row>
    <row r="15875" spans="1:11">
      <c r="A15875" s="688" t="s">
        <v>20</v>
      </c>
      <c r="B15875" s="689">
        <v>52.9</v>
      </c>
      <c r="C15875" s="689">
        <v>53.1</v>
      </c>
      <c r="D15875" s="689">
        <v>52.9</v>
      </c>
      <c r="E15875" s="689">
        <v>53.3</v>
      </c>
      <c r="F15875" s="689">
        <v>53.1</v>
      </c>
      <c r="G15875" s="689">
        <v>53.1</v>
      </c>
      <c r="H15875" s="689">
        <v>53.3</v>
      </c>
      <c r="I15875" s="689">
        <v>52.1</v>
      </c>
      <c r="J15875" s="689">
        <v>51.1</v>
      </c>
      <c r="K15875" s="689">
        <v>52.6</v>
      </c>
    </row>
    <row r="15876" spans="1:11">
      <c r="A15876" s="688" t="s">
        <v>21</v>
      </c>
      <c r="B15876" s="691">
        <v>55.5</v>
      </c>
      <c r="C15876" s="691">
        <v>55.8</v>
      </c>
      <c r="D15876" s="691">
        <v>55.7</v>
      </c>
      <c r="E15876" s="691">
        <v>55.8</v>
      </c>
      <c r="F15876" s="615">
        <v>56</v>
      </c>
      <c r="G15876" s="691">
        <v>56.1</v>
      </c>
      <c r="H15876" s="691">
        <v>56.3</v>
      </c>
      <c r="I15876" s="691">
        <v>55.7</v>
      </c>
      <c r="J15876" s="691">
        <v>55.7</v>
      </c>
      <c r="K15876" s="691">
        <v>55.9</v>
      </c>
    </row>
    <row r="15877" spans="1:11">
      <c r="A15877" s="688" t="s">
        <v>22</v>
      </c>
      <c r="B15877" s="689">
        <v>50.8</v>
      </c>
      <c r="C15877" s="689">
        <v>50.6</v>
      </c>
      <c r="D15877" s="689">
        <v>50.6</v>
      </c>
      <c r="E15877" s="689">
        <v>50.8</v>
      </c>
      <c r="F15877" s="689">
        <v>50.9</v>
      </c>
      <c r="G15877" s="693">
        <v>51</v>
      </c>
      <c r="H15877" s="689">
        <v>51.3</v>
      </c>
      <c r="I15877" s="693">
        <v>50</v>
      </c>
      <c r="J15877" s="689">
        <v>48.5</v>
      </c>
      <c r="K15877" s="689">
        <v>50.9</v>
      </c>
    </row>
    <row r="15878" spans="1:11">
      <c r="A15878" s="688" t="s">
        <v>26</v>
      </c>
      <c r="B15878" s="691">
        <v>55.1</v>
      </c>
      <c r="C15878" s="691">
        <v>55.1</v>
      </c>
      <c r="D15878" s="691">
        <v>54.9</v>
      </c>
      <c r="E15878" s="691">
        <v>55.3</v>
      </c>
      <c r="F15878" s="691">
        <v>55.2</v>
      </c>
      <c r="G15878" s="691">
        <v>55.4</v>
      </c>
      <c r="H15878" s="691">
        <v>55.6</v>
      </c>
      <c r="I15878" s="691">
        <v>54.7</v>
      </c>
      <c r="J15878" s="691">
        <v>55.1</v>
      </c>
      <c r="K15878" s="691">
        <v>55.3</v>
      </c>
    </row>
    <row r="15879" spans="1:11">
      <c r="A15879" s="688" t="s">
        <v>25</v>
      </c>
      <c r="B15879" s="689">
        <v>51.9</v>
      </c>
      <c r="C15879" s="689">
        <v>52.2</v>
      </c>
      <c r="D15879" s="689">
        <v>51.9</v>
      </c>
      <c r="E15879" s="689">
        <v>52.3</v>
      </c>
      <c r="F15879" s="689">
        <v>52.3</v>
      </c>
      <c r="G15879" s="689">
        <v>52.4</v>
      </c>
      <c r="H15879" s="689">
        <v>52.8</v>
      </c>
      <c r="I15879" s="689">
        <v>52.1</v>
      </c>
      <c r="J15879" s="689">
        <v>49.9</v>
      </c>
      <c r="K15879" s="689">
        <v>52.1</v>
      </c>
    </row>
    <row r="15880" spans="1:11">
      <c r="A15880" s="688" t="s">
        <v>5</v>
      </c>
      <c r="B15880" s="691">
        <v>55.6</v>
      </c>
      <c r="C15880" s="691">
        <v>55.4</v>
      </c>
      <c r="D15880" s="691">
        <v>55.6</v>
      </c>
      <c r="E15880" s="691">
        <v>55.6</v>
      </c>
      <c r="F15880" s="691">
        <v>55.7</v>
      </c>
      <c r="G15880" s="691">
        <v>55.8</v>
      </c>
      <c r="H15880" s="691">
        <v>56.1</v>
      </c>
      <c r="I15880" s="691">
        <v>56.1</v>
      </c>
      <c r="J15880" s="615">
        <v>56</v>
      </c>
      <c r="K15880" s="691">
        <v>55.3</v>
      </c>
    </row>
    <row r="15881" spans="1:11">
      <c r="A15881" s="688" t="s">
        <v>23</v>
      </c>
      <c r="B15881" s="689">
        <v>55.3</v>
      </c>
      <c r="C15881" s="689">
        <v>55.5</v>
      </c>
      <c r="D15881" s="689">
        <v>55.5</v>
      </c>
      <c r="E15881" s="689">
        <v>55.6</v>
      </c>
      <c r="F15881" s="689">
        <v>55.6</v>
      </c>
      <c r="G15881" s="689">
        <v>55.7</v>
      </c>
      <c r="H15881" s="689">
        <v>56.2</v>
      </c>
      <c r="I15881" s="689">
        <v>55.7</v>
      </c>
      <c r="J15881" s="689">
        <v>56.2</v>
      </c>
      <c r="K15881" s="689">
        <v>56.2</v>
      </c>
    </row>
    <row r="15882" spans="1:11">
      <c r="A15882" s="688" t="s">
        <v>4067</v>
      </c>
      <c r="B15882" s="691">
        <v>54.9</v>
      </c>
      <c r="C15882" s="691">
        <v>55.2</v>
      </c>
      <c r="D15882" s="691">
        <v>54.8</v>
      </c>
      <c r="E15882" s="691">
        <v>55.2</v>
      </c>
      <c r="F15882" s="691">
        <v>55.1</v>
      </c>
      <c r="G15882" s="691">
        <v>55.2</v>
      </c>
      <c r="H15882" s="692" t="s">
        <v>4060</v>
      </c>
      <c r="I15882" s="692" t="s">
        <v>4060</v>
      </c>
      <c r="J15882" s="692" t="s">
        <v>4060</v>
      </c>
      <c r="K15882" s="692" t="s">
        <v>4060</v>
      </c>
    </row>
    <row r="15883" spans="1:11">
      <c r="A15883" s="688" t="s">
        <v>4066</v>
      </c>
      <c r="B15883" s="689">
        <v>54.9</v>
      </c>
      <c r="C15883" s="689">
        <v>55.2</v>
      </c>
      <c r="D15883" s="689">
        <v>54.8</v>
      </c>
      <c r="E15883" s="689">
        <v>55.2</v>
      </c>
      <c r="F15883" s="689">
        <v>55.1</v>
      </c>
      <c r="G15883" s="689">
        <v>55.2</v>
      </c>
      <c r="H15883" s="690" t="s">
        <v>4060</v>
      </c>
      <c r="I15883" s="690" t="s">
        <v>4060</v>
      </c>
      <c r="J15883" s="690" t="s">
        <v>4060</v>
      </c>
      <c r="K15883" s="690" t="s">
        <v>4060</v>
      </c>
    </row>
    <row r="15884" spans="1:11">
      <c r="A15884" s="688" t="s">
        <v>4062</v>
      </c>
      <c r="B15884" s="615">
        <v>56</v>
      </c>
      <c r="C15884" s="691">
        <v>56.2</v>
      </c>
      <c r="D15884" s="691">
        <v>56.1</v>
      </c>
      <c r="E15884" s="691">
        <v>56.3</v>
      </c>
      <c r="F15884" s="691">
        <v>56.4</v>
      </c>
      <c r="G15884" s="691">
        <v>56.5</v>
      </c>
      <c r="H15884" s="691">
        <v>56.7</v>
      </c>
      <c r="I15884" s="691">
        <v>56.5</v>
      </c>
      <c r="J15884" s="691">
        <v>56.7</v>
      </c>
      <c r="K15884" s="691">
        <v>56.4</v>
      </c>
    </row>
    <row r="15885" spans="1:11">
      <c r="A15885" s="688" t="s">
        <v>9</v>
      </c>
      <c r="B15885" s="689">
        <v>55.2</v>
      </c>
      <c r="C15885" s="689">
        <v>55.7</v>
      </c>
      <c r="D15885" s="693">
        <v>55</v>
      </c>
      <c r="E15885" s="689">
        <v>55.2</v>
      </c>
      <c r="F15885" s="689">
        <v>55.7</v>
      </c>
      <c r="G15885" s="689">
        <v>55.5</v>
      </c>
      <c r="H15885" s="689">
        <v>55.8</v>
      </c>
      <c r="I15885" s="689">
        <v>55.8</v>
      </c>
      <c r="J15885" s="693">
        <v>56</v>
      </c>
      <c r="K15885" s="693">
        <v>55</v>
      </c>
    </row>
    <row r="15886" spans="1:11">
      <c r="A15886" s="688" t="s">
        <v>13</v>
      </c>
      <c r="B15886" s="691">
        <v>55.9</v>
      </c>
      <c r="C15886" s="691">
        <v>54.9</v>
      </c>
      <c r="D15886" s="691">
        <v>55.9</v>
      </c>
      <c r="E15886" s="691">
        <v>55.6</v>
      </c>
      <c r="F15886" s="691">
        <v>56.8</v>
      </c>
      <c r="G15886" s="691">
        <v>56.9</v>
      </c>
      <c r="H15886" s="691">
        <v>56.8</v>
      </c>
      <c r="I15886" s="691">
        <v>56.1</v>
      </c>
      <c r="J15886" s="691">
        <v>57.1</v>
      </c>
      <c r="K15886" s="691">
        <v>56.8</v>
      </c>
    </row>
    <row r="15887" spans="1:11">
      <c r="A15887" s="688" t="s">
        <v>18</v>
      </c>
      <c r="B15887" s="689">
        <v>55.2</v>
      </c>
      <c r="C15887" s="689">
        <v>55.5</v>
      </c>
      <c r="D15887" s="689">
        <v>55.6</v>
      </c>
      <c r="E15887" s="689">
        <v>55.6</v>
      </c>
      <c r="F15887" s="689">
        <v>55.7</v>
      </c>
      <c r="G15887" s="689">
        <v>55.9</v>
      </c>
      <c r="H15887" s="689">
        <v>56.1</v>
      </c>
      <c r="I15887" s="689">
        <v>56.3</v>
      </c>
      <c r="J15887" s="689">
        <v>56.1</v>
      </c>
      <c r="K15887" s="689">
        <v>55.7</v>
      </c>
    </row>
    <row r="15888" spans="1:11">
      <c r="A15888" s="688" t="s">
        <v>24</v>
      </c>
      <c r="B15888" s="691">
        <v>56.5</v>
      </c>
      <c r="C15888" s="691">
        <v>56.6</v>
      </c>
      <c r="D15888" s="691">
        <v>56.4</v>
      </c>
      <c r="E15888" s="691">
        <v>56.8</v>
      </c>
      <c r="F15888" s="691">
        <v>56.9</v>
      </c>
      <c r="G15888" s="691">
        <v>56.9</v>
      </c>
      <c r="H15888" s="691">
        <v>57.1</v>
      </c>
      <c r="I15888" s="691">
        <v>56.6</v>
      </c>
      <c r="J15888" s="691">
        <v>57.1</v>
      </c>
      <c r="K15888" s="691">
        <v>56.9</v>
      </c>
    </row>
    <row r="15889" spans="1:11">
      <c r="A15889" s="688" t="s">
        <v>4059</v>
      </c>
      <c r="B15889" s="689">
        <v>54.5</v>
      </c>
      <c r="C15889" s="689">
        <v>54.8</v>
      </c>
      <c r="D15889" s="689">
        <v>54.4</v>
      </c>
      <c r="E15889" s="689">
        <v>54.6</v>
      </c>
      <c r="F15889" s="689">
        <v>54.6</v>
      </c>
      <c r="G15889" s="689">
        <v>54.6</v>
      </c>
      <c r="H15889" s="690" t="s">
        <v>4060</v>
      </c>
      <c r="I15889" s="690" t="s">
        <v>4060</v>
      </c>
      <c r="J15889" s="690" t="s">
        <v>4060</v>
      </c>
      <c r="K15889" s="690" t="s">
        <v>4060</v>
      </c>
    </row>
    <row r="15890" spans="1:11">
      <c r="A15890" s="688" t="s">
        <v>2324</v>
      </c>
      <c r="B15890" s="691">
        <v>50.6</v>
      </c>
      <c r="C15890" s="691">
        <v>50.6</v>
      </c>
      <c r="D15890" s="691">
        <v>50.1</v>
      </c>
      <c r="E15890" s="691">
        <v>50.5</v>
      </c>
      <c r="F15890" s="691">
        <v>50.7</v>
      </c>
      <c r="G15890" s="691">
        <v>50.7</v>
      </c>
      <c r="H15890" s="615">
        <v>51</v>
      </c>
      <c r="I15890" s="691">
        <v>50.3</v>
      </c>
      <c r="J15890" s="691">
        <v>48.4</v>
      </c>
      <c r="K15890" s="692" t="s">
        <v>4060</v>
      </c>
    </row>
    <row r="15891" spans="1:11">
      <c r="A15891" s="688" t="s">
        <v>2322</v>
      </c>
      <c r="B15891" s="690" t="s">
        <v>4060</v>
      </c>
      <c r="C15891" s="690" t="s">
        <v>4060</v>
      </c>
      <c r="D15891" s="690" t="s">
        <v>4060</v>
      </c>
      <c r="E15891" s="690" t="s">
        <v>4060</v>
      </c>
      <c r="F15891" s="690" t="s">
        <v>4060</v>
      </c>
      <c r="G15891" s="690" t="s">
        <v>4060</v>
      </c>
      <c r="H15891" s="690" t="s">
        <v>4060</v>
      </c>
      <c r="I15891" s="690" t="s">
        <v>4060</v>
      </c>
      <c r="J15891" s="690" t="s">
        <v>4060</v>
      </c>
      <c r="K15891" s="690" t="s">
        <v>4060</v>
      </c>
    </row>
    <row r="15892" spans="1:11">
      <c r="A15892" s="688" t="s">
        <v>2328</v>
      </c>
      <c r="B15892" s="691">
        <v>49.7</v>
      </c>
      <c r="C15892" s="691">
        <v>49.5</v>
      </c>
      <c r="D15892" s="691">
        <v>49.4</v>
      </c>
      <c r="E15892" s="691">
        <v>49.8</v>
      </c>
      <c r="F15892" s="615">
        <v>50</v>
      </c>
      <c r="G15892" s="691">
        <v>50.4</v>
      </c>
      <c r="H15892" s="691">
        <v>50.3</v>
      </c>
      <c r="I15892" s="691">
        <v>48.5</v>
      </c>
      <c r="J15892" s="691">
        <v>47.1</v>
      </c>
      <c r="K15892" s="692" t="s">
        <v>4060</v>
      </c>
    </row>
    <row r="15893" spans="1:11">
      <c r="A15893" s="688" t="s">
        <v>2496</v>
      </c>
      <c r="B15893" s="690" t="s">
        <v>4060</v>
      </c>
      <c r="C15893" s="689">
        <v>50.5</v>
      </c>
      <c r="D15893" s="689">
        <v>49.6</v>
      </c>
      <c r="E15893" s="689">
        <v>49.3</v>
      </c>
      <c r="F15893" s="693">
        <v>50</v>
      </c>
      <c r="G15893" s="689">
        <v>50.3</v>
      </c>
      <c r="H15893" s="689">
        <v>50.4</v>
      </c>
      <c r="I15893" s="690" t="s">
        <v>4060</v>
      </c>
      <c r="J15893" s="690" t="s">
        <v>4060</v>
      </c>
      <c r="K15893" s="689">
        <v>50.1</v>
      </c>
    </row>
    <row r="15894" spans="1:11">
      <c r="A15894" s="688" t="s">
        <v>2269</v>
      </c>
      <c r="B15894" s="691">
        <v>52.3</v>
      </c>
      <c r="C15894" s="691">
        <v>52.4</v>
      </c>
      <c r="D15894" s="691">
        <v>51.8</v>
      </c>
      <c r="E15894" s="691">
        <v>52.3</v>
      </c>
      <c r="F15894" s="691">
        <v>52.1</v>
      </c>
      <c r="G15894" s="691">
        <v>52.6</v>
      </c>
      <c r="H15894" s="691">
        <v>52.8</v>
      </c>
      <c r="I15894" s="691">
        <v>51.6</v>
      </c>
      <c r="J15894" s="691">
        <v>49.6</v>
      </c>
      <c r="K15894" s="691">
        <v>52.6</v>
      </c>
    </row>
    <row r="15895" spans="1:11">
      <c r="A15895" s="688" t="s">
        <v>2349</v>
      </c>
      <c r="B15895" s="689">
        <v>49.7</v>
      </c>
      <c r="C15895" s="689">
        <v>49.7</v>
      </c>
      <c r="D15895" s="689">
        <v>49.6</v>
      </c>
      <c r="E15895" s="689">
        <v>49.9</v>
      </c>
      <c r="F15895" s="689">
        <v>49.8</v>
      </c>
      <c r="G15895" s="689">
        <v>50.1</v>
      </c>
      <c r="H15895" s="689">
        <v>50.3</v>
      </c>
      <c r="I15895" s="689">
        <v>49.1</v>
      </c>
      <c r="J15895" s="689">
        <v>47.4</v>
      </c>
      <c r="K15895" s="689">
        <v>49.4</v>
      </c>
    </row>
    <row r="15896" spans="1:11">
      <c r="A15896" s="688" t="s">
        <v>2355</v>
      </c>
      <c r="B15896" s="691">
        <v>53.6</v>
      </c>
      <c r="C15896" s="691">
        <v>53.3</v>
      </c>
      <c r="D15896" s="691">
        <v>53.3</v>
      </c>
      <c r="E15896" s="691">
        <v>53.3</v>
      </c>
      <c r="F15896" s="691">
        <v>53.5</v>
      </c>
      <c r="G15896" s="691">
        <v>53.8</v>
      </c>
      <c r="H15896" s="691">
        <v>53.9</v>
      </c>
      <c r="I15896" s="692" t="s">
        <v>4060</v>
      </c>
      <c r="J15896" s="692" t="s">
        <v>4060</v>
      </c>
      <c r="K15896" s="692" t="s">
        <v>4060</v>
      </c>
    </row>
    <row r="15897" spans="1:11">
      <c r="A15897" s="688" t="s">
        <v>2357</v>
      </c>
      <c r="B15897" s="690" t="s">
        <v>4060</v>
      </c>
      <c r="C15897" s="689">
        <v>48.9</v>
      </c>
      <c r="D15897" s="689">
        <v>49.4</v>
      </c>
      <c r="E15897" s="689">
        <v>49.6</v>
      </c>
      <c r="F15897" s="693">
        <v>50</v>
      </c>
      <c r="G15897" s="693">
        <v>50</v>
      </c>
      <c r="H15897" s="689">
        <v>50.2</v>
      </c>
      <c r="I15897" s="690" t="s">
        <v>4060</v>
      </c>
      <c r="J15897" s="690" t="s">
        <v>4060</v>
      </c>
      <c r="K15897" s="690" t="s">
        <v>4060</v>
      </c>
    </row>
    <row r="15898" spans="1:11">
      <c r="A15898" s="688" t="s">
        <v>4070</v>
      </c>
      <c r="B15898" s="692" t="s">
        <v>4060</v>
      </c>
      <c r="C15898" s="692" t="s">
        <v>4060</v>
      </c>
      <c r="D15898" s="692" t="s">
        <v>4060</v>
      </c>
      <c r="E15898" s="691">
        <v>53.4</v>
      </c>
      <c r="F15898" s="692" t="s">
        <v>4060</v>
      </c>
      <c r="G15898" s="692" t="s">
        <v>4060</v>
      </c>
      <c r="H15898" s="692" t="s">
        <v>4060</v>
      </c>
      <c r="I15898" s="692" t="s">
        <v>4060</v>
      </c>
      <c r="J15898" s="692" t="s">
        <v>4060</v>
      </c>
      <c r="K15898" s="692" t="s">
        <v>4060</v>
      </c>
    </row>
    <row r="15899" spans="1:11">
      <c r="A15899" s="688" t="s">
        <v>2491</v>
      </c>
      <c r="B15899" s="689">
        <v>49.7</v>
      </c>
      <c r="C15899" s="689">
        <v>50.3</v>
      </c>
      <c r="D15899" s="689">
        <v>50.6</v>
      </c>
      <c r="E15899" s="689">
        <v>50.8</v>
      </c>
      <c r="F15899" s="693">
        <v>51</v>
      </c>
      <c r="G15899" s="693">
        <v>51</v>
      </c>
      <c r="H15899" s="690" t="s">
        <v>4060</v>
      </c>
      <c r="I15899" s="690" t="s">
        <v>4060</v>
      </c>
      <c r="J15899" s="690" t="s">
        <v>4060</v>
      </c>
      <c r="K15899" s="690" t="s">
        <v>4060</v>
      </c>
    </row>
    <row r="15900" spans="1:11">
      <c r="A15900" s="688" t="s">
        <v>2343</v>
      </c>
      <c r="B15900" s="692" t="s">
        <v>4060</v>
      </c>
      <c r="C15900" s="692" t="s">
        <v>4060</v>
      </c>
      <c r="D15900" s="692" t="s">
        <v>4060</v>
      </c>
      <c r="E15900" s="692" t="s">
        <v>4060</v>
      </c>
      <c r="F15900" s="692" t="s">
        <v>4060</v>
      </c>
      <c r="G15900" s="692" t="s">
        <v>4060</v>
      </c>
      <c r="H15900" s="692" t="s">
        <v>4060</v>
      </c>
      <c r="I15900" s="692" t="s">
        <v>4060</v>
      </c>
      <c r="J15900" s="692" t="s">
        <v>4060</v>
      </c>
      <c r="K15900" s="692" t="s">
        <v>4060</v>
      </c>
    </row>
    <row r="15901" spans="1:11">
      <c r="A15901" s="688" t="s">
        <v>4071</v>
      </c>
      <c r="B15901" s="690" t="s">
        <v>4060</v>
      </c>
      <c r="C15901" s="690" t="s">
        <v>4060</v>
      </c>
      <c r="D15901" s="690" t="s">
        <v>4060</v>
      </c>
      <c r="E15901" s="690" t="s">
        <v>4060</v>
      </c>
      <c r="F15901" s="690" t="s">
        <v>4060</v>
      </c>
      <c r="G15901" s="690" t="s">
        <v>4060</v>
      </c>
      <c r="H15901" s="690" t="s">
        <v>4060</v>
      </c>
      <c r="I15901" s="690" t="s">
        <v>4060</v>
      </c>
      <c r="J15901" s="690" t="s">
        <v>4060</v>
      </c>
      <c r="K15901" s="690" t="s">
        <v>4060</v>
      </c>
    </row>
    <row r="15902" spans="1:11">
      <c r="A15902" s="688" t="s">
        <v>2489</v>
      </c>
      <c r="B15902" s="692" t="s">
        <v>4060</v>
      </c>
      <c r="C15902" s="692" t="s">
        <v>4060</v>
      </c>
      <c r="D15902" s="691">
        <v>50.2</v>
      </c>
      <c r="E15902" s="691">
        <v>50.4</v>
      </c>
      <c r="F15902" s="691">
        <v>50.9</v>
      </c>
      <c r="G15902" s="691">
        <v>51.6</v>
      </c>
      <c r="H15902" s="691">
        <v>51.6</v>
      </c>
      <c r="I15902" s="692" t="s">
        <v>4060</v>
      </c>
      <c r="J15902" s="692" t="s">
        <v>4060</v>
      </c>
      <c r="K15902" s="692" t="s">
        <v>4060</v>
      </c>
    </row>
    <row r="15903" spans="1:11">
      <c r="A15903" s="688" t="s">
        <v>2490</v>
      </c>
      <c r="B15903" s="689">
        <v>49.6</v>
      </c>
      <c r="C15903" s="689">
        <v>49.6</v>
      </c>
      <c r="D15903" s="689">
        <v>50.1</v>
      </c>
      <c r="E15903" s="690" t="s">
        <v>4060</v>
      </c>
      <c r="F15903" s="689">
        <v>50.3</v>
      </c>
      <c r="G15903" s="689">
        <v>50.7</v>
      </c>
      <c r="H15903" s="689">
        <v>51.3</v>
      </c>
      <c r="I15903" s="690" t="s">
        <v>4060</v>
      </c>
      <c r="J15903" s="690" t="s">
        <v>4060</v>
      </c>
      <c r="K15903" s="690" t="s">
        <v>4060</v>
      </c>
    </row>
    <row r="15905" spans="1:11">
      <c r="A15905" s="683" t="s">
        <v>4233</v>
      </c>
    </row>
    <row r="15906" spans="1:11">
      <c r="A15906" s="683" t="s">
        <v>4060</v>
      </c>
      <c r="B15906" s="682" t="s">
        <v>4234</v>
      </c>
    </row>
    <row r="15908" spans="1:11">
      <c r="A15908" s="682" t="s">
        <v>4332</v>
      </c>
    </row>
    <row r="15909" spans="1:11">
      <c r="A15909" s="682" t="s">
        <v>4210</v>
      </c>
      <c r="B15909" s="683" t="s">
        <v>4211</v>
      </c>
    </row>
    <row r="15910" spans="1:11">
      <c r="A15910" s="682" t="s">
        <v>4212</v>
      </c>
      <c r="B15910" s="682" t="s">
        <v>4213</v>
      </c>
    </row>
    <row r="15912" spans="1:11">
      <c r="A15912" s="683" t="s">
        <v>4214</v>
      </c>
      <c r="C15912" s="682" t="s">
        <v>4215</v>
      </c>
    </row>
    <row r="15913" spans="1:11">
      <c r="A15913" s="683" t="s">
        <v>4216</v>
      </c>
      <c r="C15913" s="682" t="s">
        <v>2967</v>
      </c>
    </row>
    <row r="15914" spans="1:11">
      <c r="A15914" s="683" t="s">
        <v>3893</v>
      </c>
      <c r="C15914" s="682" t="s">
        <v>2169</v>
      </c>
    </row>
    <row r="15915" spans="1:11">
      <c r="A15915" s="683" t="s">
        <v>4218</v>
      </c>
      <c r="C15915" s="682" t="s">
        <v>4265</v>
      </c>
    </row>
    <row r="15917" spans="1:11">
      <c r="A15917" s="684" t="s">
        <v>4220</v>
      </c>
      <c r="B15917" s="685" t="s">
        <v>4221</v>
      </c>
      <c r="C15917" s="685" t="s">
        <v>4222</v>
      </c>
      <c r="D15917" s="685" t="s">
        <v>4223</v>
      </c>
      <c r="E15917" s="685" t="s">
        <v>4224</v>
      </c>
      <c r="F15917" s="685" t="s">
        <v>4225</v>
      </c>
      <c r="G15917" s="685" t="s">
        <v>4226</v>
      </c>
      <c r="H15917" s="685" t="s">
        <v>4227</v>
      </c>
      <c r="I15917" s="685" t="s">
        <v>4228</v>
      </c>
      <c r="J15917" s="685" t="s">
        <v>4229</v>
      </c>
      <c r="K15917" s="685" t="s">
        <v>4230</v>
      </c>
    </row>
    <row r="15918" spans="1:11">
      <c r="A15918" s="686" t="s">
        <v>4231</v>
      </c>
      <c r="B15918" s="687" t="s">
        <v>4232</v>
      </c>
      <c r="C15918" s="687" t="s">
        <v>4232</v>
      </c>
      <c r="D15918" s="687" t="s">
        <v>4232</v>
      </c>
      <c r="E15918" s="687" t="s">
        <v>4232</v>
      </c>
      <c r="F15918" s="687" t="s">
        <v>4232</v>
      </c>
      <c r="G15918" s="687" t="s">
        <v>4232</v>
      </c>
      <c r="H15918" s="687" t="s">
        <v>4232</v>
      </c>
      <c r="I15918" s="687" t="s">
        <v>4232</v>
      </c>
      <c r="J15918" s="687" t="s">
        <v>4232</v>
      </c>
      <c r="K15918" s="687" t="s">
        <v>4232</v>
      </c>
    </row>
    <row r="15919" spans="1:11">
      <c r="A15919" s="688" t="s">
        <v>4064</v>
      </c>
      <c r="B15919" s="689">
        <v>53.9</v>
      </c>
      <c r="C15919" s="689">
        <v>53.9</v>
      </c>
      <c r="D15919" s="689">
        <v>53.9</v>
      </c>
      <c r="E15919" s="693">
        <v>54</v>
      </c>
      <c r="F15919" s="693">
        <v>54</v>
      </c>
      <c r="G15919" s="689">
        <v>54.1</v>
      </c>
      <c r="H15919" s="689">
        <v>54.3</v>
      </c>
      <c r="I15919" s="689">
        <v>53.6</v>
      </c>
      <c r="J15919" s="689">
        <v>53.3</v>
      </c>
      <c r="K15919" s="689">
        <v>53.8</v>
      </c>
    </row>
    <row r="15920" spans="1:11">
      <c r="A15920" s="688" t="s">
        <v>4065</v>
      </c>
      <c r="B15920" s="691">
        <v>53.9</v>
      </c>
      <c r="C15920" s="691">
        <v>54.2</v>
      </c>
      <c r="D15920" s="691">
        <v>53.8</v>
      </c>
      <c r="E15920" s="691">
        <v>54.2</v>
      </c>
      <c r="F15920" s="691">
        <v>54.1</v>
      </c>
      <c r="G15920" s="691">
        <v>54.2</v>
      </c>
      <c r="H15920" s="692" t="s">
        <v>4060</v>
      </c>
      <c r="I15920" s="692" t="s">
        <v>4060</v>
      </c>
      <c r="J15920" s="692" t="s">
        <v>4060</v>
      </c>
      <c r="K15920" s="692" t="s">
        <v>4060</v>
      </c>
    </row>
    <row r="15921" spans="1:11">
      <c r="A15921" s="688" t="s">
        <v>4063</v>
      </c>
      <c r="B15921" s="689">
        <v>53.9</v>
      </c>
      <c r="C15921" s="689">
        <v>54.3</v>
      </c>
      <c r="D15921" s="689">
        <v>53.9</v>
      </c>
      <c r="E15921" s="689">
        <v>54.2</v>
      </c>
      <c r="F15921" s="689">
        <v>54.1</v>
      </c>
      <c r="G15921" s="689">
        <v>54.2</v>
      </c>
      <c r="H15921" s="690" t="s">
        <v>4060</v>
      </c>
      <c r="I15921" s="690" t="s">
        <v>4060</v>
      </c>
      <c r="J15921" s="690" t="s">
        <v>4060</v>
      </c>
      <c r="K15921" s="690" t="s">
        <v>4060</v>
      </c>
    </row>
    <row r="15922" spans="1:11">
      <c r="A15922" s="688" t="s">
        <v>4069</v>
      </c>
      <c r="B15922" s="692" t="s">
        <v>4060</v>
      </c>
      <c r="C15922" s="691">
        <v>54.7</v>
      </c>
      <c r="D15922" s="691">
        <v>54.4</v>
      </c>
      <c r="E15922" s="691">
        <v>54.8</v>
      </c>
      <c r="F15922" s="691">
        <v>54.7</v>
      </c>
      <c r="G15922" s="691">
        <v>54.9</v>
      </c>
      <c r="H15922" s="691">
        <v>55.1</v>
      </c>
      <c r="I15922" s="691">
        <v>54.5</v>
      </c>
      <c r="J15922" s="691">
        <v>54.5</v>
      </c>
      <c r="K15922" s="691">
        <v>54.5</v>
      </c>
    </row>
    <row r="15923" spans="1:11">
      <c r="A15923" s="688" t="s">
        <v>4068</v>
      </c>
      <c r="B15923" s="689">
        <v>54.8</v>
      </c>
      <c r="C15923" s="690" t="s">
        <v>4060</v>
      </c>
      <c r="D15923" s="690" t="s">
        <v>4060</v>
      </c>
      <c r="E15923" s="690" t="s">
        <v>4060</v>
      </c>
      <c r="F15923" s="690" t="s">
        <v>4060</v>
      </c>
      <c r="G15923" s="690" t="s">
        <v>4060</v>
      </c>
      <c r="H15923" s="690" t="s">
        <v>4060</v>
      </c>
      <c r="I15923" s="690" t="s">
        <v>4060</v>
      </c>
      <c r="J15923" s="690" t="s">
        <v>4060</v>
      </c>
      <c r="K15923" s="690" t="s">
        <v>4060</v>
      </c>
    </row>
    <row r="15924" spans="1:11">
      <c r="A15924" s="688" t="s">
        <v>0</v>
      </c>
      <c r="B15924" s="691">
        <v>53.8</v>
      </c>
      <c r="C15924" s="615">
        <v>54</v>
      </c>
      <c r="D15924" s="691">
        <v>53.7</v>
      </c>
      <c r="E15924" s="691">
        <v>54.2</v>
      </c>
      <c r="F15924" s="691">
        <v>54.2</v>
      </c>
      <c r="G15924" s="691">
        <v>54.3</v>
      </c>
      <c r="H15924" s="691">
        <v>54.6</v>
      </c>
      <c r="I15924" s="691">
        <v>53.6</v>
      </c>
      <c r="J15924" s="691">
        <v>54.6</v>
      </c>
      <c r="K15924" s="691">
        <v>54.3</v>
      </c>
    </row>
    <row r="15925" spans="1:11">
      <c r="A15925" s="688" t="s">
        <v>1</v>
      </c>
      <c r="B15925" s="689">
        <v>49.6</v>
      </c>
      <c r="C15925" s="693">
        <v>49</v>
      </c>
      <c r="D15925" s="689">
        <v>49.1</v>
      </c>
      <c r="E15925" s="689">
        <v>49.3</v>
      </c>
      <c r="F15925" s="689">
        <v>49.2</v>
      </c>
      <c r="G15925" s="689">
        <v>49.3</v>
      </c>
      <c r="H15925" s="689">
        <v>49.5</v>
      </c>
      <c r="I15925" s="689">
        <v>48.1</v>
      </c>
      <c r="J15925" s="693">
        <v>46</v>
      </c>
      <c r="K15925" s="689">
        <v>48.8</v>
      </c>
    </row>
    <row r="15926" spans="1:11">
      <c r="A15926" s="688" t="s">
        <v>2240</v>
      </c>
      <c r="B15926" s="691">
        <v>51.8</v>
      </c>
      <c r="C15926" s="691">
        <v>52.2</v>
      </c>
      <c r="D15926" s="691">
        <v>51.9</v>
      </c>
      <c r="E15926" s="691">
        <v>52.4</v>
      </c>
      <c r="F15926" s="691">
        <v>52.3</v>
      </c>
      <c r="G15926" s="691">
        <v>52.4</v>
      </c>
      <c r="H15926" s="691">
        <v>52.6</v>
      </c>
      <c r="I15926" s="691">
        <v>51.8</v>
      </c>
      <c r="J15926" s="615">
        <v>51</v>
      </c>
      <c r="K15926" s="691">
        <v>52.4</v>
      </c>
    </row>
    <row r="15927" spans="1:11">
      <c r="A15927" s="688" t="s">
        <v>2</v>
      </c>
      <c r="B15927" s="689">
        <v>52.9</v>
      </c>
      <c r="C15927" s="689">
        <v>53.2</v>
      </c>
      <c r="D15927" s="689">
        <v>53.2</v>
      </c>
      <c r="E15927" s="689">
        <v>53.3</v>
      </c>
      <c r="F15927" s="689">
        <v>53.6</v>
      </c>
      <c r="G15927" s="689">
        <v>53.4</v>
      </c>
      <c r="H15927" s="689">
        <v>53.9</v>
      </c>
      <c r="I15927" s="693">
        <v>54</v>
      </c>
      <c r="J15927" s="689">
        <v>53.8</v>
      </c>
      <c r="K15927" s="689">
        <v>53.7</v>
      </c>
    </row>
    <row r="15928" spans="1:11">
      <c r="A15928" s="688" t="s">
        <v>3</v>
      </c>
      <c r="B15928" s="691">
        <v>53.6</v>
      </c>
      <c r="C15928" s="691">
        <v>53.9</v>
      </c>
      <c r="D15928" s="691">
        <v>53.5</v>
      </c>
      <c r="E15928" s="691">
        <v>53.8</v>
      </c>
      <c r="F15928" s="691">
        <v>53.8</v>
      </c>
      <c r="G15928" s="691">
        <v>53.8</v>
      </c>
      <c r="H15928" s="691">
        <v>54.1</v>
      </c>
      <c r="I15928" s="691">
        <v>53.9</v>
      </c>
      <c r="J15928" s="691">
        <v>53.7</v>
      </c>
      <c r="K15928" s="691">
        <v>53.4</v>
      </c>
    </row>
    <row r="15929" spans="1:11">
      <c r="A15929" s="688" t="s">
        <v>4061</v>
      </c>
      <c r="B15929" s="689">
        <v>53.6</v>
      </c>
      <c r="C15929" s="689">
        <v>53.9</v>
      </c>
      <c r="D15929" s="689">
        <v>53.5</v>
      </c>
      <c r="E15929" s="689">
        <v>53.8</v>
      </c>
      <c r="F15929" s="689">
        <v>53.8</v>
      </c>
      <c r="G15929" s="689">
        <v>53.8</v>
      </c>
      <c r="H15929" s="689">
        <v>54.1</v>
      </c>
      <c r="I15929" s="689">
        <v>53.9</v>
      </c>
      <c r="J15929" s="689">
        <v>53.7</v>
      </c>
      <c r="K15929" s="689">
        <v>53.4</v>
      </c>
    </row>
    <row r="15930" spans="1:11">
      <c r="A15930" s="688" t="s">
        <v>4</v>
      </c>
      <c r="B15930" s="691">
        <v>52.4</v>
      </c>
      <c r="C15930" s="691">
        <v>52.2</v>
      </c>
      <c r="D15930" s="691">
        <v>52.5</v>
      </c>
      <c r="E15930" s="691">
        <v>52.6</v>
      </c>
      <c r="F15930" s="691">
        <v>52.9</v>
      </c>
      <c r="G15930" s="691">
        <v>52.9</v>
      </c>
      <c r="H15930" s="691">
        <v>53.3</v>
      </c>
      <c r="I15930" s="691">
        <v>53.2</v>
      </c>
      <c r="J15930" s="691">
        <v>51.9</v>
      </c>
      <c r="K15930" s="691">
        <v>52.8</v>
      </c>
    </row>
    <row r="15931" spans="1:11">
      <c r="A15931" s="688" t="s">
        <v>8</v>
      </c>
      <c r="B15931" s="689">
        <v>53.6</v>
      </c>
      <c r="C15931" s="689">
        <v>53.8</v>
      </c>
      <c r="D15931" s="689">
        <v>53.8</v>
      </c>
      <c r="E15931" s="689">
        <v>53.9</v>
      </c>
      <c r="F15931" s="689">
        <v>54.3</v>
      </c>
      <c r="G15931" s="689">
        <v>54.4</v>
      </c>
      <c r="H15931" s="689">
        <v>54.8</v>
      </c>
      <c r="I15931" s="689">
        <v>54.5</v>
      </c>
      <c r="J15931" s="689">
        <v>54.5</v>
      </c>
      <c r="K15931" s="689">
        <v>54.5</v>
      </c>
    </row>
    <row r="15932" spans="1:11">
      <c r="A15932" s="688" t="s">
        <v>7</v>
      </c>
      <c r="B15932" s="691">
        <v>54.6</v>
      </c>
      <c r="C15932" s="691">
        <v>54.3</v>
      </c>
      <c r="D15932" s="691">
        <v>54.1</v>
      </c>
      <c r="E15932" s="691">
        <v>54.3</v>
      </c>
      <c r="F15932" s="691">
        <v>54.3</v>
      </c>
      <c r="G15932" s="691">
        <v>54.8</v>
      </c>
      <c r="H15932" s="691">
        <v>54.7</v>
      </c>
      <c r="I15932" s="691">
        <v>54.3</v>
      </c>
      <c r="J15932" s="691">
        <v>53.4</v>
      </c>
      <c r="K15932" s="691">
        <v>53.9</v>
      </c>
    </row>
    <row r="15933" spans="1:11">
      <c r="A15933" s="688" t="s">
        <v>27</v>
      </c>
      <c r="B15933" s="689">
        <v>56.5</v>
      </c>
      <c r="C15933" s="689">
        <v>56.1</v>
      </c>
      <c r="D15933" s="689">
        <v>55.8</v>
      </c>
      <c r="E15933" s="689">
        <v>56.2</v>
      </c>
      <c r="F15933" s="689">
        <v>56.1</v>
      </c>
      <c r="G15933" s="689">
        <v>56.3</v>
      </c>
      <c r="H15933" s="689">
        <v>56.6</v>
      </c>
      <c r="I15933" s="689">
        <v>55.4</v>
      </c>
      <c r="J15933" s="689">
        <v>56.2</v>
      </c>
      <c r="K15933" s="689">
        <v>56.1</v>
      </c>
    </row>
    <row r="15934" spans="1:11">
      <c r="A15934" s="688" t="s">
        <v>6</v>
      </c>
      <c r="B15934" s="691">
        <v>56.2</v>
      </c>
      <c r="C15934" s="615">
        <v>56</v>
      </c>
      <c r="D15934" s="691">
        <v>55.7</v>
      </c>
      <c r="E15934" s="691">
        <v>55.9</v>
      </c>
      <c r="F15934" s="615">
        <v>56</v>
      </c>
      <c r="G15934" s="691">
        <v>56.1</v>
      </c>
      <c r="H15934" s="691">
        <v>56.2</v>
      </c>
      <c r="I15934" s="691">
        <v>55.7</v>
      </c>
      <c r="J15934" s="691">
        <v>55.8</v>
      </c>
      <c r="K15934" s="691">
        <v>55.8</v>
      </c>
    </row>
    <row r="15935" spans="1:11">
      <c r="A15935" s="688" t="s">
        <v>4058</v>
      </c>
      <c r="B15935" s="690" t="s">
        <v>4060</v>
      </c>
      <c r="C15935" s="690" t="s">
        <v>4060</v>
      </c>
      <c r="D15935" s="690" t="s">
        <v>4060</v>
      </c>
      <c r="E15935" s="690" t="s">
        <v>4060</v>
      </c>
      <c r="F15935" s="690" t="s">
        <v>4060</v>
      </c>
      <c r="G15935" s="690" t="s">
        <v>4060</v>
      </c>
      <c r="H15935" s="690" t="s">
        <v>4060</v>
      </c>
      <c r="I15935" s="690" t="s">
        <v>4060</v>
      </c>
      <c r="J15935" s="690" t="s">
        <v>4060</v>
      </c>
      <c r="K15935" s="690" t="s">
        <v>4060</v>
      </c>
    </row>
    <row r="15936" spans="1:11">
      <c r="A15936" s="688" t="s">
        <v>11</v>
      </c>
      <c r="B15936" s="691">
        <v>51.6</v>
      </c>
      <c r="C15936" s="691">
        <v>51.5</v>
      </c>
      <c r="D15936" s="615">
        <v>51</v>
      </c>
      <c r="E15936" s="691">
        <v>51.7</v>
      </c>
      <c r="F15936" s="691">
        <v>51.4</v>
      </c>
      <c r="G15936" s="691">
        <v>51.8</v>
      </c>
      <c r="H15936" s="691">
        <v>51.9</v>
      </c>
      <c r="I15936" s="691">
        <v>51.3</v>
      </c>
      <c r="J15936" s="691">
        <v>50.4</v>
      </c>
      <c r="K15936" s="691">
        <v>51.4</v>
      </c>
    </row>
    <row r="15937" spans="1:11">
      <c r="A15937" s="688" t="s">
        <v>10</v>
      </c>
      <c r="B15937" s="689">
        <v>55.7</v>
      </c>
      <c r="C15937" s="689">
        <v>55.5</v>
      </c>
      <c r="D15937" s="693">
        <v>55</v>
      </c>
      <c r="E15937" s="689">
        <v>55.6</v>
      </c>
      <c r="F15937" s="689">
        <v>55.4</v>
      </c>
      <c r="G15937" s="689">
        <v>55.7</v>
      </c>
      <c r="H15937" s="689">
        <v>55.9</v>
      </c>
      <c r="I15937" s="689">
        <v>54.9</v>
      </c>
      <c r="J15937" s="689">
        <v>55.2</v>
      </c>
      <c r="K15937" s="689">
        <v>55.2</v>
      </c>
    </row>
    <row r="15938" spans="1:11">
      <c r="A15938" s="688" t="s">
        <v>30</v>
      </c>
      <c r="B15938" s="691">
        <v>55.2</v>
      </c>
      <c r="C15938" s="691">
        <v>54.5</v>
      </c>
      <c r="D15938" s="691">
        <v>54.2</v>
      </c>
      <c r="E15938" s="691">
        <v>55.3</v>
      </c>
      <c r="F15938" s="691">
        <v>54.8</v>
      </c>
      <c r="G15938" s="691">
        <v>55.2</v>
      </c>
      <c r="H15938" s="615">
        <v>55</v>
      </c>
      <c r="I15938" s="615">
        <v>55</v>
      </c>
      <c r="J15938" s="691">
        <v>54.2</v>
      </c>
      <c r="K15938" s="691">
        <v>54.6</v>
      </c>
    </row>
    <row r="15939" spans="1:11">
      <c r="A15939" s="688" t="s">
        <v>12</v>
      </c>
      <c r="B15939" s="689">
        <v>49.7</v>
      </c>
      <c r="C15939" s="689">
        <v>50.1</v>
      </c>
      <c r="D15939" s="693">
        <v>50</v>
      </c>
      <c r="E15939" s="689">
        <v>50.3</v>
      </c>
      <c r="F15939" s="689">
        <v>50.3</v>
      </c>
      <c r="G15939" s="689">
        <v>50.3</v>
      </c>
      <c r="H15939" s="689">
        <v>50.8</v>
      </c>
      <c r="I15939" s="689">
        <v>50.6</v>
      </c>
      <c r="J15939" s="689">
        <v>48.6</v>
      </c>
      <c r="K15939" s="689">
        <v>50.1</v>
      </c>
    </row>
    <row r="15940" spans="1:11">
      <c r="A15940" s="688" t="s">
        <v>14</v>
      </c>
      <c r="B15940" s="691">
        <v>50.4</v>
      </c>
      <c r="C15940" s="691">
        <v>50.6</v>
      </c>
      <c r="D15940" s="691">
        <v>50.3</v>
      </c>
      <c r="E15940" s="691">
        <v>50.6</v>
      </c>
      <c r="F15940" s="691">
        <v>50.9</v>
      </c>
      <c r="G15940" s="691">
        <v>51.2</v>
      </c>
      <c r="H15940" s="691">
        <v>51.6</v>
      </c>
      <c r="I15940" s="691">
        <v>50.6</v>
      </c>
      <c r="J15940" s="691">
        <v>49.5</v>
      </c>
      <c r="K15940" s="691">
        <v>50.7</v>
      </c>
    </row>
    <row r="15941" spans="1:11">
      <c r="A15941" s="688" t="s">
        <v>15</v>
      </c>
      <c r="B15941" s="689">
        <v>54.5</v>
      </c>
      <c r="C15941" s="689">
        <v>55.1</v>
      </c>
      <c r="D15941" s="689">
        <v>54.4</v>
      </c>
      <c r="E15941" s="689">
        <v>55.2</v>
      </c>
      <c r="F15941" s="689">
        <v>54.4</v>
      </c>
      <c r="G15941" s="689">
        <v>54.9</v>
      </c>
      <c r="H15941" s="689">
        <v>55.2</v>
      </c>
      <c r="I15941" s="693">
        <v>55</v>
      </c>
      <c r="J15941" s="689">
        <v>55.2</v>
      </c>
      <c r="K15941" s="689">
        <v>55.4</v>
      </c>
    </row>
    <row r="15942" spans="1:11">
      <c r="A15942" s="688" t="s">
        <v>29</v>
      </c>
      <c r="B15942" s="691">
        <v>49.8</v>
      </c>
      <c r="C15942" s="691">
        <v>49.8</v>
      </c>
      <c r="D15942" s="691">
        <v>49.4</v>
      </c>
      <c r="E15942" s="615">
        <v>50</v>
      </c>
      <c r="F15942" s="691">
        <v>49.7</v>
      </c>
      <c r="G15942" s="691">
        <v>49.9</v>
      </c>
      <c r="H15942" s="691">
        <v>50.1</v>
      </c>
      <c r="I15942" s="691">
        <v>49.3</v>
      </c>
      <c r="J15942" s="691">
        <v>48.2</v>
      </c>
      <c r="K15942" s="691">
        <v>49.7</v>
      </c>
    </row>
    <row r="15943" spans="1:11">
      <c r="A15943" s="688" t="s">
        <v>16</v>
      </c>
      <c r="B15943" s="689">
        <v>54.8</v>
      </c>
      <c r="C15943" s="689">
        <v>54.5</v>
      </c>
      <c r="D15943" s="689">
        <v>54.5</v>
      </c>
      <c r="E15943" s="689">
        <v>54.6</v>
      </c>
      <c r="F15943" s="689">
        <v>54.7</v>
      </c>
      <c r="G15943" s="689">
        <v>54.6</v>
      </c>
      <c r="H15943" s="689">
        <v>55.1</v>
      </c>
      <c r="I15943" s="689">
        <v>54.7</v>
      </c>
      <c r="J15943" s="689">
        <v>54.4</v>
      </c>
      <c r="K15943" s="689">
        <v>54.7</v>
      </c>
    </row>
    <row r="15944" spans="1:11">
      <c r="A15944" s="688" t="s">
        <v>17</v>
      </c>
      <c r="B15944" s="691">
        <v>53.8</v>
      </c>
      <c r="C15944" s="691">
        <v>53.9</v>
      </c>
      <c r="D15944" s="691">
        <v>53.6</v>
      </c>
      <c r="E15944" s="691">
        <v>53.7</v>
      </c>
      <c r="F15944" s="691">
        <v>53.8</v>
      </c>
      <c r="G15944" s="691">
        <v>53.8</v>
      </c>
      <c r="H15944" s="691">
        <v>54.1</v>
      </c>
      <c r="I15944" s="691">
        <v>53.6</v>
      </c>
      <c r="J15944" s="691">
        <v>53.5</v>
      </c>
      <c r="K15944" s="691">
        <v>53.6</v>
      </c>
    </row>
    <row r="15945" spans="1:11">
      <c r="A15945" s="688" t="s">
        <v>19</v>
      </c>
      <c r="B15945" s="689">
        <v>54.3</v>
      </c>
      <c r="C15945" s="689">
        <v>54.3</v>
      </c>
      <c r="D15945" s="689">
        <v>54.1</v>
      </c>
      <c r="E15945" s="689">
        <v>54.5</v>
      </c>
      <c r="F15945" s="689">
        <v>54.4</v>
      </c>
      <c r="G15945" s="689">
        <v>54.5</v>
      </c>
      <c r="H15945" s="689">
        <v>54.7</v>
      </c>
      <c r="I15945" s="689">
        <v>54.2</v>
      </c>
      <c r="J15945" s="689">
        <v>54.2</v>
      </c>
      <c r="K15945" s="689">
        <v>54.3</v>
      </c>
    </row>
    <row r="15946" spans="1:11">
      <c r="A15946" s="688" t="s">
        <v>20</v>
      </c>
      <c r="B15946" s="691">
        <v>51.9</v>
      </c>
      <c r="C15946" s="691">
        <v>52.1</v>
      </c>
      <c r="D15946" s="691">
        <v>51.9</v>
      </c>
      <c r="E15946" s="691">
        <v>52.3</v>
      </c>
      <c r="F15946" s="691">
        <v>52.2</v>
      </c>
      <c r="G15946" s="691">
        <v>52.1</v>
      </c>
      <c r="H15946" s="691">
        <v>52.3</v>
      </c>
      <c r="I15946" s="691">
        <v>51.2</v>
      </c>
      <c r="J15946" s="691">
        <v>50.1</v>
      </c>
      <c r="K15946" s="691">
        <v>51.7</v>
      </c>
    </row>
    <row r="15947" spans="1:11">
      <c r="A15947" s="688" t="s">
        <v>21</v>
      </c>
      <c r="B15947" s="689">
        <v>54.5</v>
      </c>
      <c r="C15947" s="689">
        <v>54.8</v>
      </c>
      <c r="D15947" s="689">
        <v>54.7</v>
      </c>
      <c r="E15947" s="689">
        <v>54.8</v>
      </c>
      <c r="F15947" s="693">
        <v>55</v>
      </c>
      <c r="G15947" s="689">
        <v>55.1</v>
      </c>
      <c r="H15947" s="689">
        <v>55.3</v>
      </c>
      <c r="I15947" s="689">
        <v>54.7</v>
      </c>
      <c r="J15947" s="689">
        <v>54.7</v>
      </c>
      <c r="K15947" s="689">
        <v>54.9</v>
      </c>
    </row>
    <row r="15948" spans="1:11">
      <c r="A15948" s="688" t="s">
        <v>22</v>
      </c>
      <c r="B15948" s="691">
        <v>49.9</v>
      </c>
      <c r="C15948" s="691">
        <v>49.6</v>
      </c>
      <c r="D15948" s="691">
        <v>49.6</v>
      </c>
      <c r="E15948" s="691">
        <v>49.9</v>
      </c>
      <c r="F15948" s="691">
        <v>49.9</v>
      </c>
      <c r="G15948" s="615">
        <v>50</v>
      </c>
      <c r="H15948" s="691">
        <v>50.3</v>
      </c>
      <c r="I15948" s="615">
        <v>49</v>
      </c>
      <c r="J15948" s="691">
        <v>47.5</v>
      </c>
      <c r="K15948" s="691">
        <v>49.9</v>
      </c>
    </row>
    <row r="15949" spans="1:11">
      <c r="A15949" s="688" t="s">
        <v>26</v>
      </c>
      <c r="B15949" s="689">
        <v>54.1</v>
      </c>
      <c r="C15949" s="689">
        <v>54.1</v>
      </c>
      <c r="D15949" s="689">
        <v>53.9</v>
      </c>
      <c r="E15949" s="689">
        <v>54.4</v>
      </c>
      <c r="F15949" s="689">
        <v>54.2</v>
      </c>
      <c r="G15949" s="689">
        <v>54.4</v>
      </c>
      <c r="H15949" s="689">
        <v>54.6</v>
      </c>
      <c r="I15949" s="689">
        <v>53.7</v>
      </c>
      <c r="J15949" s="689">
        <v>54.1</v>
      </c>
      <c r="K15949" s="689">
        <v>54.3</v>
      </c>
    </row>
    <row r="15950" spans="1:11">
      <c r="A15950" s="688" t="s">
        <v>25</v>
      </c>
      <c r="B15950" s="691">
        <v>50.9</v>
      </c>
      <c r="C15950" s="691">
        <v>51.2</v>
      </c>
      <c r="D15950" s="691">
        <v>50.9</v>
      </c>
      <c r="E15950" s="691">
        <v>51.3</v>
      </c>
      <c r="F15950" s="691">
        <v>51.3</v>
      </c>
      <c r="G15950" s="691">
        <v>51.4</v>
      </c>
      <c r="H15950" s="691">
        <v>51.8</v>
      </c>
      <c r="I15950" s="691">
        <v>51.1</v>
      </c>
      <c r="J15950" s="691">
        <v>48.9</v>
      </c>
      <c r="K15950" s="691">
        <v>51.2</v>
      </c>
    </row>
    <row r="15951" spans="1:11">
      <c r="A15951" s="688" t="s">
        <v>5</v>
      </c>
      <c r="B15951" s="689">
        <v>54.6</v>
      </c>
      <c r="C15951" s="689">
        <v>54.4</v>
      </c>
      <c r="D15951" s="689">
        <v>54.6</v>
      </c>
      <c r="E15951" s="689">
        <v>54.6</v>
      </c>
      <c r="F15951" s="689">
        <v>54.7</v>
      </c>
      <c r="G15951" s="689">
        <v>54.8</v>
      </c>
      <c r="H15951" s="689">
        <v>55.1</v>
      </c>
      <c r="I15951" s="689">
        <v>55.1</v>
      </c>
      <c r="J15951" s="693">
        <v>55</v>
      </c>
      <c r="K15951" s="689">
        <v>54.3</v>
      </c>
    </row>
    <row r="15952" spans="1:11">
      <c r="A15952" s="688" t="s">
        <v>23</v>
      </c>
      <c r="B15952" s="691">
        <v>54.3</v>
      </c>
      <c r="C15952" s="691">
        <v>54.5</v>
      </c>
      <c r="D15952" s="691">
        <v>54.5</v>
      </c>
      <c r="E15952" s="691">
        <v>54.6</v>
      </c>
      <c r="F15952" s="691">
        <v>54.6</v>
      </c>
      <c r="G15952" s="691">
        <v>54.8</v>
      </c>
      <c r="H15952" s="691">
        <v>55.2</v>
      </c>
      <c r="I15952" s="691">
        <v>54.7</v>
      </c>
      <c r="J15952" s="691">
        <v>55.2</v>
      </c>
      <c r="K15952" s="691">
        <v>55.2</v>
      </c>
    </row>
    <row r="15953" spans="1:11">
      <c r="A15953" s="688" t="s">
        <v>4067</v>
      </c>
      <c r="B15953" s="689">
        <v>53.9</v>
      </c>
      <c r="C15953" s="689">
        <v>54.2</v>
      </c>
      <c r="D15953" s="689">
        <v>53.8</v>
      </c>
      <c r="E15953" s="689">
        <v>54.2</v>
      </c>
      <c r="F15953" s="689">
        <v>54.1</v>
      </c>
      <c r="G15953" s="689">
        <v>54.2</v>
      </c>
      <c r="H15953" s="690" t="s">
        <v>4060</v>
      </c>
      <c r="I15953" s="690" t="s">
        <v>4060</v>
      </c>
      <c r="J15953" s="690" t="s">
        <v>4060</v>
      </c>
      <c r="K15953" s="690" t="s">
        <v>4060</v>
      </c>
    </row>
    <row r="15954" spans="1:11">
      <c r="A15954" s="688" t="s">
        <v>4066</v>
      </c>
      <c r="B15954" s="691">
        <v>53.9</v>
      </c>
      <c r="C15954" s="691">
        <v>54.3</v>
      </c>
      <c r="D15954" s="691">
        <v>53.9</v>
      </c>
      <c r="E15954" s="691">
        <v>54.2</v>
      </c>
      <c r="F15954" s="691">
        <v>54.1</v>
      </c>
      <c r="G15954" s="691">
        <v>54.2</v>
      </c>
      <c r="H15954" s="692" t="s">
        <v>4060</v>
      </c>
      <c r="I15954" s="692" t="s">
        <v>4060</v>
      </c>
      <c r="J15954" s="692" t="s">
        <v>4060</v>
      </c>
      <c r="K15954" s="692" t="s">
        <v>4060</v>
      </c>
    </row>
    <row r="15955" spans="1:11">
      <c r="A15955" s="688" t="s">
        <v>4062</v>
      </c>
      <c r="B15955" s="689">
        <v>55.1</v>
      </c>
      <c r="C15955" s="689">
        <v>55.2</v>
      </c>
      <c r="D15955" s="689">
        <v>55.1</v>
      </c>
      <c r="E15955" s="689">
        <v>55.3</v>
      </c>
      <c r="F15955" s="689">
        <v>55.4</v>
      </c>
      <c r="G15955" s="689">
        <v>55.6</v>
      </c>
      <c r="H15955" s="689">
        <v>55.7</v>
      </c>
      <c r="I15955" s="689">
        <v>55.5</v>
      </c>
      <c r="J15955" s="689">
        <v>55.7</v>
      </c>
      <c r="K15955" s="689">
        <v>55.4</v>
      </c>
    </row>
    <row r="15956" spans="1:11">
      <c r="A15956" s="688" t="s">
        <v>9</v>
      </c>
      <c r="B15956" s="691">
        <v>54.2</v>
      </c>
      <c r="C15956" s="691">
        <v>54.7</v>
      </c>
      <c r="D15956" s="615">
        <v>54</v>
      </c>
      <c r="E15956" s="691">
        <v>54.2</v>
      </c>
      <c r="F15956" s="691">
        <v>54.7</v>
      </c>
      <c r="G15956" s="691">
        <v>54.5</v>
      </c>
      <c r="H15956" s="691">
        <v>54.8</v>
      </c>
      <c r="I15956" s="691">
        <v>54.8</v>
      </c>
      <c r="J15956" s="615">
        <v>55</v>
      </c>
      <c r="K15956" s="615">
        <v>54</v>
      </c>
    </row>
    <row r="15957" spans="1:11">
      <c r="A15957" s="688" t="s">
        <v>13</v>
      </c>
      <c r="B15957" s="689">
        <v>54.9</v>
      </c>
      <c r="C15957" s="689">
        <v>53.9</v>
      </c>
      <c r="D15957" s="689">
        <v>54.9</v>
      </c>
      <c r="E15957" s="689">
        <v>54.6</v>
      </c>
      <c r="F15957" s="689">
        <v>55.8</v>
      </c>
      <c r="G15957" s="689">
        <v>55.9</v>
      </c>
      <c r="H15957" s="689">
        <v>55.8</v>
      </c>
      <c r="I15957" s="689">
        <v>55.1</v>
      </c>
      <c r="J15957" s="689">
        <v>56.1</v>
      </c>
      <c r="K15957" s="689">
        <v>55.8</v>
      </c>
    </row>
    <row r="15958" spans="1:11">
      <c r="A15958" s="688" t="s">
        <v>18</v>
      </c>
      <c r="B15958" s="691">
        <v>54.2</v>
      </c>
      <c r="C15958" s="691">
        <v>54.5</v>
      </c>
      <c r="D15958" s="691">
        <v>54.6</v>
      </c>
      <c r="E15958" s="691">
        <v>54.6</v>
      </c>
      <c r="F15958" s="691">
        <v>54.7</v>
      </c>
      <c r="G15958" s="691">
        <v>54.9</v>
      </c>
      <c r="H15958" s="691">
        <v>55.1</v>
      </c>
      <c r="I15958" s="691">
        <v>55.3</v>
      </c>
      <c r="J15958" s="691">
        <v>55.1</v>
      </c>
      <c r="K15958" s="691">
        <v>54.7</v>
      </c>
    </row>
    <row r="15959" spans="1:11">
      <c r="A15959" s="688" t="s">
        <v>24</v>
      </c>
      <c r="B15959" s="689">
        <v>55.5</v>
      </c>
      <c r="C15959" s="689">
        <v>55.7</v>
      </c>
      <c r="D15959" s="689">
        <v>55.4</v>
      </c>
      <c r="E15959" s="689">
        <v>55.8</v>
      </c>
      <c r="F15959" s="689">
        <v>55.9</v>
      </c>
      <c r="G15959" s="693">
        <v>56</v>
      </c>
      <c r="H15959" s="689">
        <v>56.1</v>
      </c>
      <c r="I15959" s="689">
        <v>55.6</v>
      </c>
      <c r="J15959" s="689">
        <v>56.1</v>
      </c>
      <c r="K15959" s="689">
        <v>55.9</v>
      </c>
    </row>
    <row r="15960" spans="1:11">
      <c r="A15960" s="688" t="s">
        <v>4059</v>
      </c>
      <c r="B15960" s="691">
        <v>53.5</v>
      </c>
      <c r="C15960" s="691">
        <v>53.8</v>
      </c>
      <c r="D15960" s="691">
        <v>53.4</v>
      </c>
      <c r="E15960" s="691">
        <v>53.6</v>
      </c>
      <c r="F15960" s="691">
        <v>53.7</v>
      </c>
      <c r="G15960" s="691">
        <v>53.6</v>
      </c>
      <c r="H15960" s="692" t="s">
        <v>4060</v>
      </c>
      <c r="I15960" s="692" t="s">
        <v>4060</v>
      </c>
      <c r="J15960" s="692" t="s">
        <v>4060</v>
      </c>
      <c r="K15960" s="692" t="s">
        <v>4060</v>
      </c>
    </row>
    <row r="15961" spans="1:11">
      <c r="A15961" s="688" t="s">
        <v>2324</v>
      </c>
      <c r="B15961" s="689">
        <v>49.6</v>
      </c>
      <c r="C15961" s="689">
        <v>49.7</v>
      </c>
      <c r="D15961" s="689">
        <v>49.1</v>
      </c>
      <c r="E15961" s="689">
        <v>49.6</v>
      </c>
      <c r="F15961" s="689">
        <v>49.7</v>
      </c>
      <c r="G15961" s="689">
        <v>49.7</v>
      </c>
      <c r="H15961" s="693">
        <v>50</v>
      </c>
      <c r="I15961" s="689">
        <v>49.3</v>
      </c>
      <c r="J15961" s="689">
        <v>47.4</v>
      </c>
      <c r="K15961" s="690" t="s">
        <v>4060</v>
      </c>
    </row>
    <row r="15962" spans="1:11">
      <c r="A15962" s="688" t="s">
        <v>2322</v>
      </c>
      <c r="B15962" s="692" t="s">
        <v>4060</v>
      </c>
      <c r="C15962" s="692" t="s">
        <v>4060</v>
      </c>
      <c r="D15962" s="692" t="s">
        <v>4060</v>
      </c>
      <c r="E15962" s="692" t="s">
        <v>4060</v>
      </c>
      <c r="F15962" s="692" t="s">
        <v>4060</v>
      </c>
      <c r="G15962" s="692" t="s">
        <v>4060</v>
      </c>
      <c r="H15962" s="692" t="s">
        <v>4060</v>
      </c>
      <c r="I15962" s="692" t="s">
        <v>4060</v>
      </c>
      <c r="J15962" s="692" t="s">
        <v>4060</v>
      </c>
      <c r="K15962" s="692" t="s">
        <v>4060</v>
      </c>
    </row>
    <row r="15963" spans="1:11">
      <c r="A15963" s="688" t="s">
        <v>2328</v>
      </c>
      <c r="B15963" s="689">
        <v>48.7</v>
      </c>
      <c r="C15963" s="689">
        <v>48.5</v>
      </c>
      <c r="D15963" s="689">
        <v>48.4</v>
      </c>
      <c r="E15963" s="689">
        <v>48.8</v>
      </c>
      <c r="F15963" s="693">
        <v>49</v>
      </c>
      <c r="G15963" s="689">
        <v>49.4</v>
      </c>
      <c r="H15963" s="689">
        <v>49.3</v>
      </c>
      <c r="I15963" s="689">
        <v>47.5</v>
      </c>
      <c r="J15963" s="689">
        <v>46.2</v>
      </c>
      <c r="K15963" s="690" t="s">
        <v>4060</v>
      </c>
    </row>
    <row r="15964" spans="1:11">
      <c r="A15964" s="688" t="s">
        <v>2496</v>
      </c>
      <c r="B15964" s="692" t="s">
        <v>4060</v>
      </c>
      <c r="C15964" s="691">
        <v>49.5</v>
      </c>
      <c r="D15964" s="691">
        <v>48.6</v>
      </c>
      <c r="E15964" s="691">
        <v>48.3</v>
      </c>
      <c r="F15964" s="615">
        <v>49</v>
      </c>
      <c r="G15964" s="691">
        <v>49.3</v>
      </c>
      <c r="H15964" s="691">
        <v>49.4</v>
      </c>
      <c r="I15964" s="692" t="s">
        <v>4060</v>
      </c>
      <c r="J15964" s="692" t="s">
        <v>4060</v>
      </c>
      <c r="K15964" s="691">
        <v>49.1</v>
      </c>
    </row>
    <row r="15965" spans="1:11">
      <c r="A15965" s="688" t="s">
        <v>2269</v>
      </c>
      <c r="B15965" s="689">
        <v>51.3</v>
      </c>
      <c r="C15965" s="689">
        <v>51.4</v>
      </c>
      <c r="D15965" s="689">
        <v>50.8</v>
      </c>
      <c r="E15965" s="689">
        <v>51.3</v>
      </c>
      <c r="F15965" s="689">
        <v>51.2</v>
      </c>
      <c r="G15965" s="689">
        <v>51.7</v>
      </c>
      <c r="H15965" s="689">
        <v>51.9</v>
      </c>
      <c r="I15965" s="689">
        <v>50.6</v>
      </c>
      <c r="J15965" s="689">
        <v>48.6</v>
      </c>
      <c r="K15965" s="689">
        <v>51.6</v>
      </c>
    </row>
    <row r="15966" spans="1:11">
      <c r="A15966" s="688" t="s">
        <v>2349</v>
      </c>
      <c r="B15966" s="691">
        <v>48.7</v>
      </c>
      <c r="C15966" s="691">
        <v>48.7</v>
      </c>
      <c r="D15966" s="691">
        <v>48.6</v>
      </c>
      <c r="E15966" s="615">
        <v>49</v>
      </c>
      <c r="F15966" s="691">
        <v>48.8</v>
      </c>
      <c r="G15966" s="691">
        <v>49.1</v>
      </c>
      <c r="H15966" s="691">
        <v>49.3</v>
      </c>
      <c r="I15966" s="691">
        <v>48.1</v>
      </c>
      <c r="J15966" s="691">
        <v>46.4</v>
      </c>
      <c r="K15966" s="691">
        <v>48.4</v>
      </c>
    </row>
    <row r="15967" spans="1:11">
      <c r="A15967" s="688" t="s">
        <v>2355</v>
      </c>
      <c r="B15967" s="689">
        <v>52.6</v>
      </c>
      <c r="C15967" s="689">
        <v>52.4</v>
      </c>
      <c r="D15967" s="689">
        <v>52.4</v>
      </c>
      <c r="E15967" s="689">
        <v>52.3</v>
      </c>
      <c r="F15967" s="689">
        <v>52.5</v>
      </c>
      <c r="G15967" s="689">
        <v>52.9</v>
      </c>
      <c r="H15967" s="693">
        <v>53</v>
      </c>
      <c r="I15967" s="690" t="s">
        <v>4060</v>
      </c>
      <c r="J15967" s="690" t="s">
        <v>4060</v>
      </c>
      <c r="K15967" s="690" t="s">
        <v>4060</v>
      </c>
    </row>
    <row r="15968" spans="1:11">
      <c r="A15968" s="688" t="s">
        <v>2357</v>
      </c>
      <c r="B15968" s="692" t="s">
        <v>4060</v>
      </c>
      <c r="C15968" s="691">
        <v>47.9</v>
      </c>
      <c r="D15968" s="691">
        <v>48.4</v>
      </c>
      <c r="E15968" s="691">
        <v>48.7</v>
      </c>
      <c r="F15968" s="615">
        <v>49</v>
      </c>
      <c r="G15968" s="615">
        <v>49</v>
      </c>
      <c r="H15968" s="691">
        <v>49.2</v>
      </c>
      <c r="I15968" s="692" t="s">
        <v>4060</v>
      </c>
      <c r="J15968" s="692" t="s">
        <v>4060</v>
      </c>
      <c r="K15968" s="692" t="s">
        <v>4060</v>
      </c>
    </row>
    <row r="15969" spans="1:11">
      <c r="A15969" s="688" t="s">
        <v>4070</v>
      </c>
      <c r="B15969" s="690" t="s">
        <v>4060</v>
      </c>
      <c r="C15969" s="690" t="s">
        <v>4060</v>
      </c>
      <c r="D15969" s="690" t="s">
        <v>4060</v>
      </c>
      <c r="E15969" s="689">
        <v>52.4</v>
      </c>
      <c r="F15969" s="690" t="s">
        <v>4060</v>
      </c>
      <c r="G15969" s="690" t="s">
        <v>4060</v>
      </c>
      <c r="H15969" s="690" t="s">
        <v>4060</v>
      </c>
      <c r="I15969" s="690" t="s">
        <v>4060</v>
      </c>
      <c r="J15969" s="690" t="s">
        <v>4060</v>
      </c>
      <c r="K15969" s="690" t="s">
        <v>4060</v>
      </c>
    </row>
    <row r="15970" spans="1:11">
      <c r="A15970" s="688" t="s">
        <v>2491</v>
      </c>
      <c r="B15970" s="691">
        <v>48.8</v>
      </c>
      <c r="C15970" s="691">
        <v>49.3</v>
      </c>
      <c r="D15970" s="691">
        <v>49.6</v>
      </c>
      <c r="E15970" s="691">
        <v>49.8</v>
      </c>
      <c r="F15970" s="615">
        <v>50</v>
      </c>
      <c r="G15970" s="615">
        <v>50</v>
      </c>
      <c r="H15970" s="692" t="s">
        <v>4060</v>
      </c>
      <c r="I15970" s="692" t="s">
        <v>4060</v>
      </c>
      <c r="J15970" s="692" t="s">
        <v>4060</v>
      </c>
      <c r="K15970" s="692" t="s">
        <v>4060</v>
      </c>
    </row>
    <row r="15971" spans="1:11">
      <c r="A15971" s="688" t="s">
        <v>2343</v>
      </c>
      <c r="B15971" s="690" t="s">
        <v>4060</v>
      </c>
      <c r="C15971" s="690" t="s">
        <v>4060</v>
      </c>
      <c r="D15971" s="690" t="s">
        <v>4060</v>
      </c>
      <c r="E15971" s="690" t="s">
        <v>4060</v>
      </c>
      <c r="F15971" s="690" t="s">
        <v>4060</v>
      </c>
      <c r="G15971" s="690" t="s">
        <v>4060</v>
      </c>
      <c r="H15971" s="690" t="s">
        <v>4060</v>
      </c>
      <c r="I15971" s="690" t="s">
        <v>4060</v>
      </c>
      <c r="J15971" s="690" t="s">
        <v>4060</v>
      </c>
      <c r="K15971" s="690" t="s">
        <v>4060</v>
      </c>
    </row>
    <row r="15972" spans="1:11">
      <c r="A15972" s="688" t="s">
        <v>4071</v>
      </c>
      <c r="B15972" s="692" t="s">
        <v>4060</v>
      </c>
      <c r="C15972" s="692" t="s">
        <v>4060</v>
      </c>
      <c r="D15972" s="692" t="s">
        <v>4060</v>
      </c>
      <c r="E15972" s="692" t="s">
        <v>4060</v>
      </c>
      <c r="F15972" s="692" t="s">
        <v>4060</v>
      </c>
      <c r="G15972" s="692" t="s">
        <v>4060</v>
      </c>
      <c r="H15972" s="692" t="s">
        <v>4060</v>
      </c>
      <c r="I15972" s="692" t="s">
        <v>4060</v>
      </c>
      <c r="J15972" s="692" t="s">
        <v>4060</v>
      </c>
      <c r="K15972" s="692" t="s">
        <v>4060</v>
      </c>
    </row>
    <row r="15973" spans="1:11">
      <c r="A15973" s="688" t="s">
        <v>2489</v>
      </c>
      <c r="B15973" s="690" t="s">
        <v>4060</v>
      </c>
      <c r="C15973" s="690" t="s">
        <v>4060</v>
      </c>
      <c r="D15973" s="689">
        <v>49.3</v>
      </c>
      <c r="E15973" s="689">
        <v>49.4</v>
      </c>
      <c r="F15973" s="689">
        <v>49.9</v>
      </c>
      <c r="G15973" s="689">
        <v>50.6</v>
      </c>
      <c r="H15973" s="689">
        <v>50.6</v>
      </c>
      <c r="I15973" s="690" t="s">
        <v>4060</v>
      </c>
      <c r="J15973" s="690" t="s">
        <v>4060</v>
      </c>
      <c r="K15973" s="690" t="s">
        <v>4060</v>
      </c>
    </row>
    <row r="15974" spans="1:11">
      <c r="A15974" s="688" t="s">
        <v>2490</v>
      </c>
      <c r="B15974" s="691">
        <v>48.6</v>
      </c>
      <c r="C15974" s="691">
        <v>48.7</v>
      </c>
      <c r="D15974" s="691">
        <v>49.1</v>
      </c>
      <c r="E15974" s="692" t="s">
        <v>4060</v>
      </c>
      <c r="F15974" s="691">
        <v>49.3</v>
      </c>
      <c r="G15974" s="691">
        <v>49.7</v>
      </c>
      <c r="H15974" s="691">
        <v>50.3</v>
      </c>
      <c r="I15974" s="692" t="s">
        <v>4060</v>
      </c>
      <c r="J15974" s="692" t="s">
        <v>4060</v>
      </c>
      <c r="K15974" s="692" t="s">
        <v>4060</v>
      </c>
    </row>
    <row r="15976" spans="1:11">
      <c r="A15976" s="683" t="s">
        <v>4233</v>
      </c>
    </row>
    <row r="15977" spans="1:11">
      <c r="A15977" s="683" t="s">
        <v>4060</v>
      </c>
      <c r="B15977" s="682" t="s">
        <v>4234</v>
      </c>
    </row>
    <row r="15979" spans="1:11">
      <c r="A15979" s="682" t="s">
        <v>4332</v>
      </c>
    </row>
    <row r="15980" spans="1:11">
      <c r="A15980" s="682" t="s">
        <v>4210</v>
      </c>
      <c r="B15980" s="683" t="s">
        <v>4211</v>
      </c>
    </row>
    <row r="15981" spans="1:11">
      <c r="A15981" s="682" t="s">
        <v>4212</v>
      </c>
      <c r="B15981" s="682" t="s">
        <v>4213</v>
      </c>
    </row>
    <row r="15983" spans="1:11">
      <c r="A15983" s="683" t="s">
        <v>4214</v>
      </c>
      <c r="C15983" s="682" t="s">
        <v>4215</v>
      </c>
    </row>
    <row r="15984" spans="1:11">
      <c r="A15984" s="683" t="s">
        <v>4216</v>
      </c>
      <c r="C15984" s="682" t="s">
        <v>2967</v>
      </c>
    </row>
    <row r="15985" spans="1:11">
      <c r="A15985" s="683" t="s">
        <v>3893</v>
      </c>
      <c r="C15985" s="682" t="s">
        <v>2169</v>
      </c>
    </row>
    <row r="15986" spans="1:11">
      <c r="A15986" s="683" t="s">
        <v>4218</v>
      </c>
      <c r="C15986" s="682" t="s">
        <v>4266</v>
      </c>
    </row>
    <row r="15988" spans="1:11">
      <c r="A15988" s="684" t="s">
        <v>4220</v>
      </c>
      <c r="B15988" s="685" t="s">
        <v>4221</v>
      </c>
      <c r="C15988" s="685" t="s">
        <v>4222</v>
      </c>
      <c r="D15988" s="685" t="s">
        <v>4223</v>
      </c>
      <c r="E15988" s="685" t="s">
        <v>4224</v>
      </c>
      <c r="F15988" s="685" t="s">
        <v>4225</v>
      </c>
      <c r="G15988" s="685" t="s">
        <v>4226</v>
      </c>
      <c r="H15988" s="685" t="s">
        <v>4227</v>
      </c>
      <c r="I15988" s="685" t="s">
        <v>4228</v>
      </c>
      <c r="J15988" s="685" t="s">
        <v>4229</v>
      </c>
      <c r="K15988" s="685" t="s">
        <v>4230</v>
      </c>
    </row>
    <row r="15989" spans="1:11">
      <c r="A15989" s="686" t="s">
        <v>4231</v>
      </c>
      <c r="B15989" s="687" t="s">
        <v>4232</v>
      </c>
      <c r="C15989" s="687" t="s">
        <v>4232</v>
      </c>
      <c r="D15989" s="687" t="s">
        <v>4232</v>
      </c>
      <c r="E15989" s="687" t="s">
        <v>4232</v>
      </c>
      <c r="F15989" s="687" t="s">
        <v>4232</v>
      </c>
      <c r="G15989" s="687" t="s">
        <v>4232</v>
      </c>
      <c r="H15989" s="687" t="s">
        <v>4232</v>
      </c>
      <c r="I15989" s="687" t="s">
        <v>4232</v>
      </c>
      <c r="J15989" s="687" t="s">
        <v>4232</v>
      </c>
      <c r="K15989" s="687" t="s">
        <v>4232</v>
      </c>
    </row>
    <row r="15990" spans="1:11">
      <c r="A15990" s="688" t="s">
        <v>4064</v>
      </c>
      <c r="B15990" s="615">
        <v>53</v>
      </c>
      <c r="C15990" s="691">
        <v>52.9</v>
      </c>
      <c r="D15990" s="691">
        <v>52.9</v>
      </c>
      <c r="E15990" s="615">
        <v>53</v>
      </c>
      <c r="F15990" s="615">
        <v>53</v>
      </c>
      <c r="G15990" s="691">
        <v>53.1</v>
      </c>
      <c r="H15990" s="691">
        <v>53.3</v>
      </c>
      <c r="I15990" s="691">
        <v>52.6</v>
      </c>
      <c r="J15990" s="691">
        <v>52.3</v>
      </c>
      <c r="K15990" s="691">
        <v>52.8</v>
      </c>
    </row>
    <row r="15991" spans="1:11">
      <c r="A15991" s="688" t="s">
        <v>4065</v>
      </c>
      <c r="B15991" s="689">
        <v>52.9</v>
      </c>
      <c r="C15991" s="689">
        <v>53.2</v>
      </c>
      <c r="D15991" s="689">
        <v>52.8</v>
      </c>
      <c r="E15991" s="689">
        <v>53.2</v>
      </c>
      <c r="F15991" s="689">
        <v>53.1</v>
      </c>
      <c r="G15991" s="689">
        <v>53.2</v>
      </c>
      <c r="H15991" s="690" t="s">
        <v>4060</v>
      </c>
      <c r="I15991" s="690" t="s">
        <v>4060</v>
      </c>
      <c r="J15991" s="690" t="s">
        <v>4060</v>
      </c>
      <c r="K15991" s="690" t="s">
        <v>4060</v>
      </c>
    </row>
    <row r="15992" spans="1:11">
      <c r="A15992" s="688" t="s">
        <v>4063</v>
      </c>
      <c r="B15992" s="691">
        <v>52.9</v>
      </c>
      <c r="C15992" s="691">
        <v>53.3</v>
      </c>
      <c r="D15992" s="691">
        <v>52.9</v>
      </c>
      <c r="E15992" s="691">
        <v>53.3</v>
      </c>
      <c r="F15992" s="691">
        <v>53.2</v>
      </c>
      <c r="G15992" s="691">
        <v>53.2</v>
      </c>
      <c r="H15992" s="692" t="s">
        <v>4060</v>
      </c>
      <c r="I15992" s="692" t="s">
        <v>4060</v>
      </c>
      <c r="J15992" s="692" t="s">
        <v>4060</v>
      </c>
      <c r="K15992" s="692" t="s">
        <v>4060</v>
      </c>
    </row>
    <row r="15993" spans="1:11">
      <c r="A15993" s="688" t="s">
        <v>4069</v>
      </c>
      <c r="B15993" s="690" t="s">
        <v>4060</v>
      </c>
      <c r="C15993" s="689">
        <v>53.8</v>
      </c>
      <c r="D15993" s="689">
        <v>53.5</v>
      </c>
      <c r="E15993" s="689">
        <v>53.8</v>
      </c>
      <c r="F15993" s="689">
        <v>53.8</v>
      </c>
      <c r="G15993" s="689">
        <v>53.9</v>
      </c>
      <c r="H15993" s="689">
        <v>54.1</v>
      </c>
      <c r="I15993" s="689">
        <v>53.5</v>
      </c>
      <c r="J15993" s="689">
        <v>53.5</v>
      </c>
      <c r="K15993" s="689">
        <v>53.6</v>
      </c>
    </row>
    <row r="15994" spans="1:11">
      <c r="A15994" s="688" t="s">
        <v>4068</v>
      </c>
      <c r="B15994" s="691">
        <v>53.8</v>
      </c>
      <c r="C15994" s="692" t="s">
        <v>4060</v>
      </c>
      <c r="D15994" s="692" t="s">
        <v>4060</v>
      </c>
      <c r="E15994" s="692" t="s">
        <v>4060</v>
      </c>
      <c r="F15994" s="692" t="s">
        <v>4060</v>
      </c>
      <c r="G15994" s="692" t="s">
        <v>4060</v>
      </c>
      <c r="H15994" s="692" t="s">
        <v>4060</v>
      </c>
      <c r="I15994" s="692" t="s">
        <v>4060</v>
      </c>
      <c r="J15994" s="692" t="s">
        <v>4060</v>
      </c>
      <c r="K15994" s="692" t="s">
        <v>4060</v>
      </c>
    </row>
    <row r="15995" spans="1:11">
      <c r="A15995" s="688" t="s">
        <v>0</v>
      </c>
      <c r="B15995" s="689">
        <v>52.8</v>
      </c>
      <c r="C15995" s="689">
        <v>53.1</v>
      </c>
      <c r="D15995" s="689">
        <v>52.7</v>
      </c>
      <c r="E15995" s="689">
        <v>53.2</v>
      </c>
      <c r="F15995" s="689">
        <v>53.3</v>
      </c>
      <c r="G15995" s="689">
        <v>53.3</v>
      </c>
      <c r="H15995" s="689">
        <v>53.6</v>
      </c>
      <c r="I15995" s="689">
        <v>52.6</v>
      </c>
      <c r="J15995" s="689">
        <v>53.6</v>
      </c>
      <c r="K15995" s="689">
        <v>53.3</v>
      </c>
    </row>
    <row r="15996" spans="1:11">
      <c r="A15996" s="688" t="s">
        <v>1</v>
      </c>
      <c r="B15996" s="691">
        <v>48.6</v>
      </c>
      <c r="C15996" s="615">
        <v>48</v>
      </c>
      <c r="D15996" s="691">
        <v>48.1</v>
      </c>
      <c r="E15996" s="691">
        <v>48.3</v>
      </c>
      <c r="F15996" s="691">
        <v>48.2</v>
      </c>
      <c r="G15996" s="691">
        <v>48.4</v>
      </c>
      <c r="H15996" s="691">
        <v>48.5</v>
      </c>
      <c r="I15996" s="691">
        <v>47.2</v>
      </c>
      <c r="J15996" s="691">
        <v>45.1</v>
      </c>
      <c r="K15996" s="691">
        <v>47.8</v>
      </c>
    </row>
    <row r="15997" spans="1:11">
      <c r="A15997" s="688" t="s">
        <v>2240</v>
      </c>
      <c r="B15997" s="689">
        <v>50.8</v>
      </c>
      <c r="C15997" s="689">
        <v>51.2</v>
      </c>
      <c r="D15997" s="693">
        <v>51</v>
      </c>
      <c r="E15997" s="689">
        <v>51.4</v>
      </c>
      <c r="F15997" s="689">
        <v>51.4</v>
      </c>
      <c r="G15997" s="689">
        <v>51.4</v>
      </c>
      <c r="H15997" s="689">
        <v>51.6</v>
      </c>
      <c r="I15997" s="689">
        <v>50.8</v>
      </c>
      <c r="J15997" s="693">
        <v>50</v>
      </c>
      <c r="K15997" s="689">
        <v>51.4</v>
      </c>
    </row>
    <row r="15998" spans="1:11">
      <c r="A15998" s="688" t="s">
        <v>2</v>
      </c>
      <c r="B15998" s="691">
        <v>51.9</v>
      </c>
      <c r="C15998" s="691">
        <v>52.2</v>
      </c>
      <c r="D15998" s="691">
        <v>52.2</v>
      </c>
      <c r="E15998" s="691">
        <v>52.3</v>
      </c>
      <c r="F15998" s="691">
        <v>52.6</v>
      </c>
      <c r="G15998" s="691">
        <v>52.4</v>
      </c>
      <c r="H15998" s="691">
        <v>52.9</v>
      </c>
      <c r="I15998" s="615">
        <v>53</v>
      </c>
      <c r="J15998" s="691">
        <v>52.8</v>
      </c>
      <c r="K15998" s="691">
        <v>52.7</v>
      </c>
    </row>
    <row r="15999" spans="1:11">
      <c r="A15999" s="688" t="s">
        <v>3</v>
      </c>
      <c r="B15999" s="689">
        <v>52.6</v>
      </c>
      <c r="C15999" s="689">
        <v>52.9</v>
      </c>
      <c r="D15999" s="689">
        <v>52.5</v>
      </c>
      <c r="E15999" s="689">
        <v>52.8</v>
      </c>
      <c r="F15999" s="689">
        <v>52.8</v>
      </c>
      <c r="G15999" s="689">
        <v>52.8</v>
      </c>
      <c r="H15999" s="689">
        <v>53.1</v>
      </c>
      <c r="I15999" s="689">
        <v>52.9</v>
      </c>
      <c r="J15999" s="689">
        <v>52.7</v>
      </c>
      <c r="K15999" s="689">
        <v>52.4</v>
      </c>
    </row>
    <row r="16000" spans="1:11">
      <c r="A16000" s="688" t="s">
        <v>4061</v>
      </c>
      <c r="B16000" s="691">
        <v>52.6</v>
      </c>
      <c r="C16000" s="691">
        <v>52.9</v>
      </c>
      <c r="D16000" s="691">
        <v>52.5</v>
      </c>
      <c r="E16000" s="691">
        <v>52.8</v>
      </c>
      <c r="F16000" s="691">
        <v>52.8</v>
      </c>
      <c r="G16000" s="691">
        <v>52.8</v>
      </c>
      <c r="H16000" s="691">
        <v>53.1</v>
      </c>
      <c r="I16000" s="691">
        <v>52.9</v>
      </c>
      <c r="J16000" s="691">
        <v>52.7</v>
      </c>
      <c r="K16000" s="691">
        <v>52.4</v>
      </c>
    </row>
    <row r="16001" spans="1:11">
      <c r="A16001" s="688" t="s">
        <v>4</v>
      </c>
      <c r="B16001" s="689">
        <v>51.4</v>
      </c>
      <c r="C16001" s="689">
        <v>51.2</v>
      </c>
      <c r="D16001" s="689">
        <v>51.5</v>
      </c>
      <c r="E16001" s="689">
        <v>51.7</v>
      </c>
      <c r="F16001" s="689">
        <v>51.9</v>
      </c>
      <c r="G16001" s="689">
        <v>51.9</v>
      </c>
      <c r="H16001" s="689">
        <v>52.3</v>
      </c>
      <c r="I16001" s="689">
        <v>52.2</v>
      </c>
      <c r="J16001" s="689">
        <v>50.9</v>
      </c>
      <c r="K16001" s="689">
        <v>51.9</v>
      </c>
    </row>
    <row r="16002" spans="1:11">
      <c r="A16002" s="688" t="s">
        <v>8</v>
      </c>
      <c r="B16002" s="691">
        <v>52.7</v>
      </c>
      <c r="C16002" s="691">
        <v>52.8</v>
      </c>
      <c r="D16002" s="691">
        <v>52.8</v>
      </c>
      <c r="E16002" s="691">
        <v>52.9</v>
      </c>
      <c r="F16002" s="691">
        <v>53.3</v>
      </c>
      <c r="G16002" s="691">
        <v>53.4</v>
      </c>
      <c r="H16002" s="691">
        <v>53.8</v>
      </c>
      <c r="I16002" s="691">
        <v>53.5</v>
      </c>
      <c r="J16002" s="691">
        <v>53.5</v>
      </c>
      <c r="K16002" s="691">
        <v>53.5</v>
      </c>
    </row>
    <row r="16003" spans="1:11">
      <c r="A16003" s="688" t="s">
        <v>7</v>
      </c>
      <c r="B16003" s="689">
        <v>53.6</v>
      </c>
      <c r="C16003" s="689">
        <v>53.3</v>
      </c>
      <c r="D16003" s="689">
        <v>53.1</v>
      </c>
      <c r="E16003" s="689">
        <v>53.3</v>
      </c>
      <c r="F16003" s="689">
        <v>53.3</v>
      </c>
      <c r="G16003" s="689">
        <v>53.8</v>
      </c>
      <c r="H16003" s="689">
        <v>53.7</v>
      </c>
      <c r="I16003" s="689">
        <v>53.3</v>
      </c>
      <c r="J16003" s="689">
        <v>52.4</v>
      </c>
      <c r="K16003" s="689">
        <v>52.9</v>
      </c>
    </row>
    <row r="16004" spans="1:11">
      <c r="A16004" s="688" t="s">
        <v>27</v>
      </c>
      <c r="B16004" s="691">
        <v>55.5</v>
      </c>
      <c r="C16004" s="691">
        <v>55.1</v>
      </c>
      <c r="D16004" s="691">
        <v>54.8</v>
      </c>
      <c r="E16004" s="691">
        <v>55.2</v>
      </c>
      <c r="F16004" s="691">
        <v>55.1</v>
      </c>
      <c r="G16004" s="691">
        <v>55.3</v>
      </c>
      <c r="H16004" s="691">
        <v>55.6</v>
      </c>
      <c r="I16004" s="691">
        <v>54.4</v>
      </c>
      <c r="J16004" s="691">
        <v>55.3</v>
      </c>
      <c r="K16004" s="691">
        <v>55.2</v>
      </c>
    </row>
    <row r="16005" spans="1:11">
      <c r="A16005" s="688" t="s">
        <v>6</v>
      </c>
      <c r="B16005" s="689">
        <v>55.2</v>
      </c>
      <c r="C16005" s="693">
        <v>55</v>
      </c>
      <c r="D16005" s="689">
        <v>54.7</v>
      </c>
      <c r="E16005" s="693">
        <v>55</v>
      </c>
      <c r="F16005" s="693">
        <v>55</v>
      </c>
      <c r="G16005" s="689">
        <v>55.1</v>
      </c>
      <c r="H16005" s="689">
        <v>55.2</v>
      </c>
      <c r="I16005" s="689">
        <v>54.7</v>
      </c>
      <c r="J16005" s="689">
        <v>54.8</v>
      </c>
      <c r="K16005" s="689">
        <v>54.8</v>
      </c>
    </row>
    <row r="16006" spans="1:11">
      <c r="A16006" s="688" t="s">
        <v>4058</v>
      </c>
      <c r="B16006" s="692" t="s">
        <v>4060</v>
      </c>
      <c r="C16006" s="692" t="s">
        <v>4060</v>
      </c>
      <c r="D16006" s="692" t="s">
        <v>4060</v>
      </c>
      <c r="E16006" s="692" t="s">
        <v>4060</v>
      </c>
      <c r="F16006" s="692" t="s">
        <v>4060</v>
      </c>
      <c r="G16006" s="692" t="s">
        <v>4060</v>
      </c>
      <c r="H16006" s="692" t="s">
        <v>4060</v>
      </c>
      <c r="I16006" s="692" t="s">
        <v>4060</v>
      </c>
      <c r="J16006" s="692" t="s">
        <v>4060</v>
      </c>
      <c r="K16006" s="692" t="s">
        <v>4060</v>
      </c>
    </row>
    <row r="16007" spans="1:11">
      <c r="A16007" s="688" t="s">
        <v>11</v>
      </c>
      <c r="B16007" s="689">
        <v>50.6</v>
      </c>
      <c r="C16007" s="689">
        <v>50.5</v>
      </c>
      <c r="D16007" s="689">
        <v>50.1</v>
      </c>
      <c r="E16007" s="689">
        <v>50.7</v>
      </c>
      <c r="F16007" s="689">
        <v>50.4</v>
      </c>
      <c r="G16007" s="689">
        <v>50.8</v>
      </c>
      <c r="H16007" s="689">
        <v>50.9</v>
      </c>
      <c r="I16007" s="689">
        <v>50.3</v>
      </c>
      <c r="J16007" s="689">
        <v>49.4</v>
      </c>
      <c r="K16007" s="689">
        <v>50.4</v>
      </c>
    </row>
    <row r="16008" spans="1:11">
      <c r="A16008" s="688" t="s">
        <v>10</v>
      </c>
      <c r="B16008" s="691">
        <v>54.7</v>
      </c>
      <c r="C16008" s="691">
        <v>54.5</v>
      </c>
      <c r="D16008" s="615">
        <v>54</v>
      </c>
      <c r="E16008" s="691">
        <v>54.6</v>
      </c>
      <c r="F16008" s="691">
        <v>54.4</v>
      </c>
      <c r="G16008" s="691">
        <v>54.7</v>
      </c>
      <c r="H16008" s="691">
        <v>54.9</v>
      </c>
      <c r="I16008" s="691">
        <v>53.9</v>
      </c>
      <c r="J16008" s="691">
        <v>54.2</v>
      </c>
      <c r="K16008" s="691">
        <v>54.2</v>
      </c>
    </row>
    <row r="16009" spans="1:11">
      <c r="A16009" s="688" t="s">
        <v>30</v>
      </c>
      <c r="B16009" s="689">
        <v>54.2</v>
      </c>
      <c r="C16009" s="689">
        <v>53.6</v>
      </c>
      <c r="D16009" s="689">
        <v>53.2</v>
      </c>
      <c r="E16009" s="689">
        <v>54.3</v>
      </c>
      <c r="F16009" s="689">
        <v>53.8</v>
      </c>
      <c r="G16009" s="689">
        <v>54.2</v>
      </c>
      <c r="H16009" s="693">
        <v>54</v>
      </c>
      <c r="I16009" s="693">
        <v>54</v>
      </c>
      <c r="J16009" s="689">
        <v>53.2</v>
      </c>
      <c r="K16009" s="689">
        <v>53.6</v>
      </c>
    </row>
    <row r="16010" spans="1:11">
      <c r="A16010" s="688" t="s">
        <v>12</v>
      </c>
      <c r="B16010" s="691">
        <v>48.8</v>
      </c>
      <c r="C16010" s="691">
        <v>49.2</v>
      </c>
      <c r="D16010" s="691">
        <v>49.1</v>
      </c>
      <c r="E16010" s="691">
        <v>49.3</v>
      </c>
      <c r="F16010" s="691">
        <v>49.3</v>
      </c>
      <c r="G16010" s="691">
        <v>49.3</v>
      </c>
      <c r="H16010" s="691">
        <v>49.8</v>
      </c>
      <c r="I16010" s="691">
        <v>49.6</v>
      </c>
      <c r="J16010" s="691">
        <v>47.6</v>
      </c>
      <c r="K16010" s="691">
        <v>49.1</v>
      </c>
    </row>
    <row r="16011" spans="1:11">
      <c r="A16011" s="688" t="s">
        <v>14</v>
      </c>
      <c r="B16011" s="689">
        <v>49.4</v>
      </c>
      <c r="C16011" s="689">
        <v>49.7</v>
      </c>
      <c r="D16011" s="689">
        <v>49.4</v>
      </c>
      <c r="E16011" s="689">
        <v>49.7</v>
      </c>
      <c r="F16011" s="689">
        <v>49.9</v>
      </c>
      <c r="G16011" s="689">
        <v>50.2</v>
      </c>
      <c r="H16011" s="689">
        <v>50.6</v>
      </c>
      <c r="I16011" s="689">
        <v>49.6</v>
      </c>
      <c r="J16011" s="689">
        <v>48.5</v>
      </c>
      <c r="K16011" s="689">
        <v>49.8</v>
      </c>
    </row>
    <row r="16012" spans="1:11">
      <c r="A16012" s="688" t="s">
        <v>15</v>
      </c>
      <c r="B16012" s="691">
        <v>53.5</v>
      </c>
      <c r="C16012" s="691">
        <v>54.2</v>
      </c>
      <c r="D16012" s="691">
        <v>53.5</v>
      </c>
      <c r="E16012" s="691">
        <v>54.2</v>
      </c>
      <c r="F16012" s="691">
        <v>53.4</v>
      </c>
      <c r="G16012" s="691">
        <v>53.9</v>
      </c>
      <c r="H16012" s="691">
        <v>54.2</v>
      </c>
      <c r="I16012" s="615">
        <v>54</v>
      </c>
      <c r="J16012" s="691">
        <v>54.3</v>
      </c>
      <c r="K16012" s="691">
        <v>54.4</v>
      </c>
    </row>
    <row r="16013" spans="1:11">
      <c r="A16013" s="688" t="s">
        <v>29</v>
      </c>
      <c r="B16013" s="689">
        <v>48.8</v>
      </c>
      <c r="C16013" s="689">
        <v>48.8</v>
      </c>
      <c r="D16013" s="689">
        <v>48.5</v>
      </c>
      <c r="E16013" s="689">
        <v>49.1</v>
      </c>
      <c r="F16013" s="689">
        <v>48.7</v>
      </c>
      <c r="G16013" s="689">
        <v>48.9</v>
      </c>
      <c r="H16013" s="689">
        <v>49.1</v>
      </c>
      <c r="I16013" s="689">
        <v>48.4</v>
      </c>
      <c r="J16013" s="689">
        <v>47.2</v>
      </c>
      <c r="K16013" s="689">
        <v>48.8</v>
      </c>
    </row>
    <row r="16014" spans="1:11">
      <c r="A16014" s="688" t="s">
        <v>16</v>
      </c>
      <c r="B16014" s="691">
        <v>53.8</v>
      </c>
      <c r="C16014" s="691">
        <v>53.6</v>
      </c>
      <c r="D16014" s="691">
        <v>53.6</v>
      </c>
      <c r="E16014" s="691">
        <v>53.6</v>
      </c>
      <c r="F16014" s="691">
        <v>53.7</v>
      </c>
      <c r="G16014" s="691">
        <v>53.6</v>
      </c>
      <c r="H16014" s="691">
        <v>54.1</v>
      </c>
      <c r="I16014" s="691">
        <v>53.7</v>
      </c>
      <c r="J16014" s="691">
        <v>53.4</v>
      </c>
      <c r="K16014" s="691">
        <v>53.7</v>
      </c>
    </row>
    <row r="16015" spans="1:11">
      <c r="A16015" s="688" t="s">
        <v>17</v>
      </c>
      <c r="B16015" s="689">
        <v>52.8</v>
      </c>
      <c r="C16015" s="689">
        <v>52.9</v>
      </c>
      <c r="D16015" s="689">
        <v>52.6</v>
      </c>
      <c r="E16015" s="689">
        <v>52.7</v>
      </c>
      <c r="F16015" s="689">
        <v>52.8</v>
      </c>
      <c r="G16015" s="689">
        <v>52.8</v>
      </c>
      <c r="H16015" s="689">
        <v>53.1</v>
      </c>
      <c r="I16015" s="689">
        <v>52.6</v>
      </c>
      <c r="J16015" s="689">
        <v>52.5</v>
      </c>
      <c r="K16015" s="689">
        <v>52.6</v>
      </c>
    </row>
    <row r="16016" spans="1:11">
      <c r="A16016" s="688" t="s">
        <v>19</v>
      </c>
      <c r="B16016" s="691">
        <v>53.3</v>
      </c>
      <c r="C16016" s="691">
        <v>53.3</v>
      </c>
      <c r="D16016" s="691">
        <v>53.1</v>
      </c>
      <c r="E16016" s="691">
        <v>53.5</v>
      </c>
      <c r="F16016" s="691">
        <v>53.4</v>
      </c>
      <c r="G16016" s="691">
        <v>53.5</v>
      </c>
      <c r="H16016" s="691">
        <v>53.7</v>
      </c>
      <c r="I16016" s="691">
        <v>53.3</v>
      </c>
      <c r="J16016" s="691">
        <v>53.2</v>
      </c>
      <c r="K16016" s="691">
        <v>53.3</v>
      </c>
    </row>
    <row r="16017" spans="1:11">
      <c r="A16017" s="688" t="s">
        <v>20</v>
      </c>
      <c r="B16017" s="689">
        <v>50.9</v>
      </c>
      <c r="C16017" s="689">
        <v>51.1</v>
      </c>
      <c r="D16017" s="689">
        <v>50.9</v>
      </c>
      <c r="E16017" s="689">
        <v>51.3</v>
      </c>
      <c r="F16017" s="689">
        <v>51.2</v>
      </c>
      <c r="G16017" s="689">
        <v>51.1</v>
      </c>
      <c r="H16017" s="689">
        <v>51.4</v>
      </c>
      <c r="I16017" s="689">
        <v>50.2</v>
      </c>
      <c r="J16017" s="689">
        <v>49.2</v>
      </c>
      <c r="K16017" s="689">
        <v>50.7</v>
      </c>
    </row>
    <row r="16018" spans="1:11">
      <c r="A16018" s="688" t="s">
        <v>21</v>
      </c>
      <c r="B16018" s="691">
        <v>53.6</v>
      </c>
      <c r="C16018" s="691">
        <v>53.8</v>
      </c>
      <c r="D16018" s="691">
        <v>53.7</v>
      </c>
      <c r="E16018" s="691">
        <v>53.8</v>
      </c>
      <c r="F16018" s="615">
        <v>54</v>
      </c>
      <c r="G16018" s="691">
        <v>54.1</v>
      </c>
      <c r="H16018" s="691">
        <v>54.3</v>
      </c>
      <c r="I16018" s="691">
        <v>53.7</v>
      </c>
      <c r="J16018" s="691">
        <v>53.7</v>
      </c>
      <c r="K16018" s="615">
        <v>54</v>
      </c>
    </row>
    <row r="16019" spans="1:11">
      <c r="A16019" s="688" t="s">
        <v>22</v>
      </c>
      <c r="B16019" s="689">
        <v>48.9</v>
      </c>
      <c r="C16019" s="689">
        <v>48.6</v>
      </c>
      <c r="D16019" s="689">
        <v>48.6</v>
      </c>
      <c r="E16019" s="689">
        <v>48.9</v>
      </c>
      <c r="F16019" s="689">
        <v>48.9</v>
      </c>
      <c r="G16019" s="693">
        <v>49</v>
      </c>
      <c r="H16019" s="689">
        <v>49.3</v>
      </c>
      <c r="I16019" s="689">
        <v>48.1</v>
      </c>
      <c r="J16019" s="689">
        <v>46.5</v>
      </c>
      <c r="K16019" s="689">
        <v>48.9</v>
      </c>
    </row>
    <row r="16020" spans="1:11">
      <c r="A16020" s="688" t="s">
        <v>26</v>
      </c>
      <c r="B16020" s="691">
        <v>53.1</v>
      </c>
      <c r="C16020" s="691">
        <v>53.1</v>
      </c>
      <c r="D16020" s="691">
        <v>52.9</v>
      </c>
      <c r="E16020" s="691">
        <v>53.4</v>
      </c>
      <c r="F16020" s="691">
        <v>53.2</v>
      </c>
      <c r="G16020" s="691">
        <v>53.4</v>
      </c>
      <c r="H16020" s="691">
        <v>53.6</v>
      </c>
      <c r="I16020" s="691">
        <v>52.7</v>
      </c>
      <c r="J16020" s="691">
        <v>53.1</v>
      </c>
      <c r="K16020" s="691">
        <v>53.3</v>
      </c>
    </row>
    <row r="16021" spans="1:11">
      <c r="A16021" s="688" t="s">
        <v>25</v>
      </c>
      <c r="B16021" s="693">
        <v>50</v>
      </c>
      <c r="C16021" s="689">
        <v>50.2</v>
      </c>
      <c r="D16021" s="689">
        <v>49.9</v>
      </c>
      <c r="E16021" s="689">
        <v>50.4</v>
      </c>
      <c r="F16021" s="689">
        <v>50.3</v>
      </c>
      <c r="G16021" s="689">
        <v>50.5</v>
      </c>
      <c r="H16021" s="689">
        <v>50.9</v>
      </c>
      <c r="I16021" s="689">
        <v>50.1</v>
      </c>
      <c r="J16021" s="693">
        <v>48</v>
      </c>
      <c r="K16021" s="689">
        <v>50.2</v>
      </c>
    </row>
    <row r="16022" spans="1:11">
      <c r="A16022" s="688" t="s">
        <v>5</v>
      </c>
      <c r="B16022" s="691">
        <v>53.6</v>
      </c>
      <c r="C16022" s="691">
        <v>53.4</v>
      </c>
      <c r="D16022" s="691">
        <v>53.6</v>
      </c>
      <c r="E16022" s="691">
        <v>53.6</v>
      </c>
      <c r="F16022" s="691">
        <v>53.8</v>
      </c>
      <c r="G16022" s="691">
        <v>53.8</v>
      </c>
      <c r="H16022" s="691">
        <v>54.1</v>
      </c>
      <c r="I16022" s="691">
        <v>54.1</v>
      </c>
      <c r="J16022" s="615">
        <v>54</v>
      </c>
      <c r="K16022" s="691">
        <v>53.3</v>
      </c>
    </row>
    <row r="16023" spans="1:11">
      <c r="A16023" s="688" t="s">
        <v>23</v>
      </c>
      <c r="B16023" s="689">
        <v>53.3</v>
      </c>
      <c r="C16023" s="689">
        <v>53.5</v>
      </c>
      <c r="D16023" s="689">
        <v>53.5</v>
      </c>
      <c r="E16023" s="689">
        <v>53.6</v>
      </c>
      <c r="F16023" s="689">
        <v>53.6</v>
      </c>
      <c r="G16023" s="689">
        <v>53.8</v>
      </c>
      <c r="H16023" s="689">
        <v>54.2</v>
      </c>
      <c r="I16023" s="689">
        <v>53.7</v>
      </c>
      <c r="J16023" s="689">
        <v>54.3</v>
      </c>
      <c r="K16023" s="689">
        <v>54.2</v>
      </c>
    </row>
    <row r="16024" spans="1:11">
      <c r="A16024" s="688" t="s">
        <v>4067</v>
      </c>
      <c r="B16024" s="691">
        <v>52.9</v>
      </c>
      <c r="C16024" s="691">
        <v>53.2</v>
      </c>
      <c r="D16024" s="691">
        <v>52.9</v>
      </c>
      <c r="E16024" s="691">
        <v>53.2</v>
      </c>
      <c r="F16024" s="691">
        <v>53.1</v>
      </c>
      <c r="G16024" s="691">
        <v>53.2</v>
      </c>
      <c r="H16024" s="692" t="s">
        <v>4060</v>
      </c>
      <c r="I16024" s="692" t="s">
        <v>4060</v>
      </c>
      <c r="J16024" s="692" t="s">
        <v>4060</v>
      </c>
      <c r="K16024" s="692" t="s">
        <v>4060</v>
      </c>
    </row>
    <row r="16025" spans="1:11">
      <c r="A16025" s="688" t="s">
        <v>4066</v>
      </c>
      <c r="B16025" s="689">
        <v>52.9</v>
      </c>
      <c r="C16025" s="689">
        <v>53.3</v>
      </c>
      <c r="D16025" s="689">
        <v>52.9</v>
      </c>
      <c r="E16025" s="689">
        <v>53.3</v>
      </c>
      <c r="F16025" s="689">
        <v>53.2</v>
      </c>
      <c r="G16025" s="689">
        <v>53.2</v>
      </c>
      <c r="H16025" s="690" t="s">
        <v>4060</v>
      </c>
      <c r="I16025" s="690" t="s">
        <v>4060</v>
      </c>
      <c r="J16025" s="690" t="s">
        <v>4060</v>
      </c>
      <c r="K16025" s="690" t="s">
        <v>4060</v>
      </c>
    </row>
    <row r="16026" spans="1:11">
      <c r="A16026" s="688" t="s">
        <v>4062</v>
      </c>
      <c r="B16026" s="691">
        <v>54.1</v>
      </c>
      <c r="C16026" s="691">
        <v>54.2</v>
      </c>
      <c r="D16026" s="691">
        <v>54.1</v>
      </c>
      <c r="E16026" s="691">
        <v>54.4</v>
      </c>
      <c r="F16026" s="691">
        <v>54.5</v>
      </c>
      <c r="G16026" s="691">
        <v>54.6</v>
      </c>
      <c r="H16026" s="691">
        <v>54.7</v>
      </c>
      <c r="I16026" s="691">
        <v>54.5</v>
      </c>
      <c r="J16026" s="691">
        <v>54.8</v>
      </c>
      <c r="K16026" s="691">
        <v>54.5</v>
      </c>
    </row>
    <row r="16027" spans="1:11">
      <c r="A16027" s="688" t="s">
        <v>9</v>
      </c>
      <c r="B16027" s="689">
        <v>53.2</v>
      </c>
      <c r="C16027" s="689">
        <v>53.7</v>
      </c>
      <c r="D16027" s="693">
        <v>53</v>
      </c>
      <c r="E16027" s="689">
        <v>53.3</v>
      </c>
      <c r="F16027" s="689">
        <v>53.7</v>
      </c>
      <c r="G16027" s="689">
        <v>53.5</v>
      </c>
      <c r="H16027" s="689">
        <v>53.8</v>
      </c>
      <c r="I16027" s="689">
        <v>53.8</v>
      </c>
      <c r="J16027" s="693">
        <v>54</v>
      </c>
      <c r="K16027" s="693">
        <v>53</v>
      </c>
    </row>
    <row r="16028" spans="1:11">
      <c r="A16028" s="688" t="s">
        <v>13</v>
      </c>
      <c r="B16028" s="691">
        <v>54.2</v>
      </c>
      <c r="C16028" s="691">
        <v>52.9</v>
      </c>
      <c r="D16028" s="691">
        <v>53.9</v>
      </c>
      <c r="E16028" s="691">
        <v>53.6</v>
      </c>
      <c r="F16028" s="615">
        <v>55</v>
      </c>
      <c r="G16028" s="691">
        <v>54.9</v>
      </c>
      <c r="H16028" s="691">
        <v>54.8</v>
      </c>
      <c r="I16028" s="691">
        <v>54.1</v>
      </c>
      <c r="J16028" s="691">
        <v>55.1</v>
      </c>
      <c r="K16028" s="691">
        <v>54.8</v>
      </c>
    </row>
    <row r="16029" spans="1:11">
      <c r="A16029" s="688" t="s">
        <v>18</v>
      </c>
      <c r="B16029" s="689">
        <v>53.3</v>
      </c>
      <c r="C16029" s="689">
        <v>53.5</v>
      </c>
      <c r="D16029" s="689">
        <v>53.6</v>
      </c>
      <c r="E16029" s="689">
        <v>53.6</v>
      </c>
      <c r="F16029" s="689">
        <v>53.8</v>
      </c>
      <c r="G16029" s="689">
        <v>53.9</v>
      </c>
      <c r="H16029" s="689">
        <v>54.1</v>
      </c>
      <c r="I16029" s="689">
        <v>54.3</v>
      </c>
      <c r="J16029" s="689">
        <v>54.1</v>
      </c>
      <c r="K16029" s="689">
        <v>53.8</v>
      </c>
    </row>
    <row r="16030" spans="1:11">
      <c r="A16030" s="688" t="s">
        <v>24</v>
      </c>
      <c r="B16030" s="691">
        <v>54.6</v>
      </c>
      <c r="C16030" s="691">
        <v>54.7</v>
      </c>
      <c r="D16030" s="691">
        <v>54.4</v>
      </c>
      <c r="E16030" s="691">
        <v>54.8</v>
      </c>
      <c r="F16030" s="691">
        <v>54.9</v>
      </c>
      <c r="G16030" s="615">
        <v>55</v>
      </c>
      <c r="H16030" s="691">
        <v>55.1</v>
      </c>
      <c r="I16030" s="691">
        <v>54.6</v>
      </c>
      <c r="J16030" s="691">
        <v>55.1</v>
      </c>
      <c r="K16030" s="691">
        <v>54.9</v>
      </c>
    </row>
    <row r="16031" spans="1:11">
      <c r="A16031" s="688" t="s">
        <v>4059</v>
      </c>
      <c r="B16031" s="689">
        <v>52.5</v>
      </c>
      <c r="C16031" s="689">
        <v>52.8</v>
      </c>
      <c r="D16031" s="689">
        <v>52.4</v>
      </c>
      <c r="E16031" s="689">
        <v>52.6</v>
      </c>
      <c r="F16031" s="689">
        <v>52.7</v>
      </c>
      <c r="G16031" s="689">
        <v>52.7</v>
      </c>
      <c r="H16031" s="690" t="s">
        <v>4060</v>
      </c>
      <c r="I16031" s="690" t="s">
        <v>4060</v>
      </c>
      <c r="J16031" s="690" t="s">
        <v>4060</v>
      </c>
      <c r="K16031" s="690" t="s">
        <v>4060</v>
      </c>
    </row>
    <row r="16032" spans="1:11">
      <c r="A16032" s="688" t="s">
        <v>2324</v>
      </c>
      <c r="B16032" s="691">
        <v>48.7</v>
      </c>
      <c r="C16032" s="691">
        <v>48.7</v>
      </c>
      <c r="D16032" s="691">
        <v>48.2</v>
      </c>
      <c r="E16032" s="691">
        <v>48.6</v>
      </c>
      <c r="F16032" s="691">
        <v>48.8</v>
      </c>
      <c r="G16032" s="691">
        <v>48.7</v>
      </c>
      <c r="H16032" s="615">
        <v>49</v>
      </c>
      <c r="I16032" s="691">
        <v>48.3</v>
      </c>
      <c r="J16032" s="691">
        <v>46.5</v>
      </c>
      <c r="K16032" s="692" t="s">
        <v>4060</v>
      </c>
    </row>
    <row r="16033" spans="1:11">
      <c r="A16033" s="688" t="s">
        <v>2322</v>
      </c>
      <c r="B16033" s="690" t="s">
        <v>4060</v>
      </c>
      <c r="C16033" s="690" t="s">
        <v>4060</v>
      </c>
      <c r="D16033" s="690" t="s">
        <v>4060</v>
      </c>
      <c r="E16033" s="690" t="s">
        <v>4060</v>
      </c>
      <c r="F16033" s="690" t="s">
        <v>4060</v>
      </c>
      <c r="G16033" s="690" t="s">
        <v>4060</v>
      </c>
      <c r="H16033" s="690" t="s">
        <v>4060</v>
      </c>
      <c r="I16033" s="690" t="s">
        <v>4060</v>
      </c>
      <c r="J16033" s="690" t="s">
        <v>4060</v>
      </c>
      <c r="K16033" s="690" t="s">
        <v>4060</v>
      </c>
    </row>
    <row r="16034" spans="1:11">
      <c r="A16034" s="688" t="s">
        <v>2328</v>
      </c>
      <c r="B16034" s="691">
        <v>47.8</v>
      </c>
      <c r="C16034" s="691">
        <v>47.6</v>
      </c>
      <c r="D16034" s="691">
        <v>47.4</v>
      </c>
      <c r="E16034" s="691">
        <v>47.8</v>
      </c>
      <c r="F16034" s="615">
        <v>48</v>
      </c>
      <c r="G16034" s="691">
        <v>48.4</v>
      </c>
      <c r="H16034" s="691">
        <v>48.3</v>
      </c>
      <c r="I16034" s="691">
        <v>46.5</v>
      </c>
      <c r="J16034" s="691">
        <v>45.2</v>
      </c>
      <c r="K16034" s="692" t="s">
        <v>4060</v>
      </c>
    </row>
    <row r="16035" spans="1:11">
      <c r="A16035" s="688" t="s">
        <v>2496</v>
      </c>
      <c r="B16035" s="690" t="s">
        <v>4060</v>
      </c>
      <c r="C16035" s="689">
        <v>48.6</v>
      </c>
      <c r="D16035" s="689">
        <v>47.7</v>
      </c>
      <c r="E16035" s="689">
        <v>47.4</v>
      </c>
      <c r="F16035" s="693">
        <v>48</v>
      </c>
      <c r="G16035" s="689">
        <v>48.4</v>
      </c>
      <c r="H16035" s="689">
        <v>48.4</v>
      </c>
      <c r="I16035" s="690" t="s">
        <v>4060</v>
      </c>
      <c r="J16035" s="690" t="s">
        <v>4060</v>
      </c>
      <c r="K16035" s="689">
        <v>48.2</v>
      </c>
    </row>
    <row r="16036" spans="1:11">
      <c r="A16036" s="688" t="s">
        <v>2269</v>
      </c>
      <c r="B16036" s="691">
        <v>50.3</v>
      </c>
      <c r="C16036" s="691">
        <v>50.4</v>
      </c>
      <c r="D16036" s="691">
        <v>49.8</v>
      </c>
      <c r="E16036" s="691">
        <v>50.3</v>
      </c>
      <c r="F16036" s="691">
        <v>50.2</v>
      </c>
      <c r="G16036" s="691">
        <v>50.7</v>
      </c>
      <c r="H16036" s="691">
        <v>50.9</v>
      </c>
      <c r="I16036" s="691">
        <v>49.7</v>
      </c>
      <c r="J16036" s="691">
        <v>47.6</v>
      </c>
      <c r="K16036" s="691">
        <v>50.6</v>
      </c>
    </row>
    <row r="16037" spans="1:11">
      <c r="A16037" s="688" t="s">
        <v>2349</v>
      </c>
      <c r="B16037" s="689">
        <v>47.7</v>
      </c>
      <c r="C16037" s="689">
        <v>47.7</v>
      </c>
      <c r="D16037" s="689">
        <v>47.6</v>
      </c>
      <c r="E16037" s="693">
        <v>48</v>
      </c>
      <c r="F16037" s="689">
        <v>47.8</v>
      </c>
      <c r="G16037" s="689">
        <v>48.1</v>
      </c>
      <c r="H16037" s="689">
        <v>48.3</v>
      </c>
      <c r="I16037" s="689">
        <v>47.2</v>
      </c>
      <c r="J16037" s="689">
        <v>45.4</v>
      </c>
      <c r="K16037" s="689">
        <v>47.5</v>
      </c>
    </row>
    <row r="16038" spans="1:11">
      <c r="A16038" s="688" t="s">
        <v>2355</v>
      </c>
      <c r="B16038" s="691">
        <v>51.6</v>
      </c>
      <c r="C16038" s="691">
        <v>51.4</v>
      </c>
      <c r="D16038" s="691">
        <v>51.4</v>
      </c>
      <c r="E16038" s="691">
        <v>51.3</v>
      </c>
      <c r="F16038" s="691">
        <v>51.5</v>
      </c>
      <c r="G16038" s="691">
        <v>51.9</v>
      </c>
      <c r="H16038" s="615">
        <v>52</v>
      </c>
      <c r="I16038" s="692" t="s">
        <v>4060</v>
      </c>
      <c r="J16038" s="692" t="s">
        <v>4060</v>
      </c>
      <c r="K16038" s="692" t="s">
        <v>4060</v>
      </c>
    </row>
    <row r="16039" spans="1:11">
      <c r="A16039" s="688" t="s">
        <v>2357</v>
      </c>
      <c r="B16039" s="690" t="s">
        <v>4060</v>
      </c>
      <c r="C16039" s="693">
        <v>47</v>
      </c>
      <c r="D16039" s="689">
        <v>47.5</v>
      </c>
      <c r="E16039" s="689">
        <v>47.7</v>
      </c>
      <c r="F16039" s="693">
        <v>48</v>
      </c>
      <c r="G16039" s="693">
        <v>48</v>
      </c>
      <c r="H16039" s="689">
        <v>48.3</v>
      </c>
      <c r="I16039" s="690" t="s">
        <v>4060</v>
      </c>
      <c r="J16039" s="690" t="s">
        <v>4060</v>
      </c>
      <c r="K16039" s="690" t="s">
        <v>4060</v>
      </c>
    </row>
    <row r="16040" spans="1:11">
      <c r="A16040" s="688" t="s">
        <v>4070</v>
      </c>
      <c r="B16040" s="692" t="s">
        <v>4060</v>
      </c>
      <c r="C16040" s="692" t="s">
        <v>4060</v>
      </c>
      <c r="D16040" s="692" t="s">
        <v>4060</v>
      </c>
      <c r="E16040" s="691">
        <v>51.4</v>
      </c>
      <c r="F16040" s="692" t="s">
        <v>4060</v>
      </c>
      <c r="G16040" s="692" t="s">
        <v>4060</v>
      </c>
      <c r="H16040" s="692" t="s">
        <v>4060</v>
      </c>
      <c r="I16040" s="692" t="s">
        <v>4060</v>
      </c>
      <c r="J16040" s="692" t="s">
        <v>4060</v>
      </c>
      <c r="K16040" s="692" t="s">
        <v>4060</v>
      </c>
    </row>
    <row r="16041" spans="1:11">
      <c r="A16041" s="688" t="s">
        <v>2491</v>
      </c>
      <c r="B16041" s="689">
        <v>47.8</v>
      </c>
      <c r="C16041" s="689">
        <v>48.3</v>
      </c>
      <c r="D16041" s="689">
        <v>48.7</v>
      </c>
      <c r="E16041" s="689">
        <v>48.8</v>
      </c>
      <c r="F16041" s="693">
        <v>49</v>
      </c>
      <c r="G16041" s="693">
        <v>49</v>
      </c>
      <c r="H16041" s="690" t="s">
        <v>4060</v>
      </c>
      <c r="I16041" s="690" t="s">
        <v>4060</v>
      </c>
      <c r="J16041" s="690" t="s">
        <v>4060</v>
      </c>
      <c r="K16041" s="690" t="s">
        <v>4060</v>
      </c>
    </row>
    <row r="16042" spans="1:11">
      <c r="A16042" s="688" t="s">
        <v>2343</v>
      </c>
      <c r="B16042" s="692" t="s">
        <v>4060</v>
      </c>
      <c r="C16042" s="692" t="s">
        <v>4060</v>
      </c>
      <c r="D16042" s="692" t="s">
        <v>4060</v>
      </c>
      <c r="E16042" s="692" t="s">
        <v>4060</v>
      </c>
      <c r="F16042" s="692" t="s">
        <v>4060</v>
      </c>
      <c r="G16042" s="692" t="s">
        <v>4060</v>
      </c>
      <c r="H16042" s="692" t="s">
        <v>4060</v>
      </c>
      <c r="I16042" s="692" t="s">
        <v>4060</v>
      </c>
      <c r="J16042" s="692" t="s">
        <v>4060</v>
      </c>
      <c r="K16042" s="692" t="s">
        <v>4060</v>
      </c>
    </row>
    <row r="16043" spans="1:11">
      <c r="A16043" s="688" t="s">
        <v>4071</v>
      </c>
      <c r="B16043" s="690" t="s">
        <v>4060</v>
      </c>
      <c r="C16043" s="690" t="s">
        <v>4060</v>
      </c>
      <c r="D16043" s="690" t="s">
        <v>4060</v>
      </c>
      <c r="E16043" s="690" t="s">
        <v>4060</v>
      </c>
      <c r="F16043" s="690" t="s">
        <v>4060</v>
      </c>
      <c r="G16043" s="690" t="s">
        <v>4060</v>
      </c>
      <c r="H16043" s="690" t="s">
        <v>4060</v>
      </c>
      <c r="I16043" s="690" t="s">
        <v>4060</v>
      </c>
      <c r="J16043" s="690" t="s">
        <v>4060</v>
      </c>
      <c r="K16043" s="690" t="s">
        <v>4060</v>
      </c>
    </row>
    <row r="16044" spans="1:11">
      <c r="A16044" s="688" t="s">
        <v>2489</v>
      </c>
      <c r="B16044" s="692" t="s">
        <v>4060</v>
      </c>
      <c r="C16044" s="692" t="s">
        <v>4060</v>
      </c>
      <c r="D16044" s="691">
        <v>48.3</v>
      </c>
      <c r="E16044" s="691">
        <v>48.4</v>
      </c>
      <c r="F16044" s="691">
        <v>48.9</v>
      </c>
      <c r="G16044" s="691">
        <v>49.6</v>
      </c>
      <c r="H16044" s="691">
        <v>49.6</v>
      </c>
      <c r="I16044" s="692" t="s">
        <v>4060</v>
      </c>
      <c r="J16044" s="692" t="s">
        <v>4060</v>
      </c>
      <c r="K16044" s="692" t="s">
        <v>4060</v>
      </c>
    </row>
    <row r="16045" spans="1:11">
      <c r="A16045" s="688" t="s">
        <v>2490</v>
      </c>
      <c r="B16045" s="689">
        <v>47.6</v>
      </c>
      <c r="C16045" s="689">
        <v>47.7</v>
      </c>
      <c r="D16045" s="689">
        <v>48.2</v>
      </c>
      <c r="E16045" s="690" t="s">
        <v>4060</v>
      </c>
      <c r="F16045" s="689">
        <v>48.3</v>
      </c>
      <c r="G16045" s="689">
        <v>48.7</v>
      </c>
      <c r="H16045" s="689">
        <v>49.3</v>
      </c>
      <c r="I16045" s="690" t="s">
        <v>4060</v>
      </c>
      <c r="J16045" s="690" t="s">
        <v>4060</v>
      </c>
      <c r="K16045" s="690" t="s">
        <v>4060</v>
      </c>
    </row>
    <row r="16047" spans="1:11">
      <c r="A16047" s="683" t="s">
        <v>4233</v>
      </c>
    </row>
    <row r="16048" spans="1:11">
      <c r="A16048" s="683" t="s">
        <v>4060</v>
      </c>
      <c r="B16048" s="682" t="s">
        <v>4234</v>
      </c>
    </row>
    <row r="16050" spans="1:11">
      <c r="A16050" s="682" t="s">
        <v>4332</v>
      </c>
    </row>
    <row r="16051" spans="1:11">
      <c r="A16051" s="682" t="s">
        <v>4210</v>
      </c>
      <c r="B16051" s="683" t="s">
        <v>4211</v>
      </c>
    </row>
    <row r="16052" spans="1:11">
      <c r="A16052" s="682" t="s">
        <v>4212</v>
      </c>
      <c r="B16052" s="682" t="s">
        <v>4213</v>
      </c>
    </row>
    <row r="16054" spans="1:11">
      <c r="A16054" s="683" t="s">
        <v>4214</v>
      </c>
      <c r="C16054" s="682" t="s">
        <v>4215</v>
      </c>
    </row>
    <row r="16055" spans="1:11">
      <c r="A16055" s="683" t="s">
        <v>4216</v>
      </c>
      <c r="C16055" s="682" t="s">
        <v>2967</v>
      </c>
    </row>
    <row r="16056" spans="1:11">
      <c r="A16056" s="683" t="s">
        <v>3893</v>
      </c>
      <c r="C16056" s="682" t="s">
        <v>2169</v>
      </c>
    </row>
    <row r="16057" spans="1:11">
      <c r="A16057" s="683" t="s">
        <v>4218</v>
      </c>
      <c r="C16057" s="682" t="s">
        <v>4267</v>
      </c>
    </row>
    <row r="16059" spans="1:11">
      <c r="A16059" s="684" t="s">
        <v>4220</v>
      </c>
      <c r="B16059" s="685" t="s">
        <v>4221</v>
      </c>
      <c r="C16059" s="685" t="s">
        <v>4222</v>
      </c>
      <c r="D16059" s="685" t="s">
        <v>4223</v>
      </c>
      <c r="E16059" s="685" t="s">
        <v>4224</v>
      </c>
      <c r="F16059" s="685" t="s">
        <v>4225</v>
      </c>
      <c r="G16059" s="685" t="s">
        <v>4226</v>
      </c>
      <c r="H16059" s="685" t="s">
        <v>4227</v>
      </c>
      <c r="I16059" s="685" t="s">
        <v>4228</v>
      </c>
      <c r="J16059" s="685" t="s">
        <v>4229</v>
      </c>
      <c r="K16059" s="685" t="s">
        <v>4230</v>
      </c>
    </row>
    <row r="16060" spans="1:11">
      <c r="A16060" s="686" t="s">
        <v>4231</v>
      </c>
      <c r="B16060" s="687" t="s">
        <v>4232</v>
      </c>
      <c r="C16060" s="687" t="s">
        <v>4232</v>
      </c>
      <c r="D16060" s="687" t="s">
        <v>4232</v>
      </c>
      <c r="E16060" s="687" t="s">
        <v>4232</v>
      </c>
      <c r="F16060" s="687" t="s">
        <v>4232</v>
      </c>
      <c r="G16060" s="687" t="s">
        <v>4232</v>
      </c>
      <c r="H16060" s="687" t="s">
        <v>4232</v>
      </c>
      <c r="I16060" s="687" t="s">
        <v>4232</v>
      </c>
      <c r="J16060" s="687" t="s">
        <v>4232</v>
      </c>
      <c r="K16060" s="687" t="s">
        <v>4232</v>
      </c>
    </row>
    <row r="16061" spans="1:11">
      <c r="A16061" s="688" t="s">
        <v>4064</v>
      </c>
      <c r="B16061" s="693">
        <v>52</v>
      </c>
      <c r="C16061" s="693">
        <v>52</v>
      </c>
      <c r="D16061" s="689">
        <v>51.9</v>
      </c>
      <c r="E16061" s="689">
        <v>52.1</v>
      </c>
      <c r="F16061" s="693">
        <v>52</v>
      </c>
      <c r="G16061" s="689">
        <v>52.1</v>
      </c>
      <c r="H16061" s="689">
        <v>52.3</v>
      </c>
      <c r="I16061" s="689">
        <v>51.6</v>
      </c>
      <c r="J16061" s="689">
        <v>51.4</v>
      </c>
      <c r="K16061" s="689">
        <v>51.8</v>
      </c>
    </row>
    <row r="16062" spans="1:11">
      <c r="A16062" s="688" t="s">
        <v>4065</v>
      </c>
      <c r="B16062" s="691">
        <v>51.9</v>
      </c>
      <c r="C16062" s="691">
        <v>52.3</v>
      </c>
      <c r="D16062" s="691">
        <v>51.9</v>
      </c>
      <c r="E16062" s="691">
        <v>52.3</v>
      </c>
      <c r="F16062" s="691">
        <v>52.1</v>
      </c>
      <c r="G16062" s="691">
        <v>52.2</v>
      </c>
      <c r="H16062" s="692" t="s">
        <v>4060</v>
      </c>
      <c r="I16062" s="692" t="s">
        <v>4060</v>
      </c>
      <c r="J16062" s="692" t="s">
        <v>4060</v>
      </c>
      <c r="K16062" s="692" t="s">
        <v>4060</v>
      </c>
    </row>
    <row r="16063" spans="1:11">
      <c r="A16063" s="688" t="s">
        <v>4063</v>
      </c>
      <c r="B16063" s="689">
        <v>51.9</v>
      </c>
      <c r="C16063" s="689">
        <v>52.3</v>
      </c>
      <c r="D16063" s="689">
        <v>51.9</v>
      </c>
      <c r="E16063" s="689">
        <v>52.3</v>
      </c>
      <c r="F16063" s="689">
        <v>52.2</v>
      </c>
      <c r="G16063" s="689">
        <v>52.2</v>
      </c>
      <c r="H16063" s="690" t="s">
        <v>4060</v>
      </c>
      <c r="I16063" s="690" t="s">
        <v>4060</v>
      </c>
      <c r="J16063" s="690" t="s">
        <v>4060</v>
      </c>
      <c r="K16063" s="690" t="s">
        <v>4060</v>
      </c>
    </row>
    <row r="16064" spans="1:11">
      <c r="A16064" s="688" t="s">
        <v>4069</v>
      </c>
      <c r="B16064" s="692" t="s">
        <v>4060</v>
      </c>
      <c r="C16064" s="691">
        <v>52.8</v>
      </c>
      <c r="D16064" s="691">
        <v>52.5</v>
      </c>
      <c r="E16064" s="691">
        <v>52.8</v>
      </c>
      <c r="F16064" s="691">
        <v>52.8</v>
      </c>
      <c r="G16064" s="691">
        <v>52.9</v>
      </c>
      <c r="H16064" s="691">
        <v>53.1</v>
      </c>
      <c r="I16064" s="691">
        <v>52.5</v>
      </c>
      <c r="J16064" s="691">
        <v>52.5</v>
      </c>
      <c r="K16064" s="691">
        <v>52.6</v>
      </c>
    </row>
    <row r="16065" spans="1:11">
      <c r="A16065" s="688" t="s">
        <v>4068</v>
      </c>
      <c r="B16065" s="689">
        <v>52.8</v>
      </c>
      <c r="C16065" s="690" t="s">
        <v>4060</v>
      </c>
      <c r="D16065" s="690" t="s">
        <v>4060</v>
      </c>
      <c r="E16065" s="690" t="s">
        <v>4060</v>
      </c>
      <c r="F16065" s="690" t="s">
        <v>4060</v>
      </c>
      <c r="G16065" s="690" t="s">
        <v>4060</v>
      </c>
      <c r="H16065" s="690" t="s">
        <v>4060</v>
      </c>
      <c r="I16065" s="690" t="s">
        <v>4060</v>
      </c>
      <c r="J16065" s="690" t="s">
        <v>4060</v>
      </c>
      <c r="K16065" s="690" t="s">
        <v>4060</v>
      </c>
    </row>
    <row r="16066" spans="1:11">
      <c r="A16066" s="688" t="s">
        <v>0</v>
      </c>
      <c r="B16066" s="691">
        <v>51.8</v>
      </c>
      <c r="C16066" s="691">
        <v>52.1</v>
      </c>
      <c r="D16066" s="691">
        <v>51.8</v>
      </c>
      <c r="E16066" s="691">
        <v>52.2</v>
      </c>
      <c r="F16066" s="691">
        <v>52.3</v>
      </c>
      <c r="G16066" s="691">
        <v>52.3</v>
      </c>
      <c r="H16066" s="691">
        <v>52.6</v>
      </c>
      <c r="I16066" s="691">
        <v>51.6</v>
      </c>
      <c r="J16066" s="691">
        <v>52.6</v>
      </c>
      <c r="K16066" s="691">
        <v>52.3</v>
      </c>
    </row>
    <row r="16067" spans="1:11">
      <c r="A16067" s="688" t="s">
        <v>1</v>
      </c>
      <c r="B16067" s="689">
        <v>47.7</v>
      </c>
      <c r="C16067" s="689">
        <v>47.1</v>
      </c>
      <c r="D16067" s="689">
        <v>47.1</v>
      </c>
      <c r="E16067" s="689">
        <v>47.3</v>
      </c>
      <c r="F16067" s="689">
        <v>47.2</v>
      </c>
      <c r="G16067" s="689">
        <v>47.4</v>
      </c>
      <c r="H16067" s="689">
        <v>47.6</v>
      </c>
      <c r="I16067" s="689">
        <v>46.2</v>
      </c>
      <c r="J16067" s="689">
        <v>44.1</v>
      </c>
      <c r="K16067" s="689">
        <v>46.8</v>
      </c>
    </row>
    <row r="16068" spans="1:11">
      <c r="A16068" s="688" t="s">
        <v>2240</v>
      </c>
      <c r="B16068" s="691">
        <v>49.8</v>
      </c>
      <c r="C16068" s="691">
        <v>50.2</v>
      </c>
      <c r="D16068" s="615">
        <v>50</v>
      </c>
      <c r="E16068" s="691">
        <v>50.4</v>
      </c>
      <c r="F16068" s="691">
        <v>50.4</v>
      </c>
      <c r="G16068" s="691">
        <v>50.4</v>
      </c>
      <c r="H16068" s="691">
        <v>50.7</v>
      </c>
      <c r="I16068" s="691">
        <v>49.8</v>
      </c>
      <c r="J16068" s="615">
        <v>49</v>
      </c>
      <c r="K16068" s="691">
        <v>50.5</v>
      </c>
    </row>
    <row r="16069" spans="1:11">
      <c r="A16069" s="688" t="s">
        <v>2</v>
      </c>
      <c r="B16069" s="689">
        <v>50.9</v>
      </c>
      <c r="C16069" s="689">
        <v>51.2</v>
      </c>
      <c r="D16069" s="689">
        <v>51.2</v>
      </c>
      <c r="E16069" s="689">
        <v>51.3</v>
      </c>
      <c r="F16069" s="689">
        <v>51.6</v>
      </c>
      <c r="G16069" s="689">
        <v>51.4</v>
      </c>
      <c r="H16069" s="689">
        <v>51.9</v>
      </c>
      <c r="I16069" s="693">
        <v>52</v>
      </c>
      <c r="J16069" s="689">
        <v>51.8</v>
      </c>
      <c r="K16069" s="689">
        <v>51.7</v>
      </c>
    </row>
    <row r="16070" spans="1:11">
      <c r="A16070" s="688" t="s">
        <v>3</v>
      </c>
      <c r="B16070" s="691">
        <v>51.6</v>
      </c>
      <c r="C16070" s="691">
        <v>51.9</v>
      </c>
      <c r="D16070" s="691">
        <v>51.6</v>
      </c>
      <c r="E16070" s="691">
        <v>51.9</v>
      </c>
      <c r="F16070" s="691">
        <v>51.9</v>
      </c>
      <c r="G16070" s="691">
        <v>51.8</v>
      </c>
      <c r="H16070" s="691">
        <v>52.1</v>
      </c>
      <c r="I16070" s="691">
        <v>51.9</v>
      </c>
      <c r="J16070" s="691">
        <v>51.7</v>
      </c>
      <c r="K16070" s="691">
        <v>51.5</v>
      </c>
    </row>
    <row r="16071" spans="1:11">
      <c r="A16071" s="688" t="s">
        <v>4061</v>
      </c>
      <c r="B16071" s="689">
        <v>51.6</v>
      </c>
      <c r="C16071" s="689">
        <v>51.9</v>
      </c>
      <c r="D16071" s="689">
        <v>51.6</v>
      </c>
      <c r="E16071" s="689">
        <v>51.9</v>
      </c>
      <c r="F16071" s="689">
        <v>51.9</v>
      </c>
      <c r="G16071" s="689">
        <v>51.8</v>
      </c>
      <c r="H16071" s="689">
        <v>52.1</v>
      </c>
      <c r="I16071" s="689">
        <v>51.9</v>
      </c>
      <c r="J16071" s="689">
        <v>51.7</v>
      </c>
      <c r="K16071" s="689">
        <v>51.5</v>
      </c>
    </row>
    <row r="16072" spans="1:11">
      <c r="A16072" s="688" t="s">
        <v>4</v>
      </c>
      <c r="B16072" s="691">
        <v>50.4</v>
      </c>
      <c r="C16072" s="691">
        <v>50.3</v>
      </c>
      <c r="D16072" s="691">
        <v>50.6</v>
      </c>
      <c r="E16072" s="691">
        <v>50.7</v>
      </c>
      <c r="F16072" s="691">
        <v>50.9</v>
      </c>
      <c r="G16072" s="691">
        <v>50.9</v>
      </c>
      <c r="H16072" s="691">
        <v>51.3</v>
      </c>
      <c r="I16072" s="691">
        <v>51.2</v>
      </c>
      <c r="J16072" s="691">
        <v>49.9</v>
      </c>
      <c r="K16072" s="691">
        <v>50.9</v>
      </c>
    </row>
    <row r="16073" spans="1:11">
      <c r="A16073" s="688" t="s">
        <v>8</v>
      </c>
      <c r="B16073" s="689">
        <v>51.7</v>
      </c>
      <c r="C16073" s="689">
        <v>51.8</v>
      </c>
      <c r="D16073" s="689">
        <v>51.8</v>
      </c>
      <c r="E16073" s="689">
        <v>51.9</v>
      </c>
      <c r="F16073" s="689">
        <v>52.3</v>
      </c>
      <c r="G16073" s="689">
        <v>52.4</v>
      </c>
      <c r="H16073" s="689">
        <v>52.8</v>
      </c>
      <c r="I16073" s="689">
        <v>52.6</v>
      </c>
      <c r="J16073" s="689">
        <v>52.5</v>
      </c>
      <c r="K16073" s="689">
        <v>52.5</v>
      </c>
    </row>
    <row r="16074" spans="1:11">
      <c r="A16074" s="688" t="s">
        <v>7</v>
      </c>
      <c r="B16074" s="691">
        <v>52.6</v>
      </c>
      <c r="C16074" s="691">
        <v>52.4</v>
      </c>
      <c r="D16074" s="691">
        <v>52.1</v>
      </c>
      <c r="E16074" s="691">
        <v>52.4</v>
      </c>
      <c r="F16074" s="691">
        <v>52.3</v>
      </c>
      <c r="G16074" s="691">
        <v>52.8</v>
      </c>
      <c r="H16074" s="691">
        <v>52.7</v>
      </c>
      <c r="I16074" s="691">
        <v>52.3</v>
      </c>
      <c r="J16074" s="691">
        <v>51.4</v>
      </c>
      <c r="K16074" s="691">
        <v>51.9</v>
      </c>
    </row>
    <row r="16075" spans="1:11">
      <c r="A16075" s="688" t="s">
        <v>27</v>
      </c>
      <c r="B16075" s="689">
        <v>54.6</v>
      </c>
      <c r="C16075" s="689">
        <v>54.1</v>
      </c>
      <c r="D16075" s="689">
        <v>53.8</v>
      </c>
      <c r="E16075" s="689">
        <v>54.3</v>
      </c>
      <c r="F16075" s="689">
        <v>54.2</v>
      </c>
      <c r="G16075" s="689">
        <v>54.3</v>
      </c>
      <c r="H16075" s="689">
        <v>54.6</v>
      </c>
      <c r="I16075" s="689">
        <v>53.4</v>
      </c>
      <c r="J16075" s="689">
        <v>54.3</v>
      </c>
      <c r="K16075" s="689">
        <v>54.2</v>
      </c>
    </row>
    <row r="16076" spans="1:11">
      <c r="A16076" s="688" t="s">
        <v>6</v>
      </c>
      <c r="B16076" s="691">
        <v>54.3</v>
      </c>
      <c r="C16076" s="615">
        <v>54</v>
      </c>
      <c r="D16076" s="691">
        <v>53.8</v>
      </c>
      <c r="E16076" s="615">
        <v>54</v>
      </c>
      <c r="F16076" s="615">
        <v>54</v>
      </c>
      <c r="G16076" s="691">
        <v>54.1</v>
      </c>
      <c r="H16076" s="691">
        <v>54.2</v>
      </c>
      <c r="I16076" s="691">
        <v>53.7</v>
      </c>
      <c r="J16076" s="691">
        <v>53.8</v>
      </c>
      <c r="K16076" s="691">
        <v>53.8</v>
      </c>
    </row>
    <row r="16077" spans="1:11">
      <c r="A16077" s="688" t="s">
        <v>4058</v>
      </c>
      <c r="B16077" s="690" t="s">
        <v>4060</v>
      </c>
      <c r="C16077" s="690" t="s">
        <v>4060</v>
      </c>
      <c r="D16077" s="690" t="s">
        <v>4060</v>
      </c>
      <c r="E16077" s="690" t="s">
        <v>4060</v>
      </c>
      <c r="F16077" s="690" t="s">
        <v>4060</v>
      </c>
      <c r="G16077" s="690" t="s">
        <v>4060</v>
      </c>
      <c r="H16077" s="690" t="s">
        <v>4060</v>
      </c>
      <c r="I16077" s="690" t="s">
        <v>4060</v>
      </c>
      <c r="J16077" s="690" t="s">
        <v>4060</v>
      </c>
      <c r="K16077" s="690" t="s">
        <v>4060</v>
      </c>
    </row>
    <row r="16078" spans="1:11">
      <c r="A16078" s="688" t="s">
        <v>11</v>
      </c>
      <c r="B16078" s="691">
        <v>49.6</v>
      </c>
      <c r="C16078" s="691">
        <v>49.5</v>
      </c>
      <c r="D16078" s="691">
        <v>49.1</v>
      </c>
      <c r="E16078" s="691">
        <v>49.7</v>
      </c>
      <c r="F16078" s="691">
        <v>49.4</v>
      </c>
      <c r="G16078" s="691">
        <v>49.8</v>
      </c>
      <c r="H16078" s="615">
        <v>50</v>
      </c>
      <c r="I16078" s="691">
        <v>49.3</v>
      </c>
      <c r="J16078" s="691">
        <v>48.4</v>
      </c>
      <c r="K16078" s="691">
        <v>49.4</v>
      </c>
    </row>
    <row r="16079" spans="1:11">
      <c r="A16079" s="688" t="s">
        <v>10</v>
      </c>
      <c r="B16079" s="689">
        <v>53.7</v>
      </c>
      <c r="C16079" s="689">
        <v>53.5</v>
      </c>
      <c r="D16079" s="693">
        <v>53</v>
      </c>
      <c r="E16079" s="689">
        <v>53.6</v>
      </c>
      <c r="F16079" s="689">
        <v>53.4</v>
      </c>
      <c r="G16079" s="689">
        <v>53.7</v>
      </c>
      <c r="H16079" s="689">
        <v>53.9</v>
      </c>
      <c r="I16079" s="689">
        <v>52.9</v>
      </c>
      <c r="J16079" s="689">
        <v>53.2</v>
      </c>
      <c r="K16079" s="689">
        <v>53.2</v>
      </c>
    </row>
    <row r="16080" spans="1:11">
      <c r="A16080" s="688" t="s">
        <v>30</v>
      </c>
      <c r="B16080" s="691">
        <v>53.3</v>
      </c>
      <c r="C16080" s="691">
        <v>52.6</v>
      </c>
      <c r="D16080" s="691">
        <v>52.2</v>
      </c>
      <c r="E16080" s="691">
        <v>53.3</v>
      </c>
      <c r="F16080" s="691">
        <v>52.8</v>
      </c>
      <c r="G16080" s="691">
        <v>53.2</v>
      </c>
      <c r="H16080" s="615">
        <v>53</v>
      </c>
      <c r="I16080" s="615">
        <v>53</v>
      </c>
      <c r="J16080" s="691">
        <v>52.2</v>
      </c>
      <c r="K16080" s="691">
        <v>52.6</v>
      </c>
    </row>
    <row r="16081" spans="1:11">
      <c r="A16081" s="688" t="s">
        <v>12</v>
      </c>
      <c r="B16081" s="689">
        <v>47.8</v>
      </c>
      <c r="C16081" s="689">
        <v>48.2</v>
      </c>
      <c r="D16081" s="689">
        <v>48.1</v>
      </c>
      <c r="E16081" s="689">
        <v>48.3</v>
      </c>
      <c r="F16081" s="689">
        <v>48.4</v>
      </c>
      <c r="G16081" s="689">
        <v>48.3</v>
      </c>
      <c r="H16081" s="689">
        <v>48.9</v>
      </c>
      <c r="I16081" s="689">
        <v>48.6</v>
      </c>
      <c r="J16081" s="689">
        <v>46.7</v>
      </c>
      <c r="K16081" s="689">
        <v>48.1</v>
      </c>
    </row>
    <row r="16082" spans="1:11">
      <c r="A16082" s="688" t="s">
        <v>14</v>
      </c>
      <c r="B16082" s="691">
        <v>48.5</v>
      </c>
      <c r="C16082" s="691">
        <v>48.7</v>
      </c>
      <c r="D16082" s="691">
        <v>48.4</v>
      </c>
      <c r="E16082" s="691">
        <v>48.7</v>
      </c>
      <c r="F16082" s="615">
        <v>49</v>
      </c>
      <c r="G16082" s="691">
        <v>49.3</v>
      </c>
      <c r="H16082" s="691">
        <v>49.6</v>
      </c>
      <c r="I16082" s="691">
        <v>48.6</v>
      </c>
      <c r="J16082" s="691">
        <v>47.5</v>
      </c>
      <c r="K16082" s="691">
        <v>48.8</v>
      </c>
    </row>
    <row r="16083" spans="1:11">
      <c r="A16083" s="688" t="s">
        <v>15</v>
      </c>
      <c r="B16083" s="689">
        <v>52.5</v>
      </c>
      <c r="C16083" s="689">
        <v>53.2</v>
      </c>
      <c r="D16083" s="689">
        <v>52.5</v>
      </c>
      <c r="E16083" s="689">
        <v>53.2</v>
      </c>
      <c r="F16083" s="689">
        <v>52.4</v>
      </c>
      <c r="G16083" s="689">
        <v>52.9</v>
      </c>
      <c r="H16083" s="689">
        <v>53.2</v>
      </c>
      <c r="I16083" s="693">
        <v>53</v>
      </c>
      <c r="J16083" s="689">
        <v>53.3</v>
      </c>
      <c r="K16083" s="689">
        <v>53.5</v>
      </c>
    </row>
    <row r="16084" spans="1:11">
      <c r="A16084" s="688" t="s">
        <v>29</v>
      </c>
      <c r="B16084" s="691">
        <v>47.8</v>
      </c>
      <c r="C16084" s="691">
        <v>47.8</v>
      </c>
      <c r="D16084" s="691">
        <v>47.5</v>
      </c>
      <c r="E16084" s="691">
        <v>48.1</v>
      </c>
      <c r="F16084" s="691">
        <v>47.7</v>
      </c>
      <c r="G16084" s="615">
        <v>48</v>
      </c>
      <c r="H16084" s="691">
        <v>48.1</v>
      </c>
      <c r="I16084" s="691">
        <v>47.4</v>
      </c>
      <c r="J16084" s="691">
        <v>46.2</v>
      </c>
      <c r="K16084" s="691">
        <v>47.8</v>
      </c>
    </row>
    <row r="16085" spans="1:11">
      <c r="A16085" s="688" t="s">
        <v>16</v>
      </c>
      <c r="B16085" s="689">
        <v>52.8</v>
      </c>
      <c r="C16085" s="689">
        <v>52.6</v>
      </c>
      <c r="D16085" s="689">
        <v>52.6</v>
      </c>
      <c r="E16085" s="689">
        <v>52.6</v>
      </c>
      <c r="F16085" s="689">
        <v>52.7</v>
      </c>
      <c r="G16085" s="689">
        <v>52.6</v>
      </c>
      <c r="H16085" s="689">
        <v>53.1</v>
      </c>
      <c r="I16085" s="689">
        <v>52.7</v>
      </c>
      <c r="J16085" s="689">
        <v>52.4</v>
      </c>
      <c r="K16085" s="689">
        <v>52.7</v>
      </c>
    </row>
    <row r="16086" spans="1:11">
      <c r="A16086" s="688" t="s">
        <v>17</v>
      </c>
      <c r="B16086" s="691">
        <v>51.8</v>
      </c>
      <c r="C16086" s="691">
        <v>51.9</v>
      </c>
      <c r="D16086" s="691">
        <v>51.6</v>
      </c>
      <c r="E16086" s="691">
        <v>51.7</v>
      </c>
      <c r="F16086" s="691">
        <v>51.9</v>
      </c>
      <c r="G16086" s="691">
        <v>51.9</v>
      </c>
      <c r="H16086" s="691">
        <v>52.1</v>
      </c>
      <c r="I16086" s="691">
        <v>51.6</v>
      </c>
      <c r="J16086" s="691">
        <v>51.5</v>
      </c>
      <c r="K16086" s="691">
        <v>51.7</v>
      </c>
    </row>
    <row r="16087" spans="1:11">
      <c r="A16087" s="688" t="s">
        <v>19</v>
      </c>
      <c r="B16087" s="689">
        <v>52.3</v>
      </c>
      <c r="C16087" s="689">
        <v>52.3</v>
      </c>
      <c r="D16087" s="689">
        <v>52.1</v>
      </c>
      <c r="E16087" s="689">
        <v>52.5</v>
      </c>
      <c r="F16087" s="689">
        <v>52.4</v>
      </c>
      <c r="G16087" s="689">
        <v>52.5</v>
      </c>
      <c r="H16087" s="689">
        <v>52.8</v>
      </c>
      <c r="I16087" s="689">
        <v>52.3</v>
      </c>
      <c r="J16087" s="689">
        <v>52.3</v>
      </c>
      <c r="K16087" s="689">
        <v>52.3</v>
      </c>
    </row>
    <row r="16088" spans="1:11">
      <c r="A16088" s="688" t="s">
        <v>20</v>
      </c>
      <c r="B16088" s="691">
        <v>49.9</v>
      </c>
      <c r="C16088" s="691">
        <v>50.1</v>
      </c>
      <c r="D16088" s="691">
        <v>49.9</v>
      </c>
      <c r="E16088" s="691">
        <v>50.3</v>
      </c>
      <c r="F16088" s="691">
        <v>50.2</v>
      </c>
      <c r="G16088" s="691">
        <v>50.1</v>
      </c>
      <c r="H16088" s="691">
        <v>50.4</v>
      </c>
      <c r="I16088" s="691">
        <v>49.2</v>
      </c>
      <c r="J16088" s="691">
        <v>48.2</v>
      </c>
      <c r="K16088" s="691">
        <v>49.7</v>
      </c>
    </row>
    <row r="16089" spans="1:11">
      <c r="A16089" s="688" t="s">
        <v>21</v>
      </c>
      <c r="B16089" s="689">
        <v>52.6</v>
      </c>
      <c r="C16089" s="689">
        <v>52.8</v>
      </c>
      <c r="D16089" s="689">
        <v>52.8</v>
      </c>
      <c r="E16089" s="689">
        <v>52.8</v>
      </c>
      <c r="F16089" s="689">
        <v>53.1</v>
      </c>
      <c r="G16089" s="689">
        <v>53.1</v>
      </c>
      <c r="H16089" s="689">
        <v>53.3</v>
      </c>
      <c r="I16089" s="689">
        <v>52.7</v>
      </c>
      <c r="J16089" s="689">
        <v>52.8</v>
      </c>
      <c r="K16089" s="693">
        <v>53</v>
      </c>
    </row>
    <row r="16090" spans="1:11">
      <c r="A16090" s="688" t="s">
        <v>22</v>
      </c>
      <c r="B16090" s="691">
        <v>47.9</v>
      </c>
      <c r="C16090" s="691">
        <v>47.7</v>
      </c>
      <c r="D16090" s="691">
        <v>47.6</v>
      </c>
      <c r="E16090" s="691">
        <v>47.9</v>
      </c>
      <c r="F16090" s="691">
        <v>47.9</v>
      </c>
      <c r="G16090" s="615">
        <v>48</v>
      </c>
      <c r="H16090" s="691">
        <v>48.4</v>
      </c>
      <c r="I16090" s="691">
        <v>47.1</v>
      </c>
      <c r="J16090" s="691">
        <v>45.5</v>
      </c>
      <c r="K16090" s="615">
        <v>48</v>
      </c>
    </row>
    <row r="16091" spans="1:11">
      <c r="A16091" s="688" t="s">
        <v>26</v>
      </c>
      <c r="B16091" s="689">
        <v>52.1</v>
      </c>
      <c r="C16091" s="689">
        <v>52.1</v>
      </c>
      <c r="D16091" s="689">
        <v>51.9</v>
      </c>
      <c r="E16091" s="689">
        <v>52.4</v>
      </c>
      <c r="F16091" s="689">
        <v>52.2</v>
      </c>
      <c r="G16091" s="689">
        <v>52.4</v>
      </c>
      <c r="H16091" s="689">
        <v>52.6</v>
      </c>
      <c r="I16091" s="689">
        <v>51.7</v>
      </c>
      <c r="J16091" s="689">
        <v>52.1</v>
      </c>
      <c r="K16091" s="689">
        <v>52.3</v>
      </c>
    </row>
    <row r="16092" spans="1:11">
      <c r="A16092" s="688" t="s">
        <v>25</v>
      </c>
      <c r="B16092" s="615">
        <v>49</v>
      </c>
      <c r="C16092" s="691">
        <v>49.2</v>
      </c>
      <c r="D16092" s="615">
        <v>49</v>
      </c>
      <c r="E16092" s="691">
        <v>49.4</v>
      </c>
      <c r="F16092" s="691">
        <v>49.3</v>
      </c>
      <c r="G16092" s="691">
        <v>49.5</v>
      </c>
      <c r="H16092" s="691">
        <v>49.9</v>
      </c>
      <c r="I16092" s="691">
        <v>49.2</v>
      </c>
      <c r="J16092" s="615">
        <v>47</v>
      </c>
      <c r="K16092" s="691">
        <v>49.2</v>
      </c>
    </row>
    <row r="16093" spans="1:11">
      <c r="A16093" s="688" t="s">
        <v>5</v>
      </c>
      <c r="B16093" s="689">
        <v>52.6</v>
      </c>
      <c r="C16093" s="689">
        <v>52.4</v>
      </c>
      <c r="D16093" s="689">
        <v>52.6</v>
      </c>
      <c r="E16093" s="689">
        <v>52.7</v>
      </c>
      <c r="F16093" s="689">
        <v>52.8</v>
      </c>
      <c r="G16093" s="689">
        <v>52.9</v>
      </c>
      <c r="H16093" s="689">
        <v>53.1</v>
      </c>
      <c r="I16093" s="689">
        <v>53.1</v>
      </c>
      <c r="J16093" s="693">
        <v>53</v>
      </c>
      <c r="K16093" s="689">
        <v>52.3</v>
      </c>
    </row>
    <row r="16094" spans="1:11">
      <c r="A16094" s="688" t="s">
        <v>23</v>
      </c>
      <c r="B16094" s="691">
        <v>52.3</v>
      </c>
      <c r="C16094" s="691">
        <v>52.5</v>
      </c>
      <c r="D16094" s="691">
        <v>52.6</v>
      </c>
      <c r="E16094" s="691">
        <v>52.6</v>
      </c>
      <c r="F16094" s="691">
        <v>52.6</v>
      </c>
      <c r="G16094" s="691">
        <v>52.8</v>
      </c>
      <c r="H16094" s="691">
        <v>53.2</v>
      </c>
      <c r="I16094" s="691">
        <v>52.8</v>
      </c>
      <c r="J16094" s="691">
        <v>53.3</v>
      </c>
      <c r="K16094" s="691">
        <v>53.2</v>
      </c>
    </row>
    <row r="16095" spans="1:11">
      <c r="A16095" s="688" t="s">
        <v>4067</v>
      </c>
      <c r="B16095" s="689">
        <v>51.9</v>
      </c>
      <c r="C16095" s="689">
        <v>52.3</v>
      </c>
      <c r="D16095" s="689">
        <v>51.9</v>
      </c>
      <c r="E16095" s="689">
        <v>52.3</v>
      </c>
      <c r="F16095" s="689">
        <v>52.2</v>
      </c>
      <c r="G16095" s="689">
        <v>52.2</v>
      </c>
      <c r="H16095" s="690" t="s">
        <v>4060</v>
      </c>
      <c r="I16095" s="690" t="s">
        <v>4060</v>
      </c>
      <c r="J16095" s="690" t="s">
        <v>4060</v>
      </c>
      <c r="K16095" s="690" t="s">
        <v>4060</v>
      </c>
    </row>
    <row r="16096" spans="1:11">
      <c r="A16096" s="688" t="s">
        <v>4066</v>
      </c>
      <c r="B16096" s="691">
        <v>51.9</v>
      </c>
      <c r="C16096" s="691">
        <v>52.3</v>
      </c>
      <c r="D16096" s="691">
        <v>51.9</v>
      </c>
      <c r="E16096" s="691">
        <v>52.3</v>
      </c>
      <c r="F16096" s="691">
        <v>52.2</v>
      </c>
      <c r="G16096" s="691">
        <v>52.3</v>
      </c>
      <c r="H16096" s="692" t="s">
        <v>4060</v>
      </c>
      <c r="I16096" s="692" t="s">
        <v>4060</v>
      </c>
      <c r="J16096" s="692" t="s">
        <v>4060</v>
      </c>
      <c r="K16096" s="692" t="s">
        <v>4060</v>
      </c>
    </row>
    <row r="16097" spans="1:11">
      <c r="A16097" s="688" t="s">
        <v>4062</v>
      </c>
      <c r="B16097" s="689">
        <v>53.1</v>
      </c>
      <c r="C16097" s="689">
        <v>53.3</v>
      </c>
      <c r="D16097" s="689">
        <v>53.1</v>
      </c>
      <c r="E16097" s="689">
        <v>53.4</v>
      </c>
      <c r="F16097" s="689">
        <v>53.5</v>
      </c>
      <c r="G16097" s="689">
        <v>53.6</v>
      </c>
      <c r="H16097" s="689">
        <v>53.7</v>
      </c>
      <c r="I16097" s="689">
        <v>53.5</v>
      </c>
      <c r="J16097" s="689">
        <v>53.8</v>
      </c>
      <c r="K16097" s="689">
        <v>53.5</v>
      </c>
    </row>
    <row r="16098" spans="1:11">
      <c r="A16098" s="688" t="s">
        <v>9</v>
      </c>
      <c r="B16098" s="691">
        <v>52.2</v>
      </c>
      <c r="C16098" s="691">
        <v>52.7</v>
      </c>
      <c r="D16098" s="691">
        <v>52.1</v>
      </c>
      <c r="E16098" s="691">
        <v>52.3</v>
      </c>
      <c r="F16098" s="691">
        <v>52.7</v>
      </c>
      <c r="G16098" s="691">
        <v>52.5</v>
      </c>
      <c r="H16098" s="691">
        <v>52.8</v>
      </c>
      <c r="I16098" s="691">
        <v>52.8</v>
      </c>
      <c r="J16098" s="615">
        <v>53</v>
      </c>
      <c r="K16098" s="615">
        <v>52</v>
      </c>
    </row>
    <row r="16099" spans="1:11">
      <c r="A16099" s="688" t="s">
        <v>13</v>
      </c>
      <c r="B16099" s="689">
        <v>53.2</v>
      </c>
      <c r="C16099" s="689">
        <v>51.9</v>
      </c>
      <c r="D16099" s="689">
        <v>52.9</v>
      </c>
      <c r="E16099" s="689">
        <v>52.6</v>
      </c>
      <c r="F16099" s="693">
        <v>54</v>
      </c>
      <c r="G16099" s="689">
        <v>53.9</v>
      </c>
      <c r="H16099" s="689">
        <v>53.8</v>
      </c>
      <c r="I16099" s="689">
        <v>53.1</v>
      </c>
      <c r="J16099" s="689">
        <v>54.1</v>
      </c>
      <c r="K16099" s="689">
        <v>53.8</v>
      </c>
    </row>
    <row r="16100" spans="1:11">
      <c r="A16100" s="688" t="s">
        <v>18</v>
      </c>
      <c r="B16100" s="691">
        <v>52.3</v>
      </c>
      <c r="C16100" s="691">
        <v>52.5</v>
      </c>
      <c r="D16100" s="691">
        <v>52.6</v>
      </c>
      <c r="E16100" s="691">
        <v>52.7</v>
      </c>
      <c r="F16100" s="691">
        <v>52.8</v>
      </c>
      <c r="G16100" s="691">
        <v>52.9</v>
      </c>
      <c r="H16100" s="691">
        <v>53.1</v>
      </c>
      <c r="I16100" s="691">
        <v>53.3</v>
      </c>
      <c r="J16100" s="691">
        <v>53.2</v>
      </c>
      <c r="K16100" s="691">
        <v>52.8</v>
      </c>
    </row>
    <row r="16101" spans="1:11">
      <c r="A16101" s="688" t="s">
        <v>24</v>
      </c>
      <c r="B16101" s="689">
        <v>53.6</v>
      </c>
      <c r="C16101" s="689">
        <v>53.7</v>
      </c>
      <c r="D16101" s="689">
        <v>53.4</v>
      </c>
      <c r="E16101" s="689">
        <v>53.8</v>
      </c>
      <c r="F16101" s="689">
        <v>53.9</v>
      </c>
      <c r="G16101" s="693">
        <v>54</v>
      </c>
      <c r="H16101" s="689">
        <v>54.1</v>
      </c>
      <c r="I16101" s="689">
        <v>53.6</v>
      </c>
      <c r="J16101" s="689">
        <v>54.1</v>
      </c>
      <c r="K16101" s="689">
        <v>53.9</v>
      </c>
    </row>
    <row r="16102" spans="1:11">
      <c r="A16102" s="688" t="s">
        <v>4059</v>
      </c>
      <c r="B16102" s="691">
        <v>51.5</v>
      </c>
      <c r="C16102" s="691">
        <v>51.8</v>
      </c>
      <c r="D16102" s="691">
        <v>51.4</v>
      </c>
      <c r="E16102" s="691">
        <v>51.7</v>
      </c>
      <c r="F16102" s="691">
        <v>51.7</v>
      </c>
      <c r="G16102" s="691">
        <v>51.7</v>
      </c>
      <c r="H16102" s="692" t="s">
        <v>4060</v>
      </c>
      <c r="I16102" s="692" t="s">
        <v>4060</v>
      </c>
      <c r="J16102" s="692" t="s">
        <v>4060</v>
      </c>
      <c r="K16102" s="692" t="s">
        <v>4060</v>
      </c>
    </row>
    <row r="16103" spans="1:11">
      <c r="A16103" s="688" t="s">
        <v>2324</v>
      </c>
      <c r="B16103" s="689">
        <v>47.7</v>
      </c>
      <c r="C16103" s="689">
        <v>47.7</v>
      </c>
      <c r="D16103" s="689">
        <v>47.2</v>
      </c>
      <c r="E16103" s="689">
        <v>47.6</v>
      </c>
      <c r="F16103" s="689">
        <v>47.8</v>
      </c>
      <c r="G16103" s="689">
        <v>47.8</v>
      </c>
      <c r="H16103" s="689">
        <v>48.1</v>
      </c>
      <c r="I16103" s="689">
        <v>47.3</v>
      </c>
      <c r="J16103" s="689">
        <v>45.5</v>
      </c>
      <c r="K16103" s="690" t="s">
        <v>4060</v>
      </c>
    </row>
    <row r="16104" spans="1:11">
      <c r="A16104" s="688" t="s">
        <v>2322</v>
      </c>
      <c r="B16104" s="692" t="s">
        <v>4060</v>
      </c>
      <c r="C16104" s="692" t="s">
        <v>4060</v>
      </c>
      <c r="D16104" s="692" t="s">
        <v>4060</v>
      </c>
      <c r="E16104" s="692" t="s">
        <v>4060</v>
      </c>
      <c r="F16104" s="692" t="s">
        <v>4060</v>
      </c>
      <c r="G16104" s="692" t="s">
        <v>4060</v>
      </c>
      <c r="H16104" s="692" t="s">
        <v>4060</v>
      </c>
      <c r="I16104" s="692" t="s">
        <v>4060</v>
      </c>
      <c r="J16104" s="692" t="s">
        <v>4060</v>
      </c>
      <c r="K16104" s="692" t="s">
        <v>4060</v>
      </c>
    </row>
    <row r="16105" spans="1:11">
      <c r="A16105" s="688" t="s">
        <v>2328</v>
      </c>
      <c r="B16105" s="689">
        <v>46.8</v>
      </c>
      <c r="C16105" s="689">
        <v>46.6</v>
      </c>
      <c r="D16105" s="689">
        <v>46.5</v>
      </c>
      <c r="E16105" s="689">
        <v>46.9</v>
      </c>
      <c r="F16105" s="693">
        <v>47</v>
      </c>
      <c r="G16105" s="689">
        <v>47.5</v>
      </c>
      <c r="H16105" s="689">
        <v>47.3</v>
      </c>
      <c r="I16105" s="689">
        <v>45.5</v>
      </c>
      <c r="J16105" s="689">
        <v>44.2</v>
      </c>
      <c r="K16105" s="690" t="s">
        <v>4060</v>
      </c>
    </row>
    <row r="16106" spans="1:11">
      <c r="A16106" s="688" t="s">
        <v>2496</v>
      </c>
      <c r="B16106" s="692" t="s">
        <v>4060</v>
      </c>
      <c r="C16106" s="691">
        <v>47.6</v>
      </c>
      <c r="D16106" s="691">
        <v>46.7</v>
      </c>
      <c r="E16106" s="691">
        <v>46.4</v>
      </c>
      <c r="F16106" s="691">
        <v>47.1</v>
      </c>
      <c r="G16106" s="691">
        <v>47.4</v>
      </c>
      <c r="H16106" s="691">
        <v>47.4</v>
      </c>
      <c r="I16106" s="692" t="s">
        <v>4060</v>
      </c>
      <c r="J16106" s="692" t="s">
        <v>4060</v>
      </c>
      <c r="K16106" s="691">
        <v>47.2</v>
      </c>
    </row>
    <row r="16107" spans="1:11">
      <c r="A16107" s="688" t="s">
        <v>2269</v>
      </c>
      <c r="B16107" s="689">
        <v>49.4</v>
      </c>
      <c r="C16107" s="689">
        <v>49.5</v>
      </c>
      <c r="D16107" s="689">
        <v>48.8</v>
      </c>
      <c r="E16107" s="689">
        <v>49.4</v>
      </c>
      <c r="F16107" s="689">
        <v>49.2</v>
      </c>
      <c r="G16107" s="689">
        <v>49.7</v>
      </c>
      <c r="H16107" s="689">
        <v>49.9</v>
      </c>
      <c r="I16107" s="689">
        <v>48.7</v>
      </c>
      <c r="J16107" s="689">
        <v>46.7</v>
      </c>
      <c r="K16107" s="689">
        <v>49.7</v>
      </c>
    </row>
    <row r="16108" spans="1:11">
      <c r="A16108" s="688" t="s">
        <v>2349</v>
      </c>
      <c r="B16108" s="691">
        <v>46.7</v>
      </c>
      <c r="C16108" s="691">
        <v>46.8</v>
      </c>
      <c r="D16108" s="691">
        <v>46.7</v>
      </c>
      <c r="E16108" s="615">
        <v>47</v>
      </c>
      <c r="F16108" s="691">
        <v>46.8</v>
      </c>
      <c r="G16108" s="691">
        <v>47.2</v>
      </c>
      <c r="H16108" s="691">
        <v>47.3</v>
      </c>
      <c r="I16108" s="691">
        <v>46.2</v>
      </c>
      <c r="J16108" s="691">
        <v>44.4</v>
      </c>
      <c r="K16108" s="691">
        <v>46.5</v>
      </c>
    </row>
    <row r="16109" spans="1:11">
      <c r="A16109" s="688" t="s">
        <v>2355</v>
      </c>
      <c r="B16109" s="689">
        <v>50.6</v>
      </c>
      <c r="C16109" s="689">
        <v>50.4</v>
      </c>
      <c r="D16109" s="689">
        <v>50.4</v>
      </c>
      <c r="E16109" s="689">
        <v>50.3</v>
      </c>
      <c r="F16109" s="689">
        <v>50.5</v>
      </c>
      <c r="G16109" s="689">
        <v>50.9</v>
      </c>
      <c r="H16109" s="693">
        <v>51</v>
      </c>
      <c r="I16109" s="690" t="s">
        <v>4060</v>
      </c>
      <c r="J16109" s="690" t="s">
        <v>4060</v>
      </c>
      <c r="K16109" s="690" t="s">
        <v>4060</v>
      </c>
    </row>
    <row r="16110" spans="1:11">
      <c r="A16110" s="688" t="s">
        <v>2357</v>
      </c>
      <c r="B16110" s="692" t="s">
        <v>4060</v>
      </c>
      <c r="C16110" s="615">
        <v>46</v>
      </c>
      <c r="D16110" s="691">
        <v>46.5</v>
      </c>
      <c r="E16110" s="691">
        <v>46.8</v>
      </c>
      <c r="F16110" s="691">
        <v>47.1</v>
      </c>
      <c r="G16110" s="691">
        <v>47.1</v>
      </c>
      <c r="H16110" s="691">
        <v>47.3</v>
      </c>
      <c r="I16110" s="692" t="s">
        <v>4060</v>
      </c>
      <c r="J16110" s="692" t="s">
        <v>4060</v>
      </c>
      <c r="K16110" s="692" t="s">
        <v>4060</v>
      </c>
    </row>
    <row r="16111" spans="1:11">
      <c r="A16111" s="688" t="s">
        <v>4070</v>
      </c>
      <c r="B16111" s="690" t="s">
        <v>4060</v>
      </c>
      <c r="C16111" s="690" t="s">
        <v>4060</v>
      </c>
      <c r="D16111" s="690" t="s">
        <v>4060</v>
      </c>
      <c r="E16111" s="689">
        <v>50.4</v>
      </c>
      <c r="F16111" s="690" t="s">
        <v>4060</v>
      </c>
      <c r="G16111" s="690" t="s">
        <v>4060</v>
      </c>
      <c r="H16111" s="690" t="s">
        <v>4060</v>
      </c>
      <c r="I16111" s="690" t="s">
        <v>4060</v>
      </c>
      <c r="J16111" s="690" t="s">
        <v>4060</v>
      </c>
      <c r="K16111" s="690" t="s">
        <v>4060</v>
      </c>
    </row>
    <row r="16112" spans="1:11">
      <c r="A16112" s="688" t="s">
        <v>2491</v>
      </c>
      <c r="B16112" s="691">
        <v>46.9</v>
      </c>
      <c r="C16112" s="691">
        <v>47.4</v>
      </c>
      <c r="D16112" s="691">
        <v>47.7</v>
      </c>
      <c r="E16112" s="691">
        <v>47.9</v>
      </c>
      <c r="F16112" s="615">
        <v>48</v>
      </c>
      <c r="G16112" s="615">
        <v>48</v>
      </c>
      <c r="H16112" s="692" t="s">
        <v>4060</v>
      </c>
      <c r="I16112" s="692" t="s">
        <v>4060</v>
      </c>
      <c r="J16112" s="692" t="s">
        <v>4060</v>
      </c>
      <c r="K16112" s="692" t="s">
        <v>4060</v>
      </c>
    </row>
    <row r="16113" spans="1:11">
      <c r="A16113" s="688" t="s">
        <v>2343</v>
      </c>
      <c r="B16113" s="690" t="s">
        <v>4060</v>
      </c>
      <c r="C16113" s="690" t="s">
        <v>4060</v>
      </c>
      <c r="D16113" s="690" t="s">
        <v>4060</v>
      </c>
      <c r="E16113" s="690" t="s">
        <v>4060</v>
      </c>
      <c r="F16113" s="690" t="s">
        <v>4060</v>
      </c>
      <c r="G16113" s="690" t="s">
        <v>4060</v>
      </c>
      <c r="H16113" s="690" t="s">
        <v>4060</v>
      </c>
      <c r="I16113" s="690" t="s">
        <v>4060</v>
      </c>
      <c r="J16113" s="690" t="s">
        <v>4060</v>
      </c>
      <c r="K16113" s="690" t="s">
        <v>4060</v>
      </c>
    </row>
    <row r="16114" spans="1:11">
      <c r="A16114" s="688" t="s">
        <v>4071</v>
      </c>
      <c r="B16114" s="692" t="s">
        <v>4060</v>
      </c>
      <c r="C16114" s="692" t="s">
        <v>4060</v>
      </c>
      <c r="D16114" s="692" t="s">
        <v>4060</v>
      </c>
      <c r="E16114" s="692" t="s">
        <v>4060</v>
      </c>
      <c r="F16114" s="692" t="s">
        <v>4060</v>
      </c>
      <c r="G16114" s="692" t="s">
        <v>4060</v>
      </c>
      <c r="H16114" s="692" t="s">
        <v>4060</v>
      </c>
      <c r="I16114" s="692" t="s">
        <v>4060</v>
      </c>
      <c r="J16114" s="692" t="s">
        <v>4060</v>
      </c>
      <c r="K16114" s="692" t="s">
        <v>4060</v>
      </c>
    </row>
    <row r="16115" spans="1:11">
      <c r="A16115" s="688" t="s">
        <v>2489</v>
      </c>
      <c r="B16115" s="690" t="s">
        <v>4060</v>
      </c>
      <c r="C16115" s="690" t="s">
        <v>4060</v>
      </c>
      <c r="D16115" s="689">
        <v>47.3</v>
      </c>
      <c r="E16115" s="689">
        <v>47.4</v>
      </c>
      <c r="F16115" s="689">
        <v>47.9</v>
      </c>
      <c r="G16115" s="689">
        <v>48.6</v>
      </c>
      <c r="H16115" s="689">
        <v>48.6</v>
      </c>
      <c r="I16115" s="690" t="s">
        <v>4060</v>
      </c>
      <c r="J16115" s="690" t="s">
        <v>4060</v>
      </c>
      <c r="K16115" s="690" t="s">
        <v>4060</v>
      </c>
    </row>
    <row r="16116" spans="1:11">
      <c r="A16116" s="688" t="s">
        <v>2490</v>
      </c>
      <c r="B16116" s="691">
        <v>46.7</v>
      </c>
      <c r="C16116" s="691">
        <v>46.7</v>
      </c>
      <c r="D16116" s="691">
        <v>47.2</v>
      </c>
      <c r="E16116" s="692" t="s">
        <v>4060</v>
      </c>
      <c r="F16116" s="691">
        <v>47.4</v>
      </c>
      <c r="G16116" s="691">
        <v>47.8</v>
      </c>
      <c r="H16116" s="691">
        <v>48.4</v>
      </c>
      <c r="I16116" s="692" t="s">
        <v>4060</v>
      </c>
      <c r="J16116" s="692" t="s">
        <v>4060</v>
      </c>
      <c r="K16116" s="692" t="s">
        <v>4060</v>
      </c>
    </row>
    <row r="16118" spans="1:11">
      <c r="A16118" s="683" t="s">
        <v>4233</v>
      </c>
    </row>
    <row r="16119" spans="1:11">
      <c r="A16119" s="683" t="s">
        <v>4060</v>
      </c>
      <c r="B16119" s="682" t="s">
        <v>4234</v>
      </c>
    </row>
    <row r="16121" spans="1:11">
      <c r="A16121" s="682" t="s">
        <v>4332</v>
      </c>
    </row>
    <row r="16122" spans="1:11">
      <c r="A16122" s="682" t="s">
        <v>4210</v>
      </c>
      <c r="B16122" s="683" t="s">
        <v>4211</v>
      </c>
    </row>
    <row r="16123" spans="1:11">
      <c r="A16123" s="682" t="s">
        <v>4212</v>
      </c>
      <c r="B16123" s="682" t="s">
        <v>4213</v>
      </c>
    </row>
    <row r="16125" spans="1:11">
      <c r="A16125" s="683" t="s">
        <v>4214</v>
      </c>
      <c r="C16125" s="682" t="s">
        <v>4215</v>
      </c>
    </row>
    <row r="16126" spans="1:11">
      <c r="A16126" s="683" t="s">
        <v>4216</v>
      </c>
      <c r="C16126" s="682" t="s">
        <v>2967</v>
      </c>
    </row>
    <row r="16127" spans="1:11">
      <c r="A16127" s="683" t="s">
        <v>3893</v>
      </c>
      <c r="C16127" s="682" t="s">
        <v>2169</v>
      </c>
    </row>
    <row r="16128" spans="1:11">
      <c r="A16128" s="683" t="s">
        <v>4218</v>
      </c>
      <c r="C16128" s="682" t="s">
        <v>4268</v>
      </c>
    </row>
    <row r="16130" spans="1:11">
      <c r="A16130" s="684" t="s">
        <v>4220</v>
      </c>
      <c r="B16130" s="685" t="s">
        <v>4221</v>
      </c>
      <c r="C16130" s="685" t="s">
        <v>4222</v>
      </c>
      <c r="D16130" s="685" t="s">
        <v>4223</v>
      </c>
      <c r="E16130" s="685" t="s">
        <v>4224</v>
      </c>
      <c r="F16130" s="685" t="s">
        <v>4225</v>
      </c>
      <c r="G16130" s="685" t="s">
        <v>4226</v>
      </c>
      <c r="H16130" s="685" t="s">
        <v>4227</v>
      </c>
      <c r="I16130" s="685" t="s">
        <v>4228</v>
      </c>
      <c r="J16130" s="685" t="s">
        <v>4229</v>
      </c>
      <c r="K16130" s="685" t="s">
        <v>4230</v>
      </c>
    </row>
    <row r="16131" spans="1:11">
      <c r="A16131" s="686" t="s">
        <v>4231</v>
      </c>
      <c r="B16131" s="687" t="s">
        <v>4232</v>
      </c>
      <c r="C16131" s="687" t="s">
        <v>4232</v>
      </c>
      <c r="D16131" s="687" t="s">
        <v>4232</v>
      </c>
      <c r="E16131" s="687" t="s">
        <v>4232</v>
      </c>
      <c r="F16131" s="687" t="s">
        <v>4232</v>
      </c>
      <c r="G16131" s="687" t="s">
        <v>4232</v>
      </c>
      <c r="H16131" s="687" t="s">
        <v>4232</v>
      </c>
      <c r="I16131" s="687" t="s">
        <v>4232</v>
      </c>
      <c r="J16131" s="687" t="s">
        <v>4232</v>
      </c>
      <c r="K16131" s="687" t="s">
        <v>4232</v>
      </c>
    </row>
    <row r="16132" spans="1:11">
      <c r="A16132" s="688" t="s">
        <v>4064</v>
      </c>
      <c r="B16132" s="615">
        <v>51</v>
      </c>
      <c r="C16132" s="615">
        <v>51</v>
      </c>
      <c r="D16132" s="691">
        <v>50.9</v>
      </c>
      <c r="E16132" s="691">
        <v>51.1</v>
      </c>
      <c r="F16132" s="615">
        <v>51</v>
      </c>
      <c r="G16132" s="691">
        <v>51.1</v>
      </c>
      <c r="H16132" s="691">
        <v>51.4</v>
      </c>
      <c r="I16132" s="691">
        <v>50.7</v>
      </c>
      <c r="J16132" s="691">
        <v>50.4</v>
      </c>
      <c r="K16132" s="691">
        <v>50.8</v>
      </c>
    </row>
    <row r="16133" spans="1:11">
      <c r="A16133" s="688" t="s">
        <v>4065</v>
      </c>
      <c r="B16133" s="689">
        <v>50.9</v>
      </c>
      <c r="C16133" s="689">
        <v>51.3</v>
      </c>
      <c r="D16133" s="689">
        <v>50.9</v>
      </c>
      <c r="E16133" s="689">
        <v>51.3</v>
      </c>
      <c r="F16133" s="689">
        <v>51.2</v>
      </c>
      <c r="G16133" s="689">
        <v>51.2</v>
      </c>
      <c r="H16133" s="690" t="s">
        <v>4060</v>
      </c>
      <c r="I16133" s="690" t="s">
        <v>4060</v>
      </c>
      <c r="J16133" s="690" t="s">
        <v>4060</v>
      </c>
      <c r="K16133" s="690" t="s">
        <v>4060</v>
      </c>
    </row>
    <row r="16134" spans="1:11">
      <c r="A16134" s="688" t="s">
        <v>4063</v>
      </c>
      <c r="B16134" s="615">
        <v>51</v>
      </c>
      <c r="C16134" s="691">
        <v>51.3</v>
      </c>
      <c r="D16134" s="691">
        <v>50.9</v>
      </c>
      <c r="E16134" s="691">
        <v>51.3</v>
      </c>
      <c r="F16134" s="691">
        <v>51.2</v>
      </c>
      <c r="G16134" s="691">
        <v>51.3</v>
      </c>
      <c r="H16134" s="692" t="s">
        <v>4060</v>
      </c>
      <c r="I16134" s="692" t="s">
        <v>4060</v>
      </c>
      <c r="J16134" s="692" t="s">
        <v>4060</v>
      </c>
      <c r="K16134" s="692" t="s">
        <v>4060</v>
      </c>
    </row>
    <row r="16135" spans="1:11">
      <c r="A16135" s="688" t="s">
        <v>4069</v>
      </c>
      <c r="B16135" s="690" t="s">
        <v>4060</v>
      </c>
      <c r="C16135" s="689">
        <v>51.8</v>
      </c>
      <c r="D16135" s="689">
        <v>51.5</v>
      </c>
      <c r="E16135" s="689">
        <v>51.8</v>
      </c>
      <c r="F16135" s="689">
        <v>51.8</v>
      </c>
      <c r="G16135" s="689">
        <v>51.9</v>
      </c>
      <c r="H16135" s="689">
        <v>52.1</v>
      </c>
      <c r="I16135" s="689">
        <v>51.6</v>
      </c>
      <c r="J16135" s="689">
        <v>51.6</v>
      </c>
      <c r="K16135" s="689">
        <v>51.6</v>
      </c>
    </row>
    <row r="16136" spans="1:11">
      <c r="A16136" s="688" t="s">
        <v>4068</v>
      </c>
      <c r="B16136" s="691">
        <v>51.9</v>
      </c>
      <c r="C16136" s="692" t="s">
        <v>4060</v>
      </c>
      <c r="D16136" s="692" t="s">
        <v>4060</v>
      </c>
      <c r="E16136" s="692" t="s">
        <v>4060</v>
      </c>
      <c r="F16136" s="692" t="s">
        <v>4060</v>
      </c>
      <c r="G16136" s="692" t="s">
        <v>4060</v>
      </c>
      <c r="H16136" s="692" t="s">
        <v>4060</v>
      </c>
      <c r="I16136" s="692" t="s">
        <v>4060</v>
      </c>
      <c r="J16136" s="692" t="s">
        <v>4060</v>
      </c>
      <c r="K16136" s="692" t="s">
        <v>4060</v>
      </c>
    </row>
    <row r="16137" spans="1:11">
      <c r="A16137" s="688" t="s">
        <v>0</v>
      </c>
      <c r="B16137" s="689">
        <v>50.9</v>
      </c>
      <c r="C16137" s="689">
        <v>51.1</v>
      </c>
      <c r="D16137" s="689">
        <v>50.8</v>
      </c>
      <c r="E16137" s="689">
        <v>51.3</v>
      </c>
      <c r="F16137" s="689">
        <v>51.3</v>
      </c>
      <c r="G16137" s="689">
        <v>51.3</v>
      </c>
      <c r="H16137" s="689">
        <v>51.6</v>
      </c>
      <c r="I16137" s="689">
        <v>50.6</v>
      </c>
      <c r="J16137" s="689">
        <v>51.6</v>
      </c>
      <c r="K16137" s="689">
        <v>51.4</v>
      </c>
    </row>
    <row r="16138" spans="1:11">
      <c r="A16138" s="688" t="s">
        <v>1</v>
      </c>
      <c r="B16138" s="691">
        <v>46.7</v>
      </c>
      <c r="C16138" s="691">
        <v>46.1</v>
      </c>
      <c r="D16138" s="691">
        <v>46.1</v>
      </c>
      <c r="E16138" s="691">
        <v>46.4</v>
      </c>
      <c r="F16138" s="691">
        <v>46.2</v>
      </c>
      <c r="G16138" s="691">
        <v>46.4</v>
      </c>
      <c r="H16138" s="691">
        <v>46.6</v>
      </c>
      <c r="I16138" s="691">
        <v>45.2</v>
      </c>
      <c r="J16138" s="691">
        <v>43.1</v>
      </c>
      <c r="K16138" s="691">
        <v>45.8</v>
      </c>
    </row>
    <row r="16139" spans="1:11">
      <c r="A16139" s="688" t="s">
        <v>2240</v>
      </c>
      <c r="B16139" s="689">
        <v>48.9</v>
      </c>
      <c r="C16139" s="689">
        <v>49.2</v>
      </c>
      <c r="D16139" s="693">
        <v>49</v>
      </c>
      <c r="E16139" s="689">
        <v>49.5</v>
      </c>
      <c r="F16139" s="689">
        <v>49.4</v>
      </c>
      <c r="G16139" s="689">
        <v>49.5</v>
      </c>
      <c r="H16139" s="689">
        <v>49.7</v>
      </c>
      <c r="I16139" s="689">
        <v>48.8</v>
      </c>
      <c r="J16139" s="693">
        <v>48</v>
      </c>
      <c r="K16139" s="689">
        <v>49.5</v>
      </c>
    </row>
    <row r="16140" spans="1:11">
      <c r="A16140" s="688" t="s">
        <v>2</v>
      </c>
      <c r="B16140" s="691">
        <v>49.9</v>
      </c>
      <c r="C16140" s="691">
        <v>50.2</v>
      </c>
      <c r="D16140" s="691">
        <v>50.3</v>
      </c>
      <c r="E16140" s="691">
        <v>50.4</v>
      </c>
      <c r="F16140" s="691">
        <v>50.6</v>
      </c>
      <c r="G16140" s="691">
        <v>50.4</v>
      </c>
      <c r="H16140" s="691">
        <v>50.9</v>
      </c>
      <c r="I16140" s="615">
        <v>51</v>
      </c>
      <c r="J16140" s="691">
        <v>50.8</v>
      </c>
      <c r="K16140" s="691">
        <v>50.7</v>
      </c>
    </row>
    <row r="16141" spans="1:11">
      <c r="A16141" s="688" t="s">
        <v>3</v>
      </c>
      <c r="B16141" s="689">
        <v>50.6</v>
      </c>
      <c r="C16141" s="689">
        <v>50.9</v>
      </c>
      <c r="D16141" s="689">
        <v>50.6</v>
      </c>
      <c r="E16141" s="689">
        <v>50.9</v>
      </c>
      <c r="F16141" s="689">
        <v>50.9</v>
      </c>
      <c r="G16141" s="689">
        <v>50.8</v>
      </c>
      <c r="H16141" s="689">
        <v>51.1</v>
      </c>
      <c r="I16141" s="693">
        <v>51</v>
      </c>
      <c r="J16141" s="689">
        <v>50.7</v>
      </c>
      <c r="K16141" s="689">
        <v>50.5</v>
      </c>
    </row>
    <row r="16142" spans="1:11">
      <c r="A16142" s="688" t="s">
        <v>4061</v>
      </c>
      <c r="B16142" s="691">
        <v>50.6</v>
      </c>
      <c r="C16142" s="691">
        <v>50.9</v>
      </c>
      <c r="D16142" s="691">
        <v>50.6</v>
      </c>
      <c r="E16142" s="691">
        <v>50.9</v>
      </c>
      <c r="F16142" s="691">
        <v>50.9</v>
      </c>
      <c r="G16142" s="691">
        <v>50.8</v>
      </c>
      <c r="H16142" s="691">
        <v>51.1</v>
      </c>
      <c r="I16142" s="615">
        <v>51</v>
      </c>
      <c r="J16142" s="691">
        <v>50.7</v>
      </c>
      <c r="K16142" s="691">
        <v>50.5</v>
      </c>
    </row>
    <row r="16143" spans="1:11">
      <c r="A16143" s="688" t="s">
        <v>4</v>
      </c>
      <c r="B16143" s="689">
        <v>49.4</v>
      </c>
      <c r="C16143" s="689">
        <v>49.3</v>
      </c>
      <c r="D16143" s="689">
        <v>49.6</v>
      </c>
      <c r="E16143" s="689">
        <v>49.8</v>
      </c>
      <c r="F16143" s="693">
        <v>50</v>
      </c>
      <c r="G16143" s="689">
        <v>49.9</v>
      </c>
      <c r="H16143" s="689">
        <v>50.3</v>
      </c>
      <c r="I16143" s="689">
        <v>50.2</v>
      </c>
      <c r="J16143" s="689">
        <v>48.9</v>
      </c>
      <c r="K16143" s="689">
        <v>49.9</v>
      </c>
    </row>
    <row r="16144" spans="1:11">
      <c r="A16144" s="688" t="s">
        <v>8</v>
      </c>
      <c r="B16144" s="691">
        <v>50.7</v>
      </c>
      <c r="C16144" s="691">
        <v>50.8</v>
      </c>
      <c r="D16144" s="691">
        <v>50.8</v>
      </c>
      <c r="E16144" s="691">
        <v>50.9</v>
      </c>
      <c r="F16144" s="691">
        <v>51.4</v>
      </c>
      <c r="G16144" s="691">
        <v>51.4</v>
      </c>
      <c r="H16144" s="691">
        <v>51.8</v>
      </c>
      <c r="I16144" s="691">
        <v>51.6</v>
      </c>
      <c r="J16144" s="691">
        <v>51.5</v>
      </c>
      <c r="K16144" s="691">
        <v>51.5</v>
      </c>
    </row>
    <row r="16145" spans="1:11">
      <c r="A16145" s="688" t="s">
        <v>7</v>
      </c>
      <c r="B16145" s="689">
        <v>51.6</v>
      </c>
      <c r="C16145" s="689">
        <v>51.4</v>
      </c>
      <c r="D16145" s="689">
        <v>51.1</v>
      </c>
      <c r="E16145" s="689">
        <v>51.4</v>
      </c>
      <c r="F16145" s="689">
        <v>51.3</v>
      </c>
      <c r="G16145" s="689">
        <v>51.8</v>
      </c>
      <c r="H16145" s="689">
        <v>51.7</v>
      </c>
      <c r="I16145" s="689">
        <v>51.3</v>
      </c>
      <c r="J16145" s="689">
        <v>50.5</v>
      </c>
      <c r="K16145" s="689">
        <v>50.9</v>
      </c>
    </row>
    <row r="16146" spans="1:11">
      <c r="A16146" s="688" t="s">
        <v>27</v>
      </c>
      <c r="B16146" s="691">
        <v>53.6</v>
      </c>
      <c r="C16146" s="691">
        <v>53.1</v>
      </c>
      <c r="D16146" s="691">
        <v>52.8</v>
      </c>
      <c r="E16146" s="691">
        <v>53.3</v>
      </c>
      <c r="F16146" s="691">
        <v>53.2</v>
      </c>
      <c r="G16146" s="691">
        <v>53.3</v>
      </c>
      <c r="H16146" s="691">
        <v>53.7</v>
      </c>
      <c r="I16146" s="691">
        <v>52.5</v>
      </c>
      <c r="J16146" s="691">
        <v>53.3</v>
      </c>
      <c r="K16146" s="691">
        <v>53.2</v>
      </c>
    </row>
    <row r="16147" spans="1:11">
      <c r="A16147" s="688" t="s">
        <v>6</v>
      </c>
      <c r="B16147" s="689">
        <v>53.3</v>
      </c>
      <c r="C16147" s="693">
        <v>53</v>
      </c>
      <c r="D16147" s="689">
        <v>52.8</v>
      </c>
      <c r="E16147" s="693">
        <v>53</v>
      </c>
      <c r="F16147" s="693">
        <v>53</v>
      </c>
      <c r="G16147" s="689">
        <v>53.1</v>
      </c>
      <c r="H16147" s="689">
        <v>53.2</v>
      </c>
      <c r="I16147" s="689">
        <v>52.7</v>
      </c>
      <c r="J16147" s="689">
        <v>52.9</v>
      </c>
      <c r="K16147" s="689">
        <v>52.8</v>
      </c>
    </row>
    <row r="16148" spans="1:11">
      <c r="A16148" s="688" t="s">
        <v>4058</v>
      </c>
      <c r="B16148" s="692" t="s">
        <v>4060</v>
      </c>
      <c r="C16148" s="692" t="s">
        <v>4060</v>
      </c>
      <c r="D16148" s="692" t="s">
        <v>4060</v>
      </c>
      <c r="E16148" s="692" t="s">
        <v>4060</v>
      </c>
      <c r="F16148" s="692" t="s">
        <v>4060</v>
      </c>
      <c r="G16148" s="692" t="s">
        <v>4060</v>
      </c>
      <c r="H16148" s="692" t="s">
        <v>4060</v>
      </c>
      <c r="I16148" s="692" t="s">
        <v>4060</v>
      </c>
      <c r="J16148" s="692" t="s">
        <v>4060</v>
      </c>
      <c r="K16148" s="692" t="s">
        <v>4060</v>
      </c>
    </row>
    <row r="16149" spans="1:11">
      <c r="A16149" s="688" t="s">
        <v>11</v>
      </c>
      <c r="B16149" s="689">
        <v>48.6</v>
      </c>
      <c r="C16149" s="689">
        <v>48.5</v>
      </c>
      <c r="D16149" s="689">
        <v>48.1</v>
      </c>
      <c r="E16149" s="689">
        <v>48.8</v>
      </c>
      <c r="F16149" s="689">
        <v>48.4</v>
      </c>
      <c r="G16149" s="689">
        <v>48.8</v>
      </c>
      <c r="H16149" s="693">
        <v>49</v>
      </c>
      <c r="I16149" s="689">
        <v>48.3</v>
      </c>
      <c r="J16149" s="689">
        <v>47.4</v>
      </c>
      <c r="K16149" s="689">
        <v>48.4</v>
      </c>
    </row>
    <row r="16150" spans="1:11">
      <c r="A16150" s="688" t="s">
        <v>10</v>
      </c>
      <c r="B16150" s="691">
        <v>52.7</v>
      </c>
      <c r="C16150" s="691">
        <v>52.5</v>
      </c>
      <c r="D16150" s="691">
        <v>52.1</v>
      </c>
      <c r="E16150" s="691">
        <v>52.7</v>
      </c>
      <c r="F16150" s="691">
        <v>52.4</v>
      </c>
      <c r="G16150" s="691">
        <v>52.7</v>
      </c>
      <c r="H16150" s="691">
        <v>52.9</v>
      </c>
      <c r="I16150" s="691">
        <v>51.9</v>
      </c>
      <c r="J16150" s="691">
        <v>52.2</v>
      </c>
      <c r="K16150" s="691">
        <v>52.2</v>
      </c>
    </row>
    <row r="16151" spans="1:11">
      <c r="A16151" s="688" t="s">
        <v>30</v>
      </c>
      <c r="B16151" s="689">
        <v>52.3</v>
      </c>
      <c r="C16151" s="689">
        <v>51.6</v>
      </c>
      <c r="D16151" s="689">
        <v>51.2</v>
      </c>
      <c r="E16151" s="689">
        <v>52.3</v>
      </c>
      <c r="F16151" s="689">
        <v>51.8</v>
      </c>
      <c r="G16151" s="689">
        <v>52.2</v>
      </c>
      <c r="H16151" s="693">
        <v>52</v>
      </c>
      <c r="I16151" s="693">
        <v>52</v>
      </c>
      <c r="J16151" s="689">
        <v>51.3</v>
      </c>
      <c r="K16151" s="689">
        <v>51.6</v>
      </c>
    </row>
    <row r="16152" spans="1:11">
      <c r="A16152" s="688" t="s">
        <v>12</v>
      </c>
      <c r="B16152" s="691">
        <v>46.8</v>
      </c>
      <c r="C16152" s="691">
        <v>47.2</v>
      </c>
      <c r="D16152" s="691">
        <v>47.2</v>
      </c>
      <c r="E16152" s="691">
        <v>47.3</v>
      </c>
      <c r="F16152" s="691">
        <v>47.4</v>
      </c>
      <c r="G16152" s="691">
        <v>47.4</v>
      </c>
      <c r="H16152" s="691">
        <v>47.9</v>
      </c>
      <c r="I16152" s="691">
        <v>47.6</v>
      </c>
      <c r="J16152" s="691">
        <v>45.7</v>
      </c>
      <c r="K16152" s="691">
        <v>47.2</v>
      </c>
    </row>
    <row r="16153" spans="1:11">
      <c r="A16153" s="688" t="s">
        <v>14</v>
      </c>
      <c r="B16153" s="689">
        <v>47.5</v>
      </c>
      <c r="C16153" s="689">
        <v>47.7</v>
      </c>
      <c r="D16153" s="689">
        <v>47.4</v>
      </c>
      <c r="E16153" s="689">
        <v>47.7</v>
      </c>
      <c r="F16153" s="693">
        <v>48</v>
      </c>
      <c r="G16153" s="689">
        <v>48.3</v>
      </c>
      <c r="H16153" s="689">
        <v>48.6</v>
      </c>
      <c r="I16153" s="689">
        <v>47.7</v>
      </c>
      <c r="J16153" s="689">
        <v>46.5</v>
      </c>
      <c r="K16153" s="689">
        <v>47.8</v>
      </c>
    </row>
    <row r="16154" spans="1:11">
      <c r="A16154" s="688" t="s">
        <v>15</v>
      </c>
      <c r="B16154" s="691">
        <v>51.6</v>
      </c>
      <c r="C16154" s="691">
        <v>52.2</v>
      </c>
      <c r="D16154" s="691">
        <v>51.5</v>
      </c>
      <c r="E16154" s="691">
        <v>52.2</v>
      </c>
      <c r="F16154" s="691">
        <v>51.4</v>
      </c>
      <c r="G16154" s="615">
        <v>52</v>
      </c>
      <c r="H16154" s="691">
        <v>52.2</v>
      </c>
      <c r="I16154" s="615">
        <v>52</v>
      </c>
      <c r="J16154" s="691">
        <v>52.3</v>
      </c>
      <c r="K16154" s="691">
        <v>52.5</v>
      </c>
    </row>
    <row r="16155" spans="1:11">
      <c r="A16155" s="688" t="s">
        <v>29</v>
      </c>
      <c r="B16155" s="689">
        <v>46.9</v>
      </c>
      <c r="C16155" s="689">
        <v>46.8</v>
      </c>
      <c r="D16155" s="689">
        <v>46.5</v>
      </c>
      <c r="E16155" s="689">
        <v>47.1</v>
      </c>
      <c r="F16155" s="689">
        <v>46.8</v>
      </c>
      <c r="G16155" s="693">
        <v>47</v>
      </c>
      <c r="H16155" s="689">
        <v>47.1</v>
      </c>
      <c r="I16155" s="689">
        <v>46.4</v>
      </c>
      <c r="J16155" s="689">
        <v>45.3</v>
      </c>
      <c r="K16155" s="689">
        <v>46.8</v>
      </c>
    </row>
    <row r="16156" spans="1:11">
      <c r="A16156" s="688" t="s">
        <v>16</v>
      </c>
      <c r="B16156" s="691">
        <v>51.8</v>
      </c>
      <c r="C16156" s="691">
        <v>51.6</v>
      </c>
      <c r="D16156" s="691">
        <v>51.6</v>
      </c>
      <c r="E16156" s="691">
        <v>51.6</v>
      </c>
      <c r="F16156" s="691">
        <v>51.8</v>
      </c>
      <c r="G16156" s="691">
        <v>51.6</v>
      </c>
      <c r="H16156" s="691">
        <v>52.1</v>
      </c>
      <c r="I16156" s="691">
        <v>51.7</v>
      </c>
      <c r="J16156" s="691">
        <v>51.4</v>
      </c>
      <c r="K16156" s="691">
        <v>51.7</v>
      </c>
    </row>
    <row r="16157" spans="1:11">
      <c r="A16157" s="688" t="s">
        <v>17</v>
      </c>
      <c r="B16157" s="689">
        <v>50.8</v>
      </c>
      <c r="C16157" s="689">
        <v>50.9</v>
      </c>
      <c r="D16157" s="689">
        <v>50.7</v>
      </c>
      <c r="E16157" s="689">
        <v>50.7</v>
      </c>
      <c r="F16157" s="689">
        <v>50.9</v>
      </c>
      <c r="G16157" s="689">
        <v>50.9</v>
      </c>
      <c r="H16157" s="689">
        <v>51.2</v>
      </c>
      <c r="I16157" s="689">
        <v>50.7</v>
      </c>
      <c r="J16157" s="689">
        <v>50.6</v>
      </c>
      <c r="K16157" s="689">
        <v>50.7</v>
      </c>
    </row>
    <row r="16158" spans="1:11">
      <c r="A16158" s="688" t="s">
        <v>19</v>
      </c>
      <c r="B16158" s="691">
        <v>51.4</v>
      </c>
      <c r="C16158" s="691">
        <v>51.4</v>
      </c>
      <c r="D16158" s="691">
        <v>51.2</v>
      </c>
      <c r="E16158" s="691">
        <v>51.5</v>
      </c>
      <c r="F16158" s="691">
        <v>51.5</v>
      </c>
      <c r="G16158" s="691">
        <v>51.5</v>
      </c>
      <c r="H16158" s="691">
        <v>51.8</v>
      </c>
      <c r="I16158" s="691">
        <v>51.3</v>
      </c>
      <c r="J16158" s="691">
        <v>51.3</v>
      </c>
      <c r="K16158" s="691">
        <v>51.3</v>
      </c>
    </row>
    <row r="16159" spans="1:11">
      <c r="A16159" s="688" t="s">
        <v>20</v>
      </c>
      <c r="B16159" s="689">
        <v>48.9</v>
      </c>
      <c r="C16159" s="689">
        <v>49.1</v>
      </c>
      <c r="D16159" s="689">
        <v>48.9</v>
      </c>
      <c r="E16159" s="689">
        <v>49.4</v>
      </c>
      <c r="F16159" s="689">
        <v>49.2</v>
      </c>
      <c r="G16159" s="689">
        <v>49.1</v>
      </c>
      <c r="H16159" s="689">
        <v>49.4</v>
      </c>
      <c r="I16159" s="689">
        <v>48.2</v>
      </c>
      <c r="J16159" s="689">
        <v>47.2</v>
      </c>
      <c r="K16159" s="689">
        <v>48.7</v>
      </c>
    </row>
    <row r="16160" spans="1:11">
      <c r="A16160" s="688" t="s">
        <v>21</v>
      </c>
      <c r="B16160" s="691">
        <v>51.6</v>
      </c>
      <c r="C16160" s="691">
        <v>51.9</v>
      </c>
      <c r="D16160" s="691">
        <v>51.8</v>
      </c>
      <c r="E16160" s="691">
        <v>51.8</v>
      </c>
      <c r="F16160" s="691">
        <v>52.1</v>
      </c>
      <c r="G16160" s="691">
        <v>52.1</v>
      </c>
      <c r="H16160" s="691">
        <v>52.3</v>
      </c>
      <c r="I16160" s="691">
        <v>51.7</v>
      </c>
      <c r="J16160" s="691">
        <v>51.8</v>
      </c>
      <c r="K16160" s="615">
        <v>52</v>
      </c>
    </row>
    <row r="16161" spans="1:11">
      <c r="A16161" s="688" t="s">
        <v>22</v>
      </c>
      <c r="B16161" s="689">
        <v>46.9</v>
      </c>
      <c r="C16161" s="689">
        <v>46.7</v>
      </c>
      <c r="D16161" s="689">
        <v>46.7</v>
      </c>
      <c r="E16161" s="689">
        <v>46.9</v>
      </c>
      <c r="F16161" s="693">
        <v>47</v>
      </c>
      <c r="G16161" s="689">
        <v>47.1</v>
      </c>
      <c r="H16161" s="689">
        <v>47.4</v>
      </c>
      <c r="I16161" s="689">
        <v>46.1</v>
      </c>
      <c r="J16161" s="689">
        <v>44.6</v>
      </c>
      <c r="K16161" s="693">
        <v>47</v>
      </c>
    </row>
    <row r="16162" spans="1:11">
      <c r="A16162" s="688" t="s">
        <v>26</v>
      </c>
      <c r="B16162" s="691">
        <v>51.1</v>
      </c>
      <c r="C16162" s="691">
        <v>51.1</v>
      </c>
      <c r="D16162" s="615">
        <v>51</v>
      </c>
      <c r="E16162" s="691">
        <v>51.4</v>
      </c>
      <c r="F16162" s="691">
        <v>51.2</v>
      </c>
      <c r="G16162" s="691">
        <v>51.4</v>
      </c>
      <c r="H16162" s="691">
        <v>51.6</v>
      </c>
      <c r="I16162" s="691">
        <v>50.7</v>
      </c>
      <c r="J16162" s="691">
        <v>51.1</v>
      </c>
      <c r="K16162" s="691">
        <v>51.4</v>
      </c>
    </row>
    <row r="16163" spans="1:11">
      <c r="A16163" s="688" t="s">
        <v>25</v>
      </c>
      <c r="B16163" s="693">
        <v>48</v>
      </c>
      <c r="C16163" s="689">
        <v>48.3</v>
      </c>
      <c r="D16163" s="693">
        <v>48</v>
      </c>
      <c r="E16163" s="689">
        <v>48.4</v>
      </c>
      <c r="F16163" s="689">
        <v>48.3</v>
      </c>
      <c r="G16163" s="689">
        <v>48.5</v>
      </c>
      <c r="H16163" s="689">
        <v>48.9</v>
      </c>
      <c r="I16163" s="689">
        <v>48.2</v>
      </c>
      <c r="J16163" s="693">
        <v>46</v>
      </c>
      <c r="K16163" s="689">
        <v>48.2</v>
      </c>
    </row>
    <row r="16164" spans="1:11">
      <c r="A16164" s="688" t="s">
        <v>5</v>
      </c>
      <c r="B16164" s="691">
        <v>51.7</v>
      </c>
      <c r="C16164" s="691">
        <v>51.4</v>
      </c>
      <c r="D16164" s="691">
        <v>51.6</v>
      </c>
      <c r="E16164" s="691">
        <v>51.7</v>
      </c>
      <c r="F16164" s="691">
        <v>51.8</v>
      </c>
      <c r="G16164" s="691">
        <v>51.9</v>
      </c>
      <c r="H16164" s="691">
        <v>52.2</v>
      </c>
      <c r="I16164" s="691">
        <v>52.2</v>
      </c>
      <c r="J16164" s="615">
        <v>52</v>
      </c>
      <c r="K16164" s="691">
        <v>51.4</v>
      </c>
    </row>
    <row r="16165" spans="1:11">
      <c r="A16165" s="688" t="s">
        <v>23</v>
      </c>
      <c r="B16165" s="689">
        <v>51.3</v>
      </c>
      <c r="C16165" s="689">
        <v>51.6</v>
      </c>
      <c r="D16165" s="689">
        <v>51.6</v>
      </c>
      <c r="E16165" s="689">
        <v>51.6</v>
      </c>
      <c r="F16165" s="689">
        <v>51.7</v>
      </c>
      <c r="G16165" s="689">
        <v>51.8</v>
      </c>
      <c r="H16165" s="689">
        <v>52.3</v>
      </c>
      <c r="I16165" s="689">
        <v>51.8</v>
      </c>
      <c r="J16165" s="689">
        <v>52.3</v>
      </c>
      <c r="K16165" s="689">
        <v>52.2</v>
      </c>
    </row>
    <row r="16166" spans="1:11">
      <c r="A16166" s="688" t="s">
        <v>4067</v>
      </c>
      <c r="B16166" s="691">
        <v>50.9</v>
      </c>
      <c r="C16166" s="691">
        <v>51.3</v>
      </c>
      <c r="D16166" s="691">
        <v>50.9</v>
      </c>
      <c r="E16166" s="691">
        <v>51.3</v>
      </c>
      <c r="F16166" s="691">
        <v>51.2</v>
      </c>
      <c r="G16166" s="691">
        <v>51.3</v>
      </c>
      <c r="H16166" s="692" t="s">
        <v>4060</v>
      </c>
      <c r="I16166" s="692" t="s">
        <v>4060</v>
      </c>
      <c r="J16166" s="692" t="s">
        <v>4060</v>
      </c>
      <c r="K16166" s="692" t="s">
        <v>4060</v>
      </c>
    </row>
    <row r="16167" spans="1:11">
      <c r="A16167" s="688" t="s">
        <v>4066</v>
      </c>
      <c r="B16167" s="693">
        <v>51</v>
      </c>
      <c r="C16167" s="689">
        <v>51.3</v>
      </c>
      <c r="D16167" s="689">
        <v>50.9</v>
      </c>
      <c r="E16167" s="689">
        <v>51.3</v>
      </c>
      <c r="F16167" s="689">
        <v>51.2</v>
      </c>
      <c r="G16167" s="689">
        <v>51.3</v>
      </c>
      <c r="H16167" s="690" t="s">
        <v>4060</v>
      </c>
      <c r="I16167" s="690" t="s">
        <v>4060</v>
      </c>
      <c r="J16167" s="690" t="s">
        <v>4060</v>
      </c>
      <c r="K16167" s="690" t="s">
        <v>4060</v>
      </c>
    </row>
    <row r="16168" spans="1:11">
      <c r="A16168" s="688" t="s">
        <v>4062</v>
      </c>
      <c r="B16168" s="691">
        <v>52.1</v>
      </c>
      <c r="C16168" s="691">
        <v>52.3</v>
      </c>
      <c r="D16168" s="691">
        <v>52.2</v>
      </c>
      <c r="E16168" s="691">
        <v>52.4</v>
      </c>
      <c r="F16168" s="691">
        <v>52.5</v>
      </c>
      <c r="G16168" s="691">
        <v>52.6</v>
      </c>
      <c r="H16168" s="691">
        <v>52.8</v>
      </c>
      <c r="I16168" s="691">
        <v>52.5</v>
      </c>
      <c r="J16168" s="691">
        <v>52.8</v>
      </c>
      <c r="K16168" s="691">
        <v>52.5</v>
      </c>
    </row>
    <row r="16169" spans="1:11">
      <c r="A16169" s="688" t="s">
        <v>9</v>
      </c>
      <c r="B16169" s="689">
        <v>51.2</v>
      </c>
      <c r="C16169" s="689">
        <v>51.7</v>
      </c>
      <c r="D16169" s="689">
        <v>51.1</v>
      </c>
      <c r="E16169" s="689">
        <v>51.3</v>
      </c>
      <c r="F16169" s="689">
        <v>51.7</v>
      </c>
      <c r="G16169" s="689">
        <v>51.5</v>
      </c>
      <c r="H16169" s="689">
        <v>51.9</v>
      </c>
      <c r="I16169" s="689">
        <v>51.9</v>
      </c>
      <c r="J16169" s="693">
        <v>52</v>
      </c>
      <c r="K16169" s="693">
        <v>51</v>
      </c>
    </row>
    <row r="16170" spans="1:11">
      <c r="A16170" s="688" t="s">
        <v>13</v>
      </c>
      <c r="B16170" s="691">
        <v>52.2</v>
      </c>
      <c r="C16170" s="691">
        <v>50.9</v>
      </c>
      <c r="D16170" s="691">
        <v>51.9</v>
      </c>
      <c r="E16170" s="691">
        <v>51.8</v>
      </c>
      <c r="F16170" s="615">
        <v>53</v>
      </c>
      <c r="G16170" s="691">
        <v>52.9</v>
      </c>
      <c r="H16170" s="691">
        <v>52.8</v>
      </c>
      <c r="I16170" s="691">
        <v>52.1</v>
      </c>
      <c r="J16170" s="691">
        <v>53.1</v>
      </c>
      <c r="K16170" s="691">
        <v>52.8</v>
      </c>
    </row>
    <row r="16171" spans="1:11">
      <c r="A16171" s="688" t="s">
        <v>18</v>
      </c>
      <c r="B16171" s="689">
        <v>51.3</v>
      </c>
      <c r="C16171" s="689">
        <v>51.6</v>
      </c>
      <c r="D16171" s="689">
        <v>51.6</v>
      </c>
      <c r="E16171" s="689">
        <v>51.7</v>
      </c>
      <c r="F16171" s="689">
        <v>51.8</v>
      </c>
      <c r="G16171" s="689">
        <v>51.9</v>
      </c>
      <c r="H16171" s="689">
        <v>52.2</v>
      </c>
      <c r="I16171" s="689">
        <v>52.3</v>
      </c>
      <c r="J16171" s="689">
        <v>52.2</v>
      </c>
      <c r="K16171" s="689">
        <v>51.8</v>
      </c>
    </row>
    <row r="16172" spans="1:11">
      <c r="A16172" s="688" t="s">
        <v>24</v>
      </c>
      <c r="B16172" s="691">
        <v>52.6</v>
      </c>
      <c r="C16172" s="691">
        <v>52.7</v>
      </c>
      <c r="D16172" s="691">
        <v>52.5</v>
      </c>
      <c r="E16172" s="691">
        <v>52.8</v>
      </c>
      <c r="F16172" s="691">
        <v>52.9</v>
      </c>
      <c r="G16172" s="615">
        <v>53</v>
      </c>
      <c r="H16172" s="691">
        <v>53.1</v>
      </c>
      <c r="I16172" s="691">
        <v>52.6</v>
      </c>
      <c r="J16172" s="691">
        <v>53.2</v>
      </c>
      <c r="K16172" s="615">
        <v>53</v>
      </c>
    </row>
    <row r="16173" spans="1:11">
      <c r="A16173" s="688" t="s">
        <v>4059</v>
      </c>
      <c r="B16173" s="689">
        <v>50.6</v>
      </c>
      <c r="C16173" s="689">
        <v>50.9</v>
      </c>
      <c r="D16173" s="689">
        <v>50.4</v>
      </c>
      <c r="E16173" s="689">
        <v>50.7</v>
      </c>
      <c r="F16173" s="689">
        <v>50.7</v>
      </c>
      <c r="G16173" s="689">
        <v>50.7</v>
      </c>
      <c r="H16173" s="690" t="s">
        <v>4060</v>
      </c>
      <c r="I16173" s="690" t="s">
        <v>4060</v>
      </c>
      <c r="J16173" s="690" t="s">
        <v>4060</v>
      </c>
      <c r="K16173" s="690" t="s">
        <v>4060</v>
      </c>
    </row>
    <row r="16174" spans="1:11">
      <c r="A16174" s="688" t="s">
        <v>2324</v>
      </c>
      <c r="B16174" s="691">
        <v>46.7</v>
      </c>
      <c r="C16174" s="691">
        <v>46.7</v>
      </c>
      <c r="D16174" s="691">
        <v>46.2</v>
      </c>
      <c r="E16174" s="691">
        <v>46.6</v>
      </c>
      <c r="F16174" s="691">
        <v>46.8</v>
      </c>
      <c r="G16174" s="691">
        <v>46.8</v>
      </c>
      <c r="H16174" s="691">
        <v>47.1</v>
      </c>
      <c r="I16174" s="691">
        <v>46.4</v>
      </c>
      <c r="J16174" s="691">
        <v>44.5</v>
      </c>
      <c r="K16174" s="692" t="s">
        <v>4060</v>
      </c>
    </row>
    <row r="16175" spans="1:11">
      <c r="A16175" s="688" t="s">
        <v>2322</v>
      </c>
      <c r="B16175" s="690" t="s">
        <v>4060</v>
      </c>
      <c r="C16175" s="690" t="s">
        <v>4060</v>
      </c>
      <c r="D16175" s="690" t="s">
        <v>4060</v>
      </c>
      <c r="E16175" s="690" t="s">
        <v>4060</v>
      </c>
      <c r="F16175" s="690" t="s">
        <v>4060</v>
      </c>
      <c r="G16175" s="690" t="s">
        <v>4060</v>
      </c>
      <c r="H16175" s="690" t="s">
        <v>4060</v>
      </c>
      <c r="I16175" s="690" t="s">
        <v>4060</v>
      </c>
      <c r="J16175" s="690" t="s">
        <v>4060</v>
      </c>
      <c r="K16175" s="690" t="s">
        <v>4060</v>
      </c>
    </row>
    <row r="16176" spans="1:11">
      <c r="A16176" s="688" t="s">
        <v>2328</v>
      </c>
      <c r="B16176" s="691">
        <v>45.8</v>
      </c>
      <c r="C16176" s="691">
        <v>45.6</v>
      </c>
      <c r="D16176" s="691">
        <v>45.5</v>
      </c>
      <c r="E16176" s="691">
        <v>45.9</v>
      </c>
      <c r="F16176" s="615">
        <v>46</v>
      </c>
      <c r="G16176" s="691">
        <v>46.5</v>
      </c>
      <c r="H16176" s="691">
        <v>46.4</v>
      </c>
      <c r="I16176" s="691">
        <v>44.6</v>
      </c>
      <c r="J16176" s="691">
        <v>43.2</v>
      </c>
      <c r="K16176" s="692" t="s">
        <v>4060</v>
      </c>
    </row>
    <row r="16177" spans="1:11">
      <c r="A16177" s="688" t="s">
        <v>2496</v>
      </c>
      <c r="B16177" s="690" t="s">
        <v>4060</v>
      </c>
      <c r="C16177" s="689">
        <v>46.6</v>
      </c>
      <c r="D16177" s="689">
        <v>45.7</v>
      </c>
      <c r="E16177" s="689">
        <v>45.4</v>
      </c>
      <c r="F16177" s="689">
        <v>46.1</v>
      </c>
      <c r="G16177" s="689">
        <v>46.4</v>
      </c>
      <c r="H16177" s="689">
        <v>46.5</v>
      </c>
      <c r="I16177" s="690" t="s">
        <v>4060</v>
      </c>
      <c r="J16177" s="690" t="s">
        <v>4060</v>
      </c>
      <c r="K16177" s="689">
        <v>46.2</v>
      </c>
    </row>
    <row r="16178" spans="1:11">
      <c r="A16178" s="688" t="s">
        <v>2269</v>
      </c>
      <c r="B16178" s="691">
        <v>48.4</v>
      </c>
      <c r="C16178" s="691">
        <v>48.5</v>
      </c>
      <c r="D16178" s="691">
        <v>47.9</v>
      </c>
      <c r="E16178" s="691">
        <v>48.4</v>
      </c>
      <c r="F16178" s="691">
        <v>48.2</v>
      </c>
      <c r="G16178" s="691">
        <v>48.7</v>
      </c>
      <c r="H16178" s="691">
        <v>48.9</v>
      </c>
      <c r="I16178" s="691">
        <v>47.7</v>
      </c>
      <c r="J16178" s="691">
        <v>45.7</v>
      </c>
      <c r="K16178" s="691">
        <v>48.7</v>
      </c>
    </row>
    <row r="16179" spans="1:11">
      <c r="A16179" s="688" t="s">
        <v>2349</v>
      </c>
      <c r="B16179" s="689">
        <v>45.8</v>
      </c>
      <c r="C16179" s="689">
        <v>45.8</v>
      </c>
      <c r="D16179" s="689">
        <v>45.7</v>
      </c>
      <c r="E16179" s="693">
        <v>46</v>
      </c>
      <c r="F16179" s="689">
        <v>45.8</v>
      </c>
      <c r="G16179" s="689">
        <v>46.2</v>
      </c>
      <c r="H16179" s="689">
        <v>46.4</v>
      </c>
      <c r="I16179" s="689">
        <v>45.2</v>
      </c>
      <c r="J16179" s="689">
        <v>43.5</v>
      </c>
      <c r="K16179" s="689">
        <v>45.5</v>
      </c>
    </row>
    <row r="16180" spans="1:11">
      <c r="A16180" s="688" t="s">
        <v>2355</v>
      </c>
      <c r="B16180" s="691">
        <v>49.6</v>
      </c>
      <c r="C16180" s="691">
        <v>49.4</v>
      </c>
      <c r="D16180" s="691">
        <v>49.4</v>
      </c>
      <c r="E16180" s="691">
        <v>49.3</v>
      </c>
      <c r="F16180" s="691">
        <v>49.6</v>
      </c>
      <c r="G16180" s="691">
        <v>49.9</v>
      </c>
      <c r="H16180" s="615">
        <v>50</v>
      </c>
      <c r="I16180" s="692" t="s">
        <v>4060</v>
      </c>
      <c r="J16180" s="692" t="s">
        <v>4060</v>
      </c>
      <c r="K16180" s="692" t="s">
        <v>4060</v>
      </c>
    </row>
    <row r="16181" spans="1:11">
      <c r="A16181" s="688" t="s">
        <v>2357</v>
      </c>
      <c r="B16181" s="690" t="s">
        <v>4060</v>
      </c>
      <c r="C16181" s="689">
        <v>45.1</v>
      </c>
      <c r="D16181" s="689">
        <v>45.6</v>
      </c>
      <c r="E16181" s="689">
        <v>45.8</v>
      </c>
      <c r="F16181" s="689">
        <v>46.1</v>
      </c>
      <c r="G16181" s="689">
        <v>46.1</v>
      </c>
      <c r="H16181" s="689">
        <v>46.4</v>
      </c>
      <c r="I16181" s="690" t="s">
        <v>4060</v>
      </c>
      <c r="J16181" s="690" t="s">
        <v>4060</v>
      </c>
      <c r="K16181" s="690" t="s">
        <v>4060</v>
      </c>
    </row>
    <row r="16182" spans="1:11">
      <c r="A16182" s="688" t="s">
        <v>4070</v>
      </c>
      <c r="B16182" s="692" t="s">
        <v>4060</v>
      </c>
      <c r="C16182" s="692" t="s">
        <v>4060</v>
      </c>
      <c r="D16182" s="692" t="s">
        <v>4060</v>
      </c>
      <c r="E16182" s="691">
        <v>49.4</v>
      </c>
      <c r="F16182" s="692" t="s">
        <v>4060</v>
      </c>
      <c r="G16182" s="692" t="s">
        <v>4060</v>
      </c>
      <c r="H16182" s="692" t="s">
        <v>4060</v>
      </c>
      <c r="I16182" s="692" t="s">
        <v>4060</v>
      </c>
      <c r="J16182" s="692" t="s">
        <v>4060</v>
      </c>
      <c r="K16182" s="692" t="s">
        <v>4060</v>
      </c>
    </row>
    <row r="16183" spans="1:11">
      <c r="A16183" s="688" t="s">
        <v>2491</v>
      </c>
      <c r="B16183" s="689">
        <v>45.9</v>
      </c>
      <c r="C16183" s="689">
        <v>46.4</v>
      </c>
      <c r="D16183" s="689">
        <v>46.8</v>
      </c>
      <c r="E16183" s="689">
        <v>46.9</v>
      </c>
      <c r="F16183" s="689">
        <v>47.1</v>
      </c>
      <c r="G16183" s="689">
        <v>47.1</v>
      </c>
      <c r="H16183" s="690" t="s">
        <v>4060</v>
      </c>
      <c r="I16183" s="690" t="s">
        <v>4060</v>
      </c>
      <c r="J16183" s="690" t="s">
        <v>4060</v>
      </c>
      <c r="K16183" s="690" t="s">
        <v>4060</v>
      </c>
    </row>
    <row r="16184" spans="1:11">
      <c r="A16184" s="688" t="s">
        <v>2343</v>
      </c>
      <c r="B16184" s="692" t="s">
        <v>4060</v>
      </c>
      <c r="C16184" s="692" t="s">
        <v>4060</v>
      </c>
      <c r="D16184" s="692" t="s">
        <v>4060</v>
      </c>
      <c r="E16184" s="692" t="s">
        <v>4060</v>
      </c>
      <c r="F16184" s="692" t="s">
        <v>4060</v>
      </c>
      <c r="G16184" s="692" t="s">
        <v>4060</v>
      </c>
      <c r="H16184" s="692" t="s">
        <v>4060</v>
      </c>
      <c r="I16184" s="692" t="s">
        <v>4060</v>
      </c>
      <c r="J16184" s="692" t="s">
        <v>4060</v>
      </c>
      <c r="K16184" s="692" t="s">
        <v>4060</v>
      </c>
    </row>
    <row r="16185" spans="1:11">
      <c r="A16185" s="688" t="s">
        <v>4071</v>
      </c>
      <c r="B16185" s="690" t="s">
        <v>4060</v>
      </c>
      <c r="C16185" s="690" t="s">
        <v>4060</v>
      </c>
      <c r="D16185" s="690" t="s">
        <v>4060</v>
      </c>
      <c r="E16185" s="690" t="s">
        <v>4060</v>
      </c>
      <c r="F16185" s="690" t="s">
        <v>4060</v>
      </c>
      <c r="G16185" s="690" t="s">
        <v>4060</v>
      </c>
      <c r="H16185" s="690" t="s">
        <v>4060</v>
      </c>
      <c r="I16185" s="690" t="s">
        <v>4060</v>
      </c>
      <c r="J16185" s="690" t="s">
        <v>4060</v>
      </c>
      <c r="K16185" s="690" t="s">
        <v>4060</v>
      </c>
    </row>
    <row r="16186" spans="1:11">
      <c r="A16186" s="688" t="s">
        <v>2489</v>
      </c>
      <c r="B16186" s="692" t="s">
        <v>4060</v>
      </c>
      <c r="C16186" s="692" t="s">
        <v>4060</v>
      </c>
      <c r="D16186" s="691">
        <v>46.3</v>
      </c>
      <c r="E16186" s="691">
        <v>46.5</v>
      </c>
      <c r="F16186" s="615">
        <v>47</v>
      </c>
      <c r="G16186" s="691">
        <v>47.6</v>
      </c>
      <c r="H16186" s="691">
        <v>47.7</v>
      </c>
      <c r="I16186" s="692" t="s">
        <v>4060</v>
      </c>
      <c r="J16186" s="692" t="s">
        <v>4060</v>
      </c>
      <c r="K16186" s="692" t="s">
        <v>4060</v>
      </c>
    </row>
    <row r="16187" spans="1:11">
      <c r="A16187" s="688" t="s">
        <v>2490</v>
      </c>
      <c r="B16187" s="689">
        <v>45.7</v>
      </c>
      <c r="C16187" s="689">
        <v>45.7</v>
      </c>
      <c r="D16187" s="689">
        <v>46.2</v>
      </c>
      <c r="E16187" s="690" t="s">
        <v>4060</v>
      </c>
      <c r="F16187" s="689">
        <v>46.4</v>
      </c>
      <c r="G16187" s="689">
        <v>46.8</v>
      </c>
      <c r="H16187" s="689">
        <v>47.4</v>
      </c>
      <c r="I16187" s="690" t="s">
        <v>4060</v>
      </c>
      <c r="J16187" s="690" t="s">
        <v>4060</v>
      </c>
      <c r="K16187" s="690" t="s">
        <v>4060</v>
      </c>
    </row>
    <row r="16189" spans="1:11">
      <c r="A16189" s="683" t="s">
        <v>4233</v>
      </c>
    </row>
    <row r="16190" spans="1:11">
      <c r="A16190" s="683" t="s">
        <v>4060</v>
      </c>
      <c r="B16190" s="682" t="s">
        <v>4234</v>
      </c>
    </row>
    <row r="16192" spans="1:11">
      <c r="A16192" s="682" t="s">
        <v>4332</v>
      </c>
    </row>
    <row r="16193" spans="1:11">
      <c r="A16193" s="682" t="s">
        <v>4210</v>
      </c>
      <c r="B16193" s="683" t="s">
        <v>4211</v>
      </c>
    </row>
    <row r="16194" spans="1:11">
      <c r="A16194" s="682" t="s">
        <v>4212</v>
      </c>
      <c r="B16194" s="682" t="s">
        <v>4213</v>
      </c>
    </row>
    <row r="16196" spans="1:11">
      <c r="A16196" s="683" t="s">
        <v>4214</v>
      </c>
      <c r="C16196" s="682" t="s">
        <v>4215</v>
      </c>
    </row>
    <row r="16197" spans="1:11">
      <c r="A16197" s="683" t="s">
        <v>4216</v>
      </c>
      <c r="C16197" s="682" t="s">
        <v>2967</v>
      </c>
    </row>
    <row r="16198" spans="1:11">
      <c r="A16198" s="683" t="s">
        <v>3893</v>
      </c>
      <c r="C16198" s="682" t="s">
        <v>2169</v>
      </c>
    </row>
    <row r="16199" spans="1:11">
      <c r="A16199" s="683" t="s">
        <v>4218</v>
      </c>
      <c r="C16199" s="682" t="s">
        <v>4269</v>
      </c>
    </row>
    <row r="16201" spans="1:11">
      <c r="A16201" s="684" t="s">
        <v>4220</v>
      </c>
      <c r="B16201" s="685" t="s">
        <v>4221</v>
      </c>
      <c r="C16201" s="685" t="s">
        <v>4222</v>
      </c>
      <c r="D16201" s="685" t="s">
        <v>4223</v>
      </c>
      <c r="E16201" s="685" t="s">
        <v>4224</v>
      </c>
      <c r="F16201" s="685" t="s">
        <v>4225</v>
      </c>
      <c r="G16201" s="685" t="s">
        <v>4226</v>
      </c>
      <c r="H16201" s="685" t="s">
        <v>4227</v>
      </c>
      <c r="I16201" s="685" t="s">
        <v>4228</v>
      </c>
      <c r="J16201" s="685" t="s">
        <v>4229</v>
      </c>
      <c r="K16201" s="685" t="s">
        <v>4230</v>
      </c>
    </row>
    <row r="16202" spans="1:11">
      <c r="A16202" s="686" t="s">
        <v>4231</v>
      </c>
      <c r="B16202" s="687" t="s">
        <v>4232</v>
      </c>
      <c r="C16202" s="687" t="s">
        <v>4232</v>
      </c>
      <c r="D16202" s="687" t="s">
        <v>4232</v>
      </c>
      <c r="E16202" s="687" t="s">
        <v>4232</v>
      </c>
      <c r="F16202" s="687" t="s">
        <v>4232</v>
      </c>
      <c r="G16202" s="687" t="s">
        <v>4232</v>
      </c>
      <c r="H16202" s="687" t="s">
        <v>4232</v>
      </c>
      <c r="I16202" s="687" t="s">
        <v>4232</v>
      </c>
      <c r="J16202" s="687" t="s">
        <v>4232</v>
      </c>
      <c r="K16202" s="687" t="s">
        <v>4232</v>
      </c>
    </row>
    <row r="16203" spans="1:11">
      <c r="A16203" s="688" t="s">
        <v>4064</v>
      </c>
      <c r="B16203" s="693">
        <v>50</v>
      </c>
      <c r="C16203" s="693">
        <v>50</v>
      </c>
      <c r="D16203" s="693">
        <v>50</v>
      </c>
      <c r="E16203" s="689">
        <v>50.1</v>
      </c>
      <c r="F16203" s="693">
        <v>50</v>
      </c>
      <c r="G16203" s="689">
        <v>50.1</v>
      </c>
      <c r="H16203" s="689">
        <v>50.4</v>
      </c>
      <c r="I16203" s="689">
        <v>49.7</v>
      </c>
      <c r="J16203" s="689">
        <v>49.4</v>
      </c>
      <c r="K16203" s="689">
        <v>49.9</v>
      </c>
    </row>
    <row r="16204" spans="1:11">
      <c r="A16204" s="688" t="s">
        <v>4065</v>
      </c>
      <c r="B16204" s="615">
        <v>50</v>
      </c>
      <c r="C16204" s="691">
        <v>50.3</v>
      </c>
      <c r="D16204" s="691">
        <v>49.9</v>
      </c>
      <c r="E16204" s="691">
        <v>50.3</v>
      </c>
      <c r="F16204" s="691">
        <v>50.2</v>
      </c>
      <c r="G16204" s="691">
        <v>50.3</v>
      </c>
      <c r="H16204" s="692" t="s">
        <v>4060</v>
      </c>
      <c r="I16204" s="692" t="s">
        <v>4060</v>
      </c>
      <c r="J16204" s="692" t="s">
        <v>4060</v>
      </c>
      <c r="K16204" s="692" t="s">
        <v>4060</v>
      </c>
    </row>
    <row r="16205" spans="1:11">
      <c r="A16205" s="688" t="s">
        <v>4063</v>
      </c>
      <c r="B16205" s="693">
        <v>50</v>
      </c>
      <c r="C16205" s="689">
        <v>50.3</v>
      </c>
      <c r="D16205" s="689">
        <v>49.9</v>
      </c>
      <c r="E16205" s="689">
        <v>50.3</v>
      </c>
      <c r="F16205" s="689">
        <v>50.2</v>
      </c>
      <c r="G16205" s="689">
        <v>50.3</v>
      </c>
      <c r="H16205" s="690" t="s">
        <v>4060</v>
      </c>
      <c r="I16205" s="690" t="s">
        <v>4060</v>
      </c>
      <c r="J16205" s="690" t="s">
        <v>4060</v>
      </c>
      <c r="K16205" s="690" t="s">
        <v>4060</v>
      </c>
    </row>
    <row r="16206" spans="1:11">
      <c r="A16206" s="688" t="s">
        <v>4069</v>
      </c>
      <c r="B16206" s="692" t="s">
        <v>4060</v>
      </c>
      <c r="C16206" s="691">
        <v>50.8</v>
      </c>
      <c r="D16206" s="691">
        <v>50.5</v>
      </c>
      <c r="E16206" s="691">
        <v>50.9</v>
      </c>
      <c r="F16206" s="691">
        <v>50.8</v>
      </c>
      <c r="G16206" s="691">
        <v>50.9</v>
      </c>
      <c r="H16206" s="691">
        <v>51.2</v>
      </c>
      <c r="I16206" s="691">
        <v>50.6</v>
      </c>
      <c r="J16206" s="691">
        <v>50.6</v>
      </c>
      <c r="K16206" s="691">
        <v>50.6</v>
      </c>
    </row>
    <row r="16207" spans="1:11">
      <c r="A16207" s="688" t="s">
        <v>4068</v>
      </c>
      <c r="B16207" s="689">
        <v>50.9</v>
      </c>
      <c r="C16207" s="690" t="s">
        <v>4060</v>
      </c>
      <c r="D16207" s="690" t="s">
        <v>4060</v>
      </c>
      <c r="E16207" s="690" t="s">
        <v>4060</v>
      </c>
      <c r="F16207" s="690" t="s">
        <v>4060</v>
      </c>
      <c r="G16207" s="690" t="s">
        <v>4060</v>
      </c>
      <c r="H16207" s="690" t="s">
        <v>4060</v>
      </c>
      <c r="I16207" s="690" t="s">
        <v>4060</v>
      </c>
      <c r="J16207" s="690" t="s">
        <v>4060</v>
      </c>
      <c r="K16207" s="690" t="s">
        <v>4060</v>
      </c>
    </row>
    <row r="16208" spans="1:11">
      <c r="A16208" s="688" t="s">
        <v>0</v>
      </c>
      <c r="B16208" s="691">
        <v>49.9</v>
      </c>
      <c r="C16208" s="691">
        <v>50.1</v>
      </c>
      <c r="D16208" s="691">
        <v>49.8</v>
      </c>
      <c r="E16208" s="691">
        <v>50.3</v>
      </c>
      <c r="F16208" s="691">
        <v>50.3</v>
      </c>
      <c r="G16208" s="691">
        <v>50.3</v>
      </c>
      <c r="H16208" s="691">
        <v>50.6</v>
      </c>
      <c r="I16208" s="691">
        <v>49.6</v>
      </c>
      <c r="J16208" s="691">
        <v>50.6</v>
      </c>
      <c r="K16208" s="691">
        <v>50.4</v>
      </c>
    </row>
    <row r="16209" spans="1:11">
      <c r="A16209" s="688" t="s">
        <v>1</v>
      </c>
      <c r="B16209" s="689">
        <v>45.7</v>
      </c>
      <c r="C16209" s="689">
        <v>45.1</v>
      </c>
      <c r="D16209" s="689">
        <v>45.2</v>
      </c>
      <c r="E16209" s="689">
        <v>45.4</v>
      </c>
      <c r="F16209" s="689">
        <v>45.3</v>
      </c>
      <c r="G16209" s="689">
        <v>45.5</v>
      </c>
      <c r="H16209" s="689">
        <v>45.6</v>
      </c>
      <c r="I16209" s="689">
        <v>44.3</v>
      </c>
      <c r="J16209" s="689">
        <v>42.2</v>
      </c>
      <c r="K16209" s="689">
        <v>44.9</v>
      </c>
    </row>
    <row r="16210" spans="1:11">
      <c r="A16210" s="688" t="s">
        <v>2240</v>
      </c>
      <c r="B16210" s="691">
        <v>47.9</v>
      </c>
      <c r="C16210" s="691">
        <v>48.3</v>
      </c>
      <c r="D16210" s="615">
        <v>48</v>
      </c>
      <c r="E16210" s="691">
        <v>48.5</v>
      </c>
      <c r="F16210" s="691">
        <v>48.4</v>
      </c>
      <c r="G16210" s="691">
        <v>48.5</v>
      </c>
      <c r="H16210" s="691">
        <v>48.7</v>
      </c>
      <c r="I16210" s="691">
        <v>47.8</v>
      </c>
      <c r="J16210" s="691">
        <v>47.1</v>
      </c>
      <c r="K16210" s="691">
        <v>48.5</v>
      </c>
    </row>
    <row r="16211" spans="1:11">
      <c r="A16211" s="688" t="s">
        <v>2</v>
      </c>
      <c r="B16211" s="693">
        <v>49</v>
      </c>
      <c r="C16211" s="689">
        <v>49.3</v>
      </c>
      <c r="D16211" s="689">
        <v>49.3</v>
      </c>
      <c r="E16211" s="689">
        <v>49.4</v>
      </c>
      <c r="F16211" s="689">
        <v>49.6</v>
      </c>
      <c r="G16211" s="689">
        <v>49.5</v>
      </c>
      <c r="H16211" s="689">
        <v>49.9</v>
      </c>
      <c r="I16211" s="693">
        <v>50</v>
      </c>
      <c r="J16211" s="689">
        <v>49.8</v>
      </c>
      <c r="K16211" s="689">
        <v>49.7</v>
      </c>
    </row>
    <row r="16212" spans="1:11">
      <c r="A16212" s="688" t="s">
        <v>3</v>
      </c>
      <c r="B16212" s="691">
        <v>49.6</v>
      </c>
      <c r="C16212" s="691">
        <v>49.9</v>
      </c>
      <c r="D16212" s="691">
        <v>49.6</v>
      </c>
      <c r="E16212" s="691">
        <v>49.9</v>
      </c>
      <c r="F16212" s="691">
        <v>49.9</v>
      </c>
      <c r="G16212" s="691">
        <v>49.8</v>
      </c>
      <c r="H16212" s="691">
        <v>50.1</v>
      </c>
      <c r="I16212" s="615">
        <v>50</v>
      </c>
      <c r="J16212" s="691">
        <v>49.7</v>
      </c>
      <c r="K16212" s="691">
        <v>49.5</v>
      </c>
    </row>
    <row r="16213" spans="1:11">
      <c r="A16213" s="688" t="s">
        <v>4061</v>
      </c>
      <c r="B16213" s="689">
        <v>49.6</v>
      </c>
      <c r="C16213" s="689">
        <v>49.9</v>
      </c>
      <c r="D16213" s="689">
        <v>49.6</v>
      </c>
      <c r="E16213" s="689">
        <v>49.9</v>
      </c>
      <c r="F16213" s="689">
        <v>49.9</v>
      </c>
      <c r="G16213" s="689">
        <v>49.8</v>
      </c>
      <c r="H16213" s="689">
        <v>50.1</v>
      </c>
      <c r="I16213" s="693">
        <v>50</v>
      </c>
      <c r="J16213" s="689">
        <v>49.7</v>
      </c>
      <c r="K16213" s="689">
        <v>49.5</v>
      </c>
    </row>
    <row r="16214" spans="1:11">
      <c r="A16214" s="688" t="s">
        <v>4</v>
      </c>
      <c r="B16214" s="691">
        <v>48.5</v>
      </c>
      <c r="C16214" s="691">
        <v>48.4</v>
      </c>
      <c r="D16214" s="691">
        <v>48.6</v>
      </c>
      <c r="E16214" s="691">
        <v>48.8</v>
      </c>
      <c r="F16214" s="615">
        <v>49</v>
      </c>
      <c r="G16214" s="615">
        <v>49</v>
      </c>
      <c r="H16214" s="691">
        <v>49.4</v>
      </c>
      <c r="I16214" s="691">
        <v>49.2</v>
      </c>
      <c r="J16214" s="615">
        <v>48</v>
      </c>
      <c r="K16214" s="691">
        <v>48.9</v>
      </c>
    </row>
    <row r="16215" spans="1:11">
      <c r="A16215" s="688" t="s">
        <v>8</v>
      </c>
      <c r="B16215" s="689">
        <v>49.7</v>
      </c>
      <c r="C16215" s="689">
        <v>49.9</v>
      </c>
      <c r="D16215" s="689">
        <v>49.8</v>
      </c>
      <c r="E16215" s="693">
        <v>50</v>
      </c>
      <c r="F16215" s="689">
        <v>50.4</v>
      </c>
      <c r="G16215" s="689">
        <v>50.5</v>
      </c>
      <c r="H16215" s="689">
        <v>50.8</v>
      </c>
      <c r="I16215" s="689">
        <v>50.6</v>
      </c>
      <c r="J16215" s="689">
        <v>50.5</v>
      </c>
      <c r="K16215" s="689">
        <v>50.5</v>
      </c>
    </row>
    <row r="16216" spans="1:11">
      <c r="A16216" s="688" t="s">
        <v>7</v>
      </c>
      <c r="B16216" s="691">
        <v>50.6</v>
      </c>
      <c r="C16216" s="691">
        <v>50.4</v>
      </c>
      <c r="D16216" s="691">
        <v>50.2</v>
      </c>
      <c r="E16216" s="691">
        <v>50.4</v>
      </c>
      <c r="F16216" s="691">
        <v>50.3</v>
      </c>
      <c r="G16216" s="691">
        <v>50.8</v>
      </c>
      <c r="H16216" s="691">
        <v>50.7</v>
      </c>
      <c r="I16216" s="691">
        <v>50.3</v>
      </c>
      <c r="J16216" s="691">
        <v>49.5</v>
      </c>
      <c r="K16216" s="615">
        <v>50</v>
      </c>
    </row>
    <row r="16217" spans="1:11">
      <c r="A16217" s="688" t="s">
        <v>27</v>
      </c>
      <c r="B16217" s="689">
        <v>52.6</v>
      </c>
      <c r="C16217" s="689">
        <v>52.1</v>
      </c>
      <c r="D16217" s="689">
        <v>51.8</v>
      </c>
      <c r="E16217" s="689">
        <v>52.3</v>
      </c>
      <c r="F16217" s="689">
        <v>52.2</v>
      </c>
      <c r="G16217" s="689">
        <v>52.3</v>
      </c>
      <c r="H16217" s="689">
        <v>52.7</v>
      </c>
      <c r="I16217" s="689">
        <v>51.5</v>
      </c>
      <c r="J16217" s="689">
        <v>52.3</v>
      </c>
      <c r="K16217" s="689">
        <v>52.2</v>
      </c>
    </row>
    <row r="16218" spans="1:11">
      <c r="A16218" s="688" t="s">
        <v>6</v>
      </c>
      <c r="B16218" s="691">
        <v>52.3</v>
      </c>
      <c r="C16218" s="615">
        <v>52</v>
      </c>
      <c r="D16218" s="691">
        <v>51.8</v>
      </c>
      <c r="E16218" s="615">
        <v>52</v>
      </c>
      <c r="F16218" s="615">
        <v>52</v>
      </c>
      <c r="G16218" s="691">
        <v>52.1</v>
      </c>
      <c r="H16218" s="691">
        <v>52.2</v>
      </c>
      <c r="I16218" s="691">
        <v>51.8</v>
      </c>
      <c r="J16218" s="691">
        <v>51.9</v>
      </c>
      <c r="K16218" s="691">
        <v>51.8</v>
      </c>
    </row>
    <row r="16219" spans="1:11">
      <c r="A16219" s="688" t="s">
        <v>4058</v>
      </c>
      <c r="B16219" s="690" t="s">
        <v>4060</v>
      </c>
      <c r="C16219" s="690" t="s">
        <v>4060</v>
      </c>
      <c r="D16219" s="690" t="s">
        <v>4060</v>
      </c>
      <c r="E16219" s="690" t="s">
        <v>4060</v>
      </c>
      <c r="F16219" s="690" t="s">
        <v>4060</v>
      </c>
      <c r="G16219" s="690" t="s">
        <v>4060</v>
      </c>
      <c r="H16219" s="690" t="s">
        <v>4060</v>
      </c>
      <c r="I16219" s="690" t="s">
        <v>4060</v>
      </c>
      <c r="J16219" s="690" t="s">
        <v>4060</v>
      </c>
      <c r="K16219" s="690" t="s">
        <v>4060</v>
      </c>
    </row>
    <row r="16220" spans="1:11">
      <c r="A16220" s="688" t="s">
        <v>11</v>
      </c>
      <c r="B16220" s="691">
        <v>47.7</v>
      </c>
      <c r="C16220" s="691">
        <v>47.5</v>
      </c>
      <c r="D16220" s="691">
        <v>47.1</v>
      </c>
      <c r="E16220" s="691">
        <v>47.8</v>
      </c>
      <c r="F16220" s="691">
        <v>47.4</v>
      </c>
      <c r="G16220" s="691">
        <v>47.8</v>
      </c>
      <c r="H16220" s="615">
        <v>48</v>
      </c>
      <c r="I16220" s="691">
        <v>47.3</v>
      </c>
      <c r="J16220" s="691">
        <v>46.5</v>
      </c>
      <c r="K16220" s="691">
        <v>47.4</v>
      </c>
    </row>
    <row r="16221" spans="1:11">
      <c r="A16221" s="688" t="s">
        <v>10</v>
      </c>
      <c r="B16221" s="689">
        <v>51.7</v>
      </c>
      <c r="C16221" s="689">
        <v>51.5</v>
      </c>
      <c r="D16221" s="689">
        <v>51.1</v>
      </c>
      <c r="E16221" s="689">
        <v>51.7</v>
      </c>
      <c r="F16221" s="689">
        <v>51.4</v>
      </c>
      <c r="G16221" s="689">
        <v>51.7</v>
      </c>
      <c r="H16221" s="689">
        <v>51.9</v>
      </c>
      <c r="I16221" s="693">
        <v>51</v>
      </c>
      <c r="J16221" s="689">
        <v>51.2</v>
      </c>
      <c r="K16221" s="689">
        <v>51.2</v>
      </c>
    </row>
    <row r="16222" spans="1:11">
      <c r="A16222" s="688" t="s">
        <v>30</v>
      </c>
      <c r="B16222" s="691">
        <v>51.3</v>
      </c>
      <c r="C16222" s="691">
        <v>50.6</v>
      </c>
      <c r="D16222" s="691">
        <v>50.2</v>
      </c>
      <c r="E16222" s="691">
        <v>51.3</v>
      </c>
      <c r="F16222" s="691">
        <v>50.9</v>
      </c>
      <c r="G16222" s="691">
        <v>51.2</v>
      </c>
      <c r="H16222" s="691">
        <v>51.1</v>
      </c>
      <c r="I16222" s="615">
        <v>51</v>
      </c>
      <c r="J16222" s="691">
        <v>50.3</v>
      </c>
      <c r="K16222" s="691">
        <v>50.6</v>
      </c>
    </row>
    <row r="16223" spans="1:11">
      <c r="A16223" s="688" t="s">
        <v>12</v>
      </c>
      <c r="B16223" s="689">
        <v>45.9</v>
      </c>
      <c r="C16223" s="689">
        <v>46.3</v>
      </c>
      <c r="D16223" s="689">
        <v>46.2</v>
      </c>
      <c r="E16223" s="689">
        <v>46.4</v>
      </c>
      <c r="F16223" s="689">
        <v>46.4</v>
      </c>
      <c r="G16223" s="689">
        <v>46.4</v>
      </c>
      <c r="H16223" s="689">
        <v>46.9</v>
      </c>
      <c r="I16223" s="689">
        <v>46.7</v>
      </c>
      <c r="J16223" s="689">
        <v>44.7</v>
      </c>
      <c r="K16223" s="689">
        <v>46.2</v>
      </c>
    </row>
    <row r="16224" spans="1:11">
      <c r="A16224" s="688" t="s">
        <v>14</v>
      </c>
      <c r="B16224" s="691">
        <v>46.5</v>
      </c>
      <c r="C16224" s="691">
        <v>46.8</v>
      </c>
      <c r="D16224" s="691">
        <v>46.5</v>
      </c>
      <c r="E16224" s="691">
        <v>46.8</v>
      </c>
      <c r="F16224" s="691">
        <v>47.1</v>
      </c>
      <c r="G16224" s="691">
        <v>47.3</v>
      </c>
      <c r="H16224" s="691">
        <v>47.7</v>
      </c>
      <c r="I16224" s="691">
        <v>46.7</v>
      </c>
      <c r="J16224" s="691">
        <v>45.6</v>
      </c>
      <c r="K16224" s="691">
        <v>46.8</v>
      </c>
    </row>
    <row r="16225" spans="1:11">
      <c r="A16225" s="688" t="s">
        <v>15</v>
      </c>
      <c r="B16225" s="689">
        <v>50.6</v>
      </c>
      <c r="C16225" s="689">
        <v>51.2</v>
      </c>
      <c r="D16225" s="689">
        <v>50.5</v>
      </c>
      <c r="E16225" s="689">
        <v>51.3</v>
      </c>
      <c r="F16225" s="689">
        <v>50.4</v>
      </c>
      <c r="G16225" s="693">
        <v>51</v>
      </c>
      <c r="H16225" s="689">
        <v>51.2</v>
      </c>
      <c r="I16225" s="689">
        <v>51.1</v>
      </c>
      <c r="J16225" s="689">
        <v>51.3</v>
      </c>
      <c r="K16225" s="689">
        <v>51.5</v>
      </c>
    </row>
    <row r="16226" spans="1:11">
      <c r="A16226" s="688" t="s">
        <v>29</v>
      </c>
      <c r="B16226" s="691">
        <v>45.9</v>
      </c>
      <c r="C16226" s="691">
        <v>45.9</v>
      </c>
      <c r="D16226" s="691">
        <v>45.5</v>
      </c>
      <c r="E16226" s="691">
        <v>46.1</v>
      </c>
      <c r="F16226" s="691">
        <v>45.8</v>
      </c>
      <c r="G16226" s="615">
        <v>46</v>
      </c>
      <c r="H16226" s="691">
        <v>46.1</v>
      </c>
      <c r="I16226" s="691">
        <v>45.4</v>
      </c>
      <c r="J16226" s="691">
        <v>44.3</v>
      </c>
      <c r="K16226" s="691">
        <v>45.8</v>
      </c>
    </row>
    <row r="16227" spans="1:11">
      <c r="A16227" s="688" t="s">
        <v>16</v>
      </c>
      <c r="B16227" s="689">
        <v>50.8</v>
      </c>
      <c r="C16227" s="689">
        <v>50.6</v>
      </c>
      <c r="D16227" s="689">
        <v>50.6</v>
      </c>
      <c r="E16227" s="689">
        <v>50.7</v>
      </c>
      <c r="F16227" s="689">
        <v>50.8</v>
      </c>
      <c r="G16227" s="689">
        <v>50.7</v>
      </c>
      <c r="H16227" s="689">
        <v>51.2</v>
      </c>
      <c r="I16227" s="689">
        <v>50.7</v>
      </c>
      <c r="J16227" s="689">
        <v>50.4</v>
      </c>
      <c r="K16227" s="689">
        <v>50.7</v>
      </c>
    </row>
    <row r="16228" spans="1:11">
      <c r="A16228" s="688" t="s">
        <v>17</v>
      </c>
      <c r="B16228" s="691">
        <v>49.8</v>
      </c>
      <c r="C16228" s="691">
        <v>49.9</v>
      </c>
      <c r="D16228" s="691">
        <v>49.7</v>
      </c>
      <c r="E16228" s="691">
        <v>49.7</v>
      </c>
      <c r="F16228" s="691">
        <v>49.9</v>
      </c>
      <c r="G16228" s="691">
        <v>49.9</v>
      </c>
      <c r="H16228" s="691">
        <v>50.2</v>
      </c>
      <c r="I16228" s="691">
        <v>49.7</v>
      </c>
      <c r="J16228" s="691">
        <v>49.6</v>
      </c>
      <c r="K16228" s="691">
        <v>49.7</v>
      </c>
    </row>
    <row r="16229" spans="1:11">
      <c r="A16229" s="688" t="s">
        <v>19</v>
      </c>
      <c r="B16229" s="689">
        <v>50.4</v>
      </c>
      <c r="C16229" s="689">
        <v>50.4</v>
      </c>
      <c r="D16229" s="689">
        <v>50.2</v>
      </c>
      <c r="E16229" s="689">
        <v>50.6</v>
      </c>
      <c r="F16229" s="689">
        <v>50.5</v>
      </c>
      <c r="G16229" s="689">
        <v>50.5</v>
      </c>
      <c r="H16229" s="689">
        <v>50.8</v>
      </c>
      <c r="I16229" s="689">
        <v>50.3</v>
      </c>
      <c r="J16229" s="689">
        <v>50.3</v>
      </c>
      <c r="K16229" s="689">
        <v>50.4</v>
      </c>
    </row>
    <row r="16230" spans="1:11">
      <c r="A16230" s="688" t="s">
        <v>20</v>
      </c>
      <c r="B16230" s="615">
        <v>48</v>
      </c>
      <c r="C16230" s="691">
        <v>48.1</v>
      </c>
      <c r="D16230" s="615">
        <v>48</v>
      </c>
      <c r="E16230" s="691">
        <v>48.4</v>
      </c>
      <c r="F16230" s="691">
        <v>48.2</v>
      </c>
      <c r="G16230" s="691">
        <v>48.2</v>
      </c>
      <c r="H16230" s="691">
        <v>48.4</v>
      </c>
      <c r="I16230" s="691">
        <v>47.2</v>
      </c>
      <c r="J16230" s="691">
        <v>46.2</v>
      </c>
      <c r="K16230" s="691">
        <v>47.8</v>
      </c>
    </row>
    <row r="16231" spans="1:11">
      <c r="A16231" s="688" t="s">
        <v>21</v>
      </c>
      <c r="B16231" s="689">
        <v>50.6</v>
      </c>
      <c r="C16231" s="689">
        <v>50.9</v>
      </c>
      <c r="D16231" s="689">
        <v>50.8</v>
      </c>
      <c r="E16231" s="689">
        <v>50.8</v>
      </c>
      <c r="F16231" s="689">
        <v>51.1</v>
      </c>
      <c r="G16231" s="689">
        <v>51.2</v>
      </c>
      <c r="H16231" s="689">
        <v>51.4</v>
      </c>
      <c r="I16231" s="689">
        <v>50.8</v>
      </c>
      <c r="J16231" s="689">
        <v>50.8</v>
      </c>
      <c r="K16231" s="693">
        <v>51</v>
      </c>
    </row>
    <row r="16232" spans="1:11">
      <c r="A16232" s="688" t="s">
        <v>22</v>
      </c>
      <c r="B16232" s="615">
        <v>46</v>
      </c>
      <c r="C16232" s="691">
        <v>45.7</v>
      </c>
      <c r="D16232" s="691">
        <v>45.7</v>
      </c>
      <c r="E16232" s="615">
        <v>46</v>
      </c>
      <c r="F16232" s="615">
        <v>46</v>
      </c>
      <c r="G16232" s="691">
        <v>46.1</v>
      </c>
      <c r="H16232" s="691">
        <v>46.4</v>
      </c>
      <c r="I16232" s="691">
        <v>45.2</v>
      </c>
      <c r="J16232" s="691">
        <v>43.6</v>
      </c>
      <c r="K16232" s="615">
        <v>46</v>
      </c>
    </row>
    <row r="16233" spans="1:11">
      <c r="A16233" s="688" t="s">
        <v>26</v>
      </c>
      <c r="B16233" s="689">
        <v>50.2</v>
      </c>
      <c r="C16233" s="689">
        <v>50.2</v>
      </c>
      <c r="D16233" s="693">
        <v>50</v>
      </c>
      <c r="E16233" s="689">
        <v>50.4</v>
      </c>
      <c r="F16233" s="689">
        <v>50.2</v>
      </c>
      <c r="G16233" s="689">
        <v>50.4</v>
      </c>
      <c r="H16233" s="689">
        <v>50.6</v>
      </c>
      <c r="I16233" s="689">
        <v>49.8</v>
      </c>
      <c r="J16233" s="689">
        <v>50.1</v>
      </c>
      <c r="K16233" s="689">
        <v>50.4</v>
      </c>
    </row>
    <row r="16234" spans="1:11">
      <c r="A16234" s="688" t="s">
        <v>25</v>
      </c>
      <c r="B16234" s="615">
        <v>47</v>
      </c>
      <c r="C16234" s="691">
        <v>47.3</v>
      </c>
      <c r="D16234" s="615">
        <v>47</v>
      </c>
      <c r="E16234" s="691">
        <v>47.4</v>
      </c>
      <c r="F16234" s="691">
        <v>47.4</v>
      </c>
      <c r="G16234" s="691">
        <v>47.5</v>
      </c>
      <c r="H16234" s="691">
        <v>47.9</v>
      </c>
      <c r="I16234" s="691">
        <v>47.2</v>
      </c>
      <c r="J16234" s="615">
        <v>45</v>
      </c>
      <c r="K16234" s="691">
        <v>47.2</v>
      </c>
    </row>
    <row r="16235" spans="1:11">
      <c r="A16235" s="688" t="s">
        <v>5</v>
      </c>
      <c r="B16235" s="689">
        <v>50.7</v>
      </c>
      <c r="C16235" s="689">
        <v>50.5</v>
      </c>
      <c r="D16235" s="689">
        <v>50.7</v>
      </c>
      <c r="E16235" s="689">
        <v>50.7</v>
      </c>
      <c r="F16235" s="689">
        <v>50.8</v>
      </c>
      <c r="G16235" s="689">
        <v>50.9</v>
      </c>
      <c r="H16235" s="689">
        <v>51.2</v>
      </c>
      <c r="I16235" s="689">
        <v>51.2</v>
      </c>
      <c r="J16235" s="693">
        <v>51</v>
      </c>
      <c r="K16235" s="689">
        <v>50.4</v>
      </c>
    </row>
    <row r="16236" spans="1:11">
      <c r="A16236" s="688" t="s">
        <v>23</v>
      </c>
      <c r="B16236" s="691">
        <v>50.4</v>
      </c>
      <c r="C16236" s="691">
        <v>50.6</v>
      </c>
      <c r="D16236" s="691">
        <v>50.6</v>
      </c>
      <c r="E16236" s="691">
        <v>50.7</v>
      </c>
      <c r="F16236" s="691">
        <v>50.7</v>
      </c>
      <c r="G16236" s="691">
        <v>50.8</v>
      </c>
      <c r="H16236" s="691">
        <v>51.3</v>
      </c>
      <c r="I16236" s="691">
        <v>50.8</v>
      </c>
      <c r="J16236" s="691">
        <v>51.3</v>
      </c>
      <c r="K16236" s="691">
        <v>51.2</v>
      </c>
    </row>
    <row r="16237" spans="1:11">
      <c r="A16237" s="688" t="s">
        <v>4067</v>
      </c>
      <c r="B16237" s="693">
        <v>50</v>
      </c>
      <c r="C16237" s="689">
        <v>50.3</v>
      </c>
      <c r="D16237" s="689">
        <v>49.9</v>
      </c>
      <c r="E16237" s="689">
        <v>50.3</v>
      </c>
      <c r="F16237" s="689">
        <v>50.2</v>
      </c>
      <c r="G16237" s="689">
        <v>50.3</v>
      </c>
      <c r="H16237" s="690" t="s">
        <v>4060</v>
      </c>
      <c r="I16237" s="690" t="s">
        <v>4060</v>
      </c>
      <c r="J16237" s="690" t="s">
        <v>4060</v>
      </c>
      <c r="K16237" s="690" t="s">
        <v>4060</v>
      </c>
    </row>
    <row r="16238" spans="1:11">
      <c r="A16238" s="688" t="s">
        <v>4066</v>
      </c>
      <c r="B16238" s="615">
        <v>50</v>
      </c>
      <c r="C16238" s="691">
        <v>50.3</v>
      </c>
      <c r="D16238" s="691">
        <v>49.9</v>
      </c>
      <c r="E16238" s="691">
        <v>50.3</v>
      </c>
      <c r="F16238" s="691">
        <v>50.2</v>
      </c>
      <c r="G16238" s="691">
        <v>50.3</v>
      </c>
      <c r="H16238" s="692" t="s">
        <v>4060</v>
      </c>
      <c r="I16238" s="692" t="s">
        <v>4060</v>
      </c>
      <c r="J16238" s="692" t="s">
        <v>4060</v>
      </c>
      <c r="K16238" s="692" t="s">
        <v>4060</v>
      </c>
    </row>
    <row r="16239" spans="1:11">
      <c r="A16239" s="688" t="s">
        <v>4062</v>
      </c>
      <c r="B16239" s="689">
        <v>51.1</v>
      </c>
      <c r="C16239" s="689">
        <v>51.3</v>
      </c>
      <c r="D16239" s="689">
        <v>51.2</v>
      </c>
      <c r="E16239" s="689">
        <v>51.4</v>
      </c>
      <c r="F16239" s="689">
        <v>51.5</v>
      </c>
      <c r="G16239" s="689">
        <v>51.6</v>
      </c>
      <c r="H16239" s="689">
        <v>51.8</v>
      </c>
      <c r="I16239" s="689">
        <v>51.5</v>
      </c>
      <c r="J16239" s="689">
        <v>51.8</v>
      </c>
      <c r="K16239" s="689">
        <v>51.5</v>
      </c>
    </row>
    <row r="16240" spans="1:11">
      <c r="A16240" s="688" t="s">
        <v>9</v>
      </c>
      <c r="B16240" s="691">
        <v>50.2</v>
      </c>
      <c r="C16240" s="691">
        <v>50.7</v>
      </c>
      <c r="D16240" s="691">
        <v>50.1</v>
      </c>
      <c r="E16240" s="691">
        <v>50.3</v>
      </c>
      <c r="F16240" s="691">
        <v>50.7</v>
      </c>
      <c r="G16240" s="691">
        <v>50.5</v>
      </c>
      <c r="H16240" s="691">
        <v>50.9</v>
      </c>
      <c r="I16240" s="691">
        <v>50.9</v>
      </c>
      <c r="J16240" s="615">
        <v>51</v>
      </c>
      <c r="K16240" s="691">
        <v>50.1</v>
      </c>
    </row>
    <row r="16241" spans="1:11">
      <c r="A16241" s="688" t="s">
        <v>13</v>
      </c>
      <c r="B16241" s="689">
        <v>51.2</v>
      </c>
      <c r="C16241" s="689">
        <v>49.9</v>
      </c>
      <c r="D16241" s="689">
        <v>50.9</v>
      </c>
      <c r="E16241" s="689">
        <v>50.8</v>
      </c>
      <c r="F16241" s="693">
        <v>52</v>
      </c>
      <c r="G16241" s="689">
        <v>51.9</v>
      </c>
      <c r="H16241" s="689">
        <v>51.8</v>
      </c>
      <c r="I16241" s="689">
        <v>51.1</v>
      </c>
      <c r="J16241" s="689">
        <v>52.1</v>
      </c>
      <c r="K16241" s="689">
        <v>51.8</v>
      </c>
    </row>
    <row r="16242" spans="1:11">
      <c r="A16242" s="688" t="s">
        <v>18</v>
      </c>
      <c r="B16242" s="691">
        <v>50.3</v>
      </c>
      <c r="C16242" s="691">
        <v>50.6</v>
      </c>
      <c r="D16242" s="691">
        <v>50.7</v>
      </c>
      <c r="E16242" s="691">
        <v>50.7</v>
      </c>
      <c r="F16242" s="691">
        <v>50.8</v>
      </c>
      <c r="G16242" s="615">
        <v>51</v>
      </c>
      <c r="H16242" s="691">
        <v>51.2</v>
      </c>
      <c r="I16242" s="691">
        <v>51.4</v>
      </c>
      <c r="J16242" s="691">
        <v>51.2</v>
      </c>
      <c r="K16242" s="691">
        <v>50.8</v>
      </c>
    </row>
    <row r="16243" spans="1:11">
      <c r="A16243" s="688" t="s">
        <v>24</v>
      </c>
      <c r="B16243" s="689">
        <v>51.6</v>
      </c>
      <c r="C16243" s="689">
        <v>51.7</v>
      </c>
      <c r="D16243" s="689">
        <v>51.5</v>
      </c>
      <c r="E16243" s="689">
        <v>51.9</v>
      </c>
      <c r="F16243" s="689">
        <v>51.9</v>
      </c>
      <c r="G16243" s="693">
        <v>52</v>
      </c>
      <c r="H16243" s="689">
        <v>52.1</v>
      </c>
      <c r="I16243" s="689">
        <v>51.7</v>
      </c>
      <c r="J16243" s="689">
        <v>52.2</v>
      </c>
      <c r="K16243" s="693">
        <v>52</v>
      </c>
    </row>
    <row r="16244" spans="1:11">
      <c r="A16244" s="688" t="s">
        <v>4059</v>
      </c>
      <c r="B16244" s="691">
        <v>49.6</v>
      </c>
      <c r="C16244" s="691">
        <v>49.9</v>
      </c>
      <c r="D16244" s="691">
        <v>49.5</v>
      </c>
      <c r="E16244" s="691">
        <v>49.7</v>
      </c>
      <c r="F16244" s="691">
        <v>49.7</v>
      </c>
      <c r="G16244" s="691">
        <v>49.7</v>
      </c>
      <c r="H16244" s="692" t="s">
        <v>4060</v>
      </c>
      <c r="I16244" s="692" t="s">
        <v>4060</v>
      </c>
      <c r="J16244" s="692" t="s">
        <v>4060</v>
      </c>
      <c r="K16244" s="692" t="s">
        <v>4060</v>
      </c>
    </row>
    <row r="16245" spans="1:11">
      <c r="A16245" s="688" t="s">
        <v>2324</v>
      </c>
      <c r="B16245" s="689">
        <v>45.7</v>
      </c>
      <c r="C16245" s="689">
        <v>45.8</v>
      </c>
      <c r="D16245" s="689">
        <v>45.2</v>
      </c>
      <c r="E16245" s="689">
        <v>45.6</v>
      </c>
      <c r="F16245" s="689">
        <v>45.8</v>
      </c>
      <c r="G16245" s="689">
        <v>45.8</v>
      </c>
      <c r="H16245" s="689">
        <v>46.1</v>
      </c>
      <c r="I16245" s="689">
        <v>45.4</v>
      </c>
      <c r="J16245" s="689">
        <v>43.6</v>
      </c>
      <c r="K16245" s="690" t="s">
        <v>4060</v>
      </c>
    </row>
    <row r="16246" spans="1:11">
      <c r="A16246" s="688" t="s">
        <v>2322</v>
      </c>
      <c r="B16246" s="692" t="s">
        <v>4060</v>
      </c>
      <c r="C16246" s="692" t="s">
        <v>4060</v>
      </c>
      <c r="D16246" s="692" t="s">
        <v>4060</v>
      </c>
      <c r="E16246" s="692" t="s">
        <v>4060</v>
      </c>
      <c r="F16246" s="692" t="s">
        <v>4060</v>
      </c>
      <c r="G16246" s="692" t="s">
        <v>4060</v>
      </c>
      <c r="H16246" s="692" t="s">
        <v>4060</v>
      </c>
      <c r="I16246" s="692" t="s">
        <v>4060</v>
      </c>
      <c r="J16246" s="692" t="s">
        <v>4060</v>
      </c>
      <c r="K16246" s="692" t="s">
        <v>4060</v>
      </c>
    </row>
    <row r="16247" spans="1:11">
      <c r="A16247" s="688" t="s">
        <v>2328</v>
      </c>
      <c r="B16247" s="689">
        <v>44.8</v>
      </c>
      <c r="C16247" s="689">
        <v>44.6</v>
      </c>
      <c r="D16247" s="689">
        <v>44.5</v>
      </c>
      <c r="E16247" s="689">
        <v>44.9</v>
      </c>
      <c r="F16247" s="689">
        <v>45.1</v>
      </c>
      <c r="G16247" s="689">
        <v>45.5</v>
      </c>
      <c r="H16247" s="689">
        <v>45.4</v>
      </c>
      <c r="I16247" s="689">
        <v>43.6</v>
      </c>
      <c r="J16247" s="689">
        <v>42.3</v>
      </c>
      <c r="K16247" s="690" t="s">
        <v>4060</v>
      </c>
    </row>
    <row r="16248" spans="1:11">
      <c r="A16248" s="688" t="s">
        <v>2496</v>
      </c>
      <c r="B16248" s="692" t="s">
        <v>4060</v>
      </c>
      <c r="C16248" s="691">
        <v>45.7</v>
      </c>
      <c r="D16248" s="691">
        <v>44.7</v>
      </c>
      <c r="E16248" s="691">
        <v>44.5</v>
      </c>
      <c r="F16248" s="691">
        <v>45.1</v>
      </c>
      <c r="G16248" s="691">
        <v>45.4</v>
      </c>
      <c r="H16248" s="691">
        <v>45.5</v>
      </c>
      <c r="I16248" s="692" t="s">
        <v>4060</v>
      </c>
      <c r="J16248" s="692" t="s">
        <v>4060</v>
      </c>
      <c r="K16248" s="691">
        <v>45.2</v>
      </c>
    </row>
    <row r="16249" spans="1:11">
      <c r="A16249" s="688" t="s">
        <v>2269</v>
      </c>
      <c r="B16249" s="689">
        <v>47.4</v>
      </c>
      <c r="C16249" s="689">
        <v>47.5</v>
      </c>
      <c r="D16249" s="689">
        <v>46.9</v>
      </c>
      <c r="E16249" s="689">
        <v>47.4</v>
      </c>
      <c r="F16249" s="689">
        <v>47.2</v>
      </c>
      <c r="G16249" s="689">
        <v>47.7</v>
      </c>
      <c r="H16249" s="689">
        <v>47.9</v>
      </c>
      <c r="I16249" s="689">
        <v>46.7</v>
      </c>
      <c r="J16249" s="689">
        <v>44.7</v>
      </c>
      <c r="K16249" s="689">
        <v>47.7</v>
      </c>
    </row>
    <row r="16250" spans="1:11">
      <c r="A16250" s="688" t="s">
        <v>2349</v>
      </c>
      <c r="B16250" s="691">
        <v>44.8</v>
      </c>
      <c r="C16250" s="691">
        <v>44.8</v>
      </c>
      <c r="D16250" s="691">
        <v>44.7</v>
      </c>
      <c r="E16250" s="691">
        <v>45.1</v>
      </c>
      <c r="F16250" s="691">
        <v>44.9</v>
      </c>
      <c r="G16250" s="691">
        <v>45.2</v>
      </c>
      <c r="H16250" s="691">
        <v>45.4</v>
      </c>
      <c r="I16250" s="691">
        <v>44.2</v>
      </c>
      <c r="J16250" s="691">
        <v>42.5</v>
      </c>
      <c r="K16250" s="691">
        <v>44.5</v>
      </c>
    </row>
    <row r="16251" spans="1:11">
      <c r="A16251" s="688" t="s">
        <v>2355</v>
      </c>
      <c r="B16251" s="689">
        <v>48.7</v>
      </c>
      <c r="C16251" s="689">
        <v>48.4</v>
      </c>
      <c r="D16251" s="689">
        <v>48.4</v>
      </c>
      <c r="E16251" s="689">
        <v>48.4</v>
      </c>
      <c r="F16251" s="689">
        <v>48.6</v>
      </c>
      <c r="G16251" s="689">
        <v>48.9</v>
      </c>
      <c r="H16251" s="693">
        <v>49</v>
      </c>
      <c r="I16251" s="690" t="s">
        <v>4060</v>
      </c>
      <c r="J16251" s="690" t="s">
        <v>4060</v>
      </c>
      <c r="K16251" s="690" t="s">
        <v>4060</v>
      </c>
    </row>
    <row r="16252" spans="1:11">
      <c r="A16252" s="688" t="s">
        <v>2357</v>
      </c>
      <c r="B16252" s="692" t="s">
        <v>4060</v>
      </c>
      <c r="C16252" s="691">
        <v>44.1</v>
      </c>
      <c r="D16252" s="691">
        <v>44.6</v>
      </c>
      <c r="E16252" s="691">
        <v>44.9</v>
      </c>
      <c r="F16252" s="691">
        <v>45.2</v>
      </c>
      <c r="G16252" s="691">
        <v>45.2</v>
      </c>
      <c r="H16252" s="691">
        <v>45.4</v>
      </c>
      <c r="I16252" s="692" t="s">
        <v>4060</v>
      </c>
      <c r="J16252" s="692" t="s">
        <v>4060</v>
      </c>
      <c r="K16252" s="692" t="s">
        <v>4060</v>
      </c>
    </row>
    <row r="16253" spans="1:11">
      <c r="A16253" s="688" t="s">
        <v>4070</v>
      </c>
      <c r="B16253" s="690" t="s">
        <v>4060</v>
      </c>
      <c r="C16253" s="690" t="s">
        <v>4060</v>
      </c>
      <c r="D16253" s="690" t="s">
        <v>4060</v>
      </c>
      <c r="E16253" s="689">
        <v>48.4</v>
      </c>
      <c r="F16253" s="690" t="s">
        <v>4060</v>
      </c>
      <c r="G16253" s="690" t="s">
        <v>4060</v>
      </c>
      <c r="H16253" s="690" t="s">
        <v>4060</v>
      </c>
      <c r="I16253" s="690" t="s">
        <v>4060</v>
      </c>
      <c r="J16253" s="690" t="s">
        <v>4060</v>
      </c>
      <c r="K16253" s="690" t="s">
        <v>4060</v>
      </c>
    </row>
    <row r="16254" spans="1:11">
      <c r="A16254" s="688" t="s">
        <v>2491</v>
      </c>
      <c r="B16254" s="691">
        <v>44.9</v>
      </c>
      <c r="C16254" s="691">
        <v>45.5</v>
      </c>
      <c r="D16254" s="691">
        <v>45.8</v>
      </c>
      <c r="E16254" s="691">
        <v>45.9</v>
      </c>
      <c r="F16254" s="691">
        <v>46.1</v>
      </c>
      <c r="G16254" s="691">
        <v>46.1</v>
      </c>
      <c r="H16254" s="692" t="s">
        <v>4060</v>
      </c>
      <c r="I16254" s="692" t="s">
        <v>4060</v>
      </c>
      <c r="J16254" s="692" t="s">
        <v>4060</v>
      </c>
      <c r="K16254" s="692" t="s">
        <v>4060</v>
      </c>
    </row>
    <row r="16255" spans="1:11">
      <c r="A16255" s="688" t="s">
        <v>2343</v>
      </c>
      <c r="B16255" s="690" t="s">
        <v>4060</v>
      </c>
      <c r="C16255" s="690" t="s">
        <v>4060</v>
      </c>
      <c r="D16255" s="690" t="s">
        <v>4060</v>
      </c>
      <c r="E16255" s="690" t="s">
        <v>4060</v>
      </c>
      <c r="F16255" s="690" t="s">
        <v>4060</v>
      </c>
      <c r="G16255" s="690" t="s">
        <v>4060</v>
      </c>
      <c r="H16255" s="690" t="s">
        <v>4060</v>
      </c>
      <c r="I16255" s="690" t="s">
        <v>4060</v>
      </c>
      <c r="J16255" s="690" t="s">
        <v>4060</v>
      </c>
      <c r="K16255" s="690" t="s">
        <v>4060</v>
      </c>
    </row>
    <row r="16256" spans="1:11">
      <c r="A16256" s="688" t="s">
        <v>4071</v>
      </c>
      <c r="B16256" s="692" t="s">
        <v>4060</v>
      </c>
      <c r="C16256" s="692" t="s">
        <v>4060</v>
      </c>
      <c r="D16256" s="692" t="s">
        <v>4060</v>
      </c>
      <c r="E16256" s="692" t="s">
        <v>4060</v>
      </c>
      <c r="F16256" s="692" t="s">
        <v>4060</v>
      </c>
      <c r="G16256" s="692" t="s">
        <v>4060</v>
      </c>
      <c r="H16256" s="692" t="s">
        <v>4060</v>
      </c>
      <c r="I16256" s="692" t="s">
        <v>4060</v>
      </c>
      <c r="J16256" s="692" t="s">
        <v>4060</v>
      </c>
      <c r="K16256" s="692" t="s">
        <v>4060</v>
      </c>
    </row>
    <row r="16257" spans="1:11">
      <c r="A16257" s="688" t="s">
        <v>2489</v>
      </c>
      <c r="B16257" s="690" t="s">
        <v>4060</v>
      </c>
      <c r="C16257" s="690" t="s">
        <v>4060</v>
      </c>
      <c r="D16257" s="689">
        <v>45.3</v>
      </c>
      <c r="E16257" s="689">
        <v>45.5</v>
      </c>
      <c r="F16257" s="693">
        <v>46</v>
      </c>
      <c r="G16257" s="689">
        <v>46.6</v>
      </c>
      <c r="H16257" s="689">
        <v>46.7</v>
      </c>
      <c r="I16257" s="690" t="s">
        <v>4060</v>
      </c>
      <c r="J16257" s="690" t="s">
        <v>4060</v>
      </c>
      <c r="K16257" s="690" t="s">
        <v>4060</v>
      </c>
    </row>
    <row r="16258" spans="1:11">
      <c r="A16258" s="688" t="s">
        <v>2490</v>
      </c>
      <c r="B16258" s="691">
        <v>44.7</v>
      </c>
      <c r="C16258" s="691">
        <v>44.8</v>
      </c>
      <c r="D16258" s="691">
        <v>45.2</v>
      </c>
      <c r="E16258" s="692" t="s">
        <v>4060</v>
      </c>
      <c r="F16258" s="691">
        <v>45.4</v>
      </c>
      <c r="G16258" s="691">
        <v>45.8</v>
      </c>
      <c r="H16258" s="691">
        <v>46.4</v>
      </c>
      <c r="I16258" s="692" t="s">
        <v>4060</v>
      </c>
      <c r="J16258" s="692" t="s">
        <v>4060</v>
      </c>
      <c r="K16258" s="692" t="s">
        <v>4060</v>
      </c>
    </row>
    <row r="16260" spans="1:11">
      <c r="A16260" s="683" t="s">
        <v>4233</v>
      </c>
    </row>
    <row r="16261" spans="1:11">
      <c r="A16261" s="683" t="s">
        <v>4060</v>
      </c>
      <c r="B16261" s="682" t="s">
        <v>4234</v>
      </c>
    </row>
    <row r="16263" spans="1:11">
      <c r="A16263" s="682" t="s">
        <v>4332</v>
      </c>
    </row>
    <row r="16264" spans="1:11">
      <c r="A16264" s="682" t="s">
        <v>4210</v>
      </c>
      <c r="B16264" s="683" t="s">
        <v>4211</v>
      </c>
    </row>
    <row r="16265" spans="1:11">
      <c r="A16265" s="682" t="s">
        <v>4212</v>
      </c>
      <c r="B16265" s="682" t="s">
        <v>4213</v>
      </c>
    </row>
    <row r="16267" spans="1:11">
      <c r="A16267" s="683" t="s">
        <v>4214</v>
      </c>
      <c r="C16267" s="682" t="s">
        <v>4215</v>
      </c>
    </row>
    <row r="16268" spans="1:11">
      <c r="A16268" s="683" t="s">
        <v>4216</v>
      </c>
      <c r="C16268" s="682" t="s">
        <v>2967</v>
      </c>
    </row>
    <row r="16269" spans="1:11">
      <c r="A16269" s="683" t="s">
        <v>3893</v>
      </c>
      <c r="C16269" s="682" t="s">
        <v>2169</v>
      </c>
    </row>
    <row r="16270" spans="1:11">
      <c r="A16270" s="683" t="s">
        <v>4218</v>
      </c>
      <c r="C16270" s="682" t="s">
        <v>4270</v>
      </c>
    </row>
    <row r="16272" spans="1:11">
      <c r="A16272" s="684" t="s">
        <v>4220</v>
      </c>
      <c r="B16272" s="685" t="s">
        <v>4221</v>
      </c>
      <c r="C16272" s="685" t="s">
        <v>4222</v>
      </c>
      <c r="D16272" s="685" t="s">
        <v>4223</v>
      </c>
      <c r="E16272" s="685" t="s">
        <v>4224</v>
      </c>
      <c r="F16272" s="685" t="s">
        <v>4225</v>
      </c>
      <c r="G16272" s="685" t="s">
        <v>4226</v>
      </c>
      <c r="H16272" s="685" t="s">
        <v>4227</v>
      </c>
      <c r="I16272" s="685" t="s">
        <v>4228</v>
      </c>
      <c r="J16272" s="685" t="s">
        <v>4229</v>
      </c>
      <c r="K16272" s="685" t="s">
        <v>4230</v>
      </c>
    </row>
    <row r="16273" spans="1:11">
      <c r="A16273" s="686" t="s">
        <v>4231</v>
      </c>
      <c r="B16273" s="687" t="s">
        <v>4232</v>
      </c>
      <c r="C16273" s="687" t="s">
        <v>4232</v>
      </c>
      <c r="D16273" s="687" t="s">
        <v>4232</v>
      </c>
      <c r="E16273" s="687" t="s">
        <v>4232</v>
      </c>
      <c r="F16273" s="687" t="s">
        <v>4232</v>
      </c>
      <c r="G16273" s="687" t="s">
        <v>4232</v>
      </c>
      <c r="H16273" s="687" t="s">
        <v>4232</v>
      </c>
      <c r="I16273" s="687" t="s">
        <v>4232</v>
      </c>
      <c r="J16273" s="687" t="s">
        <v>4232</v>
      </c>
      <c r="K16273" s="687" t="s">
        <v>4232</v>
      </c>
    </row>
    <row r="16274" spans="1:11">
      <c r="A16274" s="688" t="s">
        <v>4064</v>
      </c>
      <c r="B16274" s="615">
        <v>49</v>
      </c>
      <c r="C16274" s="615">
        <v>49</v>
      </c>
      <c r="D16274" s="615">
        <v>49</v>
      </c>
      <c r="E16274" s="691">
        <v>49.1</v>
      </c>
      <c r="F16274" s="691">
        <v>49.1</v>
      </c>
      <c r="G16274" s="691">
        <v>49.2</v>
      </c>
      <c r="H16274" s="691">
        <v>49.4</v>
      </c>
      <c r="I16274" s="691">
        <v>48.7</v>
      </c>
      <c r="J16274" s="691">
        <v>48.4</v>
      </c>
      <c r="K16274" s="691">
        <v>48.9</v>
      </c>
    </row>
    <row r="16275" spans="1:11">
      <c r="A16275" s="688" t="s">
        <v>4065</v>
      </c>
      <c r="B16275" s="693">
        <v>49</v>
      </c>
      <c r="C16275" s="689">
        <v>49.3</v>
      </c>
      <c r="D16275" s="689">
        <v>48.9</v>
      </c>
      <c r="E16275" s="689">
        <v>49.3</v>
      </c>
      <c r="F16275" s="689">
        <v>49.2</v>
      </c>
      <c r="G16275" s="689">
        <v>49.3</v>
      </c>
      <c r="H16275" s="690" t="s">
        <v>4060</v>
      </c>
      <c r="I16275" s="690" t="s">
        <v>4060</v>
      </c>
      <c r="J16275" s="690" t="s">
        <v>4060</v>
      </c>
      <c r="K16275" s="690" t="s">
        <v>4060</v>
      </c>
    </row>
    <row r="16276" spans="1:11">
      <c r="A16276" s="688" t="s">
        <v>4063</v>
      </c>
      <c r="B16276" s="615">
        <v>49</v>
      </c>
      <c r="C16276" s="691">
        <v>49.3</v>
      </c>
      <c r="D16276" s="691">
        <v>48.9</v>
      </c>
      <c r="E16276" s="691">
        <v>49.3</v>
      </c>
      <c r="F16276" s="691">
        <v>49.2</v>
      </c>
      <c r="G16276" s="691">
        <v>49.3</v>
      </c>
      <c r="H16276" s="692" t="s">
        <v>4060</v>
      </c>
      <c r="I16276" s="692" t="s">
        <v>4060</v>
      </c>
      <c r="J16276" s="692" t="s">
        <v>4060</v>
      </c>
      <c r="K16276" s="692" t="s">
        <v>4060</v>
      </c>
    </row>
    <row r="16277" spans="1:11">
      <c r="A16277" s="688" t="s">
        <v>4069</v>
      </c>
      <c r="B16277" s="690" t="s">
        <v>4060</v>
      </c>
      <c r="C16277" s="689">
        <v>49.8</v>
      </c>
      <c r="D16277" s="689">
        <v>49.5</v>
      </c>
      <c r="E16277" s="689">
        <v>49.9</v>
      </c>
      <c r="F16277" s="689">
        <v>49.8</v>
      </c>
      <c r="G16277" s="689">
        <v>49.9</v>
      </c>
      <c r="H16277" s="689">
        <v>50.2</v>
      </c>
      <c r="I16277" s="689">
        <v>49.6</v>
      </c>
      <c r="J16277" s="689">
        <v>49.6</v>
      </c>
      <c r="K16277" s="689">
        <v>49.6</v>
      </c>
    </row>
    <row r="16278" spans="1:11">
      <c r="A16278" s="688" t="s">
        <v>4068</v>
      </c>
      <c r="B16278" s="691">
        <v>49.9</v>
      </c>
      <c r="C16278" s="692" t="s">
        <v>4060</v>
      </c>
      <c r="D16278" s="692" t="s">
        <v>4060</v>
      </c>
      <c r="E16278" s="692" t="s">
        <v>4060</v>
      </c>
      <c r="F16278" s="692" t="s">
        <v>4060</v>
      </c>
      <c r="G16278" s="692" t="s">
        <v>4060</v>
      </c>
      <c r="H16278" s="692" t="s">
        <v>4060</v>
      </c>
      <c r="I16278" s="692" t="s">
        <v>4060</v>
      </c>
      <c r="J16278" s="692" t="s">
        <v>4060</v>
      </c>
      <c r="K16278" s="692" t="s">
        <v>4060</v>
      </c>
    </row>
    <row r="16279" spans="1:11">
      <c r="A16279" s="688" t="s">
        <v>0</v>
      </c>
      <c r="B16279" s="689">
        <v>48.9</v>
      </c>
      <c r="C16279" s="689">
        <v>49.1</v>
      </c>
      <c r="D16279" s="689">
        <v>48.8</v>
      </c>
      <c r="E16279" s="689">
        <v>49.3</v>
      </c>
      <c r="F16279" s="689">
        <v>49.3</v>
      </c>
      <c r="G16279" s="689">
        <v>49.4</v>
      </c>
      <c r="H16279" s="689">
        <v>49.7</v>
      </c>
      <c r="I16279" s="689">
        <v>48.7</v>
      </c>
      <c r="J16279" s="689">
        <v>49.7</v>
      </c>
      <c r="K16279" s="689">
        <v>49.4</v>
      </c>
    </row>
    <row r="16280" spans="1:11">
      <c r="A16280" s="688" t="s">
        <v>1</v>
      </c>
      <c r="B16280" s="691">
        <v>44.7</v>
      </c>
      <c r="C16280" s="691">
        <v>44.2</v>
      </c>
      <c r="D16280" s="691">
        <v>44.2</v>
      </c>
      <c r="E16280" s="691">
        <v>44.5</v>
      </c>
      <c r="F16280" s="691">
        <v>44.3</v>
      </c>
      <c r="G16280" s="691">
        <v>44.5</v>
      </c>
      <c r="H16280" s="691">
        <v>44.7</v>
      </c>
      <c r="I16280" s="691">
        <v>43.3</v>
      </c>
      <c r="J16280" s="691">
        <v>41.2</v>
      </c>
      <c r="K16280" s="691">
        <v>43.9</v>
      </c>
    </row>
    <row r="16281" spans="1:11">
      <c r="A16281" s="688" t="s">
        <v>2240</v>
      </c>
      <c r="B16281" s="689">
        <v>46.9</v>
      </c>
      <c r="C16281" s="689">
        <v>47.3</v>
      </c>
      <c r="D16281" s="693">
        <v>47</v>
      </c>
      <c r="E16281" s="689">
        <v>47.5</v>
      </c>
      <c r="F16281" s="689">
        <v>47.4</v>
      </c>
      <c r="G16281" s="689">
        <v>47.5</v>
      </c>
      <c r="H16281" s="689">
        <v>47.7</v>
      </c>
      <c r="I16281" s="689">
        <v>46.9</v>
      </c>
      <c r="J16281" s="689">
        <v>46.1</v>
      </c>
      <c r="K16281" s="689">
        <v>47.5</v>
      </c>
    </row>
    <row r="16282" spans="1:11">
      <c r="A16282" s="688" t="s">
        <v>2</v>
      </c>
      <c r="B16282" s="615">
        <v>48</v>
      </c>
      <c r="C16282" s="691">
        <v>48.3</v>
      </c>
      <c r="D16282" s="691">
        <v>48.3</v>
      </c>
      <c r="E16282" s="691">
        <v>48.4</v>
      </c>
      <c r="F16282" s="691">
        <v>48.7</v>
      </c>
      <c r="G16282" s="691">
        <v>48.5</v>
      </c>
      <c r="H16282" s="691">
        <v>48.9</v>
      </c>
      <c r="I16282" s="691">
        <v>49.1</v>
      </c>
      <c r="J16282" s="691">
        <v>48.9</v>
      </c>
      <c r="K16282" s="691">
        <v>48.7</v>
      </c>
    </row>
    <row r="16283" spans="1:11">
      <c r="A16283" s="688" t="s">
        <v>3</v>
      </c>
      <c r="B16283" s="689">
        <v>48.7</v>
      </c>
      <c r="C16283" s="689">
        <v>48.9</v>
      </c>
      <c r="D16283" s="689">
        <v>48.6</v>
      </c>
      <c r="E16283" s="689">
        <v>48.9</v>
      </c>
      <c r="F16283" s="689">
        <v>48.9</v>
      </c>
      <c r="G16283" s="689">
        <v>48.8</v>
      </c>
      <c r="H16283" s="689">
        <v>49.1</v>
      </c>
      <c r="I16283" s="693">
        <v>49</v>
      </c>
      <c r="J16283" s="689">
        <v>48.8</v>
      </c>
      <c r="K16283" s="689">
        <v>48.5</v>
      </c>
    </row>
    <row r="16284" spans="1:11">
      <c r="A16284" s="688" t="s">
        <v>4061</v>
      </c>
      <c r="B16284" s="691">
        <v>48.7</v>
      </c>
      <c r="C16284" s="691">
        <v>48.9</v>
      </c>
      <c r="D16284" s="691">
        <v>48.6</v>
      </c>
      <c r="E16284" s="691">
        <v>48.9</v>
      </c>
      <c r="F16284" s="691">
        <v>48.9</v>
      </c>
      <c r="G16284" s="691">
        <v>48.8</v>
      </c>
      <c r="H16284" s="691">
        <v>49.1</v>
      </c>
      <c r="I16284" s="615">
        <v>49</v>
      </c>
      <c r="J16284" s="691">
        <v>48.8</v>
      </c>
      <c r="K16284" s="691">
        <v>48.5</v>
      </c>
    </row>
    <row r="16285" spans="1:11">
      <c r="A16285" s="688" t="s">
        <v>4</v>
      </c>
      <c r="B16285" s="689">
        <v>47.5</v>
      </c>
      <c r="C16285" s="689">
        <v>47.4</v>
      </c>
      <c r="D16285" s="689">
        <v>47.6</v>
      </c>
      <c r="E16285" s="689">
        <v>47.8</v>
      </c>
      <c r="F16285" s="693">
        <v>48</v>
      </c>
      <c r="G16285" s="693">
        <v>48</v>
      </c>
      <c r="H16285" s="689">
        <v>48.4</v>
      </c>
      <c r="I16285" s="689">
        <v>48.2</v>
      </c>
      <c r="J16285" s="693">
        <v>47</v>
      </c>
      <c r="K16285" s="693">
        <v>48</v>
      </c>
    </row>
    <row r="16286" spans="1:11">
      <c r="A16286" s="688" t="s">
        <v>8</v>
      </c>
      <c r="B16286" s="691">
        <v>48.7</v>
      </c>
      <c r="C16286" s="691">
        <v>48.9</v>
      </c>
      <c r="D16286" s="691">
        <v>48.9</v>
      </c>
      <c r="E16286" s="615">
        <v>49</v>
      </c>
      <c r="F16286" s="691">
        <v>49.4</v>
      </c>
      <c r="G16286" s="691">
        <v>49.5</v>
      </c>
      <c r="H16286" s="691">
        <v>49.9</v>
      </c>
      <c r="I16286" s="691">
        <v>49.6</v>
      </c>
      <c r="J16286" s="691">
        <v>49.5</v>
      </c>
      <c r="K16286" s="691">
        <v>49.6</v>
      </c>
    </row>
    <row r="16287" spans="1:11">
      <c r="A16287" s="688" t="s">
        <v>7</v>
      </c>
      <c r="B16287" s="689">
        <v>49.7</v>
      </c>
      <c r="C16287" s="689">
        <v>49.4</v>
      </c>
      <c r="D16287" s="689">
        <v>49.2</v>
      </c>
      <c r="E16287" s="689">
        <v>49.4</v>
      </c>
      <c r="F16287" s="689">
        <v>49.4</v>
      </c>
      <c r="G16287" s="689">
        <v>49.8</v>
      </c>
      <c r="H16287" s="689">
        <v>49.7</v>
      </c>
      <c r="I16287" s="689">
        <v>49.3</v>
      </c>
      <c r="J16287" s="689">
        <v>48.5</v>
      </c>
      <c r="K16287" s="693">
        <v>49</v>
      </c>
    </row>
    <row r="16288" spans="1:11">
      <c r="A16288" s="688" t="s">
        <v>27</v>
      </c>
      <c r="B16288" s="691">
        <v>51.6</v>
      </c>
      <c r="C16288" s="691">
        <v>51.2</v>
      </c>
      <c r="D16288" s="691">
        <v>50.9</v>
      </c>
      <c r="E16288" s="691">
        <v>51.3</v>
      </c>
      <c r="F16288" s="691">
        <v>51.2</v>
      </c>
      <c r="G16288" s="691">
        <v>51.3</v>
      </c>
      <c r="H16288" s="691">
        <v>51.7</v>
      </c>
      <c r="I16288" s="691">
        <v>50.5</v>
      </c>
      <c r="J16288" s="691">
        <v>51.3</v>
      </c>
      <c r="K16288" s="691">
        <v>51.2</v>
      </c>
    </row>
    <row r="16289" spans="1:11">
      <c r="A16289" s="688" t="s">
        <v>6</v>
      </c>
      <c r="B16289" s="689">
        <v>51.3</v>
      </c>
      <c r="C16289" s="689">
        <v>51.1</v>
      </c>
      <c r="D16289" s="689">
        <v>50.8</v>
      </c>
      <c r="E16289" s="693">
        <v>51</v>
      </c>
      <c r="F16289" s="693">
        <v>51</v>
      </c>
      <c r="G16289" s="689">
        <v>51.2</v>
      </c>
      <c r="H16289" s="689">
        <v>51.3</v>
      </c>
      <c r="I16289" s="689">
        <v>50.8</v>
      </c>
      <c r="J16289" s="689">
        <v>50.9</v>
      </c>
      <c r="K16289" s="689">
        <v>50.9</v>
      </c>
    </row>
    <row r="16290" spans="1:11">
      <c r="A16290" s="688" t="s">
        <v>4058</v>
      </c>
      <c r="B16290" s="692" t="s">
        <v>4060</v>
      </c>
      <c r="C16290" s="692" t="s">
        <v>4060</v>
      </c>
      <c r="D16290" s="692" t="s">
        <v>4060</v>
      </c>
      <c r="E16290" s="692" t="s">
        <v>4060</v>
      </c>
      <c r="F16290" s="692" t="s">
        <v>4060</v>
      </c>
      <c r="G16290" s="692" t="s">
        <v>4060</v>
      </c>
      <c r="H16290" s="692" t="s">
        <v>4060</v>
      </c>
      <c r="I16290" s="692" t="s">
        <v>4060</v>
      </c>
      <c r="J16290" s="692" t="s">
        <v>4060</v>
      </c>
      <c r="K16290" s="692" t="s">
        <v>4060</v>
      </c>
    </row>
    <row r="16291" spans="1:11">
      <c r="A16291" s="688" t="s">
        <v>11</v>
      </c>
      <c r="B16291" s="689">
        <v>46.7</v>
      </c>
      <c r="C16291" s="689">
        <v>46.6</v>
      </c>
      <c r="D16291" s="689">
        <v>46.1</v>
      </c>
      <c r="E16291" s="689">
        <v>46.8</v>
      </c>
      <c r="F16291" s="689">
        <v>46.4</v>
      </c>
      <c r="G16291" s="689">
        <v>46.8</v>
      </c>
      <c r="H16291" s="693">
        <v>47</v>
      </c>
      <c r="I16291" s="689">
        <v>46.3</v>
      </c>
      <c r="J16291" s="689">
        <v>45.5</v>
      </c>
      <c r="K16291" s="689">
        <v>46.5</v>
      </c>
    </row>
    <row r="16292" spans="1:11">
      <c r="A16292" s="688" t="s">
        <v>10</v>
      </c>
      <c r="B16292" s="691">
        <v>50.8</v>
      </c>
      <c r="C16292" s="691">
        <v>50.6</v>
      </c>
      <c r="D16292" s="691">
        <v>50.1</v>
      </c>
      <c r="E16292" s="691">
        <v>50.7</v>
      </c>
      <c r="F16292" s="691">
        <v>50.4</v>
      </c>
      <c r="G16292" s="691">
        <v>50.8</v>
      </c>
      <c r="H16292" s="691">
        <v>50.9</v>
      </c>
      <c r="I16292" s="615">
        <v>50</v>
      </c>
      <c r="J16292" s="691">
        <v>50.3</v>
      </c>
      <c r="K16292" s="691">
        <v>50.3</v>
      </c>
    </row>
    <row r="16293" spans="1:11">
      <c r="A16293" s="688" t="s">
        <v>30</v>
      </c>
      <c r="B16293" s="689">
        <v>50.3</v>
      </c>
      <c r="C16293" s="689">
        <v>49.6</v>
      </c>
      <c r="D16293" s="689">
        <v>49.2</v>
      </c>
      <c r="E16293" s="689">
        <v>50.3</v>
      </c>
      <c r="F16293" s="689">
        <v>49.9</v>
      </c>
      <c r="G16293" s="689">
        <v>50.3</v>
      </c>
      <c r="H16293" s="689">
        <v>50.1</v>
      </c>
      <c r="I16293" s="693">
        <v>50</v>
      </c>
      <c r="J16293" s="689">
        <v>49.3</v>
      </c>
      <c r="K16293" s="689">
        <v>49.6</v>
      </c>
    </row>
    <row r="16294" spans="1:11">
      <c r="A16294" s="688" t="s">
        <v>12</v>
      </c>
      <c r="B16294" s="615">
        <v>45</v>
      </c>
      <c r="C16294" s="691">
        <v>45.3</v>
      </c>
      <c r="D16294" s="691">
        <v>45.3</v>
      </c>
      <c r="E16294" s="691">
        <v>45.4</v>
      </c>
      <c r="F16294" s="691">
        <v>45.5</v>
      </c>
      <c r="G16294" s="691">
        <v>45.5</v>
      </c>
      <c r="H16294" s="615">
        <v>46</v>
      </c>
      <c r="I16294" s="691">
        <v>45.7</v>
      </c>
      <c r="J16294" s="691">
        <v>43.8</v>
      </c>
      <c r="K16294" s="691">
        <v>45.3</v>
      </c>
    </row>
    <row r="16295" spans="1:11">
      <c r="A16295" s="688" t="s">
        <v>14</v>
      </c>
      <c r="B16295" s="689">
        <v>45.6</v>
      </c>
      <c r="C16295" s="689">
        <v>45.8</v>
      </c>
      <c r="D16295" s="689">
        <v>45.5</v>
      </c>
      <c r="E16295" s="689">
        <v>45.8</v>
      </c>
      <c r="F16295" s="689">
        <v>46.1</v>
      </c>
      <c r="G16295" s="689">
        <v>46.4</v>
      </c>
      <c r="H16295" s="689">
        <v>46.7</v>
      </c>
      <c r="I16295" s="689">
        <v>45.7</v>
      </c>
      <c r="J16295" s="689">
        <v>44.6</v>
      </c>
      <c r="K16295" s="689">
        <v>45.9</v>
      </c>
    </row>
    <row r="16296" spans="1:11">
      <c r="A16296" s="688" t="s">
        <v>15</v>
      </c>
      <c r="B16296" s="691">
        <v>49.7</v>
      </c>
      <c r="C16296" s="691">
        <v>50.2</v>
      </c>
      <c r="D16296" s="691">
        <v>49.5</v>
      </c>
      <c r="E16296" s="691">
        <v>50.3</v>
      </c>
      <c r="F16296" s="691">
        <v>49.4</v>
      </c>
      <c r="G16296" s="615">
        <v>50</v>
      </c>
      <c r="H16296" s="691">
        <v>50.2</v>
      </c>
      <c r="I16296" s="691">
        <v>50.1</v>
      </c>
      <c r="J16296" s="691">
        <v>50.3</v>
      </c>
      <c r="K16296" s="691">
        <v>50.5</v>
      </c>
    </row>
    <row r="16297" spans="1:11">
      <c r="A16297" s="688" t="s">
        <v>29</v>
      </c>
      <c r="B16297" s="689">
        <v>44.9</v>
      </c>
      <c r="C16297" s="689">
        <v>44.9</v>
      </c>
      <c r="D16297" s="689">
        <v>44.5</v>
      </c>
      <c r="E16297" s="689">
        <v>45.1</v>
      </c>
      <c r="F16297" s="689">
        <v>44.8</v>
      </c>
      <c r="G16297" s="693">
        <v>45</v>
      </c>
      <c r="H16297" s="689">
        <v>45.2</v>
      </c>
      <c r="I16297" s="689">
        <v>44.5</v>
      </c>
      <c r="J16297" s="689">
        <v>43.3</v>
      </c>
      <c r="K16297" s="689">
        <v>44.9</v>
      </c>
    </row>
    <row r="16298" spans="1:11">
      <c r="A16298" s="688" t="s">
        <v>16</v>
      </c>
      <c r="B16298" s="691">
        <v>49.8</v>
      </c>
      <c r="C16298" s="691">
        <v>49.6</v>
      </c>
      <c r="D16298" s="691">
        <v>49.6</v>
      </c>
      <c r="E16298" s="691">
        <v>49.7</v>
      </c>
      <c r="F16298" s="691">
        <v>49.8</v>
      </c>
      <c r="G16298" s="691">
        <v>49.7</v>
      </c>
      <c r="H16298" s="691">
        <v>50.2</v>
      </c>
      <c r="I16298" s="691">
        <v>49.7</v>
      </c>
      <c r="J16298" s="691">
        <v>49.4</v>
      </c>
      <c r="K16298" s="691">
        <v>49.7</v>
      </c>
    </row>
    <row r="16299" spans="1:11">
      <c r="A16299" s="688" t="s">
        <v>17</v>
      </c>
      <c r="B16299" s="689">
        <v>48.8</v>
      </c>
      <c r="C16299" s="689">
        <v>48.9</v>
      </c>
      <c r="D16299" s="689">
        <v>48.7</v>
      </c>
      <c r="E16299" s="689">
        <v>48.8</v>
      </c>
      <c r="F16299" s="689">
        <v>48.9</v>
      </c>
      <c r="G16299" s="689">
        <v>48.9</v>
      </c>
      <c r="H16299" s="689">
        <v>49.2</v>
      </c>
      <c r="I16299" s="689">
        <v>48.7</v>
      </c>
      <c r="J16299" s="689">
        <v>48.6</v>
      </c>
      <c r="K16299" s="689">
        <v>48.7</v>
      </c>
    </row>
    <row r="16300" spans="1:11">
      <c r="A16300" s="688" t="s">
        <v>19</v>
      </c>
      <c r="B16300" s="691">
        <v>49.4</v>
      </c>
      <c r="C16300" s="691">
        <v>49.4</v>
      </c>
      <c r="D16300" s="691">
        <v>49.2</v>
      </c>
      <c r="E16300" s="691">
        <v>49.6</v>
      </c>
      <c r="F16300" s="691">
        <v>49.5</v>
      </c>
      <c r="G16300" s="691">
        <v>49.6</v>
      </c>
      <c r="H16300" s="691">
        <v>49.8</v>
      </c>
      <c r="I16300" s="691">
        <v>49.3</v>
      </c>
      <c r="J16300" s="691">
        <v>49.3</v>
      </c>
      <c r="K16300" s="691">
        <v>49.4</v>
      </c>
    </row>
    <row r="16301" spans="1:11">
      <c r="A16301" s="688" t="s">
        <v>20</v>
      </c>
      <c r="B16301" s="693">
        <v>47</v>
      </c>
      <c r="C16301" s="689">
        <v>47.2</v>
      </c>
      <c r="D16301" s="693">
        <v>47</v>
      </c>
      <c r="E16301" s="689">
        <v>47.4</v>
      </c>
      <c r="F16301" s="689">
        <v>47.2</v>
      </c>
      <c r="G16301" s="689">
        <v>47.2</v>
      </c>
      <c r="H16301" s="689">
        <v>47.4</v>
      </c>
      <c r="I16301" s="689">
        <v>46.3</v>
      </c>
      <c r="J16301" s="689">
        <v>45.3</v>
      </c>
      <c r="K16301" s="689">
        <v>46.8</v>
      </c>
    </row>
    <row r="16302" spans="1:11">
      <c r="A16302" s="688" t="s">
        <v>21</v>
      </c>
      <c r="B16302" s="691">
        <v>49.6</v>
      </c>
      <c r="C16302" s="691">
        <v>49.9</v>
      </c>
      <c r="D16302" s="691">
        <v>49.8</v>
      </c>
      <c r="E16302" s="691">
        <v>49.9</v>
      </c>
      <c r="F16302" s="691">
        <v>50.1</v>
      </c>
      <c r="G16302" s="691">
        <v>50.2</v>
      </c>
      <c r="H16302" s="691">
        <v>50.4</v>
      </c>
      <c r="I16302" s="691">
        <v>49.8</v>
      </c>
      <c r="J16302" s="691">
        <v>49.8</v>
      </c>
      <c r="K16302" s="615">
        <v>50</v>
      </c>
    </row>
    <row r="16303" spans="1:11">
      <c r="A16303" s="688" t="s">
        <v>22</v>
      </c>
      <c r="B16303" s="693">
        <v>45</v>
      </c>
      <c r="C16303" s="689">
        <v>44.8</v>
      </c>
      <c r="D16303" s="689">
        <v>44.7</v>
      </c>
      <c r="E16303" s="693">
        <v>45</v>
      </c>
      <c r="F16303" s="693">
        <v>45</v>
      </c>
      <c r="G16303" s="689">
        <v>45.1</v>
      </c>
      <c r="H16303" s="689">
        <v>45.4</v>
      </c>
      <c r="I16303" s="689">
        <v>44.2</v>
      </c>
      <c r="J16303" s="689">
        <v>42.6</v>
      </c>
      <c r="K16303" s="689">
        <v>45.1</v>
      </c>
    </row>
    <row r="16304" spans="1:11">
      <c r="A16304" s="688" t="s">
        <v>26</v>
      </c>
      <c r="B16304" s="691">
        <v>49.2</v>
      </c>
      <c r="C16304" s="691">
        <v>49.2</v>
      </c>
      <c r="D16304" s="615">
        <v>49</v>
      </c>
      <c r="E16304" s="691">
        <v>49.4</v>
      </c>
      <c r="F16304" s="691">
        <v>49.2</v>
      </c>
      <c r="G16304" s="691">
        <v>49.4</v>
      </c>
      <c r="H16304" s="691">
        <v>49.7</v>
      </c>
      <c r="I16304" s="691">
        <v>48.8</v>
      </c>
      <c r="J16304" s="691">
        <v>49.1</v>
      </c>
      <c r="K16304" s="691">
        <v>49.4</v>
      </c>
    </row>
    <row r="16305" spans="1:11">
      <c r="A16305" s="688" t="s">
        <v>25</v>
      </c>
      <c r="B16305" s="693">
        <v>46</v>
      </c>
      <c r="C16305" s="689">
        <v>46.3</v>
      </c>
      <c r="D16305" s="693">
        <v>46</v>
      </c>
      <c r="E16305" s="689">
        <v>46.5</v>
      </c>
      <c r="F16305" s="689">
        <v>46.4</v>
      </c>
      <c r="G16305" s="689">
        <v>46.5</v>
      </c>
      <c r="H16305" s="693">
        <v>47</v>
      </c>
      <c r="I16305" s="689">
        <v>46.2</v>
      </c>
      <c r="J16305" s="693">
        <v>44</v>
      </c>
      <c r="K16305" s="689">
        <v>46.3</v>
      </c>
    </row>
    <row r="16306" spans="1:11">
      <c r="A16306" s="688" t="s">
        <v>5</v>
      </c>
      <c r="B16306" s="691">
        <v>49.7</v>
      </c>
      <c r="C16306" s="691">
        <v>49.5</v>
      </c>
      <c r="D16306" s="691">
        <v>49.7</v>
      </c>
      <c r="E16306" s="691">
        <v>49.7</v>
      </c>
      <c r="F16306" s="691">
        <v>49.9</v>
      </c>
      <c r="G16306" s="691">
        <v>49.9</v>
      </c>
      <c r="H16306" s="691">
        <v>50.2</v>
      </c>
      <c r="I16306" s="691">
        <v>50.2</v>
      </c>
      <c r="J16306" s="691">
        <v>50.1</v>
      </c>
      <c r="K16306" s="691">
        <v>49.4</v>
      </c>
    </row>
    <row r="16307" spans="1:11">
      <c r="A16307" s="688" t="s">
        <v>23</v>
      </c>
      <c r="B16307" s="689">
        <v>49.4</v>
      </c>
      <c r="C16307" s="689">
        <v>49.6</v>
      </c>
      <c r="D16307" s="689">
        <v>49.6</v>
      </c>
      <c r="E16307" s="689">
        <v>49.7</v>
      </c>
      <c r="F16307" s="689">
        <v>49.7</v>
      </c>
      <c r="G16307" s="689">
        <v>49.9</v>
      </c>
      <c r="H16307" s="689">
        <v>50.3</v>
      </c>
      <c r="I16307" s="689">
        <v>49.8</v>
      </c>
      <c r="J16307" s="689">
        <v>50.3</v>
      </c>
      <c r="K16307" s="689">
        <v>50.3</v>
      </c>
    </row>
    <row r="16308" spans="1:11">
      <c r="A16308" s="688" t="s">
        <v>4067</v>
      </c>
      <c r="B16308" s="615">
        <v>49</v>
      </c>
      <c r="C16308" s="691">
        <v>49.3</v>
      </c>
      <c r="D16308" s="691">
        <v>48.9</v>
      </c>
      <c r="E16308" s="691">
        <v>49.3</v>
      </c>
      <c r="F16308" s="691">
        <v>49.2</v>
      </c>
      <c r="G16308" s="691">
        <v>49.3</v>
      </c>
      <c r="H16308" s="692" t="s">
        <v>4060</v>
      </c>
      <c r="I16308" s="692" t="s">
        <v>4060</v>
      </c>
      <c r="J16308" s="692" t="s">
        <v>4060</v>
      </c>
      <c r="K16308" s="692" t="s">
        <v>4060</v>
      </c>
    </row>
    <row r="16309" spans="1:11">
      <c r="A16309" s="688" t="s">
        <v>4066</v>
      </c>
      <c r="B16309" s="693">
        <v>49</v>
      </c>
      <c r="C16309" s="689">
        <v>49.3</v>
      </c>
      <c r="D16309" s="693">
        <v>49</v>
      </c>
      <c r="E16309" s="689">
        <v>49.3</v>
      </c>
      <c r="F16309" s="689">
        <v>49.2</v>
      </c>
      <c r="G16309" s="689">
        <v>49.3</v>
      </c>
      <c r="H16309" s="690" t="s">
        <v>4060</v>
      </c>
      <c r="I16309" s="690" t="s">
        <v>4060</v>
      </c>
      <c r="J16309" s="690" t="s">
        <v>4060</v>
      </c>
      <c r="K16309" s="690" t="s">
        <v>4060</v>
      </c>
    </row>
    <row r="16310" spans="1:11">
      <c r="A16310" s="688" t="s">
        <v>4062</v>
      </c>
      <c r="B16310" s="691">
        <v>50.1</v>
      </c>
      <c r="C16310" s="691">
        <v>50.3</v>
      </c>
      <c r="D16310" s="691">
        <v>50.2</v>
      </c>
      <c r="E16310" s="691">
        <v>50.4</v>
      </c>
      <c r="F16310" s="691">
        <v>50.5</v>
      </c>
      <c r="G16310" s="691">
        <v>50.6</v>
      </c>
      <c r="H16310" s="691">
        <v>50.8</v>
      </c>
      <c r="I16310" s="691">
        <v>50.5</v>
      </c>
      <c r="J16310" s="691">
        <v>50.8</v>
      </c>
      <c r="K16310" s="691">
        <v>50.5</v>
      </c>
    </row>
    <row r="16311" spans="1:11">
      <c r="A16311" s="688" t="s">
        <v>9</v>
      </c>
      <c r="B16311" s="689">
        <v>49.3</v>
      </c>
      <c r="C16311" s="689">
        <v>49.8</v>
      </c>
      <c r="D16311" s="689">
        <v>49.1</v>
      </c>
      <c r="E16311" s="689">
        <v>49.3</v>
      </c>
      <c r="F16311" s="689">
        <v>49.8</v>
      </c>
      <c r="G16311" s="689">
        <v>49.6</v>
      </c>
      <c r="H16311" s="689">
        <v>49.9</v>
      </c>
      <c r="I16311" s="689">
        <v>49.9</v>
      </c>
      <c r="J16311" s="689">
        <v>50.1</v>
      </c>
      <c r="K16311" s="689">
        <v>49.1</v>
      </c>
    </row>
    <row r="16312" spans="1:11">
      <c r="A16312" s="688" t="s">
        <v>13</v>
      </c>
      <c r="B16312" s="691">
        <v>50.2</v>
      </c>
      <c r="C16312" s="691">
        <v>49.1</v>
      </c>
      <c r="D16312" s="691">
        <v>49.9</v>
      </c>
      <c r="E16312" s="691">
        <v>49.8</v>
      </c>
      <c r="F16312" s="615">
        <v>51</v>
      </c>
      <c r="G16312" s="691">
        <v>50.9</v>
      </c>
      <c r="H16312" s="691">
        <v>50.8</v>
      </c>
      <c r="I16312" s="691">
        <v>50.1</v>
      </c>
      <c r="J16312" s="691">
        <v>51.1</v>
      </c>
      <c r="K16312" s="691">
        <v>50.8</v>
      </c>
    </row>
    <row r="16313" spans="1:11">
      <c r="A16313" s="688" t="s">
        <v>18</v>
      </c>
      <c r="B16313" s="689">
        <v>49.3</v>
      </c>
      <c r="C16313" s="689">
        <v>49.6</v>
      </c>
      <c r="D16313" s="689">
        <v>49.7</v>
      </c>
      <c r="E16313" s="689">
        <v>49.7</v>
      </c>
      <c r="F16313" s="689">
        <v>49.8</v>
      </c>
      <c r="G16313" s="693">
        <v>50</v>
      </c>
      <c r="H16313" s="689">
        <v>50.2</v>
      </c>
      <c r="I16313" s="689">
        <v>50.4</v>
      </c>
      <c r="J16313" s="689">
        <v>50.2</v>
      </c>
      <c r="K16313" s="689">
        <v>49.8</v>
      </c>
    </row>
    <row r="16314" spans="1:11">
      <c r="A16314" s="688" t="s">
        <v>24</v>
      </c>
      <c r="B16314" s="691">
        <v>50.6</v>
      </c>
      <c r="C16314" s="691">
        <v>50.7</v>
      </c>
      <c r="D16314" s="691">
        <v>50.5</v>
      </c>
      <c r="E16314" s="691">
        <v>50.9</v>
      </c>
      <c r="F16314" s="691">
        <v>50.9</v>
      </c>
      <c r="G16314" s="615">
        <v>51</v>
      </c>
      <c r="H16314" s="691">
        <v>51.2</v>
      </c>
      <c r="I16314" s="691">
        <v>50.7</v>
      </c>
      <c r="J16314" s="691">
        <v>51.2</v>
      </c>
      <c r="K16314" s="615">
        <v>51</v>
      </c>
    </row>
    <row r="16315" spans="1:11">
      <c r="A16315" s="688" t="s">
        <v>4059</v>
      </c>
      <c r="B16315" s="689">
        <v>48.6</v>
      </c>
      <c r="C16315" s="689">
        <v>48.9</v>
      </c>
      <c r="D16315" s="689">
        <v>48.5</v>
      </c>
      <c r="E16315" s="689">
        <v>48.7</v>
      </c>
      <c r="F16315" s="689">
        <v>48.8</v>
      </c>
      <c r="G16315" s="689">
        <v>48.8</v>
      </c>
      <c r="H16315" s="690" t="s">
        <v>4060</v>
      </c>
      <c r="I16315" s="690" t="s">
        <v>4060</v>
      </c>
      <c r="J16315" s="690" t="s">
        <v>4060</v>
      </c>
      <c r="K16315" s="690" t="s">
        <v>4060</v>
      </c>
    </row>
    <row r="16316" spans="1:11">
      <c r="A16316" s="688" t="s">
        <v>2324</v>
      </c>
      <c r="B16316" s="691">
        <v>44.7</v>
      </c>
      <c r="C16316" s="691">
        <v>44.8</v>
      </c>
      <c r="D16316" s="691">
        <v>44.2</v>
      </c>
      <c r="E16316" s="691">
        <v>44.7</v>
      </c>
      <c r="F16316" s="691">
        <v>44.9</v>
      </c>
      <c r="G16316" s="691">
        <v>44.8</v>
      </c>
      <c r="H16316" s="691">
        <v>45.1</v>
      </c>
      <c r="I16316" s="691">
        <v>44.4</v>
      </c>
      <c r="J16316" s="691">
        <v>42.6</v>
      </c>
      <c r="K16316" s="692" t="s">
        <v>4060</v>
      </c>
    </row>
    <row r="16317" spans="1:11">
      <c r="A16317" s="688" t="s">
        <v>2322</v>
      </c>
      <c r="B16317" s="690" t="s">
        <v>4060</v>
      </c>
      <c r="C16317" s="690" t="s">
        <v>4060</v>
      </c>
      <c r="D16317" s="690" t="s">
        <v>4060</v>
      </c>
      <c r="E16317" s="690" t="s">
        <v>4060</v>
      </c>
      <c r="F16317" s="690" t="s">
        <v>4060</v>
      </c>
      <c r="G16317" s="690" t="s">
        <v>4060</v>
      </c>
      <c r="H16317" s="690" t="s">
        <v>4060</v>
      </c>
      <c r="I16317" s="690" t="s">
        <v>4060</v>
      </c>
      <c r="J16317" s="690" t="s">
        <v>4060</v>
      </c>
      <c r="K16317" s="690" t="s">
        <v>4060</v>
      </c>
    </row>
    <row r="16318" spans="1:11">
      <c r="A16318" s="688" t="s">
        <v>2328</v>
      </c>
      <c r="B16318" s="691">
        <v>43.9</v>
      </c>
      <c r="C16318" s="691">
        <v>43.6</v>
      </c>
      <c r="D16318" s="691">
        <v>43.5</v>
      </c>
      <c r="E16318" s="691">
        <v>43.9</v>
      </c>
      <c r="F16318" s="691">
        <v>44.1</v>
      </c>
      <c r="G16318" s="691">
        <v>44.5</v>
      </c>
      <c r="H16318" s="691">
        <v>44.4</v>
      </c>
      <c r="I16318" s="691">
        <v>42.6</v>
      </c>
      <c r="J16318" s="691">
        <v>41.3</v>
      </c>
      <c r="K16318" s="692" t="s">
        <v>4060</v>
      </c>
    </row>
    <row r="16319" spans="1:11">
      <c r="A16319" s="688" t="s">
        <v>2496</v>
      </c>
      <c r="B16319" s="690" t="s">
        <v>4060</v>
      </c>
      <c r="C16319" s="689">
        <v>44.7</v>
      </c>
      <c r="D16319" s="689">
        <v>43.8</v>
      </c>
      <c r="E16319" s="689">
        <v>43.5</v>
      </c>
      <c r="F16319" s="689">
        <v>44.2</v>
      </c>
      <c r="G16319" s="689">
        <v>44.5</v>
      </c>
      <c r="H16319" s="689">
        <v>44.5</v>
      </c>
      <c r="I16319" s="690" t="s">
        <v>4060</v>
      </c>
      <c r="J16319" s="690" t="s">
        <v>4060</v>
      </c>
      <c r="K16319" s="689">
        <v>44.3</v>
      </c>
    </row>
    <row r="16320" spans="1:11">
      <c r="A16320" s="688" t="s">
        <v>2269</v>
      </c>
      <c r="B16320" s="691">
        <v>46.4</v>
      </c>
      <c r="C16320" s="691">
        <v>46.5</v>
      </c>
      <c r="D16320" s="691">
        <v>45.9</v>
      </c>
      <c r="E16320" s="691">
        <v>46.4</v>
      </c>
      <c r="F16320" s="691">
        <v>46.2</v>
      </c>
      <c r="G16320" s="691">
        <v>46.7</v>
      </c>
      <c r="H16320" s="615">
        <v>47</v>
      </c>
      <c r="I16320" s="691">
        <v>45.8</v>
      </c>
      <c r="J16320" s="691">
        <v>43.7</v>
      </c>
      <c r="K16320" s="691">
        <v>46.7</v>
      </c>
    </row>
    <row r="16321" spans="1:11">
      <c r="A16321" s="688" t="s">
        <v>2349</v>
      </c>
      <c r="B16321" s="689">
        <v>43.8</v>
      </c>
      <c r="C16321" s="689">
        <v>43.8</v>
      </c>
      <c r="D16321" s="689">
        <v>43.7</v>
      </c>
      <c r="E16321" s="689">
        <v>44.1</v>
      </c>
      <c r="F16321" s="689">
        <v>43.9</v>
      </c>
      <c r="G16321" s="689">
        <v>44.2</v>
      </c>
      <c r="H16321" s="689">
        <v>44.4</v>
      </c>
      <c r="I16321" s="689">
        <v>43.2</v>
      </c>
      <c r="J16321" s="689">
        <v>41.5</v>
      </c>
      <c r="K16321" s="689">
        <v>43.6</v>
      </c>
    </row>
    <row r="16322" spans="1:11">
      <c r="A16322" s="688" t="s">
        <v>2355</v>
      </c>
      <c r="B16322" s="691">
        <v>47.7</v>
      </c>
      <c r="C16322" s="691">
        <v>47.5</v>
      </c>
      <c r="D16322" s="691">
        <v>47.5</v>
      </c>
      <c r="E16322" s="691">
        <v>47.4</v>
      </c>
      <c r="F16322" s="691">
        <v>47.6</v>
      </c>
      <c r="G16322" s="691">
        <v>47.9</v>
      </c>
      <c r="H16322" s="615">
        <v>48</v>
      </c>
      <c r="I16322" s="692" t="s">
        <v>4060</v>
      </c>
      <c r="J16322" s="692" t="s">
        <v>4060</v>
      </c>
      <c r="K16322" s="692" t="s">
        <v>4060</v>
      </c>
    </row>
    <row r="16323" spans="1:11">
      <c r="A16323" s="688" t="s">
        <v>2357</v>
      </c>
      <c r="B16323" s="690" t="s">
        <v>4060</v>
      </c>
      <c r="C16323" s="689">
        <v>43.2</v>
      </c>
      <c r="D16323" s="689">
        <v>43.7</v>
      </c>
      <c r="E16323" s="689">
        <v>43.9</v>
      </c>
      <c r="F16323" s="689">
        <v>44.2</v>
      </c>
      <c r="G16323" s="689">
        <v>44.2</v>
      </c>
      <c r="H16323" s="689">
        <v>44.4</v>
      </c>
      <c r="I16323" s="690" t="s">
        <v>4060</v>
      </c>
      <c r="J16323" s="690" t="s">
        <v>4060</v>
      </c>
      <c r="K16323" s="690" t="s">
        <v>4060</v>
      </c>
    </row>
    <row r="16324" spans="1:11">
      <c r="A16324" s="688" t="s">
        <v>4070</v>
      </c>
      <c r="B16324" s="692" t="s">
        <v>4060</v>
      </c>
      <c r="C16324" s="692" t="s">
        <v>4060</v>
      </c>
      <c r="D16324" s="692" t="s">
        <v>4060</v>
      </c>
      <c r="E16324" s="691">
        <v>47.5</v>
      </c>
      <c r="F16324" s="692" t="s">
        <v>4060</v>
      </c>
      <c r="G16324" s="692" t="s">
        <v>4060</v>
      </c>
      <c r="H16324" s="692" t="s">
        <v>4060</v>
      </c>
      <c r="I16324" s="692" t="s">
        <v>4060</v>
      </c>
      <c r="J16324" s="692" t="s">
        <v>4060</v>
      </c>
      <c r="K16324" s="692" t="s">
        <v>4060</v>
      </c>
    </row>
    <row r="16325" spans="1:11">
      <c r="A16325" s="688" t="s">
        <v>2491</v>
      </c>
      <c r="B16325" s="693">
        <v>44</v>
      </c>
      <c r="C16325" s="689">
        <v>44.5</v>
      </c>
      <c r="D16325" s="689">
        <v>44.8</v>
      </c>
      <c r="E16325" s="693">
        <v>45</v>
      </c>
      <c r="F16325" s="689">
        <v>45.1</v>
      </c>
      <c r="G16325" s="689">
        <v>45.2</v>
      </c>
      <c r="H16325" s="690" t="s">
        <v>4060</v>
      </c>
      <c r="I16325" s="690" t="s">
        <v>4060</v>
      </c>
      <c r="J16325" s="690" t="s">
        <v>4060</v>
      </c>
      <c r="K16325" s="690" t="s">
        <v>4060</v>
      </c>
    </row>
    <row r="16326" spans="1:11">
      <c r="A16326" s="688" t="s">
        <v>2343</v>
      </c>
      <c r="B16326" s="692" t="s">
        <v>4060</v>
      </c>
      <c r="C16326" s="692" t="s">
        <v>4060</v>
      </c>
      <c r="D16326" s="692" t="s">
        <v>4060</v>
      </c>
      <c r="E16326" s="692" t="s">
        <v>4060</v>
      </c>
      <c r="F16326" s="692" t="s">
        <v>4060</v>
      </c>
      <c r="G16326" s="692" t="s">
        <v>4060</v>
      </c>
      <c r="H16326" s="692" t="s">
        <v>4060</v>
      </c>
      <c r="I16326" s="692" t="s">
        <v>4060</v>
      </c>
      <c r="J16326" s="692" t="s">
        <v>4060</v>
      </c>
      <c r="K16326" s="692" t="s">
        <v>4060</v>
      </c>
    </row>
    <row r="16327" spans="1:11">
      <c r="A16327" s="688" t="s">
        <v>4071</v>
      </c>
      <c r="B16327" s="690" t="s">
        <v>4060</v>
      </c>
      <c r="C16327" s="690" t="s">
        <v>4060</v>
      </c>
      <c r="D16327" s="690" t="s">
        <v>4060</v>
      </c>
      <c r="E16327" s="690" t="s">
        <v>4060</v>
      </c>
      <c r="F16327" s="690" t="s">
        <v>4060</v>
      </c>
      <c r="G16327" s="690" t="s">
        <v>4060</v>
      </c>
      <c r="H16327" s="690" t="s">
        <v>4060</v>
      </c>
      <c r="I16327" s="690" t="s">
        <v>4060</v>
      </c>
      <c r="J16327" s="690" t="s">
        <v>4060</v>
      </c>
      <c r="K16327" s="690" t="s">
        <v>4060</v>
      </c>
    </row>
    <row r="16328" spans="1:11">
      <c r="A16328" s="688" t="s">
        <v>2489</v>
      </c>
      <c r="B16328" s="692" t="s">
        <v>4060</v>
      </c>
      <c r="C16328" s="692" t="s">
        <v>4060</v>
      </c>
      <c r="D16328" s="691">
        <v>44.4</v>
      </c>
      <c r="E16328" s="691">
        <v>44.5</v>
      </c>
      <c r="F16328" s="615">
        <v>45</v>
      </c>
      <c r="G16328" s="691">
        <v>45.7</v>
      </c>
      <c r="H16328" s="691">
        <v>45.7</v>
      </c>
      <c r="I16328" s="692" t="s">
        <v>4060</v>
      </c>
      <c r="J16328" s="692" t="s">
        <v>4060</v>
      </c>
      <c r="K16328" s="692" t="s">
        <v>4060</v>
      </c>
    </row>
    <row r="16329" spans="1:11">
      <c r="A16329" s="688" t="s">
        <v>2490</v>
      </c>
      <c r="B16329" s="689">
        <v>43.7</v>
      </c>
      <c r="C16329" s="689">
        <v>43.8</v>
      </c>
      <c r="D16329" s="689">
        <v>44.2</v>
      </c>
      <c r="E16329" s="690" t="s">
        <v>4060</v>
      </c>
      <c r="F16329" s="689">
        <v>44.4</v>
      </c>
      <c r="G16329" s="689">
        <v>44.8</v>
      </c>
      <c r="H16329" s="689">
        <v>45.4</v>
      </c>
      <c r="I16329" s="690" t="s">
        <v>4060</v>
      </c>
      <c r="J16329" s="690" t="s">
        <v>4060</v>
      </c>
      <c r="K16329" s="690" t="s">
        <v>4060</v>
      </c>
    </row>
    <row r="16331" spans="1:11">
      <c r="A16331" s="683" t="s">
        <v>4233</v>
      </c>
    </row>
    <row r="16332" spans="1:11">
      <c r="A16332" s="683" t="s">
        <v>4060</v>
      </c>
      <c r="B16332" s="682" t="s">
        <v>4234</v>
      </c>
    </row>
    <row r="16334" spans="1:11">
      <c r="A16334" s="682" t="s">
        <v>4332</v>
      </c>
    </row>
    <row r="16335" spans="1:11">
      <c r="A16335" s="682" t="s">
        <v>4210</v>
      </c>
      <c r="B16335" s="683" t="s">
        <v>4211</v>
      </c>
    </row>
    <row r="16336" spans="1:11">
      <c r="A16336" s="682" t="s">
        <v>4212</v>
      </c>
      <c r="B16336" s="682" t="s">
        <v>4213</v>
      </c>
    </row>
    <row r="16338" spans="1:11">
      <c r="A16338" s="683" t="s">
        <v>4214</v>
      </c>
      <c r="C16338" s="682" t="s">
        <v>4215</v>
      </c>
    </row>
    <row r="16339" spans="1:11">
      <c r="A16339" s="683" t="s">
        <v>4216</v>
      </c>
      <c r="C16339" s="682" t="s">
        <v>2967</v>
      </c>
    </row>
    <row r="16340" spans="1:11">
      <c r="A16340" s="683" t="s">
        <v>3893</v>
      </c>
      <c r="C16340" s="682" t="s">
        <v>2169</v>
      </c>
    </row>
    <row r="16341" spans="1:11">
      <c r="A16341" s="683" t="s">
        <v>4218</v>
      </c>
      <c r="C16341" s="682" t="s">
        <v>4271</v>
      </c>
    </row>
    <row r="16343" spans="1:11">
      <c r="A16343" s="684" t="s">
        <v>4220</v>
      </c>
      <c r="B16343" s="685" t="s">
        <v>4221</v>
      </c>
      <c r="C16343" s="685" t="s">
        <v>4222</v>
      </c>
      <c r="D16343" s="685" t="s">
        <v>4223</v>
      </c>
      <c r="E16343" s="685" t="s">
        <v>4224</v>
      </c>
      <c r="F16343" s="685" t="s">
        <v>4225</v>
      </c>
      <c r="G16343" s="685" t="s">
        <v>4226</v>
      </c>
      <c r="H16343" s="685" t="s">
        <v>4227</v>
      </c>
      <c r="I16343" s="685" t="s">
        <v>4228</v>
      </c>
      <c r="J16343" s="685" t="s">
        <v>4229</v>
      </c>
      <c r="K16343" s="685" t="s">
        <v>4230</v>
      </c>
    </row>
    <row r="16344" spans="1:11">
      <c r="A16344" s="686" t="s">
        <v>4231</v>
      </c>
      <c r="B16344" s="687" t="s">
        <v>4232</v>
      </c>
      <c r="C16344" s="687" t="s">
        <v>4232</v>
      </c>
      <c r="D16344" s="687" t="s">
        <v>4232</v>
      </c>
      <c r="E16344" s="687" t="s">
        <v>4232</v>
      </c>
      <c r="F16344" s="687" t="s">
        <v>4232</v>
      </c>
      <c r="G16344" s="687" t="s">
        <v>4232</v>
      </c>
      <c r="H16344" s="687" t="s">
        <v>4232</v>
      </c>
      <c r="I16344" s="687" t="s">
        <v>4232</v>
      </c>
      <c r="J16344" s="687" t="s">
        <v>4232</v>
      </c>
      <c r="K16344" s="687" t="s">
        <v>4232</v>
      </c>
    </row>
    <row r="16345" spans="1:11">
      <c r="A16345" s="688" t="s">
        <v>4064</v>
      </c>
      <c r="B16345" s="693">
        <v>48</v>
      </c>
      <c r="C16345" s="693">
        <v>48</v>
      </c>
      <c r="D16345" s="693">
        <v>48</v>
      </c>
      <c r="E16345" s="689">
        <v>48.1</v>
      </c>
      <c r="F16345" s="689">
        <v>48.1</v>
      </c>
      <c r="G16345" s="689">
        <v>48.2</v>
      </c>
      <c r="H16345" s="689">
        <v>48.4</v>
      </c>
      <c r="I16345" s="689">
        <v>47.7</v>
      </c>
      <c r="J16345" s="689">
        <v>47.4</v>
      </c>
      <c r="K16345" s="689">
        <v>47.9</v>
      </c>
    </row>
    <row r="16346" spans="1:11">
      <c r="A16346" s="688" t="s">
        <v>4065</v>
      </c>
      <c r="B16346" s="615">
        <v>48</v>
      </c>
      <c r="C16346" s="691">
        <v>48.3</v>
      </c>
      <c r="D16346" s="691">
        <v>47.9</v>
      </c>
      <c r="E16346" s="691">
        <v>48.3</v>
      </c>
      <c r="F16346" s="691">
        <v>48.2</v>
      </c>
      <c r="G16346" s="691">
        <v>48.3</v>
      </c>
      <c r="H16346" s="692" t="s">
        <v>4060</v>
      </c>
      <c r="I16346" s="692" t="s">
        <v>4060</v>
      </c>
      <c r="J16346" s="692" t="s">
        <v>4060</v>
      </c>
      <c r="K16346" s="692" t="s">
        <v>4060</v>
      </c>
    </row>
    <row r="16347" spans="1:11">
      <c r="A16347" s="688" t="s">
        <v>4063</v>
      </c>
      <c r="B16347" s="693">
        <v>48</v>
      </c>
      <c r="C16347" s="689">
        <v>48.4</v>
      </c>
      <c r="D16347" s="693">
        <v>48</v>
      </c>
      <c r="E16347" s="689">
        <v>48.4</v>
      </c>
      <c r="F16347" s="689">
        <v>48.3</v>
      </c>
      <c r="G16347" s="689">
        <v>48.3</v>
      </c>
      <c r="H16347" s="690" t="s">
        <v>4060</v>
      </c>
      <c r="I16347" s="690" t="s">
        <v>4060</v>
      </c>
      <c r="J16347" s="690" t="s">
        <v>4060</v>
      </c>
      <c r="K16347" s="690" t="s">
        <v>4060</v>
      </c>
    </row>
    <row r="16348" spans="1:11">
      <c r="A16348" s="688" t="s">
        <v>4069</v>
      </c>
      <c r="B16348" s="692" t="s">
        <v>4060</v>
      </c>
      <c r="C16348" s="691">
        <v>48.8</v>
      </c>
      <c r="D16348" s="691">
        <v>48.5</v>
      </c>
      <c r="E16348" s="691">
        <v>48.9</v>
      </c>
      <c r="F16348" s="691">
        <v>48.8</v>
      </c>
      <c r="G16348" s="615">
        <v>49</v>
      </c>
      <c r="H16348" s="691">
        <v>49.2</v>
      </c>
      <c r="I16348" s="691">
        <v>48.6</v>
      </c>
      <c r="J16348" s="691">
        <v>48.6</v>
      </c>
      <c r="K16348" s="691">
        <v>48.6</v>
      </c>
    </row>
    <row r="16349" spans="1:11">
      <c r="A16349" s="688" t="s">
        <v>4068</v>
      </c>
      <c r="B16349" s="689">
        <v>48.9</v>
      </c>
      <c r="C16349" s="690" t="s">
        <v>4060</v>
      </c>
      <c r="D16349" s="690" t="s">
        <v>4060</v>
      </c>
      <c r="E16349" s="690" t="s">
        <v>4060</v>
      </c>
      <c r="F16349" s="690" t="s">
        <v>4060</v>
      </c>
      <c r="G16349" s="690" t="s">
        <v>4060</v>
      </c>
      <c r="H16349" s="690" t="s">
        <v>4060</v>
      </c>
      <c r="I16349" s="690" t="s">
        <v>4060</v>
      </c>
      <c r="J16349" s="690" t="s">
        <v>4060</v>
      </c>
      <c r="K16349" s="690" t="s">
        <v>4060</v>
      </c>
    </row>
    <row r="16350" spans="1:11">
      <c r="A16350" s="688" t="s">
        <v>0</v>
      </c>
      <c r="B16350" s="691">
        <v>47.9</v>
      </c>
      <c r="C16350" s="691">
        <v>48.1</v>
      </c>
      <c r="D16350" s="691">
        <v>47.8</v>
      </c>
      <c r="E16350" s="691">
        <v>48.3</v>
      </c>
      <c r="F16350" s="691">
        <v>48.4</v>
      </c>
      <c r="G16350" s="691">
        <v>48.4</v>
      </c>
      <c r="H16350" s="691">
        <v>48.7</v>
      </c>
      <c r="I16350" s="691">
        <v>47.7</v>
      </c>
      <c r="J16350" s="691">
        <v>48.7</v>
      </c>
      <c r="K16350" s="691">
        <v>48.4</v>
      </c>
    </row>
    <row r="16351" spans="1:11">
      <c r="A16351" s="688" t="s">
        <v>1</v>
      </c>
      <c r="B16351" s="689">
        <v>43.8</v>
      </c>
      <c r="C16351" s="689">
        <v>43.2</v>
      </c>
      <c r="D16351" s="689">
        <v>43.2</v>
      </c>
      <c r="E16351" s="689">
        <v>43.5</v>
      </c>
      <c r="F16351" s="689">
        <v>43.3</v>
      </c>
      <c r="G16351" s="689">
        <v>43.5</v>
      </c>
      <c r="H16351" s="689">
        <v>43.7</v>
      </c>
      <c r="I16351" s="689">
        <v>42.3</v>
      </c>
      <c r="J16351" s="689">
        <v>40.299999999999997</v>
      </c>
      <c r="K16351" s="689">
        <v>42.9</v>
      </c>
    </row>
    <row r="16352" spans="1:11">
      <c r="A16352" s="688" t="s">
        <v>2240</v>
      </c>
      <c r="B16352" s="691">
        <v>45.9</v>
      </c>
      <c r="C16352" s="691">
        <v>46.3</v>
      </c>
      <c r="D16352" s="615">
        <v>46</v>
      </c>
      <c r="E16352" s="691">
        <v>46.5</v>
      </c>
      <c r="F16352" s="691">
        <v>46.5</v>
      </c>
      <c r="G16352" s="691">
        <v>46.5</v>
      </c>
      <c r="H16352" s="691">
        <v>46.7</v>
      </c>
      <c r="I16352" s="691">
        <v>45.9</v>
      </c>
      <c r="J16352" s="691">
        <v>45.1</v>
      </c>
      <c r="K16352" s="691">
        <v>46.5</v>
      </c>
    </row>
    <row r="16353" spans="1:11">
      <c r="A16353" s="688" t="s">
        <v>2</v>
      </c>
      <c r="B16353" s="693">
        <v>47</v>
      </c>
      <c r="C16353" s="689">
        <v>47.3</v>
      </c>
      <c r="D16353" s="689">
        <v>47.3</v>
      </c>
      <c r="E16353" s="689">
        <v>47.4</v>
      </c>
      <c r="F16353" s="689">
        <v>47.7</v>
      </c>
      <c r="G16353" s="689">
        <v>47.5</v>
      </c>
      <c r="H16353" s="693">
        <v>48</v>
      </c>
      <c r="I16353" s="689">
        <v>48.1</v>
      </c>
      <c r="J16353" s="689">
        <v>47.9</v>
      </c>
      <c r="K16353" s="689">
        <v>47.8</v>
      </c>
    </row>
    <row r="16354" spans="1:11">
      <c r="A16354" s="688" t="s">
        <v>3</v>
      </c>
      <c r="B16354" s="691">
        <v>47.7</v>
      </c>
      <c r="C16354" s="615">
        <v>48</v>
      </c>
      <c r="D16354" s="691">
        <v>47.6</v>
      </c>
      <c r="E16354" s="691">
        <v>47.9</v>
      </c>
      <c r="F16354" s="691">
        <v>47.9</v>
      </c>
      <c r="G16354" s="691">
        <v>47.9</v>
      </c>
      <c r="H16354" s="691">
        <v>48.2</v>
      </c>
      <c r="I16354" s="615">
        <v>48</v>
      </c>
      <c r="J16354" s="691">
        <v>47.8</v>
      </c>
      <c r="K16354" s="691">
        <v>47.5</v>
      </c>
    </row>
    <row r="16355" spans="1:11">
      <c r="A16355" s="688" t="s">
        <v>4061</v>
      </c>
      <c r="B16355" s="689">
        <v>47.7</v>
      </c>
      <c r="C16355" s="693">
        <v>48</v>
      </c>
      <c r="D16355" s="689">
        <v>47.6</v>
      </c>
      <c r="E16355" s="689">
        <v>47.9</v>
      </c>
      <c r="F16355" s="689">
        <v>47.9</v>
      </c>
      <c r="G16355" s="689">
        <v>47.9</v>
      </c>
      <c r="H16355" s="689">
        <v>48.2</v>
      </c>
      <c r="I16355" s="693">
        <v>48</v>
      </c>
      <c r="J16355" s="689">
        <v>47.8</v>
      </c>
      <c r="K16355" s="689">
        <v>47.5</v>
      </c>
    </row>
    <row r="16356" spans="1:11">
      <c r="A16356" s="688" t="s">
        <v>4</v>
      </c>
      <c r="B16356" s="691">
        <v>46.6</v>
      </c>
      <c r="C16356" s="691">
        <v>46.5</v>
      </c>
      <c r="D16356" s="691">
        <v>46.7</v>
      </c>
      <c r="E16356" s="691">
        <v>46.9</v>
      </c>
      <c r="F16356" s="691">
        <v>47.1</v>
      </c>
      <c r="G16356" s="615">
        <v>47</v>
      </c>
      <c r="H16356" s="691">
        <v>47.5</v>
      </c>
      <c r="I16356" s="691">
        <v>47.3</v>
      </c>
      <c r="J16356" s="615">
        <v>46</v>
      </c>
      <c r="K16356" s="615">
        <v>47</v>
      </c>
    </row>
    <row r="16357" spans="1:11">
      <c r="A16357" s="688" t="s">
        <v>8</v>
      </c>
      <c r="B16357" s="689">
        <v>47.8</v>
      </c>
      <c r="C16357" s="689">
        <v>47.9</v>
      </c>
      <c r="D16357" s="689">
        <v>47.9</v>
      </c>
      <c r="E16357" s="693">
        <v>48</v>
      </c>
      <c r="F16357" s="689">
        <v>48.4</v>
      </c>
      <c r="G16357" s="689">
        <v>48.5</v>
      </c>
      <c r="H16357" s="689">
        <v>48.9</v>
      </c>
      <c r="I16357" s="689">
        <v>48.6</v>
      </c>
      <c r="J16357" s="689">
        <v>48.6</v>
      </c>
      <c r="K16357" s="689">
        <v>48.6</v>
      </c>
    </row>
    <row r="16358" spans="1:11">
      <c r="A16358" s="688" t="s">
        <v>7</v>
      </c>
      <c r="B16358" s="691">
        <v>48.7</v>
      </c>
      <c r="C16358" s="691">
        <v>48.4</v>
      </c>
      <c r="D16358" s="691">
        <v>48.2</v>
      </c>
      <c r="E16358" s="691">
        <v>48.4</v>
      </c>
      <c r="F16358" s="691">
        <v>48.4</v>
      </c>
      <c r="G16358" s="691">
        <v>48.9</v>
      </c>
      <c r="H16358" s="691">
        <v>48.8</v>
      </c>
      <c r="I16358" s="691">
        <v>48.3</v>
      </c>
      <c r="J16358" s="691">
        <v>47.5</v>
      </c>
      <c r="K16358" s="615">
        <v>48</v>
      </c>
    </row>
    <row r="16359" spans="1:11">
      <c r="A16359" s="688" t="s">
        <v>27</v>
      </c>
      <c r="B16359" s="689">
        <v>50.6</v>
      </c>
      <c r="C16359" s="689">
        <v>50.2</v>
      </c>
      <c r="D16359" s="689">
        <v>49.9</v>
      </c>
      <c r="E16359" s="689">
        <v>50.3</v>
      </c>
      <c r="F16359" s="689">
        <v>50.2</v>
      </c>
      <c r="G16359" s="689">
        <v>50.3</v>
      </c>
      <c r="H16359" s="689">
        <v>50.7</v>
      </c>
      <c r="I16359" s="689">
        <v>49.5</v>
      </c>
      <c r="J16359" s="689">
        <v>50.3</v>
      </c>
      <c r="K16359" s="689">
        <v>50.2</v>
      </c>
    </row>
    <row r="16360" spans="1:11">
      <c r="A16360" s="688" t="s">
        <v>6</v>
      </c>
      <c r="B16360" s="691">
        <v>50.3</v>
      </c>
      <c r="C16360" s="691">
        <v>50.1</v>
      </c>
      <c r="D16360" s="691">
        <v>49.8</v>
      </c>
      <c r="E16360" s="691">
        <v>50.1</v>
      </c>
      <c r="F16360" s="691">
        <v>50.1</v>
      </c>
      <c r="G16360" s="691">
        <v>50.2</v>
      </c>
      <c r="H16360" s="691">
        <v>50.3</v>
      </c>
      <c r="I16360" s="691">
        <v>49.8</v>
      </c>
      <c r="J16360" s="691">
        <v>49.9</v>
      </c>
      <c r="K16360" s="691">
        <v>49.9</v>
      </c>
    </row>
    <row r="16361" spans="1:11">
      <c r="A16361" s="688" t="s">
        <v>4058</v>
      </c>
      <c r="B16361" s="690" t="s">
        <v>4060</v>
      </c>
      <c r="C16361" s="690" t="s">
        <v>4060</v>
      </c>
      <c r="D16361" s="690" t="s">
        <v>4060</v>
      </c>
      <c r="E16361" s="690" t="s">
        <v>4060</v>
      </c>
      <c r="F16361" s="690" t="s">
        <v>4060</v>
      </c>
      <c r="G16361" s="690" t="s">
        <v>4060</v>
      </c>
      <c r="H16361" s="690" t="s">
        <v>4060</v>
      </c>
      <c r="I16361" s="690" t="s">
        <v>4060</v>
      </c>
      <c r="J16361" s="690" t="s">
        <v>4060</v>
      </c>
      <c r="K16361" s="690" t="s">
        <v>4060</v>
      </c>
    </row>
    <row r="16362" spans="1:11">
      <c r="A16362" s="688" t="s">
        <v>11</v>
      </c>
      <c r="B16362" s="691">
        <v>45.7</v>
      </c>
      <c r="C16362" s="691">
        <v>45.6</v>
      </c>
      <c r="D16362" s="691">
        <v>45.1</v>
      </c>
      <c r="E16362" s="691">
        <v>45.8</v>
      </c>
      <c r="F16362" s="691">
        <v>45.5</v>
      </c>
      <c r="G16362" s="691">
        <v>45.9</v>
      </c>
      <c r="H16362" s="615">
        <v>46</v>
      </c>
      <c r="I16362" s="691">
        <v>45.3</v>
      </c>
      <c r="J16362" s="691">
        <v>44.5</v>
      </c>
      <c r="K16362" s="691">
        <v>45.5</v>
      </c>
    </row>
    <row r="16363" spans="1:11">
      <c r="A16363" s="688" t="s">
        <v>10</v>
      </c>
      <c r="B16363" s="689">
        <v>49.8</v>
      </c>
      <c r="C16363" s="689">
        <v>49.6</v>
      </c>
      <c r="D16363" s="689">
        <v>49.1</v>
      </c>
      <c r="E16363" s="689">
        <v>49.7</v>
      </c>
      <c r="F16363" s="689">
        <v>49.5</v>
      </c>
      <c r="G16363" s="689">
        <v>49.8</v>
      </c>
      <c r="H16363" s="689">
        <v>49.9</v>
      </c>
      <c r="I16363" s="693">
        <v>49</v>
      </c>
      <c r="J16363" s="689">
        <v>49.3</v>
      </c>
      <c r="K16363" s="689">
        <v>49.3</v>
      </c>
    </row>
    <row r="16364" spans="1:11">
      <c r="A16364" s="688" t="s">
        <v>30</v>
      </c>
      <c r="B16364" s="691">
        <v>49.3</v>
      </c>
      <c r="C16364" s="691">
        <v>48.6</v>
      </c>
      <c r="D16364" s="691">
        <v>48.3</v>
      </c>
      <c r="E16364" s="691">
        <v>49.3</v>
      </c>
      <c r="F16364" s="691">
        <v>48.9</v>
      </c>
      <c r="G16364" s="691">
        <v>49.3</v>
      </c>
      <c r="H16364" s="691">
        <v>49.1</v>
      </c>
      <c r="I16364" s="691">
        <v>49.1</v>
      </c>
      <c r="J16364" s="691">
        <v>48.3</v>
      </c>
      <c r="K16364" s="691">
        <v>48.6</v>
      </c>
    </row>
    <row r="16365" spans="1:11">
      <c r="A16365" s="688" t="s">
        <v>12</v>
      </c>
      <c r="B16365" s="693">
        <v>44</v>
      </c>
      <c r="C16365" s="689">
        <v>44.4</v>
      </c>
      <c r="D16365" s="689">
        <v>44.3</v>
      </c>
      <c r="E16365" s="689">
        <v>44.5</v>
      </c>
      <c r="F16365" s="689">
        <v>44.5</v>
      </c>
      <c r="G16365" s="689">
        <v>44.5</v>
      </c>
      <c r="H16365" s="693">
        <v>45</v>
      </c>
      <c r="I16365" s="689">
        <v>44.8</v>
      </c>
      <c r="J16365" s="689">
        <v>42.8</v>
      </c>
      <c r="K16365" s="689">
        <v>44.3</v>
      </c>
    </row>
    <row r="16366" spans="1:11">
      <c r="A16366" s="688" t="s">
        <v>14</v>
      </c>
      <c r="B16366" s="691">
        <v>44.6</v>
      </c>
      <c r="C16366" s="691">
        <v>44.9</v>
      </c>
      <c r="D16366" s="691">
        <v>44.6</v>
      </c>
      <c r="E16366" s="691">
        <v>44.9</v>
      </c>
      <c r="F16366" s="691">
        <v>45.1</v>
      </c>
      <c r="G16366" s="691">
        <v>45.4</v>
      </c>
      <c r="H16366" s="691">
        <v>45.8</v>
      </c>
      <c r="I16366" s="691">
        <v>44.8</v>
      </c>
      <c r="J16366" s="691">
        <v>43.6</v>
      </c>
      <c r="K16366" s="691">
        <v>44.9</v>
      </c>
    </row>
    <row r="16367" spans="1:11">
      <c r="A16367" s="688" t="s">
        <v>15</v>
      </c>
      <c r="B16367" s="689">
        <v>48.7</v>
      </c>
      <c r="C16367" s="689">
        <v>49.2</v>
      </c>
      <c r="D16367" s="689">
        <v>48.5</v>
      </c>
      <c r="E16367" s="689">
        <v>49.3</v>
      </c>
      <c r="F16367" s="689">
        <v>48.4</v>
      </c>
      <c r="G16367" s="693">
        <v>49</v>
      </c>
      <c r="H16367" s="689">
        <v>49.2</v>
      </c>
      <c r="I16367" s="689">
        <v>49.1</v>
      </c>
      <c r="J16367" s="689">
        <v>49.3</v>
      </c>
      <c r="K16367" s="689">
        <v>49.5</v>
      </c>
    </row>
    <row r="16368" spans="1:11">
      <c r="A16368" s="688" t="s">
        <v>29</v>
      </c>
      <c r="B16368" s="691">
        <v>43.9</v>
      </c>
      <c r="C16368" s="691">
        <v>43.9</v>
      </c>
      <c r="D16368" s="691">
        <v>43.5</v>
      </c>
      <c r="E16368" s="691">
        <v>44.2</v>
      </c>
      <c r="F16368" s="691">
        <v>43.8</v>
      </c>
      <c r="G16368" s="691">
        <v>44.1</v>
      </c>
      <c r="H16368" s="691">
        <v>44.2</v>
      </c>
      <c r="I16368" s="691">
        <v>43.5</v>
      </c>
      <c r="J16368" s="691">
        <v>42.3</v>
      </c>
      <c r="K16368" s="691">
        <v>43.9</v>
      </c>
    </row>
    <row r="16369" spans="1:11">
      <c r="A16369" s="688" t="s">
        <v>16</v>
      </c>
      <c r="B16369" s="689">
        <v>48.8</v>
      </c>
      <c r="C16369" s="689">
        <v>48.6</v>
      </c>
      <c r="D16369" s="689">
        <v>48.6</v>
      </c>
      <c r="E16369" s="689">
        <v>48.7</v>
      </c>
      <c r="F16369" s="689">
        <v>48.8</v>
      </c>
      <c r="G16369" s="689">
        <v>48.8</v>
      </c>
      <c r="H16369" s="689">
        <v>49.2</v>
      </c>
      <c r="I16369" s="689">
        <v>48.8</v>
      </c>
      <c r="J16369" s="689">
        <v>48.5</v>
      </c>
      <c r="K16369" s="689">
        <v>48.8</v>
      </c>
    </row>
    <row r="16370" spans="1:11">
      <c r="A16370" s="688" t="s">
        <v>17</v>
      </c>
      <c r="B16370" s="691">
        <v>47.9</v>
      </c>
      <c r="C16370" s="615">
        <v>48</v>
      </c>
      <c r="D16370" s="691">
        <v>47.7</v>
      </c>
      <c r="E16370" s="691">
        <v>47.8</v>
      </c>
      <c r="F16370" s="691">
        <v>47.9</v>
      </c>
      <c r="G16370" s="691">
        <v>47.9</v>
      </c>
      <c r="H16370" s="691">
        <v>48.2</v>
      </c>
      <c r="I16370" s="691">
        <v>47.7</v>
      </c>
      <c r="J16370" s="691">
        <v>47.6</v>
      </c>
      <c r="K16370" s="691">
        <v>47.7</v>
      </c>
    </row>
    <row r="16371" spans="1:11">
      <c r="A16371" s="688" t="s">
        <v>19</v>
      </c>
      <c r="B16371" s="689">
        <v>48.4</v>
      </c>
      <c r="C16371" s="689">
        <v>48.4</v>
      </c>
      <c r="D16371" s="689">
        <v>48.2</v>
      </c>
      <c r="E16371" s="689">
        <v>48.6</v>
      </c>
      <c r="F16371" s="689">
        <v>48.5</v>
      </c>
      <c r="G16371" s="689">
        <v>48.6</v>
      </c>
      <c r="H16371" s="689">
        <v>48.8</v>
      </c>
      <c r="I16371" s="689">
        <v>48.3</v>
      </c>
      <c r="J16371" s="689">
        <v>48.3</v>
      </c>
      <c r="K16371" s="689">
        <v>48.4</v>
      </c>
    </row>
    <row r="16372" spans="1:11">
      <c r="A16372" s="688" t="s">
        <v>20</v>
      </c>
      <c r="B16372" s="615">
        <v>46</v>
      </c>
      <c r="C16372" s="691">
        <v>46.2</v>
      </c>
      <c r="D16372" s="615">
        <v>46</v>
      </c>
      <c r="E16372" s="691">
        <v>46.4</v>
      </c>
      <c r="F16372" s="691">
        <v>46.3</v>
      </c>
      <c r="G16372" s="691">
        <v>46.2</v>
      </c>
      <c r="H16372" s="691">
        <v>46.5</v>
      </c>
      <c r="I16372" s="691">
        <v>45.3</v>
      </c>
      <c r="J16372" s="691">
        <v>44.3</v>
      </c>
      <c r="K16372" s="691">
        <v>45.8</v>
      </c>
    </row>
    <row r="16373" spans="1:11">
      <c r="A16373" s="688" t="s">
        <v>21</v>
      </c>
      <c r="B16373" s="689">
        <v>48.6</v>
      </c>
      <c r="C16373" s="689">
        <v>48.9</v>
      </c>
      <c r="D16373" s="689">
        <v>48.8</v>
      </c>
      <c r="E16373" s="689">
        <v>48.9</v>
      </c>
      <c r="F16373" s="689">
        <v>49.1</v>
      </c>
      <c r="G16373" s="689">
        <v>49.2</v>
      </c>
      <c r="H16373" s="689">
        <v>49.4</v>
      </c>
      <c r="I16373" s="689">
        <v>48.8</v>
      </c>
      <c r="J16373" s="689">
        <v>48.9</v>
      </c>
      <c r="K16373" s="689">
        <v>49.1</v>
      </c>
    </row>
    <row r="16374" spans="1:11">
      <c r="A16374" s="688" t="s">
        <v>22</v>
      </c>
      <c r="B16374" s="615">
        <v>44</v>
      </c>
      <c r="C16374" s="691">
        <v>43.8</v>
      </c>
      <c r="D16374" s="691">
        <v>43.7</v>
      </c>
      <c r="E16374" s="615">
        <v>44</v>
      </c>
      <c r="F16374" s="615">
        <v>44</v>
      </c>
      <c r="G16374" s="691">
        <v>44.2</v>
      </c>
      <c r="H16374" s="691">
        <v>44.5</v>
      </c>
      <c r="I16374" s="691">
        <v>43.2</v>
      </c>
      <c r="J16374" s="691">
        <v>41.7</v>
      </c>
      <c r="K16374" s="691">
        <v>44.1</v>
      </c>
    </row>
    <row r="16375" spans="1:11">
      <c r="A16375" s="688" t="s">
        <v>26</v>
      </c>
      <c r="B16375" s="689">
        <v>48.2</v>
      </c>
      <c r="C16375" s="689">
        <v>48.2</v>
      </c>
      <c r="D16375" s="693">
        <v>48</v>
      </c>
      <c r="E16375" s="689">
        <v>48.5</v>
      </c>
      <c r="F16375" s="689">
        <v>48.2</v>
      </c>
      <c r="G16375" s="689">
        <v>48.5</v>
      </c>
      <c r="H16375" s="689">
        <v>48.7</v>
      </c>
      <c r="I16375" s="689">
        <v>47.8</v>
      </c>
      <c r="J16375" s="689">
        <v>48.1</v>
      </c>
      <c r="K16375" s="689">
        <v>48.5</v>
      </c>
    </row>
    <row r="16376" spans="1:11">
      <c r="A16376" s="688" t="s">
        <v>25</v>
      </c>
      <c r="B16376" s="691">
        <v>45.1</v>
      </c>
      <c r="C16376" s="691">
        <v>45.3</v>
      </c>
      <c r="D16376" s="615">
        <v>45</v>
      </c>
      <c r="E16376" s="691">
        <v>45.5</v>
      </c>
      <c r="F16376" s="691">
        <v>45.4</v>
      </c>
      <c r="G16376" s="691">
        <v>45.5</v>
      </c>
      <c r="H16376" s="615">
        <v>46</v>
      </c>
      <c r="I16376" s="691">
        <v>45.2</v>
      </c>
      <c r="J16376" s="691">
        <v>43.1</v>
      </c>
      <c r="K16376" s="691">
        <v>45.3</v>
      </c>
    </row>
    <row r="16377" spans="1:11">
      <c r="A16377" s="688" t="s">
        <v>5</v>
      </c>
      <c r="B16377" s="689">
        <v>48.7</v>
      </c>
      <c r="C16377" s="689">
        <v>48.5</v>
      </c>
      <c r="D16377" s="689">
        <v>48.7</v>
      </c>
      <c r="E16377" s="689">
        <v>48.7</v>
      </c>
      <c r="F16377" s="689">
        <v>48.9</v>
      </c>
      <c r="G16377" s="689">
        <v>48.9</v>
      </c>
      <c r="H16377" s="689">
        <v>49.2</v>
      </c>
      <c r="I16377" s="689">
        <v>49.2</v>
      </c>
      <c r="J16377" s="689">
        <v>49.1</v>
      </c>
      <c r="K16377" s="689">
        <v>48.4</v>
      </c>
    </row>
    <row r="16378" spans="1:11">
      <c r="A16378" s="688" t="s">
        <v>23</v>
      </c>
      <c r="B16378" s="691">
        <v>48.4</v>
      </c>
      <c r="C16378" s="691">
        <v>48.6</v>
      </c>
      <c r="D16378" s="691">
        <v>48.6</v>
      </c>
      <c r="E16378" s="691">
        <v>48.7</v>
      </c>
      <c r="F16378" s="691">
        <v>48.7</v>
      </c>
      <c r="G16378" s="691">
        <v>48.9</v>
      </c>
      <c r="H16378" s="691">
        <v>49.3</v>
      </c>
      <c r="I16378" s="691">
        <v>48.8</v>
      </c>
      <c r="J16378" s="691">
        <v>49.4</v>
      </c>
      <c r="K16378" s="691">
        <v>49.3</v>
      </c>
    </row>
    <row r="16379" spans="1:11">
      <c r="A16379" s="688" t="s">
        <v>4067</v>
      </c>
      <c r="B16379" s="693">
        <v>48</v>
      </c>
      <c r="C16379" s="689">
        <v>48.3</v>
      </c>
      <c r="D16379" s="689">
        <v>47.9</v>
      </c>
      <c r="E16379" s="689">
        <v>48.3</v>
      </c>
      <c r="F16379" s="689">
        <v>48.2</v>
      </c>
      <c r="G16379" s="689">
        <v>48.3</v>
      </c>
      <c r="H16379" s="690" t="s">
        <v>4060</v>
      </c>
      <c r="I16379" s="690" t="s">
        <v>4060</v>
      </c>
      <c r="J16379" s="690" t="s">
        <v>4060</v>
      </c>
      <c r="K16379" s="690" t="s">
        <v>4060</v>
      </c>
    </row>
    <row r="16380" spans="1:11">
      <c r="A16380" s="688" t="s">
        <v>4066</v>
      </c>
      <c r="B16380" s="615">
        <v>48</v>
      </c>
      <c r="C16380" s="691">
        <v>48.4</v>
      </c>
      <c r="D16380" s="615">
        <v>48</v>
      </c>
      <c r="E16380" s="691">
        <v>48.4</v>
      </c>
      <c r="F16380" s="691">
        <v>48.3</v>
      </c>
      <c r="G16380" s="691">
        <v>48.3</v>
      </c>
      <c r="H16380" s="692" t="s">
        <v>4060</v>
      </c>
      <c r="I16380" s="692" t="s">
        <v>4060</v>
      </c>
      <c r="J16380" s="692" t="s">
        <v>4060</v>
      </c>
      <c r="K16380" s="692" t="s">
        <v>4060</v>
      </c>
    </row>
    <row r="16381" spans="1:11">
      <c r="A16381" s="688" t="s">
        <v>4062</v>
      </c>
      <c r="B16381" s="689">
        <v>49.1</v>
      </c>
      <c r="C16381" s="689">
        <v>49.3</v>
      </c>
      <c r="D16381" s="689">
        <v>49.2</v>
      </c>
      <c r="E16381" s="689">
        <v>49.5</v>
      </c>
      <c r="F16381" s="689">
        <v>49.5</v>
      </c>
      <c r="G16381" s="689">
        <v>49.6</v>
      </c>
      <c r="H16381" s="689">
        <v>49.8</v>
      </c>
      <c r="I16381" s="689">
        <v>49.5</v>
      </c>
      <c r="J16381" s="689">
        <v>49.8</v>
      </c>
      <c r="K16381" s="689">
        <v>49.5</v>
      </c>
    </row>
    <row r="16382" spans="1:11">
      <c r="A16382" s="688" t="s">
        <v>9</v>
      </c>
      <c r="B16382" s="691">
        <v>48.3</v>
      </c>
      <c r="C16382" s="691">
        <v>48.8</v>
      </c>
      <c r="D16382" s="691">
        <v>48.1</v>
      </c>
      <c r="E16382" s="691">
        <v>48.3</v>
      </c>
      <c r="F16382" s="691">
        <v>48.8</v>
      </c>
      <c r="G16382" s="691">
        <v>48.7</v>
      </c>
      <c r="H16382" s="691">
        <v>48.9</v>
      </c>
      <c r="I16382" s="691">
        <v>48.9</v>
      </c>
      <c r="J16382" s="691">
        <v>49.1</v>
      </c>
      <c r="K16382" s="691">
        <v>48.1</v>
      </c>
    </row>
    <row r="16383" spans="1:11">
      <c r="A16383" s="688" t="s">
        <v>13</v>
      </c>
      <c r="B16383" s="689">
        <v>49.4</v>
      </c>
      <c r="C16383" s="689">
        <v>48.1</v>
      </c>
      <c r="D16383" s="689">
        <v>48.9</v>
      </c>
      <c r="E16383" s="693">
        <v>49</v>
      </c>
      <c r="F16383" s="693">
        <v>50</v>
      </c>
      <c r="G16383" s="689">
        <v>49.9</v>
      </c>
      <c r="H16383" s="689">
        <v>49.8</v>
      </c>
      <c r="I16383" s="689">
        <v>49.1</v>
      </c>
      <c r="J16383" s="689">
        <v>50.1</v>
      </c>
      <c r="K16383" s="689">
        <v>49.8</v>
      </c>
    </row>
    <row r="16384" spans="1:11">
      <c r="A16384" s="688" t="s">
        <v>18</v>
      </c>
      <c r="B16384" s="691">
        <v>48.4</v>
      </c>
      <c r="C16384" s="691">
        <v>48.6</v>
      </c>
      <c r="D16384" s="691">
        <v>48.7</v>
      </c>
      <c r="E16384" s="691">
        <v>48.7</v>
      </c>
      <c r="F16384" s="691">
        <v>48.8</v>
      </c>
      <c r="G16384" s="615">
        <v>49</v>
      </c>
      <c r="H16384" s="691">
        <v>49.2</v>
      </c>
      <c r="I16384" s="691">
        <v>49.4</v>
      </c>
      <c r="J16384" s="691">
        <v>49.2</v>
      </c>
      <c r="K16384" s="691">
        <v>48.8</v>
      </c>
    </row>
    <row r="16385" spans="1:11">
      <c r="A16385" s="688" t="s">
        <v>24</v>
      </c>
      <c r="B16385" s="689">
        <v>49.6</v>
      </c>
      <c r="C16385" s="689">
        <v>49.7</v>
      </c>
      <c r="D16385" s="689">
        <v>49.5</v>
      </c>
      <c r="E16385" s="689">
        <v>49.9</v>
      </c>
      <c r="F16385" s="693">
        <v>50</v>
      </c>
      <c r="G16385" s="693">
        <v>50</v>
      </c>
      <c r="H16385" s="689">
        <v>50.2</v>
      </c>
      <c r="I16385" s="689">
        <v>49.7</v>
      </c>
      <c r="J16385" s="689">
        <v>50.2</v>
      </c>
      <c r="K16385" s="693">
        <v>50</v>
      </c>
    </row>
    <row r="16386" spans="1:11">
      <c r="A16386" s="688" t="s">
        <v>4059</v>
      </c>
      <c r="B16386" s="691">
        <v>47.6</v>
      </c>
      <c r="C16386" s="691">
        <v>47.9</v>
      </c>
      <c r="D16386" s="691">
        <v>47.5</v>
      </c>
      <c r="E16386" s="691">
        <v>47.8</v>
      </c>
      <c r="F16386" s="691">
        <v>47.8</v>
      </c>
      <c r="G16386" s="691">
        <v>47.8</v>
      </c>
      <c r="H16386" s="692" t="s">
        <v>4060</v>
      </c>
      <c r="I16386" s="692" t="s">
        <v>4060</v>
      </c>
      <c r="J16386" s="692" t="s">
        <v>4060</v>
      </c>
      <c r="K16386" s="692" t="s">
        <v>4060</v>
      </c>
    </row>
    <row r="16387" spans="1:11">
      <c r="A16387" s="688" t="s">
        <v>2324</v>
      </c>
      <c r="B16387" s="689">
        <v>43.7</v>
      </c>
      <c r="C16387" s="689">
        <v>43.8</v>
      </c>
      <c r="D16387" s="689">
        <v>43.3</v>
      </c>
      <c r="E16387" s="689">
        <v>43.7</v>
      </c>
      <c r="F16387" s="689">
        <v>43.9</v>
      </c>
      <c r="G16387" s="689">
        <v>43.9</v>
      </c>
      <c r="H16387" s="689">
        <v>44.1</v>
      </c>
      <c r="I16387" s="689">
        <v>43.4</v>
      </c>
      <c r="J16387" s="689">
        <v>41.6</v>
      </c>
      <c r="K16387" s="690" t="s">
        <v>4060</v>
      </c>
    </row>
    <row r="16388" spans="1:11">
      <c r="A16388" s="688" t="s">
        <v>2322</v>
      </c>
      <c r="B16388" s="692" t="s">
        <v>4060</v>
      </c>
      <c r="C16388" s="692" t="s">
        <v>4060</v>
      </c>
      <c r="D16388" s="692" t="s">
        <v>4060</v>
      </c>
      <c r="E16388" s="692" t="s">
        <v>4060</v>
      </c>
      <c r="F16388" s="692" t="s">
        <v>4060</v>
      </c>
      <c r="G16388" s="692" t="s">
        <v>4060</v>
      </c>
      <c r="H16388" s="692" t="s">
        <v>4060</v>
      </c>
      <c r="I16388" s="692" t="s">
        <v>4060</v>
      </c>
      <c r="J16388" s="692" t="s">
        <v>4060</v>
      </c>
      <c r="K16388" s="692" t="s">
        <v>4060</v>
      </c>
    </row>
    <row r="16389" spans="1:11">
      <c r="A16389" s="688" t="s">
        <v>2328</v>
      </c>
      <c r="B16389" s="689">
        <v>42.9</v>
      </c>
      <c r="C16389" s="689">
        <v>42.6</v>
      </c>
      <c r="D16389" s="689">
        <v>42.6</v>
      </c>
      <c r="E16389" s="689">
        <v>42.9</v>
      </c>
      <c r="F16389" s="689">
        <v>43.1</v>
      </c>
      <c r="G16389" s="689">
        <v>43.5</v>
      </c>
      <c r="H16389" s="689">
        <v>43.4</v>
      </c>
      <c r="I16389" s="689">
        <v>41.7</v>
      </c>
      <c r="J16389" s="689">
        <v>40.4</v>
      </c>
      <c r="K16389" s="690" t="s">
        <v>4060</v>
      </c>
    </row>
    <row r="16390" spans="1:11">
      <c r="A16390" s="688" t="s">
        <v>2496</v>
      </c>
      <c r="B16390" s="692" t="s">
        <v>4060</v>
      </c>
      <c r="C16390" s="691">
        <v>43.7</v>
      </c>
      <c r="D16390" s="691">
        <v>42.8</v>
      </c>
      <c r="E16390" s="691">
        <v>42.6</v>
      </c>
      <c r="F16390" s="691">
        <v>43.2</v>
      </c>
      <c r="G16390" s="691">
        <v>43.5</v>
      </c>
      <c r="H16390" s="691">
        <v>43.5</v>
      </c>
      <c r="I16390" s="692" t="s">
        <v>4060</v>
      </c>
      <c r="J16390" s="692" t="s">
        <v>4060</v>
      </c>
      <c r="K16390" s="691">
        <v>43.3</v>
      </c>
    </row>
    <row r="16391" spans="1:11">
      <c r="A16391" s="688" t="s">
        <v>2269</v>
      </c>
      <c r="B16391" s="689">
        <v>45.5</v>
      </c>
      <c r="C16391" s="689">
        <v>45.6</v>
      </c>
      <c r="D16391" s="693">
        <v>45</v>
      </c>
      <c r="E16391" s="689">
        <v>45.5</v>
      </c>
      <c r="F16391" s="689">
        <v>45.3</v>
      </c>
      <c r="G16391" s="689">
        <v>45.7</v>
      </c>
      <c r="H16391" s="693">
        <v>46</v>
      </c>
      <c r="I16391" s="689">
        <v>44.8</v>
      </c>
      <c r="J16391" s="689">
        <v>42.7</v>
      </c>
      <c r="K16391" s="689">
        <v>45.7</v>
      </c>
    </row>
    <row r="16392" spans="1:11">
      <c r="A16392" s="688" t="s">
        <v>2349</v>
      </c>
      <c r="B16392" s="691">
        <v>42.9</v>
      </c>
      <c r="C16392" s="691">
        <v>42.8</v>
      </c>
      <c r="D16392" s="691">
        <v>42.8</v>
      </c>
      <c r="E16392" s="691">
        <v>43.1</v>
      </c>
      <c r="F16392" s="691">
        <v>42.9</v>
      </c>
      <c r="G16392" s="691">
        <v>43.2</v>
      </c>
      <c r="H16392" s="691">
        <v>43.4</v>
      </c>
      <c r="I16392" s="691">
        <v>42.3</v>
      </c>
      <c r="J16392" s="691">
        <v>40.6</v>
      </c>
      <c r="K16392" s="691">
        <v>42.6</v>
      </c>
    </row>
    <row r="16393" spans="1:11">
      <c r="A16393" s="688" t="s">
        <v>2355</v>
      </c>
      <c r="B16393" s="689">
        <v>46.7</v>
      </c>
      <c r="C16393" s="689">
        <v>46.5</v>
      </c>
      <c r="D16393" s="689">
        <v>46.5</v>
      </c>
      <c r="E16393" s="689">
        <v>46.4</v>
      </c>
      <c r="F16393" s="689">
        <v>46.6</v>
      </c>
      <c r="G16393" s="693">
        <v>47</v>
      </c>
      <c r="H16393" s="689">
        <v>47.1</v>
      </c>
      <c r="I16393" s="690" t="s">
        <v>4060</v>
      </c>
      <c r="J16393" s="690" t="s">
        <v>4060</v>
      </c>
      <c r="K16393" s="690" t="s">
        <v>4060</v>
      </c>
    </row>
    <row r="16394" spans="1:11">
      <c r="A16394" s="688" t="s">
        <v>2357</v>
      </c>
      <c r="B16394" s="692" t="s">
        <v>4060</v>
      </c>
      <c r="C16394" s="691">
        <v>42.3</v>
      </c>
      <c r="D16394" s="691">
        <v>42.7</v>
      </c>
      <c r="E16394" s="615">
        <v>43</v>
      </c>
      <c r="F16394" s="691">
        <v>43.3</v>
      </c>
      <c r="G16394" s="691">
        <v>43.3</v>
      </c>
      <c r="H16394" s="691">
        <v>43.5</v>
      </c>
      <c r="I16394" s="692" t="s">
        <v>4060</v>
      </c>
      <c r="J16394" s="692" t="s">
        <v>4060</v>
      </c>
      <c r="K16394" s="692" t="s">
        <v>4060</v>
      </c>
    </row>
    <row r="16395" spans="1:11">
      <c r="A16395" s="688" t="s">
        <v>4070</v>
      </c>
      <c r="B16395" s="690" t="s">
        <v>4060</v>
      </c>
      <c r="C16395" s="690" t="s">
        <v>4060</v>
      </c>
      <c r="D16395" s="690" t="s">
        <v>4060</v>
      </c>
      <c r="E16395" s="689">
        <v>46.5</v>
      </c>
      <c r="F16395" s="690" t="s">
        <v>4060</v>
      </c>
      <c r="G16395" s="690" t="s">
        <v>4060</v>
      </c>
      <c r="H16395" s="690" t="s">
        <v>4060</v>
      </c>
      <c r="I16395" s="690" t="s">
        <v>4060</v>
      </c>
      <c r="J16395" s="690" t="s">
        <v>4060</v>
      </c>
      <c r="K16395" s="690" t="s">
        <v>4060</v>
      </c>
    </row>
    <row r="16396" spans="1:11">
      <c r="A16396" s="688" t="s">
        <v>2491</v>
      </c>
      <c r="B16396" s="691">
        <v>43.1</v>
      </c>
      <c r="C16396" s="691">
        <v>43.6</v>
      </c>
      <c r="D16396" s="691">
        <v>43.9</v>
      </c>
      <c r="E16396" s="615">
        <v>44</v>
      </c>
      <c r="F16396" s="691">
        <v>44.2</v>
      </c>
      <c r="G16396" s="691">
        <v>44.2</v>
      </c>
      <c r="H16396" s="692" t="s">
        <v>4060</v>
      </c>
      <c r="I16396" s="692" t="s">
        <v>4060</v>
      </c>
      <c r="J16396" s="692" t="s">
        <v>4060</v>
      </c>
      <c r="K16396" s="692" t="s">
        <v>4060</v>
      </c>
    </row>
    <row r="16397" spans="1:11">
      <c r="A16397" s="688" t="s">
        <v>2343</v>
      </c>
      <c r="B16397" s="690" t="s">
        <v>4060</v>
      </c>
      <c r="C16397" s="690" t="s">
        <v>4060</v>
      </c>
      <c r="D16397" s="690" t="s">
        <v>4060</v>
      </c>
      <c r="E16397" s="690" t="s">
        <v>4060</v>
      </c>
      <c r="F16397" s="690" t="s">
        <v>4060</v>
      </c>
      <c r="G16397" s="690" t="s">
        <v>4060</v>
      </c>
      <c r="H16397" s="690" t="s">
        <v>4060</v>
      </c>
      <c r="I16397" s="690" t="s">
        <v>4060</v>
      </c>
      <c r="J16397" s="690" t="s">
        <v>4060</v>
      </c>
      <c r="K16397" s="690" t="s">
        <v>4060</v>
      </c>
    </row>
    <row r="16398" spans="1:11">
      <c r="A16398" s="688" t="s">
        <v>4071</v>
      </c>
      <c r="B16398" s="692" t="s">
        <v>4060</v>
      </c>
      <c r="C16398" s="692" t="s">
        <v>4060</v>
      </c>
      <c r="D16398" s="692" t="s">
        <v>4060</v>
      </c>
      <c r="E16398" s="692" t="s">
        <v>4060</v>
      </c>
      <c r="F16398" s="692" t="s">
        <v>4060</v>
      </c>
      <c r="G16398" s="692" t="s">
        <v>4060</v>
      </c>
      <c r="H16398" s="692" t="s">
        <v>4060</v>
      </c>
      <c r="I16398" s="692" t="s">
        <v>4060</v>
      </c>
      <c r="J16398" s="692" t="s">
        <v>4060</v>
      </c>
      <c r="K16398" s="692" t="s">
        <v>4060</v>
      </c>
    </row>
    <row r="16399" spans="1:11">
      <c r="A16399" s="688" t="s">
        <v>2489</v>
      </c>
      <c r="B16399" s="690" t="s">
        <v>4060</v>
      </c>
      <c r="C16399" s="690" t="s">
        <v>4060</v>
      </c>
      <c r="D16399" s="689">
        <v>43.4</v>
      </c>
      <c r="E16399" s="689">
        <v>43.5</v>
      </c>
      <c r="F16399" s="693">
        <v>44</v>
      </c>
      <c r="G16399" s="689">
        <v>44.7</v>
      </c>
      <c r="H16399" s="689">
        <v>44.7</v>
      </c>
      <c r="I16399" s="690" t="s">
        <v>4060</v>
      </c>
      <c r="J16399" s="690" t="s">
        <v>4060</v>
      </c>
      <c r="K16399" s="690" t="s">
        <v>4060</v>
      </c>
    </row>
    <row r="16400" spans="1:11">
      <c r="A16400" s="688" t="s">
        <v>2490</v>
      </c>
      <c r="B16400" s="691">
        <v>42.8</v>
      </c>
      <c r="C16400" s="691">
        <v>42.8</v>
      </c>
      <c r="D16400" s="691">
        <v>43.3</v>
      </c>
      <c r="E16400" s="692" t="s">
        <v>4060</v>
      </c>
      <c r="F16400" s="691">
        <v>43.5</v>
      </c>
      <c r="G16400" s="691">
        <v>43.9</v>
      </c>
      <c r="H16400" s="691">
        <v>44.5</v>
      </c>
      <c r="I16400" s="692" t="s">
        <v>4060</v>
      </c>
      <c r="J16400" s="692" t="s">
        <v>4060</v>
      </c>
      <c r="K16400" s="692" t="s">
        <v>4060</v>
      </c>
    </row>
    <row r="16402" spans="1:11">
      <c r="A16402" s="683" t="s">
        <v>4233</v>
      </c>
    </row>
    <row r="16403" spans="1:11">
      <c r="A16403" s="683" t="s">
        <v>4060</v>
      </c>
      <c r="B16403" s="682" t="s">
        <v>4234</v>
      </c>
    </row>
    <row r="16405" spans="1:11">
      <c r="A16405" s="682" t="s">
        <v>4332</v>
      </c>
    </row>
    <row r="16406" spans="1:11">
      <c r="A16406" s="682" t="s">
        <v>4210</v>
      </c>
      <c r="B16406" s="683" t="s">
        <v>4211</v>
      </c>
    </row>
    <row r="16407" spans="1:11">
      <c r="A16407" s="682" t="s">
        <v>4212</v>
      </c>
      <c r="B16407" s="682" t="s">
        <v>4213</v>
      </c>
    </row>
    <row r="16409" spans="1:11">
      <c r="A16409" s="683" t="s">
        <v>4214</v>
      </c>
      <c r="C16409" s="682" t="s">
        <v>4215</v>
      </c>
    </row>
    <row r="16410" spans="1:11">
      <c r="A16410" s="683" t="s">
        <v>4216</v>
      </c>
      <c r="C16410" s="682" t="s">
        <v>2967</v>
      </c>
    </row>
    <row r="16411" spans="1:11">
      <c r="A16411" s="683" t="s">
        <v>3893</v>
      </c>
      <c r="C16411" s="682" t="s">
        <v>2169</v>
      </c>
    </row>
    <row r="16412" spans="1:11">
      <c r="A16412" s="683" t="s">
        <v>4218</v>
      </c>
      <c r="C16412" s="682" t="s">
        <v>4272</v>
      </c>
    </row>
    <row r="16414" spans="1:11">
      <c r="A16414" s="684" t="s">
        <v>4220</v>
      </c>
      <c r="B16414" s="685" t="s">
        <v>4221</v>
      </c>
      <c r="C16414" s="685" t="s">
        <v>4222</v>
      </c>
      <c r="D16414" s="685" t="s">
        <v>4223</v>
      </c>
      <c r="E16414" s="685" t="s">
        <v>4224</v>
      </c>
      <c r="F16414" s="685" t="s">
        <v>4225</v>
      </c>
      <c r="G16414" s="685" t="s">
        <v>4226</v>
      </c>
      <c r="H16414" s="685" t="s">
        <v>4227</v>
      </c>
      <c r="I16414" s="685" t="s">
        <v>4228</v>
      </c>
      <c r="J16414" s="685" t="s">
        <v>4229</v>
      </c>
      <c r="K16414" s="685" t="s">
        <v>4230</v>
      </c>
    </row>
    <row r="16415" spans="1:11">
      <c r="A16415" s="686" t="s">
        <v>4231</v>
      </c>
      <c r="B16415" s="687" t="s">
        <v>4232</v>
      </c>
      <c r="C16415" s="687" t="s">
        <v>4232</v>
      </c>
      <c r="D16415" s="687" t="s">
        <v>4232</v>
      </c>
      <c r="E16415" s="687" t="s">
        <v>4232</v>
      </c>
      <c r="F16415" s="687" t="s">
        <v>4232</v>
      </c>
      <c r="G16415" s="687" t="s">
        <v>4232</v>
      </c>
      <c r="H16415" s="687" t="s">
        <v>4232</v>
      </c>
      <c r="I16415" s="687" t="s">
        <v>4232</v>
      </c>
      <c r="J16415" s="687" t="s">
        <v>4232</v>
      </c>
      <c r="K16415" s="687" t="s">
        <v>4232</v>
      </c>
    </row>
    <row r="16416" spans="1:11">
      <c r="A16416" s="688" t="s">
        <v>4064</v>
      </c>
      <c r="B16416" s="691">
        <v>47.1</v>
      </c>
      <c r="C16416" s="691">
        <v>47.1</v>
      </c>
      <c r="D16416" s="615">
        <v>47</v>
      </c>
      <c r="E16416" s="691">
        <v>47.2</v>
      </c>
      <c r="F16416" s="691">
        <v>47.1</v>
      </c>
      <c r="G16416" s="691">
        <v>47.2</v>
      </c>
      <c r="H16416" s="691">
        <v>47.4</v>
      </c>
      <c r="I16416" s="691">
        <v>46.8</v>
      </c>
      <c r="J16416" s="691">
        <v>46.5</v>
      </c>
      <c r="K16416" s="691">
        <v>46.9</v>
      </c>
    </row>
    <row r="16417" spans="1:11">
      <c r="A16417" s="688" t="s">
        <v>4065</v>
      </c>
      <c r="B16417" s="693">
        <v>47</v>
      </c>
      <c r="C16417" s="689">
        <v>47.4</v>
      </c>
      <c r="D16417" s="693">
        <v>47</v>
      </c>
      <c r="E16417" s="689">
        <v>47.4</v>
      </c>
      <c r="F16417" s="689">
        <v>47.2</v>
      </c>
      <c r="G16417" s="689">
        <v>47.3</v>
      </c>
      <c r="H16417" s="690" t="s">
        <v>4060</v>
      </c>
      <c r="I16417" s="690" t="s">
        <v>4060</v>
      </c>
      <c r="J16417" s="690" t="s">
        <v>4060</v>
      </c>
      <c r="K16417" s="690" t="s">
        <v>4060</v>
      </c>
    </row>
    <row r="16418" spans="1:11">
      <c r="A16418" s="688" t="s">
        <v>4063</v>
      </c>
      <c r="B16418" s="615">
        <v>47</v>
      </c>
      <c r="C16418" s="691">
        <v>47.4</v>
      </c>
      <c r="D16418" s="615">
        <v>47</v>
      </c>
      <c r="E16418" s="691">
        <v>47.4</v>
      </c>
      <c r="F16418" s="691">
        <v>47.3</v>
      </c>
      <c r="G16418" s="691">
        <v>47.4</v>
      </c>
      <c r="H16418" s="692" t="s">
        <v>4060</v>
      </c>
      <c r="I16418" s="692" t="s">
        <v>4060</v>
      </c>
      <c r="J16418" s="692" t="s">
        <v>4060</v>
      </c>
      <c r="K16418" s="692" t="s">
        <v>4060</v>
      </c>
    </row>
    <row r="16419" spans="1:11">
      <c r="A16419" s="688" t="s">
        <v>4069</v>
      </c>
      <c r="B16419" s="690" t="s">
        <v>4060</v>
      </c>
      <c r="C16419" s="689">
        <v>47.9</v>
      </c>
      <c r="D16419" s="689">
        <v>47.6</v>
      </c>
      <c r="E16419" s="689">
        <v>47.9</v>
      </c>
      <c r="F16419" s="689">
        <v>47.9</v>
      </c>
      <c r="G16419" s="693">
        <v>48</v>
      </c>
      <c r="H16419" s="689">
        <v>48.2</v>
      </c>
      <c r="I16419" s="689">
        <v>47.6</v>
      </c>
      <c r="J16419" s="689">
        <v>47.6</v>
      </c>
      <c r="K16419" s="689">
        <v>47.7</v>
      </c>
    </row>
    <row r="16420" spans="1:11">
      <c r="A16420" s="688" t="s">
        <v>4068</v>
      </c>
      <c r="B16420" s="691">
        <v>47.9</v>
      </c>
      <c r="C16420" s="692" t="s">
        <v>4060</v>
      </c>
      <c r="D16420" s="692" t="s">
        <v>4060</v>
      </c>
      <c r="E16420" s="692" t="s">
        <v>4060</v>
      </c>
      <c r="F16420" s="692" t="s">
        <v>4060</v>
      </c>
      <c r="G16420" s="692" t="s">
        <v>4060</v>
      </c>
      <c r="H16420" s="692" t="s">
        <v>4060</v>
      </c>
      <c r="I16420" s="692" t="s">
        <v>4060</v>
      </c>
      <c r="J16420" s="692" t="s">
        <v>4060</v>
      </c>
      <c r="K16420" s="692" t="s">
        <v>4060</v>
      </c>
    </row>
    <row r="16421" spans="1:11">
      <c r="A16421" s="688" t="s">
        <v>0</v>
      </c>
      <c r="B16421" s="689">
        <v>46.9</v>
      </c>
      <c r="C16421" s="689">
        <v>47.2</v>
      </c>
      <c r="D16421" s="689">
        <v>46.9</v>
      </c>
      <c r="E16421" s="689">
        <v>47.3</v>
      </c>
      <c r="F16421" s="689">
        <v>47.4</v>
      </c>
      <c r="G16421" s="689">
        <v>47.4</v>
      </c>
      <c r="H16421" s="689">
        <v>47.7</v>
      </c>
      <c r="I16421" s="689">
        <v>46.7</v>
      </c>
      <c r="J16421" s="689">
        <v>47.7</v>
      </c>
      <c r="K16421" s="689">
        <v>47.4</v>
      </c>
    </row>
    <row r="16422" spans="1:11">
      <c r="A16422" s="688" t="s">
        <v>1</v>
      </c>
      <c r="B16422" s="691">
        <v>42.8</v>
      </c>
      <c r="C16422" s="691">
        <v>42.2</v>
      </c>
      <c r="D16422" s="691">
        <v>42.3</v>
      </c>
      <c r="E16422" s="691">
        <v>42.5</v>
      </c>
      <c r="F16422" s="691">
        <v>42.4</v>
      </c>
      <c r="G16422" s="691">
        <v>42.6</v>
      </c>
      <c r="H16422" s="691">
        <v>42.8</v>
      </c>
      <c r="I16422" s="691">
        <v>41.4</v>
      </c>
      <c r="J16422" s="691">
        <v>39.299999999999997</v>
      </c>
      <c r="K16422" s="615">
        <v>42</v>
      </c>
    </row>
    <row r="16423" spans="1:11">
      <c r="A16423" s="688" t="s">
        <v>2240</v>
      </c>
      <c r="B16423" s="689">
        <v>44.9</v>
      </c>
      <c r="C16423" s="689">
        <v>45.3</v>
      </c>
      <c r="D16423" s="689">
        <v>45.1</v>
      </c>
      <c r="E16423" s="689">
        <v>45.6</v>
      </c>
      <c r="F16423" s="689">
        <v>45.5</v>
      </c>
      <c r="G16423" s="689">
        <v>45.5</v>
      </c>
      <c r="H16423" s="689">
        <v>45.8</v>
      </c>
      <c r="I16423" s="689">
        <v>44.9</v>
      </c>
      <c r="J16423" s="689">
        <v>44.1</v>
      </c>
      <c r="K16423" s="689">
        <v>45.6</v>
      </c>
    </row>
    <row r="16424" spans="1:11">
      <c r="A16424" s="688" t="s">
        <v>2</v>
      </c>
      <c r="B16424" s="615">
        <v>46</v>
      </c>
      <c r="C16424" s="691">
        <v>46.3</v>
      </c>
      <c r="D16424" s="691">
        <v>46.3</v>
      </c>
      <c r="E16424" s="691">
        <v>46.4</v>
      </c>
      <c r="F16424" s="691">
        <v>46.7</v>
      </c>
      <c r="G16424" s="691">
        <v>46.5</v>
      </c>
      <c r="H16424" s="615">
        <v>47</v>
      </c>
      <c r="I16424" s="691">
        <v>47.1</v>
      </c>
      <c r="J16424" s="691">
        <v>46.9</v>
      </c>
      <c r="K16424" s="691">
        <v>46.8</v>
      </c>
    </row>
    <row r="16425" spans="1:11">
      <c r="A16425" s="688" t="s">
        <v>3</v>
      </c>
      <c r="B16425" s="689">
        <v>46.7</v>
      </c>
      <c r="C16425" s="693">
        <v>47</v>
      </c>
      <c r="D16425" s="689">
        <v>46.7</v>
      </c>
      <c r="E16425" s="693">
        <v>47</v>
      </c>
      <c r="F16425" s="693">
        <v>47</v>
      </c>
      <c r="G16425" s="689">
        <v>46.9</v>
      </c>
      <c r="H16425" s="689">
        <v>47.2</v>
      </c>
      <c r="I16425" s="693">
        <v>47</v>
      </c>
      <c r="J16425" s="689">
        <v>46.8</v>
      </c>
      <c r="K16425" s="689">
        <v>46.6</v>
      </c>
    </row>
    <row r="16426" spans="1:11">
      <c r="A16426" s="688" t="s">
        <v>4061</v>
      </c>
      <c r="B16426" s="691">
        <v>46.7</v>
      </c>
      <c r="C16426" s="615">
        <v>47</v>
      </c>
      <c r="D16426" s="691">
        <v>46.7</v>
      </c>
      <c r="E16426" s="615">
        <v>47</v>
      </c>
      <c r="F16426" s="615">
        <v>47</v>
      </c>
      <c r="G16426" s="691">
        <v>46.9</v>
      </c>
      <c r="H16426" s="691">
        <v>47.2</v>
      </c>
      <c r="I16426" s="615">
        <v>47</v>
      </c>
      <c r="J16426" s="691">
        <v>46.8</v>
      </c>
      <c r="K16426" s="691">
        <v>46.6</v>
      </c>
    </row>
    <row r="16427" spans="1:11">
      <c r="A16427" s="688" t="s">
        <v>4</v>
      </c>
      <c r="B16427" s="689">
        <v>45.6</v>
      </c>
      <c r="C16427" s="689">
        <v>45.5</v>
      </c>
      <c r="D16427" s="689">
        <v>45.7</v>
      </c>
      <c r="E16427" s="693">
        <v>46</v>
      </c>
      <c r="F16427" s="689">
        <v>46.1</v>
      </c>
      <c r="G16427" s="689">
        <v>46.1</v>
      </c>
      <c r="H16427" s="689">
        <v>46.5</v>
      </c>
      <c r="I16427" s="689">
        <v>46.3</v>
      </c>
      <c r="J16427" s="693">
        <v>45</v>
      </c>
      <c r="K16427" s="693">
        <v>46</v>
      </c>
    </row>
    <row r="16428" spans="1:11">
      <c r="A16428" s="688" t="s">
        <v>8</v>
      </c>
      <c r="B16428" s="691">
        <v>46.8</v>
      </c>
      <c r="C16428" s="691">
        <v>46.9</v>
      </c>
      <c r="D16428" s="691">
        <v>46.9</v>
      </c>
      <c r="E16428" s="615">
        <v>47</v>
      </c>
      <c r="F16428" s="691">
        <v>47.4</v>
      </c>
      <c r="G16428" s="691">
        <v>47.5</v>
      </c>
      <c r="H16428" s="691">
        <v>47.9</v>
      </c>
      <c r="I16428" s="691">
        <v>47.7</v>
      </c>
      <c r="J16428" s="691">
        <v>47.6</v>
      </c>
      <c r="K16428" s="691">
        <v>47.6</v>
      </c>
    </row>
    <row r="16429" spans="1:11">
      <c r="A16429" s="688" t="s">
        <v>7</v>
      </c>
      <c r="B16429" s="689">
        <v>47.7</v>
      </c>
      <c r="C16429" s="689">
        <v>47.5</v>
      </c>
      <c r="D16429" s="689">
        <v>47.2</v>
      </c>
      <c r="E16429" s="689">
        <v>47.5</v>
      </c>
      <c r="F16429" s="689">
        <v>47.4</v>
      </c>
      <c r="G16429" s="689">
        <v>47.9</v>
      </c>
      <c r="H16429" s="689">
        <v>47.8</v>
      </c>
      <c r="I16429" s="689">
        <v>47.4</v>
      </c>
      <c r="J16429" s="689">
        <v>46.5</v>
      </c>
      <c r="K16429" s="693">
        <v>47</v>
      </c>
    </row>
    <row r="16430" spans="1:11">
      <c r="A16430" s="688" t="s">
        <v>27</v>
      </c>
      <c r="B16430" s="691">
        <v>49.6</v>
      </c>
      <c r="C16430" s="691">
        <v>49.2</v>
      </c>
      <c r="D16430" s="691">
        <v>48.9</v>
      </c>
      <c r="E16430" s="691">
        <v>49.3</v>
      </c>
      <c r="F16430" s="691">
        <v>49.2</v>
      </c>
      <c r="G16430" s="691">
        <v>49.4</v>
      </c>
      <c r="H16430" s="691">
        <v>49.7</v>
      </c>
      <c r="I16430" s="691">
        <v>48.5</v>
      </c>
      <c r="J16430" s="691">
        <v>49.3</v>
      </c>
      <c r="K16430" s="691">
        <v>49.2</v>
      </c>
    </row>
    <row r="16431" spans="1:11">
      <c r="A16431" s="688" t="s">
        <v>6</v>
      </c>
      <c r="B16431" s="689">
        <v>49.4</v>
      </c>
      <c r="C16431" s="689">
        <v>49.1</v>
      </c>
      <c r="D16431" s="689">
        <v>48.9</v>
      </c>
      <c r="E16431" s="689">
        <v>49.1</v>
      </c>
      <c r="F16431" s="689">
        <v>49.1</v>
      </c>
      <c r="G16431" s="689">
        <v>49.2</v>
      </c>
      <c r="H16431" s="689">
        <v>49.3</v>
      </c>
      <c r="I16431" s="689">
        <v>48.8</v>
      </c>
      <c r="J16431" s="693">
        <v>49</v>
      </c>
      <c r="K16431" s="689">
        <v>48.9</v>
      </c>
    </row>
    <row r="16432" spans="1:11">
      <c r="A16432" s="688" t="s">
        <v>4058</v>
      </c>
      <c r="B16432" s="692" t="s">
        <v>4060</v>
      </c>
      <c r="C16432" s="692" t="s">
        <v>4060</v>
      </c>
      <c r="D16432" s="692" t="s">
        <v>4060</v>
      </c>
      <c r="E16432" s="692" t="s">
        <v>4060</v>
      </c>
      <c r="F16432" s="692" t="s">
        <v>4060</v>
      </c>
      <c r="G16432" s="692" t="s">
        <v>4060</v>
      </c>
      <c r="H16432" s="692" t="s">
        <v>4060</v>
      </c>
      <c r="I16432" s="692" t="s">
        <v>4060</v>
      </c>
      <c r="J16432" s="692" t="s">
        <v>4060</v>
      </c>
      <c r="K16432" s="692" t="s">
        <v>4060</v>
      </c>
    </row>
    <row r="16433" spans="1:11">
      <c r="A16433" s="688" t="s">
        <v>11</v>
      </c>
      <c r="B16433" s="689">
        <v>44.7</v>
      </c>
      <c r="C16433" s="689">
        <v>44.6</v>
      </c>
      <c r="D16433" s="689">
        <v>44.2</v>
      </c>
      <c r="E16433" s="689">
        <v>44.8</v>
      </c>
      <c r="F16433" s="689">
        <v>44.5</v>
      </c>
      <c r="G16433" s="689">
        <v>44.9</v>
      </c>
      <c r="H16433" s="693">
        <v>45</v>
      </c>
      <c r="I16433" s="689">
        <v>44.4</v>
      </c>
      <c r="J16433" s="689">
        <v>43.5</v>
      </c>
      <c r="K16433" s="689">
        <v>44.5</v>
      </c>
    </row>
    <row r="16434" spans="1:11">
      <c r="A16434" s="688" t="s">
        <v>10</v>
      </c>
      <c r="B16434" s="691">
        <v>48.8</v>
      </c>
      <c r="C16434" s="691">
        <v>48.6</v>
      </c>
      <c r="D16434" s="691">
        <v>48.1</v>
      </c>
      <c r="E16434" s="691">
        <v>48.7</v>
      </c>
      <c r="F16434" s="691">
        <v>48.5</v>
      </c>
      <c r="G16434" s="691">
        <v>48.8</v>
      </c>
      <c r="H16434" s="615">
        <v>49</v>
      </c>
      <c r="I16434" s="615">
        <v>48</v>
      </c>
      <c r="J16434" s="691">
        <v>48.3</v>
      </c>
      <c r="K16434" s="691">
        <v>48.3</v>
      </c>
    </row>
    <row r="16435" spans="1:11">
      <c r="A16435" s="688" t="s">
        <v>30</v>
      </c>
      <c r="B16435" s="689">
        <v>48.3</v>
      </c>
      <c r="C16435" s="689">
        <v>47.7</v>
      </c>
      <c r="D16435" s="689">
        <v>47.3</v>
      </c>
      <c r="E16435" s="689">
        <v>48.3</v>
      </c>
      <c r="F16435" s="689">
        <v>47.9</v>
      </c>
      <c r="G16435" s="689">
        <v>48.3</v>
      </c>
      <c r="H16435" s="689">
        <v>48.1</v>
      </c>
      <c r="I16435" s="689">
        <v>48.1</v>
      </c>
      <c r="J16435" s="689">
        <v>47.3</v>
      </c>
      <c r="K16435" s="689">
        <v>47.6</v>
      </c>
    </row>
    <row r="16436" spans="1:11">
      <c r="A16436" s="688" t="s">
        <v>12</v>
      </c>
      <c r="B16436" s="691">
        <v>43.1</v>
      </c>
      <c r="C16436" s="691">
        <v>43.4</v>
      </c>
      <c r="D16436" s="691">
        <v>43.3</v>
      </c>
      <c r="E16436" s="691">
        <v>43.5</v>
      </c>
      <c r="F16436" s="691">
        <v>43.6</v>
      </c>
      <c r="G16436" s="691">
        <v>43.6</v>
      </c>
      <c r="H16436" s="615">
        <v>44</v>
      </c>
      <c r="I16436" s="691">
        <v>43.8</v>
      </c>
      <c r="J16436" s="691">
        <v>41.9</v>
      </c>
      <c r="K16436" s="691">
        <v>43.3</v>
      </c>
    </row>
    <row r="16437" spans="1:11">
      <c r="A16437" s="688" t="s">
        <v>14</v>
      </c>
      <c r="B16437" s="689">
        <v>43.7</v>
      </c>
      <c r="C16437" s="689">
        <v>43.9</v>
      </c>
      <c r="D16437" s="689">
        <v>43.7</v>
      </c>
      <c r="E16437" s="689">
        <v>43.9</v>
      </c>
      <c r="F16437" s="689">
        <v>44.2</v>
      </c>
      <c r="G16437" s="689">
        <v>44.5</v>
      </c>
      <c r="H16437" s="689">
        <v>44.8</v>
      </c>
      <c r="I16437" s="689">
        <v>43.8</v>
      </c>
      <c r="J16437" s="689">
        <v>42.7</v>
      </c>
      <c r="K16437" s="693">
        <v>44</v>
      </c>
    </row>
    <row r="16438" spans="1:11">
      <c r="A16438" s="688" t="s">
        <v>15</v>
      </c>
      <c r="B16438" s="691">
        <v>47.7</v>
      </c>
      <c r="C16438" s="691">
        <v>48.2</v>
      </c>
      <c r="D16438" s="691">
        <v>47.5</v>
      </c>
      <c r="E16438" s="691">
        <v>48.3</v>
      </c>
      <c r="F16438" s="691">
        <v>47.5</v>
      </c>
      <c r="G16438" s="615">
        <v>48</v>
      </c>
      <c r="H16438" s="691">
        <v>48.3</v>
      </c>
      <c r="I16438" s="691">
        <v>48.1</v>
      </c>
      <c r="J16438" s="691">
        <v>48.3</v>
      </c>
      <c r="K16438" s="691">
        <v>48.5</v>
      </c>
    </row>
    <row r="16439" spans="1:11">
      <c r="A16439" s="688" t="s">
        <v>29</v>
      </c>
      <c r="B16439" s="693">
        <v>43</v>
      </c>
      <c r="C16439" s="689">
        <v>42.9</v>
      </c>
      <c r="D16439" s="689">
        <v>42.6</v>
      </c>
      <c r="E16439" s="689">
        <v>43.2</v>
      </c>
      <c r="F16439" s="689">
        <v>42.9</v>
      </c>
      <c r="G16439" s="689">
        <v>43.1</v>
      </c>
      <c r="H16439" s="689">
        <v>43.2</v>
      </c>
      <c r="I16439" s="689">
        <v>42.5</v>
      </c>
      <c r="J16439" s="689">
        <v>41.4</v>
      </c>
      <c r="K16439" s="689">
        <v>42.9</v>
      </c>
    </row>
    <row r="16440" spans="1:11">
      <c r="A16440" s="688" t="s">
        <v>16</v>
      </c>
      <c r="B16440" s="691">
        <v>47.8</v>
      </c>
      <c r="C16440" s="691">
        <v>47.6</v>
      </c>
      <c r="D16440" s="691">
        <v>47.6</v>
      </c>
      <c r="E16440" s="691">
        <v>47.8</v>
      </c>
      <c r="F16440" s="691">
        <v>47.8</v>
      </c>
      <c r="G16440" s="691">
        <v>47.8</v>
      </c>
      <c r="H16440" s="691">
        <v>48.2</v>
      </c>
      <c r="I16440" s="691">
        <v>47.8</v>
      </c>
      <c r="J16440" s="691">
        <v>47.5</v>
      </c>
      <c r="K16440" s="691">
        <v>47.8</v>
      </c>
    </row>
    <row r="16441" spans="1:11">
      <c r="A16441" s="688" t="s">
        <v>17</v>
      </c>
      <c r="B16441" s="689">
        <v>46.9</v>
      </c>
      <c r="C16441" s="693">
        <v>47</v>
      </c>
      <c r="D16441" s="689">
        <v>46.7</v>
      </c>
      <c r="E16441" s="689">
        <v>46.8</v>
      </c>
      <c r="F16441" s="689">
        <v>46.9</v>
      </c>
      <c r="G16441" s="689">
        <v>46.9</v>
      </c>
      <c r="H16441" s="689">
        <v>47.2</v>
      </c>
      <c r="I16441" s="689">
        <v>46.7</v>
      </c>
      <c r="J16441" s="689">
        <v>46.6</v>
      </c>
      <c r="K16441" s="689">
        <v>46.8</v>
      </c>
    </row>
    <row r="16442" spans="1:11">
      <c r="A16442" s="688" t="s">
        <v>19</v>
      </c>
      <c r="B16442" s="691">
        <v>47.5</v>
      </c>
      <c r="C16442" s="691">
        <v>47.4</v>
      </c>
      <c r="D16442" s="691">
        <v>47.2</v>
      </c>
      <c r="E16442" s="691">
        <v>47.6</v>
      </c>
      <c r="F16442" s="691">
        <v>47.5</v>
      </c>
      <c r="G16442" s="691">
        <v>47.6</v>
      </c>
      <c r="H16442" s="691">
        <v>47.8</v>
      </c>
      <c r="I16442" s="691">
        <v>47.4</v>
      </c>
      <c r="J16442" s="691">
        <v>47.3</v>
      </c>
      <c r="K16442" s="691">
        <v>47.4</v>
      </c>
    </row>
    <row r="16443" spans="1:11">
      <c r="A16443" s="688" t="s">
        <v>20</v>
      </c>
      <c r="B16443" s="693">
        <v>45</v>
      </c>
      <c r="C16443" s="689">
        <v>45.2</v>
      </c>
      <c r="D16443" s="693">
        <v>45</v>
      </c>
      <c r="E16443" s="689">
        <v>45.5</v>
      </c>
      <c r="F16443" s="689">
        <v>45.3</v>
      </c>
      <c r="G16443" s="689">
        <v>45.2</v>
      </c>
      <c r="H16443" s="689">
        <v>45.5</v>
      </c>
      <c r="I16443" s="689">
        <v>44.3</v>
      </c>
      <c r="J16443" s="689">
        <v>43.3</v>
      </c>
      <c r="K16443" s="689">
        <v>44.8</v>
      </c>
    </row>
    <row r="16444" spans="1:11">
      <c r="A16444" s="688" t="s">
        <v>21</v>
      </c>
      <c r="B16444" s="691">
        <v>47.7</v>
      </c>
      <c r="C16444" s="615">
        <v>48</v>
      </c>
      <c r="D16444" s="691">
        <v>47.8</v>
      </c>
      <c r="E16444" s="691">
        <v>47.9</v>
      </c>
      <c r="F16444" s="691">
        <v>48.1</v>
      </c>
      <c r="G16444" s="691">
        <v>48.2</v>
      </c>
      <c r="H16444" s="691">
        <v>48.4</v>
      </c>
      <c r="I16444" s="691">
        <v>47.8</v>
      </c>
      <c r="J16444" s="691">
        <v>47.9</v>
      </c>
      <c r="K16444" s="691">
        <v>48.1</v>
      </c>
    </row>
    <row r="16445" spans="1:11">
      <c r="A16445" s="688" t="s">
        <v>22</v>
      </c>
      <c r="B16445" s="689">
        <v>43.1</v>
      </c>
      <c r="C16445" s="689">
        <v>42.8</v>
      </c>
      <c r="D16445" s="689">
        <v>42.8</v>
      </c>
      <c r="E16445" s="689">
        <v>43.1</v>
      </c>
      <c r="F16445" s="689">
        <v>43.1</v>
      </c>
      <c r="G16445" s="689">
        <v>43.2</v>
      </c>
      <c r="H16445" s="689">
        <v>43.5</v>
      </c>
      <c r="I16445" s="689">
        <v>42.3</v>
      </c>
      <c r="J16445" s="689">
        <v>40.700000000000003</v>
      </c>
      <c r="K16445" s="689">
        <v>43.1</v>
      </c>
    </row>
    <row r="16446" spans="1:11">
      <c r="A16446" s="688" t="s">
        <v>26</v>
      </c>
      <c r="B16446" s="691">
        <v>47.2</v>
      </c>
      <c r="C16446" s="691">
        <v>47.2</v>
      </c>
      <c r="D16446" s="615">
        <v>47</v>
      </c>
      <c r="E16446" s="691">
        <v>47.5</v>
      </c>
      <c r="F16446" s="691">
        <v>47.3</v>
      </c>
      <c r="G16446" s="691">
        <v>47.5</v>
      </c>
      <c r="H16446" s="691">
        <v>47.7</v>
      </c>
      <c r="I16446" s="691">
        <v>46.8</v>
      </c>
      <c r="J16446" s="691">
        <v>47.2</v>
      </c>
      <c r="K16446" s="691">
        <v>47.5</v>
      </c>
    </row>
    <row r="16447" spans="1:11">
      <c r="A16447" s="688" t="s">
        <v>25</v>
      </c>
      <c r="B16447" s="689">
        <v>44.1</v>
      </c>
      <c r="C16447" s="689">
        <v>44.4</v>
      </c>
      <c r="D16447" s="689">
        <v>44.1</v>
      </c>
      <c r="E16447" s="689">
        <v>44.5</v>
      </c>
      <c r="F16447" s="689">
        <v>44.4</v>
      </c>
      <c r="G16447" s="689">
        <v>44.6</v>
      </c>
      <c r="H16447" s="693">
        <v>45</v>
      </c>
      <c r="I16447" s="689">
        <v>44.3</v>
      </c>
      <c r="J16447" s="689">
        <v>42.1</v>
      </c>
      <c r="K16447" s="689">
        <v>44.3</v>
      </c>
    </row>
    <row r="16448" spans="1:11">
      <c r="A16448" s="688" t="s">
        <v>5</v>
      </c>
      <c r="B16448" s="691">
        <v>47.7</v>
      </c>
      <c r="C16448" s="691">
        <v>47.5</v>
      </c>
      <c r="D16448" s="691">
        <v>47.7</v>
      </c>
      <c r="E16448" s="691">
        <v>47.8</v>
      </c>
      <c r="F16448" s="691">
        <v>47.9</v>
      </c>
      <c r="G16448" s="615">
        <v>48</v>
      </c>
      <c r="H16448" s="691">
        <v>48.3</v>
      </c>
      <c r="I16448" s="691">
        <v>48.3</v>
      </c>
      <c r="J16448" s="691">
        <v>48.1</v>
      </c>
      <c r="K16448" s="691">
        <v>47.4</v>
      </c>
    </row>
    <row r="16449" spans="1:11">
      <c r="A16449" s="688" t="s">
        <v>23</v>
      </c>
      <c r="B16449" s="689">
        <v>47.4</v>
      </c>
      <c r="C16449" s="689">
        <v>47.6</v>
      </c>
      <c r="D16449" s="689">
        <v>47.6</v>
      </c>
      <c r="E16449" s="689">
        <v>47.7</v>
      </c>
      <c r="F16449" s="689">
        <v>47.7</v>
      </c>
      <c r="G16449" s="689">
        <v>47.9</v>
      </c>
      <c r="H16449" s="689">
        <v>48.3</v>
      </c>
      <c r="I16449" s="689">
        <v>47.9</v>
      </c>
      <c r="J16449" s="689">
        <v>48.4</v>
      </c>
      <c r="K16449" s="689">
        <v>48.3</v>
      </c>
    </row>
    <row r="16450" spans="1:11">
      <c r="A16450" s="688" t="s">
        <v>4067</v>
      </c>
      <c r="B16450" s="615">
        <v>47</v>
      </c>
      <c r="C16450" s="691">
        <v>47.4</v>
      </c>
      <c r="D16450" s="615">
        <v>47</v>
      </c>
      <c r="E16450" s="691">
        <v>47.4</v>
      </c>
      <c r="F16450" s="691">
        <v>47.3</v>
      </c>
      <c r="G16450" s="691">
        <v>47.3</v>
      </c>
      <c r="H16450" s="692" t="s">
        <v>4060</v>
      </c>
      <c r="I16450" s="692" t="s">
        <v>4060</v>
      </c>
      <c r="J16450" s="692" t="s">
        <v>4060</v>
      </c>
      <c r="K16450" s="692" t="s">
        <v>4060</v>
      </c>
    </row>
    <row r="16451" spans="1:11">
      <c r="A16451" s="688" t="s">
        <v>4066</v>
      </c>
      <c r="B16451" s="693">
        <v>47</v>
      </c>
      <c r="C16451" s="689">
        <v>47.4</v>
      </c>
      <c r="D16451" s="693">
        <v>47</v>
      </c>
      <c r="E16451" s="689">
        <v>47.4</v>
      </c>
      <c r="F16451" s="689">
        <v>47.3</v>
      </c>
      <c r="G16451" s="689">
        <v>47.4</v>
      </c>
      <c r="H16451" s="690" t="s">
        <v>4060</v>
      </c>
      <c r="I16451" s="690" t="s">
        <v>4060</v>
      </c>
      <c r="J16451" s="690" t="s">
        <v>4060</v>
      </c>
      <c r="K16451" s="690" t="s">
        <v>4060</v>
      </c>
    </row>
    <row r="16452" spans="1:11">
      <c r="A16452" s="688" t="s">
        <v>4062</v>
      </c>
      <c r="B16452" s="691">
        <v>48.2</v>
      </c>
      <c r="C16452" s="691">
        <v>48.3</v>
      </c>
      <c r="D16452" s="691">
        <v>48.2</v>
      </c>
      <c r="E16452" s="691">
        <v>48.5</v>
      </c>
      <c r="F16452" s="691">
        <v>48.6</v>
      </c>
      <c r="G16452" s="691">
        <v>48.7</v>
      </c>
      <c r="H16452" s="691">
        <v>48.8</v>
      </c>
      <c r="I16452" s="691">
        <v>48.6</v>
      </c>
      <c r="J16452" s="691">
        <v>48.8</v>
      </c>
      <c r="K16452" s="691">
        <v>48.6</v>
      </c>
    </row>
    <row r="16453" spans="1:11">
      <c r="A16453" s="688" t="s">
        <v>9</v>
      </c>
      <c r="B16453" s="689">
        <v>47.3</v>
      </c>
      <c r="C16453" s="689">
        <v>47.8</v>
      </c>
      <c r="D16453" s="689">
        <v>47.1</v>
      </c>
      <c r="E16453" s="689">
        <v>47.3</v>
      </c>
      <c r="F16453" s="689">
        <v>47.8</v>
      </c>
      <c r="G16453" s="689">
        <v>47.7</v>
      </c>
      <c r="H16453" s="689">
        <v>47.9</v>
      </c>
      <c r="I16453" s="689">
        <v>47.9</v>
      </c>
      <c r="J16453" s="689">
        <v>48.1</v>
      </c>
      <c r="K16453" s="689">
        <v>47.2</v>
      </c>
    </row>
    <row r="16454" spans="1:11">
      <c r="A16454" s="688" t="s">
        <v>13</v>
      </c>
      <c r="B16454" s="691">
        <v>48.4</v>
      </c>
      <c r="C16454" s="691">
        <v>47.1</v>
      </c>
      <c r="D16454" s="691">
        <v>47.9</v>
      </c>
      <c r="E16454" s="691">
        <v>48.2</v>
      </c>
      <c r="F16454" s="615">
        <v>49</v>
      </c>
      <c r="G16454" s="691">
        <v>48.9</v>
      </c>
      <c r="H16454" s="691">
        <v>48.8</v>
      </c>
      <c r="I16454" s="691">
        <v>48.1</v>
      </c>
      <c r="J16454" s="691">
        <v>49.1</v>
      </c>
      <c r="K16454" s="691">
        <v>48.8</v>
      </c>
    </row>
    <row r="16455" spans="1:11">
      <c r="A16455" s="688" t="s">
        <v>18</v>
      </c>
      <c r="B16455" s="689">
        <v>47.4</v>
      </c>
      <c r="C16455" s="689">
        <v>47.6</v>
      </c>
      <c r="D16455" s="689">
        <v>47.7</v>
      </c>
      <c r="E16455" s="689">
        <v>47.8</v>
      </c>
      <c r="F16455" s="689">
        <v>47.8</v>
      </c>
      <c r="G16455" s="693">
        <v>48</v>
      </c>
      <c r="H16455" s="689">
        <v>48.2</v>
      </c>
      <c r="I16455" s="689">
        <v>48.4</v>
      </c>
      <c r="J16455" s="689">
        <v>48.2</v>
      </c>
      <c r="K16455" s="689">
        <v>47.8</v>
      </c>
    </row>
    <row r="16456" spans="1:11">
      <c r="A16456" s="688" t="s">
        <v>24</v>
      </c>
      <c r="B16456" s="691">
        <v>48.6</v>
      </c>
      <c r="C16456" s="691">
        <v>48.8</v>
      </c>
      <c r="D16456" s="691">
        <v>48.5</v>
      </c>
      <c r="E16456" s="691">
        <v>48.9</v>
      </c>
      <c r="F16456" s="615">
        <v>49</v>
      </c>
      <c r="G16456" s="691">
        <v>49.1</v>
      </c>
      <c r="H16456" s="691">
        <v>49.2</v>
      </c>
      <c r="I16456" s="691">
        <v>48.7</v>
      </c>
      <c r="J16456" s="691">
        <v>49.2</v>
      </c>
      <c r="K16456" s="615">
        <v>49</v>
      </c>
    </row>
    <row r="16457" spans="1:11">
      <c r="A16457" s="688" t="s">
        <v>4059</v>
      </c>
      <c r="B16457" s="689">
        <v>46.7</v>
      </c>
      <c r="C16457" s="693">
        <v>47</v>
      </c>
      <c r="D16457" s="689">
        <v>46.5</v>
      </c>
      <c r="E16457" s="689">
        <v>46.8</v>
      </c>
      <c r="F16457" s="689">
        <v>46.8</v>
      </c>
      <c r="G16457" s="689">
        <v>46.8</v>
      </c>
      <c r="H16457" s="690" t="s">
        <v>4060</v>
      </c>
      <c r="I16457" s="690" t="s">
        <v>4060</v>
      </c>
      <c r="J16457" s="690" t="s">
        <v>4060</v>
      </c>
      <c r="K16457" s="690" t="s">
        <v>4060</v>
      </c>
    </row>
    <row r="16458" spans="1:11">
      <c r="A16458" s="688" t="s">
        <v>2324</v>
      </c>
      <c r="B16458" s="691">
        <v>42.8</v>
      </c>
      <c r="C16458" s="691">
        <v>42.8</v>
      </c>
      <c r="D16458" s="691">
        <v>42.3</v>
      </c>
      <c r="E16458" s="691">
        <v>42.7</v>
      </c>
      <c r="F16458" s="691">
        <v>42.9</v>
      </c>
      <c r="G16458" s="691">
        <v>42.9</v>
      </c>
      <c r="H16458" s="691">
        <v>43.1</v>
      </c>
      <c r="I16458" s="691">
        <v>42.5</v>
      </c>
      <c r="J16458" s="691">
        <v>40.6</v>
      </c>
      <c r="K16458" s="692" t="s">
        <v>4060</v>
      </c>
    </row>
    <row r="16459" spans="1:11">
      <c r="A16459" s="688" t="s">
        <v>2322</v>
      </c>
      <c r="B16459" s="690" t="s">
        <v>4060</v>
      </c>
      <c r="C16459" s="690" t="s">
        <v>4060</v>
      </c>
      <c r="D16459" s="690" t="s">
        <v>4060</v>
      </c>
      <c r="E16459" s="690" t="s">
        <v>4060</v>
      </c>
      <c r="F16459" s="690" t="s">
        <v>4060</v>
      </c>
      <c r="G16459" s="690" t="s">
        <v>4060</v>
      </c>
      <c r="H16459" s="690" t="s">
        <v>4060</v>
      </c>
      <c r="I16459" s="690" t="s">
        <v>4060</v>
      </c>
      <c r="J16459" s="690" t="s">
        <v>4060</v>
      </c>
      <c r="K16459" s="690" t="s">
        <v>4060</v>
      </c>
    </row>
    <row r="16460" spans="1:11">
      <c r="A16460" s="688" t="s">
        <v>2328</v>
      </c>
      <c r="B16460" s="691">
        <v>41.9</v>
      </c>
      <c r="C16460" s="691">
        <v>41.7</v>
      </c>
      <c r="D16460" s="691">
        <v>41.6</v>
      </c>
      <c r="E16460" s="615">
        <v>42</v>
      </c>
      <c r="F16460" s="691">
        <v>42.1</v>
      </c>
      <c r="G16460" s="691">
        <v>42.6</v>
      </c>
      <c r="H16460" s="691">
        <v>42.4</v>
      </c>
      <c r="I16460" s="691">
        <v>40.700000000000003</v>
      </c>
      <c r="J16460" s="691">
        <v>39.4</v>
      </c>
      <c r="K16460" s="692" t="s">
        <v>4060</v>
      </c>
    </row>
    <row r="16461" spans="1:11">
      <c r="A16461" s="688" t="s">
        <v>2496</v>
      </c>
      <c r="B16461" s="690" t="s">
        <v>4060</v>
      </c>
      <c r="C16461" s="689">
        <v>42.8</v>
      </c>
      <c r="D16461" s="689">
        <v>41.8</v>
      </c>
      <c r="E16461" s="689">
        <v>41.6</v>
      </c>
      <c r="F16461" s="689">
        <v>42.2</v>
      </c>
      <c r="G16461" s="689">
        <v>42.5</v>
      </c>
      <c r="H16461" s="689">
        <v>42.6</v>
      </c>
      <c r="I16461" s="690" t="s">
        <v>4060</v>
      </c>
      <c r="J16461" s="690" t="s">
        <v>4060</v>
      </c>
      <c r="K16461" s="689">
        <v>42.3</v>
      </c>
    </row>
    <row r="16462" spans="1:11">
      <c r="A16462" s="688" t="s">
        <v>2269</v>
      </c>
      <c r="B16462" s="691">
        <v>44.5</v>
      </c>
      <c r="C16462" s="691">
        <v>44.6</v>
      </c>
      <c r="D16462" s="615">
        <v>44</v>
      </c>
      <c r="E16462" s="691">
        <v>44.5</v>
      </c>
      <c r="F16462" s="691">
        <v>44.3</v>
      </c>
      <c r="G16462" s="691">
        <v>44.8</v>
      </c>
      <c r="H16462" s="615">
        <v>45</v>
      </c>
      <c r="I16462" s="691">
        <v>43.8</v>
      </c>
      <c r="J16462" s="691">
        <v>41.8</v>
      </c>
      <c r="K16462" s="691">
        <v>44.7</v>
      </c>
    </row>
    <row r="16463" spans="1:11">
      <c r="A16463" s="688" t="s">
        <v>2349</v>
      </c>
      <c r="B16463" s="689">
        <v>41.9</v>
      </c>
      <c r="C16463" s="689">
        <v>41.9</v>
      </c>
      <c r="D16463" s="689">
        <v>41.8</v>
      </c>
      <c r="E16463" s="689">
        <v>42.1</v>
      </c>
      <c r="F16463" s="689">
        <v>41.9</v>
      </c>
      <c r="G16463" s="689">
        <v>42.3</v>
      </c>
      <c r="H16463" s="689">
        <v>42.5</v>
      </c>
      <c r="I16463" s="689">
        <v>41.3</v>
      </c>
      <c r="J16463" s="689">
        <v>39.6</v>
      </c>
      <c r="K16463" s="689">
        <v>41.6</v>
      </c>
    </row>
    <row r="16464" spans="1:11">
      <c r="A16464" s="688" t="s">
        <v>2355</v>
      </c>
      <c r="B16464" s="691">
        <v>45.7</v>
      </c>
      <c r="C16464" s="691">
        <v>45.5</v>
      </c>
      <c r="D16464" s="691">
        <v>45.5</v>
      </c>
      <c r="E16464" s="691">
        <v>45.4</v>
      </c>
      <c r="F16464" s="691">
        <v>45.7</v>
      </c>
      <c r="G16464" s="615">
        <v>46</v>
      </c>
      <c r="H16464" s="691">
        <v>46.1</v>
      </c>
      <c r="I16464" s="692" t="s">
        <v>4060</v>
      </c>
      <c r="J16464" s="692" t="s">
        <v>4060</v>
      </c>
      <c r="K16464" s="692" t="s">
        <v>4060</v>
      </c>
    </row>
    <row r="16465" spans="1:11">
      <c r="A16465" s="688" t="s">
        <v>2357</v>
      </c>
      <c r="B16465" s="690" t="s">
        <v>4060</v>
      </c>
      <c r="C16465" s="689">
        <v>41.3</v>
      </c>
      <c r="D16465" s="689">
        <v>41.8</v>
      </c>
      <c r="E16465" s="689">
        <v>42.1</v>
      </c>
      <c r="F16465" s="689">
        <v>42.4</v>
      </c>
      <c r="G16465" s="689">
        <v>42.3</v>
      </c>
      <c r="H16465" s="689">
        <v>42.6</v>
      </c>
      <c r="I16465" s="690" t="s">
        <v>4060</v>
      </c>
      <c r="J16465" s="690" t="s">
        <v>4060</v>
      </c>
      <c r="K16465" s="690" t="s">
        <v>4060</v>
      </c>
    </row>
    <row r="16466" spans="1:11">
      <c r="A16466" s="688" t="s">
        <v>4070</v>
      </c>
      <c r="B16466" s="692" t="s">
        <v>4060</v>
      </c>
      <c r="C16466" s="692" t="s">
        <v>4060</v>
      </c>
      <c r="D16466" s="692" t="s">
        <v>4060</v>
      </c>
      <c r="E16466" s="691">
        <v>45.5</v>
      </c>
      <c r="F16466" s="692" t="s">
        <v>4060</v>
      </c>
      <c r="G16466" s="692" t="s">
        <v>4060</v>
      </c>
      <c r="H16466" s="692" t="s">
        <v>4060</v>
      </c>
      <c r="I16466" s="692" t="s">
        <v>4060</v>
      </c>
      <c r="J16466" s="692" t="s">
        <v>4060</v>
      </c>
      <c r="K16466" s="692" t="s">
        <v>4060</v>
      </c>
    </row>
    <row r="16467" spans="1:11">
      <c r="A16467" s="688" t="s">
        <v>2491</v>
      </c>
      <c r="B16467" s="689">
        <v>42.1</v>
      </c>
      <c r="C16467" s="689">
        <v>42.6</v>
      </c>
      <c r="D16467" s="689">
        <v>42.9</v>
      </c>
      <c r="E16467" s="689">
        <v>43.1</v>
      </c>
      <c r="F16467" s="689">
        <v>43.2</v>
      </c>
      <c r="G16467" s="689">
        <v>43.2</v>
      </c>
      <c r="H16467" s="690" t="s">
        <v>4060</v>
      </c>
      <c r="I16467" s="690" t="s">
        <v>4060</v>
      </c>
      <c r="J16467" s="690" t="s">
        <v>4060</v>
      </c>
      <c r="K16467" s="690" t="s">
        <v>4060</v>
      </c>
    </row>
    <row r="16468" spans="1:11">
      <c r="A16468" s="688" t="s">
        <v>2343</v>
      </c>
      <c r="B16468" s="692" t="s">
        <v>4060</v>
      </c>
      <c r="C16468" s="692" t="s">
        <v>4060</v>
      </c>
      <c r="D16468" s="692" t="s">
        <v>4060</v>
      </c>
      <c r="E16468" s="692" t="s">
        <v>4060</v>
      </c>
      <c r="F16468" s="692" t="s">
        <v>4060</v>
      </c>
      <c r="G16468" s="692" t="s">
        <v>4060</v>
      </c>
      <c r="H16468" s="692" t="s">
        <v>4060</v>
      </c>
      <c r="I16468" s="692" t="s">
        <v>4060</v>
      </c>
      <c r="J16468" s="692" t="s">
        <v>4060</v>
      </c>
      <c r="K16468" s="692" t="s">
        <v>4060</v>
      </c>
    </row>
    <row r="16469" spans="1:11">
      <c r="A16469" s="688" t="s">
        <v>4071</v>
      </c>
      <c r="B16469" s="690" t="s">
        <v>4060</v>
      </c>
      <c r="C16469" s="690" t="s">
        <v>4060</v>
      </c>
      <c r="D16469" s="690" t="s">
        <v>4060</v>
      </c>
      <c r="E16469" s="690" t="s">
        <v>4060</v>
      </c>
      <c r="F16469" s="690" t="s">
        <v>4060</v>
      </c>
      <c r="G16469" s="690" t="s">
        <v>4060</v>
      </c>
      <c r="H16469" s="690" t="s">
        <v>4060</v>
      </c>
      <c r="I16469" s="690" t="s">
        <v>4060</v>
      </c>
      <c r="J16469" s="690" t="s">
        <v>4060</v>
      </c>
      <c r="K16469" s="690" t="s">
        <v>4060</v>
      </c>
    </row>
    <row r="16470" spans="1:11">
      <c r="A16470" s="688" t="s">
        <v>2489</v>
      </c>
      <c r="B16470" s="692" t="s">
        <v>4060</v>
      </c>
      <c r="C16470" s="692" t="s">
        <v>4060</v>
      </c>
      <c r="D16470" s="691">
        <v>42.4</v>
      </c>
      <c r="E16470" s="691">
        <v>42.5</v>
      </c>
      <c r="F16470" s="615">
        <v>43</v>
      </c>
      <c r="G16470" s="691">
        <v>43.7</v>
      </c>
      <c r="H16470" s="691">
        <v>43.7</v>
      </c>
      <c r="I16470" s="692" t="s">
        <v>4060</v>
      </c>
      <c r="J16470" s="692" t="s">
        <v>4060</v>
      </c>
      <c r="K16470" s="692" t="s">
        <v>4060</v>
      </c>
    </row>
    <row r="16471" spans="1:11">
      <c r="A16471" s="688" t="s">
        <v>2490</v>
      </c>
      <c r="B16471" s="689">
        <v>41.8</v>
      </c>
      <c r="C16471" s="689">
        <v>41.8</v>
      </c>
      <c r="D16471" s="689">
        <v>42.3</v>
      </c>
      <c r="E16471" s="690" t="s">
        <v>4060</v>
      </c>
      <c r="F16471" s="689">
        <v>42.5</v>
      </c>
      <c r="G16471" s="689">
        <v>42.9</v>
      </c>
      <c r="H16471" s="689">
        <v>43.5</v>
      </c>
      <c r="I16471" s="690" t="s">
        <v>4060</v>
      </c>
      <c r="J16471" s="690" t="s">
        <v>4060</v>
      </c>
      <c r="K16471" s="690" t="s">
        <v>4060</v>
      </c>
    </row>
    <row r="16473" spans="1:11">
      <c r="A16473" s="683" t="s">
        <v>4233</v>
      </c>
    </row>
    <row r="16474" spans="1:11">
      <c r="A16474" s="683" t="s">
        <v>4060</v>
      </c>
      <c r="B16474" s="682" t="s">
        <v>4234</v>
      </c>
    </row>
    <row r="16476" spans="1:11">
      <c r="A16476" s="682" t="s">
        <v>4332</v>
      </c>
    </row>
    <row r="16477" spans="1:11">
      <c r="A16477" s="682" t="s">
        <v>4210</v>
      </c>
      <c r="B16477" s="683" t="s">
        <v>4211</v>
      </c>
    </row>
    <row r="16478" spans="1:11">
      <c r="A16478" s="682" t="s">
        <v>4212</v>
      </c>
      <c r="B16478" s="682" t="s">
        <v>4213</v>
      </c>
    </row>
    <row r="16480" spans="1:11">
      <c r="A16480" s="683" t="s">
        <v>4214</v>
      </c>
      <c r="C16480" s="682" t="s">
        <v>4215</v>
      </c>
    </row>
    <row r="16481" spans="1:11">
      <c r="A16481" s="683" t="s">
        <v>4216</v>
      </c>
      <c r="C16481" s="682" t="s">
        <v>2967</v>
      </c>
    </row>
    <row r="16482" spans="1:11">
      <c r="A16482" s="683" t="s">
        <v>3893</v>
      </c>
      <c r="C16482" s="682" t="s">
        <v>2169</v>
      </c>
    </row>
    <row r="16483" spans="1:11">
      <c r="A16483" s="683" t="s">
        <v>4218</v>
      </c>
      <c r="C16483" s="682" t="s">
        <v>4273</v>
      </c>
    </row>
    <row r="16485" spans="1:11">
      <c r="A16485" s="684" t="s">
        <v>4220</v>
      </c>
      <c r="B16485" s="685" t="s">
        <v>4221</v>
      </c>
      <c r="C16485" s="685" t="s">
        <v>4222</v>
      </c>
      <c r="D16485" s="685" t="s">
        <v>4223</v>
      </c>
      <c r="E16485" s="685" t="s">
        <v>4224</v>
      </c>
      <c r="F16485" s="685" t="s">
        <v>4225</v>
      </c>
      <c r="G16485" s="685" t="s">
        <v>4226</v>
      </c>
      <c r="H16485" s="685" t="s">
        <v>4227</v>
      </c>
      <c r="I16485" s="685" t="s">
        <v>4228</v>
      </c>
      <c r="J16485" s="685" t="s">
        <v>4229</v>
      </c>
      <c r="K16485" s="685" t="s">
        <v>4230</v>
      </c>
    </row>
    <row r="16486" spans="1:11">
      <c r="A16486" s="686" t="s">
        <v>4231</v>
      </c>
      <c r="B16486" s="687" t="s">
        <v>4232</v>
      </c>
      <c r="C16486" s="687" t="s">
        <v>4232</v>
      </c>
      <c r="D16486" s="687" t="s">
        <v>4232</v>
      </c>
      <c r="E16486" s="687" t="s">
        <v>4232</v>
      </c>
      <c r="F16486" s="687" t="s">
        <v>4232</v>
      </c>
      <c r="G16486" s="687" t="s">
        <v>4232</v>
      </c>
      <c r="H16486" s="687" t="s">
        <v>4232</v>
      </c>
      <c r="I16486" s="687" t="s">
        <v>4232</v>
      </c>
      <c r="J16486" s="687" t="s">
        <v>4232</v>
      </c>
      <c r="K16486" s="687" t="s">
        <v>4232</v>
      </c>
    </row>
    <row r="16487" spans="1:11">
      <c r="A16487" s="688" t="s">
        <v>4064</v>
      </c>
      <c r="B16487" s="689">
        <v>46.1</v>
      </c>
      <c r="C16487" s="689">
        <v>46.1</v>
      </c>
      <c r="D16487" s="693">
        <v>46</v>
      </c>
      <c r="E16487" s="689">
        <v>46.2</v>
      </c>
      <c r="F16487" s="689">
        <v>46.1</v>
      </c>
      <c r="G16487" s="689">
        <v>46.2</v>
      </c>
      <c r="H16487" s="689">
        <v>46.5</v>
      </c>
      <c r="I16487" s="689">
        <v>45.8</v>
      </c>
      <c r="J16487" s="689">
        <v>45.5</v>
      </c>
      <c r="K16487" s="693">
        <v>46</v>
      </c>
    </row>
    <row r="16488" spans="1:11">
      <c r="A16488" s="688" t="s">
        <v>4065</v>
      </c>
      <c r="B16488" s="615">
        <v>46</v>
      </c>
      <c r="C16488" s="691">
        <v>46.4</v>
      </c>
      <c r="D16488" s="615">
        <v>46</v>
      </c>
      <c r="E16488" s="691">
        <v>46.4</v>
      </c>
      <c r="F16488" s="691">
        <v>46.3</v>
      </c>
      <c r="G16488" s="691">
        <v>46.4</v>
      </c>
      <c r="H16488" s="692" t="s">
        <v>4060</v>
      </c>
      <c r="I16488" s="692" t="s">
        <v>4060</v>
      </c>
      <c r="J16488" s="692" t="s">
        <v>4060</v>
      </c>
      <c r="K16488" s="692" t="s">
        <v>4060</v>
      </c>
    </row>
    <row r="16489" spans="1:11">
      <c r="A16489" s="688" t="s">
        <v>4063</v>
      </c>
      <c r="B16489" s="689">
        <v>46.1</v>
      </c>
      <c r="C16489" s="689">
        <v>46.4</v>
      </c>
      <c r="D16489" s="693">
        <v>46</v>
      </c>
      <c r="E16489" s="689">
        <v>46.4</v>
      </c>
      <c r="F16489" s="689">
        <v>46.3</v>
      </c>
      <c r="G16489" s="689">
        <v>46.4</v>
      </c>
      <c r="H16489" s="690" t="s">
        <v>4060</v>
      </c>
      <c r="I16489" s="690" t="s">
        <v>4060</v>
      </c>
      <c r="J16489" s="690" t="s">
        <v>4060</v>
      </c>
      <c r="K16489" s="690" t="s">
        <v>4060</v>
      </c>
    </row>
    <row r="16490" spans="1:11">
      <c r="A16490" s="688" t="s">
        <v>4069</v>
      </c>
      <c r="B16490" s="692" t="s">
        <v>4060</v>
      </c>
      <c r="C16490" s="691">
        <v>46.9</v>
      </c>
      <c r="D16490" s="691">
        <v>46.6</v>
      </c>
      <c r="E16490" s="691">
        <v>46.9</v>
      </c>
      <c r="F16490" s="691">
        <v>46.9</v>
      </c>
      <c r="G16490" s="615">
        <v>47</v>
      </c>
      <c r="H16490" s="691">
        <v>47.2</v>
      </c>
      <c r="I16490" s="691">
        <v>46.7</v>
      </c>
      <c r="J16490" s="691">
        <v>46.7</v>
      </c>
      <c r="K16490" s="691">
        <v>46.7</v>
      </c>
    </row>
    <row r="16491" spans="1:11">
      <c r="A16491" s="688" t="s">
        <v>4068</v>
      </c>
      <c r="B16491" s="693">
        <v>47</v>
      </c>
      <c r="C16491" s="690" t="s">
        <v>4060</v>
      </c>
      <c r="D16491" s="690" t="s">
        <v>4060</v>
      </c>
      <c r="E16491" s="690" t="s">
        <v>4060</v>
      </c>
      <c r="F16491" s="690" t="s">
        <v>4060</v>
      </c>
      <c r="G16491" s="690" t="s">
        <v>4060</v>
      </c>
      <c r="H16491" s="690" t="s">
        <v>4060</v>
      </c>
      <c r="I16491" s="690" t="s">
        <v>4060</v>
      </c>
      <c r="J16491" s="690" t="s">
        <v>4060</v>
      </c>
      <c r="K16491" s="690" t="s">
        <v>4060</v>
      </c>
    </row>
    <row r="16492" spans="1:11">
      <c r="A16492" s="688" t="s">
        <v>0</v>
      </c>
      <c r="B16492" s="615">
        <v>46</v>
      </c>
      <c r="C16492" s="691">
        <v>46.2</v>
      </c>
      <c r="D16492" s="691">
        <v>45.9</v>
      </c>
      <c r="E16492" s="691">
        <v>46.4</v>
      </c>
      <c r="F16492" s="691">
        <v>46.4</v>
      </c>
      <c r="G16492" s="691">
        <v>46.4</v>
      </c>
      <c r="H16492" s="691">
        <v>46.7</v>
      </c>
      <c r="I16492" s="691">
        <v>45.7</v>
      </c>
      <c r="J16492" s="691">
        <v>46.7</v>
      </c>
      <c r="K16492" s="691">
        <v>46.5</v>
      </c>
    </row>
    <row r="16493" spans="1:11">
      <c r="A16493" s="688" t="s">
        <v>1</v>
      </c>
      <c r="B16493" s="689">
        <v>41.9</v>
      </c>
      <c r="C16493" s="689">
        <v>41.3</v>
      </c>
      <c r="D16493" s="689">
        <v>41.3</v>
      </c>
      <c r="E16493" s="689">
        <v>41.5</v>
      </c>
      <c r="F16493" s="689">
        <v>41.4</v>
      </c>
      <c r="G16493" s="689">
        <v>41.6</v>
      </c>
      <c r="H16493" s="689">
        <v>41.8</v>
      </c>
      <c r="I16493" s="689">
        <v>40.4</v>
      </c>
      <c r="J16493" s="689">
        <v>38.4</v>
      </c>
      <c r="K16493" s="693">
        <v>41</v>
      </c>
    </row>
    <row r="16494" spans="1:11">
      <c r="A16494" s="688" t="s">
        <v>2240</v>
      </c>
      <c r="B16494" s="615">
        <v>44</v>
      </c>
      <c r="C16494" s="691">
        <v>44.3</v>
      </c>
      <c r="D16494" s="691">
        <v>44.1</v>
      </c>
      <c r="E16494" s="691">
        <v>44.6</v>
      </c>
      <c r="F16494" s="691">
        <v>44.5</v>
      </c>
      <c r="G16494" s="691">
        <v>44.6</v>
      </c>
      <c r="H16494" s="691">
        <v>44.8</v>
      </c>
      <c r="I16494" s="691">
        <v>43.9</v>
      </c>
      <c r="J16494" s="691">
        <v>43.2</v>
      </c>
      <c r="K16494" s="691">
        <v>44.6</v>
      </c>
    </row>
    <row r="16495" spans="1:11">
      <c r="A16495" s="688" t="s">
        <v>2</v>
      </c>
      <c r="B16495" s="693">
        <v>45</v>
      </c>
      <c r="C16495" s="689">
        <v>45.3</v>
      </c>
      <c r="D16495" s="689">
        <v>45.3</v>
      </c>
      <c r="E16495" s="689">
        <v>45.4</v>
      </c>
      <c r="F16495" s="689">
        <v>45.7</v>
      </c>
      <c r="G16495" s="689">
        <v>45.6</v>
      </c>
      <c r="H16495" s="693">
        <v>46</v>
      </c>
      <c r="I16495" s="689">
        <v>46.1</v>
      </c>
      <c r="J16495" s="689">
        <v>45.9</v>
      </c>
      <c r="K16495" s="689">
        <v>45.8</v>
      </c>
    </row>
    <row r="16496" spans="1:11">
      <c r="A16496" s="688" t="s">
        <v>3</v>
      </c>
      <c r="B16496" s="691">
        <v>45.7</v>
      </c>
      <c r="C16496" s="615">
        <v>46</v>
      </c>
      <c r="D16496" s="691">
        <v>45.7</v>
      </c>
      <c r="E16496" s="615">
        <v>46</v>
      </c>
      <c r="F16496" s="615">
        <v>46</v>
      </c>
      <c r="G16496" s="691">
        <v>45.9</v>
      </c>
      <c r="H16496" s="691">
        <v>46.2</v>
      </c>
      <c r="I16496" s="691">
        <v>46.1</v>
      </c>
      <c r="J16496" s="691">
        <v>45.8</v>
      </c>
      <c r="K16496" s="691">
        <v>45.6</v>
      </c>
    </row>
    <row r="16497" spans="1:11">
      <c r="A16497" s="688" t="s">
        <v>4061</v>
      </c>
      <c r="B16497" s="689">
        <v>45.7</v>
      </c>
      <c r="C16497" s="693">
        <v>46</v>
      </c>
      <c r="D16497" s="689">
        <v>45.7</v>
      </c>
      <c r="E16497" s="693">
        <v>46</v>
      </c>
      <c r="F16497" s="693">
        <v>46</v>
      </c>
      <c r="G16497" s="689">
        <v>45.9</v>
      </c>
      <c r="H16497" s="689">
        <v>46.2</v>
      </c>
      <c r="I16497" s="689">
        <v>46.1</v>
      </c>
      <c r="J16497" s="689">
        <v>45.8</v>
      </c>
      <c r="K16497" s="689">
        <v>45.6</v>
      </c>
    </row>
    <row r="16498" spans="1:11">
      <c r="A16498" s="688" t="s">
        <v>4</v>
      </c>
      <c r="B16498" s="691">
        <v>44.6</v>
      </c>
      <c r="C16498" s="691">
        <v>44.5</v>
      </c>
      <c r="D16498" s="691">
        <v>44.8</v>
      </c>
      <c r="E16498" s="615">
        <v>45</v>
      </c>
      <c r="F16498" s="691">
        <v>45.1</v>
      </c>
      <c r="G16498" s="691">
        <v>45.1</v>
      </c>
      <c r="H16498" s="691">
        <v>45.5</v>
      </c>
      <c r="I16498" s="691">
        <v>45.4</v>
      </c>
      <c r="J16498" s="691">
        <v>44.1</v>
      </c>
      <c r="K16498" s="691">
        <v>45.1</v>
      </c>
    </row>
    <row r="16499" spans="1:11">
      <c r="A16499" s="688" t="s">
        <v>8</v>
      </c>
      <c r="B16499" s="689">
        <v>45.8</v>
      </c>
      <c r="C16499" s="689">
        <v>45.9</v>
      </c>
      <c r="D16499" s="689">
        <v>45.9</v>
      </c>
      <c r="E16499" s="689">
        <v>46.1</v>
      </c>
      <c r="F16499" s="689">
        <v>46.5</v>
      </c>
      <c r="G16499" s="689">
        <v>46.5</v>
      </c>
      <c r="H16499" s="689">
        <v>46.9</v>
      </c>
      <c r="I16499" s="689">
        <v>46.7</v>
      </c>
      <c r="J16499" s="689">
        <v>46.6</v>
      </c>
      <c r="K16499" s="689">
        <v>46.6</v>
      </c>
    </row>
    <row r="16500" spans="1:11">
      <c r="A16500" s="688" t="s">
        <v>7</v>
      </c>
      <c r="B16500" s="691">
        <v>46.7</v>
      </c>
      <c r="C16500" s="691">
        <v>46.5</v>
      </c>
      <c r="D16500" s="691">
        <v>46.3</v>
      </c>
      <c r="E16500" s="691">
        <v>46.5</v>
      </c>
      <c r="F16500" s="691">
        <v>46.4</v>
      </c>
      <c r="G16500" s="691">
        <v>46.9</v>
      </c>
      <c r="H16500" s="691">
        <v>46.8</v>
      </c>
      <c r="I16500" s="691">
        <v>46.4</v>
      </c>
      <c r="J16500" s="691">
        <v>45.6</v>
      </c>
      <c r="K16500" s="615">
        <v>46</v>
      </c>
    </row>
    <row r="16501" spans="1:11">
      <c r="A16501" s="688" t="s">
        <v>27</v>
      </c>
      <c r="B16501" s="689">
        <v>48.7</v>
      </c>
      <c r="C16501" s="689">
        <v>48.2</v>
      </c>
      <c r="D16501" s="689">
        <v>47.9</v>
      </c>
      <c r="E16501" s="689">
        <v>48.3</v>
      </c>
      <c r="F16501" s="689">
        <v>48.3</v>
      </c>
      <c r="G16501" s="689">
        <v>48.4</v>
      </c>
      <c r="H16501" s="689">
        <v>48.7</v>
      </c>
      <c r="I16501" s="689">
        <v>47.5</v>
      </c>
      <c r="J16501" s="689">
        <v>48.4</v>
      </c>
      <c r="K16501" s="689">
        <v>48.3</v>
      </c>
    </row>
    <row r="16502" spans="1:11">
      <c r="A16502" s="688" t="s">
        <v>6</v>
      </c>
      <c r="B16502" s="691">
        <v>48.4</v>
      </c>
      <c r="C16502" s="691">
        <v>48.1</v>
      </c>
      <c r="D16502" s="691">
        <v>47.9</v>
      </c>
      <c r="E16502" s="691">
        <v>48.1</v>
      </c>
      <c r="F16502" s="691">
        <v>48.1</v>
      </c>
      <c r="G16502" s="691">
        <v>48.2</v>
      </c>
      <c r="H16502" s="691">
        <v>48.3</v>
      </c>
      <c r="I16502" s="691">
        <v>47.9</v>
      </c>
      <c r="J16502" s="615">
        <v>48</v>
      </c>
      <c r="K16502" s="691">
        <v>47.9</v>
      </c>
    </row>
    <row r="16503" spans="1:11">
      <c r="A16503" s="688" t="s">
        <v>4058</v>
      </c>
      <c r="B16503" s="690" t="s">
        <v>4060</v>
      </c>
      <c r="C16503" s="690" t="s">
        <v>4060</v>
      </c>
      <c r="D16503" s="690" t="s">
        <v>4060</v>
      </c>
      <c r="E16503" s="690" t="s">
        <v>4060</v>
      </c>
      <c r="F16503" s="690" t="s">
        <v>4060</v>
      </c>
      <c r="G16503" s="690" t="s">
        <v>4060</v>
      </c>
      <c r="H16503" s="690" t="s">
        <v>4060</v>
      </c>
      <c r="I16503" s="690" t="s">
        <v>4060</v>
      </c>
      <c r="J16503" s="690" t="s">
        <v>4060</v>
      </c>
      <c r="K16503" s="690" t="s">
        <v>4060</v>
      </c>
    </row>
    <row r="16504" spans="1:11">
      <c r="A16504" s="688" t="s">
        <v>11</v>
      </c>
      <c r="B16504" s="691">
        <v>43.8</v>
      </c>
      <c r="C16504" s="691">
        <v>43.6</v>
      </c>
      <c r="D16504" s="691">
        <v>43.2</v>
      </c>
      <c r="E16504" s="691">
        <v>43.9</v>
      </c>
      <c r="F16504" s="691">
        <v>43.5</v>
      </c>
      <c r="G16504" s="691">
        <v>43.9</v>
      </c>
      <c r="H16504" s="691">
        <v>44.1</v>
      </c>
      <c r="I16504" s="691">
        <v>43.4</v>
      </c>
      <c r="J16504" s="691">
        <v>42.5</v>
      </c>
      <c r="K16504" s="691">
        <v>43.5</v>
      </c>
    </row>
    <row r="16505" spans="1:11">
      <c r="A16505" s="688" t="s">
        <v>10</v>
      </c>
      <c r="B16505" s="689">
        <v>47.8</v>
      </c>
      <c r="C16505" s="689">
        <v>47.6</v>
      </c>
      <c r="D16505" s="689">
        <v>47.1</v>
      </c>
      <c r="E16505" s="689">
        <v>47.7</v>
      </c>
      <c r="F16505" s="689">
        <v>47.5</v>
      </c>
      <c r="G16505" s="689">
        <v>47.8</v>
      </c>
      <c r="H16505" s="693">
        <v>48</v>
      </c>
      <c r="I16505" s="693">
        <v>47</v>
      </c>
      <c r="J16505" s="689">
        <v>47.3</v>
      </c>
      <c r="K16505" s="689">
        <v>47.3</v>
      </c>
    </row>
    <row r="16506" spans="1:11">
      <c r="A16506" s="688" t="s">
        <v>30</v>
      </c>
      <c r="B16506" s="691">
        <v>47.3</v>
      </c>
      <c r="C16506" s="691">
        <v>46.7</v>
      </c>
      <c r="D16506" s="691">
        <v>46.3</v>
      </c>
      <c r="E16506" s="691">
        <v>47.3</v>
      </c>
      <c r="F16506" s="691">
        <v>46.9</v>
      </c>
      <c r="G16506" s="691">
        <v>47.3</v>
      </c>
      <c r="H16506" s="691">
        <v>47.1</v>
      </c>
      <c r="I16506" s="691">
        <v>47.1</v>
      </c>
      <c r="J16506" s="691">
        <v>46.3</v>
      </c>
      <c r="K16506" s="691">
        <v>46.7</v>
      </c>
    </row>
    <row r="16507" spans="1:11">
      <c r="A16507" s="688" t="s">
        <v>12</v>
      </c>
      <c r="B16507" s="689">
        <v>42.1</v>
      </c>
      <c r="C16507" s="689">
        <v>42.5</v>
      </c>
      <c r="D16507" s="689">
        <v>42.4</v>
      </c>
      <c r="E16507" s="689">
        <v>42.5</v>
      </c>
      <c r="F16507" s="689">
        <v>42.7</v>
      </c>
      <c r="G16507" s="689">
        <v>42.6</v>
      </c>
      <c r="H16507" s="689">
        <v>43.1</v>
      </c>
      <c r="I16507" s="689">
        <v>42.9</v>
      </c>
      <c r="J16507" s="689">
        <v>40.9</v>
      </c>
      <c r="K16507" s="689">
        <v>42.4</v>
      </c>
    </row>
    <row r="16508" spans="1:11">
      <c r="A16508" s="688" t="s">
        <v>14</v>
      </c>
      <c r="B16508" s="691">
        <v>42.7</v>
      </c>
      <c r="C16508" s="615">
        <v>43</v>
      </c>
      <c r="D16508" s="691">
        <v>42.7</v>
      </c>
      <c r="E16508" s="615">
        <v>43</v>
      </c>
      <c r="F16508" s="691">
        <v>43.2</v>
      </c>
      <c r="G16508" s="691">
        <v>43.5</v>
      </c>
      <c r="H16508" s="691">
        <v>43.8</v>
      </c>
      <c r="I16508" s="691">
        <v>42.8</v>
      </c>
      <c r="J16508" s="691">
        <v>41.8</v>
      </c>
      <c r="K16508" s="615">
        <v>43</v>
      </c>
    </row>
    <row r="16509" spans="1:11">
      <c r="A16509" s="688" t="s">
        <v>15</v>
      </c>
      <c r="B16509" s="689">
        <v>46.7</v>
      </c>
      <c r="C16509" s="689">
        <v>47.2</v>
      </c>
      <c r="D16509" s="689">
        <v>46.5</v>
      </c>
      <c r="E16509" s="689">
        <v>47.3</v>
      </c>
      <c r="F16509" s="689">
        <v>46.5</v>
      </c>
      <c r="G16509" s="693">
        <v>47</v>
      </c>
      <c r="H16509" s="689">
        <v>47.3</v>
      </c>
      <c r="I16509" s="689">
        <v>47.1</v>
      </c>
      <c r="J16509" s="689">
        <v>47.3</v>
      </c>
      <c r="K16509" s="689">
        <v>47.5</v>
      </c>
    </row>
    <row r="16510" spans="1:11">
      <c r="A16510" s="688" t="s">
        <v>29</v>
      </c>
      <c r="B16510" s="615">
        <v>42</v>
      </c>
      <c r="C16510" s="615">
        <v>42</v>
      </c>
      <c r="D16510" s="691">
        <v>41.6</v>
      </c>
      <c r="E16510" s="691">
        <v>42.2</v>
      </c>
      <c r="F16510" s="691">
        <v>41.9</v>
      </c>
      <c r="G16510" s="691">
        <v>42.1</v>
      </c>
      <c r="H16510" s="691">
        <v>42.3</v>
      </c>
      <c r="I16510" s="691">
        <v>41.5</v>
      </c>
      <c r="J16510" s="691">
        <v>40.4</v>
      </c>
      <c r="K16510" s="615">
        <v>42</v>
      </c>
    </row>
    <row r="16511" spans="1:11">
      <c r="A16511" s="688" t="s">
        <v>16</v>
      </c>
      <c r="B16511" s="689">
        <v>46.8</v>
      </c>
      <c r="C16511" s="689">
        <v>46.6</v>
      </c>
      <c r="D16511" s="689">
        <v>46.6</v>
      </c>
      <c r="E16511" s="689">
        <v>46.8</v>
      </c>
      <c r="F16511" s="689">
        <v>46.9</v>
      </c>
      <c r="G16511" s="689">
        <v>46.8</v>
      </c>
      <c r="H16511" s="689">
        <v>47.2</v>
      </c>
      <c r="I16511" s="689">
        <v>46.8</v>
      </c>
      <c r="J16511" s="689">
        <v>46.5</v>
      </c>
      <c r="K16511" s="689">
        <v>46.8</v>
      </c>
    </row>
    <row r="16512" spans="1:11">
      <c r="A16512" s="688" t="s">
        <v>17</v>
      </c>
      <c r="B16512" s="691">
        <v>45.9</v>
      </c>
      <c r="C16512" s="615">
        <v>46</v>
      </c>
      <c r="D16512" s="691">
        <v>45.8</v>
      </c>
      <c r="E16512" s="691">
        <v>45.8</v>
      </c>
      <c r="F16512" s="615">
        <v>46</v>
      </c>
      <c r="G16512" s="615">
        <v>46</v>
      </c>
      <c r="H16512" s="691">
        <v>46.3</v>
      </c>
      <c r="I16512" s="691">
        <v>45.8</v>
      </c>
      <c r="J16512" s="691">
        <v>45.7</v>
      </c>
      <c r="K16512" s="691">
        <v>45.8</v>
      </c>
    </row>
    <row r="16513" spans="1:11">
      <c r="A16513" s="688" t="s">
        <v>19</v>
      </c>
      <c r="B16513" s="689">
        <v>46.5</v>
      </c>
      <c r="C16513" s="689">
        <v>46.5</v>
      </c>
      <c r="D16513" s="689">
        <v>46.2</v>
      </c>
      <c r="E16513" s="689">
        <v>46.7</v>
      </c>
      <c r="F16513" s="689">
        <v>46.6</v>
      </c>
      <c r="G16513" s="689">
        <v>46.6</v>
      </c>
      <c r="H16513" s="689">
        <v>46.9</v>
      </c>
      <c r="I16513" s="689">
        <v>46.4</v>
      </c>
      <c r="J16513" s="689">
        <v>46.4</v>
      </c>
      <c r="K16513" s="689">
        <v>46.5</v>
      </c>
    </row>
    <row r="16514" spans="1:11">
      <c r="A16514" s="688" t="s">
        <v>20</v>
      </c>
      <c r="B16514" s="691">
        <v>44.1</v>
      </c>
      <c r="C16514" s="691">
        <v>44.2</v>
      </c>
      <c r="D16514" s="691">
        <v>44.1</v>
      </c>
      <c r="E16514" s="691">
        <v>44.5</v>
      </c>
      <c r="F16514" s="691">
        <v>44.3</v>
      </c>
      <c r="G16514" s="691">
        <v>44.3</v>
      </c>
      <c r="H16514" s="691">
        <v>44.5</v>
      </c>
      <c r="I16514" s="691">
        <v>43.4</v>
      </c>
      <c r="J16514" s="691">
        <v>42.4</v>
      </c>
      <c r="K16514" s="691">
        <v>43.9</v>
      </c>
    </row>
    <row r="16515" spans="1:11">
      <c r="A16515" s="688" t="s">
        <v>21</v>
      </c>
      <c r="B16515" s="689">
        <v>46.7</v>
      </c>
      <c r="C16515" s="693">
        <v>47</v>
      </c>
      <c r="D16515" s="689">
        <v>46.9</v>
      </c>
      <c r="E16515" s="689">
        <v>46.9</v>
      </c>
      <c r="F16515" s="689">
        <v>47.2</v>
      </c>
      <c r="G16515" s="689">
        <v>47.2</v>
      </c>
      <c r="H16515" s="689">
        <v>47.4</v>
      </c>
      <c r="I16515" s="689">
        <v>46.8</v>
      </c>
      <c r="J16515" s="689">
        <v>46.9</v>
      </c>
      <c r="K16515" s="689">
        <v>47.1</v>
      </c>
    </row>
    <row r="16516" spans="1:11">
      <c r="A16516" s="688" t="s">
        <v>22</v>
      </c>
      <c r="B16516" s="691">
        <v>42.1</v>
      </c>
      <c r="C16516" s="691">
        <v>41.9</v>
      </c>
      <c r="D16516" s="691">
        <v>41.8</v>
      </c>
      <c r="E16516" s="691">
        <v>42.1</v>
      </c>
      <c r="F16516" s="691">
        <v>42.1</v>
      </c>
      <c r="G16516" s="691">
        <v>42.2</v>
      </c>
      <c r="H16516" s="691">
        <v>42.5</v>
      </c>
      <c r="I16516" s="691">
        <v>41.3</v>
      </c>
      <c r="J16516" s="691">
        <v>39.799999999999997</v>
      </c>
      <c r="K16516" s="691">
        <v>42.2</v>
      </c>
    </row>
    <row r="16517" spans="1:11">
      <c r="A16517" s="688" t="s">
        <v>26</v>
      </c>
      <c r="B16517" s="689">
        <v>46.3</v>
      </c>
      <c r="C16517" s="689">
        <v>46.3</v>
      </c>
      <c r="D16517" s="689">
        <v>46.1</v>
      </c>
      <c r="E16517" s="689">
        <v>46.5</v>
      </c>
      <c r="F16517" s="689">
        <v>46.3</v>
      </c>
      <c r="G16517" s="689">
        <v>46.5</v>
      </c>
      <c r="H16517" s="689">
        <v>46.7</v>
      </c>
      <c r="I16517" s="689">
        <v>45.8</v>
      </c>
      <c r="J16517" s="689">
        <v>46.2</v>
      </c>
      <c r="K16517" s="689">
        <v>46.5</v>
      </c>
    </row>
    <row r="16518" spans="1:11">
      <c r="A16518" s="688" t="s">
        <v>25</v>
      </c>
      <c r="B16518" s="691">
        <v>43.1</v>
      </c>
      <c r="C16518" s="691">
        <v>43.4</v>
      </c>
      <c r="D16518" s="691">
        <v>43.1</v>
      </c>
      <c r="E16518" s="691">
        <v>43.6</v>
      </c>
      <c r="F16518" s="691">
        <v>43.5</v>
      </c>
      <c r="G16518" s="691">
        <v>43.6</v>
      </c>
      <c r="H16518" s="615">
        <v>44</v>
      </c>
      <c r="I16518" s="691">
        <v>43.3</v>
      </c>
      <c r="J16518" s="691">
        <v>41.2</v>
      </c>
      <c r="K16518" s="691">
        <v>43.4</v>
      </c>
    </row>
    <row r="16519" spans="1:11">
      <c r="A16519" s="688" t="s">
        <v>5</v>
      </c>
      <c r="B16519" s="689">
        <v>46.8</v>
      </c>
      <c r="C16519" s="689">
        <v>46.6</v>
      </c>
      <c r="D16519" s="689">
        <v>46.7</v>
      </c>
      <c r="E16519" s="689">
        <v>46.8</v>
      </c>
      <c r="F16519" s="689">
        <v>46.9</v>
      </c>
      <c r="G16519" s="693">
        <v>47</v>
      </c>
      <c r="H16519" s="689">
        <v>47.3</v>
      </c>
      <c r="I16519" s="689">
        <v>47.3</v>
      </c>
      <c r="J16519" s="689">
        <v>47.2</v>
      </c>
      <c r="K16519" s="689">
        <v>46.5</v>
      </c>
    </row>
    <row r="16520" spans="1:11">
      <c r="A16520" s="688" t="s">
        <v>23</v>
      </c>
      <c r="B16520" s="691">
        <v>46.4</v>
      </c>
      <c r="C16520" s="691">
        <v>46.7</v>
      </c>
      <c r="D16520" s="691">
        <v>46.7</v>
      </c>
      <c r="E16520" s="691">
        <v>46.7</v>
      </c>
      <c r="F16520" s="691">
        <v>46.8</v>
      </c>
      <c r="G16520" s="691">
        <v>46.9</v>
      </c>
      <c r="H16520" s="691">
        <v>47.4</v>
      </c>
      <c r="I16520" s="691">
        <v>46.9</v>
      </c>
      <c r="J16520" s="691">
        <v>47.4</v>
      </c>
      <c r="K16520" s="691">
        <v>47.3</v>
      </c>
    </row>
    <row r="16521" spans="1:11">
      <c r="A16521" s="688" t="s">
        <v>4067</v>
      </c>
      <c r="B16521" s="689">
        <v>46.1</v>
      </c>
      <c r="C16521" s="689">
        <v>46.4</v>
      </c>
      <c r="D16521" s="693">
        <v>46</v>
      </c>
      <c r="E16521" s="689">
        <v>46.4</v>
      </c>
      <c r="F16521" s="689">
        <v>46.3</v>
      </c>
      <c r="G16521" s="689">
        <v>46.4</v>
      </c>
      <c r="H16521" s="690" t="s">
        <v>4060</v>
      </c>
      <c r="I16521" s="690" t="s">
        <v>4060</v>
      </c>
      <c r="J16521" s="690" t="s">
        <v>4060</v>
      </c>
      <c r="K16521" s="690" t="s">
        <v>4060</v>
      </c>
    </row>
    <row r="16522" spans="1:11">
      <c r="A16522" s="688" t="s">
        <v>4066</v>
      </c>
      <c r="B16522" s="691">
        <v>46.1</v>
      </c>
      <c r="C16522" s="691">
        <v>46.4</v>
      </c>
      <c r="D16522" s="615">
        <v>46</v>
      </c>
      <c r="E16522" s="691">
        <v>46.4</v>
      </c>
      <c r="F16522" s="691">
        <v>46.3</v>
      </c>
      <c r="G16522" s="691">
        <v>46.4</v>
      </c>
      <c r="H16522" s="692" t="s">
        <v>4060</v>
      </c>
      <c r="I16522" s="692" t="s">
        <v>4060</v>
      </c>
      <c r="J16522" s="692" t="s">
        <v>4060</v>
      </c>
      <c r="K16522" s="692" t="s">
        <v>4060</v>
      </c>
    </row>
    <row r="16523" spans="1:11">
      <c r="A16523" s="688" t="s">
        <v>4062</v>
      </c>
      <c r="B16523" s="689">
        <v>47.2</v>
      </c>
      <c r="C16523" s="689">
        <v>47.4</v>
      </c>
      <c r="D16523" s="689">
        <v>47.2</v>
      </c>
      <c r="E16523" s="689">
        <v>47.5</v>
      </c>
      <c r="F16523" s="689">
        <v>47.6</v>
      </c>
      <c r="G16523" s="689">
        <v>47.7</v>
      </c>
      <c r="H16523" s="689">
        <v>47.8</v>
      </c>
      <c r="I16523" s="689">
        <v>47.6</v>
      </c>
      <c r="J16523" s="689">
        <v>47.9</v>
      </c>
      <c r="K16523" s="689">
        <v>47.6</v>
      </c>
    </row>
    <row r="16524" spans="1:11">
      <c r="A16524" s="688" t="s">
        <v>9</v>
      </c>
      <c r="B16524" s="691">
        <v>46.3</v>
      </c>
      <c r="C16524" s="691">
        <v>46.9</v>
      </c>
      <c r="D16524" s="691">
        <v>46.2</v>
      </c>
      <c r="E16524" s="691">
        <v>46.3</v>
      </c>
      <c r="F16524" s="691">
        <v>46.9</v>
      </c>
      <c r="G16524" s="691">
        <v>46.8</v>
      </c>
      <c r="H16524" s="615">
        <v>47</v>
      </c>
      <c r="I16524" s="615">
        <v>47</v>
      </c>
      <c r="J16524" s="691">
        <v>47.1</v>
      </c>
      <c r="K16524" s="691">
        <v>46.2</v>
      </c>
    </row>
    <row r="16525" spans="1:11">
      <c r="A16525" s="688" t="s">
        <v>13</v>
      </c>
      <c r="B16525" s="689">
        <v>47.4</v>
      </c>
      <c r="C16525" s="689">
        <v>46.1</v>
      </c>
      <c r="D16525" s="689">
        <v>46.9</v>
      </c>
      <c r="E16525" s="689">
        <v>47.2</v>
      </c>
      <c r="F16525" s="693">
        <v>48</v>
      </c>
      <c r="G16525" s="689">
        <v>47.9</v>
      </c>
      <c r="H16525" s="689">
        <v>47.8</v>
      </c>
      <c r="I16525" s="689">
        <v>47.1</v>
      </c>
      <c r="J16525" s="689">
        <v>48.1</v>
      </c>
      <c r="K16525" s="689">
        <v>47.8</v>
      </c>
    </row>
    <row r="16526" spans="1:11">
      <c r="A16526" s="688" t="s">
        <v>18</v>
      </c>
      <c r="B16526" s="691">
        <v>46.4</v>
      </c>
      <c r="C16526" s="691">
        <v>46.7</v>
      </c>
      <c r="D16526" s="691">
        <v>46.7</v>
      </c>
      <c r="E16526" s="691">
        <v>46.8</v>
      </c>
      <c r="F16526" s="691">
        <v>46.9</v>
      </c>
      <c r="G16526" s="615">
        <v>47</v>
      </c>
      <c r="H16526" s="691">
        <v>47.3</v>
      </c>
      <c r="I16526" s="691">
        <v>47.4</v>
      </c>
      <c r="J16526" s="691">
        <v>47.3</v>
      </c>
      <c r="K16526" s="691">
        <v>46.9</v>
      </c>
    </row>
    <row r="16527" spans="1:11">
      <c r="A16527" s="688" t="s">
        <v>24</v>
      </c>
      <c r="B16527" s="689">
        <v>47.7</v>
      </c>
      <c r="C16527" s="689">
        <v>47.8</v>
      </c>
      <c r="D16527" s="689">
        <v>47.5</v>
      </c>
      <c r="E16527" s="689">
        <v>47.9</v>
      </c>
      <c r="F16527" s="693">
        <v>48</v>
      </c>
      <c r="G16527" s="689">
        <v>48.1</v>
      </c>
      <c r="H16527" s="689">
        <v>48.2</v>
      </c>
      <c r="I16527" s="689">
        <v>47.7</v>
      </c>
      <c r="J16527" s="689">
        <v>48.2</v>
      </c>
      <c r="K16527" s="693">
        <v>48</v>
      </c>
    </row>
    <row r="16528" spans="1:11">
      <c r="A16528" s="688" t="s">
        <v>4059</v>
      </c>
      <c r="B16528" s="691">
        <v>45.7</v>
      </c>
      <c r="C16528" s="615">
        <v>46</v>
      </c>
      <c r="D16528" s="691">
        <v>45.6</v>
      </c>
      <c r="E16528" s="691">
        <v>45.8</v>
      </c>
      <c r="F16528" s="691">
        <v>45.9</v>
      </c>
      <c r="G16528" s="691">
        <v>45.9</v>
      </c>
      <c r="H16528" s="692" t="s">
        <v>4060</v>
      </c>
      <c r="I16528" s="692" t="s">
        <v>4060</v>
      </c>
      <c r="J16528" s="692" t="s">
        <v>4060</v>
      </c>
      <c r="K16528" s="692" t="s">
        <v>4060</v>
      </c>
    </row>
    <row r="16529" spans="1:11">
      <c r="A16529" s="688" t="s">
        <v>2324</v>
      </c>
      <c r="B16529" s="689">
        <v>41.8</v>
      </c>
      <c r="C16529" s="689">
        <v>41.8</v>
      </c>
      <c r="D16529" s="689">
        <v>41.3</v>
      </c>
      <c r="E16529" s="689">
        <v>41.7</v>
      </c>
      <c r="F16529" s="693">
        <v>42</v>
      </c>
      <c r="G16529" s="689">
        <v>41.9</v>
      </c>
      <c r="H16529" s="689">
        <v>42.2</v>
      </c>
      <c r="I16529" s="689">
        <v>41.5</v>
      </c>
      <c r="J16529" s="689">
        <v>39.6</v>
      </c>
      <c r="K16529" s="690" t="s">
        <v>4060</v>
      </c>
    </row>
    <row r="16530" spans="1:11">
      <c r="A16530" s="688" t="s">
        <v>2322</v>
      </c>
      <c r="B16530" s="692" t="s">
        <v>4060</v>
      </c>
      <c r="C16530" s="692" t="s">
        <v>4060</v>
      </c>
      <c r="D16530" s="692" t="s">
        <v>4060</v>
      </c>
      <c r="E16530" s="692" t="s">
        <v>4060</v>
      </c>
      <c r="F16530" s="692" t="s">
        <v>4060</v>
      </c>
      <c r="G16530" s="692" t="s">
        <v>4060</v>
      </c>
      <c r="H16530" s="692" t="s">
        <v>4060</v>
      </c>
      <c r="I16530" s="692" t="s">
        <v>4060</v>
      </c>
      <c r="J16530" s="692" t="s">
        <v>4060</v>
      </c>
      <c r="K16530" s="692" t="s">
        <v>4060</v>
      </c>
    </row>
    <row r="16531" spans="1:11">
      <c r="A16531" s="688" t="s">
        <v>2328</v>
      </c>
      <c r="B16531" s="689">
        <v>40.9</v>
      </c>
      <c r="C16531" s="689">
        <v>40.700000000000003</v>
      </c>
      <c r="D16531" s="689">
        <v>40.6</v>
      </c>
      <c r="E16531" s="693">
        <v>41</v>
      </c>
      <c r="F16531" s="689">
        <v>41.1</v>
      </c>
      <c r="G16531" s="689">
        <v>41.6</v>
      </c>
      <c r="H16531" s="689">
        <v>41.4</v>
      </c>
      <c r="I16531" s="689">
        <v>39.700000000000003</v>
      </c>
      <c r="J16531" s="689">
        <v>38.4</v>
      </c>
      <c r="K16531" s="690" t="s">
        <v>4060</v>
      </c>
    </row>
    <row r="16532" spans="1:11">
      <c r="A16532" s="688" t="s">
        <v>2496</v>
      </c>
      <c r="B16532" s="692" t="s">
        <v>4060</v>
      </c>
      <c r="C16532" s="691">
        <v>41.8</v>
      </c>
      <c r="D16532" s="691">
        <v>40.9</v>
      </c>
      <c r="E16532" s="691">
        <v>40.6</v>
      </c>
      <c r="F16532" s="691">
        <v>41.3</v>
      </c>
      <c r="G16532" s="691">
        <v>41.6</v>
      </c>
      <c r="H16532" s="691">
        <v>41.6</v>
      </c>
      <c r="I16532" s="692" t="s">
        <v>4060</v>
      </c>
      <c r="J16532" s="692" t="s">
        <v>4060</v>
      </c>
      <c r="K16532" s="691">
        <v>41.3</v>
      </c>
    </row>
    <row r="16533" spans="1:11">
      <c r="A16533" s="688" t="s">
        <v>2269</v>
      </c>
      <c r="B16533" s="689">
        <v>43.5</v>
      </c>
      <c r="C16533" s="689">
        <v>43.6</v>
      </c>
      <c r="D16533" s="693">
        <v>43</v>
      </c>
      <c r="E16533" s="689">
        <v>43.5</v>
      </c>
      <c r="F16533" s="689">
        <v>43.3</v>
      </c>
      <c r="G16533" s="689">
        <v>43.8</v>
      </c>
      <c r="H16533" s="693">
        <v>44</v>
      </c>
      <c r="I16533" s="689">
        <v>42.8</v>
      </c>
      <c r="J16533" s="689">
        <v>40.799999999999997</v>
      </c>
      <c r="K16533" s="689">
        <v>43.7</v>
      </c>
    </row>
    <row r="16534" spans="1:11">
      <c r="A16534" s="688" t="s">
        <v>2349</v>
      </c>
      <c r="B16534" s="691">
        <v>40.9</v>
      </c>
      <c r="C16534" s="691">
        <v>40.9</v>
      </c>
      <c r="D16534" s="691">
        <v>40.9</v>
      </c>
      <c r="E16534" s="691">
        <v>41.2</v>
      </c>
      <c r="F16534" s="615">
        <v>41</v>
      </c>
      <c r="G16534" s="691">
        <v>41.3</v>
      </c>
      <c r="H16534" s="691">
        <v>41.5</v>
      </c>
      <c r="I16534" s="691">
        <v>40.299999999999997</v>
      </c>
      <c r="J16534" s="691">
        <v>38.6</v>
      </c>
      <c r="K16534" s="691">
        <v>40.6</v>
      </c>
    </row>
    <row r="16535" spans="1:11">
      <c r="A16535" s="688" t="s">
        <v>2355</v>
      </c>
      <c r="B16535" s="689">
        <v>44.8</v>
      </c>
      <c r="C16535" s="689">
        <v>44.5</v>
      </c>
      <c r="D16535" s="689">
        <v>44.5</v>
      </c>
      <c r="E16535" s="689">
        <v>44.5</v>
      </c>
      <c r="F16535" s="689">
        <v>44.7</v>
      </c>
      <c r="G16535" s="693">
        <v>45</v>
      </c>
      <c r="H16535" s="689">
        <v>45.1</v>
      </c>
      <c r="I16535" s="690" t="s">
        <v>4060</v>
      </c>
      <c r="J16535" s="690" t="s">
        <v>4060</v>
      </c>
      <c r="K16535" s="690" t="s">
        <v>4060</v>
      </c>
    </row>
    <row r="16536" spans="1:11">
      <c r="A16536" s="688" t="s">
        <v>2357</v>
      </c>
      <c r="B16536" s="692" t="s">
        <v>4060</v>
      </c>
      <c r="C16536" s="691">
        <v>40.4</v>
      </c>
      <c r="D16536" s="691">
        <v>40.9</v>
      </c>
      <c r="E16536" s="691">
        <v>41.1</v>
      </c>
      <c r="F16536" s="691">
        <v>41.4</v>
      </c>
      <c r="G16536" s="691">
        <v>41.4</v>
      </c>
      <c r="H16536" s="691">
        <v>41.6</v>
      </c>
      <c r="I16536" s="692" t="s">
        <v>4060</v>
      </c>
      <c r="J16536" s="692" t="s">
        <v>4060</v>
      </c>
      <c r="K16536" s="692" t="s">
        <v>4060</v>
      </c>
    </row>
    <row r="16537" spans="1:11">
      <c r="A16537" s="688" t="s">
        <v>4070</v>
      </c>
      <c r="B16537" s="690" t="s">
        <v>4060</v>
      </c>
      <c r="C16537" s="690" t="s">
        <v>4060</v>
      </c>
      <c r="D16537" s="690" t="s">
        <v>4060</v>
      </c>
      <c r="E16537" s="689">
        <v>44.5</v>
      </c>
      <c r="F16537" s="690" t="s">
        <v>4060</v>
      </c>
      <c r="G16537" s="690" t="s">
        <v>4060</v>
      </c>
      <c r="H16537" s="690" t="s">
        <v>4060</v>
      </c>
      <c r="I16537" s="690" t="s">
        <v>4060</v>
      </c>
      <c r="J16537" s="690" t="s">
        <v>4060</v>
      </c>
      <c r="K16537" s="690" t="s">
        <v>4060</v>
      </c>
    </row>
    <row r="16538" spans="1:11">
      <c r="A16538" s="688" t="s">
        <v>2491</v>
      </c>
      <c r="B16538" s="691">
        <v>41.2</v>
      </c>
      <c r="C16538" s="691">
        <v>41.7</v>
      </c>
      <c r="D16538" s="615">
        <v>42</v>
      </c>
      <c r="E16538" s="691">
        <v>42.1</v>
      </c>
      <c r="F16538" s="691">
        <v>42.3</v>
      </c>
      <c r="G16538" s="691">
        <v>42.3</v>
      </c>
      <c r="H16538" s="692" t="s">
        <v>4060</v>
      </c>
      <c r="I16538" s="692" t="s">
        <v>4060</v>
      </c>
      <c r="J16538" s="692" t="s">
        <v>4060</v>
      </c>
      <c r="K16538" s="692" t="s">
        <v>4060</v>
      </c>
    </row>
    <row r="16539" spans="1:11">
      <c r="A16539" s="688" t="s">
        <v>2343</v>
      </c>
      <c r="B16539" s="690" t="s">
        <v>4060</v>
      </c>
      <c r="C16539" s="690" t="s">
        <v>4060</v>
      </c>
      <c r="D16539" s="690" t="s">
        <v>4060</v>
      </c>
      <c r="E16539" s="690" t="s">
        <v>4060</v>
      </c>
      <c r="F16539" s="690" t="s">
        <v>4060</v>
      </c>
      <c r="G16539" s="690" t="s">
        <v>4060</v>
      </c>
      <c r="H16539" s="690" t="s">
        <v>4060</v>
      </c>
      <c r="I16539" s="690" t="s">
        <v>4060</v>
      </c>
      <c r="J16539" s="690" t="s">
        <v>4060</v>
      </c>
      <c r="K16539" s="690" t="s">
        <v>4060</v>
      </c>
    </row>
    <row r="16540" spans="1:11">
      <c r="A16540" s="688" t="s">
        <v>4071</v>
      </c>
      <c r="B16540" s="692" t="s">
        <v>4060</v>
      </c>
      <c r="C16540" s="692" t="s">
        <v>4060</v>
      </c>
      <c r="D16540" s="692" t="s">
        <v>4060</v>
      </c>
      <c r="E16540" s="692" t="s">
        <v>4060</v>
      </c>
      <c r="F16540" s="692" t="s">
        <v>4060</v>
      </c>
      <c r="G16540" s="692" t="s">
        <v>4060</v>
      </c>
      <c r="H16540" s="692" t="s">
        <v>4060</v>
      </c>
      <c r="I16540" s="692" t="s">
        <v>4060</v>
      </c>
      <c r="J16540" s="692" t="s">
        <v>4060</v>
      </c>
      <c r="K16540" s="692" t="s">
        <v>4060</v>
      </c>
    </row>
    <row r="16541" spans="1:11">
      <c r="A16541" s="688" t="s">
        <v>2489</v>
      </c>
      <c r="B16541" s="690" t="s">
        <v>4060</v>
      </c>
      <c r="C16541" s="690" t="s">
        <v>4060</v>
      </c>
      <c r="D16541" s="689">
        <v>41.5</v>
      </c>
      <c r="E16541" s="689">
        <v>41.6</v>
      </c>
      <c r="F16541" s="689">
        <v>42.1</v>
      </c>
      <c r="G16541" s="689">
        <v>42.8</v>
      </c>
      <c r="H16541" s="689">
        <v>42.8</v>
      </c>
      <c r="I16541" s="690" t="s">
        <v>4060</v>
      </c>
      <c r="J16541" s="690" t="s">
        <v>4060</v>
      </c>
      <c r="K16541" s="690" t="s">
        <v>4060</v>
      </c>
    </row>
    <row r="16542" spans="1:11">
      <c r="A16542" s="688" t="s">
        <v>2490</v>
      </c>
      <c r="B16542" s="691">
        <v>40.799999999999997</v>
      </c>
      <c r="C16542" s="691">
        <v>40.9</v>
      </c>
      <c r="D16542" s="691">
        <v>41.3</v>
      </c>
      <c r="E16542" s="692" t="s">
        <v>4060</v>
      </c>
      <c r="F16542" s="691">
        <v>41.5</v>
      </c>
      <c r="G16542" s="691">
        <v>41.9</v>
      </c>
      <c r="H16542" s="691">
        <v>42.5</v>
      </c>
      <c r="I16542" s="692" t="s">
        <v>4060</v>
      </c>
      <c r="J16542" s="692" t="s">
        <v>4060</v>
      </c>
      <c r="K16542" s="692" t="s">
        <v>4060</v>
      </c>
    </row>
    <row r="16544" spans="1:11">
      <c r="A16544" s="683" t="s">
        <v>4233</v>
      </c>
    </row>
    <row r="16545" spans="1:11">
      <c r="A16545" s="683" t="s">
        <v>4060</v>
      </c>
      <c r="B16545" s="682" t="s">
        <v>4234</v>
      </c>
    </row>
    <row r="16547" spans="1:11">
      <c r="A16547" s="682" t="s">
        <v>4332</v>
      </c>
    </row>
    <row r="16548" spans="1:11">
      <c r="A16548" s="682" t="s">
        <v>4210</v>
      </c>
      <c r="B16548" s="683" t="s">
        <v>4211</v>
      </c>
    </row>
    <row r="16549" spans="1:11">
      <c r="A16549" s="682" t="s">
        <v>4212</v>
      </c>
      <c r="B16549" s="682" t="s">
        <v>4213</v>
      </c>
    </row>
    <row r="16551" spans="1:11">
      <c r="A16551" s="683" t="s">
        <v>4214</v>
      </c>
      <c r="C16551" s="682" t="s">
        <v>4215</v>
      </c>
    </row>
    <row r="16552" spans="1:11">
      <c r="A16552" s="683" t="s">
        <v>4216</v>
      </c>
      <c r="C16552" s="682" t="s">
        <v>2967</v>
      </c>
    </row>
    <row r="16553" spans="1:11">
      <c r="A16553" s="683" t="s">
        <v>3893</v>
      </c>
      <c r="C16553" s="682" t="s">
        <v>2169</v>
      </c>
    </row>
    <row r="16554" spans="1:11">
      <c r="A16554" s="683" t="s">
        <v>4218</v>
      </c>
      <c r="C16554" s="682" t="s">
        <v>4274</v>
      </c>
    </row>
    <row r="16556" spans="1:11">
      <c r="A16556" s="684" t="s">
        <v>4220</v>
      </c>
      <c r="B16556" s="685" t="s">
        <v>4221</v>
      </c>
      <c r="C16556" s="685" t="s">
        <v>4222</v>
      </c>
      <c r="D16556" s="685" t="s">
        <v>4223</v>
      </c>
      <c r="E16556" s="685" t="s">
        <v>4224</v>
      </c>
      <c r="F16556" s="685" t="s">
        <v>4225</v>
      </c>
      <c r="G16556" s="685" t="s">
        <v>4226</v>
      </c>
      <c r="H16556" s="685" t="s">
        <v>4227</v>
      </c>
      <c r="I16556" s="685" t="s">
        <v>4228</v>
      </c>
      <c r="J16556" s="685" t="s">
        <v>4229</v>
      </c>
      <c r="K16556" s="685" t="s">
        <v>4230</v>
      </c>
    </row>
    <row r="16557" spans="1:11">
      <c r="A16557" s="686" t="s">
        <v>4231</v>
      </c>
      <c r="B16557" s="687" t="s">
        <v>4232</v>
      </c>
      <c r="C16557" s="687" t="s">
        <v>4232</v>
      </c>
      <c r="D16557" s="687" t="s">
        <v>4232</v>
      </c>
      <c r="E16557" s="687" t="s">
        <v>4232</v>
      </c>
      <c r="F16557" s="687" t="s">
        <v>4232</v>
      </c>
      <c r="G16557" s="687" t="s">
        <v>4232</v>
      </c>
      <c r="H16557" s="687" t="s">
        <v>4232</v>
      </c>
      <c r="I16557" s="687" t="s">
        <v>4232</v>
      </c>
      <c r="J16557" s="687" t="s">
        <v>4232</v>
      </c>
      <c r="K16557" s="687" t="s">
        <v>4232</v>
      </c>
    </row>
    <row r="16558" spans="1:11">
      <c r="A16558" s="688" t="s">
        <v>4064</v>
      </c>
      <c r="B16558" s="691">
        <v>45.1</v>
      </c>
      <c r="C16558" s="691">
        <v>45.1</v>
      </c>
      <c r="D16558" s="691">
        <v>45.1</v>
      </c>
      <c r="E16558" s="691">
        <v>45.2</v>
      </c>
      <c r="F16558" s="691">
        <v>45.2</v>
      </c>
      <c r="G16558" s="691">
        <v>45.3</v>
      </c>
      <c r="H16558" s="691">
        <v>45.5</v>
      </c>
      <c r="I16558" s="691">
        <v>44.8</v>
      </c>
      <c r="J16558" s="691">
        <v>44.5</v>
      </c>
      <c r="K16558" s="615">
        <v>45</v>
      </c>
    </row>
    <row r="16559" spans="1:11">
      <c r="A16559" s="688" t="s">
        <v>4065</v>
      </c>
      <c r="B16559" s="689">
        <v>45.1</v>
      </c>
      <c r="C16559" s="689">
        <v>45.4</v>
      </c>
      <c r="D16559" s="693">
        <v>45</v>
      </c>
      <c r="E16559" s="689">
        <v>45.4</v>
      </c>
      <c r="F16559" s="689">
        <v>45.3</v>
      </c>
      <c r="G16559" s="689">
        <v>45.4</v>
      </c>
      <c r="H16559" s="690" t="s">
        <v>4060</v>
      </c>
      <c r="I16559" s="690" t="s">
        <v>4060</v>
      </c>
      <c r="J16559" s="690" t="s">
        <v>4060</v>
      </c>
      <c r="K16559" s="690" t="s">
        <v>4060</v>
      </c>
    </row>
    <row r="16560" spans="1:11">
      <c r="A16560" s="688" t="s">
        <v>4063</v>
      </c>
      <c r="B16560" s="691">
        <v>45.1</v>
      </c>
      <c r="C16560" s="691">
        <v>45.4</v>
      </c>
      <c r="D16560" s="615">
        <v>45</v>
      </c>
      <c r="E16560" s="691">
        <v>45.4</v>
      </c>
      <c r="F16560" s="691">
        <v>45.3</v>
      </c>
      <c r="G16560" s="691">
        <v>45.4</v>
      </c>
      <c r="H16560" s="692" t="s">
        <v>4060</v>
      </c>
      <c r="I16560" s="692" t="s">
        <v>4060</v>
      </c>
      <c r="J16560" s="692" t="s">
        <v>4060</v>
      </c>
      <c r="K16560" s="692" t="s">
        <v>4060</v>
      </c>
    </row>
    <row r="16561" spans="1:11">
      <c r="A16561" s="688" t="s">
        <v>4069</v>
      </c>
      <c r="B16561" s="690" t="s">
        <v>4060</v>
      </c>
      <c r="C16561" s="689">
        <v>45.9</v>
      </c>
      <c r="D16561" s="689">
        <v>45.6</v>
      </c>
      <c r="E16561" s="693">
        <v>46</v>
      </c>
      <c r="F16561" s="689">
        <v>45.9</v>
      </c>
      <c r="G16561" s="693">
        <v>46</v>
      </c>
      <c r="H16561" s="689">
        <v>46.3</v>
      </c>
      <c r="I16561" s="689">
        <v>45.7</v>
      </c>
      <c r="J16561" s="689">
        <v>45.7</v>
      </c>
      <c r="K16561" s="689">
        <v>45.7</v>
      </c>
    </row>
    <row r="16562" spans="1:11">
      <c r="A16562" s="688" t="s">
        <v>4068</v>
      </c>
      <c r="B16562" s="615">
        <v>46</v>
      </c>
      <c r="C16562" s="692" t="s">
        <v>4060</v>
      </c>
      <c r="D16562" s="692" t="s">
        <v>4060</v>
      </c>
      <c r="E16562" s="692" t="s">
        <v>4060</v>
      </c>
      <c r="F16562" s="692" t="s">
        <v>4060</v>
      </c>
      <c r="G16562" s="692" t="s">
        <v>4060</v>
      </c>
      <c r="H16562" s="692" t="s">
        <v>4060</v>
      </c>
      <c r="I16562" s="692" t="s">
        <v>4060</v>
      </c>
      <c r="J16562" s="692" t="s">
        <v>4060</v>
      </c>
      <c r="K16562" s="692" t="s">
        <v>4060</v>
      </c>
    </row>
    <row r="16563" spans="1:11">
      <c r="A16563" s="688" t="s">
        <v>0</v>
      </c>
      <c r="B16563" s="693">
        <v>45</v>
      </c>
      <c r="C16563" s="689">
        <v>45.2</v>
      </c>
      <c r="D16563" s="689">
        <v>44.9</v>
      </c>
      <c r="E16563" s="689">
        <v>45.4</v>
      </c>
      <c r="F16563" s="689">
        <v>45.4</v>
      </c>
      <c r="G16563" s="689">
        <v>45.5</v>
      </c>
      <c r="H16563" s="689">
        <v>45.8</v>
      </c>
      <c r="I16563" s="689">
        <v>44.8</v>
      </c>
      <c r="J16563" s="689">
        <v>45.8</v>
      </c>
      <c r="K16563" s="689">
        <v>45.5</v>
      </c>
    </row>
    <row r="16564" spans="1:11">
      <c r="A16564" s="688" t="s">
        <v>1</v>
      </c>
      <c r="B16564" s="691">
        <v>40.9</v>
      </c>
      <c r="C16564" s="691">
        <v>40.299999999999997</v>
      </c>
      <c r="D16564" s="691">
        <v>40.4</v>
      </c>
      <c r="E16564" s="691">
        <v>40.6</v>
      </c>
      <c r="F16564" s="691">
        <v>40.4</v>
      </c>
      <c r="G16564" s="691">
        <v>40.700000000000003</v>
      </c>
      <c r="H16564" s="691">
        <v>40.9</v>
      </c>
      <c r="I16564" s="691">
        <v>39.5</v>
      </c>
      <c r="J16564" s="691">
        <v>37.4</v>
      </c>
      <c r="K16564" s="691">
        <v>40.1</v>
      </c>
    </row>
    <row r="16565" spans="1:11">
      <c r="A16565" s="688" t="s">
        <v>2240</v>
      </c>
      <c r="B16565" s="693">
        <v>43</v>
      </c>
      <c r="C16565" s="689">
        <v>43.4</v>
      </c>
      <c r="D16565" s="689">
        <v>43.1</v>
      </c>
      <c r="E16565" s="689">
        <v>43.6</v>
      </c>
      <c r="F16565" s="689">
        <v>43.5</v>
      </c>
      <c r="G16565" s="689">
        <v>43.6</v>
      </c>
      <c r="H16565" s="689">
        <v>43.8</v>
      </c>
      <c r="I16565" s="693">
        <v>43</v>
      </c>
      <c r="J16565" s="689">
        <v>42.2</v>
      </c>
      <c r="K16565" s="689">
        <v>43.6</v>
      </c>
    </row>
    <row r="16566" spans="1:11">
      <c r="A16566" s="688" t="s">
        <v>2</v>
      </c>
      <c r="B16566" s="691">
        <v>44.1</v>
      </c>
      <c r="C16566" s="691">
        <v>44.4</v>
      </c>
      <c r="D16566" s="691">
        <v>44.4</v>
      </c>
      <c r="E16566" s="691">
        <v>44.5</v>
      </c>
      <c r="F16566" s="691">
        <v>44.7</v>
      </c>
      <c r="G16566" s="691">
        <v>44.6</v>
      </c>
      <c r="H16566" s="615">
        <v>45</v>
      </c>
      <c r="I16566" s="691">
        <v>45.1</v>
      </c>
      <c r="J16566" s="691">
        <v>44.9</v>
      </c>
      <c r="K16566" s="691">
        <v>44.8</v>
      </c>
    </row>
    <row r="16567" spans="1:11">
      <c r="A16567" s="688" t="s">
        <v>3</v>
      </c>
      <c r="B16567" s="689">
        <v>44.7</v>
      </c>
      <c r="C16567" s="693">
        <v>45</v>
      </c>
      <c r="D16567" s="689">
        <v>44.7</v>
      </c>
      <c r="E16567" s="693">
        <v>45</v>
      </c>
      <c r="F16567" s="693">
        <v>45</v>
      </c>
      <c r="G16567" s="689">
        <v>44.9</v>
      </c>
      <c r="H16567" s="689">
        <v>45.2</v>
      </c>
      <c r="I16567" s="689">
        <v>45.1</v>
      </c>
      <c r="J16567" s="689">
        <v>44.9</v>
      </c>
      <c r="K16567" s="689">
        <v>44.6</v>
      </c>
    </row>
    <row r="16568" spans="1:11">
      <c r="A16568" s="688" t="s">
        <v>4061</v>
      </c>
      <c r="B16568" s="691">
        <v>44.7</v>
      </c>
      <c r="C16568" s="615">
        <v>45</v>
      </c>
      <c r="D16568" s="691">
        <v>44.7</v>
      </c>
      <c r="E16568" s="615">
        <v>45</v>
      </c>
      <c r="F16568" s="615">
        <v>45</v>
      </c>
      <c r="G16568" s="691">
        <v>44.9</v>
      </c>
      <c r="H16568" s="691">
        <v>45.2</v>
      </c>
      <c r="I16568" s="691">
        <v>45.1</v>
      </c>
      <c r="J16568" s="691">
        <v>44.9</v>
      </c>
      <c r="K16568" s="691">
        <v>44.6</v>
      </c>
    </row>
    <row r="16569" spans="1:11">
      <c r="A16569" s="688" t="s">
        <v>4</v>
      </c>
      <c r="B16569" s="689">
        <v>43.7</v>
      </c>
      <c r="C16569" s="689">
        <v>43.6</v>
      </c>
      <c r="D16569" s="689">
        <v>43.8</v>
      </c>
      <c r="E16569" s="689">
        <v>44.1</v>
      </c>
      <c r="F16569" s="689">
        <v>44.1</v>
      </c>
      <c r="G16569" s="689">
        <v>44.2</v>
      </c>
      <c r="H16569" s="689">
        <v>44.6</v>
      </c>
      <c r="I16569" s="689">
        <v>44.4</v>
      </c>
      <c r="J16569" s="689">
        <v>43.1</v>
      </c>
      <c r="K16569" s="689">
        <v>44.1</v>
      </c>
    </row>
    <row r="16570" spans="1:11">
      <c r="A16570" s="688" t="s">
        <v>8</v>
      </c>
      <c r="B16570" s="691">
        <v>44.8</v>
      </c>
      <c r="C16570" s="615">
        <v>45</v>
      </c>
      <c r="D16570" s="691">
        <v>44.9</v>
      </c>
      <c r="E16570" s="691">
        <v>45.1</v>
      </c>
      <c r="F16570" s="691">
        <v>45.5</v>
      </c>
      <c r="G16570" s="691">
        <v>45.6</v>
      </c>
      <c r="H16570" s="691">
        <v>45.9</v>
      </c>
      <c r="I16570" s="691">
        <v>45.7</v>
      </c>
      <c r="J16570" s="691">
        <v>45.6</v>
      </c>
      <c r="K16570" s="691">
        <v>45.6</v>
      </c>
    </row>
    <row r="16571" spans="1:11">
      <c r="A16571" s="688" t="s">
        <v>7</v>
      </c>
      <c r="B16571" s="689">
        <v>45.7</v>
      </c>
      <c r="C16571" s="689">
        <v>45.5</v>
      </c>
      <c r="D16571" s="689">
        <v>45.3</v>
      </c>
      <c r="E16571" s="689">
        <v>45.5</v>
      </c>
      <c r="F16571" s="689">
        <v>45.4</v>
      </c>
      <c r="G16571" s="689">
        <v>45.9</v>
      </c>
      <c r="H16571" s="689">
        <v>45.8</v>
      </c>
      <c r="I16571" s="689">
        <v>45.4</v>
      </c>
      <c r="J16571" s="689">
        <v>44.6</v>
      </c>
      <c r="K16571" s="689">
        <v>45.1</v>
      </c>
    </row>
    <row r="16572" spans="1:11">
      <c r="A16572" s="688" t="s">
        <v>27</v>
      </c>
      <c r="B16572" s="691">
        <v>47.7</v>
      </c>
      <c r="C16572" s="691">
        <v>47.2</v>
      </c>
      <c r="D16572" s="691">
        <v>46.9</v>
      </c>
      <c r="E16572" s="691">
        <v>47.4</v>
      </c>
      <c r="F16572" s="691">
        <v>47.3</v>
      </c>
      <c r="G16572" s="691">
        <v>47.4</v>
      </c>
      <c r="H16572" s="691">
        <v>47.8</v>
      </c>
      <c r="I16572" s="691">
        <v>46.6</v>
      </c>
      <c r="J16572" s="691">
        <v>47.4</v>
      </c>
      <c r="K16572" s="691">
        <v>47.3</v>
      </c>
    </row>
    <row r="16573" spans="1:11">
      <c r="A16573" s="688" t="s">
        <v>6</v>
      </c>
      <c r="B16573" s="689">
        <v>47.4</v>
      </c>
      <c r="C16573" s="689">
        <v>47.2</v>
      </c>
      <c r="D16573" s="689">
        <v>46.9</v>
      </c>
      <c r="E16573" s="689">
        <v>47.1</v>
      </c>
      <c r="F16573" s="689">
        <v>47.1</v>
      </c>
      <c r="G16573" s="689">
        <v>47.3</v>
      </c>
      <c r="H16573" s="689">
        <v>47.4</v>
      </c>
      <c r="I16573" s="689">
        <v>46.9</v>
      </c>
      <c r="J16573" s="693">
        <v>47</v>
      </c>
      <c r="K16573" s="693">
        <v>47</v>
      </c>
    </row>
    <row r="16574" spans="1:11">
      <c r="A16574" s="688" t="s">
        <v>4058</v>
      </c>
      <c r="B16574" s="692" t="s">
        <v>4060</v>
      </c>
      <c r="C16574" s="692" t="s">
        <v>4060</v>
      </c>
      <c r="D16574" s="692" t="s">
        <v>4060</v>
      </c>
      <c r="E16574" s="692" t="s">
        <v>4060</v>
      </c>
      <c r="F16574" s="692" t="s">
        <v>4060</v>
      </c>
      <c r="G16574" s="692" t="s">
        <v>4060</v>
      </c>
      <c r="H16574" s="692" t="s">
        <v>4060</v>
      </c>
      <c r="I16574" s="692" t="s">
        <v>4060</v>
      </c>
      <c r="J16574" s="692" t="s">
        <v>4060</v>
      </c>
      <c r="K16574" s="692" t="s">
        <v>4060</v>
      </c>
    </row>
    <row r="16575" spans="1:11">
      <c r="A16575" s="688" t="s">
        <v>11</v>
      </c>
      <c r="B16575" s="689">
        <v>42.8</v>
      </c>
      <c r="C16575" s="689">
        <v>42.7</v>
      </c>
      <c r="D16575" s="689">
        <v>42.2</v>
      </c>
      <c r="E16575" s="689">
        <v>42.9</v>
      </c>
      <c r="F16575" s="689">
        <v>42.5</v>
      </c>
      <c r="G16575" s="689">
        <v>42.9</v>
      </c>
      <c r="H16575" s="689">
        <v>43.1</v>
      </c>
      <c r="I16575" s="689">
        <v>42.4</v>
      </c>
      <c r="J16575" s="689">
        <v>41.6</v>
      </c>
      <c r="K16575" s="689">
        <v>42.5</v>
      </c>
    </row>
    <row r="16576" spans="1:11">
      <c r="A16576" s="688" t="s">
        <v>10</v>
      </c>
      <c r="B16576" s="691">
        <v>46.8</v>
      </c>
      <c r="C16576" s="691">
        <v>46.6</v>
      </c>
      <c r="D16576" s="691">
        <v>46.2</v>
      </c>
      <c r="E16576" s="691">
        <v>46.8</v>
      </c>
      <c r="F16576" s="691">
        <v>46.5</v>
      </c>
      <c r="G16576" s="691">
        <v>46.8</v>
      </c>
      <c r="H16576" s="615">
        <v>47</v>
      </c>
      <c r="I16576" s="615">
        <v>46</v>
      </c>
      <c r="J16576" s="691">
        <v>46.3</v>
      </c>
      <c r="K16576" s="691">
        <v>46.3</v>
      </c>
    </row>
    <row r="16577" spans="1:11">
      <c r="A16577" s="688" t="s">
        <v>30</v>
      </c>
      <c r="B16577" s="689">
        <v>46.3</v>
      </c>
      <c r="C16577" s="689">
        <v>45.7</v>
      </c>
      <c r="D16577" s="689">
        <v>45.3</v>
      </c>
      <c r="E16577" s="689">
        <v>46.3</v>
      </c>
      <c r="F16577" s="689">
        <v>45.9</v>
      </c>
      <c r="G16577" s="689">
        <v>46.3</v>
      </c>
      <c r="H16577" s="689">
        <v>46.2</v>
      </c>
      <c r="I16577" s="689">
        <v>46.1</v>
      </c>
      <c r="J16577" s="689">
        <v>45.3</v>
      </c>
      <c r="K16577" s="689">
        <v>45.7</v>
      </c>
    </row>
    <row r="16578" spans="1:11">
      <c r="A16578" s="688" t="s">
        <v>12</v>
      </c>
      <c r="B16578" s="691">
        <v>41.2</v>
      </c>
      <c r="C16578" s="691">
        <v>41.5</v>
      </c>
      <c r="D16578" s="691">
        <v>41.4</v>
      </c>
      <c r="E16578" s="691">
        <v>41.6</v>
      </c>
      <c r="F16578" s="691">
        <v>41.7</v>
      </c>
      <c r="G16578" s="691">
        <v>41.7</v>
      </c>
      <c r="H16578" s="691">
        <v>42.1</v>
      </c>
      <c r="I16578" s="691">
        <v>41.9</v>
      </c>
      <c r="J16578" s="615">
        <v>40</v>
      </c>
      <c r="K16578" s="691">
        <v>41.5</v>
      </c>
    </row>
    <row r="16579" spans="1:11">
      <c r="A16579" s="688" t="s">
        <v>14</v>
      </c>
      <c r="B16579" s="689">
        <v>41.8</v>
      </c>
      <c r="C16579" s="693">
        <v>42</v>
      </c>
      <c r="D16579" s="689">
        <v>41.8</v>
      </c>
      <c r="E16579" s="693">
        <v>42</v>
      </c>
      <c r="F16579" s="689">
        <v>42.3</v>
      </c>
      <c r="G16579" s="689">
        <v>42.5</v>
      </c>
      <c r="H16579" s="689">
        <v>42.9</v>
      </c>
      <c r="I16579" s="689">
        <v>41.9</v>
      </c>
      <c r="J16579" s="689">
        <v>40.799999999999997</v>
      </c>
      <c r="K16579" s="693">
        <v>42</v>
      </c>
    </row>
    <row r="16580" spans="1:11">
      <c r="A16580" s="688" t="s">
        <v>15</v>
      </c>
      <c r="B16580" s="691">
        <v>45.8</v>
      </c>
      <c r="C16580" s="691">
        <v>46.3</v>
      </c>
      <c r="D16580" s="691">
        <v>45.6</v>
      </c>
      <c r="E16580" s="691">
        <v>46.3</v>
      </c>
      <c r="F16580" s="691">
        <v>45.5</v>
      </c>
      <c r="G16580" s="615">
        <v>46</v>
      </c>
      <c r="H16580" s="691">
        <v>46.3</v>
      </c>
      <c r="I16580" s="691">
        <v>46.1</v>
      </c>
      <c r="J16580" s="691">
        <v>46.4</v>
      </c>
      <c r="K16580" s="691">
        <v>46.5</v>
      </c>
    </row>
    <row r="16581" spans="1:11">
      <c r="A16581" s="688" t="s">
        <v>29</v>
      </c>
      <c r="B16581" s="693">
        <v>41</v>
      </c>
      <c r="C16581" s="693">
        <v>41</v>
      </c>
      <c r="D16581" s="689">
        <v>40.6</v>
      </c>
      <c r="E16581" s="689">
        <v>41.3</v>
      </c>
      <c r="F16581" s="689">
        <v>40.9</v>
      </c>
      <c r="G16581" s="689">
        <v>41.2</v>
      </c>
      <c r="H16581" s="689">
        <v>41.3</v>
      </c>
      <c r="I16581" s="689">
        <v>40.6</v>
      </c>
      <c r="J16581" s="689">
        <v>39.5</v>
      </c>
      <c r="K16581" s="693">
        <v>41</v>
      </c>
    </row>
    <row r="16582" spans="1:11">
      <c r="A16582" s="688" t="s">
        <v>16</v>
      </c>
      <c r="B16582" s="691">
        <v>45.8</v>
      </c>
      <c r="C16582" s="691">
        <v>45.6</v>
      </c>
      <c r="D16582" s="691">
        <v>45.7</v>
      </c>
      <c r="E16582" s="691">
        <v>45.9</v>
      </c>
      <c r="F16582" s="691">
        <v>45.9</v>
      </c>
      <c r="G16582" s="691">
        <v>45.9</v>
      </c>
      <c r="H16582" s="691">
        <v>46.2</v>
      </c>
      <c r="I16582" s="691">
        <v>45.8</v>
      </c>
      <c r="J16582" s="691">
        <v>45.5</v>
      </c>
      <c r="K16582" s="691">
        <v>45.8</v>
      </c>
    </row>
    <row r="16583" spans="1:11">
      <c r="A16583" s="688" t="s">
        <v>17</v>
      </c>
      <c r="B16583" s="689">
        <v>44.9</v>
      </c>
      <c r="C16583" s="693">
        <v>45</v>
      </c>
      <c r="D16583" s="689">
        <v>44.8</v>
      </c>
      <c r="E16583" s="689">
        <v>44.9</v>
      </c>
      <c r="F16583" s="693">
        <v>45</v>
      </c>
      <c r="G16583" s="693">
        <v>45</v>
      </c>
      <c r="H16583" s="689">
        <v>45.3</v>
      </c>
      <c r="I16583" s="689">
        <v>44.8</v>
      </c>
      <c r="J16583" s="689">
        <v>44.7</v>
      </c>
      <c r="K16583" s="689">
        <v>44.8</v>
      </c>
    </row>
    <row r="16584" spans="1:11">
      <c r="A16584" s="688" t="s">
        <v>19</v>
      </c>
      <c r="B16584" s="691">
        <v>45.5</v>
      </c>
      <c r="C16584" s="691">
        <v>45.5</v>
      </c>
      <c r="D16584" s="691">
        <v>45.3</v>
      </c>
      <c r="E16584" s="691">
        <v>45.7</v>
      </c>
      <c r="F16584" s="691">
        <v>45.6</v>
      </c>
      <c r="G16584" s="691">
        <v>45.7</v>
      </c>
      <c r="H16584" s="691">
        <v>45.9</v>
      </c>
      <c r="I16584" s="691">
        <v>45.4</v>
      </c>
      <c r="J16584" s="691">
        <v>45.4</v>
      </c>
      <c r="K16584" s="691">
        <v>45.5</v>
      </c>
    </row>
    <row r="16585" spans="1:11">
      <c r="A16585" s="688" t="s">
        <v>20</v>
      </c>
      <c r="B16585" s="689">
        <v>43.1</v>
      </c>
      <c r="C16585" s="689">
        <v>43.3</v>
      </c>
      <c r="D16585" s="689">
        <v>43.1</v>
      </c>
      <c r="E16585" s="689">
        <v>43.5</v>
      </c>
      <c r="F16585" s="689">
        <v>43.4</v>
      </c>
      <c r="G16585" s="689">
        <v>43.3</v>
      </c>
      <c r="H16585" s="689">
        <v>43.5</v>
      </c>
      <c r="I16585" s="689">
        <v>42.4</v>
      </c>
      <c r="J16585" s="689">
        <v>41.4</v>
      </c>
      <c r="K16585" s="689">
        <v>42.9</v>
      </c>
    </row>
    <row r="16586" spans="1:11">
      <c r="A16586" s="688" t="s">
        <v>21</v>
      </c>
      <c r="B16586" s="691">
        <v>45.7</v>
      </c>
      <c r="C16586" s="615">
        <v>46</v>
      </c>
      <c r="D16586" s="691">
        <v>45.9</v>
      </c>
      <c r="E16586" s="615">
        <v>46</v>
      </c>
      <c r="F16586" s="691">
        <v>46.2</v>
      </c>
      <c r="G16586" s="691">
        <v>46.3</v>
      </c>
      <c r="H16586" s="691">
        <v>46.5</v>
      </c>
      <c r="I16586" s="691">
        <v>45.9</v>
      </c>
      <c r="J16586" s="691">
        <v>45.9</v>
      </c>
      <c r="K16586" s="691">
        <v>46.1</v>
      </c>
    </row>
    <row r="16587" spans="1:11">
      <c r="A16587" s="688" t="s">
        <v>22</v>
      </c>
      <c r="B16587" s="689">
        <v>41.1</v>
      </c>
      <c r="C16587" s="689">
        <v>40.9</v>
      </c>
      <c r="D16587" s="689">
        <v>40.9</v>
      </c>
      <c r="E16587" s="689">
        <v>41.1</v>
      </c>
      <c r="F16587" s="689">
        <v>41.2</v>
      </c>
      <c r="G16587" s="689">
        <v>41.3</v>
      </c>
      <c r="H16587" s="689">
        <v>41.6</v>
      </c>
      <c r="I16587" s="689">
        <v>40.299999999999997</v>
      </c>
      <c r="J16587" s="689">
        <v>38.799999999999997</v>
      </c>
      <c r="K16587" s="689">
        <v>41.2</v>
      </c>
    </row>
    <row r="16588" spans="1:11">
      <c r="A16588" s="688" t="s">
        <v>26</v>
      </c>
      <c r="B16588" s="691">
        <v>45.3</v>
      </c>
      <c r="C16588" s="691">
        <v>45.3</v>
      </c>
      <c r="D16588" s="691">
        <v>45.1</v>
      </c>
      <c r="E16588" s="691">
        <v>45.5</v>
      </c>
      <c r="F16588" s="691">
        <v>45.3</v>
      </c>
      <c r="G16588" s="691">
        <v>45.5</v>
      </c>
      <c r="H16588" s="691">
        <v>45.7</v>
      </c>
      <c r="I16588" s="691">
        <v>44.8</v>
      </c>
      <c r="J16588" s="691">
        <v>45.2</v>
      </c>
      <c r="K16588" s="691">
        <v>45.5</v>
      </c>
    </row>
    <row r="16589" spans="1:11">
      <c r="A16589" s="688" t="s">
        <v>25</v>
      </c>
      <c r="B16589" s="689">
        <v>42.2</v>
      </c>
      <c r="C16589" s="689">
        <v>42.4</v>
      </c>
      <c r="D16589" s="689">
        <v>42.1</v>
      </c>
      <c r="E16589" s="689">
        <v>42.6</v>
      </c>
      <c r="F16589" s="689">
        <v>42.5</v>
      </c>
      <c r="G16589" s="689">
        <v>42.6</v>
      </c>
      <c r="H16589" s="689">
        <v>43.1</v>
      </c>
      <c r="I16589" s="689">
        <v>42.3</v>
      </c>
      <c r="J16589" s="689">
        <v>40.200000000000003</v>
      </c>
      <c r="K16589" s="689">
        <v>42.4</v>
      </c>
    </row>
    <row r="16590" spans="1:11">
      <c r="A16590" s="688" t="s">
        <v>5</v>
      </c>
      <c r="B16590" s="691">
        <v>45.8</v>
      </c>
      <c r="C16590" s="691">
        <v>45.6</v>
      </c>
      <c r="D16590" s="691">
        <v>45.8</v>
      </c>
      <c r="E16590" s="691">
        <v>45.8</v>
      </c>
      <c r="F16590" s="691">
        <v>45.9</v>
      </c>
      <c r="G16590" s="615">
        <v>46</v>
      </c>
      <c r="H16590" s="691">
        <v>46.3</v>
      </c>
      <c r="I16590" s="691">
        <v>46.3</v>
      </c>
      <c r="J16590" s="691">
        <v>46.2</v>
      </c>
      <c r="K16590" s="691">
        <v>45.5</v>
      </c>
    </row>
    <row r="16591" spans="1:11">
      <c r="A16591" s="688" t="s">
        <v>23</v>
      </c>
      <c r="B16591" s="689">
        <v>45.5</v>
      </c>
      <c r="C16591" s="689">
        <v>45.7</v>
      </c>
      <c r="D16591" s="689">
        <v>45.7</v>
      </c>
      <c r="E16591" s="689">
        <v>45.7</v>
      </c>
      <c r="F16591" s="689">
        <v>45.8</v>
      </c>
      <c r="G16591" s="689">
        <v>45.9</v>
      </c>
      <c r="H16591" s="689">
        <v>46.4</v>
      </c>
      <c r="I16591" s="689">
        <v>45.9</v>
      </c>
      <c r="J16591" s="689">
        <v>46.4</v>
      </c>
      <c r="K16591" s="689">
        <v>46.3</v>
      </c>
    </row>
    <row r="16592" spans="1:11">
      <c r="A16592" s="688" t="s">
        <v>4067</v>
      </c>
      <c r="B16592" s="691">
        <v>45.1</v>
      </c>
      <c r="C16592" s="691">
        <v>45.4</v>
      </c>
      <c r="D16592" s="615">
        <v>45</v>
      </c>
      <c r="E16592" s="691">
        <v>45.4</v>
      </c>
      <c r="F16592" s="691">
        <v>45.3</v>
      </c>
      <c r="G16592" s="691">
        <v>45.4</v>
      </c>
      <c r="H16592" s="692" t="s">
        <v>4060</v>
      </c>
      <c r="I16592" s="692" t="s">
        <v>4060</v>
      </c>
      <c r="J16592" s="692" t="s">
        <v>4060</v>
      </c>
      <c r="K16592" s="692" t="s">
        <v>4060</v>
      </c>
    </row>
    <row r="16593" spans="1:11">
      <c r="A16593" s="688" t="s">
        <v>4066</v>
      </c>
      <c r="B16593" s="689">
        <v>45.1</v>
      </c>
      <c r="C16593" s="689">
        <v>45.4</v>
      </c>
      <c r="D16593" s="689">
        <v>45.1</v>
      </c>
      <c r="E16593" s="689">
        <v>45.4</v>
      </c>
      <c r="F16593" s="689">
        <v>45.3</v>
      </c>
      <c r="G16593" s="689">
        <v>45.4</v>
      </c>
      <c r="H16593" s="690" t="s">
        <v>4060</v>
      </c>
      <c r="I16593" s="690" t="s">
        <v>4060</v>
      </c>
      <c r="J16593" s="690" t="s">
        <v>4060</v>
      </c>
      <c r="K16593" s="690" t="s">
        <v>4060</v>
      </c>
    </row>
    <row r="16594" spans="1:11">
      <c r="A16594" s="688" t="s">
        <v>4062</v>
      </c>
      <c r="B16594" s="691">
        <v>46.2</v>
      </c>
      <c r="C16594" s="691">
        <v>46.4</v>
      </c>
      <c r="D16594" s="691">
        <v>46.3</v>
      </c>
      <c r="E16594" s="691">
        <v>46.5</v>
      </c>
      <c r="F16594" s="691">
        <v>46.6</v>
      </c>
      <c r="G16594" s="691">
        <v>46.7</v>
      </c>
      <c r="H16594" s="691">
        <v>46.9</v>
      </c>
      <c r="I16594" s="691">
        <v>46.6</v>
      </c>
      <c r="J16594" s="691">
        <v>46.9</v>
      </c>
      <c r="K16594" s="691">
        <v>46.6</v>
      </c>
    </row>
    <row r="16595" spans="1:11">
      <c r="A16595" s="688" t="s">
        <v>9</v>
      </c>
      <c r="B16595" s="689">
        <v>45.3</v>
      </c>
      <c r="C16595" s="689">
        <v>45.9</v>
      </c>
      <c r="D16595" s="689">
        <v>45.2</v>
      </c>
      <c r="E16595" s="689">
        <v>45.3</v>
      </c>
      <c r="F16595" s="689">
        <v>45.9</v>
      </c>
      <c r="G16595" s="689">
        <v>45.8</v>
      </c>
      <c r="H16595" s="693">
        <v>46</v>
      </c>
      <c r="I16595" s="693">
        <v>46</v>
      </c>
      <c r="J16595" s="689">
        <v>46.1</v>
      </c>
      <c r="K16595" s="689">
        <v>45.2</v>
      </c>
    </row>
    <row r="16596" spans="1:11">
      <c r="A16596" s="688" t="s">
        <v>13</v>
      </c>
      <c r="B16596" s="691">
        <v>46.4</v>
      </c>
      <c r="C16596" s="691">
        <v>45.1</v>
      </c>
      <c r="D16596" s="691">
        <v>45.9</v>
      </c>
      <c r="E16596" s="691">
        <v>46.2</v>
      </c>
      <c r="F16596" s="615">
        <v>47</v>
      </c>
      <c r="G16596" s="691">
        <v>46.9</v>
      </c>
      <c r="H16596" s="691">
        <v>46.8</v>
      </c>
      <c r="I16596" s="691">
        <v>46.1</v>
      </c>
      <c r="J16596" s="691">
        <v>47.1</v>
      </c>
      <c r="K16596" s="691">
        <v>46.8</v>
      </c>
    </row>
    <row r="16597" spans="1:11">
      <c r="A16597" s="688" t="s">
        <v>18</v>
      </c>
      <c r="B16597" s="689">
        <v>45.4</v>
      </c>
      <c r="C16597" s="689">
        <v>45.7</v>
      </c>
      <c r="D16597" s="689">
        <v>45.8</v>
      </c>
      <c r="E16597" s="689">
        <v>45.8</v>
      </c>
      <c r="F16597" s="689">
        <v>45.9</v>
      </c>
      <c r="G16597" s="689">
        <v>46.1</v>
      </c>
      <c r="H16597" s="689">
        <v>46.3</v>
      </c>
      <c r="I16597" s="689">
        <v>46.5</v>
      </c>
      <c r="J16597" s="689">
        <v>46.3</v>
      </c>
      <c r="K16597" s="689">
        <v>45.9</v>
      </c>
    </row>
    <row r="16598" spans="1:11">
      <c r="A16598" s="688" t="s">
        <v>24</v>
      </c>
      <c r="B16598" s="691">
        <v>46.7</v>
      </c>
      <c r="C16598" s="691">
        <v>46.8</v>
      </c>
      <c r="D16598" s="691">
        <v>46.6</v>
      </c>
      <c r="E16598" s="615">
        <v>47</v>
      </c>
      <c r="F16598" s="615">
        <v>47</v>
      </c>
      <c r="G16598" s="691">
        <v>47.1</v>
      </c>
      <c r="H16598" s="691">
        <v>47.2</v>
      </c>
      <c r="I16598" s="691">
        <v>46.7</v>
      </c>
      <c r="J16598" s="691">
        <v>47.2</v>
      </c>
      <c r="K16598" s="691">
        <v>47.1</v>
      </c>
    </row>
    <row r="16599" spans="1:11">
      <c r="A16599" s="688" t="s">
        <v>4059</v>
      </c>
      <c r="B16599" s="689">
        <v>44.7</v>
      </c>
      <c r="C16599" s="693">
        <v>45</v>
      </c>
      <c r="D16599" s="689">
        <v>44.6</v>
      </c>
      <c r="E16599" s="689">
        <v>44.9</v>
      </c>
      <c r="F16599" s="689">
        <v>44.9</v>
      </c>
      <c r="G16599" s="689">
        <v>44.9</v>
      </c>
      <c r="H16599" s="690" t="s">
        <v>4060</v>
      </c>
      <c r="I16599" s="690" t="s">
        <v>4060</v>
      </c>
      <c r="J16599" s="690" t="s">
        <v>4060</v>
      </c>
      <c r="K16599" s="690" t="s">
        <v>4060</v>
      </c>
    </row>
    <row r="16600" spans="1:11">
      <c r="A16600" s="688" t="s">
        <v>2324</v>
      </c>
      <c r="B16600" s="691">
        <v>40.799999999999997</v>
      </c>
      <c r="C16600" s="691">
        <v>40.9</v>
      </c>
      <c r="D16600" s="691">
        <v>40.299999999999997</v>
      </c>
      <c r="E16600" s="691">
        <v>40.799999999999997</v>
      </c>
      <c r="F16600" s="615">
        <v>41</v>
      </c>
      <c r="G16600" s="691">
        <v>40.9</v>
      </c>
      <c r="H16600" s="691">
        <v>41.2</v>
      </c>
      <c r="I16600" s="691">
        <v>40.5</v>
      </c>
      <c r="J16600" s="691">
        <v>38.700000000000003</v>
      </c>
      <c r="K16600" s="692" t="s">
        <v>4060</v>
      </c>
    </row>
    <row r="16601" spans="1:11">
      <c r="A16601" s="688" t="s">
        <v>2322</v>
      </c>
      <c r="B16601" s="690" t="s">
        <v>4060</v>
      </c>
      <c r="C16601" s="690" t="s">
        <v>4060</v>
      </c>
      <c r="D16601" s="690" t="s">
        <v>4060</v>
      </c>
      <c r="E16601" s="690" t="s">
        <v>4060</v>
      </c>
      <c r="F16601" s="690" t="s">
        <v>4060</v>
      </c>
      <c r="G16601" s="690" t="s">
        <v>4060</v>
      </c>
      <c r="H16601" s="690" t="s">
        <v>4060</v>
      </c>
      <c r="I16601" s="690" t="s">
        <v>4060</v>
      </c>
      <c r="J16601" s="690" t="s">
        <v>4060</v>
      </c>
      <c r="K16601" s="690" t="s">
        <v>4060</v>
      </c>
    </row>
    <row r="16602" spans="1:11">
      <c r="A16602" s="688" t="s">
        <v>2328</v>
      </c>
      <c r="B16602" s="615">
        <v>40</v>
      </c>
      <c r="C16602" s="691">
        <v>39.700000000000003</v>
      </c>
      <c r="D16602" s="691">
        <v>39.6</v>
      </c>
      <c r="E16602" s="615">
        <v>40</v>
      </c>
      <c r="F16602" s="691">
        <v>40.200000000000003</v>
      </c>
      <c r="G16602" s="691">
        <v>40.6</v>
      </c>
      <c r="H16602" s="691">
        <v>40.5</v>
      </c>
      <c r="I16602" s="691">
        <v>38.700000000000003</v>
      </c>
      <c r="J16602" s="691">
        <v>37.5</v>
      </c>
      <c r="K16602" s="692" t="s">
        <v>4060</v>
      </c>
    </row>
    <row r="16603" spans="1:11">
      <c r="A16603" s="688" t="s">
        <v>2496</v>
      </c>
      <c r="B16603" s="690" t="s">
        <v>4060</v>
      </c>
      <c r="C16603" s="689">
        <v>40.799999999999997</v>
      </c>
      <c r="D16603" s="689">
        <v>39.9</v>
      </c>
      <c r="E16603" s="689">
        <v>39.700000000000003</v>
      </c>
      <c r="F16603" s="689">
        <v>40.299999999999997</v>
      </c>
      <c r="G16603" s="689">
        <v>40.6</v>
      </c>
      <c r="H16603" s="689">
        <v>40.6</v>
      </c>
      <c r="I16603" s="690" t="s">
        <v>4060</v>
      </c>
      <c r="J16603" s="690" t="s">
        <v>4060</v>
      </c>
      <c r="K16603" s="689">
        <v>40.4</v>
      </c>
    </row>
    <row r="16604" spans="1:11">
      <c r="A16604" s="688" t="s">
        <v>2269</v>
      </c>
      <c r="B16604" s="691">
        <v>42.5</v>
      </c>
      <c r="C16604" s="691">
        <v>42.7</v>
      </c>
      <c r="D16604" s="615">
        <v>42</v>
      </c>
      <c r="E16604" s="691">
        <v>42.6</v>
      </c>
      <c r="F16604" s="691">
        <v>42.3</v>
      </c>
      <c r="G16604" s="691">
        <v>42.8</v>
      </c>
      <c r="H16604" s="615">
        <v>43</v>
      </c>
      <c r="I16604" s="691">
        <v>41.9</v>
      </c>
      <c r="J16604" s="691">
        <v>39.799999999999997</v>
      </c>
      <c r="K16604" s="691">
        <v>42.8</v>
      </c>
    </row>
    <row r="16605" spans="1:11">
      <c r="A16605" s="688" t="s">
        <v>2349</v>
      </c>
      <c r="B16605" s="693">
        <v>40</v>
      </c>
      <c r="C16605" s="689">
        <v>39.9</v>
      </c>
      <c r="D16605" s="689">
        <v>39.9</v>
      </c>
      <c r="E16605" s="689">
        <v>40.200000000000003</v>
      </c>
      <c r="F16605" s="693">
        <v>40</v>
      </c>
      <c r="G16605" s="689">
        <v>40.299999999999997</v>
      </c>
      <c r="H16605" s="689">
        <v>40.5</v>
      </c>
      <c r="I16605" s="689">
        <v>39.4</v>
      </c>
      <c r="J16605" s="689">
        <v>37.700000000000003</v>
      </c>
      <c r="K16605" s="689">
        <v>39.700000000000003</v>
      </c>
    </row>
    <row r="16606" spans="1:11">
      <c r="A16606" s="688" t="s">
        <v>2355</v>
      </c>
      <c r="B16606" s="691">
        <v>43.8</v>
      </c>
      <c r="C16606" s="691">
        <v>43.6</v>
      </c>
      <c r="D16606" s="691">
        <v>43.5</v>
      </c>
      <c r="E16606" s="691">
        <v>43.5</v>
      </c>
      <c r="F16606" s="691">
        <v>43.7</v>
      </c>
      <c r="G16606" s="615">
        <v>44</v>
      </c>
      <c r="H16606" s="691">
        <v>44.1</v>
      </c>
      <c r="I16606" s="692" t="s">
        <v>4060</v>
      </c>
      <c r="J16606" s="692" t="s">
        <v>4060</v>
      </c>
      <c r="K16606" s="692" t="s">
        <v>4060</v>
      </c>
    </row>
    <row r="16607" spans="1:11">
      <c r="A16607" s="688" t="s">
        <v>2357</v>
      </c>
      <c r="B16607" s="690" t="s">
        <v>4060</v>
      </c>
      <c r="C16607" s="689">
        <v>39.5</v>
      </c>
      <c r="D16607" s="689">
        <v>39.9</v>
      </c>
      <c r="E16607" s="689">
        <v>40.200000000000003</v>
      </c>
      <c r="F16607" s="689">
        <v>40.5</v>
      </c>
      <c r="G16607" s="689">
        <v>40.5</v>
      </c>
      <c r="H16607" s="689">
        <v>40.700000000000003</v>
      </c>
      <c r="I16607" s="690" t="s">
        <v>4060</v>
      </c>
      <c r="J16607" s="690" t="s">
        <v>4060</v>
      </c>
      <c r="K16607" s="690" t="s">
        <v>4060</v>
      </c>
    </row>
    <row r="16608" spans="1:11">
      <c r="A16608" s="688" t="s">
        <v>4070</v>
      </c>
      <c r="B16608" s="692" t="s">
        <v>4060</v>
      </c>
      <c r="C16608" s="692" t="s">
        <v>4060</v>
      </c>
      <c r="D16608" s="692" t="s">
        <v>4060</v>
      </c>
      <c r="E16608" s="691">
        <v>43.6</v>
      </c>
      <c r="F16608" s="692" t="s">
        <v>4060</v>
      </c>
      <c r="G16608" s="692" t="s">
        <v>4060</v>
      </c>
      <c r="H16608" s="692" t="s">
        <v>4060</v>
      </c>
      <c r="I16608" s="692" t="s">
        <v>4060</v>
      </c>
      <c r="J16608" s="692" t="s">
        <v>4060</v>
      </c>
      <c r="K16608" s="692" t="s">
        <v>4060</v>
      </c>
    </row>
    <row r="16609" spans="1:11">
      <c r="A16609" s="688" t="s">
        <v>2491</v>
      </c>
      <c r="B16609" s="689">
        <v>40.200000000000003</v>
      </c>
      <c r="C16609" s="689">
        <v>40.700000000000003</v>
      </c>
      <c r="D16609" s="693">
        <v>41</v>
      </c>
      <c r="E16609" s="689">
        <v>41.2</v>
      </c>
      <c r="F16609" s="689">
        <v>41.3</v>
      </c>
      <c r="G16609" s="689">
        <v>41.3</v>
      </c>
      <c r="H16609" s="690" t="s">
        <v>4060</v>
      </c>
      <c r="I16609" s="690" t="s">
        <v>4060</v>
      </c>
      <c r="J16609" s="690" t="s">
        <v>4060</v>
      </c>
      <c r="K16609" s="690" t="s">
        <v>4060</v>
      </c>
    </row>
    <row r="16610" spans="1:11">
      <c r="A16610" s="688" t="s">
        <v>2343</v>
      </c>
      <c r="B16610" s="692" t="s">
        <v>4060</v>
      </c>
      <c r="C16610" s="692" t="s">
        <v>4060</v>
      </c>
      <c r="D16610" s="692" t="s">
        <v>4060</v>
      </c>
      <c r="E16610" s="692" t="s">
        <v>4060</v>
      </c>
      <c r="F16610" s="692" t="s">
        <v>4060</v>
      </c>
      <c r="G16610" s="692" t="s">
        <v>4060</v>
      </c>
      <c r="H16610" s="692" t="s">
        <v>4060</v>
      </c>
      <c r="I16610" s="692" t="s">
        <v>4060</v>
      </c>
      <c r="J16610" s="692" t="s">
        <v>4060</v>
      </c>
      <c r="K16610" s="692" t="s">
        <v>4060</v>
      </c>
    </row>
    <row r="16611" spans="1:11">
      <c r="A16611" s="688" t="s">
        <v>4071</v>
      </c>
      <c r="B16611" s="690" t="s">
        <v>4060</v>
      </c>
      <c r="C16611" s="690" t="s">
        <v>4060</v>
      </c>
      <c r="D16611" s="690" t="s">
        <v>4060</v>
      </c>
      <c r="E16611" s="690" t="s">
        <v>4060</v>
      </c>
      <c r="F16611" s="690" t="s">
        <v>4060</v>
      </c>
      <c r="G16611" s="690" t="s">
        <v>4060</v>
      </c>
      <c r="H16611" s="690" t="s">
        <v>4060</v>
      </c>
      <c r="I16611" s="690" t="s">
        <v>4060</v>
      </c>
      <c r="J16611" s="690" t="s">
        <v>4060</v>
      </c>
      <c r="K16611" s="690" t="s">
        <v>4060</v>
      </c>
    </row>
    <row r="16612" spans="1:11">
      <c r="A16612" s="688" t="s">
        <v>2489</v>
      </c>
      <c r="B16612" s="692" t="s">
        <v>4060</v>
      </c>
      <c r="C16612" s="692" t="s">
        <v>4060</v>
      </c>
      <c r="D16612" s="691">
        <v>40.5</v>
      </c>
      <c r="E16612" s="691">
        <v>40.6</v>
      </c>
      <c r="F16612" s="691">
        <v>41.1</v>
      </c>
      <c r="G16612" s="691">
        <v>41.8</v>
      </c>
      <c r="H16612" s="691">
        <v>41.8</v>
      </c>
      <c r="I16612" s="692" t="s">
        <v>4060</v>
      </c>
      <c r="J16612" s="692" t="s">
        <v>4060</v>
      </c>
      <c r="K16612" s="692" t="s">
        <v>4060</v>
      </c>
    </row>
    <row r="16613" spans="1:11">
      <c r="A16613" s="688" t="s">
        <v>2490</v>
      </c>
      <c r="B16613" s="689">
        <v>39.799999999999997</v>
      </c>
      <c r="C16613" s="689">
        <v>39.9</v>
      </c>
      <c r="D16613" s="689">
        <v>40.4</v>
      </c>
      <c r="E16613" s="690" t="s">
        <v>4060</v>
      </c>
      <c r="F16613" s="689">
        <v>40.6</v>
      </c>
      <c r="G16613" s="689">
        <v>40.9</v>
      </c>
      <c r="H16613" s="689">
        <v>41.6</v>
      </c>
      <c r="I16613" s="690" t="s">
        <v>4060</v>
      </c>
      <c r="J16613" s="690" t="s">
        <v>4060</v>
      </c>
      <c r="K16613" s="690" t="s">
        <v>4060</v>
      </c>
    </row>
    <row r="16615" spans="1:11">
      <c r="A16615" s="683" t="s">
        <v>4233</v>
      </c>
    </row>
    <row r="16616" spans="1:11">
      <c r="A16616" s="683" t="s">
        <v>4060</v>
      </c>
      <c r="B16616" s="682" t="s">
        <v>4234</v>
      </c>
    </row>
    <row r="16618" spans="1:11">
      <c r="A16618" s="682" t="s">
        <v>4332</v>
      </c>
    </row>
    <row r="16619" spans="1:11">
      <c r="A16619" s="682" t="s">
        <v>4210</v>
      </c>
      <c r="B16619" s="683" t="s">
        <v>4211</v>
      </c>
    </row>
    <row r="16620" spans="1:11">
      <c r="A16620" s="682" t="s">
        <v>4212</v>
      </c>
      <c r="B16620" s="682" t="s">
        <v>4213</v>
      </c>
    </row>
    <row r="16622" spans="1:11">
      <c r="A16622" s="683" t="s">
        <v>4214</v>
      </c>
      <c r="C16622" s="682" t="s">
        <v>4215</v>
      </c>
    </row>
    <row r="16623" spans="1:11">
      <c r="A16623" s="683" t="s">
        <v>4216</v>
      </c>
      <c r="C16623" s="682" t="s">
        <v>2967</v>
      </c>
    </row>
    <row r="16624" spans="1:11">
      <c r="A16624" s="683" t="s">
        <v>3893</v>
      </c>
      <c r="C16624" s="682" t="s">
        <v>2169</v>
      </c>
    </row>
    <row r="16625" spans="1:11">
      <c r="A16625" s="683" t="s">
        <v>4218</v>
      </c>
      <c r="C16625" s="682" t="s">
        <v>4275</v>
      </c>
    </row>
    <row r="16627" spans="1:11">
      <c r="A16627" s="684" t="s">
        <v>4220</v>
      </c>
      <c r="B16627" s="685" t="s">
        <v>4221</v>
      </c>
      <c r="C16627" s="685" t="s">
        <v>4222</v>
      </c>
      <c r="D16627" s="685" t="s">
        <v>4223</v>
      </c>
      <c r="E16627" s="685" t="s">
        <v>4224</v>
      </c>
      <c r="F16627" s="685" t="s">
        <v>4225</v>
      </c>
      <c r="G16627" s="685" t="s">
        <v>4226</v>
      </c>
      <c r="H16627" s="685" t="s">
        <v>4227</v>
      </c>
      <c r="I16627" s="685" t="s">
        <v>4228</v>
      </c>
      <c r="J16627" s="685" t="s">
        <v>4229</v>
      </c>
      <c r="K16627" s="685" t="s">
        <v>4230</v>
      </c>
    </row>
    <row r="16628" spans="1:11">
      <c r="A16628" s="686" t="s">
        <v>4231</v>
      </c>
      <c r="B16628" s="687" t="s">
        <v>4232</v>
      </c>
      <c r="C16628" s="687" t="s">
        <v>4232</v>
      </c>
      <c r="D16628" s="687" t="s">
        <v>4232</v>
      </c>
      <c r="E16628" s="687" t="s">
        <v>4232</v>
      </c>
      <c r="F16628" s="687" t="s">
        <v>4232</v>
      </c>
      <c r="G16628" s="687" t="s">
        <v>4232</v>
      </c>
      <c r="H16628" s="687" t="s">
        <v>4232</v>
      </c>
      <c r="I16628" s="687" t="s">
        <v>4232</v>
      </c>
      <c r="J16628" s="687" t="s">
        <v>4232</v>
      </c>
      <c r="K16628" s="687" t="s">
        <v>4232</v>
      </c>
    </row>
    <row r="16629" spans="1:11">
      <c r="A16629" s="688" t="s">
        <v>4064</v>
      </c>
      <c r="B16629" s="689">
        <v>44.2</v>
      </c>
      <c r="C16629" s="689">
        <v>44.1</v>
      </c>
      <c r="D16629" s="689">
        <v>44.1</v>
      </c>
      <c r="E16629" s="689">
        <v>44.2</v>
      </c>
      <c r="F16629" s="689">
        <v>44.2</v>
      </c>
      <c r="G16629" s="689">
        <v>44.3</v>
      </c>
      <c r="H16629" s="689">
        <v>44.5</v>
      </c>
      <c r="I16629" s="689">
        <v>43.8</v>
      </c>
      <c r="J16629" s="689">
        <v>43.6</v>
      </c>
      <c r="K16629" s="693">
        <v>44</v>
      </c>
    </row>
    <row r="16630" spans="1:11">
      <c r="A16630" s="688" t="s">
        <v>4065</v>
      </c>
      <c r="B16630" s="691">
        <v>44.1</v>
      </c>
      <c r="C16630" s="691">
        <v>44.4</v>
      </c>
      <c r="D16630" s="615">
        <v>44</v>
      </c>
      <c r="E16630" s="691">
        <v>44.4</v>
      </c>
      <c r="F16630" s="691">
        <v>44.3</v>
      </c>
      <c r="G16630" s="691">
        <v>44.4</v>
      </c>
      <c r="H16630" s="692" t="s">
        <v>4060</v>
      </c>
      <c r="I16630" s="692" t="s">
        <v>4060</v>
      </c>
      <c r="J16630" s="692" t="s">
        <v>4060</v>
      </c>
      <c r="K16630" s="692" t="s">
        <v>4060</v>
      </c>
    </row>
    <row r="16631" spans="1:11">
      <c r="A16631" s="688" t="s">
        <v>4063</v>
      </c>
      <c r="B16631" s="689">
        <v>44.1</v>
      </c>
      <c r="C16631" s="689">
        <v>44.5</v>
      </c>
      <c r="D16631" s="689">
        <v>44.1</v>
      </c>
      <c r="E16631" s="689">
        <v>44.5</v>
      </c>
      <c r="F16631" s="689">
        <v>44.4</v>
      </c>
      <c r="G16631" s="689">
        <v>44.4</v>
      </c>
      <c r="H16631" s="690" t="s">
        <v>4060</v>
      </c>
      <c r="I16631" s="690" t="s">
        <v>4060</v>
      </c>
      <c r="J16631" s="690" t="s">
        <v>4060</v>
      </c>
      <c r="K16631" s="690" t="s">
        <v>4060</v>
      </c>
    </row>
    <row r="16632" spans="1:11">
      <c r="A16632" s="688" t="s">
        <v>4069</v>
      </c>
      <c r="B16632" s="692" t="s">
        <v>4060</v>
      </c>
      <c r="C16632" s="691">
        <v>44.9</v>
      </c>
      <c r="D16632" s="691">
        <v>44.6</v>
      </c>
      <c r="E16632" s="615">
        <v>45</v>
      </c>
      <c r="F16632" s="691">
        <v>44.9</v>
      </c>
      <c r="G16632" s="691">
        <v>45.1</v>
      </c>
      <c r="H16632" s="691">
        <v>45.3</v>
      </c>
      <c r="I16632" s="691">
        <v>44.7</v>
      </c>
      <c r="J16632" s="691">
        <v>44.7</v>
      </c>
      <c r="K16632" s="691">
        <v>44.7</v>
      </c>
    </row>
    <row r="16633" spans="1:11">
      <c r="A16633" s="688" t="s">
        <v>4068</v>
      </c>
      <c r="B16633" s="693">
        <v>45</v>
      </c>
      <c r="C16633" s="690" t="s">
        <v>4060</v>
      </c>
      <c r="D16633" s="690" t="s">
        <v>4060</v>
      </c>
      <c r="E16633" s="690" t="s">
        <v>4060</v>
      </c>
      <c r="F16633" s="690" t="s">
        <v>4060</v>
      </c>
      <c r="G16633" s="690" t="s">
        <v>4060</v>
      </c>
      <c r="H16633" s="690" t="s">
        <v>4060</v>
      </c>
      <c r="I16633" s="690" t="s">
        <v>4060</v>
      </c>
      <c r="J16633" s="690" t="s">
        <v>4060</v>
      </c>
      <c r="K16633" s="690" t="s">
        <v>4060</v>
      </c>
    </row>
    <row r="16634" spans="1:11">
      <c r="A16634" s="688" t="s">
        <v>0</v>
      </c>
      <c r="B16634" s="691">
        <v>44.1</v>
      </c>
      <c r="C16634" s="691">
        <v>44.3</v>
      </c>
      <c r="D16634" s="615">
        <v>44</v>
      </c>
      <c r="E16634" s="691">
        <v>44.4</v>
      </c>
      <c r="F16634" s="691">
        <v>44.5</v>
      </c>
      <c r="G16634" s="691">
        <v>44.5</v>
      </c>
      <c r="H16634" s="691">
        <v>44.8</v>
      </c>
      <c r="I16634" s="691">
        <v>43.8</v>
      </c>
      <c r="J16634" s="691">
        <v>44.8</v>
      </c>
      <c r="K16634" s="691">
        <v>44.5</v>
      </c>
    </row>
    <row r="16635" spans="1:11">
      <c r="A16635" s="688" t="s">
        <v>1</v>
      </c>
      <c r="B16635" s="689">
        <v>39.9</v>
      </c>
      <c r="C16635" s="689">
        <v>39.4</v>
      </c>
      <c r="D16635" s="689">
        <v>39.4</v>
      </c>
      <c r="E16635" s="689">
        <v>39.6</v>
      </c>
      <c r="F16635" s="689">
        <v>39.5</v>
      </c>
      <c r="G16635" s="689">
        <v>39.700000000000003</v>
      </c>
      <c r="H16635" s="689">
        <v>39.9</v>
      </c>
      <c r="I16635" s="689">
        <v>38.5</v>
      </c>
      <c r="J16635" s="689">
        <v>36.5</v>
      </c>
      <c r="K16635" s="689">
        <v>39.200000000000003</v>
      </c>
    </row>
    <row r="16636" spans="1:11">
      <c r="A16636" s="688" t="s">
        <v>2240</v>
      </c>
      <c r="B16636" s="615">
        <v>42</v>
      </c>
      <c r="C16636" s="691">
        <v>42.4</v>
      </c>
      <c r="D16636" s="691">
        <v>42.1</v>
      </c>
      <c r="E16636" s="691">
        <v>42.6</v>
      </c>
      <c r="F16636" s="691">
        <v>42.5</v>
      </c>
      <c r="G16636" s="691">
        <v>42.6</v>
      </c>
      <c r="H16636" s="691">
        <v>42.9</v>
      </c>
      <c r="I16636" s="615">
        <v>42</v>
      </c>
      <c r="J16636" s="691">
        <v>41.2</v>
      </c>
      <c r="K16636" s="691">
        <v>42.7</v>
      </c>
    </row>
    <row r="16637" spans="1:11">
      <c r="A16637" s="688" t="s">
        <v>2</v>
      </c>
      <c r="B16637" s="689">
        <v>43.1</v>
      </c>
      <c r="C16637" s="689">
        <v>43.4</v>
      </c>
      <c r="D16637" s="689">
        <v>43.4</v>
      </c>
      <c r="E16637" s="689">
        <v>43.5</v>
      </c>
      <c r="F16637" s="689">
        <v>43.8</v>
      </c>
      <c r="G16637" s="689">
        <v>43.6</v>
      </c>
      <c r="H16637" s="693">
        <v>44</v>
      </c>
      <c r="I16637" s="689">
        <v>44.2</v>
      </c>
      <c r="J16637" s="693">
        <v>44</v>
      </c>
      <c r="K16637" s="689">
        <v>43.8</v>
      </c>
    </row>
    <row r="16638" spans="1:11">
      <c r="A16638" s="688" t="s">
        <v>3</v>
      </c>
      <c r="B16638" s="691">
        <v>43.8</v>
      </c>
      <c r="C16638" s="691">
        <v>44.1</v>
      </c>
      <c r="D16638" s="691">
        <v>43.7</v>
      </c>
      <c r="E16638" s="615">
        <v>44</v>
      </c>
      <c r="F16638" s="615">
        <v>44</v>
      </c>
      <c r="G16638" s="615">
        <v>44</v>
      </c>
      <c r="H16638" s="691">
        <v>44.3</v>
      </c>
      <c r="I16638" s="691">
        <v>44.1</v>
      </c>
      <c r="J16638" s="691">
        <v>43.9</v>
      </c>
      <c r="K16638" s="691">
        <v>43.6</v>
      </c>
    </row>
    <row r="16639" spans="1:11">
      <c r="A16639" s="688" t="s">
        <v>4061</v>
      </c>
      <c r="B16639" s="689">
        <v>43.8</v>
      </c>
      <c r="C16639" s="689">
        <v>44.1</v>
      </c>
      <c r="D16639" s="689">
        <v>43.7</v>
      </c>
      <c r="E16639" s="693">
        <v>44</v>
      </c>
      <c r="F16639" s="693">
        <v>44</v>
      </c>
      <c r="G16639" s="693">
        <v>44</v>
      </c>
      <c r="H16639" s="689">
        <v>44.3</v>
      </c>
      <c r="I16639" s="689">
        <v>44.1</v>
      </c>
      <c r="J16639" s="689">
        <v>43.9</v>
      </c>
      <c r="K16639" s="689">
        <v>43.6</v>
      </c>
    </row>
    <row r="16640" spans="1:11">
      <c r="A16640" s="688" t="s">
        <v>4</v>
      </c>
      <c r="B16640" s="691">
        <v>42.7</v>
      </c>
      <c r="C16640" s="691">
        <v>42.6</v>
      </c>
      <c r="D16640" s="691">
        <v>42.8</v>
      </c>
      <c r="E16640" s="691">
        <v>43.1</v>
      </c>
      <c r="F16640" s="691">
        <v>43.1</v>
      </c>
      <c r="G16640" s="691">
        <v>43.2</v>
      </c>
      <c r="H16640" s="691">
        <v>43.6</v>
      </c>
      <c r="I16640" s="691">
        <v>43.4</v>
      </c>
      <c r="J16640" s="691">
        <v>42.2</v>
      </c>
      <c r="K16640" s="691">
        <v>43.2</v>
      </c>
    </row>
    <row r="16641" spans="1:11">
      <c r="A16641" s="688" t="s">
        <v>8</v>
      </c>
      <c r="B16641" s="689">
        <v>43.9</v>
      </c>
      <c r="C16641" s="693">
        <v>44</v>
      </c>
      <c r="D16641" s="693">
        <v>44</v>
      </c>
      <c r="E16641" s="689">
        <v>44.1</v>
      </c>
      <c r="F16641" s="689">
        <v>44.5</v>
      </c>
      <c r="G16641" s="689">
        <v>44.6</v>
      </c>
      <c r="H16641" s="693">
        <v>45</v>
      </c>
      <c r="I16641" s="689">
        <v>44.7</v>
      </c>
      <c r="J16641" s="689">
        <v>44.7</v>
      </c>
      <c r="K16641" s="689">
        <v>44.7</v>
      </c>
    </row>
    <row r="16642" spans="1:11">
      <c r="A16642" s="688" t="s">
        <v>7</v>
      </c>
      <c r="B16642" s="691">
        <v>44.8</v>
      </c>
      <c r="C16642" s="691">
        <v>44.5</v>
      </c>
      <c r="D16642" s="691">
        <v>44.3</v>
      </c>
      <c r="E16642" s="691">
        <v>44.5</v>
      </c>
      <c r="F16642" s="691">
        <v>44.5</v>
      </c>
      <c r="G16642" s="691">
        <v>44.9</v>
      </c>
      <c r="H16642" s="691">
        <v>44.8</v>
      </c>
      <c r="I16642" s="691">
        <v>44.4</v>
      </c>
      <c r="J16642" s="691">
        <v>43.6</v>
      </c>
      <c r="K16642" s="691">
        <v>44.1</v>
      </c>
    </row>
    <row r="16643" spans="1:11">
      <c r="A16643" s="688" t="s">
        <v>27</v>
      </c>
      <c r="B16643" s="689">
        <v>46.7</v>
      </c>
      <c r="C16643" s="689">
        <v>46.3</v>
      </c>
      <c r="D16643" s="693">
        <v>46</v>
      </c>
      <c r="E16643" s="689">
        <v>46.4</v>
      </c>
      <c r="F16643" s="689">
        <v>46.3</v>
      </c>
      <c r="G16643" s="689">
        <v>46.4</v>
      </c>
      <c r="H16643" s="689">
        <v>46.8</v>
      </c>
      <c r="I16643" s="689">
        <v>45.6</v>
      </c>
      <c r="J16643" s="689">
        <v>46.4</v>
      </c>
      <c r="K16643" s="689">
        <v>46.3</v>
      </c>
    </row>
    <row r="16644" spans="1:11">
      <c r="A16644" s="688" t="s">
        <v>6</v>
      </c>
      <c r="B16644" s="691">
        <v>46.5</v>
      </c>
      <c r="C16644" s="691">
        <v>46.2</v>
      </c>
      <c r="D16644" s="691">
        <v>45.9</v>
      </c>
      <c r="E16644" s="691">
        <v>46.2</v>
      </c>
      <c r="F16644" s="691">
        <v>46.2</v>
      </c>
      <c r="G16644" s="691">
        <v>46.3</v>
      </c>
      <c r="H16644" s="691">
        <v>46.4</v>
      </c>
      <c r="I16644" s="691">
        <v>45.9</v>
      </c>
      <c r="J16644" s="615">
        <v>46</v>
      </c>
      <c r="K16644" s="615">
        <v>46</v>
      </c>
    </row>
    <row r="16645" spans="1:11">
      <c r="A16645" s="688" t="s">
        <v>4058</v>
      </c>
      <c r="B16645" s="690" t="s">
        <v>4060</v>
      </c>
      <c r="C16645" s="690" t="s">
        <v>4060</v>
      </c>
      <c r="D16645" s="690" t="s">
        <v>4060</v>
      </c>
      <c r="E16645" s="690" t="s">
        <v>4060</v>
      </c>
      <c r="F16645" s="690" t="s">
        <v>4060</v>
      </c>
      <c r="G16645" s="690" t="s">
        <v>4060</v>
      </c>
      <c r="H16645" s="690" t="s">
        <v>4060</v>
      </c>
      <c r="I16645" s="690" t="s">
        <v>4060</v>
      </c>
      <c r="J16645" s="690" t="s">
        <v>4060</v>
      </c>
      <c r="K16645" s="690" t="s">
        <v>4060</v>
      </c>
    </row>
    <row r="16646" spans="1:11">
      <c r="A16646" s="688" t="s">
        <v>11</v>
      </c>
      <c r="B16646" s="691">
        <v>41.8</v>
      </c>
      <c r="C16646" s="691">
        <v>41.7</v>
      </c>
      <c r="D16646" s="691">
        <v>41.3</v>
      </c>
      <c r="E16646" s="691">
        <v>41.9</v>
      </c>
      <c r="F16646" s="691">
        <v>41.6</v>
      </c>
      <c r="G16646" s="615">
        <v>42</v>
      </c>
      <c r="H16646" s="691">
        <v>42.1</v>
      </c>
      <c r="I16646" s="691">
        <v>41.5</v>
      </c>
      <c r="J16646" s="691">
        <v>40.6</v>
      </c>
      <c r="K16646" s="691">
        <v>41.6</v>
      </c>
    </row>
    <row r="16647" spans="1:11">
      <c r="A16647" s="688" t="s">
        <v>10</v>
      </c>
      <c r="B16647" s="689">
        <v>45.9</v>
      </c>
      <c r="C16647" s="689">
        <v>45.7</v>
      </c>
      <c r="D16647" s="689">
        <v>45.2</v>
      </c>
      <c r="E16647" s="689">
        <v>45.8</v>
      </c>
      <c r="F16647" s="689">
        <v>45.5</v>
      </c>
      <c r="G16647" s="689">
        <v>45.9</v>
      </c>
      <c r="H16647" s="693">
        <v>46</v>
      </c>
      <c r="I16647" s="689">
        <v>45.1</v>
      </c>
      <c r="J16647" s="689">
        <v>45.4</v>
      </c>
      <c r="K16647" s="689">
        <v>45.4</v>
      </c>
    </row>
    <row r="16648" spans="1:11">
      <c r="A16648" s="688" t="s">
        <v>30</v>
      </c>
      <c r="B16648" s="691">
        <v>45.4</v>
      </c>
      <c r="C16648" s="691">
        <v>44.7</v>
      </c>
      <c r="D16648" s="691">
        <v>44.4</v>
      </c>
      <c r="E16648" s="691">
        <v>45.3</v>
      </c>
      <c r="F16648" s="691">
        <v>44.9</v>
      </c>
      <c r="G16648" s="691">
        <v>45.3</v>
      </c>
      <c r="H16648" s="691">
        <v>45.2</v>
      </c>
      <c r="I16648" s="691">
        <v>45.1</v>
      </c>
      <c r="J16648" s="691">
        <v>44.4</v>
      </c>
      <c r="K16648" s="691">
        <v>44.7</v>
      </c>
    </row>
    <row r="16649" spans="1:11">
      <c r="A16649" s="688" t="s">
        <v>12</v>
      </c>
      <c r="B16649" s="689">
        <v>40.200000000000003</v>
      </c>
      <c r="C16649" s="689">
        <v>40.6</v>
      </c>
      <c r="D16649" s="689">
        <v>40.5</v>
      </c>
      <c r="E16649" s="689">
        <v>40.6</v>
      </c>
      <c r="F16649" s="689">
        <v>40.799999999999997</v>
      </c>
      <c r="G16649" s="689">
        <v>40.700000000000003</v>
      </c>
      <c r="H16649" s="689">
        <v>41.2</v>
      </c>
      <c r="I16649" s="689">
        <v>40.9</v>
      </c>
      <c r="J16649" s="689">
        <v>39.1</v>
      </c>
      <c r="K16649" s="689">
        <v>40.5</v>
      </c>
    </row>
    <row r="16650" spans="1:11">
      <c r="A16650" s="688" t="s">
        <v>14</v>
      </c>
      <c r="B16650" s="691">
        <v>40.799999999999997</v>
      </c>
      <c r="C16650" s="615">
        <v>41</v>
      </c>
      <c r="D16650" s="691">
        <v>40.799999999999997</v>
      </c>
      <c r="E16650" s="691">
        <v>41.1</v>
      </c>
      <c r="F16650" s="691">
        <v>41.4</v>
      </c>
      <c r="G16650" s="691">
        <v>41.6</v>
      </c>
      <c r="H16650" s="691">
        <v>41.9</v>
      </c>
      <c r="I16650" s="691">
        <v>40.9</v>
      </c>
      <c r="J16650" s="691">
        <v>39.9</v>
      </c>
      <c r="K16650" s="691">
        <v>41.1</v>
      </c>
    </row>
    <row r="16651" spans="1:11">
      <c r="A16651" s="688" t="s">
        <v>15</v>
      </c>
      <c r="B16651" s="689">
        <v>44.8</v>
      </c>
      <c r="C16651" s="689">
        <v>45.3</v>
      </c>
      <c r="D16651" s="689">
        <v>44.6</v>
      </c>
      <c r="E16651" s="689">
        <v>45.4</v>
      </c>
      <c r="F16651" s="689">
        <v>44.5</v>
      </c>
      <c r="G16651" s="693">
        <v>45</v>
      </c>
      <c r="H16651" s="689">
        <v>45.3</v>
      </c>
      <c r="I16651" s="689">
        <v>45.2</v>
      </c>
      <c r="J16651" s="689">
        <v>45.4</v>
      </c>
      <c r="K16651" s="689">
        <v>45.6</v>
      </c>
    </row>
    <row r="16652" spans="1:11">
      <c r="A16652" s="688" t="s">
        <v>29</v>
      </c>
      <c r="B16652" s="615">
        <v>40</v>
      </c>
      <c r="C16652" s="615">
        <v>40</v>
      </c>
      <c r="D16652" s="691">
        <v>39.700000000000003</v>
      </c>
      <c r="E16652" s="691">
        <v>40.299999999999997</v>
      </c>
      <c r="F16652" s="615">
        <v>40</v>
      </c>
      <c r="G16652" s="691">
        <v>40.200000000000003</v>
      </c>
      <c r="H16652" s="691">
        <v>40.299999999999997</v>
      </c>
      <c r="I16652" s="691">
        <v>39.6</v>
      </c>
      <c r="J16652" s="691">
        <v>38.5</v>
      </c>
      <c r="K16652" s="615">
        <v>40</v>
      </c>
    </row>
    <row r="16653" spans="1:11">
      <c r="A16653" s="688" t="s">
        <v>16</v>
      </c>
      <c r="B16653" s="689">
        <v>44.9</v>
      </c>
      <c r="C16653" s="689">
        <v>44.6</v>
      </c>
      <c r="D16653" s="689">
        <v>44.7</v>
      </c>
      <c r="E16653" s="689">
        <v>44.9</v>
      </c>
      <c r="F16653" s="689">
        <v>44.9</v>
      </c>
      <c r="G16653" s="689">
        <v>44.9</v>
      </c>
      <c r="H16653" s="689">
        <v>45.2</v>
      </c>
      <c r="I16653" s="689">
        <v>44.8</v>
      </c>
      <c r="J16653" s="689">
        <v>44.5</v>
      </c>
      <c r="K16653" s="689">
        <v>44.8</v>
      </c>
    </row>
    <row r="16654" spans="1:11">
      <c r="A16654" s="688" t="s">
        <v>17</v>
      </c>
      <c r="B16654" s="615">
        <v>44</v>
      </c>
      <c r="C16654" s="615">
        <v>44</v>
      </c>
      <c r="D16654" s="691">
        <v>43.8</v>
      </c>
      <c r="E16654" s="691">
        <v>43.9</v>
      </c>
      <c r="F16654" s="615">
        <v>44</v>
      </c>
      <c r="G16654" s="615">
        <v>44</v>
      </c>
      <c r="H16654" s="691">
        <v>44.3</v>
      </c>
      <c r="I16654" s="691">
        <v>43.8</v>
      </c>
      <c r="J16654" s="691">
        <v>43.7</v>
      </c>
      <c r="K16654" s="691">
        <v>43.8</v>
      </c>
    </row>
    <row r="16655" spans="1:11">
      <c r="A16655" s="688" t="s">
        <v>19</v>
      </c>
      <c r="B16655" s="689">
        <v>44.5</v>
      </c>
      <c r="C16655" s="689">
        <v>44.5</v>
      </c>
      <c r="D16655" s="689">
        <v>44.3</v>
      </c>
      <c r="E16655" s="689">
        <v>44.7</v>
      </c>
      <c r="F16655" s="689">
        <v>44.6</v>
      </c>
      <c r="G16655" s="689">
        <v>44.7</v>
      </c>
      <c r="H16655" s="689">
        <v>44.9</v>
      </c>
      <c r="I16655" s="689">
        <v>44.4</v>
      </c>
      <c r="J16655" s="689">
        <v>44.4</v>
      </c>
      <c r="K16655" s="689">
        <v>44.5</v>
      </c>
    </row>
    <row r="16656" spans="1:11">
      <c r="A16656" s="688" t="s">
        <v>20</v>
      </c>
      <c r="B16656" s="691">
        <v>42.1</v>
      </c>
      <c r="C16656" s="691">
        <v>42.3</v>
      </c>
      <c r="D16656" s="691">
        <v>42.1</v>
      </c>
      <c r="E16656" s="691">
        <v>42.6</v>
      </c>
      <c r="F16656" s="691">
        <v>42.4</v>
      </c>
      <c r="G16656" s="691">
        <v>42.3</v>
      </c>
      <c r="H16656" s="691">
        <v>42.6</v>
      </c>
      <c r="I16656" s="691">
        <v>41.4</v>
      </c>
      <c r="J16656" s="691">
        <v>40.4</v>
      </c>
      <c r="K16656" s="615">
        <v>42</v>
      </c>
    </row>
    <row r="16657" spans="1:11">
      <c r="A16657" s="688" t="s">
        <v>21</v>
      </c>
      <c r="B16657" s="689">
        <v>44.8</v>
      </c>
      <c r="C16657" s="693">
        <v>45</v>
      </c>
      <c r="D16657" s="689">
        <v>44.9</v>
      </c>
      <c r="E16657" s="693">
        <v>45</v>
      </c>
      <c r="F16657" s="689">
        <v>45.2</v>
      </c>
      <c r="G16657" s="689">
        <v>45.3</v>
      </c>
      <c r="H16657" s="689">
        <v>45.5</v>
      </c>
      <c r="I16657" s="689">
        <v>44.9</v>
      </c>
      <c r="J16657" s="693">
        <v>45</v>
      </c>
      <c r="K16657" s="689">
        <v>45.2</v>
      </c>
    </row>
    <row r="16658" spans="1:11">
      <c r="A16658" s="688" t="s">
        <v>22</v>
      </c>
      <c r="B16658" s="691">
        <v>40.200000000000003</v>
      </c>
      <c r="C16658" s="691">
        <v>39.9</v>
      </c>
      <c r="D16658" s="691">
        <v>39.9</v>
      </c>
      <c r="E16658" s="691">
        <v>40.200000000000003</v>
      </c>
      <c r="F16658" s="691">
        <v>40.200000000000003</v>
      </c>
      <c r="G16658" s="691">
        <v>40.299999999999997</v>
      </c>
      <c r="H16658" s="691">
        <v>40.6</v>
      </c>
      <c r="I16658" s="691">
        <v>39.4</v>
      </c>
      <c r="J16658" s="691">
        <v>37.799999999999997</v>
      </c>
      <c r="K16658" s="691">
        <v>40.200000000000003</v>
      </c>
    </row>
    <row r="16659" spans="1:11">
      <c r="A16659" s="688" t="s">
        <v>26</v>
      </c>
      <c r="B16659" s="689">
        <v>44.3</v>
      </c>
      <c r="C16659" s="689">
        <v>44.3</v>
      </c>
      <c r="D16659" s="689">
        <v>44.1</v>
      </c>
      <c r="E16659" s="689">
        <v>44.5</v>
      </c>
      <c r="F16659" s="689">
        <v>44.3</v>
      </c>
      <c r="G16659" s="689">
        <v>44.5</v>
      </c>
      <c r="H16659" s="689">
        <v>44.8</v>
      </c>
      <c r="I16659" s="689">
        <v>43.9</v>
      </c>
      <c r="J16659" s="689">
        <v>44.2</v>
      </c>
      <c r="K16659" s="689">
        <v>44.5</v>
      </c>
    </row>
    <row r="16660" spans="1:11">
      <c r="A16660" s="688" t="s">
        <v>25</v>
      </c>
      <c r="B16660" s="691">
        <v>41.2</v>
      </c>
      <c r="C16660" s="691">
        <v>41.5</v>
      </c>
      <c r="D16660" s="691">
        <v>41.1</v>
      </c>
      <c r="E16660" s="691">
        <v>41.6</v>
      </c>
      <c r="F16660" s="691">
        <v>41.5</v>
      </c>
      <c r="G16660" s="691">
        <v>41.6</v>
      </c>
      <c r="H16660" s="691">
        <v>42.1</v>
      </c>
      <c r="I16660" s="691">
        <v>41.4</v>
      </c>
      <c r="J16660" s="691">
        <v>39.200000000000003</v>
      </c>
      <c r="K16660" s="691">
        <v>41.4</v>
      </c>
    </row>
    <row r="16661" spans="1:11">
      <c r="A16661" s="688" t="s">
        <v>5</v>
      </c>
      <c r="B16661" s="689">
        <v>44.8</v>
      </c>
      <c r="C16661" s="689">
        <v>44.6</v>
      </c>
      <c r="D16661" s="689">
        <v>44.8</v>
      </c>
      <c r="E16661" s="689">
        <v>44.8</v>
      </c>
      <c r="F16661" s="693">
        <v>45</v>
      </c>
      <c r="G16661" s="693">
        <v>45</v>
      </c>
      <c r="H16661" s="689">
        <v>45.3</v>
      </c>
      <c r="I16661" s="689">
        <v>45.3</v>
      </c>
      <c r="J16661" s="689">
        <v>45.2</v>
      </c>
      <c r="K16661" s="689">
        <v>44.5</v>
      </c>
    </row>
    <row r="16662" spans="1:11">
      <c r="A16662" s="688" t="s">
        <v>23</v>
      </c>
      <c r="B16662" s="691">
        <v>44.5</v>
      </c>
      <c r="C16662" s="691">
        <v>44.7</v>
      </c>
      <c r="D16662" s="691">
        <v>44.7</v>
      </c>
      <c r="E16662" s="691">
        <v>44.8</v>
      </c>
      <c r="F16662" s="691">
        <v>44.8</v>
      </c>
      <c r="G16662" s="691">
        <v>44.9</v>
      </c>
      <c r="H16662" s="691">
        <v>45.4</v>
      </c>
      <c r="I16662" s="691">
        <v>44.9</v>
      </c>
      <c r="J16662" s="691">
        <v>45.5</v>
      </c>
      <c r="K16662" s="691">
        <v>45.4</v>
      </c>
    </row>
    <row r="16663" spans="1:11">
      <c r="A16663" s="688" t="s">
        <v>4067</v>
      </c>
      <c r="B16663" s="689">
        <v>44.1</v>
      </c>
      <c r="C16663" s="689">
        <v>44.5</v>
      </c>
      <c r="D16663" s="689">
        <v>44.1</v>
      </c>
      <c r="E16663" s="689">
        <v>44.5</v>
      </c>
      <c r="F16663" s="689">
        <v>44.3</v>
      </c>
      <c r="G16663" s="689">
        <v>44.4</v>
      </c>
      <c r="H16663" s="690" t="s">
        <v>4060</v>
      </c>
      <c r="I16663" s="690" t="s">
        <v>4060</v>
      </c>
      <c r="J16663" s="690" t="s">
        <v>4060</v>
      </c>
      <c r="K16663" s="690" t="s">
        <v>4060</v>
      </c>
    </row>
    <row r="16664" spans="1:11">
      <c r="A16664" s="688" t="s">
        <v>4066</v>
      </c>
      <c r="B16664" s="691">
        <v>44.1</v>
      </c>
      <c r="C16664" s="691">
        <v>44.5</v>
      </c>
      <c r="D16664" s="691">
        <v>44.1</v>
      </c>
      <c r="E16664" s="691">
        <v>44.5</v>
      </c>
      <c r="F16664" s="691">
        <v>44.4</v>
      </c>
      <c r="G16664" s="691">
        <v>44.4</v>
      </c>
      <c r="H16664" s="692" t="s">
        <v>4060</v>
      </c>
      <c r="I16664" s="692" t="s">
        <v>4060</v>
      </c>
      <c r="J16664" s="692" t="s">
        <v>4060</v>
      </c>
      <c r="K16664" s="692" t="s">
        <v>4060</v>
      </c>
    </row>
    <row r="16665" spans="1:11">
      <c r="A16665" s="688" t="s">
        <v>4062</v>
      </c>
      <c r="B16665" s="689">
        <v>45.2</v>
      </c>
      <c r="C16665" s="689">
        <v>45.4</v>
      </c>
      <c r="D16665" s="689">
        <v>45.3</v>
      </c>
      <c r="E16665" s="689">
        <v>45.5</v>
      </c>
      <c r="F16665" s="689">
        <v>45.6</v>
      </c>
      <c r="G16665" s="689">
        <v>45.7</v>
      </c>
      <c r="H16665" s="689">
        <v>45.9</v>
      </c>
      <c r="I16665" s="689">
        <v>45.6</v>
      </c>
      <c r="J16665" s="689">
        <v>45.9</v>
      </c>
      <c r="K16665" s="689">
        <v>45.6</v>
      </c>
    </row>
    <row r="16666" spans="1:11">
      <c r="A16666" s="688" t="s">
        <v>9</v>
      </c>
      <c r="B16666" s="691">
        <v>44.4</v>
      </c>
      <c r="C16666" s="615">
        <v>45</v>
      </c>
      <c r="D16666" s="691">
        <v>44.2</v>
      </c>
      <c r="E16666" s="691">
        <v>44.4</v>
      </c>
      <c r="F16666" s="691">
        <v>44.9</v>
      </c>
      <c r="G16666" s="691">
        <v>44.8</v>
      </c>
      <c r="H16666" s="615">
        <v>45</v>
      </c>
      <c r="I16666" s="615">
        <v>45</v>
      </c>
      <c r="J16666" s="691">
        <v>45.2</v>
      </c>
      <c r="K16666" s="691">
        <v>44.2</v>
      </c>
    </row>
    <row r="16667" spans="1:11">
      <c r="A16667" s="688" t="s">
        <v>13</v>
      </c>
      <c r="B16667" s="689">
        <v>45.4</v>
      </c>
      <c r="C16667" s="689">
        <v>44.1</v>
      </c>
      <c r="D16667" s="689">
        <v>45.1</v>
      </c>
      <c r="E16667" s="689">
        <v>45.2</v>
      </c>
      <c r="F16667" s="693">
        <v>46</v>
      </c>
      <c r="G16667" s="689">
        <v>45.9</v>
      </c>
      <c r="H16667" s="689">
        <v>45.8</v>
      </c>
      <c r="I16667" s="689">
        <v>45.1</v>
      </c>
      <c r="J16667" s="689">
        <v>46.1</v>
      </c>
      <c r="K16667" s="689">
        <v>45.8</v>
      </c>
    </row>
    <row r="16668" spans="1:11">
      <c r="A16668" s="688" t="s">
        <v>18</v>
      </c>
      <c r="B16668" s="691">
        <v>44.4</v>
      </c>
      <c r="C16668" s="691">
        <v>44.7</v>
      </c>
      <c r="D16668" s="691">
        <v>44.8</v>
      </c>
      <c r="E16668" s="691">
        <v>44.8</v>
      </c>
      <c r="F16668" s="691">
        <v>44.9</v>
      </c>
      <c r="G16668" s="691">
        <v>45.1</v>
      </c>
      <c r="H16668" s="691">
        <v>45.3</v>
      </c>
      <c r="I16668" s="691">
        <v>45.5</v>
      </c>
      <c r="J16668" s="691">
        <v>45.3</v>
      </c>
      <c r="K16668" s="691">
        <v>44.9</v>
      </c>
    </row>
    <row r="16669" spans="1:11">
      <c r="A16669" s="688" t="s">
        <v>24</v>
      </c>
      <c r="B16669" s="689">
        <v>45.7</v>
      </c>
      <c r="C16669" s="689">
        <v>45.8</v>
      </c>
      <c r="D16669" s="689">
        <v>45.6</v>
      </c>
      <c r="E16669" s="693">
        <v>46</v>
      </c>
      <c r="F16669" s="693">
        <v>46</v>
      </c>
      <c r="G16669" s="689">
        <v>46.1</v>
      </c>
      <c r="H16669" s="689">
        <v>46.2</v>
      </c>
      <c r="I16669" s="689">
        <v>45.8</v>
      </c>
      <c r="J16669" s="689">
        <v>46.3</v>
      </c>
      <c r="K16669" s="689">
        <v>46.1</v>
      </c>
    </row>
    <row r="16670" spans="1:11">
      <c r="A16670" s="688" t="s">
        <v>4059</v>
      </c>
      <c r="B16670" s="691">
        <v>43.8</v>
      </c>
      <c r="C16670" s="691">
        <v>44.1</v>
      </c>
      <c r="D16670" s="691">
        <v>43.6</v>
      </c>
      <c r="E16670" s="691">
        <v>43.9</v>
      </c>
      <c r="F16670" s="691">
        <v>43.9</v>
      </c>
      <c r="G16670" s="691">
        <v>43.9</v>
      </c>
      <c r="H16670" s="692" t="s">
        <v>4060</v>
      </c>
      <c r="I16670" s="692" t="s">
        <v>4060</v>
      </c>
      <c r="J16670" s="692" t="s">
        <v>4060</v>
      </c>
      <c r="K16670" s="692" t="s">
        <v>4060</v>
      </c>
    </row>
    <row r="16671" spans="1:11">
      <c r="A16671" s="688" t="s">
        <v>2324</v>
      </c>
      <c r="B16671" s="689">
        <v>39.9</v>
      </c>
      <c r="C16671" s="693">
        <v>40</v>
      </c>
      <c r="D16671" s="689">
        <v>39.299999999999997</v>
      </c>
      <c r="E16671" s="689">
        <v>39.799999999999997</v>
      </c>
      <c r="F16671" s="689">
        <v>40.1</v>
      </c>
      <c r="G16671" s="689">
        <v>39.9</v>
      </c>
      <c r="H16671" s="689">
        <v>40.200000000000003</v>
      </c>
      <c r="I16671" s="689">
        <v>39.6</v>
      </c>
      <c r="J16671" s="689">
        <v>37.799999999999997</v>
      </c>
      <c r="K16671" s="690" t="s">
        <v>4060</v>
      </c>
    </row>
    <row r="16672" spans="1:11">
      <c r="A16672" s="688" t="s">
        <v>2322</v>
      </c>
      <c r="B16672" s="692" t="s">
        <v>4060</v>
      </c>
      <c r="C16672" s="692" t="s">
        <v>4060</v>
      </c>
      <c r="D16672" s="692" t="s">
        <v>4060</v>
      </c>
      <c r="E16672" s="692" t="s">
        <v>4060</v>
      </c>
      <c r="F16672" s="692" t="s">
        <v>4060</v>
      </c>
      <c r="G16672" s="692" t="s">
        <v>4060</v>
      </c>
      <c r="H16672" s="692" t="s">
        <v>4060</v>
      </c>
      <c r="I16672" s="692" t="s">
        <v>4060</v>
      </c>
      <c r="J16672" s="692" t="s">
        <v>4060</v>
      </c>
      <c r="K16672" s="692" t="s">
        <v>4060</v>
      </c>
    </row>
    <row r="16673" spans="1:11">
      <c r="A16673" s="688" t="s">
        <v>2328</v>
      </c>
      <c r="B16673" s="693">
        <v>39</v>
      </c>
      <c r="C16673" s="689">
        <v>38.799999999999997</v>
      </c>
      <c r="D16673" s="689">
        <v>38.700000000000003</v>
      </c>
      <c r="E16673" s="689">
        <v>39.1</v>
      </c>
      <c r="F16673" s="689">
        <v>39.200000000000003</v>
      </c>
      <c r="G16673" s="689">
        <v>39.6</v>
      </c>
      <c r="H16673" s="689">
        <v>39.5</v>
      </c>
      <c r="I16673" s="689">
        <v>37.799999999999997</v>
      </c>
      <c r="J16673" s="689">
        <v>36.5</v>
      </c>
      <c r="K16673" s="690" t="s">
        <v>4060</v>
      </c>
    </row>
    <row r="16674" spans="1:11">
      <c r="A16674" s="688" t="s">
        <v>2496</v>
      </c>
      <c r="B16674" s="692" t="s">
        <v>4060</v>
      </c>
      <c r="C16674" s="691">
        <v>39.9</v>
      </c>
      <c r="D16674" s="691">
        <v>38.9</v>
      </c>
      <c r="E16674" s="691">
        <v>38.700000000000003</v>
      </c>
      <c r="F16674" s="691">
        <v>39.299999999999997</v>
      </c>
      <c r="G16674" s="691">
        <v>39.6</v>
      </c>
      <c r="H16674" s="691">
        <v>39.700000000000003</v>
      </c>
      <c r="I16674" s="692" t="s">
        <v>4060</v>
      </c>
      <c r="J16674" s="692" t="s">
        <v>4060</v>
      </c>
      <c r="K16674" s="691">
        <v>39.4</v>
      </c>
    </row>
    <row r="16675" spans="1:11">
      <c r="A16675" s="688" t="s">
        <v>2269</v>
      </c>
      <c r="B16675" s="689">
        <v>41.6</v>
      </c>
      <c r="C16675" s="689">
        <v>41.7</v>
      </c>
      <c r="D16675" s="689">
        <v>41.1</v>
      </c>
      <c r="E16675" s="689">
        <v>41.6</v>
      </c>
      <c r="F16675" s="689">
        <v>41.4</v>
      </c>
      <c r="G16675" s="689">
        <v>41.9</v>
      </c>
      <c r="H16675" s="689">
        <v>42.1</v>
      </c>
      <c r="I16675" s="689">
        <v>40.9</v>
      </c>
      <c r="J16675" s="689">
        <v>38.9</v>
      </c>
      <c r="K16675" s="689">
        <v>41.8</v>
      </c>
    </row>
    <row r="16676" spans="1:11">
      <c r="A16676" s="688" t="s">
        <v>2349</v>
      </c>
      <c r="B16676" s="615">
        <v>39</v>
      </c>
      <c r="C16676" s="615">
        <v>39</v>
      </c>
      <c r="D16676" s="691">
        <v>38.9</v>
      </c>
      <c r="E16676" s="691">
        <v>39.299999999999997</v>
      </c>
      <c r="F16676" s="691">
        <v>39.1</v>
      </c>
      <c r="G16676" s="691">
        <v>39.4</v>
      </c>
      <c r="H16676" s="691">
        <v>39.6</v>
      </c>
      <c r="I16676" s="691">
        <v>38.4</v>
      </c>
      <c r="J16676" s="691">
        <v>36.700000000000003</v>
      </c>
      <c r="K16676" s="691">
        <v>38.700000000000003</v>
      </c>
    </row>
    <row r="16677" spans="1:11">
      <c r="A16677" s="688" t="s">
        <v>2355</v>
      </c>
      <c r="B16677" s="689">
        <v>42.8</v>
      </c>
      <c r="C16677" s="689">
        <v>42.6</v>
      </c>
      <c r="D16677" s="689">
        <v>42.6</v>
      </c>
      <c r="E16677" s="689">
        <v>42.5</v>
      </c>
      <c r="F16677" s="689">
        <v>42.7</v>
      </c>
      <c r="G16677" s="689">
        <v>43.1</v>
      </c>
      <c r="H16677" s="689">
        <v>43.2</v>
      </c>
      <c r="I16677" s="690" t="s">
        <v>4060</v>
      </c>
      <c r="J16677" s="690" t="s">
        <v>4060</v>
      </c>
      <c r="K16677" s="690" t="s">
        <v>4060</v>
      </c>
    </row>
    <row r="16678" spans="1:11">
      <c r="A16678" s="688" t="s">
        <v>2357</v>
      </c>
      <c r="B16678" s="692" t="s">
        <v>4060</v>
      </c>
      <c r="C16678" s="691">
        <v>38.6</v>
      </c>
      <c r="D16678" s="615">
        <v>39</v>
      </c>
      <c r="E16678" s="691">
        <v>39.299999999999997</v>
      </c>
      <c r="F16678" s="691">
        <v>39.6</v>
      </c>
      <c r="G16678" s="691">
        <v>39.6</v>
      </c>
      <c r="H16678" s="691">
        <v>39.799999999999997</v>
      </c>
      <c r="I16678" s="692" t="s">
        <v>4060</v>
      </c>
      <c r="J16678" s="692" t="s">
        <v>4060</v>
      </c>
      <c r="K16678" s="692" t="s">
        <v>4060</v>
      </c>
    </row>
    <row r="16679" spans="1:11">
      <c r="A16679" s="688" t="s">
        <v>4070</v>
      </c>
      <c r="B16679" s="690" t="s">
        <v>4060</v>
      </c>
      <c r="C16679" s="690" t="s">
        <v>4060</v>
      </c>
      <c r="D16679" s="690" t="s">
        <v>4060</v>
      </c>
      <c r="E16679" s="689">
        <v>42.6</v>
      </c>
      <c r="F16679" s="690" t="s">
        <v>4060</v>
      </c>
      <c r="G16679" s="690" t="s">
        <v>4060</v>
      </c>
      <c r="H16679" s="690" t="s">
        <v>4060</v>
      </c>
      <c r="I16679" s="690" t="s">
        <v>4060</v>
      </c>
      <c r="J16679" s="690" t="s">
        <v>4060</v>
      </c>
      <c r="K16679" s="690" t="s">
        <v>4060</v>
      </c>
    </row>
    <row r="16680" spans="1:11">
      <c r="A16680" s="688" t="s">
        <v>2491</v>
      </c>
      <c r="B16680" s="691">
        <v>39.299999999999997</v>
      </c>
      <c r="C16680" s="691">
        <v>39.799999999999997</v>
      </c>
      <c r="D16680" s="691">
        <v>40.1</v>
      </c>
      <c r="E16680" s="691">
        <v>40.299999999999997</v>
      </c>
      <c r="F16680" s="691">
        <v>40.4</v>
      </c>
      <c r="G16680" s="691">
        <v>40.4</v>
      </c>
      <c r="H16680" s="692" t="s">
        <v>4060</v>
      </c>
      <c r="I16680" s="692" t="s">
        <v>4060</v>
      </c>
      <c r="J16680" s="692" t="s">
        <v>4060</v>
      </c>
      <c r="K16680" s="692" t="s">
        <v>4060</v>
      </c>
    </row>
    <row r="16681" spans="1:11">
      <c r="A16681" s="688" t="s">
        <v>2343</v>
      </c>
      <c r="B16681" s="690" t="s">
        <v>4060</v>
      </c>
      <c r="C16681" s="690" t="s">
        <v>4060</v>
      </c>
      <c r="D16681" s="690" t="s">
        <v>4060</v>
      </c>
      <c r="E16681" s="690" t="s">
        <v>4060</v>
      </c>
      <c r="F16681" s="690" t="s">
        <v>4060</v>
      </c>
      <c r="G16681" s="690" t="s">
        <v>4060</v>
      </c>
      <c r="H16681" s="690" t="s">
        <v>4060</v>
      </c>
      <c r="I16681" s="690" t="s">
        <v>4060</v>
      </c>
      <c r="J16681" s="690" t="s">
        <v>4060</v>
      </c>
      <c r="K16681" s="690" t="s">
        <v>4060</v>
      </c>
    </row>
    <row r="16682" spans="1:11">
      <c r="A16682" s="688" t="s">
        <v>4071</v>
      </c>
      <c r="B16682" s="692" t="s">
        <v>4060</v>
      </c>
      <c r="C16682" s="692" t="s">
        <v>4060</v>
      </c>
      <c r="D16682" s="692" t="s">
        <v>4060</v>
      </c>
      <c r="E16682" s="692" t="s">
        <v>4060</v>
      </c>
      <c r="F16682" s="692" t="s">
        <v>4060</v>
      </c>
      <c r="G16682" s="692" t="s">
        <v>4060</v>
      </c>
      <c r="H16682" s="692" t="s">
        <v>4060</v>
      </c>
      <c r="I16682" s="692" t="s">
        <v>4060</v>
      </c>
      <c r="J16682" s="692" t="s">
        <v>4060</v>
      </c>
      <c r="K16682" s="692" t="s">
        <v>4060</v>
      </c>
    </row>
    <row r="16683" spans="1:11">
      <c r="A16683" s="688" t="s">
        <v>2489</v>
      </c>
      <c r="B16683" s="690" t="s">
        <v>4060</v>
      </c>
      <c r="C16683" s="690" t="s">
        <v>4060</v>
      </c>
      <c r="D16683" s="689">
        <v>39.5</v>
      </c>
      <c r="E16683" s="689">
        <v>39.700000000000003</v>
      </c>
      <c r="F16683" s="689">
        <v>40.1</v>
      </c>
      <c r="G16683" s="689">
        <v>40.799999999999997</v>
      </c>
      <c r="H16683" s="689">
        <v>40.799999999999997</v>
      </c>
      <c r="I16683" s="690" t="s">
        <v>4060</v>
      </c>
      <c r="J16683" s="690" t="s">
        <v>4060</v>
      </c>
      <c r="K16683" s="690" t="s">
        <v>4060</v>
      </c>
    </row>
    <row r="16684" spans="1:11">
      <c r="A16684" s="688" t="s">
        <v>2490</v>
      </c>
      <c r="B16684" s="691">
        <v>38.9</v>
      </c>
      <c r="C16684" s="691">
        <v>38.9</v>
      </c>
      <c r="D16684" s="691">
        <v>39.4</v>
      </c>
      <c r="E16684" s="692" t="s">
        <v>4060</v>
      </c>
      <c r="F16684" s="691">
        <v>39.6</v>
      </c>
      <c r="G16684" s="615">
        <v>40</v>
      </c>
      <c r="H16684" s="691">
        <v>40.6</v>
      </c>
      <c r="I16684" s="692" t="s">
        <v>4060</v>
      </c>
      <c r="J16684" s="692" t="s">
        <v>4060</v>
      </c>
      <c r="K16684" s="692" t="s">
        <v>4060</v>
      </c>
    </row>
    <row r="16686" spans="1:11">
      <c r="A16686" s="683" t="s">
        <v>4233</v>
      </c>
    </row>
    <row r="16687" spans="1:11">
      <c r="A16687" s="683" t="s">
        <v>4060</v>
      </c>
      <c r="B16687" s="682" t="s">
        <v>4234</v>
      </c>
    </row>
    <row r="16689" spans="1:11">
      <c r="A16689" s="682" t="s">
        <v>4332</v>
      </c>
    </row>
    <row r="16690" spans="1:11">
      <c r="A16690" s="682" t="s">
        <v>4210</v>
      </c>
      <c r="B16690" s="683" t="s">
        <v>4211</v>
      </c>
    </row>
    <row r="16691" spans="1:11">
      <c r="A16691" s="682" t="s">
        <v>4212</v>
      </c>
      <c r="B16691" s="682" t="s">
        <v>4213</v>
      </c>
    </row>
    <row r="16693" spans="1:11">
      <c r="A16693" s="683" t="s">
        <v>4214</v>
      </c>
      <c r="C16693" s="682" t="s">
        <v>4215</v>
      </c>
    </row>
    <row r="16694" spans="1:11">
      <c r="A16694" s="683" t="s">
        <v>4216</v>
      </c>
      <c r="C16694" s="682" t="s">
        <v>2967</v>
      </c>
    </row>
    <row r="16695" spans="1:11">
      <c r="A16695" s="683" t="s">
        <v>3893</v>
      </c>
      <c r="C16695" s="682" t="s">
        <v>2169</v>
      </c>
    </row>
    <row r="16696" spans="1:11">
      <c r="A16696" s="683" t="s">
        <v>4218</v>
      </c>
      <c r="C16696" s="682" t="s">
        <v>4276</v>
      </c>
    </row>
    <row r="16698" spans="1:11">
      <c r="A16698" s="684" t="s">
        <v>4220</v>
      </c>
      <c r="B16698" s="685" t="s">
        <v>4221</v>
      </c>
      <c r="C16698" s="685" t="s">
        <v>4222</v>
      </c>
      <c r="D16698" s="685" t="s">
        <v>4223</v>
      </c>
      <c r="E16698" s="685" t="s">
        <v>4224</v>
      </c>
      <c r="F16698" s="685" t="s">
        <v>4225</v>
      </c>
      <c r="G16698" s="685" t="s">
        <v>4226</v>
      </c>
      <c r="H16698" s="685" t="s">
        <v>4227</v>
      </c>
      <c r="I16698" s="685" t="s">
        <v>4228</v>
      </c>
      <c r="J16698" s="685" t="s">
        <v>4229</v>
      </c>
      <c r="K16698" s="685" t="s">
        <v>4230</v>
      </c>
    </row>
    <row r="16699" spans="1:11">
      <c r="A16699" s="686" t="s">
        <v>4231</v>
      </c>
      <c r="B16699" s="687" t="s">
        <v>4232</v>
      </c>
      <c r="C16699" s="687" t="s">
        <v>4232</v>
      </c>
      <c r="D16699" s="687" t="s">
        <v>4232</v>
      </c>
      <c r="E16699" s="687" t="s">
        <v>4232</v>
      </c>
      <c r="F16699" s="687" t="s">
        <v>4232</v>
      </c>
      <c r="G16699" s="687" t="s">
        <v>4232</v>
      </c>
      <c r="H16699" s="687" t="s">
        <v>4232</v>
      </c>
      <c r="I16699" s="687" t="s">
        <v>4232</v>
      </c>
      <c r="J16699" s="687" t="s">
        <v>4232</v>
      </c>
      <c r="K16699" s="687" t="s">
        <v>4232</v>
      </c>
    </row>
    <row r="16700" spans="1:11">
      <c r="A16700" s="688" t="s">
        <v>4064</v>
      </c>
      <c r="B16700" s="691">
        <v>43.2</v>
      </c>
      <c r="C16700" s="691">
        <v>43.2</v>
      </c>
      <c r="D16700" s="691">
        <v>43.1</v>
      </c>
      <c r="E16700" s="691">
        <v>43.3</v>
      </c>
      <c r="F16700" s="691">
        <v>43.2</v>
      </c>
      <c r="G16700" s="691">
        <v>43.3</v>
      </c>
      <c r="H16700" s="691">
        <v>43.6</v>
      </c>
      <c r="I16700" s="691">
        <v>42.9</v>
      </c>
      <c r="J16700" s="691">
        <v>42.6</v>
      </c>
      <c r="K16700" s="691">
        <v>43.1</v>
      </c>
    </row>
    <row r="16701" spans="1:11">
      <c r="A16701" s="688" t="s">
        <v>4065</v>
      </c>
      <c r="B16701" s="689">
        <v>43.1</v>
      </c>
      <c r="C16701" s="689">
        <v>43.5</v>
      </c>
      <c r="D16701" s="689">
        <v>43.1</v>
      </c>
      <c r="E16701" s="689">
        <v>43.5</v>
      </c>
      <c r="F16701" s="689">
        <v>43.4</v>
      </c>
      <c r="G16701" s="689">
        <v>43.5</v>
      </c>
      <c r="H16701" s="690" t="s">
        <v>4060</v>
      </c>
      <c r="I16701" s="690" t="s">
        <v>4060</v>
      </c>
      <c r="J16701" s="690" t="s">
        <v>4060</v>
      </c>
      <c r="K16701" s="690" t="s">
        <v>4060</v>
      </c>
    </row>
    <row r="16702" spans="1:11">
      <c r="A16702" s="688" t="s">
        <v>4063</v>
      </c>
      <c r="B16702" s="691">
        <v>43.2</v>
      </c>
      <c r="C16702" s="691">
        <v>43.5</v>
      </c>
      <c r="D16702" s="691">
        <v>43.1</v>
      </c>
      <c r="E16702" s="691">
        <v>43.5</v>
      </c>
      <c r="F16702" s="691">
        <v>43.4</v>
      </c>
      <c r="G16702" s="691">
        <v>43.5</v>
      </c>
      <c r="H16702" s="692" t="s">
        <v>4060</v>
      </c>
      <c r="I16702" s="692" t="s">
        <v>4060</v>
      </c>
      <c r="J16702" s="692" t="s">
        <v>4060</v>
      </c>
      <c r="K16702" s="692" t="s">
        <v>4060</v>
      </c>
    </row>
    <row r="16703" spans="1:11">
      <c r="A16703" s="688" t="s">
        <v>4069</v>
      </c>
      <c r="B16703" s="690" t="s">
        <v>4060</v>
      </c>
      <c r="C16703" s="693">
        <v>44</v>
      </c>
      <c r="D16703" s="689">
        <v>43.7</v>
      </c>
      <c r="E16703" s="693">
        <v>44</v>
      </c>
      <c r="F16703" s="693">
        <v>44</v>
      </c>
      <c r="G16703" s="689">
        <v>44.1</v>
      </c>
      <c r="H16703" s="689">
        <v>44.3</v>
      </c>
      <c r="I16703" s="689">
        <v>43.7</v>
      </c>
      <c r="J16703" s="689">
        <v>43.8</v>
      </c>
      <c r="K16703" s="689">
        <v>43.8</v>
      </c>
    </row>
    <row r="16704" spans="1:11">
      <c r="A16704" s="688" t="s">
        <v>4068</v>
      </c>
      <c r="B16704" s="615">
        <v>44</v>
      </c>
      <c r="C16704" s="692" t="s">
        <v>4060</v>
      </c>
      <c r="D16704" s="692" t="s">
        <v>4060</v>
      </c>
      <c r="E16704" s="692" t="s">
        <v>4060</v>
      </c>
      <c r="F16704" s="692" t="s">
        <v>4060</v>
      </c>
      <c r="G16704" s="692" t="s">
        <v>4060</v>
      </c>
      <c r="H16704" s="692" t="s">
        <v>4060</v>
      </c>
      <c r="I16704" s="692" t="s">
        <v>4060</v>
      </c>
      <c r="J16704" s="692" t="s">
        <v>4060</v>
      </c>
      <c r="K16704" s="692" t="s">
        <v>4060</v>
      </c>
    </row>
    <row r="16705" spans="1:11">
      <c r="A16705" s="688" t="s">
        <v>0</v>
      </c>
      <c r="B16705" s="689">
        <v>43.1</v>
      </c>
      <c r="C16705" s="689">
        <v>43.3</v>
      </c>
      <c r="D16705" s="693">
        <v>43</v>
      </c>
      <c r="E16705" s="689">
        <v>43.5</v>
      </c>
      <c r="F16705" s="689">
        <v>43.5</v>
      </c>
      <c r="G16705" s="689">
        <v>43.5</v>
      </c>
      <c r="H16705" s="689">
        <v>43.8</v>
      </c>
      <c r="I16705" s="689">
        <v>42.8</v>
      </c>
      <c r="J16705" s="689">
        <v>43.8</v>
      </c>
      <c r="K16705" s="689">
        <v>43.6</v>
      </c>
    </row>
    <row r="16706" spans="1:11">
      <c r="A16706" s="688" t="s">
        <v>1</v>
      </c>
      <c r="B16706" s="615">
        <v>39</v>
      </c>
      <c r="C16706" s="691">
        <v>38.4</v>
      </c>
      <c r="D16706" s="691">
        <v>38.5</v>
      </c>
      <c r="E16706" s="691">
        <v>38.700000000000003</v>
      </c>
      <c r="F16706" s="691">
        <v>38.6</v>
      </c>
      <c r="G16706" s="691">
        <v>38.799999999999997</v>
      </c>
      <c r="H16706" s="615">
        <v>39</v>
      </c>
      <c r="I16706" s="691">
        <v>37.6</v>
      </c>
      <c r="J16706" s="691">
        <v>35.6</v>
      </c>
      <c r="K16706" s="691">
        <v>38.200000000000003</v>
      </c>
    </row>
    <row r="16707" spans="1:11">
      <c r="A16707" s="688" t="s">
        <v>2240</v>
      </c>
      <c r="B16707" s="689">
        <v>41.1</v>
      </c>
      <c r="C16707" s="689">
        <v>41.4</v>
      </c>
      <c r="D16707" s="689">
        <v>41.2</v>
      </c>
      <c r="E16707" s="689">
        <v>41.7</v>
      </c>
      <c r="F16707" s="689">
        <v>41.6</v>
      </c>
      <c r="G16707" s="689">
        <v>41.7</v>
      </c>
      <c r="H16707" s="689">
        <v>41.9</v>
      </c>
      <c r="I16707" s="693">
        <v>41</v>
      </c>
      <c r="J16707" s="689">
        <v>40.299999999999997</v>
      </c>
      <c r="K16707" s="689">
        <v>41.7</v>
      </c>
    </row>
    <row r="16708" spans="1:11">
      <c r="A16708" s="688" t="s">
        <v>2</v>
      </c>
      <c r="B16708" s="691">
        <v>42.1</v>
      </c>
      <c r="C16708" s="691">
        <v>42.4</v>
      </c>
      <c r="D16708" s="691">
        <v>42.4</v>
      </c>
      <c r="E16708" s="691">
        <v>42.5</v>
      </c>
      <c r="F16708" s="691">
        <v>42.8</v>
      </c>
      <c r="G16708" s="691">
        <v>42.7</v>
      </c>
      <c r="H16708" s="691">
        <v>43.1</v>
      </c>
      <c r="I16708" s="691">
        <v>43.2</v>
      </c>
      <c r="J16708" s="615">
        <v>43</v>
      </c>
      <c r="K16708" s="691">
        <v>42.9</v>
      </c>
    </row>
    <row r="16709" spans="1:11">
      <c r="A16709" s="688" t="s">
        <v>3</v>
      </c>
      <c r="B16709" s="689">
        <v>42.8</v>
      </c>
      <c r="C16709" s="689">
        <v>43.1</v>
      </c>
      <c r="D16709" s="689">
        <v>42.8</v>
      </c>
      <c r="E16709" s="689">
        <v>43.1</v>
      </c>
      <c r="F16709" s="689">
        <v>43.1</v>
      </c>
      <c r="G16709" s="693">
        <v>43</v>
      </c>
      <c r="H16709" s="689">
        <v>43.3</v>
      </c>
      <c r="I16709" s="689">
        <v>43.1</v>
      </c>
      <c r="J16709" s="689">
        <v>42.9</v>
      </c>
      <c r="K16709" s="689">
        <v>42.7</v>
      </c>
    </row>
    <row r="16710" spans="1:11">
      <c r="A16710" s="688" t="s">
        <v>4061</v>
      </c>
      <c r="B16710" s="691">
        <v>42.8</v>
      </c>
      <c r="C16710" s="691">
        <v>43.1</v>
      </c>
      <c r="D16710" s="691">
        <v>42.8</v>
      </c>
      <c r="E16710" s="691">
        <v>43.1</v>
      </c>
      <c r="F16710" s="691">
        <v>43.1</v>
      </c>
      <c r="G16710" s="615">
        <v>43</v>
      </c>
      <c r="H16710" s="691">
        <v>43.3</v>
      </c>
      <c r="I16710" s="691">
        <v>43.1</v>
      </c>
      <c r="J16710" s="691">
        <v>42.9</v>
      </c>
      <c r="K16710" s="691">
        <v>42.7</v>
      </c>
    </row>
    <row r="16711" spans="1:11">
      <c r="A16711" s="688" t="s">
        <v>4</v>
      </c>
      <c r="B16711" s="689">
        <v>41.8</v>
      </c>
      <c r="C16711" s="689">
        <v>41.7</v>
      </c>
      <c r="D16711" s="689">
        <v>41.8</v>
      </c>
      <c r="E16711" s="689">
        <v>42.1</v>
      </c>
      <c r="F16711" s="689">
        <v>42.2</v>
      </c>
      <c r="G16711" s="689">
        <v>42.2</v>
      </c>
      <c r="H16711" s="689">
        <v>42.6</v>
      </c>
      <c r="I16711" s="689">
        <v>42.5</v>
      </c>
      <c r="J16711" s="689">
        <v>41.2</v>
      </c>
      <c r="K16711" s="689">
        <v>42.2</v>
      </c>
    </row>
    <row r="16712" spans="1:11">
      <c r="A16712" s="688" t="s">
        <v>8</v>
      </c>
      <c r="B16712" s="691">
        <v>42.9</v>
      </c>
      <c r="C16712" s="615">
        <v>43</v>
      </c>
      <c r="D16712" s="615">
        <v>43</v>
      </c>
      <c r="E16712" s="691">
        <v>43.1</v>
      </c>
      <c r="F16712" s="691">
        <v>43.5</v>
      </c>
      <c r="G16712" s="691">
        <v>43.6</v>
      </c>
      <c r="H16712" s="615">
        <v>44</v>
      </c>
      <c r="I16712" s="691">
        <v>43.8</v>
      </c>
      <c r="J16712" s="691">
        <v>43.7</v>
      </c>
      <c r="K16712" s="691">
        <v>43.7</v>
      </c>
    </row>
    <row r="16713" spans="1:11">
      <c r="A16713" s="688" t="s">
        <v>7</v>
      </c>
      <c r="B16713" s="689">
        <v>43.8</v>
      </c>
      <c r="C16713" s="689">
        <v>43.6</v>
      </c>
      <c r="D16713" s="689">
        <v>43.3</v>
      </c>
      <c r="E16713" s="689">
        <v>43.6</v>
      </c>
      <c r="F16713" s="689">
        <v>43.5</v>
      </c>
      <c r="G16713" s="693">
        <v>44</v>
      </c>
      <c r="H16713" s="689">
        <v>43.9</v>
      </c>
      <c r="I16713" s="689">
        <v>43.5</v>
      </c>
      <c r="J16713" s="689">
        <v>42.6</v>
      </c>
      <c r="K16713" s="689">
        <v>43.1</v>
      </c>
    </row>
    <row r="16714" spans="1:11">
      <c r="A16714" s="688" t="s">
        <v>27</v>
      </c>
      <c r="B16714" s="691">
        <v>45.7</v>
      </c>
      <c r="C16714" s="691">
        <v>45.3</v>
      </c>
      <c r="D16714" s="615">
        <v>45</v>
      </c>
      <c r="E16714" s="691">
        <v>45.4</v>
      </c>
      <c r="F16714" s="691">
        <v>45.3</v>
      </c>
      <c r="G16714" s="691">
        <v>45.4</v>
      </c>
      <c r="H16714" s="691">
        <v>45.8</v>
      </c>
      <c r="I16714" s="691">
        <v>44.6</v>
      </c>
      <c r="J16714" s="691">
        <v>45.4</v>
      </c>
      <c r="K16714" s="691">
        <v>45.3</v>
      </c>
    </row>
    <row r="16715" spans="1:11">
      <c r="A16715" s="688" t="s">
        <v>6</v>
      </c>
      <c r="B16715" s="689">
        <v>45.5</v>
      </c>
      <c r="C16715" s="689">
        <v>45.2</v>
      </c>
      <c r="D16715" s="693">
        <v>45</v>
      </c>
      <c r="E16715" s="689">
        <v>45.2</v>
      </c>
      <c r="F16715" s="689">
        <v>45.2</v>
      </c>
      <c r="G16715" s="689">
        <v>45.3</v>
      </c>
      <c r="H16715" s="689">
        <v>45.4</v>
      </c>
      <c r="I16715" s="689">
        <v>44.9</v>
      </c>
      <c r="J16715" s="689">
        <v>45.1</v>
      </c>
      <c r="K16715" s="693">
        <v>45</v>
      </c>
    </row>
    <row r="16716" spans="1:11">
      <c r="A16716" s="688" t="s">
        <v>4058</v>
      </c>
      <c r="B16716" s="692" t="s">
        <v>4060</v>
      </c>
      <c r="C16716" s="692" t="s">
        <v>4060</v>
      </c>
      <c r="D16716" s="692" t="s">
        <v>4060</v>
      </c>
      <c r="E16716" s="692" t="s">
        <v>4060</v>
      </c>
      <c r="F16716" s="692" t="s">
        <v>4060</v>
      </c>
      <c r="G16716" s="692" t="s">
        <v>4060</v>
      </c>
      <c r="H16716" s="692" t="s">
        <v>4060</v>
      </c>
      <c r="I16716" s="692" t="s">
        <v>4060</v>
      </c>
      <c r="J16716" s="692" t="s">
        <v>4060</v>
      </c>
      <c r="K16716" s="692" t="s">
        <v>4060</v>
      </c>
    </row>
    <row r="16717" spans="1:11">
      <c r="A16717" s="688" t="s">
        <v>11</v>
      </c>
      <c r="B16717" s="689">
        <v>40.9</v>
      </c>
      <c r="C16717" s="689">
        <v>40.700000000000003</v>
      </c>
      <c r="D16717" s="689">
        <v>40.299999999999997</v>
      </c>
      <c r="E16717" s="689">
        <v>40.9</v>
      </c>
      <c r="F16717" s="689">
        <v>40.6</v>
      </c>
      <c r="G16717" s="693">
        <v>41</v>
      </c>
      <c r="H16717" s="689">
        <v>41.2</v>
      </c>
      <c r="I16717" s="689">
        <v>40.5</v>
      </c>
      <c r="J16717" s="689">
        <v>39.6</v>
      </c>
      <c r="K16717" s="689">
        <v>40.6</v>
      </c>
    </row>
    <row r="16718" spans="1:11">
      <c r="A16718" s="688" t="s">
        <v>10</v>
      </c>
      <c r="B16718" s="691">
        <v>44.9</v>
      </c>
      <c r="C16718" s="691">
        <v>44.7</v>
      </c>
      <c r="D16718" s="691">
        <v>44.2</v>
      </c>
      <c r="E16718" s="691">
        <v>44.8</v>
      </c>
      <c r="F16718" s="691">
        <v>44.6</v>
      </c>
      <c r="G16718" s="691">
        <v>44.9</v>
      </c>
      <c r="H16718" s="615">
        <v>45</v>
      </c>
      <c r="I16718" s="691">
        <v>44.1</v>
      </c>
      <c r="J16718" s="691">
        <v>44.4</v>
      </c>
      <c r="K16718" s="691">
        <v>44.4</v>
      </c>
    </row>
    <row r="16719" spans="1:11">
      <c r="A16719" s="688" t="s">
        <v>30</v>
      </c>
      <c r="B16719" s="689">
        <v>44.4</v>
      </c>
      <c r="C16719" s="689">
        <v>43.7</v>
      </c>
      <c r="D16719" s="689">
        <v>43.4</v>
      </c>
      <c r="E16719" s="689">
        <v>44.4</v>
      </c>
      <c r="F16719" s="689">
        <v>43.9</v>
      </c>
      <c r="G16719" s="689">
        <v>44.4</v>
      </c>
      <c r="H16719" s="689">
        <v>44.2</v>
      </c>
      <c r="I16719" s="689">
        <v>44.1</v>
      </c>
      <c r="J16719" s="689">
        <v>43.4</v>
      </c>
      <c r="K16719" s="689">
        <v>43.7</v>
      </c>
    </row>
    <row r="16720" spans="1:11">
      <c r="A16720" s="688" t="s">
        <v>12</v>
      </c>
      <c r="B16720" s="691">
        <v>39.299999999999997</v>
      </c>
      <c r="C16720" s="691">
        <v>39.6</v>
      </c>
      <c r="D16720" s="691">
        <v>39.6</v>
      </c>
      <c r="E16720" s="691">
        <v>39.700000000000003</v>
      </c>
      <c r="F16720" s="691">
        <v>39.9</v>
      </c>
      <c r="G16720" s="691">
        <v>39.799999999999997</v>
      </c>
      <c r="H16720" s="691">
        <v>40.200000000000003</v>
      </c>
      <c r="I16720" s="615">
        <v>40</v>
      </c>
      <c r="J16720" s="691">
        <v>38.1</v>
      </c>
      <c r="K16720" s="691">
        <v>39.6</v>
      </c>
    </row>
    <row r="16721" spans="1:11">
      <c r="A16721" s="688" t="s">
        <v>14</v>
      </c>
      <c r="B16721" s="689">
        <v>39.9</v>
      </c>
      <c r="C16721" s="689">
        <v>40.1</v>
      </c>
      <c r="D16721" s="689">
        <v>39.9</v>
      </c>
      <c r="E16721" s="689">
        <v>40.1</v>
      </c>
      <c r="F16721" s="689">
        <v>40.4</v>
      </c>
      <c r="G16721" s="689">
        <v>40.700000000000003</v>
      </c>
      <c r="H16721" s="693">
        <v>41</v>
      </c>
      <c r="I16721" s="693">
        <v>40</v>
      </c>
      <c r="J16721" s="689">
        <v>38.9</v>
      </c>
      <c r="K16721" s="689">
        <v>40.1</v>
      </c>
    </row>
    <row r="16722" spans="1:11">
      <c r="A16722" s="688" t="s">
        <v>15</v>
      </c>
      <c r="B16722" s="691">
        <v>43.8</v>
      </c>
      <c r="C16722" s="691">
        <v>44.3</v>
      </c>
      <c r="D16722" s="691">
        <v>43.6</v>
      </c>
      <c r="E16722" s="691">
        <v>44.4</v>
      </c>
      <c r="F16722" s="691">
        <v>43.6</v>
      </c>
      <c r="G16722" s="691">
        <v>44.1</v>
      </c>
      <c r="H16722" s="691">
        <v>44.3</v>
      </c>
      <c r="I16722" s="691">
        <v>44.2</v>
      </c>
      <c r="J16722" s="691">
        <v>44.4</v>
      </c>
      <c r="K16722" s="691">
        <v>44.6</v>
      </c>
    </row>
    <row r="16723" spans="1:11">
      <c r="A16723" s="688" t="s">
        <v>29</v>
      </c>
      <c r="B16723" s="689">
        <v>39.1</v>
      </c>
      <c r="C16723" s="689">
        <v>39.1</v>
      </c>
      <c r="D16723" s="689">
        <v>38.700000000000003</v>
      </c>
      <c r="E16723" s="689">
        <v>39.299999999999997</v>
      </c>
      <c r="F16723" s="693">
        <v>39</v>
      </c>
      <c r="G16723" s="689">
        <v>39.200000000000003</v>
      </c>
      <c r="H16723" s="689">
        <v>39.4</v>
      </c>
      <c r="I16723" s="689">
        <v>38.700000000000003</v>
      </c>
      <c r="J16723" s="689">
        <v>37.5</v>
      </c>
      <c r="K16723" s="689">
        <v>39.1</v>
      </c>
    </row>
    <row r="16724" spans="1:11">
      <c r="A16724" s="688" t="s">
        <v>16</v>
      </c>
      <c r="B16724" s="691">
        <v>43.9</v>
      </c>
      <c r="C16724" s="691">
        <v>43.7</v>
      </c>
      <c r="D16724" s="691">
        <v>43.7</v>
      </c>
      <c r="E16724" s="691">
        <v>43.9</v>
      </c>
      <c r="F16724" s="691">
        <v>43.9</v>
      </c>
      <c r="G16724" s="691">
        <v>43.9</v>
      </c>
      <c r="H16724" s="691">
        <v>44.2</v>
      </c>
      <c r="I16724" s="691">
        <v>43.9</v>
      </c>
      <c r="J16724" s="691">
        <v>43.5</v>
      </c>
      <c r="K16724" s="691">
        <v>43.8</v>
      </c>
    </row>
    <row r="16725" spans="1:11">
      <c r="A16725" s="688" t="s">
        <v>17</v>
      </c>
      <c r="B16725" s="693">
        <v>43</v>
      </c>
      <c r="C16725" s="689">
        <v>43.1</v>
      </c>
      <c r="D16725" s="689">
        <v>42.8</v>
      </c>
      <c r="E16725" s="689">
        <v>42.9</v>
      </c>
      <c r="F16725" s="693">
        <v>43</v>
      </c>
      <c r="G16725" s="693">
        <v>43</v>
      </c>
      <c r="H16725" s="689">
        <v>43.3</v>
      </c>
      <c r="I16725" s="689">
        <v>42.9</v>
      </c>
      <c r="J16725" s="689">
        <v>42.8</v>
      </c>
      <c r="K16725" s="689">
        <v>42.9</v>
      </c>
    </row>
    <row r="16726" spans="1:11">
      <c r="A16726" s="688" t="s">
        <v>19</v>
      </c>
      <c r="B16726" s="691">
        <v>43.5</v>
      </c>
      <c r="C16726" s="691">
        <v>43.5</v>
      </c>
      <c r="D16726" s="691">
        <v>43.3</v>
      </c>
      <c r="E16726" s="691">
        <v>43.7</v>
      </c>
      <c r="F16726" s="691">
        <v>43.6</v>
      </c>
      <c r="G16726" s="691">
        <v>43.7</v>
      </c>
      <c r="H16726" s="691">
        <v>43.9</v>
      </c>
      <c r="I16726" s="691">
        <v>43.5</v>
      </c>
      <c r="J16726" s="691">
        <v>43.4</v>
      </c>
      <c r="K16726" s="691">
        <v>43.5</v>
      </c>
    </row>
    <row r="16727" spans="1:11">
      <c r="A16727" s="688" t="s">
        <v>20</v>
      </c>
      <c r="B16727" s="689">
        <v>41.2</v>
      </c>
      <c r="C16727" s="689">
        <v>41.3</v>
      </c>
      <c r="D16727" s="689">
        <v>41.2</v>
      </c>
      <c r="E16727" s="689">
        <v>41.6</v>
      </c>
      <c r="F16727" s="689">
        <v>41.4</v>
      </c>
      <c r="G16727" s="689">
        <v>41.4</v>
      </c>
      <c r="H16727" s="689">
        <v>41.6</v>
      </c>
      <c r="I16727" s="689">
        <v>40.5</v>
      </c>
      <c r="J16727" s="689">
        <v>39.5</v>
      </c>
      <c r="K16727" s="693">
        <v>41</v>
      </c>
    </row>
    <row r="16728" spans="1:11">
      <c r="A16728" s="688" t="s">
        <v>21</v>
      </c>
      <c r="B16728" s="691">
        <v>43.8</v>
      </c>
      <c r="C16728" s="691">
        <v>44.1</v>
      </c>
      <c r="D16728" s="615">
        <v>44</v>
      </c>
      <c r="E16728" s="615">
        <v>44</v>
      </c>
      <c r="F16728" s="691">
        <v>44.3</v>
      </c>
      <c r="G16728" s="691">
        <v>44.3</v>
      </c>
      <c r="H16728" s="691">
        <v>44.5</v>
      </c>
      <c r="I16728" s="691">
        <v>43.9</v>
      </c>
      <c r="J16728" s="615">
        <v>44</v>
      </c>
      <c r="K16728" s="691">
        <v>44.2</v>
      </c>
    </row>
    <row r="16729" spans="1:11">
      <c r="A16729" s="688" t="s">
        <v>22</v>
      </c>
      <c r="B16729" s="689">
        <v>39.200000000000003</v>
      </c>
      <c r="C16729" s="693">
        <v>39</v>
      </c>
      <c r="D16729" s="689">
        <v>38.9</v>
      </c>
      <c r="E16729" s="689">
        <v>39.200000000000003</v>
      </c>
      <c r="F16729" s="689">
        <v>39.200000000000003</v>
      </c>
      <c r="G16729" s="689">
        <v>39.299999999999997</v>
      </c>
      <c r="H16729" s="689">
        <v>39.6</v>
      </c>
      <c r="I16729" s="689">
        <v>38.4</v>
      </c>
      <c r="J16729" s="689">
        <v>36.9</v>
      </c>
      <c r="K16729" s="689">
        <v>39.299999999999997</v>
      </c>
    </row>
    <row r="16730" spans="1:11">
      <c r="A16730" s="688" t="s">
        <v>26</v>
      </c>
      <c r="B16730" s="691">
        <v>43.4</v>
      </c>
      <c r="C16730" s="691">
        <v>43.3</v>
      </c>
      <c r="D16730" s="691">
        <v>43.1</v>
      </c>
      <c r="E16730" s="691">
        <v>43.5</v>
      </c>
      <c r="F16730" s="691">
        <v>43.4</v>
      </c>
      <c r="G16730" s="691">
        <v>43.6</v>
      </c>
      <c r="H16730" s="691">
        <v>43.8</v>
      </c>
      <c r="I16730" s="691">
        <v>42.9</v>
      </c>
      <c r="J16730" s="691">
        <v>43.3</v>
      </c>
      <c r="K16730" s="691">
        <v>43.6</v>
      </c>
    </row>
    <row r="16731" spans="1:11">
      <c r="A16731" s="688" t="s">
        <v>25</v>
      </c>
      <c r="B16731" s="689">
        <v>40.200000000000003</v>
      </c>
      <c r="C16731" s="689">
        <v>40.5</v>
      </c>
      <c r="D16731" s="689">
        <v>40.200000000000003</v>
      </c>
      <c r="E16731" s="689">
        <v>40.700000000000003</v>
      </c>
      <c r="F16731" s="689">
        <v>40.6</v>
      </c>
      <c r="G16731" s="689">
        <v>40.700000000000003</v>
      </c>
      <c r="H16731" s="689">
        <v>41.1</v>
      </c>
      <c r="I16731" s="689">
        <v>40.4</v>
      </c>
      <c r="J16731" s="689">
        <v>38.299999999999997</v>
      </c>
      <c r="K16731" s="689">
        <v>40.5</v>
      </c>
    </row>
    <row r="16732" spans="1:11">
      <c r="A16732" s="688" t="s">
        <v>5</v>
      </c>
      <c r="B16732" s="691">
        <v>43.8</v>
      </c>
      <c r="C16732" s="691">
        <v>43.6</v>
      </c>
      <c r="D16732" s="691">
        <v>43.8</v>
      </c>
      <c r="E16732" s="691">
        <v>43.8</v>
      </c>
      <c r="F16732" s="615">
        <v>44</v>
      </c>
      <c r="G16732" s="691">
        <v>44.1</v>
      </c>
      <c r="H16732" s="691">
        <v>44.4</v>
      </c>
      <c r="I16732" s="691">
        <v>44.4</v>
      </c>
      <c r="J16732" s="691">
        <v>44.2</v>
      </c>
      <c r="K16732" s="691">
        <v>43.6</v>
      </c>
    </row>
    <row r="16733" spans="1:11">
      <c r="A16733" s="688" t="s">
        <v>23</v>
      </c>
      <c r="B16733" s="689">
        <v>43.5</v>
      </c>
      <c r="C16733" s="689">
        <v>43.7</v>
      </c>
      <c r="D16733" s="689">
        <v>43.7</v>
      </c>
      <c r="E16733" s="689">
        <v>43.8</v>
      </c>
      <c r="F16733" s="689">
        <v>43.8</v>
      </c>
      <c r="G16733" s="693">
        <v>44</v>
      </c>
      <c r="H16733" s="689">
        <v>44.4</v>
      </c>
      <c r="I16733" s="689">
        <v>43.9</v>
      </c>
      <c r="J16733" s="689">
        <v>44.5</v>
      </c>
      <c r="K16733" s="689">
        <v>44.4</v>
      </c>
    </row>
    <row r="16734" spans="1:11">
      <c r="A16734" s="688" t="s">
        <v>4067</v>
      </c>
      <c r="B16734" s="691">
        <v>43.1</v>
      </c>
      <c r="C16734" s="691">
        <v>43.5</v>
      </c>
      <c r="D16734" s="691">
        <v>43.1</v>
      </c>
      <c r="E16734" s="691">
        <v>43.5</v>
      </c>
      <c r="F16734" s="691">
        <v>43.4</v>
      </c>
      <c r="G16734" s="691">
        <v>43.5</v>
      </c>
      <c r="H16734" s="692" t="s">
        <v>4060</v>
      </c>
      <c r="I16734" s="692" t="s">
        <v>4060</v>
      </c>
      <c r="J16734" s="692" t="s">
        <v>4060</v>
      </c>
      <c r="K16734" s="692" t="s">
        <v>4060</v>
      </c>
    </row>
    <row r="16735" spans="1:11">
      <c r="A16735" s="688" t="s">
        <v>4066</v>
      </c>
      <c r="B16735" s="689">
        <v>43.2</v>
      </c>
      <c r="C16735" s="689">
        <v>43.5</v>
      </c>
      <c r="D16735" s="689">
        <v>43.1</v>
      </c>
      <c r="E16735" s="689">
        <v>43.5</v>
      </c>
      <c r="F16735" s="689">
        <v>43.4</v>
      </c>
      <c r="G16735" s="689">
        <v>43.5</v>
      </c>
      <c r="H16735" s="690" t="s">
        <v>4060</v>
      </c>
      <c r="I16735" s="690" t="s">
        <v>4060</v>
      </c>
      <c r="J16735" s="690" t="s">
        <v>4060</v>
      </c>
      <c r="K16735" s="690" t="s">
        <v>4060</v>
      </c>
    </row>
    <row r="16736" spans="1:11">
      <c r="A16736" s="688" t="s">
        <v>4062</v>
      </c>
      <c r="B16736" s="691">
        <v>44.3</v>
      </c>
      <c r="C16736" s="691">
        <v>44.4</v>
      </c>
      <c r="D16736" s="691">
        <v>44.3</v>
      </c>
      <c r="E16736" s="691">
        <v>44.6</v>
      </c>
      <c r="F16736" s="691">
        <v>44.6</v>
      </c>
      <c r="G16736" s="691">
        <v>44.7</v>
      </c>
      <c r="H16736" s="691">
        <v>44.9</v>
      </c>
      <c r="I16736" s="691">
        <v>44.7</v>
      </c>
      <c r="J16736" s="691">
        <v>44.9</v>
      </c>
      <c r="K16736" s="691">
        <v>44.6</v>
      </c>
    </row>
    <row r="16737" spans="1:11">
      <c r="A16737" s="688" t="s">
        <v>9</v>
      </c>
      <c r="B16737" s="689">
        <v>43.4</v>
      </c>
      <c r="C16737" s="693">
        <v>44</v>
      </c>
      <c r="D16737" s="689">
        <v>43.2</v>
      </c>
      <c r="E16737" s="689">
        <v>43.4</v>
      </c>
      <c r="F16737" s="689">
        <v>43.9</v>
      </c>
      <c r="G16737" s="689">
        <v>43.8</v>
      </c>
      <c r="H16737" s="693">
        <v>44</v>
      </c>
      <c r="I16737" s="689">
        <v>44.1</v>
      </c>
      <c r="J16737" s="689">
        <v>44.2</v>
      </c>
      <c r="K16737" s="689">
        <v>43.3</v>
      </c>
    </row>
    <row r="16738" spans="1:11">
      <c r="A16738" s="688" t="s">
        <v>13</v>
      </c>
      <c r="B16738" s="691">
        <v>44.4</v>
      </c>
      <c r="C16738" s="691">
        <v>43.1</v>
      </c>
      <c r="D16738" s="691">
        <v>44.1</v>
      </c>
      <c r="E16738" s="691">
        <v>44.2</v>
      </c>
      <c r="F16738" s="615">
        <v>45</v>
      </c>
      <c r="G16738" s="691">
        <v>44.9</v>
      </c>
      <c r="H16738" s="691">
        <v>44.8</v>
      </c>
      <c r="I16738" s="691">
        <v>44.1</v>
      </c>
      <c r="J16738" s="691">
        <v>45.3</v>
      </c>
      <c r="K16738" s="691">
        <v>44.8</v>
      </c>
    </row>
    <row r="16739" spans="1:11">
      <c r="A16739" s="688" t="s">
        <v>18</v>
      </c>
      <c r="B16739" s="689">
        <v>43.5</v>
      </c>
      <c r="C16739" s="689">
        <v>43.7</v>
      </c>
      <c r="D16739" s="689">
        <v>43.8</v>
      </c>
      <c r="E16739" s="689">
        <v>43.8</v>
      </c>
      <c r="F16739" s="689">
        <v>43.9</v>
      </c>
      <c r="G16739" s="689">
        <v>44.1</v>
      </c>
      <c r="H16739" s="689">
        <v>44.3</v>
      </c>
      <c r="I16739" s="689">
        <v>44.5</v>
      </c>
      <c r="J16739" s="689">
        <v>44.3</v>
      </c>
      <c r="K16739" s="689">
        <v>43.9</v>
      </c>
    </row>
    <row r="16740" spans="1:11">
      <c r="A16740" s="688" t="s">
        <v>24</v>
      </c>
      <c r="B16740" s="691">
        <v>44.7</v>
      </c>
      <c r="C16740" s="691">
        <v>44.8</v>
      </c>
      <c r="D16740" s="691">
        <v>44.6</v>
      </c>
      <c r="E16740" s="615">
        <v>45</v>
      </c>
      <c r="F16740" s="691">
        <v>45.1</v>
      </c>
      <c r="G16740" s="691">
        <v>45.1</v>
      </c>
      <c r="H16740" s="691">
        <v>45.3</v>
      </c>
      <c r="I16740" s="691">
        <v>44.8</v>
      </c>
      <c r="J16740" s="691">
        <v>45.3</v>
      </c>
      <c r="K16740" s="691">
        <v>45.1</v>
      </c>
    </row>
    <row r="16741" spans="1:11">
      <c r="A16741" s="688" t="s">
        <v>4059</v>
      </c>
      <c r="B16741" s="689">
        <v>42.8</v>
      </c>
      <c r="C16741" s="689">
        <v>43.1</v>
      </c>
      <c r="D16741" s="689">
        <v>42.7</v>
      </c>
      <c r="E16741" s="689">
        <v>42.9</v>
      </c>
      <c r="F16741" s="693">
        <v>43</v>
      </c>
      <c r="G16741" s="693">
        <v>43</v>
      </c>
      <c r="H16741" s="690" t="s">
        <v>4060</v>
      </c>
      <c r="I16741" s="690" t="s">
        <v>4060</v>
      </c>
      <c r="J16741" s="690" t="s">
        <v>4060</v>
      </c>
      <c r="K16741" s="690" t="s">
        <v>4060</v>
      </c>
    </row>
    <row r="16742" spans="1:11">
      <c r="A16742" s="688" t="s">
        <v>2324</v>
      </c>
      <c r="B16742" s="691">
        <v>38.9</v>
      </c>
      <c r="C16742" s="615">
        <v>39</v>
      </c>
      <c r="D16742" s="691">
        <v>38.4</v>
      </c>
      <c r="E16742" s="691">
        <v>38.799999999999997</v>
      </c>
      <c r="F16742" s="691">
        <v>39.1</v>
      </c>
      <c r="G16742" s="615">
        <v>39</v>
      </c>
      <c r="H16742" s="691">
        <v>39.299999999999997</v>
      </c>
      <c r="I16742" s="691">
        <v>38.6</v>
      </c>
      <c r="J16742" s="691">
        <v>36.799999999999997</v>
      </c>
      <c r="K16742" s="692" t="s">
        <v>4060</v>
      </c>
    </row>
    <row r="16743" spans="1:11">
      <c r="A16743" s="688" t="s">
        <v>2322</v>
      </c>
      <c r="B16743" s="690" t="s">
        <v>4060</v>
      </c>
      <c r="C16743" s="690" t="s">
        <v>4060</v>
      </c>
      <c r="D16743" s="690" t="s">
        <v>4060</v>
      </c>
      <c r="E16743" s="690" t="s">
        <v>4060</v>
      </c>
      <c r="F16743" s="690" t="s">
        <v>4060</v>
      </c>
      <c r="G16743" s="690" t="s">
        <v>4060</v>
      </c>
      <c r="H16743" s="690" t="s">
        <v>4060</v>
      </c>
      <c r="I16743" s="690" t="s">
        <v>4060</v>
      </c>
      <c r="J16743" s="690" t="s">
        <v>4060</v>
      </c>
      <c r="K16743" s="690" t="s">
        <v>4060</v>
      </c>
    </row>
    <row r="16744" spans="1:11">
      <c r="A16744" s="688" t="s">
        <v>2328</v>
      </c>
      <c r="B16744" s="615">
        <v>38</v>
      </c>
      <c r="C16744" s="691">
        <v>37.799999999999997</v>
      </c>
      <c r="D16744" s="691">
        <v>37.700000000000003</v>
      </c>
      <c r="E16744" s="691">
        <v>38.1</v>
      </c>
      <c r="F16744" s="691">
        <v>38.200000000000003</v>
      </c>
      <c r="G16744" s="691">
        <v>38.700000000000003</v>
      </c>
      <c r="H16744" s="691">
        <v>38.5</v>
      </c>
      <c r="I16744" s="691">
        <v>36.799999999999997</v>
      </c>
      <c r="J16744" s="691">
        <v>35.6</v>
      </c>
      <c r="K16744" s="692" t="s">
        <v>4060</v>
      </c>
    </row>
    <row r="16745" spans="1:11">
      <c r="A16745" s="688" t="s">
        <v>2496</v>
      </c>
      <c r="B16745" s="690" t="s">
        <v>4060</v>
      </c>
      <c r="C16745" s="689">
        <v>38.9</v>
      </c>
      <c r="D16745" s="693">
        <v>38</v>
      </c>
      <c r="E16745" s="689">
        <v>37.799999999999997</v>
      </c>
      <c r="F16745" s="689">
        <v>38.4</v>
      </c>
      <c r="G16745" s="689">
        <v>38.700000000000003</v>
      </c>
      <c r="H16745" s="689">
        <v>38.700000000000003</v>
      </c>
      <c r="I16745" s="690" t="s">
        <v>4060</v>
      </c>
      <c r="J16745" s="690" t="s">
        <v>4060</v>
      </c>
      <c r="K16745" s="689">
        <v>38.4</v>
      </c>
    </row>
    <row r="16746" spans="1:11">
      <c r="A16746" s="688" t="s">
        <v>2269</v>
      </c>
      <c r="B16746" s="691">
        <v>40.6</v>
      </c>
      <c r="C16746" s="691">
        <v>40.799999999999997</v>
      </c>
      <c r="D16746" s="691">
        <v>40.1</v>
      </c>
      <c r="E16746" s="691">
        <v>40.6</v>
      </c>
      <c r="F16746" s="691">
        <v>40.4</v>
      </c>
      <c r="G16746" s="691">
        <v>40.9</v>
      </c>
      <c r="H16746" s="691">
        <v>41.1</v>
      </c>
      <c r="I16746" s="691">
        <v>39.9</v>
      </c>
      <c r="J16746" s="691">
        <v>37.9</v>
      </c>
      <c r="K16746" s="691">
        <v>40.799999999999997</v>
      </c>
    </row>
    <row r="16747" spans="1:11">
      <c r="A16747" s="688" t="s">
        <v>2349</v>
      </c>
      <c r="B16747" s="693">
        <v>38</v>
      </c>
      <c r="C16747" s="693">
        <v>38</v>
      </c>
      <c r="D16747" s="693">
        <v>38</v>
      </c>
      <c r="E16747" s="689">
        <v>38.299999999999997</v>
      </c>
      <c r="F16747" s="689">
        <v>38.1</v>
      </c>
      <c r="G16747" s="689">
        <v>38.4</v>
      </c>
      <c r="H16747" s="689">
        <v>38.6</v>
      </c>
      <c r="I16747" s="689">
        <v>37.4</v>
      </c>
      <c r="J16747" s="689">
        <v>35.799999999999997</v>
      </c>
      <c r="K16747" s="689">
        <v>37.799999999999997</v>
      </c>
    </row>
    <row r="16748" spans="1:11">
      <c r="A16748" s="688" t="s">
        <v>2355</v>
      </c>
      <c r="B16748" s="691">
        <v>41.8</v>
      </c>
      <c r="C16748" s="691">
        <v>41.6</v>
      </c>
      <c r="D16748" s="691">
        <v>41.6</v>
      </c>
      <c r="E16748" s="691">
        <v>41.5</v>
      </c>
      <c r="F16748" s="691">
        <v>41.8</v>
      </c>
      <c r="G16748" s="691">
        <v>42.1</v>
      </c>
      <c r="H16748" s="691">
        <v>42.2</v>
      </c>
      <c r="I16748" s="692" t="s">
        <v>4060</v>
      </c>
      <c r="J16748" s="692" t="s">
        <v>4060</v>
      </c>
      <c r="K16748" s="692" t="s">
        <v>4060</v>
      </c>
    </row>
    <row r="16749" spans="1:11">
      <c r="A16749" s="688" t="s">
        <v>2357</v>
      </c>
      <c r="B16749" s="690" t="s">
        <v>4060</v>
      </c>
      <c r="C16749" s="689">
        <v>37.700000000000003</v>
      </c>
      <c r="D16749" s="689">
        <v>38.1</v>
      </c>
      <c r="E16749" s="689">
        <v>38.4</v>
      </c>
      <c r="F16749" s="689">
        <v>38.700000000000003</v>
      </c>
      <c r="G16749" s="689">
        <v>38.6</v>
      </c>
      <c r="H16749" s="689">
        <v>38.799999999999997</v>
      </c>
      <c r="I16749" s="690" t="s">
        <v>4060</v>
      </c>
      <c r="J16749" s="690" t="s">
        <v>4060</v>
      </c>
      <c r="K16749" s="690" t="s">
        <v>4060</v>
      </c>
    </row>
    <row r="16750" spans="1:11">
      <c r="A16750" s="688" t="s">
        <v>4070</v>
      </c>
      <c r="B16750" s="692" t="s">
        <v>4060</v>
      </c>
      <c r="C16750" s="692" t="s">
        <v>4060</v>
      </c>
      <c r="D16750" s="692" t="s">
        <v>4060</v>
      </c>
      <c r="E16750" s="691">
        <v>41.6</v>
      </c>
      <c r="F16750" s="692" t="s">
        <v>4060</v>
      </c>
      <c r="G16750" s="692" t="s">
        <v>4060</v>
      </c>
      <c r="H16750" s="692" t="s">
        <v>4060</v>
      </c>
      <c r="I16750" s="692" t="s">
        <v>4060</v>
      </c>
      <c r="J16750" s="692" t="s">
        <v>4060</v>
      </c>
      <c r="K16750" s="692" t="s">
        <v>4060</v>
      </c>
    </row>
    <row r="16751" spans="1:11">
      <c r="A16751" s="688" t="s">
        <v>2491</v>
      </c>
      <c r="B16751" s="689">
        <v>38.4</v>
      </c>
      <c r="C16751" s="689">
        <v>38.9</v>
      </c>
      <c r="D16751" s="689">
        <v>39.1</v>
      </c>
      <c r="E16751" s="689">
        <v>39.299999999999997</v>
      </c>
      <c r="F16751" s="689">
        <v>39.4</v>
      </c>
      <c r="G16751" s="689">
        <v>39.4</v>
      </c>
      <c r="H16751" s="690" t="s">
        <v>4060</v>
      </c>
      <c r="I16751" s="690" t="s">
        <v>4060</v>
      </c>
      <c r="J16751" s="690" t="s">
        <v>4060</v>
      </c>
      <c r="K16751" s="690" t="s">
        <v>4060</v>
      </c>
    </row>
    <row r="16752" spans="1:11">
      <c r="A16752" s="688" t="s">
        <v>2343</v>
      </c>
      <c r="B16752" s="692" t="s">
        <v>4060</v>
      </c>
      <c r="C16752" s="692" t="s">
        <v>4060</v>
      </c>
      <c r="D16752" s="692" t="s">
        <v>4060</v>
      </c>
      <c r="E16752" s="692" t="s">
        <v>4060</v>
      </c>
      <c r="F16752" s="692" t="s">
        <v>4060</v>
      </c>
      <c r="G16752" s="692" t="s">
        <v>4060</v>
      </c>
      <c r="H16752" s="692" t="s">
        <v>4060</v>
      </c>
      <c r="I16752" s="692" t="s">
        <v>4060</v>
      </c>
      <c r="J16752" s="692" t="s">
        <v>4060</v>
      </c>
      <c r="K16752" s="692" t="s">
        <v>4060</v>
      </c>
    </row>
    <row r="16753" spans="1:11">
      <c r="A16753" s="688" t="s">
        <v>4071</v>
      </c>
      <c r="B16753" s="690" t="s">
        <v>4060</v>
      </c>
      <c r="C16753" s="690" t="s">
        <v>4060</v>
      </c>
      <c r="D16753" s="690" t="s">
        <v>4060</v>
      </c>
      <c r="E16753" s="690" t="s">
        <v>4060</v>
      </c>
      <c r="F16753" s="690" t="s">
        <v>4060</v>
      </c>
      <c r="G16753" s="690" t="s">
        <v>4060</v>
      </c>
      <c r="H16753" s="690" t="s">
        <v>4060</v>
      </c>
      <c r="I16753" s="690" t="s">
        <v>4060</v>
      </c>
      <c r="J16753" s="690" t="s">
        <v>4060</v>
      </c>
      <c r="K16753" s="690" t="s">
        <v>4060</v>
      </c>
    </row>
    <row r="16754" spans="1:11">
      <c r="A16754" s="688" t="s">
        <v>2489</v>
      </c>
      <c r="B16754" s="692" t="s">
        <v>4060</v>
      </c>
      <c r="C16754" s="692" t="s">
        <v>4060</v>
      </c>
      <c r="D16754" s="691">
        <v>38.6</v>
      </c>
      <c r="E16754" s="691">
        <v>38.700000000000003</v>
      </c>
      <c r="F16754" s="691">
        <v>39.1</v>
      </c>
      <c r="G16754" s="691">
        <v>39.799999999999997</v>
      </c>
      <c r="H16754" s="691">
        <v>39.799999999999997</v>
      </c>
      <c r="I16754" s="692" t="s">
        <v>4060</v>
      </c>
      <c r="J16754" s="692" t="s">
        <v>4060</v>
      </c>
      <c r="K16754" s="692" t="s">
        <v>4060</v>
      </c>
    </row>
    <row r="16755" spans="1:11">
      <c r="A16755" s="688" t="s">
        <v>2490</v>
      </c>
      <c r="B16755" s="689">
        <v>37.9</v>
      </c>
      <c r="C16755" s="693">
        <v>38</v>
      </c>
      <c r="D16755" s="689">
        <v>38.4</v>
      </c>
      <c r="E16755" s="690" t="s">
        <v>4060</v>
      </c>
      <c r="F16755" s="689">
        <v>38.6</v>
      </c>
      <c r="G16755" s="693">
        <v>39</v>
      </c>
      <c r="H16755" s="689">
        <v>39.6</v>
      </c>
      <c r="I16755" s="690" t="s">
        <v>4060</v>
      </c>
      <c r="J16755" s="690" t="s">
        <v>4060</v>
      </c>
      <c r="K16755" s="690" t="s">
        <v>4060</v>
      </c>
    </row>
    <row r="16757" spans="1:11">
      <c r="A16757" s="683" t="s">
        <v>4233</v>
      </c>
    </row>
    <row r="16758" spans="1:11">
      <c r="A16758" s="683" t="s">
        <v>4060</v>
      </c>
      <c r="B16758" s="682" t="s">
        <v>4234</v>
      </c>
    </row>
    <row r="16760" spans="1:11">
      <c r="A16760" s="682" t="s">
        <v>4332</v>
      </c>
    </row>
    <row r="16761" spans="1:11">
      <c r="A16761" s="682" t="s">
        <v>4210</v>
      </c>
      <c r="B16761" s="683" t="s">
        <v>4211</v>
      </c>
    </row>
    <row r="16762" spans="1:11">
      <c r="A16762" s="682" t="s">
        <v>4212</v>
      </c>
      <c r="B16762" s="682" t="s">
        <v>4213</v>
      </c>
    </row>
    <row r="16764" spans="1:11">
      <c r="A16764" s="683" t="s">
        <v>4214</v>
      </c>
      <c r="C16764" s="682" t="s">
        <v>4215</v>
      </c>
    </row>
    <row r="16765" spans="1:11">
      <c r="A16765" s="683" t="s">
        <v>4216</v>
      </c>
      <c r="C16765" s="682" t="s">
        <v>2967</v>
      </c>
    </row>
    <row r="16766" spans="1:11">
      <c r="A16766" s="683" t="s">
        <v>3893</v>
      </c>
      <c r="C16766" s="682" t="s">
        <v>2169</v>
      </c>
    </row>
    <row r="16767" spans="1:11">
      <c r="A16767" s="683" t="s">
        <v>4218</v>
      </c>
      <c r="C16767" s="682" t="s">
        <v>4277</v>
      </c>
    </row>
    <row r="16769" spans="1:11">
      <c r="A16769" s="684" t="s">
        <v>4220</v>
      </c>
      <c r="B16769" s="685" t="s">
        <v>4221</v>
      </c>
      <c r="C16769" s="685" t="s">
        <v>4222</v>
      </c>
      <c r="D16769" s="685" t="s">
        <v>4223</v>
      </c>
      <c r="E16769" s="685" t="s">
        <v>4224</v>
      </c>
      <c r="F16769" s="685" t="s">
        <v>4225</v>
      </c>
      <c r="G16769" s="685" t="s">
        <v>4226</v>
      </c>
      <c r="H16769" s="685" t="s">
        <v>4227</v>
      </c>
      <c r="I16769" s="685" t="s">
        <v>4228</v>
      </c>
      <c r="J16769" s="685" t="s">
        <v>4229</v>
      </c>
      <c r="K16769" s="685" t="s">
        <v>4230</v>
      </c>
    </row>
    <row r="16770" spans="1:11">
      <c r="A16770" s="686" t="s">
        <v>4231</v>
      </c>
      <c r="B16770" s="687" t="s">
        <v>4232</v>
      </c>
      <c r="C16770" s="687" t="s">
        <v>4232</v>
      </c>
      <c r="D16770" s="687" t="s">
        <v>4232</v>
      </c>
      <c r="E16770" s="687" t="s">
        <v>4232</v>
      </c>
      <c r="F16770" s="687" t="s">
        <v>4232</v>
      </c>
      <c r="G16770" s="687" t="s">
        <v>4232</v>
      </c>
      <c r="H16770" s="687" t="s">
        <v>4232</v>
      </c>
      <c r="I16770" s="687" t="s">
        <v>4232</v>
      </c>
      <c r="J16770" s="687" t="s">
        <v>4232</v>
      </c>
      <c r="K16770" s="687" t="s">
        <v>4232</v>
      </c>
    </row>
    <row r="16771" spans="1:11">
      <c r="A16771" s="688" t="s">
        <v>4064</v>
      </c>
      <c r="B16771" s="689">
        <v>42.2</v>
      </c>
      <c r="C16771" s="689">
        <v>42.2</v>
      </c>
      <c r="D16771" s="689">
        <v>42.2</v>
      </c>
      <c r="E16771" s="689">
        <v>42.3</v>
      </c>
      <c r="F16771" s="689">
        <v>42.2</v>
      </c>
      <c r="G16771" s="689">
        <v>42.3</v>
      </c>
      <c r="H16771" s="689">
        <v>42.6</v>
      </c>
      <c r="I16771" s="689">
        <v>41.9</v>
      </c>
      <c r="J16771" s="689">
        <v>41.6</v>
      </c>
      <c r="K16771" s="689">
        <v>42.1</v>
      </c>
    </row>
    <row r="16772" spans="1:11">
      <c r="A16772" s="688" t="s">
        <v>4065</v>
      </c>
      <c r="B16772" s="691">
        <v>42.2</v>
      </c>
      <c r="C16772" s="691">
        <v>42.5</v>
      </c>
      <c r="D16772" s="691">
        <v>42.1</v>
      </c>
      <c r="E16772" s="691">
        <v>42.5</v>
      </c>
      <c r="F16772" s="691">
        <v>42.4</v>
      </c>
      <c r="G16772" s="691">
        <v>42.5</v>
      </c>
      <c r="H16772" s="692" t="s">
        <v>4060</v>
      </c>
      <c r="I16772" s="692" t="s">
        <v>4060</v>
      </c>
      <c r="J16772" s="692" t="s">
        <v>4060</v>
      </c>
      <c r="K16772" s="692" t="s">
        <v>4060</v>
      </c>
    </row>
    <row r="16773" spans="1:11">
      <c r="A16773" s="688" t="s">
        <v>4063</v>
      </c>
      <c r="B16773" s="689">
        <v>42.2</v>
      </c>
      <c r="C16773" s="689">
        <v>42.5</v>
      </c>
      <c r="D16773" s="689">
        <v>42.1</v>
      </c>
      <c r="E16773" s="689">
        <v>42.5</v>
      </c>
      <c r="F16773" s="689">
        <v>42.4</v>
      </c>
      <c r="G16773" s="689">
        <v>42.5</v>
      </c>
      <c r="H16773" s="690" t="s">
        <v>4060</v>
      </c>
      <c r="I16773" s="690" t="s">
        <v>4060</v>
      </c>
      <c r="J16773" s="690" t="s">
        <v>4060</v>
      </c>
      <c r="K16773" s="690" t="s">
        <v>4060</v>
      </c>
    </row>
    <row r="16774" spans="1:11">
      <c r="A16774" s="688" t="s">
        <v>4069</v>
      </c>
      <c r="B16774" s="692" t="s">
        <v>4060</v>
      </c>
      <c r="C16774" s="615">
        <v>43</v>
      </c>
      <c r="D16774" s="691">
        <v>42.7</v>
      </c>
      <c r="E16774" s="691">
        <v>43.1</v>
      </c>
      <c r="F16774" s="615">
        <v>43</v>
      </c>
      <c r="G16774" s="691">
        <v>43.1</v>
      </c>
      <c r="H16774" s="691">
        <v>43.4</v>
      </c>
      <c r="I16774" s="691">
        <v>42.8</v>
      </c>
      <c r="J16774" s="691">
        <v>42.8</v>
      </c>
      <c r="K16774" s="691">
        <v>42.8</v>
      </c>
    </row>
    <row r="16775" spans="1:11">
      <c r="A16775" s="688" t="s">
        <v>4068</v>
      </c>
      <c r="B16775" s="689">
        <v>43.1</v>
      </c>
      <c r="C16775" s="690" t="s">
        <v>4060</v>
      </c>
      <c r="D16775" s="690" t="s">
        <v>4060</v>
      </c>
      <c r="E16775" s="690" t="s">
        <v>4060</v>
      </c>
      <c r="F16775" s="690" t="s">
        <v>4060</v>
      </c>
      <c r="G16775" s="690" t="s">
        <v>4060</v>
      </c>
      <c r="H16775" s="690" t="s">
        <v>4060</v>
      </c>
      <c r="I16775" s="690" t="s">
        <v>4060</v>
      </c>
      <c r="J16775" s="690" t="s">
        <v>4060</v>
      </c>
      <c r="K16775" s="690" t="s">
        <v>4060</v>
      </c>
    </row>
    <row r="16776" spans="1:11">
      <c r="A16776" s="688" t="s">
        <v>0</v>
      </c>
      <c r="B16776" s="691">
        <v>42.1</v>
      </c>
      <c r="C16776" s="691">
        <v>42.4</v>
      </c>
      <c r="D16776" s="615">
        <v>42</v>
      </c>
      <c r="E16776" s="691">
        <v>42.5</v>
      </c>
      <c r="F16776" s="691">
        <v>42.5</v>
      </c>
      <c r="G16776" s="691">
        <v>42.6</v>
      </c>
      <c r="H16776" s="691">
        <v>42.8</v>
      </c>
      <c r="I16776" s="691">
        <v>41.9</v>
      </c>
      <c r="J16776" s="691">
        <v>42.9</v>
      </c>
      <c r="K16776" s="691">
        <v>42.6</v>
      </c>
    </row>
    <row r="16777" spans="1:11">
      <c r="A16777" s="688" t="s">
        <v>1</v>
      </c>
      <c r="B16777" s="689">
        <v>38.1</v>
      </c>
      <c r="C16777" s="689">
        <v>37.5</v>
      </c>
      <c r="D16777" s="689">
        <v>37.5</v>
      </c>
      <c r="E16777" s="689">
        <v>37.700000000000003</v>
      </c>
      <c r="F16777" s="689">
        <v>37.6</v>
      </c>
      <c r="G16777" s="689">
        <v>37.799999999999997</v>
      </c>
      <c r="H16777" s="693">
        <v>38</v>
      </c>
      <c r="I16777" s="689">
        <v>36.700000000000003</v>
      </c>
      <c r="J16777" s="689">
        <v>34.6</v>
      </c>
      <c r="K16777" s="689">
        <v>37.299999999999997</v>
      </c>
    </row>
    <row r="16778" spans="1:11">
      <c r="A16778" s="688" t="s">
        <v>2240</v>
      </c>
      <c r="B16778" s="691">
        <v>40.1</v>
      </c>
      <c r="C16778" s="691">
        <v>40.5</v>
      </c>
      <c r="D16778" s="691">
        <v>40.200000000000003</v>
      </c>
      <c r="E16778" s="691">
        <v>40.700000000000003</v>
      </c>
      <c r="F16778" s="691">
        <v>40.6</v>
      </c>
      <c r="G16778" s="691">
        <v>40.700000000000003</v>
      </c>
      <c r="H16778" s="691">
        <v>40.9</v>
      </c>
      <c r="I16778" s="691">
        <v>40.1</v>
      </c>
      <c r="J16778" s="691">
        <v>39.299999999999997</v>
      </c>
      <c r="K16778" s="691">
        <v>40.700000000000003</v>
      </c>
    </row>
    <row r="16779" spans="1:11">
      <c r="A16779" s="688" t="s">
        <v>2</v>
      </c>
      <c r="B16779" s="689">
        <v>41.2</v>
      </c>
      <c r="C16779" s="689">
        <v>41.5</v>
      </c>
      <c r="D16779" s="689">
        <v>41.4</v>
      </c>
      <c r="E16779" s="689">
        <v>41.5</v>
      </c>
      <c r="F16779" s="689">
        <v>41.8</v>
      </c>
      <c r="G16779" s="689">
        <v>41.7</v>
      </c>
      <c r="H16779" s="689">
        <v>42.1</v>
      </c>
      <c r="I16779" s="689">
        <v>42.2</v>
      </c>
      <c r="J16779" s="693">
        <v>42</v>
      </c>
      <c r="K16779" s="689">
        <v>41.9</v>
      </c>
    </row>
    <row r="16780" spans="1:11">
      <c r="A16780" s="688" t="s">
        <v>3</v>
      </c>
      <c r="B16780" s="691">
        <v>41.8</v>
      </c>
      <c r="C16780" s="691">
        <v>42.1</v>
      </c>
      <c r="D16780" s="691">
        <v>41.8</v>
      </c>
      <c r="E16780" s="691">
        <v>42.1</v>
      </c>
      <c r="F16780" s="691">
        <v>42.1</v>
      </c>
      <c r="G16780" s="615">
        <v>42</v>
      </c>
      <c r="H16780" s="691">
        <v>42.3</v>
      </c>
      <c r="I16780" s="691">
        <v>42.2</v>
      </c>
      <c r="J16780" s="691">
        <v>41.9</v>
      </c>
      <c r="K16780" s="691">
        <v>41.7</v>
      </c>
    </row>
    <row r="16781" spans="1:11">
      <c r="A16781" s="688" t="s">
        <v>4061</v>
      </c>
      <c r="B16781" s="689">
        <v>41.8</v>
      </c>
      <c r="C16781" s="689">
        <v>42.1</v>
      </c>
      <c r="D16781" s="689">
        <v>41.8</v>
      </c>
      <c r="E16781" s="689">
        <v>42.1</v>
      </c>
      <c r="F16781" s="689">
        <v>42.1</v>
      </c>
      <c r="G16781" s="693">
        <v>42</v>
      </c>
      <c r="H16781" s="689">
        <v>42.3</v>
      </c>
      <c r="I16781" s="689">
        <v>42.2</v>
      </c>
      <c r="J16781" s="689">
        <v>41.9</v>
      </c>
      <c r="K16781" s="689">
        <v>41.7</v>
      </c>
    </row>
    <row r="16782" spans="1:11">
      <c r="A16782" s="688" t="s">
        <v>4</v>
      </c>
      <c r="B16782" s="691">
        <v>40.799999999999997</v>
      </c>
      <c r="C16782" s="691">
        <v>40.700000000000003</v>
      </c>
      <c r="D16782" s="691">
        <v>40.9</v>
      </c>
      <c r="E16782" s="691">
        <v>41.2</v>
      </c>
      <c r="F16782" s="691">
        <v>41.2</v>
      </c>
      <c r="G16782" s="691">
        <v>41.3</v>
      </c>
      <c r="H16782" s="691">
        <v>41.7</v>
      </c>
      <c r="I16782" s="691">
        <v>41.5</v>
      </c>
      <c r="J16782" s="691">
        <v>40.299999999999997</v>
      </c>
      <c r="K16782" s="691">
        <v>41.3</v>
      </c>
    </row>
    <row r="16783" spans="1:11">
      <c r="A16783" s="688" t="s">
        <v>8</v>
      </c>
      <c r="B16783" s="689">
        <v>41.9</v>
      </c>
      <c r="C16783" s="693">
        <v>42</v>
      </c>
      <c r="D16783" s="693">
        <v>42</v>
      </c>
      <c r="E16783" s="689">
        <v>42.1</v>
      </c>
      <c r="F16783" s="689">
        <v>42.6</v>
      </c>
      <c r="G16783" s="689">
        <v>42.7</v>
      </c>
      <c r="H16783" s="693">
        <v>43</v>
      </c>
      <c r="I16783" s="689">
        <v>42.8</v>
      </c>
      <c r="J16783" s="689">
        <v>42.7</v>
      </c>
      <c r="K16783" s="689">
        <v>42.7</v>
      </c>
    </row>
    <row r="16784" spans="1:11">
      <c r="A16784" s="688" t="s">
        <v>7</v>
      </c>
      <c r="B16784" s="691">
        <v>42.8</v>
      </c>
      <c r="C16784" s="691">
        <v>42.6</v>
      </c>
      <c r="D16784" s="691">
        <v>42.4</v>
      </c>
      <c r="E16784" s="691">
        <v>42.6</v>
      </c>
      <c r="F16784" s="691">
        <v>42.5</v>
      </c>
      <c r="G16784" s="615">
        <v>43</v>
      </c>
      <c r="H16784" s="691">
        <v>42.9</v>
      </c>
      <c r="I16784" s="691">
        <v>42.5</v>
      </c>
      <c r="J16784" s="691">
        <v>41.7</v>
      </c>
      <c r="K16784" s="691">
        <v>42.2</v>
      </c>
    </row>
    <row r="16785" spans="1:11">
      <c r="A16785" s="688" t="s">
        <v>27</v>
      </c>
      <c r="B16785" s="689">
        <v>44.8</v>
      </c>
      <c r="C16785" s="689">
        <v>44.3</v>
      </c>
      <c r="D16785" s="693">
        <v>44</v>
      </c>
      <c r="E16785" s="689">
        <v>44.4</v>
      </c>
      <c r="F16785" s="689">
        <v>44.3</v>
      </c>
      <c r="G16785" s="689">
        <v>44.5</v>
      </c>
      <c r="H16785" s="689">
        <v>44.8</v>
      </c>
      <c r="I16785" s="689">
        <v>43.6</v>
      </c>
      <c r="J16785" s="689">
        <v>44.5</v>
      </c>
      <c r="K16785" s="689">
        <v>44.4</v>
      </c>
    </row>
    <row r="16786" spans="1:11">
      <c r="A16786" s="688" t="s">
        <v>6</v>
      </c>
      <c r="B16786" s="691">
        <v>44.5</v>
      </c>
      <c r="C16786" s="691">
        <v>44.3</v>
      </c>
      <c r="D16786" s="615">
        <v>44</v>
      </c>
      <c r="E16786" s="691">
        <v>44.2</v>
      </c>
      <c r="F16786" s="691">
        <v>44.2</v>
      </c>
      <c r="G16786" s="691">
        <v>44.4</v>
      </c>
      <c r="H16786" s="691">
        <v>44.5</v>
      </c>
      <c r="I16786" s="615">
        <v>44</v>
      </c>
      <c r="J16786" s="691">
        <v>44.1</v>
      </c>
      <c r="K16786" s="691">
        <v>44.1</v>
      </c>
    </row>
    <row r="16787" spans="1:11">
      <c r="A16787" s="688" t="s">
        <v>4058</v>
      </c>
      <c r="B16787" s="690" t="s">
        <v>4060</v>
      </c>
      <c r="C16787" s="690" t="s">
        <v>4060</v>
      </c>
      <c r="D16787" s="690" t="s">
        <v>4060</v>
      </c>
      <c r="E16787" s="690" t="s">
        <v>4060</v>
      </c>
      <c r="F16787" s="690" t="s">
        <v>4060</v>
      </c>
      <c r="G16787" s="690" t="s">
        <v>4060</v>
      </c>
      <c r="H16787" s="690" t="s">
        <v>4060</v>
      </c>
      <c r="I16787" s="690" t="s">
        <v>4060</v>
      </c>
      <c r="J16787" s="690" t="s">
        <v>4060</v>
      </c>
      <c r="K16787" s="690" t="s">
        <v>4060</v>
      </c>
    </row>
    <row r="16788" spans="1:11">
      <c r="A16788" s="688" t="s">
        <v>11</v>
      </c>
      <c r="B16788" s="691">
        <v>39.9</v>
      </c>
      <c r="C16788" s="691">
        <v>39.700000000000003</v>
      </c>
      <c r="D16788" s="691">
        <v>39.299999999999997</v>
      </c>
      <c r="E16788" s="615">
        <v>40</v>
      </c>
      <c r="F16788" s="691">
        <v>39.6</v>
      </c>
      <c r="G16788" s="615">
        <v>40</v>
      </c>
      <c r="H16788" s="691">
        <v>40.200000000000003</v>
      </c>
      <c r="I16788" s="691">
        <v>39.5</v>
      </c>
      <c r="J16788" s="691">
        <v>38.700000000000003</v>
      </c>
      <c r="K16788" s="691">
        <v>39.6</v>
      </c>
    </row>
    <row r="16789" spans="1:11">
      <c r="A16789" s="688" t="s">
        <v>10</v>
      </c>
      <c r="B16789" s="689">
        <v>43.9</v>
      </c>
      <c r="C16789" s="689">
        <v>43.7</v>
      </c>
      <c r="D16789" s="689">
        <v>43.2</v>
      </c>
      <c r="E16789" s="689">
        <v>43.8</v>
      </c>
      <c r="F16789" s="689">
        <v>43.6</v>
      </c>
      <c r="G16789" s="689">
        <v>43.9</v>
      </c>
      <c r="H16789" s="689">
        <v>44.1</v>
      </c>
      <c r="I16789" s="689">
        <v>43.1</v>
      </c>
      <c r="J16789" s="689">
        <v>43.4</v>
      </c>
      <c r="K16789" s="689">
        <v>43.4</v>
      </c>
    </row>
    <row r="16790" spans="1:11">
      <c r="A16790" s="688" t="s">
        <v>30</v>
      </c>
      <c r="B16790" s="691">
        <v>43.4</v>
      </c>
      <c r="C16790" s="691">
        <v>42.8</v>
      </c>
      <c r="D16790" s="691">
        <v>42.5</v>
      </c>
      <c r="E16790" s="691">
        <v>43.4</v>
      </c>
      <c r="F16790" s="615">
        <v>43</v>
      </c>
      <c r="G16790" s="691">
        <v>43.4</v>
      </c>
      <c r="H16790" s="691">
        <v>43.3</v>
      </c>
      <c r="I16790" s="691">
        <v>43.1</v>
      </c>
      <c r="J16790" s="691">
        <v>42.4</v>
      </c>
      <c r="K16790" s="691">
        <v>42.7</v>
      </c>
    </row>
    <row r="16791" spans="1:11">
      <c r="A16791" s="688" t="s">
        <v>12</v>
      </c>
      <c r="B16791" s="689">
        <v>38.4</v>
      </c>
      <c r="C16791" s="689">
        <v>38.700000000000003</v>
      </c>
      <c r="D16791" s="689">
        <v>38.6</v>
      </c>
      <c r="E16791" s="689">
        <v>38.799999999999997</v>
      </c>
      <c r="F16791" s="689">
        <v>38.9</v>
      </c>
      <c r="G16791" s="689">
        <v>38.799999999999997</v>
      </c>
      <c r="H16791" s="689">
        <v>39.299999999999997</v>
      </c>
      <c r="I16791" s="689">
        <v>39.1</v>
      </c>
      <c r="J16791" s="689">
        <v>37.200000000000003</v>
      </c>
      <c r="K16791" s="689">
        <v>38.700000000000003</v>
      </c>
    </row>
    <row r="16792" spans="1:11">
      <c r="A16792" s="688" t="s">
        <v>14</v>
      </c>
      <c r="B16792" s="615">
        <v>39</v>
      </c>
      <c r="C16792" s="691">
        <v>39.200000000000003</v>
      </c>
      <c r="D16792" s="691">
        <v>38.9</v>
      </c>
      <c r="E16792" s="691">
        <v>39.200000000000003</v>
      </c>
      <c r="F16792" s="691">
        <v>39.5</v>
      </c>
      <c r="G16792" s="691">
        <v>39.700000000000003</v>
      </c>
      <c r="H16792" s="615">
        <v>40</v>
      </c>
      <c r="I16792" s="615">
        <v>39</v>
      </c>
      <c r="J16792" s="615">
        <v>38</v>
      </c>
      <c r="K16792" s="691">
        <v>39.200000000000003</v>
      </c>
    </row>
    <row r="16793" spans="1:11">
      <c r="A16793" s="688" t="s">
        <v>15</v>
      </c>
      <c r="B16793" s="689">
        <v>42.9</v>
      </c>
      <c r="C16793" s="689">
        <v>43.3</v>
      </c>
      <c r="D16793" s="689">
        <v>42.7</v>
      </c>
      <c r="E16793" s="689">
        <v>43.4</v>
      </c>
      <c r="F16793" s="689">
        <v>42.6</v>
      </c>
      <c r="G16793" s="689">
        <v>43.1</v>
      </c>
      <c r="H16793" s="689">
        <v>43.3</v>
      </c>
      <c r="I16793" s="689">
        <v>43.2</v>
      </c>
      <c r="J16793" s="689">
        <v>43.5</v>
      </c>
      <c r="K16793" s="689">
        <v>43.6</v>
      </c>
    </row>
    <row r="16794" spans="1:11">
      <c r="A16794" s="688" t="s">
        <v>29</v>
      </c>
      <c r="B16794" s="691">
        <v>38.1</v>
      </c>
      <c r="C16794" s="691">
        <v>38.1</v>
      </c>
      <c r="D16794" s="691">
        <v>37.700000000000003</v>
      </c>
      <c r="E16794" s="691">
        <v>38.4</v>
      </c>
      <c r="F16794" s="691">
        <v>38.1</v>
      </c>
      <c r="G16794" s="691">
        <v>38.299999999999997</v>
      </c>
      <c r="H16794" s="691">
        <v>38.4</v>
      </c>
      <c r="I16794" s="691">
        <v>37.700000000000003</v>
      </c>
      <c r="J16794" s="691">
        <v>36.6</v>
      </c>
      <c r="K16794" s="691">
        <v>38.1</v>
      </c>
    </row>
    <row r="16795" spans="1:11">
      <c r="A16795" s="688" t="s">
        <v>16</v>
      </c>
      <c r="B16795" s="689">
        <v>42.9</v>
      </c>
      <c r="C16795" s="689">
        <v>42.7</v>
      </c>
      <c r="D16795" s="689">
        <v>42.7</v>
      </c>
      <c r="E16795" s="693">
        <v>43</v>
      </c>
      <c r="F16795" s="689">
        <v>42.9</v>
      </c>
      <c r="G16795" s="689">
        <v>42.9</v>
      </c>
      <c r="H16795" s="689">
        <v>43.3</v>
      </c>
      <c r="I16795" s="689">
        <v>42.9</v>
      </c>
      <c r="J16795" s="689">
        <v>42.6</v>
      </c>
      <c r="K16795" s="689">
        <v>42.8</v>
      </c>
    </row>
    <row r="16796" spans="1:11">
      <c r="A16796" s="688" t="s">
        <v>17</v>
      </c>
      <c r="B16796" s="615">
        <v>42</v>
      </c>
      <c r="C16796" s="691">
        <v>42.1</v>
      </c>
      <c r="D16796" s="691">
        <v>41.9</v>
      </c>
      <c r="E16796" s="691">
        <v>41.9</v>
      </c>
      <c r="F16796" s="691">
        <v>42.1</v>
      </c>
      <c r="G16796" s="691">
        <v>42.1</v>
      </c>
      <c r="H16796" s="691">
        <v>42.4</v>
      </c>
      <c r="I16796" s="691">
        <v>41.9</v>
      </c>
      <c r="J16796" s="691">
        <v>41.8</v>
      </c>
      <c r="K16796" s="691">
        <v>41.9</v>
      </c>
    </row>
    <row r="16797" spans="1:11">
      <c r="A16797" s="688" t="s">
        <v>19</v>
      </c>
      <c r="B16797" s="689">
        <v>42.6</v>
      </c>
      <c r="C16797" s="689">
        <v>42.6</v>
      </c>
      <c r="D16797" s="689">
        <v>42.4</v>
      </c>
      <c r="E16797" s="689">
        <v>42.7</v>
      </c>
      <c r="F16797" s="689">
        <v>42.6</v>
      </c>
      <c r="G16797" s="689">
        <v>42.8</v>
      </c>
      <c r="H16797" s="693">
        <v>43</v>
      </c>
      <c r="I16797" s="689">
        <v>42.5</v>
      </c>
      <c r="J16797" s="689">
        <v>42.5</v>
      </c>
      <c r="K16797" s="689">
        <v>42.5</v>
      </c>
    </row>
    <row r="16798" spans="1:11">
      <c r="A16798" s="688" t="s">
        <v>20</v>
      </c>
      <c r="B16798" s="691">
        <v>40.200000000000003</v>
      </c>
      <c r="C16798" s="691">
        <v>40.4</v>
      </c>
      <c r="D16798" s="691">
        <v>40.200000000000003</v>
      </c>
      <c r="E16798" s="691">
        <v>40.6</v>
      </c>
      <c r="F16798" s="691">
        <v>40.5</v>
      </c>
      <c r="G16798" s="691">
        <v>40.4</v>
      </c>
      <c r="H16798" s="691">
        <v>40.6</v>
      </c>
      <c r="I16798" s="691">
        <v>39.5</v>
      </c>
      <c r="J16798" s="691">
        <v>38.5</v>
      </c>
      <c r="K16798" s="615">
        <v>40</v>
      </c>
    </row>
    <row r="16799" spans="1:11">
      <c r="A16799" s="688" t="s">
        <v>21</v>
      </c>
      <c r="B16799" s="689">
        <v>42.8</v>
      </c>
      <c r="C16799" s="689">
        <v>43.1</v>
      </c>
      <c r="D16799" s="693">
        <v>43</v>
      </c>
      <c r="E16799" s="689">
        <v>43.1</v>
      </c>
      <c r="F16799" s="689">
        <v>43.3</v>
      </c>
      <c r="G16799" s="689">
        <v>43.4</v>
      </c>
      <c r="H16799" s="689">
        <v>43.6</v>
      </c>
      <c r="I16799" s="693">
        <v>43</v>
      </c>
      <c r="J16799" s="689">
        <v>43.1</v>
      </c>
      <c r="K16799" s="689">
        <v>43.2</v>
      </c>
    </row>
    <row r="16800" spans="1:11">
      <c r="A16800" s="688" t="s">
        <v>22</v>
      </c>
      <c r="B16800" s="691">
        <v>38.299999999999997</v>
      </c>
      <c r="C16800" s="615">
        <v>38</v>
      </c>
      <c r="D16800" s="615">
        <v>38</v>
      </c>
      <c r="E16800" s="691">
        <v>38.299999999999997</v>
      </c>
      <c r="F16800" s="691">
        <v>38.299999999999997</v>
      </c>
      <c r="G16800" s="691">
        <v>38.4</v>
      </c>
      <c r="H16800" s="691">
        <v>38.700000000000003</v>
      </c>
      <c r="I16800" s="691">
        <v>37.5</v>
      </c>
      <c r="J16800" s="615">
        <v>36</v>
      </c>
      <c r="K16800" s="691">
        <v>38.299999999999997</v>
      </c>
    </row>
    <row r="16801" spans="1:11">
      <c r="A16801" s="688" t="s">
        <v>26</v>
      </c>
      <c r="B16801" s="689">
        <v>42.4</v>
      </c>
      <c r="C16801" s="689">
        <v>42.3</v>
      </c>
      <c r="D16801" s="689">
        <v>42.1</v>
      </c>
      <c r="E16801" s="689">
        <v>42.6</v>
      </c>
      <c r="F16801" s="689">
        <v>42.4</v>
      </c>
      <c r="G16801" s="689">
        <v>42.6</v>
      </c>
      <c r="H16801" s="689">
        <v>42.8</v>
      </c>
      <c r="I16801" s="689">
        <v>41.9</v>
      </c>
      <c r="J16801" s="689">
        <v>42.3</v>
      </c>
      <c r="K16801" s="689">
        <v>42.6</v>
      </c>
    </row>
    <row r="16802" spans="1:11">
      <c r="A16802" s="688" t="s">
        <v>25</v>
      </c>
      <c r="B16802" s="691">
        <v>39.299999999999997</v>
      </c>
      <c r="C16802" s="691">
        <v>39.5</v>
      </c>
      <c r="D16802" s="691">
        <v>39.200000000000003</v>
      </c>
      <c r="E16802" s="691">
        <v>39.700000000000003</v>
      </c>
      <c r="F16802" s="691">
        <v>39.6</v>
      </c>
      <c r="G16802" s="691">
        <v>39.700000000000003</v>
      </c>
      <c r="H16802" s="691">
        <v>40.200000000000003</v>
      </c>
      <c r="I16802" s="691">
        <v>39.4</v>
      </c>
      <c r="J16802" s="691">
        <v>37.299999999999997</v>
      </c>
      <c r="K16802" s="691">
        <v>39.5</v>
      </c>
    </row>
    <row r="16803" spans="1:11">
      <c r="A16803" s="688" t="s">
        <v>5</v>
      </c>
      <c r="B16803" s="689">
        <v>42.9</v>
      </c>
      <c r="C16803" s="689">
        <v>42.7</v>
      </c>
      <c r="D16803" s="689">
        <v>42.8</v>
      </c>
      <c r="E16803" s="689">
        <v>42.9</v>
      </c>
      <c r="F16803" s="693">
        <v>43</v>
      </c>
      <c r="G16803" s="689">
        <v>43.1</v>
      </c>
      <c r="H16803" s="689">
        <v>43.4</v>
      </c>
      <c r="I16803" s="689">
        <v>43.4</v>
      </c>
      <c r="J16803" s="689">
        <v>43.3</v>
      </c>
      <c r="K16803" s="689">
        <v>42.6</v>
      </c>
    </row>
    <row r="16804" spans="1:11">
      <c r="A16804" s="688" t="s">
        <v>23</v>
      </c>
      <c r="B16804" s="691">
        <v>42.5</v>
      </c>
      <c r="C16804" s="691">
        <v>42.8</v>
      </c>
      <c r="D16804" s="691">
        <v>42.7</v>
      </c>
      <c r="E16804" s="691">
        <v>42.8</v>
      </c>
      <c r="F16804" s="691">
        <v>42.8</v>
      </c>
      <c r="G16804" s="615">
        <v>43</v>
      </c>
      <c r="H16804" s="691">
        <v>43.5</v>
      </c>
      <c r="I16804" s="615">
        <v>43</v>
      </c>
      <c r="J16804" s="691">
        <v>43.5</v>
      </c>
      <c r="K16804" s="691">
        <v>43.4</v>
      </c>
    </row>
    <row r="16805" spans="1:11">
      <c r="A16805" s="688" t="s">
        <v>4067</v>
      </c>
      <c r="B16805" s="689">
        <v>42.2</v>
      </c>
      <c r="C16805" s="689">
        <v>42.5</v>
      </c>
      <c r="D16805" s="689">
        <v>42.1</v>
      </c>
      <c r="E16805" s="689">
        <v>42.5</v>
      </c>
      <c r="F16805" s="689">
        <v>42.4</v>
      </c>
      <c r="G16805" s="689">
        <v>42.5</v>
      </c>
      <c r="H16805" s="690" t="s">
        <v>4060</v>
      </c>
      <c r="I16805" s="690" t="s">
        <v>4060</v>
      </c>
      <c r="J16805" s="690" t="s">
        <v>4060</v>
      </c>
      <c r="K16805" s="690" t="s">
        <v>4060</v>
      </c>
    </row>
    <row r="16806" spans="1:11">
      <c r="A16806" s="688" t="s">
        <v>4066</v>
      </c>
      <c r="B16806" s="691">
        <v>42.2</v>
      </c>
      <c r="C16806" s="691">
        <v>42.5</v>
      </c>
      <c r="D16806" s="691">
        <v>42.1</v>
      </c>
      <c r="E16806" s="691">
        <v>42.5</v>
      </c>
      <c r="F16806" s="691">
        <v>42.4</v>
      </c>
      <c r="G16806" s="691">
        <v>42.5</v>
      </c>
      <c r="H16806" s="692" t="s">
        <v>4060</v>
      </c>
      <c r="I16806" s="692" t="s">
        <v>4060</v>
      </c>
      <c r="J16806" s="692" t="s">
        <v>4060</v>
      </c>
      <c r="K16806" s="692" t="s">
        <v>4060</v>
      </c>
    </row>
    <row r="16807" spans="1:11">
      <c r="A16807" s="688" t="s">
        <v>4062</v>
      </c>
      <c r="B16807" s="689">
        <v>43.3</v>
      </c>
      <c r="C16807" s="689">
        <v>43.5</v>
      </c>
      <c r="D16807" s="689">
        <v>43.3</v>
      </c>
      <c r="E16807" s="689">
        <v>43.6</v>
      </c>
      <c r="F16807" s="689">
        <v>43.7</v>
      </c>
      <c r="G16807" s="689">
        <v>43.8</v>
      </c>
      <c r="H16807" s="689">
        <v>43.9</v>
      </c>
      <c r="I16807" s="689">
        <v>43.7</v>
      </c>
      <c r="J16807" s="689">
        <v>43.9</v>
      </c>
      <c r="K16807" s="689">
        <v>43.7</v>
      </c>
    </row>
    <row r="16808" spans="1:11">
      <c r="A16808" s="688" t="s">
        <v>9</v>
      </c>
      <c r="B16808" s="691">
        <v>42.5</v>
      </c>
      <c r="C16808" s="615">
        <v>43</v>
      </c>
      <c r="D16808" s="691">
        <v>42.3</v>
      </c>
      <c r="E16808" s="691">
        <v>42.4</v>
      </c>
      <c r="F16808" s="691">
        <v>42.9</v>
      </c>
      <c r="G16808" s="691">
        <v>42.9</v>
      </c>
      <c r="H16808" s="691">
        <v>43.1</v>
      </c>
      <c r="I16808" s="691">
        <v>43.1</v>
      </c>
      <c r="J16808" s="691">
        <v>43.3</v>
      </c>
      <c r="K16808" s="691">
        <v>42.3</v>
      </c>
    </row>
    <row r="16809" spans="1:11">
      <c r="A16809" s="688" t="s">
        <v>13</v>
      </c>
      <c r="B16809" s="689">
        <v>43.4</v>
      </c>
      <c r="C16809" s="689">
        <v>42.1</v>
      </c>
      <c r="D16809" s="689">
        <v>43.1</v>
      </c>
      <c r="E16809" s="689">
        <v>43.2</v>
      </c>
      <c r="F16809" s="693">
        <v>44</v>
      </c>
      <c r="G16809" s="689">
        <v>43.9</v>
      </c>
      <c r="H16809" s="689">
        <v>43.8</v>
      </c>
      <c r="I16809" s="689">
        <v>43.1</v>
      </c>
      <c r="J16809" s="689">
        <v>44.3</v>
      </c>
      <c r="K16809" s="693">
        <v>44</v>
      </c>
    </row>
    <row r="16810" spans="1:11">
      <c r="A16810" s="688" t="s">
        <v>18</v>
      </c>
      <c r="B16810" s="691">
        <v>42.5</v>
      </c>
      <c r="C16810" s="691">
        <v>42.7</v>
      </c>
      <c r="D16810" s="691">
        <v>42.8</v>
      </c>
      <c r="E16810" s="691">
        <v>42.9</v>
      </c>
      <c r="F16810" s="615">
        <v>43</v>
      </c>
      <c r="G16810" s="691">
        <v>43.1</v>
      </c>
      <c r="H16810" s="691">
        <v>43.3</v>
      </c>
      <c r="I16810" s="691">
        <v>43.5</v>
      </c>
      <c r="J16810" s="691">
        <v>43.4</v>
      </c>
      <c r="K16810" s="615">
        <v>43</v>
      </c>
    </row>
    <row r="16811" spans="1:11">
      <c r="A16811" s="688" t="s">
        <v>24</v>
      </c>
      <c r="B16811" s="689">
        <v>43.8</v>
      </c>
      <c r="C16811" s="689">
        <v>43.9</v>
      </c>
      <c r="D16811" s="689">
        <v>43.6</v>
      </c>
      <c r="E16811" s="693">
        <v>44</v>
      </c>
      <c r="F16811" s="689">
        <v>44.1</v>
      </c>
      <c r="G16811" s="689">
        <v>44.2</v>
      </c>
      <c r="H16811" s="689">
        <v>44.3</v>
      </c>
      <c r="I16811" s="689">
        <v>43.8</v>
      </c>
      <c r="J16811" s="689">
        <v>44.3</v>
      </c>
      <c r="K16811" s="689">
        <v>44.1</v>
      </c>
    </row>
    <row r="16812" spans="1:11">
      <c r="A16812" s="688" t="s">
        <v>4059</v>
      </c>
      <c r="B16812" s="691">
        <v>41.8</v>
      </c>
      <c r="C16812" s="691">
        <v>42.1</v>
      </c>
      <c r="D16812" s="691">
        <v>41.7</v>
      </c>
      <c r="E16812" s="615">
        <v>42</v>
      </c>
      <c r="F16812" s="615">
        <v>42</v>
      </c>
      <c r="G16812" s="615">
        <v>42</v>
      </c>
      <c r="H16812" s="692" t="s">
        <v>4060</v>
      </c>
      <c r="I16812" s="692" t="s">
        <v>4060</v>
      </c>
      <c r="J16812" s="692" t="s">
        <v>4060</v>
      </c>
      <c r="K16812" s="692" t="s">
        <v>4060</v>
      </c>
    </row>
    <row r="16813" spans="1:11">
      <c r="A16813" s="688" t="s">
        <v>2324</v>
      </c>
      <c r="B16813" s="693">
        <v>38</v>
      </c>
      <c r="C16813" s="689">
        <v>38.1</v>
      </c>
      <c r="D16813" s="689">
        <v>37.4</v>
      </c>
      <c r="E16813" s="689">
        <v>37.9</v>
      </c>
      <c r="F16813" s="689">
        <v>38.200000000000003</v>
      </c>
      <c r="G16813" s="693">
        <v>38</v>
      </c>
      <c r="H16813" s="689">
        <v>38.299999999999997</v>
      </c>
      <c r="I16813" s="689">
        <v>37.700000000000003</v>
      </c>
      <c r="J16813" s="689">
        <v>35.9</v>
      </c>
      <c r="K16813" s="690" t="s">
        <v>4060</v>
      </c>
    </row>
    <row r="16814" spans="1:11">
      <c r="A16814" s="688" t="s">
        <v>2322</v>
      </c>
      <c r="B16814" s="692" t="s">
        <v>4060</v>
      </c>
      <c r="C16814" s="692" t="s">
        <v>4060</v>
      </c>
      <c r="D16814" s="692" t="s">
        <v>4060</v>
      </c>
      <c r="E16814" s="692" t="s">
        <v>4060</v>
      </c>
      <c r="F16814" s="692" t="s">
        <v>4060</v>
      </c>
      <c r="G16814" s="692" t="s">
        <v>4060</v>
      </c>
      <c r="H16814" s="692" t="s">
        <v>4060</v>
      </c>
      <c r="I16814" s="692" t="s">
        <v>4060</v>
      </c>
      <c r="J16814" s="692" t="s">
        <v>4060</v>
      </c>
      <c r="K16814" s="692" t="s">
        <v>4060</v>
      </c>
    </row>
    <row r="16815" spans="1:11">
      <c r="A16815" s="688" t="s">
        <v>2328</v>
      </c>
      <c r="B16815" s="689">
        <v>37.1</v>
      </c>
      <c r="C16815" s="689">
        <v>36.799999999999997</v>
      </c>
      <c r="D16815" s="689">
        <v>36.799999999999997</v>
      </c>
      <c r="E16815" s="689">
        <v>37.1</v>
      </c>
      <c r="F16815" s="689">
        <v>37.200000000000003</v>
      </c>
      <c r="G16815" s="689">
        <v>37.700000000000003</v>
      </c>
      <c r="H16815" s="689">
        <v>37.6</v>
      </c>
      <c r="I16815" s="689">
        <v>35.9</v>
      </c>
      <c r="J16815" s="689">
        <v>34.6</v>
      </c>
      <c r="K16815" s="690" t="s">
        <v>4060</v>
      </c>
    </row>
    <row r="16816" spans="1:11">
      <c r="A16816" s="688" t="s">
        <v>2496</v>
      </c>
      <c r="B16816" s="692" t="s">
        <v>4060</v>
      </c>
      <c r="C16816" s="615">
        <v>38</v>
      </c>
      <c r="D16816" s="615">
        <v>37</v>
      </c>
      <c r="E16816" s="691">
        <v>36.799999999999997</v>
      </c>
      <c r="F16816" s="691">
        <v>37.4</v>
      </c>
      <c r="G16816" s="691">
        <v>37.700000000000003</v>
      </c>
      <c r="H16816" s="691">
        <v>37.799999999999997</v>
      </c>
      <c r="I16816" s="692" t="s">
        <v>4060</v>
      </c>
      <c r="J16816" s="692" t="s">
        <v>4060</v>
      </c>
      <c r="K16816" s="691">
        <v>37.5</v>
      </c>
    </row>
    <row r="16817" spans="1:11">
      <c r="A16817" s="688" t="s">
        <v>2269</v>
      </c>
      <c r="B16817" s="689">
        <v>39.6</v>
      </c>
      <c r="C16817" s="689">
        <v>39.799999999999997</v>
      </c>
      <c r="D16817" s="689">
        <v>39.1</v>
      </c>
      <c r="E16817" s="689">
        <v>39.700000000000003</v>
      </c>
      <c r="F16817" s="689">
        <v>39.5</v>
      </c>
      <c r="G16817" s="689">
        <v>39.9</v>
      </c>
      <c r="H16817" s="689">
        <v>40.200000000000003</v>
      </c>
      <c r="I16817" s="689">
        <v>38.9</v>
      </c>
      <c r="J16817" s="689">
        <v>36.9</v>
      </c>
      <c r="K16817" s="689">
        <v>39.799999999999997</v>
      </c>
    </row>
    <row r="16818" spans="1:11">
      <c r="A16818" s="688" t="s">
        <v>2349</v>
      </c>
      <c r="B16818" s="691">
        <v>37.1</v>
      </c>
      <c r="C16818" s="691">
        <v>37.1</v>
      </c>
      <c r="D16818" s="615">
        <v>37</v>
      </c>
      <c r="E16818" s="691">
        <v>37.299999999999997</v>
      </c>
      <c r="F16818" s="691">
        <v>37.1</v>
      </c>
      <c r="G16818" s="691">
        <v>37.5</v>
      </c>
      <c r="H16818" s="691">
        <v>37.6</v>
      </c>
      <c r="I16818" s="691">
        <v>36.5</v>
      </c>
      <c r="J16818" s="691">
        <v>34.799999999999997</v>
      </c>
      <c r="K16818" s="691">
        <v>36.799999999999997</v>
      </c>
    </row>
    <row r="16819" spans="1:11">
      <c r="A16819" s="688" t="s">
        <v>2355</v>
      </c>
      <c r="B16819" s="689">
        <v>40.9</v>
      </c>
      <c r="C16819" s="689">
        <v>40.6</v>
      </c>
      <c r="D16819" s="689">
        <v>40.6</v>
      </c>
      <c r="E16819" s="689">
        <v>40.6</v>
      </c>
      <c r="F16819" s="689">
        <v>40.799999999999997</v>
      </c>
      <c r="G16819" s="689">
        <v>41.1</v>
      </c>
      <c r="H16819" s="689">
        <v>41.2</v>
      </c>
      <c r="I16819" s="690" t="s">
        <v>4060</v>
      </c>
      <c r="J16819" s="690" t="s">
        <v>4060</v>
      </c>
      <c r="K16819" s="690" t="s">
        <v>4060</v>
      </c>
    </row>
    <row r="16820" spans="1:11">
      <c r="A16820" s="688" t="s">
        <v>2357</v>
      </c>
      <c r="B16820" s="692" t="s">
        <v>4060</v>
      </c>
      <c r="C16820" s="691">
        <v>36.799999999999997</v>
      </c>
      <c r="D16820" s="691">
        <v>37.200000000000003</v>
      </c>
      <c r="E16820" s="691">
        <v>37.4</v>
      </c>
      <c r="F16820" s="691">
        <v>37.700000000000003</v>
      </c>
      <c r="G16820" s="691">
        <v>37.700000000000003</v>
      </c>
      <c r="H16820" s="691">
        <v>37.9</v>
      </c>
      <c r="I16820" s="692" t="s">
        <v>4060</v>
      </c>
      <c r="J16820" s="692" t="s">
        <v>4060</v>
      </c>
      <c r="K16820" s="692" t="s">
        <v>4060</v>
      </c>
    </row>
    <row r="16821" spans="1:11">
      <c r="A16821" s="688" t="s">
        <v>4070</v>
      </c>
      <c r="B16821" s="690" t="s">
        <v>4060</v>
      </c>
      <c r="C16821" s="690" t="s">
        <v>4060</v>
      </c>
      <c r="D16821" s="690" t="s">
        <v>4060</v>
      </c>
      <c r="E16821" s="689">
        <v>40.6</v>
      </c>
      <c r="F16821" s="690" t="s">
        <v>4060</v>
      </c>
      <c r="G16821" s="690" t="s">
        <v>4060</v>
      </c>
      <c r="H16821" s="690" t="s">
        <v>4060</v>
      </c>
      <c r="I16821" s="690" t="s">
        <v>4060</v>
      </c>
      <c r="J16821" s="690" t="s">
        <v>4060</v>
      </c>
      <c r="K16821" s="690" t="s">
        <v>4060</v>
      </c>
    </row>
    <row r="16822" spans="1:11">
      <c r="A16822" s="688" t="s">
        <v>2491</v>
      </c>
      <c r="B16822" s="691">
        <v>37.5</v>
      </c>
      <c r="C16822" s="691">
        <v>37.9</v>
      </c>
      <c r="D16822" s="691">
        <v>38.200000000000003</v>
      </c>
      <c r="E16822" s="691">
        <v>38.4</v>
      </c>
      <c r="F16822" s="691">
        <v>38.5</v>
      </c>
      <c r="G16822" s="691">
        <v>38.5</v>
      </c>
      <c r="H16822" s="692" t="s">
        <v>4060</v>
      </c>
      <c r="I16822" s="692" t="s">
        <v>4060</v>
      </c>
      <c r="J16822" s="692" t="s">
        <v>4060</v>
      </c>
      <c r="K16822" s="692" t="s">
        <v>4060</v>
      </c>
    </row>
    <row r="16823" spans="1:11">
      <c r="A16823" s="688" t="s">
        <v>2343</v>
      </c>
      <c r="B16823" s="690" t="s">
        <v>4060</v>
      </c>
      <c r="C16823" s="690" t="s">
        <v>4060</v>
      </c>
      <c r="D16823" s="690" t="s">
        <v>4060</v>
      </c>
      <c r="E16823" s="690" t="s">
        <v>4060</v>
      </c>
      <c r="F16823" s="690" t="s">
        <v>4060</v>
      </c>
      <c r="G16823" s="690" t="s">
        <v>4060</v>
      </c>
      <c r="H16823" s="690" t="s">
        <v>4060</v>
      </c>
      <c r="I16823" s="690" t="s">
        <v>4060</v>
      </c>
      <c r="J16823" s="690" t="s">
        <v>4060</v>
      </c>
      <c r="K16823" s="690" t="s">
        <v>4060</v>
      </c>
    </row>
    <row r="16824" spans="1:11">
      <c r="A16824" s="688" t="s">
        <v>4071</v>
      </c>
      <c r="B16824" s="692" t="s">
        <v>4060</v>
      </c>
      <c r="C16824" s="692" t="s">
        <v>4060</v>
      </c>
      <c r="D16824" s="692" t="s">
        <v>4060</v>
      </c>
      <c r="E16824" s="692" t="s">
        <v>4060</v>
      </c>
      <c r="F16824" s="692" t="s">
        <v>4060</v>
      </c>
      <c r="G16824" s="692" t="s">
        <v>4060</v>
      </c>
      <c r="H16824" s="692" t="s">
        <v>4060</v>
      </c>
      <c r="I16824" s="692" t="s">
        <v>4060</v>
      </c>
      <c r="J16824" s="692" t="s">
        <v>4060</v>
      </c>
      <c r="K16824" s="692" t="s">
        <v>4060</v>
      </c>
    </row>
    <row r="16825" spans="1:11">
      <c r="A16825" s="688" t="s">
        <v>2489</v>
      </c>
      <c r="B16825" s="690" t="s">
        <v>4060</v>
      </c>
      <c r="C16825" s="690" t="s">
        <v>4060</v>
      </c>
      <c r="D16825" s="689">
        <v>37.6</v>
      </c>
      <c r="E16825" s="689">
        <v>37.700000000000003</v>
      </c>
      <c r="F16825" s="689">
        <v>38.200000000000003</v>
      </c>
      <c r="G16825" s="689">
        <v>38.9</v>
      </c>
      <c r="H16825" s="689">
        <v>38.799999999999997</v>
      </c>
      <c r="I16825" s="690" t="s">
        <v>4060</v>
      </c>
      <c r="J16825" s="690" t="s">
        <v>4060</v>
      </c>
      <c r="K16825" s="690" t="s">
        <v>4060</v>
      </c>
    </row>
    <row r="16826" spans="1:11">
      <c r="A16826" s="688" t="s">
        <v>2490</v>
      </c>
      <c r="B16826" s="615">
        <v>37</v>
      </c>
      <c r="C16826" s="615">
        <v>37</v>
      </c>
      <c r="D16826" s="691">
        <v>37.5</v>
      </c>
      <c r="E16826" s="692" t="s">
        <v>4060</v>
      </c>
      <c r="F16826" s="691">
        <v>37.700000000000003</v>
      </c>
      <c r="G16826" s="615">
        <v>38</v>
      </c>
      <c r="H16826" s="691">
        <v>38.700000000000003</v>
      </c>
      <c r="I16826" s="692" t="s">
        <v>4060</v>
      </c>
      <c r="J16826" s="692" t="s">
        <v>4060</v>
      </c>
      <c r="K16826" s="692" t="s">
        <v>4060</v>
      </c>
    </row>
    <row r="16828" spans="1:11">
      <c r="A16828" s="683" t="s">
        <v>4233</v>
      </c>
    </row>
    <row r="16829" spans="1:11">
      <c r="A16829" s="683" t="s">
        <v>4060</v>
      </c>
      <c r="B16829" s="682" t="s">
        <v>4234</v>
      </c>
    </row>
    <row r="16831" spans="1:11">
      <c r="A16831" s="682" t="s">
        <v>4332</v>
      </c>
    </row>
    <row r="16832" spans="1:11">
      <c r="A16832" s="682" t="s">
        <v>4210</v>
      </c>
      <c r="B16832" s="683" t="s">
        <v>4211</v>
      </c>
    </row>
    <row r="16833" spans="1:11">
      <c r="A16833" s="682" t="s">
        <v>4212</v>
      </c>
      <c r="B16833" s="682" t="s">
        <v>4213</v>
      </c>
    </row>
    <row r="16835" spans="1:11">
      <c r="A16835" s="683" t="s">
        <v>4214</v>
      </c>
      <c r="C16835" s="682" t="s">
        <v>4215</v>
      </c>
    </row>
    <row r="16836" spans="1:11">
      <c r="A16836" s="683" t="s">
        <v>4216</v>
      </c>
      <c r="C16836" s="682" t="s">
        <v>2967</v>
      </c>
    </row>
    <row r="16837" spans="1:11">
      <c r="A16837" s="683" t="s">
        <v>3893</v>
      </c>
      <c r="C16837" s="682" t="s">
        <v>2169</v>
      </c>
    </row>
    <row r="16838" spans="1:11">
      <c r="A16838" s="683" t="s">
        <v>4218</v>
      </c>
      <c r="C16838" s="682" t="s">
        <v>4278</v>
      </c>
    </row>
    <row r="16840" spans="1:11">
      <c r="A16840" s="684" t="s">
        <v>4220</v>
      </c>
      <c r="B16840" s="685" t="s">
        <v>4221</v>
      </c>
      <c r="C16840" s="685" t="s">
        <v>4222</v>
      </c>
      <c r="D16840" s="685" t="s">
        <v>4223</v>
      </c>
      <c r="E16840" s="685" t="s">
        <v>4224</v>
      </c>
      <c r="F16840" s="685" t="s">
        <v>4225</v>
      </c>
      <c r="G16840" s="685" t="s">
        <v>4226</v>
      </c>
      <c r="H16840" s="685" t="s">
        <v>4227</v>
      </c>
      <c r="I16840" s="685" t="s">
        <v>4228</v>
      </c>
      <c r="J16840" s="685" t="s">
        <v>4229</v>
      </c>
      <c r="K16840" s="685" t="s">
        <v>4230</v>
      </c>
    </row>
    <row r="16841" spans="1:11">
      <c r="A16841" s="686" t="s">
        <v>4231</v>
      </c>
      <c r="B16841" s="687" t="s">
        <v>4232</v>
      </c>
      <c r="C16841" s="687" t="s">
        <v>4232</v>
      </c>
      <c r="D16841" s="687" t="s">
        <v>4232</v>
      </c>
      <c r="E16841" s="687" t="s">
        <v>4232</v>
      </c>
      <c r="F16841" s="687" t="s">
        <v>4232</v>
      </c>
      <c r="G16841" s="687" t="s">
        <v>4232</v>
      </c>
      <c r="H16841" s="687" t="s">
        <v>4232</v>
      </c>
      <c r="I16841" s="687" t="s">
        <v>4232</v>
      </c>
      <c r="J16841" s="687" t="s">
        <v>4232</v>
      </c>
      <c r="K16841" s="687" t="s">
        <v>4232</v>
      </c>
    </row>
    <row r="16842" spans="1:11">
      <c r="A16842" s="688" t="s">
        <v>4064</v>
      </c>
      <c r="B16842" s="691">
        <v>41.3</v>
      </c>
      <c r="C16842" s="691">
        <v>41.2</v>
      </c>
      <c r="D16842" s="691">
        <v>41.2</v>
      </c>
      <c r="E16842" s="691">
        <v>41.3</v>
      </c>
      <c r="F16842" s="691">
        <v>41.3</v>
      </c>
      <c r="G16842" s="691">
        <v>41.4</v>
      </c>
      <c r="H16842" s="691">
        <v>41.6</v>
      </c>
      <c r="I16842" s="691">
        <v>40.9</v>
      </c>
      <c r="J16842" s="691">
        <v>40.700000000000003</v>
      </c>
      <c r="K16842" s="691">
        <v>41.1</v>
      </c>
    </row>
    <row r="16843" spans="1:11">
      <c r="A16843" s="688" t="s">
        <v>4065</v>
      </c>
      <c r="B16843" s="689">
        <v>41.2</v>
      </c>
      <c r="C16843" s="689">
        <v>41.6</v>
      </c>
      <c r="D16843" s="689">
        <v>41.2</v>
      </c>
      <c r="E16843" s="689">
        <v>41.6</v>
      </c>
      <c r="F16843" s="689">
        <v>41.4</v>
      </c>
      <c r="G16843" s="689">
        <v>41.5</v>
      </c>
      <c r="H16843" s="690" t="s">
        <v>4060</v>
      </c>
      <c r="I16843" s="690" t="s">
        <v>4060</v>
      </c>
      <c r="J16843" s="690" t="s">
        <v>4060</v>
      </c>
      <c r="K16843" s="690" t="s">
        <v>4060</v>
      </c>
    </row>
    <row r="16844" spans="1:11">
      <c r="A16844" s="688" t="s">
        <v>4063</v>
      </c>
      <c r="B16844" s="691">
        <v>41.2</v>
      </c>
      <c r="C16844" s="691">
        <v>41.6</v>
      </c>
      <c r="D16844" s="691">
        <v>41.2</v>
      </c>
      <c r="E16844" s="691">
        <v>41.6</v>
      </c>
      <c r="F16844" s="691">
        <v>41.5</v>
      </c>
      <c r="G16844" s="691">
        <v>41.5</v>
      </c>
      <c r="H16844" s="692" t="s">
        <v>4060</v>
      </c>
      <c r="I16844" s="692" t="s">
        <v>4060</v>
      </c>
      <c r="J16844" s="692" t="s">
        <v>4060</v>
      </c>
      <c r="K16844" s="692" t="s">
        <v>4060</v>
      </c>
    </row>
    <row r="16845" spans="1:11">
      <c r="A16845" s="688" t="s">
        <v>4069</v>
      </c>
      <c r="B16845" s="690" t="s">
        <v>4060</v>
      </c>
      <c r="C16845" s="693">
        <v>42</v>
      </c>
      <c r="D16845" s="689">
        <v>41.7</v>
      </c>
      <c r="E16845" s="689">
        <v>42.1</v>
      </c>
      <c r="F16845" s="693">
        <v>42</v>
      </c>
      <c r="G16845" s="689">
        <v>42.2</v>
      </c>
      <c r="H16845" s="689">
        <v>42.4</v>
      </c>
      <c r="I16845" s="689">
        <v>41.8</v>
      </c>
      <c r="J16845" s="689">
        <v>41.8</v>
      </c>
      <c r="K16845" s="689">
        <v>41.8</v>
      </c>
    </row>
    <row r="16846" spans="1:11">
      <c r="A16846" s="688" t="s">
        <v>4068</v>
      </c>
      <c r="B16846" s="691">
        <v>42.1</v>
      </c>
      <c r="C16846" s="692" t="s">
        <v>4060</v>
      </c>
      <c r="D16846" s="692" t="s">
        <v>4060</v>
      </c>
      <c r="E16846" s="692" t="s">
        <v>4060</v>
      </c>
      <c r="F16846" s="692" t="s">
        <v>4060</v>
      </c>
      <c r="G16846" s="692" t="s">
        <v>4060</v>
      </c>
      <c r="H16846" s="692" t="s">
        <v>4060</v>
      </c>
      <c r="I16846" s="692" t="s">
        <v>4060</v>
      </c>
      <c r="J16846" s="692" t="s">
        <v>4060</v>
      </c>
      <c r="K16846" s="692" t="s">
        <v>4060</v>
      </c>
    </row>
    <row r="16847" spans="1:11">
      <c r="A16847" s="688" t="s">
        <v>0</v>
      </c>
      <c r="B16847" s="689">
        <v>41.2</v>
      </c>
      <c r="C16847" s="689">
        <v>41.4</v>
      </c>
      <c r="D16847" s="689">
        <v>41.1</v>
      </c>
      <c r="E16847" s="689">
        <v>41.5</v>
      </c>
      <c r="F16847" s="689">
        <v>41.6</v>
      </c>
      <c r="G16847" s="689">
        <v>41.6</v>
      </c>
      <c r="H16847" s="689">
        <v>41.9</v>
      </c>
      <c r="I16847" s="689">
        <v>40.9</v>
      </c>
      <c r="J16847" s="689">
        <v>41.9</v>
      </c>
      <c r="K16847" s="689">
        <v>41.6</v>
      </c>
    </row>
    <row r="16848" spans="1:11">
      <c r="A16848" s="688" t="s">
        <v>1</v>
      </c>
      <c r="B16848" s="691">
        <v>37.1</v>
      </c>
      <c r="C16848" s="691">
        <v>36.6</v>
      </c>
      <c r="D16848" s="691">
        <v>36.6</v>
      </c>
      <c r="E16848" s="691">
        <v>36.799999999999997</v>
      </c>
      <c r="F16848" s="691">
        <v>36.700000000000003</v>
      </c>
      <c r="G16848" s="691">
        <v>36.9</v>
      </c>
      <c r="H16848" s="691">
        <v>37.1</v>
      </c>
      <c r="I16848" s="691">
        <v>35.700000000000003</v>
      </c>
      <c r="J16848" s="691">
        <v>33.700000000000003</v>
      </c>
      <c r="K16848" s="691">
        <v>36.4</v>
      </c>
    </row>
    <row r="16849" spans="1:11">
      <c r="A16849" s="688" t="s">
        <v>2240</v>
      </c>
      <c r="B16849" s="689">
        <v>39.1</v>
      </c>
      <c r="C16849" s="689">
        <v>39.5</v>
      </c>
      <c r="D16849" s="689">
        <v>39.299999999999997</v>
      </c>
      <c r="E16849" s="689">
        <v>39.700000000000003</v>
      </c>
      <c r="F16849" s="689">
        <v>39.6</v>
      </c>
      <c r="G16849" s="689">
        <v>39.700000000000003</v>
      </c>
      <c r="H16849" s="693">
        <v>40</v>
      </c>
      <c r="I16849" s="689">
        <v>39.1</v>
      </c>
      <c r="J16849" s="689">
        <v>38.4</v>
      </c>
      <c r="K16849" s="689">
        <v>39.799999999999997</v>
      </c>
    </row>
    <row r="16850" spans="1:11">
      <c r="A16850" s="688" t="s">
        <v>2</v>
      </c>
      <c r="B16850" s="691">
        <v>40.200000000000003</v>
      </c>
      <c r="C16850" s="691">
        <v>40.5</v>
      </c>
      <c r="D16850" s="691">
        <v>40.5</v>
      </c>
      <c r="E16850" s="691">
        <v>40.6</v>
      </c>
      <c r="F16850" s="691">
        <v>40.9</v>
      </c>
      <c r="G16850" s="691">
        <v>40.700000000000003</v>
      </c>
      <c r="H16850" s="691">
        <v>41.1</v>
      </c>
      <c r="I16850" s="691">
        <v>41.2</v>
      </c>
      <c r="J16850" s="691">
        <v>41.1</v>
      </c>
      <c r="K16850" s="691">
        <v>40.9</v>
      </c>
    </row>
    <row r="16851" spans="1:11">
      <c r="A16851" s="688" t="s">
        <v>3</v>
      </c>
      <c r="B16851" s="689">
        <v>40.9</v>
      </c>
      <c r="C16851" s="689">
        <v>41.1</v>
      </c>
      <c r="D16851" s="689">
        <v>40.799999999999997</v>
      </c>
      <c r="E16851" s="689">
        <v>41.1</v>
      </c>
      <c r="F16851" s="689">
        <v>41.1</v>
      </c>
      <c r="G16851" s="689">
        <v>41.1</v>
      </c>
      <c r="H16851" s="689">
        <v>41.4</v>
      </c>
      <c r="I16851" s="689">
        <v>41.2</v>
      </c>
      <c r="J16851" s="693">
        <v>41</v>
      </c>
      <c r="K16851" s="689">
        <v>40.700000000000003</v>
      </c>
    </row>
    <row r="16852" spans="1:11">
      <c r="A16852" s="688" t="s">
        <v>4061</v>
      </c>
      <c r="B16852" s="691">
        <v>40.9</v>
      </c>
      <c r="C16852" s="691">
        <v>41.1</v>
      </c>
      <c r="D16852" s="691">
        <v>40.799999999999997</v>
      </c>
      <c r="E16852" s="691">
        <v>41.1</v>
      </c>
      <c r="F16852" s="691">
        <v>41.1</v>
      </c>
      <c r="G16852" s="691">
        <v>41.1</v>
      </c>
      <c r="H16852" s="691">
        <v>41.4</v>
      </c>
      <c r="I16852" s="691">
        <v>41.2</v>
      </c>
      <c r="J16852" s="615">
        <v>41</v>
      </c>
      <c r="K16852" s="691">
        <v>40.700000000000003</v>
      </c>
    </row>
    <row r="16853" spans="1:11">
      <c r="A16853" s="688" t="s">
        <v>4</v>
      </c>
      <c r="B16853" s="689">
        <v>39.9</v>
      </c>
      <c r="C16853" s="689">
        <v>39.700000000000003</v>
      </c>
      <c r="D16853" s="693">
        <v>40</v>
      </c>
      <c r="E16853" s="689">
        <v>40.200000000000003</v>
      </c>
      <c r="F16853" s="689">
        <v>40.200000000000003</v>
      </c>
      <c r="G16853" s="689">
        <v>40.299999999999997</v>
      </c>
      <c r="H16853" s="689">
        <v>40.700000000000003</v>
      </c>
      <c r="I16853" s="689">
        <v>40.5</v>
      </c>
      <c r="J16853" s="689">
        <v>39.299999999999997</v>
      </c>
      <c r="K16853" s="689">
        <v>40.299999999999997</v>
      </c>
    </row>
    <row r="16854" spans="1:11">
      <c r="A16854" s="688" t="s">
        <v>8</v>
      </c>
      <c r="B16854" s="691">
        <v>40.9</v>
      </c>
      <c r="C16854" s="691">
        <v>41.1</v>
      </c>
      <c r="D16854" s="691">
        <v>41.1</v>
      </c>
      <c r="E16854" s="691">
        <v>41.2</v>
      </c>
      <c r="F16854" s="691">
        <v>41.6</v>
      </c>
      <c r="G16854" s="691">
        <v>41.7</v>
      </c>
      <c r="H16854" s="691">
        <v>42.1</v>
      </c>
      <c r="I16854" s="691">
        <v>41.8</v>
      </c>
      <c r="J16854" s="691">
        <v>41.7</v>
      </c>
      <c r="K16854" s="691">
        <v>41.8</v>
      </c>
    </row>
    <row r="16855" spans="1:11">
      <c r="A16855" s="688" t="s">
        <v>7</v>
      </c>
      <c r="B16855" s="689">
        <v>41.9</v>
      </c>
      <c r="C16855" s="689">
        <v>41.6</v>
      </c>
      <c r="D16855" s="689">
        <v>41.4</v>
      </c>
      <c r="E16855" s="689">
        <v>41.6</v>
      </c>
      <c r="F16855" s="689">
        <v>41.6</v>
      </c>
      <c r="G16855" s="693">
        <v>42</v>
      </c>
      <c r="H16855" s="689">
        <v>41.9</v>
      </c>
      <c r="I16855" s="689">
        <v>41.5</v>
      </c>
      <c r="J16855" s="689">
        <v>40.700000000000003</v>
      </c>
      <c r="K16855" s="689">
        <v>41.2</v>
      </c>
    </row>
    <row r="16856" spans="1:11">
      <c r="A16856" s="688" t="s">
        <v>27</v>
      </c>
      <c r="B16856" s="691">
        <v>43.8</v>
      </c>
      <c r="C16856" s="691">
        <v>43.3</v>
      </c>
      <c r="D16856" s="615">
        <v>43</v>
      </c>
      <c r="E16856" s="691">
        <v>43.5</v>
      </c>
      <c r="F16856" s="691">
        <v>43.4</v>
      </c>
      <c r="G16856" s="691">
        <v>43.5</v>
      </c>
      <c r="H16856" s="691">
        <v>43.8</v>
      </c>
      <c r="I16856" s="691">
        <v>42.7</v>
      </c>
      <c r="J16856" s="691">
        <v>43.5</v>
      </c>
      <c r="K16856" s="691">
        <v>43.4</v>
      </c>
    </row>
    <row r="16857" spans="1:11">
      <c r="A16857" s="688" t="s">
        <v>6</v>
      </c>
      <c r="B16857" s="689">
        <v>43.6</v>
      </c>
      <c r="C16857" s="689">
        <v>43.3</v>
      </c>
      <c r="D16857" s="689">
        <v>43.1</v>
      </c>
      <c r="E16857" s="689">
        <v>43.3</v>
      </c>
      <c r="F16857" s="689">
        <v>43.3</v>
      </c>
      <c r="G16857" s="689">
        <v>43.4</v>
      </c>
      <c r="H16857" s="689">
        <v>43.5</v>
      </c>
      <c r="I16857" s="693">
        <v>43</v>
      </c>
      <c r="J16857" s="689">
        <v>43.1</v>
      </c>
      <c r="K16857" s="689">
        <v>43.1</v>
      </c>
    </row>
    <row r="16858" spans="1:11">
      <c r="A16858" s="688" t="s">
        <v>4058</v>
      </c>
      <c r="B16858" s="692" t="s">
        <v>4060</v>
      </c>
      <c r="C16858" s="692" t="s">
        <v>4060</v>
      </c>
      <c r="D16858" s="692" t="s">
        <v>4060</v>
      </c>
      <c r="E16858" s="692" t="s">
        <v>4060</v>
      </c>
      <c r="F16858" s="692" t="s">
        <v>4060</v>
      </c>
      <c r="G16858" s="692" t="s">
        <v>4060</v>
      </c>
      <c r="H16858" s="692" t="s">
        <v>4060</v>
      </c>
      <c r="I16858" s="692" t="s">
        <v>4060</v>
      </c>
      <c r="J16858" s="692" t="s">
        <v>4060</v>
      </c>
      <c r="K16858" s="692" t="s">
        <v>4060</v>
      </c>
    </row>
    <row r="16859" spans="1:11">
      <c r="A16859" s="688" t="s">
        <v>11</v>
      </c>
      <c r="B16859" s="693">
        <v>39</v>
      </c>
      <c r="C16859" s="689">
        <v>38.799999999999997</v>
      </c>
      <c r="D16859" s="689">
        <v>38.4</v>
      </c>
      <c r="E16859" s="693">
        <v>39</v>
      </c>
      <c r="F16859" s="689">
        <v>38.700000000000003</v>
      </c>
      <c r="G16859" s="693">
        <v>39</v>
      </c>
      <c r="H16859" s="689">
        <v>39.200000000000003</v>
      </c>
      <c r="I16859" s="689">
        <v>38.6</v>
      </c>
      <c r="J16859" s="689">
        <v>37.700000000000003</v>
      </c>
      <c r="K16859" s="689">
        <v>38.700000000000003</v>
      </c>
    </row>
    <row r="16860" spans="1:11">
      <c r="A16860" s="688" t="s">
        <v>10</v>
      </c>
      <c r="B16860" s="615">
        <v>43</v>
      </c>
      <c r="C16860" s="691">
        <v>42.7</v>
      </c>
      <c r="D16860" s="691">
        <v>42.3</v>
      </c>
      <c r="E16860" s="691">
        <v>42.9</v>
      </c>
      <c r="F16860" s="691">
        <v>42.6</v>
      </c>
      <c r="G16860" s="691">
        <v>42.9</v>
      </c>
      <c r="H16860" s="691">
        <v>43.1</v>
      </c>
      <c r="I16860" s="691">
        <v>42.1</v>
      </c>
      <c r="J16860" s="691">
        <v>42.4</v>
      </c>
      <c r="K16860" s="691">
        <v>42.4</v>
      </c>
    </row>
    <row r="16861" spans="1:11">
      <c r="A16861" s="688" t="s">
        <v>30</v>
      </c>
      <c r="B16861" s="689">
        <v>42.4</v>
      </c>
      <c r="C16861" s="689">
        <v>41.8</v>
      </c>
      <c r="D16861" s="689">
        <v>41.5</v>
      </c>
      <c r="E16861" s="689">
        <v>42.4</v>
      </c>
      <c r="F16861" s="693">
        <v>42</v>
      </c>
      <c r="G16861" s="689">
        <v>42.4</v>
      </c>
      <c r="H16861" s="689">
        <v>42.3</v>
      </c>
      <c r="I16861" s="689">
        <v>42.2</v>
      </c>
      <c r="J16861" s="689">
        <v>41.5</v>
      </c>
      <c r="K16861" s="689">
        <v>41.7</v>
      </c>
    </row>
    <row r="16862" spans="1:11">
      <c r="A16862" s="688" t="s">
        <v>12</v>
      </c>
      <c r="B16862" s="691">
        <v>37.5</v>
      </c>
      <c r="C16862" s="691">
        <v>37.799999999999997</v>
      </c>
      <c r="D16862" s="691">
        <v>37.700000000000003</v>
      </c>
      <c r="E16862" s="691">
        <v>37.799999999999997</v>
      </c>
      <c r="F16862" s="615">
        <v>38</v>
      </c>
      <c r="G16862" s="691">
        <v>37.9</v>
      </c>
      <c r="H16862" s="691">
        <v>38.4</v>
      </c>
      <c r="I16862" s="691">
        <v>38.1</v>
      </c>
      <c r="J16862" s="691">
        <v>36.299999999999997</v>
      </c>
      <c r="K16862" s="691">
        <v>37.700000000000003</v>
      </c>
    </row>
    <row r="16863" spans="1:11">
      <c r="A16863" s="688" t="s">
        <v>14</v>
      </c>
      <c r="B16863" s="689">
        <v>38.1</v>
      </c>
      <c r="C16863" s="689">
        <v>38.200000000000003</v>
      </c>
      <c r="D16863" s="693">
        <v>38</v>
      </c>
      <c r="E16863" s="689">
        <v>38.200000000000003</v>
      </c>
      <c r="F16863" s="689">
        <v>38.5</v>
      </c>
      <c r="G16863" s="689">
        <v>38.799999999999997</v>
      </c>
      <c r="H16863" s="689">
        <v>39.1</v>
      </c>
      <c r="I16863" s="689">
        <v>38.1</v>
      </c>
      <c r="J16863" s="689">
        <v>37.1</v>
      </c>
      <c r="K16863" s="689">
        <v>38.299999999999997</v>
      </c>
    </row>
    <row r="16864" spans="1:11">
      <c r="A16864" s="688" t="s">
        <v>15</v>
      </c>
      <c r="B16864" s="691">
        <v>41.9</v>
      </c>
      <c r="C16864" s="691">
        <v>42.3</v>
      </c>
      <c r="D16864" s="691">
        <v>41.7</v>
      </c>
      <c r="E16864" s="691">
        <v>42.5</v>
      </c>
      <c r="F16864" s="691">
        <v>41.6</v>
      </c>
      <c r="G16864" s="691">
        <v>42.1</v>
      </c>
      <c r="H16864" s="691">
        <v>42.4</v>
      </c>
      <c r="I16864" s="691">
        <v>42.3</v>
      </c>
      <c r="J16864" s="691">
        <v>42.5</v>
      </c>
      <c r="K16864" s="691">
        <v>42.7</v>
      </c>
    </row>
    <row r="16865" spans="1:11">
      <c r="A16865" s="688" t="s">
        <v>29</v>
      </c>
      <c r="B16865" s="689">
        <v>37.200000000000003</v>
      </c>
      <c r="C16865" s="689">
        <v>37.200000000000003</v>
      </c>
      <c r="D16865" s="689">
        <v>36.799999999999997</v>
      </c>
      <c r="E16865" s="689">
        <v>37.4</v>
      </c>
      <c r="F16865" s="689">
        <v>37.1</v>
      </c>
      <c r="G16865" s="689">
        <v>37.299999999999997</v>
      </c>
      <c r="H16865" s="689">
        <v>37.4</v>
      </c>
      <c r="I16865" s="689">
        <v>36.799999999999997</v>
      </c>
      <c r="J16865" s="689">
        <v>35.700000000000003</v>
      </c>
      <c r="K16865" s="689">
        <v>37.200000000000003</v>
      </c>
    </row>
    <row r="16866" spans="1:11">
      <c r="A16866" s="688" t="s">
        <v>16</v>
      </c>
      <c r="B16866" s="691">
        <v>41.9</v>
      </c>
      <c r="C16866" s="691">
        <v>41.8</v>
      </c>
      <c r="D16866" s="691">
        <v>41.7</v>
      </c>
      <c r="E16866" s="615">
        <v>42</v>
      </c>
      <c r="F16866" s="691">
        <v>41.9</v>
      </c>
      <c r="G16866" s="615">
        <v>42</v>
      </c>
      <c r="H16866" s="691">
        <v>42.3</v>
      </c>
      <c r="I16866" s="691">
        <v>41.9</v>
      </c>
      <c r="J16866" s="691">
        <v>41.6</v>
      </c>
      <c r="K16866" s="691">
        <v>41.8</v>
      </c>
    </row>
    <row r="16867" spans="1:11">
      <c r="A16867" s="688" t="s">
        <v>17</v>
      </c>
      <c r="B16867" s="689">
        <v>41.1</v>
      </c>
      <c r="C16867" s="689">
        <v>41.1</v>
      </c>
      <c r="D16867" s="689">
        <v>40.9</v>
      </c>
      <c r="E16867" s="693">
        <v>41</v>
      </c>
      <c r="F16867" s="689">
        <v>41.1</v>
      </c>
      <c r="G16867" s="689">
        <v>41.1</v>
      </c>
      <c r="H16867" s="689">
        <v>41.4</v>
      </c>
      <c r="I16867" s="689">
        <v>40.9</v>
      </c>
      <c r="J16867" s="689">
        <v>40.799999999999997</v>
      </c>
      <c r="K16867" s="689">
        <v>40.9</v>
      </c>
    </row>
    <row r="16868" spans="1:11">
      <c r="A16868" s="688" t="s">
        <v>19</v>
      </c>
      <c r="B16868" s="691">
        <v>41.6</v>
      </c>
      <c r="C16868" s="691">
        <v>41.6</v>
      </c>
      <c r="D16868" s="691">
        <v>41.4</v>
      </c>
      <c r="E16868" s="691">
        <v>41.8</v>
      </c>
      <c r="F16868" s="691">
        <v>41.7</v>
      </c>
      <c r="G16868" s="691">
        <v>41.8</v>
      </c>
      <c r="H16868" s="615">
        <v>42</v>
      </c>
      <c r="I16868" s="691">
        <v>41.5</v>
      </c>
      <c r="J16868" s="691">
        <v>41.5</v>
      </c>
      <c r="K16868" s="691">
        <v>41.6</v>
      </c>
    </row>
    <row r="16869" spans="1:11">
      <c r="A16869" s="688" t="s">
        <v>20</v>
      </c>
      <c r="B16869" s="689">
        <v>39.200000000000003</v>
      </c>
      <c r="C16869" s="689">
        <v>39.4</v>
      </c>
      <c r="D16869" s="689">
        <v>39.200000000000003</v>
      </c>
      <c r="E16869" s="689">
        <v>39.700000000000003</v>
      </c>
      <c r="F16869" s="689">
        <v>39.5</v>
      </c>
      <c r="G16869" s="689">
        <v>39.4</v>
      </c>
      <c r="H16869" s="689">
        <v>39.700000000000003</v>
      </c>
      <c r="I16869" s="689">
        <v>38.5</v>
      </c>
      <c r="J16869" s="689">
        <v>37.6</v>
      </c>
      <c r="K16869" s="689">
        <v>39.1</v>
      </c>
    </row>
    <row r="16870" spans="1:11">
      <c r="A16870" s="688" t="s">
        <v>21</v>
      </c>
      <c r="B16870" s="691">
        <v>41.9</v>
      </c>
      <c r="C16870" s="691">
        <v>42.2</v>
      </c>
      <c r="D16870" s="615">
        <v>42</v>
      </c>
      <c r="E16870" s="691">
        <v>42.1</v>
      </c>
      <c r="F16870" s="691">
        <v>42.4</v>
      </c>
      <c r="G16870" s="691">
        <v>42.4</v>
      </c>
      <c r="H16870" s="691">
        <v>42.6</v>
      </c>
      <c r="I16870" s="615">
        <v>42</v>
      </c>
      <c r="J16870" s="691">
        <v>42.1</v>
      </c>
      <c r="K16870" s="691">
        <v>42.3</v>
      </c>
    </row>
    <row r="16871" spans="1:11">
      <c r="A16871" s="688" t="s">
        <v>22</v>
      </c>
      <c r="B16871" s="689">
        <v>37.299999999999997</v>
      </c>
      <c r="C16871" s="689">
        <v>37.1</v>
      </c>
      <c r="D16871" s="693">
        <v>37</v>
      </c>
      <c r="E16871" s="689">
        <v>37.299999999999997</v>
      </c>
      <c r="F16871" s="689">
        <v>37.299999999999997</v>
      </c>
      <c r="G16871" s="689">
        <v>37.4</v>
      </c>
      <c r="H16871" s="689">
        <v>37.700000000000003</v>
      </c>
      <c r="I16871" s="689">
        <v>36.5</v>
      </c>
      <c r="J16871" s="693">
        <v>35</v>
      </c>
      <c r="K16871" s="689">
        <v>37.4</v>
      </c>
    </row>
    <row r="16872" spans="1:11">
      <c r="A16872" s="688" t="s">
        <v>26</v>
      </c>
      <c r="B16872" s="691">
        <v>41.4</v>
      </c>
      <c r="C16872" s="691">
        <v>41.4</v>
      </c>
      <c r="D16872" s="691">
        <v>41.2</v>
      </c>
      <c r="E16872" s="691">
        <v>41.6</v>
      </c>
      <c r="F16872" s="691">
        <v>41.4</v>
      </c>
      <c r="G16872" s="691">
        <v>41.6</v>
      </c>
      <c r="H16872" s="691">
        <v>41.8</v>
      </c>
      <c r="I16872" s="615">
        <v>41</v>
      </c>
      <c r="J16872" s="691">
        <v>41.3</v>
      </c>
      <c r="K16872" s="691">
        <v>41.6</v>
      </c>
    </row>
    <row r="16873" spans="1:11">
      <c r="A16873" s="688" t="s">
        <v>25</v>
      </c>
      <c r="B16873" s="689">
        <v>38.299999999999997</v>
      </c>
      <c r="C16873" s="689">
        <v>38.6</v>
      </c>
      <c r="D16873" s="689">
        <v>38.299999999999997</v>
      </c>
      <c r="E16873" s="689">
        <v>38.700000000000003</v>
      </c>
      <c r="F16873" s="689">
        <v>38.6</v>
      </c>
      <c r="G16873" s="689">
        <v>38.799999999999997</v>
      </c>
      <c r="H16873" s="689">
        <v>39.200000000000003</v>
      </c>
      <c r="I16873" s="689">
        <v>38.5</v>
      </c>
      <c r="J16873" s="689">
        <v>36.4</v>
      </c>
      <c r="K16873" s="689">
        <v>38.5</v>
      </c>
    </row>
    <row r="16874" spans="1:11">
      <c r="A16874" s="688" t="s">
        <v>5</v>
      </c>
      <c r="B16874" s="691">
        <v>41.9</v>
      </c>
      <c r="C16874" s="691">
        <v>41.7</v>
      </c>
      <c r="D16874" s="691">
        <v>41.9</v>
      </c>
      <c r="E16874" s="691">
        <v>41.9</v>
      </c>
      <c r="F16874" s="691">
        <v>42.1</v>
      </c>
      <c r="G16874" s="691">
        <v>42.1</v>
      </c>
      <c r="H16874" s="691">
        <v>42.4</v>
      </c>
      <c r="I16874" s="691">
        <v>42.4</v>
      </c>
      <c r="J16874" s="691">
        <v>42.3</v>
      </c>
      <c r="K16874" s="691">
        <v>41.6</v>
      </c>
    </row>
    <row r="16875" spans="1:11">
      <c r="A16875" s="688" t="s">
        <v>23</v>
      </c>
      <c r="B16875" s="689">
        <v>41.6</v>
      </c>
      <c r="C16875" s="689">
        <v>41.8</v>
      </c>
      <c r="D16875" s="689">
        <v>41.8</v>
      </c>
      <c r="E16875" s="689">
        <v>41.9</v>
      </c>
      <c r="F16875" s="689">
        <v>41.9</v>
      </c>
      <c r="G16875" s="693">
        <v>42</v>
      </c>
      <c r="H16875" s="689">
        <v>42.5</v>
      </c>
      <c r="I16875" s="693">
        <v>42</v>
      </c>
      <c r="J16875" s="689">
        <v>42.5</v>
      </c>
      <c r="K16875" s="689">
        <v>42.4</v>
      </c>
    </row>
    <row r="16876" spans="1:11">
      <c r="A16876" s="688" t="s">
        <v>4067</v>
      </c>
      <c r="B16876" s="691">
        <v>41.2</v>
      </c>
      <c r="C16876" s="691">
        <v>41.6</v>
      </c>
      <c r="D16876" s="691">
        <v>41.2</v>
      </c>
      <c r="E16876" s="691">
        <v>41.6</v>
      </c>
      <c r="F16876" s="691">
        <v>41.4</v>
      </c>
      <c r="G16876" s="691">
        <v>41.5</v>
      </c>
      <c r="H16876" s="692" t="s">
        <v>4060</v>
      </c>
      <c r="I16876" s="692" t="s">
        <v>4060</v>
      </c>
      <c r="J16876" s="692" t="s">
        <v>4060</v>
      </c>
      <c r="K16876" s="692" t="s">
        <v>4060</v>
      </c>
    </row>
    <row r="16877" spans="1:11">
      <c r="A16877" s="688" t="s">
        <v>4066</v>
      </c>
      <c r="B16877" s="689">
        <v>41.2</v>
      </c>
      <c r="C16877" s="689">
        <v>41.6</v>
      </c>
      <c r="D16877" s="689">
        <v>41.2</v>
      </c>
      <c r="E16877" s="689">
        <v>41.6</v>
      </c>
      <c r="F16877" s="689">
        <v>41.5</v>
      </c>
      <c r="G16877" s="689">
        <v>41.6</v>
      </c>
      <c r="H16877" s="690" t="s">
        <v>4060</v>
      </c>
      <c r="I16877" s="690" t="s">
        <v>4060</v>
      </c>
      <c r="J16877" s="690" t="s">
        <v>4060</v>
      </c>
      <c r="K16877" s="690" t="s">
        <v>4060</v>
      </c>
    </row>
    <row r="16878" spans="1:11">
      <c r="A16878" s="688" t="s">
        <v>4062</v>
      </c>
      <c r="B16878" s="691">
        <v>42.3</v>
      </c>
      <c r="C16878" s="691">
        <v>42.5</v>
      </c>
      <c r="D16878" s="691">
        <v>42.3</v>
      </c>
      <c r="E16878" s="691">
        <v>42.6</v>
      </c>
      <c r="F16878" s="691">
        <v>42.7</v>
      </c>
      <c r="G16878" s="691">
        <v>42.8</v>
      </c>
      <c r="H16878" s="691">
        <v>42.9</v>
      </c>
      <c r="I16878" s="691">
        <v>42.7</v>
      </c>
      <c r="J16878" s="615">
        <v>43</v>
      </c>
      <c r="K16878" s="691">
        <v>42.7</v>
      </c>
    </row>
    <row r="16879" spans="1:11">
      <c r="A16879" s="688" t="s">
        <v>9</v>
      </c>
      <c r="B16879" s="689">
        <v>41.5</v>
      </c>
      <c r="C16879" s="689">
        <v>42.1</v>
      </c>
      <c r="D16879" s="689">
        <v>41.3</v>
      </c>
      <c r="E16879" s="689">
        <v>41.4</v>
      </c>
      <c r="F16879" s="689">
        <v>41.9</v>
      </c>
      <c r="G16879" s="689">
        <v>41.9</v>
      </c>
      <c r="H16879" s="689">
        <v>42.1</v>
      </c>
      <c r="I16879" s="689">
        <v>42.2</v>
      </c>
      <c r="J16879" s="689">
        <v>42.3</v>
      </c>
      <c r="K16879" s="689">
        <v>41.3</v>
      </c>
    </row>
    <row r="16880" spans="1:11">
      <c r="A16880" s="688" t="s">
        <v>13</v>
      </c>
      <c r="B16880" s="691">
        <v>42.5</v>
      </c>
      <c r="C16880" s="691">
        <v>41.1</v>
      </c>
      <c r="D16880" s="691">
        <v>42.1</v>
      </c>
      <c r="E16880" s="691">
        <v>42.2</v>
      </c>
      <c r="F16880" s="615">
        <v>43</v>
      </c>
      <c r="G16880" s="691">
        <v>42.9</v>
      </c>
      <c r="H16880" s="691">
        <v>42.8</v>
      </c>
      <c r="I16880" s="691">
        <v>42.1</v>
      </c>
      <c r="J16880" s="691">
        <v>43.3</v>
      </c>
      <c r="K16880" s="615">
        <v>43</v>
      </c>
    </row>
    <row r="16881" spans="1:11">
      <c r="A16881" s="688" t="s">
        <v>18</v>
      </c>
      <c r="B16881" s="689">
        <v>41.5</v>
      </c>
      <c r="C16881" s="689">
        <v>41.8</v>
      </c>
      <c r="D16881" s="689">
        <v>41.9</v>
      </c>
      <c r="E16881" s="689">
        <v>41.9</v>
      </c>
      <c r="F16881" s="693">
        <v>42</v>
      </c>
      <c r="G16881" s="689">
        <v>42.2</v>
      </c>
      <c r="H16881" s="689">
        <v>42.4</v>
      </c>
      <c r="I16881" s="689">
        <v>42.6</v>
      </c>
      <c r="J16881" s="689">
        <v>42.4</v>
      </c>
      <c r="K16881" s="693">
        <v>42</v>
      </c>
    </row>
    <row r="16882" spans="1:11">
      <c r="A16882" s="688" t="s">
        <v>24</v>
      </c>
      <c r="B16882" s="691">
        <v>42.8</v>
      </c>
      <c r="C16882" s="691">
        <v>42.9</v>
      </c>
      <c r="D16882" s="691">
        <v>42.6</v>
      </c>
      <c r="E16882" s="691">
        <v>43.1</v>
      </c>
      <c r="F16882" s="691">
        <v>43.1</v>
      </c>
      <c r="G16882" s="691">
        <v>43.2</v>
      </c>
      <c r="H16882" s="691">
        <v>43.3</v>
      </c>
      <c r="I16882" s="691">
        <v>42.8</v>
      </c>
      <c r="J16882" s="691">
        <v>43.3</v>
      </c>
      <c r="K16882" s="691">
        <v>43.1</v>
      </c>
    </row>
    <row r="16883" spans="1:11">
      <c r="A16883" s="688" t="s">
        <v>4059</v>
      </c>
      <c r="B16883" s="689">
        <v>40.9</v>
      </c>
      <c r="C16883" s="689">
        <v>41.2</v>
      </c>
      <c r="D16883" s="689">
        <v>40.799999999999997</v>
      </c>
      <c r="E16883" s="693">
        <v>41</v>
      </c>
      <c r="F16883" s="689">
        <v>41.1</v>
      </c>
      <c r="G16883" s="693">
        <v>41</v>
      </c>
      <c r="H16883" s="690" t="s">
        <v>4060</v>
      </c>
      <c r="I16883" s="690" t="s">
        <v>4060</v>
      </c>
      <c r="J16883" s="690" t="s">
        <v>4060</v>
      </c>
      <c r="K16883" s="690" t="s">
        <v>4060</v>
      </c>
    </row>
    <row r="16884" spans="1:11">
      <c r="A16884" s="688" t="s">
        <v>2324</v>
      </c>
      <c r="B16884" s="615">
        <v>37</v>
      </c>
      <c r="C16884" s="691">
        <v>37.1</v>
      </c>
      <c r="D16884" s="691">
        <v>36.4</v>
      </c>
      <c r="E16884" s="691">
        <v>36.9</v>
      </c>
      <c r="F16884" s="691">
        <v>37.200000000000003</v>
      </c>
      <c r="G16884" s="691">
        <v>37.1</v>
      </c>
      <c r="H16884" s="691">
        <v>37.4</v>
      </c>
      <c r="I16884" s="691">
        <v>36.700000000000003</v>
      </c>
      <c r="J16884" s="691">
        <v>34.9</v>
      </c>
      <c r="K16884" s="692" t="s">
        <v>4060</v>
      </c>
    </row>
    <row r="16885" spans="1:11">
      <c r="A16885" s="688" t="s">
        <v>2322</v>
      </c>
      <c r="B16885" s="690" t="s">
        <v>4060</v>
      </c>
      <c r="C16885" s="690" t="s">
        <v>4060</v>
      </c>
      <c r="D16885" s="690" t="s">
        <v>4060</v>
      </c>
      <c r="E16885" s="690" t="s">
        <v>4060</v>
      </c>
      <c r="F16885" s="690" t="s">
        <v>4060</v>
      </c>
      <c r="G16885" s="690" t="s">
        <v>4060</v>
      </c>
      <c r="H16885" s="690" t="s">
        <v>4060</v>
      </c>
      <c r="I16885" s="690" t="s">
        <v>4060</v>
      </c>
      <c r="J16885" s="690" t="s">
        <v>4060</v>
      </c>
      <c r="K16885" s="690" t="s">
        <v>4060</v>
      </c>
    </row>
    <row r="16886" spans="1:11">
      <c r="A16886" s="688" t="s">
        <v>2328</v>
      </c>
      <c r="B16886" s="691">
        <v>36.1</v>
      </c>
      <c r="C16886" s="691">
        <v>35.9</v>
      </c>
      <c r="D16886" s="691">
        <v>35.799999999999997</v>
      </c>
      <c r="E16886" s="691">
        <v>36.200000000000003</v>
      </c>
      <c r="F16886" s="691">
        <v>36.299999999999997</v>
      </c>
      <c r="G16886" s="691">
        <v>36.799999999999997</v>
      </c>
      <c r="H16886" s="691">
        <v>36.6</v>
      </c>
      <c r="I16886" s="691">
        <v>34.9</v>
      </c>
      <c r="J16886" s="691">
        <v>33.700000000000003</v>
      </c>
      <c r="K16886" s="692" t="s">
        <v>4060</v>
      </c>
    </row>
    <row r="16887" spans="1:11">
      <c r="A16887" s="688" t="s">
        <v>2496</v>
      </c>
      <c r="B16887" s="690" t="s">
        <v>4060</v>
      </c>
      <c r="C16887" s="693">
        <v>37</v>
      </c>
      <c r="D16887" s="689">
        <v>36.1</v>
      </c>
      <c r="E16887" s="689">
        <v>35.9</v>
      </c>
      <c r="F16887" s="689">
        <v>36.5</v>
      </c>
      <c r="G16887" s="689">
        <v>36.799999999999997</v>
      </c>
      <c r="H16887" s="689">
        <v>36.799999999999997</v>
      </c>
      <c r="I16887" s="690" t="s">
        <v>4060</v>
      </c>
      <c r="J16887" s="690" t="s">
        <v>4060</v>
      </c>
      <c r="K16887" s="689">
        <v>36.5</v>
      </c>
    </row>
    <row r="16888" spans="1:11">
      <c r="A16888" s="688" t="s">
        <v>2269</v>
      </c>
      <c r="B16888" s="691">
        <v>38.700000000000003</v>
      </c>
      <c r="C16888" s="691">
        <v>38.799999999999997</v>
      </c>
      <c r="D16888" s="691">
        <v>38.200000000000003</v>
      </c>
      <c r="E16888" s="691">
        <v>38.700000000000003</v>
      </c>
      <c r="F16888" s="691">
        <v>38.5</v>
      </c>
      <c r="G16888" s="615">
        <v>39</v>
      </c>
      <c r="H16888" s="691">
        <v>39.200000000000003</v>
      </c>
      <c r="I16888" s="615">
        <v>38</v>
      </c>
      <c r="J16888" s="615">
        <v>36</v>
      </c>
      <c r="K16888" s="691">
        <v>38.9</v>
      </c>
    </row>
    <row r="16889" spans="1:11">
      <c r="A16889" s="688" t="s">
        <v>2349</v>
      </c>
      <c r="B16889" s="689">
        <v>36.1</v>
      </c>
      <c r="C16889" s="689">
        <v>36.1</v>
      </c>
      <c r="D16889" s="689">
        <v>36.1</v>
      </c>
      <c r="E16889" s="689">
        <v>36.4</v>
      </c>
      <c r="F16889" s="689">
        <v>36.200000000000003</v>
      </c>
      <c r="G16889" s="689">
        <v>36.5</v>
      </c>
      <c r="H16889" s="689">
        <v>36.700000000000003</v>
      </c>
      <c r="I16889" s="689">
        <v>35.5</v>
      </c>
      <c r="J16889" s="689">
        <v>33.9</v>
      </c>
      <c r="K16889" s="689">
        <v>35.9</v>
      </c>
    </row>
    <row r="16890" spans="1:11">
      <c r="A16890" s="688" t="s">
        <v>2355</v>
      </c>
      <c r="B16890" s="691">
        <v>39.9</v>
      </c>
      <c r="C16890" s="691">
        <v>39.700000000000003</v>
      </c>
      <c r="D16890" s="691">
        <v>39.700000000000003</v>
      </c>
      <c r="E16890" s="691">
        <v>39.6</v>
      </c>
      <c r="F16890" s="691">
        <v>39.799999999999997</v>
      </c>
      <c r="G16890" s="691">
        <v>40.1</v>
      </c>
      <c r="H16890" s="691">
        <v>40.200000000000003</v>
      </c>
      <c r="I16890" s="692" t="s">
        <v>4060</v>
      </c>
      <c r="J16890" s="692" t="s">
        <v>4060</v>
      </c>
      <c r="K16890" s="692" t="s">
        <v>4060</v>
      </c>
    </row>
    <row r="16891" spans="1:11">
      <c r="A16891" s="688" t="s">
        <v>2357</v>
      </c>
      <c r="B16891" s="690" t="s">
        <v>4060</v>
      </c>
      <c r="C16891" s="689">
        <v>35.9</v>
      </c>
      <c r="D16891" s="689">
        <v>36.299999999999997</v>
      </c>
      <c r="E16891" s="689">
        <v>36.5</v>
      </c>
      <c r="F16891" s="689">
        <v>36.799999999999997</v>
      </c>
      <c r="G16891" s="689">
        <v>36.799999999999997</v>
      </c>
      <c r="H16891" s="693">
        <v>37</v>
      </c>
      <c r="I16891" s="690" t="s">
        <v>4060</v>
      </c>
      <c r="J16891" s="690" t="s">
        <v>4060</v>
      </c>
      <c r="K16891" s="690" t="s">
        <v>4060</v>
      </c>
    </row>
    <row r="16892" spans="1:11">
      <c r="A16892" s="688" t="s">
        <v>4070</v>
      </c>
      <c r="B16892" s="692" t="s">
        <v>4060</v>
      </c>
      <c r="C16892" s="692" t="s">
        <v>4060</v>
      </c>
      <c r="D16892" s="692" t="s">
        <v>4060</v>
      </c>
      <c r="E16892" s="691">
        <v>39.700000000000003</v>
      </c>
      <c r="F16892" s="692" t="s">
        <v>4060</v>
      </c>
      <c r="G16892" s="692" t="s">
        <v>4060</v>
      </c>
      <c r="H16892" s="692" t="s">
        <v>4060</v>
      </c>
      <c r="I16892" s="692" t="s">
        <v>4060</v>
      </c>
      <c r="J16892" s="692" t="s">
        <v>4060</v>
      </c>
      <c r="K16892" s="692" t="s">
        <v>4060</v>
      </c>
    </row>
    <row r="16893" spans="1:11">
      <c r="A16893" s="688" t="s">
        <v>2491</v>
      </c>
      <c r="B16893" s="689">
        <v>36.5</v>
      </c>
      <c r="C16893" s="693">
        <v>37</v>
      </c>
      <c r="D16893" s="689">
        <v>37.299999999999997</v>
      </c>
      <c r="E16893" s="689">
        <v>37.5</v>
      </c>
      <c r="F16893" s="689">
        <v>37.6</v>
      </c>
      <c r="G16893" s="689">
        <v>37.6</v>
      </c>
      <c r="H16893" s="690" t="s">
        <v>4060</v>
      </c>
      <c r="I16893" s="690" t="s">
        <v>4060</v>
      </c>
      <c r="J16893" s="690" t="s">
        <v>4060</v>
      </c>
      <c r="K16893" s="690" t="s">
        <v>4060</v>
      </c>
    </row>
    <row r="16894" spans="1:11">
      <c r="A16894" s="688" t="s">
        <v>2343</v>
      </c>
      <c r="B16894" s="692" t="s">
        <v>4060</v>
      </c>
      <c r="C16894" s="692" t="s">
        <v>4060</v>
      </c>
      <c r="D16894" s="692" t="s">
        <v>4060</v>
      </c>
      <c r="E16894" s="692" t="s">
        <v>4060</v>
      </c>
      <c r="F16894" s="692" t="s">
        <v>4060</v>
      </c>
      <c r="G16894" s="692" t="s">
        <v>4060</v>
      </c>
      <c r="H16894" s="692" t="s">
        <v>4060</v>
      </c>
      <c r="I16894" s="692" t="s">
        <v>4060</v>
      </c>
      <c r="J16894" s="692" t="s">
        <v>4060</v>
      </c>
      <c r="K16894" s="692" t="s">
        <v>4060</v>
      </c>
    </row>
    <row r="16895" spans="1:11">
      <c r="A16895" s="688" t="s">
        <v>4071</v>
      </c>
      <c r="B16895" s="690" t="s">
        <v>4060</v>
      </c>
      <c r="C16895" s="690" t="s">
        <v>4060</v>
      </c>
      <c r="D16895" s="690" t="s">
        <v>4060</v>
      </c>
      <c r="E16895" s="690" t="s">
        <v>4060</v>
      </c>
      <c r="F16895" s="690" t="s">
        <v>4060</v>
      </c>
      <c r="G16895" s="690" t="s">
        <v>4060</v>
      </c>
      <c r="H16895" s="690" t="s">
        <v>4060</v>
      </c>
      <c r="I16895" s="690" t="s">
        <v>4060</v>
      </c>
      <c r="J16895" s="690" t="s">
        <v>4060</v>
      </c>
      <c r="K16895" s="690" t="s">
        <v>4060</v>
      </c>
    </row>
    <row r="16896" spans="1:11">
      <c r="A16896" s="688" t="s">
        <v>2489</v>
      </c>
      <c r="B16896" s="692" t="s">
        <v>4060</v>
      </c>
      <c r="C16896" s="692" t="s">
        <v>4060</v>
      </c>
      <c r="D16896" s="691">
        <v>36.700000000000003</v>
      </c>
      <c r="E16896" s="691">
        <v>36.799999999999997</v>
      </c>
      <c r="F16896" s="691">
        <v>37.200000000000003</v>
      </c>
      <c r="G16896" s="691">
        <v>37.9</v>
      </c>
      <c r="H16896" s="691">
        <v>37.9</v>
      </c>
      <c r="I16896" s="692" t="s">
        <v>4060</v>
      </c>
      <c r="J16896" s="692" t="s">
        <v>4060</v>
      </c>
      <c r="K16896" s="692" t="s">
        <v>4060</v>
      </c>
    </row>
    <row r="16897" spans="1:11">
      <c r="A16897" s="688" t="s">
        <v>2490</v>
      </c>
      <c r="B16897" s="693">
        <v>36</v>
      </c>
      <c r="C16897" s="689">
        <v>36.1</v>
      </c>
      <c r="D16897" s="689">
        <v>36.5</v>
      </c>
      <c r="E16897" s="690" t="s">
        <v>4060</v>
      </c>
      <c r="F16897" s="689">
        <v>36.700000000000003</v>
      </c>
      <c r="G16897" s="689">
        <v>37.1</v>
      </c>
      <c r="H16897" s="689">
        <v>37.700000000000003</v>
      </c>
      <c r="I16897" s="690" t="s">
        <v>4060</v>
      </c>
      <c r="J16897" s="690" t="s">
        <v>4060</v>
      </c>
      <c r="K16897" s="690" t="s">
        <v>4060</v>
      </c>
    </row>
    <row r="16899" spans="1:11">
      <c r="A16899" s="683" t="s">
        <v>4233</v>
      </c>
    </row>
    <row r="16900" spans="1:11">
      <c r="A16900" s="683" t="s">
        <v>4060</v>
      </c>
      <c r="B16900" s="682" t="s">
        <v>4234</v>
      </c>
    </row>
    <row r="16902" spans="1:11">
      <c r="A16902" s="682" t="s">
        <v>4332</v>
      </c>
    </row>
    <row r="16903" spans="1:11">
      <c r="A16903" s="682" t="s">
        <v>4210</v>
      </c>
      <c r="B16903" s="683" t="s">
        <v>4211</v>
      </c>
    </row>
    <row r="16904" spans="1:11">
      <c r="A16904" s="682" t="s">
        <v>4212</v>
      </c>
      <c r="B16904" s="682" t="s">
        <v>4213</v>
      </c>
    </row>
    <row r="16906" spans="1:11">
      <c r="A16906" s="683" t="s">
        <v>4214</v>
      </c>
      <c r="C16906" s="682" t="s">
        <v>4215</v>
      </c>
    </row>
    <row r="16907" spans="1:11">
      <c r="A16907" s="683" t="s">
        <v>4216</v>
      </c>
      <c r="C16907" s="682" t="s">
        <v>2967</v>
      </c>
    </row>
    <row r="16908" spans="1:11">
      <c r="A16908" s="683" t="s">
        <v>3893</v>
      </c>
      <c r="C16908" s="682" t="s">
        <v>2169</v>
      </c>
    </row>
    <row r="16909" spans="1:11">
      <c r="A16909" s="683" t="s">
        <v>4218</v>
      </c>
      <c r="C16909" s="682" t="s">
        <v>4279</v>
      </c>
    </row>
    <row r="16911" spans="1:11">
      <c r="A16911" s="684" t="s">
        <v>4220</v>
      </c>
      <c r="B16911" s="685" t="s">
        <v>4221</v>
      </c>
      <c r="C16911" s="685" t="s">
        <v>4222</v>
      </c>
      <c r="D16911" s="685" t="s">
        <v>4223</v>
      </c>
      <c r="E16911" s="685" t="s">
        <v>4224</v>
      </c>
      <c r="F16911" s="685" t="s">
        <v>4225</v>
      </c>
      <c r="G16911" s="685" t="s">
        <v>4226</v>
      </c>
      <c r="H16911" s="685" t="s">
        <v>4227</v>
      </c>
      <c r="I16911" s="685" t="s">
        <v>4228</v>
      </c>
      <c r="J16911" s="685" t="s">
        <v>4229</v>
      </c>
      <c r="K16911" s="685" t="s">
        <v>4230</v>
      </c>
    </row>
    <row r="16912" spans="1:11">
      <c r="A16912" s="686" t="s">
        <v>4231</v>
      </c>
      <c r="B16912" s="687" t="s">
        <v>4232</v>
      </c>
      <c r="C16912" s="687" t="s">
        <v>4232</v>
      </c>
      <c r="D16912" s="687" t="s">
        <v>4232</v>
      </c>
      <c r="E16912" s="687" t="s">
        <v>4232</v>
      </c>
      <c r="F16912" s="687" t="s">
        <v>4232</v>
      </c>
      <c r="G16912" s="687" t="s">
        <v>4232</v>
      </c>
      <c r="H16912" s="687" t="s">
        <v>4232</v>
      </c>
      <c r="I16912" s="687" t="s">
        <v>4232</v>
      </c>
      <c r="J16912" s="687" t="s">
        <v>4232</v>
      </c>
      <c r="K16912" s="687" t="s">
        <v>4232</v>
      </c>
    </row>
    <row r="16913" spans="1:11">
      <c r="A16913" s="688" t="s">
        <v>4064</v>
      </c>
      <c r="B16913" s="689">
        <v>40.299999999999997</v>
      </c>
      <c r="C16913" s="689">
        <v>40.299999999999997</v>
      </c>
      <c r="D16913" s="689">
        <v>40.200000000000003</v>
      </c>
      <c r="E16913" s="689">
        <v>40.4</v>
      </c>
      <c r="F16913" s="689">
        <v>40.299999999999997</v>
      </c>
      <c r="G16913" s="689">
        <v>40.4</v>
      </c>
      <c r="H16913" s="689">
        <v>40.700000000000003</v>
      </c>
      <c r="I16913" s="693">
        <v>40</v>
      </c>
      <c r="J16913" s="689">
        <v>39.700000000000003</v>
      </c>
      <c r="K16913" s="689">
        <v>40.200000000000003</v>
      </c>
    </row>
    <row r="16914" spans="1:11">
      <c r="A16914" s="688" t="s">
        <v>4065</v>
      </c>
      <c r="B16914" s="691">
        <v>40.299999999999997</v>
      </c>
      <c r="C16914" s="691">
        <v>40.6</v>
      </c>
      <c r="D16914" s="691">
        <v>40.200000000000003</v>
      </c>
      <c r="E16914" s="691">
        <v>40.6</v>
      </c>
      <c r="F16914" s="691">
        <v>40.5</v>
      </c>
      <c r="G16914" s="691">
        <v>40.6</v>
      </c>
      <c r="H16914" s="692" t="s">
        <v>4060</v>
      </c>
      <c r="I16914" s="692" t="s">
        <v>4060</v>
      </c>
      <c r="J16914" s="692" t="s">
        <v>4060</v>
      </c>
      <c r="K16914" s="692" t="s">
        <v>4060</v>
      </c>
    </row>
    <row r="16915" spans="1:11">
      <c r="A16915" s="688" t="s">
        <v>4063</v>
      </c>
      <c r="B16915" s="689">
        <v>40.299999999999997</v>
      </c>
      <c r="C16915" s="689">
        <v>40.6</v>
      </c>
      <c r="D16915" s="689">
        <v>40.200000000000003</v>
      </c>
      <c r="E16915" s="689">
        <v>40.6</v>
      </c>
      <c r="F16915" s="689">
        <v>40.5</v>
      </c>
      <c r="G16915" s="689">
        <v>40.6</v>
      </c>
      <c r="H16915" s="690" t="s">
        <v>4060</v>
      </c>
      <c r="I16915" s="690" t="s">
        <v>4060</v>
      </c>
      <c r="J16915" s="690" t="s">
        <v>4060</v>
      </c>
      <c r="K16915" s="690" t="s">
        <v>4060</v>
      </c>
    </row>
    <row r="16916" spans="1:11">
      <c r="A16916" s="688" t="s">
        <v>4069</v>
      </c>
      <c r="B16916" s="692" t="s">
        <v>4060</v>
      </c>
      <c r="C16916" s="691">
        <v>41.1</v>
      </c>
      <c r="D16916" s="691">
        <v>40.799999999999997</v>
      </c>
      <c r="E16916" s="691">
        <v>41.1</v>
      </c>
      <c r="F16916" s="691">
        <v>41.1</v>
      </c>
      <c r="G16916" s="691">
        <v>41.2</v>
      </c>
      <c r="H16916" s="691">
        <v>41.4</v>
      </c>
      <c r="I16916" s="691">
        <v>40.799999999999997</v>
      </c>
      <c r="J16916" s="691">
        <v>40.9</v>
      </c>
      <c r="K16916" s="691">
        <v>40.9</v>
      </c>
    </row>
    <row r="16917" spans="1:11">
      <c r="A16917" s="688" t="s">
        <v>4068</v>
      </c>
      <c r="B16917" s="689">
        <v>41.2</v>
      </c>
      <c r="C16917" s="690" t="s">
        <v>4060</v>
      </c>
      <c r="D16917" s="690" t="s">
        <v>4060</v>
      </c>
      <c r="E16917" s="690" t="s">
        <v>4060</v>
      </c>
      <c r="F16917" s="690" t="s">
        <v>4060</v>
      </c>
      <c r="G16917" s="690" t="s">
        <v>4060</v>
      </c>
      <c r="H16917" s="690" t="s">
        <v>4060</v>
      </c>
      <c r="I16917" s="690" t="s">
        <v>4060</v>
      </c>
      <c r="J16917" s="690" t="s">
        <v>4060</v>
      </c>
      <c r="K16917" s="690" t="s">
        <v>4060</v>
      </c>
    </row>
    <row r="16918" spans="1:11">
      <c r="A16918" s="688" t="s">
        <v>0</v>
      </c>
      <c r="B16918" s="691">
        <v>40.200000000000003</v>
      </c>
      <c r="C16918" s="691">
        <v>40.5</v>
      </c>
      <c r="D16918" s="691">
        <v>40.1</v>
      </c>
      <c r="E16918" s="691">
        <v>40.6</v>
      </c>
      <c r="F16918" s="691">
        <v>40.6</v>
      </c>
      <c r="G16918" s="691">
        <v>40.6</v>
      </c>
      <c r="H16918" s="691">
        <v>40.9</v>
      </c>
      <c r="I16918" s="691">
        <v>39.9</v>
      </c>
      <c r="J16918" s="691">
        <v>40.9</v>
      </c>
      <c r="K16918" s="691">
        <v>40.700000000000003</v>
      </c>
    </row>
    <row r="16919" spans="1:11">
      <c r="A16919" s="688" t="s">
        <v>1</v>
      </c>
      <c r="B16919" s="689">
        <v>36.200000000000003</v>
      </c>
      <c r="C16919" s="689">
        <v>35.700000000000003</v>
      </c>
      <c r="D16919" s="689">
        <v>35.700000000000003</v>
      </c>
      <c r="E16919" s="689">
        <v>35.9</v>
      </c>
      <c r="F16919" s="689">
        <v>35.799999999999997</v>
      </c>
      <c r="G16919" s="693">
        <v>36</v>
      </c>
      <c r="H16919" s="689">
        <v>36.200000000000003</v>
      </c>
      <c r="I16919" s="689">
        <v>34.799999999999997</v>
      </c>
      <c r="J16919" s="689">
        <v>32.799999999999997</v>
      </c>
      <c r="K16919" s="689">
        <v>35.4</v>
      </c>
    </row>
    <row r="16920" spans="1:11">
      <c r="A16920" s="688" t="s">
        <v>2240</v>
      </c>
      <c r="B16920" s="691">
        <v>38.200000000000003</v>
      </c>
      <c r="C16920" s="691">
        <v>38.5</v>
      </c>
      <c r="D16920" s="691">
        <v>38.299999999999997</v>
      </c>
      <c r="E16920" s="691">
        <v>38.799999999999997</v>
      </c>
      <c r="F16920" s="691">
        <v>38.700000000000003</v>
      </c>
      <c r="G16920" s="691">
        <v>38.700000000000003</v>
      </c>
      <c r="H16920" s="615">
        <v>39</v>
      </c>
      <c r="I16920" s="691">
        <v>38.1</v>
      </c>
      <c r="J16920" s="691">
        <v>37.4</v>
      </c>
      <c r="K16920" s="691">
        <v>38.799999999999997</v>
      </c>
    </row>
    <row r="16921" spans="1:11">
      <c r="A16921" s="688" t="s">
        <v>2</v>
      </c>
      <c r="B16921" s="689">
        <v>39.200000000000003</v>
      </c>
      <c r="C16921" s="689">
        <v>39.5</v>
      </c>
      <c r="D16921" s="689">
        <v>39.5</v>
      </c>
      <c r="E16921" s="689">
        <v>39.6</v>
      </c>
      <c r="F16921" s="689">
        <v>39.9</v>
      </c>
      <c r="G16921" s="689">
        <v>39.799999999999997</v>
      </c>
      <c r="H16921" s="689">
        <v>40.1</v>
      </c>
      <c r="I16921" s="689">
        <v>40.299999999999997</v>
      </c>
      <c r="J16921" s="689">
        <v>40.1</v>
      </c>
      <c r="K16921" s="689">
        <v>39.9</v>
      </c>
    </row>
    <row r="16922" spans="1:11">
      <c r="A16922" s="688" t="s">
        <v>3</v>
      </c>
      <c r="B16922" s="691">
        <v>39.9</v>
      </c>
      <c r="C16922" s="691">
        <v>40.200000000000003</v>
      </c>
      <c r="D16922" s="691">
        <v>39.9</v>
      </c>
      <c r="E16922" s="691">
        <v>40.200000000000003</v>
      </c>
      <c r="F16922" s="691">
        <v>40.200000000000003</v>
      </c>
      <c r="G16922" s="691">
        <v>40.1</v>
      </c>
      <c r="H16922" s="691">
        <v>40.4</v>
      </c>
      <c r="I16922" s="691">
        <v>40.200000000000003</v>
      </c>
      <c r="J16922" s="615">
        <v>40</v>
      </c>
      <c r="K16922" s="691">
        <v>39.799999999999997</v>
      </c>
    </row>
    <row r="16923" spans="1:11">
      <c r="A16923" s="688" t="s">
        <v>4061</v>
      </c>
      <c r="B16923" s="689">
        <v>39.9</v>
      </c>
      <c r="C16923" s="689">
        <v>40.200000000000003</v>
      </c>
      <c r="D16923" s="689">
        <v>39.9</v>
      </c>
      <c r="E16923" s="689">
        <v>40.200000000000003</v>
      </c>
      <c r="F16923" s="689">
        <v>40.200000000000003</v>
      </c>
      <c r="G16923" s="689">
        <v>40.1</v>
      </c>
      <c r="H16923" s="689">
        <v>40.4</v>
      </c>
      <c r="I16923" s="689">
        <v>40.200000000000003</v>
      </c>
      <c r="J16923" s="693">
        <v>40</v>
      </c>
      <c r="K16923" s="689">
        <v>39.799999999999997</v>
      </c>
    </row>
    <row r="16924" spans="1:11">
      <c r="A16924" s="688" t="s">
        <v>4</v>
      </c>
      <c r="B16924" s="691">
        <v>38.9</v>
      </c>
      <c r="C16924" s="691">
        <v>38.799999999999997</v>
      </c>
      <c r="D16924" s="691">
        <v>39.1</v>
      </c>
      <c r="E16924" s="691">
        <v>39.299999999999997</v>
      </c>
      <c r="F16924" s="691">
        <v>39.299999999999997</v>
      </c>
      <c r="G16924" s="691">
        <v>39.4</v>
      </c>
      <c r="H16924" s="691">
        <v>39.799999999999997</v>
      </c>
      <c r="I16924" s="691">
        <v>39.6</v>
      </c>
      <c r="J16924" s="691">
        <v>38.4</v>
      </c>
      <c r="K16924" s="691">
        <v>39.4</v>
      </c>
    </row>
    <row r="16925" spans="1:11">
      <c r="A16925" s="688" t="s">
        <v>8</v>
      </c>
      <c r="B16925" s="693">
        <v>40</v>
      </c>
      <c r="C16925" s="689">
        <v>40.1</v>
      </c>
      <c r="D16925" s="689">
        <v>40.1</v>
      </c>
      <c r="E16925" s="689">
        <v>40.200000000000003</v>
      </c>
      <c r="F16925" s="689">
        <v>40.6</v>
      </c>
      <c r="G16925" s="689">
        <v>40.700000000000003</v>
      </c>
      <c r="H16925" s="689">
        <v>41.1</v>
      </c>
      <c r="I16925" s="689">
        <v>40.9</v>
      </c>
      <c r="J16925" s="689">
        <v>40.799999999999997</v>
      </c>
      <c r="K16925" s="689">
        <v>40.799999999999997</v>
      </c>
    </row>
    <row r="16926" spans="1:11">
      <c r="A16926" s="688" t="s">
        <v>7</v>
      </c>
      <c r="B16926" s="691">
        <v>40.9</v>
      </c>
      <c r="C16926" s="691">
        <v>40.700000000000003</v>
      </c>
      <c r="D16926" s="691">
        <v>40.4</v>
      </c>
      <c r="E16926" s="691">
        <v>40.700000000000003</v>
      </c>
      <c r="F16926" s="691">
        <v>40.6</v>
      </c>
      <c r="G16926" s="691">
        <v>41.1</v>
      </c>
      <c r="H16926" s="691">
        <v>40.9</v>
      </c>
      <c r="I16926" s="691">
        <v>40.6</v>
      </c>
      <c r="J16926" s="691">
        <v>39.700000000000003</v>
      </c>
      <c r="K16926" s="691">
        <v>40.200000000000003</v>
      </c>
    </row>
    <row r="16927" spans="1:11">
      <c r="A16927" s="688" t="s">
        <v>27</v>
      </c>
      <c r="B16927" s="689">
        <v>42.8</v>
      </c>
      <c r="C16927" s="689">
        <v>42.4</v>
      </c>
      <c r="D16927" s="689">
        <v>42.1</v>
      </c>
      <c r="E16927" s="689">
        <v>42.5</v>
      </c>
      <c r="F16927" s="689">
        <v>42.4</v>
      </c>
      <c r="G16927" s="689">
        <v>42.5</v>
      </c>
      <c r="H16927" s="689">
        <v>42.9</v>
      </c>
      <c r="I16927" s="689">
        <v>41.7</v>
      </c>
      <c r="J16927" s="689">
        <v>42.5</v>
      </c>
      <c r="K16927" s="689">
        <v>42.4</v>
      </c>
    </row>
    <row r="16928" spans="1:11">
      <c r="A16928" s="688" t="s">
        <v>6</v>
      </c>
      <c r="B16928" s="691">
        <v>42.6</v>
      </c>
      <c r="C16928" s="691">
        <v>42.4</v>
      </c>
      <c r="D16928" s="691">
        <v>42.1</v>
      </c>
      <c r="E16928" s="691">
        <v>42.3</v>
      </c>
      <c r="F16928" s="691">
        <v>42.3</v>
      </c>
      <c r="G16928" s="691">
        <v>42.5</v>
      </c>
      <c r="H16928" s="691">
        <v>42.5</v>
      </c>
      <c r="I16928" s="691">
        <v>42.1</v>
      </c>
      <c r="J16928" s="691">
        <v>42.2</v>
      </c>
      <c r="K16928" s="691">
        <v>42.1</v>
      </c>
    </row>
    <row r="16929" spans="1:11">
      <c r="A16929" s="688" t="s">
        <v>4058</v>
      </c>
      <c r="B16929" s="690" t="s">
        <v>4060</v>
      </c>
      <c r="C16929" s="690" t="s">
        <v>4060</v>
      </c>
      <c r="D16929" s="690" t="s">
        <v>4060</v>
      </c>
      <c r="E16929" s="690" t="s">
        <v>4060</v>
      </c>
      <c r="F16929" s="690" t="s">
        <v>4060</v>
      </c>
      <c r="G16929" s="690" t="s">
        <v>4060</v>
      </c>
      <c r="H16929" s="690" t="s">
        <v>4060</v>
      </c>
      <c r="I16929" s="690" t="s">
        <v>4060</v>
      </c>
      <c r="J16929" s="690" t="s">
        <v>4060</v>
      </c>
      <c r="K16929" s="690" t="s">
        <v>4060</v>
      </c>
    </row>
    <row r="16930" spans="1:11">
      <c r="A16930" s="688" t="s">
        <v>11</v>
      </c>
      <c r="B16930" s="615">
        <v>38</v>
      </c>
      <c r="C16930" s="691">
        <v>37.799999999999997</v>
      </c>
      <c r="D16930" s="691">
        <v>37.4</v>
      </c>
      <c r="E16930" s="615">
        <v>38</v>
      </c>
      <c r="F16930" s="691">
        <v>37.700000000000003</v>
      </c>
      <c r="G16930" s="691">
        <v>38.1</v>
      </c>
      <c r="H16930" s="691">
        <v>38.299999999999997</v>
      </c>
      <c r="I16930" s="691">
        <v>37.6</v>
      </c>
      <c r="J16930" s="691">
        <v>36.700000000000003</v>
      </c>
      <c r="K16930" s="691">
        <v>37.700000000000003</v>
      </c>
    </row>
    <row r="16931" spans="1:11">
      <c r="A16931" s="688" t="s">
        <v>10</v>
      </c>
      <c r="B16931" s="693">
        <v>42</v>
      </c>
      <c r="C16931" s="689">
        <v>41.8</v>
      </c>
      <c r="D16931" s="689">
        <v>41.3</v>
      </c>
      <c r="E16931" s="689">
        <v>41.9</v>
      </c>
      <c r="F16931" s="689">
        <v>41.6</v>
      </c>
      <c r="G16931" s="693">
        <v>42</v>
      </c>
      <c r="H16931" s="689">
        <v>42.1</v>
      </c>
      <c r="I16931" s="689">
        <v>41.2</v>
      </c>
      <c r="J16931" s="689">
        <v>41.5</v>
      </c>
      <c r="K16931" s="689">
        <v>41.5</v>
      </c>
    </row>
    <row r="16932" spans="1:11">
      <c r="A16932" s="688" t="s">
        <v>30</v>
      </c>
      <c r="B16932" s="691">
        <v>41.4</v>
      </c>
      <c r="C16932" s="691">
        <v>40.799999999999997</v>
      </c>
      <c r="D16932" s="691">
        <v>40.6</v>
      </c>
      <c r="E16932" s="691">
        <v>41.4</v>
      </c>
      <c r="F16932" s="615">
        <v>41</v>
      </c>
      <c r="G16932" s="691">
        <v>41.4</v>
      </c>
      <c r="H16932" s="691">
        <v>41.3</v>
      </c>
      <c r="I16932" s="691">
        <v>41.2</v>
      </c>
      <c r="J16932" s="691">
        <v>40.5</v>
      </c>
      <c r="K16932" s="691">
        <v>40.799999999999997</v>
      </c>
    </row>
    <row r="16933" spans="1:11">
      <c r="A16933" s="688" t="s">
        <v>12</v>
      </c>
      <c r="B16933" s="689">
        <v>36.6</v>
      </c>
      <c r="C16933" s="689">
        <v>36.9</v>
      </c>
      <c r="D16933" s="689">
        <v>36.799999999999997</v>
      </c>
      <c r="E16933" s="689">
        <v>36.9</v>
      </c>
      <c r="F16933" s="693">
        <v>37</v>
      </c>
      <c r="G16933" s="693">
        <v>37</v>
      </c>
      <c r="H16933" s="689">
        <v>37.5</v>
      </c>
      <c r="I16933" s="689">
        <v>37.200000000000003</v>
      </c>
      <c r="J16933" s="689">
        <v>35.4</v>
      </c>
      <c r="K16933" s="689">
        <v>36.799999999999997</v>
      </c>
    </row>
    <row r="16934" spans="1:11">
      <c r="A16934" s="688" t="s">
        <v>14</v>
      </c>
      <c r="B16934" s="691">
        <v>37.1</v>
      </c>
      <c r="C16934" s="691">
        <v>37.299999999999997</v>
      </c>
      <c r="D16934" s="691">
        <v>37.1</v>
      </c>
      <c r="E16934" s="691">
        <v>37.299999999999997</v>
      </c>
      <c r="F16934" s="691">
        <v>37.6</v>
      </c>
      <c r="G16934" s="691">
        <v>37.799999999999997</v>
      </c>
      <c r="H16934" s="691">
        <v>38.1</v>
      </c>
      <c r="I16934" s="691">
        <v>37.200000000000003</v>
      </c>
      <c r="J16934" s="691">
        <v>36.1</v>
      </c>
      <c r="K16934" s="691">
        <v>37.299999999999997</v>
      </c>
    </row>
    <row r="16935" spans="1:11">
      <c r="A16935" s="688" t="s">
        <v>15</v>
      </c>
      <c r="B16935" s="689">
        <v>40.9</v>
      </c>
      <c r="C16935" s="689">
        <v>41.4</v>
      </c>
      <c r="D16935" s="689">
        <v>40.700000000000003</v>
      </c>
      <c r="E16935" s="689">
        <v>41.5</v>
      </c>
      <c r="F16935" s="689">
        <v>40.700000000000003</v>
      </c>
      <c r="G16935" s="689">
        <v>41.1</v>
      </c>
      <c r="H16935" s="689">
        <v>41.4</v>
      </c>
      <c r="I16935" s="689">
        <v>41.3</v>
      </c>
      <c r="J16935" s="689">
        <v>41.5</v>
      </c>
      <c r="K16935" s="689">
        <v>41.7</v>
      </c>
    </row>
    <row r="16936" spans="1:11">
      <c r="A16936" s="688" t="s">
        <v>29</v>
      </c>
      <c r="B16936" s="691">
        <v>36.200000000000003</v>
      </c>
      <c r="C16936" s="691">
        <v>36.200000000000003</v>
      </c>
      <c r="D16936" s="691">
        <v>35.799999999999997</v>
      </c>
      <c r="E16936" s="691">
        <v>36.5</v>
      </c>
      <c r="F16936" s="691">
        <v>36.1</v>
      </c>
      <c r="G16936" s="691">
        <v>36.4</v>
      </c>
      <c r="H16936" s="691">
        <v>36.5</v>
      </c>
      <c r="I16936" s="691">
        <v>35.799999999999997</v>
      </c>
      <c r="J16936" s="691">
        <v>34.700000000000003</v>
      </c>
      <c r="K16936" s="691">
        <v>36.200000000000003</v>
      </c>
    </row>
    <row r="16937" spans="1:11">
      <c r="A16937" s="688" t="s">
        <v>16</v>
      </c>
      <c r="B16937" s="693">
        <v>41</v>
      </c>
      <c r="C16937" s="689">
        <v>40.799999999999997</v>
      </c>
      <c r="D16937" s="689">
        <v>40.700000000000003</v>
      </c>
      <c r="E16937" s="693">
        <v>41</v>
      </c>
      <c r="F16937" s="693">
        <v>41</v>
      </c>
      <c r="G16937" s="693">
        <v>41</v>
      </c>
      <c r="H16937" s="689">
        <v>41.4</v>
      </c>
      <c r="I16937" s="693">
        <v>41</v>
      </c>
      <c r="J16937" s="689">
        <v>40.6</v>
      </c>
      <c r="K16937" s="689">
        <v>40.9</v>
      </c>
    </row>
    <row r="16938" spans="1:11">
      <c r="A16938" s="688" t="s">
        <v>17</v>
      </c>
      <c r="B16938" s="691">
        <v>40.1</v>
      </c>
      <c r="C16938" s="691">
        <v>40.200000000000003</v>
      </c>
      <c r="D16938" s="691">
        <v>39.9</v>
      </c>
      <c r="E16938" s="615">
        <v>40</v>
      </c>
      <c r="F16938" s="691">
        <v>40.200000000000003</v>
      </c>
      <c r="G16938" s="691">
        <v>40.1</v>
      </c>
      <c r="H16938" s="691">
        <v>40.4</v>
      </c>
      <c r="I16938" s="615">
        <v>40</v>
      </c>
      <c r="J16938" s="691">
        <v>39.9</v>
      </c>
      <c r="K16938" s="615">
        <v>40</v>
      </c>
    </row>
    <row r="16939" spans="1:11">
      <c r="A16939" s="688" t="s">
        <v>19</v>
      </c>
      <c r="B16939" s="689">
        <v>40.6</v>
      </c>
      <c r="C16939" s="689">
        <v>40.6</v>
      </c>
      <c r="D16939" s="689">
        <v>40.4</v>
      </c>
      <c r="E16939" s="689">
        <v>40.799999999999997</v>
      </c>
      <c r="F16939" s="689">
        <v>40.700000000000003</v>
      </c>
      <c r="G16939" s="689">
        <v>40.9</v>
      </c>
      <c r="H16939" s="693">
        <v>41</v>
      </c>
      <c r="I16939" s="689">
        <v>40.6</v>
      </c>
      <c r="J16939" s="689">
        <v>40.5</v>
      </c>
      <c r="K16939" s="689">
        <v>40.6</v>
      </c>
    </row>
    <row r="16940" spans="1:11">
      <c r="A16940" s="688" t="s">
        <v>20</v>
      </c>
      <c r="B16940" s="691">
        <v>38.299999999999997</v>
      </c>
      <c r="C16940" s="691">
        <v>38.5</v>
      </c>
      <c r="D16940" s="691">
        <v>38.299999999999997</v>
      </c>
      <c r="E16940" s="691">
        <v>38.700000000000003</v>
      </c>
      <c r="F16940" s="691">
        <v>38.6</v>
      </c>
      <c r="G16940" s="691">
        <v>38.5</v>
      </c>
      <c r="H16940" s="691">
        <v>38.700000000000003</v>
      </c>
      <c r="I16940" s="691">
        <v>37.6</v>
      </c>
      <c r="J16940" s="691">
        <v>36.6</v>
      </c>
      <c r="K16940" s="691">
        <v>38.1</v>
      </c>
    </row>
    <row r="16941" spans="1:11">
      <c r="A16941" s="688" t="s">
        <v>21</v>
      </c>
      <c r="B16941" s="689">
        <v>40.9</v>
      </c>
      <c r="C16941" s="689">
        <v>41.2</v>
      </c>
      <c r="D16941" s="689">
        <v>41.1</v>
      </c>
      <c r="E16941" s="689">
        <v>41.1</v>
      </c>
      <c r="F16941" s="689">
        <v>41.4</v>
      </c>
      <c r="G16941" s="689">
        <v>41.4</v>
      </c>
      <c r="H16941" s="689">
        <v>41.6</v>
      </c>
      <c r="I16941" s="689">
        <v>41.1</v>
      </c>
      <c r="J16941" s="689">
        <v>41.1</v>
      </c>
      <c r="K16941" s="689">
        <v>41.3</v>
      </c>
    </row>
    <row r="16942" spans="1:11">
      <c r="A16942" s="688" t="s">
        <v>22</v>
      </c>
      <c r="B16942" s="691">
        <v>36.4</v>
      </c>
      <c r="C16942" s="691">
        <v>36.200000000000003</v>
      </c>
      <c r="D16942" s="691">
        <v>36.1</v>
      </c>
      <c r="E16942" s="691">
        <v>36.4</v>
      </c>
      <c r="F16942" s="691">
        <v>36.4</v>
      </c>
      <c r="G16942" s="691">
        <v>36.5</v>
      </c>
      <c r="H16942" s="691">
        <v>36.799999999999997</v>
      </c>
      <c r="I16942" s="691">
        <v>35.6</v>
      </c>
      <c r="J16942" s="691">
        <v>34.1</v>
      </c>
      <c r="K16942" s="691">
        <v>36.4</v>
      </c>
    </row>
    <row r="16943" spans="1:11">
      <c r="A16943" s="688" t="s">
        <v>26</v>
      </c>
      <c r="B16943" s="689">
        <v>40.5</v>
      </c>
      <c r="C16943" s="689">
        <v>40.4</v>
      </c>
      <c r="D16943" s="689">
        <v>40.200000000000003</v>
      </c>
      <c r="E16943" s="689">
        <v>40.6</v>
      </c>
      <c r="F16943" s="689">
        <v>40.4</v>
      </c>
      <c r="G16943" s="689">
        <v>40.700000000000003</v>
      </c>
      <c r="H16943" s="689">
        <v>40.799999999999997</v>
      </c>
      <c r="I16943" s="693">
        <v>40</v>
      </c>
      <c r="J16943" s="689">
        <v>40.299999999999997</v>
      </c>
      <c r="K16943" s="689">
        <v>40.700000000000003</v>
      </c>
    </row>
    <row r="16944" spans="1:11">
      <c r="A16944" s="688" t="s">
        <v>25</v>
      </c>
      <c r="B16944" s="691">
        <v>37.4</v>
      </c>
      <c r="C16944" s="691">
        <v>37.6</v>
      </c>
      <c r="D16944" s="691">
        <v>37.299999999999997</v>
      </c>
      <c r="E16944" s="691">
        <v>37.799999999999997</v>
      </c>
      <c r="F16944" s="691">
        <v>37.700000000000003</v>
      </c>
      <c r="G16944" s="691">
        <v>37.799999999999997</v>
      </c>
      <c r="H16944" s="691">
        <v>38.299999999999997</v>
      </c>
      <c r="I16944" s="691">
        <v>37.5</v>
      </c>
      <c r="J16944" s="691">
        <v>35.4</v>
      </c>
      <c r="K16944" s="691">
        <v>37.6</v>
      </c>
    </row>
    <row r="16945" spans="1:11">
      <c r="A16945" s="688" t="s">
        <v>5</v>
      </c>
      <c r="B16945" s="693">
        <v>41</v>
      </c>
      <c r="C16945" s="689">
        <v>40.700000000000003</v>
      </c>
      <c r="D16945" s="689">
        <v>40.9</v>
      </c>
      <c r="E16945" s="689">
        <v>40.9</v>
      </c>
      <c r="F16945" s="689">
        <v>41.1</v>
      </c>
      <c r="G16945" s="689">
        <v>41.2</v>
      </c>
      <c r="H16945" s="689">
        <v>41.5</v>
      </c>
      <c r="I16945" s="689">
        <v>41.4</v>
      </c>
      <c r="J16945" s="689">
        <v>41.3</v>
      </c>
      <c r="K16945" s="689">
        <v>40.700000000000003</v>
      </c>
    </row>
    <row r="16946" spans="1:11">
      <c r="A16946" s="688" t="s">
        <v>23</v>
      </c>
      <c r="B16946" s="691">
        <v>40.6</v>
      </c>
      <c r="C16946" s="691">
        <v>40.799999999999997</v>
      </c>
      <c r="D16946" s="691">
        <v>40.799999999999997</v>
      </c>
      <c r="E16946" s="691">
        <v>40.9</v>
      </c>
      <c r="F16946" s="691">
        <v>40.9</v>
      </c>
      <c r="G16946" s="691">
        <v>41.1</v>
      </c>
      <c r="H16946" s="691">
        <v>41.5</v>
      </c>
      <c r="I16946" s="615">
        <v>41</v>
      </c>
      <c r="J16946" s="691">
        <v>41.6</v>
      </c>
      <c r="K16946" s="691">
        <v>41.4</v>
      </c>
    </row>
    <row r="16947" spans="1:11">
      <c r="A16947" s="688" t="s">
        <v>4067</v>
      </c>
      <c r="B16947" s="689">
        <v>40.299999999999997</v>
      </c>
      <c r="C16947" s="689">
        <v>40.6</v>
      </c>
      <c r="D16947" s="689">
        <v>40.200000000000003</v>
      </c>
      <c r="E16947" s="689">
        <v>40.6</v>
      </c>
      <c r="F16947" s="689">
        <v>40.5</v>
      </c>
      <c r="G16947" s="689">
        <v>40.6</v>
      </c>
      <c r="H16947" s="690" t="s">
        <v>4060</v>
      </c>
      <c r="I16947" s="690" t="s">
        <v>4060</v>
      </c>
      <c r="J16947" s="690" t="s">
        <v>4060</v>
      </c>
      <c r="K16947" s="690" t="s">
        <v>4060</v>
      </c>
    </row>
    <row r="16948" spans="1:11">
      <c r="A16948" s="688" t="s">
        <v>4066</v>
      </c>
      <c r="B16948" s="691">
        <v>40.299999999999997</v>
      </c>
      <c r="C16948" s="691">
        <v>40.6</v>
      </c>
      <c r="D16948" s="691">
        <v>40.200000000000003</v>
      </c>
      <c r="E16948" s="691">
        <v>40.6</v>
      </c>
      <c r="F16948" s="691">
        <v>40.5</v>
      </c>
      <c r="G16948" s="691">
        <v>40.6</v>
      </c>
      <c r="H16948" s="692" t="s">
        <v>4060</v>
      </c>
      <c r="I16948" s="692" t="s">
        <v>4060</v>
      </c>
      <c r="J16948" s="692" t="s">
        <v>4060</v>
      </c>
      <c r="K16948" s="692" t="s">
        <v>4060</v>
      </c>
    </row>
    <row r="16949" spans="1:11">
      <c r="A16949" s="688" t="s">
        <v>4062</v>
      </c>
      <c r="B16949" s="689">
        <v>41.4</v>
      </c>
      <c r="C16949" s="689">
        <v>41.5</v>
      </c>
      <c r="D16949" s="689">
        <v>41.4</v>
      </c>
      <c r="E16949" s="689">
        <v>41.6</v>
      </c>
      <c r="F16949" s="689">
        <v>41.7</v>
      </c>
      <c r="G16949" s="689">
        <v>41.8</v>
      </c>
      <c r="H16949" s="693">
        <v>42</v>
      </c>
      <c r="I16949" s="689">
        <v>41.7</v>
      </c>
      <c r="J16949" s="693">
        <v>42</v>
      </c>
      <c r="K16949" s="689">
        <v>41.7</v>
      </c>
    </row>
    <row r="16950" spans="1:11">
      <c r="A16950" s="688" t="s">
        <v>9</v>
      </c>
      <c r="B16950" s="691">
        <v>40.5</v>
      </c>
      <c r="C16950" s="691">
        <v>41.1</v>
      </c>
      <c r="D16950" s="691">
        <v>40.4</v>
      </c>
      <c r="E16950" s="691">
        <v>40.4</v>
      </c>
      <c r="F16950" s="691">
        <v>40.9</v>
      </c>
      <c r="G16950" s="691">
        <v>40.9</v>
      </c>
      <c r="H16950" s="691">
        <v>41.2</v>
      </c>
      <c r="I16950" s="691">
        <v>41.2</v>
      </c>
      <c r="J16950" s="691">
        <v>41.3</v>
      </c>
      <c r="K16950" s="691">
        <v>40.4</v>
      </c>
    </row>
    <row r="16951" spans="1:11">
      <c r="A16951" s="688" t="s">
        <v>13</v>
      </c>
      <c r="B16951" s="689">
        <v>41.5</v>
      </c>
      <c r="C16951" s="689">
        <v>40.1</v>
      </c>
      <c r="D16951" s="689">
        <v>41.2</v>
      </c>
      <c r="E16951" s="689">
        <v>41.2</v>
      </c>
      <c r="F16951" s="693">
        <v>42</v>
      </c>
      <c r="G16951" s="689">
        <v>42.1</v>
      </c>
      <c r="H16951" s="689">
        <v>41.8</v>
      </c>
      <c r="I16951" s="689">
        <v>41.1</v>
      </c>
      <c r="J16951" s="689">
        <v>42.3</v>
      </c>
      <c r="K16951" s="693">
        <v>42</v>
      </c>
    </row>
    <row r="16952" spans="1:11">
      <c r="A16952" s="688" t="s">
        <v>18</v>
      </c>
      <c r="B16952" s="691">
        <v>40.6</v>
      </c>
      <c r="C16952" s="691">
        <v>40.799999999999997</v>
      </c>
      <c r="D16952" s="691">
        <v>40.9</v>
      </c>
      <c r="E16952" s="691">
        <v>40.9</v>
      </c>
      <c r="F16952" s="615">
        <v>41</v>
      </c>
      <c r="G16952" s="691">
        <v>41.2</v>
      </c>
      <c r="H16952" s="691">
        <v>41.4</v>
      </c>
      <c r="I16952" s="691">
        <v>41.6</v>
      </c>
      <c r="J16952" s="691">
        <v>41.4</v>
      </c>
      <c r="K16952" s="615">
        <v>41</v>
      </c>
    </row>
    <row r="16953" spans="1:11">
      <c r="A16953" s="688" t="s">
        <v>24</v>
      </c>
      <c r="B16953" s="689">
        <v>41.8</v>
      </c>
      <c r="C16953" s="689">
        <v>41.9</v>
      </c>
      <c r="D16953" s="689">
        <v>41.7</v>
      </c>
      <c r="E16953" s="689">
        <v>42.1</v>
      </c>
      <c r="F16953" s="689">
        <v>42.1</v>
      </c>
      <c r="G16953" s="689">
        <v>42.2</v>
      </c>
      <c r="H16953" s="689">
        <v>42.3</v>
      </c>
      <c r="I16953" s="689">
        <v>41.9</v>
      </c>
      <c r="J16953" s="689">
        <v>42.3</v>
      </c>
      <c r="K16953" s="689">
        <v>42.2</v>
      </c>
    </row>
    <row r="16954" spans="1:11">
      <c r="A16954" s="688" t="s">
        <v>4059</v>
      </c>
      <c r="B16954" s="691">
        <v>39.9</v>
      </c>
      <c r="C16954" s="691">
        <v>40.200000000000003</v>
      </c>
      <c r="D16954" s="691">
        <v>39.799999999999997</v>
      </c>
      <c r="E16954" s="691">
        <v>40.1</v>
      </c>
      <c r="F16954" s="691">
        <v>40.1</v>
      </c>
      <c r="G16954" s="691">
        <v>40.1</v>
      </c>
      <c r="H16954" s="692" t="s">
        <v>4060</v>
      </c>
      <c r="I16954" s="692" t="s">
        <v>4060</v>
      </c>
      <c r="J16954" s="692" t="s">
        <v>4060</v>
      </c>
      <c r="K16954" s="692" t="s">
        <v>4060</v>
      </c>
    </row>
    <row r="16955" spans="1:11">
      <c r="A16955" s="688" t="s">
        <v>2324</v>
      </c>
      <c r="B16955" s="689">
        <v>36.1</v>
      </c>
      <c r="C16955" s="689">
        <v>36.200000000000003</v>
      </c>
      <c r="D16955" s="689">
        <v>35.5</v>
      </c>
      <c r="E16955" s="693">
        <v>36</v>
      </c>
      <c r="F16955" s="689">
        <v>36.200000000000003</v>
      </c>
      <c r="G16955" s="689">
        <v>36.1</v>
      </c>
      <c r="H16955" s="689">
        <v>36.4</v>
      </c>
      <c r="I16955" s="689">
        <v>35.799999999999997</v>
      </c>
      <c r="J16955" s="689">
        <v>33.9</v>
      </c>
      <c r="K16955" s="690" t="s">
        <v>4060</v>
      </c>
    </row>
    <row r="16956" spans="1:11">
      <c r="A16956" s="688" t="s">
        <v>2322</v>
      </c>
      <c r="B16956" s="692" t="s">
        <v>4060</v>
      </c>
      <c r="C16956" s="692" t="s">
        <v>4060</v>
      </c>
      <c r="D16956" s="692" t="s">
        <v>4060</v>
      </c>
      <c r="E16956" s="692" t="s">
        <v>4060</v>
      </c>
      <c r="F16956" s="692" t="s">
        <v>4060</v>
      </c>
      <c r="G16956" s="692" t="s">
        <v>4060</v>
      </c>
      <c r="H16956" s="692" t="s">
        <v>4060</v>
      </c>
      <c r="I16956" s="692" t="s">
        <v>4060</v>
      </c>
      <c r="J16956" s="692" t="s">
        <v>4060</v>
      </c>
      <c r="K16956" s="692" t="s">
        <v>4060</v>
      </c>
    </row>
    <row r="16957" spans="1:11">
      <c r="A16957" s="688" t="s">
        <v>2328</v>
      </c>
      <c r="B16957" s="689">
        <v>35.1</v>
      </c>
      <c r="C16957" s="689">
        <v>34.9</v>
      </c>
      <c r="D16957" s="689">
        <v>34.799999999999997</v>
      </c>
      <c r="E16957" s="689">
        <v>35.200000000000003</v>
      </c>
      <c r="F16957" s="689">
        <v>35.299999999999997</v>
      </c>
      <c r="G16957" s="689">
        <v>35.799999999999997</v>
      </c>
      <c r="H16957" s="689">
        <v>35.6</v>
      </c>
      <c r="I16957" s="689">
        <v>33.9</v>
      </c>
      <c r="J16957" s="689">
        <v>32.700000000000003</v>
      </c>
      <c r="K16957" s="690" t="s">
        <v>4060</v>
      </c>
    </row>
    <row r="16958" spans="1:11">
      <c r="A16958" s="688" t="s">
        <v>2496</v>
      </c>
      <c r="B16958" s="692" t="s">
        <v>4060</v>
      </c>
      <c r="C16958" s="691">
        <v>36.1</v>
      </c>
      <c r="D16958" s="691">
        <v>35.200000000000003</v>
      </c>
      <c r="E16958" s="691">
        <v>34.9</v>
      </c>
      <c r="F16958" s="691">
        <v>35.6</v>
      </c>
      <c r="G16958" s="691">
        <v>35.799999999999997</v>
      </c>
      <c r="H16958" s="691">
        <v>35.9</v>
      </c>
      <c r="I16958" s="692" t="s">
        <v>4060</v>
      </c>
      <c r="J16958" s="692" t="s">
        <v>4060</v>
      </c>
      <c r="K16958" s="691">
        <v>35.6</v>
      </c>
    </row>
    <row r="16959" spans="1:11">
      <c r="A16959" s="688" t="s">
        <v>2269</v>
      </c>
      <c r="B16959" s="689">
        <v>37.700000000000003</v>
      </c>
      <c r="C16959" s="689">
        <v>37.9</v>
      </c>
      <c r="D16959" s="689">
        <v>37.200000000000003</v>
      </c>
      <c r="E16959" s="689">
        <v>37.700000000000003</v>
      </c>
      <c r="F16959" s="689">
        <v>37.5</v>
      </c>
      <c r="G16959" s="693">
        <v>38</v>
      </c>
      <c r="H16959" s="689">
        <v>38.200000000000003</v>
      </c>
      <c r="I16959" s="693">
        <v>37</v>
      </c>
      <c r="J16959" s="693">
        <v>35</v>
      </c>
      <c r="K16959" s="689">
        <v>37.9</v>
      </c>
    </row>
    <row r="16960" spans="1:11">
      <c r="A16960" s="688" t="s">
        <v>2349</v>
      </c>
      <c r="B16960" s="691">
        <v>35.200000000000003</v>
      </c>
      <c r="C16960" s="691">
        <v>35.200000000000003</v>
      </c>
      <c r="D16960" s="691">
        <v>35.1</v>
      </c>
      <c r="E16960" s="691">
        <v>35.5</v>
      </c>
      <c r="F16960" s="691">
        <v>35.200000000000003</v>
      </c>
      <c r="G16960" s="691">
        <v>35.6</v>
      </c>
      <c r="H16960" s="691">
        <v>35.700000000000003</v>
      </c>
      <c r="I16960" s="691">
        <v>34.6</v>
      </c>
      <c r="J16960" s="691">
        <v>32.9</v>
      </c>
      <c r="K16960" s="691">
        <v>34.9</v>
      </c>
    </row>
    <row r="16961" spans="1:11">
      <c r="A16961" s="688" t="s">
        <v>2355</v>
      </c>
      <c r="B16961" s="693">
        <v>39</v>
      </c>
      <c r="C16961" s="689">
        <v>38.700000000000003</v>
      </c>
      <c r="D16961" s="689">
        <v>38.700000000000003</v>
      </c>
      <c r="E16961" s="689">
        <v>38.6</v>
      </c>
      <c r="F16961" s="689">
        <v>38.9</v>
      </c>
      <c r="G16961" s="689">
        <v>39.200000000000003</v>
      </c>
      <c r="H16961" s="689">
        <v>39.299999999999997</v>
      </c>
      <c r="I16961" s="690" t="s">
        <v>4060</v>
      </c>
      <c r="J16961" s="690" t="s">
        <v>4060</v>
      </c>
      <c r="K16961" s="690" t="s">
        <v>4060</v>
      </c>
    </row>
    <row r="16962" spans="1:11">
      <c r="A16962" s="688" t="s">
        <v>2357</v>
      </c>
      <c r="B16962" s="692" t="s">
        <v>4060</v>
      </c>
      <c r="C16962" s="691">
        <v>34.9</v>
      </c>
      <c r="D16962" s="691">
        <v>35.4</v>
      </c>
      <c r="E16962" s="691">
        <v>35.6</v>
      </c>
      <c r="F16962" s="691">
        <v>35.9</v>
      </c>
      <c r="G16962" s="691">
        <v>35.9</v>
      </c>
      <c r="H16962" s="691">
        <v>36.1</v>
      </c>
      <c r="I16962" s="692" t="s">
        <v>4060</v>
      </c>
      <c r="J16962" s="692" t="s">
        <v>4060</v>
      </c>
      <c r="K16962" s="692" t="s">
        <v>4060</v>
      </c>
    </row>
    <row r="16963" spans="1:11">
      <c r="A16963" s="688" t="s">
        <v>4070</v>
      </c>
      <c r="B16963" s="690" t="s">
        <v>4060</v>
      </c>
      <c r="C16963" s="690" t="s">
        <v>4060</v>
      </c>
      <c r="D16963" s="690" t="s">
        <v>4060</v>
      </c>
      <c r="E16963" s="689">
        <v>38.700000000000003</v>
      </c>
      <c r="F16963" s="690" t="s">
        <v>4060</v>
      </c>
      <c r="G16963" s="690" t="s">
        <v>4060</v>
      </c>
      <c r="H16963" s="690" t="s">
        <v>4060</v>
      </c>
      <c r="I16963" s="690" t="s">
        <v>4060</v>
      </c>
      <c r="J16963" s="690" t="s">
        <v>4060</v>
      </c>
      <c r="K16963" s="690" t="s">
        <v>4060</v>
      </c>
    </row>
    <row r="16964" spans="1:11">
      <c r="A16964" s="688" t="s">
        <v>2491</v>
      </c>
      <c r="B16964" s="691">
        <v>35.6</v>
      </c>
      <c r="C16964" s="691">
        <v>36.1</v>
      </c>
      <c r="D16964" s="691">
        <v>36.299999999999997</v>
      </c>
      <c r="E16964" s="691">
        <v>36.5</v>
      </c>
      <c r="F16964" s="691">
        <v>36.6</v>
      </c>
      <c r="G16964" s="691">
        <v>36.700000000000003</v>
      </c>
      <c r="H16964" s="692" t="s">
        <v>4060</v>
      </c>
      <c r="I16964" s="692" t="s">
        <v>4060</v>
      </c>
      <c r="J16964" s="692" t="s">
        <v>4060</v>
      </c>
      <c r="K16964" s="692" t="s">
        <v>4060</v>
      </c>
    </row>
    <row r="16965" spans="1:11">
      <c r="A16965" s="688" t="s">
        <v>2343</v>
      </c>
      <c r="B16965" s="690" t="s">
        <v>4060</v>
      </c>
      <c r="C16965" s="690" t="s">
        <v>4060</v>
      </c>
      <c r="D16965" s="690" t="s">
        <v>4060</v>
      </c>
      <c r="E16965" s="690" t="s">
        <v>4060</v>
      </c>
      <c r="F16965" s="690" t="s">
        <v>4060</v>
      </c>
      <c r="G16965" s="690" t="s">
        <v>4060</v>
      </c>
      <c r="H16965" s="690" t="s">
        <v>4060</v>
      </c>
      <c r="I16965" s="690" t="s">
        <v>4060</v>
      </c>
      <c r="J16965" s="690" t="s">
        <v>4060</v>
      </c>
      <c r="K16965" s="690" t="s">
        <v>4060</v>
      </c>
    </row>
    <row r="16966" spans="1:11">
      <c r="A16966" s="688" t="s">
        <v>4071</v>
      </c>
      <c r="B16966" s="692" t="s">
        <v>4060</v>
      </c>
      <c r="C16966" s="692" t="s">
        <v>4060</v>
      </c>
      <c r="D16966" s="692" t="s">
        <v>4060</v>
      </c>
      <c r="E16966" s="692" t="s">
        <v>4060</v>
      </c>
      <c r="F16966" s="692" t="s">
        <v>4060</v>
      </c>
      <c r="G16966" s="692" t="s">
        <v>4060</v>
      </c>
      <c r="H16966" s="692" t="s">
        <v>4060</v>
      </c>
      <c r="I16966" s="692" t="s">
        <v>4060</v>
      </c>
      <c r="J16966" s="692" t="s">
        <v>4060</v>
      </c>
      <c r="K16966" s="692" t="s">
        <v>4060</v>
      </c>
    </row>
    <row r="16967" spans="1:11">
      <c r="A16967" s="688" t="s">
        <v>2489</v>
      </c>
      <c r="B16967" s="690" t="s">
        <v>4060</v>
      </c>
      <c r="C16967" s="690" t="s">
        <v>4060</v>
      </c>
      <c r="D16967" s="689">
        <v>35.799999999999997</v>
      </c>
      <c r="E16967" s="689">
        <v>35.799999999999997</v>
      </c>
      <c r="F16967" s="689">
        <v>36.200000000000003</v>
      </c>
      <c r="G16967" s="693">
        <v>37</v>
      </c>
      <c r="H16967" s="689">
        <v>36.9</v>
      </c>
      <c r="I16967" s="690" t="s">
        <v>4060</v>
      </c>
      <c r="J16967" s="690" t="s">
        <v>4060</v>
      </c>
      <c r="K16967" s="690" t="s">
        <v>4060</v>
      </c>
    </row>
    <row r="16968" spans="1:11">
      <c r="A16968" s="688" t="s">
        <v>2490</v>
      </c>
      <c r="B16968" s="691">
        <v>35.1</v>
      </c>
      <c r="C16968" s="691">
        <v>35.1</v>
      </c>
      <c r="D16968" s="691">
        <v>35.6</v>
      </c>
      <c r="E16968" s="692" t="s">
        <v>4060</v>
      </c>
      <c r="F16968" s="691">
        <v>35.799999999999997</v>
      </c>
      <c r="G16968" s="691">
        <v>36.1</v>
      </c>
      <c r="H16968" s="691">
        <v>36.799999999999997</v>
      </c>
      <c r="I16968" s="692" t="s">
        <v>4060</v>
      </c>
      <c r="J16968" s="692" t="s">
        <v>4060</v>
      </c>
      <c r="K16968" s="692" t="s">
        <v>4060</v>
      </c>
    </row>
    <row r="16970" spans="1:11">
      <c r="A16970" s="683" t="s">
        <v>4233</v>
      </c>
    </row>
    <row r="16971" spans="1:11">
      <c r="A16971" s="683" t="s">
        <v>4060</v>
      </c>
      <c r="B16971" s="682" t="s">
        <v>4234</v>
      </c>
    </row>
    <row r="16973" spans="1:11">
      <c r="A16973" s="682" t="s">
        <v>4332</v>
      </c>
    </row>
    <row r="16974" spans="1:11">
      <c r="A16974" s="682" t="s">
        <v>4210</v>
      </c>
      <c r="B16974" s="683" t="s">
        <v>4211</v>
      </c>
    </row>
    <row r="16975" spans="1:11">
      <c r="A16975" s="682" t="s">
        <v>4212</v>
      </c>
      <c r="B16975" s="682" t="s">
        <v>4213</v>
      </c>
    </row>
    <row r="16977" spans="1:11">
      <c r="A16977" s="683" t="s">
        <v>4214</v>
      </c>
      <c r="C16977" s="682" t="s">
        <v>4215</v>
      </c>
    </row>
    <row r="16978" spans="1:11">
      <c r="A16978" s="683" t="s">
        <v>4216</v>
      </c>
      <c r="C16978" s="682" t="s">
        <v>2967</v>
      </c>
    </row>
    <row r="16979" spans="1:11">
      <c r="A16979" s="683" t="s">
        <v>3893</v>
      </c>
      <c r="C16979" s="682" t="s">
        <v>2169</v>
      </c>
    </row>
    <row r="16980" spans="1:11">
      <c r="A16980" s="683" t="s">
        <v>4218</v>
      </c>
      <c r="C16980" s="682" t="s">
        <v>4280</v>
      </c>
    </row>
    <row r="16982" spans="1:11">
      <c r="A16982" s="684" t="s">
        <v>4220</v>
      </c>
      <c r="B16982" s="685" t="s">
        <v>4221</v>
      </c>
      <c r="C16982" s="685" t="s">
        <v>4222</v>
      </c>
      <c r="D16982" s="685" t="s">
        <v>4223</v>
      </c>
      <c r="E16982" s="685" t="s">
        <v>4224</v>
      </c>
      <c r="F16982" s="685" t="s">
        <v>4225</v>
      </c>
      <c r="G16982" s="685" t="s">
        <v>4226</v>
      </c>
      <c r="H16982" s="685" t="s">
        <v>4227</v>
      </c>
      <c r="I16982" s="685" t="s">
        <v>4228</v>
      </c>
      <c r="J16982" s="685" t="s">
        <v>4229</v>
      </c>
      <c r="K16982" s="685" t="s">
        <v>4230</v>
      </c>
    </row>
    <row r="16983" spans="1:11">
      <c r="A16983" s="686" t="s">
        <v>4231</v>
      </c>
      <c r="B16983" s="687" t="s">
        <v>4232</v>
      </c>
      <c r="C16983" s="687" t="s">
        <v>4232</v>
      </c>
      <c r="D16983" s="687" t="s">
        <v>4232</v>
      </c>
      <c r="E16983" s="687" t="s">
        <v>4232</v>
      </c>
      <c r="F16983" s="687" t="s">
        <v>4232</v>
      </c>
      <c r="G16983" s="687" t="s">
        <v>4232</v>
      </c>
      <c r="H16983" s="687" t="s">
        <v>4232</v>
      </c>
      <c r="I16983" s="687" t="s">
        <v>4232</v>
      </c>
      <c r="J16983" s="687" t="s">
        <v>4232</v>
      </c>
      <c r="K16983" s="687" t="s">
        <v>4232</v>
      </c>
    </row>
    <row r="16984" spans="1:11">
      <c r="A16984" s="688" t="s">
        <v>4064</v>
      </c>
      <c r="B16984" s="691">
        <v>39.299999999999997</v>
      </c>
      <c r="C16984" s="691">
        <v>39.299999999999997</v>
      </c>
      <c r="D16984" s="691">
        <v>39.299999999999997</v>
      </c>
      <c r="E16984" s="691">
        <v>39.4</v>
      </c>
      <c r="F16984" s="691">
        <v>39.4</v>
      </c>
      <c r="G16984" s="691">
        <v>39.5</v>
      </c>
      <c r="H16984" s="691">
        <v>39.700000000000003</v>
      </c>
      <c r="I16984" s="615">
        <v>39</v>
      </c>
      <c r="J16984" s="691">
        <v>38.799999999999997</v>
      </c>
      <c r="K16984" s="691">
        <v>39.200000000000003</v>
      </c>
    </row>
    <row r="16985" spans="1:11">
      <c r="A16985" s="688" t="s">
        <v>4065</v>
      </c>
      <c r="B16985" s="689">
        <v>39.299999999999997</v>
      </c>
      <c r="C16985" s="689">
        <v>39.6</v>
      </c>
      <c r="D16985" s="689">
        <v>39.200000000000003</v>
      </c>
      <c r="E16985" s="689">
        <v>39.6</v>
      </c>
      <c r="F16985" s="689">
        <v>39.5</v>
      </c>
      <c r="G16985" s="689">
        <v>39.6</v>
      </c>
      <c r="H16985" s="690" t="s">
        <v>4060</v>
      </c>
      <c r="I16985" s="690" t="s">
        <v>4060</v>
      </c>
      <c r="J16985" s="690" t="s">
        <v>4060</v>
      </c>
      <c r="K16985" s="690" t="s">
        <v>4060</v>
      </c>
    </row>
    <row r="16986" spans="1:11">
      <c r="A16986" s="688" t="s">
        <v>4063</v>
      </c>
      <c r="B16986" s="691">
        <v>39.299999999999997</v>
      </c>
      <c r="C16986" s="691">
        <v>39.700000000000003</v>
      </c>
      <c r="D16986" s="691">
        <v>39.299999999999997</v>
      </c>
      <c r="E16986" s="691">
        <v>39.700000000000003</v>
      </c>
      <c r="F16986" s="691">
        <v>39.5</v>
      </c>
      <c r="G16986" s="691">
        <v>39.6</v>
      </c>
      <c r="H16986" s="692" t="s">
        <v>4060</v>
      </c>
      <c r="I16986" s="692" t="s">
        <v>4060</v>
      </c>
      <c r="J16986" s="692" t="s">
        <v>4060</v>
      </c>
      <c r="K16986" s="692" t="s">
        <v>4060</v>
      </c>
    </row>
    <row r="16987" spans="1:11">
      <c r="A16987" s="688" t="s">
        <v>4069</v>
      </c>
      <c r="B16987" s="690" t="s">
        <v>4060</v>
      </c>
      <c r="C16987" s="689">
        <v>40.1</v>
      </c>
      <c r="D16987" s="689">
        <v>39.799999999999997</v>
      </c>
      <c r="E16987" s="689">
        <v>40.200000000000003</v>
      </c>
      <c r="F16987" s="689">
        <v>40.1</v>
      </c>
      <c r="G16987" s="689">
        <v>40.200000000000003</v>
      </c>
      <c r="H16987" s="689">
        <v>40.5</v>
      </c>
      <c r="I16987" s="689">
        <v>39.9</v>
      </c>
      <c r="J16987" s="689">
        <v>39.9</v>
      </c>
      <c r="K16987" s="689">
        <v>39.9</v>
      </c>
    </row>
    <row r="16988" spans="1:11">
      <c r="A16988" s="688" t="s">
        <v>4068</v>
      </c>
      <c r="B16988" s="691">
        <v>40.200000000000003</v>
      </c>
      <c r="C16988" s="692" t="s">
        <v>4060</v>
      </c>
      <c r="D16988" s="692" t="s">
        <v>4060</v>
      </c>
      <c r="E16988" s="692" t="s">
        <v>4060</v>
      </c>
      <c r="F16988" s="692" t="s">
        <v>4060</v>
      </c>
      <c r="G16988" s="692" t="s">
        <v>4060</v>
      </c>
      <c r="H16988" s="692" t="s">
        <v>4060</v>
      </c>
      <c r="I16988" s="692" t="s">
        <v>4060</v>
      </c>
      <c r="J16988" s="692" t="s">
        <v>4060</v>
      </c>
      <c r="K16988" s="692" t="s">
        <v>4060</v>
      </c>
    </row>
    <row r="16989" spans="1:11">
      <c r="A16989" s="688" t="s">
        <v>0</v>
      </c>
      <c r="B16989" s="689">
        <v>39.299999999999997</v>
      </c>
      <c r="C16989" s="689">
        <v>39.5</v>
      </c>
      <c r="D16989" s="689">
        <v>39.200000000000003</v>
      </c>
      <c r="E16989" s="689">
        <v>39.6</v>
      </c>
      <c r="F16989" s="689">
        <v>39.6</v>
      </c>
      <c r="G16989" s="689">
        <v>39.700000000000003</v>
      </c>
      <c r="H16989" s="693">
        <v>40</v>
      </c>
      <c r="I16989" s="693">
        <v>39</v>
      </c>
      <c r="J16989" s="693">
        <v>40</v>
      </c>
      <c r="K16989" s="689">
        <v>39.700000000000003</v>
      </c>
    </row>
    <row r="16990" spans="1:11">
      <c r="A16990" s="688" t="s">
        <v>1</v>
      </c>
      <c r="B16990" s="691">
        <v>35.299999999999997</v>
      </c>
      <c r="C16990" s="691">
        <v>34.700000000000003</v>
      </c>
      <c r="D16990" s="691">
        <v>34.799999999999997</v>
      </c>
      <c r="E16990" s="691">
        <v>34.9</v>
      </c>
      <c r="F16990" s="691">
        <v>34.799999999999997</v>
      </c>
      <c r="G16990" s="615">
        <v>35</v>
      </c>
      <c r="H16990" s="691">
        <v>35.200000000000003</v>
      </c>
      <c r="I16990" s="691">
        <v>33.9</v>
      </c>
      <c r="J16990" s="691">
        <v>31.9</v>
      </c>
      <c r="K16990" s="691">
        <v>34.5</v>
      </c>
    </row>
    <row r="16991" spans="1:11">
      <c r="A16991" s="688" t="s">
        <v>2240</v>
      </c>
      <c r="B16991" s="689">
        <v>37.200000000000003</v>
      </c>
      <c r="C16991" s="689">
        <v>37.6</v>
      </c>
      <c r="D16991" s="689">
        <v>37.299999999999997</v>
      </c>
      <c r="E16991" s="689">
        <v>37.799999999999997</v>
      </c>
      <c r="F16991" s="689">
        <v>37.700000000000003</v>
      </c>
      <c r="G16991" s="689">
        <v>37.799999999999997</v>
      </c>
      <c r="H16991" s="693">
        <v>38</v>
      </c>
      <c r="I16991" s="689">
        <v>37.200000000000003</v>
      </c>
      <c r="J16991" s="689">
        <v>36.5</v>
      </c>
      <c r="K16991" s="689">
        <v>37.799999999999997</v>
      </c>
    </row>
    <row r="16992" spans="1:11">
      <c r="A16992" s="688" t="s">
        <v>2</v>
      </c>
      <c r="B16992" s="691">
        <v>38.299999999999997</v>
      </c>
      <c r="C16992" s="691">
        <v>38.6</v>
      </c>
      <c r="D16992" s="691">
        <v>38.6</v>
      </c>
      <c r="E16992" s="691">
        <v>38.6</v>
      </c>
      <c r="F16992" s="691">
        <v>38.9</v>
      </c>
      <c r="G16992" s="691">
        <v>38.799999999999997</v>
      </c>
      <c r="H16992" s="691">
        <v>39.200000000000003</v>
      </c>
      <c r="I16992" s="691">
        <v>39.299999999999997</v>
      </c>
      <c r="J16992" s="691">
        <v>39.1</v>
      </c>
      <c r="K16992" s="615">
        <v>39</v>
      </c>
    </row>
    <row r="16993" spans="1:11">
      <c r="A16993" s="688" t="s">
        <v>3</v>
      </c>
      <c r="B16993" s="693">
        <v>39</v>
      </c>
      <c r="C16993" s="689">
        <v>39.200000000000003</v>
      </c>
      <c r="D16993" s="689">
        <v>38.9</v>
      </c>
      <c r="E16993" s="689">
        <v>39.200000000000003</v>
      </c>
      <c r="F16993" s="689">
        <v>39.200000000000003</v>
      </c>
      <c r="G16993" s="689">
        <v>39.1</v>
      </c>
      <c r="H16993" s="689">
        <v>39.4</v>
      </c>
      <c r="I16993" s="689">
        <v>39.299999999999997</v>
      </c>
      <c r="J16993" s="689">
        <v>39.1</v>
      </c>
      <c r="K16993" s="689">
        <v>38.799999999999997</v>
      </c>
    </row>
    <row r="16994" spans="1:11">
      <c r="A16994" s="688" t="s">
        <v>4061</v>
      </c>
      <c r="B16994" s="615">
        <v>39</v>
      </c>
      <c r="C16994" s="691">
        <v>39.200000000000003</v>
      </c>
      <c r="D16994" s="691">
        <v>38.9</v>
      </c>
      <c r="E16994" s="691">
        <v>39.200000000000003</v>
      </c>
      <c r="F16994" s="691">
        <v>39.200000000000003</v>
      </c>
      <c r="G16994" s="691">
        <v>39.1</v>
      </c>
      <c r="H16994" s="691">
        <v>39.4</v>
      </c>
      <c r="I16994" s="691">
        <v>39.299999999999997</v>
      </c>
      <c r="J16994" s="691">
        <v>39.1</v>
      </c>
      <c r="K16994" s="691">
        <v>38.799999999999997</v>
      </c>
    </row>
    <row r="16995" spans="1:11">
      <c r="A16995" s="688" t="s">
        <v>4</v>
      </c>
      <c r="B16995" s="689">
        <v>37.9</v>
      </c>
      <c r="C16995" s="689">
        <v>37.799999999999997</v>
      </c>
      <c r="D16995" s="689">
        <v>38.1</v>
      </c>
      <c r="E16995" s="689">
        <v>38.299999999999997</v>
      </c>
      <c r="F16995" s="689">
        <v>38.299999999999997</v>
      </c>
      <c r="G16995" s="689">
        <v>38.4</v>
      </c>
      <c r="H16995" s="689">
        <v>38.799999999999997</v>
      </c>
      <c r="I16995" s="689">
        <v>38.6</v>
      </c>
      <c r="J16995" s="689">
        <v>37.4</v>
      </c>
      <c r="K16995" s="689">
        <v>38.4</v>
      </c>
    </row>
    <row r="16996" spans="1:11">
      <c r="A16996" s="688" t="s">
        <v>8</v>
      </c>
      <c r="B16996" s="615">
        <v>39</v>
      </c>
      <c r="C16996" s="691">
        <v>39.200000000000003</v>
      </c>
      <c r="D16996" s="691">
        <v>39.1</v>
      </c>
      <c r="E16996" s="691">
        <v>39.200000000000003</v>
      </c>
      <c r="F16996" s="691">
        <v>39.700000000000003</v>
      </c>
      <c r="G16996" s="691">
        <v>39.799999999999997</v>
      </c>
      <c r="H16996" s="691">
        <v>40.1</v>
      </c>
      <c r="I16996" s="691">
        <v>39.9</v>
      </c>
      <c r="J16996" s="691">
        <v>39.799999999999997</v>
      </c>
      <c r="K16996" s="691">
        <v>39.799999999999997</v>
      </c>
    </row>
    <row r="16997" spans="1:11">
      <c r="A16997" s="688" t="s">
        <v>7</v>
      </c>
      <c r="B16997" s="689">
        <v>39.9</v>
      </c>
      <c r="C16997" s="689">
        <v>39.700000000000003</v>
      </c>
      <c r="D16997" s="689">
        <v>39.5</v>
      </c>
      <c r="E16997" s="689">
        <v>39.700000000000003</v>
      </c>
      <c r="F16997" s="689">
        <v>39.6</v>
      </c>
      <c r="G16997" s="689">
        <v>40.1</v>
      </c>
      <c r="H16997" s="693">
        <v>40</v>
      </c>
      <c r="I16997" s="689">
        <v>39.6</v>
      </c>
      <c r="J16997" s="689">
        <v>38.799999999999997</v>
      </c>
      <c r="K16997" s="689">
        <v>39.200000000000003</v>
      </c>
    </row>
    <row r="16998" spans="1:11">
      <c r="A16998" s="688" t="s">
        <v>27</v>
      </c>
      <c r="B16998" s="691">
        <v>41.9</v>
      </c>
      <c r="C16998" s="691">
        <v>41.4</v>
      </c>
      <c r="D16998" s="691">
        <v>41.1</v>
      </c>
      <c r="E16998" s="691">
        <v>41.5</v>
      </c>
      <c r="F16998" s="691">
        <v>41.4</v>
      </c>
      <c r="G16998" s="691">
        <v>41.6</v>
      </c>
      <c r="H16998" s="691">
        <v>41.9</v>
      </c>
      <c r="I16998" s="691">
        <v>40.700000000000003</v>
      </c>
      <c r="J16998" s="691">
        <v>41.5</v>
      </c>
      <c r="K16998" s="691">
        <v>41.4</v>
      </c>
    </row>
    <row r="16999" spans="1:11">
      <c r="A16999" s="688" t="s">
        <v>6</v>
      </c>
      <c r="B16999" s="689">
        <v>41.7</v>
      </c>
      <c r="C16999" s="689">
        <v>41.4</v>
      </c>
      <c r="D16999" s="689">
        <v>41.1</v>
      </c>
      <c r="E16999" s="689">
        <v>41.4</v>
      </c>
      <c r="F16999" s="689">
        <v>41.4</v>
      </c>
      <c r="G16999" s="689">
        <v>41.5</v>
      </c>
      <c r="H16999" s="689">
        <v>41.6</v>
      </c>
      <c r="I16999" s="689">
        <v>41.1</v>
      </c>
      <c r="J16999" s="689">
        <v>41.2</v>
      </c>
      <c r="K16999" s="689">
        <v>41.2</v>
      </c>
    </row>
    <row r="17000" spans="1:11">
      <c r="A17000" s="688" t="s">
        <v>4058</v>
      </c>
      <c r="B17000" s="692" t="s">
        <v>4060</v>
      </c>
      <c r="C17000" s="692" t="s">
        <v>4060</v>
      </c>
      <c r="D17000" s="692" t="s">
        <v>4060</v>
      </c>
      <c r="E17000" s="692" t="s">
        <v>4060</v>
      </c>
      <c r="F17000" s="692" t="s">
        <v>4060</v>
      </c>
      <c r="G17000" s="692" t="s">
        <v>4060</v>
      </c>
      <c r="H17000" s="692" t="s">
        <v>4060</v>
      </c>
      <c r="I17000" s="692" t="s">
        <v>4060</v>
      </c>
      <c r="J17000" s="692" t="s">
        <v>4060</v>
      </c>
      <c r="K17000" s="692" t="s">
        <v>4060</v>
      </c>
    </row>
    <row r="17001" spans="1:11">
      <c r="A17001" s="688" t="s">
        <v>11</v>
      </c>
      <c r="B17001" s="693">
        <v>37</v>
      </c>
      <c r="C17001" s="689">
        <v>36.9</v>
      </c>
      <c r="D17001" s="689">
        <v>36.5</v>
      </c>
      <c r="E17001" s="689">
        <v>37.1</v>
      </c>
      <c r="F17001" s="689">
        <v>36.799999999999997</v>
      </c>
      <c r="G17001" s="689">
        <v>37.1</v>
      </c>
      <c r="H17001" s="689">
        <v>37.299999999999997</v>
      </c>
      <c r="I17001" s="689">
        <v>36.700000000000003</v>
      </c>
      <c r="J17001" s="689">
        <v>35.799999999999997</v>
      </c>
      <c r="K17001" s="689">
        <v>36.700000000000003</v>
      </c>
    </row>
    <row r="17002" spans="1:11">
      <c r="A17002" s="688" t="s">
        <v>10</v>
      </c>
      <c r="B17002" s="615">
        <v>41</v>
      </c>
      <c r="C17002" s="691">
        <v>40.799999999999997</v>
      </c>
      <c r="D17002" s="691">
        <v>40.299999999999997</v>
      </c>
      <c r="E17002" s="691">
        <v>40.9</v>
      </c>
      <c r="F17002" s="691">
        <v>40.700000000000003</v>
      </c>
      <c r="G17002" s="615">
        <v>41</v>
      </c>
      <c r="H17002" s="691">
        <v>41.2</v>
      </c>
      <c r="I17002" s="691">
        <v>40.200000000000003</v>
      </c>
      <c r="J17002" s="691">
        <v>40.5</v>
      </c>
      <c r="K17002" s="691">
        <v>40.5</v>
      </c>
    </row>
    <row r="17003" spans="1:11">
      <c r="A17003" s="688" t="s">
        <v>30</v>
      </c>
      <c r="B17003" s="689">
        <v>40.5</v>
      </c>
      <c r="C17003" s="689">
        <v>39.799999999999997</v>
      </c>
      <c r="D17003" s="689">
        <v>39.6</v>
      </c>
      <c r="E17003" s="689">
        <v>40.4</v>
      </c>
      <c r="F17003" s="693">
        <v>40</v>
      </c>
      <c r="G17003" s="689">
        <v>40.5</v>
      </c>
      <c r="H17003" s="689">
        <v>40.299999999999997</v>
      </c>
      <c r="I17003" s="689">
        <v>40.200000000000003</v>
      </c>
      <c r="J17003" s="689">
        <v>39.5</v>
      </c>
      <c r="K17003" s="689">
        <v>39.799999999999997</v>
      </c>
    </row>
    <row r="17004" spans="1:11">
      <c r="A17004" s="688" t="s">
        <v>12</v>
      </c>
      <c r="B17004" s="691">
        <v>35.700000000000003</v>
      </c>
      <c r="C17004" s="615">
        <v>36</v>
      </c>
      <c r="D17004" s="691">
        <v>35.799999999999997</v>
      </c>
      <c r="E17004" s="615">
        <v>36</v>
      </c>
      <c r="F17004" s="691">
        <v>36.1</v>
      </c>
      <c r="G17004" s="691">
        <v>36.1</v>
      </c>
      <c r="H17004" s="691">
        <v>36.6</v>
      </c>
      <c r="I17004" s="691">
        <v>36.299999999999997</v>
      </c>
      <c r="J17004" s="691">
        <v>34.4</v>
      </c>
      <c r="K17004" s="691">
        <v>35.9</v>
      </c>
    </row>
    <row r="17005" spans="1:11">
      <c r="A17005" s="688" t="s">
        <v>14</v>
      </c>
      <c r="B17005" s="689">
        <v>36.200000000000003</v>
      </c>
      <c r="C17005" s="689">
        <v>36.4</v>
      </c>
      <c r="D17005" s="689">
        <v>36.200000000000003</v>
      </c>
      <c r="E17005" s="689">
        <v>36.4</v>
      </c>
      <c r="F17005" s="689">
        <v>36.700000000000003</v>
      </c>
      <c r="G17005" s="689">
        <v>36.9</v>
      </c>
      <c r="H17005" s="689">
        <v>37.200000000000003</v>
      </c>
      <c r="I17005" s="689">
        <v>36.200000000000003</v>
      </c>
      <c r="J17005" s="689">
        <v>35.299999999999997</v>
      </c>
      <c r="K17005" s="689">
        <v>36.4</v>
      </c>
    </row>
    <row r="17006" spans="1:11">
      <c r="A17006" s="688" t="s">
        <v>15</v>
      </c>
      <c r="B17006" s="691">
        <v>39.9</v>
      </c>
      <c r="C17006" s="691">
        <v>40.4</v>
      </c>
      <c r="D17006" s="691">
        <v>39.799999999999997</v>
      </c>
      <c r="E17006" s="691">
        <v>40.6</v>
      </c>
      <c r="F17006" s="691">
        <v>39.700000000000003</v>
      </c>
      <c r="G17006" s="691">
        <v>40.200000000000003</v>
      </c>
      <c r="H17006" s="691">
        <v>40.4</v>
      </c>
      <c r="I17006" s="691">
        <v>40.299999999999997</v>
      </c>
      <c r="J17006" s="691">
        <v>40.6</v>
      </c>
      <c r="K17006" s="691">
        <v>40.700000000000003</v>
      </c>
    </row>
    <row r="17007" spans="1:11">
      <c r="A17007" s="688" t="s">
        <v>29</v>
      </c>
      <c r="B17007" s="689">
        <v>35.299999999999997</v>
      </c>
      <c r="C17007" s="689">
        <v>35.299999999999997</v>
      </c>
      <c r="D17007" s="689">
        <v>34.9</v>
      </c>
      <c r="E17007" s="689">
        <v>35.5</v>
      </c>
      <c r="F17007" s="689">
        <v>35.200000000000003</v>
      </c>
      <c r="G17007" s="689">
        <v>35.4</v>
      </c>
      <c r="H17007" s="689">
        <v>35.5</v>
      </c>
      <c r="I17007" s="689">
        <v>34.9</v>
      </c>
      <c r="J17007" s="689">
        <v>33.799999999999997</v>
      </c>
      <c r="K17007" s="689">
        <v>35.299999999999997</v>
      </c>
    </row>
    <row r="17008" spans="1:11">
      <c r="A17008" s="688" t="s">
        <v>16</v>
      </c>
      <c r="B17008" s="615">
        <v>40</v>
      </c>
      <c r="C17008" s="691">
        <v>39.9</v>
      </c>
      <c r="D17008" s="691">
        <v>39.799999999999997</v>
      </c>
      <c r="E17008" s="615">
        <v>40</v>
      </c>
      <c r="F17008" s="615">
        <v>40</v>
      </c>
      <c r="G17008" s="691">
        <v>40.1</v>
      </c>
      <c r="H17008" s="691">
        <v>40.4</v>
      </c>
      <c r="I17008" s="615">
        <v>40</v>
      </c>
      <c r="J17008" s="691">
        <v>39.700000000000003</v>
      </c>
      <c r="K17008" s="691">
        <v>39.9</v>
      </c>
    </row>
    <row r="17009" spans="1:11">
      <c r="A17009" s="688" t="s">
        <v>17</v>
      </c>
      <c r="B17009" s="689">
        <v>39.1</v>
      </c>
      <c r="C17009" s="689">
        <v>39.200000000000003</v>
      </c>
      <c r="D17009" s="693">
        <v>39</v>
      </c>
      <c r="E17009" s="693">
        <v>39</v>
      </c>
      <c r="F17009" s="689">
        <v>39.200000000000003</v>
      </c>
      <c r="G17009" s="689">
        <v>39.200000000000003</v>
      </c>
      <c r="H17009" s="689">
        <v>39.5</v>
      </c>
      <c r="I17009" s="693">
        <v>39</v>
      </c>
      <c r="J17009" s="689">
        <v>38.9</v>
      </c>
      <c r="K17009" s="693">
        <v>39</v>
      </c>
    </row>
    <row r="17010" spans="1:11">
      <c r="A17010" s="688" t="s">
        <v>19</v>
      </c>
      <c r="B17010" s="691">
        <v>39.700000000000003</v>
      </c>
      <c r="C17010" s="691">
        <v>39.700000000000003</v>
      </c>
      <c r="D17010" s="691">
        <v>39.5</v>
      </c>
      <c r="E17010" s="691">
        <v>39.9</v>
      </c>
      <c r="F17010" s="691">
        <v>39.799999999999997</v>
      </c>
      <c r="G17010" s="691">
        <v>39.9</v>
      </c>
      <c r="H17010" s="691">
        <v>40.1</v>
      </c>
      <c r="I17010" s="691">
        <v>39.6</v>
      </c>
      <c r="J17010" s="691">
        <v>39.6</v>
      </c>
      <c r="K17010" s="691">
        <v>39.6</v>
      </c>
    </row>
    <row r="17011" spans="1:11">
      <c r="A17011" s="688" t="s">
        <v>20</v>
      </c>
      <c r="B17011" s="689">
        <v>37.299999999999997</v>
      </c>
      <c r="C17011" s="689">
        <v>37.5</v>
      </c>
      <c r="D17011" s="689">
        <v>37.299999999999997</v>
      </c>
      <c r="E17011" s="689">
        <v>37.799999999999997</v>
      </c>
      <c r="F17011" s="689">
        <v>37.6</v>
      </c>
      <c r="G17011" s="689">
        <v>37.5</v>
      </c>
      <c r="H17011" s="689">
        <v>37.799999999999997</v>
      </c>
      <c r="I17011" s="689">
        <v>36.6</v>
      </c>
      <c r="J17011" s="689">
        <v>35.700000000000003</v>
      </c>
      <c r="K17011" s="689">
        <v>37.200000000000003</v>
      </c>
    </row>
    <row r="17012" spans="1:11">
      <c r="A17012" s="688" t="s">
        <v>21</v>
      </c>
      <c r="B17012" s="615">
        <v>40</v>
      </c>
      <c r="C17012" s="691">
        <v>40.200000000000003</v>
      </c>
      <c r="D17012" s="691">
        <v>40.1</v>
      </c>
      <c r="E17012" s="691">
        <v>40.200000000000003</v>
      </c>
      <c r="F17012" s="691">
        <v>40.4</v>
      </c>
      <c r="G17012" s="691">
        <v>40.5</v>
      </c>
      <c r="H17012" s="691">
        <v>40.700000000000003</v>
      </c>
      <c r="I17012" s="691">
        <v>40.1</v>
      </c>
      <c r="J17012" s="691">
        <v>40.200000000000003</v>
      </c>
      <c r="K17012" s="691">
        <v>40.4</v>
      </c>
    </row>
    <row r="17013" spans="1:11">
      <c r="A17013" s="688" t="s">
        <v>22</v>
      </c>
      <c r="B17013" s="689">
        <v>35.4</v>
      </c>
      <c r="C17013" s="689">
        <v>35.200000000000003</v>
      </c>
      <c r="D17013" s="689">
        <v>35.200000000000003</v>
      </c>
      <c r="E17013" s="689">
        <v>35.5</v>
      </c>
      <c r="F17013" s="689">
        <v>35.5</v>
      </c>
      <c r="G17013" s="689">
        <v>35.6</v>
      </c>
      <c r="H17013" s="689">
        <v>35.9</v>
      </c>
      <c r="I17013" s="689">
        <v>34.700000000000003</v>
      </c>
      <c r="J17013" s="689">
        <v>33.200000000000003</v>
      </c>
      <c r="K17013" s="689">
        <v>35.5</v>
      </c>
    </row>
    <row r="17014" spans="1:11">
      <c r="A17014" s="688" t="s">
        <v>26</v>
      </c>
      <c r="B17014" s="691">
        <v>39.5</v>
      </c>
      <c r="C17014" s="691">
        <v>39.4</v>
      </c>
      <c r="D17014" s="691">
        <v>39.299999999999997</v>
      </c>
      <c r="E17014" s="691">
        <v>39.700000000000003</v>
      </c>
      <c r="F17014" s="691">
        <v>39.5</v>
      </c>
      <c r="G17014" s="691">
        <v>39.700000000000003</v>
      </c>
      <c r="H17014" s="691">
        <v>39.9</v>
      </c>
      <c r="I17014" s="615">
        <v>39</v>
      </c>
      <c r="J17014" s="691">
        <v>39.4</v>
      </c>
      <c r="K17014" s="691">
        <v>39.700000000000003</v>
      </c>
    </row>
    <row r="17015" spans="1:11">
      <c r="A17015" s="688" t="s">
        <v>25</v>
      </c>
      <c r="B17015" s="689">
        <v>36.4</v>
      </c>
      <c r="C17015" s="689">
        <v>36.700000000000003</v>
      </c>
      <c r="D17015" s="689">
        <v>36.299999999999997</v>
      </c>
      <c r="E17015" s="689">
        <v>36.799999999999997</v>
      </c>
      <c r="F17015" s="689">
        <v>36.700000000000003</v>
      </c>
      <c r="G17015" s="689">
        <v>36.9</v>
      </c>
      <c r="H17015" s="689">
        <v>37.299999999999997</v>
      </c>
      <c r="I17015" s="689">
        <v>36.6</v>
      </c>
      <c r="J17015" s="689">
        <v>34.5</v>
      </c>
      <c r="K17015" s="689">
        <v>36.6</v>
      </c>
    </row>
    <row r="17016" spans="1:11">
      <c r="A17016" s="688" t="s">
        <v>5</v>
      </c>
      <c r="B17016" s="615">
        <v>40</v>
      </c>
      <c r="C17016" s="691">
        <v>39.799999999999997</v>
      </c>
      <c r="D17016" s="691">
        <v>39.9</v>
      </c>
      <c r="E17016" s="615">
        <v>40</v>
      </c>
      <c r="F17016" s="691">
        <v>40.1</v>
      </c>
      <c r="G17016" s="691">
        <v>40.200000000000003</v>
      </c>
      <c r="H17016" s="691">
        <v>40.5</v>
      </c>
      <c r="I17016" s="691">
        <v>40.5</v>
      </c>
      <c r="J17016" s="691">
        <v>40.4</v>
      </c>
      <c r="K17016" s="691">
        <v>39.700000000000003</v>
      </c>
    </row>
    <row r="17017" spans="1:11">
      <c r="A17017" s="688" t="s">
        <v>23</v>
      </c>
      <c r="B17017" s="689">
        <v>39.6</v>
      </c>
      <c r="C17017" s="689">
        <v>39.799999999999997</v>
      </c>
      <c r="D17017" s="689">
        <v>39.799999999999997</v>
      </c>
      <c r="E17017" s="689">
        <v>39.9</v>
      </c>
      <c r="F17017" s="689">
        <v>39.9</v>
      </c>
      <c r="G17017" s="689">
        <v>40.1</v>
      </c>
      <c r="H17017" s="689">
        <v>40.5</v>
      </c>
      <c r="I17017" s="689">
        <v>40.1</v>
      </c>
      <c r="J17017" s="689">
        <v>40.6</v>
      </c>
      <c r="K17017" s="689">
        <v>40.5</v>
      </c>
    </row>
    <row r="17018" spans="1:11">
      <c r="A17018" s="688" t="s">
        <v>4067</v>
      </c>
      <c r="B17018" s="691">
        <v>39.299999999999997</v>
      </c>
      <c r="C17018" s="691">
        <v>39.6</v>
      </c>
      <c r="D17018" s="691">
        <v>39.200000000000003</v>
      </c>
      <c r="E17018" s="691">
        <v>39.6</v>
      </c>
      <c r="F17018" s="691">
        <v>39.5</v>
      </c>
      <c r="G17018" s="691">
        <v>39.6</v>
      </c>
      <c r="H17018" s="692" t="s">
        <v>4060</v>
      </c>
      <c r="I17018" s="692" t="s">
        <v>4060</v>
      </c>
      <c r="J17018" s="692" t="s">
        <v>4060</v>
      </c>
      <c r="K17018" s="692" t="s">
        <v>4060</v>
      </c>
    </row>
    <row r="17019" spans="1:11">
      <c r="A17019" s="688" t="s">
        <v>4066</v>
      </c>
      <c r="B17019" s="689">
        <v>39.299999999999997</v>
      </c>
      <c r="C17019" s="689">
        <v>39.700000000000003</v>
      </c>
      <c r="D17019" s="689">
        <v>39.299999999999997</v>
      </c>
      <c r="E17019" s="689">
        <v>39.700000000000003</v>
      </c>
      <c r="F17019" s="689">
        <v>39.6</v>
      </c>
      <c r="G17019" s="689">
        <v>39.6</v>
      </c>
      <c r="H17019" s="690" t="s">
        <v>4060</v>
      </c>
      <c r="I17019" s="690" t="s">
        <v>4060</v>
      </c>
      <c r="J17019" s="690" t="s">
        <v>4060</v>
      </c>
      <c r="K17019" s="690" t="s">
        <v>4060</v>
      </c>
    </row>
    <row r="17020" spans="1:11">
      <c r="A17020" s="688" t="s">
        <v>4062</v>
      </c>
      <c r="B17020" s="691">
        <v>40.4</v>
      </c>
      <c r="C17020" s="691">
        <v>40.5</v>
      </c>
      <c r="D17020" s="691">
        <v>40.4</v>
      </c>
      <c r="E17020" s="691">
        <v>40.700000000000003</v>
      </c>
      <c r="F17020" s="691">
        <v>40.700000000000003</v>
      </c>
      <c r="G17020" s="691">
        <v>40.9</v>
      </c>
      <c r="H17020" s="615">
        <v>41</v>
      </c>
      <c r="I17020" s="691">
        <v>40.799999999999997</v>
      </c>
      <c r="J17020" s="615">
        <v>41</v>
      </c>
      <c r="K17020" s="691">
        <v>40.799999999999997</v>
      </c>
    </row>
    <row r="17021" spans="1:11">
      <c r="A17021" s="688" t="s">
        <v>9</v>
      </c>
      <c r="B17021" s="689">
        <v>39.5</v>
      </c>
      <c r="C17021" s="689">
        <v>40.1</v>
      </c>
      <c r="D17021" s="689">
        <v>39.4</v>
      </c>
      <c r="E17021" s="689">
        <v>39.4</v>
      </c>
      <c r="F17021" s="689">
        <v>39.9</v>
      </c>
      <c r="G17021" s="689">
        <v>39.9</v>
      </c>
      <c r="H17021" s="689">
        <v>40.200000000000003</v>
      </c>
      <c r="I17021" s="689">
        <v>40.299999999999997</v>
      </c>
      <c r="J17021" s="689">
        <v>40.4</v>
      </c>
      <c r="K17021" s="689">
        <v>39.4</v>
      </c>
    </row>
    <row r="17022" spans="1:11">
      <c r="A17022" s="688" t="s">
        <v>13</v>
      </c>
      <c r="B17022" s="691">
        <v>40.799999999999997</v>
      </c>
      <c r="C17022" s="691">
        <v>39.1</v>
      </c>
      <c r="D17022" s="691">
        <v>40.200000000000003</v>
      </c>
      <c r="E17022" s="691">
        <v>40.200000000000003</v>
      </c>
      <c r="F17022" s="615">
        <v>41</v>
      </c>
      <c r="G17022" s="691">
        <v>41.1</v>
      </c>
      <c r="H17022" s="691">
        <v>40.799999999999997</v>
      </c>
      <c r="I17022" s="691">
        <v>40.1</v>
      </c>
      <c r="J17022" s="691">
        <v>41.3</v>
      </c>
      <c r="K17022" s="615">
        <v>41</v>
      </c>
    </row>
    <row r="17023" spans="1:11">
      <c r="A17023" s="688" t="s">
        <v>18</v>
      </c>
      <c r="B17023" s="689">
        <v>39.6</v>
      </c>
      <c r="C17023" s="689">
        <v>39.799999999999997</v>
      </c>
      <c r="D17023" s="689">
        <v>39.9</v>
      </c>
      <c r="E17023" s="693">
        <v>40</v>
      </c>
      <c r="F17023" s="689">
        <v>40.1</v>
      </c>
      <c r="G17023" s="689">
        <v>40.200000000000003</v>
      </c>
      <c r="H17023" s="689">
        <v>40.4</v>
      </c>
      <c r="I17023" s="689">
        <v>40.6</v>
      </c>
      <c r="J17023" s="689">
        <v>40.5</v>
      </c>
      <c r="K17023" s="689">
        <v>40.1</v>
      </c>
    </row>
    <row r="17024" spans="1:11">
      <c r="A17024" s="688" t="s">
        <v>24</v>
      </c>
      <c r="B17024" s="691">
        <v>40.9</v>
      </c>
      <c r="C17024" s="615">
        <v>41</v>
      </c>
      <c r="D17024" s="691">
        <v>40.700000000000003</v>
      </c>
      <c r="E17024" s="691">
        <v>41.1</v>
      </c>
      <c r="F17024" s="691">
        <v>41.2</v>
      </c>
      <c r="G17024" s="691">
        <v>41.2</v>
      </c>
      <c r="H17024" s="691">
        <v>41.4</v>
      </c>
      <c r="I17024" s="691">
        <v>40.9</v>
      </c>
      <c r="J17024" s="691">
        <v>41.4</v>
      </c>
      <c r="K17024" s="691">
        <v>41.2</v>
      </c>
    </row>
    <row r="17025" spans="1:11">
      <c r="A17025" s="688" t="s">
        <v>4059</v>
      </c>
      <c r="B17025" s="693">
        <v>39</v>
      </c>
      <c r="C17025" s="689">
        <v>39.299999999999997</v>
      </c>
      <c r="D17025" s="689">
        <v>38.9</v>
      </c>
      <c r="E17025" s="689">
        <v>39.1</v>
      </c>
      <c r="F17025" s="689">
        <v>39.200000000000003</v>
      </c>
      <c r="G17025" s="689">
        <v>39.1</v>
      </c>
      <c r="H17025" s="690" t="s">
        <v>4060</v>
      </c>
      <c r="I17025" s="690" t="s">
        <v>4060</v>
      </c>
      <c r="J17025" s="690" t="s">
        <v>4060</v>
      </c>
      <c r="K17025" s="690" t="s">
        <v>4060</v>
      </c>
    </row>
    <row r="17026" spans="1:11">
      <c r="A17026" s="688" t="s">
        <v>2324</v>
      </c>
      <c r="B17026" s="691">
        <v>35.1</v>
      </c>
      <c r="C17026" s="691">
        <v>35.200000000000003</v>
      </c>
      <c r="D17026" s="691">
        <v>34.6</v>
      </c>
      <c r="E17026" s="615">
        <v>35</v>
      </c>
      <c r="F17026" s="691">
        <v>35.299999999999997</v>
      </c>
      <c r="G17026" s="691">
        <v>35.200000000000003</v>
      </c>
      <c r="H17026" s="691">
        <v>35.4</v>
      </c>
      <c r="I17026" s="691">
        <v>34.9</v>
      </c>
      <c r="J17026" s="615">
        <v>33</v>
      </c>
      <c r="K17026" s="692" t="s">
        <v>4060</v>
      </c>
    </row>
    <row r="17027" spans="1:11">
      <c r="A17027" s="688" t="s">
        <v>2322</v>
      </c>
      <c r="B17027" s="690" t="s">
        <v>4060</v>
      </c>
      <c r="C17027" s="690" t="s">
        <v>4060</v>
      </c>
      <c r="D17027" s="690" t="s">
        <v>4060</v>
      </c>
      <c r="E17027" s="690" t="s">
        <v>4060</v>
      </c>
      <c r="F17027" s="690" t="s">
        <v>4060</v>
      </c>
      <c r="G17027" s="690" t="s">
        <v>4060</v>
      </c>
      <c r="H17027" s="690" t="s">
        <v>4060</v>
      </c>
      <c r="I17027" s="690" t="s">
        <v>4060</v>
      </c>
      <c r="J17027" s="690" t="s">
        <v>4060</v>
      </c>
      <c r="K17027" s="690" t="s">
        <v>4060</v>
      </c>
    </row>
    <row r="17028" spans="1:11">
      <c r="A17028" s="688" t="s">
        <v>2328</v>
      </c>
      <c r="B17028" s="691">
        <v>34.200000000000003</v>
      </c>
      <c r="C17028" s="615">
        <v>34</v>
      </c>
      <c r="D17028" s="691">
        <v>33.9</v>
      </c>
      <c r="E17028" s="691">
        <v>34.200000000000003</v>
      </c>
      <c r="F17028" s="691">
        <v>34.4</v>
      </c>
      <c r="G17028" s="691">
        <v>34.799999999999997</v>
      </c>
      <c r="H17028" s="691">
        <v>34.700000000000003</v>
      </c>
      <c r="I17028" s="615">
        <v>33</v>
      </c>
      <c r="J17028" s="691">
        <v>31.8</v>
      </c>
      <c r="K17028" s="692" t="s">
        <v>4060</v>
      </c>
    </row>
    <row r="17029" spans="1:11">
      <c r="A17029" s="688" t="s">
        <v>2496</v>
      </c>
      <c r="B17029" s="690" t="s">
        <v>4060</v>
      </c>
      <c r="C17029" s="689">
        <v>35.1</v>
      </c>
      <c r="D17029" s="689">
        <v>34.200000000000003</v>
      </c>
      <c r="E17029" s="693">
        <v>34</v>
      </c>
      <c r="F17029" s="689">
        <v>34.6</v>
      </c>
      <c r="G17029" s="689">
        <v>34.9</v>
      </c>
      <c r="H17029" s="689">
        <v>34.9</v>
      </c>
      <c r="I17029" s="690" t="s">
        <v>4060</v>
      </c>
      <c r="J17029" s="690" t="s">
        <v>4060</v>
      </c>
      <c r="K17029" s="689">
        <v>34.6</v>
      </c>
    </row>
    <row r="17030" spans="1:11">
      <c r="A17030" s="688" t="s">
        <v>2269</v>
      </c>
      <c r="B17030" s="691">
        <v>36.799999999999997</v>
      </c>
      <c r="C17030" s="691">
        <v>36.9</v>
      </c>
      <c r="D17030" s="691">
        <v>36.299999999999997</v>
      </c>
      <c r="E17030" s="691">
        <v>36.799999999999997</v>
      </c>
      <c r="F17030" s="691">
        <v>36.6</v>
      </c>
      <c r="G17030" s="691">
        <v>37.1</v>
      </c>
      <c r="H17030" s="691">
        <v>37.299999999999997</v>
      </c>
      <c r="I17030" s="691">
        <v>36.1</v>
      </c>
      <c r="J17030" s="691">
        <v>34.1</v>
      </c>
      <c r="K17030" s="615">
        <v>37</v>
      </c>
    </row>
    <row r="17031" spans="1:11">
      <c r="A17031" s="688" t="s">
        <v>2349</v>
      </c>
      <c r="B17031" s="689">
        <v>34.200000000000003</v>
      </c>
      <c r="C17031" s="689">
        <v>34.200000000000003</v>
      </c>
      <c r="D17031" s="689">
        <v>34.200000000000003</v>
      </c>
      <c r="E17031" s="689">
        <v>34.5</v>
      </c>
      <c r="F17031" s="689">
        <v>34.299999999999997</v>
      </c>
      <c r="G17031" s="689">
        <v>34.6</v>
      </c>
      <c r="H17031" s="689">
        <v>34.799999999999997</v>
      </c>
      <c r="I17031" s="689">
        <v>33.6</v>
      </c>
      <c r="J17031" s="693">
        <v>32</v>
      </c>
      <c r="K17031" s="693">
        <v>34</v>
      </c>
    </row>
    <row r="17032" spans="1:11">
      <c r="A17032" s="688" t="s">
        <v>2355</v>
      </c>
      <c r="B17032" s="615">
        <v>38</v>
      </c>
      <c r="C17032" s="691">
        <v>37.799999999999997</v>
      </c>
      <c r="D17032" s="691">
        <v>37.799999999999997</v>
      </c>
      <c r="E17032" s="691">
        <v>37.700000000000003</v>
      </c>
      <c r="F17032" s="691">
        <v>37.9</v>
      </c>
      <c r="G17032" s="691">
        <v>38.200000000000003</v>
      </c>
      <c r="H17032" s="691">
        <v>38.299999999999997</v>
      </c>
      <c r="I17032" s="692" t="s">
        <v>4060</v>
      </c>
      <c r="J17032" s="692" t="s">
        <v>4060</v>
      </c>
      <c r="K17032" s="692" t="s">
        <v>4060</v>
      </c>
    </row>
    <row r="17033" spans="1:11">
      <c r="A17033" s="688" t="s">
        <v>2357</v>
      </c>
      <c r="B17033" s="690" t="s">
        <v>4060</v>
      </c>
      <c r="C17033" s="693">
        <v>34</v>
      </c>
      <c r="D17033" s="689">
        <v>34.5</v>
      </c>
      <c r="E17033" s="689">
        <v>34.700000000000003</v>
      </c>
      <c r="F17033" s="693">
        <v>35</v>
      </c>
      <c r="G17033" s="693">
        <v>35</v>
      </c>
      <c r="H17033" s="689">
        <v>35.200000000000003</v>
      </c>
      <c r="I17033" s="690" t="s">
        <v>4060</v>
      </c>
      <c r="J17033" s="690" t="s">
        <v>4060</v>
      </c>
      <c r="K17033" s="690" t="s">
        <v>4060</v>
      </c>
    </row>
    <row r="17034" spans="1:11">
      <c r="A17034" s="688" t="s">
        <v>4070</v>
      </c>
      <c r="B17034" s="692" t="s">
        <v>4060</v>
      </c>
      <c r="C17034" s="692" t="s">
        <v>4060</v>
      </c>
      <c r="D17034" s="692" t="s">
        <v>4060</v>
      </c>
      <c r="E17034" s="691">
        <v>37.700000000000003</v>
      </c>
      <c r="F17034" s="692" t="s">
        <v>4060</v>
      </c>
      <c r="G17034" s="692" t="s">
        <v>4060</v>
      </c>
      <c r="H17034" s="692" t="s">
        <v>4060</v>
      </c>
      <c r="I17034" s="692" t="s">
        <v>4060</v>
      </c>
      <c r="J17034" s="692" t="s">
        <v>4060</v>
      </c>
      <c r="K17034" s="692" t="s">
        <v>4060</v>
      </c>
    </row>
    <row r="17035" spans="1:11">
      <c r="A17035" s="688" t="s">
        <v>2491</v>
      </c>
      <c r="B17035" s="689">
        <v>34.700000000000003</v>
      </c>
      <c r="C17035" s="689">
        <v>35.200000000000003</v>
      </c>
      <c r="D17035" s="689">
        <v>35.4</v>
      </c>
      <c r="E17035" s="689">
        <v>35.6</v>
      </c>
      <c r="F17035" s="689">
        <v>35.700000000000003</v>
      </c>
      <c r="G17035" s="689">
        <v>35.700000000000003</v>
      </c>
      <c r="H17035" s="690" t="s">
        <v>4060</v>
      </c>
      <c r="I17035" s="690" t="s">
        <v>4060</v>
      </c>
      <c r="J17035" s="690" t="s">
        <v>4060</v>
      </c>
      <c r="K17035" s="690" t="s">
        <v>4060</v>
      </c>
    </row>
    <row r="17036" spans="1:11">
      <c r="A17036" s="688" t="s">
        <v>2343</v>
      </c>
      <c r="B17036" s="692" t="s">
        <v>4060</v>
      </c>
      <c r="C17036" s="692" t="s">
        <v>4060</v>
      </c>
      <c r="D17036" s="692" t="s">
        <v>4060</v>
      </c>
      <c r="E17036" s="692" t="s">
        <v>4060</v>
      </c>
      <c r="F17036" s="692" t="s">
        <v>4060</v>
      </c>
      <c r="G17036" s="692" t="s">
        <v>4060</v>
      </c>
      <c r="H17036" s="692" t="s">
        <v>4060</v>
      </c>
      <c r="I17036" s="692" t="s">
        <v>4060</v>
      </c>
      <c r="J17036" s="692" t="s">
        <v>4060</v>
      </c>
      <c r="K17036" s="692" t="s">
        <v>4060</v>
      </c>
    </row>
    <row r="17037" spans="1:11">
      <c r="A17037" s="688" t="s">
        <v>4071</v>
      </c>
      <c r="B17037" s="690" t="s">
        <v>4060</v>
      </c>
      <c r="C17037" s="690" t="s">
        <v>4060</v>
      </c>
      <c r="D17037" s="690" t="s">
        <v>4060</v>
      </c>
      <c r="E17037" s="690" t="s">
        <v>4060</v>
      </c>
      <c r="F17037" s="690" t="s">
        <v>4060</v>
      </c>
      <c r="G17037" s="690" t="s">
        <v>4060</v>
      </c>
      <c r="H17037" s="690" t="s">
        <v>4060</v>
      </c>
      <c r="I17037" s="690" t="s">
        <v>4060</v>
      </c>
      <c r="J17037" s="690" t="s">
        <v>4060</v>
      </c>
      <c r="K17037" s="690" t="s">
        <v>4060</v>
      </c>
    </row>
    <row r="17038" spans="1:11">
      <c r="A17038" s="688" t="s">
        <v>2489</v>
      </c>
      <c r="B17038" s="692" t="s">
        <v>4060</v>
      </c>
      <c r="C17038" s="692" t="s">
        <v>4060</v>
      </c>
      <c r="D17038" s="691">
        <v>34.799999999999997</v>
      </c>
      <c r="E17038" s="691">
        <v>34.9</v>
      </c>
      <c r="F17038" s="691">
        <v>35.299999999999997</v>
      </c>
      <c r="G17038" s="615">
        <v>36</v>
      </c>
      <c r="H17038" s="615">
        <v>36</v>
      </c>
      <c r="I17038" s="692" t="s">
        <v>4060</v>
      </c>
      <c r="J17038" s="692" t="s">
        <v>4060</v>
      </c>
      <c r="K17038" s="692" t="s">
        <v>4060</v>
      </c>
    </row>
    <row r="17039" spans="1:11">
      <c r="A17039" s="688" t="s">
        <v>2490</v>
      </c>
      <c r="B17039" s="689">
        <v>34.1</v>
      </c>
      <c r="C17039" s="689">
        <v>34.1</v>
      </c>
      <c r="D17039" s="689">
        <v>34.6</v>
      </c>
      <c r="E17039" s="690" t="s">
        <v>4060</v>
      </c>
      <c r="F17039" s="689">
        <v>34.799999999999997</v>
      </c>
      <c r="G17039" s="689">
        <v>35.200000000000003</v>
      </c>
      <c r="H17039" s="689">
        <v>35.799999999999997</v>
      </c>
      <c r="I17039" s="690" t="s">
        <v>4060</v>
      </c>
      <c r="J17039" s="690" t="s">
        <v>4060</v>
      </c>
      <c r="K17039" s="690" t="s">
        <v>4060</v>
      </c>
    </row>
    <row r="17041" spans="1:11">
      <c r="A17041" s="683" t="s">
        <v>4233</v>
      </c>
    </row>
    <row r="17042" spans="1:11">
      <c r="A17042" s="683" t="s">
        <v>4060</v>
      </c>
      <c r="B17042" s="682" t="s">
        <v>4234</v>
      </c>
    </row>
    <row r="17044" spans="1:11">
      <c r="A17044" s="682" t="s">
        <v>4332</v>
      </c>
    </row>
    <row r="17045" spans="1:11">
      <c r="A17045" s="682" t="s">
        <v>4210</v>
      </c>
      <c r="B17045" s="683" t="s">
        <v>4211</v>
      </c>
    </row>
    <row r="17046" spans="1:11">
      <c r="A17046" s="682" t="s">
        <v>4212</v>
      </c>
      <c r="B17046" s="682" t="s">
        <v>4213</v>
      </c>
    </row>
    <row r="17048" spans="1:11">
      <c r="A17048" s="683" t="s">
        <v>4214</v>
      </c>
      <c r="C17048" s="682" t="s">
        <v>4215</v>
      </c>
    </row>
    <row r="17049" spans="1:11">
      <c r="A17049" s="683" t="s">
        <v>4216</v>
      </c>
      <c r="C17049" s="682" t="s">
        <v>2967</v>
      </c>
    </row>
    <row r="17050" spans="1:11">
      <c r="A17050" s="683" t="s">
        <v>3893</v>
      </c>
      <c r="C17050" s="682" t="s">
        <v>2169</v>
      </c>
    </row>
    <row r="17051" spans="1:11">
      <c r="A17051" s="683" t="s">
        <v>4218</v>
      </c>
      <c r="C17051" s="682" t="s">
        <v>4281</v>
      </c>
    </row>
    <row r="17053" spans="1:11">
      <c r="A17053" s="684" t="s">
        <v>4220</v>
      </c>
      <c r="B17053" s="685" t="s">
        <v>4221</v>
      </c>
      <c r="C17053" s="685" t="s">
        <v>4222</v>
      </c>
      <c r="D17053" s="685" t="s">
        <v>4223</v>
      </c>
      <c r="E17053" s="685" t="s">
        <v>4224</v>
      </c>
      <c r="F17053" s="685" t="s">
        <v>4225</v>
      </c>
      <c r="G17053" s="685" t="s">
        <v>4226</v>
      </c>
      <c r="H17053" s="685" t="s">
        <v>4227</v>
      </c>
      <c r="I17053" s="685" t="s">
        <v>4228</v>
      </c>
      <c r="J17053" s="685" t="s">
        <v>4229</v>
      </c>
      <c r="K17053" s="685" t="s">
        <v>4230</v>
      </c>
    </row>
    <row r="17054" spans="1:11">
      <c r="A17054" s="686" t="s">
        <v>4231</v>
      </c>
      <c r="B17054" s="687" t="s">
        <v>4232</v>
      </c>
      <c r="C17054" s="687" t="s">
        <v>4232</v>
      </c>
      <c r="D17054" s="687" t="s">
        <v>4232</v>
      </c>
      <c r="E17054" s="687" t="s">
        <v>4232</v>
      </c>
      <c r="F17054" s="687" t="s">
        <v>4232</v>
      </c>
      <c r="G17054" s="687" t="s">
        <v>4232</v>
      </c>
      <c r="H17054" s="687" t="s">
        <v>4232</v>
      </c>
      <c r="I17054" s="687" t="s">
        <v>4232</v>
      </c>
      <c r="J17054" s="687" t="s">
        <v>4232</v>
      </c>
      <c r="K17054" s="687" t="s">
        <v>4232</v>
      </c>
    </row>
    <row r="17055" spans="1:11">
      <c r="A17055" s="688" t="s">
        <v>4064</v>
      </c>
      <c r="B17055" s="689">
        <v>38.4</v>
      </c>
      <c r="C17055" s="689">
        <v>38.4</v>
      </c>
      <c r="D17055" s="689">
        <v>38.299999999999997</v>
      </c>
      <c r="E17055" s="689">
        <v>38.5</v>
      </c>
      <c r="F17055" s="689">
        <v>38.4</v>
      </c>
      <c r="G17055" s="689">
        <v>38.5</v>
      </c>
      <c r="H17055" s="689">
        <v>38.700000000000003</v>
      </c>
      <c r="I17055" s="689">
        <v>38.1</v>
      </c>
      <c r="J17055" s="689">
        <v>37.799999999999997</v>
      </c>
      <c r="K17055" s="689">
        <v>38.200000000000003</v>
      </c>
    </row>
    <row r="17056" spans="1:11">
      <c r="A17056" s="688" t="s">
        <v>4065</v>
      </c>
      <c r="B17056" s="691">
        <v>38.4</v>
      </c>
      <c r="C17056" s="691">
        <v>38.700000000000003</v>
      </c>
      <c r="D17056" s="691">
        <v>38.299999999999997</v>
      </c>
      <c r="E17056" s="691">
        <v>38.700000000000003</v>
      </c>
      <c r="F17056" s="691">
        <v>38.6</v>
      </c>
      <c r="G17056" s="691">
        <v>38.700000000000003</v>
      </c>
      <c r="H17056" s="692" t="s">
        <v>4060</v>
      </c>
      <c r="I17056" s="692" t="s">
        <v>4060</v>
      </c>
      <c r="J17056" s="692" t="s">
        <v>4060</v>
      </c>
      <c r="K17056" s="692" t="s">
        <v>4060</v>
      </c>
    </row>
    <row r="17057" spans="1:11">
      <c r="A17057" s="688" t="s">
        <v>4063</v>
      </c>
      <c r="B17057" s="689">
        <v>38.4</v>
      </c>
      <c r="C17057" s="689">
        <v>38.700000000000003</v>
      </c>
      <c r="D17057" s="689">
        <v>38.299999999999997</v>
      </c>
      <c r="E17057" s="689">
        <v>38.700000000000003</v>
      </c>
      <c r="F17057" s="689">
        <v>38.6</v>
      </c>
      <c r="G17057" s="689">
        <v>38.700000000000003</v>
      </c>
      <c r="H17057" s="690" t="s">
        <v>4060</v>
      </c>
      <c r="I17057" s="690" t="s">
        <v>4060</v>
      </c>
      <c r="J17057" s="690" t="s">
        <v>4060</v>
      </c>
      <c r="K17057" s="690" t="s">
        <v>4060</v>
      </c>
    </row>
    <row r="17058" spans="1:11">
      <c r="A17058" s="688" t="s">
        <v>4069</v>
      </c>
      <c r="B17058" s="692" t="s">
        <v>4060</v>
      </c>
      <c r="C17058" s="691">
        <v>39.200000000000003</v>
      </c>
      <c r="D17058" s="691">
        <v>38.9</v>
      </c>
      <c r="E17058" s="691">
        <v>39.200000000000003</v>
      </c>
      <c r="F17058" s="691">
        <v>39.200000000000003</v>
      </c>
      <c r="G17058" s="691">
        <v>39.299999999999997</v>
      </c>
      <c r="H17058" s="691">
        <v>39.5</v>
      </c>
      <c r="I17058" s="691">
        <v>38.9</v>
      </c>
      <c r="J17058" s="691">
        <v>38.9</v>
      </c>
      <c r="K17058" s="615">
        <v>39</v>
      </c>
    </row>
    <row r="17059" spans="1:11">
      <c r="A17059" s="688" t="s">
        <v>4068</v>
      </c>
      <c r="B17059" s="689">
        <v>39.200000000000003</v>
      </c>
      <c r="C17059" s="690" t="s">
        <v>4060</v>
      </c>
      <c r="D17059" s="690" t="s">
        <v>4060</v>
      </c>
      <c r="E17059" s="690" t="s">
        <v>4060</v>
      </c>
      <c r="F17059" s="690" t="s">
        <v>4060</v>
      </c>
      <c r="G17059" s="690" t="s">
        <v>4060</v>
      </c>
      <c r="H17059" s="690" t="s">
        <v>4060</v>
      </c>
      <c r="I17059" s="690" t="s">
        <v>4060</v>
      </c>
      <c r="J17059" s="690" t="s">
        <v>4060</v>
      </c>
      <c r="K17059" s="690" t="s">
        <v>4060</v>
      </c>
    </row>
    <row r="17060" spans="1:11">
      <c r="A17060" s="688" t="s">
        <v>0</v>
      </c>
      <c r="B17060" s="691">
        <v>38.299999999999997</v>
      </c>
      <c r="C17060" s="691">
        <v>38.5</v>
      </c>
      <c r="D17060" s="691">
        <v>38.200000000000003</v>
      </c>
      <c r="E17060" s="691">
        <v>38.700000000000003</v>
      </c>
      <c r="F17060" s="691">
        <v>38.700000000000003</v>
      </c>
      <c r="G17060" s="691">
        <v>38.700000000000003</v>
      </c>
      <c r="H17060" s="615">
        <v>39</v>
      </c>
      <c r="I17060" s="615">
        <v>38</v>
      </c>
      <c r="J17060" s="615">
        <v>39</v>
      </c>
      <c r="K17060" s="691">
        <v>38.700000000000003</v>
      </c>
    </row>
    <row r="17061" spans="1:11">
      <c r="A17061" s="688" t="s">
        <v>1</v>
      </c>
      <c r="B17061" s="689">
        <v>34.299999999999997</v>
      </c>
      <c r="C17061" s="689">
        <v>33.799999999999997</v>
      </c>
      <c r="D17061" s="689">
        <v>33.799999999999997</v>
      </c>
      <c r="E17061" s="689">
        <v>34.1</v>
      </c>
      <c r="F17061" s="689">
        <v>33.9</v>
      </c>
      <c r="G17061" s="689">
        <v>34.1</v>
      </c>
      <c r="H17061" s="689">
        <v>34.299999999999997</v>
      </c>
      <c r="I17061" s="693">
        <v>33</v>
      </c>
      <c r="J17061" s="693">
        <v>31</v>
      </c>
      <c r="K17061" s="689">
        <v>33.6</v>
      </c>
    </row>
    <row r="17062" spans="1:11">
      <c r="A17062" s="688" t="s">
        <v>2240</v>
      </c>
      <c r="B17062" s="691">
        <v>36.299999999999997</v>
      </c>
      <c r="C17062" s="691">
        <v>36.6</v>
      </c>
      <c r="D17062" s="691">
        <v>36.4</v>
      </c>
      <c r="E17062" s="691">
        <v>36.9</v>
      </c>
      <c r="F17062" s="691">
        <v>36.799999999999997</v>
      </c>
      <c r="G17062" s="691">
        <v>36.799999999999997</v>
      </c>
      <c r="H17062" s="691">
        <v>37.1</v>
      </c>
      <c r="I17062" s="691">
        <v>36.200000000000003</v>
      </c>
      <c r="J17062" s="691">
        <v>35.5</v>
      </c>
      <c r="K17062" s="691">
        <v>36.9</v>
      </c>
    </row>
    <row r="17063" spans="1:11">
      <c r="A17063" s="688" t="s">
        <v>2</v>
      </c>
      <c r="B17063" s="689">
        <v>37.299999999999997</v>
      </c>
      <c r="C17063" s="689">
        <v>37.6</v>
      </c>
      <c r="D17063" s="689">
        <v>37.6</v>
      </c>
      <c r="E17063" s="689">
        <v>37.700000000000003</v>
      </c>
      <c r="F17063" s="693">
        <v>38</v>
      </c>
      <c r="G17063" s="689">
        <v>37.799999999999997</v>
      </c>
      <c r="H17063" s="689">
        <v>38.200000000000003</v>
      </c>
      <c r="I17063" s="689">
        <v>38.299999999999997</v>
      </c>
      <c r="J17063" s="689">
        <v>38.200000000000003</v>
      </c>
      <c r="K17063" s="693">
        <v>38</v>
      </c>
    </row>
    <row r="17064" spans="1:11">
      <c r="A17064" s="688" t="s">
        <v>3</v>
      </c>
      <c r="B17064" s="615">
        <v>38</v>
      </c>
      <c r="C17064" s="691">
        <v>38.299999999999997</v>
      </c>
      <c r="D17064" s="615">
        <v>38</v>
      </c>
      <c r="E17064" s="691">
        <v>38.299999999999997</v>
      </c>
      <c r="F17064" s="691">
        <v>38.200000000000003</v>
      </c>
      <c r="G17064" s="691">
        <v>38.200000000000003</v>
      </c>
      <c r="H17064" s="691">
        <v>38.5</v>
      </c>
      <c r="I17064" s="691">
        <v>38.299999999999997</v>
      </c>
      <c r="J17064" s="691">
        <v>38.1</v>
      </c>
      <c r="K17064" s="691">
        <v>37.9</v>
      </c>
    </row>
    <row r="17065" spans="1:11">
      <c r="A17065" s="688" t="s">
        <v>4061</v>
      </c>
      <c r="B17065" s="693">
        <v>38</v>
      </c>
      <c r="C17065" s="689">
        <v>38.299999999999997</v>
      </c>
      <c r="D17065" s="693">
        <v>38</v>
      </c>
      <c r="E17065" s="689">
        <v>38.299999999999997</v>
      </c>
      <c r="F17065" s="689">
        <v>38.200000000000003</v>
      </c>
      <c r="G17065" s="689">
        <v>38.200000000000003</v>
      </c>
      <c r="H17065" s="689">
        <v>38.5</v>
      </c>
      <c r="I17065" s="689">
        <v>38.299999999999997</v>
      </c>
      <c r="J17065" s="689">
        <v>38.1</v>
      </c>
      <c r="K17065" s="689">
        <v>37.9</v>
      </c>
    </row>
    <row r="17066" spans="1:11">
      <c r="A17066" s="688" t="s">
        <v>4</v>
      </c>
      <c r="B17066" s="615">
        <v>37</v>
      </c>
      <c r="C17066" s="691">
        <v>36.9</v>
      </c>
      <c r="D17066" s="691">
        <v>37.1</v>
      </c>
      <c r="E17066" s="691">
        <v>37.299999999999997</v>
      </c>
      <c r="F17066" s="691">
        <v>37.4</v>
      </c>
      <c r="G17066" s="691">
        <v>37.4</v>
      </c>
      <c r="H17066" s="691">
        <v>37.9</v>
      </c>
      <c r="I17066" s="691">
        <v>37.700000000000003</v>
      </c>
      <c r="J17066" s="691">
        <v>36.5</v>
      </c>
      <c r="K17066" s="691">
        <v>37.5</v>
      </c>
    </row>
    <row r="17067" spans="1:11">
      <c r="A17067" s="688" t="s">
        <v>8</v>
      </c>
      <c r="B17067" s="689">
        <v>38.1</v>
      </c>
      <c r="C17067" s="689">
        <v>38.200000000000003</v>
      </c>
      <c r="D17067" s="689">
        <v>38.200000000000003</v>
      </c>
      <c r="E17067" s="689">
        <v>38.299999999999997</v>
      </c>
      <c r="F17067" s="689">
        <v>38.700000000000003</v>
      </c>
      <c r="G17067" s="689">
        <v>38.799999999999997</v>
      </c>
      <c r="H17067" s="689">
        <v>39.200000000000003</v>
      </c>
      <c r="I17067" s="689">
        <v>38.9</v>
      </c>
      <c r="J17067" s="689">
        <v>38.9</v>
      </c>
      <c r="K17067" s="689">
        <v>38.9</v>
      </c>
    </row>
    <row r="17068" spans="1:11">
      <c r="A17068" s="688" t="s">
        <v>7</v>
      </c>
      <c r="B17068" s="615">
        <v>39</v>
      </c>
      <c r="C17068" s="691">
        <v>38.700000000000003</v>
      </c>
      <c r="D17068" s="691">
        <v>38.5</v>
      </c>
      <c r="E17068" s="691">
        <v>38.700000000000003</v>
      </c>
      <c r="F17068" s="691">
        <v>38.6</v>
      </c>
      <c r="G17068" s="691">
        <v>39.1</v>
      </c>
      <c r="H17068" s="615">
        <v>39</v>
      </c>
      <c r="I17068" s="691">
        <v>38.700000000000003</v>
      </c>
      <c r="J17068" s="691">
        <v>37.799999999999997</v>
      </c>
      <c r="K17068" s="691">
        <v>38.299999999999997</v>
      </c>
    </row>
    <row r="17069" spans="1:11">
      <c r="A17069" s="688" t="s">
        <v>27</v>
      </c>
      <c r="B17069" s="689">
        <v>40.9</v>
      </c>
      <c r="C17069" s="689">
        <v>40.5</v>
      </c>
      <c r="D17069" s="689">
        <v>40.1</v>
      </c>
      <c r="E17069" s="689">
        <v>40.6</v>
      </c>
      <c r="F17069" s="689">
        <v>40.5</v>
      </c>
      <c r="G17069" s="689">
        <v>40.6</v>
      </c>
      <c r="H17069" s="689">
        <v>40.9</v>
      </c>
      <c r="I17069" s="689">
        <v>39.799999999999997</v>
      </c>
      <c r="J17069" s="689">
        <v>40.6</v>
      </c>
      <c r="K17069" s="689">
        <v>40.5</v>
      </c>
    </row>
    <row r="17070" spans="1:11">
      <c r="A17070" s="688" t="s">
        <v>6</v>
      </c>
      <c r="B17070" s="691">
        <v>40.700000000000003</v>
      </c>
      <c r="C17070" s="691">
        <v>40.5</v>
      </c>
      <c r="D17070" s="691">
        <v>40.200000000000003</v>
      </c>
      <c r="E17070" s="691">
        <v>40.4</v>
      </c>
      <c r="F17070" s="691">
        <v>40.4</v>
      </c>
      <c r="G17070" s="691">
        <v>40.6</v>
      </c>
      <c r="H17070" s="691">
        <v>40.6</v>
      </c>
      <c r="I17070" s="691">
        <v>40.1</v>
      </c>
      <c r="J17070" s="691">
        <v>40.299999999999997</v>
      </c>
      <c r="K17070" s="691">
        <v>40.200000000000003</v>
      </c>
    </row>
    <row r="17071" spans="1:11">
      <c r="A17071" s="688" t="s">
        <v>4058</v>
      </c>
      <c r="B17071" s="690" t="s">
        <v>4060</v>
      </c>
      <c r="C17071" s="690" t="s">
        <v>4060</v>
      </c>
      <c r="D17071" s="690" t="s">
        <v>4060</v>
      </c>
      <c r="E17071" s="690" t="s">
        <v>4060</v>
      </c>
      <c r="F17071" s="690" t="s">
        <v>4060</v>
      </c>
      <c r="G17071" s="690" t="s">
        <v>4060</v>
      </c>
      <c r="H17071" s="690" t="s">
        <v>4060</v>
      </c>
      <c r="I17071" s="690" t="s">
        <v>4060</v>
      </c>
      <c r="J17071" s="690" t="s">
        <v>4060</v>
      </c>
      <c r="K17071" s="690" t="s">
        <v>4060</v>
      </c>
    </row>
    <row r="17072" spans="1:11">
      <c r="A17072" s="688" t="s">
        <v>11</v>
      </c>
      <c r="B17072" s="691">
        <v>36.1</v>
      </c>
      <c r="C17072" s="691">
        <v>35.9</v>
      </c>
      <c r="D17072" s="691">
        <v>35.5</v>
      </c>
      <c r="E17072" s="691">
        <v>36.1</v>
      </c>
      <c r="F17072" s="691">
        <v>35.799999999999997</v>
      </c>
      <c r="G17072" s="691">
        <v>36.200000000000003</v>
      </c>
      <c r="H17072" s="691">
        <v>36.299999999999997</v>
      </c>
      <c r="I17072" s="691">
        <v>35.700000000000003</v>
      </c>
      <c r="J17072" s="691">
        <v>34.9</v>
      </c>
      <c r="K17072" s="691">
        <v>35.799999999999997</v>
      </c>
    </row>
    <row r="17073" spans="1:11">
      <c r="A17073" s="688" t="s">
        <v>10</v>
      </c>
      <c r="B17073" s="689">
        <v>40.1</v>
      </c>
      <c r="C17073" s="689">
        <v>39.799999999999997</v>
      </c>
      <c r="D17073" s="689">
        <v>39.4</v>
      </c>
      <c r="E17073" s="693">
        <v>40</v>
      </c>
      <c r="F17073" s="689">
        <v>39.700000000000003</v>
      </c>
      <c r="G17073" s="693">
        <v>40</v>
      </c>
      <c r="H17073" s="689">
        <v>40.200000000000003</v>
      </c>
      <c r="I17073" s="689">
        <v>39.200000000000003</v>
      </c>
      <c r="J17073" s="689">
        <v>39.5</v>
      </c>
      <c r="K17073" s="689">
        <v>39.5</v>
      </c>
    </row>
    <row r="17074" spans="1:11">
      <c r="A17074" s="688" t="s">
        <v>30</v>
      </c>
      <c r="B17074" s="691">
        <v>39.5</v>
      </c>
      <c r="C17074" s="691">
        <v>38.9</v>
      </c>
      <c r="D17074" s="691">
        <v>38.6</v>
      </c>
      <c r="E17074" s="691">
        <v>39.5</v>
      </c>
      <c r="F17074" s="615">
        <v>39</v>
      </c>
      <c r="G17074" s="691">
        <v>39.5</v>
      </c>
      <c r="H17074" s="691">
        <v>39.4</v>
      </c>
      <c r="I17074" s="691">
        <v>39.299999999999997</v>
      </c>
      <c r="J17074" s="691">
        <v>38.5</v>
      </c>
      <c r="K17074" s="691">
        <v>38.799999999999997</v>
      </c>
    </row>
    <row r="17075" spans="1:11">
      <c r="A17075" s="688" t="s">
        <v>12</v>
      </c>
      <c r="B17075" s="689">
        <v>34.799999999999997</v>
      </c>
      <c r="C17075" s="693">
        <v>35</v>
      </c>
      <c r="D17075" s="689">
        <v>34.9</v>
      </c>
      <c r="E17075" s="689">
        <v>35.1</v>
      </c>
      <c r="F17075" s="689">
        <v>35.200000000000003</v>
      </c>
      <c r="G17075" s="689">
        <v>35.200000000000003</v>
      </c>
      <c r="H17075" s="689">
        <v>35.6</v>
      </c>
      <c r="I17075" s="689">
        <v>35.4</v>
      </c>
      <c r="J17075" s="689">
        <v>33.5</v>
      </c>
      <c r="K17075" s="689">
        <v>34.9</v>
      </c>
    </row>
    <row r="17076" spans="1:11">
      <c r="A17076" s="688" t="s">
        <v>14</v>
      </c>
      <c r="B17076" s="691">
        <v>35.299999999999997</v>
      </c>
      <c r="C17076" s="691">
        <v>35.5</v>
      </c>
      <c r="D17076" s="691">
        <v>35.299999999999997</v>
      </c>
      <c r="E17076" s="691">
        <v>35.5</v>
      </c>
      <c r="F17076" s="691">
        <v>35.799999999999997</v>
      </c>
      <c r="G17076" s="615">
        <v>36</v>
      </c>
      <c r="H17076" s="691">
        <v>36.299999999999997</v>
      </c>
      <c r="I17076" s="691">
        <v>35.299999999999997</v>
      </c>
      <c r="J17076" s="691">
        <v>34.299999999999997</v>
      </c>
      <c r="K17076" s="691">
        <v>35.5</v>
      </c>
    </row>
    <row r="17077" spans="1:11">
      <c r="A17077" s="688" t="s">
        <v>15</v>
      </c>
      <c r="B17077" s="693">
        <v>39</v>
      </c>
      <c r="C17077" s="689">
        <v>39.4</v>
      </c>
      <c r="D17077" s="689">
        <v>38.799999999999997</v>
      </c>
      <c r="E17077" s="689">
        <v>39.6</v>
      </c>
      <c r="F17077" s="689">
        <v>38.700000000000003</v>
      </c>
      <c r="G17077" s="689">
        <v>39.200000000000003</v>
      </c>
      <c r="H17077" s="689">
        <v>39.4</v>
      </c>
      <c r="I17077" s="689">
        <v>39.4</v>
      </c>
      <c r="J17077" s="689">
        <v>39.6</v>
      </c>
      <c r="K17077" s="689">
        <v>39.700000000000003</v>
      </c>
    </row>
    <row r="17078" spans="1:11">
      <c r="A17078" s="688" t="s">
        <v>29</v>
      </c>
      <c r="B17078" s="691">
        <v>34.4</v>
      </c>
      <c r="C17078" s="691">
        <v>34.4</v>
      </c>
      <c r="D17078" s="615">
        <v>34</v>
      </c>
      <c r="E17078" s="691">
        <v>34.6</v>
      </c>
      <c r="F17078" s="691">
        <v>34.299999999999997</v>
      </c>
      <c r="G17078" s="691">
        <v>34.5</v>
      </c>
      <c r="H17078" s="691">
        <v>34.6</v>
      </c>
      <c r="I17078" s="691">
        <v>33.9</v>
      </c>
      <c r="J17078" s="691">
        <v>32.799999999999997</v>
      </c>
      <c r="K17078" s="691">
        <v>34.299999999999997</v>
      </c>
    </row>
    <row r="17079" spans="1:11">
      <c r="A17079" s="688" t="s">
        <v>16</v>
      </c>
      <c r="B17079" s="693">
        <v>39</v>
      </c>
      <c r="C17079" s="689">
        <v>38.9</v>
      </c>
      <c r="D17079" s="689">
        <v>38.799999999999997</v>
      </c>
      <c r="E17079" s="689">
        <v>39.1</v>
      </c>
      <c r="F17079" s="689">
        <v>39.1</v>
      </c>
      <c r="G17079" s="689">
        <v>39.1</v>
      </c>
      <c r="H17079" s="689">
        <v>39.4</v>
      </c>
      <c r="I17079" s="693">
        <v>39</v>
      </c>
      <c r="J17079" s="689">
        <v>38.700000000000003</v>
      </c>
      <c r="K17079" s="693">
        <v>39</v>
      </c>
    </row>
    <row r="17080" spans="1:11">
      <c r="A17080" s="688" t="s">
        <v>17</v>
      </c>
      <c r="B17080" s="691">
        <v>38.200000000000003</v>
      </c>
      <c r="C17080" s="691">
        <v>38.299999999999997</v>
      </c>
      <c r="D17080" s="615">
        <v>38</v>
      </c>
      <c r="E17080" s="691">
        <v>38.1</v>
      </c>
      <c r="F17080" s="691">
        <v>38.200000000000003</v>
      </c>
      <c r="G17080" s="691">
        <v>38.200000000000003</v>
      </c>
      <c r="H17080" s="691">
        <v>38.5</v>
      </c>
      <c r="I17080" s="615">
        <v>38</v>
      </c>
      <c r="J17080" s="691">
        <v>37.9</v>
      </c>
      <c r="K17080" s="615">
        <v>38</v>
      </c>
    </row>
    <row r="17081" spans="1:11">
      <c r="A17081" s="688" t="s">
        <v>19</v>
      </c>
      <c r="B17081" s="689">
        <v>38.700000000000003</v>
      </c>
      <c r="C17081" s="689">
        <v>38.700000000000003</v>
      </c>
      <c r="D17081" s="689">
        <v>38.5</v>
      </c>
      <c r="E17081" s="689">
        <v>38.9</v>
      </c>
      <c r="F17081" s="689">
        <v>38.799999999999997</v>
      </c>
      <c r="G17081" s="689">
        <v>38.9</v>
      </c>
      <c r="H17081" s="689">
        <v>39.1</v>
      </c>
      <c r="I17081" s="689">
        <v>38.6</v>
      </c>
      <c r="J17081" s="689">
        <v>38.6</v>
      </c>
      <c r="K17081" s="689">
        <v>38.700000000000003</v>
      </c>
    </row>
    <row r="17082" spans="1:11">
      <c r="A17082" s="688" t="s">
        <v>20</v>
      </c>
      <c r="B17082" s="691">
        <v>36.4</v>
      </c>
      <c r="C17082" s="691">
        <v>36.6</v>
      </c>
      <c r="D17082" s="691">
        <v>36.4</v>
      </c>
      <c r="E17082" s="691">
        <v>36.799999999999997</v>
      </c>
      <c r="F17082" s="691">
        <v>36.700000000000003</v>
      </c>
      <c r="G17082" s="691">
        <v>36.6</v>
      </c>
      <c r="H17082" s="691">
        <v>36.799999999999997</v>
      </c>
      <c r="I17082" s="691">
        <v>35.700000000000003</v>
      </c>
      <c r="J17082" s="691">
        <v>34.700000000000003</v>
      </c>
      <c r="K17082" s="691">
        <v>36.200000000000003</v>
      </c>
    </row>
    <row r="17083" spans="1:11">
      <c r="A17083" s="688" t="s">
        <v>21</v>
      </c>
      <c r="B17083" s="693">
        <v>39</v>
      </c>
      <c r="C17083" s="689">
        <v>39.299999999999997</v>
      </c>
      <c r="D17083" s="689">
        <v>39.200000000000003</v>
      </c>
      <c r="E17083" s="689">
        <v>39.200000000000003</v>
      </c>
      <c r="F17083" s="689">
        <v>39.5</v>
      </c>
      <c r="G17083" s="689">
        <v>39.5</v>
      </c>
      <c r="H17083" s="689">
        <v>39.700000000000003</v>
      </c>
      <c r="I17083" s="689">
        <v>39.1</v>
      </c>
      <c r="J17083" s="689">
        <v>39.200000000000003</v>
      </c>
      <c r="K17083" s="689">
        <v>39.4</v>
      </c>
    </row>
    <row r="17084" spans="1:11">
      <c r="A17084" s="688" t="s">
        <v>22</v>
      </c>
      <c r="B17084" s="691">
        <v>34.5</v>
      </c>
      <c r="C17084" s="691">
        <v>34.299999999999997</v>
      </c>
      <c r="D17084" s="691">
        <v>34.200000000000003</v>
      </c>
      <c r="E17084" s="691">
        <v>34.5</v>
      </c>
      <c r="F17084" s="691">
        <v>34.5</v>
      </c>
      <c r="G17084" s="691">
        <v>34.6</v>
      </c>
      <c r="H17084" s="691">
        <v>34.9</v>
      </c>
      <c r="I17084" s="691">
        <v>33.700000000000003</v>
      </c>
      <c r="J17084" s="691">
        <v>32.200000000000003</v>
      </c>
      <c r="K17084" s="691">
        <v>34.6</v>
      </c>
    </row>
    <row r="17085" spans="1:11">
      <c r="A17085" s="688" t="s">
        <v>26</v>
      </c>
      <c r="B17085" s="689">
        <v>38.5</v>
      </c>
      <c r="C17085" s="689">
        <v>38.5</v>
      </c>
      <c r="D17085" s="689">
        <v>38.299999999999997</v>
      </c>
      <c r="E17085" s="689">
        <v>38.700000000000003</v>
      </c>
      <c r="F17085" s="689">
        <v>38.5</v>
      </c>
      <c r="G17085" s="689">
        <v>38.700000000000003</v>
      </c>
      <c r="H17085" s="689">
        <v>38.9</v>
      </c>
      <c r="I17085" s="689">
        <v>38.1</v>
      </c>
      <c r="J17085" s="689">
        <v>38.4</v>
      </c>
      <c r="K17085" s="689">
        <v>38.700000000000003</v>
      </c>
    </row>
    <row r="17086" spans="1:11">
      <c r="A17086" s="688" t="s">
        <v>25</v>
      </c>
      <c r="B17086" s="691">
        <v>35.5</v>
      </c>
      <c r="C17086" s="691">
        <v>35.700000000000003</v>
      </c>
      <c r="D17086" s="691">
        <v>35.4</v>
      </c>
      <c r="E17086" s="691">
        <v>35.9</v>
      </c>
      <c r="F17086" s="691">
        <v>35.799999999999997</v>
      </c>
      <c r="G17086" s="691">
        <v>35.9</v>
      </c>
      <c r="H17086" s="691">
        <v>36.4</v>
      </c>
      <c r="I17086" s="691">
        <v>35.6</v>
      </c>
      <c r="J17086" s="691">
        <v>33.5</v>
      </c>
      <c r="K17086" s="691">
        <v>35.700000000000003</v>
      </c>
    </row>
    <row r="17087" spans="1:11">
      <c r="A17087" s="688" t="s">
        <v>5</v>
      </c>
      <c r="B17087" s="689">
        <v>39.1</v>
      </c>
      <c r="C17087" s="689">
        <v>38.799999999999997</v>
      </c>
      <c r="D17087" s="693">
        <v>39</v>
      </c>
      <c r="E17087" s="693">
        <v>39</v>
      </c>
      <c r="F17087" s="689">
        <v>39.200000000000003</v>
      </c>
      <c r="G17087" s="689">
        <v>39.200000000000003</v>
      </c>
      <c r="H17087" s="689">
        <v>39.5</v>
      </c>
      <c r="I17087" s="689">
        <v>39.5</v>
      </c>
      <c r="J17087" s="689">
        <v>39.4</v>
      </c>
      <c r="K17087" s="689">
        <v>38.700000000000003</v>
      </c>
    </row>
    <row r="17088" spans="1:11">
      <c r="A17088" s="688" t="s">
        <v>23</v>
      </c>
      <c r="B17088" s="691">
        <v>38.700000000000003</v>
      </c>
      <c r="C17088" s="691">
        <v>38.9</v>
      </c>
      <c r="D17088" s="691">
        <v>38.9</v>
      </c>
      <c r="E17088" s="691">
        <v>38.9</v>
      </c>
      <c r="F17088" s="615">
        <v>39</v>
      </c>
      <c r="G17088" s="691">
        <v>39.1</v>
      </c>
      <c r="H17088" s="691">
        <v>39.6</v>
      </c>
      <c r="I17088" s="691">
        <v>39.1</v>
      </c>
      <c r="J17088" s="691">
        <v>39.6</v>
      </c>
      <c r="K17088" s="691">
        <v>39.5</v>
      </c>
    </row>
    <row r="17089" spans="1:11">
      <c r="A17089" s="688" t="s">
        <v>4067</v>
      </c>
      <c r="B17089" s="689">
        <v>38.4</v>
      </c>
      <c r="C17089" s="689">
        <v>38.700000000000003</v>
      </c>
      <c r="D17089" s="689">
        <v>38.299999999999997</v>
      </c>
      <c r="E17089" s="689">
        <v>38.700000000000003</v>
      </c>
      <c r="F17089" s="689">
        <v>38.6</v>
      </c>
      <c r="G17089" s="689">
        <v>38.700000000000003</v>
      </c>
      <c r="H17089" s="690" t="s">
        <v>4060</v>
      </c>
      <c r="I17089" s="690" t="s">
        <v>4060</v>
      </c>
      <c r="J17089" s="690" t="s">
        <v>4060</v>
      </c>
      <c r="K17089" s="690" t="s">
        <v>4060</v>
      </c>
    </row>
    <row r="17090" spans="1:11">
      <c r="A17090" s="688" t="s">
        <v>4066</v>
      </c>
      <c r="B17090" s="691">
        <v>38.4</v>
      </c>
      <c r="C17090" s="691">
        <v>38.700000000000003</v>
      </c>
      <c r="D17090" s="691">
        <v>38.299999999999997</v>
      </c>
      <c r="E17090" s="691">
        <v>38.700000000000003</v>
      </c>
      <c r="F17090" s="691">
        <v>38.6</v>
      </c>
      <c r="G17090" s="691">
        <v>38.700000000000003</v>
      </c>
      <c r="H17090" s="692" t="s">
        <v>4060</v>
      </c>
      <c r="I17090" s="692" t="s">
        <v>4060</v>
      </c>
      <c r="J17090" s="692" t="s">
        <v>4060</v>
      </c>
      <c r="K17090" s="692" t="s">
        <v>4060</v>
      </c>
    </row>
    <row r="17091" spans="1:11">
      <c r="A17091" s="688" t="s">
        <v>4062</v>
      </c>
      <c r="B17091" s="689">
        <v>39.4</v>
      </c>
      <c r="C17091" s="689">
        <v>39.6</v>
      </c>
      <c r="D17091" s="689">
        <v>39.4</v>
      </c>
      <c r="E17091" s="689">
        <v>39.700000000000003</v>
      </c>
      <c r="F17091" s="689">
        <v>39.799999999999997</v>
      </c>
      <c r="G17091" s="689">
        <v>39.9</v>
      </c>
      <c r="H17091" s="693">
        <v>40</v>
      </c>
      <c r="I17091" s="689">
        <v>39.799999999999997</v>
      </c>
      <c r="J17091" s="689">
        <v>40.1</v>
      </c>
      <c r="K17091" s="689">
        <v>39.799999999999997</v>
      </c>
    </row>
    <row r="17092" spans="1:11">
      <c r="A17092" s="688" t="s">
        <v>9</v>
      </c>
      <c r="B17092" s="691">
        <v>38.6</v>
      </c>
      <c r="C17092" s="691">
        <v>39.200000000000003</v>
      </c>
      <c r="D17092" s="691">
        <v>38.5</v>
      </c>
      <c r="E17092" s="691">
        <v>38.4</v>
      </c>
      <c r="F17092" s="615">
        <v>39</v>
      </c>
      <c r="G17092" s="615">
        <v>39</v>
      </c>
      <c r="H17092" s="691">
        <v>39.200000000000003</v>
      </c>
      <c r="I17092" s="691">
        <v>39.299999999999997</v>
      </c>
      <c r="J17092" s="691">
        <v>39.4</v>
      </c>
      <c r="K17092" s="691">
        <v>38.4</v>
      </c>
    </row>
    <row r="17093" spans="1:11">
      <c r="A17093" s="688" t="s">
        <v>13</v>
      </c>
      <c r="B17093" s="689">
        <v>39.799999999999997</v>
      </c>
      <c r="C17093" s="689">
        <v>38.1</v>
      </c>
      <c r="D17093" s="689">
        <v>39.200000000000003</v>
      </c>
      <c r="E17093" s="689">
        <v>39.200000000000003</v>
      </c>
      <c r="F17093" s="693">
        <v>40</v>
      </c>
      <c r="G17093" s="689">
        <v>40.1</v>
      </c>
      <c r="H17093" s="689">
        <v>39.799999999999997</v>
      </c>
      <c r="I17093" s="689">
        <v>39.1</v>
      </c>
      <c r="J17093" s="689">
        <v>40.299999999999997</v>
      </c>
      <c r="K17093" s="693">
        <v>40</v>
      </c>
    </row>
    <row r="17094" spans="1:11">
      <c r="A17094" s="688" t="s">
        <v>18</v>
      </c>
      <c r="B17094" s="691">
        <v>38.700000000000003</v>
      </c>
      <c r="C17094" s="691">
        <v>38.9</v>
      </c>
      <c r="D17094" s="615">
        <v>39</v>
      </c>
      <c r="E17094" s="615">
        <v>39</v>
      </c>
      <c r="F17094" s="691">
        <v>39.1</v>
      </c>
      <c r="G17094" s="691">
        <v>39.299999999999997</v>
      </c>
      <c r="H17094" s="691">
        <v>39.5</v>
      </c>
      <c r="I17094" s="691">
        <v>39.6</v>
      </c>
      <c r="J17094" s="691">
        <v>39.5</v>
      </c>
      <c r="K17094" s="691">
        <v>39.1</v>
      </c>
    </row>
    <row r="17095" spans="1:11">
      <c r="A17095" s="688" t="s">
        <v>24</v>
      </c>
      <c r="B17095" s="689">
        <v>39.9</v>
      </c>
      <c r="C17095" s="693">
        <v>40</v>
      </c>
      <c r="D17095" s="689">
        <v>39.799999999999997</v>
      </c>
      <c r="E17095" s="689">
        <v>40.200000000000003</v>
      </c>
      <c r="F17095" s="689">
        <v>40.200000000000003</v>
      </c>
      <c r="G17095" s="689">
        <v>40.299999999999997</v>
      </c>
      <c r="H17095" s="689">
        <v>40.4</v>
      </c>
      <c r="I17095" s="689">
        <v>39.9</v>
      </c>
      <c r="J17095" s="689">
        <v>40.4</v>
      </c>
      <c r="K17095" s="689">
        <v>40.200000000000003</v>
      </c>
    </row>
    <row r="17096" spans="1:11">
      <c r="A17096" s="688" t="s">
        <v>4059</v>
      </c>
      <c r="B17096" s="615">
        <v>38</v>
      </c>
      <c r="C17096" s="691">
        <v>38.299999999999997</v>
      </c>
      <c r="D17096" s="691">
        <v>37.9</v>
      </c>
      <c r="E17096" s="691">
        <v>38.200000000000003</v>
      </c>
      <c r="F17096" s="691">
        <v>38.200000000000003</v>
      </c>
      <c r="G17096" s="691">
        <v>38.200000000000003</v>
      </c>
      <c r="H17096" s="692" t="s">
        <v>4060</v>
      </c>
      <c r="I17096" s="692" t="s">
        <v>4060</v>
      </c>
      <c r="J17096" s="692" t="s">
        <v>4060</v>
      </c>
      <c r="K17096" s="692" t="s">
        <v>4060</v>
      </c>
    </row>
    <row r="17097" spans="1:11">
      <c r="A17097" s="688" t="s">
        <v>2324</v>
      </c>
      <c r="B17097" s="689">
        <v>34.200000000000003</v>
      </c>
      <c r="C17097" s="689">
        <v>34.299999999999997</v>
      </c>
      <c r="D17097" s="689">
        <v>33.700000000000003</v>
      </c>
      <c r="E17097" s="689">
        <v>34.1</v>
      </c>
      <c r="F17097" s="689">
        <v>34.4</v>
      </c>
      <c r="G17097" s="689">
        <v>34.200000000000003</v>
      </c>
      <c r="H17097" s="689">
        <v>34.5</v>
      </c>
      <c r="I17097" s="689">
        <v>33.9</v>
      </c>
      <c r="J17097" s="693">
        <v>32</v>
      </c>
      <c r="K17097" s="690" t="s">
        <v>4060</v>
      </c>
    </row>
    <row r="17098" spans="1:11">
      <c r="A17098" s="688" t="s">
        <v>2322</v>
      </c>
      <c r="B17098" s="692" t="s">
        <v>4060</v>
      </c>
      <c r="C17098" s="692" t="s">
        <v>4060</v>
      </c>
      <c r="D17098" s="692" t="s">
        <v>4060</v>
      </c>
      <c r="E17098" s="692" t="s">
        <v>4060</v>
      </c>
      <c r="F17098" s="692" t="s">
        <v>4060</v>
      </c>
      <c r="G17098" s="692" t="s">
        <v>4060</v>
      </c>
      <c r="H17098" s="692" t="s">
        <v>4060</v>
      </c>
      <c r="I17098" s="692" t="s">
        <v>4060</v>
      </c>
      <c r="J17098" s="692" t="s">
        <v>4060</v>
      </c>
      <c r="K17098" s="692" t="s">
        <v>4060</v>
      </c>
    </row>
    <row r="17099" spans="1:11">
      <c r="A17099" s="688" t="s">
        <v>2328</v>
      </c>
      <c r="B17099" s="689">
        <v>33.200000000000003</v>
      </c>
      <c r="C17099" s="693">
        <v>33</v>
      </c>
      <c r="D17099" s="689">
        <v>32.9</v>
      </c>
      <c r="E17099" s="689">
        <v>33.299999999999997</v>
      </c>
      <c r="F17099" s="689">
        <v>33.4</v>
      </c>
      <c r="G17099" s="689">
        <v>33.9</v>
      </c>
      <c r="H17099" s="689">
        <v>33.700000000000003</v>
      </c>
      <c r="I17099" s="693">
        <v>32</v>
      </c>
      <c r="J17099" s="689">
        <v>30.9</v>
      </c>
      <c r="K17099" s="690" t="s">
        <v>4060</v>
      </c>
    </row>
    <row r="17100" spans="1:11">
      <c r="A17100" s="688" t="s">
        <v>2496</v>
      </c>
      <c r="B17100" s="692" t="s">
        <v>4060</v>
      </c>
      <c r="C17100" s="691">
        <v>34.200000000000003</v>
      </c>
      <c r="D17100" s="691">
        <v>33.299999999999997</v>
      </c>
      <c r="E17100" s="691">
        <v>33.1</v>
      </c>
      <c r="F17100" s="691">
        <v>33.700000000000003</v>
      </c>
      <c r="G17100" s="691">
        <v>33.9</v>
      </c>
      <c r="H17100" s="615">
        <v>34</v>
      </c>
      <c r="I17100" s="692" t="s">
        <v>4060</v>
      </c>
      <c r="J17100" s="692" t="s">
        <v>4060</v>
      </c>
      <c r="K17100" s="691">
        <v>33.700000000000003</v>
      </c>
    </row>
    <row r="17101" spans="1:11">
      <c r="A17101" s="688" t="s">
        <v>2269</v>
      </c>
      <c r="B17101" s="689">
        <v>35.799999999999997</v>
      </c>
      <c r="C17101" s="693">
        <v>36</v>
      </c>
      <c r="D17101" s="689">
        <v>35.299999999999997</v>
      </c>
      <c r="E17101" s="689">
        <v>35.799999999999997</v>
      </c>
      <c r="F17101" s="689">
        <v>35.6</v>
      </c>
      <c r="G17101" s="689">
        <v>36.1</v>
      </c>
      <c r="H17101" s="689">
        <v>36.299999999999997</v>
      </c>
      <c r="I17101" s="689">
        <v>35.1</v>
      </c>
      <c r="J17101" s="689">
        <v>33.1</v>
      </c>
      <c r="K17101" s="693">
        <v>36</v>
      </c>
    </row>
    <row r="17102" spans="1:11">
      <c r="A17102" s="688" t="s">
        <v>2349</v>
      </c>
      <c r="B17102" s="691">
        <v>33.299999999999997</v>
      </c>
      <c r="C17102" s="691">
        <v>33.299999999999997</v>
      </c>
      <c r="D17102" s="691">
        <v>33.200000000000003</v>
      </c>
      <c r="E17102" s="691">
        <v>33.6</v>
      </c>
      <c r="F17102" s="691">
        <v>33.4</v>
      </c>
      <c r="G17102" s="691">
        <v>33.700000000000003</v>
      </c>
      <c r="H17102" s="691">
        <v>33.799999999999997</v>
      </c>
      <c r="I17102" s="691">
        <v>32.700000000000003</v>
      </c>
      <c r="J17102" s="691">
        <v>31.1</v>
      </c>
      <c r="K17102" s="691">
        <v>33.1</v>
      </c>
    </row>
    <row r="17103" spans="1:11">
      <c r="A17103" s="688" t="s">
        <v>2355</v>
      </c>
      <c r="B17103" s="693">
        <v>37</v>
      </c>
      <c r="C17103" s="689">
        <v>36.799999999999997</v>
      </c>
      <c r="D17103" s="689">
        <v>36.799999999999997</v>
      </c>
      <c r="E17103" s="689">
        <v>36.700000000000003</v>
      </c>
      <c r="F17103" s="689">
        <v>36.9</v>
      </c>
      <c r="G17103" s="689">
        <v>37.299999999999997</v>
      </c>
      <c r="H17103" s="689">
        <v>37.4</v>
      </c>
      <c r="I17103" s="690" t="s">
        <v>4060</v>
      </c>
      <c r="J17103" s="690" t="s">
        <v>4060</v>
      </c>
      <c r="K17103" s="690" t="s">
        <v>4060</v>
      </c>
    </row>
    <row r="17104" spans="1:11">
      <c r="A17104" s="688" t="s">
        <v>2357</v>
      </c>
      <c r="B17104" s="692" t="s">
        <v>4060</v>
      </c>
      <c r="C17104" s="691">
        <v>33.200000000000003</v>
      </c>
      <c r="D17104" s="691">
        <v>33.6</v>
      </c>
      <c r="E17104" s="691">
        <v>33.799999999999997</v>
      </c>
      <c r="F17104" s="691">
        <v>34.1</v>
      </c>
      <c r="G17104" s="691">
        <v>34.1</v>
      </c>
      <c r="H17104" s="691">
        <v>34.299999999999997</v>
      </c>
      <c r="I17104" s="692" t="s">
        <v>4060</v>
      </c>
      <c r="J17104" s="692" t="s">
        <v>4060</v>
      </c>
      <c r="K17104" s="692" t="s">
        <v>4060</v>
      </c>
    </row>
    <row r="17105" spans="1:11">
      <c r="A17105" s="688" t="s">
        <v>4070</v>
      </c>
      <c r="B17105" s="690" t="s">
        <v>4060</v>
      </c>
      <c r="C17105" s="690" t="s">
        <v>4060</v>
      </c>
      <c r="D17105" s="690" t="s">
        <v>4060</v>
      </c>
      <c r="E17105" s="689">
        <v>36.799999999999997</v>
      </c>
      <c r="F17105" s="690" t="s">
        <v>4060</v>
      </c>
      <c r="G17105" s="690" t="s">
        <v>4060</v>
      </c>
      <c r="H17105" s="690" t="s">
        <v>4060</v>
      </c>
      <c r="I17105" s="690" t="s">
        <v>4060</v>
      </c>
      <c r="J17105" s="690" t="s">
        <v>4060</v>
      </c>
      <c r="K17105" s="690" t="s">
        <v>4060</v>
      </c>
    </row>
    <row r="17106" spans="1:11">
      <c r="A17106" s="688" t="s">
        <v>2491</v>
      </c>
      <c r="B17106" s="691">
        <v>33.799999999999997</v>
      </c>
      <c r="C17106" s="691">
        <v>34.299999999999997</v>
      </c>
      <c r="D17106" s="691">
        <v>34.5</v>
      </c>
      <c r="E17106" s="691">
        <v>34.700000000000003</v>
      </c>
      <c r="F17106" s="691">
        <v>34.799999999999997</v>
      </c>
      <c r="G17106" s="691">
        <v>34.799999999999997</v>
      </c>
      <c r="H17106" s="692" t="s">
        <v>4060</v>
      </c>
      <c r="I17106" s="692" t="s">
        <v>4060</v>
      </c>
      <c r="J17106" s="692" t="s">
        <v>4060</v>
      </c>
      <c r="K17106" s="692" t="s">
        <v>4060</v>
      </c>
    </row>
    <row r="17107" spans="1:11">
      <c r="A17107" s="688" t="s">
        <v>2343</v>
      </c>
      <c r="B17107" s="690" t="s">
        <v>4060</v>
      </c>
      <c r="C17107" s="690" t="s">
        <v>4060</v>
      </c>
      <c r="D17107" s="690" t="s">
        <v>4060</v>
      </c>
      <c r="E17107" s="690" t="s">
        <v>4060</v>
      </c>
      <c r="F17107" s="690" t="s">
        <v>4060</v>
      </c>
      <c r="G17107" s="690" t="s">
        <v>4060</v>
      </c>
      <c r="H17107" s="690" t="s">
        <v>4060</v>
      </c>
      <c r="I17107" s="690" t="s">
        <v>4060</v>
      </c>
      <c r="J17107" s="690" t="s">
        <v>4060</v>
      </c>
      <c r="K17107" s="690" t="s">
        <v>4060</v>
      </c>
    </row>
    <row r="17108" spans="1:11">
      <c r="A17108" s="688" t="s">
        <v>4071</v>
      </c>
      <c r="B17108" s="692" t="s">
        <v>4060</v>
      </c>
      <c r="C17108" s="692" t="s">
        <v>4060</v>
      </c>
      <c r="D17108" s="692" t="s">
        <v>4060</v>
      </c>
      <c r="E17108" s="692" t="s">
        <v>4060</v>
      </c>
      <c r="F17108" s="692" t="s">
        <v>4060</v>
      </c>
      <c r="G17108" s="692" t="s">
        <v>4060</v>
      </c>
      <c r="H17108" s="692" t="s">
        <v>4060</v>
      </c>
      <c r="I17108" s="692" t="s">
        <v>4060</v>
      </c>
      <c r="J17108" s="692" t="s">
        <v>4060</v>
      </c>
      <c r="K17108" s="692" t="s">
        <v>4060</v>
      </c>
    </row>
    <row r="17109" spans="1:11">
      <c r="A17109" s="688" t="s">
        <v>2489</v>
      </c>
      <c r="B17109" s="690" t="s">
        <v>4060</v>
      </c>
      <c r="C17109" s="690" t="s">
        <v>4060</v>
      </c>
      <c r="D17109" s="689">
        <v>33.9</v>
      </c>
      <c r="E17109" s="689">
        <v>33.9</v>
      </c>
      <c r="F17109" s="689">
        <v>34.299999999999997</v>
      </c>
      <c r="G17109" s="689">
        <v>35.1</v>
      </c>
      <c r="H17109" s="693">
        <v>35</v>
      </c>
      <c r="I17109" s="690" t="s">
        <v>4060</v>
      </c>
      <c r="J17109" s="690" t="s">
        <v>4060</v>
      </c>
      <c r="K17109" s="690" t="s">
        <v>4060</v>
      </c>
    </row>
    <row r="17110" spans="1:11">
      <c r="A17110" s="688" t="s">
        <v>2490</v>
      </c>
      <c r="B17110" s="691">
        <v>33.200000000000003</v>
      </c>
      <c r="C17110" s="691">
        <v>33.200000000000003</v>
      </c>
      <c r="D17110" s="691">
        <v>33.700000000000003</v>
      </c>
      <c r="E17110" s="692" t="s">
        <v>4060</v>
      </c>
      <c r="F17110" s="691">
        <v>33.9</v>
      </c>
      <c r="G17110" s="691">
        <v>34.200000000000003</v>
      </c>
      <c r="H17110" s="691">
        <v>34.9</v>
      </c>
      <c r="I17110" s="692" t="s">
        <v>4060</v>
      </c>
      <c r="J17110" s="692" t="s">
        <v>4060</v>
      </c>
      <c r="K17110" s="692" t="s">
        <v>4060</v>
      </c>
    </row>
    <row r="17112" spans="1:11">
      <c r="A17112" s="683" t="s">
        <v>4233</v>
      </c>
    </row>
    <row r="17113" spans="1:11">
      <c r="A17113" s="683" t="s">
        <v>4060</v>
      </c>
      <c r="B17113" s="682" t="s">
        <v>4234</v>
      </c>
    </row>
    <row r="17115" spans="1:11">
      <c r="A17115" s="682" t="s">
        <v>4332</v>
      </c>
    </row>
    <row r="17116" spans="1:11">
      <c r="A17116" s="682" t="s">
        <v>4210</v>
      </c>
      <c r="B17116" s="683" t="s">
        <v>4211</v>
      </c>
    </row>
    <row r="17117" spans="1:11">
      <c r="A17117" s="682" t="s">
        <v>4212</v>
      </c>
      <c r="B17117" s="682" t="s">
        <v>4213</v>
      </c>
    </row>
    <row r="17119" spans="1:11">
      <c r="A17119" s="683" t="s">
        <v>4214</v>
      </c>
      <c r="C17119" s="682" t="s">
        <v>4215</v>
      </c>
    </row>
    <row r="17120" spans="1:11">
      <c r="A17120" s="683" t="s">
        <v>4216</v>
      </c>
      <c r="C17120" s="682" t="s">
        <v>2967</v>
      </c>
    </row>
    <row r="17121" spans="1:11">
      <c r="A17121" s="683" t="s">
        <v>3893</v>
      </c>
      <c r="C17121" s="682" t="s">
        <v>2169</v>
      </c>
    </row>
    <row r="17122" spans="1:11">
      <c r="A17122" s="683" t="s">
        <v>4218</v>
      </c>
      <c r="C17122" s="682" t="s">
        <v>4282</v>
      </c>
    </row>
    <row r="17124" spans="1:11">
      <c r="A17124" s="684" t="s">
        <v>4220</v>
      </c>
      <c r="B17124" s="685" t="s">
        <v>4221</v>
      </c>
      <c r="C17124" s="685" t="s">
        <v>4222</v>
      </c>
      <c r="D17124" s="685" t="s">
        <v>4223</v>
      </c>
      <c r="E17124" s="685" t="s">
        <v>4224</v>
      </c>
      <c r="F17124" s="685" t="s">
        <v>4225</v>
      </c>
      <c r="G17124" s="685" t="s">
        <v>4226</v>
      </c>
      <c r="H17124" s="685" t="s">
        <v>4227</v>
      </c>
      <c r="I17124" s="685" t="s">
        <v>4228</v>
      </c>
      <c r="J17124" s="685" t="s">
        <v>4229</v>
      </c>
      <c r="K17124" s="685" t="s">
        <v>4230</v>
      </c>
    </row>
    <row r="17125" spans="1:11">
      <c r="A17125" s="686" t="s">
        <v>4231</v>
      </c>
      <c r="B17125" s="687" t="s">
        <v>4232</v>
      </c>
      <c r="C17125" s="687" t="s">
        <v>4232</v>
      </c>
      <c r="D17125" s="687" t="s">
        <v>4232</v>
      </c>
      <c r="E17125" s="687" t="s">
        <v>4232</v>
      </c>
      <c r="F17125" s="687" t="s">
        <v>4232</v>
      </c>
      <c r="G17125" s="687" t="s">
        <v>4232</v>
      </c>
      <c r="H17125" s="687" t="s">
        <v>4232</v>
      </c>
      <c r="I17125" s="687" t="s">
        <v>4232</v>
      </c>
      <c r="J17125" s="687" t="s">
        <v>4232</v>
      </c>
      <c r="K17125" s="687" t="s">
        <v>4232</v>
      </c>
    </row>
    <row r="17126" spans="1:11">
      <c r="A17126" s="688" t="s">
        <v>4064</v>
      </c>
      <c r="B17126" s="691">
        <v>37.5</v>
      </c>
      <c r="C17126" s="691">
        <v>37.4</v>
      </c>
      <c r="D17126" s="691">
        <v>37.4</v>
      </c>
      <c r="E17126" s="691">
        <v>37.5</v>
      </c>
      <c r="F17126" s="691">
        <v>37.5</v>
      </c>
      <c r="G17126" s="691">
        <v>37.6</v>
      </c>
      <c r="H17126" s="691">
        <v>37.799999999999997</v>
      </c>
      <c r="I17126" s="691">
        <v>37.1</v>
      </c>
      <c r="J17126" s="691">
        <v>36.9</v>
      </c>
      <c r="K17126" s="691">
        <v>37.299999999999997</v>
      </c>
    </row>
    <row r="17127" spans="1:11">
      <c r="A17127" s="688" t="s">
        <v>4065</v>
      </c>
      <c r="B17127" s="689">
        <v>37.4</v>
      </c>
      <c r="C17127" s="689">
        <v>37.700000000000003</v>
      </c>
      <c r="D17127" s="689">
        <v>37.299999999999997</v>
      </c>
      <c r="E17127" s="689">
        <v>37.700000000000003</v>
      </c>
      <c r="F17127" s="689">
        <v>37.6</v>
      </c>
      <c r="G17127" s="689">
        <v>37.700000000000003</v>
      </c>
      <c r="H17127" s="690" t="s">
        <v>4060</v>
      </c>
      <c r="I17127" s="690" t="s">
        <v>4060</v>
      </c>
      <c r="J17127" s="690" t="s">
        <v>4060</v>
      </c>
      <c r="K17127" s="690" t="s">
        <v>4060</v>
      </c>
    </row>
    <row r="17128" spans="1:11">
      <c r="A17128" s="688" t="s">
        <v>4063</v>
      </c>
      <c r="B17128" s="691">
        <v>37.4</v>
      </c>
      <c r="C17128" s="691">
        <v>37.799999999999997</v>
      </c>
      <c r="D17128" s="691">
        <v>37.4</v>
      </c>
      <c r="E17128" s="691">
        <v>37.799999999999997</v>
      </c>
      <c r="F17128" s="691">
        <v>37.6</v>
      </c>
      <c r="G17128" s="691">
        <v>37.700000000000003</v>
      </c>
      <c r="H17128" s="692" t="s">
        <v>4060</v>
      </c>
      <c r="I17128" s="692" t="s">
        <v>4060</v>
      </c>
      <c r="J17128" s="692" t="s">
        <v>4060</v>
      </c>
      <c r="K17128" s="692" t="s">
        <v>4060</v>
      </c>
    </row>
    <row r="17129" spans="1:11">
      <c r="A17129" s="688" t="s">
        <v>4069</v>
      </c>
      <c r="B17129" s="690" t="s">
        <v>4060</v>
      </c>
      <c r="C17129" s="689">
        <v>38.200000000000003</v>
      </c>
      <c r="D17129" s="689">
        <v>37.9</v>
      </c>
      <c r="E17129" s="689">
        <v>38.299999999999997</v>
      </c>
      <c r="F17129" s="689">
        <v>38.200000000000003</v>
      </c>
      <c r="G17129" s="689">
        <v>38.299999999999997</v>
      </c>
      <c r="H17129" s="689">
        <v>38.5</v>
      </c>
      <c r="I17129" s="693">
        <v>38</v>
      </c>
      <c r="J17129" s="693">
        <v>38</v>
      </c>
      <c r="K17129" s="693">
        <v>38</v>
      </c>
    </row>
    <row r="17130" spans="1:11">
      <c r="A17130" s="688" t="s">
        <v>4068</v>
      </c>
      <c r="B17130" s="691">
        <v>38.299999999999997</v>
      </c>
      <c r="C17130" s="692" t="s">
        <v>4060</v>
      </c>
      <c r="D17130" s="692" t="s">
        <v>4060</v>
      </c>
      <c r="E17130" s="692" t="s">
        <v>4060</v>
      </c>
      <c r="F17130" s="692" t="s">
        <v>4060</v>
      </c>
      <c r="G17130" s="692" t="s">
        <v>4060</v>
      </c>
      <c r="H17130" s="692" t="s">
        <v>4060</v>
      </c>
      <c r="I17130" s="692" t="s">
        <v>4060</v>
      </c>
      <c r="J17130" s="692" t="s">
        <v>4060</v>
      </c>
      <c r="K17130" s="692" t="s">
        <v>4060</v>
      </c>
    </row>
    <row r="17131" spans="1:11">
      <c r="A17131" s="688" t="s">
        <v>0</v>
      </c>
      <c r="B17131" s="689">
        <v>37.4</v>
      </c>
      <c r="C17131" s="689">
        <v>37.6</v>
      </c>
      <c r="D17131" s="689">
        <v>37.299999999999997</v>
      </c>
      <c r="E17131" s="689">
        <v>37.700000000000003</v>
      </c>
      <c r="F17131" s="689">
        <v>37.700000000000003</v>
      </c>
      <c r="G17131" s="689">
        <v>37.799999999999997</v>
      </c>
      <c r="H17131" s="689">
        <v>38.1</v>
      </c>
      <c r="I17131" s="689">
        <v>37.1</v>
      </c>
      <c r="J17131" s="689">
        <v>38.1</v>
      </c>
      <c r="K17131" s="689">
        <v>37.799999999999997</v>
      </c>
    </row>
    <row r="17132" spans="1:11">
      <c r="A17132" s="688" t="s">
        <v>1</v>
      </c>
      <c r="B17132" s="691">
        <v>33.4</v>
      </c>
      <c r="C17132" s="691">
        <v>32.9</v>
      </c>
      <c r="D17132" s="691">
        <v>32.9</v>
      </c>
      <c r="E17132" s="691">
        <v>33.1</v>
      </c>
      <c r="F17132" s="615">
        <v>33</v>
      </c>
      <c r="G17132" s="691">
        <v>33.200000000000003</v>
      </c>
      <c r="H17132" s="691">
        <v>33.4</v>
      </c>
      <c r="I17132" s="691">
        <v>32.1</v>
      </c>
      <c r="J17132" s="691">
        <v>30.1</v>
      </c>
      <c r="K17132" s="691">
        <v>32.700000000000003</v>
      </c>
    </row>
    <row r="17133" spans="1:11">
      <c r="A17133" s="688" t="s">
        <v>2240</v>
      </c>
      <c r="B17133" s="689">
        <v>35.299999999999997</v>
      </c>
      <c r="C17133" s="689">
        <v>35.700000000000003</v>
      </c>
      <c r="D17133" s="689">
        <v>35.4</v>
      </c>
      <c r="E17133" s="689">
        <v>35.9</v>
      </c>
      <c r="F17133" s="689">
        <v>35.799999999999997</v>
      </c>
      <c r="G17133" s="689">
        <v>35.9</v>
      </c>
      <c r="H17133" s="689">
        <v>36.1</v>
      </c>
      <c r="I17133" s="689">
        <v>35.299999999999997</v>
      </c>
      <c r="J17133" s="689">
        <v>34.6</v>
      </c>
      <c r="K17133" s="689">
        <v>35.9</v>
      </c>
    </row>
    <row r="17134" spans="1:11">
      <c r="A17134" s="688" t="s">
        <v>2</v>
      </c>
      <c r="B17134" s="691">
        <v>36.4</v>
      </c>
      <c r="C17134" s="691">
        <v>36.6</v>
      </c>
      <c r="D17134" s="691">
        <v>36.6</v>
      </c>
      <c r="E17134" s="691">
        <v>36.700000000000003</v>
      </c>
      <c r="F17134" s="615">
        <v>37</v>
      </c>
      <c r="G17134" s="691">
        <v>36.9</v>
      </c>
      <c r="H17134" s="691">
        <v>37.200000000000003</v>
      </c>
      <c r="I17134" s="691">
        <v>37.4</v>
      </c>
      <c r="J17134" s="691">
        <v>37.200000000000003</v>
      </c>
      <c r="K17134" s="615">
        <v>37</v>
      </c>
    </row>
    <row r="17135" spans="1:11">
      <c r="A17135" s="688" t="s">
        <v>3</v>
      </c>
      <c r="B17135" s="689">
        <v>37.1</v>
      </c>
      <c r="C17135" s="689">
        <v>37.299999999999997</v>
      </c>
      <c r="D17135" s="693">
        <v>37</v>
      </c>
      <c r="E17135" s="689">
        <v>37.299999999999997</v>
      </c>
      <c r="F17135" s="689">
        <v>37.299999999999997</v>
      </c>
      <c r="G17135" s="689">
        <v>37.200000000000003</v>
      </c>
      <c r="H17135" s="689">
        <v>37.5</v>
      </c>
      <c r="I17135" s="689">
        <v>37.4</v>
      </c>
      <c r="J17135" s="689">
        <v>37.1</v>
      </c>
      <c r="K17135" s="689">
        <v>36.9</v>
      </c>
    </row>
    <row r="17136" spans="1:11">
      <c r="A17136" s="688" t="s">
        <v>4061</v>
      </c>
      <c r="B17136" s="691">
        <v>37.1</v>
      </c>
      <c r="C17136" s="691">
        <v>37.299999999999997</v>
      </c>
      <c r="D17136" s="615">
        <v>37</v>
      </c>
      <c r="E17136" s="691">
        <v>37.299999999999997</v>
      </c>
      <c r="F17136" s="691">
        <v>37.299999999999997</v>
      </c>
      <c r="G17136" s="691">
        <v>37.200000000000003</v>
      </c>
      <c r="H17136" s="691">
        <v>37.5</v>
      </c>
      <c r="I17136" s="691">
        <v>37.4</v>
      </c>
      <c r="J17136" s="691">
        <v>37.1</v>
      </c>
      <c r="K17136" s="691">
        <v>36.9</v>
      </c>
    </row>
    <row r="17137" spans="1:11">
      <c r="A17137" s="688" t="s">
        <v>4</v>
      </c>
      <c r="B17137" s="689">
        <v>36.1</v>
      </c>
      <c r="C17137" s="689">
        <v>35.9</v>
      </c>
      <c r="D17137" s="689">
        <v>36.200000000000003</v>
      </c>
      <c r="E17137" s="689">
        <v>36.4</v>
      </c>
      <c r="F17137" s="689">
        <v>36.5</v>
      </c>
      <c r="G17137" s="689">
        <v>36.5</v>
      </c>
      <c r="H17137" s="693">
        <v>37</v>
      </c>
      <c r="I17137" s="689">
        <v>36.799999999999997</v>
      </c>
      <c r="J17137" s="689">
        <v>35.6</v>
      </c>
      <c r="K17137" s="689">
        <v>36.6</v>
      </c>
    </row>
    <row r="17138" spans="1:11">
      <c r="A17138" s="688" t="s">
        <v>8</v>
      </c>
      <c r="B17138" s="691">
        <v>37.1</v>
      </c>
      <c r="C17138" s="691">
        <v>37.200000000000003</v>
      </c>
      <c r="D17138" s="691">
        <v>37.200000000000003</v>
      </c>
      <c r="E17138" s="691">
        <v>37.299999999999997</v>
      </c>
      <c r="F17138" s="691">
        <v>37.700000000000003</v>
      </c>
      <c r="G17138" s="691">
        <v>37.799999999999997</v>
      </c>
      <c r="H17138" s="691">
        <v>38.200000000000003</v>
      </c>
      <c r="I17138" s="615">
        <v>38</v>
      </c>
      <c r="J17138" s="691">
        <v>37.9</v>
      </c>
      <c r="K17138" s="691">
        <v>37.9</v>
      </c>
    </row>
    <row r="17139" spans="1:11">
      <c r="A17139" s="688" t="s">
        <v>7</v>
      </c>
      <c r="B17139" s="693">
        <v>38</v>
      </c>
      <c r="C17139" s="689">
        <v>37.799999999999997</v>
      </c>
      <c r="D17139" s="689">
        <v>37.6</v>
      </c>
      <c r="E17139" s="689">
        <v>37.799999999999997</v>
      </c>
      <c r="F17139" s="689">
        <v>37.700000000000003</v>
      </c>
      <c r="G17139" s="689">
        <v>38.200000000000003</v>
      </c>
      <c r="H17139" s="689">
        <v>38.1</v>
      </c>
      <c r="I17139" s="689">
        <v>37.700000000000003</v>
      </c>
      <c r="J17139" s="689">
        <v>36.9</v>
      </c>
      <c r="K17139" s="689">
        <v>37.299999999999997</v>
      </c>
    </row>
    <row r="17140" spans="1:11">
      <c r="A17140" s="688" t="s">
        <v>27</v>
      </c>
      <c r="B17140" s="691">
        <v>39.9</v>
      </c>
      <c r="C17140" s="691">
        <v>39.5</v>
      </c>
      <c r="D17140" s="691">
        <v>39.200000000000003</v>
      </c>
      <c r="E17140" s="691">
        <v>39.6</v>
      </c>
      <c r="F17140" s="691">
        <v>39.5</v>
      </c>
      <c r="G17140" s="691">
        <v>39.6</v>
      </c>
      <c r="H17140" s="615">
        <v>40</v>
      </c>
      <c r="I17140" s="691">
        <v>38.799999999999997</v>
      </c>
      <c r="J17140" s="691">
        <v>39.6</v>
      </c>
      <c r="K17140" s="691">
        <v>39.5</v>
      </c>
    </row>
    <row r="17141" spans="1:11">
      <c r="A17141" s="688" t="s">
        <v>6</v>
      </c>
      <c r="B17141" s="689">
        <v>39.799999999999997</v>
      </c>
      <c r="C17141" s="689">
        <v>39.5</v>
      </c>
      <c r="D17141" s="689">
        <v>39.299999999999997</v>
      </c>
      <c r="E17141" s="689">
        <v>39.5</v>
      </c>
      <c r="F17141" s="689">
        <v>39.5</v>
      </c>
      <c r="G17141" s="689">
        <v>39.6</v>
      </c>
      <c r="H17141" s="689">
        <v>39.700000000000003</v>
      </c>
      <c r="I17141" s="689">
        <v>39.200000000000003</v>
      </c>
      <c r="J17141" s="689">
        <v>39.299999999999997</v>
      </c>
      <c r="K17141" s="689">
        <v>39.299999999999997</v>
      </c>
    </row>
    <row r="17142" spans="1:11">
      <c r="A17142" s="688" t="s">
        <v>4058</v>
      </c>
      <c r="B17142" s="692" t="s">
        <v>4060</v>
      </c>
      <c r="C17142" s="692" t="s">
        <v>4060</v>
      </c>
      <c r="D17142" s="692" t="s">
        <v>4060</v>
      </c>
      <c r="E17142" s="692" t="s">
        <v>4060</v>
      </c>
      <c r="F17142" s="692" t="s">
        <v>4060</v>
      </c>
      <c r="G17142" s="692" t="s">
        <v>4060</v>
      </c>
      <c r="H17142" s="692" t="s">
        <v>4060</v>
      </c>
      <c r="I17142" s="692" t="s">
        <v>4060</v>
      </c>
      <c r="J17142" s="692" t="s">
        <v>4060</v>
      </c>
      <c r="K17142" s="692" t="s">
        <v>4060</v>
      </c>
    </row>
    <row r="17143" spans="1:11">
      <c r="A17143" s="688" t="s">
        <v>11</v>
      </c>
      <c r="B17143" s="689">
        <v>35.1</v>
      </c>
      <c r="C17143" s="693">
        <v>35</v>
      </c>
      <c r="D17143" s="689">
        <v>34.6</v>
      </c>
      <c r="E17143" s="689">
        <v>35.200000000000003</v>
      </c>
      <c r="F17143" s="689">
        <v>34.9</v>
      </c>
      <c r="G17143" s="689">
        <v>35.200000000000003</v>
      </c>
      <c r="H17143" s="689">
        <v>35.4</v>
      </c>
      <c r="I17143" s="689">
        <v>34.700000000000003</v>
      </c>
      <c r="J17143" s="689">
        <v>33.9</v>
      </c>
      <c r="K17143" s="689">
        <v>34.799999999999997</v>
      </c>
    </row>
    <row r="17144" spans="1:11">
      <c r="A17144" s="688" t="s">
        <v>10</v>
      </c>
      <c r="B17144" s="691">
        <v>39.1</v>
      </c>
      <c r="C17144" s="691">
        <v>38.9</v>
      </c>
      <c r="D17144" s="691">
        <v>38.4</v>
      </c>
      <c r="E17144" s="615">
        <v>39</v>
      </c>
      <c r="F17144" s="691">
        <v>38.799999999999997</v>
      </c>
      <c r="G17144" s="691">
        <v>39.1</v>
      </c>
      <c r="H17144" s="691">
        <v>39.200000000000003</v>
      </c>
      <c r="I17144" s="691">
        <v>38.299999999999997</v>
      </c>
      <c r="J17144" s="691">
        <v>38.6</v>
      </c>
      <c r="K17144" s="691">
        <v>38.6</v>
      </c>
    </row>
    <row r="17145" spans="1:11">
      <c r="A17145" s="688" t="s">
        <v>30</v>
      </c>
      <c r="B17145" s="689">
        <v>38.5</v>
      </c>
      <c r="C17145" s="689">
        <v>37.9</v>
      </c>
      <c r="D17145" s="689">
        <v>37.6</v>
      </c>
      <c r="E17145" s="689">
        <v>38.5</v>
      </c>
      <c r="F17145" s="689">
        <v>38.1</v>
      </c>
      <c r="G17145" s="689">
        <v>38.5</v>
      </c>
      <c r="H17145" s="689">
        <v>38.4</v>
      </c>
      <c r="I17145" s="689">
        <v>38.299999999999997</v>
      </c>
      <c r="J17145" s="689">
        <v>37.6</v>
      </c>
      <c r="K17145" s="689">
        <v>37.9</v>
      </c>
    </row>
    <row r="17146" spans="1:11">
      <c r="A17146" s="688" t="s">
        <v>12</v>
      </c>
      <c r="B17146" s="691">
        <v>33.9</v>
      </c>
      <c r="C17146" s="691">
        <v>34.1</v>
      </c>
      <c r="D17146" s="615">
        <v>34</v>
      </c>
      <c r="E17146" s="691">
        <v>34.200000000000003</v>
      </c>
      <c r="F17146" s="691">
        <v>34.299999999999997</v>
      </c>
      <c r="G17146" s="691">
        <v>34.299999999999997</v>
      </c>
      <c r="H17146" s="691">
        <v>34.700000000000003</v>
      </c>
      <c r="I17146" s="691">
        <v>34.5</v>
      </c>
      <c r="J17146" s="691">
        <v>32.6</v>
      </c>
      <c r="K17146" s="615">
        <v>34</v>
      </c>
    </row>
    <row r="17147" spans="1:11">
      <c r="A17147" s="688" t="s">
        <v>14</v>
      </c>
      <c r="B17147" s="689">
        <v>34.4</v>
      </c>
      <c r="C17147" s="689">
        <v>34.6</v>
      </c>
      <c r="D17147" s="689">
        <v>34.4</v>
      </c>
      <c r="E17147" s="689">
        <v>34.5</v>
      </c>
      <c r="F17147" s="689">
        <v>34.9</v>
      </c>
      <c r="G17147" s="693">
        <v>35</v>
      </c>
      <c r="H17147" s="689">
        <v>35.4</v>
      </c>
      <c r="I17147" s="689">
        <v>34.4</v>
      </c>
      <c r="J17147" s="689">
        <v>33.4</v>
      </c>
      <c r="K17147" s="689">
        <v>34.5</v>
      </c>
    </row>
    <row r="17148" spans="1:11">
      <c r="A17148" s="688" t="s">
        <v>15</v>
      </c>
      <c r="B17148" s="691">
        <v>38.1</v>
      </c>
      <c r="C17148" s="691">
        <v>38.5</v>
      </c>
      <c r="D17148" s="691">
        <v>37.9</v>
      </c>
      <c r="E17148" s="691">
        <v>38.6</v>
      </c>
      <c r="F17148" s="691">
        <v>37.799999999999997</v>
      </c>
      <c r="G17148" s="691">
        <v>38.200000000000003</v>
      </c>
      <c r="H17148" s="691">
        <v>38.5</v>
      </c>
      <c r="I17148" s="691">
        <v>38.4</v>
      </c>
      <c r="J17148" s="691">
        <v>38.6</v>
      </c>
      <c r="K17148" s="691">
        <v>38.700000000000003</v>
      </c>
    </row>
    <row r="17149" spans="1:11">
      <c r="A17149" s="688" t="s">
        <v>29</v>
      </c>
      <c r="B17149" s="689">
        <v>33.5</v>
      </c>
      <c r="C17149" s="689">
        <v>33.4</v>
      </c>
      <c r="D17149" s="693">
        <v>33</v>
      </c>
      <c r="E17149" s="689">
        <v>33.700000000000003</v>
      </c>
      <c r="F17149" s="689">
        <v>33.299999999999997</v>
      </c>
      <c r="G17149" s="689">
        <v>33.5</v>
      </c>
      <c r="H17149" s="689">
        <v>33.700000000000003</v>
      </c>
      <c r="I17149" s="693">
        <v>33</v>
      </c>
      <c r="J17149" s="689">
        <v>31.9</v>
      </c>
      <c r="K17149" s="689">
        <v>33.4</v>
      </c>
    </row>
    <row r="17150" spans="1:11">
      <c r="A17150" s="688" t="s">
        <v>16</v>
      </c>
      <c r="B17150" s="691">
        <v>38.1</v>
      </c>
      <c r="C17150" s="691">
        <v>37.9</v>
      </c>
      <c r="D17150" s="691">
        <v>37.799999999999997</v>
      </c>
      <c r="E17150" s="691">
        <v>38.1</v>
      </c>
      <c r="F17150" s="691">
        <v>38.1</v>
      </c>
      <c r="G17150" s="691">
        <v>38.1</v>
      </c>
      <c r="H17150" s="691">
        <v>38.4</v>
      </c>
      <c r="I17150" s="691">
        <v>38.1</v>
      </c>
      <c r="J17150" s="691">
        <v>37.700000000000003</v>
      </c>
      <c r="K17150" s="615">
        <v>38</v>
      </c>
    </row>
    <row r="17151" spans="1:11">
      <c r="A17151" s="688" t="s">
        <v>17</v>
      </c>
      <c r="B17151" s="689">
        <v>37.200000000000003</v>
      </c>
      <c r="C17151" s="689">
        <v>37.299999999999997</v>
      </c>
      <c r="D17151" s="689">
        <v>37.1</v>
      </c>
      <c r="E17151" s="689">
        <v>37.1</v>
      </c>
      <c r="F17151" s="689">
        <v>37.299999999999997</v>
      </c>
      <c r="G17151" s="689">
        <v>37.299999999999997</v>
      </c>
      <c r="H17151" s="689">
        <v>37.6</v>
      </c>
      <c r="I17151" s="689">
        <v>37.1</v>
      </c>
      <c r="J17151" s="693">
        <v>37</v>
      </c>
      <c r="K17151" s="689">
        <v>37.1</v>
      </c>
    </row>
    <row r="17152" spans="1:11">
      <c r="A17152" s="688" t="s">
        <v>19</v>
      </c>
      <c r="B17152" s="691">
        <v>37.799999999999997</v>
      </c>
      <c r="C17152" s="691">
        <v>37.799999999999997</v>
      </c>
      <c r="D17152" s="691">
        <v>37.6</v>
      </c>
      <c r="E17152" s="691">
        <v>37.9</v>
      </c>
      <c r="F17152" s="691">
        <v>37.799999999999997</v>
      </c>
      <c r="G17152" s="615">
        <v>38</v>
      </c>
      <c r="H17152" s="691">
        <v>38.200000000000003</v>
      </c>
      <c r="I17152" s="691">
        <v>37.700000000000003</v>
      </c>
      <c r="J17152" s="691">
        <v>37.700000000000003</v>
      </c>
      <c r="K17152" s="691">
        <v>37.700000000000003</v>
      </c>
    </row>
    <row r="17153" spans="1:11">
      <c r="A17153" s="688" t="s">
        <v>20</v>
      </c>
      <c r="B17153" s="689">
        <v>35.5</v>
      </c>
      <c r="C17153" s="689">
        <v>35.6</v>
      </c>
      <c r="D17153" s="689">
        <v>35.5</v>
      </c>
      <c r="E17153" s="689">
        <v>35.9</v>
      </c>
      <c r="F17153" s="689">
        <v>35.700000000000003</v>
      </c>
      <c r="G17153" s="689">
        <v>35.700000000000003</v>
      </c>
      <c r="H17153" s="689">
        <v>35.9</v>
      </c>
      <c r="I17153" s="689">
        <v>34.799999999999997</v>
      </c>
      <c r="J17153" s="689">
        <v>33.799999999999997</v>
      </c>
      <c r="K17153" s="689">
        <v>35.299999999999997</v>
      </c>
    </row>
    <row r="17154" spans="1:11">
      <c r="A17154" s="688" t="s">
        <v>21</v>
      </c>
      <c r="B17154" s="691">
        <v>38.1</v>
      </c>
      <c r="C17154" s="691">
        <v>38.4</v>
      </c>
      <c r="D17154" s="691">
        <v>38.200000000000003</v>
      </c>
      <c r="E17154" s="691">
        <v>38.299999999999997</v>
      </c>
      <c r="F17154" s="691">
        <v>38.5</v>
      </c>
      <c r="G17154" s="691">
        <v>38.6</v>
      </c>
      <c r="H17154" s="691">
        <v>38.799999999999997</v>
      </c>
      <c r="I17154" s="691">
        <v>38.200000000000003</v>
      </c>
      <c r="J17154" s="691">
        <v>38.299999999999997</v>
      </c>
      <c r="K17154" s="691">
        <v>38.4</v>
      </c>
    </row>
    <row r="17155" spans="1:11">
      <c r="A17155" s="688" t="s">
        <v>22</v>
      </c>
      <c r="B17155" s="689">
        <v>33.6</v>
      </c>
      <c r="C17155" s="689">
        <v>33.4</v>
      </c>
      <c r="D17155" s="689">
        <v>33.299999999999997</v>
      </c>
      <c r="E17155" s="689">
        <v>33.6</v>
      </c>
      <c r="F17155" s="689">
        <v>33.6</v>
      </c>
      <c r="G17155" s="689">
        <v>33.700000000000003</v>
      </c>
      <c r="H17155" s="693">
        <v>34</v>
      </c>
      <c r="I17155" s="689">
        <v>32.799999999999997</v>
      </c>
      <c r="J17155" s="689">
        <v>31.3</v>
      </c>
      <c r="K17155" s="689">
        <v>33.6</v>
      </c>
    </row>
    <row r="17156" spans="1:11">
      <c r="A17156" s="688" t="s">
        <v>26</v>
      </c>
      <c r="B17156" s="691">
        <v>37.6</v>
      </c>
      <c r="C17156" s="691">
        <v>37.5</v>
      </c>
      <c r="D17156" s="691">
        <v>37.4</v>
      </c>
      <c r="E17156" s="691">
        <v>37.700000000000003</v>
      </c>
      <c r="F17156" s="691">
        <v>37.6</v>
      </c>
      <c r="G17156" s="691">
        <v>37.799999999999997</v>
      </c>
      <c r="H17156" s="615">
        <v>38</v>
      </c>
      <c r="I17156" s="691">
        <v>37.1</v>
      </c>
      <c r="J17156" s="691">
        <v>37.5</v>
      </c>
      <c r="K17156" s="691">
        <v>37.799999999999997</v>
      </c>
    </row>
    <row r="17157" spans="1:11">
      <c r="A17157" s="688" t="s">
        <v>25</v>
      </c>
      <c r="B17157" s="689">
        <v>34.6</v>
      </c>
      <c r="C17157" s="689">
        <v>34.799999999999997</v>
      </c>
      <c r="D17157" s="689">
        <v>34.5</v>
      </c>
      <c r="E17157" s="693">
        <v>35</v>
      </c>
      <c r="F17157" s="689">
        <v>34.9</v>
      </c>
      <c r="G17157" s="693">
        <v>35</v>
      </c>
      <c r="H17157" s="689">
        <v>35.4</v>
      </c>
      <c r="I17157" s="689">
        <v>34.700000000000003</v>
      </c>
      <c r="J17157" s="689">
        <v>32.6</v>
      </c>
      <c r="K17157" s="689">
        <v>34.700000000000003</v>
      </c>
    </row>
    <row r="17158" spans="1:11">
      <c r="A17158" s="688" t="s">
        <v>5</v>
      </c>
      <c r="B17158" s="691">
        <v>38.1</v>
      </c>
      <c r="C17158" s="691">
        <v>37.799999999999997</v>
      </c>
      <c r="D17158" s="615">
        <v>38</v>
      </c>
      <c r="E17158" s="691">
        <v>38.1</v>
      </c>
      <c r="F17158" s="691">
        <v>38.200000000000003</v>
      </c>
      <c r="G17158" s="691">
        <v>38.299999999999997</v>
      </c>
      <c r="H17158" s="691">
        <v>38.6</v>
      </c>
      <c r="I17158" s="691">
        <v>38.6</v>
      </c>
      <c r="J17158" s="691">
        <v>38.5</v>
      </c>
      <c r="K17158" s="691">
        <v>37.799999999999997</v>
      </c>
    </row>
    <row r="17159" spans="1:11">
      <c r="A17159" s="688" t="s">
        <v>23</v>
      </c>
      <c r="B17159" s="689">
        <v>37.700000000000003</v>
      </c>
      <c r="C17159" s="689">
        <v>37.9</v>
      </c>
      <c r="D17159" s="689">
        <v>37.9</v>
      </c>
      <c r="E17159" s="693">
        <v>38</v>
      </c>
      <c r="F17159" s="693">
        <v>38</v>
      </c>
      <c r="G17159" s="689">
        <v>38.1</v>
      </c>
      <c r="H17159" s="689">
        <v>38.6</v>
      </c>
      <c r="I17159" s="689">
        <v>38.1</v>
      </c>
      <c r="J17159" s="689">
        <v>38.700000000000003</v>
      </c>
      <c r="K17159" s="689">
        <v>38.5</v>
      </c>
    </row>
    <row r="17160" spans="1:11">
      <c r="A17160" s="688" t="s">
        <v>4067</v>
      </c>
      <c r="B17160" s="691">
        <v>37.4</v>
      </c>
      <c r="C17160" s="691">
        <v>37.700000000000003</v>
      </c>
      <c r="D17160" s="691">
        <v>37.299999999999997</v>
      </c>
      <c r="E17160" s="691">
        <v>37.700000000000003</v>
      </c>
      <c r="F17160" s="691">
        <v>37.6</v>
      </c>
      <c r="G17160" s="691">
        <v>37.700000000000003</v>
      </c>
      <c r="H17160" s="692" t="s">
        <v>4060</v>
      </c>
      <c r="I17160" s="692" t="s">
        <v>4060</v>
      </c>
      <c r="J17160" s="692" t="s">
        <v>4060</v>
      </c>
      <c r="K17160" s="692" t="s">
        <v>4060</v>
      </c>
    </row>
    <row r="17161" spans="1:11">
      <c r="A17161" s="688" t="s">
        <v>4066</v>
      </c>
      <c r="B17161" s="689">
        <v>37.4</v>
      </c>
      <c r="C17161" s="689">
        <v>37.799999999999997</v>
      </c>
      <c r="D17161" s="689">
        <v>37.4</v>
      </c>
      <c r="E17161" s="689">
        <v>37.799999999999997</v>
      </c>
      <c r="F17161" s="689">
        <v>37.6</v>
      </c>
      <c r="G17161" s="689">
        <v>37.700000000000003</v>
      </c>
      <c r="H17161" s="690" t="s">
        <v>4060</v>
      </c>
      <c r="I17161" s="690" t="s">
        <v>4060</v>
      </c>
      <c r="J17161" s="690" t="s">
        <v>4060</v>
      </c>
      <c r="K17161" s="690" t="s">
        <v>4060</v>
      </c>
    </row>
    <row r="17162" spans="1:11">
      <c r="A17162" s="688" t="s">
        <v>4062</v>
      </c>
      <c r="B17162" s="691">
        <v>38.5</v>
      </c>
      <c r="C17162" s="691">
        <v>38.6</v>
      </c>
      <c r="D17162" s="691">
        <v>38.5</v>
      </c>
      <c r="E17162" s="691">
        <v>38.700000000000003</v>
      </c>
      <c r="F17162" s="691">
        <v>38.799999999999997</v>
      </c>
      <c r="G17162" s="691">
        <v>38.9</v>
      </c>
      <c r="H17162" s="691">
        <v>39.1</v>
      </c>
      <c r="I17162" s="691">
        <v>38.799999999999997</v>
      </c>
      <c r="J17162" s="691">
        <v>39.1</v>
      </c>
      <c r="K17162" s="691">
        <v>38.799999999999997</v>
      </c>
    </row>
    <row r="17163" spans="1:11">
      <c r="A17163" s="688" t="s">
        <v>9</v>
      </c>
      <c r="B17163" s="689">
        <v>37.6</v>
      </c>
      <c r="C17163" s="689">
        <v>38.200000000000003</v>
      </c>
      <c r="D17163" s="689">
        <v>37.5</v>
      </c>
      <c r="E17163" s="689">
        <v>37.4</v>
      </c>
      <c r="F17163" s="693">
        <v>38</v>
      </c>
      <c r="G17163" s="693">
        <v>38</v>
      </c>
      <c r="H17163" s="689">
        <v>38.200000000000003</v>
      </c>
      <c r="I17163" s="689">
        <v>38.299999999999997</v>
      </c>
      <c r="J17163" s="689">
        <v>38.5</v>
      </c>
      <c r="K17163" s="689">
        <v>37.4</v>
      </c>
    </row>
    <row r="17164" spans="1:11">
      <c r="A17164" s="688" t="s">
        <v>13</v>
      </c>
      <c r="B17164" s="691">
        <v>38.799999999999997</v>
      </c>
      <c r="C17164" s="691">
        <v>37.200000000000003</v>
      </c>
      <c r="D17164" s="691">
        <v>38.200000000000003</v>
      </c>
      <c r="E17164" s="691">
        <v>38.299999999999997</v>
      </c>
      <c r="F17164" s="615">
        <v>39</v>
      </c>
      <c r="G17164" s="691">
        <v>39.1</v>
      </c>
      <c r="H17164" s="691">
        <v>38.799999999999997</v>
      </c>
      <c r="I17164" s="691">
        <v>38.1</v>
      </c>
      <c r="J17164" s="691">
        <v>39.299999999999997</v>
      </c>
      <c r="K17164" s="615">
        <v>39</v>
      </c>
    </row>
    <row r="17165" spans="1:11">
      <c r="A17165" s="688" t="s">
        <v>18</v>
      </c>
      <c r="B17165" s="689">
        <v>37.700000000000003</v>
      </c>
      <c r="C17165" s="689">
        <v>37.9</v>
      </c>
      <c r="D17165" s="693">
        <v>38</v>
      </c>
      <c r="E17165" s="693">
        <v>38</v>
      </c>
      <c r="F17165" s="689">
        <v>38.1</v>
      </c>
      <c r="G17165" s="689">
        <v>38.299999999999997</v>
      </c>
      <c r="H17165" s="689">
        <v>38.5</v>
      </c>
      <c r="I17165" s="689">
        <v>38.700000000000003</v>
      </c>
      <c r="J17165" s="689">
        <v>38.5</v>
      </c>
      <c r="K17165" s="689">
        <v>38.1</v>
      </c>
    </row>
    <row r="17166" spans="1:11">
      <c r="A17166" s="688" t="s">
        <v>24</v>
      </c>
      <c r="B17166" s="691">
        <v>38.9</v>
      </c>
      <c r="C17166" s="615">
        <v>39</v>
      </c>
      <c r="D17166" s="691">
        <v>38.799999999999997</v>
      </c>
      <c r="E17166" s="691">
        <v>39.200000000000003</v>
      </c>
      <c r="F17166" s="691">
        <v>39.200000000000003</v>
      </c>
      <c r="G17166" s="691">
        <v>39.299999999999997</v>
      </c>
      <c r="H17166" s="691">
        <v>39.4</v>
      </c>
      <c r="I17166" s="615">
        <v>39</v>
      </c>
      <c r="J17166" s="691">
        <v>39.4</v>
      </c>
      <c r="K17166" s="691">
        <v>39.299999999999997</v>
      </c>
    </row>
    <row r="17167" spans="1:11">
      <c r="A17167" s="688" t="s">
        <v>4059</v>
      </c>
      <c r="B17167" s="689">
        <v>37.1</v>
      </c>
      <c r="C17167" s="689">
        <v>37.4</v>
      </c>
      <c r="D17167" s="693">
        <v>37</v>
      </c>
      <c r="E17167" s="689">
        <v>37.200000000000003</v>
      </c>
      <c r="F17167" s="689">
        <v>37.299999999999997</v>
      </c>
      <c r="G17167" s="689">
        <v>37.299999999999997</v>
      </c>
      <c r="H17167" s="690" t="s">
        <v>4060</v>
      </c>
      <c r="I17167" s="690" t="s">
        <v>4060</v>
      </c>
      <c r="J17167" s="690" t="s">
        <v>4060</v>
      </c>
      <c r="K17167" s="690" t="s">
        <v>4060</v>
      </c>
    </row>
    <row r="17168" spans="1:11">
      <c r="A17168" s="688" t="s">
        <v>2324</v>
      </c>
      <c r="B17168" s="691">
        <v>33.299999999999997</v>
      </c>
      <c r="C17168" s="691">
        <v>33.299999999999997</v>
      </c>
      <c r="D17168" s="691">
        <v>32.799999999999997</v>
      </c>
      <c r="E17168" s="691">
        <v>33.1</v>
      </c>
      <c r="F17168" s="691">
        <v>33.4</v>
      </c>
      <c r="G17168" s="691">
        <v>33.4</v>
      </c>
      <c r="H17168" s="691">
        <v>33.5</v>
      </c>
      <c r="I17168" s="615">
        <v>33</v>
      </c>
      <c r="J17168" s="691">
        <v>31.1</v>
      </c>
      <c r="K17168" s="692" t="s">
        <v>4060</v>
      </c>
    </row>
    <row r="17169" spans="1:11">
      <c r="A17169" s="688" t="s">
        <v>2322</v>
      </c>
      <c r="B17169" s="690" t="s">
        <v>4060</v>
      </c>
      <c r="C17169" s="690" t="s">
        <v>4060</v>
      </c>
      <c r="D17169" s="690" t="s">
        <v>4060</v>
      </c>
      <c r="E17169" s="690" t="s">
        <v>4060</v>
      </c>
      <c r="F17169" s="690" t="s">
        <v>4060</v>
      </c>
      <c r="G17169" s="690" t="s">
        <v>4060</v>
      </c>
      <c r="H17169" s="690" t="s">
        <v>4060</v>
      </c>
      <c r="I17169" s="690" t="s">
        <v>4060</v>
      </c>
      <c r="J17169" s="690" t="s">
        <v>4060</v>
      </c>
      <c r="K17169" s="690" t="s">
        <v>4060</v>
      </c>
    </row>
    <row r="17170" spans="1:11">
      <c r="A17170" s="688" t="s">
        <v>2328</v>
      </c>
      <c r="B17170" s="691">
        <v>32.299999999999997</v>
      </c>
      <c r="C17170" s="691">
        <v>32.1</v>
      </c>
      <c r="D17170" s="615">
        <v>32</v>
      </c>
      <c r="E17170" s="691">
        <v>32.4</v>
      </c>
      <c r="F17170" s="691">
        <v>32.5</v>
      </c>
      <c r="G17170" s="691">
        <v>32.9</v>
      </c>
      <c r="H17170" s="691">
        <v>32.799999999999997</v>
      </c>
      <c r="I17170" s="691">
        <v>31.2</v>
      </c>
      <c r="J17170" s="691">
        <v>29.9</v>
      </c>
      <c r="K17170" s="692" t="s">
        <v>4060</v>
      </c>
    </row>
    <row r="17171" spans="1:11">
      <c r="A17171" s="688" t="s">
        <v>2496</v>
      </c>
      <c r="B17171" s="690" t="s">
        <v>4060</v>
      </c>
      <c r="C17171" s="689">
        <v>33.299999999999997</v>
      </c>
      <c r="D17171" s="689">
        <v>32.4</v>
      </c>
      <c r="E17171" s="689">
        <v>32.1</v>
      </c>
      <c r="F17171" s="689">
        <v>32.799999999999997</v>
      </c>
      <c r="G17171" s="693">
        <v>33</v>
      </c>
      <c r="H17171" s="689">
        <v>33.1</v>
      </c>
      <c r="I17171" s="690" t="s">
        <v>4060</v>
      </c>
      <c r="J17171" s="690" t="s">
        <v>4060</v>
      </c>
      <c r="K17171" s="689">
        <v>32.700000000000003</v>
      </c>
    </row>
    <row r="17172" spans="1:11">
      <c r="A17172" s="688" t="s">
        <v>2269</v>
      </c>
      <c r="B17172" s="691">
        <v>34.9</v>
      </c>
      <c r="C17172" s="615">
        <v>35</v>
      </c>
      <c r="D17172" s="691">
        <v>34.4</v>
      </c>
      <c r="E17172" s="691">
        <v>34.799999999999997</v>
      </c>
      <c r="F17172" s="691">
        <v>34.700000000000003</v>
      </c>
      <c r="G17172" s="691">
        <v>35.1</v>
      </c>
      <c r="H17172" s="691">
        <v>35.299999999999997</v>
      </c>
      <c r="I17172" s="691">
        <v>34.1</v>
      </c>
      <c r="J17172" s="691">
        <v>32.1</v>
      </c>
      <c r="K17172" s="691">
        <v>35.1</v>
      </c>
    </row>
    <row r="17173" spans="1:11">
      <c r="A17173" s="688" t="s">
        <v>2349</v>
      </c>
      <c r="B17173" s="689">
        <v>32.4</v>
      </c>
      <c r="C17173" s="689">
        <v>32.4</v>
      </c>
      <c r="D17173" s="689">
        <v>32.299999999999997</v>
      </c>
      <c r="E17173" s="689">
        <v>32.6</v>
      </c>
      <c r="F17173" s="689">
        <v>32.4</v>
      </c>
      <c r="G17173" s="689">
        <v>32.700000000000003</v>
      </c>
      <c r="H17173" s="689">
        <v>32.9</v>
      </c>
      <c r="I17173" s="689">
        <v>31.8</v>
      </c>
      <c r="J17173" s="689">
        <v>30.2</v>
      </c>
      <c r="K17173" s="689">
        <v>32.1</v>
      </c>
    </row>
    <row r="17174" spans="1:11">
      <c r="A17174" s="688" t="s">
        <v>2355</v>
      </c>
      <c r="B17174" s="691">
        <v>36.1</v>
      </c>
      <c r="C17174" s="691">
        <v>35.9</v>
      </c>
      <c r="D17174" s="691">
        <v>35.799999999999997</v>
      </c>
      <c r="E17174" s="691">
        <v>35.799999999999997</v>
      </c>
      <c r="F17174" s="615">
        <v>36</v>
      </c>
      <c r="G17174" s="691">
        <v>36.299999999999997</v>
      </c>
      <c r="H17174" s="691">
        <v>36.4</v>
      </c>
      <c r="I17174" s="692" t="s">
        <v>4060</v>
      </c>
      <c r="J17174" s="692" t="s">
        <v>4060</v>
      </c>
      <c r="K17174" s="692" t="s">
        <v>4060</v>
      </c>
    </row>
    <row r="17175" spans="1:11">
      <c r="A17175" s="688" t="s">
        <v>2357</v>
      </c>
      <c r="B17175" s="690" t="s">
        <v>4060</v>
      </c>
      <c r="C17175" s="689">
        <v>32.299999999999997</v>
      </c>
      <c r="D17175" s="689">
        <v>32.700000000000003</v>
      </c>
      <c r="E17175" s="689">
        <v>32.9</v>
      </c>
      <c r="F17175" s="689">
        <v>33.200000000000003</v>
      </c>
      <c r="G17175" s="689">
        <v>33.200000000000003</v>
      </c>
      <c r="H17175" s="689">
        <v>33.4</v>
      </c>
      <c r="I17175" s="690" t="s">
        <v>4060</v>
      </c>
      <c r="J17175" s="690" t="s">
        <v>4060</v>
      </c>
      <c r="K17175" s="690" t="s">
        <v>4060</v>
      </c>
    </row>
    <row r="17176" spans="1:11">
      <c r="A17176" s="688" t="s">
        <v>4070</v>
      </c>
      <c r="B17176" s="692" t="s">
        <v>4060</v>
      </c>
      <c r="C17176" s="692" t="s">
        <v>4060</v>
      </c>
      <c r="D17176" s="692" t="s">
        <v>4060</v>
      </c>
      <c r="E17176" s="691">
        <v>35.799999999999997</v>
      </c>
      <c r="F17176" s="692" t="s">
        <v>4060</v>
      </c>
      <c r="G17176" s="692" t="s">
        <v>4060</v>
      </c>
      <c r="H17176" s="692" t="s">
        <v>4060</v>
      </c>
      <c r="I17176" s="692" t="s">
        <v>4060</v>
      </c>
      <c r="J17176" s="692" t="s">
        <v>4060</v>
      </c>
      <c r="K17176" s="692" t="s">
        <v>4060</v>
      </c>
    </row>
    <row r="17177" spans="1:11">
      <c r="A17177" s="688" t="s">
        <v>2491</v>
      </c>
      <c r="B17177" s="689">
        <v>32.9</v>
      </c>
      <c r="C17177" s="689">
        <v>33.4</v>
      </c>
      <c r="D17177" s="689">
        <v>33.6</v>
      </c>
      <c r="E17177" s="689">
        <v>33.799999999999997</v>
      </c>
      <c r="F17177" s="689">
        <v>33.9</v>
      </c>
      <c r="G17177" s="689">
        <v>33.9</v>
      </c>
      <c r="H17177" s="690" t="s">
        <v>4060</v>
      </c>
      <c r="I17177" s="690" t="s">
        <v>4060</v>
      </c>
      <c r="J17177" s="690" t="s">
        <v>4060</v>
      </c>
      <c r="K17177" s="690" t="s">
        <v>4060</v>
      </c>
    </row>
    <row r="17178" spans="1:11">
      <c r="A17178" s="688" t="s">
        <v>2343</v>
      </c>
      <c r="B17178" s="692" t="s">
        <v>4060</v>
      </c>
      <c r="C17178" s="692" t="s">
        <v>4060</v>
      </c>
      <c r="D17178" s="692" t="s">
        <v>4060</v>
      </c>
      <c r="E17178" s="692" t="s">
        <v>4060</v>
      </c>
      <c r="F17178" s="692" t="s">
        <v>4060</v>
      </c>
      <c r="G17178" s="692" t="s">
        <v>4060</v>
      </c>
      <c r="H17178" s="692" t="s">
        <v>4060</v>
      </c>
      <c r="I17178" s="692" t="s">
        <v>4060</v>
      </c>
      <c r="J17178" s="692" t="s">
        <v>4060</v>
      </c>
      <c r="K17178" s="692" t="s">
        <v>4060</v>
      </c>
    </row>
    <row r="17179" spans="1:11">
      <c r="A17179" s="688" t="s">
        <v>4071</v>
      </c>
      <c r="B17179" s="690" t="s">
        <v>4060</v>
      </c>
      <c r="C17179" s="690" t="s">
        <v>4060</v>
      </c>
      <c r="D17179" s="690" t="s">
        <v>4060</v>
      </c>
      <c r="E17179" s="690" t="s">
        <v>4060</v>
      </c>
      <c r="F17179" s="690" t="s">
        <v>4060</v>
      </c>
      <c r="G17179" s="690" t="s">
        <v>4060</v>
      </c>
      <c r="H17179" s="690" t="s">
        <v>4060</v>
      </c>
      <c r="I17179" s="690" t="s">
        <v>4060</v>
      </c>
      <c r="J17179" s="690" t="s">
        <v>4060</v>
      </c>
      <c r="K17179" s="690" t="s">
        <v>4060</v>
      </c>
    </row>
    <row r="17180" spans="1:11">
      <c r="A17180" s="688" t="s">
        <v>2489</v>
      </c>
      <c r="B17180" s="692" t="s">
        <v>4060</v>
      </c>
      <c r="C17180" s="692" t="s">
        <v>4060</v>
      </c>
      <c r="D17180" s="615">
        <v>33</v>
      </c>
      <c r="E17180" s="615">
        <v>33</v>
      </c>
      <c r="F17180" s="691">
        <v>33.4</v>
      </c>
      <c r="G17180" s="691">
        <v>34.1</v>
      </c>
      <c r="H17180" s="691">
        <v>34.1</v>
      </c>
      <c r="I17180" s="692" t="s">
        <v>4060</v>
      </c>
      <c r="J17180" s="692" t="s">
        <v>4060</v>
      </c>
      <c r="K17180" s="692" t="s">
        <v>4060</v>
      </c>
    </row>
    <row r="17181" spans="1:11">
      <c r="A17181" s="688" t="s">
        <v>2490</v>
      </c>
      <c r="B17181" s="689">
        <v>32.200000000000003</v>
      </c>
      <c r="C17181" s="689">
        <v>32.200000000000003</v>
      </c>
      <c r="D17181" s="689">
        <v>32.700000000000003</v>
      </c>
      <c r="E17181" s="690" t="s">
        <v>4060</v>
      </c>
      <c r="F17181" s="689">
        <v>32.9</v>
      </c>
      <c r="G17181" s="689">
        <v>33.299999999999997</v>
      </c>
      <c r="H17181" s="689">
        <v>33.9</v>
      </c>
      <c r="I17181" s="690" t="s">
        <v>4060</v>
      </c>
      <c r="J17181" s="690" t="s">
        <v>4060</v>
      </c>
      <c r="K17181" s="690" t="s">
        <v>4060</v>
      </c>
    </row>
    <row r="17183" spans="1:11">
      <c r="A17183" s="683" t="s">
        <v>4233</v>
      </c>
    </row>
    <row r="17184" spans="1:11">
      <c r="A17184" s="683" t="s">
        <v>4060</v>
      </c>
      <c r="B17184" s="682" t="s">
        <v>4234</v>
      </c>
    </row>
    <row r="17186" spans="1:11">
      <c r="A17186" s="682" t="s">
        <v>4332</v>
      </c>
    </row>
    <row r="17187" spans="1:11">
      <c r="A17187" s="682" t="s">
        <v>4210</v>
      </c>
      <c r="B17187" s="683" t="s">
        <v>4211</v>
      </c>
    </row>
    <row r="17188" spans="1:11">
      <c r="A17188" s="682" t="s">
        <v>4212</v>
      </c>
      <c r="B17188" s="682" t="s">
        <v>4213</v>
      </c>
    </row>
    <row r="17190" spans="1:11">
      <c r="A17190" s="683" t="s">
        <v>4214</v>
      </c>
      <c r="C17190" s="682" t="s">
        <v>4215</v>
      </c>
    </row>
    <row r="17191" spans="1:11">
      <c r="A17191" s="683" t="s">
        <v>4216</v>
      </c>
      <c r="C17191" s="682" t="s">
        <v>2967</v>
      </c>
    </row>
    <row r="17192" spans="1:11">
      <c r="A17192" s="683" t="s">
        <v>3893</v>
      </c>
      <c r="C17192" s="682" t="s">
        <v>2169</v>
      </c>
    </row>
    <row r="17193" spans="1:11">
      <c r="A17193" s="683" t="s">
        <v>4218</v>
      </c>
      <c r="C17193" s="682" t="s">
        <v>4283</v>
      </c>
    </row>
    <row r="17195" spans="1:11">
      <c r="A17195" s="684" t="s">
        <v>4220</v>
      </c>
      <c r="B17195" s="685" t="s">
        <v>4221</v>
      </c>
      <c r="C17195" s="685" t="s">
        <v>4222</v>
      </c>
      <c r="D17195" s="685" t="s">
        <v>4223</v>
      </c>
      <c r="E17195" s="685" t="s">
        <v>4224</v>
      </c>
      <c r="F17195" s="685" t="s">
        <v>4225</v>
      </c>
      <c r="G17195" s="685" t="s">
        <v>4226</v>
      </c>
      <c r="H17195" s="685" t="s">
        <v>4227</v>
      </c>
      <c r="I17195" s="685" t="s">
        <v>4228</v>
      </c>
      <c r="J17195" s="685" t="s">
        <v>4229</v>
      </c>
      <c r="K17195" s="685" t="s">
        <v>4230</v>
      </c>
    </row>
    <row r="17196" spans="1:11">
      <c r="A17196" s="686" t="s">
        <v>4231</v>
      </c>
      <c r="B17196" s="687" t="s">
        <v>4232</v>
      </c>
      <c r="C17196" s="687" t="s">
        <v>4232</v>
      </c>
      <c r="D17196" s="687" t="s">
        <v>4232</v>
      </c>
      <c r="E17196" s="687" t="s">
        <v>4232</v>
      </c>
      <c r="F17196" s="687" t="s">
        <v>4232</v>
      </c>
      <c r="G17196" s="687" t="s">
        <v>4232</v>
      </c>
      <c r="H17196" s="687" t="s">
        <v>4232</v>
      </c>
      <c r="I17196" s="687" t="s">
        <v>4232</v>
      </c>
      <c r="J17196" s="687" t="s">
        <v>4232</v>
      </c>
      <c r="K17196" s="687" t="s">
        <v>4232</v>
      </c>
    </row>
    <row r="17197" spans="1:11">
      <c r="A17197" s="688" t="s">
        <v>4064</v>
      </c>
      <c r="B17197" s="689">
        <v>36.5</v>
      </c>
      <c r="C17197" s="689">
        <v>36.5</v>
      </c>
      <c r="D17197" s="689">
        <v>36.4</v>
      </c>
      <c r="E17197" s="689">
        <v>36.6</v>
      </c>
      <c r="F17197" s="689">
        <v>36.5</v>
      </c>
      <c r="G17197" s="689">
        <v>36.6</v>
      </c>
      <c r="H17197" s="689">
        <v>36.799999999999997</v>
      </c>
      <c r="I17197" s="689">
        <v>36.200000000000003</v>
      </c>
      <c r="J17197" s="689">
        <v>35.9</v>
      </c>
      <c r="K17197" s="689">
        <v>36.299999999999997</v>
      </c>
    </row>
    <row r="17198" spans="1:11">
      <c r="A17198" s="688" t="s">
        <v>4065</v>
      </c>
      <c r="B17198" s="691">
        <v>36.5</v>
      </c>
      <c r="C17198" s="691">
        <v>36.799999999999997</v>
      </c>
      <c r="D17198" s="691">
        <v>36.4</v>
      </c>
      <c r="E17198" s="691">
        <v>36.799999999999997</v>
      </c>
      <c r="F17198" s="691">
        <v>36.700000000000003</v>
      </c>
      <c r="G17198" s="691">
        <v>36.799999999999997</v>
      </c>
      <c r="H17198" s="692" t="s">
        <v>4060</v>
      </c>
      <c r="I17198" s="692" t="s">
        <v>4060</v>
      </c>
      <c r="J17198" s="692" t="s">
        <v>4060</v>
      </c>
      <c r="K17198" s="692" t="s">
        <v>4060</v>
      </c>
    </row>
    <row r="17199" spans="1:11">
      <c r="A17199" s="688" t="s">
        <v>4063</v>
      </c>
      <c r="B17199" s="689">
        <v>36.5</v>
      </c>
      <c r="C17199" s="689">
        <v>36.799999999999997</v>
      </c>
      <c r="D17199" s="689">
        <v>36.4</v>
      </c>
      <c r="E17199" s="689">
        <v>36.799999999999997</v>
      </c>
      <c r="F17199" s="689">
        <v>36.700000000000003</v>
      </c>
      <c r="G17199" s="689">
        <v>36.799999999999997</v>
      </c>
      <c r="H17199" s="690" t="s">
        <v>4060</v>
      </c>
      <c r="I17199" s="690" t="s">
        <v>4060</v>
      </c>
      <c r="J17199" s="690" t="s">
        <v>4060</v>
      </c>
      <c r="K17199" s="690" t="s">
        <v>4060</v>
      </c>
    </row>
    <row r="17200" spans="1:11">
      <c r="A17200" s="688" t="s">
        <v>4069</v>
      </c>
      <c r="B17200" s="692" t="s">
        <v>4060</v>
      </c>
      <c r="C17200" s="691">
        <v>37.299999999999997</v>
      </c>
      <c r="D17200" s="615">
        <v>37</v>
      </c>
      <c r="E17200" s="691">
        <v>37.299999999999997</v>
      </c>
      <c r="F17200" s="691">
        <v>37.200000000000003</v>
      </c>
      <c r="G17200" s="691">
        <v>37.4</v>
      </c>
      <c r="H17200" s="691">
        <v>37.6</v>
      </c>
      <c r="I17200" s="615">
        <v>37</v>
      </c>
      <c r="J17200" s="615">
        <v>37</v>
      </c>
      <c r="K17200" s="615">
        <v>37</v>
      </c>
    </row>
    <row r="17201" spans="1:11">
      <c r="A17201" s="688" t="s">
        <v>4068</v>
      </c>
      <c r="B17201" s="689">
        <v>37.4</v>
      </c>
      <c r="C17201" s="690" t="s">
        <v>4060</v>
      </c>
      <c r="D17201" s="690" t="s">
        <v>4060</v>
      </c>
      <c r="E17201" s="690" t="s">
        <v>4060</v>
      </c>
      <c r="F17201" s="690" t="s">
        <v>4060</v>
      </c>
      <c r="G17201" s="690" t="s">
        <v>4060</v>
      </c>
      <c r="H17201" s="690" t="s">
        <v>4060</v>
      </c>
      <c r="I17201" s="690" t="s">
        <v>4060</v>
      </c>
      <c r="J17201" s="690" t="s">
        <v>4060</v>
      </c>
      <c r="K17201" s="690" t="s">
        <v>4060</v>
      </c>
    </row>
    <row r="17202" spans="1:11">
      <c r="A17202" s="688" t="s">
        <v>0</v>
      </c>
      <c r="B17202" s="691">
        <v>36.5</v>
      </c>
      <c r="C17202" s="691">
        <v>36.700000000000003</v>
      </c>
      <c r="D17202" s="691">
        <v>36.299999999999997</v>
      </c>
      <c r="E17202" s="691">
        <v>36.799999999999997</v>
      </c>
      <c r="F17202" s="691">
        <v>36.799999999999997</v>
      </c>
      <c r="G17202" s="691">
        <v>36.9</v>
      </c>
      <c r="H17202" s="691">
        <v>37.1</v>
      </c>
      <c r="I17202" s="691">
        <v>36.1</v>
      </c>
      <c r="J17202" s="691">
        <v>37.1</v>
      </c>
      <c r="K17202" s="691">
        <v>36.799999999999997</v>
      </c>
    </row>
    <row r="17203" spans="1:11">
      <c r="A17203" s="688" t="s">
        <v>1</v>
      </c>
      <c r="B17203" s="689">
        <v>32.5</v>
      </c>
      <c r="C17203" s="693">
        <v>32</v>
      </c>
      <c r="D17203" s="693">
        <v>32</v>
      </c>
      <c r="E17203" s="689">
        <v>32.200000000000003</v>
      </c>
      <c r="F17203" s="689">
        <v>32.1</v>
      </c>
      <c r="G17203" s="689">
        <v>32.299999999999997</v>
      </c>
      <c r="H17203" s="689">
        <v>32.5</v>
      </c>
      <c r="I17203" s="689">
        <v>31.2</v>
      </c>
      <c r="J17203" s="689">
        <v>29.2</v>
      </c>
      <c r="K17203" s="689">
        <v>31.7</v>
      </c>
    </row>
    <row r="17204" spans="1:11">
      <c r="A17204" s="688" t="s">
        <v>2240</v>
      </c>
      <c r="B17204" s="691">
        <v>34.4</v>
      </c>
      <c r="C17204" s="691">
        <v>34.700000000000003</v>
      </c>
      <c r="D17204" s="691">
        <v>34.5</v>
      </c>
      <c r="E17204" s="615">
        <v>35</v>
      </c>
      <c r="F17204" s="691">
        <v>34.9</v>
      </c>
      <c r="G17204" s="691">
        <v>34.9</v>
      </c>
      <c r="H17204" s="691">
        <v>35.200000000000003</v>
      </c>
      <c r="I17204" s="691">
        <v>34.299999999999997</v>
      </c>
      <c r="J17204" s="691">
        <v>33.6</v>
      </c>
      <c r="K17204" s="615">
        <v>35</v>
      </c>
    </row>
    <row r="17205" spans="1:11">
      <c r="A17205" s="688" t="s">
        <v>2</v>
      </c>
      <c r="B17205" s="689">
        <v>35.4</v>
      </c>
      <c r="C17205" s="689">
        <v>35.700000000000003</v>
      </c>
      <c r="D17205" s="689">
        <v>35.700000000000003</v>
      </c>
      <c r="E17205" s="689">
        <v>35.799999999999997</v>
      </c>
      <c r="F17205" s="689">
        <v>36.1</v>
      </c>
      <c r="G17205" s="689">
        <v>35.9</v>
      </c>
      <c r="H17205" s="689">
        <v>36.299999999999997</v>
      </c>
      <c r="I17205" s="689">
        <v>36.4</v>
      </c>
      <c r="J17205" s="689">
        <v>36.200000000000003</v>
      </c>
      <c r="K17205" s="689">
        <v>36.1</v>
      </c>
    </row>
    <row r="17206" spans="1:11">
      <c r="A17206" s="688" t="s">
        <v>3</v>
      </c>
      <c r="B17206" s="691">
        <v>36.1</v>
      </c>
      <c r="C17206" s="691">
        <v>36.4</v>
      </c>
      <c r="D17206" s="691">
        <v>36.1</v>
      </c>
      <c r="E17206" s="691">
        <v>36.299999999999997</v>
      </c>
      <c r="F17206" s="691">
        <v>36.299999999999997</v>
      </c>
      <c r="G17206" s="691">
        <v>36.299999999999997</v>
      </c>
      <c r="H17206" s="691">
        <v>36.6</v>
      </c>
      <c r="I17206" s="691">
        <v>36.4</v>
      </c>
      <c r="J17206" s="691">
        <v>36.200000000000003</v>
      </c>
      <c r="K17206" s="615">
        <v>36</v>
      </c>
    </row>
    <row r="17207" spans="1:11">
      <c r="A17207" s="688" t="s">
        <v>4061</v>
      </c>
      <c r="B17207" s="689">
        <v>36.1</v>
      </c>
      <c r="C17207" s="689">
        <v>36.4</v>
      </c>
      <c r="D17207" s="689">
        <v>36.1</v>
      </c>
      <c r="E17207" s="689">
        <v>36.299999999999997</v>
      </c>
      <c r="F17207" s="689">
        <v>36.299999999999997</v>
      </c>
      <c r="G17207" s="689">
        <v>36.299999999999997</v>
      </c>
      <c r="H17207" s="689">
        <v>36.6</v>
      </c>
      <c r="I17207" s="689">
        <v>36.4</v>
      </c>
      <c r="J17207" s="689">
        <v>36.200000000000003</v>
      </c>
      <c r="K17207" s="693">
        <v>36</v>
      </c>
    </row>
    <row r="17208" spans="1:11">
      <c r="A17208" s="688" t="s">
        <v>4</v>
      </c>
      <c r="B17208" s="691">
        <v>35.1</v>
      </c>
      <c r="C17208" s="615">
        <v>35</v>
      </c>
      <c r="D17208" s="691">
        <v>35.200000000000003</v>
      </c>
      <c r="E17208" s="691">
        <v>35.5</v>
      </c>
      <c r="F17208" s="691">
        <v>35.5</v>
      </c>
      <c r="G17208" s="691">
        <v>35.5</v>
      </c>
      <c r="H17208" s="615">
        <v>36</v>
      </c>
      <c r="I17208" s="691">
        <v>35.799999999999997</v>
      </c>
      <c r="J17208" s="691">
        <v>34.700000000000003</v>
      </c>
      <c r="K17208" s="691">
        <v>35.6</v>
      </c>
    </row>
    <row r="17209" spans="1:11">
      <c r="A17209" s="688" t="s">
        <v>8</v>
      </c>
      <c r="B17209" s="689">
        <v>36.200000000000003</v>
      </c>
      <c r="C17209" s="689">
        <v>36.299999999999997</v>
      </c>
      <c r="D17209" s="689">
        <v>36.299999999999997</v>
      </c>
      <c r="E17209" s="689">
        <v>36.4</v>
      </c>
      <c r="F17209" s="689">
        <v>36.799999999999997</v>
      </c>
      <c r="G17209" s="689">
        <v>36.9</v>
      </c>
      <c r="H17209" s="689">
        <v>37.200000000000003</v>
      </c>
      <c r="I17209" s="693">
        <v>37</v>
      </c>
      <c r="J17209" s="689">
        <v>36.9</v>
      </c>
      <c r="K17209" s="693">
        <v>37</v>
      </c>
    </row>
    <row r="17210" spans="1:11">
      <c r="A17210" s="688" t="s">
        <v>7</v>
      </c>
      <c r="B17210" s="691">
        <v>37.1</v>
      </c>
      <c r="C17210" s="691">
        <v>36.799999999999997</v>
      </c>
      <c r="D17210" s="691">
        <v>36.6</v>
      </c>
      <c r="E17210" s="691">
        <v>36.799999999999997</v>
      </c>
      <c r="F17210" s="691">
        <v>36.700000000000003</v>
      </c>
      <c r="G17210" s="691">
        <v>37.200000000000003</v>
      </c>
      <c r="H17210" s="691">
        <v>37.1</v>
      </c>
      <c r="I17210" s="691">
        <v>36.799999999999997</v>
      </c>
      <c r="J17210" s="691">
        <v>35.9</v>
      </c>
      <c r="K17210" s="691">
        <v>36.4</v>
      </c>
    </row>
    <row r="17211" spans="1:11">
      <c r="A17211" s="688" t="s">
        <v>27</v>
      </c>
      <c r="B17211" s="693">
        <v>39</v>
      </c>
      <c r="C17211" s="689">
        <v>38.5</v>
      </c>
      <c r="D17211" s="689">
        <v>38.200000000000003</v>
      </c>
      <c r="E17211" s="689">
        <v>38.700000000000003</v>
      </c>
      <c r="F17211" s="689">
        <v>38.6</v>
      </c>
      <c r="G17211" s="689">
        <v>38.700000000000003</v>
      </c>
      <c r="H17211" s="693">
        <v>39</v>
      </c>
      <c r="I17211" s="689">
        <v>37.799999999999997</v>
      </c>
      <c r="J17211" s="689">
        <v>38.700000000000003</v>
      </c>
      <c r="K17211" s="689">
        <v>38.6</v>
      </c>
    </row>
    <row r="17212" spans="1:11">
      <c r="A17212" s="688" t="s">
        <v>6</v>
      </c>
      <c r="B17212" s="691">
        <v>38.799999999999997</v>
      </c>
      <c r="C17212" s="691">
        <v>38.6</v>
      </c>
      <c r="D17212" s="691">
        <v>38.299999999999997</v>
      </c>
      <c r="E17212" s="691">
        <v>38.5</v>
      </c>
      <c r="F17212" s="691">
        <v>38.5</v>
      </c>
      <c r="G17212" s="691">
        <v>38.700000000000003</v>
      </c>
      <c r="H17212" s="691">
        <v>38.799999999999997</v>
      </c>
      <c r="I17212" s="691">
        <v>38.299999999999997</v>
      </c>
      <c r="J17212" s="691">
        <v>38.4</v>
      </c>
      <c r="K17212" s="691">
        <v>38.299999999999997</v>
      </c>
    </row>
    <row r="17213" spans="1:11">
      <c r="A17213" s="688" t="s">
        <v>4058</v>
      </c>
      <c r="B17213" s="690" t="s">
        <v>4060</v>
      </c>
      <c r="C17213" s="690" t="s">
        <v>4060</v>
      </c>
      <c r="D17213" s="690" t="s">
        <v>4060</v>
      </c>
      <c r="E17213" s="690" t="s">
        <v>4060</v>
      </c>
      <c r="F17213" s="690" t="s">
        <v>4060</v>
      </c>
      <c r="G17213" s="690" t="s">
        <v>4060</v>
      </c>
      <c r="H17213" s="690" t="s">
        <v>4060</v>
      </c>
      <c r="I17213" s="690" t="s">
        <v>4060</v>
      </c>
      <c r="J17213" s="690" t="s">
        <v>4060</v>
      </c>
      <c r="K17213" s="690" t="s">
        <v>4060</v>
      </c>
    </row>
    <row r="17214" spans="1:11">
      <c r="A17214" s="688" t="s">
        <v>11</v>
      </c>
      <c r="B17214" s="691">
        <v>34.200000000000003</v>
      </c>
      <c r="C17214" s="615">
        <v>34</v>
      </c>
      <c r="D17214" s="691">
        <v>33.6</v>
      </c>
      <c r="E17214" s="691">
        <v>34.200000000000003</v>
      </c>
      <c r="F17214" s="691">
        <v>33.9</v>
      </c>
      <c r="G17214" s="691">
        <v>34.299999999999997</v>
      </c>
      <c r="H17214" s="691">
        <v>34.5</v>
      </c>
      <c r="I17214" s="691">
        <v>33.799999999999997</v>
      </c>
      <c r="J17214" s="615">
        <v>33</v>
      </c>
      <c r="K17214" s="691">
        <v>33.9</v>
      </c>
    </row>
    <row r="17215" spans="1:11">
      <c r="A17215" s="688" t="s">
        <v>10</v>
      </c>
      <c r="B17215" s="689">
        <v>38.1</v>
      </c>
      <c r="C17215" s="689">
        <v>37.9</v>
      </c>
      <c r="D17215" s="689">
        <v>37.4</v>
      </c>
      <c r="E17215" s="689">
        <v>38.1</v>
      </c>
      <c r="F17215" s="689">
        <v>37.799999999999997</v>
      </c>
      <c r="G17215" s="689">
        <v>38.1</v>
      </c>
      <c r="H17215" s="689">
        <v>38.299999999999997</v>
      </c>
      <c r="I17215" s="689">
        <v>37.299999999999997</v>
      </c>
      <c r="J17215" s="689">
        <v>37.6</v>
      </c>
      <c r="K17215" s="689">
        <v>37.6</v>
      </c>
    </row>
    <row r="17216" spans="1:11">
      <c r="A17216" s="688" t="s">
        <v>30</v>
      </c>
      <c r="B17216" s="691">
        <v>37.6</v>
      </c>
      <c r="C17216" s="691">
        <v>36.9</v>
      </c>
      <c r="D17216" s="691">
        <v>36.700000000000003</v>
      </c>
      <c r="E17216" s="691">
        <v>37.5</v>
      </c>
      <c r="F17216" s="691">
        <v>37.1</v>
      </c>
      <c r="G17216" s="691">
        <v>37.5</v>
      </c>
      <c r="H17216" s="691">
        <v>37.4</v>
      </c>
      <c r="I17216" s="691">
        <v>37.4</v>
      </c>
      <c r="J17216" s="691">
        <v>36.700000000000003</v>
      </c>
      <c r="K17216" s="691">
        <v>36.9</v>
      </c>
    </row>
    <row r="17217" spans="1:11">
      <c r="A17217" s="688" t="s">
        <v>12</v>
      </c>
      <c r="B17217" s="693">
        <v>33</v>
      </c>
      <c r="C17217" s="689">
        <v>33.200000000000003</v>
      </c>
      <c r="D17217" s="689">
        <v>33.1</v>
      </c>
      <c r="E17217" s="689">
        <v>33.299999999999997</v>
      </c>
      <c r="F17217" s="689">
        <v>33.4</v>
      </c>
      <c r="G17217" s="689">
        <v>33.4</v>
      </c>
      <c r="H17217" s="689">
        <v>33.799999999999997</v>
      </c>
      <c r="I17217" s="689">
        <v>33.6</v>
      </c>
      <c r="J17217" s="689">
        <v>31.7</v>
      </c>
      <c r="K17217" s="689">
        <v>33.1</v>
      </c>
    </row>
    <row r="17218" spans="1:11">
      <c r="A17218" s="688" t="s">
        <v>14</v>
      </c>
      <c r="B17218" s="691">
        <v>33.6</v>
      </c>
      <c r="C17218" s="691">
        <v>33.700000000000003</v>
      </c>
      <c r="D17218" s="691">
        <v>33.5</v>
      </c>
      <c r="E17218" s="691">
        <v>33.700000000000003</v>
      </c>
      <c r="F17218" s="615">
        <v>34</v>
      </c>
      <c r="G17218" s="691">
        <v>34.1</v>
      </c>
      <c r="H17218" s="691">
        <v>34.4</v>
      </c>
      <c r="I17218" s="691">
        <v>33.5</v>
      </c>
      <c r="J17218" s="691">
        <v>32.5</v>
      </c>
      <c r="K17218" s="691">
        <v>33.6</v>
      </c>
    </row>
    <row r="17219" spans="1:11">
      <c r="A17219" s="688" t="s">
        <v>15</v>
      </c>
      <c r="B17219" s="689">
        <v>37.200000000000003</v>
      </c>
      <c r="C17219" s="689">
        <v>37.5</v>
      </c>
      <c r="D17219" s="689">
        <v>36.9</v>
      </c>
      <c r="E17219" s="689">
        <v>37.700000000000003</v>
      </c>
      <c r="F17219" s="689">
        <v>36.9</v>
      </c>
      <c r="G17219" s="689">
        <v>37.299999999999997</v>
      </c>
      <c r="H17219" s="689">
        <v>37.5</v>
      </c>
      <c r="I17219" s="689">
        <v>37.4</v>
      </c>
      <c r="J17219" s="689">
        <v>37.700000000000003</v>
      </c>
      <c r="K17219" s="689">
        <v>37.799999999999997</v>
      </c>
    </row>
    <row r="17220" spans="1:11">
      <c r="A17220" s="688" t="s">
        <v>29</v>
      </c>
      <c r="B17220" s="691">
        <v>32.5</v>
      </c>
      <c r="C17220" s="691">
        <v>32.5</v>
      </c>
      <c r="D17220" s="691">
        <v>32.1</v>
      </c>
      <c r="E17220" s="691">
        <v>32.700000000000003</v>
      </c>
      <c r="F17220" s="691">
        <v>32.4</v>
      </c>
      <c r="G17220" s="691">
        <v>32.6</v>
      </c>
      <c r="H17220" s="691">
        <v>32.700000000000003</v>
      </c>
      <c r="I17220" s="615">
        <v>32</v>
      </c>
      <c r="J17220" s="615">
        <v>31</v>
      </c>
      <c r="K17220" s="691">
        <v>32.5</v>
      </c>
    </row>
    <row r="17221" spans="1:11">
      <c r="A17221" s="688" t="s">
        <v>16</v>
      </c>
      <c r="B17221" s="689">
        <v>37.1</v>
      </c>
      <c r="C17221" s="693">
        <v>37</v>
      </c>
      <c r="D17221" s="689">
        <v>36.799999999999997</v>
      </c>
      <c r="E17221" s="689">
        <v>37.200000000000003</v>
      </c>
      <c r="F17221" s="689">
        <v>37.1</v>
      </c>
      <c r="G17221" s="689">
        <v>37.1</v>
      </c>
      <c r="H17221" s="689">
        <v>37.5</v>
      </c>
      <c r="I17221" s="689">
        <v>37.1</v>
      </c>
      <c r="J17221" s="689">
        <v>36.799999999999997</v>
      </c>
      <c r="K17221" s="693">
        <v>37</v>
      </c>
    </row>
    <row r="17222" spans="1:11">
      <c r="A17222" s="688" t="s">
        <v>17</v>
      </c>
      <c r="B17222" s="691">
        <v>36.299999999999997</v>
      </c>
      <c r="C17222" s="691">
        <v>36.4</v>
      </c>
      <c r="D17222" s="691">
        <v>36.1</v>
      </c>
      <c r="E17222" s="691">
        <v>36.200000000000003</v>
      </c>
      <c r="F17222" s="691">
        <v>36.299999999999997</v>
      </c>
      <c r="G17222" s="691">
        <v>36.299999999999997</v>
      </c>
      <c r="H17222" s="691">
        <v>36.6</v>
      </c>
      <c r="I17222" s="691">
        <v>36.1</v>
      </c>
      <c r="J17222" s="615">
        <v>36</v>
      </c>
      <c r="K17222" s="691">
        <v>36.1</v>
      </c>
    </row>
    <row r="17223" spans="1:11">
      <c r="A17223" s="688" t="s">
        <v>19</v>
      </c>
      <c r="B17223" s="689">
        <v>36.799999999999997</v>
      </c>
      <c r="C17223" s="689">
        <v>36.799999999999997</v>
      </c>
      <c r="D17223" s="689">
        <v>36.6</v>
      </c>
      <c r="E17223" s="693">
        <v>37</v>
      </c>
      <c r="F17223" s="689">
        <v>36.9</v>
      </c>
      <c r="G17223" s="693">
        <v>37</v>
      </c>
      <c r="H17223" s="689">
        <v>37.200000000000003</v>
      </c>
      <c r="I17223" s="689">
        <v>36.700000000000003</v>
      </c>
      <c r="J17223" s="689">
        <v>36.700000000000003</v>
      </c>
      <c r="K17223" s="689">
        <v>36.799999999999997</v>
      </c>
    </row>
    <row r="17224" spans="1:11">
      <c r="A17224" s="688" t="s">
        <v>20</v>
      </c>
      <c r="B17224" s="691">
        <v>34.5</v>
      </c>
      <c r="C17224" s="691">
        <v>34.700000000000003</v>
      </c>
      <c r="D17224" s="691">
        <v>34.5</v>
      </c>
      <c r="E17224" s="615">
        <v>35</v>
      </c>
      <c r="F17224" s="691">
        <v>34.799999999999997</v>
      </c>
      <c r="G17224" s="691">
        <v>34.700000000000003</v>
      </c>
      <c r="H17224" s="615">
        <v>35</v>
      </c>
      <c r="I17224" s="691">
        <v>33.799999999999997</v>
      </c>
      <c r="J17224" s="691">
        <v>32.9</v>
      </c>
      <c r="K17224" s="691">
        <v>34.299999999999997</v>
      </c>
    </row>
    <row r="17225" spans="1:11">
      <c r="A17225" s="688" t="s">
        <v>21</v>
      </c>
      <c r="B17225" s="689">
        <v>37.1</v>
      </c>
      <c r="C17225" s="689">
        <v>37.4</v>
      </c>
      <c r="D17225" s="689">
        <v>37.299999999999997</v>
      </c>
      <c r="E17225" s="689">
        <v>37.299999999999997</v>
      </c>
      <c r="F17225" s="689">
        <v>37.6</v>
      </c>
      <c r="G17225" s="689">
        <v>37.6</v>
      </c>
      <c r="H17225" s="689">
        <v>37.799999999999997</v>
      </c>
      <c r="I17225" s="689">
        <v>37.299999999999997</v>
      </c>
      <c r="J17225" s="689">
        <v>37.299999999999997</v>
      </c>
      <c r="K17225" s="689">
        <v>37.5</v>
      </c>
    </row>
    <row r="17226" spans="1:11">
      <c r="A17226" s="688" t="s">
        <v>22</v>
      </c>
      <c r="B17226" s="691">
        <v>32.700000000000003</v>
      </c>
      <c r="C17226" s="691">
        <v>32.4</v>
      </c>
      <c r="D17226" s="691">
        <v>32.4</v>
      </c>
      <c r="E17226" s="691">
        <v>32.700000000000003</v>
      </c>
      <c r="F17226" s="691">
        <v>32.700000000000003</v>
      </c>
      <c r="G17226" s="691">
        <v>32.799999999999997</v>
      </c>
      <c r="H17226" s="691">
        <v>33.1</v>
      </c>
      <c r="I17226" s="691">
        <v>31.9</v>
      </c>
      <c r="J17226" s="691">
        <v>30.4</v>
      </c>
      <c r="K17226" s="691">
        <v>32.700000000000003</v>
      </c>
    </row>
    <row r="17227" spans="1:11">
      <c r="A17227" s="688" t="s">
        <v>26</v>
      </c>
      <c r="B17227" s="689">
        <v>36.6</v>
      </c>
      <c r="C17227" s="689">
        <v>36.6</v>
      </c>
      <c r="D17227" s="689">
        <v>36.4</v>
      </c>
      <c r="E17227" s="689">
        <v>36.799999999999997</v>
      </c>
      <c r="F17227" s="689">
        <v>36.6</v>
      </c>
      <c r="G17227" s="689">
        <v>36.799999999999997</v>
      </c>
      <c r="H17227" s="693">
        <v>37</v>
      </c>
      <c r="I17227" s="689">
        <v>36.200000000000003</v>
      </c>
      <c r="J17227" s="689">
        <v>36.5</v>
      </c>
      <c r="K17227" s="689">
        <v>36.799999999999997</v>
      </c>
    </row>
    <row r="17228" spans="1:11">
      <c r="A17228" s="688" t="s">
        <v>25</v>
      </c>
      <c r="B17228" s="691">
        <v>33.700000000000003</v>
      </c>
      <c r="C17228" s="691">
        <v>33.9</v>
      </c>
      <c r="D17228" s="691">
        <v>33.5</v>
      </c>
      <c r="E17228" s="615">
        <v>34</v>
      </c>
      <c r="F17228" s="691">
        <v>33.9</v>
      </c>
      <c r="G17228" s="615">
        <v>34</v>
      </c>
      <c r="H17228" s="691">
        <v>34.5</v>
      </c>
      <c r="I17228" s="691">
        <v>33.700000000000003</v>
      </c>
      <c r="J17228" s="691">
        <v>31.7</v>
      </c>
      <c r="K17228" s="691">
        <v>33.799999999999997</v>
      </c>
    </row>
    <row r="17229" spans="1:11">
      <c r="A17229" s="688" t="s">
        <v>5</v>
      </c>
      <c r="B17229" s="689">
        <v>37.200000000000003</v>
      </c>
      <c r="C17229" s="689">
        <v>36.9</v>
      </c>
      <c r="D17229" s="689">
        <v>37.1</v>
      </c>
      <c r="E17229" s="689">
        <v>37.1</v>
      </c>
      <c r="F17229" s="689">
        <v>37.299999999999997</v>
      </c>
      <c r="G17229" s="689">
        <v>37.299999999999997</v>
      </c>
      <c r="H17229" s="689">
        <v>37.6</v>
      </c>
      <c r="I17229" s="689">
        <v>37.6</v>
      </c>
      <c r="J17229" s="689">
        <v>37.5</v>
      </c>
      <c r="K17229" s="689">
        <v>36.799999999999997</v>
      </c>
    </row>
    <row r="17230" spans="1:11">
      <c r="A17230" s="688" t="s">
        <v>23</v>
      </c>
      <c r="B17230" s="691">
        <v>36.799999999999997</v>
      </c>
      <c r="C17230" s="615">
        <v>37</v>
      </c>
      <c r="D17230" s="691">
        <v>36.9</v>
      </c>
      <c r="E17230" s="615">
        <v>37</v>
      </c>
      <c r="F17230" s="615">
        <v>37</v>
      </c>
      <c r="G17230" s="691">
        <v>37.200000000000003</v>
      </c>
      <c r="H17230" s="691">
        <v>37.700000000000003</v>
      </c>
      <c r="I17230" s="691">
        <v>37.200000000000003</v>
      </c>
      <c r="J17230" s="691">
        <v>37.700000000000003</v>
      </c>
      <c r="K17230" s="691">
        <v>37.6</v>
      </c>
    </row>
    <row r="17231" spans="1:11">
      <c r="A17231" s="688" t="s">
        <v>4067</v>
      </c>
      <c r="B17231" s="689">
        <v>36.5</v>
      </c>
      <c r="C17231" s="689">
        <v>36.799999999999997</v>
      </c>
      <c r="D17231" s="689">
        <v>36.4</v>
      </c>
      <c r="E17231" s="689">
        <v>36.799999999999997</v>
      </c>
      <c r="F17231" s="689">
        <v>36.700000000000003</v>
      </c>
      <c r="G17231" s="689">
        <v>36.799999999999997</v>
      </c>
      <c r="H17231" s="690" t="s">
        <v>4060</v>
      </c>
      <c r="I17231" s="690" t="s">
        <v>4060</v>
      </c>
      <c r="J17231" s="690" t="s">
        <v>4060</v>
      </c>
      <c r="K17231" s="690" t="s">
        <v>4060</v>
      </c>
    </row>
    <row r="17232" spans="1:11">
      <c r="A17232" s="688" t="s">
        <v>4066</v>
      </c>
      <c r="B17232" s="691">
        <v>36.5</v>
      </c>
      <c r="C17232" s="691">
        <v>36.799999999999997</v>
      </c>
      <c r="D17232" s="691">
        <v>36.4</v>
      </c>
      <c r="E17232" s="691">
        <v>36.799999999999997</v>
      </c>
      <c r="F17232" s="691">
        <v>36.700000000000003</v>
      </c>
      <c r="G17232" s="691">
        <v>36.799999999999997</v>
      </c>
      <c r="H17232" s="692" t="s">
        <v>4060</v>
      </c>
      <c r="I17232" s="692" t="s">
        <v>4060</v>
      </c>
      <c r="J17232" s="692" t="s">
        <v>4060</v>
      </c>
      <c r="K17232" s="692" t="s">
        <v>4060</v>
      </c>
    </row>
    <row r="17233" spans="1:11">
      <c r="A17233" s="688" t="s">
        <v>4062</v>
      </c>
      <c r="B17233" s="689">
        <v>37.5</v>
      </c>
      <c r="C17233" s="689">
        <v>37.700000000000003</v>
      </c>
      <c r="D17233" s="689">
        <v>37.5</v>
      </c>
      <c r="E17233" s="689">
        <v>37.799999999999997</v>
      </c>
      <c r="F17233" s="689">
        <v>37.799999999999997</v>
      </c>
      <c r="G17233" s="693">
        <v>38</v>
      </c>
      <c r="H17233" s="689">
        <v>38.1</v>
      </c>
      <c r="I17233" s="689">
        <v>37.9</v>
      </c>
      <c r="J17233" s="689">
        <v>38.1</v>
      </c>
      <c r="K17233" s="689">
        <v>37.9</v>
      </c>
    </row>
    <row r="17234" spans="1:11">
      <c r="A17234" s="688" t="s">
        <v>9</v>
      </c>
      <c r="B17234" s="691">
        <v>36.6</v>
      </c>
      <c r="C17234" s="691">
        <v>37.200000000000003</v>
      </c>
      <c r="D17234" s="691">
        <v>36.5</v>
      </c>
      <c r="E17234" s="691">
        <v>36.5</v>
      </c>
      <c r="F17234" s="615">
        <v>37</v>
      </c>
      <c r="G17234" s="691">
        <v>37.1</v>
      </c>
      <c r="H17234" s="691">
        <v>37.299999999999997</v>
      </c>
      <c r="I17234" s="691">
        <v>37.299999999999997</v>
      </c>
      <c r="J17234" s="691">
        <v>37.5</v>
      </c>
      <c r="K17234" s="691">
        <v>36.5</v>
      </c>
    </row>
    <row r="17235" spans="1:11">
      <c r="A17235" s="688" t="s">
        <v>13</v>
      </c>
      <c r="B17235" s="689">
        <v>37.799999999999997</v>
      </c>
      <c r="C17235" s="689">
        <v>36.200000000000003</v>
      </c>
      <c r="D17235" s="689">
        <v>37.200000000000003</v>
      </c>
      <c r="E17235" s="689">
        <v>37.299999999999997</v>
      </c>
      <c r="F17235" s="689">
        <v>38.1</v>
      </c>
      <c r="G17235" s="689">
        <v>38.1</v>
      </c>
      <c r="H17235" s="689">
        <v>37.799999999999997</v>
      </c>
      <c r="I17235" s="689">
        <v>37.1</v>
      </c>
      <c r="J17235" s="689">
        <v>38.299999999999997</v>
      </c>
      <c r="K17235" s="693">
        <v>38</v>
      </c>
    </row>
    <row r="17236" spans="1:11">
      <c r="A17236" s="688" t="s">
        <v>18</v>
      </c>
      <c r="B17236" s="691">
        <v>36.700000000000003</v>
      </c>
      <c r="C17236" s="615">
        <v>37</v>
      </c>
      <c r="D17236" s="615">
        <v>37</v>
      </c>
      <c r="E17236" s="691">
        <v>37.1</v>
      </c>
      <c r="F17236" s="691">
        <v>37.200000000000003</v>
      </c>
      <c r="G17236" s="691">
        <v>37.299999999999997</v>
      </c>
      <c r="H17236" s="691">
        <v>37.5</v>
      </c>
      <c r="I17236" s="691">
        <v>37.700000000000003</v>
      </c>
      <c r="J17236" s="691">
        <v>37.6</v>
      </c>
      <c r="K17236" s="691">
        <v>37.200000000000003</v>
      </c>
    </row>
    <row r="17237" spans="1:11">
      <c r="A17237" s="688" t="s">
        <v>24</v>
      </c>
      <c r="B17237" s="693">
        <v>38</v>
      </c>
      <c r="C17237" s="689">
        <v>38.1</v>
      </c>
      <c r="D17237" s="689">
        <v>37.799999999999997</v>
      </c>
      <c r="E17237" s="689">
        <v>38.200000000000003</v>
      </c>
      <c r="F17237" s="689">
        <v>38.299999999999997</v>
      </c>
      <c r="G17237" s="689">
        <v>38.299999999999997</v>
      </c>
      <c r="H17237" s="689">
        <v>38.5</v>
      </c>
      <c r="I17237" s="693">
        <v>38</v>
      </c>
      <c r="J17237" s="689">
        <v>38.5</v>
      </c>
      <c r="K17237" s="689">
        <v>38.299999999999997</v>
      </c>
    </row>
    <row r="17238" spans="1:11">
      <c r="A17238" s="688" t="s">
        <v>4059</v>
      </c>
      <c r="B17238" s="691">
        <v>36.1</v>
      </c>
      <c r="C17238" s="691">
        <v>36.5</v>
      </c>
      <c r="D17238" s="615">
        <v>36</v>
      </c>
      <c r="E17238" s="691">
        <v>36.299999999999997</v>
      </c>
      <c r="F17238" s="691">
        <v>36.299999999999997</v>
      </c>
      <c r="G17238" s="691">
        <v>36.299999999999997</v>
      </c>
      <c r="H17238" s="692" t="s">
        <v>4060</v>
      </c>
      <c r="I17238" s="692" t="s">
        <v>4060</v>
      </c>
      <c r="J17238" s="692" t="s">
        <v>4060</v>
      </c>
      <c r="K17238" s="692" t="s">
        <v>4060</v>
      </c>
    </row>
    <row r="17239" spans="1:11">
      <c r="A17239" s="688" t="s">
        <v>2324</v>
      </c>
      <c r="B17239" s="689">
        <v>32.299999999999997</v>
      </c>
      <c r="C17239" s="689">
        <v>32.4</v>
      </c>
      <c r="D17239" s="689">
        <v>31.8</v>
      </c>
      <c r="E17239" s="689">
        <v>32.200000000000003</v>
      </c>
      <c r="F17239" s="689">
        <v>32.6</v>
      </c>
      <c r="G17239" s="689">
        <v>32.4</v>
      </c>
      <c r="H17239" s="689">
        <v>32.6</v>
      </c>
      <c r="I17239" s="689">
        <v>32.1</v>
      </c>
      <c r="J17239" s="689">
        <v>30.2</v>
      </c>
      <c r="K17239" s="690" t="s">
        <v>4060</v>
      </c>
    </row>
    <row r="17240" spans="1:11">
      <c r="A17240" s="688" t="s">
        <v>2322</v>
      </c>
      <c r="B17240" s="692" t="s">
        <v>4060</v>
      </c>
      <c r="C17240" s="692" t="s">
        <v>4060</v>
      </c>
      <c r="D17240" s="692" t="s">
        <v>4060</v>
      </c>
      <c r="E17240" s="692" t="s">
        <v>4060</v>
      </c>
      <c r="F17240" s="692" t="s">
        <v>4060</v>
      </c>
      <c r="G17240" s="692" t="s">
        <v>4060</v>
      </c>
      <c r="H17240" s="692" t="s">
        <v>4060</v>
      </c>
      <c r="I17240" s="692" t="s">
        <v>4060</v>
      </c>
      <c r="J17240" s="692" t="s">
        <v>4060</v>
      </c>
      <c r="K17240" s="692" t="s">
        <v>4060</v>
      </c>
    </row>
    <row r="17241" spans="1:11">
      <c r="A17241" s="688" t="s">
        <v>2328</v>
      </c>
      <c r="B17241" s="689">
        <v>31.4</v>
      </c>
      <c r="C17241" s="689">
        <v>31.1</v>
      </c>
      <c r="D17241" s="693">
        <v>31</v>
      </c>
      <c r="E17241" s="689">
        <v>31.4</v>
      </c>
      <c r="F17241" s="689">
        <v>31.6</v>
      </c>
      <c r="G17241" s="693">
        <v>32</v>
      </c>
      <c r="H17241" s="689">
        <v>31.8</v>
      </c>
      <c r="I17241" s="689">
        <v>30.2</v>
      </c>
      <c r="J17241" s="693">
        <v>29</v>
      </c>
      <c r="K17241" s="690" t="s">
        <v>4060</v>
      </c>
    </row>
    <row r="17242" spans="1:11">
      <c r="A17242" s="688" t="s">
        <v>2496</v>
      </c>
      <c r="B17242" s="692" t="s">
        <v>4060</v>
      </c>
      <c r="C17242" s="691">
        <v>32.299999999999997</v>
      </c>
      <c r="D17242" s="691">
        <v>31.5</v>
      </c>
      <c r="E17242" s="691">
        <v>31.2</v>
      </c>
      <c r="F17242" s="691">
        <v>31.8</v>
      </c>
      <c r="G17242" s="691">
        <v>32.1</v>
      </c>
      <c r="H17242" s="691">
        <v>32.1</v>
      </c>
      <c r="I17242" s="692" t="s">
        <v>4060</v>
      </c>
      <c r="J17242" s="692" t="s">
        <v>4060</v>
      </c>
      <c r="K17242" s="691">
        <v>31.8</v>
      </c>
    </row>
    <row r="17243" spans="1:11">
      <c r="A17243" s="688" t="s">
        <v>2269</v>
      </c>
      <c r="B17243" s="689">
        <v>33.9</v>
      </c>
      <c r="C17243" s="689">
        <v>34.1</v>
      </c>
      <c r="D17243" s="689">
        <v>33.4</v>
      </c>
      <c r="E17243" s="689">
        <v>33.9</v>
      </c>
      <c r="F17243" s="689">
        <v>33.700000000000003</v>
      </c>
      <c r="G17243" s="689">
        <v>34.200000000000003</v>
      </c>
      <c r="H17243" s="689">
        <v>34.4</v>
      </c>
      <c r="I17243" s="689">
        <v>33.200000000000003</v>
      </c>
      <c r="J17243" s="689">
        <v>31.2</v>
      </c>
      <c r="K17243" s="689">
        <v>34.1</v>
      </c>
    </row>
    <row r="17244" spans="1:11">
      <c r="A17244" s="688" t="s">
        <v>2349</v>
      </c>
      <c r="B17244" s="691">
        <v>31.4</v>
      </c>
      <c r="C17244" s="691">
        <v>31.5</v>
      </c>
      <c r="D17244" s="691">
        <v>31.4</v>
      </c>
      <c r="E17244" s="691">
        <v>31.7</v>
      </c>
      <c r="F17244" s="691">
        <v>31.5</v>
      </c>
      <c r="G17244" s="691">
        <v>31.8</v>
      </c>
      <c r="H17244" s="615">
        <v>32</v>
      </c>
      <c r="I17244" s="691">
        <v>30.8</v>
      </c>
      <c r="J17244" s="691">
        <v>29.2</v>
      </c>
      <c r="K17244" s="691">
        <v>31.2</v>
      </c>
    </row>
    <row r="17245" spans="1:11">
      <c r="A17245" s="688" t="s">
        <v>2355</v>
      </c>
      <c r="B17245" s="689">
        <v>35.1</v>
      </c>
      <c r="C17245" s="689">
        <v>34.9</v>
      </c>
      <c r="D17245" s="689">
        <v>34.9</v>
      </c>
      <c r="E17245" s="689">
        <v>34.799999999999997</v>
      </c>
      <c r="F17245" s="693">
        <v>35</v>
      </c>
      <c r="G17245" s="689">
        <v>35.4</v>
      </c>
      <c r="H17245" s="689">
        <v>35.5</v>
      </c>
      <c r="I17245" s="690" t="s">
        <v>4060</v>
      </c>
      <c r="J17245" s="690" t="s">
        <v>4060</v>
      </c>
      <c r="K17245" s="690" t="s">
        <v>4060</v>
      </c>
    </row>
    <row r="17246" spans="1:11">
      <c r="A17246" s="688" t="s">
        <v>2357</v>
      </c>
      <c r="B17246" s="692" t="s">
        <v>4060</v>
      </c>
      <c r="C17246" s="691">
        <v>31.4</v>
      </c>
      <c r="D17246" s="691">
        <v>31.8</v>
      </c>
      <c r="E17246" s="615">
        <v>32</v>
      </c>
      <c r="F17246" s="691">
        <v>32.299999999999997</v>
      </c>
      <c r="G17246" s="691">
        <v>32.299999999999997</v>
      </c>
      <c r="H17246" s="691">
        <v>32.5</v>
      </c>
      <c r="I17246" s="692" t="s">
        <v>4060</v>
      </c>
      <c r="J17246" s="692" t="s">
        <v>4060</v>
      </c>
      <c r="K17246" s="692" t="s">
        <v>4060</v>
      </c>
    </row>
    <row r="17247" spans="1:11">
      <c r="A17247" s="688" t="s">
        <v>4070</v>
      </c>
      <c r="B17247" s="690" t="s">
        <v>4060</v>
      </c>
      <c r="C17247" s="690" t="s">
        <v>4060</v>
      </c>
      <c r="D17247" s="690" t="s">
        <v>4060</v>
      </c>
      <c r="E17247" s="689">
        <v>34.9</v>
      </c>
      <c r="F17247" s="690" t="s">
        <v>4060</v>
      </c>
      <c r="G17247" s="690" t="s">
        <v>4060</v>
      </c>
      <c r="H17247" s="690" t="s">
        <v>4060</v>
      </c>
      <c r="I17247" s="690" t="s">
        <v>4060</v>
      </c>
      <c r="J17247" s="690" t="s">
        <v>4060</v>
      </c>
      <c r="K17247" s="690" t="s">
        <v>4060</v>
      </c>
    </row>
    <row r="17248" spans="1:11">
      <c r="A17248" s="688" t="s">
        <v>2491</v>
      </c>
      <c r="B17248" s="615">
        <v>32</v>
      </c>
      <c r="C17248" s="691">
        <v>32.4</v>
      </c>
      <c r="D17248" s="691">
        <v>32.700000000000003</v>
      </c>
      <c r="E17248" s="691">
        <v>32.9</v>
      </c>
      <c r="F17248" s="691">
        <v>32.9</v>
      </c>
      <c r="G17248" s="615">
        <v>33</v>
      </c>
      <c r="H17248" s="692" t="s">
        <v>4060</v>
      </c>
      <c r="I17248" s="692" t="s">
        <v>4060</v>
      </c>
      <c r="J17248" s="692" t="s">
        <v>4060</v>
      </c>
      <c r="K17248" s="692" t="s">
        <v>4060</v>
      </c>
    </row>
    <row r="17249" spans="1:11">
      <c r="A17249" s="688" t="s">
        <v>2343</v>
      </c>
      <c r="B17249" s="690" t="s">
        <v>4060</v>
      </c>
      <c r="C17249" s="690" t="s">
        <v>4060</v>
      </c>
      <c r="D17249" s="690" t="s">
        <v>4060</v>
      </c>
      <c r="E17249" s="690" t="s">
        <v>4060</v>
      </c>
      <c r="F17249" s="690" t="s">
        <v>4060</v>
      </c>
      <c r="G17249" s="690" t="s">
        <v>4060</v>
      </c>
      <c r="H17249" s="690" t="s">
        <v>4060</v>
      </c>
      <c r="I17249" s="690" t="s">
        <v>4060</v>
      </c>
      <c r="J17249" s="690" t="s">
        <v>4060</v>
      </c>
      <c r="K17249" s="690" t="s">
        <v>4060</v>
      </c>
    </row>
    <row r="17250" spans="1:11">
      <c r="A17250" s="688" t="s">
        <v>4071</v>
      </c>
      <c r="B17250" s="692" t="s">
        <v>4060</v>
      </c>
      <c r="C17250" s="692" t="s">
        <v>4060</v>
      </c>
      <c r="D17250" s="692" t="s">
        <v>4060</v>
      </c>
      <c r="E17250" s="692" t="s">
        <v>4060</v>
      </c>
      <c r="F17250" s="692" t="s">
        <v>4060</v>
      </c>
      <c r="G17250" s="692" t="s">
        <v>4060</v>
      </c>
      <c r="H17250" s="692" t="s">
        <v>4060</v>
      </c>
      <c r="I17250" s="692" t="s">
        <v>4060</v>
      </c>
      <c r="J17250" s="692" t="s">
        <v>4060</v>
      </c>
      <c r="K17250" s="692" t="s">
        <v>4060</v>
      </c>
    </row>
    <row r="17251" spans="1:11">
      <c r="A17251" s="688" t="s">
        <v>2489</v>
      </c>
      <c r="B17251" s="690" t="s">
        <v>4060</v>
      </c>
      <c r="C17251" s="690" t="s">
        <v>4060</v>
      </c>
      <c r="D17251" s="693">
        <v>32</v>
      </c>
      <c r="E17251" s="689">
        <v>32.1</v>
      </c>
      <c r="F17251" s="689">
        <v>32.4</v>
      </c>
      <c r="G17251" s="689">
        <v>33.200000000000003</v>
      </c>
      <c r="H17251" s="689">
        <v>33.1</v>
      </c>
      <c r="I17251" s="690" t="s">
        <v>4060</v>
      </c>
      <c r="J17251" s="690" t="s">
        <v>4060</v>
      </c>
      <c r="K17251" s="690" t="s">
        <v>4060</v>
      </c>
    </row>
    <row r="17252" spans="1:11">
      <c r="A17252" s="688" t="s">
        <v>2490</v>
      </c>
      <c r="B17252" s="691">
        <v>31.3</v>
      </c>
      <c r="C17252" s="691">
        <v>31.3</v>
      </c>
      <c r="D17252" s="691">
        <v>31.8</v>
      </c>
      <c r="E17252" s="692" t="s">
        <v>4060</v>
      </c>
      <c r="F17252" s="615">
        <v>32</v>
      </c>
      <c r="G17252" s="691">
        <v>32.299999999999997</v>
      </c>
      <c r="H17252" s="615">
        <v>33</v>
      </c>
      <c r="I17252" s="692" t="s">
        <v>4060</v>
      </c>
      <c r="J17252" s="692" t="s">
        <v>4060</v>
      </c>
      <c r="K17252" s="692" t="s">
        <v>4060</v>
      </c>
    </row>
    <row r="17254" spans="1:11">
      <c r="A17254" s="683" t="s">
        <v>4233</v>
      </c>
    </row>
    <row r="17255" spans="1:11">
      <c r="A17255" s="683" t="s">
        <v>4060</v>
      </c>
      <c r="B17255" s="682" t="s">
        <v>4234</v>
      </c>
    </row>
    <row r="17257" spans="1:11">
      <c r="A17257" s="682" t="s">
        <v>4332</v>
      </c>
    </row>
    <row r="17258" spans="1:11">
      <c r="A17258" s="682" t="s">
        <v>4210</v>
      </c>
      <c r="B17258" s="683" t="s">
        <v>4211</v>
      </c>
    </row>
    <row r="17259" spans="1:11">
      <c r="A17259" s="682" t="s">
        <v>4212</v>
      </c>
      <c r="B17259" s="682" t="s">
        <v>4213</v>
      </c>
    </row>
    <row r="17261" spans="1:11">
      <c r="A17261" s="683" t="s">
        <v>4214</v>
      </c>
      <c r="C17261" s="682" t="s">
        <v>4215</v>
      </c>
    </row>
    <row r="17262" spans="1:11">
      <c r="A17262" s="683" t="s">
        <v>4216</v>
      </c>
      <c r="C17262" s="682" t="s">
        <v>2967</v>
      </c>
    </row>
    <row r="17263" spans="1:11">
      <c r="A17263" s="683" t="s">
        <v>3893</v>
      </c>
      <c r="C17263" s="682" t="s">
        <v>2169</v>
      </c>
    </row>
    <row r="17264" spans="1:11">
      <c r="A17264" s="683" t="s">
        <v>4218</v>
      </c>
      <c r="C17264" s="682" t="s">
        <v>4284</v>
      </c>
    </row>
    <row r="17266" spans="1:11">
      <c r="A17266" s="684" t="s">
        <v>4220</v>
      </c>
      <c r="B17266" s="685" t="s">
        <v>4221</v>
      </c>
      <c r="C17266" s="685" t="s">
        <v>4222</v>
      </c>
      <c r="D17266" s="685" t="s">
        <v>4223</v>
      </c>
      <c r="E17266" s="685" t="s">
        <v>4224</v>
      </c>
      <c r="F17266" s="685" t="s">
        <v>4225</v>
      </c>
      <c r="G17266" s="685" t="s">
        <v>4226</v>
      </c>
      <c r="H17266" s="685" t="s">
        <v>4227</v>
      </c>
      <c r="I17266" s="685" t="s">
        <v>4228</v>
      </c>
      <c r="J17266" s="685" t="s">
        <v>4229</v>
      </c>
      <c r="K17266" s="685" t="s">
        <v>4230</v>
      </c>
    </row>
    <row r="17267" spans="1:11">
      <c r="A17267" s="686" t="s">
        <v>4231</v>
      </c>
      <c r="B17267" s="687" t="s">
        <v>4232</v>
      </c>
      <c r="C17267" s="687" t="s">
        <v>4232</v>
      </c>
      <c r="D17267" s="687" t="s">
        <v>4232</v>
      </c>
      <c r="E17267" s="687" t="s">
        <v>4232</v>
      </c>
      <c r="F17267" s="687" t="s">
        <v>4232</v>
      </c>
      <c r="G17267" s="687" t="s">
        <v>4232</v>
      </c>
      <c r="H17267" s="687" t="s">
        <v>4232</v>
      </c>
      <c r="I17267" s="687" t="s">
        <v>4232</v>
      </c>
      <c r="J17267" s="687" t="s">
        <v>4232</v>
      </c>
      <c r="K17267" s="687" t="s">
        <v>4232</v>
      </c>
    </row>
    <row r="17268" spans="1:11">
      <c r="A17268" s="688" t="s">
        <v>4064</v>
      </c>
      <c r="B17268" s="691">
        <v>35.6</v>
      </c>
      <c r="C17268" s="691">
        <v>35.5</v>
      </c>
      <c r="D17268" s="691">
        <v>35.5</v>
      </c>
      <c r="E17268" s="691">
        <v>35.6</v>
      </c>
      <c r="F17268" s="691">
        <v>35.6</v>
      </c>
      <c r="G17268" s="691">
        <v>35.700000000000003</v>
      </c>
      <c r="H17268" s="691">
        <v>35.9</v>
      </c>
      <c r="I17268" s="691">
        <v>35.200000000000003</v>
      </c>
      <c r="J17268" s="615">
        <v>35</v>
      </c>
      <c r="K17268" s="691">
        <v>35.4</v>
      </c>
    </row>
    <row r="17269" spans="1:11">
      <c r="A17269" s="688" t="s">
        <v>4065</v>
      </c>
      <c r="B17269" s="689">
        <v>35.5</v>
      </c>
      <c r="C17269" s="689">
        <v>35.9</v>
      </c>
      <c r="D17269" s="689">
        <v>35.5</v>
      </c>
      <c r="E17269" s="689">
        <v>35.9</v>
      </c>
      <c r="F17269" s="689">
        <v>35.700000000000003</v>
      </c>
      <c r="G17269" s="689">
        <v>35.799999999999997</v>
      </c>
      <c r="H17269" s="690" t="s">
        <v>4060</v>
      </c>
      <c r="I17269" s="690" t="s">
        <v>4060</v>
      </c>
      <c r="J17269" s="690" t="s">
        <v>4060</v>
      </c>
      <c r="K17269" s="690" t="s">
        <v>4060</v>
      </c>
    </row>
    <row r="17270" spans="1:11">
      <c r="A17270" s="688" t="s">
        <v>4063</v>
      </c>
      <c r="B17270" s="691">
        <v>35.6</v>
      </c>
      <c r="C17270" s="691">
        <v>35.9</v>
      </c>
      <c r="D17270" s="691">
        <v>35.5</v>
      </c>
      <c r="E17270" s="691">
        <v>35.9</v>
      </c>
      <c r="F17270" s="691">
        <v>35.799999999999997</v>
      </c>
      <c r="G17270" s="691">
        <v>35.799999999999997</v>
      </c>
      <c r="H17270" s="692" t="s">
        <v>4060</v>
      </c>
      <c r="I17270" s="692" t="s">
        <v>4060</v>
      </c>
      <c r="J17270" s="692" t="s">
        <v>4060</v>
      </c>
      <c r="K17270" s="692" t="s">
        <v>4060</v>
      </c>
    </row>
    <row r="17271" spans="1:11">
      <c r="A17271" s="688" t="s">
        <v>4069</v>
      </c>
      <c r="B17271" s="690" t="s">
        <v>4060</v>
      </c>
      <c r="C17271" s="689">
        <v>36.299999999999997</v>
      </c>
      <c r="D17271" s="693">
        <v>36</v>
      </c>
      <c r="E17271" s="689">
        <v>36.4</v>
      </c>
      <c r="F17271" s="689">
        <v>36.299999999999997</v>
      </c>
      <c r="G17271" s="689">
        <v>36.4</v>
      </c>
      <c r="H17271" s="689">
        <v>36.6</v>
      </c>
      <c r="I17271" s="689">
        <v>36.1</v>
      </c>
      <c r="J17271" s="689">
        <v>36.1</v>
      </c>
      <c r="K17271" s="689">
        <v>36.1</v>
      </c>
    </row>
    <row r="17272" spans="1:11">
      <c r="A17272" s="688" t="s">
        <v>4068</v>
      </c>
      <c r="B17272" s="691">
        <v>36.4</v>
      </c>
      <c r="C17272" s="692" t="s">
        <v>4060</v>
      </c>
      <c r="D17272" s="692" t="s">
        <v>4060</v>
      </c>
      <c r="E17272" s="692" t="s">
        <v>4060</v>
      </c>
      <c r="F17272" s="692" t="s">
        <v>4060</v>
      </c>
      <c r="G17272" s="692" t="s">
        <v>4060</v>
      </c>
      <c r="H17272" s="692" t="s">
        <v>4060</v>
      </c>
      <c r="I17272" s="692" t="s">
        <v>4060</v>
      </c>
      <c r="J17272" s="692" t="s">
        <v>4060</v>
      </c>
      <c r="K17272" s="692" t="s">
        <v>4060</v>
      </c>
    </row>
    <row r="17273" spans="1:11">
      <c r="A17273" s="688" t="s">
        <v>0</v>
      </c>
      <c r="B17273" s="689">
        <v>35.5</v>
      </c>
      <c r="C17273" s="689">
        <v>35.700000000000003</v>
      </c>
      <c r="D17273" s="689">
        <v>35.4</v>
      </c>
      <c r="E17273" s="689">
        <v>35.799999999999997</v>
      </c>
      <c r="F17273" s="689">
        <v>35.9</v>
      </c>
      <c r="G17273" s="689">
        <v>35.9</v>
      </c>
      <c r="H17273" s="689">
        <v>36.200000000000003</v>
      </c>
      <c r="I17273" s="689">
        <v>35.200000000000003</v>
      </c>
      <c r="J17273" s="689">
        <v>36.200000000000003</v>
      </c>
      <c r="K17273" s="689">
        <v>35.9</v>
      </c>
    </row>
    <row r="17274" spans="1:11">
      <c r="A17274" s="688" t="s">
        <v>1</v>
      </c>
      <c r="B17274" s="691">
        <v>31.6</v>
      </c>
      <c r="C17274" s="691">
        <v>31.1</v>
      </c>
      <c r="D17274" s="691">
        <v>31.1</v>
      </c>
      <c r="E17274" s="691">
        <v>31.3</v>
      </c>
      <c r="F17274" s="691">
        <v>31.2</v>
      </c>
      <c r="G17274" s="691">
        <v>31.4</v>
      </c>
      <c r="H17274" s="691">
        <v>31.6</v>
      </c>
      <c r="I17274" s="691">
        <v>30.3</v>
      </c>
      <c r="J17274" s="691">
        <v>28.4</v>
      </c>
      <c r="K17274" s="691">
        <v>30.8</v>
      </c>
    </row>
    <row r="17275" spans="1:11">
      <c r="A17275" s="688" t="s">
        <v>2240</v>
      </c>
      <c r="B17275" s="689">
        <v>33.4</v>
      </c>
      <c r="C17275" s="689">
        <v>33.799999999999997</v>
      </c>
      <c r="D17275" s="689">
        <v>33.5</v>
      </c>
      <c r="E17275" s="693">
        <v>34</v>
      </c>
      <c r="F17275" s="689">
        <v>33.9</v>
      </c>
      <c r="G17275" s="693">
        <v>34</v>
      </c>
      <c r="H17275" s="689">
        <v>34.200000000000003</v>
      </c>
      <c r="I17275" s="689">
        <v>33.4</v>
      </c>
      <c r="J17275" s="689">
        <v>32.700000000000003</v>
      </c>
      <c r="K17275" s="693">
        <v>34</v>
      </c>
    </row>
    <row r="17276" spans="1:11">
      <c r="A17276" s="688" t="s">
        <v>2</v>
      </c>
      <c r="B17276" s="691">
        <v>34.5</v>
      </c>
      <c r="C17276" s="691">
        <v>34.799999999999997</v>
      </c>
      <c r="D17276" s="691">
        <v>34.700000000000003</v>
      </c>
      <c r="E17276" s="691">
        <v>34.799999999999997</v>
      </c>
      <c r="F17276" s="691">
        <v>35.1</v>
      </c>
      <c r="G17276" s="615">
        <v>35</v>
      </c>
      <c r="H17276" s="691">
        <v>35.299999999999997</v>
      </c>
      <c r="I17276" s="691">
        <v>35.5</v>
      </c>
      <c r="J17276" s="691">
        <v>35.299999999999997</v>
      </c>
      <c r="K17276" s="691">
        <v>35.1</v>
      </c>
    </row>
    <row r="17277" spans="1:11">
      <c r="A17277" s="688" t="s">
        <v>3</v>
      </c>
      <c r="B17277" s="689">
        <v>35.200000000000003</v>
      </c>
      <c r="C17277" s="689">
        <v>35.4</v>
      </c>
      <c r="D17277" s="689">
        <v>35.1</v>
      </c>
      <c r="E17277" s="689">
        <v>35.4</v>
      </c>
      <c r="F17277" s="689">
        <v>35.4</v>
      </c>
      <c r="G17277" s="689">
        <v>35.299999999999997</v>
      </c>
      <c r="H17277" s="689">
        <v>35.6</v>
      </c>
      <c r="I17277" s="689">
        <v>35.5</v>
      </c>
      <c r="J17277" s="689">
        <v>35.299999999999997</v>
      </c>
      <c r="K17277" s="693">
        <v>35</v>
      </c>
    </row>
    <row r="17278" spans="1:11">
      <c r="A17278" s="688" t="s">
        <v>4061</v>
      </c>
      <c r="B17278" s="691">
        <v>35.200000000000003</v>
      </c>
      <c r="C17278" s="691">
        <v>35.4</v>
      </c>
      <c r="D17278" s="691">
        <v>35.1</v>
      </c>
      <c r="E17278" s="691">
        <v>35.4</v>
      </c>
      <c r="F17278" s="691">
        <v>35.4</v>
      </c>
      <c r="G17278" s="691">
        <v>35.299999999999997</v>
      </c>
      <c r="H17278" s="691">
        <v>35.6</v>
      </c>
      <c r="I17278" s="691">
        <v>35.5</v>
      </c>
      <c r="J17278" s="691">
        <v>35.299999999999997</v>
      </c>
      <c r="K17278" s="615">
        <v>35</v>
      </c>
    </row>
    <row r="17279" spans="1:11">
      <c r="A17279" s="688" t="s">
        <v>4</v>
      </c>
      <c r="B17279" s="689">
        <v>34.200000000000003</v>
      </c>
      <c r="C17279" s="689">
        <v>34.1</v>
      </c>
      <c r="D17279" s="689">
        <v>34.299999999999997</v>
      </c>
      <c r="E17279" s="689">
        <v>34.5</v>
      </c>
      <c r="F17279" s="689">
        <v>34.6</v>
      </c>
      <c r="G17279" s="689">
        <v>34.6</v>
      </c>
      <c r="H17279" s="689">
        <v>35.1</v>
      </c>
      <c r="I17279" s="689">
        <v>34.9</v>
      </c>
      <c r="J17279" s="689">
        <v>33.700000000000003</v>
      </c>
      <c r="K17279" s="689">
        <v>34.700000000000003</v>
      </c>
    </row>
    <row r="17280" spans="1:11">
      <c r="A17280" s="688" t="s">
        <v>8</v>
      </c>
      <c r="B17280" s="691">
        <v>35.200000000000003</v>
      </c>
      <c r="C17280" s="691">
        <v>35.299999999999997</v>
      </c>
      <c r="D17280" s="691">
        <v>35.299999999999997</v>
      </c>
      <c r="E17280" s="691">
        <v>35.4</v>
      </c>
      <c r="F17280" s="691">
        <v>35.799999999999997</v>
      </c>
      <c r="G17280" s="691">
        <v>35.9</v>
      </c>
      <c r="H17280" s="691">
        <v>36.299999999999997</v>
      </c>
      <c r="I17280" s="691">
        <v>36.1</v>
      </c>
      <c r="J17280" s="615">
        <v>36</v>
      </c>
      <c r="K17280" s="615">
        <v>36</v>
      </c>
    </row>
    <row r="17281" spans="1:11">
      <c r="A17281" s="688" t="s">
        <v>7</v>
      </c>
      <c r="B17281" s="689">
        <v>36.1</v>
      </c>
      <c r="C17281" s="689">
        <v>35.9</v>
      </c>
      <c r="D17281" s="689">
        <v>35.700000000000003</v>
      </c>
      <c r="E17281" s="689">
        <v>35.9</v>
      </c>
      <c r="F17281" s="689">
        <v>35.799999999999997</v>
      </c>
      <c r="G17281" s="689">
        <v>36.299999999999997</v>
      </c>
      <c r="H17281" s="689">
        <v>36.200000000000003</v>
      </c>
      <c r="I17281" s="689">
        <v>35.799999999999997</v>
      </c>
      <c r="J17281" s="693">
        <v>35</v>
      </c>
      <c r="K17281" s="689">
        <v>35.4</v>
      </c>
    </row>
    <row r="17282" spans="1:11">
      <c r="A17282" s="688" t="s">
        <v>27</v>
      </c>
      <c r="B17282" s="691">
        <v>38.1</v>
      </c>
      <c r="C17282" s="691">
        <v>37.6</v>
      </c>
      <c r="D17282" s="691">
        <v>37.299999999999997</v>
      </c>
      <c r="E17282" s="691">
        <v>37.700000000000003</v>
      </c>
      <c r="F17282" s="691">
        <v>37.6</v>
      </c>
      <c r="G17282" s="691">
        <v>37.700000000000003</v>
      </c>
      <c r="H17282" s="691">
        <v>38.1</v>
      </c>
      <c r="I17282" s="691">
        <v>36.9</v>
      </c>
      <c r="J17282" s="691">
        <v>37.700000000000003</v>
      </c>
      <c r="K17282" s="691">
        <v>37.6</v>
      </c>
    </row>
    <row r="17283" spans="1:11">
      <c r="A17283" s="688" t="s">
        <v>6</v>
      </c>
      <c r="B17283" s="689">
        <v>37.9</v>
      </c>
      <c r="C17283" s="689">
        <v>37.700000000000003</v>
      </c>
      <c r="D17283" s="689">
        <v>37.4</v>
      </c>
      <c r="E17283" s="689">
        <v>37.6</v>
      </c>
      <c r="F17283" s="689">
        <v>37.6</v>
      </c>
      <c r="G17283" s="689">
        <v>37.700000000000003</v>
      </c>
      <c r="H17283" s="689">
        <v>37.799999999999997</v>
      </c>
      <c r="I17283" s="689">
        <v>37.299999999999997</v>
      </c>
      <c r="J17283" s="689">
        <v>37.4</v>
      </c>
      <c r="K17283" s="689">
        <v>37.4</v>
      </c>
    </row>
    <row r="17284" spans="1:11">
      <c r="A17284" s="688" t="s">
        <v>4058</v>
      </c>
      <c r="B17284" s="692" t="s">
        <v>4060</v>
      </c>
      <c r="C17284" s="692" t="s">
        <v>4060</v>
      </c>
      <c r="D17284" s="692" t="s">
        <v>4060</v>
      </c>
      <c r="E17284" s="692" t="s">
        <v>4060</v>
      </c>
      <c r="F17284" s="692" t="s">
        <v>4060</v>
      </c>
      <c r="G17284" s="692" t="s">
        <v>4060</v>
      </c>
      <c r="H17284" s="692" t="s">
        <v>4060</v>
      </c>
      <c r="I17284" s="692" t="s">
        <v>4060</v>
      </c>
      <c r="J17284" s="692" t="s">
        <v>4060</v>
      </c>
      <c r="K17284" s="692" t="s">
        <v>4060</v>
      </c>
    </row>
    <row r="17285" spans="1:11">
      <c r="A17285" s="688" t="s">
        <v>11</v>
      </c>
      <c r="B17285" s="689">
        <v>33.200000000000003</v>
      </c>
      <c r="C17285" s="689">
        <v>33.1</v>
      </c>
      <c r="D17285" s="689">
        <v>32.700000000000003</v>
      </c>
      <c r="E17285" s="689">
        <v>33.299999999999997</v>
      </c>
      <c r="F17285" s="693">
        <v>33</v>
      </c>
      <c r="G17285" s="689">
        <v>33.299999999999997</v>
      </c>
      <c r="H17285" s="689">
        <v>33.5</v>
      </c>
      <c r="I17285" s="689">
        <v>32.9</v>
      </c>
      <c r="J17285" s="689">
        <v>32.1</v>
      </c>
      <c r="K17285" s="689">
        <v>32.9</v>
      </c>
    </row>
    <row r="17286" spans="1:11">
      <c r="A17286" s="688" t="s">
        <v>10</v>
      </c>
      <c r="B17286" s="691">
        <v>37.200000000000003</v>
      </c>
      <c r="C17286" s="615">
        <v>37</v>
      </c>
      <c r="D17286" s="691">
        <v>36.5</v>
      </c>
      <c r="E17286" s="691">
        <v>37.1</v>
      </c>
      <c r="F17286" s="691">
        <v>36.799999999999997</v>
      </c>
      <c r="G17286" s="691">
        <v>37.200000000000003</v>
      </c>
      <c r="H17286" s="691">
        <v>37.299999999999997</v>
      </c>
      <c r="I17286" s="691">
        <v>36.4</v>
      </c>
      <c r="J17286" s="691">
        <v>36.700000000000003</v>
      </c>
      <c r="K17286" s="691">
        <v>36.700000000000003</v>
      </c>
    </row>
    <row r="17287" spans="1:11">
      <c r="A17287" s="688" t="s">
        <v>30</v>
      </c>
      <c r="B17287" s="689">
        <v>36.6</v>
      </c>
      <c r="C17287" s="693">
        <v>36</v>
      </c>
      <c r="D17287" s="689">
        <v>35.700000000000003</v>
      </c>
      <c r="E17287" s="689">
        <v>36.6</v>
      </c>
      <c r="F17287" s="689">
        <v>36.1</v>
      </c>
      <c r="G17287" s="689">
        <v>36.5</v>
      </c>
      <c r="H17287" s="689">
        <v>36.4</v>
      </c>
      <c r="I17287" s="689">
        <v>36.4</v>
      </c>
      <c r="J17287" s="689">
        <v>35.700000000000003</v>
      </c>
      <c r="K17287" s="693">
        <v>36</v>
      </c>
    </row>
    <row r="17288" spans="1:11">
      <c r="A17288" s="688" t="s">
        <v>12</v>
      </c>
      <c r="B17288" s="691">
        <v>32.1</v>
      </c>
      <c r="C17288" s="691">
        <v>32.299999999999997</v>
      </c>
      <c r="D17288" s="691">
        <v>32.200000000000003</v>
      </c>
      <c r="E17288" s="691">
        <v>32.4</v>
      </c>
      <c r="F17288" s="691">
        <v>32.5</v>
      </c>
      <c r="G17288" s="691">
        <v>32.4</v>
      </c>
      <c r="H17288" s="691">
        <v>32.9</v>
      </c>
      <c r="I17288" s="691">
        <v>32.700000000000003</v>
      </c>
      <c r="J17288" s="691">
        <v>30.8</v>
      </c>
      <c r="K17288" s="691">
        <v>32.200000000000003</v>
      </c>
    </row>
    <row r="17289" spans="1:11">
      <c r="A17289" s="688" t="s">
        <v>14</v>
      </c>
      <c r="B17289" s="689">
        <v>32.700000000000003</v>
      </c>
      <c r="C17289" s="689">
        <v>32.799999999999997</v>
      </c>
      <c r="D17289" s="689">
        <v>32.6</v>
      </c>
      <c r="E17289" s="689">
        <v>32.799999999999997</v>
      </c>
      <c r="F17289" s="689">
        <v>33.1</v>
      </c>
      <c r="G17289" s="689">
        <v>33.200000000000003</v>
      </c>
      <c r="H17289" s="689">
        <v>33.5</v>
      </c>
      <c r="I17289" s="689">
        <v>32.6</v>
      </c>
      <c r="J17289" s="689">
        <v>31.6</v>
      </c>
      <c r="K17289" s="689">
        <v>32.799999999999997</v>
      </c>
    </row>
    <row r="17290" spans="1:11">
      <c r="A17290" s="688" t="s">
        <v>15</v>
      </c>
      <c r="B17290" s="691">
        <v>36.200000000000003</v>
      </c>
      <c r="C17290" s="691">
        <v>36.6</v>
      </c>
      <c r="D17290" s="615">
        <v>36</v>
      </c>
      <c r="E17290" s="691">
        <v>36.700000000000003</v>
      </c>
      <c r="F17290" s="691">
        <v>35.9</v>
      </c>
      <c r="G17290" s="691">
        <v>36.299999999999997</v>
      </c>
      <c r="H17290" s="691">
        <v>36.6</v>
      </c>
      <c r="I17290" s="691">
        <v>36.4</v>
      </c>
      <c r="J17290" s="691">
        <v>36.700000000000003</v>
      </c>
      <c r="K17290" s="691">
        <v>36.799999999999997</v>
      </c>
    </row>
    <row r="17291" spans="1:11">
      <c r="A17291" s="688" t="s">
        <v>29</v>
      </c>
      <c r="B17291" s="689">
        <v>31.6</v>
      </c>
      <c r="C17291" s="689">
        <v>31.6</v>
      </c>
      <c r="D17291" s="689">
        <v>31.2</v>
      </c>
      <c r="E17291" s="689">
        <v>31.8</v>
      </c>
      <c r="F17291" s="689">
        <v>31.5</v>
      </c>
      <c r="G17291" s="689">
        <v>31.7</v>
      </c>
      <c r="H17291" s="689">
        <v>31.8</v>
      </c>
      <c r="I17291" s="689">
        <v>31.1</v>
      </c>
      <c r="J17291" s="689">
        <v>30.1</v>
      </c>
      <c r="K17291" s="689">
        <v>31.5</v>
      </c>
    </row>
    <row r="17292" spans="1:11">
      <c r="A17292" s="688" t="s">
        <v>16</v>
      </c>
      <c r="B17292" s="691">
        <v>36.1</v>
      </c>
      <c r="C17292" s="615">
        <v>36</v>
      </c>
      <c r="D17292" s="691">
        <v>35.9</v>
      </c>
      <c r="E17292" s="691">
        <v>36.299999999999997</v>
      </c>
      <c r="F17292" s="691">
        <v>36.200000000000003</v>
      </c>
      <c r="G17292" s="691">
        <v>36.200000000000003</v>
      </c>
      <c r="H17292" s="691">
        <v>36.5</v>
      </c>
      <c r="I17292" s="691">
        <v>36.200000000000003</v>
      </c>
      <c r="J17292" s="691">
        <v>35.799999999999997</v>
      </c>
      <c r="K17292" s="691">
        <v>36.1</v>
      </c>
    </row>
    <row r="17293" spans="1:11">
      <c r="A17293" s="688" t="s">
        <v>17</v>
      </c>
      <c r="B17293" s="689">
        <v>35.299999999999997</v>
      </c>
      <c r="C17293" s="689">
        <v>35.4</v>
      </c>
      <c r="D17293" s="689">
        <v>35.200000000000003</v>
      </c>
      <c r="E17293" s="689">
        <v>35.200000000000003</v>
      </c>
      <c r="F17293" s="689">
        <v>35.4</v>
      </c>
      <c r="G17293" s="689">
        <v>35.4</v>
      </c>
      <c r="H17293" s="689">
        <v>35.6</v>
      </c>
      <c r="I17293" s="689">
        <v>35.200000000000003</v>
      </c>
      <c r="J17293" s="689">
        <v>35.1</v>
      </c>
      <c r="K17293" s="689">
        <v>35.200000000000003</v>
      </c>
    </row>
    <row r="17294" spans="1:11">
      <c r="A17294" s="688" t="s">
        <v>19</v>
      </c>
      <c r="B17294" s="691">
        <v>35.9</v>
      </c>
      <c r="C17294" s="691">
        <v>35.9</v>
      </c>
      <c r="D17294" s="691">
        <v>35.700000000000003</v>
      </c>
      <c r="E17294" s="615">
        <v>36</v>
      </c>
      <c r="F17294" s="691">
        <v>35.9</v>
      </c>
      <c r="G17294" s="691">
        <v>36.1</v>
      </c>
      <c r="H17294" s="691">
        <v>36.299999999999997</v>
      </c>
      <c r="I17294" s="691">
        <v>35.799999999999997</v>
      </c>
      <c r="J17294" s="691">
        <v>35.799999999999997</v>
      </c>
      <c r="K17294" s="691">
        <v>35.799999999999997</v>
      </c>
    </row>
    <row r="17295" spans="1:11">
      <c r="A17295" s="688" t="s">
        <v>20</v>
      </c>
      <c r="B17295" s="689">
        <v>33.6</v>
      </c>
      <c r="C17295" s="689">
        <v>33.799999999999997</v>
      </c>
      <c r="D17295" s="689">
        <v>33.6</v>
      </c>
      <c r="E17295" s="693">
        <v>34</v>
      </c>
      <c r="F17295" s="689">
        <v>33.9</v>
      </c>
      <c r="G17295" s="689">
        <v>33.799999999999997</v>
      </c>
      <c r="H17295" s="693">
        <v>34</v>
      </c>
      <c r="I17295" s="689">
        <v>32.9</v>
      </c>
      <c r="J17295" s="693">
        <v>32</v>
      </c>
      <c r="K17295" s="689">
        <v>33.4</v>
      </c>
    </row>
    <row r="17296" spans="1:11">
      <c r="A17296" s="688" t="s">
        <v>21</v>
      </c>
      <c r="B17296" s="691">
        <v>36.200000000000003</v>
      </c>
      <c r="C17296" s="691">
        <v>36.5</v>
      </c>
      <c r="D17296" s="691">
        <v>36.299999999999997</v>
      </c>
      <c r="E17296" s="691">
        <v>36.4</v>
      </c>
      <c r="F17296" s="691">
        <v>36.6</v>
      </c>
      <c r="G17296" s="691">
        <v>36.700000000000003</v>
      </c>
      <c r="H17296" s="691">
        <v>36.9</v>
      </c>
      <c r="I17296" s="691">
        <v>36.299999999999997</v>
      </c>
      <c r="J17296" s="691">
        <v>36.4</v>
      </c>
      <c r="K17296" s="691">
        <v>36.6</v>
      </c>
    </row>
    <row r="17297" spans="1:11">
      <c r="A17297" s="688" t="s">
        <v>22</v>
      </c>
      <c r="B17297" s="689">
        <v>31.7</v>
      </c>
      <c r="C17297" s="689">
        <v>31.5</v>
      </c>
      <c r="D17297" s="689">
        <v>31.5</v>
      </c>
      <c r="E17297" s="689">
        <v>31.8</v>
      </c>
      <c r="F17297" s="689">
        <v>31.8</v>
      </c>
      <c r="G17297" s="689">
        <v>31.9</v>
      </c>
      <c r="H17297" s="689">
        <v>32.200000000000003</v>
      </c>
      <c r="I17297" s="693">
        <v>31</v>
      </c>
      <c r="J17297" s="689">
        <v>29.5</v>
      </c>
      <c r="K17297" s="689">
        <v>31.8</v>
      </c>
    </row>
    <row r="17298" spans="1:11">
      <c r="A17298" s="688" t="s">
        <v>26</v>
      </c>
      <c r="B17298" s="691">
        <v>35.700000000000003</v>
      </c>
      <c r="C17298" s="691">
        <v>35.6</v>
      </c>
      <c r="D17298" s="691">
        <v>35.5</v>
      </c>
      <c r="E17298" s="691">
        <v>35.799999999999997</v>
      </c>
      <c r="F17298" s="691">
        <v>35.700000000000003</v>
      </c>
      <c r="G17298" s="691">
        <v>35.799999999999997</v>
      </c>
      <c r="H17298" s="615">
        <v>36</v>
      </c>
      <c r="I17298" s="691">
        <v>35.200000000000003</v>
      </c>
      <c r="J17298" s="691">
        <v>35.6</v>
      </c>
      <c r="K17298" s="691">
        <v>35.9</v>
      </c>
    </row>
    <row r="17299" spans="1:11">
      <c r="A17299" s="688" t="s">
        <v>25</v>
      </c>
      <c r="B17299" s="689">
        <v>32.700000000000003</v>
      </c>
      <c r="C17299" s="689">
        <v>32.9</v>
      </c>
      <c r="D17299" s="689">
        <v>32.6</v>
      </c>
      <c r="E17299" s="689">
        <v>33.1</v>
      </c>
      <c r="F17299" s="693">
        <v>33</v>
      </c>
      <c r="G17299" s="689">
        <v>33.1</v>
      </c>
      <c r="H17299" s="689">
        <v>33.6</v>
      </c>
      <c r="I17299" s="689">
        <v>32.799999999999997</v>
      </c>
      <c r="J17299" s="689">
        <v>30.7</v>
      </c>
      <c r="K17299" s="689">
        <v>32.9</v>
      </c>
    </row>
    <row r="17300" spans="1:11">
      <c r="A17300" s="688" t="s">
        <v>5</v>
      </c>
      <c r="B17300" s="691">
        <v>36.200000000000003</v>
      </c>
      <c r="C17300" s="691">
        <v>35.9</v>
      </c>
      <c r="D17300" s="691">
        <v>36.1</v>
      </c>
      <c r="E17300" s="691">
        <v>36.1</v>
      </c>
      <c r="F17300" s="691">
        <v>36.299999999999997</v>
      </c>
      <c r="G17300" s="691">
        <v>36.4</v>
      </c>
      <c r="H17300" s="691">
        <v>36.700000000000003</v>
      </c>
      <c r="I17300" s="691">
        <v>36.700000000000003</v>
      </c>
      <c r="J17300" s="691">
        <v>36.5</v>
      </c>
      <c r="K17300" s="691">
        <v>35.9</v>
      </c>
    </row>
    <row r="17301" spans="1:11">
      <c r="A17301" s="688" t="s">
        <v>23</v>
      </c>
      <c r="B17301" s="689">
        <v>35.799999999999997</v>
      </c>
      <c r="C17301" s="693">
        <v>36</v>
      </c>
      <c r="D17301" s="693">
        <v>36</v>
      </c>
      <c r="E17301" s="689">
        <v>36.1</v>
      </c>
      <c r="F17301" s="689">
        <v>36.1</v>
      </c>
      <c r="G17301" s="689">
        <v>36.200000000000003</v>
      </c>
      <c r="H17301" s="689">
        <v>36.700000000000003</v>
      </c>
      <c r="I17301" s="689">
        <v>36.200000000000003</v>
      </c>
      <c r="J17301" s="689">
        <v>36.700000000000003</v>
      </c>
      <c r="K17301" s="689">
        <v>36.6</v>
      </c>
    </row>
    <row r="17302" spans="1:11">
      <c r="A17302" s="688" t="s">
        <v>4067</v>
      </c>
      <c r="B17302" s="691">
        <v>35.5</v>
      </c>
      <c r="C17302" s="691">
        <v>35.9</v>
      </c>
      <c r="D17302" s="691">
        <v>35.5</v>
      </c>
      <c r="E17302" s="691">
        <v>35.9</v>
      </c>
      <c r="F17302" s="691">
        <v>35.700000000000003</v>
      </c>
      <c r="G17302" s="691">
        <v>35.799999999999997</v>
      </c>
      <c r="H17302" s="692" t="s">
        <v>4060</v>
      </c>
      <c r="I17302" s="692" t="s">
        <v>4060</v>
      </c>
      <c r="J17302" s="692" t="s">
        <v>4060</v>
      </c>
      <c r="K17302" s="692" t="s">
        <v>4060</v>
      </c>
    </row>
    <row r="17303" spans="1:11">
      <c r="A17303" s="688" t="s">
        <v>4066</v>
      </c>
      <c r="B17303" s="689">
        <v>35.6</v>
      </c>
      <c r="C17303" s="689">
        <v>35.9</v>
      </c>
      <c r="D17303" s="689">
        <v>35.5</v>
      </c>
      <c r="E17303" s="689">
        <v>35.9</v>
      </c>
      <c r="F17303" s="689">
        <v>35.799999999999997</v>
      </c>
      <c r="G17303" s="689">
        <v>35.799999999999997</v>
      </c>
      <c r="H17303" s="690" t="s">
        <v>4060</v>
      </c>
      <c r="I17303" s="690" t="s">
        <v>4060</v>
      </c>
      <c r="J17303" s="690" t="s">
        <v>4060</v>
      </c>
      <c r="K17303" s="690" t="s">
        <v>4060</v>
      </c>
    </row>
    <row r="17304" spans="1:11">
      <c r="A17304" s="688" t="s">
        <v>4062</v>
      </c>
      <c r="B17304" s="691">
        <v>36.6</v>
      </c>
      <c r="C17304" s="691">
        <v>36.700000000000003</v>
      </c>
      <c r="D17304" s="691">
        <v>36.6</v>
      </c>
      <c r="E17304" s="691">
        <v>36.799999999999997</v>
      </c>
      <c r="F17304" s="691">
        <v>36.9</v>
      </c>
      <c r="G17304" s="615">
        <v>37</v>
      </c>
      <c r="H17304" s="691">
        <v>37.200000000000003</v>
      </c>
      <c r="I17304" s="691">
        <v>36.9</v>
      </c>
      <c r="J17304" s="691">
        <v>37.200000000000003</v>
      </c>
      <c r="K17304" s="691">
        <v>36.9</v>
      </c>
    </row>
    <row r="17305" spans="1:11">
      <c r="A17305" s="688" t="s">
        <v>9</v>
      </c>
      <c r="B17305" s="689">
        <v>35.700000000000003</v>
      </c>
      <c r="C17305" s="689">
        <v>36.299999999999997</v>
      </c>
      <c r="D17305" s="689">
        <v>35.6</v>
      </c>
      <c r="E17305" s="689">
        <v>35.5</v>
      </c>
      <c r="F17305" s="689">
        <v>36.1</v>
      </c>
      <c r="G17305" s="689">
        <v>36.1</v>
      </c>
      <c r="H17305" s="689">
        <v>36.4</v>
      </c>
      <c r="I17305" s="689">
        <v>36.4</v>
      </c>
      <c r="J17305" s="689">
        <v>36.5</v>
      </c>
      <c r="K17305" s="689">
        <v>35.5</v>
      </c>
    </row>
    <row r="17306" spans="1:11">
      <c r="A17306" s="688" t="s">
        <v>13</v>
      </c>
      <c r="B17306" s="691">
        <v>36.799999999999997</v>
      </c>
      <c r="C17306" s="691">
        <v>35.200000000000003</v>
      </c>
      <c r="D17306" s="691">
        <v>36.200000000000003</v>
      </c>
      <c r="E17306" s="691">
        <v>36.299999999999997</v>
      </c>
      <c r="F17306" s="691">
        <v>37.1</v>
      </c>
      <c r="G17306" s="691">
        <v>37.200000000000003</v>
      </c>
      <c r="H17306" s="691">
        <v>36.799999999999997</v>
      </c>
      <c r="I17306" s="691">
        <v>36.200000000000003</v>
      </c>
      <c r="J17306" s="691">
        <v>37.299999999999997</v>
      </c>
      <c r="K17306" s="615">
        <v>37</v>
      </c>
    </row>
    <row r="17307" spans="1:11">
      <c r="A17307" s="688" t="s">
        <v>18</v>
      </c>
      <c r="B17307" s="689">
        <v>35.799999999999997</v>
      </c>
      <c r="C17307" s="693">
        <v>36</v>
      </c>
      <c r="D17307" s="689">
        <v>36.1</v>
      </c>
      <c r="E17307" s="689">
        <v>36.1</v>
      </c>
      <c r="F17307" s="689">
        <v>36.200000000000003</v>
      </c>
      <c r="G17307" s="689">
        <v>36.4</v>
      </c>
      <c r="H17307" s="689">
        <v>36.6</v>
      </c>
      <c r="I17307" s="689">
        <v>36.799999999999997</v>
      </c>
      <c r="J17307" s="689">
        <v>36.6</v>
      </c>
      <c r="K17307" s="689">
        <v>36.200000000000003</v>
      </c>
    </row>
    <row r="17308" spans="1:11">
      <c r="A17308" s="688" t="s">
        <v>24</v>
      </c>
      <c r="B17308" s="615">
        <v>37</v>
      </c>
      <c r="C17308" s="691">
        <v>37.1</v>
      </c>
      <c r="D17308" s="691">
        <v>36.9</v>
      </c>
      <c r="E17308" s="691">
        <v>37.299999999999997</v>
      </c>
      <c r="F17308" s="691">
        <v>37.299999999999997</v>
      </c>
      <c r="G17308" s="691">
        <v>37.4</v>
      </c>
      <c r="H17308" s="691">
        <v>37.5</v>
      </c>
      <c r="I17308" s="615">
        <v>37</v>
      </c>
      <c r="J17308" s="691">
        <v>37.5</v>
      </c>
      <c r="K17308" s="691">
        <v>37.299999999999997</v>
      </c>
    </row>
    <row r="17309" spans="1:11">
      <c r="A17309" s="688" t="s">
        <v>4059</v>
      </c>
      <c r="B17309" s="689">
        <v>35.200000000000003</v>
      </c>
      <c r="C17309" s="689">
        <v>35.5</v>
      </c>
      <c r="D17309" s="689">
        <v>35.1</v>
      </c>
      <c r="E17309" s="689">
        <v>35.4</v>
      </c>
      <c r="F17309" s="689">
        <v>35.4</v>
      </c>
      <c r="G17309" s="689">
        <v>35.4</v>
      </c>
      <c r="H17309" s="690" t="s">
        <v>4060</v>
      </c>
      <c r="I17309" s="690" t="s">
        <v>4060</v>
      </c>
      <c r="J17309" s="690" t="s">
        <v>4060</v>
      </c>
      <c r="K17309" s="690" t="s">
        <v>4060</v>
      </c>
    </row>
    <row r="17310" spans="1:11">
      <c r="A17310" s="688" t="s">
        <v>2324</v>
      </c>
      <c r="B17310" s="691">
        <v>31.4</v>
      </c>
      <c r="C17310" s="691">
        <v>31.5</v>
      </c>
      <c r="D17310" s="691">
        <v>30.9</v>
      </c>
      <c r="E17310" s="691">
        <v>31.3</v>
      </c>
      <c r="F17310" s="691">
        <v>31.7</v>
      </c>
      <c r="G17310" s="691">
        <v>31.5</v>
      </c>
      <c r="H17310" s="691">
        <v>31.7</v>
      </c>
      <c r="I17310" s="691">
        <v>31.1</v>
      </c>
      <c r="J17310" s="691">
        <v>29.2</v>
      </c>
      <c r="K17310" s="692" t="s">
        <v>4060</v>
      </c>
    </row>
    <row r="17311" spans="1:11">
      <c r="A17311" s="688" t="s">
        <v>2322</v>
      </c>
      <c r="B17311" s="690" t="s">
        <v>4060</v>
      </c>
      <c r="C17311" s="690" t="s">
        <v>4060</v>
      </c>
      <c r="D17311" s="690" t="s">
        <v>4060</v>
      </c>
      <c r="E17311" s="690" t="s">
        <v>4060</v>
      </c>
      <c r="F17311" s="690" t="s">
        <v>4060</v>
      </c>
      <c r="G17311" s="690" t="s">
        <v>4060</v>
      </c>
      <c r="H17311" s="690" t="s">
        <v>4060</v>
      </c>
      <c r="I17311" s="690" t="s">
        <v>4060</v>
      </c>
      <c r="J17311" s="690" t="s">
        <v>4060</v>
      </c>
      <c r="K17311" s="690" t="s">
        <v>4060</v>
      </c>
    </row>
    <row r="17312" spans="1:11">
      <c r="A17312" s="688" t="s">
        <v>2328</v>
      </c>
      <c r="B17312" s="691">
        <v>30.4</v>
      </c>
      <c r="C17312" s="691">
        <v>30.2</v>
      </c>
      <c r="D17312" s="691">
        <v>30.1</v>
      </c>
      <c r="E17312" s="691">
        <v>30.5</v>
      </c>
      <c r="F17312" s="691">
        <v>30.6</v>
      </c>
      <c r="G17312" s="691">
        <v>31.1</v>
      </c>
      <c r="H17312" s="691">
        <v>30.9</v>
      </c>
      <c r="I17312" s="691">
        <v>29.3</v>
      </c>
      <c r="J17312" s="691">
        <v>28.1</v>
      </c>
      <c r="K17312" s="692" t="s">
        <v>4060</v>
      </c>
    </row>
    <row r="17313" spans="1:11">
      <c r="A17313" s="688" t="s">
        <v>2496</v>
      </c>
      <c r="B17313" s="690" t="s">
        <v>4060</v>
      </c>
      <c r="C17313" s="689">
        <v>31.4</v>
      </c>
      <c r="D17313" s="689">
        <v>30.5</v>
      </c>
      <c r="E17313" s="689">
        <v>30.3</v>
      </c>
      <c r="F17313" s="689">
        <v>30.9</v>
      </c>
      <c r="G17313" s="689">
        <v>31.2</v>
      </c>
      <c r="H17313" s="689">
        <v>31.2</v>
      </c>
      <c r="I17313" s="690" t="s">
        <v>4060</v>
      </c>
      <c r="J17313" s="690" t="s">
        <v>4060</v>
      </c>
      <c r="K17313" s="689">
        <v>30.9</v>
      </c>
    </row>
    <row r="17314" spans="1:11">
      <c r="A17314" s="688" t="s">
        <v>2269</v>
      </c>
      <c r="B17314" s="615">
        <v>33</v>
      </c>
      <c r="C17314" s="691">
        <v>33.1</v>
      </c>
      <c r="D17314" s="691">
        <v>32.5</v>
      </c>
      <c r="E17314" s="615">
        <v>33</v>
      </c>
      <c r="F17314" s="691">
        <v>32.799999999999997</v>
      </c>
      <c r="G17314" s="691">
        <v>33.200000000000003</v>
      </c>
      <c r="H17314" s="691">
        <v>33.4</v>
      </c>
      <c r="I17314" s="691">
        <v>32.299999999999997</v>
      </c>
      <c r="J17314" s="691">
        <v>30.3</v>
      </c>
      <c r="K17314" s="691">
        <v>33.200000000000003</v>
      </c>
    </row>
    <row r="17315" spans="1:11">
      <c r="A17315" s="688" t="s">
        <v>2349</v>
      </c>
      <c r="B17315" s="689">
        <v>30.5</v>
      </c>
      <c r="C17315" s="689">
        <v>30.5</v>
      </c>
      <c r="D17315" s="689">
        <v>30.5</v>
      </c>
      <c r="E17315" s="689">
        <v>30.8</v>
      </c>
      <c r="F17315" s="689">
        <v>30.6</v>
      </c>
      <c r="G17315" s="689">
        <v>30.9</v>
      </c>
      <c r="H17315" s="693">
        <v>31</v>
      </c>
      <c r="I17315" s="689">
        <v>29.9</v>
      </c>
      <c r="J17315" s="689">
        <v>28.3</v>
      </c>
      <c r="K17315" s="689">
        <v>30.3</v>
      </c>
    </row>
    <row r="17316" spans="1:11">
      <c r="A17316" s="688" t="s">
        <v>2355</v>
      </c>
      <c r="B17316" s="691">
        <v>34.200000000000003</v>
      </c>
      <c r="C17316" s="615">
        <v>34</v>
      </c>
      <c r="D17316" s="691">
        <v>33.9</v>
      </c>
      <c r="E17316" s="691">
        <v>33.9</v>
      </c>
      <c r="F17316" s="691">
        <v>34.1</v>
      </c>
      <c r="G17316" s="691">
        <v>34.4</v>
      </c>
      <c r="H17316" s="691">
        <v>34.5</v>
      </c>
      <c r="I17316" s="692" t="s">
        <v>4060</v>
      </c>
      <c r="J17316" s="692" t="s">
        <v>4060</v>
      </c>
      <c r="K17316" s="692" t="s">
        <v>4060</v>
      </c>
    </row>
    <row r="17317" spans="1:11">
      <c r="A17317" s="688" t="s">
        <v>2357</v>
      </c>
      <c r="B17317" s="690" t="s">
        <v>4060</v>
      </c>
      <c r="C17317" s="689">
        <v>30.5</v>
      </c>
      <c r="D17317" s="689">
        <v>30.9</v>
      </c>
      <c r="E17317" s="689">
        <v>31.1</v>
      </c>
      <c r="F17317" s="689">
        <v>31.4</v>
      </c>
      <c r="G17317" s="689">
        <v>31.4</v>
      </c>
      <c r="H17317" s="689">
        <v>31.6</v>
      </c>
      <c r="I17317" s="690" t="s">
        <v>4060</v>
      </c>
      <c r="J17317" s="690" t="s">
        <v>4060</v>
      </c>
      <c r="K17317" s="690" t="s">
        <v>4060</v>
      </c>
    </row>
    <row r="17318" spans="1:11">
      <c r="A17318" s="688" t="s">
        <v>4070</v>
      </c>
      <c r="B17318" s="692" t="s">
        <v>4060</v>
      </c>
      <c r="C17318" s="692" t="s">
        <v>4060</v>
      </c>
      <c r="D17318" s="692" t="s">
        <v>4060</v>
      </c>
      <c r="E17318" s="691">
        <v>33.9</v>
      </c>
      <c r="F17318" s="692" t="s">
        <v>4060</v>
      </c>
      <c r="G17318" s="692" t="s">
        <v>4060</v>
      </c>
      <c r="H17318" s="692" t="s">
        <v>4060</v>
      </c>
      <c r="I17318" s="692" t="s">
        <v>4060</v>
      </c>
      <c r="J17318" s="692" t="s">
        <v>4060</v>
      </c>
      <c r="K17318" s="692" t="s">
        <v>4060</v>
      </c>
    </row>
    <row r="17319" spans="1:11">
      <c r="A17319" s="688" t="s">
        <v>2491</v>
      </c>
      <c r="B17319" s="689">
        <v>31.1</v>
      </c>
      <c r="C17319" s="689">
        <v>31.5</v>
      </c>
      <c r="D17319" s="689">
        <v>31.8</v>
      </c>
      <c r="E17319" s="689">
        <v>31.9</v>
      </c>
      <c r="F17319" s="693">
        <v>32</v>
      </c>
      <c r="G17319" s="689">
        <v>32.1</v>
      </c>
      <c r="H17319" s="690" t="s">
        <v>4060</v>
      </c>
      <c r="I17319" s="690" t="s">
        <v>4060</v>
      </c>
      <c r="J17319" s="690" t="s">
        <v>4060</v>
      </c>
      <c r="K17319" s="690" t="s">
        <v>4060</v>
      </c>
    </row>
    <row r="17320" spans="1:11">
      <c r="A17320" s="688" t="s">
        <v>2343</v>
      </c>
      <c r="B17320" s="692" t="s">
        <v>4060</v>
      </c>
      <c r="C17320" s="692" t="s">
        <v>4060</v>
      </c>
      <c r="D17320" s="692" t="s">
        <v>4060</v>
      </c>
      <c r="E17320" s="692" t="s">
        <v>4060</v>
      </c>
      <c r="F17320" s="692" t="s">
        <v>4060</v>
      </c>
      <c r="G17320" s="692" t="s">
        <v>4060</v>
      </c>
      <c r="H17320" s="692" t="s">
        <v>4060</v>
      </c>
      <c r="I17320" s="692" t="s">
        <v>4060</v>
      </c>
      <c r="J17320" s="692" t="s">
        <v>4060</v>
      </c>
      <c r="K17320" s="692" t="s">
        <v>4060</v>
      </c>
    </row>
    <row r="17321" spans="1:11">
      <c r="A17321" s="688" t="s">
        <v>4071</v>
      </c>
      <c r="B17321" s="690" t="s">
        <v>4060</v>
      </c>
      <c r="C17321" s="690" t="s">
        <v>4060</v>
      </c>
      <c r="D17321" s="690" t="s">
        <v>4060</v>
      </c>
      <c r="E17321" s="690" t="s">
        <v>4060</v>
      </c>
      <c r="F17321" s="690" t="s">
        <v>4060</v>
      </c>
      <c r="G17321" s="690" t="s">
        <v>4060</v>
      </c>
      <c r="H17321" s="690" t="s">
        <v>4060</v>
      </c>
      <c r="I17321" s="690" t="s">
        <v>4060</v>
      </c>
      <c r="J17321" s="690" t="s">
        <v>4060</v>
      </c>
      <c r="K17321" s="690" t="s">
        <v>4060</v>
      </c>
    </row>
    <row r="17322" spans="1:11">
      <c r="A17322" s="688" t="s">
        <v>2489</v>
      </c>
      <c r="B17322" s="692" t="s">
        <v>4060</v>
      </c>
      <c r="C17322" s="692" t="s">
        <v>4060</v>
      </c>
      <c r="D17322" s="691">
        <v>31.1</v>
      </c>
      <c r="E17322" s="691">
        <v>31.1</v>
      </c>
      <c r="F17322" s="691">
        <v>31.5</v>
      </c>
      <c r="G17322" s="691">
        <v>32.200000000000003</v>
      </c>
      <c r="H17322" s="691">
        <v>32.200000000000003</v>
      </c>
      <c r="I17322" s="692" t="s">
        <v>4060</v>
      </c>
      <c r="J17322" s="692" t="s">
        <v>4060</v>
      </c>
      <c r="K17322" s="692" t="s">
        <v>4060</v>
      </c>
    </row>
    <row r="17323" spans="1:11">
      <c r="A17323" s="688" t="s">
        <v>2490</v>
      </c>
      <c r="B17323" s="689">
        <v>30.4</v>
      </c>
      <c r="C17323" s="689">
        <v>30.4</v>
      </c>
      <c r="D17323" s="689">
        <v>30.9</v>
      </c>
      <c r="E17323" s="690" t="s">
        <v>4060</v>
      </c>
      <c r="F17323" s="693">
        <v>31</v>
      </c>
      <c r="G17323" s="689">
        <v>31.4</v>
      </c>
      <c r="H17323" s="689">
        <v>32.1</v>
      </c>
      <c r="I17323" s="690" t="s">
        <v>4060</v>
      </c>
      <c r="J17323" s="690" t="s">
        <v>4060</v>
      </c>
      <c r="K17323" s="690" t="s">
        <v>4060</v>
      </c>
    </row>
    <row r="17325" spans="1:11">
      <c r="A17325" s="683" t="s">
        <v>4233</v>
      </c>
    </row>
    <row r="17326" spans="1:11">
      <c r="A17326" s="683" t="s">
        <v>4060</v>
      </c>
      <c r="B17326" s="682" t="s">
        <v>4234</v>
      </c>
    </row>
    <row r="17328" spans="1:11">
      <c r="A17328" s="682" t="s">
        <v>4332</v>
      </c>
    </row>
    <row r="17329" spans="1:11">
      <c r="A17329" s="682" t="s">
        <v>4210</v>
      </c>
      <c r="B17329" s="683" t="s">
        <v>4211</v>
      </c>
    </row>
    <row r="17330" spans="1:11">
      <c r="A17330" s="682" t="s">
        <v>4212</v>
      </c>
      <c r="B17330" s="682" t="s">
        <v>4213</v>
      </c>
    </row>
    <row r="17332" spans="1:11">
      <c r="A17332" s="683" t="s">
        <v>4214</v>
      </c>
      <c r="C17332" s="682" t="s">
        <v>4215</v>
      </c>
    </row>
    <row r="17333" spans="1:11">
      <c r="A17333" s="683" t="s">
        <v>4216</v>
      </c>
      <c r="C17333" s="682" t="s">
        <v>2967</v>
      </c>
    </row>
    <row r="17334" spans="1:11">
      <c r="A17334" s="683" t="s">
        <v>3893</v>
      </c>
      <c r="C17334" s="682" t="s">
        <v>2169</v>
      </c>
    </row>
    <row r="17335" spans="1:11">
      <c r="A17335" s="683" t="s">
        <v>4218</v>
      </c>
      <c r="C17335" s="682" t="s">
        <v>4285</v>
      </c>
    </row>
    <row r="17337" spans="1:11">
      <c r="A17337" s="684" t="s">
        <v>4220</v>
      </c>
      <c r="B17337" s="685" t="s">
        <v>4221</v>
      </c>
      <c r="C17337" s="685" t="s">
        <v>4222</v>
      </c>
      <c r="D17337" s="685" t="s">
        <v>4223</v>
      </c>
      <c r="E17337" s="685" t="s">
        <v>4224</v>
      </c>
      <c r="F17337" s="685" t="s">
        <v>4225</v>
      </c>
      <c r="G17337" s="685" t="s">
        <v>4226</v>
      </c>
      <c r="H17337" s="685" t="s">
        <v>4227</v>
      </c>
      <c r="I17337" s="685" t="s">
        <v>4228</v>
      </c>
      <c r="J17337" s="685" t="s">
        <v>4229</v>
      </c>
      <c r="K17337" s="685" t="s">
        <v>4230</v>
      </c>
    </row>
    <row r="17338" spans="1:11">
      <c r="A17338" s="686" t="s">
        <v>4231</v>
      </c>
      <c r="B17338" s="687" t="s">
        <v>4232</v>
      </c>
      <c r="C17338" s="687" t="s">
        <v>4232</v>
      </c>
      <c r="D17338" s="687" t="s">
        <v>4232</v>
      </c>
      <c r="E17338" s="687" t="s">
        <v>4232</v>
      </c>
      <c r="F17338" s="687" t="s">
        <v>4232</v>
      </c>
      <c r="G17338" s="687" t="s">
        <v>4232</v>
      </c>
      <c r="H17338" s="687" t="s">
        <v>4232</v>
      </c>
      <c r="I17338" s="687" t="s">
        <v>4232</v>
      </c>
      <c r="J17338" s="687" t="s">
        <v>4232</v>
      </c>
      <c r="K17338" s="687" t="s">
        <v>4232</v>
      </c>
    </row>
    <row r="17339" spans="1:11">
      <c r="A17339" s="688" t="s">
        <v>4064</v>
      </c>
      <c r="B17339" s="689">
        <v>34.6</v>
      </c>
      <c r="C17339" s="689">
        <v>34.6</v>
      </c>
      <c r="D17339" s="689">
        <v>34.6</v>
      </c>
      <c r="E17339" s="689">
        <v>34.700000000000003</v>
      </c>
      <c r="F17339" s="689">
        <v>34.6</v>
      </c>
      <c r="G17339" s="689">
        <v>34.700000000000003</v>
      </c>
      <c r="H17339" s="693">
        <v>35</v>
      </c>
      <c r="I17339" s="689">
        <v>34.299999999999997</v>
      </c>
      <c r="J17339" s="693">
        <v>34</v>
      </c>
      <c r="K17339" s="689">
        <v>34.5</v>
      </c>
    </row>
    <row r="17340" spans="1:11">
      <c r="A17340" s="688" t="s">
        <v>4065</v>
      </c>
      <c r="B17340" s="691">
        <v>34.6</v>
      </c>
      <c r="C17340" s="691">
        <v>34.9</v>
      </c>
      <c r="D17340" s="691">
        <v>34.5</v>
      </c>
      <c r="E17340" s="691">
        <v>34.9</v>
      </c>
      <c r="F17340" s="691">
        <v>34.799999999999997</v>
      </c>
      <c r="G17340" s="691">
        <v>34.9</v>
      </c>
      <c r="H17340" s="692" t="s">
        <v>4060</v>
      </c>
      <c r="I17340" s="692" t="s">
        <v>4060</v>
      </c>
      <c r="J17340" s="692" t="s">
        <v>4060</v>
      </c>
      <c r="K17340" s="692" t="s">
        <v>4060</v>
      </c>
    </row>
    <row r="17341" spans="1:11">
      <c r="A17341" s="688" t="s">
        <v>4063</v>
      </c>
      <c r="B17341" s="689">
        <v>34.6</v>
      </c>
      <c r="C17341" s="693">
        <v>35</v>
      </c>
      <c r="D17341" s="689">
        <v>34.5</v>
      </c>
      <c r="E17341" s="689">
        <v>34.9</v>
      </c>
      <c r="F17341" s="689">
        <v>34.799999999999997</v>
      </c>
      <c r="G17341" s="689">
        <v>34.9</v>
      </c>
      <c r="H17341" s="690" t="s">
        <v>4060</v>
      </c>
      <c r="I17341" s="690" t="s">
        <v>4060</v>
      </c>
      <c r="J17341" s="690" t="s">
        <v>4060</v>
      </c>
      <c r="K17341" s="690" t="s">
        <v>4060</v>
      </c>
    </row>
    <row r="17342" spans="1:11">
      <c r="A17342" s="688" t="s">
        <v>4069</v>
      </c>
      <c r="B17342" s="692" t="s">
        <v>4060</v>
      </c>
      <c r="C17342" s="691">
        <v>35.4</v>
      </c>
      <c r="D17342" s="691">
        <v>35.1</v>
      </c>
      <c r="E17342" s="691">
        <v>35.4</v>
      </c>
      <c r="F17342" s="691">
        <v>35.4</v>
      </c>
      <c r="G17342" s="691">
        <v>35.5</v>
      </c>
      <c r="H17342" s="691">
        <v>35.700000000000003</v>
      </c>
      <c r="I17342" s="691">
        <v>35.1</v>
      </c>
      <c r="J17342" s="691">
        <v>35.1</v>
      </c>
      <c r="K17342" s="691">
        <v>35.200000000000003</v>
      </c>
    </row>
    <row r="17343" spans="1:11">
      <c r="A17343" s="688" t="s">
        <v>4068</v>
      </c>
      <c r="B17343" s="689">
        <v>35.5</v>
      </c>
      <c r="C17343" s="690" t="s">
        <v>4060</v>
      </c>
      <c r="D17343" s="690" t="s">
        <v>4060</v>
      </c>
      <c r="E17343" s="690" t="s">
        <v>4060</v>
      </c>
      <c r="F17343" s="690" t="s">
        <v>4060</v>
      </c>
      <c r="G17343" s="690" t="s">
        <v>4060</v>
      </c>
      <c r="H17343" s="690" t="s">
        <v>4060</v>
      </c>
      <c r="I17343" s="690" t="s">
        <v>4060</v>
      </c>
      <c r="J17343" s="690" t="s">
        <v>4060</v>
      </c>
      <c r="K17343" s="690" t="s">
        <v>4060</v>
      </c>
    </row>
    <row r="17344" spans="1:11">
      <c r="A17344" s="688" t="s">
        <v>0</v>
      </c>
      <c r="B17344" s="691">
        <v>34.6</v>
      </c>
      <c r="C17344" s="691">
        <v>34.799999999999997</v>
      </c>
      <c r="D17344" s="691">
        <v>34.5</v>
      </c>
      <c r="E17344" s="691">
        <v>34.9</v>
      </c>
      <c r="F17344" s="691">
        <v>34.9</v>
      </c>
      <c r="G17344" s="615">
        <v>35</v>
      </c>
      <c r="H17344" s="691">
        <v>35.200000000000003</v>
      </c>
      <c r="I17344" s="691">
        <v>34.200000000000003</v>
      </c>
      <c r="J17344" s="691">
        <v>35.299999999999997</v>
      </c>
      <c r="K17344" s="615">
        <v>35</v>
      </c>
    </row>
    <row r="17345" spans="1:11">
      <c r="A17345" s="688" t="s">
        <v>1</v>
      </c>
      <c r="B17345" s="689">
        <v>30.7</v>
      </c>
      <c r="C17345" s="689">
        <v>30.2</v>
      </c>
      <c r="D17345" s="689">
        <v>30.2</v>
      </c>
      <c r="E17345" s="689">
        <v>30.4</v>
      </c>
      <c r="F17345" s="689">
        <v>30.3</v>
      </c>
      <c r="G17345" s="689">
        <v>30.5</v>
      </c>
      <c r="H17345" s="689">
        <v>30.7</v>
      </c>
      <c r="I17345" s="689">
        <v>29.4</v>
      </c>
      <c r="J17345" s="689">
        <v>27.5</v>
      </c>
      <c r="K17345" s="689">
        <v>29.9</v>
      </c>
    </row>
    <row r="17346" spans="1:11">
      <c r="A17346" s="688" t="s">
        <v>2240</v>
      </c>
      <c r="B17346" s="691">
        <v>32.5</v>
      </c>
      <c r="C17346" s="691">
        <v>32.9</v>
      </c>
      <c r="D17346" s="691">
        <v>32.6</v>
      </c>
      <c r="E17346" s="691">
        <v>33.1</v>
      </c>
      <c r="F17346" s="615">
        <v>33</v>
      </c>
      <c r="G17346" s="691">
        <v>33.1</v>
      </c>
      <c r="H17346" s="691">
        <v>33.299999999999997</v>
      </c>
      <c r="I17346" s="691">
        <v>32.5</v>
      </c>
      <c r="J17346" s="691">
        <v>31.8</v>
      </c>
      <c r="K17346" s="691">
        <v>33.1</v>
      </c>
    </row>
    <row r="17347" spans="1:11">
      <c r="A17347" s="688" t="s">
        <v>2</v>
      </c>
      <c r="B17347" s="689">
        <v>33.5</v>
      </c>
      <c r="C17347" s="689">
        <v>33.799999999999997</v>
      </c>
      <c r="D17347" s="689">
        <v>33.799999999999997</v>
      </c>
      <c r="E17347" s="689">
        <v>33.9</v>
      </c>
      <c r="F17347" s="689">
        <v>34.200000000000003</v>
      </c>
      <c r="G17347" s="693">
        <v>34</v>
      </c>
      <c r="H17347" s="689">
        <v>34.4</v>
      </c>
      <c r="I17347" s="689">
        <v>34.5</v>
      </c>
      <c r="J17347" s="689">
        <v>34.299999999999997</v>
      </c>
      <c r="K17347" s="689">
        <v>34.200000000000003</v>
      </c>
    </row>
    <row r="17348" spans="1:11">
      <c r="A17348" s="688" t="s">
        <v>3</v>
      </c>
      <c r="B17348" s="691">
        <v>34.200000000000003</v>
      </c>
      <c r="C17348" s="691">
        <v>34.5</v>
      </c>
      <c r="D17348" s="691">
        <v>34.200000000000003</v>
      </c>
      <c r="E17348" s="691">
        <v>34.5</v>
      </c>
      <c r="F17348" s="691">
        <v>34.4</v>
      </c>
      <c r="G17348" s="691">
        <v>34.4</v>
      </c>
      <c r="H17348" s="691">
        <v>34.700000000000003</v>
      </c>
      <c r="I17348" s="691">
        <v>34.5</v>
      </c>
      <c r="J17348" s="691">
        <v>34.299999999999997</v>
      </c>
      <c r="K17348" s="691">
        <v>34.1</v>
      </c>
    </row>
    <row r="17349" spans="1:11">
      <c r="A17349" s="688" t="s">
        <v>4061</v>
      </c>
      <c r="B17349" s="689">
        <v>34.200000000000003</v>
      </c>
      <c r="C17349" s="689">
        <v>34.5</v>
      </c>
      <c r="D17349" s="689">
        <v>34.200000000000003</v>
      </c>
      <c r="E17349" s="689">
        <v>34.5</v>
      </c>
      <c r="F17349" s="689">
        <v>34.4</v>
      </c>
      <c r="G17349" s="689">
        <v>34.4</v>
      </c>
      <c r="H17349" s="689">
        <v>34.700000000000003</v>
      </c>
      <c r="I17349" s="689">
        <v>34.5</v>
      </c>
      <c r="J17349" s="689">
        <v>34.299999999999997</v>
      </c>
      <c r="K17349" s="689">
        <v>34.1</v>
      </c>
    </row>
    <row r="17350" spans="1:11">
      <c r="A17350" s="688" t="s">
        <v>4</v>
      </c>
      <c r="B17350" s="691">
        <v>33.200000000000003</v>
      </c>
      <c r="C17350" s="691">
        <v>33.1</v>
      </c>
      <c r="D17350" s="691">
        <v>33.4</v>
      </c>
      <c r="E17350" s="691">
        <v>33.6</v>
      </c>
      <c r="F17350" s="691">
        <v>33.700000000000003</v>
      </c>
      <c r="G17350" s="691">
        <v>33.700000000000003</v>
      </c>
      <c r="H17350" s="691">
        <v>34.1</v>
      </c>
      <c r="I17350" s="691">
        <v>33.9</v>
      </c>
      <c r="J17350" s="691">
        <v>32.799999999999997</v>
      </c>
      <c r="K17350" s="691">
        <v>33.700000000000003</v>
      </c>
    </row>
    <row r="17351" spans="1:11">
      <c r="A17351" s="688" t="s">
        <v>8</v>
      </c>
      <c r="B17351" s="689">
        <v>34.299999999999997</v>
      </c>
      <c r="C17351" s="689">
        <v>34.4</v>
      </c>
      <c r="D17351" s="689">
        <v>34.4</v>
      </c>
      <c r="E17351" s="689">
        <v>34.5</v>
      </c>
      <c r="F17351" s="689">
        <v>34.9</v>
      </c>
      <c r="G17351" s="693">
        <v>35</v>
      </c>
      <c r="H17351" s="689">
        <v>35.299999999999997</v>
      </c>
      <c r="I17351" s="689">
        <v>35.1</v>
      </c>
      <c r="J17351" s="689">
        <v>35.1</v>
      </c>
      <c r="K17351" s="689">
        <v>35.1</v>
      </c>
    </row>
    <row r="17352" spans="1:11">
      <c r="A17352" s="688" t="s">
        <v>7</v>
      </c>
      <c r="B17352" s="691">
        <v>35.200000000000003</v>
      </c>
      <c r="C17352" s="615">
        <v>35</v>
      </c>
      <c r="D17352" s="691">
        <v>34.700000000000003</v>
      </c>
      <c r="E17352" s="615">
        <v>35</v>
      </c>
      <c r="F17352" s="691">
        <v>34.799999999999997</v>
      </c>
      <c r="G17352" s="691">
        <v>35.299999999999997</v>
      </c>
      <c r="H17352" s="691">
        <v>35.200000000000003</v>
      </c>
      <c r="I17352" s="691">
        <v>34.9</v>
      </c>
      <c r="J17352" s="615">
        <v>34</v>
      </c>
      <c r="K17352" s="691">
        <v>34.5</v>
      </c>
    </row>
    <row r="17353" spans="1:11">
      <c r="A17353" s="688" t="s">
        <v>27</v>
      </c>
      <c r="B17353" s="689">
        <v>37.1</v>
      </c>
      <c r="C17353" s="689">
        <v>36.700000000000003</v>
      </c>
      <c r="D17353" s="689">
        <v>36.299999999999997</v>
      </c>
      <c r="E17353" s="689">
        <v>36.799999999999997</v>
      </c>
      <c r="F17353" s="689">
        <v>36.700000000000003</v>
      </c>
      <c r="G17353" s="689">
        <v>36.799999999999997</v>
      </c>
      <c r="H17353" s="689">
        <v>37.1</v>
      </c>
      <c r="I17353" s="689">
        <v>35.9</v>
      </c>
      <c r="J17353" s="689">
        <v>36.799999999999997</v>
      </c>
      <c r="K17353" s="689">
        <v>36.6</v>
      </c>
    </row>
    <row r="17354" spans="1:11">
      <c r="A17354" s="688" t="s">
        <v>6</v>
      </c>
      <c r="B17354" s="615">
        <v>37</v>
      </c>
      <c r="C17354" s="691">
        <v>36.700000000000003</v>
      </c>
      <c r="D17354" s="691">
        <v>36.4</v>
      </c>
      <c r="E17354" s="691">
        <v>36.700000000000003</v>
      </c>
      <c r="F17354" s="691">
        <v>36.700000000000003</v>
      </c>
      <c r="G17354" s="691">
        <v>36.799999999999997</v>
      </c>
      <c r="H17354" s="691">
        <v>36.9</v>
      </c>
      <c r="I17354" s="691">
        <v>36.4</v>
      </c>
      <c r="J17354" s="691">
        <v>36.5</v>
      </c>
      <c r="K17354" s="691">
        <v>36.5</v>
      </c>
    </row>
    <row r="17355" spans="1:11">
      <c r="A17355" s="688" t="s">
        <v>4058</v>
      </c>
      <c r="B17355" s="690" t="s">
        <v>4060</v>
      </c>
      <c r="C17355" s="690" t="s">
        <v>4060</v>
      </c>
      <c r="D17355" s="690" t="s">
        <v>4060</v>
      </c>
      <c r="E17355" s="690" t="s">
        <v>4060</v>
      </c>
      <c r="F17355" s="690" t="s">
        <v>4060</v>
      </c>
      <c r="G17355" s="690" t="s">
        <v>4060</v>
      </c>
      <c r="H17355" s="690" t="s">
        <v>4060</v>
      </c>
      <c r="I17355" s="690" t="s">
        <v>4060</v>
      </c>
      <c r="J17355" s="690" t="s">
        <v>4060</v>
      </c>
      <c r="K17355" s="690" t="s">
        <v>4060</v>
      </c>
    </row>
    <row r="17356" spans="1:11">
      <c r="A17356" s="688" t="s">
        <v>11</v>
      </c>
      <c r="B17356" s="691">
        <v>32.299999999999997</v>
      </c>
      <c r="C17356" s="691">
        <v>32.200000000000003</v>
      </c>
      <c r="D17356" s="691">
        <v>31.7</v>
      </c>
      <c r="E17356" s="691">
        <v>32.299999999999997</v>
      </c>
      <c r="F17356" s="615">
        <v>32</v>
      </c>
      <c r="G17356" s="691">
        <v>32.4</v>
      </c>
      <c r="H17356" s="691">
        <v>32.6</v>
      </c>
      <c r="I17356" s="691">
        <v>31.9</v>
      </c>
      <c r="J17356" s="691">
        <v>31.2</v>
      </c>
      <c r="K17356" s="615">
        <v>32</v>
      </c>
    </row>
    <row r="17357" spans="1:11">
      <c r="A17357" s="688" t="s">
        <v>10</v>
      </c>
      <c r="B17357" s="689">
        <v>36.299999999999997</v>
      </c>
      <c r="C17357" s="693">
        <v>36</v>
      </c>
      <c r="D17357" s="689">
        <v>35.5</v>
      </c>
      <c r="E17357" s="689">
        <v>36.200000000000003</v>
      </c>
      <c r="F17357" s="689">
        <v>35.9</v>
      </c>
      <c r="G17357" s="689">
        <v>36.200000000000003</v>
      </c>
      <c r="H17357" s="689">
        <v>36.4</v>
      </c>
      <c r="I17357" s="689">
        <v>35.4</v>
      </c>
      <c r="J17357" s="689">
        <v>35.700000000000003</v>
      </c>
      <c r="K17357" s="689">
        <v>35.700000000000003</v>
      </c>
    </row>
    <row r="17358" spans="1:11">
      <c r="A17358" s="688" t="s">
        <v>30</v>
      </c>
      <c r="B17358" s="691">
        <v>35.6</v>
      </c>
      <c r="C17358" s="615">
        <v>35</v>
      </c>
      <c r="D17358" s="691">
        <v>34.700000000000003</v>
      </c>
      <c r="E17358" s="691">
        <v>35.6</v>
      </c>
      <c r="F17358" s="691">
        <v>35.200000000000003</v>
      </c>
      <c r="G17358" s="691">
        <v>35.6</v>
      </c>
      <c r="H17358" s="691">
        <v>35.5</v>
      </c>
      <c r="I17358" s="691">
        <v>35.5</v>
      </c>
      <c r="J17358" s="691">
        <v>34.799999999999997</v>
      </c>
      <c r="K17358" s="615">
        <v>35</v>
      </c>
    </row>
    <row r="17359" spans="1:11">
      <c r="A17359" s="688" t="s">
        <v>12</v>
      </c>
      <c r="B17359" s="689">
        <v>31.2</v>
      </c>
      <c r="C17359" s="689">
        <v>31.4</v>
      </c>
      <c r="D17359" s="689">
        <v>31.3</v>
      </c>
      <c r="E17359" s="689">
        <v>31.5</v>
      </c>
      <c r="F17359" s="689">
        <v>31.6</v>
      </c>
      <c r="G17359" s="689">
        <v>31.5</v>
      </c>
      <c r="H17359" s="693">
        <v>32</v>
      </c>
      <c r="I17359" s="689">
        <v>31.8</v>
      </c>
      <c r="J17359" s="693">
        <v>30</v>
      </c>
      <c r="K17359" s="689">
        <v>31.3</v>
      </c>
    </row>
    <row r="17360" spans="1:11">
      <c r="A17360" s="688" t="s">
        <v>14</v>
      </c>
      <c r="B17360" s="691">
        <v>31.8</v>
      </c>
      <c r="C17360" s="691">
        <v>31.9</v>
      </c>
      <c r="D17360" s="691">
        <v>31.7</v>
      </c>
      <c r="E17360" s="691">
        <v>31.8</v>
      </c>
      <c r="F17360" s="691">
        <v>32.1</v>
      </c>
      <c r="G17360" s="691">
        <v>32.299999999999997</v>
      </c>
      <c r="H17360" s="691">
        <v>32.6</v>
      </c>
      <c r="I17360" s="691">
        <v>31.7</v>
      </c>
      <c r="J17360" s="691">
        <v>30.8</v>
      </c>
      <c r="K17360" s="691">
        <v>31.9</v>
      </c>
    </row>
    <row r="17361" spans="1:11">
      <c r="A17361" s="688" t="s">
        <v>15</v>
      </c>
      <c r="B17361" s="689">
        <v>35.299999999999997</v>
      </c>
      <c r="C17361" s="689">
        <v>35.6</v>
      </c>
      <c r="D17361" s="693">
        <v>35</v>
      </c>
      <c r="E17361" s="689">
        <v>35.799999999999997</v>
      </c>
      <c r="F17361" s="693">
        <v>35</v>
      </c>
      <c r="G17361" s="689">
        <v>35.4</v>
      </c>
      <c r="H17361" s="689">
        <v>35.6</v>
      </c>
      <c r="I17361" s="689">
        <v>35.5</v>
      </c>
      <c r="J17361" s="689">
        <v>35.700000000000003</v>
      </c>
      <c r="K17361" s="689">
        <v>35.799999999999997</v>
      </c>
    </row>
    <row r="17362" spans="1:11">
      <c r="A17362" s="688" t="s">
        <v>29</v>
      </c>
      <c r="B17362" s="691">
        <v>30.7</v>
      </c>
      <c r="C17362" s="691">
        <v>30.7</v>
      </c>
      <c r="D17362" s="691">
        <v>30.3</v>
      </c>
      <c r="E17362" s="691">
        <v>30.9</v>
      </c>
      <c r="F17362" s="691">
        <v>30.6</v>
      </c>
      <c r="G17362" s="691">
        <v>30.8</v>
      </c>
      <c r="H17362" s="691">
        <v>30.9</v>
      </c>
      <c r="I17362" s="691">
        <v>30.2</v>
      </c>
      <c r="J17362" s="691">
        <v>29.2</v>
      </c>
      <c r="K17362" s="691">
        <v>30.6</v>
      </c>
    </row>
    <row r="17363" spans="1:11">
      <c r="A17363" s="688" t="s">
        <v>16</v>
      </c>
      <c r="B17363" s="689">
        <v>35.200000000000003</v>
      </c>
      <c r="C17363" s="689">
        <v>35.1</v>
      </c>
      <c r="D17363" s="689">
        <v>34.9</v>
      </c>
      <c r="E17363" s="689">
        <v>35.299999999999997</v>
      </c>
      <c r="F17363" s="689">
        <v>35.200000000000003</v>
      </c>
      <c r="G17363" s="689">
        <v>35.299999999999997</v>
      </c>
      <c r="H17363" s="689">
        <v>35.6</v>
      </c>
      <c r="I17363" s="689">
        <v>35.200000000000003</v>
      </c>
      <c r="J17363" s="689">
        <v>34.9</v>
      </c>
      <c r="K17363" s="689">
        <v>35.200000000000003</v>
      </c>
    </row>
    <row r="17364" spans="1:11">
      <c r="A17364" s="688" t="s">
        <v>17</v>
      </c>
      <c r="B17364" s="691">
        <v>34.4</v>
      </c>
      <c r="C17364" s="691">
        <v>34.5</v>
      </c>
      <c r="D17364" s="691">
        <v>34.200000000000003</v>
      </c>
      <c r="E17364" s="691">
        <v>34.299999999999997</v>
      </c>
      <c r="F17364" s="691">
        <v>34.4</v>
      </c>
      <c r="G17364" s="691">
        <v>34.4</v>
      </c>
      <c r="H17364" s="691">
        <v>34.700000000000003</v>
      </c>
      <c r="I17364" s="691">
        <v>34.200000000000003</v>
      </c>
      <c r="J17364" s="691">
        <v>34.1</v>
      </c>
      <c r="K17364" s="691">
        <v>34.299999999999997</v>
      </c>
    </row>
    <row r="17365" spans="1:11">
      <c r="A17365" s="688" t="s">
        <v>19</v>
      </c>
      <c r="B17365" s="689">
        <v>34.9</v>
      </c>
      <c r="C17365" s="689">
        <v>34.9</v>
      </c>
      <c r="D17365" s="689">
        <v>34.700000000000003</v>
      </c>
      <c r="E17365" s="689">
        <v>35.1</v>
      </c>
      <c r="F17365" s="693">
        <v>35</v>
      </c>
      <c r="G17365" s="689">
        <v>35.1</v>
      </c>
      <c r="H17365" s="689">
        <v>35.299999999999997</v>
      </c>
      <c r="I17365" s="689">
        <v>34.799999999999997</v>
      </c>
      <c r="J17365" s="689">
        <v>34.799999999999997</v>
      </c>
      <c r="K17365" s="689">
        <v>34.799999999999997</v>
      </c>
    </row>
    <row r="17366" spans="1:11">
      <c r="A17366" s="688" t="s">
        <v>20</v>
      </c>
      <c r="B17366" s="691">
        <v>32.700000000000003</v>
      </c>
      <c r="C17366" s="691">
        <v>32.9</v>
      </c>
      <c r="D17366" s="691">
        <v>32.700000000000003</v>
      </c>
      <c r="E17366" s="691">
        <v>33.1</v>
      </c>
      <c r="F17366" s="691">
        <v>32.9</v>
      </c>
      <c r="G17366" s="691">
        <v>32.9</v>
      </c>
      <c r="H17366" s="691">
        <v>33.1</v>
      </c>
      <c r="I17366" s="615">
        <v>32</v>
      </c>
      <c r="J17366" s="615">
        <v>31</v>
      </c>
      <c r="K17366" s="691">
        <v>32.5</v>
      </c>
    </row>
    <row r="17367" spans="1:11">
      <c r="A17367" s="688" t="s">
        <v>21</v>
      </c>
      <c r="B17367" s="689">
        <v>35.200000000000003</v>
      </c>
      <c r="C17367" s="689">
        <v>35.5</v>
      </c>
      <c r="D17367" s="689">
        <v>35.4</v>
      </c>
      <c r="E17367" s="689">
        <v>35.5</v>
      </c>
      <c r="F17367" s="689">
        <v>35.700000000000003</v>
      </c>
      <c r="G17367" s="689">
        <v>35.700000000000003</v>
      </c>
      <c r="H17367" s="693">
        <v>36</v>
      </c>
      <c r="I17367" s="689">
        <v>35.4</v>
      </c>
      <c r="J17367" s="689">
        <v>35.4</v>
      </c>
      <c r="K17367" s="689">
        <v>35.6</v>
      </c>
    </row>
    <row r="17368" spans="1:11">
      <c r="A17368" s="688" t="s">
        <v>22</v>
      </c>
      <c r="B17368" s="691">
        <v>30.8</v>
      </c>
      <c r="C17368" s="691">
        <v>30.6</v>
      </c>
      <c r="D17368" s="691">
        <v>30.6</v>
      </c>
      <c r="E17368" s="691">
        <v>30.9</v>
      </c>
      <c r="F17368" s="691">
        <v>30.9</v>
      </c>
      <c r="G17368" s="615">
        <v>31</v>
      </c>
      <c r="H17368" s="691">
        <v>31.3</v>
      </c>
      <c r="I17368" s="691">
        <v>30.1</v>
      </c>
      <c r="J17368" s="691">
        <v>28.6</v>
      </c>
      <c r="K17368" s="691">
        <v>30.9</v>
      </c>
    </row>
    <row r="17369" spans="1:11">
      <c r="A17369" s="688" t="s">
        <v>26</v>
      </c>
      <c r="B17369" s="689">
        <v>34.799999999999997</v>
      </c>
      <c r="C17369" s="689">
        <v>34.700000000000003</v>
      </c>
      <c r="D17369" s="689">
        <v>34.5</v>
      </c>
      <c r="E17369" s="689">
        <v>34.9</v>
      </c>
      <c r="F17369" s="689">
        <v>34.700000000000003</v>
      </c>
      <c r="G17369" s="689">
        <v>34.9</v>
      </c>
      <c r="H17369" s="689">
        <v>35.1</v>
      </c>
      <c r="I17369" s="689">
        <v>34.299999999999997</v>
      </c>
      <c r="J17369" s="689">
        <v>34.6</v>
      </c>
      <c r="K17369" s="689">
        <v>34.9</v>
      </c>
    </row>
    <row r="17370" spans="1:11">
      <c r="A17370" s="688" t="s">
        <v>25</v>
      </c>
      <c r="B17370" s="691">
        <v>31.8</v>
      </c>
      <c r="C17370" s="615">
        <v>32</v>
      </c>
      <c r="D17370" s="691">
        <v>31.7</v>
      </c>
      <c r="E17370" s="691">
        <v>32.200000000000003</v>
      </c>
      <c r="F17370" s="691">
        <v>32.1</v>
      </c>
      <c r="G17370" s="691">
        <v>32.200000000000003</v>
      </c>
      <c r="H17370" s="691">
        <v>32.6</v>
      </c>
      <c r="I17370" s="691">
        <v>31.9</v>
      </c>
      <c r="J17370" s="691">
        <v>29.8</v>
      </c>
      <c r="K17370" s="615">
        <v>32</v>
      </c>
    </row>
    <row r="17371" spans="1:11">
      <c r="A17371" s="688" t="s">
        <v>5</v>
      </c>
      <c r="B17371" s="689">
        <v>35.299999999999997</v>
      </c>
      <c r="C17371" s="693">
        <v>35</v>
      </c>
      <c r="D17371" s="689">
        <v>35.200000000000003</v>
      </c>
      <c r="E17371" s="689">
        <v>35.200000000000003</v>
      </c>
      <c r="F17371" s="689">
        <v>35.4</v>
      </c>
      <c r="G17371" s="689">
        <v>35.4</v>
      </c>
      <c r="H17371" s="689">
        <v>35.700000000000003</v>
      </c>
      <c r="I17371" s="689">
        <v>35.700000000000003</v>
      </c>
      <c r="J17371" s="689">
        <v>35.6</v>
      </c>
      <c r="K17371" s="693">
        <v>35</v>
      </c>
    </row>
    <row r="17372" spans="1:11">
      <c r="A17372" s="688" t="s">
        <v>23</v>
      </c>
      <c r="B17372" s="691">
        <v>34.9</v>
      </c>
      <c r="C17372" s="691">
        <v>35.1</v>
      </c>
      <c r="D17372" s="615">
        <v>35</v>
      </c>
      <c r="E17372" s="691">
        <v>35.1</v>
      </c>
      <c r="F17372" s="691">
        <v>35.1</v>
      </c>
      <c r="G17372" s="691">
        <v>35.299999999999997</v>
      </c>
      <c r="H17372" s="691">
        <v>35.700000000000003</v>
      </c>
      <c r="I17372" s="691">
        <v>35.299999999999997</v>
      </c>
      <c r="J17372" s="691">
        <v>35.799999999999997</v>
      </c>
      <c r="K17372" s="691">
        <v>35.6</v>
      </c>
    </row>
    <row r="17373" spans="1:11">
      <c r="A17373" s="688" t="s">
        <v>4067</v>
      </c>
      <c r="B17373" s="689">
        <v>34.6</v>
      </c>
      <c r="C17373" s="689">
        <v>34.9</v>
      </c>
      <c r="D17373" s="689">
        <v>34.5</v>
      </c>
      <c r="E17373" s="689">
        <v>34.9</v>
      </c>
      <c r="F17373" s="689">
        <v>34.799999999999997</v>
      </c>
      <c r="G17373" s="689">
        <v>34.9</v>
      </c>
      <c r="H17373" s="690" t="s">
        <v>4060</v>
      </c>
      <c r="I17373" s="690" t="s">
        <v>4060</v>
      </c>
      <c r="J17373" s="690" t="s">
        <v>4060</v>
      </c>
      <c r="K17373" s="690" t="s">
        <v>4060</v>
      </c>
    </row>
    <row r="17374" spans="1:11">
      <c r="A17374" s="688" t="s">
        <v>4066</v>
      </c>
      <c r="B17374" s="691">
        <v>34.6</v>
      </c>
      <c r="C17374" s="615">
        <v>35</v>
      </c>
      <c r="D17374" s="691">
        <v>34.6</v>
      </c>
      <c r="E17374" s="691">
        <v>34.9</v>
      </c>
      <c r="F17374" s="691">
        <v>34.799999999999997</v>
      </c>
      <c r="G17374" s="691">
        <v>34.9</v>
      </c>
      <c r="H17374" s="692" t="s">
        <v>4060</v>
      </c>
      <c r="I17374" s="692" t="s">
        <v>4060</v>
      </c>
      <c r="J17374" s="692" t="s">
        <v>4060</v>
      </c>
      <c r="K17374" s="692" t="s">
        <v>4060</v>
      </c>
    </row>
    <row r="17375" spans="1:11">
      <c r="A17375" s="688" t="s">
        <v>4062</v>
      </c>
      <c r="B17375" s="689">
        <v>35.6</v>
      </c>
      <c r="C17375" s="689">
        <v>35.700000000000003</v>
      </c>
      <c r="D17375" s="689">
        <v>35.6</v>
      </c>
      <c r="E17375" s="689">
        <v>35.9</v>
      </c>
      <c r="F17375" s="689">
        <v>35.9</v>
      </c>
      <c r="G17375" s="689">
        <v>36.1</v>
      </c>
      <c r="H17375" s="689">
        <v>36.200000000000003</v>
      </c>
      <c r="I17375" s="693">
        <v>36</v>
      </c>
      <c r="J17375" s="689">
        <v>36.200000000000003</v>
      </c>
      <c r="K17375" s="689">
        <v>35.9</v>
      </c>
    </row>
    <row r="17376" spans="1:11">
      <c r="A17376" s="688" t="s">
        <v>9</v>
      </c>
      <c r="B17376" s="691">
        <v>34.799999999999997</v>
      </c>
      <c r="C17376" s="691">
        <v>35.299999999999997</v>
      </c>
      <c r="D17376" s="691">
        <v>34.6</v>
      </c>
      <c r="E17376" s="691">
        <v>34.6</v>
      </c>
      <c r="F17376" s="691">
        <v>35.1</v>
      </c>
      <c r="G17376" s="691">
        <v>35.200000000000003</v>
      </c>
      <c r="H17376" s="691">
        <v>35.4</v>
      </c>
      <c r="I17376" s="691">
        <v>35.5</v>
      </c>
      <c r="J17376" s="691">
        <v>35.6</v>
      </c>
      <c r="K17376" s="691">
        <v>34.6</v>
      </c>
    </row>
    <row r="17377" spans="1:11">
      <c r="A17377" s="688" t="s">
        <v>13</v>
      </c>
      <c r="B17377" s="689">
        <v>35.799999999999997</v>
      </c>
      <c r="C17377" s="689">
        <v>34.200000000000003</v>
      </c>
      <c r="D17377" s="689">
        <v>35.200000000000003</v>
      </c>
      <c r="E17377" s="689">
        <v>35.5</v>
      </c>
      <c r="F17377" s="689">
        <v>36.1</v>
      </c>
      <c r="G17377" s="689">
        <v>36.200000000000003</v>
      </c>
      <c r="H17377" s="689">
        <v>35.799999999999997</v>
      </c>
      <c r="I17377" s="689">
        <v>35.200000000000003</v>
      </c>
      <c r="J17377" s="689">
        <v>36.299999999999997</v>
      </c>
      <c r="K17377" s="693">
        <v>36</v>
      </c>
    </row>
    <row r="17378" spans="1:11">
      <c r="A17378" s="688" t="s">
        <v>18</v>
      </c>
      <c r="B17378" s="691">
        <v>34.799999999999997</v>
      </c>
      <c r="C17378" s="691">
        <v>35.1</v>
      </c>
      <c r="D17378" s="691">
        <v>35.1</v>
      </c>
      <c r="E17378" s="691">
        <v>35.200000000000003</v>
      </c>
      <c r="F17378" s="691">
        <v>35.299999999999997</v>
      </c>
      <c r="G17378" s="691">
        <v>35.4</v>
      </c>
      <c r="H17378" s="691">
        <v>35.6</v>
      </c>
      <c r="I17378" s="691">
        <v>35.799999999999997</v>
      </c>
      <c r="J17378" s="691">
        <v>35.700000000000003</v>
      </c>
      <c r="K17378" s="691">
        <v>35.299999999999997</v>
      </c>
    </row>
    <row r="17379" spans="1:11">
      <c r="A17379" s="688" t="s">
        <v>24</v>
      </c>
      <c r="B17379" s="689">
        <v>36.1</v>
      </c>
      <c r="C17379" s="689">
        <v>36.1</v>
      </c>
      <c r="D17379" s="689">
        <v>35.9</v>
      </c>
      <c r="E17379" s="689">
        <v>36.299999999999997</v>
      </c>
      <c r="F17379" s="689">
        <v>36.299999999999997</v>
      </c>
      <c r="G17379" s="689">
        <v>36.4</v>
      </c>
      <c r="H17379" s="689">
        <v>36.5</v>
      </c>
      <c r="I17379" s="689">
        <v>36.1</v>
      </c>
      <c r="J17379" s="689">
        <v>36.6</v>
      </c>
      <c r="K17379" s="689">
        <v>36.4</v>
      </c>
    </row>
    <row r="17380" spans="1:11">
      <c r="A17380" s="688" t="s">
        <v>4059</v>
      </c>
      <c r="B17380" s="691">
        <v>34.299999999999997</v>
      </c>
      <c r="C17380" s="691">
        <v>34.6</v>
      </c>
      <c r="D17380" s="691">
        <v>34.200000000000003</v>
      </c>
      <c r="E17380" s="691">
        <v>34.4</v>
      </c>
      <c r="F17380" s="691">
        <v>34.5</v>
      </c>
      <c r="G17380" s="691">
        <v>34.5</v>
      </c>
      <c r="H17380" s="692" t="s">
        <v>4060</v>
      </c>
      <c r="I17380" s="692" t="s">
        <v>4060</v>
      </c>
      <c r="J17380" s="692" t="s">
        <v>4060</v>
      </c>
      <c r="K17380" s="692" t="s">
        <v>4060</v>
      </c>
    </row>
    <row r="17381" spans="1:11">
      <c r="A17381" s="688" t="s">
        <v>2324</v>
      </c>
      <c r="B17381" s="689">
        <v>30.6</v>
      </c>
      <c r="C17381" s="689">
        <v>30.6</v>
      </c>
      <c r="D17381" s="693">
        <v>30</v>
      </c>
      <c r="E17381" s="689">
        <v>30.3</v>
      </c>
      <c r="F17381" s="689">
        <v>30.7</v>
      </c>
      <c r="G17381" s="689">
        <v>30.6</v>
      </c>
      <c r="H17381" s="689">
        <v>30.8</v>
      </c>
      <c r="I17381" s="689">
        <v>30.2</v>
      </c>
      <c r="J17381" s="689">
        <v>28.3</v>
      </c>
      <c r="K17381" s="690" t="s">
        <v>4060</v>
      </c>
    </row>
    <row r="17382" spans="1:11">
      <c r="A17382" s="688" t="s">
        <v>2322</v>
      </c>
      <c r="B17382" s="692" t="s">
        <v>4060</v>
      </c>
      <c r="C17382" s="692" t="s">
        <v>4060</v>
      </c>
      <c r="D17382" s="692" t="s">
        <v>4060</v>
      </c>
      <c r="E17382" s="692" t="s">
        <v>4060</v>
      </c>
      <c r="F17382" s="692" t="s">
        <v>4060</v>
      </c>
      <c r="G17382" s="692" t="s">
        <v>4060</v>
      </c>
      <c r="H17382" s="692" t="s">
        <v>4060</v>
      </c>
      <c r="I17382" s="692" t="s">
        <v>4060</v>
      </c>
      <c r="J17382" s="692" t="s">
        <v>4060</v>
      </c>
      <c r="K17382" s="692" t="s">
        <v>4060</v>
      </c>
    </row>
    <row r="17383" spans="1:11">
      <c r="A17383" s="688" t="s">
        <v>2328</v>
      </c>
      <c r="B17383" s="689">
        <v>29.5</v>
      </c>
      <c r="C17383" s="689">
        <v>29.3</v>
      </c>
      <c r="D17383" s="689">
        <v>29.1</v>
      </c>
      <c r="E17383" s="689">
        <v>29.6</v>
      </c>
      <c r="F17383" s="689">
        <v>29.7</v>
      </c>
      <c r="G17383" s="689">
        <v>30.1</v>
      </c>
      <c r="H17383" s="693">
        <v>30</v>
      </c>
      <c r="I17383" s="689">
        <v>28.4</v>
      </c>
      <c r="J17383" s="689">
        <v>27.3</v>
      </c>
      <c r="K17383" s="690" t="s">
        <v>4060</v>
      </c>
    </row>
    <row r="17384" spans="1:11">
      <c r="A17384" s="688" t="s">
        <v>2496</v>
      </c>
      <c r="B17384" s="692" t="s">
        <v>4060</v>
      </c>
      <c r="C17384" s="691">
        <v>30.5</v>
      </c>
      <c r="D17384" s="691">
        <v>29.6</v>
      </c>
      <c r="E17384" s="691">
        <v>29.4</v>
      </c>
      <c r="F17384" s="615">
        <v>30</v>
      </c>
      <c r="G17384" s="691">
        <v>30.2</v>
      </c>
      <c r="H17384" s="691">
        <v>30.3</v>
      </c>
      <c r="I17384" s="692" t="s">
        <v>4060</v>
      </c>
      <c r="J17384" s="692" t="s">
        <v>4060</v>
      </c>
      <c r="K17384" s="615">
        <v>30</v>
      </c>
    </row>
    <row r="17385" spans="1:11">
      <c r="A17385" s="688" t="s">
        <v>2269</v>
      </c>
      <c r="B17385" s="693">
        <v>32</v>
      </c>
      <c r="C17385" s="689">
        <v>32.200000000000003</v>
      </c>
      <c r="D17385" s="689">
        <v>31.5</v>
      </c>
      <c r="E17385" s="693">
        <v>32</v>
      </c>
      <c r="F17385" s="689">
        <v>31.8</v>
      </c>
      <c r="G17385" s="689">
        <v>32.299999999999997</v>
      </c>
      <c r="H17385" s="689">
        <v>32.5</v>
      </c>
      <c r="I17385" s="689">
        <v>31.3</v>
      </c>
      <c r="J17385" s="689">
        <v>29.3</v>
      </c>
      <c r="K17385" s="689">
        <v>32.200000000000003</v>
      </c>
    </row>
    <row r="17386" spans="1:11">
      <c r="A17386" s="688" t="s">
        <v>2349</v>
      </c>
      <c r="B17386" s="691">
        <v>29.6</v>
      </c>
      <c r="C17386" s="691">
        <v>29.6</v>
      </c>
      <c r="D17386" s="691">
        <v>29.6</v>
      </c>
      <c r="E17386" s="691">
        <v>29.9</v>
      </c>
      <c r="F17386" s="691">
        <v>29.7</v>
      </c>
      <c r="G17386" s="615">
        <v>30</v>
      </c>
      <c r="H17386" s="691">
        <v>30.1</v>
      </c>
      <c r="I17386" s="615">
        <v>29</v>
      </c>
      <c r="J17386" s="691">
        <v>27.4</v>
      </c>
      <c r="K17386" s="691">
        <v>29.4</v>
      </c>
    </row>
    <row r="17387" spans="1:11">
      <c r="A17387" s="688" t="s">
        <v>2355</v>
      </c>
      <c r="B17387" s="689">
        <v>33.299999999999997</v>
      </c>
      <c r="C17387" s="693">
        <v>33</v>
      </c>
      <c r="D17387" s="693">
        <v>33</v>
      </c>
      <c r="E17387" s="689">
        <v>32.9</v>
      </c>
      <c r="F17387" s="689">
        <v>33.1</v>
      </c>
      <c r="G17387" s="689">
        <v>33.5</v>
      </c>
      <c r="H17387" s="689">
        <v>33.6</v>
      </c>
      <c r="I17387" s="690" t="s">
        <v>4060</v>
      </c>
      <c r="J17387" s="690" t="s">
        <v>4060</v>
      </c>
      <c r="K17387" s="690" t="s">
        <v>4060</v>
      </c>
    </row>
    <row r="17388" spans="1:11">
      <c r="A17388" s="688" t="s">
        <v>2357</v>
      </c>
      <c r="B17388" s="692" t="s">
        <v>4060</v>
      </c>
      <c r="C17388" s="691">
        <v>29.6</v>
      </c>
      <c r="D17388" s="615">
        <v>30</v>
      </c>
      <c r="E17388" s="691">
        <v>30.2</v>
      </c>
      <c r="F17388" s="691">
        <v>30.5</v>
      </c>
      <c r="G17388" s="691">
        <v>30.5</v>
      </c>
      <c r="H17388" s="691">
        <v>30.7</v>
      </c>
      <c r="I17388" s="692" t="s">
        <v>4060</v>
      </c>
      <c r="J17388" s="692" t="s">
        <v>4060</v>
      </c>
      <c r="K17388" s="692" t="s">
        <v>4060</v>
      </c>
    </row>
    <row r="17389" spans="1:11">
      <c r="A17389" s="688" t="s">
        <v>4070</v>
      </c>
      <c r="B17389" s="690" t="s">
        <v>4060</v>
      </c>
      <c r="C17389" s="690" t="s">
        <v>4060</v>
      </c>
      <c r="D17389" s="690" t="s">
        <v>4060</v>
      </c>
      <c r="E17389" s="693">
        <v>33</v>
      </c>
      <c r="F17389" s="690" t="s">
        <v>4060</v>
      </c>
      <c r="G17389" s="690" t="s">
        <v>4060</v>
      </c>
      <c r="H17389" s="690" t="s">
        <v>4060</v>
      </c>
      <c r="I17389" s="690" t="s">
        <v>4060</v>
      </c>
      <c r="J17389" s="690" t="s">
        <v>4060</v>
      </c>
      <c r="K17389" s="690" t="s">
        <v>4060</v>
      </c>
    </row>
    <row r="17390" spans="1:11">
      <c r="A17390" s="688" t="s">
        <v>2491</v>
      </c>
      <c r="B17390" s="691">
        <v>30.2</v>
      </c>
      <c r="C17390" s="691">
        <v>30.6</v>
      </c>
      <c r="D17390" s="691">
        <v>30.9</v>
      </c>
      <c r="E17390" s="615">
        <v>31</v>
      </c>
      <c r="F17390" s="691">
        <v>31.1</v>
      </c>
      <c r="G17390" s="691">
        <v>31.2</v>
      </c>
      <c r="H17390" s="692" t="s">
        <v>4060</v>
      </c>
      <c r="I17390" s="692" t="s">
        <v>4060</v>
      </c>
      <c r="J17390" s="692" t="s">
        <v>4060</v>
      </c>
      <c r="K17390" s="692" t="s">
        <v>4060</v>
      </c>
    </row>
    <row r="17391" spans="1:11">
      <c r="A17391" s="688" t="s">
        <v>2343</v>
      </c>
      <c r="B17391" s="690" t="s">
        <v>4060</v>
      </c>
      <c r="C17391" s="690" t="s">
        <v>4060</v>
      </c>
      <c r="D17391" s="690" t="s">
        <v>4060</v>
      </c>
      <c r="E17391" s="690" t="s">
        <v>4060</v>
      </c>
      <c r="F17391" s="690" t="s">
        <v>4060</v>
      </c>
      <c r="G17391" s="690" t="s">
        <v>4060</v>
      </c>
      <c r="H17391" s="690" t="s">
        <v>4060</v>
      </c>
      <c r="I17391" s="690" t="s">
        <v>4060</v>
      </c>
      <c r="J17391" s="690" t="s">
        <v>4060</v>
      </c>
      <c r="K17391" s="690" t="s">
        <v>4060</v>
      </c>
    </row>
    <row r="17392" spans="1:11">
      <c r="A17392" s="688" t="s">
        <v>4071</v>
      </c>
      <c r="B17392" s="692" t="s">
        <v>4060</v>
      </c>
      <c r="C17392" s="692" t="s">
        <v>4060</v>
      </c>
      <c r="D17392" s="692" t="s">
        <v>4060</v>
      </c>
      <c r="E17392" s="692" t="s">
        <v>4060</v>
      </c>
      <c r="F17392" s="692" t="s">
        <v>4060</v>
      </c>
      <c r="G17392" s="692" t="s">
        <v>4060</v>
      </c>
      <c r="H17392" s="692" t="s">
        <v>4060</v>
      </c>
      <c r="I17392" s="692" t="s">
        <v>4060</v>
      </c>
      <c r="J17392" s="692" t="s">
        <v>4060</v>
      </c>
      <c r="K17392" s="692" t="s">
        <v>4060</v>
      </c>
    </row>
    <row r="17393" spans="1:11">
      <c r="A17393" s="688" t="s">
        <v>2489</v>
      </c>
      <c r="B17393" s="690" t="s">
        <v>4060</v>
      </c>
      <c r="C17393" s="690" t="s">
        <v>4060</v>
      </c>
      <c r="D17393" s="689">
        <v>30.2</v>
      </c>
      <c r="E17393" s="689">
        <v>30.2</v>
      </c>
      <c r="F17393" s="689">
        <v>30.6</v>
      </c>
      <c r="G17393" s="689">
        <v>31.3</v>
      </c>
      <c r="H17393" s="689">
        <v>31.2</v>
      </c>
      <c r="I17393" s="690" t="s">
        <v>4060</v>
      </c>
      <c r="J17393" s="690" t="s">
        <v>4060</v>
      </c>
      <c r="K17393" s="690" t="s">
        <v>4060</v>
      </c>
    </row>
    <row r="17394" spans="1:11">
      <c r="A17394" s="688" t="s">
        <v>2490</v>
      </c>
      <c r="B17394" s="691">
        <v>29.4</v>
      </c>
      <c r="C17394" s="691">
        <v>29.4</v>
      </c>
      <c r="D17394" s="691">
        <v>29.9</v>
      </c>
      <c r="E17394" s="692" t="s">
        <v>4060</v>
      </c>
      <c r="F17394" s="691">
        <v>30.1</v>
      </c>
      <c r="G17394" s="691">
        <v>30.4</v>
      </c>
      <c r="H17394" s="691">
        <v>31.1</v>
      </c>
      <c r="I17394" s="692" t="s">
        <v>4060</v>
      </c>
      <c r="J17394" s="692" t="s">
        <v>4060</v>
      </c>
      <c r="K17394" s="692" t="s">
        <v>4060</v>
      </c>
    </row>
    <row r="17396" spans="1:11">
      <c r="A17396" s="683" t="s">
        <v>4233</v>
      </c>
    </row>
    <row r="17397" spans="1:11">
      <c r="A17397" s="683" t="s">
        <v>4060</v>
      </c>
      <c r="B17397" s="682" t="s">
        <v>4234</v>
      </c>
    </row>
    <row r="17399" spans="1:11">
      <c r="A17399" s="682" t="s">
        <v>4332</v>
      </c>
    </row>
    <row r="17400" spans="1:11">
      <c r="A17400" s="682" t="s">
        <v>4210</v>
      </c>
      <c r="B17400" s="683" t="s">
        <v>4211</v>
      </c>
    </row>
    <row r="17401" spans="1:11">
      <c r="A17401" s="682" t="s">
        <v>4212</v>
      </c>
      <c r="B17401" s="682" t="s">
        <v>4213</v>
      </c>
    </row>
    <row r="17403" spans="1:11">
      <c r="A17403" s="683" t="s">
        <v>4214</v>
      </c>
      <c r="C17403" s="682" t="s">
        <v>4215</v>
      </c>
    </row>
    <row r="17404" spans="1:11">
      <c r="A17404" s="683" t="s">
        <v>4216</v>
      </c>
      <c r="C17404" s="682" t="s">
        <v>2967</v>
      </c>
    </row>
    <row r="17405" spans="1:11">
      <c r="A17405" s="683" t="s">
        <v>3893</v>
      </c>
      <c r="C17405" s="682" t="s">
        <v>2169</v>
      </c>
    </row>
    <row r="17406" spans="1:11">
      <c r="A17406" s="683" t="s">
        <v>4218</v>
      </c>
      <c r="C17406" s="682" t="s">
        <v>4286</v>
      </c>
    </row>
    <row r="17408" spans="1:11">
      <c r="A17408" s="684" t="s">
        <v>4220</v>
      </c>
      <c r="B17408" s="685" t="s">
        <v>4221</v>
      </c>
      <c r="C17408" s="685" t="s">
        <v>4222</v>
      </c>
      <c r="D17408" s="685" t="s">
        <v>4223</v>
      </c>
      <c r="E17408" s="685" t="s">
        <v>4224</v>
      </c>
      <c r="F17408" s="685" t="s">
        <v>4225</v>
      </c>
      <c r="G17408" s="685" t="s">
        <v>4226</v>
      </c>
      <c r="H17408" s="685" t="s">
        <v>4227</v>
      </c>
      <c r="I17408" s="685" t="s">
        <v>4228</v>
      </c>
      <c r="J17408" s="685" t="s">
        <v>4229</v>
      </c>
      <c r="K17408" s="685" t="s">
        <v>4230</v>
      </c>
    </row>
    <row r="17409" spans="1:11">
      <c r="A17409" s="686" t="s">
        <v>4231</v>
      </c>
      <c r="B17409" s="687" t="s">
        <v>4232</v>
      </c>
      <c r="C17409" s="687" t="s">
        <v>4232</v>
      </c>
      <c r="D17409" s="687" t="s">
        <v>4232</v>
      </c>
      <c r="E17409" s="687" t="s">
        <v>4232</v>
      </c>
      <c r="F17409" s="687" t="s">
        <v>4232</v>
      </c>
      <c r="G17409" s="687" t="s">
        <v>4232</v>
      </c>
      <c r="H17409" s="687" t="s">
        <v>4232</v>
      </c>
      <c r="I17409" s="687" t="s">
        <v>4232</v>
      </c>
      <c r="J17409" s="687" t="s">
        <v>4232</v>
      </c>
      <c r="K17409" s="687" t="s">
        <v>4232</v>
      </c>
    </row>
    <row r="17410" spans="1:11">
      <c r="A17410" s="688" t="s">
        <v>4064</v>
      </c>
      <c r="B17410" s="691">
        <v>33.700000000000003</v>
      </c>
      <c r="C17410" s="691">
        <v>33.700000000000003</v>
      </c>
      <c r="D17410" s="691">
        <v>33.6</v>
      </c>
      <c r="E17410" s="691">
        <v>33.799999999999997</v>
      </c>
      <c r="F17410" s="691">
        <v>33.700000000000003</v>
      </c>
      <c r="G17410" s="691">
        <v>33.799999999999997</v>
      </c>
      <c r="H17410" s="615">
        <v>34</v>
      </c>
      <c r="I17410" s="691">
        <v>33.4</v>
      </c>
      <c r="J17410" s="691">
        <v>33.1</v>
      </c>
      <c r="K17410" s="691">
        <v>33.5</v>
      </c>
    </row>
    <row r="17411" spans="1:11">
      <c r="A17411" s="688" t="s">
        <v>4065</v>
      </c>
      <c r="B17411" s="689">
        <v>33.700000000000003</v>
      </c>
      <c r="C17411" s="693">
        <v>34</v>
      </c>
      <c r="D17411" s="689">
        <v>33.6</v>
      </c>
      <c r="E17411" s="693">
        <v>34</v>
      </c>
      <c r="F17411" s="689">
        <v>33.9</v>
      </c>
      <c r="G17411" s="693">
        <v>34</v>
      </c>
      <c r="H17411" s="690" t="s">
        <v>4060</v>
      </c>
      <c r="I17411" s="690" t="s">
        <v>4060</v>
      </c>
      <c r="J17411" s="690" t="s">
        <v>4060</v>
      </c>
      <c r="K17411" s="690" t="s">
        <v>4060</v>
      </c>
    </row>
    <row r="17412" spans="1:11">
      <c r="A17412" s="688" t="s">
        <v>4063</v>
      </c>
      <c r="B17412" s="691">
        <v>33.700000000000003</v>
      </c>
      <c r="C17412" s="615">
        <v>34</v>
      </c>
      <c r="D17412" s="691">
        <v>33.6</v>
      </c>
      <c r="E17412" s="615">
        <v>34</v>
      </c>
      <c r="F17412" s="691">
        <v>33.9</v>
      </c>
      <c r="G17412" s="615">
        <v>34</v>
      </c>
      <c r="H17412" s="692" t="s">
        <v>4060</v>
      </c>
      <c r="I17412" s="692" t="s">
        <v>4060</v>
      </c>
      <c r="J17412" s="692" t="s">
        <v>4060</v>
      </c>
      <c r="K17412" s="692" t="s">
        <v>4060</v>
      </c>
    </row>
    <row r="17413" spans="1:11">
      <c r="A17413" s="688" t="s">
        <v>4069</v>
      </c>
      <c r="B17413" s="690" t="s">
        <v>4060</v>
      </c>
      <c r="C17413" s="689">
        <v>34.4</v>
      </c>
      <c r="D17413" s="689">
        <v>34.1</v>
      </c>
      <c r="E17413" s="689">
        <v>34.5</v>
      </c>
      <c r="F17413" s="689">
        <v>34.4</v>
      </c>
      <c r="G17413" s="689">
        <v>34.5</v>
      </c>
      <c r="H17413" s="689">
        <v>34.799999999999997</v>
      </c>
      <c r="I17413" s="689">
        <v>34.200000000000003</v>
      </c>
      <c r="J17413" s="689">
        <v>34.200000000000003</v>
      </c>
      <c r="K17413" s="689">
        <v>34.200000000000003</v>
      </c>
    </row>
    <row r="17414" spans="1:11">
      <c r="A17414" s="688" t="s">
        <v>4068</v>
      </c>
      <c r="B17414" s="691">
        <v>34.5</v>
      </c>
      <c r="C17414" s="692" t="s">
        <v>4060</v>
      </c>
      <c r="D17414" s="692" t="s">
        <v>4060</v>
      </c>
      <c r="E17414" s="692" t="s">
        <v>4060</v>
      </c>
      <c r="F17414" s="692" t="s">
        <v>4060</v>
      </c>
      <c r="G17414" s="692" t="s">
        <v>4060</v>
      </c>
      <c r="H17414" s="692" t="s">
        <v>4060</v>
      </c>
      <c r="I17414" s="692" t="s">
        <v>4060</v>
      </c>
      <c r="J17414" s="692" t="s">
        <v>4060</v>
      </c>
      <c r="K17414" s="692" t="s">
        <v>4060</v>
      </c>
    </row>
    <row r="17415" spans="1:11">
      <c r="A17415" s="688" t="s">
        <v>0</v>
      </c>
      <c r="B17415" s="689">
        <v>33.700000000000003</v>
      </c>
      <c r="C17415" s="689">
        <v>33.9</v>
      </c>
      <c r="D17415" s="689">
        <v>33.5</v>
      </c>
      <c r="E17415" s="693">
        <v>34</v>
      </c>
      <c r="F17415" s="693">
        <v>34</v>
      </c>
      <c r="G17415" s="693">
        <v>34</v>
      </c>
      <c r="H17415" s="689">
        <v>34.299999999999997</v>
      </c>
      <c r="I17415" s="689">
        <v>33.299999999999997</v>
      </c>
      <c r="J17415" s="689">
        <v>34.299999999999997</v>
      </c>
      <c r="K17415" s="693">
        <v>34</v>
      </c>
    </row>
    <row r="17416" spans="1:11">
      <c r="A17416" s="688" t="s">
        <v>1</v>
      </c>
      <c r="B17416" s="691">
        <v>29.8</v>
      </c>
      <c r="C17416" s="691">
        <v>29.3</v>
      </c>
      <c r="D17416" s="691">
        <v>29.3</v>
      </c>
      <c r="E17416" s="691">
        <v>29.5</v>
      </c>
      <c r="F17416" s="691">
        <v>29.4</v>
      </c>
      <c r="G17416" s="691">
        <v>29.6</v>
      </c>
      <c r="H17416" s="691">
        <v>29.8</v>
      </c>
      <c r="I17416" s="691">
        <v>28.5</v>
      </c>
      <c r="J17416" s="691">
        <v>26.6</v>
      </c>
      <c r="K17416" s="691">
        <v>29.1</v>
      </c>
    </row>
    <row r="17417" spans="1:11">
      <c r="A17417" s="688" t="s">
        <v>2240</v>
      </c>
      <c r="B17417" s="689">
        <v>31.6</v>
      </c>
      <c r="C17417" s="689">
        <v>31.9</v>
      </c>
      <c r="D17417" s="689">
        <v>31.7</v>
      </c>
      <c r="E17417" s="689">
        <v>32.200000000000003</v>
      </c>
      <c r="F17417" s="689">
        <v>32.1</v>
      </c>
      <c r="G17417" s="689">
        <v>32.1</v>
      </c>
      <c r="H17417" s="689">
        <v>32.4</v>
      </c>
      <c r="I17417" s="689">
        <v>31.5</v>
      </c>
      <c r="J17417" s="689">
        <v>30.8</v>
      </c>
      <c r="K17417" s="689">
        <v>32.200000000000003</v>
      </c>
    </row>
    <row r="17418" spans="1:11">
      <c r="A17418" s="688" t="s">
        <v>2</v>
      </c>
      <c r="B17418" s="691">
        <v>32.6</v>
      </c>
      <c r="C17418" s="691">
        <v>32.9</v>
      </c>
      <c r="D17418" s="691">
        <v>32.9</v>
      </c>
      <c r="E17418" s="615">
        <v>33</v>
      </c>
      <c r="F17418" s="691">
        <v>33.200000000000003</v>
      </c>
      <c r="G17418" s="691">
        <v>33.1</v>
      </c>
      <c r="H17418" s="691">
        <v>33.4</v>
      </c>
      <c r="I17418" s="691">
        <v>33.6</v>
      </c>
      <c r="J17418" s="691">
        <v>33.4</v>
      </c>
      <c r="K17418" s="691">
        <v>33.200000000000003</v>
      </c>
    </row>
    <row r="17419" spans="1:11">
      <c r="A17419" s="688" t="s">
        <v>3</v>
      </c>
      <c r="B17419" s="689">
        <v>33.299999999999997</v>
      </c>
      <c r="C17419" s="689">
        <v>33.6</v>
      </c>
      <c r="D17419" s="689">
        <v>33.200000000000003</v>
      </c>
      <c r="E17419" s="689">
        <v>33.5</v>
      </c>
      <c r="F17419" s="689">
        <v>33.5</v>
      </c>
      <c r="G17419" s="689">
        <v>33.5</v>
      </c>
      <c r="H17419" s="689">
        <v>33.700000000000003</v>
      </c>
      <c r="I17419" s="689">
        <v>33.6</v>
      </c>
      <c r="J17419" s="689">
        <v>33.4</v>
      </c>
      <c r="K17419" s="689">
        <v>33.1</v>
      </c>
    </row>
    <row r="17420" spans="1:11">
      <c r="A17420" s="688" t="s">
        <v>4061</v>
      </c>
      <c r="B17420" s="691">
        <v>33.299999999999997</v>
      </c>
      <c r="C17420" s="691">
        <v>33.6</v>
      </c>
      <c r="D17420" s="691">
        <v>33.200000000000003</v>
      </c>
      <c r="E17420" s="691">
        <v>33.5</v>
      </c>
      <c r="F17420" s="691">
        <v>33.5</v>
      </c>
      <c r="G17420" s="691">
        <v>33.5</v>
      </c>
      <c r="H17420" s="691">
        <v>33.700000000000003</v>
      </c>
      <c r="I17420" s="691">
        <v>33.6</v>
      </c>
      <c r="J17420" s="691">
        <v>33.4</v>
      </c>
      <c r="K17420" s="691">
        <v>33.1</v>
      </c>
    </row>
    <row r="17421" spans="1:11">
      <c r="A17421" s="688" t="s">
        <v>4</v>
      </c>
      <c r="B17421" s="689">
        <v>32.4</v>
      </c>
      <c r="C17421" s="689">
        <v>32.200000000000003</v>
      </c>
      <c r="D17421" s="689">
        <v>32.4</v>
      </c>
      <c r="E17421" s="689">
        <v>32.700000000000003</v>
      </c>
      <c r="F17421" s="689">
        <v>32.700000000000003</v>
      </c>
      <c r="G17421" s="689">
        <v>32.799999999999997</v>
      </c>
      <c r="H17421" s="689">
        <v>33.200000000000003</v>
      </c>
      <c r="I17421" s="693">
        <v>33</v>
      </c>
      <c r="J17421" s="689">
        <v>31.9</v>
      </c>
      <c r="K17421" s="689">
        <v>32.799999999999997</v>
      </c>
    </row>
    <row r="17422" spans="1:11">
      <c r="A17422" s="688" t="s">
        <v>8</v>
      </c>
      <c r="B17422" s="691">
        <v>33.299999999999997</v>
      </c>
      <c r="C17422" s="691">
        <v>33.5</v>
      </c>
      <c r="D17422" s="691">
        <v>33.4</v>
      </c>
      <c r="E17422" s="691">
        <v>33.5</v>
      </c>
      <c r="F17422" s="691">
        <v>33.9</v>
      </c>
      <c r="G17422" s="691">
        <v>34.1</v>
      </c>
      <c r="H17422" s="691">
        <v>34.4</v>
      </c>
      <c r="I17422" s="691">
        <v>34.200000000000003</v>
      </c>
      <c r="J17422" s="691">
        <v>34.1</v>
      </c>
      <c r="K17422" s="691">
        <v>34.1</v>
      </c>
    </row>
    <row r="17423" spans="1:11">
      <c r="A17423" s="688" t="s">
        <v>7</v>
      </c>
      <c r="B17423" s="689">
        <v>34.299999999999997</v>
      </c>
      <c r="C17423" s="693">
        <v>34</v>
      </c>
      <c r="D17423" s="689">
        <v>33.799999999999997</v>
      </c>
      <c r="E17423" s="693">
        <v>34</v>
      </c>
      <c r="F17423" s="689">
        <v>33.9</v>
      </c>
      <c r="G17423" s="689">
        <v>34.4</v>
      </c>
      <c r="H17423" s="689">
        <v>34.299999999999997</v>
      </c>
      <c r="I17423" s="689">
        <v>33.9</v>
      </c>
      <c r="J17423" s="689">
        <v>33.1</v>
      </c>
      <c r="K17423" s="689">
        <v>33.5</v>
      </c>
    </row>
    <row r="17424" spans="1:11">
      <c r="A17424" s="688" t="s">
        <v>27</v>
      </c>
      <c r="B17424" s="691">
        <v>36.200000000000003</v>
      </c>
      <c r="C17424" s="691">
        <v>35.700000000000003</v>
      </c>
      <c r="D17424" s="691">
        <v>35.4</v>
      </c>
      <c r="E17424" s="691">
        <v>35.799999999999997</v>
      </c>
      <c r="F17424" s="691">
        <v>35.700000000000003</v>
      </c>
      <c r="G17424" s="691">
        <v>35.799999999999997</v>
      </c>
      <c r="H17424" s="691">
        <v>36.200000000000003</v>
      </c>
      <c r="I17424" s="615">
        <v>35</v>
      </c>
      <c r="J17424" s="691">
        <v>35.799999999999997</v>
      </c>
      <c r="K17424" s="691">
        <v>35.700000000000003</v>
      </c>
    </row>
    <row r="17425" spans="1:11">
      <c r="A17425" s="688" t="s">
        <v>6</v>
      </c>
      <c r="B17425" s="689">
        <v>36.1</v>
      </c>
      <c r="C17425" s="689">
        <v>35.799999999999997</v>
      </c>
      <c r="D17425" s="689">
        <v>35.5</v>
      </c>
      <c r="E17425" s="689">
        <v>35.700000000000003</v>
      </c>
      <c r="F17425" s="689">
        <v>35.700000000000003</v>
      </c>
      <c r="G17425" s="689">
        <v>35.9</v>
      </c>
      <c r="H17425" s="693">
        <v>36</v>
      </c>
      <c r="I17425" s="689">
        <v>35.5</v>
      </c>
      <c r="J17425" s="689">
        <v>35.6</v>
      </c>
      <c r="K17425" s="689">
        <v>35.5</v>
      </c>
    </row>
    <row r="17426" spans="1:11">
      <c r="A17426" s="688" t="s">
        <v>4058</v>
      </c>
      <c r="B17426" s="692" t="s">
        <v>4060</v>
      </c>
      <c r="C17426" s="692" t="s">
        <v>4060</v>
      </c>
      <c r="D17426" s="692" t="s">
        <v>4060</v>
      </c>
      <c r="E17426" s="692" t="s">
        <v>4060</v>
      </c>
      <c r="F17426" s="692" t="s">
        <v>4060</v>
      </c>
      <c r="G17426" s="692" t="s">
        <v>4060</v>
      </c>
      <c r="H17426" s="692" t="s">
        <v>4060</v>
      </c>
      <c r="I17426" s="692" t="s">
        <v>4060</v>
      </c>
      <c r="J17426" s="692" t="s">
        <v>4060</v>
      </c>
      <c r="K17426" s="692" t="s">
        <v>4060</v>
      </c>
    </row>
    <row r="17427" spans="1:11">
      <c r="A17427" s="688" t="s">
        <v>11</v>
      </c>
      <c r="B17427" s="689">
        <v>31.4</v>
      </c>
      <c r="C17427" s="689">
        <v>31.2</v>
      </c>
      <c r="D17427" s="689">
        <v>30.8</v>
      </c>
      <c r="E17427" s="689">
        <v>31.4</v>
      </c>
      <c r="F17427" s="689">
        <v>31.1</v>
      </c>
      <c r="G17427" s="689">
        <v>31.4</v>
      </c>
      <c r="H17427" s="689">
        <v>31.6</v>
      </c>
      <c r="I17427" s="693">
        <v>31</v>
      </c>
      <c r="J17427" s="689">
        <v>30.2</v>
      </c>
      <c r="K17427" s="689">
        <v>31.1</v>
      </c>
    </row>
    <row r="17428" spans="1:11">
      <c r="A17428" s="688" t="s">
        <v>10</v>
      </c>
      <c r="B17428" s="691">
        <v>35.299999999999997</v>
      </c>
      <c r="C17428" s="691">
        <v>35.1</v>
      </c>
      <c r="D17428" s="691">
        <v>34.6</v>
      </c>
      <c r="E17428" s="691">
        <v>35.200000000000003</v>
      </c>
      <c r="F17428" s="691">
        <v>34.9</v>
      </c>
      <c r="G17428" s="691">
        <v>35.299999999999997</v>
      </c>
      <c r="H17428" s="691">
        <v>35.4</v>
      </c>
      <c r="I17428" s="691">
        <v>34.5</v>
      </c>
      <c r="J17428" s="691">
        <v>34.799999999999997</v>
      </c>
      <c r="K17428" s="691">
        <v>34.799999999999997</v>
      </c>
    </row>
    <row r="17429" spans="1:11">
      <c r="A17429" s="688" t="s">
        <v>30</v>
      </c>
      <c r="B17429" s="689">
        <v>34.6</v>
      </c>
      <c r="C17429" s="689">
        <v>34.1</v>
      </c>
      <c r="D17429" s="689">
        <v>33.799999999999997</v>
      </c>
      <c r="E17429" s="689">
        <v>34.700000000000003</v>
      </c>
      <c r="F17429" s="689">
        <v>34.200000000000003</v>
      </c>
      <c r="G17429" s="689">
        <v>34.6</v>
      </c>
      <c r="H17429" s="689">
        <v>34.5</v>
      </c>
      <c r="I17429" s="689">
        <v>34.5</v>
      </c>
      <c r="J17429" s="689">
        <v>33.799999999999997</v>
      </c>
      <c r="K17429" s="689">
        <v>34.1</v>
      </c>
    </row>
    <row r="17430" spans="1:11">
      <c r="A17430" s="688" t="s">
        <v>12</v>
      </c>
      <c r="B17430" s="691">
        <v>30.3</v>
      </c>
      <c r="C17430" s="691">
        <v>30.5</v>
      </c>
      <c r="D17430" s="691">
        <v>30.4</v>
      </c>
      <c r="E17430" s="691">
        <v>30.6</v>
      </c>
      <c r="F17430" s="691">
        <v>30.7</v>
      </c>
      <c r="G17430" s="691">
        <v>30.7</v>
      </c>
      <c r="H17430" s="691">
        <v>31.1</v>
      </c>
      <c r="I17430" s="691">
        <v>30.9</v>
      </c>
      <c r="J17430" s="691">
        <v>29.1</v>
      </c>
      <c r="K17430" s="691">
        <v>30.5</v>
      </c>
    </row>
    <row r="17431" spans="1:11">
      <c r="A17431" s="688" t="s">
        <v>14</v>
      </c>
      <c r="B17431" s="689">
        <v>30.9</v>
      </c>
      <c r="C17431" s="689">
        <v>30.9</v>
      </c>
      <c r="D17431" s="689">
        <v>30.8</v>
      </c>
      <c r="E17431" s="689">
        <v>30.9</v>
      </c>
      <c r="F17431" s="689">
        <v>31.2</v>
      </c>
      <c r="G17431" s="689">
        <v>31.4</v>
      </c>
      <c r="H17431" s="689">
        <v>31.7</v>
      </c>
      <c r="I17431" s="689">
        <v>30.8</v>
      </c>
      <c r="J17431" s="689">
        <v>29.9</v>
      </c>
      <c r="K17431" s="693">
        <v>31</v>
      </c>
    </row>
    <row r="17432" spans="1:11">
      <c r="A17432" s="688" t="s">
        <v>15</v>
      </c>
      <c r="B17432" s="691">
        <v>34.4</v>
      </c>
      <c r="C17432" s="691">
        <v>34.6</v>
      </c>
      <c r="D17432" s="615">
        <v>34</v>
      </c>
      <c r="E17432" s="691">
        <v>34.799999999999997</v>
      </c>
      <c r="F17432" s="691">
        <v>34.1</v>
      </c>
      <c r="G17432" s="691">
        <v>34.4</v>
      </c>
      <c r="H17432" s="691">
        <v>34.700000000000003</v>
      </c>
      <c r="I17432" s="691">
        <v>34.5</v>
      </c>
      <c r="J17432" s="691">
        <v>34.799999999999997</v>
      </c>
      <c r="K17432" s="691">
        <v>34.9</v>
      </c>
    </row>
    <row r="17433" spans="1:11">
      <c r="A17433" s="688" t="s">
        <v>29</v>
      </c>
      <c r="B17433" s="689">
        <v>29.9</v>
      </c>
      <c r="C17433" s="689">
        <v>29.8</v>
      </c>
      <c r="D17433" s="689">
        <v>29.4</v>
      </c>
      <c r="E17433" s="693">
        <v>30</v>
      </c>
      <c r="F17433" s="689">
        <v>29.7</v>
      </c>
      <c r="G17433" s="689">
        <v>29.9</v>
      </c>
      <c r="H17433" s="693">
        <v>30</v>
      </c>
      <c r="I17433" s="689">
        <v>29.3</v>
      </c>
      <c r="J17433" s="689">
        <v>28.3</v>
      </c>
      <c r="K17433" s="689">
        <v>29.7</v>
      </c>
    </row>
    <row r="17434" spans="1:11">
      <c r="A17434" s="688" t="s">
        <v>16</v>
      </c>
      <c r="B17434" s="691">
        <v>34.200000000000003</v>
      </c>
      <c r="C17434" s="691">
        <v>34.1</v>
      </c>
      <c r="D17434" s="615">
        <v>34</v>
      </c>
      <c r="E17434" s="691">
        <v>34.299999999999997</v>
      </c>
      <c r="F17434" s="691">
        <v>34.299999999999997</v>
      </c>
      <c r="G17434" s="691">
        <v>34.299999999999997</v>
      </c>
      <c r="H17434" s="691">
        <v>34.700000000000003</v>
      </c>
      <c r="I17434" s="691">
        <v>34.299999999999997</v>
      </c>
      <c r="J17434" s="615">
        <v>34</v>
      </c>
      <c r="K17434" s="691">
        <v>34.200000000000003</v>
      </c>
    </row>
    <row r="17435" spans="1:11">
      <c r="A17435" s="688" t="s">
        <v>17</v>
      </c>
      <c r="B17435" s="689">
        <v>33.5</v>
      </c>
      <c r="C17435" s="689">
        <v>33.6</v>
      </c>
      <c r="D17435" s="689">
        <v>33.299999999999997</v>
      </c>
      <c r="E17435" s="689">
        <v>33.4</v>
      </c>
      <c r="F17435" s="689">
        <v>33.5</v>
      </c>
      <c r="G17435" s="689">
        <v>33.5</v>
      </c>
      <c r="H17435" s="689">
        <v>33.799999999999997</v>
      </c>
      <c r="I17435" s="689">
        <v>33.299999999999997</v>
      </c>
      <c r="J17435" s="689">
        <v>33.200000000000003</v>
      </c>
      <c r="K17435" s="689">
        <v>33.299999999999997</v>
      </c>
    </row>
    <row r="17436" spans="1:11">
      <c r="A17436" s="688" t="s">
        <v>19</v>
      </c>
      <c r="B17436" s="615">
        <v>34</v>
      </c>
      <c r="C17436" s="615">
        <v>34</v>
      </c>
      <c r="D17436" s="691">
        <v>33.799999999999997</v>
      </c>
      <c r="E17436" s="691">
        <v>34.1</v>
      </c>
      <c r="F17436" s="615">
        <v>34</v>
      </c>
      <c r="G17436" s="691">
        <v>34.200000000000003</v>
      </c>
      <c r="H17436" s="691">
        <v>34.4</v>
      </c>
      <c r="I17436" s="691">
        <v>33.9</v>
      </c>
      <c r="J17436" s="691">
        <v>33.9</v>
      </c>
      <c r="K17436" s="691">
        <v>33.9</v>
      </c>
    </row>
    <row r="17437" spans="1:11">
      <c r="A17437" s="688" t="s">
        <v>20</v>
      </c>
      <c r="B17437" s="689">
        <v>31.8</v>
      </c>
      <c r="C17437" s="693">
        <v>32</v>
      </c>
      <c r="D17437" s="689">
        <v>31.8</v>
      </c>
      <c r="E17437" s="689">
        <v>32.200000000000003</v>
      </c>
      <c r="F17437" s="693">
        <v>32</v>
      </c>
      <c r="G17437" s="689">
        <v>31.9</v>
      </c>
      <c r="H17437" s="689">
        <v>32.200000000000003</v>
      </c>
      <c r="I17437" s="689">
        <v>31.1</v>
      </c>
      <c r="J17437" s="689">
        <v>30.1</v>
      </c>
      <c r="K17437" s="689">
        <v>31.6</v>
      </c>
    </row>
    <row r="17438" spans="1:11">
      <c r="A17438" s="688" t="s">
        <v>21</v>
      </c>
      <c r="B17438" s="691">
        <v>34.299999999999997</v>
      </c>
      <c r="C17438" s="691">
        <v>34.6</v>
      </c>
      <c r="D17438" s="691">
        <v>34.4</v>
      </c>
      <c r="E17438" s="691">
        <v>34.5</v>
      </c>
      <c r="F17438" s="691">
        <v>34.799999999999997</v>
      </c>
      <c r="G17438" s="691">
        <v>34.799999999999997</v>
      </c>
      <c r="H17438" s="615">
        <v>35</v>
      </c>
      <c r="I17438" s="691">
        <v>34.4</v>
      </c>
      <c r="J17438" s="691">
        <v>34.5</v>
      </c>
      <c r="K17438" s="691">
        <v>34.700000000000003</v>
      </c>
    </row>
    <row r="17439" spans="1:11">
      <c r="A17439" s="688" t="s">
        <v>22</v>
      </c>
      <c r="B17439" s="689">
        <v>29.9</v>
      </c>
      <c r="C17439" s="689">
        <v>29.7</v>
      </c>
      <c r="D17439" s="689">
        <v>29.7</v>
      </c>
      <c r="E17439" s="693">
        <v>30</v>
      </c>
      <c r="F17439" s="693">
        <v>30</v>
      </c>
      <c r="G17439" s="689">
        <v>30.1</v>
      </c>
      <c r="H17439" s="689">
        <v>30.4</v>
      </c>
      <c r="I17439" s="689">
        <v>29.2</v>
      </c>
      <c r="J17439" s="689">
        <v>27.7</v>
      </c>
      <c r="K17439" s="693">
        <v>30</v>
      </c>
    </row>
    <row r="17440" spans="1:11">
      <c r="A17440" s="688" t="s">
        <v>26</v>
      </c>
      <c r="B17440" s="691">
        <v>33.799999999999997</v>
      </c>
      <c r="C17440" s="691">
        <v>33.700000000000003</v>
      </c>
      <c r="D17440" s="691">
        <v>33.6</v>
      </c>
      <c r="E17440" s="615">
        <v>34</v>
      </c>
      <c r="F17440" s="691">
        <v>33.799999999999997</v>
      </c>
      <c r="G17440" s="691">
        <v>33.9</v>
      </c>
      <c r="H17440" s="691">
        <v>34.1</v>
      </c>
      <c r="I17440" s="691">
        <v>33.299999999999997</v>
      </c>
      <c r="J17440" s="691">
        <v>33.700000000000003</v>
      </c>
      <c r="K17440" s="615">
        <v>34</v>
      </c>
    </row>
    <row r="17441" spans="1:11">
      <c r="A17441" s="688" t="s">
        <v>25</v>
      </c>
      <c r="B17441" s="689">
        <v>30.9</v>
      </c>
      <c r="C17441" s="689">
        <v>31.1</v>
      </c>
      <c r="D17441" s="689">
        <v>30.8</v>
      </c>
      <c r="E17441" s="689">
        <v>31.3</v>
      </c>
      <c r="F17441" s="689">
        <v>31.2</v>
      </c>
      <c r="G17441" s="689">
        <v>31.3</v>
      </c>
      <c r="H17441" s="689">
        <v>31.7</v>
      </c>
      <c r="I17441" s="693">
        <v>31</v>
      </c>
      <c r="J17441" s="689">
        <v>28.9</v>
      </c>
      <c r="K17441" s="693">
        <v>31</v>
      </c>
    </row>
    <row r="17442" spans="1:11">
      <c r="A17442" s="688" t="s">
        <v>5</v>
      </c>
      <c r="B17442" s="691">
        <v>34.4</v>
      </c>
      <c r="C17442" s="615">
        <v>34</v>
      </c>
      <c r="D17442" s="691">
        <v>34.299999999999997</v>
      </c>
      <c r="E17442" s="691">
        <v>34.299999999999997</v>
      </c>
      <c r="F17442" s="691">
        <v>34.4</v>
      </c>
      <c r="G17442" s="691">
        <v>34.5</v>
      </c>
      <c r="H17442" s="691">
        <v>34.799999999999997</v>
      </c>
      <c r="I17442" s="691">
        <v>34.799999999999997</v>
      </c>
      <c r="J17442" s="691">
        <v>34.6</v>
      </c>
      <c r="K17442" s="615">
        <v>34</v>
      </c>
    </row>
    <row r="17443" spans="1:11">
      <c r="A17443" s="688" t="s">
        <v>23</v>
      </c>
      <c r="B17443" s="689">
        <v>33.9</v>
      </c>
      <c r="C17443" s="689">
        <v>34.1</v>
      </c>
      <c r="D17443" s="689">
        <v>34.1</v>
      </c>
      <c r="E17443" s="689">
        <v>34.200000000000003</v>
      </c>
      <c r="F17443" s="689">
        <v>34.200000000000003</v>
      </c>
      <c r="G17443" s="689">
        <v>34.299999999999997</v>
      </c>
      <c r="H17443" s="689">
        <v>34.799999999999997</v>
      </c>
      <c r="I17443" s="689">
        <v>34.299999999999997</v>
      </c>
      <c r="J17443" s="689">
        <v>34.799999999999997</v>
      </c>
      <c r="K17443" s="689">
        <v>34.700000000000003</v>
      </c>
    </row>
    <row r="17444" spans="1:11">
      <c r="A17444" s="688" t="s">
        <v>4067</v>
      </c>
      <c r="B17444" s="691">
        <v>33.700000000000003</v>
      </c>
      <c r="C17444" s="615">
        <v>34</v>
      </c>
      <c r="D17444" s="691">
        <v>33.6</v>
      </c>
      <c r="E17444" s="615">
        <v>34</v>
      </c>
      <c r="F17444" s="691">
        <v>33.9</v>
      </c>
      <c r="G17444" s="615">
        <v>34</v>
      </c>
      <c r="H17444" s="692" t="s">
        <v>4060</v>
      </c>
      <c r="I17444" s="692" t="s">
        <v>4060</v>
      </c>
      <c r="J17444" s="692" t="s">
        <v>4060</v>
      </c>
      <c r="K17444" s="692" t="s">
        <v>4060</v>
      </c>
    </row>
    <row r="17445" spans="1:11">
      <c r="A17445" s="688" t="s">
        <v>4066</v>
      </c>
      <c r="B17445" s="689">
        <v>33.700000000000003</v>
      </c>
      <c r="C17445" s="693">
        <v>34</v>
      </c>
      <c r="D17445" s="689">
        <v>33.6</v>
      </c>
      <c r="E17445" s="693">
        <v>34</v>
      </c>
      <c r="F17445" s="689">
        <v>33.9</v>
      </c>
      <c r="G17445" s="693">
        <v>34</v>
      </c>
      <c r="H17445" s="690" t="s">
        <v>4060</v>
      </c>
      <c r="I17445" s="690" t="s">
        <v>4060</v>
      </c>
      <c r="J17445" s="690" t="s">
        <v>4060</v>
      </c>
      <c r="K17445" s="690" t="s">
        <v>4060</v>
      </c>
    </row>
    <row r="17446" spans="1:11">
      <c r="A17446" s="688" t="s">
        <v>4062</v>
      </c>
      <c r="B17446" s="691">
        <v>34.700000000000003</v>
      </c>
      <c r="C17446" s="691">
        <v>34.799999999999997</v>
      </c>
      <c r="D17446" s="691">
        <v>34.700000000000003</v>
      </c>
      <c r="E17446" s="691">
        <v>34.9</v>
      </c>
      <c r="F17446" s="615">
        <v>35</v>
      </c>
      <c r="G17446" s="691">
        <v>35.1</v>
      </c>
      <c r="H17446" s="691">
        <v>35.200000000000003</v>
      </c>
      <c r="I17446" s="615">
        <v>35</v>
      </c>
      <c r="J17446" s="691">
        <v>35.299999999999997</v>
      </c>
      <c r="K17446" s="615">
        <v>35</v>
      </c>
    </row>
    <row r="17447" spans="1:11">
      <c r="A17447" s="688" t="s">
        <v>9</v>
      </c>
      <c r="B17447" s="689">
        <v>33.799999999999997</v>
      </c>
      <c r="C17447" s="689">
        <v>34.4</v>
      </c>
      <c r="D17447" s="689">
        <v>33.700000000000003</v>
      </c>
      <c r="E17447" s="689">
        <v>33.700000000000003</v>
      </c>
      <c r="F17447" s="689">
        <v>34.200000000000003</v>
      </c>
      <c r="G17447" s="689">
        <v>34.200000000000003</v>
      </c>
      <c r="H17447" s="689">
        <v>34.5</v>
      </c>
      <c r="I17447" s="689">
        <v>34.6</v>
      </c>
      <c r="J17447" s="689">
        <v>34.6</v>
      </c>
      <c r="K17447" s="689">
        <v>33.700000000000003</v>
      </c>
    </row>
    <row r="17448" spans="1:11">
      <c r="A17448" s="688" t="s">
        <v>13</v>
      </c>
      <c r="B17448" s="691">
        <v>34.799999999999997</v>
      </c>
      <c r="C17448" s="691">
        <v>33.200000000000003</v>
      </c>
      <c r="D17448" s="691">
        <v>34.200000000000003</v>
      </c>
      <c r="E17448" s="691">
        <v>34.5</v>
      </c>
      <c r="F17448" s="691">
        <v>35.1</v>
      </c>
      <c r="G17448" s="691">
        <v>35.299999999999997</v>
      </c>
      <c r="H17448" s="691">
        <v>34.799999999999997</v>
      </c>
      <c r="I17448" s="691">
        <v>34.200000000000003</v>
      </c>
      <c r="J17448" s="691">
        <v>35.5</v>
      </c>
      <c r="K17448" s="691">
        <v>35.1</v>
      </c>
    </row>
    <row r="17449" spans="1:11">
      <c r="A17449" s="688" t="s">
        <v>18</v>
      </c>
      <c r="B17449" s="689">
        <v>33.9</v>
      </c>
      <c r="C17449" s="689">
        <v>34.1</v>
      </c>
      <c r="D17449" s="689">
        <v>34.200000000000003</v>
      </c>
      <c r="E17449" s="689">
        <v>34.200000000000003</v>
      </c>
      <c r="F17449" s="689">
        <v>34.299999999999997</v>
      </c>
      <c r="G17449" s="689">
        <v>34.5</v>
      </c>
      <c r="H17449" s="689">
        <v>34.700000000000003</v>
      </c>
      <c r="I17449" s="689">
        <v>34.9</v>
      </c>
      <c r="J17449" s="689">
        <v>34.700000000000003</v>
      </c>
      <c r="K17449" s="689">
        <v>34.4</v>
      </c>
    </row>
    <row r="17450" spans="1:11">
      <c r="A17450" s="688" t="s">
        <v>24</v>
      </c>
      <c r="B17450" s="691">
        <v>35.1</v>
      </c>
      <c r="C17450" s="691">
        <v>35.200000000000003</v>
      </c>
      <c r="D17450" s="615">
        <v>35</v>
      </c>
      <c r="E17450" s="691">
        <v>35.4</v>
      </c>
      <c r="F17450" s="691">
        <v>35.4</v>
      </c>
      <c r="G17450" s="691">
        <v>35.5</v>
      </c>
      <c r="H17450" s="691">
        <v>35.6</v>
      </c>
      <c r="I17450" s="691">
        <v>35.1</v>
      </c>
      <c r="J17450" s="691">
        <v>35.6</v>
      </c>
      <c r="K17450" s="691">
        <v>35.4</v>
      </c>
    </row>
    <row r="17451" spans="1:11">
      <c r="A17451" s="688" t="s">
        <v>4059</v>
      </c>
      <c r="B17451" s="689">
        <v>33.299999999999997</v>
      </c>
      <c r="C17451" s="689">
        <v>33.700000000000003</v>
      </c>
      <c r="D17451" s="689">
        <v>33.200000000000003</v>
      </c>
      <c r="E17451" s="689">
        <v>33.5</v>
      </c>
      <c r="F17451" s="689">
        <v>33.5</v>
      </c>
      <c r="G17451" s="689">
        <v>33.5</v>
      </c>
      <c r="H17451" s="690" t="s">
        <v>4060</v>
      </c>
      <c r="I17451" s="690" t="s">
        <v>4060</v>
      </c>
      <c r="J17451" s="690" t="s">
        <v>4060</v>
      </c>
      <c r="K17451" s="690" t="s">
        <v>4060</v>
      </c>
    </row>
    <row r="17452" spans="1:11">
      <c r="A17452" s="688" t="s">
        <v>2324</v>
      </c>
      <c r="B17452" s="691">
        <v>29.6</v>
      </c>
      <c r="C17452" s="691">
        <v>29.7</v>
      </c>
      <c r="D17452" s="691">
        <v>29.1</v>
      </c>
      <c r="E17452" s="691">
        <v>29.4</v>
      </c>
      <c r="F17452" s="691">
        <v>29.8</v>
      </c>
      <c r="G17452" s="691">
        <v>29.6</v>
      </c>
      <c r="H17452" s="691">
        <v>29.9</v>
      </c>
      <c r="I17452" s="691">
        <v>29.3</v>
      </c>
      <c r="J17452" s="691">
        <v>27.3</v>
      </c>
      <c r="K17452" s="692" t="s">
        <v>4060</v>
      </c>
    </row>
    <row r="17453" spans="1:11">
      <c r="A17453" s="688" t="s">
        <v>2322</v>
      </c>
      <c r="B17453" s="690" t="s">
        <v>4060</v>
      </c>
      <c r="C17453" s="690" t="s">
        <v>4060</v>
      </c>
      <c r="D17453" s="690" t="s">
        <v>4060</v>
      </c>
      <c r="E17453" s="690" t="s">
        <v>4060</v>
      </c>
      <c r="F17453" s="690" t="s">
        <v>4060</v>
      </c>
      <c r="G17453" s="690" t="s">
        <v>4060</v>
      </c>
      <c r="H17453" s="690" t="s">
        <v>4060</v>
      </c>
      <c r="I17453" s="690" t="s">
        <v>4060</v>
      </c>
      <c r="J17453" s="690" t="s">
        <v>4060</v>
      </c>
      <c r="K17453" s="690" t="s">
        <v>4060</v>
      </c>
    </row>
    <row r="17454" spans="1:11">
      <c r="A17454" s="688" t="s">
        <v>2328</v>
      </c>
      <c r="B17454" s="691">
        <v>28.6</v>
      </c>
      <c r="C17454" s="691">
        <v>28.4</v>
      </c>
      <c r="D17454" s="691">
        <v>28.2</v>
      </c>
      <c r="E17454" s="691">
        <v>28.7</v>
      </c>
      <c r="F17454" s="691">
        <v>28.7</v>
      </c>
      <c r="G17454" s="691">
        <v>29.2</v>
      </c>
      <c r="H17454" s="615">
        <v>29</v>
      </c>
      <c r="I17454" s="691">
        <v>27.5</v>
      </c>
      <c r="J17454" s="691">
        <v>26.4</v>
      </c>
      <c r="K17454" s="692" t="s">
        <v>4060</v>
      </c>
    </row>
    <row r="17455" spans="1:11">
      <c r="A17455" s="688" t="s">
        <v>2496</v>
      </c>
      <c r="B17455" s="690" t="s">
        <v>4060</v>
      </c>
      <c r="C17455" s="689">
        <v>29.6</v>
      </c>
      <c r="D17455" s="689">
        <v>28.7</v>
      </c>
      <c r="E17455" s="689">
        <v>28.5</v>
      </c>
      <c r="F17455" s="689">
        <v>29.1</v>
      </c>
      <c r="G17455" s="689">
        <v>29.3</v>
      </c>
      <c r="H17455" s="689">
        <v>29.3</v>
      </c>
      <c r="I17455" s="690" t="s">
        <v>4060</v>
      </c>
      <c r="J17455" s="690" t="s">
        <v>4060</v>
      </c>
      <c r="K17455" s="689">
        <v>29.1</v>
      </c>
    </row>
    <row r="17456" spans="1:11">
      <c r="A17456" s="688" t="s">
        <v>2269</v>
      </c>
      <c r="B17456" s="691">
        <v>31.1</v>
      </c>
      <c r="C17456" s="691">
        <v>31.3</v>
      </c>
      <c r="D17456" s="691">
        <v>30.6</v>
      </c>
      <c r="E17456" s="691">
        <v>31.1</v>
      </c>
      <c r="F17456" s="691">
        <v>30.9</v>
      </c>
      <c r="G17456" s="691">
        <v>31.3</v>
      </c>
      <c r="H17456" s="691">
        <v>31.6</v>
      </c>
      <c r="I17456" s="691">
        <v>30.4</v>
      </c>
      <c r="J17456" s="691">
        <v>28.4</v>
      </c>
      <c r="K17456" s="691">
        <v>31.3</v>
      </c>
    </row>
    <row r="17457" spans="1:11">
      <c r="A17457" s="688" t="s">
        <v>2349</v>
      </c>
      <c r="B17457" s="689">
        <v>28.7</v>
      </c>
      <c r="C17457" s="689">
        <v>28.7</v>
      </c>
      <c r="D17457" s="689">
        <v>28.7</v>
      </c>
      <c r="E17457" s="693">
        <v>29</v>
      </c>
      <c r="F17457" s="689">
        <v>28.8</v>
      </c>
      <c r="G17457" s="689">
        <v>29.1</v>
      </c>
      <c r="H17457" s="689">
        <v>29.2</v>
      </c>
      <c r="I17457" s="689">
        <v>28.1</v>
      </c>
      <c r="J17457" s="689">
        <v>26.5</v>
      </c>
      <c r="K17457" s="689">
        <v>28.4</v>
      </c>
    </row>
    <row r="17458" spans="1:11">
      <c r="A17458" s="688" t="s">
        <v>2355</v>
      </c>
      <c r="B17458" s="691">
        <v>32.299999999999997</v>
      </c>
      <c r="C17458" s="691">
        <v>32.1</v>
      </c>
      <c r="D17458" s="691">
        <v>32.1</v>
      </c>
      <c r="E17458" s="615">
        <v>32</v>
      </c>
      <c r="F17458" s="691">
        <v>32.200000000000003</v>
      </c>
      <c r="G17458" s="691">
        <v>32.5</v>
      </c>
      <c r="H17458" s="691">
        <v>32.6</v>
      </c>
      <c r="I17458" s="692" t="s">
        <v>4060</v>
      </c>
      <c r="J17458" s="692" t="s">
        <v>4060</v>
      </c>
      <c r="K17458" s="692" t="s">
        <v>4060</v>
      </c>
    </row>
    <row r="17459" spans="1:11">
      <c r="A17459" s="688" t="s">
        <v>2357</v>
      </c>
      <c r="B17459" s="690" t="s">
        <v>4060</v>
      </c>
      <c r="C17459" s="689">
        <v>28.7</v>
      </c>
      <c r="D17459" s="689">
        <v>29.1</v>
      </c>
      <c r="E17459" s="689">
        <v>29.4</v>
      </c>
      <c r="F17459" s="689">
        <v>29.6</v>
      </c>
      <c r="G17459" s="689">
        <v>29.6</v>
      </c>
      <c r="H17459" s="689">
        <v>29.8</v>
      </c>
      <c r="I17459" s="690" t="s">
        <v>4060</v>
      </c>
      <c r="J17459" s="690" t="s">
        <v>4060</v>
      </c>
      <c r="K17459" s="690" t="s">
        <v>4060</v>
      </c>
    </row>
    <row r="17460" spans="1:11">
      <c r="A17460" s="688" t="s">
        <v>4070</v>
      </c>
      <c r="B17460" s="692" t="s">
        <v>4060</v>
      </c>
      <c r="C17460" s="692" t="s">
        <v>4060</v>
      </c>
      <c r="D17460" s="692" t="s">
        <v>4060</v>
      </c>
      <c r="E17460" s="691">
        <v>32.1</v>
      </c>
      <c r="F17460" s="692" t="s">
        <v>4060</v>
      </c>
      <c r="G17460" s="692" t="s">
        <v>4060</v>
      </c>
      <c r="H17460" s="692" t="s">
        <v>4060</v>
      </c>
      <c r="I17460" s="692" t="s">
        <v>4060</v>
      </c>
      <c r="J17460" s="692" t="s">
        <v>4060</v>
      </c>
      <c r="K17460" s="692" t="s">
        <v>4060</v>
      </c>
    </row>
    <row r="17461" spans="1:11">
      <c r="A17461" s="688" t="s">
        <v>2491</v>
      </c>
      <c r="B17461" s="689">
        <v>29.3</v>
      </c>
      <c r="C17461" s="689">
        <v>29.7</v>
      </c>
      <c r="D17461" s="689">
        <v>29.9</v>
      </c>
      <c r="E17461" s="689">
        <v>30.1</v>
      </c>
      <c r="F17461" s="689">
        <v>30.2</v>
      </c>
      <c r="G17461" s="689">
        <v>30.3</v>
      </c>
      <c r="H17461" s="690" t="s">
        <v>4060</v>
      </c>
      <c r="I17461" s="690" t="s">
        <v>4060</v>
      </c>
      <c r="J17461" s="690" t="s">
        <v>4060</v>
      </c>
      <c r="K17461" s="690" t="s">
        <v>4060</v>
      </c>
    </row>
    <row r="17462" spans="1:11">
      <c r="A17462" s="688" t="s">
        <v>2343</v>
      </c>
      <c r="B17462" s="692" t="s">
        <v>4060</v>
      </c>
      <c r="C17462" s="692" t="s">
        <v>4060</v>
      </c>
      <c r="D17462" s="692" t="s">
        <v>4060</v>
      </c>
      <c r="E17462" s="692" t="s">
        <v>4060</v>
      </c>
      <c r="F17462" s="692" t="s">
        <v>4060</v>
      </c>
      <c r="G17462" s="692" t="s">
        <v>4060</v>
      </c>
      <c r="H17462" s="692" t="s">
        <v>4060</v>
      </c>
      <c r="I17462" s="692" t="s">
        <v>4060</v>
      </c>
      <c r="J17462" s="692" t="s">
        <v>4060</v>
      </c>
      <c r="K17462" s="692" t="s">
        <v>4060</v>
      </c>
    </row>
    <row r="17463" spans="1:11">
      <c r="A17463" s="688" t="s">
        <v>4071</v>
      </c>
      <c r="B17463" s="690" t="s">
        <v>4060</v>
      </c>
      <c r="C17463" s="690" t="s">
        <v>4060</v>
      </c>
      <c r="D17463" s="690" t="s">
        <v>4060</v>
      </c>
      <c r="E17463" s="690" t="s">
        <v>4060</v>
      </c>
      <c r="F17463" s="690" t="s">
        <v>4060</v>
      </c>
      <c r="G17463" s="690" t="s">
        <v>4060</v>
      </c>
      <c r="H17463" s="690" t="s">
        <v>4060</v>
      </c>
      <c r="I17463" s="690" t="s">
        <v>4060</v>
      </c>
      <c r="J17463" s="690" t="s">
        <v>4060</v>
      </c>
      <c r="K17463" s="690" t="s">
        <v>4060</v>
      </c>
    </row>
    <row r="17464" spans="1:11">
      <c r="A17464" s="688" t="s">
        <v>2489</v>
      </c>
      <c r="B17464" s="692" t="s">
        <v>4060</v>
      </c>
      <c r="C17464" s="692" t="s">
        <v>4060</v>
      </c>
      <c r="D17464" s="691">
        <v>29.3</v>
      </c>
      <c r="E17464" s="691">
        <v>29.3</v>
      </c>
      <c r="F17464" s="691">
        <v>29.7</v>
      </c>
      <c r="G17464" s="691">
        <v>30.4</v>
      </c>
      <c r="H17464" s="691">
        <v>30.3</v>
      </c>
      <c r="I17464" s="692" t="s">
        <v>4060</v>
      </c>
      <c r="J17464" s="692" t="s">
        <v>4060</v>
      </c>
      <c r="K17464" s="692" t="s">
        <v>4060</v>
      </c>
    </row>
    <row r="17465" spans="1:11">
      <c r="A17465" s="688" t="s">
        <v>2490</v>
      </c>
      <c r="B17465" s="689">
        <v>28.5</v>
      </c>
      <c r="C17465" s="689">
        <v>28.5</v>
      </c>
      <c r="D17465" s="693">
        <v>29</v>
      </c>
      <c r="E17465" s="690" t="s">
        <v>4060</v>
      </c>
      <c r="F17465" s="689">
        <v>29.2</v>
      </c>
      <c r="G17465" s="689">
        <v>29.5</v>
      </c>
      <c r="H17465" s="689">
        <v>30.2</v>
      </c>
      <c r="I17465" s="690" t="s">
        <v>4060</v>
      </c>
      <c r="J17465" s="690" t="s">
        <v>4060</v>
      </c>
      <c r="K17465" s="690" t="s">
        <v>4060</v>
      </c>
    </row>
    <row r="17467" spans="1:11">
      <c r="A17467" s="683" t="s">
        <v>4233</v>
      </c>
    </row>
    <row r="17468" spans="1:11">
      <c r="A17468" s="683" t="s">
        <v>4060</v>
      </c>
      <c r="B17468" s="682" t="s">
        <v>4234</v>
      </c>
    </row>
    <row r="17470" spans="1:11">
      <c r="A17470" s="682" t="s">
        <v>4332</v>
      </c>
    </row>
    <row r="17471" spans="1:11">
      <c r="A17471" s="682" t="s">
        <v>4210</v>
      </c>
      <c r="B17471" s="683" t="s">
        <v>4211</v>
      </c>
    </row>
    <row r="17472" spans="1:11">
      <c r="A17472" s="682" t="s">
        <v>4212</v>
      </c>
      <c r="B17472" s="682" t="s">
        <v>4213</v>
      </c>
    </row>
    <row r="17474" spans="1:11">
      <c r="A17474" s="683" t="s">
        <v>4214</v>
      </c>
      <c r="C17474" s="682" t="s">
        <v>4215</v>
      </c>
    </row>
    <row r="17475" spans="1:11">
      <c r="A17475" s="683" t="s">
        <v>4216</v>
      </c>
      <c r="C17475" s="682" t="s">
        <v>2967</v>
      </c>
    </row>
    <row r="17476" spans="1:11">
      <c r="A17476" s="683" t="s">
        <v>3893</v>
      </c>
      <c r="C17476" s="682" t="s">
        <v>2169</v>
      </c>
    </row>
    <row r="17477" spans="1:11">
      <c r="A17477" s="683" t="s">
        <v>4218</v>
      </c>
      <c r="C17477" s="682" t="s">
        <v>4287</v>
      </c>
    </row>
    <row r="17479" spans="1:11">
      <c r="A17479" s="684" t="s">
        <v>4220</v>
      </c>
      <c r="B17479" s="685" t="s">
        <v>4221</v>
      </c>
      <c r="C17479" s="685" t="s">
        <v>4222</v>
      </c>
      <c r="D17479" s="685" t="s">
        <v>4223</v>
      </c>
      <c r="E17479" s="685" t="s">
        <v>4224</v>
      </c>
      <c r="F17479" s="685" t="s">
        <v>4225</v>
      </c>
      <c r="G17479" s="685" t="s">
        <v>4226</v>
      </c>
      <c r="H17479" s="685" t="s">
        <v>4227</v>
      </c>
      <c r="I17479" s="685" t="s">
        <v>4228</v>
      </c>
      <c r="J17479" s="685" t="s">
        <v>4229</v>
      </c>
      <c r="K17479" s="685" t="s">
        <v>4230</v>
      </c>
    </row>
    <row r="17480" spans="1:11">
      <c r="A17480" s="686" t="s">
        <v>4231</v>
      </c>
      <c r="B17480" s="687" t="s">
        <v>4232</v>
      </c>
      <c r="C17480" s="687" t="s">
        <v>4232</v>
      </c>
      <c r="D17480" s="687" t="s">
        <v>4232</v>
      </c>
      <c r="E17480" s="687" t="s">
        <v>4232</v>
      </c>
      <c r="F17480" s="687" t="s">
        <v>4232</v>
      </c>
      <c r="G17480" s="687" t="s">
        <v>4232</v>
      </c>
      <c r="H17480" s="687" t="s">
        <v>4232</v>
      </c>
      <c r="I17480" s="687" t="s">
        <v>4232</v>
      </c>
      <c r="J17480" s="687" t="s">
        <v>4232</v>
      </c>
      <c r="K17480" s="687" t="s">
        <v>4232</v>
      </c>
    </row>
    <row r="17481" spans="1:11">
      <c r="A17481" s="688" t="s">
        <v>4064</v>
      </c>
      <c r="B17481" s="689">
        <v>32.799999999999997</v>
      </c>
      <c r="C17481" s="689">
        <v>32.799999999999997</v>
      </c>
      <c r="D17481" s="689">
        <v>32.700000000000003</v>
      </c>
      <c r="E17481" s="689">
        <v>32.799999999999997</v>
      </c>
      <c r="F17481" s="689">
        <v>32.799999999999997</v>
      </c>
      <c r="G17481" s="689">
        <v>32.9</v>
      </c>
      <c r="H17481" s="689">
        <v>33.1</v>
      </c>
      <c r="I17481" s="689">
        <v>32.4</v>
      </c>
      <c r="J17481" s="689">
        <v>32.200000000000003</v>
      </c>
      <c r="K17481" s="689">
        <v>32.6</v>
      </c>
    </row>
    <row r="17482" spans="1:11">
      <c r="A17482" s="688" t="s">
        <v>4065</v>
      </c>
      <c r="B17482" s="691">
        <v>32.700000000000003</v>
      </c>
      <c r="C17482" s="691">
        <v>33.1</v>
      </c>
      <c r="D17482" s="691">
        <v>32.700000000000003</v>
      </c>
      <c r="E17482" s="691">
        <v>33.1</v>
      </c>
      <c r="F17482" s="691">
        <v>32.9</v>
      </c>
      <c r="G17482" s="615">
        <v>33</v>
      </c>
      <c r="H17482" s="692" t="s">
        <v>4060</v>
      </c>
      <c r="I17482" s="692" t="s">
        <v>4060</v>
      </c>
      <c r="J17482" s="692" t="s">
        <v>4060</v>
      </c>
      <c r="K17482" s="692" t="s">
        <v>4060</v>
      </c>
    </row>
    <row r="17483" spans="1:11">
      <c r="A17483" s="688" t="s">
        <v>4063</v>
      </c>
      <c r="B17483" s="689">
        <v>32.799999999999997</v>
      </c>
      <c r="C17483" s="689">
        <v>33.1</v>
      </c>
      <c r="D17483" s="689">
        <v>32.700000000000003</v>
      </c>
      <c r="E17483" s="689">
        <v>33.1</v>
      </c>
      <c r="F17483" s="693">
        <v>33</v>
      </c>
      <c r="G17483" s="693">
        <v>33</v>
      </c>
      <c r="H17483" s="690" t="s">
        <v>4060</v>
      </c>
      <c r="I17483" s="690" t="s">
        <v>4060</v>
      </c>
      <c r="J17483" s="690" t="s">
        <v>4060</v>
      </c>
      <c r="K17483" s="690" t="s">
        <v>4060</v>
      </c>
    </row>
    <row r="17484" spans="1:11">
      <c r="A17484" s="688" t="s">
        <v>4069</v>
      </c>
      <c r="B17484" s="692" t="s">
        <v>4060</v>
      </c>
      <c r="C17484" s="691">
        <v>33.5</v>
      </c>
      <c r="D17484" s="691">
        <v>33.200000000000003</v>
      </c>
      <c r="E17484" s="691">
        <v>33.6</v>
      </c>
      <c r="F17484" s="691">
        <v>33.5</v>
      </c>
      <c r="G17484" s="691">
        <v>33.6</v>
      </c>
      <c r="H17484" s="691">
        <v>33.799999999999997</v>
      </c>
      <c r="I17484" s="691">
        <v>33.200000000000003</v>
      </c>
      <c r="J17484" s="691">
        <v>33.299999999999997</v>
      </c>
      <c r="K17484" s="691">
        <v>33.299999999999997</v>
      </c>
    </row>
    <row r="17485" spans="1:11">
      <c r="A17485" s="688" t="s">
        <v>4068</v>
      </c>
      <c r="B17485" s="689">
        <v>33.6</v>
      </c>
      <c r="C17485" s="690" t="s">
        <v>4060</v>
      </c>
      <c r="D17485" s="690" t="s">
        <v>4060</v>
      </c>
      <c r="E17485" s="690" t="s">
        <v>4060</v>
      </c>
      <c r="F17485" s="690" t="s">
        <v>4060</v>
      </c>
      <c r="G17485" s="690" t="s">
        <v>4060</v>
      </c>
      <c r="H17485" s="690" t="s">
        <v>4060</v>
      </c>
      <c r="I17485" s="690" t="s">
        <v>4060</v>
      </c>
      <c r="J17485" s="690" t="s">
        <v>4060</v>
      </c>
      <c r="K17485" s="690" t="s">
        <v>4060</v>
      </c>
    </row>
    <row r="17486" spans="1:11">
      <c r="A17486" s="688" t="s">
        <v>0</v>
      </c>
      <c r="B17486" s="691">
        <v>32.799999999999997</v>
      </c>
      <c r="C17486" s="615">
        <v>33</v>
      </c>
      <c r="D17486" s="691">
        <v>32.6</v>
      </c>
      <c r="E17486" s="615">
        <v>33</v>
      </c>
      <c r="F17486" s="691">
        <v>33.1</v>
      </c>
      <c r="G17486" s="691">
        <v>33.1</v>
      </c>
      <c r="H17486" s="691">
        <v>33.4</v>
      </c>
      <c r="I17486" s="691">
        <v>32.4</v>
      </c>
      <c r="J17486" s="691">
        <v>33.4</v>
      </c>
      <c r="K17486" s="691">
        <v>33.1</v>
      </c>
    </row>
    <row r="17487" spans="1:11">
      <c r="A17487" s="688" t="s">
        <v>1</v>
      </c>
      <c r="B17487" s="689">
        <v>28.9</v>
      </c>
      <c r="C17487" s="689">
        <v>28.4</v>
      </c>
      <c r="D17487" s="689">
        <v>28.5</v>
      </c>
      <c r="E17487" s="689">
        <v>28.7</v>
      </c>
      <c r="F17487" s="689">
        <v>28.5</v>
      </c>
      <c r="G17487" s="689">
        <v>28.7</v>
      </c>
      <c r="H17487" s="689">
        <v>28.9</v>
      </c>
      <c r="I17487" s="689">
        <v>27.6</v>
      </c>
      <c r="J17487" s="689">
        <v>25.7</v>
      </c>
      <c r="K17487" s="689">
        <v>28.2</v>
      </c>
    </row>
    <row r="17488" spans="1:11">
      <c r="A17488" s="688" t="s">
        <v>2240</v>
      </c>
      <c r="B17488" s="691">
        <v>30.7</v>
      </c>
      <c r="C17488" s="615">
        <v>31</v>
      </c>
      <c r="D17488" s="691">
        <v>30.8</v>
      </c>
      <c r="E17488" s="691">
        <v>31.2</v>
      </c>
      <c r="F17488" s="691">
        <v>31.1</v>
      </c>
      <c r="G17488" s="691">
        <v>31.2</v>
      </c>
      <c r="H17488" s="691">
        <v>31.4</v>
      </c>
      <c r="I17488" s="691">
        <v>30.6</v>
      </c>
      <c r="J17488" s="691">
        <v>29.9</v>
      </c>
      <c r="K17488" s="691">
        <v>31.2</v>
      </c>
    </row>
    <row r="17489" spans="1:11">
      <c r="A17489" s="688" t="s">
        <v>2</v>
      </c>
      <c r="B17489" s="689">
        <v>31.7</v>
      </c>
      <c r="C17489" s="693">
        <v>32</v>
      </c>
      <c r="D17489" s="693">
        <v>32</v>
      </c>
      <c r="E17489" s="693">
        <v>32</v>
      </c>
      <c r="F17489" s="689">
        <v>32.299999999999997</v>
      </c>
      <c r="G17489" s="689">
        <v>32.1</v>
      </c>
      <c r="H17489" s="689">
        <v>32.5</v>
      </c>
      <c r="I17489" s="689">
        <v>32.6</v>
      </c>
      <c r="J17489" s="689">
        <v>32.5</v>
      </c>
      <c r="K17489" s="689">
        <v>32.299999999999997</v>
      </c>
    </row>
    <row r="17490" spans="1:11">
      <c r="A17490" s="688" t="s">
        <v>3</v>
      </c>
      <c r="B17490" s="691">
        <v>32.4</v>
      </c>
      <c r="C17490" s="691">
        <v>32.6</v>
      </c>
      <c r="D17490" s="691">
        <v>32.299999999999997</v>
      </c>
      <c r="E17490" s="691">
        <v>32.6</v>
      </c>
      <c r="F17490" s="691">
        <v>32.6</v>
      </c>
      <c r="G17490" s="691">
        <v>32.5</v>
      </c>
      <c r="H17490" s="691">
        <v>32.799999999999997</v>
      </c>
      <c r="I17490" s="691">
        <v>32.700000000000003</v>
      </c>
      <c r="J17490" s="691">
        <v>32.4</v>
      </c>
      <c r="K17490" s="691">
        <v>32.200000000000003</v>
      </c>
    </row>
    <row r="17491" spans="1:11">
      <c r="A17491" s="688" t="s">
        <v>4061</v>
      </c>
      <c r="B17491" s="689">
        <v>32.4</v>
      </c>
      <c r="C17491" s="689">
        <v>32.6</v>
      </c>
      <c r="D17491" s="689">
        <v>32.299999999999997</v>
      </c>
      <c r="E17491" s="689">
        <v>32.6</v>
      </c>
      <c r="F17491" s="689">
        <v>32.6</v>
      </c>
      <c r="G17491" s="689">
        <v>32.5</v>
      </c>
      <c r="H17491" s="689">
        <v>32.799999999999997</v>
      </c>
      <c r="I17491" s="689">
        <v>32.700000000000003</v>
      </c>
      <c r="J17491" s="689">
        <v>32.4</v>
      </c>
      <c r="K17491" s="689">
        <v>32.200000000000003</v>
      </c>
    </row>
    <row r="17492" spans="1:11">
      <c r="A17492" s="688" t="s">
        <v>4</v>
      </c>
      <c r="B17492" s="691">
        <v>31.4</v>
      </c>
      <c r="C17492" s="691">
        <v>31.3</v>
      </c>
      <c r="D17492" s="691">
        <v>31.5</v>
      </c>
      <c r="E17492" s="691">
        <v>31.8</v>
      </c>
      <c r="F17492" s="691">
        <v>31.8</v>
      </c>
      <c r="G17492" s="691">
        <v>31.9</v>
      </c>
      <c r="H17492" s="691">
        <v>32.299999999999997</v>
      </c>
      <c r="I17492" s="691">
        <v>32.1</v>
      </c>
      <c r="J17492" s="615">
        <v>31</v>
      </c>
      <c r="K17492" s="691">
        <v>31.8</v>
      </c>
    </row>
    <row r="17493" spans="1:11">
      <c r="A17493" s="688" t="s">
        <v>8</v>
      </c>
      <c r="B17493" s="689">
        <v>32.4</v>
      </c>
      <c r="C17493" s="689">
        <v>32.5</v>
      </c>
      <c r="D17493" s="689">
        <v>32.5</v>
      </c>
      <c r="E17493" s="689">
        <v>32.6</v>
      </c>
      <c r="F17493" s="693">
        <v>33</v>
      </c>
      <c r="G17493" s="689">
        <v>33.1</v>
      </c>
      <c r="H17493" s="689">
        <v>33.5</v>
      </c>
      <c r="I17493" s="689">
        <v>33.299999999999997</v>
      </c>
      <c r="J17493" s="689">
        <v>33.200000000000003</v>
      </c>
      <c r="K17493" s="689">
        <v>33.200000000000003</v>
      </c>
    </row>
    <row r="17494" spans="1:11">
      <c r="A17494" s="688" t="s">
        <v>7</v>
      </c>
      <c r="B17494" s="691">
        <v>33.299999999999997</v>
      </c>
      <c r="C17494" s="691">
        <v>33.1</v>
      </c>
      <c r="D17494" s="691">
        <v>32.9</v>
      </c>
      <c r="E17494" s="691">
        <v>33.1</v>
      </c>
      <c r="F17494" s="615">
        <v>33</v>
      </c>
      <c r="G17494" s="691">
        <v>33.5</v>
      </c>
      <c r="H17494" s="691">
        <v>33.299999999999997</v>
      </c>
      <c r="I17494" s="615">
        <v>33</v>
      </c>
      <c r="J17494" s="691">
        <v>32.200000000000003</v>
      </c>
      <c r="K17494" s="691">
        <v>32.6</v>
      </c>
    </row>
    <row r="17495" spans="1:11">
      <c r="A17495" s="688" t="s">
        <v>27</v>
      </c>
      <c r="B17495" s="689">
        <v>35.200000000000003</v>
      </c>
      <c r="C17495" s="689">
        <v>34.799999999999997</v>
      </c>
      <c r="D17495" s="689">
        <v>34.5</v>
      </c>
      <c r="E17495" s="689">
        <v>34.9</v>
      </c>
      <c r="F17495" s="689">
        <v>34.799999999999997</v>
      </c>
      <c r="G17495" s="689">
        <v>34.9</v>
      </c>
      <c r="H17495" s="689">
        <v>35.200000000000003</v>
      </c>
      <c r="I17495" s="693">
        <v>34</v>
      </c>
      <c r="J17495" s="689">
        <v>34.9</v>
      </c>
      <c r="K17495" s="689">
        <v>34.799999999999997</v>
      </c>
    </row>
    <row r="17496" spans="1:11">
      <c r="A17496" s="688" t="s">
        <v>6</v>
      </c>
      <c r="B17496" s="691">
        <v>35.200000000000003</v>
      </c>
      <c r="C17496" s="691">
        <v>34.9</v>
      </c>
      <c r="D17496" s="691">
        <v>34.6</v>
      </c>
      <c r="E17496" s="691">
        <v>34.799999999999997</v>
      </c>
      <c r="F17496" s="691">
        <v>34.799999999999997</v>
      </c>
      <c r="G17496" s="691">
        <v>34.9</v>
      </c>
      <c r="H17496" s="615">
        <v>35</v>
      </c>
      <c r="I17496" s="691">
        <v>34.5</v>
      </c>
      <c r="J17496" s="691">
        <v>34.6</v>
      </c>
      <c r="K17496" s="691">
        <v>34.6</v>
      </c>
    </row>
    <row r="17497" spans="1:11">
      <c r="A17497" s="688" t="s">
        <v>4058</v>
      </c>
      <c r="B17497" s="690" t="s">
        <v>4060</v>
      </c>
      <c r="C17497" s="690" t="s">
        <v>4060</v>
      </c>
      <c r="D17497" s="690" t="s">
        <v>4060</v>
      </c>
      <c r="E17497" s="690" t="s">
        <v>4060</v>
      </c>
      <c r="F17497" s="690" t="s">
        <v>4060</v>
      </c>
      <c r="G17497" s="690" t="s">
        <v>4060</v>
      </c>
      <c r="H17497" s="690" t="s">
        <v>4060</v>
      </c>
      <c r="I17497" s="690" t="s">
        <v>4060</v>
      </c>
      <c r="J17497" s="690" t="s">
        <v>4060</v>
      </c>
      <c r="K17497" s="690" t="s">
        <v>4060</v>
      </c>
    </row>
    <row r="17498" spans="1:11">
      <c r="A17498" s="688" t="s">
        <v>11</v>
      </c>
      <c r="B17498" s="691">
        <v>30.5</v>
      </c>
      <c r="C17498" s="691">
        <v>30.3</v>
      </c>
      <c r="D17498" s="691">
        <v>29.9</v>
      </c>
      <c r="E17498" s="691">
        <v>30.5</v>
      </c>
      <c r="F17498" s="691">
        <v>30.2</v>
      </c>
      <c r="G17498" s="691">
        <v>30.5</v>
      </c>
      <c r="H17498" s="691">
        <v>30.7</v>
      </c>
      <c r="I17498" s="691">
        <v>30.1</v>
      </c>
      <c r="J17498" s="691">
        <v>29.3</v>
      </c>
      <c r="K17498" s="691">
        <v>30.1</v>
      </c>
    </row>
    <row r="17499" spans="1:11">
      <c r="A17499" s="688" t="s">
        <v>10</v>
      </c>
      <c r="B17499" s="689">
        <v>34.4</v>
      </c>
      <c r="C17499" s="689">
        <v>34.1</v>
      </c>
      <c r="D17499" s="689">
        <v>33.700000000000003</v>
      </c>
      <c r="E17499" s="689">
        <v>34.299999999999997</v>
      </c>
      <c r="F17499" s="693">
        <v>34</v>
      </c>
      <c r="G17499" s="689">
        <v>34.299999999999997</v>
      </c>
      <c r="H17499" s="689">
        <v>34.5</v>
      </c>
      <c r="I17499" s="689">
        <v>33.5</v>
      </c>
      <c r="J17499" s="689">
        <v>33.799999999999997</v>
      </c>
      <c r="K17499" s="689">
        <v>33.799999999999997</v>
      </c>
    </row>
    <row r="17500" spans="1:11">
      <c r="A17500" s="688" t="s">
        <v>30</v>
      </c>
      <c r="B17500" s="691">
        <v>33.700000000000003</v>
      </c>
      <c r="C17500" s="691">
        <v>33.1</v>
      </c>
      <c r="D17500" s="691">
        <v>32.799999999999997</v>
      </c>
      <c r="E17500" s="691">
        <v>33.700000000000003</v>
      </c>
      <c r="F17500" s="691">
        <v>33.299999999999997</v>
      </c>
      <c r="G17500" s="691">
        <v>33.700000000000003</v>
      </c>
      <c r="H17500" s="691">
        <v>33.6</v>
      </c>
      <c r="I17500" s="691">
        <v>33.6</v>
      </c>
      <c r="J17500" s="691">
        <v>32.9</v>
      </c>
      <c r="K17500" s="691">
        <v>33.1</v>
      </c>
    </row>
    <row r="17501" spans="1:11">
      <c r="A17501" s="688" t="s">
        <v>12</v>
      </c>
      <c r="B17501" s="689">
        <v>29.4</v>
      </c>
      <c r="C17501" s="689">
        <v>29.6</v>
      </c>
      <c r="D17501" s="689">
        <v>29.6</v>
      </c>
      <c r="E17501" s="689">
        <v>29.7</v>
      </c>
      <c r="F17501" s="689">
        <v>29.8</v>
      </c>
      <c r="G17501" s="689">
        <v>29.8</v>
      </c>
      <c r="H17501" s="689">
        <v>30.2</v>
      </c>
      <c r="I17501" s="693">
        <v>30</v>
      </c>
      <c r="J17501" s="689">
        <v>28.2</v>
      </c>
      <c r="K17501" s="689">
        <v>29.6</v>
      </c>
    </row>
    <row r="17502" spans="1:11">
      <c r="A17502" s="688" t="s">
        <v>14</v>
      </c>
      <c r="B17502" s="615">
        <v>30</v>
      </c>
      <c r="C17502" s="691">
        <v>30.1</v>
      </c>
      <c r="D17502" s="691">
        <v>29.9</v>
      </c>
      <c r="E17502" s="615">
        <v>30</v>
      </c>
      <c r="F17502" s="691">
        <v>30.4</v>
      </c>
      <c r="G17502" s="691">
        <v>30.5</v>
      </c>
      <c r="H17502" s="691">
        <v>30.8</v>
      </c>
      <c r="I17502" s="615">
        <v>30</v>
      </c>
      <c r="J17502" s="615">
        <v>29</v>
      </c>
      <c r="K17502" s="691">
        <v>30.2</v>
      </c>
    </row>
    <row r="17503" spans="1:11">
      <c r="A17503" s="688" t="s">
        <v>15</v>
      </c>
      <c r="B17503" s="689">
        <v>33.5</v>
      </c>
      <c r="C17503" s="689">
        <v>33.700000000000003</v>
      </c>
      <c r="D17503" s="689">
        <v>33.1</v>
      </c>
      <c r="E17503" s="689">
        <v>33.9</v>
      </c>
      <c r="F17503" s="689">
        <v>33.1</v>
      </c>
      <c r="G17503" s="689">
        <v>33.5</v>
      </c>
      <c r="H17503" s="689">
        <v>33.700000000000003</v>
      </c>
      <c r="I17503" s="689">
        <v>33.6</v>
      </c>
      <c r="J17503" s="689">
        <v>33.9</v>
      </c>
      <c r="K17503" s="689">
        <v>33.9</v>
      </c>
    </row>
    <row r="17504" spans="1:11">
      <c r="A17504" s="688" t="s">
        <v>29</v>
      </c>
      <c r="B17504" s="615">
        <v>29</v>
      </c>
      <c r="C17504" s="691">
        <v>28.9</v>
      </c>
      <c r="D17504" s="691">
        <v>28.6</v>
      </c>
      <c r="E17504" s="691">
        <v>29.1</v>
      </c>
      <c r="F17504" s="691">
        <v>28.8</v>
      </c>
      <c r="G17504" s="615">
        <v>29</v>
      </c>
      <c r="H17504" s="691">
        <v>29.1</v>
      </c>
      <c r="I17504" s="691">
        <v>28.4</v>
      </c>
      <c r="J17504" s="691">
        <v>27.4</v>
      </c>
      <c r="K17504" s="691">
        <v>28.8</v>
      </c>
    </row>
    <row r="17505" spans="1:11">
      <c r="A17505" s="688" t="s">
        <v>16</v>
      </c>
      <c r="B17505" s="689">
        <v>33.299999999999997</v>
      </c>
      <c r="C17505" s="689">
        <v>33.1</v>
      </c>
      <c r="D17505" s="693">
        <v>33</v>
      </c>
      <c r="E17505" s="689">
        <v>33.4</v>
      </c>
      <c r="F17505" s="689">
        <v>33.4</v>
      </c>
      <c r="G17505" s="689">
        <v>33.4</v>
      </c>
      <c r="H17505" s="689">
        <v>33.799999999999997</v>
      </c>
      <c r="I17505" s="689">
        <v>33.299999999999997</v>
      </c>
      <c r="J17505" s="693">
        <v>33</v>
      </c>
      <c r="K17505" s="689">
        <v>33.299999999999997</v>
      </c>
    </row>
    <row r="17506" spans="1:11">
      <c r="A17506" s="688" t="s">
        <v>17</v>
      </c>
      <c r="B17506" s="691">
        <v>32.6</v>
      </c>
      <c r="C17506" s="691">
        <v>32.6</v>
      </c>
      <c r="D17506" s="691">
        <v>32.4</v>
      </c>
      <c r="E17506" s="691">
        <v>32.5</v>
      </c>
      <c r="F17506" s="691">
        <v>32.6</v>
      </c>
      <c r="G17506" s="691">
        <v>32.5</v>
      </c>
      <c r="H17506" s="691">
        <v>32.799999999999997</v>
      </c>
      <c r="I17506" s="691">
        <v>32.4</v>
      </c>
      <c r="J17506" s="691">
        <v>32.299999999999997</v>
      </c>
      <c r="K17506" s="691">
        <v>32.4</v>
      </c>
    </row>
    <row r="17507" spans="1:11">
      <c r="A17507" s="688" t="s">
        <v>19</v>
      </c>
      <c r="B17507" s="689">
        <v>33.1</v>
      </c>
      <c r="C17507" s="689">
        <v>33.1</v>
      </c>
      <c r="D17507" s="689">
        <v>32.799999999999997</v>
      </c>
      <c r="E17507" s="689">
        <v>33.200000000000003</v>
      </c>
      <c r="F17507" s="689">
        <v>33.1</v>
      </c>
      <c r="G17507" s="689">
        <v>33.200000000000003</v>
      </c>
      <c r="H17507" s="689">
        <v>33.4</v>
      </c>
      <c r="I17507" s="689">
        <v>32.9</v>
      </c>
      <c r="J17507" s="689">
        <v>32.9</v>
      </c>
      <c r="K17507" s="693">
        <v>33</v>
      </c>
    </row>
    <row r="17508" spans="1:11">
      <c r="A17508" s="688" t="s">
        <v>20</v>
      </c>
      <c r="B17508" s="691">
        <v>30.9</v>
      </c>
      <c r="C17508" s="615">
        <v>31</v>
      </c>
      <c r="D17508" s="691">
        <v>30.9</v>
      </c>
      <c r="E17508" s="691">
        <v>31.3</v>
      </c>
      <c r="F17508" s="691">
        <v>31.1</v>
      </c>
      <c r="G17508" s="615">
        <v>31</v>
      </c>
      <c r="H17508" s="691">
        <v>31.3</v>
      </c>
      <c r="I17508" s="691">
        <v>30.1</v>
      </c>
      <c r="J17508" s="691">
        <v>29.2</v>
      </c>
      <c r="K17508" s="691">
        <v>30.6</v>
      </c>
    </row>
    <row r="17509" spans="1:11">
      <c r="A17509" s="688" t="s">
        <v>21</v>
      </c>
      <c r="B17509" s="689">
        <v>33.4</v>
      </c>
      <c r="C17509" s="689">
        <v>33.6</v>
      </c>
      <c r="D17509" s="689">
        <v>33.5</v>
      </c>
      <c r="E17509" s="689">
        <v>33.6</v>
      </c>
      <c r="F17509" s="689">
        <v>33.9</v>
      </c>
      <c r="G17509" s="689">
        <v>33.9</v>
      </c>
      <c r="H17509" s="689">
        <v>34.1</v>
      </c>
      <c r="I17509" s="689">
        <v>33.5</v>
      </c>
      <c r="J17509" s="689">
        <v>33.6</v>
      </c>
      <c r="K17509" s="689">
        <v>33.700000000000003</v>
      </c>
    </row>
    <row r="17510" spans="1:11">
      <c r="A17510" s="688" t="s">
        <v>22</v>
      </c>
      <c r="B17510" s="615">
        <v>29</v>
      </c>
      <c r="C17510" s="691">
        <v>28.8</v>
      </c>
      <c r="D17510" s="691">
        <v>28.8</v>
      </c>
      <c r="E17510" s="691">
        <v>29.1</v>
      </c>
      <c r="F17510" s="691">
        <v>29.1</v>
      </c>
      <c r="G17510" s="691">
        <v>29.2</v>
      </c>
      <c r="H17510" s="691">
        <v>29.5</v>
      </c>
      <c r="I17510" s="691">
        <v>28.3</v>
      </c>
      <c r="J17510" s="691">
        <v>26.9</v>
      </c>
      <c r="K17510" s="691">
        <v>29.1</v>
      </c>
    </row>
    <row r="17511" spans="1:11">
      <c r="A17511" s="688" t="s">
        <v>26</v>
      </c>
      <c r="B17511" s="689">
        <v>32.9</v>
      </c>
      <c r="C17511" s="689">
        <v>32.799999999999997</v>
      </c>
      <c r="D17511" s="689">
        <v>32.700000000000003</v>
      </c>
      <c r="E17511" s="693">
        <v>33</v>
      </c>
      <c r="F17511" s="689">
        <v>32.799999999999997</v>
      </c>
      <c r="G17511" s="693">
        <v>33</v>
      </c>
      <c r="H17511" s="689">
        <v>33.200000000000003</v>
      </c>
      <c r="I17511" s="689">
        <v>32.4</v>
      </c>
      <c r="J17511" s="689">
        <v>32.700000000000003</v>
      </c>
      <c r="K17511" s="693">
        <v>33</v>
      </c>
    </row>
    <row r="17512" spans="1:11">
      <c r="A17512" s="688" t="s">
        <v>25</v>
      </c>
      <c r="B17512" s="615">
        <v>30</v>
      </c>
      <c r="C17512" s="691">
        <v>30.2</v>
      </c>
      <c r="D17512" s="691">
        <v>29.8</v>
      </c>
      <c r="E17512" s="691">
        <v>30.3</v>
      </c>
      <c r="F17512" s="691">
        <v>30.3</v>
      </c>
      <c r="G17512" s="691">
        <v>30.4</v>
      </c>
      <c r="H17512" s="691">
        <v>30.8</v>
      </c>
      <c r="I17512" s="691">
        <v>30.1</v>
      </c>
      <c r="J17512" s="615">
        <v>28</v>
      </c>
      <c r="K17512" s="691">
        <v>30.1</v>
      </c>
    </row>
    <row r="17513" spans="1:11">
      <c r="A17513" s="688" t="s">
        <v>5</v>
      </c>
      <c r="B17513" s="689">
        <v>33.4</v>
      </c>
      <c r="C17513" s="689">
        <v>33.1</v>
      </c>
      <c r="D17513" s="689">
        <v>33.299999999999997</v>
      </c>
      <c r="E17513" s="689">
        <v>33.299999999999997</v>
      </c>
      <c r="F17513" s="689">
        <v>33.5</v>
      </c>
      <c r="G17513" s="689">
        <v>33.5</v>
      </c>
      <c r="H17513" s="689">
        <v>33.799999999999997</v>
      </c>
      <c r="I17513" s="689">
        <v>33.799999999999997</v>
      </c>
      <c r="J17513" s="689">
        <v>33.700000000000003</v>
      </c>
      <c r="K17513" s="689">
        <v>33.1</v>
      </c>
    </row>
    <row r="17514" spans="1:11">
      <c r="A17514" s="688" t="s">
        <v>23</v>
      </c>
      <c r="B17514" s="615">
        <v>33</v>
      </c>
      <c r="C17514" s="691">
        <v>33.200000000000003</v>
      </c>
      <c r="D17514" s="691">
        <v>33.1</v>
      </c>
      <c r="E17514" s="691">
        <v>33.200000000000003</v>
      </c>
      <c r="F17514" s="691">
        <v>33.200000000000003</v>
      </c>
      <c r="G17514" s="691">
        <v>33.4</v>
      </c>
      <c r="H17514" s="691">
        <v>33.799999999999997</v>
      </c>
      <c r="I17514" s="691">
        <v>33.4</v>
      </c>
      <c r="J17514" s="691">
        <v>33.9</v>
      </c>
      <c r="K17514" s="691">
        <v>33.799999999999997</v>
      </c>
    </row>
    <row r="17515" spans="1:11">
      <c r="A17515" s="688" t="s">
        <v>4067</v>
      </c>
      <c r="B17515" s="689">
        <v>32.799999999999997</v>
      </c>
      <c r="C17515" s="689">
        <v>33.1</v>
      </c>
      <c r="D17515" s="689">
        <v>32.700000000000003</v>
      </c>
      <c r="E17515" s="689">
        <v>33.1</v>
      </c>
      <c r="F17515" s="689">
        <v>32.9</v>
      </c>
      <c r="G17515" s="693">
        <v>33</v>
      </c>
      <c r="H17515" s="690" t="s">
        <v>4060</v>
      </c>
      <c r="I17515" s="690" t="s">
        <v>4060</v>
      </c>
      <c r="J17515" s="690" t="s">
        <v>4060</v>
      </c>
      <c r="K17515" s="690" t="s">
        <v>4060</v>
      </c>
    </row>
    <row r="17516" spans="1:11">
      <c r="A17516" s="688" t="s">
        <v>4066</v>
      </c>
      <c r="B17516" s="691">
        <v>32.799999999999997</v>
      </c>
      <c r="C17516" s="691">
        <v>33.1</v>
      </c>
      <c r="D17516" s="691">
        <v>32.700000000000003</v>
      </c>
      <c r="E17516" s="691">
        <v>33.1</v>
      </c>
      <c r="F17516" s="615">
        <v>33</v>
      </c>
      <c r="G17516" s="691">
        <v>33.1</v>
      </c>
      <c r="H17516" s="692" t="s">
        <v>4060</v>
      </c>
      <c r="I17516" s="692" t="s">
        <v>4060</v>
      </c>
      <c r="J17516" s="692" t="s">
        <v>4060</v>
      </c>
      <c r="K17516" s="692" t="s">
        <v>4060</v>
      </c>
    </row>
    <row r="17517" spans="1:11">
      <c r="A17517" s="688" t="s">
        <v>4062</v>
      </c>
      <c r="B17517" s="689">
        <v>33.700000000000003</v>
      </c>
      <c r="C17517" s="689">
        <v>33.9</v>
      </c>
      <c r="D17517" s="689">
        <v>33.700000000000003</v>
      </c>
      <c r="E17517" s="693">
        <v>34</v>
      </c>
      <c r="F17517" s="693">
        <v>34</v>
      </c>
      <c r="G17517" s="689">
        <v>34.200000000000003</v>
      </c>
      <c r="H17517" s="689">
        <v>34.299999999999997</v>
      </c>
      <c r="I17517" s="689">
        <v>34.1</v>
      </c>
      <c r="J17517" s="689">
        <v>34.299999999999997</v>
      </c>
      <c r="K17517" s="693">
        <v>34</v>
      </c>
    </row>
    <row r="17518" spans="1:11">
      <c r="A17518" s="688" t="s">
        <v>9</v>
      </c>
      <c r="B17518" s="691">
        <v>32.9</v>
      </c>
      <c r="C17518" s="691">
        <v>33.4</v>
      </c>
      <c r="D17518" s="691">
        <v>32.799999999999997</v>
      </c>
      <c r="E17518" s="691">
        <v>32.700000000000003</v>
      </c>
      <c r="F17518" s="691">
        <v>33.200000000000003</v>
      </c>
      <c r="G17518" s="691">
        <v>33.299999999999997</v>
      </c>
      <c r="H17518" s="691">
        <v>33.6</v>
      </c>
      <c r="I17518" s="691">
        <v>33.6</v>
      </c>
      <c r="J17518" s="691">
        <v>33.6</v>
      </c>
      <c r="K17518" s="691">
        <v>32.799999999999997</v>
      </c>
    </row>
    <row r="17519" spans="1:11">
      <c r="A17519" s="688" t="s">
        <v>13</v>
      </c>
      <c r="B17519" s="689">
        <v>33.9</v>
      </c>
      <c r="C17519" s="689">
        <v>32.299999999999997</v>
      </c>
      <c r="D17519" s="689">
        <v>33.200000000000003</v>
      </c>
      <c r="E17519" s="689">
        <v>33.5</v>
      </c>
      <c r="F17519" s="689">
        <v>34.1</v>
      </c>
      <c r="G17519" s="689">
        <v>34.299999999999997</v>
      </c>
      <c r="H17519" s="689">
        <v>33.9</v>
      </c>
      <c r="I17519" s="689">
        <v>33.299999999999997</v>
      </c>
      <c r="J17519" s="689">
        <v>34.5</v>
      </c>
      <c r="K17519" s="689">
        <v>34.1</v>
      </c>
    </row>
    <row r="17520" spans="1:11">
      <c r="A17520" s="688" t="s">
        <v>18</v>
      </c>
      <c r="B17520" s="615">
        <v>33</v>
      </c>
      <c r="C17520" s="691">
        <v>33.200000000000003</v>
      </c>
      <c r="D17520" s="691">
        <v>33.299999999999997</v>
      </c>
      <c r="E17520" s="691">
        <v>33.299999999999997</v>
      </c>
      <c r="F17520" s="691">
        <v>33.4</v>
      </c>
      <c r="G17520" s="691">
        <v>33.6</v>
      </c>
      <c r="H17520" s="691">
        <v>33.700000000000003</v>
      </c>
      <c r="I17520" s="691">
        <v>33.9</v>
      </c>
      <c r="J17520" s="691">
        <v>33.799999999999997</v>
      </c>
      <c r="K17520" s="691">
        <v>33.4</v>
      </c>
    </row>
    <row r="17521" spans="1:11">
      <c r="A17521" s="688" t="s">
        <v>24</v>
      </c>
      <c r="B17521" s="689">
        <v>34.200000000000003</v>
      </c>
      <c r="C17521" s="689">
        <v>34.200000000000003</v>
      </c>
      <c r="D17521" s="693">
        <v>34</v>
      </c>
      <c r="E17521" s="689">
        <v>34.4</v>
      </c>
      <c r="F17521" s="689">
        <v>34.4</v>
      </c>
      <c r="G17521" s="689">
        <v>34.5</v>
      </c>
      <c r="H17521" s="689">
        <v>34.6</v>
      </c>
      <c r="I17521" s="689">
        <v>34.200000000000003</v>
      </c>
      <c r="J17521" s="689">
        <v>34.6</v>
      </c>
      <c r="K17521" s="689">
        <v>34.5</v>
      </c>
    </row>
    <row r="17522" spans="1:11">
      <c r="A17522" s="688" t="s">
        <v>4059</v>
      </c>
      <c r="B17522" s="691">
        <v>32.4</v>
      </c>
      <c r="C17522" s="691">
        <v>32.700000000000003</v>
      </c>
      <c r="D17522" s="691">
        <v>32.299999999999997</v>
      </c>
      <c r="E17522" s="691">
        <v>32.6</v>
      </c>
      <c r="F17522" s="691">
        <v>32.6</v>
      </c>
      <c r="G17522" s="691">
        <v>32.6</v>
      </c>
      <c r="H17522" s="692" t="s">
        <v>4060</v>
      </c>
      <c r="I17522" s="692" t="s">
        <v>4060</v>
      </c>
      <c r="J17522" s="692" t="s">
        <v>4060</v>
      </c>
      <c r="K17522" s="692" t="s">
        <v>4060</v>
      </c>
    </row>
    <row r="17523" spans="1:11">
      <c r="A17523" s="688" t="s">
        <v>2324</v>
      </c>
      <c r="B17523" s="689">
        <v>28.7</v>
      </c>
      <c r="C17523" s="689">
        <v>28.8</v>
      </c>
      <c r="D17523" s="689">
        <v>28.2</v>
      </c>
      <c r="E17523" s="689">
        <v>28.5</v>
      </c>
      <c r="F17523" s="689">
        <v>28.9</v>
      </c>
      <c r="G17523" s="689">
        <v>28.8</v>
      </c>
      <c r="H17523" s="693">
        <v>29</v>
      </c>
      <c r="I17523" s="689">
        <v>28.4</v>
      </c>
      <c r="J17523" s="689">
        <v>26.5</v>
      </c>
      <c r="K17523" s="690" t="s">
        <v>4060</v>
      </c>
    </row>
    <row r="17524" spans="1:11">
      <c r="A17524" s="688" t="s">
        <v>2322</v>
      </c>
      <c r="B17524" s="692" t="s">
        <v>4060</v>
      </c>
      <c r="C17524" s="692" t="s">
        <v>4060</v>
      </c>
      <c r="D17524" s="692" t="s">
        <v>4060</v>
      </c>
      <c r="E17524" s="692" t="s">
        <v>4060</v>
      </c>
      <c r="F17524" s="692" t="s">
        <v>4060</v>
      </c>
      <c r="G17524" s="692" t="s">
        <v>4060</v>
      </c>
      <c r="H17524" s="692" t="s">
        <v>4060</v>
      </c>
      <c r="I17524" s="692" t="s">
        <v>4060</v>
      </c>
      <c r="J17524" s="692" t="s">
        <v>4060</v>
      </c>
      <c r="K17524" s="692" t="s">
        <v>4060</v>
      </c>
    </row>
    <row r="17525" spans="1:11">
      <c r="A17525" s="688" t="s">
        <v>2328</v>
      </c>
      <c r="B17525" s="689">
        <v>27.7</v>
      </c>
      <c r="C17525" s="689">
        <v>27.5</v>
      </c>
      <c r="D17525" s="689">
        <v>27.3</v>
      </c>
      <c r="E17525" s="689">
        <v>27.7</v>
      </c>
      <c r="F17525" s="689">
        <v>27.8</v>
      </c>
      <c r="G17525" s="689">
        <v>28.3</v>
      </c>
      <c r="H17525" s="689">
        <v>28.1</v>
      </c>
      <c r="I17525" s="689">
        <v>26.6</v>
      </c>
      <c r="J17525" s="689">
        <v>25.5</v>
      </c>
      <c r="K17525" s="690" t="s">
        <v>4060</v>
      </c>
    </row>
    <row r="17526" spans="1:11">
      <c r="A17526" s="688" t="s">
        <v>2496</v>
      </c>
      <c r="B17526" s="692" t="s">
        <v>4060</v>
      </c>
      <c r="C17526" s="691">
        <v>28.7</v>
      </c>
      <c r="D17526" s="691">
        <v>27.8</v>
      </c>
      <c r="E17526" s="691">
        <v>27.6</v>
      </c>
      <c r="F17526" s="691">
        <v>28.2</v>
      </c>
      <c r="G17526" s="691">
        <v>28.4</v>
      </c>
      <c r="H17526" s="691">
        <v>28.4</v>
      </c>
      <c r="I17526" s="692" t="s">
        <v>4060</v>
      </c>
      <c r="J17526" s="692" t="s">
        <v>4060</v>
      </c>
      <c r="K17526" s="691">
        <v>28.2</v>
      </c>
    </row>
    <row r="17527" spans="1:11">
      <c r="A17527" s="688" t="s">
        <v>2269</v>
      </c>
      <c r="B17527" s="689">
        <v>30.2</v>
      </c>
      <c r="C17527" s="689">
        <v>30.4</v>
      </c>
      <c r="D17527" s="689">
        <v>29.7</v>
      </c>
      <c r="E17527" s="689">
        <v>30.1</v>
      </c>
      <c r="F17527" s="689">
        <v>29.9</v>
      </c>
      <c r="G17527" s="689">
        <v>30.4</v>
      </c>
      <c r="H17527" s="689">
        <v>30.6</v>
      </c>
      <c r="I17527" s="689">
        <v>29.4</v>
      </c>
      <c r="J17527" s="689">
        <v>27.5</v>
      </c>
      <c r="K17527" s="689">
        <v>30.3</v>
      </c>
    </row>
    <row r="17528" spans="1:11">
      <c r="A17528" s="688" t="s">
        <v>2349</v>
      </c>
      <c r="B17528" s="691">
        <v>27.8</v>
      </c>
      <c r="C17528" s="691">
        <v>27.9</v>
      </c>
      <c r="D17528" s="691">
        <v>27.8</v>
      </c>
      <c r="E17528" s="691">
        <v>28.1</v>
      </c>
      <c r="F17528" s="691">
        <v>27.9</v>
      </c>
      <c r="G17528" s="691">
        <v>28.2</v>
      </c>
      <c r="H17528" s="691">
        <v>28.3</v>
      </c>
      <c r="I17528" s="691">
        <v>27.2</v>
      </c>
      <c r="J17528" s="691">
        <v>25.6</v>
      </c>
      <c r="K17528" s="691">
        <v>27.5</v>
      </c>
    </row>
    <row r="17529" spans="1:11">
      <c r="A17529" s="688" t="s">
        <v>2355</v>
      </c>
      <c r="B17529" s="689">
        <v>31.4</v>
      </c>
      <c r="C17529" s="689">
        <v>31.1</v>
      </c>
      <c r="D17529" s="689">
        <v>31.1</v>
      </c>
      <c r="E17529" s="689">
        <v>31.1</v>
      </c>
      <c r="F17529" s="689">
        <v>31.3</v>
      </c>
      <c r="G17529" s="689">
        <v>31.6</v>
      </c>
      <c r="H17529" s="689">
        <v>31.7</v>
      </c>
      <c r="I17529" s="690" t="s">
        <v>4060</v>
      </c>
      <c r="J17529" s="690" t="s">
        <v>4060</v>
      </c>
      <c r="K17529" s="690" t="s">
        <v>4060</v>
      </c>
    </row>
    <row r="17530" spans="1:11">
      <c r="A17530" s="688" t="s">
        <v>2357</v>
      </c>
      <c r="B17530" s="692" t="s">
        <v>4060</v>
      </c>
      <c r="C17530" s="691">
        <v>27.8</v>
      </c>
      <c r="D17530" s="691">
        <v>28.2</v>
      </c>
      <c r="E17530" s="691">
        <v>28.5</v>
      </c>
      <c r="F17530" s="691">
        <v>28.7</v>
      </c>
      <c r="G17530" s="691">
        <v>28.8</v>
      </c>
      <c r="H17530" s="691">
        <v>28.9</v>
      </c>
      <c r="I17530" s="692" t="s">
        <v>4060</v>
      </c>
      <c r="J17530" s="692" t="s">
        <v>4060</v>
      </c>
      <c r="K17530" s="692" t="s">
        <v>4060</v>
      </c>
    </row>
    <row r="17531" spans="1:11">
      <c r="A17531" s="688" t="s">
        <v>4070</v>
      </c>
      <c r="B17531" s="690" t="s">
        <v>4060</v>
      </c>
      <c r="C17531" s="690" t="s">
        <v>4060</v>
      </c>
      <c r="D17531" s="690" t="s">
        <v>4060</v>
      </c>
      <c r="E17531" s="689">
        <v>31.1</v>
      </c>
      <c r="F17531" s="690" t="s">
        <v>4060</v>
      </c>
      <c r="G17531" s="690" t="s">
        <v>4060</v>
      </c>
      <c r="H17531" s="690" t="s">
        <v>4060</v>
      </c>
      <c r="I17531" s="690" t="s">
        <v>4060</v>
      </c>
      <c r="J17531" s="690" t="s">
        <v>4060</v>
      </c>
      <c r="K17531" s="690" t="s">
        <v>4060</v>
      </c>
    </row>
    <row r="17532" spans="1:11">
      <c r="A17532" s="688" t="s">
        <v>2491</v>
      </c>
      <c r="B17532" s="691">
        <v>28.4</v>
      </c>
      <c r="C17532" s="691">
        <v>28.8</v>
      </c>
      <c r="D17532" s="691">
        <v>29.1</v>
      </c>
      <c r="E17532" s="691">
        <v>29.3</v>
      </c>
      <c r="F17532" s="691">
        <v>29.3</v>
      </c>
      <c r="G17532" s="691">
        <v>29.4</v>
      </c>
      <c r="H17532" s="692" t="s">
        <v>4060</v>
      </c>
      <c r="I17532" s="692" t="s">
        <v>4060</v>
      </c>
      <c r="J17532" s="692" t="s">
        <v>4060</v>
      </c>
      <c r="K17532" s="692" t="s">
        <v>4060</v>
      </c>
    </row>
    <row r="17533" spans="1:11">
      <c r="A17533" s="688" t="s">
        <v>2343</v>
      </c>
      <c r="B17533" s="690" t="s">
        <v>4060</v>
      </c>
      <c r="C17533" s="690" t="s">
        <v>4060</v>
      </c>
      <c r="D17533" s="690" t="s">
        <v>4060</v>
      </c>
      <c r="E17533" s="690" t="s">
        <v>4060</v>
      </c>
      <c r="F17533" s="690" t="s">
        <v>4060</v>
      </c>
      <c r="G17533" s="690" t="s">
        <v>4060</v>
      </c>
      <c r="H17533" s="690" t="s">
        <v>4060</v>
      </c>
      <c r="I17533" s="690" t="s">
        <v>4060</v>
      </c>
      <c r="J17533" s="690" t="s">
        <v>4060</v>
      </c>
      <c r="K17533" s="690" t="s">
        <v>4060</v>
      </c>
    </row>
    <row r="17534" spans="1:11">
      <c r="A17534" s="688" t="s">
        <v>4071</v>
      </c>
      <c r="B17534" s="692" t="s">
        <v>4060</v>
      </c>
      <c r="C17534" s="692" t="s">
        <v>4060</v>
      </c>
      <c r="D17534" s="692" t="s">
        <v>4060</v>
      </c>
      <c r="E17534" s="692" t="s">
        <v>4060</v>
      </c>
      <c r="F17534" s="692" t="s">
        <v>4060</v>
      </c>
      <c r="G17534" s="692" t="s">
        <v>4060</v>
      </c>
      <c r="H17534" s="692" t="s">
        <v>4060</v>
      </c>
      <c r="I17534" s="692" t="s">
        <v>4060</v>
      </c>
      <c r="J17534" s="692" t="s">
        <v>4060</v>
      </c>
      <c r="K17534" s="692" t="s">
        <v>4060</v>
      </c>
    </row>
    <row r="17535" spans="1:11">
      <c r="A17535" s="688" t="s">
        <v>2489</v>
      </c>
      <c r="B17535" s="690" t="s">
        <v>4060</v>
      </c>
      <c r="C17535" s="690" t="s">
        <v>4060</v>
      </c>
      <c r="D17535" s="689">
        <v>28.4</v>
      </c>
      <c r="E17535" s="689">
        <v>28.4</v>
      </c>
      <c r="F17535" s="689">
        <v>28.7</v>
      </c>
      <c r="G17535" s="689">
        <v>29.4</v>
      </c>
      <c r="H17535" s="689">
        <v>29.4</v>
      </c>
      <c r="I17535" s="690" t="s">
        <v>4060</v>
      </c>
      <c r="J17535" s="690" t="s">
        <v>4060</v>
      </c>
      <c r="K17535" s="690" t="s">
        <v>4060</v>
      </c>
    </row>
    <row r="17536" spans="1:11">
      <c r="A17536" s="688" t="s">
        <v>2490</v>
      </c>
      <c r="B17536" s="691">
        <v>27.6</v>
      </c>
      <c r="C17536" s="691">
        <v>27.6</v>
      </c>
      <c r="D17536" s="691">
        <v>28.1</v>
      </c>
      <c r="E17536" s="692" t="s">
        <v>4060</v>
      </c>
      <c r="F17536" s="691">
        <v>28.3</v>
      </c>
      <c r="G17536" s="691">
        <v>28.6</v>
      </c>
      <c r="H17536" s="691">
        <v>29.3</v>
      </c>
      <c r="I17536" s="692" t="s">
        <v>4060</v>
      </c>
      <c r="J17536" s="692" t="s">
        <v>4060</v>
      </c>
      <c r="K17536" s="692" t="s">
        <v>4060</v>
      </c>
    </row>
    <row r="17538" spans="1:11">
      <c r="A17538" s="683" t="s">
        <v>4233</v>
      </c>
    </row>
    <row r="17539" spans="1:11">
      <c r="A17539" s="683" t="s">
        <v>4060</v>
      </c>
      <c r="B17539" s="682" t="s">
        <v>4234</v>
      </c>
    </row>
    <row r="17541" spans="1:11">
      <c r="A17541" s="682" t="s">
        <v>4332</v>
      </c>
    </row>
    <row r="17542" spans="1:11">
      <c r="A17542" s="682" t="s">
        <v>4210</v>
      </c>
      <c r="B17542" s="683" t="s">
        <v>4211</v>
      </c>
    </row>
    <row r="17543" spans="1:11">
      <c r="A17543" s="682" t="s">
        <v>4212</v>
      </c>
      <c r="B17543" s="682" t="s">
        <v>4213</v>
      </c>
    </row>
    <row r="17545" spans="1:11">
      <c r="A17545" s="683" t="s">
        <v>4214</v>
      </c>
      <c r="C17545" s="682" t="s">
        <v>4215</v>
      </c>
    </row>
    <row r="17546" spans="1:11">
      <c r="A17546" s="683" t="s">
        <v>4216</v>
      </c>
      <c r="C17546" s="682" t="s">
        <v>2967</v>
      </c>
    </row>
    <row r="17547" spans="1:11">
      <c r="A17547" s="683" t="s">
        <v>3893</v>
      </c>
      <c r="C17547" s="682" t="s">
        <v>2169</v>
      </c>
    </row>
    <row r="17548" spans="1:11">
      <c r="A17548" s="683" t="s">
        <v>4218</v>
      </c>
      <c r="C17548" s="682" t="s">
        <v>4288</v>
      </c>
    </row>
    <row r="17550" spans="1:11">
      <c r="A17550" s="684" t="s">
        <v>4220</v>
      </c>
      <c r="B17550" s="685" t="s">
        <v>4221</v>
      </c>
      <c r="C17550" s="685" t="s">
        <v>4222</v>
      </c>
      <c r="D17550" s="685" t="s">
        <v>4223</v>
      </c>
      <c r="E17550" s="685" t="s">
        <v>4224</v>
      </c>
      <c r="F17550" s="685" t="s">
        <v>4225</v>
      </c>
      <c r="G17550" s="685" t="s">
        <v>4226</v>
      </c>
      <c r="H17550" s="685" t="s">
        <v>4227</v>
      </c>
      <c r="I17550" s="685" t="s">
        <v>4228</v>
      </c>
      <c r="J17550" s="685" t="s">
        <v>4229</v>
      </c>
      <c r="K17550" s="685" t="s">
        <v>4230</v>
      </c>
    </row>
    <row r="17551" spans="1:11">
      <c r="A17551" s="686" t="s">
        <v>4231</v>
      </c>
      <c r="B17551" s="687" t="s">
        <v>4232</v>
      </c>
      <c r="C17551" s="687" t="s">
        <v>4232</v>
      </c>
      <c r="D17551" s="687" t="s">
        <v>4232</v>
      </c>
      <c r="E17551" s="687" t="s">
        <v>4232</v>
      </c>
      <c r="F17551" s="687" t="s">
        <v>4232</v>
      </c>
      <c r="G17551" s="687" t="s">
        <v>4232</v>
      </c>
      <c r="H17551" s="687" t="s">
        <v>4232</v>
      </c>
      <c r="I17551" s="687" t="s">
        <v>4232</v>
      </c>
      <c r="J17551" s="687" t="s">
        <v>4232</v>
      </c>
      <c r="K17551" s="687" t="s">
        <v>4232</v>
      </c>
    </row>
    <row r="17552" spans="1:11">
      <c r="A17552" s="688" t="s">
        <v>4064</v>
      </c>
      <c r="B17552" s="691">
        <v>31.9</v>
      </c>
      <c r="C17552" s="691">
        <v>31.8</v>
      </c>
      <c r="D17552" s="691">
        <v>31.8</v>
      </c>
      <c r="E17552" s="691">
        <v>31.9</v>
      </c>
      <c r="F17552" s="691">
        <v>31.8</v>
      </c>
      <c r="G17552" s="615">
        <v>32</v>
      </c>
      <c r="H17552" s="691">
        <v>32.200000000000003</v>
      </c>
      <c r="I17552" s="691">
        <v>31.5</v>
      </c>
      <c r="J17552" s="691">
        <v>31.3</v>
      </c>
      <c r="K17552" s="691">
        <v>31.7</v>
      </c>
    </row>
    <row r="17553" spans="1:11">
      <c r="A17553" s="688" t="s">
        <v>4065</v>
      </c>
      <c r="B17553" s="689">
        <v>31.8</v>
      </c>
      <c r="C17553" s="689">
        <v>32.200000000000003</v>
      </c>
      <c r="D17553" s="689">
        <v>31.7</v>
      </c>
      <c r="E17553" s="689">
        <v>32.1</v>
      </c>
      <c r="F17553" s="693">
        <v>32</v>
      </c>
      <c r="G17553" s="689">
        <v>32.1</v>
      </c>
      <c r="H17553" s="690" t="s">
        <v>4060</v>
      </c>
      <c r="I17553" s="690" t="s">
        <v>4060</v>
      </c>
      <c r="J17553" s="690" t="s">
        <v>4060</v>
      </c>
      <c r="K17553" s="690" t="s">
        <v>4060</v>
      </c>
    </row>
    <row r="17554" spans="1:11">
      <c r="A17554" s="688" t="s">
        <v>4063</v>
      </c>
      <c r="B17554" s="691">
        <v>31.9</v>
      </c>
      <c r="C17554" s="691">
        <v>32.200000000000003</v>
      </c>
      <c r="D17554" s="691">
        <v>31.8</v>
      </c>
      <c r="E17554" s="691">
        <v>32.200000000000003</v>
      </c>
      <c r="F17554" s="615">
        <v>32</v>
      </c>
      <c r="G17554" s="691">
        <v>32.1</v>
      </c>
      <c r="H17554" s="692" t="s">
        <v>4060</v>
      </c>
      <c r="I17554" s="692" t="s">
        <v>4060</v>
      </c>
      <c r="J17554" s="692" t="s">
        <v>4060</v>
      </c>
      <c r="K17554" s="692" t="s">
        <v>4060</v>
      </c>
    </row>
    <row r="17555" spans="1:11">
      <c r="A17555" s="688" t="s">
        <v>4069</v>
      </c>
      <c r="B17555" s="690" t="s">
        <v>4060</v>
      </c>
      <c r="C17555" s="689">
        <v>32.6</v>
      </c>
      <c r="D17555" s="689">
        <v>32.299999999999997</v>
      </c>
      <c r="E17555" s="689">
        <v>32.6</v>
      </c>
      <c r="F17555" s="689">
        <v>32.6</v>
      </c>
      <c r="G17555" s="689">
        <v>32.700000000000003</v>
      </c>
      <c r="H17555" s="689">
        <v>32.9</v>
      </c>
      <c r="I17555" s="689">
        <v>32.299999999999997</v>
      </c>
      <c r="J17555" s="689">
        <v>32.299999999999997</v>
      </c>
      <c r="K17555" s="689">
        <v>32.299999999999997</v>
      </c>
    </row>
    <row r="17556" spans="1:11">
      <c r="A17556" s="688" t="s">
        <v>4068</v>
      </c>
      <c r="B17556" s="691">
        <v>32.700000000000003</v>
      </c>
      <c r="C17556" s="692" t="s">
        <v>4060</v>
      </c>
      <c r="D17556" s="692" t="s">
        <v>4060</v>
      </c>
      <c r="E17556" s="692" t="s">
        <v>4060</v>
      </c>
      <c r="F17556" s="692" t="s">
        <v>4060</v>
      </c>
      <c r="G17556" s="692" t="s">
        <v>4060</v>
      </c>
      <c r="H17556" s="692" t="s">
        <v>4060</v>
      </c>
      <c r="I17556" s="692" t="s">
        <v>4060</v>
      </c>
      <c r="J17556" s="692" t="s">
        <v>4060</v>
      </c>
      <c r="K17556" s="692" t="s">
        <v>4060</v>
      </c>
    </row>
    <row r="17557" spans="1:11">
      <c r="A17557" s="688" t="s">
        <v>0</v>
      </c>
      <c r="B17557" s="689">
        <v>31.8</v>
      </c>
      <c r="C17557" s="693">
        <v>32</v>
      </c>
      <c r="D17557" s="689">
        <v>31.7</v>
      </c>
      <c r="E17557" s="689">
        <v>32.1</v>
      </c>
      <c r="F17557" s="689">
        <v>32.1</v>
      </c>
      <c r="G17557" s="689">
        <v>32.200000000000003</v>
      </c>
      <c r="H17557" s="689">
        <v>32.4</v>
      </c>
      <c r="I17557" s="689">
        <v>31.5</v>
      </c>
      <c r="J17557" s="689">
        <v>32.5</v>
      </c>
      <c r="K17557" s="689">
        <v>32.200000000000003</v>
      </c>
    </row>
    <row r="17558" spans="1:11">
      <c r="A17558" s="688" t="s">
        <v>1</v>
      </c>
      <c r="B17558" s="615">
        <v>28</v>
      </c>
      <c r="C17558" s="691">
        <v>27.6</v>
      </c>
      <c r="D17558" s="691">
        <v>27.6</v>
      </c>
      <c r="E17558" s="691">
        <v>27.8</v>
      </c>
      <c r="F17558" s="691">
        <v>27.7</v>
      </c>
      <c r="G17558" s="691">
        <v>27.9</v>
      </c>
      <c r="H17558" s="615">
        <v>28</v>
      </c>
      <c r="I17558" s="691">
        <v>26.8</v>
      </c>
      <c r="J17558" s="691">
        <v>24.9</v>
      </c>
      <c r="K17558" s="691">
        <v>27.3</v>
      </c>
    </row>
    <row r="17559" spans="1:11">
      <c r="A17559" s="688" t="s">
        <v>2240</v>
      </c>
      <c r="B17559" s="689">
        <v>29.7</v>
      </c>
      <c r="C17559" s="689">
        <v>30.1</v>
      </c>
      <c r="D17559" s="689">
        <v>29.8</v>
      </c>
      <c r="E17559" s="689">
        <v>30.3</v>
      </c>
      <c r="F17559" s="689">
        <v>30.2</v>
      </c>
      <c r="G17559" s="689">
        <v>30.3</v>
      </c>
      <c r="H17559" s="689">
        <v>30.5</v>
      </c>
      <c r="I17559" s="689">
        <v>29.7</v>
      </c>
      <c r="J17559" s="693">
        <v>29</v>
      </c>
      <c r="K17559" s="689">
        <v>30.3</v>
      </c>
    </row>
    <row r="17560" spans="1:11">
      <c r="A17560" s="688" t="s">
        <v>2</v>
      </c>
      <c r="B17560" s="691">
        <v>30.8</v>
      </c>
      <c r="C17560" s="615">
        <v>31</v>
      </c>
      <c r="D17560" s="615">
        <v>31</v>
      </c>
      <c r="E17560" s="691">
        <v>31.1</v>
      </c>
      <c r="F17560" s="691">
        <v>31.4</v>
      </c>
      <c r="G17560" s="691">
        <v>31.2</v>
      </c>
      <c r="H17560" s="691">
        <v>31.6</v>
      </c>
      <c r="I17560" s="691">
        <v>31.7</v>
      </c>
      <c r="J17560" s="691">
        <v>31.5</v>
      </c>
      <c r="K17560" s="691">
        <v>31.4</v>
      </c>
    </row>
    <row r="17561" spans="1:11">
      <c r="A17561" s="688" t="s">
        <v>3</v>
      </c>
      <c r="B17561" s="689">
        <v>31.5</v>
      </c>
      <c r="C17561" s="689">
        <v>31.7</v>
      </c>
      <c r="D17561" s="689">
        <v>31.4</v>
      </c>
      <c r="E17561" s="689">
        <v>31.7</v>
      </c>
      <c r="F17561" s="689">
        <v>31.7</v>
      </c>
      <c r="G17561" s="689">
        <v>31.6</v>
      </c>
      <c r="H17561" s="689">
        <v>31.9</v>
      </c>
      <c r="I17561" s="689">
        <v>31.7</v>
      </c>
      <c r="J17561" s="689">
        <v>31.5</v>
      </c>
      <c r="K17561" s="689">
        <v>31.3</v>
      </c>
    </row>
    <row r="17562" spans="1:11">
      <c r="A17562" s="688" t="s">
        <v>4061</v>
      </c>
      <c r="B17562" s="691">
        <v>31.5</v>
      </c>
      <c r="C17562" s="691">
        <v>31.7</v>
      </c>
      <c r="D17562" s="691">
        <v>31.4</v>
      </c>
      <c r="E17562" s="691">
        <v>31.7</v>
      </c>
      <c r="F17562" s="691">
        <v>31.7</v>
      </c>
      <c r="G17562" s="691">
        <v>31.6</v>
      </c>
      <c r="H17562" s="691">
        <v>31.9</v>
      </c>
      <c r="I17562" s="691">
        <v>31.7</v>
      </c>
      <c r="J17562" s="691">
        <v>31.5</v>
      </c>
      <c r="K17562" s="691">
        <v>31.3</v>
      </c>
    </row>
    <row r="17563" spans="1:11">
      <c r="A17563" s="688" t="s">
        <v>4</v>
      </c>
      <c r="B17563" s="689">
        <v>30.5</v>
      </c>
      <c r="C17563" s="689">
        <v>30.4</v>
      </c>
      <c r="D17563" s="689">
        <v>30.6</v>
      </c>
      <c r="E17563" s="689">
        <v>30.9</v>
      </c>
      <c r="F17563" s="689">
        <v>30.9</v>
      </c>
      <c r="G17563" s="693">
        <v>31</v>
      </c>
      <c r="H17563" s="689">
        <v>31.4</v>
      </c>
      <c r="I17563" s="689">
        <v>31.3</v>
      </c>
      <c r="J17563" s="689">
        <v>30.1</v>
      </c>
      <c r="K17563" s="689">
        <v>30.9</v>
      </c>
    </row>
    <row r="17564" spans="1:11">
      <c r="A17564" s="688" t="s">
        <v>8</v>
      </c>
      <c r="B17564" s="691">
        <v>31.5</v>
      </c>
      <c r="C17564" s="691">
        <v>31.6</v>
      </c>
      <c r="D17564" s="691">
        <v>31.6</v>
      </c>
      <c r="E17564" s="691">
        <v>31.7</v>
      </c>
      <c r="F17564" s="691">
        <v>32.1</v>
      </c>
      <c r="G17564" s="691">
        <v>32.200000000000003</v>
      </c>
      <c r="H17564" s="691">
        <v>32.5</v>
      </c>
      <c r="I17564" s="691">
        <v>32.4</v>
      </c>
      <c r="J17564" s="691">
        <v>32.200000000000003</v>
      </c>
      <c r="K17564" s="691">
        <v>32.299999999999997</v>
      </c>
    </row>
    <row r="17565" spans="1:11">
      <c r="A17565" s="688" t="s">
        <v>7</v>
      </c>
      <c r="B17565" s="689">
        <v>32.4</v>
      </c>
      <c r="C17565" s="689">
        <v>32.200000000000003</v>
      </c>
      <c r="D17565" s="689">
        <v>31.9</v>
      </c>
      <c r="E17565" s="689">
        <v>32.200000000000003</v>
      </c>
      <c r="F17565" s="693">
        <v>32</v>
      </c>
      <c r="G17565" s="689">
        <v>32.5</v>
      </c>
      <c r="H17565" s="689">
        <v>32.4</v>
      </c>
      <c r="I17565" s="689">
        <v>32.1</v>
      </c>
      <c r="J17565" s="689">
        <v>31.2</v>
      </c>
      <c r="K17565" s="689">
        <v>31.7</v>
      </c>
    </row>
    <row r="17566" spans="1:11">
      <c r="A17566" s="688" t="s">
        <v>27</v>
      </c>
      <c r="B17566" s="691">
        <v>34.299999999999997</v>
      </c>
      <c r="C17566" s="691">
        <v>33.799999999999997</v>
      </c>
      <c r="D17566" s="691">
        <v>33.5</v>
      </c>
      <c r="E17566" s="691">
        <v>33.9</v>
      </c>
      <c r="F17566" s="691">
        <v>33.799999999999997</v>
      </c>
      <c r="G17566" s="691">
        <v>33.9</v>
      </c>
      <c r="H17566" s="691">
        <v>34.299999999999997</v>
      </c>
      <c r="I17566" s="691">
        <v>33.1</v>
      </c>
      <c r="J17566" s="691">
        <v>33.9</v>
      </c>
      <c r="K17566" s="691">
        <v>33.799999999999997</v>
      </c>
    </row>
    <row r="17567" spans="1:11">
      <c r="A17567" s="688" t="s">
        <v>6</v>
      </c>
      <c r="B17567" s="689">
        <v>34.200000000000003</v>
      </c>
      <c r="C17567" s="693">
        <v>34</v>
      </c>
      <c r="D17567" s="689">
        <v>33.700000000000003</v>
      </c>
      <c r="E17567" s="689">
        <v>33.9</v>
      </c>
      <c r="F17567" s="689">
        <v>33.9</v>
      </c>
      <c r="G17567" s="693">
        <v>34</v>
      </c>
      <c r="H17567" s="689">
        <v>34.1</v>
      </c>
      <c r="I17567" s="689">
        <v>33.6</v>
      </c>
      <c r="J17567" s="689">
        <v>33.700000000000003</v>
      </c>
      <c r="K17567" s="689">
        <v>33.700000000000003</v>
      </c>
    </row>
    <row r="17568" spans="1:11">
      <c r="A17568" s="688" t="s">
        <v>4058</v>
      </c>
      <c r="B17568" s="692" t="s">
        <v>4060</v>
      </c>
      <c r="C17568" s="692" t="s">
        <v>4060</v>
      </c>
      <c r="D17568" s="692" t="s">
        <v>4060</v>
      </c>
      <c r="E17568" s="692" t="s">
        <v>4060</v>
      </c>
      <c r="F17568" s="692" t="s">
        <v>4060</v>
      </c>
      <c r="G17568" s="692" t="s">
        <v>4060</v>
      </c>
      <c r="H17568" s="692" t="s">
        <v>4060</v>
      </c>
      <c r="I17568" s="692" t="s">
        <v>4060</v>
      </c>
      <c r="J17568" s="692" t="s">
        <v>4060</v>
      </c>
      <c r="K17568" s="692" t="s">
        <v>4060</v>
      </c>
    </row>
    <row r="17569" spans="1:11">
      <c r="A17569" s="688" t="s">
        <v>11</v>
      </c>
      <c r="B17569" s="689">
        <v>29.6</v>
      </c>
      <c r="C17569" s="689">
        <v>29.4</v>
      </c>
      <c r="D17569" s="693">
        <v>29</v>
      </c>
      <c r="E17569" s="689">
        <v>29.5</v>
      </c>
      <c r="F17569" s="689">
        <v>29.3</v>
      </c>
      <c r="G17569" s="689">
        <v>29.6</v>
      </c>
      <c r="H17569" s="689">
        <v>29.8</v>
      </c>
      <c r="I17569" s="689">
        <v>29.1</v>
      </c>
      <c r="J17569" s="689">
        <v>28.4</v>
      </c>
      <c r="K17569" s="689">
        <v>29.2</v>
      </c>
    </row>
    <row r="17570" spans="1:11">
      <c r="A17570" s="688" t="s">
        <v>10</v>
      </c>
      <c r="B17570" s="691">
        <v>33.4</v>
      </c>
      <c r="C17570" s="691">
        <v>33.200000000000003</v>
      </c>
      <c r="D17570" s="691">
        <v>32.700000000000003</v>
      </c>
      <c r="E17570" s="691">
        <v>33.299999999999997</v>
      </c>
      <c r="F17570" s="691">
        <v>33.1</v>
      </c>
      <c r="G17570" s="691">
        <v>33.4</v>
      </c>
      <c r="H17570" s="691">
        <v>33.5</v>
      </c>
      <c r="I17570" s="691">
        <v>32.6</v>
      </c>
      <c r="J17570" s="691">
        <v>32.9</v>
      </c>
      <c r="K17570" s="691">
        <v>32.9</v>
      </c>
    </row>
    <row r="17571" spans="1:11">
      <c r="A17571" s="688" t="s">
        <v>30</v>
      </c>
      <c r="B17571" s="689">
        <v>32.700000000000003</v>
      </c>
      <c r="C17571" s="689">
        <v>32.1</v>
      </c>
      <c r="D17571" s="689">
        <v>31.9</v>
      </c>
      <c r="E17571" s="689">
        <v>32.799999999999997</v>
      </c>
      <c r="F17571" s="689">
        <v>32.4</v>
      </c>
      <c r="G17571" s="689">
        <v>32.700000000000003</v>
      </c>
      <c r="H17571" s="689">
        <v>32.6</v>
      </c>
      <c r="I17571" s="689">
        <v>32.6</v>
      </c>
      <c r="J17571" s="693">
        <v>32</v>
      </c>
      <c r="K17571" s="689">
        <v>32.200000000000003</v>
      </c>
    </row>
    <row r="17572" spans="1:11">
      <c r="A17572" s="688" t="s">
        <v>12</v>
      </c>
      <c r="B17572" s="691">
        <v>28.6</v>
      </c>
      <c r="C17572" s="691">
        <v>28.7</v>
      </c>
      <c r="D17572" s="691">
        <v>28.7</v>
      </c>
      <c r="E17572" s="691">
        <v>28.9</v>
      </c>
      <c r="F17572" s="691">
        <v>28.9</v>
      </c>
      <c r="G17572" s="691">
        <v>28.9</v>
      </c>
      <c r="H17572" s="691">
        <v>29.3</v>
      </c>
      <c r="I17572" s="691">
        <v>29.1</v>
      </c>
      <c r="J17572" s="691">
        <v>27.4</v>
      </c>
      <c r="K17572" s="691">
        <v>28.7</v>
      </c>
    </row>
    <row r="17573" spans="1:11">
      <c r="A17573" s="688" t="s">
        <v>14</v>
      </c>
      <c r="B17573" s="689">
        <v>29.1</v>
      </c>
      <c r="C17573" s="689">
        <v>29.2</v>
      </c>
      <c r="D17573" s="693">
        <v>29</v>
      </c>
      <c r="E17573" s="689">
        <v>29.2</v>
      </c>
      <c r="F17573" s="689">
        <v>29.5</v>
      </c>
      <c r="G17573" s="689">
        <v>29.6</v>
      </c>
      <c r="H17573" s="689">
        <v>29.9</v>
      </c>
      <c r="I17573" s="689">
        <v>29.1</v>
      </c>
      <c r="J17573" s="689">
        <v>28.1</v>
      </c>
      <c r="K17573" s="689">
        <v>29.3</v>
      </c>
    </row>
    <row r="17574" spans="1:11">
      <c r="A17574" s="688" t="s">
        <v>15</v>
      </c>
      <c r="B17574" s="691">
        <v>32.5</v>
      </c>
      <c r="C17574" s="691">
        <v>32.799999999999997</v>
      </c>
      <c r="D17574" s="691">
        <v>32.1</v>
      </c>
      <c r="E17574" s="691">
        <v>32.9</v>
      </c>
      <c r="F17574" s="691">
        <v>32.200000000000003</v>
      </c>
      <c r="G17574" s="691">
        <v>32.6</v>
      </c>
      <c r="H17574" s="691">
        <v>32.799999999999997</v>
      </c>
      <c r="I17574" s="691">
        <v>32.6</v>
      </c>
      <c r="J17574" s="691">
        <v>32.9</v>
      </c>
      <c r="K17574" s="615">
        <v>33</v>
      </c>
    </row>
    <row r="17575" spans="1:11">
      <c r="A17575" s="688" t="s">
        <v>29</v>
      </c>
      <c r="B17575" s="689">
        <v>28.1</v>
      </c>
      <c r="C17575" s="689">
        <v>28.1</v>
      </c>
      <c r="D17575" s="689">
        <v>27.7</v>
      </c>
      <c r="E17575" s="689">
        <v>28.2</v>
      </c>
      <c r="F17575" s="689">
        <v>27.9</v>
      </c>
      <c r="G17575" s="689">
        <v>28.1</v>
      </c>
      <c r="H17575" s="689">
        <v>28.2</v>
      </c>
      <c r="I17575" s="689">
        <v>27.5</v>
      </c>
      <c r="J17575" s="689">
        <v>26.5</v>
      </c>
      <c r="K17575" s="689">
        <v>27.9</v>
      </c>
    </row>
    <row r="17576" spans="1:11">
      <c r="A17576" s="688" t="s">
        <v>16</v>
      </c>
      <c r="B17576" s="691">
        <v>32.4</v>
      </c>
      <c r="C17576" s="691">
        <v>32.1</v>
      </c>
      <c r="D17576" s="691">
        <v>32.1</v>
      </c>
      <c r="E17576" s="691">
        <v>32.4</v>
      </c>
      <c r="F17576" s="691">
        <v>32.5</v>
      </c>
      <c r="G17576" s="691">
        <v>32.5</v>
      </c>
      <c r="H17576" s="691">
        <v>32.9</v>
      </c>
      <c r="I17576" s="691">
        <v>32.299999999999997</v>
      </c>
      <c r="J17576" s="615">
        <v>32</v>
      </c>
      <c r="K17576" s="691">
        <v>32.299999999999997</v>
      </c>
    </row>
    <row r="17577" spans="1:11">
      <c r="A17577" s="688" t="s">
        <v>17</v>
      </c>
      <c r="B17577" s="689">
        <v>31.6</v>
      </c>
      <c r="C17577" s="689">
        <v>31.7</v>
      </c>
      <c r="D17577" s="689">
        <v>31.5</v>
      </c>
      <c r="E17577" s="689">
        <v>31.5</v>
      </c>
      <c r="F17577" s="689">
        <v>31.6</v>
      </c>
      <c r="G17577" s="689">
        <v>31.6</v>
      </c>
      <c r="H17577" s="689">
        <v>31.9</v>
      </c>
      <c r="I17577" s="689">
        <v>31.4</v>
      </c>
      <c r="J17577" s="689">
        <v>31.3</v>
      </c>
      <c r="K17577" s="689">
        <v>31.5</v>
      </c>
    </row>
    <row r="17578" spans="1:11">
      <c r="A17578" s="688" t="s">
        <v>19</v>
      </c>
      <c r="B17578" s="691">
        <v>32.1</v>
      </c>
      <c r="C17578" s="691">
        <v>32.1</v>
      </c>
      <c r="D17578" s="691">
        <v>31.9</v>
      </c>
      <c r="E17578" s="691">
        <v>32.299999999999997</v>
      </c>
      <c r="F17578" s="691">
        <v>32.200000000000003</v>
      </c>
      <c r="G17578" s="691">
        <v>32.299999999999997</v>
      </c>
      <c r="H17578" s="691">
        <v>32.5</v>
      </c>
      <c r="I17578" s="615">
        <v>32</v>
      </c>
      <c r="J17578" s="615">
        <v>32</v>
      </c>
      <c r="K17578" s="615">
        <v>32</v>
      </c>
    </row>
    <row r="17579" spans="1:11">
      <c r="A17579" s="688" t="s">
        <v>20</v>
      </c>
      <c r="B17579" s="693">
        <v>30</v>
      </c>
      <c r="C17579" s="689">
        <v>30.1</v>
      </c>
      <c r="D17579" s="693">
        <v>30</v>
      </c>
      <c r="E17579" s="689">
        <v>30.4</v>
      </c>
      <c r="F17579" s="689">
        <v>30.2</v>
      </c>
      <c r="G17579" s="689">
        <v>30.1</v>
      </c>
      <c r="H17579" s="689">
        <v>30.4</v>
      </c>
      <c r="I17579" s="689">
        <v>29.2</v>
      </c>
      <c r="J17579" s="689">
        <v>28.3</v>
      </c>
      <c r="K17579" s="689">
        <v>29.7</v>
      </c>
    </row>
    <row r="17580" spans="1:11">
      <c r="A17580" s="688" t="s">
        <v>21</v>
      </c>
      <c r="B17580" s="691">
        <v>32.5</v>
      </c>
      <c r="C17580" s="691">
        <v>32.700000000000003</v>
      </c>
      <c r="D17580" s="691">
        <v>32.6</v>
      </c>
      <c r="E17580" s="691">
        <v>32.700000000000003</v>
      </c>
      <c r="F17580" s="691">
        <v>32.9</v>
      </c>
      <c r="G17580" s="691">
        <v>32.9</v>
      </c>
      <c r="H17580" s="691">
        <v>33.200000000000003</v>
      </c>
      <c r="I17580" s="691">
        <v>32.6</v>
      </c>
      <c r="J17580" s="691">
        <v>32.6</v>
      </c>
      <c r="K17580" s="691">
        <v>32.799999999999997</v>
      </c>
    </row>
    <row r="17581" spans="1:11">
      <c r="A17581" s="688" t="s">
        <v>22</v>
      </c>
      <c r="B17581" s="689">
        <v>28.2</v>
      </c>
      <c r="C17581" s="693">
        <v>28</v>
      </c>
      <c r="D17581" s="689">
        <v>27.9</v>
      </c>
      <c r="E17581" s="689">
        <v>28.2</v>
      </c>
      <c r="F17581" s="689">
        <v>28.2</v>
      </c>
      <c r="G17581" s="689">
        <v>28.3</v>
      </c>
      <c r="H17581" s="689">
        <v>28.6</v>
      </c>
      <c r="I17581" s="689">
        <v>27.4</v>
      </c>
      <c r="J17581" s="693">
        <v>26</v>
      </c>
      <c r="K17581" s="689">
        <v>28.2</v>
      </c>
    </row>
    <row r="17582" spans="1:11">
      <c r="A17582" s="688" t="s">
        <v>26</v>
      </c>
      <c r="B17582" s="691">
        <v>31.9</v>
      </c>
      <c r="C17582" s="691">
        <v>31.9</v>
      </c>
      <c r="D17582" s="691">
        <v>31.7</v>
      </c>
      <c r="E17582" s="691">
        <v>32.1</v>
      </c>
      <c r="F17582" s="691">
        <v>31.9</v>
      </c>
      <c r="G17582" s="691">
        <v>32.1</v>
      </c>
      <c r="H17582" s="691">
        <v>32.299999999999997</v>
      </c>
      <c r="I17582" s="691">
        <v>31.4</v>
      </c>
      <c r="J17582" s="691">
        <v>31.8</v>
      </c>
      <c r="K17582" s="691">
        <v>32.1</v>
      </c>
    </row>
    <row r="17583" spans="1:11">
      <c r="A17583" s="688" t="s">
        <v>25</v>
      </c>
      <c r="B17583" s="689">
        <v>29.1</v>
      </c>
      <c r="C17583" s="689">
        <v>29.3</v>
      </c>
      <c r="D17583" s="689">
        <v>28.9</v>
      </c>
      <c r="E17583" s="689">
        <v>29.4</v>
      </c>
      <c r="F17583" s="689">
        <v>29.3</v>
      </c>
      <c r="G17583" s="689">
        <v>29.5</v>
      </c>
      <c r="H17583" s="689">
        <v>29.9</v>
      </c>
      <c r="I17583" s="689">
        <v>29.2</v>
      </c>
      <c r="J17583" s="689">
        <v>27.1</v>
      </c>
      <c r="K17583" s="689">
        <v>29.2</v>
      </c>
    </row>
    <row r="17584" spans="1:11">
      <c r="A17584" s="688" t="s">
        <v>5</v>
      </c>
      <c r="B17584" s="691">
        <v>32.5</v>
      </c>
      <c r="C17584" s="691">
        <v>32.200000000000003</v>
      </c>
      <c r="D17584" s="691">
        <v>32.4</v>
      </c>
      <c r="E17584" s="691">
        <v>32.4</v>
      </c>
      <c r="F17584" s="691">
        <v>32.6</v>
      </c>
      <c r="G17584" s="691">
        <v>32.6</v>
      </c>
      <c r="H17584" s="691">
        <v>32.9</v>
      </c>
      <c r="I17584" s="691">
        <v>32.9</v>
      </c>
      <c r="J17584" s="691">
        <v>32.799999999999997</v>
      </c>
      <c r="K17584" s="691">
        <v>32.1</v>
      </c>
    </row>
    <row r="17585" spans="1:11">
      <c r="A17585" s="688" t="s">
        <v>23</v>
      </c>
      <c r="B17585" s="693">
        <v>32</v>
      </c>
      <c r="C17585" s="689">
        <v>32.299999999999997</v>
      </c>
      <c r="D17585" s="689">
        <v>32.200000000000003</v>
      </c>
      <c r="E17585" s="689">
        <v>32.299999999999997</v>
      </c>
      <c r="F17585" s="689">
        <v>32.299999999999997</v>
      </c>
      <c r="G17585" s="689">
        <v>32.4</v>
      </c>
      <c r="H17585" s="689">
        <v>32.9</v>
      </c>
      <c r="I17585" s="689">
        <v>32.4</v>
      </c>
      <c r="J17585" s="689">
        <v>32.9</v>
      </c>
      <c r="K17585" s="689">
        <v>32.799999999999997</v>
      </c>
    </row>
    <row r="17586" spans="1:11">
      <c r="A17586" s="688" t="s">
        <v>4067</v>
      </c>
      <c r="B17586" s="691">
        <v>31.8</v>
      </c>
      <c r="C17586" s="691">
        <v>32.200000000000003</v>
      </c>
      <c r="D17586" s="691">
        <v>31.8</v>
      </c>
      <c r="E17586" s="691">
        <v>32.1</v>
      </c>
      <c r="F17586" s="615">
        <v>32</v>
      </c>
      <c r="G17586" s="691">
        <v>32.1</v>
      </c>
      <c r="H17586" s="692" t="s">
        <v>4060</v>
      </c>
      <c r="I17586" s="692" t="s">
        <v>4060</v>
      </c>
      <c r="J17586" s="692" t="s">
        <v>4060</v>
      </c>
      <c r="K17586" s="692" t="s">
        <v>4060</v>
      </c>
    </row>
    <row r="17587" spans="1:11">
      <c r="A17587" s="688" t="s">
        <v>4066</v>
      </c>
      <c r="B17587" s="689">
        <v>31.9</v>
      </c>
      <c r="C17587" s="689">
        <v>32.200000000000003</v>
      </c>
      <c r="D17587" s="689">
        <v>31.8</v>
      </c>
      <c r="E17587" s="689">
        <v>32.200000000000003</v>
      </c>
      <c r="F17587" s="693">
        <v>32</v>
      </c>
      <c r="G17587" s="689">
        <v>32.1</v>
      </c>
      <c r="H17587" s="690" t="s">
        <v>4060</v>
      </c>
      <c r="I17587" s="690" t="s">
        <v>4060</v>
      </c>
      <c r="J17587" s="690" t="s">
        <v>4060</v>
      </c>
      <c r="K17587" s="690" t="s">
        <v>4060</v>
      </c>
    </row>
    <row r="17588" spans="1:11">
      <c r="A17588" s="688" t="s">
        <v>4062</v>
      </c>
      <c r="B17588" s="691">
        <v>32.799999999999997</v>
      </c>
      <c r="C17588" s="691">
        <v>32.9</v>
      </c>
      <c r="D17588" s="691">
        <v>32.799999999999997</v>
      </c>
      <c r="E17588" s="615">
        <v>33</v>
      </c>
      <c r="F17588" s="691">
        <v>33.1</v>
      </c>
      <c r="G17588" s="691">
        <v>33.200000000000003</v>
      </c>
      <c r="H17588" s="691">
        <v>33.299999999999997</v>
      </c>
      <c r="I17588" s="691">
        <v>33.1</v>
      </c>
      <c r="J17588" s="691">
        <v>33.4</v>
      </c>
      <c r="K17588" s="691">
        <v>33.1</v>
      </c>
    </row>
    <row r="17589" spans="1:11">
      <c r="A17589" s="688" t="s">
        <v>9</v>
      </c>
      <c r="B17589" s="693">
        <v>32</v>
      </c>
      <c r="C17589" s="689">
        <v>32.4</v>
      </c>
      <c r="D17589" s="689">
        <v>31.8</v>
      </c>
      <c r="E17589" s="689">
        <v>31.8</v>
      </c>
      <c r="F17589" s="689">
        <v>32.299999999999997</v>
      </c>
      <c r="G17589" s="689">
        <v>32.4</v>
      </c>
      <c r="H17589" s="689">
        <v>32.6</v>
      </c>
      <c r="I17589" s="689">
        <v>32.6</v>
      </c>
      <c r="J17589" s="689">
        <v>32.700000000000003</v>
      </c>
      <c r="K17589" s="689">
        <v>31.8</v>
      </c>
    </row>
    <row r="17590" spans="1:11">
      <c r="A17590" s="688" t="s">
        <v>13</v>
      </c>
      <c r="B17590" s="691">
        <v>32.9</v>
      </c>
      <c r="C17590" s="691">
        <v>31.3</v>
      </c>
      <c r="D17590" s="691">
        <v>32.200000000000003</v>
      </c>
      <c r="E17590" s="691">
        <v>32.6</v>
      </c>
      <c r="F17590" s="691">
        <v>33.200000000000003</v>
      </c>
      <c r="G17590" s="691">
        <v>33.299999999999997</v>
      </c>
      <c r="H17590" s="615">
        <v>33</v>
      </c>
      <c r="I17590" s="691">
        <v>32.299999999999997</v>
      </c>
      <c r="J17590" s="691">
        <v>33.6</v>
      </c>
      <c r="K17590" s="691">
        <v>33.1</v>
      </c>
    </row>
    <row r="17591" spans="1:11">
      <c r="A17591" s="688" t="s">
        <v>18</v>
      </c>
      <c r="B17591" s="689">
        <v>32.1</v>
      </c>
      <c r="C17591" s="689">
        <v>32.299999999999997</v>
      </c>
      <c r="D17591" s="689">
        <v>32.299999999999997</v>
      </c>
      <c r="E17591" s="689">
        <v>32.4</v>
      </c>
      <c r="F17591" s="689">
        <v>32.4</v>
      </c>
      <c r="G17591" s="689">
        <v>32.6</v>
      </c>
      <c r="H17591" s="689">
        <v>32.799999999999997</v>
      </c>
      <c r="I17591" s="693">
        <v>33</v>
      </c>
      <c r="J17591" s="689">
        <v>32.799999999999997</v>
      </c>
      <c r="K17591" s="689">
        <v>32.4</v>
      </c>
    </row>
    <row r="17592" spans="1:11">
      <c r="A17592" s="688" t="s">
        <v>24</v>
      </c>
      <c r="B17592" s="691">
        <v>33.200000000000003</v>
      </c>
      <c r="C17592" s="691">
        <v>33.299999999999997</v>
      </c>
      <c r="D17592" s="691">
        <v>33.1</v>
      </c>
      <c r="E17592" s="691">
        <v>33.5</v>
      </c>
      <c r="F17592" s="691">
        <v>33.5</v>
      </c>
      <c r="G17592" s="691">
        <v>33.6</v>
      </c>
      <c r="H17592" s="691">
        <v>33.700000000000003</v>
      </c>
      <c r="I17592" s="691">
        <v>33.200000000000003</v>
      </c>
      <c r="J17592" s="691">
        <v>33.700000000000003</v>
      </c>
      <c r="K17592" s="691">
        <v>33.5</v>
      </c>
    </row>
    <row r="17593" spans="1:11">
      <c r="A17593" s="688" t="s">
        <v>4059</v>
      </c>
      <c r="B17593" s="689">
        <v>31.5</v>
      </c>
      <c r="C17593" s="689">
        <v>31.8</v>
      </c>
      <c r="D17593" s="689">
        <v>31.4</v>
      </c>
      <c r="E17593" s="689">
        <v>31.7</v>
      </c>
      <c r="F17593" s="689">
        <v>31.7</v>
      </c>
      <c r="G17593" s="689">
        <v>31.7</v>
      </c>
      <c r="H17593" s="690" t="s">
        <v>4060</v>
      </c>
      <c r="I17593" s="690" t="s">
        <v>4060</v>
      </c>
      <c r="J17593" s="690" t="s">
        <v>4060</v>
      </c>
      <c r="K17593" s="690" t="s">
        <v>4060</v>
      </c>
    </row>
    <row r="17594" spans="1:11">
      <c r="A17594" s="688" t="s">
        <v>2324</v>
      </c>
      <c r="B17594" s="691">
        <v>27.8</v>
      </c>
      <c r="C17594" s="691">
        <v>27.9</v>
      </c>
      <c r="D17594" s="691">
        <v>27.4</v>
      </c>
      <c r="E17594" s="691">
        <v>27.6</v>
      </c>
      <c r="F17594" s="691">
        <v>27.9</v>
      </c>
      <c r="G17594" s="691">
        <v>27.9</v>
      </c>
      <c r="H17594" s="691">
        <v>28.1</v>
      </c>
      <c r="I17594" s="691">
        <v>27.5</v>
      </c>
      <c r="J17594" s="691">
        <v>25.5</v>
      </c>
      <c r="K17594" s="692" t="s">
        <v>4060</v>
      </c>
    </row>
    <row r="17595" spans="1:11">
      <c r="A17595" s="688" t="s">
        <v>2322</v>
      </c>
      <c r="B17595" s="690" t="s">
        <v>4060</v>
      </c>
      <c r="C17595" s="690" t="s">
        <v>4060</v>
      </c>
      <c r="D17595" s="690" t="s">
        <v>4060</v>
      </c>
      <c r="E17595" s="690" t="s">
        <v>4060</v>
      </c>
      <c r="F17595" s="690" t="s">
        <v>4060</v>
      </c>
      <c r="G17595" s="690" t="s">
        <v>4060</v>
      </c>
      <c r="H17595" s="690" t="s">
        <v>4060</v>
      </c>
      <c r="I17595" s="690" t="s">
        <v>4060</v>
      </c>
      <c r="J17595" s="690" t="s">
        <v>4060</v>
      </c>
      <c r="K17595" s="690" t="s">
        <v>4060</v>
      </c>
    </row>
    <row r="17596" spans="1:11">
      <c r="A17596" s="688" t="s">
        <v>2328</v>
      </c>
      <c r="B17596" s="691">
        <v>26.7</v>
      </c>
      <c r="C17596" s="691">
        <v>26.6</v>
      </c>
      <c r="D17596" s="691">
        <v>26.4</v>
      </c>
      <c r="E17596" s="691">
        <v>26.8</v>
      </c>
      <c r="F17596" s="691">
        <v>26.9</v>
      </c>
      <c r="G17596" s="691">
        <v>27.4</v>
      </c>
      <c r="H17596" s="691">
        <v>27.2</v>
      </c>
      <c r="I17596" s="691">
        <v>25.7</v>
      </c>
      <c r="J17596" s="691">
        <v>24.6</v>
      </c>
      <c r="K17596" s="692" t="s">
        <v>4060</v>
      </c>
    </row>
    <row r="17597" spans="1:11">
      <c r="A17597" s="688" t="s">
        <v>2496</v>
      </c>
      <c r="B17597" s="690" t="s">
        <v>4060</v>
      </c>
      <c r="C17597" s="689">
        <v>27.8</v>
      </c>
      <c r="D17597" s="689">
        <v>26.9</v>
      </c>
      <c r="E17597" s="689">
        <v>26.7</v>
      </c>
      <c r="F17597" s="689">
        <v>27.3</v>
      </c>
      <c r="G17597" s="689">
        <v>27.5</v>
      </c>
      <c r="H17597" s="689">
        <v>27.5</v>
      </c>
      <c r="I17597" s="690" t="s">
        <v>4060</v>
      </c>
      <c r="J17597" s="690" t="s">
        <v>4060</v>
      </c>
      <c r="K17597" s="689">
        <v>27.3</v>
      </c>
    </row>
    <row r="17598" spans="1:11">
      <c r="A17598" s="688" t="s">
        <v>2269</v>
      </c>
      <c r="B17598" s="691">
        <v>29.2</v>
      </c>
      <c r="C17598" s="691">
        <v>29.4</v>
      </c>
      <c r="D17598" s="691">
        <v>28.7</v>
      </c>
      <c r="E17598" s="691">
        <v>29.2</v>
      </c>
      <c r="F17598" s="615">
        <v>29</v>
      </c>
      <c r="G17598" s="691">
        <v>29.4</v>
      </c>
      <c r="H17598" s="691">
        <v>29.7</v>
      </c>
      <c r="I17598" s="691">
        <v>28.5</v>
      </c>
      <c r="J17598" s="691">
        <v>26.6</v>
      </c>
      <c r="K17598" s="691">
        <v>29.4</v>
      </c>
    </row>
    <row r="17599" spans="1:11">
      <c r="A17599" s="688" t="s">
        <v>2349</v>
      </c>
      <c r="B17599" s="689">
        <v>26.9</v>
      </c>
      <c r="C17599" s="693">
        <v>27</v>
      </c>
      <c r="D17599" s="689">
        <v>26.9</v>
      </c>
      <c r="E17599" s="689">
        <v>27.2</v>
      </c>
      <c r="F17599" s="693">
        <v>27</v>
      </c>
      <c r="G17599" s="689">
        <v>27.3</v>
      </c>
      <c r="H17599" s="689">
        <v>27.4</v>
      </c>
      <c r="I17599" s="689">
        <v>26.3</v>
      </c>
      <c r="J17599" s="689">
        <v>24.8</v>
      </c>
      <c r="K17599" s="689">
        <v>26.6</v>
      </c>
    </row>
    <row r="17600" spans="1:11">
      <c r="A17600" s="688" t="s">
        <v>2355</v>
      </c>
      <c r="B17600" s="691">
        <v>30.5</v>
      </c>
      <c r="C17600" s="691">
        <v>30.2</v>
      </c>
      <c r="D17600" s="691">
        <v>30.2</v>
      </c>
      <c r="E17600" s="691">
        <v>30.1</v>
      </c>
      <c r="F17600" s="691">
        <v>30.3</v>
      </c>
      <c r="G17600" s="691">
        <v>30.7</v>
      </c>
      <c r="H17600" s="691">
        <v>30.7</v>
      </c>
      <c r="I17600" s="692" t="s">
        <v>4060</v>
      </c>
      <c r="J17600" s="692" t="s">
        <v>4060</v>
      </c>
      <c r="K17600" s="692" t="s">
        <v>4060</v>
      </c>
    </row>
    <row r="17601" spans="1:11">
      <c r="A17601" s="688" t="s">
        <v>2357</v>
      </c>
      <c r="B17601" s="690" t="s">
        <v>4060</v>
      </c>
      <c r="C17601" s="689">
        <v>26.9</v>
      </c>
      <c r="D17601" s="689">
        <v>27.3</v>
      </c>
      <c r="E17601" s="689">
        <v>27.6</v>
      </c>
      <c r="F17601" s="689">
        <v>27.9</v>
      </c>
      <c r="G17601" s="689">
        <v>27.9</v>
      </c>
      <c r="H17601" s="689">
        <v>28.1</v>
      </c>
      <c r="I17601" s="690" t="s">
        <v>4060</v>
      </c>
      <c r="J17601" s="690" t="s">
        <v>4060</v>
      </c>
      <c r="K17601" s="690" t="s">
        <v>4060</v>
      </c>
    </row>
    <row r="17602" spans="1:11">
      <c r="A17602" s="688" t="s">
        <v>4070</v>
      </c>
      <c r="B17602" s="692" t="s">
        <v>4060</v>
      </c>
      <c r="C17602" s="692" t="s">
        <v>4060</v>
      </c>
      <c r="D17602" s="692" t="s">
        <v>4060</v>
      </c>
      <c r="E17602" s="691">
        <v>30.2</v>
      </c>
      <c r="F17602" s="692" t="s">
        <v>4060</v>
      </c>
      <c r="G17602" s="692" t="s">
        <v>4060</v>
      </c>
      <c r="H17602" s="692" t="s">
        <v>4060</v>
      </c>
      <c r="I17602" s="692" t="s">
        <v>4060</v>
      </c>
      <c r="J17602" s="692" t="s">
        <v>4060</v>
      </c>
      <c r="K17602" s="692" t="s">
        <v>4060</v>
      </c>
    </row>
    <row r="17603" spans="1:11">
      <c r="A17603" s="688" t="s">
        <v>2491</v>
      </c>
      <c r="B17603" s="689">
        <v>27.5</v>
      </c>
      <c r="C17603" s="693">
        <v>28</v>
      </c>
      <c r="D17603" s="689">
        <v>28.2</v>
      </c>
      <c r="E17603" s="689">
        <v>28.4</v>
      </c>
      <c r="F17603" s="689">
        <v>28.4</v>
      </c>
      <c r="G17603" s="689">
        <v>28.5</v>
      </c>
      <c r="H17603" s="690" t="s">
        <v>4060</v>
      </c>
      <c r="I17603" s="690" t="s">
        <v>4060</v>
      </c>
      <c r="J17603" s="690" t="s">
        <v>4060</v>
      </c>
      <c r="K17603" s="690" t="s">
        <v>4060</v>
      </c>
    </row>
    <row r="17604" spans="1:11">
      <c r="A17604" s="688" t="s">
        <v>2343</v>
      </c>
      <c r="B17604" s="692" t="s">
        <v>4060</v>
      </c>
      <c r="C17604" s="692" t="s">
        <v>4060</v>
      </c>
      <c r="D17604" s="692" t="s">
        <v>4060</v>
      </c>
      <c r="E17604" s="692" t="s">
        <v>4060</v>
      </c>
      <c r="F17604" s="692" t="s">
        <v>4060</v>
      </c>
      <c r="G17604" s="692" t="s">
        <v>4060</v>
      </c>
      <c r="H17604" s="692" t="s">
        <v>4060</v>
      </c>
      <c r="I17604" s="692" t="s">
        <v>4060</v>
      </c>
      <c r="J17604" s="692" t="s">
        <v>4060</v>
      </c>
      <c r="K17604" s="692" t="s">
        <v>4060</v>
      </c>
    </row>
    <row r="17605" spans="1:11">
      <c r="A17605" s="688" t="s">
        <v>4071</v>
      </c>
      <c r="B17605" s="690" t="s">
        <v>4060</v>
      </c>
      <c r="C17605" s="690" t="s">
        <v>4060</v>
      </c>
      <c r="D17605" s="690" t="s">
        <v>4060</v>
      </c>
      <c r="E17605" s="690" t="s">
        <v>4060</v>
      </c>
      <c r="F17605" s="690" t="s">
        <v>4060</v>
      </c>
      <c r="G17605" s="690" t="s">
        <v>4060</v>
      </c>
      <c r="H17605" s="690" t="s">
        <v>4060</v>
      </c>
      <c r="I17605" s="690" t="s">
        <v>4060</v>
      </c>
      <c r="J17605" s="690" t="s">
        <v>4060</v>
      </c>
      <c r="K17605" s="690" t="s">
        <v>4060</v>
      </c>
    </row>
    <row r="17606" spans="1:11">
      <c r="A17606" s="688" t="s">
        <v>2489</v>
      </c>
      <c r="B17606" s="692" t="s">
        <v>4060</v>
      </c>
      <c r="C17606" s="692" t="s">
        <v>4060</v>
      </c>
      <c r="D17606" s="691">
        <v>27.5</v>
      </c>
      <c r="E17606" s="691">
        <v>27.5</v>
      </c>
      <c r="F17606" s="691">
        <v>27.8</v>
      </c>
      <c r="G17606" s="691">
        <v>28.5</v>
      </c>
      <c r="H17606" s="691">
        <v>28.4</v>
      </c>
      <c r="I17606" s="692" t="s">
        <v>4060</v>
      </c>
      <c r="J17606" s="692" t="s">
        <v>4060</v>
      </c>
      <c r="K17606" s="692" t="s">
        <v>4060</v>
      </c>
    </row>
    <row r="17607" spans="1:11">
      <c r="A17607" s="688" t="s">
        <v>2490</v>
      </c>
      <c r="B17607" s="689">
        <v>26.7</v>
      </c>
      <c r="C17607" s="689">
        <v>26.7</v>
      </c>
      <c r="D17607" s="689">
        <v>27.2</v>
      </c>
      <c r="E17607" s="690" t="s">
        <v>4060</v>
      </c>
      <c r="F17607" s="689">
        <v>27.4</v>
      </c>
      <c r="G17607" s="689">
        <v>27.7</v>
      </c>
      <c r="H17607" s="689">
        <v>28.4</v>
      </c>
      <c r="I17607" s="690" t="s">
        <v>4060</v>
      </c>
      <c r="J17607" s="690" t="s">
        <v>4060</v>
      </c>
      <c r="K17607" s="690" t="s">
        <v>4060</v>
      </c>
    </row>
    <row r="17609" spans="1:11">
      <c r="A17609" s="683" t="s">
        <v>4233</v>
      </c>
    </row>
    <row r="17610" spans="1:11">
      <c r="A17610" s="683" t="s">
        <v>4060</v>
      </c>
      <c r="B17610" s="682" t="s">
        <v>4234</v>
      </c>
    </row>
    <row r="17612" spans="1:11">
      <c r="A17612" s="682" t="s">
        <v>4332</v>
      </c>
    </row>
    <row r="17613" spans="1:11">
      <c r="A17613" s="682" t="s">
        <v>4210</v>
      </c>
      <c r="B17613" s="683" t="s">
        <v>4211</v>
      </c>
    </row>
    <row r="17614" spans="1:11">
      <c r="A17614" s="682" t="s">
        <v>4212</v>
      </c>
      <c r="B17614" s="682" t="s">
        <v>4213</v>
      </c>
    </row>
    <row r="17616" spans="1:11">
      <c r="A17616" s="683" t="s">
        <v>4214</v>
      </c>
      <c r="C17616" s="682" t="s">
        <v>4215</v>
      </c>
    </row>
    <row r="17617" spans="1:11">
      <c r="A17617" s="683" t="s">
        <v>4216</v>
      </c>
      <c r="C17617" s="682" t="s">
        <v>2967</v>
      </c>
    </row>
    <row r="17618" spans="1:11">
      <c r="A17618" s="683" t="s">
        <v>3893</v>
      </c>
      <c r="C17618" s="682" t="s">
        <v>2169</v>
      </c>
    </row>
    <row r="17619" spans="1:11">
      <c r="A17619" s="683" t="s">
        <v>4218</v>
      </c>
      <c r="C17619" s="682" t="s">
        <v>4289</v>
      </c>
    </row>
    <row r="17621" spans="1:11">
      <c r="A17621" s="684" t="s">
        <v>4220</v>
      </c>
      <c r="B17621" s="685" t="s">
        <v>4221</v>
      </c>
      <c r="C17621" s="685" t="s">
        <v>4222</v>
      </c>
      <c r="D17621" s="685" t="s">
        <v>4223</v>
      </c>
      <c r="E17621" s="685" t="s">
        <v>4224</v>
      </c>
      <c r="F17621" s="685" t="s">
        <v>4225</v>
      </c>
      <c r="G17621" s="685" t="s">
        <v>4226</v>
      </c>
      <c r="H17621" s="685" t="s">
        <v>4227</v>
      </c>
      <c r="I17621" s="685" t="s">
        <v>4228</v>
      </c>
      <c r="J17621" s="685" t="s">
        <v>4229</v>
      </c>
      <c r="K17621" s="685" t="s">
        <v>4230</v>
      </c>
    </row>
    <row r="17622" spans="1:11">
      <c r="A17622" s="686" t="s">
        <v>4231</v>
      </c>
      <c r="B17622" s="687" t="s">
        <v>4232</v>
      </c>
      <c r="C17622" s="687" t="s">
        <v>4232</v>
      </c>
      <c r="D17622" s="687" t="s">
        <v>4232</v>
      </c>
      <c r="E17622" s="687" t="s">
        <v>4232</v>
      </c>
      <c r="F17622" s="687" t="s">
        <v>4232</v>
      </c>
      <c r="G17622" s="687" t="s">
        <v>4232</v>
      </c>
      <c r="H17622" s="687" t="s">
        <v>4232</v>
      </c>
      <c r="I17622" s="687" t="s">
        <v>4232</v>
      </c>
      <c r="J17622" s="687" t="s">
        <v>4232</v>
      </c>
      <c r="K17622" s="687" t="s">
        <v>4232</v>
      </c>
    </row>
    <row r="17623" spans="1:11">
      <c r="A17623" s="688" t="s">
        <v>4064</v>
      </c>
      <c r="B17623" s="693">
        <v>31</v>
      </c>
      <c r="C17623" s="689">
        <v>30.9</v>
      </c>
      <c r="D17623" s="689">
        <v>30.9</v>
      </c>
      <c r="E17623" s="693">
        <v>31</v>
      </c>
      <c r="F17623" s="689">
        <v>30.9</v>
      </c>
      <c r="G17623" s="693">
        <v>31</v>
      </c>
      <c r="H17623" s="689">
        <v>31.3</v>
      </c>
      <c r="I17623" s="689">
        <v>30.6</v>
      </c>
      <c r="J17623" s="689">
        <v>30.3</v>
      </c>
      <c r="K17623" s="689">
        <v>30.7</v>
      </c>
    </row>
    <row r="17624" spans="1:11">
      <c r="A17624" s="688" t="s">
        <v>4065</v>
      </c>
      <c r="B17624" s="691">
        <v>30.9</v>
      </c>
      <c r="C17624" s="691">
        <v>31.2</v>
      </c>
      <c r="D17624" s="691">
        <v>30.8</v>
      </c>
      <c r="E17624" s="691">
        <v>31.2</v>
      </c>
      <c r="F17624" s="691">
        <v>31.1</v>
      </c>
      <c r="G17624" s="691">
        <v>31.2</v>
      </c>
      <c r="H17624" s="692" t="s">
        <v>4060</v>
      </c>
      <c r="I17624" s="692" t="s">
        <v>4060</v>
      </c>
      <c r="J17624" s="692" t="s">
        <v>4060</v>
      </c>
      <c r="K17624" s="692" t="s">
        <v>4060</v>
      </c>
    </row>
    <row r="17625" spans="1:11">
      <c r="A17625" s="688" t="s">
        <v>4063</v>
      </c>
      <c r="B17625" s="689">
        <v>30.9</v>
      </c>
      <c r="C17625" s="689">
        <v>31.3</v>
      </c>
      <c r="D17625" s="689">
        <v>30.9</v>
      </c>
      <c r="E17625" s="689">
        <v>31.3</v>
      </c>
      <c r="F17625" s="689">
        <v>31.1</v>
      </c>
      <c r="G17625" s="689">
        <v>31.2</v>
      </c>
      <c r="H17625" s="690" t="s">
        <v>4060</v>
      </c>
      <c r="I17625" s="690" t="s">
        <v>4060</v>
      </c>
      <c r="J17625" s="690" t="s">
        <v>4060</v>
      </c>
      <c r="K17625" s="690" t="s">
        <v>4060</v>
      </c>
    </row>
    <row r="17626" spans="1:11">
      <c r="A17626" s="688" t="s">
        <v>4069</v>
      </c>
      <c r="B17626" s="692" t="s">
        <v>4060</v>
      </c>
      <c r="C17626" s="691">
        <v>31.7</v>
      </c>
      <c r="D17626" s="691">
        <v>31.4</v>
      </c>
      <c r="E17626" s="691">
        <v>31.7</v>
      </c>
      <c r="F17626" s="691">
        <v>31.6</v>
      </c>
      <c r="G17626" s="691">
        <v>31.8</v>
      </c>
      <c r="H17626" s="615">
        <v>32</v>
      </c>
      <c r="I17626" s="691">
        <v>31.4</v>
      </c>
      <c r="J17626" s="691">
        <v>31.4</v>
      </c>
      <c r="K17626" s="691">
        <v>31.4</v>
      </c>
    </row>
    <row r="17627" spans="1:11">
      <c r="A17627" s="688" t="s">
        <v>4068</v>
      </c>
      <c r="B17627" s="689">
        <v>31.8</v>
      </c>
      <c r="C17627" s="690" t="s">
        <v>4060</v>
      </c>
      <c r="D17627" s="690" t="s">
        <v>4060</v>
      </c>
      <c r="E17627" s="690" t="s">
        <v>4060</v>
      </c>
      <c r="F17627" s="690" t="s">
        <v>4060</v>
      </c>
      <c r="G17627" s="690" t="s">
        <v>4060</v>
      </c>
      <c r="H17627" s="690" t="s">
        <v>4060</v>
      </c>
      <c r="I17627" s="690" t="s">
        <v>4060</v>
      </c>
      <c r="J17627" s="690" t="s">
        <v>4060</v>
      </c>
      <c r="K17627" s="690" t="s">
        <v>4060</v>
      </c>
    </row>
    <row r="17628" spans="1:11">
      <c r="A17628" s="688" t="s">
        <v>0</v>
      </c>
      <c r="B17628" s="691">
        <v>30.9</v>
      </c>
      <c r="C17628" s="691">
        <v>31.1</v>
      </c>
      <c r="D17628" s="691">
        <v>30.8</v>
      </c>
      <c r="E17628" s="691">
        <v>31.2</v>
      </c>
      <c r="F17628" s="691">
        <v>31.2</v>
      </c>
      <c r="G17628" s="691">
        <v>31.3</v>
      </c>
      <c r="H17628" s="691">
        <v>31.5</v>
      </c>
      <c r="I17628" s="691">
        <v>30.5</v>
      </c>
      <c r="J17628" s="691">
        <v>31.6</v>
      </c>
      <c r="K17628" s="691">
        <v>31.2</v>
      </c>
    </row>
    <row r="17629" spans="1:11">
      <c r="A17629" s="688" t="s">
        <v>1</v>
      </c>
      <c r="B17629" s="689">
        <v>27.1</v>
      </c>
      <c r="C17629" s="689">
        <v>26.7</v>
      </c>
      <c r="D17629" s="689">
        <v>26.7</v>
      </c>
      <c r="E17629" s="689">
        <v>26.9</v>
      </c>
      <c r="F17629" s="689">
        <v>26.8</v>
      </c>
      <c r="G17629" s="693">
        <v>27</v>
      </c>
      <c r="H17629" s="689">
        <v>27.1</v>
      </c>
      <c r="I17629" s="689">
        <v>25.9</v>
      </c>
      <c r="J17629" s="689">
        <v>24.1</v>
      </c>
      <c r="K17629" s="689">
        <v>26.5</v>
      </c>
    </row>
    <row r="17630" spans="1:11">
      <c r="A17630" s="688" t="s">
        <v>2240</v>
      </c>
      <c r="B17630" s="691">
        <v>28.8</v>
      </c>
      <c r="C17630" s="691">
        <v>29.2</v>
      </c>
      <c r="D17630" s="691">
        <v>28.9</v>
      </c>
      <c r="E17630" s="691">
        <v>29.4</v>
      </c>
      <c r="F17630" s="691">
        <v>29.3</v>
      </c>
      <c r="G17630" s="691">
        <v>29.3</v>
      </c>
      <c r="H17630" s="691">
        <v>29.6</v>
      </c>
      <c r="I17630" s="691">
        <v>28.8</v>
      </c>
      <c r="J17630" s="691">
        <v>28.1</v>
      </c>
      <c r="K17630" s="691">
        <v>29.4</v>
      </c>
    </row>
    <row r="17631" spans="1:11">
      <c r="A17631" s="688" t="s">
        <v>2</v>
      </c>
      <c r="B17631" s="689">
        <v>29.9</v>
      </c>
      <c r="C17631" s="689">
        <v>30.1</v>
      </c>
      <c r="D17631" s="689">
        <v>30.1</v>
      </c>
      <c r="E17631" s="689">
        <v>30.2</v>
      </c>
      <c r="F17631" s="689">
        <v>30.5</v>
      </c>
      <c r="G17631" s="689">
        <v>30.3</v>
      </c>
      <c r="H17631" s="689">
        <v>30.7</v>
      </c>
      <c r="I17631" s="689">
        <v>30.8</v>
      </c>
      <c r="J17631" s="689">
        <v>30.6</v>
      </c>
      <c r="K17631" s="689">
        <v>30.4</v>
      </c>
    </row>
    <row r="17632" spans="1:11">
      <c r="A17632" s="688" t="s">
        <v>3</v>
      </c>
      <c r="B17632" s="691">
        <v>30.6</v>
      </c>
      <c r="C17632" s="691">
        <v>30.8</v>
      </c>
      <c r="D17632" s="691">
        <v>30.5</v>
      </c>
      <c r="E17632" s="691">
        <v>30.8</v>
      </c>
      <c r="F17632" s="691">
        <v>30.7</v>
      </c>
      <c r="G17632" s="691">
        <v>30.7</v>
      </c>
      <c r="H17632" s="615">
        <v>31</v>
      </c>
      <c r="I17632" s="691">
        <v>30.8</v>
      </c>
      <c r="J17632" s="691">
        <v>30.6</v>
      </c>
      <c r="K17632" s="691">
        <v>30.3</v>
      </c>
    </row>
    <row r="17633" spans="1:11">
      <c r="A17633" s="688" t="s">
        <v>4061</v>
      </c>
      <c r="B17633" s="689">
        <v>30.6</v>
      </c>
      <c r="C17633" s="689">
        <v>30.8</v>
      </c>
      <c r="D17633" s="689">
        <v>30.5</v>
      </c>
      <c r="E17633" s="689">
        <v>30.8</v>
      </c>
      <c r="F17633" s="689">
        <v>30.7</v>
      </c>
      <c r="G17633" s="689">
        <v>30.7</v>
      </c>
      <c r="H17633" s="693">
        <v>31</v>
      </c>
      <c r="I17633" s="689">
        <v>30.8</v>
      </c>
      <c r="J17633" s="689">
        <v>30.6</v>
      </c>
      <c r="K17633" s="689">
        <v>30.3</v>
      </c>
    </row>
    <row r="17634" spans="1:11">
      <c r="A17634" s="688" t="s">
        <v>4</v>
      </c>
      <c r="B17634" s="691">
        <v>29.6</v>
      </c>
      <c r="C17634" s="691">
        <v>29.5</v>
      </c>
      <c r="D17634" s="691">
        <v>29.8</v>
      </c>
      <c r="E17634" s="615">
        <v>30</v>
      </c>
      <c r="F17634" s="615">
        <v>30</v>
      </c>
      <c r="G17634" s="615">
        <v>30</v>
      </c>
      <c r="H17634" s="691">
        <v>30.5</v>
      </c>
      <c r="I17634" s="691">
        <v>30.4</v>
      </c>
      <c r="J17634" s="691">
        <v>29.2</v>
      </c>
      <c r="K17634" s="615">
        <v>30</v>
      </c>
    </row>
    <row r="17635" spans="1:11">
      <c r="A17635" s="688" t="s">
        <v>8</v>
      </c>
      <c r="B17635" s="689">
        <v>30.6</v>
      </c>
      <c r="C17635" s="689">
        <v>30.7</v>
      </c>
      <c r="D17635" s="689">
        <v>30.6</v>
      </c>
      <c r="E17635" s="689">
        <v>30.7</v>
      </c>
      <c r="F17635" s="689">
        <v>31.1</v>
      </c>
      <c r="G17635" s="689">
        <v>31.3</v>
      </c>
      <c r="H17635" s="689">
        <v>31.6</v>
      </c>
      <c r="I17635" s="689">
        <v>31.4</v>
      </c>
      <c r="J17635" s="689">
        <v>31.3</v>
      </c>
      <c r="K17635" s="689">
        <v>31.3</v>
      </c>
    </row>
    <row r="17636" spans="1:11">
      <c r="A17636" s="688" t="s">
        <v>7</v>
      </c>
      <c r="B17636" s="691">
        <v>31.5</v>
      </c>
      <c r="C17636" s="691">
        <v>31.2</v>
      </c>
      <c r="D17636" s="615">
        <v>31</v>
      </c>
      <c r="E17636" s="691">
        <v>31.2</v>
      </c>
      <c r="F17636" s="691">
        <v>31.1</v>
      </c>
      <c r="G17636" s="691">
        <v>31.6</v>
      </c>
      <c r="H17636" s="691">
        <v>31.5</v>
      </c>
      <c r="I17636" s="691">
        <v>31.1</v>
      </c>
      <c r="J17636" s="691">
        <v>30.3</v>
      </c>
      <c r="K17636" s="691">
        <v>30.7</v>
      </c>
    </row>
    <row r="17637" spans="1:11">
      <c r="A17637" s="688" t="s">
        <v>27</v>
      </c>
      <c r="B17637" s="689">
        <v>33.4</v>
      </c>
      <c r="C17637" s="689">
        <v>32.9</v>
      </c>
      <c r="D17637" s="689">
        <v>32.6</v>
      </c>
      <c r="E17637" s="693">
        <v>33</v>
      </c>
      <c r="F17637" s="689">
        <v>32.9</v>
      </c>
      <c r="G17637" s="693">
        <v>33</v>
      </c>
      <c r="H17637" s="689">
        <v>33.4</v>
      </c>
      <c r="I17637" s="689">
        <v>32.200000000000003</v>
      </c>
      <c r="J17637" s="693">
        <v>33</v>
      </c>
      <c r="K17637" s="689">
        <v>32.9</v>
      </c>
    </row>
    <row r="17638" spans="1:11">
      <c r="A17638" s="688" t="s">
        <v>6</v>
      </c>
      <c r="B17638" s="691">
        <v>33.299999999999997</v>
      </c>
      <c r="C17638" s="691">
        <v>33.1</v>
      </c>
      <c r="D17638" s="691">
        <v>32.799999999999997</v>
      </c>
      <c r="E17638" s="615">
        <v>33</v>
      </c>
      <c r="F17638" s="615">
        <v>33</v>
      </c>
      <c r="G17638" s="691">
        <v>33.1</v>
      </c>
      <c r="H17638" s="691">
        <v>33.200000000000003</v>
      </c>
      <c r="I17638" s="691">
        <v>32.700000000000003</v>
      </c>
      <c r="J17638" s="691">
        <v>32.799999999999997</v>
      </c>
      <c r="K17638" s="691">
        <v>32.700000000000003</v>
      </c>
    </row>
    <row r="17639" spans="1:11">
      <c r="A17639" s="688" t="s">
        <v>4058</v>
      </c>
      <c r="B17639" s="690" t="s">
        <v>4060</v>
      </c>
      <c r="C17639" s="690" t="s">
        <v>4060</v>
      </c>
      <c r="D17639" s="690" t="s">
        <v>4060</v>
      </c>
      <c r="E17639" s="690" t="s">
        <v>4060</v>
      </c>
      <c r="F17639" s="690" t="s">
        <v>4060</v>
      </c>
      <c r="G17639" s="690" t="s">
        <v>4060</v>
      </c>
      <c r="H17639" s="690" t="s">
        <v>4060</v>
      </c>
      <c r="I17639" s="690" t="s">
        <v>4060</v>
      </c>
      <c r="J17639" s="690" t="s">
        <v>4060</v>
      </c>
      <c r="K17639" s="690" t="s">
        <v>4060</v>
      </c>
    </row>
    <row r="17640" spans="1:11">
      <c r="A17640" s="688" t="s">
        <v>11</v>
      </c>
      <c r="B17640" s="691">
        <v>28.7</v>
      </c>
      <c r="C17640" s="691">
        <v>28.5</v>
      </c>
      <c r="D17640" s="691">
        <v>28.1</v>
      </c>
      <c r="E17640" s="691">
        <v>28.6</v>
      </c>
      <c r="F17640" s="691">
        <v>28.3</v>
      </c>
      <c r="G17640" s="691">
        <v>28.7</v>
      </c>
      <c r="H17640" s="691">
        <v>28.9</v>
      </c>
      <c r="I17640" s="691">
        <v>28.2</v>
      </c>
      <c r="J17640" s="691">
        <v>27.5</v>
      </c>
      <c r="K17640" s="691">
        <v>28.3</v>
      </c>
    </row>
    <row r="17641" spans="1:11">
      <c r="A17641" s="688" t="s">
        <v>10</v>
      </c>
      <c r="B17641" s="689">
        <v>32.5</v>
      </c>
      <c r="C17641" s="689">
        <v>32.299999999999997</v>
      </c>
      <c r="D17641" s="689">
        <v>31.8</v>
      </c>
      <c r="E17641" s="689">
        <v>32.4</v>
      </c>
      <c r="F17641" s="689">
        <v>32.1</v>
      </c>
      <c r="G17641" s="689">
        <v>32.5</v>
      </c>
      <c r="H17641" s="689">
        <v>32.6</v>
      </c>
      <c r="I17641" s="689">
        <v>31.6</v>
      </c>
      <c r="J17641" s="693">
        <v>32</v>
      </c>
      <c r="K17641" s="689">
        <v>31.9</v>
      </c>
    </row>
    <row r="17642" spans="1:11">
      <c r="A17642" s="688" t="s">
        <v>30</v>
      </c>
      <c r="B17642" s="691">
        <v>31.8</v>
      </c>
      <c r="C17642" s="691">
        <v>31.2</v>
      </c>
      <c r="D17642" s="691">
        <v>30.9</v>
      </c>
      <c r="E17642" s="691">
        <v>31.8</v>
      </c>
      <c r="F17642" s="691">
        <v>31.4</v>
      </c>
      <c r="G17642" s="691">
        <v>31.8</v>
      </c>
      <c r="H17642" s="691">
        <v>31.7</v>
      </c>
      <c r="I17642" s="691">
        <v>31.7</v>
      </c>
      <c r="J17642" s="615">
        <v>31</v>
      </c>
      <c r="K17642" s="691">
        <v>31.2</v>
      </c>
    </row>
    <row r="17643" spans="1:11">
      <c r="A17643" s="688" t="s">
        <v>12</v>
      </c>
      <c r="B17643" s="689">
        <v>27.7</v>
      </c>
      <c r="C17643" s="689">
        <v>27.9</v>
      </c>
      <c r="D17643" s="689">
        <v>27.8</v>
      </c>
      <c r="E17643" s="693">
        <v>28</v>
      </c>
      <c r="F17643" s="693">
        <v>28</v>
      </c>
      <c r="G17643" s="693">
        <v>28</v>
      </c>
      <c r="H17643" s="689">
        <v>28.4</v>
      </c>
      <c r="I17643" s="689">
        <v>28.2</v>
      </c>
      <c r="J17643" s="689">
        <v>26.5</v>
      </c>
      <c r="K17643" s="689">
        <v>27.9</v>
      </c>
    </row>
    <row r="17644" spans="1:11">
      <c r="A17644" s="688" t="s">
        <v>14</v>
      </c>
      <c r="B17644" s="691">
        <v>28.3</v>
      </c>
      <c r="C17644" s="691">
        <v>28.3</v>
      </c>
      <c r="D17644" s="691">
        <v>28.1</v>
      </c>
      <c r="E17644" s="691">
        <v>28.3</v>
      </c>
      <c r="F17644" s="691">
        <v>28.6</v>
      </c>
      <c r="G17644" s="691">
        <v>28.7</v>
      </c>
      <c r="H17644" s="615">
        <v>29</v>
      </c>
      <c r="I17644" s="691">
        <v>28.2</v>
      </c>
      <c r="J17644" s="691">
        <v>27.2</v>
      </c>
      <c r="K17644" s="691">
        <v>28.4</v>
      </c>
    </row>
    <row r="17645" spans="1:11">
      <c r="A17645" s="688" t="s">
        <v>15</v>
      </c>
      <c r="B17645" s="689">
        <v>31.6</v>
      </c>
      <c r="C17645" s="689">
        <v>31.8</v>
      </c>
      <c r="D17645" s="689">
        <v>31.2</v>
      </c>
      <c r="E17645" s="693">
        <v>32</v>
      </c>
      <c r="F17645" s="689">
        <v>31.3</v>
      </c>
      <c r="G17645" s="689">
        <v>31.7</v>
      </c>
      <c r="H17645" s="689">
        <v>31.9</v>
      </c>
      <c r="I17645" s="689">
        <v>31.7</v>
      </c>
      <c r="J17645" s="693">
        <v>32</v>
      </c>
      <c r="K17645" s="693">
        <v>32</v>
      </c>
    </row>
    <row r="17646" spans="1:11">
      <c r="A17646" s="688" t="s">
        <v>29</v>
      </c>
      <c r="B17646" s="691">
        <v>27.3</v>
      </c>
      <c r="C17646" s="691">
        <v>27.2</v>
      </c>
      <c r="D17646" s="691">
        <v>26.8</v>
      </c>
      <c r="E17646" s="691">
        <v>27.4</v>
      </c>
      <c r="F17646" s="691">
        <v>27.1</v>
      </c>
      <c r="G17646" s="691">
        <v>27.2</v>
      </c>
      <c r="H17646" s="691">
        <v>27.3</v>
      </c>
      <c r="I17646" s="691">
        <v>26.6</v>
      </c>
      <c r="J17646" s="691">
        <v>25.7</v>
      </c>
      <c r="K17646" s="615">
        <v>27</v>
      </c>
    </row>
    <row r="17647" spans="1:11">
      <c r="A17647" s="688" t="s">
        <v>16</v>
      </c>
      <c r="B17647" s="689">
        <v>31.4</v>
      </c>
      <c r="C17647" s="689">
        <v>31.2</v>
      </c>
      <c r="D17647" s="689">
        <v>31.2</v>
      </c>
      <c r="E17647" s="689">
        <v>31.5</v>
      </c>
      <c r="F17647" s="689">
        <v>31.6</v>
      </c>
      <c r="G17647" s="689">
        <v>31.5</v>
      </c>
      <c r="H17647" s="693">
        <v>32</v>
      </c>
      <c r="I17647" s="689">
        <v>31.4</v>
      </c>
      <c r="J17647" s="693">
        <v>31</v>
      </c>
      <c r="K17647" s="689">
        <v>31.4</v>
      </c>
    </row>
    <row r="17648" spans="1:11">
      <c r="A17648" s="688" t="s">
        <v>17</v>
      </c>
      <c r="B17648" s="691">
        <v>30.7</v>
      </c>
      <c r="C17648" s="691">
        <v>30.8</v>
      </c>
      <c r="D17648" s="691">
        <v>30.5</v>
      </c>
      <c r="E17648" s="691">
        <v>30.6</v>
      </c>
      <c r="F17648" s="691">
        <v>30.7</v>
      </c>
      <c r="G17648" s="691">
        <v>30.7</v>
      </c>
      <c r="H17648" s="615">
        <v>31</v>
      </c>
      <c r="I17648" s="691">
        <v>30.5</v>
      </c>
      <c r="J17648" s="691">
        <v>30.4</v>
      </c>
      <c r="K17648" s="691">
        <v>30.5</v>
      </c>
    </row>
    <row r="17649" spans="1:11">
      <c r="A17649" s="688" t="s">
        <v>19</v>
      </c>
      <c r="B17649" s="689">
        <v>31.2</v>
      </c>
      <c r="C17649" s="689">
        <v>31.2</v>
      </c>
      <c r="D17649" s="693">
        <v>31</v>
      </c>
      <c r="E17649" s="689">
        <v>31.3</v>
      </c>
      <c r="F17649" s="689">
        <v>31.2</v>
      </c>
      <c r="G17649" s="689">
        <v>31.4</v>
      </c>
      <c r="H17649" s="689">
        <v>31.5</v>
      </c>
      <c r="I17649" s="693">
        <v>31</v>
      </c>
      <c r="J17649" s="689">
        <v>31.1</v>
      </c>
      <c r="K17649" s="689">
        <v>31.1</v>
      </c>
    </row>
    <row r="17650" spans="1:11">
      <c r="A17650" s="688" t="s">
        <v>20</v>
      </c>
      <c r="B17650" s="691">
        <v>29.1</v>
      </c>
      <c r="C17650" s="691">
        <v>29.3</v>
      </c>
      <c r="D17650" s="691">
        <v>29.1</v>
      </c>
      <c r="E17650" s="691">
        <v>29.5</v>
      </c>
      <c r="F17650" s="691">
        <v>29.3</v>
      </c>
      <c r="G17650" s="691">
        <v>29.2</v>
      </c>
      <c r="H17650" s="691">
        <v>29.5</v>
      </c>
      <c r="I17650" s="691">
        <v>28.3</v>
      </c>
      <c r="J17650" s="691">
        <v>27.4</v>
      </c>
      <c r="K17650" s="691">
        <v>28.8</v>
      </c>
    </row>
    <row r="17651" spans="1:11">
      <c r="A17651" s="688" t="s">
        <v>21</v>
      </c>
      <c r="B17651" s="689">
        <v>31.5</v>
      </c>
      <c r="C17651" s="689">
        <v>31.8</v>
      </c>
      <c r="D17651" s="689">
        <v>31.7</v>
      </c>
      <c r="E17651" s="689">
        <v>31.8</v>
      </c>
      <c r="F17651" s="693">
        <v>32</v>
      </c>
      <c r="G17651" s="693">
        <v>32</v>
      </c>
      <c r="H17651" s="689">
        <v>32.200000000000003</v>
      </c>
      <c r="I17651" s="689">
        <v>31.7</v>
      </c>
      <c r="J17651" s="689">
        <v>31.7</v>
      </c>
      <c r="K17651" s="689">
        <v>31.9</v>
      </c>
    </row>
    <row r="17652" spans="1:11">
      <c r="A17652" s="688" t="s">
        <v>22</v>
      </c>
      <c r="B17652" s="691">
        <v>27.3</v>
      </c>
      <c r="C17652" s="691">
        <v>27.1</v>
      </c>
      <c r="D17652" s="691">
        <v>27.1</v>
      </c>
      <c r="E17652" s="691">
        <v>27.3</v>
      </c>
      <c r="F17652" s="691">
        <v>27.3</v>
      </c>
      <c r="G17652" s="691">
        <v>27.4</v>
      </c>
      <c r="H17652" s="691">
        <v>27.7</v>
      </c>
      <c r="I17652" s="691">
        <v>26.6</v>
      </c>
      <c r="J17652" s="691">
        <v>25.1</v>
      </c>
      <c r="K17652" s="691">
        <v>27.3</v>
      </c>
    </row>
    <row r="17653" spans="1:11">
      <c r="A17653" s="688" t="s">
        <v>26</v>
      </c>
      <c r="B17653" s="693">
        <v>31</v>
      </c>
      <c r="C17653" s="689">
        <v>30.9</v>
      </c>
      <c r="D17653" s="689">
        <v>30.8</v>
      </c>
      <c r="E17653" s="689">
        <v>31.1</v>
      </c>
      <c r="F17653" s="693">
        <v>31</v>
      </c>
      <c r="G17653" s="689">
        <v>31.2</v>
      </c>
      <c r="H17653" s="689">
        <v>31.3</v>
      </c>
      <c r="I17653" s="689">
        <v>30.5</v>
      </c>
      <c r="J17653" s="689">
        <v>30.9</v>
      </c>
      <c r="K17653" s="689">
        <v>31.1</v>
      </c>
    </row>
    <row r="17654" spans="1:11">
      <c r="A17654" s="688" t="s">
        <v>25</v>
      </c>
      <c r="B17654" s="691">
        <v>28.2</v>
      </c>
      <c r="C17654" s="691">
        <v>28.3</v>
      </c>
      <c r="D17654" s="615">
        <v>28</v>
      </c>
      <c r="E17654" s="691">
        <v>28.5</v>
      </c>
      <c r="F17654" s="691">
        <v>28.5</v>
      </c>
      <c r="G17654" s="691">
        <v>28.6</v>
      </c>
      <c r="H17654" s="615">
        <v>29</v>
      </c>
      <c r="I17654" s="691">
        <v>28.3</v>
      </c>
      <c r="J17654" s="691">
        <v>26.2</v>
      </c>
      <c r="K17654" s="691">
        <v>28.3</v>
      </c>
    </row>
    <row r="17655" spans="1:11">
      <c r="A17655" s="688" t="s">
        <v>5</v>
      </c>
      <c r="B17655" s="689">
        <v>31.6</v>
      </c>
      <c r="C17655" s="689">
        <v>31.3</v>
      </c>
      <c r="D17655" s="689">
        <v>31.5</v>
      </c>
      <c r="E17655" s="689">
        <v>31.5</v>
      </c>
      <c r="F17655" s="689">
        <v>31.6</v>
      </c>
      <c r="G17655" s="689">
        <v>31.7</v>
      </c>
      <c r="H17655" s="693">
        <v>32</v>
      </c>
      <c r="I17655" s="689">
        <v>31.9</v>
      </c>
      <c r="J17655" s="689">
        <v>31.8</v>
      </c>
      <c r="K17655" s="689">
        <v>31.2</v>
      </c>
    </row>
    <row r="17656" spans="1:11">
      <c r="A17656" s="688" t="s">
        <v>23</v>
      </c>
      <c r="B17656" s="691">
        <v>31.1</v>
      </c>
      <c r="C17656" s="691">
        <v>31.3</v>
      </c>
      <c r="D17656" s="691">
        <v>31.3</v>
      </c>
      <c r="E17656" s="691">
        <v>31.4</v>
      </c>
      <c r="F17656" s="691">
        <v>31.4</v>
      </c>
      <c r="G17656" s="691">
        <v>31.5</v>
      </c>
      <c r="H17656" s="691">
        <v>31.9</v>
      </c>
      <c r="I17656" s="691">
        <v>31.5</v>
      </c>
      <c r="J17656" s="615">
        <v>32</v>
      </c>
      <c r="K17656" s="691">
        <v>31.9</v>
      </c>
    </row>
    <row r="17657" spans="1:11">
      <c r="A17657" s="688" t="s">
        <v>4067</v>
      </c>
      <c r="B17657" s="689">
        <v>30.9</v>
      </c>
      <c r="C17657" s="689">
        <v>31.2</v>
      </c>
      <c r="D17657" s="689">
        <v>30.8</v>
      </c>
      <c r="E17657" s="689">
        <v>31.2</v>
      </c>
      <c r="F17657" s="689">
        <v>31.1</v>
      </c>
      <c r="G17657" s="689">
        <v>31.2</v>
      </c>
      <c r="H17657" s="690" t="s">
        <v>4060</v>
      </c>
      <c r="I17657" s="690" t="s">
        <v>4060</v>
      </c>
      <c r="J17657" s="690" t="s">
        <v>4060</v>
      </c>
      <c r="K17657" s="690" t="s">
        <v>4060</v>
      </c>
    </row>
    <row r="17658" spans="1:11">
      <c r="A17658" s="688" t="s">
        <v>4066</v>
      </c>
      <c r="B17658" s="691">
        <v>30.9</v>
      </c>
      <c r="C17658" s="691">
        <v>31.3</v>
      </c>
      <c r="D17658" s="691">
        <v>30.9</v>
      </c>
      <c r="E17658" s="691">
        <v>31.3</v>
      </c>
      <c r="F17658" s="691">
        <v>31.1</v>
      </c>
      <c r="G17658" s="691">
        <v>31.2</v>
      </c>
      <c r="H17658" s="692" t="s">
        <v>4060</v>
      </c>
      <c r="I17658" s="692" t="s">
        <v>4060</v>
      </c>
      <c r="J17658" s="692" t="s">
        <v>4060</v>
      </c>
      <c r="K17658" s="692" t="s">
        <v>4060</v>
      </c>
    </row>
    <row r="17659" spans="1:11">
      <c r="A17659" s="688" t="s">
        <v>4062</v>
      </c>
      <c r="B17659" s="689">
        <v>31.9</v>
      </c>
      <c r="C17659" s="693">
        <v>32</v>
      </c>
      <c r="D17659" s="689">
        <v>31.9</v>
      </c>
      <c r="E17659" s="689">
        <v>32.1</v>
      </c>
      <c r="F17659" s="689">
        <v>32.200000000000003</v>
      </c>
      <c r="G17659" s="689">
        <v>32.299999999999997</v>
      </c>
      <c r="H17659" s="689">
        <v>32.4</v>
      </c>
      <c r="I17659" s="689">
        <v>32.200000000000003</v>
      </c>
      <c r="J17659" s="689">
        <v>32.4</v>
      </c>
      <c r="K17659" s="689">
        <v>32.200000000000003</v>
      </c>
    </row>
    <row r="17660" spans="1:11">
      <c r="A17660" s="688" t="s">
        <v>9</v>
      </c>
      <c r="B17660" s="615">
        <v>31</v>
      </c>
      <c r="C17660" s="691">
        <v>31.5</v>
      </c>
      <c r="D17660" s="691">
        <v>30.9</v>
      </c>
      <c r="E17660" s="691">
        <v>30.8</v>
      </c>
      <c r="F17660" s="691">
        <v>31.3</v>
      </c>
      <c r="G17660" s="691">
        <v>31.4</v>
      </c>
      <c r="H17660" s="691">
        <v>31.7</v>
      </c>
      <c r="I17660" s="691">
        <v>31.7</v>
      </c>
      <c r="J17660" s="691">
        <v>31.8</v>
      </c>
      <c r="K17660" s="615">
        <v>31</v>
      </c>
    </row>
    <row r="17661" spans="1:11">
      <c r="A17661" s="688" t="s">
        <v>13</v>
      </c>
      <c r="B17661" s="693">
        <v>32</v>
      </c>
      <c r="C17661" s="689">
        <v>30.5</v>
      </c>
      <c r="D17661" s="689">
        <v>31.3</v>
      </c>
      <c r="E17661" s="689">
        <v>31.7</v>
      </c>
      <c r="F17661" s="689">
        <v>32.299999999999997</v>
      </c>
      <c r="G17661" s="689">
        <v>32.299999999999997</v>
      </c>
      <c r="H17661" s="693">
        <v>32</v>
      </c>
      <c r="I17661" s="689">
        <v>31.4</v>
      </c>
      <c r="J17661" s="689">
        <v>32.700000000000003</v>
      </c>
      <c r="K17661" s="689">
        <v>32.200000000000003</v>
      </c>
    </row>
    <row r="17662" spans="1:11">
      <c r="A17662" s="688" t="s">
        <v>18</v>
      </c>
      <c r="B17662" s="691">
        <v>31.1</v>
      </c>
      <c r="C17662" s="691">
        <v>31.4</v>
      </c>
      <c r="D17662" s="691">
        <v>31.4</v>
      </c>
      <c r="E17662" s="691">
        <v>31.4</v>
      </c>
      <c r="F17662" s="691">
        <v>31.5</v>
      </c>
      <c r="G17662" s="691">
        <v>31.7</v>
      </c>
      <c r="H17662" s="691">
        <v>31.8</v>
      </c>
      <c r="I17662" s="691">
        <v>32.1</v>
      </c>
      <c r="J17662" s="691">
        <v>31.9</v>
      </c>
      <c r="K17662" s="691">
        <v>31.5</v>
      </c>
    </row>
    <row r="17663" spans="1:11">
      <c r="A17663" s="688" t="s">
        <v>24</v>
      </c>
      <c r="B17663" s="689">
        <v>32.299999999999997</v>
      </c>
      <c r="C17663" s="689">
        <v>32.4</v>
      </c>
      <c r="D17663" s="689">
        <v>32.200000000000003</v>
      </c>
      <c r="E17663" s="689">
        <v>32.5</v>
      </c>
      <c r="F17663" s="689">
        <v>32.6</v>
      </c>
      <c r="G17663" s="689">
        <v>32.6</v>
      </c>
      <c r="H17663" s="689">
        <v>32.700000000000003</v>
      </c>
      <c r="I17663" s="689">
        <v>32.299999999999997</v>
      </c>
      <c r="J17663" s="689">
        <v>32.700000000000003</v>
      </c>
      <c r="K17663" s="689">
        <v>32.6</v>
      </c>
    </row>
    <row r="17664" spans="1:11">
      <c r="A17664" s="688" t="s">
        <v>4059</v>
      </c>
      <c r="B17664" s="691">
        <v>30.6</v>
      </c>
      <c r="C17664" s="691">
        <v>30.9</v>
      </c>
      <c r="D17664" s="691">
        <v>30.5</v>
      </c>
      <c r="E17664" s="691">
        <v>30.7</v>
      </c>
      <c r="F17664" s="691">
        <v>30.8</v>
      </c>
      <c r="G17664" s="691">
        <v>30.8</v>
      </c>
      <c r="H17664" s="692" t="s">
        <v>4060</v>
      </c>
      <c r="I17664" s="692" t="s">
        <v>4060</v>
      </c>
      <c r="J17664" s="692" t="s">
        <v>4060</v>
      </c>
      <c r="K17664" s="692" t="s">
        <v>4060</v>
      </c>
    </row>
    <row r="17665" spans="1:11">
      <c r="A17665" s="688" t="s">
        <v>2324</v>
      </c>
      <c r="B17665" s="689">
        <v>26.9</v>
      </c>
      <c r="C17665" s="693">
        <v>27</v>
      </c>
      <c r="D17665" s="689">
        <v>26.4</v>
      </c>
      <c r="E17665" s="689">
        <v>26.7</v>
      </c>
      <c r="F17665" s="693">
        <v>27</v>
      </c>
      <c r="G17665" s="689">
        <v>26.9</v>
      </c>
      <c r="H17665" s="689">
        <v>27.2</v>
      </c>
      <c r="I17665" s="689">
        <v>26.6</v>
      </c>
      <c r="J17665" s="689">
        <v>24.6</v>
      </c>
      <c r="K17665" s="690" t="s">
        <v>4060</v>
      </c>
    </row>
    <row r="17666" spans="1:11">
      <c r="A17666" s="688" t="s">
        <v>2322</v>
      </c>
      <c r="B17666" s="692" t="s">
        <v>4060</v>
      </c>
      <c r="C17666" s="692" t="s">
        <v>4060</v>
      </c>
      <c r="D17666" s="692" t="s">
        <v>4060</v>
      </c>
      <c r="E17666" s="692" t="s">
        <v>4060</v>
      </c>
      <c r="F17666" s="692" t="s">
        <v>4060</v>
      </c>
      <c r="G17666" s="692" t="s">
        <v>4060</v>
      </c>
      <c r="H17666" s="692" t="s">
        <v>4060</v>
      </c>
      <c r="I17666" s="692" t="s">
        <v>4060</v>
      </c>
      <c r="J17666" s="692" t="s">
        <v>4060</v>
      </c>
      <c r="K17666" s="692" t="s">
        <v>4060</v>
      </c>
    </row>
    <row r="17667" spans="1:11">
      <c r="A17667" s="688" t="s">
        <v>2328</v>
      </c>
      <c r="B17667" s="689">
        <v>25.8</v>
      </c>
      <c r="C17667" s="689">
        <v>25.7</v>
      </c>
      <c r="D17667" s="689">
        <v>25.5</v>
      </c>
      <c r="E17667" s="689">
        <v>25.9</v>
      </c>
      <c r="F17667" s="693">
        <v>26</v>
      </c>
      <c r="G17667" s="689">
        <v>26.5</v>
      </c>
      <c r="H17667" s="689">
        <v>26.3</v>
      </c>
      <c r="I17667" s="689">
        <v>24.8</v>
      </c>
      <c r="J17667" s="689">
        <v>23.7</v>
      </c>
      <c r="K17667" s="690" t="s">
        <v>4060</v>
      </c>
    </row>
    <row r="17668" spans="1:11">
      <c r="A17668" s="688" t="s">
        <v>2496</v>
      </c>
      <c r="B17668" s="692" t="s">
        <v>4060</v>
      </c>
      <c r="C17668" s="691">
        <v>26.9</v>
      </c>
      <c r="D17668" s="615">
        <v>26</v>
      </c>
      <c r="E17668" s="691">
        <v>25.8</v>
      </c>
      <c r="F17668" s="691">
        <v>26.4</v>
      </c>
      <c r="G17668" s="691">
        <v>26.7</v>
      </c>
      <c r="H17668" s="691">
        <v>26.6</v>
      </c>
      <c r="I17668" s="692" t="s">
        <v>4060</v>
      </c>
      <c r="J17668" s="692" t="s">
        <v>4060</v>
      </c>
      <c r="K17668" s="691">
        <v>26.4</v>
      </c>
    </row>
    <row r="17669" spans="1:11">
      <c r="A17669" s="688" t="s">
        <v>2269</v>
      </c>
      <c r="B17669" s="689">
        <v>28.3</v>
      </c>
      <c r="C17669" s="689">
        <v>28.5</v>
      </c>
      <c r="D17669" s="689">
        <v>27.8</v>
      </c>
      <c r="E17669" s="689">
        <v>28.2</v>
      </c>
      <c r="F17669" s="689">
        <v>28.1</v>
      </c>
      <c r="G17669" s="689">
        <v>28.5</v>
      </c>
      <c r="H17669" s="689">
        <v>28.8</v>
      </c>
      <c r="I17669" s="689">
        <v>27.6</v>
      </c>
      <c r="J17669" s="689">
        <v>25.7</v>
      </c>
      <c r="K17669" s="689">
        <v>28.4</v>
      </c>
    </row>
    <row r="17670" spans="1:11">
      <c r="A17670" s="688" t="s">
        <v>2349</v>
      </c>
      <c r="B17670" s="615">
        <v>26</v>
      </c>
      <c r="C17670" s="691">
        <v>26.1</v>
      </c>
      <c r="D17670" s="615">
        <v>26</v>
      </c>
      <c r="E17670" s="691">
        <v>26.3</v>
      </c>
      <c r="F17670" s="691">
        <v>26.1</v>
      </c>
      <c r="G17670" s="691">
        <v>26.4</v>
      </c>
      <c r="H17670" s="691">
        <v>26.5</v>
      </c>
      <c r="I17670" s="691">
        <v>25.5</v>
      </c>
      <c r="J17670" s="691">
        <v>23.9</v>
      </c>
      <c r="K17670" s="691">
        <v>25.8</v>
      </c>
    </row>
    <row r="17671" spans="1:11">
      <c r="A17671" s="688" t="s">
        <v>2355</v>
      </c>
      <c r="B17671" s="689">
        <v>29.5</v>
      </c>
      <c r="C17671" s="689">
        <v>29.3</v>
      </c>
      <c r="D17671" s="689">
        <v>29.3</v>
      </c>
      <c r="E17671" s="689">
        <v>29.2</v>
      </c>
      <c r="F17671" s="689">
        <v>29.4</v>
      </c>
      <c r="G17671" s="689">
        <v>29.7</v>
      </c>
      <c r="H17671" s="689">
        <v>29.8</v>
      </c>
      <c r="I17671" s="690" t="s">
        <v>4060</v>
      </c>
      <c r="J17671" s="690" t="s">
        <v>4060</v>
      </c>
      <c r="K17671" s="690" t="s">
        <v>4060</v>
      </c>
    </row>
    <row r="17672" spans="1:11">
      <c r="A17672" s="688" t="s">
        <v>2357</v>
      </c>
      <c r="B17672" s="692" t="s">
        <v>4060</v>
      </c>
      <c r="C17672" s="691">
        <v>26.1</v>
      </c>
      <c r="D17672" s="691">
        <v>26.5</v>
      </c>
      <c r="E17672" s="691">
        <v>26.7</v>
      </c>
      <c r="F17672" s="615">
        <v>27</v>
      </c>
      <c r="G17672" s="615">
        <v>27</v>
      </c>
      <c r="H17672" s="691">
        <v>27.2</v>
      </c>
      <c r="I17672" s="692" t="s">
        <v>4060</v>
      </c>
      <c r="J17672" s="692" t="s">
        <v>4060</v>
      </c>
      <c r="K17672" s="692" t="s">
        <v>4060</v>
      </c>
    </row>
    <row r="17673" spans="1:11">
      <c r="A17673" s="688" t="s">
        <v>4070</v>
      </c>
      <c r="B17673" s="690" t="s">
        <v>4060</v>
      </c>
      <c r="C17673" s="690" t="s">
        <v>4060</v>
      </c>
      <c r="D17673" s="690" t="s">
        <v>4060</v>
      </c>
      <c r="E17673" s="689">
        <v>29.3</v>
      </c>
      <c r="F17673" s="690" t="s">
        <v>4060</v>
      </c>
      <c r="G17673" s="690" t="s">
        <v>4060</v>
      </c>
      <c r="H17673" s="690" t="s">
        <v>4060</v>
      </c>
      <c r="I17673" s="690" t="s">
        <v>4060</v>
      </c>
      <c r="J17673" s="690" t="s">
        <v>4060</v>
      </c>
      <c r="K17673" s="690" t="s">
        <v>4060</v>
      </c>
    </row>
    <row r="17674" spans="1:11">
      <c r="A17674" s="688" t="s">
        <v>2491</v>
      </c>
      <c r="B17674" s="691">
        <v>26.6</v>
      </c>
      <c r="C17674" s="691">
        <v>27.1</v>
      </c>
      <c r="D17674" s="691">
        <v>27.3</v>
      </c>
      <c r="E17674" s="691">
        <v>27.5</v>
      </c>
      <c r="F17674" s="691">
        <v>27.5</v>
      </c>
      <c r="G17674" s="691">
        <v>27.6</v>
      </c>
      <c r="H17674" s="692" t="s">
        <v>4060</v>
      </c>
      <c r="I17674" s="692" t="s">
        <v>4060</v>
      </c>
      <c r="J17674" s="692" t="s">
        <v>4060</v>
      </c>
      <c r="K17674" s="692" t="s">
        <v>4060</v>
      </c>
    </row>
    <row r="17675" spans="1:11">
      <c r="A17675" s="688" t="s">
        <v>2343</v>
      </c>
      <c r="B17675" s="690" t="s">
        <v>4060</v>
      </c>
      <c r="C17675" s="690" t="s">
        <v>4060</v>
      </c>
      <c r="D17675" s="690" t="s">
        <v>4060</v>
      </c>
      <c r="E17675" s="690" t="s">
        <v>4060</v>
      </c>
      <c r="F17675" s="690" t="s">
        <v>4060</v>
      </c>
      <c r="G17675" s="690" t="s">
        <v>4060</v>
      </c>
      <c r="H17675" s="690" t="s">
        <v>4060</v>
      </c>
      <c r="I17675" s="690" t="s">
        <v>4060</v>
      </c>
      <c r="J17675" s="690" t="s">
        <v>4060</v>
      </c>
      <c r="K17675" s="690" t="s">
        <v>4060</v>
      </c>
    </row>
    <row r="17676" spans="1:11">
      <c r="A17676" s="688" t="s">
        <v>4071</v>
      </c>
      <c r="B17676" s="692" t="s">
        <v>4060</v>
      </c>
      <c r="C17676" s="692" t="s">
        <v>4060</v>
      </c>
      <c r="D17676" s="692" t="s">
        <v>4060</v>
      </c>
      <c r="E17676" s="692" t="s">
        <v>4060</v>
      </c>
      <c r="F17676" s="692" t="s">
        <v>4060</v>
      </c>
      <c r="G17676" s="692" t="s">
        <v>4060</v>
      </c>
      <c r="H17676" s="692" t="s">
        <v>4060</v>
      </c>
      <c r="I17676" s="692" t="s">
        <v>4060</v>
      </c>
      <c r="J17676" s="692" t="s">
        <v>4060</v>
      </c>
      <c r="K17676" s="692" t="s">
        <v>4060</v>
      </c>
    </row>
    <row r="17677" spans="1:11">
      <c r="A17677" s="688" t="s">
        <v>2489</v>
      </c>
      <c r="B17677" s="690" t="s">
        <v>4060</v>
      </c>
      <c r="C17677" s="690" t="s">
        <v>4060</v>
      </c>
      <c r="D17677" s="689">
        <v>26.6</v>
      </c>
      <c r="E17677" s="689">
        <v>26.6</v>
      </c>
      <c r="F17677" s="689">
        <v>26.9</v>
      </c>
      <c r="G17677" s="689">
        <v>27.6</v>
      </c>
      <c r="H17677" s="689">
        <v>27.6</v>
      </c>
      <c r="I17677" s="690" t="s">
        <v>4060</v>
      </c>
      <c r="J17677" s="690" t="s">
        <v>4060</v>
      </c>
      <c r="K17677" s="690" t="s">
        <v>4060</v>
      </c>
    </row>
    <row r="17678" spans="1:11">
      <c r="A17678" s="688" t="s">
        <v>2490</v>
      </c>
      <c r="B17678" s="691">
        <v>25.8</v>
      </c>
      <c r="C17678" s="691">
        <v>25.8</v>
      </c>
      <c r="D17678" s="691">
        <v>26.3</v>
      </c>
      <c r="E17678" s="692" t="s">
        <v>4060</v>
      </c>
      <c r="F17678" s="691">
        <v>26.5</v>
      </c>
      <c r="G17678" s="691">
        <v>26.8</v>
      </c>
      <c r="H17678" s="691">
        <v>27.5</v>
      </c>
      <c r="I17678" s="692" t="s">
        <v>4060</v>
      </c>
      <c r="J17678" s="692" t="s">
        <v>4060</v>
      </c>
      <c r="K17678" s="692" t="s">
        <v>4060</v>
      </c>
    </row>
    <row r="17680" spans="1:11">
      <c r="A17680" s="683" t="s">
        <v>4233</v>
      </c>
    </row>
    <row r="17681" spans="1:11">
      <c r="A17681" s="683" t="s">
        <v>4060</v>
      </c>
      <c r="B17681" s="682" t="s">
        <v>4234</v>
      </c>
    </row>
    <row r="17683" spans="1:11">
      <c r="A17683" s="682" t="s">
        <v>4332</v>
      </c>
    </row>
    <row r="17684" spans="1:11">
      <c r="A17684" s="682" t="s">
        <v>4210</v>
      </c>
      <c r="B17684" s="683" t="s">
        <v>4211</v>
      </c>
    </row>
    <row r="17685" spans="1:11">
      <c r="A17685" s="682" t="s">
        <v>4212</v>
      </c>
      <c r="B17685" s="682" t="s">
        <v>4213</v>
      </c>
    </row>
    <row r="17687" spans="1:11">
      <c r="A17687" s="683" t="s">
        <v>4214</v>
      </c>
      <c r="C17687" s="682" t="s">
        <v>4215</v>
      </c>
    </row>
    <row r="17688" spans="1:11">
      <c r="A17688" s="683" t="s">
        <v>4216</v>
      </c>
      <c r="C17688" s="682" t="s">
        <v>2967</v>
      </c>
    </row>
    <row r="17689" spans="1:11">
      <c r="A17689" s="683" t="s">
        <v>3893</v>
      </c>
      <c r="C17689" s="682" t="s">
        <v>2169</v>
      </c>
    </row>
    <row r="17690" spans="1:11">
      <c r="A17690" s="683" t="s">
        <v>4218</v>
      </c>
      <c r="C17690" s="682" t="s">
        <v>4290</v>
      </c>
    </row>
    <row r="17692" spans="1:11">
      <c r="A17692" s="684" t="s">
        <v>4220</v>
      </c>
      <c r="B17692" s="685" t="s">
        <v>4221</v>
      </c>
      <c r="C17692" s="685" t="s">
        <v>4222</v>
      </c>
      <c r="D17692" s="685" t="s">
        <v>4223</v>
      </c>
      <c r="E17692" s="685" t="s">
        <v>4224</v>
      </c>
      <c r="F17692" s="685" t="s">
        <v>4225</v>
      </c>
      <c r="G17692" s="685" t="s">
        <v>4226</v>
      </c>
      <c r="H17692" s="685" t="s">
        <v>4227</v>
      </c>
      <c r="I17692" s="685" t="s">
        <v>4228</v>
      </c>
      <c r="J17692" s="685" t="s">
        <v>4229</v>
      </c>
      <c r="K17692" s="685" t="s">
        <v>4230</v>
      </c>
    </row>
    <row r="17693" spans="1:11">
      <c r="A17693" s="686" t="s">
        <v>4231</v>
      </c>
      <c r="B17693" s="687" t="s">
        <v>4232</v>
      </c>
      <c r="C17693" s="687" t="s">
        <v>4232</v>
      </c>
      <c r="D17693" s="687" t="s">
        <v>4232</v>
      </c>
      <c r="E17693" s="687" t="s">
        <v>4232</v>
      </c>
      <c r="F17693" s="687" t="s">
        <v>4232</v>
      </c>
      <c r="G17693" s="687" t="s">
        <v>4232</v>
      </c>
      <c r="H17693" s="687" t="s">
        <v>4232</v>
      </c>
      <c r="I17693" s="687" t="s">
        <v>4232</v>
      </c>
      <c r="J17693" s="687" t="s">
        <v>4232</v>
      </c>
      <c r="K17693" s="687" t="s">
        <v>4232</v>
      </c>
    </row>
    <row r="17694" spans="1:11">
      <c r="A17694" s="688" t="s">
        <v>4064</v>
      </c>
      <c r="B17694" s="691">
        <v>30.1</v>
      </c>
      <c r="C17694" s="615">
        <v>30</v>
      </c>
      <c r="D17694" s="615">
        <v>30</v>
      </c>
      <c r="E17694" s="691">
        <v>30.1</v>
      </c>
      <c r="F17694" s="615">
        <v>30</v>
      </c>
      <c r="G17694" s="691">
        <v>30.1</v>
      </c>
      <c r="H17694" s="691">
        <v>30.3</v>
      </c>
      <c r="I17694" s="691">
        <v>29.7</v>
      </c>
      <c r="J17694" s="691">
        <v>29.4</v>
      </c>
      <c r="K17694" s="691">
        <v>29.8</v>
      </c>
    </row>
    <row r="17695" spans="1:11">
      <c r="A17695" s="688" t="s">
        <v>4065</v>
      </c>
      <c r="B17695" s="693">
        <v>30</v>
      </c>
      <c r="C17695" s="689">
        <v>30.3</v>
      </c>
      <c r="D17695" s="689">
        <v>29.9</v>
      </c>
      <c r="E17695" s="689">
        <v>30.3</v>
      </c>
      <c r="F17695" s="689">
        <v>30.2</v>
      </c>
      <c r="G17695" s="689">
        <v>30.3</v>
      </c>
      <c r="H17695" s="690" t="s">
        <v>4060</v>
      </c>
      <c r="I17695" s="690" t="s">
        <v>4060</v>
      </c>
      <c r="J17695" s="690" t="s">
        <v>4060</v>
      </c>
      <c r="K17695" s="690" t="s">
        <v>4060</v>
      </c>
    </row>
    <row r="17696" spans="1:11">
      <c r="A17696" s="688" t="s">
        <v>4063</v>
      </c>
      <c r="B17696" s="615">
        <v>30</v>
      </c>
      <c r="C17696" s="691">
        <v>30.4</v>
      </c>
      <c r="D17696" s="615">
        <v>30</v>
      </c>
      <c r="E17696" s="691">
        <v>30.3</v>
      </c>
      <c r="F17696" s="691">
        <v>30.2</v>
      </c>
      <c r="G17696" s="691">
        <v>30.3</v>
      </c>
      <c r="H17696" s="692" t="s">
        <v>4060</v>
      </c>
      <c r="I17696" s="692" t="s">
        <v>4060</v>
      </c>
      <c r="J17696" s="692" t="s">
        <v>4060</v>
      </c>
      <c r="K17696" s="692" t="s">
        <v>4060</v>
      </c>
    </row>
    <row r="17697" spans="1:11">
      <c r="A17697" s="688" t="s">
        <v>4069</v>
      </c>
      <c r="B17697" s="690" t="s">
        <v>4060</v>
      </c>
      <c r="C17697" s="689">
        <v>30.8</v>
      </c>
      <c r="D17697" s="689">
        <v>30.4</v>
      </c>
      <c r="E17697" s="689">
        <v>30.8</v>
      </c>
      <c r="F17697" s="689">
        <v>30.7</v>
      </c>
      <c r="G17697" s="689">
        <v>30.8</v>
      </c>
      <c r="H17697" s="693">
        <v>31</v>
      </c>
      <c r="I17697" s="689">
        <v>30.5</v>
      </c>
      <c r="J17697" s="689">
        <v>30.5</v>
      </c>
      <c r="K17697" s="689">
        <v>30.5</v>
      </c>
    </row>
    <row r="17698" spans="1:11">
      <c r="A17698" s="688" t="s">
        <v>4068</v>
      </c>
      <c r="B17698" s="691">
        <v>30.9</v>
      </c>
      <c r="C17698" s="692" t="s">
        <v>4060</v>
      </c>
      <c r="D17698" s="692" t="s">
        <v>4060</v>
      </c>
      <c r="E17698" s="692" t="s">
        <v>4060</v>
      </c>
      <c r="F17698" s="692" t="s">
        <v>4060</v>
      </c>
      <c r="G17698" s="692" t="s">
        <v>4060</v>
      </c>
      <c r="H17698" s="692" t="s">
        <v>4060</v>
      </c>
      <c r="I17698" s="692" t="s">
        <v>4060</v>
      </c>
      <c r="J17698" s="692" t="s">
        <v>4060</v>
      </c>
      <c r="K17698" s="692" t="s">
        <v>4060</v>
      </c>
    </row>
    <row r="17699" spans="1:11">
      <c r="A17699" s="688" t="s">
        <v>0</v>
      </c>
      <c r="B17699" s="693">
        <v>30</v>
      </c>
      <c r="C17699" s="689">
        <v>30.2</v>
      </c>
      <c r="D17699" s="689">
        <v>29.9</v>
      </c>
      <c r="E17699" s="689">
        <v>30.3</v>
      </c>
      <c r="F17699" s="689">
        <v>30.3</v>
      </c>
      <c r="G17699" s="689">
        <v>30.4</v>
      </c>
      <c r="H17699" s="689">
        <v>30.6</v>
      </c>
      <c r="I17699" s="689">
        <v>29.6</v>
      </c>
      <c r="J17699" s="689">
        <v>30.6</v>
      </c>
      <c r="K17699" s="689">
        <v>30.3</v>
      </c>
    </row>
    <row r="17700" spans="1:11">
      <c r="A17700" s="688" t="s">
        <v>1</v>
      </c>
      <c r="B17700" s="691">
        <v>26.3</v>
      </c>
      <c r="C17700" s="691">
        <v>25.8</v>
      </c>
      <c r="D17700" s="691">
        <v>25.8</v>
      </c>
      <c r="E17700" s="691">
        <v>26.1</v>
      </c>
      <c r="F17700" s="691">
        <v>25.9</v>
      </c>
      <c r="G17700" s="691">
        <v>26.1</v>
      </c>
      <c r="H17700" s="691">
        <v>26.2</v>
      </c>
      <c r="I17700" s="615">
        <v>25</v>
      </c>
      <c r="J17700" s="691">
        <v>23.3</v>
      </c>
      <c r="K17700" s="691">
        <v>25.6</v>
      </c>
    </row>
    <row r="17701" spans="1:11">
      <c r="A17701" s="688" t="s">
        <v>2240</v>
      </c>
      <c r="B17701" s="689">
        <v>27.9</v>
      </c>
      <c r="C17701" s="689">
        <v>28.3</v>
      </c>
      <c r="D17701" s="693">
        <v>28</v>
      </c>
      <c r="E17701" s="689">
        <v>28.5</v>
      </c>
      <c r="F17701" s="689">
        <v>28.4</v>
      </c>
      <c r="G17701" s="689">
        <v>28.4</v>
      </c>
      <c r="H17701" s="689">
        <v>28.7</v>
      </c>
      <c r="I17701" s="689">
        <v>27.9</v>
      </c>
      <c r="J17701" s="689">
        <v>27.2</v>
      </c>
      <c r="K17701" s="689">
        <v>28.5</v>
      </c>
    </row>
    <row r="17702" spans="1:11">
      <c r="A17702" s="688" t="s">
        <v>2</v>
      </c>
      <c r="B17702" s="615">
        <v>29</v>
      </c>
      <c r="C17702" s="691">
        <v>29.2</v>
      </c>
      <c r="D17702" s="691">
        <v>29.2</v>
      </c>
      <c r="E17702" s="691">
        <v>29.3</v>
      </c>
      <c r="F17702" s="691">
        <v>29.6</v>
      </c>
      <c r="G17702" s="691">
        <v>29.4</v>
      </c>
      <c r="H17702" s="691">
        <v>29.7</v>
      </c>
      <c r="I17702" s="691">
        <v>29.8</v>
      </c>
      <c r="J17702" s="691">
        <v>29.7</v>
      </c>
      <c r="K17702" s="691">
        <v>29.5</v>
      </c>
    </row>
    <row r="17703" spans="1:11">
      <c r="A17703" s="688" t="s">
        <v>3</v>
      </c>
      <c r="B17703" s="689">
        <v>29.6</v>
      </c>
      <c r="C17703" s="689">
        <v>29.9</v>
      </c>
      <c r="D17703" s="689">
        <v>29.6</v>
      </c>
      <c r="E17703" s="689">
        <v>29.9</v>
      </c>
      <c r="F17703" s="689">
        <v>29.8</v>
      </c>
      <c r="G17703" s="689">
        <v>29.8</v>
      </c>
      <c r="H17703" s="693">
        <v>30</v>
      </c>
      <c r="I17703" s="689">
        <v>29.9</v>
      </c>
      <c r="J17703" s="689">
        <v>29.7</v>
      </c>
      <c r="K17703" s="689">
        <v>29.4</v>
      </c>
    </row>
    <row r="17704" spans="1:11">
      <c r="A17704" s="688" t="s">
        <v>4061</v>
      </c>
      <c r="B17704" s="691">
        <v>29.6</v>
      </c>
      <c r="C17704" s="691">
        <v>29.9</v>
      </c>
      <c r="D17704" s="691">
        <v>29.6</v>
      </c>
      <c r="E17704" s="691">
        <v>29.9</v>
      </c>
      <c r="F17704" s="691">
        <v>29.8</v>
      </c>
      <c r="G17704" s="691">
        <v>29.8</v>
      </c>
      <c r="H17704" s="615">
        <v>30</v>
      </c>
      <c r="I17704" s="691">
        <v>29.9</v>
      </c>
      <c r="J17704" s="691">
        <v>29.7</v>
      </c>
      <c r="K17704" s="691">
        <v>29.4</v>
      </c>
    </row>
    <row r="17705" spans="1:11">
      <c r="A17705" s="688" t="s">
        <v>4</v>
      </c>
      <c r="B17705" s="689">
        <v>28.8</v>
      </c>
      <c r="C17705" s="689">
        <v>28.6</v>
      </c>
      <c r="D17705" s="689">
        <v>28.8</v>
      </c>
      <c r="E17705" s="689">
        <v>29.1</v>
      </c>
      <c r="F17705" s="689">
        <v>29.1</v>
      </c>
      <c r="G17705" s="689">
        <v>29.1</v>
      </c>
      <c r="H17705" s="689">
        <v>29.6</v>
      </c>
      <c r="I17705" s="689">
        <v>29.5</v>
      </c>
      <c r="J17705" s="689">
        <v>28.3</v>
      </c>
      <c r="K17705" s="689">
        <v>29.1</v>
      </c>
    </row>
    <row r="17706" spans="1:11">
      <c r="A17706" s="688" t="s">
        <v>8</v>
      </c>
      <c r="B17706" s="691">
        <v>29.7</v>
      </c>
      <c r="C17706" s="691">
        <v>29.7</v>
      </c>
      <c r="D17706" s="691">
        <v>29.7</v>
      </c>
      <c r="E17706" s="691">
        <v>29.8</v>
      </c>
      <c r="F17706" s="691">
        <v>30.2</v>
      </c>
      <c r="G17706" s="691">
        <v>30.3</v>
      </c>
      <c r="H17706" s="691">
        <v>30.7</v>
      </c>
      <c r="I17706" s="691">
        <v>30.5</v>
      </c>
      <c r="J17706" s="691">
        <v>30.4</v>
      </c>
      <c r="K17706" s="691">
        <v>30.4</v>
      </c>
    </row>
    <row r="17707" spans="1:11">
      <c r="A17707" s="688" t="s">
        <v>7</v>
      </c>
      <c r="B17707" s="689">
        <v>30.6</v>
      </c>
      <c r="C17707" s="689">
        <v>30.3</v>
      </c>
      <c r="D17707" s="689">
        <v>30.1</v>
      </c>
      <c r="E17707" s="689">
        <v>30.3</v>
      </c>
      <c r="F17707" s="689">
        <v>30.2</v>
      </c>
      <c r="G17707" s="689">
        <v>30.7</v>
      </c>
      <c r="H17707" s="689">
        <v>30.6</v>
      </c>
      <c r="I17707" s="689">
        <v>30.2</v>
      </c>
      <c r="J17707" s="689">
        <v>29.4</v>
      </c>
      <c r="K17707" s="689">
        <v>29.8</v>
      </c>
    </row>
    <row r="17708" spans="1:11">
      <c r="A17708" s="688" t="s">
        <v>27</v>
      </c>
      <c r="B17708" s="691">
        <v>32.5</v>
      </c>
      <c r="C17708" s="615">
        <v>32</v>
      </c>
      <c r="D17708" s="691">
        <v>31.7</v>
      </c>
      <c r="E17708" s="691">
        <v>32.1</v>
      </c>
      <c r="F17708" s="615">
        <v>32</v>
      </c>
      <c r="G17708" s="691">
        <v>32.1</v>
      </c>
      <c r="H17708" s="691">
        <v>32.4</v>
      </c>
      <c r="I17708" s="691">
        <v>31.2</v>
      </c>
      <c r="J17708" s="691">
        <v>32.1</v>
      </c>
      <c r="K17708" s="615">
        <v>32</v>
      </c>
    </row>
    <row r="17709" spans="1:11">
      <c r="A17709" s="688" t="s">
        <v>6</v>
      </c>
      <c r="B17709" s="689">
        <v>32.4</v>
      </c>
      <c r="C17709" s="689">
        <v>32.1</v>
      </c>
      <c r="D17709" s="689">
        <v>31.9</v>
      </c>
      <c r="E17709" s="689">
        <v>32.1</v>
      </c>
      <c r="F17709" s="689">
        <v>32.1</v>
      </c>
      <c r="G17709" s="689">
        <v>32.200000000000003</v>
      </c>
      <c r="H17709" s="689">
        <v>32.299999999999997</v>
      </c>
      <c r="I17709" s="689">
        <v>31.8</v>
      </c>
      <c r="J17709" s="689">
        <v>31.9</v>
      </c>
      <c r="K17709" s="689">
        <v>31.8</v>
      </c>
    </row>
    <row r="17710" spans="1:11">
      <c r="A17710" s="688" t="s">
        <v>4058</v>
      </c>
      <c r="B17710" s="692" t="s">
        <v>4060</v>
      </c>
      <c r="C17710" s="692" t="s">
        <v>4060</v>
      </c>
      <c r="D17710" s="692" t="s">
        <v>4060</v>
      </c>
      <c r="E17710" s="692" t="s">
        <v>4060</v>
      </c>
      <c r="F17710" s="692" t="s">
        <v>4060</v>
      </c>
      <c r="G17710" s="692" t="s">
        <v>4060</v>
      </c>
      <c r="H17710" s="692" t="s">
        <v>4060</v>
      </c>
      <c r="I17710" s="692" t="s">
        <v>4060</v>
      </c>
      <c r="J17710" s="692" t="s">
        <v>4060</v>
      </c>
      <c r="K17710" s="692" t="s">
        <v>4060</v>
      </c>
    </row>
    <row r="17711" spans="1:11">
      <c r="A17711" s="688" t="s">
        <v>11</v>
      </c>
      <c r="B17711" s="689">
        <v>27.8</v>
      </c>
      <c r="C17711" s="689">
        <v>27.6</v>
      </c>
      <c r="D17711" s="689">
        <v>27.2</v>
      </c>
      <c r="E17711" s="689">
        <v>27.7</v>
      </c>
      <c r="F17711" s="689">
        <v>27.4</v>
      </c>
      <c r="G17711" s="689">
        <v>27.8</v>
      </c>
      <c r="H17711" s="689">
        <v>27.9</v>
      </c>
      <c r="I17711" s="689">
        <v>27.3</v>
      </c>
      <c r="J17711" s="689">
        <v>26.6</v>
      </c>
      <c r="K17711" s="689">
        <v>27.4</v>
      </c>
    </row>
    <row r="17712" spans="1:11">
      <c r="A17712" s="688" t="s">
        <v>10</v>
      </c>
      <c r="B17712" s="691">
        <v>31.6</v>
      </c>
      <c r="C17712" s="691">
        <v>31.3</v>
      </c>
      <c r="D17712" s="691">
        <v>30.9</v>
      </c>
      <c r="E17712" s="691">
        <v>31.5</v>
      </c>
      <c r="F17712" s="691">
        <v>31.2</v>
      </c>
      <c r="G17712" s="691">
        <v>31.5</v>
      </c>
      <c r="H17712" s="691">
        <v>31.7</v>
      </c>
      <c r="I17712" s="691">
        <v>30.7</v>
      </c>
      <c r="J17712" s="615">
        <v>31</v>
      </c>
      <c r="K17712" s="615">
        <v>31</v>
      </c>
    </row>
    <row r="17713" spans="1:11">
      <c r="A17713" s="688" t="s">
        <v>30</v>
      </c>
      <c r="B17713" s="689">
        <v>30.8</v>
      </c>
      <c r="C17713" s="689">
        <v>30.2</v>
      </c>
      <c r="D17713" s="693">
        <v>30</v>
      </c>
      <c r="E17713" s="689">
        <v>30.9</v>
      </c>
      <c r="F17713" s="689">
        <v>30.5</v>
      </c>
      <c r="G17713" s="689">
        <v>30.8</v>
      </c>
      <c r="H17713" s="689">
        <v>30.7</v>
      </c>
      <c r="I17713" s="689">
        <v>30.8</v>
      </c>
      <c r="J17713" s="689">
        <v>30.1</v>
      </c>
      <c r="K17713" s="689">
        <v>30.3</v>
      </c>
    </row>
    <row r="17714" spans="1:11">
      <c r="A17714" s="688" t="s">
        <v>12</v>
      </c>
      <c r="B17714" s="691">
        <v>26.8</v>
      </c>
      <c r="C17714" s="615">
        <v>27</v>
      </c>
      <c r="D17714" s="691">
        <v>26.9</v>
      </c>
      <c r="E17714" s="691">
        <v>27.1</v>
      </c>
      <c r="F17714" s="691">
        <v>27.2</v>
      </c>
      <c r="G17714" s="691">
        <v>27.2</v>
      </c>
      <c r="H17714" s="691">
        <v>27.6</v>
      </c>
      <c r="I17714" s="691">
        <v>27.3</v>
      </c>
      <c r="J17714" s="691">
        <v>25.7</v>
      </c>
      <c r="K17714" s="615">
        <v>27</v>
      </c>
    </row>
    <row r="17715" spans="1:11">
      <c r="A17715" s="688" t="s">
        <v>14</v>
      </c>
      <c r="B17715" s="689">
        <v>27.4</v>
      </c>
      <c r="C17715" s="689">
        <v>27.5</v>
      </c>
      <c r="D17715" s="689">
        <v>27.2</v>
      </c>
      <c r="E17715" s="689">
        <v>27.4</v>
      </c>
      <c r="F17715" s="689">
        <v>27.7</v>
      </c>
      <c r="G17715" s="689">
        <v>27.9</v>
      </c>
      <c r="H17715" s="689">
        <v>28.2</v>
      </c>
      <c r="I17715" s="689">
        <v>27.3</v>
      </c>
      <c r="J17715" s="689">
        <v>26.4</v>
      </c>
      <c r="K17715" s="689">
        <v>27.5</v>
      </c>
    </row>
    <row r="17716" spans="1:11">
      <c r="A17716" s="688" t="s">
        <v>15</v>
      </c>
      <c r="B17716" s="691">
        <v>30.7</v>
      </c>
      <c r="C17716" s="691">
        <v>30.9</v>
      </c>
      <c r="D17716" s="691">
        <v>30.2</v>
      </c>
      <c r="E17716" s="615">
        <v>31</v>
      </c>
      <c r="F17716" s="691">
        <v>30.3</v>
      </c>
      <c r="G17716" s="691">
        <v>30.7</v>
      </c>
      <c r="H17716" s="615">
        <v>31</v>
      </c>
      <c r="I17716" s="691">
        <v>30.8</v>
      </c>
      <c r="J17716" s="615">
        <v>31</v>
      </c>
      <c r="K17716" s="691">
        <v>31.1</v>
      </c>
    </row>
    <row r="17717" spans="1:11">
      <c r="A17717" s="688" t="s">
        <v>29</v>
      </c>
      <c r="B17717" s="689">
        <v>26.4</v>
      </c>
      <c r="C17717" s="689">
        <v>26.4</v>
      </c>
      <c r="D17717" s="693">
        <v>26</v>
      </c>
      <c r="E17717" s="689">
        <v>26.5</v>
      </c>
      <c r="F17717" s="689">
        <v>26.2</v>
      </c>
      <c r="G17717" s="689">
        <v>26.3</v>
      </c>
      <c r="H17717" s="689">
        <v>26.4</v>
      </c>
      <c r="I17717" s="689">
        <v>25.8</v>
      </c>
      <c r="J17717" s="689">
        <v>24.8</v>
      </c>
      <c r="K17717" s="689">
        <v>26.1</v>
      </c>
    </row>
    <row r="17718" spans="1:11">
      <c r="A17718" s="688" t="s">
        <v>16</v>
      </c>
      <c r="B17718" s="691">
        <v>30.5</v>
      </c>
      <c r="C17718" s="691">
        <v>30.2</v>
      </c>
      <c r="D17718" s="691">
        <v>30.2</v>
      </c>
      <c r="E17718" s="691">
        <v>30.6</v>
      </c>
      <c r="F17718" s="691">
        <v>30.6</v>
      </c>
      <c r="G17718" s="691">
        <v>30.6</v>
      </c>
      <c r="H17718" s="615">
        <v>31</v>
      </c>
      <c r="I17718" s="691">
        <v>30.5</v>
      </c>
      <c r="J17718" s="691">
        <v>30.2</v>
      </c>
      <c r="K17718" s="691">
        <v>30.5</v>
      </c>
    </row>
    <row r="17719" spans="1:11">
      <c r="A17719" s="688" t="s">
        <v>17</v>
      </c>
      <c r="B17719" s="689">
        <v>29.8</v>
      </c>
      <c r="C17719" s="689">
        <v>29.9</v>
      </c>
      <c r="D17719" s="689">
        <v>29.6</v>
      </c>
      <c r="E17719" s="689">
        <v>29.7</v>
      </c>
      <c r="F17719" s="689">
        <v>29.8</v>
      </c>
      <c r="G17719" s="689">
        <v>29.8</v>
      </c>
      <c r="H17719" s="693">
        <v>30</v>
      </c>
      <c r="I17719" s="689">
        <v>29.6</v>
      </c>
      <c r="J17719" s="689">
        <v>29.5</v>
      </c>
      <c r="K17719" s="689">
        <v>29.6</v>
      </c>
    </row>
    <row r="17720" spans="1:11">
      <c r="A17720" s="688" t="s">
        <v>19</v>
      </c>
      <c r="B17720" s="691">
        <v>30.3</v>
      </c>
      <c r="C17720" s="691">
        <v>30.3</v>
      </c>
      <c r="D17720" s="615">
        <v>30</v>
      </c>
      <c r="E17720" s="691">
        <v>30.4</v>
      </c>
      <c r="F17720" s="691">
        <v>30.3</v>
      </c>
      <c r="G17720" s="691">
        <v>30.4</v>
      </c>
      <c r="H17720" s="691">
        <v>30.6</v>
      </c>
      <c r="I17720" s="691">
        <v>30.1</v>
      </c>
      <c r="J17720" s="691">
        <v>30.1</v>
      </c>
      <c r="K17720" s="691">
        <v>30.1</v>
      </c>
    </row>
    <row r="17721" spans="1:11">
      <c r="A17721" s="688" t="s">
        <v>20</v>
      </c>
      <c r="B17721" s="689">
        <v>28.2</v>
      </c>
      <c r="C17721" s="689">
        <v>28.4</v>
      </c>
      <c r="D17721" s="689">
        <v>28.2</v>
      </c>
      <c r="E17721" s="689">
        <v>28.6</v>
      </c>
      <c r="F17721" s="689">
        <v>28.4</v>
      </c>
      <c r="G17721" s="689">
        <v>28.3</v>
      </c>
      <c r="H17721" s="689">
        <v>28.6</v>
      </c>
      <c r="I17721" s="689">
        <v>27.5</v>
      </c>
      <c r="J17721" s="689">
        <v>26.6</v>
      </c>
      <c r="K17721" s="689">
        <v>27.9</v>
      </c>
    </row>
    <row r="17722" spans="1:11">
      <c r="A17722" s="688" t="s">
        <v>21</v>
      </c>
      <c r="B17722" s="691">
        <v>30.6</v>
      </c>
      <c r="C17722" s="691">
        <v>30.9</v>
      </c>
      <c r="D17722" s="691">
        <v>30.7</v>
      </c>
      <c r="E17722" s="691">
        <v>30.8</v>
      </c>
      <c r="F17722" s="691">
        <v>31.1</v>
      </c>
      <c r="G17722" s="691">
        <v>31.1</v>
      </c>
      <c r="H17722" s="691">
        <v>31.3</v>
      </c>
      <c r="I17722" s="691">
        <v>30.7</v>
      </c>
      <c r="J17722" s="691">
        <v>30.8</v>
      </c>
      <c r="K17722" s="691">
        <v>30.9</v>
      </c>
    </row>
    <row r="17723" spans="1:11">
      <c r="A17723" s="688" t="s">
        <v>22</v>
      </c>
      <c r="B17723" s="689">
        <v>26.4</v>
      </c>
      <c r="C17723" s="689">
        <v>26.2</v>
      </c>
      <c r="D17723" s="689">
        <v>26.2</v>
      </c>
      <c r="E17723" s="689">
        <v>26.4</v>
      </c>
      <c r="F17723" s="689">
        <v>26.4</v>
      </c>
      <c r="G17723" s="689">
        <v>26.6</v>
      </c>
      <c r="H17723" s="689">
        <v>26.8</v>
      </c>
      <c r="I17723" s="689">
        <v>25.7</v>
      </c>
      <c r="J17723" s="689">
        <v>24.3</v>
      </c>
      <c r="K17723" s="689">
        <v>26.4</v>
      </c>
    </row>
    <row r="17724" spans="1:11">
      <c r="A17724" s="688" t="s">
        <v>26</v>
      </c>
      <c r="B17724" s="691">
        <v>30.1</v>
      </c>
      <c r="C17724" s="615">
        <v>30</v>
      </c>
      <c r="D17724" s="691">
        <v>29.9</v>
      </c>
      <c r="E17724" s="691">
        <v>30.2</v>
      </c>
      <c r="F17724" s="691">
        <v>30.1</v>
      </c>
      <c r="G17724" s="691">
        <v>30.3</v>
      </c>
      <c r="H17724" s="691">
        <v>30.4</v>
      </c>
      <c r="I17724" s="691">
        <v>29.6</v>
      </c>
      <c r="J17724" s="691">
        <v>29.9</v>
      </c>
      <c r="K17724" s="691">
        <v>30.2</v>
      </c>
    </row>
    <row r="17725" spans="1:11">
      <c r="A17725" s="688" t="s">
        <v>25</v>
      </c>
      <c r="B17725" s="689">
        <v>27.3</v>
      </c>
      <c r="C17725" s="689">
        <v>27.4</v>
      </c>
      <c r="D17725" s="689">
        <v>27.2</v>
      </c>
      <c r="E17725" s="689">
        <v>27.6</v>
      </c>
      <c r="F17725" s="689">
        <v>27.6</v>
      </c>
      <c r="G17725" s="689">
        <v>27.7</v>
      </c>
      <c r="H17725" s="689">
        <v>28.1</v>
      </c>
      <c r="I17725" s="689">
        <v>27.4</v>
      </c>
      <c r="J17725" s="689">
        <v>25.4</v>
      </c>
      <c r="K17725" s="689">
        <v>27.4</v>
      </c>
    </row>
    <row r="17726" spans="1:11">
      <c r="A17726" s="688" t="s">
        <v>5</v>
      </c>
      <c r="B17726" s="691">
        <v>30.6</v>
      </c>
      <c r="C17726" s="691">
        <v>30.3</v>
      </c>
      <c r="D17726" s="691">
        <v>30.5</v>
      </c>
      <c r="E17726" s="691">
        <v>30.5</v>
      </c>
      <c r="F17726" s="691">
        <v>30.7</v>
      </c>
      <c r="G17726" s="691">
        <v>30.8</v>
      </c>
      <c r="H17726" s="691">
        <v>31.1</v>
      </c>
      <c r="I17726" s="615">
        <v>31</v>
      </c>
      <c r="J17726" s="691">
        <v>30.9</v>
      </c>
      <c r="K17726" s="691">
        <v>30.3</v>
      </c>
    </row>
    <row r="17727" spans="1:11">
      <c r="A17727" s="688" t="s">
        <v>23</v>
      </c>
      <c r="B17727" s="689">
        <v>30.2</v>
      </c>
      <c r="C17727" s="689">
        <v>30.4</v>
      </c>
      <c r="D17727" s="689">
        <v>30.3</v>
      </c>
      <c r="E17727" s="689">
        <v>30.4</v>
      </c>
      <c r="F17727" s="689">
        <v>30.4</v>
      </c>
      <c r="G17727" s="689">
        <v>30.6</v>
      </c>
      <c r="H17727" s="693">
        <v>31</v>
      </c>
      <c r="I17727" s="689">
        <v>30.5</v>
      </c>
      <c r="J17727" s="689">
        <v>31.1</v>
      </c>
      <c r="K17727" s="689">
        <v>30.9</v>
      </c>
    </row>
    <row r="17728" spans="1:11">
      <c r="A17728" s="688" t="s">
        <v>4067</v>
      </c>
      <c r="B17728" s="615">
        <v>30</v>
      </c>
      <c r="C17728" s="691">
        <v>30.3</v>
      </c>
      <c r="D17728" s="691">
        <v>29.9</v>
      </c>
      <c r="E17728" s="691">
        <v>30.3</v>
      </c>
      <c r="F17728" s="691">
        <v>30.2</v>
      </c>
      <c r="G17728" s="691">
        <v>30.3</v>
      </c>
      <c r="H17728" s="692" t="s">
        <v>4060</v>
      </c>
      <c r="I17728" s="692" t="s">
        <v>4060</v>
      </c>
      <c r="J17728" s="692" t="s">
        <v>4060</v>
      </c>
      <c r="K17728" s="692" t="s">
        <v>4060</v>
      </c>
    </row>
    <row r="17729" spans="1:11">
      <c r="A17729" s="688" t="s">
        <v>4066</v>
      </c>
      <c r="B17729" s="693">
        <v>30</v>
      </c>
      <c r="C17729" s="689">
        <v>30.4</v>
      </c>
      <c r="D17729" s="693">
        <v>30</v>
      </c>
      <c r="E17729" s="689">
        <v>30.3</v>
      </c>
      <c r="F17729" s="689">
        <v>30.2</v>
      </c>
      <c r="G17729" s="689">
        <v>30.3</v>
      </c>
      <c r="H17729" s="690" t="s">
        <v>4060</v>
      </c>
      <c r="I17729" s="690" t="s">
        <v>4060</v>
      </c>
      <c r="J17729" s="690" t="s">
        <v>4060</v>
      </c>
      <c r="K17729" s="690" t="s">
        <v>4060</v>
      </c>
    </row>
    <row r="17730" spans="1:11">
      <c r="A17730" s="688" t="s">
        <v>4062</v>
      </c>
      <c r="B17730" s="691">
        <v>30.9</v>
      </c>
      <c r="C17730" s="691">
        <v>31.1</v>
      </c>
      <c r="D17730" s="691">
        <v>30.9</v>
      </c>
      <c r="E17730" s="691">
        <v>31.2</v>
      </c>
      <c r="F17730" s="691">
        <v>31.2</v>
      </c>
      <c r="G17730" s="691">
        <v>31.3</v>
      </c>
      <c r="H17730" s="691">
        <v>31.5</v>
      </c>
      <c r="I17730" s="691">
        <v>31.2</v>
      </c>
      <c r="J17730" s="691">
        <v>31.5</v>
      </c>
      <c r="K17730" s="691">
        <v>31.2</v>
      </c>
    </row>
    <row r="17731" spans="1:11">
      <c r="A17731" s="688" t="s">
        <v>9</v>
      </c>
      <c r="B17731" s="689">
        <v>30.1</v>
      </c>
      <c r="C17731" s="689">
        <v>30.6</v>
      </c>
      <c r="D17731" s="693">
        <v>30</v>
      </c>
      <c r="E17731" s="689">
        <v>29.9</v>
      </c>
      <c r="F17731" s="689">
        <v>30.4</v>
      </c>
      <c r="G17731" s="689">
        <v>30.5</v>
      </c>
      <c r="H17731" s="689">
        <v>30.8</v>
      </c>
      <c r="I17731" s="689">
        <v>30.8</v>
      </c>
      <c r="J17731" s="689">
        <v>30.8</v>
      </c>
      <c r="K17731" s="693">
        <v>30</v>
      </c>
    </row>
    <row r="17732" spans="1:11">
      <c r="A17732" s="688" t="s">
        <v>13</v>
      </c>
      <c r="B17732" s="615">
        <v>31</v>
      </c>
      <c r="C17732" s="691">
        <v>29.5</v>
      </c>
      <c r="D17732" s="691">
        <v>30.4</v>
      </c>
      <c r="E17732" s="691">
        <v>30.7</v>
      </c>
      <c r="F17732" s="691">
        <v>31.4</v>
      </c>
      <c r="G17732" s="691">
        <v>31.3</v>
      </c>
      <c r="H17732" s="691">
        <v>31.2</v>
      </c>
      <c r="I17732" s="691">
        <v>30.6</v>
      </c>
      <c r="J17732" s="691">
        <v>31.7</v>
      </c>
      <c r="K17732" s="691">
        <v>31.4</v>
      </c>
    </row>
    <row r="17733" spans="1:11">
      <c r="A17733" s="688" t="s">
        <v>18</v>
      </c>
      <c r="B17733" s="689">
        <v>30.2</v>
      </c>
      <c r="C17733" s="689">
        <v>30.5</v>
      </c>
      <c r="D17733" s="689">
        <v>30.5</v>
      </c>
      <c r="E17733" s="689">
        <v>30.5</v>
      </c>
      <c r="F17733" s="689">
        <v>30.6</v>
      </c>
      <c r="G17733" s="689">
        <v>30.7</v>
      </c>
      <c r="H17733" s="689">
        <v>30.9</v>
      </c>
      <c r="I17733" s="689">
        <v>31.1</v>
      </c>
      <c r="J17733" s="689">
        <v>30.9</v>
      </c>
      <c r="K17733" s="689">
        <v>30.6</v>
      </c>
    </row>
    <row r="17734" spans="1:11">
      <c r="A17734" s="688" t="s">
        <v>24</v>
      </c>
      <c r="B17734" s="691">
        <v>31.4</v>
      </c>
      <c r="C17734" s="691">
        <v>31.4</v>
      </c>
      <c r="D17734" s="691">
        <v>31.2</v>
      </c>
      <c r="E17734" s="691">
        <v>31.6</v>
      </c>
      <c r="F17734" s="691">
        <v>31.6</v>
      </c>
      <c r="G17734" s="691">
        <v>31.7</v>
      </c>
      <c r="H17734" s="691">
        <v>31.8</v>
      </c>
      <c r="I17734" s="691">
        <v>31.3</v>
      </c>
      <c r="J17734" s="691">
        <v>31.8</v>
      </c>
      <c r="K17734" s="691">
        <v>31.6</v>
      </c>
    </row>
    <row r="17735" spans="1:11">
      <c r="A17735" s="688" t="s">
        <v>4059</v>
      </c>
      <c r="B17735" s="689">
        <v>29.7</v>
      </c>
      <c r="C17735" s="693">
        <v>30</v>
      </c>
      <c r="D17735" s="689">
        <v>29.6</v>
      </c>
      <c r="E17735" s="689">
        <v>29.8</v>
      </c>
      <c r="F17735" s="689">
        <v>29.9</v>
      </c>
      <c r="G17735" s="689">
        <v>29.9</v>
      </c>
      <c r="H17735" s="690" t="s">
        <v>4060</v>
      </c>
      <c r="I17735" s="690" t="s">
        <v>4060</v>
      </c>
      <c r="J17735" s="690" t="s">
        <v>4060</v>
      </c>
      <c r="K17735" s="690" t="s">
        <v>4060</v>
      </c>
    </row>
    <row r="17736" spans="1:11">
      <c r="A17736" s="688" t="s">
        <v>2324</v>
      </c>
      <c r="B17736" s="615">
        <v>26</v>
      </c>
      <c r="C17736" s="691">
        <v>26.1</v>
      </c>
      <c r="D17736" s="691">
        <v>25.5</v>
      </c>
      <c r="E17736" s="691">
        <v>25.7</v>
      </c>
      <c r="F17736" s="691">
        <v>26.1</v>
      </c>
      <c r="G17736" s="615">
        <v>26</v>
      </c>
      <c r="H17736" s="691">
        <v>26.3</v>
      </c>
      <c r="I17736" s="691">
        <v>25.7</v>
      </c>
      <c r="J17736" s="691">
        <v>23.8</v>
      </c>
      <c r="K17736" s="692" t="s">
        <v>4060</v>
      </c>
    </row>
    <row r="17737" spans="1:11">
      <c r="A17737" s="688" t="s">
        <v>2322</v>
      </c>
      <c r="B17737" s="690" t="s">
        <v>4060</v>
      </c>
      <c r="C17737" s="690" t="s">
        <v>4060</v>
      </c>
      <c r="D17737" s="690" t="s">
        <v>4060</v>
      </c>
      <c r="E17737" s="690" t="s">
        <v>4060</v>
      </c>
      <c r="F17737" s="690" t="s">
        <v>4060</v>
      </c>
      <c r="G17737" s="690" t="s">
        <v>4060</v>
      </c>
      <c r="H17737" s="690" t="s">
        <v>4060</v>
      </c>
      <c r="I17737" s="690" t="s">
        <v>4060</v>
      </c>
      <c r="J17737" s="690" t="s">
        <v>4060</v>
      </c>
      <c r="K17737" s="690" t="s">
        <v>4060</v>
      </c>
    </row>
    <row r="17738" spans="1:11">
      <c r="A17738" s="688" t="s">
        <v>2328</v>
      </c>
      <c r="B17738" s="691">
        <v>24.9</v>
      </c>
      <c r="C17738" s="691">
        <v>24.8</v>
      </c>
      <c r="D17738" s="691">
        <v>24.6</v>
      </c>
      <c r="E17738" s="615">
        <v>25</v>
      </c>
      <c r="F17738" s="691">
        <v>25.1</v>
      </c>
      <c r="G17738" s="691">
        <v>25.5</v>
      </c>
      <c r="H17738" s="691">
        <v>25.3</v>
      </c>
      <c r="I17738" s="691">
        <v>23.9</v>
      </c>
      <c r="J17738" s="691">
        <v>22.9</v>
      </c>
      <c r="K17738" s="692" t="s">
        <v>4060</v>
      </c>
    </row>
    <row r="17739" spans="1:11">
      <c r="A17739" s="688" t="s">
        <v>2496</v>
      </c>
      <c r="B17739" s="690" t="s">
        <v>4060</v>
      </c>
      <c r="C17739" s="693">
        <v>26</v>
      </c>
      <c r="D17739" s="689">
        <v>25.1</v>
      </c>
      <c r="E17739" s="689">
        <v>24.9</v>
      </c>
      <c r="F17739" s="689">
        <v>25.5</v>
      </c>
      <c r="G17739" s="689">
        <v>25.8</v>
      </c>
      <c r="H17739" s="689">
        <v>25.8</v>
      </c>
      <c r="I17739" s="690" t="s">
        <v>4060</v>
      </c>
      <c r="J17739" s="690" t="s">
        <v>4060</v>
      </c>
      <c r="K17739" s="689">
        <v>25.5</v>
      </c>
    </row>
    <row r="17740" spans="1:11">
      <c r="A17740" s="688" t="s">
        <v>2269</v>
      </c>
      <c r="B17740" s="691">
        <v>27.4</v>
      </c>
      <c r="C17740" s="691">
        <v>27.5</v>
      </c>
      <c r="D17740" s="691">
        <v>26.9</v>
      </c>
      <c r="E17740" s="691">
        <v>27.3</v>
      </c>
      <c r="F17740" s="691">
        <v>27.1</v>
      </c>
      <c r="G17740" s="691">
        <v>27.5</v>
      </c>
      <c r="H17740" s="691">
        <v>27.8</v>
      </c>
      <c r="I17740" s="691">
        <v>26.6</v>
      </c>
      <c r="J17740" s="691">
        <v>24.7</v>
      </c>
      <c r="K17740" s="691">
        <v>27.5</v>
      </c>
    </row>
    <row r="17741" spans="1:11">
      <c r="A17741" s="688" t="s">
        <v>2349</v>
      </c>
      <c r="B17741" s="689">
        <v>25.2</v>
      </c>
      <c r="C17741" s="689">
        <v>25.2</v>
      </c>
      <c r="D17741" s="689">
        <v>25.1</v>
      </c>
      <c r="E17741" s="689">
        <v>25.5</v>
      </c>
      <c r="F17741" s="689">
        <v>25.3</v>
      </c>
      <c r="G17741" s="689">
        <v>25.5</v>
      </c>
      <c r="H17741" s="689">
        <v>25.7</v>
      </c>
      <c r="I17741" s="689">
        <v>24.6</v>
      </c>
      <c r="J17741" s="689">
        <v>23.1</v>
      </c>
      <c r="K17741" s="689">
        <v>24.9</v>
      </c>
    </row>
    <row r="17742" spans="1:11">
      <c r="A17742" s="688" t="s">
        <v>2355</v>
      </c>
      <c r="B17742" s="691">
        <v>28.6</v>
      </c>
      <c r="C17742" s="691">
        <v>28.4</v>
      </c>
      <c r="D17742" s="691">
        <v>28.3</v>
      </c>
      <c r="E17742" s="691">
        <v>28.3</v>
      </c>
      <c r="F17742" s="691">
        <v>28.5</v>
      </c>
      <c r="G17742" s="691">
        <v>28.8</v>
      </c>
      <c r="H17742" s="691">
        <v>28.9</v>
      </c>
      <c r="I17742" s="692" t="s">
        <v>4060</v>
      </c>
      <c r="J17742" s="692" t="s">
        <v>4060</v>
      </c>
      <c r="K17742" s="692" t="s">
        <v>4060</v>
      </c>
    </row>
    <row r="17743" spans="1:11">
      <c r="A17743" s="688" t="s">
        <v>2357</v>
      </c>
      <c r="B17743" s="690" t="s">
        <v>4060</v>
      </c>
      <c r="C17743" s="689">
        <v>25.2</v>
      </c>
      <c r="D17743" s="689">
        <v>25.6</v>
      </c>
      <c r="E17743" s="689">
        <v>25.8</v>
      </c>
      <c r="F17743" s="689">
        <v>26.1</v>
      </c>
      <c r="G17743" s="689">
        <v>26.1</v>
      </c>
      <c r="H17743" s="689">
        <v>26.3</v>
      </c>
      <c r="I17743" s="690" t="s">
        <v>4060</v>
      </c>
      <c r="J17743" s="690" t="s">
        <v>4060</v>
      </c>
      <c r="K17743" s="690" t="s">
        <v>4060</v>
      </c>
    </row>
    <row r="17744" spans="1:11">
      <c r="A17744" s="688" t="s">
        <v>4070</v>
      </c>
      <c r="B17744" s="692" t="s">
        <v>4060</v>
      </c>
      <c r="C17744" s="692" t="s">
        <v>4060</v>
      </c>
      <c r="D17744" s="692" t="s">
        <v>4060</v>
      </c>
      <c r="E17744" s="691">
        <v>28.4</v>
      </c>
      <c r="F17744" s="692" t="s">
        <v>4060</v>
      </c>
      <c r="G17744" s="692" t="s">
        <v>4060</v>
      </c>
      <c r="H17744" s="692" t="s">
        <v>4060</v>
      </c>
      <c r="I17744" s="692" t="s">
        <v>4060</v>
      </c>
      <c r="J17744" s="692" t="s">
        <v>4060</v>
      </c>
      <c r="K17744" s="692" t="s">
        <v>4060</v>
      </c>
    </row>
    <row r="17745" spans="1:11">
      <c r="A17745" s="688" t="s">
        <v>2491</v>
      </c>
      <c r="B17745" s="689">
        <v>25.7</v>
      </c>
      <c r="C17745" s="689">
        <v>26.2</v>
      </c>
      <c r="D17745" s="689">
        <v>26.4</v>
      </c>
      <c r="E17745" s="689">
        <v>26.6</v>
      </c>
      <c r="F17745" s="689">
        <v>26.7</v>
      </c>
      <c r="G17745" s="689">
        <v>26.7</v>
      </c>
      <c r="H17745" s="690" t="s">
        <v>4060</v>
      </c>
      <c r="I17745" s="690" t="s">
        <v>4060</v>
      </c>
      <c r="J17745" s="690" t="s">
        <v>4060</v>
      </c>
      <c r="K17745" s="690" t="s">
        <v>4060</v>
      </c>
    </row>
    <row r="17746" spans="1:11">
      <c r="A17746" s="688" t="s">
        <v>2343</v>
      </c>
      <c r="B17746" s="692" t="s">
        <v>4060</v>
      </c>
      <c r="C17746" s="692" t="s">
        <v>4060</v>
      </c>
      <c r="D17746" s="692" t="s">
        <v>4060</v>
      </c>
      <c r="E17746" s="692" t="s">
        <v>4060</v>
      </c>
      <c r="F17746" s="692" t="s">
        <v>4060</v>
      </c>
      <c r="G17746" s="692" t="s">
        <v>4060</v>
      </c>
      <c r="H17746" s="692" t="s">
        <v>4060</v>
      </c>
      <c r="I17746" s="692" t="s">
        <v>4060</v>
      </c>
      <c r="J17746" s="692" t="s">
        <v>4060</v>
      </c>
      <c r="K17746" s="692" t="s">
        <v>4060</v>
      </c>
    </row>
    <row r="17747" spans="1:11">
      <c r="A17747" s="688" t="s">
        <v>4071</v>
      </c>
      <c r="B17747" s="690" t="s">
        <v>4060</v>
      </c>
      <c r="C17747" s="690" t="s">
        <v>4060</v>
      </c>
      <c r="D17747" s="690" t="s">
        <v>4060</v>
      </c>
      <c r="E17747" s="690" t="s">
        <v>4060</v>
      </c>
      <c r="F17747" s="690" t="s">
        <v>4060</v>
      </c>
      <c r="G17747" s="690" t="s">
        <v>4060</v>
      </c>
      <c r="H17747" s="690" t="s">
        <v>4060</v>
      </c>
      <c r="I17747" s="690" t="s">
        <v>4060</v>
      </c>
      <c r="J17747" s="690" t="s">
        <v>4060</v>
      </c>
      <c r="K17747" s="690" t="s">
        <v>4060</v>
      </c>
    </row>
    <row r="17748" spans="1:11">
      <c r="A17748" s="688" t="s">
        <v>2489</v>
      </c>
      <c r="B17748" s="692" t="s">
        <v>4060</v>
      </c>
      <c r="C17748" s="692" t="s">
        <v>4060</v>
      </c>
      <c r="D17748" s="691">
        <v>25.7</v>
      </c>
      <c r="E17748" s="691">
        <v>25.7</v>
      </c>
      <c r="F17748" s="615">
        <v>26</v>
      </c>
      <c r="G17748" s="691">
        <v>26.7</v>
      </c>
      <c r="H17748" s="691">
        <v>26.6</v>
      </c>
      <c r="I17748" s="692" t="s">
        <v>4060</v>
      </c>
      <c r="J17748" s="692" t="s">
        <v>4060</v>
      </c>
      <c r="K17748" s="692" t="s">
        <v>4060</v>
      </c>
    </row>
    <row r="17749" spans="1:11">
      <c r="A17749" s="688" t="s">
        <v>2490</v>
      </c>
      <c r="B17749" s="689">
        <v>24.9</v>
      </c>
      <c r="C17749" s="689">
        <v>24.9</v>
      </c>
      <c r="D17749" s="689">
        <v>25.4</v>
      </c>
      <c r="E17749" s="690" t="s">
        <v>4060</v>
      </c>
      <c r="F17749" s="689">
        <v>25.6</v>
      </c>
      <c r="G17749" s="689">
        <v>25.9</v>
      </c>
      <c r="H17749" s="689">
        <v>26.6</v>
      </c>
      <c r="I17749" s="690" t="s">
        <v>4060</v>
      </c>
      <c r="J17749" s="690" t="s">
        <v>4060</v>
      </c>
      <c r="K17749" s="690" t="s">
        <v>4060</v>
      </c>
    </row>
    <row r="17751" spans="1:11">
      <c r="A17751" s="683" t="s">
        <v>4233</v>
      </c>
    </row>
    <row r="17752" spans="1:11">
      <c r="A17752" s="683" t="s">
        <v>4060</v>
      </c>
      <c r="B17752" s="682" t="s">
        <v>4234</v>
      </c>
    </row>
    <row r="17754" spans="1:11">
      <c r="A17754" s="682" t="s">
        <v>4332</v>
      </c>
    </row>
    <row r="17755" spans="1:11">
      <c r="A17755" s="682" t="s">
        <v>4210</v>
      </c>
      <c r="B17755" s="683" t="s">
        <v>4211</v>
      </c>
    </row>
    <row r="17756" spans="1:11">
      <c r="A17756" s="682" t="s">
        <v>4212</v>
      </c>
      <c r="B17756" s="682" t="s">
        <v>4213</v>
      </c>
    </row>
    <row r="17758" spans="1:11">
      <c r="A17758" s="683" t="s">
        <v>4214</v>
      </c>
      <c r="C17758" s="682" t="s">
        <v>4215</v>
      </c>
    </row>
    <row r="17759" spans="1:11">
      <c r="A17759" s="683" t="s">
        <v>4216</v>
      </c>
      <c r="C17759" s="682" t="s">
        <v>2967</v>
      </c>
    </row>
    <row r="17760" spans="1:11">
      <c r="A17760" s="683" t="s">
        <v>3893</v>
      </c>
      <c r="C17760" s="682" t="s">
        <v>2169</v>
      </c>
    </row>
    <row r="17761" spans="1:11">
      <c r="A17761" s="683" t="s">
        <v>4218</v>
      </c>
      <c r="C17761" s="682" t="s">
        <v>4291</v>
      </c>
    </row>
    <row r="17763" spans="1:11">
      <c r="A17763" s="684" t="s">
        <v>4220</v>
      </c>
      <c r="B17763" s="685" t="s">
        <v>4221</v>
      </c>
      <c r="C17763" s="685" t="s">
        <v>4222</v>
      </c>
      <c r="D17763" s="685" t="s">
        <v>4223</v>
      </c>
      <c r="E17763" s="685" t="s">
        <v>4224</v>
      </c>
      <c r="F17763" s="685" t="s">
        <v>4225</v>
      </c>
      <c r="G17763" s="685" t="s">
        <v>4226</v>
      </c>
      <c r="H17763" s="685" t="s">
        <v>4227</v>
      </c>
      <c r="I17763" s="685" t="s">
        <v>4228</v>
      </c>
      <c r="J17763" s="685" t="s">
        <v>4229</v>
      </c>
      <c r="K17763" s="685" t="s">
        <v>4230</v>
      </c>
    </row>
    <row r="17764" spans="1:11">
      <c r="A17764" s="686" t="s">
        <v>4231</v>
      </c>
      <c r="B17764" s="687" t="s">
        <v>4232</v>
      </c>
      <c r="C17764" s="687" t="s">
        <v>4232</v>
      </c>
      <c r="D17764" s="687" t="s">
        <v>4232</v>
      </c>
      <c r="E17764" s="687" t="s">
        <v>4232</v>
      </c>
      <c r="F17764" s="687" t="s">
        <v>4232</v>
      </c>
      <c r="G17764" s="687" t="s">
        <v>4232</v>
      </c>
      <c r="H17764" s="687" t="s">
        <v>4232</v>
      </c>
      <c r="I17764" s="687" t="s">
        <v>4232</v>
      </c>
      <c r="J17764" s="687" t="s">
        <v>4232</v>
      </c>
      <c r="K17764" s="687" t="s">
        <v>4232</v>
      </c>
    </row>
    <row r="17765" spans="1:11">
      <c r="A17765" s="688" t="s">
        <v>4064</v>
      </c>
      <c r="B17765" s="689">
        <v>29.2</v>
      </c>
      <c r="C17765" s="689">
        <v>29.1</v>
      </c>
      <c r="D17765" s="689">
        <v>29.1</v>
      </c>
      <c r="E17765" s="689">
        <v>29.2</v>
      </c>
      <c r="F17765" s="689">
        <v>29.1</v>
      </c>
      <c r="G17765" s="689">
        <v>29.2</v>
      </c>
      <c r="H17765" s="689">
        <v>29.4</v>
      </c>
      <c r="I17765" s="689">
        <v>28.8</v>
      </c>
      <c r="J17765" s="689">
        <v>28.5</v>
      </c>
      <c r="K17765" s="689">
        <v>28.9</v>
      </c>
    </row>
    <row r="17766" spans="1:11">
      <c r="A17766" s="688" t="s">
        <v>4065</v>
      </c>
      <c r="B17766" s="691">
        <v>29.1</v>
      </c>
      <c r="C17766" s="691">
        <v>29.4</v>
      </c>
      <c r="D17766" s="615">
        <v>29</v>
      </c>
      <c r="E17766" s="691">
        <v>29.4</v>
      </c>
      <c r="F17766" s="691">
        <v>29.3</v>
      </c>
      <c r="G17766" s="691">
        <v>29.4</v>
      </c>
      <c r="H17766" s="692" t="s">
        <v>4060</v>
      </c>
      <c r="I17766" s="692" t="s">
        <v>4060</v>
      </c>
      <c r="J17766" s="692" t="s">
        <v>4060</v>
      </c>
      <c r="K17766" s="692" t="s">
        <v>4060</v>
      </c>
    </row>
    <row r="17767" spans="1:11">
      <c r="A17767" s="688" t="s">
        <v>4063</v>
      </c>
      <c r="B17767" s="689">
        <v>29.1</v>
      </c>
      <c r="C17767" s="689">
        <v>29.5</v>
      </c>
      <c r="D17767" s="689">
        <v>29.1</v>
      </c>
      <c r="E17767" s="689">
        <v>29.4</v>
      </c>
      <c r="F17767" s="689">
        <v>29.3</v>
      </c>
      <c r="G17767" s="689">
        <v>29.4</v>
      </c>
      <c r="H17767" s="690" t="s">
        <v>4060</v>
      </c>
      <c r="I17767" s="690" t="s">
        <v>4060</v>
      </c>
      <c r="J17767" s="690" t="s">
        <v>4060</v>
      </c>
      <c r="K17767" s="690" t="s">
        <v>4060</v>
      </c>
    </row>
    <row r="17768" spans="1:11">
      <c r="A17768" s="688" t="s">
        <v>4069</v>
      </c>
      <c r="B17768" s="692" t="s">
        <v>4060</v>
      </c>
      <c r="C17768" s="691">
        <v>29.9</v>
      </c>
      <c r="D17768" s="691">
        <v>29.5</v>
      </c>
      <c r="E17768" s="691">
        <v>29.9</v>
      </c>
      <c r="F17768" s="691">
        <v>29.8</v>
      </c>
      <c r="G17768" s="691">
        <v>29.9</v>
      </c>
      <c r="H17768" s="691">
        <v>30.1</v>
      </c>
      <c r="I17768" s="691">
        <v>29.6</v>
      </c>
      <c r="J17768" s="691">
        <v>29.6</v>
      </c>
      <c r="K17768" s="691">
        <v>29.6</v>
      </c>
    </row>
    <row r="17769" spans="1:11">
      <c r="A17769" s="688" t="s">
        <v>4068</v>
      </c>
      <c r="B17769" s="693">
        <v>30</v>
      </c>
      <c r="C17769" s="690" t="s">
        <v>4060</v>
      </c>
      <c r="D17769" s="690" t="s">
        <v>4060</v>
      </c>
      <c r="E17769" s="690" t="s">
        <v>4060</v>
      </c>
      <c r="F17769" s="690" t="s">
        <v>4060</v>
      </c>
      <c r="G17769" s="690" t="s">
        <v>4060</v>
      </c>
      <c r="H17769" s="690" t="s">
        <v>4060</v>
      </c>
      <c r="I17769" s="690" t="s">
        <v>4060</v>
      </c>
      <c r="J17769" s="690" t="s">
        <v>4060</v>
      </c>
      <c r="K17769" s="690" t="s">
        <v>4060</v>
      </c>
    </row>
    <row r="17770" spans="1:11">
      <c r="A17770" s="688" t="s">
        <v>0</v>
      </c>
      <c r="B17770" s="691">
        <v>29.1</v>
      </c>
      <c r="C17770" s="691">
        <v>29.3</v>
      </c>
      <c r="D17770" s="615">
        <v>29</v>
      </c>
      <c r="E17770" s="691">
        <v>29.4</v>
      </c>
      <c r="F17770" s="691">
        <v>29.4</v>
      </c>
      <c r="G17770" s="691">
        <v>29.4</v>
      </c>
      <c r="H17770" s="691">
        <v>29.7</v>
      </c>
      <c r="I17770" s="691">
        <v>28.7</v>
      </c>
      <c r="J17770" s="691">
        <v>29.7</v>
      </c>
      <c r="K17770" s="691">
        <v>29.4</v>
      </c>
    </row>
    <row r="17771" spans="1:11">
      <c r="A17771" s="688" t="s">
        <v>1</v>
      </c>
      <c r="B17771" s="689">
        <v>25.4</v>
      </c>
      <c r="C17771" s="693">
        <v>25</v>
      </c>
      <c r="D17771" s="693">
        <v>25</v>
      </c>
      <c r="E17771" s="689">
        <v>25.2</v>
      </c>
      <c r="F17771" s="689">
        <v>25.1</v>
      </c>
      <c r="G17771" s="689">
        <v>25.2</v>
      </c>
      <c r="H17771" s="689">
        <v>25.4</v>
      </c>
      <c r="I17771" s="689">
        <v>24.2</v>
      </c>
      <c r="J17771" s="689">
        <v>22.5</v>
      </c>
      <c r="K17771" s="689">
        <v>24.7</v>
      </c>
    </row>
    <row r="17772" spans="1:11">
      <c r="A17772" s="688" t="s">
        <v>2240</v>
      </c>
      <c r="B17772" s="615">
        <v>27</v>
      </c>
      <c r="C17772" s="691">
        <v>27.4</v>
      </c>
      <c r="D17772" s="691">
        <v>27.1</v>
      </c>
      <c r="E17772" s="691">
        <v>27.6</v>
      </c>
      <c r="F17772" s="691">
        <v>27.5</v>
      </c>
      <c r="G17772" s="691">
        <v>27.5</v>
      </c>
      <c r="H17772" s="691">
        <v>27.8</v>
      </c>
      <c r="I17772" s="615">
        <v>27</v>
      </c>
      <c r="J17772" s="691">
        <v>26.3</v>
      </c>
      <c r="K17772" s="691">
        <v>27.6</v>
      </c>
    </row>
    <row r="17773" spans="1:11">
      <c r="A17773" s="688" t="s">
        <v>2</v>
      </c>
      <c r="B17773" s="689">
        <v>28.1</v>
      </c>
      <c r="C17773" s="689">
        <v>28.4</v>
      </c>
      <c r="D17773" s="689">
        <v>28.3</v>
      </c>
      <c r="E17773" s="689">
        <v>28.4</v>
      </c>
      <c r="F17773" s="689">
        <v>28.7</v>
      </c>
      <c r="G17773" s="689">
        <v>28.5</v>
      </c>
      <c r="H17773" s="689">
        <v>28.8</v>
      </c>
      <c r="I17773" s="689">
        <v>28.9</v>
      </c>
      <c r="J17773" s="689">
        <v>28.8</v>
      </c>
      <c r="K17773" s="689">
        <v>28.6</v>
      </c>
    </row>
    <row r="17774" spans="1:11">
      <c r="A17774" s="688" t="s">
        <v>3</v>
      </c>
      <c r="B17774" s="691">
        <v>28.7</v>
      </c>
      <c r="C17774" s="615">
        <v>29</v>
      </c>
      <c r="D17774" s="691">
        <v>28.7</v>
      </c>
      <c r="E17774" s="615">
        <v>29</v>
      </c>
      <c r="F17774" s="691">
        <v>28.9</v>
      </c>
      <c r="G17774" s="691">
        <v>28.9</v>
      </c>
      <c r="H17774" s="691">
        <v>29.1</v>
      </c>
      <c r="I17774" s="615">
        <v>29</v>
      </c>
      <c r="J17774" s="691">
        <v>28.8</v>
      </c>
      <c r="K17774" s="691">
        <v>28.5</v>
      </c>
    </row>
    <row r="17775" spans="1:11">
      <c r="A17775" s="688" t="s">
        <v>4061</v>
      </c>
      <c r="B17775" s="689">
        <v>28.7</v>
      </c>
      <c r="C17775" s="693">
        <v>29</v>
      </c>
      <c r="D17775" s="689">
        <v>28.7</v>
      </c>
      <c r="E17775" s="693">
        <v>29</v>
      </c>
      <c r="F17775" s="689">
        <v>28.9</v>
      </c>
      <c r="G17775" s="689">
        <v>28.9</v>
      </c>
      <c r="H17775" s="689">
        <v>29.1</v>
      </c>
      <c r="I17775" s="693">
        <v>29</v>
      </c>
      <c r="J17775" s="689">
        <v>28.8</v>
      </c>
      <c r="K17775" s="689">
        <v>28.5</v>
      </c>
    </row>
    <row r="17776" spans="1:11">
      <c r="A17776" s="688" t="s">
        <v>4</v>
      </c>
      <c r="B17776" s="691">
        <v>27.9</v>
      </c>
      <c r="C17776" s="691">
        <v>27.7</v>
      </c>
      <c r="D17776" s="691">
        <v>27.9</v>
      </c>
      <c r="E17776" s="691">
        <v>28.2</v>
      </c>
      <c r="F17776" s="691">
        <v>28.2</v>
      </c>
      <c r="G17776" s="691">
        <v>28.2</v>
      </c>
      <c r="H17776" s="691">
        <v>28.7</v>
      </c>
      <c r="I17776" s="691">
        <v>28.5</v>
      </c>
      <c r="J17776" s="691">
        <v>27.4</v>
      </c>
      <c r="K17776" s="691">
        <v>28.2</v>
      </c>
    </row>
    <row r="17777" spans="1:11">
      <c r="A17777" s="688" t="s">
        <v>8</v>
      </c>
      <c r="B17777" s="689">
        <v>28.8</v>
      </c>
      <c r="C17777" s="689">
        <v>28.8</v>
      </c>
      <c r="D17777" s="689">
        <v>28.8</v>
      </c>
      <c r="E17777" s="689">
        <v>28.9</v>
      </c>
      <c r="F17777" s="689">
        <v>29.3</v>
      </c>
      <c r="G17777" s="689">
        <v>29.4</v>
      </c>
      <c r="H17777" s="689">
        <v>29.8</v>
      </c>
      <c r="I17777" s="689">
        <v>29.6</v>
      </c>
      <c r="J17777" s="689">
        <v>29.5</v>
      </c>
      <c r="K17777" s="689">
        <v>29.5</v>
      </c>
    </row>
    <row r="17778" spans="1:11">
      <c r="A17778" s="688" t="s">
        <v>7</v>
      </c>
      <c r="B17778" s="691">
        <v>29.6</v>
      </c>
      <c r="C17778" s="691">
        <v>29.4</v>
      </c>
      <c r="D17778" s="691">
        <v>29.1</v>
      </c>
      <c r="E17778" s="691">
        <v>29.4</v>
      </c>
      <c r="F17778" s="691">
        <v>29.3</v>
      </c>
      <c r="G17778" s="691">
        <v>29.8</v>
      </c>
      <c r="H17778" s="691">
        <v>29.6</v>
      </c>
      <c r="I17778" s="691">
        <v>29.3</v>
      </c>
      <c r="J17778" s="691">
        <v>28.5</v>
      </c>
      <c r="K17778" s="691">
        <v>28.9</v>
      </c>
    </row>
    <row r="17779" spans="1:11">
      <c r="A17779" s="688" t="s">
        <v>27</v>
      </c>
      <c r="B17779" s="689">
        <v>31.5</v>
      </c>
      <c r="C17779" s="689">
        <v>31.1</v>
      </c>
      <c r="D17779" s="689">
        <v>30.7</v>
      </c>
      <c r="E17779" s="689">
        <v>31.2</v>
      </c>
      <c r="F17779" s="689">
        <v>31.1</v>
      </c>
      <c r="G17779" s="689">
        <v>31.2</v>
      </c>
      <c r="H17779" s="689">
        <v>31.5</v>
      </c>
      <c r="I17779" s="689">
        <v>30.3</v>
      </c>
      <c r="J17779" s="689">
        <v>31.1</v>
      </c>
      <c r="K17779" s="693">
        <v>31</v>
      </c>
    </row>
    <row r="17780" spans="1:11">
      <c r="A17780" s="688" t="s">
        <v>6</v>
      </c>
      <c r="B17780" s="691">
        <v>31.5</v>
      </c>
      <c r="C17780" s="691">
        <v>31.2</v>
      </c>
      <c r="D17780" s="615">
        <v>31</v>
      </c>
      <c r="E17780" s="691">
        <v>31.2</v>
      </c>
      <c r="F17780" s="691">
        <v>31.2</v>
      </c>
      <c r="G17780" s="691">
        <v>31.3</v>
      </c>
      <c r="H17780" s="691">
        <v>31.4</v>
      </c>
      <c r="I17780" s="691">
        <v>30.9</v>
      </c>
      <c r="J17780" s="615">
        <v>31</v>
      </c>
      <c r="K17780" s="691">
        <v>30.9</v>
      </c>
    </row>
    <row r="17781" spans="1:11">
      <c r="A17781" s="688" t="s">
        <v>4058</v>
      </c>
      <c r="B17781" s="690" t="s">
        <v>4060</v>
      </c>
      <c r="C17781" s="690" t="s">
        <v>4060</v>
      </c>
      <c r="D17781" s="690" t="s">
        <v>4060</v>
      </c>
      <c r="E17781" s="690" t="s">
        <v>4060</v>
      </c>
      <c r="F17781" s="690" t="s">
        <v>4060</v>
      </c>
      <c r="G17781" s="690" t="s">
        <v>4060</v>
      </c>
      <c r="H17781" s="690" t="s">
        <v>4060</v>
      </c>
      <c r="I17781" s="690" t="s">
        <v>4060</v>
      </c>
      <c r="J17781" s="690" t="s">
        <v>4060</v>
      </c>
      <c r="K17781" s="690" t="s">
        <v>4060</v>
      </c>
    </row>
    <row r="17782" spans="1:11">
      <c r="A17782" s="688" t="s">
        <v>11</v>
      </c>
      <c r="B17782" s="691">
        <v>26.9</v>
      </c>
      <c r="C17782" s="691">
        <v>26.7</v>
      </c>
      <c r="D17782" s="691">
        <v>26.3</v>
      </c>
      <c r="E17782" s="691">
        <v>26.8</v>
      </c>
      <c r="F17782" s="691">
        <v>26.5</v>
      </c>
      <c r="G17782" s="691">
        <v>26.9</v>
      </c>
      <c r="H17782" s="615">
        <v>27</v>
      </c>
      <c r="I17782" s="691">
        <v>26.4</v>
      </c>
      <c r="J17782" s="691">
        <v>25.7</v>
      </c>
      <c r="K17782" s="691">
        <v>26.5</v>
      </c>
    </row>
    <row r="17783" spans="1:11">
      <c r="A17783" s="688" t="s">
        <v>10</v>
      </c>
      <c r="B17783" s="689">
        <v>30.7</v>
      </c>
      <c r="C17783" s="689">
        <v>30.4</v>
      </c>
      <c r="D17783" s="689">
        <v>29.9</v>
      </c>
      <c r="E17783" s="689">
        <v>30.5</v>
      </c>
      <c r="F17783" s="689">
        <v>30.3</v>
      </c>
      <c r="G17783" s="689">
        <v>30.6</v>
      </c>
      <c r="H17783" s="689">
        <v>30.7</v>
      </c>
      <c r="I17783" s="689">
        <v>29.8</v>
      </c>
      <c r="J17783" s="689">
        <v>30.1</v>
      </c>
      <c r="K17783" s="689">
        <v>30.1</v>
      </c>
    </row>
    <row r="17784" spans="1:11">
      <c r="A17784" s="688" t="s">
        <v>30</v>
      </c>
      <c r="B17784" s="691">
        <v>29.9</v>
      </c>
      <c r="C17784" s="691">
        <v>29.4</v>
      </c>
      <c r="D17784" s="691">
        <v>29.1</v>
      </c>
      <c r="E17784" s="615">
        <v>30</v>
      </c>
      <c r="F17784" s="691">
        <v>29.5</v>
      </c>
      <c r="G17784" s="691">
        <v>29.9</v>
      </c>
      <c r="H17784" s="691">
        <v>29.8</v>
      </c>
      <c r="I17784" s="691">
        <v>29.8</v>
      </c>
      <c r="J17784" s="691">
        <v>29.2</v>
      </c>
      <c r="K17784" s="691">
        <v>29.3</v>
      </c>
    </row>
    <row r="17785" spans="1:11">
      <c r="A17785" s="688" t="s">
        <v>12</v>
      </c>
      <c r="B17785" s="693">
        <v>26</v>
      </c>
      <c r="C17785" s="689">
        <v>26.1</v>
      </c>
      <c r="D17785" s="689">
        <v>26.1</v>
      </c>
      <c r="E17785" s="689">
        <v>26.2</v>
      </c>
      <c r="F17785" s="689">
        <v>26.3</v>
      </c>
      <c r="G17785" s="689">
        <v>26.3</v>
      </c>
      <c r="H17785" s="689">
        <v>26.7</v>
      </c>
      <c r="I17785" s="689">
        <v>26.5</v>
      </c>
      <c r="J17785" s="689">
        <v>24.8</v>
      </c>
      <c r="K17785" s="689">
        <v>26.2</v>
      </c>
    </row>
    <row r="17786" spans="1:11">
      <c r="A17786" s="688" t="s">
        <v>14</v>
      </c>
      <c r="B17786" s="691">
        <v>26.6</v>
      </c>
      <c r="C17786" s="691">
        <v>26.6</v>
      </c>
      <c r="D17786" s="691">
        <v>26.4</v>
      </c>
      <c r="E17786" s="691">
        <v>26.6</v>
      </c>
      <c r="F17786" s="691">
        <v>26.8</v>
      </c>
      <c r="G17786" s="615">
        <v>27</v>
      </c>
      <c r="H17786" s="691">
        <v>27.3</v>
      </c>
      <c r="I17786" s="691">
        <v>26.5</v>
      </c>
      <c r="J17786" s="691">
        <v>25.5</v>
      </c>
      <c r="K17786" s="691">
        <v>26.6</v>
      </c>
    </row>
    <row r="17787" spans="1:11">
      <c r="A17787" s="688" t="s">
        <v>15</v>
      </c>
      <c r="B17787" s="689">
        <v>29.9</v>
      </c>
      <c r="C17787" s="689">
        <v>29.9</v>
      </c>
      <c r="D17787" s="689">
        <v>29.3</v>
      </c>
      <c r="E17787" s="689">
        <v>30.1</v>
      </c>
      <c r="F17787" s="689">
        <v>29.4</v>
      </c>
      <c r="G17787" s="689">
        <v>29.8</v>
      </c>
      <c r="H17787" s="689">
        <v>30.1</v>
      </c>
      <c r="I17787" s="689">
        <v>29.8</v>
      </c>
      <c r="J17787" s="689">
        <v>30.1</v>
      </c>
      <c r="K17787" s="689">
        <v>30.2</v>
      </c>
    </row>
    <row r="17788" spans="1:11">
      <c r="A17788" s="688" t="s">
        <v>29</v>
      </c>
      <c r="B17788" s="691">
        <v>25.6</v>
      </c>
      <c r="C17788" s="691">
        <v>25.5</v>
      </c>
      <c r="D17788" s="691">
        <v>25.1</v>
      </c>
      <c r="E17788" s="691">
        <v>25.7</v>
      </c>
      <c r="F17788" s="691">
        <v>25.4</v>
      </c>
      <c r="G17788" s="691">
        <v>25.5</v>
      </c>
      <c r="H17788" s="691">
        <v>25.6</v>
      </c>
      <c r="I17788" s="691">
        <v>24.9</v>
      </c>
      <c r="J17788" s="615">
        <v>24</v>
      </c>
      <c r="K17788" s="691">
        <v>25.3</v>
      </c>
    </row>
    <row r="17789" spans="1:11">
      <c r="A17789" s="688" t="s">
        <v>16</v>
      </c>
      <c r="B17789" s="689">
        <v>29.5</v>
      </c>
      <c r="C17789" s="689">
        <v>29.3</v>
      </c>
      <c r="D17789" s="689">
        <v>29.3</v>
      </c>
      <c r="E17789" s="689">
        <v>29.7</v>
      </c>
      <c r="F17789" s="689">
        <v>29.8</v>
      </c>
      <c r="G17789" s="689">
        <v>29.7</v>
      </c>
      <c r="H17789" s="693">
        <v>30</v>
      </c>
      <c r="I17789" s="689">
        <v>29.6</v>
      </c>
      <c r="J17789" s="689">
        <v>29.2</v>
      </c>
      <c r="K17789" s="689">
        <v>29.5</v>
      </c>
    </row>
    <row r="17790" spans="1:11">
      <c r="A17790" s="688" t="s">
        <v>17</v>
      </c>
      <c r="B17790" s="691">
        <v>28.9</v>
      </c>
      <c r="C17790" s="615">
        <v>29</v>
      </c>
      <c r="D17790" s="691">
        <v>28.7</v>
      </c>
      <c r="E17790" s="691">
        <v>28.8</v>
      </c>
      <c r="F17790" s="691">
        <v>28.9</v>
      </c>
      <c r="G17790" s="691">
        <v>28.9</v>
      </c>
      <c r="H17790" s="691">
        <v>29.1</v>
      </c>
      <c r="I17790" s="691">
        <v>28.7</v>
      </c>
      <c r="J17790" s="691">
        <v>28.6</v>
      </c>
      <c r="K17790" s="691">
        <v>28.7</v>
      </c>
    </row>
    <row r="17791" spans="1:11">
      <c r="A17791" s="688" t="s">
        <v>19</v>
      </c>
      <c r="B17791" s="689">
        <v>29.4</v>
      </c>
      <c r="C17791" s="689">
        <v>29.4</v>
      </c>
      <c r="D17791" s="689">
        <v>29.1</v>
      </c>
      <c r="E17791" s="689">
        <v>29.5</v>
      </c>
      <c r="F17791" s="689">
        <v>29.4</v>
      </c>
      <c r="G17791" s="689">
        <v>29.5</v>
      </c>
      <c r="H17791" s="689">
        <v>29.7</v>
      </c>
      <c r="I17791" s="689">
        <v>29.2</v>
      </c>
      <c r="J17791" s="689">
        <v>29.2</v>
      </c>
      <c r="K17791" s="689">
        <v>29.2</v>
      </c>
    </row>
    <row r="17792" spans="1:11">
      <c r="A17792" s="688" t="s">
        <v>20</v>
      </c>
      <c r="B17792" s="691">
        <v>27.3</v>
      </c>
      <c r="C17792" s="691">
        <v>27.5</v>
      </c>
      <c r="D17792" s="691">
        <v>27.3</v>
      </c>
      <c r="E17792" s="691">
        <v>27.7</v>
      </c>
      <c r="F17792" s="691">
        <v>27.5</v>
      </c>
      <c r="G17792" s="691">
        <v>27.4</v>
      </c>
      <c r="H17792" s="691">
        <v>27.7</v>
      </c>
      <c r="I17792" s="691">
        <v>26.6</v>
      </c>
      <c r="J17792" s="691">
        <v>25.7</v>
      </c>
      <c r="K17792" s="691">
        <v>27.1</v>
      </c>
    </row>
    <row r="17793" spans="1:11">
      <c r="A17793" s="688" t="s">
        <v>21</v>
      </c>
      <c r="B17793" s="689">
        <v>29.7</v>
      </c>
      <c r="C17793" s="693">
        <v>30</v>
      </c>
      <c r="D17793" s="689">
        <v>29.8</v>
      </c>
      <c r="E17793" s="689">
        <v>29.9</v>
      </c>
      <c r="F17793" s="689">
        <v>30.2</v>
      </c>
      <c r="G17793" s="689">
        <v>30.2</v>
      </c>
      <c r="H17793" s="689">
        <v>30.4</v>
      </c>
      <c r="I17793" s="689">
        <v>29.8</v>
      </c>
      <c r="J17793" s="689">
        <v>29.9</v>
      </c>
      <c r="K17793" s="693">
        <v>30</v>
      </c>
    </row>
    <row r="17794" spans="1:11">
      <c r="A17794" s="688" t="s">
        <v>22</v>
      </c>
      <c r="B17794" s="691">
        <v>25.6</v>
      </c>
      <c r="C17794" s="691">
        <v>25.4</v>
      </c>
      <c r="D17794" s="691">
        <v>25.3</v>
      </c>
      <c r="E17794" s="691">
        <v>25.6</v>
      </c>
      <c r="F17794" s="691">
        <v>25.6</v>
      </c>
      <c r="G17794" s="691">
        <v>25.7</v>
      </c>
      <c r="H17794" s="691">
        <v>25.9</v>
      </c>
      <c r="I17794" s="691">
        <v>24.8</v>
      </c>
      <c r="J17794" s="691">
        <v>23.4</v>
      </c>
      <c r="K17794" s="691">
        <v>25.5</v>
      </c>
    </row>
    <row r="17795" spans="1:11">
      <c r="A17795" s="688" t="s">
        <v>26</v>
      </c>
      <c r="B17795" s="689">
        <v>29.2</v>
      </c>
      <c r="C17795" s="689">
        <v>29.1</v>
      </c>
      <c r="D17795" s="693">
        <v>29</v>
      </c>
      <c r="E17795" s="689">
        <v>29.3</v>
      </c>
      <c r="F17795" s="689">
        <v>29.1</v>
      </c>
      <c r="G17795" s="689">
        <v>29.3</v>
      </c>
      <c r="H17795" s="689">
        <v>29.5</v>
      </c>
      <c r="I17795" s="689">
        <v>28.7</v>
      </c>
      <c r="J17795" s="693">
        <v>29</v>
      </c>
      <c r="K17795" s="689">
        <v>29.3</v>
      </c>
    </row>
    <row r="17796" spans="1:11">
      <c r="A17796" s="688" t="s">
        <v>25</v>
      </c>
      <c r="B17796" s="691">
        <v>26.4</v>
      </c>
      <c r="C17796" s="691">
        <v>26.6</v>
      </c>
      <c r="D17796" s="691">
        <v>26.3</v>
      </c>
      <c r="E17796" s="691">
        <v>26.7</v>
      </c>
      <c r="F17796" s="691">
        <v>26.7</v>
      </c>
      <c r="G17796" s="691">
        <v>26.8</v>
      </c>
      <c r="H17796" s="691">
        <v>27.2</v>
      </c>
      <c r="I17796" s="691">
        <v>26.5</v>
      </c>
      <c r="J17796" s="691">
        <v>24.5</v>
      </c>
      <c r="K17796" s="691">
        <v>26.5</v>
      </c>
    </row>
    <row r="17797" spans="1:11">
      <c r="A17797" s="688" t="s">
        <v>5</v>
      </c>
      <c r="B17797" s="689">
        <v>29.7</v>
      </c>
      <c r="C17797" s="689">
        <v>29.4</v>
      </c>
      <c r="D17797" s="689">
        <v>29.6</v>
      </c>
      <c r="E17797" s="689">
        <v>29.6</v>
      </c>
      <c r="F17797" s="689">
        <v>29.8</v>
      </c>
      <c r="G17797" s="689">
        <v>29.8</v>
      </c>
      <c r="H17797" s="689">
        <v>30.1</v>
      </c>
      <c r="I17797" s="689">
        <v>30.1</v>
      </c>
      <c r="J17797" s="693">
        <v>30</v>
      </c>
      <c r="K17797" s="689">
        <v>29.4</v>
      </c>
    </row>
    <row r="17798" spans="1:11">
      <c r="A17798" s="688" t="s">
        <v>23</v>
      </c>
      <c r="B17798" s="691">
        <v>29.3</v>
      </c>
      <c r="C17798" s="691">
        <v>29.5</v>
      </c>
      <c r="D17798" s="691">
        <v>29.4</v>
      </c>
      <c r="E17798" s="691">
        <v>29.5</v>
      </c>
      <c r="F17798" s="691">
        <v>29.5</v>
      </c>
      <c r="G17798" s="691">
        <v>29.6</v>
      </c>
      <c r="H17798" s="691">
        <v>30.1</v>
      </c>
      <c r="I17798" s="691">
        <v>29.6</v>
      </c>
      <c r="J17798" s="691">
        <v>30.1</v>
      </c>
      <c r="K17798" s="615">
        <v>30</v>
      </c>
    </row>
    <row r="17799" spans="1:11">
      <c r="A17799" s="688" t="s">
        <v>4067</v>
      </c>
      <c r="B17799" s="689">
        <v>29.1</v>
      </c>
      <c r="C17799" s="689">
        <v>29.4</v>
      </c>
      <c r="D17799" s="693">
        <v>29</v>
      </c>
      <c r="E17799" s="689">
        <v>29.4</v>
      </c>
      <c r="F17799" s="689">
        <v>29.3</v>
      </c>
      <c r="G17799" s="689">
        <v>29.4</v>
      </c>
      <c r="H17799" s="690" t="s">
        <v>4060</v>
      </c>
      <c r="I17799" s="690" t="s">
        <v>4060</v>
      </c>
      <c r="J17799" s="690" t="s">
        <v>4060</v>
      </c>
      <c r="K17799" s="690" t="s">
        <v>4060</v>
      </c>
    </row>
    <row r="17800" spans="1:11">
      <c r="A17800" s="688" t="s">
        <v>4066</v>
      </c>
      <c r="B17800" s="691">
        <v>29.1</v>
      </c>
      <c r="C17800" s="691">
        <v>29.5</v>
      </c>
      <c r="D17800" s="691">
        <v>29.1</v>
      </c>
      <c r="E17800" s="691">
        <v>29.4</v>
      </c>
      <c r="F17800" s="691">
        <v>29.3</v>
      </c>
      <c r="G17800" s="691">
        <v>29.4</v>
      </c>
      <c r="H17800" s="692" t="s">
        <v>4060</v>
      </c>
      <c r="I17800" s="692" t="s">
        <v>4060</v>
      </c>
      <c r="J17800" s="692" t="s">
        <v>4060</v>
      </c>
      <c r="K17800" s="692" t="s">
        <v>4060</v>
      </c>
    </row>
    <row r="17801" spans="1:11">
      <c r="A17801" s="688" t="s">
        <v>4062</v>
      </c>
      <c r="B17801" s="693">
        <v>30</v>
      </c>
      <c r="C17801" s="689">
        <v>30.2</v>
      </c>
      <c r="D17801" s="693">
        <v>30</v>
      </c>
      <c r="E17801" s="689">
        <v>30.3</v>
      </c>
      <c r="F17801" s="689">
        <v>30.3</v>
      </c>
      <c r="G17801" s="689">
        <v>30.4</v>
      </c>
      <c r="H17801" s="689">
        <v>30.5</v>
      </c>
      <c r="I17801" s="689">
        <v>30.3</v>
      </c>
      <c r="J17801" s="689">
        <v>30.5</v>
      </c>
      <c r="K17801" s="689">
        <v>30.3</v>
      </c>
    </row>
    <row r="17802" spans="1:11">
      <c r="A17802" s="688" t="s">
        <v>9</v>
      </c>
      <c r="B17802" s="691">
        <v>29.1</v>
      </c>
      <c r="C17802" s="691">
        <v>29.6</v>
      </c>
      <c r="D17802" s="691">
        <v>29.1</v>
      </c>
      <c r="E17802" s="615">
        <v>29</v>
      </c>
      <c r="F17802" s="691">
        <v>29.5</v>
      </c>
      <c r="G17802" s="691">
        <v>29.5</v>
      </c>
      <c r="H17802" s="691">
        <v>29.9</v>
      </c>
      <c r="I17802" s="691">
        <v>29.9</v>
      </c>
      <c r="J17802" s="691">
        <v>29.8</v>
      </c>
      <c r="K17802" s="691">
        <v>29.1</v>
      </c>
    </row>
    <row r="17803" spans="1:11">
      <c r="A17803" s="688" t="s">
        <v>13</v>
      </c>
      <c r="B17803" s="689">
        <v>30.1</v>
      </c>
      <c r="C17803" s="689">
        <v>28.5</v>
      </c>
      <c r="D17803" s="689">
        <v>29.4</v>
      </c>
      <c r="E17803" s="689">
        <v>29.7</v>
      </c>
      <c r="F17803" s="689">
        <v>30.4</v>
      </c>
      <c r="G17803" s="689">
        <v>30.3</v>
      </c>
      <c r="H17803" s="689">
        <v>30.2</v>
      </c>
      <c r="I17803" s="689">
        <v>29.6</v>
      </c>
      <c r="J17803" s="689">
        <v>30.7</v>
      </c>
      <c r="K17803" s="689">
        <v>30.4</v>
      </c>
    </row>
    <row r="17804" spans="1:11">
      <c r="A17804" s="688" t="s">
        <v>18</v>
      </c>
      <c r="B17804" s="691">
        <v>29.3</v>
      </c>
      <c r="C17804" s="691">
        <v>29.5</v>
      </c>
      <c r="D17804" s="691">
        <v>29.5</v>
      </c>
      <c r="E17804" s="691">
        <v>29.6</v>
      </c>
      <c r="F17804" s="691">
        <v>29.7</v>
      </c>
      <c r="G17804" s="691">
        <v>29.8</v>
      </c>
      <c r="H17804" s="615">
        <v>30</v>
      </c>
      <c r="I17804" s="691">
        <v>30.2</v>
      </c>
      <c r="J17804" s="615">
        <v>30</v>
      </c>
      <c r="K17804" s="691">
        <v>29.7</v>
      </c>
    </row>
    <row r="17805" spans="1:11">
      <c r="A17805" s="688" t="s">
        <v>24</v>
      </c>
      <c r="B17805" s="689">
        <v>30.5</v>
      </c>
      <c r="C17805" s="689">
        <v>30.5</v>
      </c>
      <c r="D17805" s="689">
        <v>30.3</v>
      </c>
      <c r="E17805" s="689">
        <v>30.7</v>
      </c>
      <c r="F17805" s="689">
        <v>30.7</v>
      </c>
      <c r="G17805" s="689">
        <v>30.8</v>
      </c>
      <c r="H17805" s="689">
        <v>30.9</v>
      </c>
      <c r="I17805" s="689">
        <v>30.4</v>
      </c>
      <c r="J17805" s="689">
        <v>30.9</v>
      </c>
      <c r="K17805" s="689">
        <v>30.7</v>
      </c>
    </row>
    <row r="17806" spans="1:11">
      <c r="A17806" s="688" t="s">
        <v>4059</v>
      </c>
      <c r="B17806" s="691">
        <v>28.8</v>
      </c>
      <c r="C17806" s="691">
        <v>29.1</v>
      </c>
      <c r="D17806" s="691">
        <v>28.7</v>
      </c>
      <c r="E17806" s="691">
        <v>28.9</v>
      </c>
      <c r="F17806" s="615">
        <v>29</v>
      </c>
      <c r="G17806" s="615">
        <v>29</v>
      </c>
      <c r="H17806" s="692" t="s">
        <v>4060</v>
      </c>
      <c r="I17806" s="692" t="s">
        <v>4060</v>
      </c>
      <c r="J17806" s="692" t="s">
        <v>4060</v>
      </c>
      <c r="K17806" s="692" t="s">
        <v>4060</v>
      </c>
    </row>
    <row r="17807" spans="1:11">
      <c r="A17807" s="688" t="s">
        <v>2324</v>
      </c>
      <c r="B17807" s="689">
        <v>25.1</v>
      </c>
      <c r="C17807" s="689">
        <v>25.2</v>
      </c>
      <c r="D17807" s="689">
        <v>24.7</v>
      </c>
      <c r="E17807" s="689">
        <v>24.8</v>
      </c>
      <c r="F17807" s="689">
        <v>25.2</v>
      </c>
      <c r="G17807" s="689">
        <v>25.2</v>
      </c>
      <c r="H17807" s="689">
        <v>25.5</v>
      </c>
      <c r="I17807" s="689">
        <v>24.8</v>
      </c>
      <c r="J17807" s="689">
        <v>22.9</v>
      </c>
      <c r="K17807" s="690" t="s">
        <v>4060</v>
      </c>
    </row>
    <row r="17808" spans="1:11">
      <c r="A17808" s="688" t="s">
        <v>2322</v>
      </c>
      <c r="B17808" s="692" t="s">
        <v>4060</v>
      </c>
      <c r="C17808" s="692" t="s">
        <v>4060</v>
      </c>
      <c r="D17808" s="692" t="s">
        <v>4060</v>
      </c>
      <c r="E17808" s="692" t="s">
        <v>4060</v>
      </c>
      <c r="F17808" s="692" t="s">
        <v>4060</v>
      </c>
      <c r="G17808" s="692" t="s">
        <v>4060</v>
      </c>
      <c r="H17808" s="692" t="s">
        <v>4060</v>
      </c>
      <c r="I17808" s="692" t="s">
        <v>4060</v>
      </c>
      <c r="J17808" s="692" t="s">
        <v>4060</v>
      </c>
      <c r="K17808" s="692" t="s">
        <v>4060</v>
      </c>
    </row>
    <row r="17809" spans="1:11">
      <c r="A17809" s="688" t="s">
        <v>2328</v>
      </c>
      <c r="B17809" s="693">
        <v>24</v>
      </c>
      <c r="C17809" s="689">
        <v>23.9</v>
      </c>
      <c r="D17809" s="689">
        <v>23.7</v>
      </c>
      <c r="E17809" s="689">
        <v>24.1</v>
      </c>
      <c r="F17809" s="689">
        <v>24.2</v>
      </c>
      <c r="G17809" s="689">
        <v>24.6</v>
      </c>
      <c r="H17809" s="689">
        <v>24.4</v>
      </c>
      <c r="I17809" s="693">
        <v>23</v>
      </c>
      <c r="J17809" s="693">
        <v>22</v>
      </c>
      <c r="K17809" s="690" t="s">
        <v>4060</v>
      </c>
    </row>
    <row r="17810" spans="1:11">
      <c r="A17810" s="688" t="s">
        <v>2496</v>
      </c>
      <c r="B17810" s="692" t="s">
        <v>4060</v>
      </c>
      <c r="C17810" s="691">
        <v>25.1</v>
      </c>
      <c r="D17810" s="691">
        <v>24.3</v>
      </c>
      <c r="E17810" s="615">
        <v>24</v>
      </c>
      <c r="F17810" s="691">
        <v>24.6</v>
      </c>
      <c r="G17810" s="691">
        <v>24.9</v>
      </c>
      <c r="H17810" s="691">
        <v>24.9</v>
      </c>
      <c r="I17810" s="692" t="s">
        <v>4060</v>
      </c>
      <c r="J17810" s="692" t="s">
        <v>4060</v>
      </c>
      <c r="K17810" s="691">
        <v>24.6</v>
      </c>
    </row>
    <row r="17811" spans="1:11">
      <c r="A17811" s="688" t="s">
        <v>2269</v>
      </c>
      <c r="B17811" s="689">
        <v>26.5</v>
      </c>
      <c r="C17811" s="689">
        <v>26.6</v>
      </c>
      <c r="D17811" s="689">
        <v>25.9</v>
      </c>
      <c r="E17811" s="689">
        <v>26.4</v>
      </c>
      <c r="F17811" s="689">
        <v>26.2</v>
      </c>
      <c r="G17811" s="689">
        <v>26.6</v>
      </c>
      <c r="H17811" s="689">
        <v>26.9</v>
      </c>
      <c r="I17811" s="689">
        <v>25.7</v>
      </c>
      <c r="J17811" s="689">
        <v>23.8</v>
      </c>
      <c r="K17811" s="689">
        <v>26.6</v>
      </c>
    </row>
    <row r="17812" spans="1:11">
      <c r="A17812" s="688" t="s">
        <v>2349</v>
      </c>
      <c r="B17812" s="691">
        <v>24.3</v>
      </c>
      <c r="C17812" s="691">
        <v>24.3</v>
      </c>
      <c r="D17812" s="691">
        <v>24.3</v>
      </c>
      <c r="E17812" s="691">
        <v>24.6</v>
      </c>
      <c r="F17812" s="691">
        <v>24.4</v>
      </c>
      <c r="G17812" s="691">
        <v>24.6</v>
      </c>
      <c r="H17812" s="691">
        <v>24.8</v>
      </c>
      <c r="I17812" s="691">
        <v>23.7</v>
      </c>
      <c r="J17812" s="691">
        <v>22.2</v>
      </c>
      <c r="K17812" s="615">
        <v>24</v>
      </c>
    </row>
    <row r="17813" spans="1:11">
      <c r="A17813" s="688" t="s">
        <v>2355</v>
      </c>
      <c r="B17813" s="689">
        <v>27.7</v>
      </c>
      <c r="C17813" s="689">
        <v>27.5</v>
      </c>
      <c r="D17813" s="689">
        <v>27.4</v>
      </c>
      <c r="E17813" s="689">
        <v>27.4</v>
      </c>
      <c r="F17813" s="689">
        <v>27.6</v>
      </c>
      <c r="G17813" s="689">
        <v>27.9</v>
      </c>
      <c r="H17813" s="693">
        <v>28</v>
      </c>
      <c r="I17813" s="690" t="s">
        <v>4060</v>
      </c>
      <c r="J17813" s="690" t="s">
        <v>4060</v>
      </c>
      <c r="K17813" s="690" t="s">
        <v>4060</v>
      </c>
    </row>
    <row r="17814" spans="1:11">
      <c r="A17814" s="688" t="s">
        <v>2357</v>
      </c>
      <c r="B17814" s="692" t="s">
        <v>4060</v>
      </c>
      <c r="C17814" s="691">
        <v>24.3</v>
      </c>
      <c r="D17814" s="691">
        <v>24.7</v>
      </c>
      <c r="E17814" s="615">
        <v>25</v>
      </c>
      <c r="F17814" s="691">
        <v>25.3</v>
      </c>
      <c r="G17814" s="691">
        <v>25.2</v>
      </c>
      <c r="H17814" s="691">
        <v>25.4</v>
      </c>
      <c r="I17814" s="692" t="s">
        <v>4060</v>
      </c>
      <c r="J17814" s="692" t="s">
        <v>4060</v>
      </c>
      <c r="K17814" s="692" t="s">
        <v>4060</v>
      </c>
    </row>
    <row r="17815" spans="1:11">
      <c r="A17815" s="688" t="s">
        <v>4070</v>
      </c>
      <c r="B17815" s="690" t="s">
        <v>4060</v>
      </c>
      <c r="C17815" s="690" t="s">
        <v>4060</v>
      </c>
      <c r="D17815" s="690" t="s">
        <v>4060</v>
      </c>
      <c r="E17815" s="689">
        <v>27.5</v>
      </c>
      <c r="F17815" s="690" t="s">
        <v>4060</v>
      </c>
      <c r="G17815" s="690" t="s">
        <v>4060</v>
      </c>
      <c r="H17815" s="690" t="s">
        <v>4060</v>
      </c>
      <c r="I17815" s="690" t="s">
        <v>4060</v>
      </c>
      <c r="J17815" s="690" t="s">
        <v>4060</v>
      </c>
      <c r="K17815" s="690" t="s">
        <v>4060</v>
      </c>
    </row>
    <row r="17816" spans="1:11">
      <c r="A17816" s="688" t="s">
        <v>2491</v>
      </c>
      <c r="B17816" s="691">
        <v>24.9</v>
      </c>
      <c r="C17816" s="691">
        <v>25.4</v>
      </c>
      <c r="D17816" s="691">
        <v>25.5</v>
      </c>
      <c r="E17816" s="691">
        <v>25.7</v>
      </c>
      <c r="F17816" s="691">
        <v>25.8</v>
      </c>
      <c r="G17816" s="691">
        <v>25.8</v>
      </c>
      <c r="H17816" s="692" t="s">
        <v>4060</v>
      </c>
      <c r="I17816" s="692" t="s">
        <v>4060</v>
      </c>
      <c r="J17816" s="692" t="s">
        <v>4060</v>
      </c>
      <c r="K17816" s="692" t="s">
        <v>4060</v>
      </c>
    </row>
    <row r="17817" spans="1:11">
      <c r="A17817" s="688" t="s">
        <v>2343</v>
      </c>
      <c r="B17817" s="690" t="s">
        <v>4060</v>
      </c>
      <c r="C17817" s="690" t="s">
        <v>4060</v>
      </c>
      <c r="D17817" s="690" t="s">
        <v>4060</v>
      </c>
      <c r="E17817" s="690" t="s">
        <v>4060</v>
      </c>
      <c r="F17817" s="690" t="s">
        <v>4060</v>
      </c>
      <c r="G17817" s="690" t="s">
        <v>4060</v>
      </c>
      <c r="H17817" s="690" t="s">
        <v>4060</v>
      </c>
      <c r="I17817" s="690" t="s">
        <v>4060</v>
      </c>
      <c r="J17817" s="690" t="s">
        <v>4060</v>
      </c>
      <c r="K17817" s="690" t="s">
        <v>4060</v>
      </c>
    </row>
    <row r="17818" spans="1:11">
      <c r="A17818" s="688" t="s">
        <v>4071</v>
      </c>
      <c r="B17818" s="692" t="s">
        <v>4060</v>
      </c>
      <c r="C17818" s="692" t="s">
        <v>4060</v>
      </c>
      <c r="D17818" s="692" t="s">
        <v>4060</v>
      </c>
      <c r="E17818" s="692" t="s">
        <v>4060</v>
      </c>
      <c r="F17818" s="692" t="s">
        <v>4060</v>
      </c>
      <c r="G17818" s="692" t="s">
        <v>4060</v>
      </c>
      <c r="H17818" s="692" t="s">
        <v>4060</v>
      </c>
      <c r="I17818" s="692" t="s">
        <v>4060</v>
      </c>
      <c r="J17818" s="692" t="s">
        <v>4060</v>
      </c>
      <c r="K17818" s="692" t="s">
        <v>4060</v>
      </c>
    </row>
    <row r="17819" spans="1:11">
      <c r="A17819" s="688" t="s">
        <v>2489</v>
      </c>
      <c r="B17819" s="690" t="s">
        <v>4060</v>
      </c>
      <c r="C17819" s="690" t="s">
        <v>4060</v>
      </c>
      <c r="D17819" s="689">
        <v>24.8</v>
      </c>
      <c r="E17819" s="689">
        <v>24.8</v>
      </c>
      <c r="F17819" s="689">
        <v>25.1</v>
      </c>
      <c r="G17819" s="689">
        <v>25.8</v>
      </c>
      <c r="H17819" s="689">
        <v>25.7</v>
      </c>
      <c r="I17819" s="690" t="s">
        <v>4060</v>
      </c>
      <c r="J17819" s="690" t="s">
        <v>4060</v>
      </c>
      <c r="K17819" s="690" t="s">
        <v>4060</v>
      </c>
    </row>
    <row r="17820" spans="1:11">
      <c r="A17820" s="688" t="s">
        <v>2490</v>
      </c>
      <c r="B17820" s="615">
        <v>24</v>
      </c>
      <c r="C17820" s="615">
        <v>24</v>
      </c>
      <c r="D17820" s="691">
        <v>24.5</v>
      </c>
      <c r="E17820" s="692" t="s">
        <v>4060</v>
      </c>
      <c r="F17820" s="691">
        <v>24.7</v>
      </c>
      <c r="G17820" s="615">
        <v>25</v>
      </c>
      <c r="H17820" s="691">
        <v>25.7</v>
      </c>
      <c r="I17820" s="692" t="s">
        <v>4060</v>
      </c>
      <c r="J17820" s="692" t="s">
        <v>4060</v>
      </c>
      <c r="K17820" s="692" t="s">
        <v>4060</v>
      </c>
    </row>
    <row r="17822" spans="1:11">
      <c r="A17822" s="683" t="s">
        <v>4233</v>
      </c>
    </row>
    <row r="17823" spans="1:11">
      <c r="A17823" s="683" t="s">
        <v>4060</v>
      </c>
      <c r="B17823" s="682" t="s">
        <v>4234</v>
      </c>
    </row>
    <row r="17825" spans="1:11">
      <c r="A17825" s="682" t="s">
        <v>4332</v>
      </c>
    </row>
    <row r="17826" spans="1:11">
      <c r="A17826" s="682" t="s">
        <v>4210</v>
      </c>
      <c r="B17826" s="683" t="s">
        <v>4211</v>
      </c>
    </row>
    <row r="17827" spans="1:11">
      <c r="A17827" s="682" t="s">
        <v>4212</v>
      </c>
      <c r="B17827" s="682" t="s">
        <v>4213</v>
      </c>
    </row>
    <row r="17829" spans="1:11">
      <c r="A17829" s="683" t="s">
        <v>4214</v>
      </c>
      <c r="C17829" s="682" t="s">
        <v>4215</v>
      </c>
    </row>
    <row r="17830" spans="1:11">
      <c r="A17830" s="683" t="s">
        <v>4216</v>
      </c>
      <c r="C17830" s="682" t="s">
        <v>2967</v>
      </c>
    </row>
    <row r="17831" spans="1:11">
      <c r="A17831" s="683" t="s">
        <v>3893</v>
      </c>
      <c r="C17831" s="682" t="s">
        <v>2169</v>
      </c>
    </row>
    <row r="17832" spans="1:11">
      <c r="A17832" s="683" t="s">
        <v>4218</v>
      </c>
      <c r="C17832" s="682" t="s">
        <v>4292</v>
      </c>
    </row>
    <row r="17834" spans="1:11">
      <c r="A17834" s="684" t="s">
        <v>4220</v>
      </c>
      <c r="B17834" s="685" t="s">
        <v>4221</v>
      </c>
      <c r="C17834" s="685" t="s">
        <v>4222</v>
      </c>
      <c r="D17834" s="685" t="s">
        <v>4223</v>
      </c>
      <c r="E17834" s="685" t="s">
        <v>4224</v>
      </c>
      <c r="F17834" s="685" t="s">
        <v>4225</v>
      </c>
      <c r="G17834" s="685" t="s">
        <v>4226</v>
      </c>
      <c r="H17834" s="685" t="s">
        <v>4227</v>
      </c>
      <c r="I17834" s="685" t="s">
        <v>4228</v>
      </c>
      <c r="J17834" s="685" t="s">
        <v>4229</v>
      </c>
      <c r="K17834" s="685" t="s">
        <v>4230</v>
      </c>
    </row>
    <row r="17835" spans="1:11">
      <c r="A17835" s="686" t="s">
        <v>4231</v>
      </c>
      <c r="B17835" s="687" t="s">
        <v>4232</v>
      </c>
      <c r="C17835" s="687" t="s">
        <v>4232</v>
      </c>
      <c r="D17835" s="687" t="s">
        <v>4232</v>
      </c>
      <c r="E17835" s="687" t="s">
        <v>4232</v>
      </c>
      <c r="F17835" s="687" t="s">
        <v>4232</v>
      </c>
      <c r="G17835" s="687" t="s">
        <v>4232</v>
      </c>
      <c r="H17835" s="687" t="s">
        <v>4232</v>
      </c>
      <c r="I17835" s="687" t="s">
        <v>4232</v>
      </c>
      <c r="J17835" s="687" t="s">
        <v>4232</v>
      </c>
      <c r="K17835" s="687" t="s">
        <v>4232</v>
      </c>
    </row>
    <row r="17836" spans="1:11">
      <c r="A17836" s="688" t="s">
        <v>4064</v>
      </c>
      <c r="B17836" s="691">
        <v>28.3</v>
      </c>
      <c r="C17836" s="691">
        <v>28.2</v>
      </c>
      <c r="D17836" s="691">
        <v>28.2</v>
      </c>
      <c r="E17836" s="691">
        <v>28.3</v>
      </c>
      <c r="F17836" s="691">
        <v>28.2</v>
      </c>
      <c r="G17836" s="691">
        <v>28.3</v>
      </c>
      <c r="H17836" s="691">
        <v>28.5</v>
      </c>
      <c r="I17836" s="691">
        <v>27.9</v>
      </c>
      <c r="J17836" s="691">
        <v>27.6</v>
      </c>
      <c r="K17836" s="615">
        <v>28</v>
      </c>
    </row>
    <row r="17837" spans="1:11">
      <c r="A17837" s="688" t="s">
        <v>4065</v>
      </c>
      <c r="B17837" s="689">
        <v>28.2</v>
      </c>
      <c r="C17837" s="689">
        <v>28.5</v>
      </c>
      <c r="D17837" s="689">
        <v>28.1</v>
      </c>
      <c r="E17837" s="689">
        <v>28.5</v>
      </c>
      <c r="F17837" s="689">
        <v>28.4</v>
      </c>
      <c r="G17837" s="689">
        <v>28.5</v>
      </c>
      <c r="H17837" s="690" t="s">
        <v>4060</v>
      </c>
      <c r="I17837" s="690" t="s">
        <v>4060</v>
      </c>
      <c r="J17837" s="690" t="s">
        <v>4060</v>
      </c>
      <c r="K17837" s="690" t="s">
        <v>4060</v>
      </c>
    </row>
    <row r="17838" spans="1:11">
      <c r="A17838" s="688" t="s">
        <v>4063</v>
      </c>
      <c r="B17838" s="691">
        <v>28.3</v>
      </c>
      <c r="C17838" s="691">
        <v>28.6</v>
      </c>
      <c r="D17838" s="691">
        <v>28.2</v>
      </c>
      <c r="E17838" s="691">
        <v>28.5</v>
      </c>
      <c r="F17838" s="691">
        <v>28.4</v>
      </c>
      <c r="G17838" s="691">
        <v>28.5</v>
      </c>
      <c r="H17838" s="692" t="s">
        <v>4060</v>
      </c>
      <c r="I17838" s="692" t="s">
        <v>4060</v>
      </c>
      <c r="J17838" s="692" t="s">
        <v>4060</v>
      </c>
      <c r="K17838" s="692" t="s">
        <v>4060</v>
      </c>
    </row>
    <row r="17839" spans="1:11">
      <c r="A17839" s="688" t="s">
        <v>4069</v>
      </c>
      <c r="B17839" s="690" t="s">
        <v>4060</v>
      </c>
      <c r="C17839" s="689">
        <v>28.9</v>
      </c>
      <c r="D17839" s="689">
        <v>28.6</v>
      </c>
      <c r="E17839" s="693">
        <v>29</v>
      </c>
      <c r="F17839" s="689">
        <v>28.9</v>
      </c>
      <c r="G17839" s="693">
        <v>29</v>
      </c>
      <c r="H17839" s="689">
        <v>29.2</v>
      </c>
      <c r="I17839" s="689">
        <v>28.6</v>
      </c>
      <c r="J17839" s="689">
        <v>28.7</v>
      </c>
      <c r="K17839" s="689">
        <v>28.7</v>
      </c>
    </row>
    <row r="17840" spans="1:11">
      <c r="A17840" s="688" t="s">
        <v>4068</v>
      </c>
      <c r="B17840" s="691">
        <v>29.1</v>
      </c>
      <c r="C17840" s="692" t="s">
        <v>4060</v>
      </c>
      <c r="D17840" s="692" t="s">
        <v>4060</v>
      </c>
      <c r="E17840" s="692" t="s">
        <v>4060</v>
      </c>
      <c r="F17840" s="692" t="s">
        <v>4060</v>
      </c>
      <c r="G17840" s="692" t="s">
        <v>4060</v>
      </c>
      <c r="H17840" s="692" t="s">
        <v>4060</v>
      </c>
      <c r="I17840" s="692" t="s">
        <v>4060</v>
      </c>
      <c r="J17840" s="692" t="s">
        <v>4060</v>
      </c>
      <c r="K17840" s="692" t="s">
        <v>4060</v>
      </c>
    </row>
    <row r="17841" spans="1:11">
      <c r="A17841" s="688" t="s">
        <v>0</v>
      </c>
      <c r="B17841" s="689">
        <v>28.3</v>
      </c>
      <c r="C17841" s="689">
        <v>28.4</v>
      </c>
      <c r="D17841" s="689">
        <v>28.1</v>
      </c>
      <c r="E17841" s="689">
        <v>28.5</v>
      </c>
      <c r="F17841" s="689">
        <v>28.5</v>
      </c>
      <c r="G17841" s="689">
        <v>28.5</v>
      </c>
      <c r="H17841" s="689">
        <v>28.8</v>
      </c>
      <c r="I17841" s="689">
        <v>27.8</v>
      </c>
      <c r="J17841" s="689">
        <v>28.8</v>
      </c>
      <c r="K17841" s="689">
        <v>28.5</v>
      </c>
    </row>
    <row r="17842" spans="1:11">
      <c r="A17842" s="688" t="s">
        <v>1</v>
      </c>
      <c r="B17842" s="691">
        <v>24.5</v>
      </c>
      <c r="C17842" s="691">
        <v>24.1</v>
      </c>
      <c r="D17842" s="691">
        <v>24.1</v>
      </c>
      <c r="E17842" s="691">
        <v>24.4</v>
      </c>
      <c r="F17842" s="691">
        <v>24.2</v>
      </c>
      <c r="G17842" s="691">
        <v>24.4</v>
      </c>
      <c r="H17842" s="691">
        <v>24.5</v>
      </c>
      <c r="I17842" s="691">
        <v>23.4</v>
      </c>
      <c r="J17842" s="691">
        <v>21.7</v>
      </c>
      <c r="K17842" s="691">
        <v>23.9</v>
      </c>
    </row>
    <row r="17843" spans="1:11">
      <c r="A17843" s="688" t="s">
        <v>2240</v>
      </c>
      <c r="B17843" s="689">
        <v>26.1</v>
      </c>
      <c r="C17843" s="689">
        <v>26.5</v>
      </c>
      <c r="D17843" s="689">
        <v>26.2</v>
      </c>
      <c r="E17843" s="689">
        <v>26.7</v>
      </c>
      <c r="F17843" s="689">
        <v>26.6</v>
      </c>
      <c r="G17843" s="689">
        <v>26.6</v>
      </c>
      <c r="H17843" s="689">
        <v>26.9</v>
      </c>
      <c r="I17843" s="689">
        <v>26.1</v>
      </c>
      <c r="J17843" s="689">
        <v>25.4</v>
      </c>
      <c r="K17843" s="689">
        <v>26.7</v>
      </c>
    </row>
    <row r="17844" spans="1:11">
      <c r="A17844" s="688" t="s">
        <v>2</v>
      </c>
      <c r="B17844" s="691">
        <v>27.2</v>
      </c>
      <c r="C17844" s="691">
        <v>27.5</v>
      </c>
      <c r="D17844" s="691">
        <v>27.4</v>
      </c>
      <c r="E17844" s="691">
        <v>27.5</v>
      </c>
      <c r="F17844" s="691">
        <v>27.7</v>
      </c>
      <c r="G17844" s="691">
        <v>27.6</v>
      </c>
      <c r="H17844" s="691">
        <v>27.9</v>
      </c>
      <c r="I17844" s="615">
        <v>28</v>
      </c>
      <c r="J17844" s="691">
        <v>27.9</v>
      </c>
      <c r="K17844" s="691">
        <v>27.7</v>
      </c>
    </row>
    <row r="17845" spans="1:11">
      <c r="A17845" s="688" t="s">
        <v>3</v>
      </c>
      <c r="B17845" s="689">
        <v>27.9</v>
      </c>
      <c r="C17845" s="689">
        <v>28.1</v>
      </c>
      <c r="D17845" s="689">
        <v>27.8</v>
      </c>
      <c r="E17845" s="689">
        <v>28.1</v>
      </c>
      <c r="F17845" s="693">
        <v>28</v>
      </c>
      <c r="G17845" s="693">
        <v>28</v>
      </c>
      <c r="H17845" s="689">
        <v>28.2</v>
      </c>
      <c r="I17845" s="689">
        <v>28.1</v>
      </c>
      <c r="J17845" s="689">
        <v>27.9</v>
      </c>
      <c r="K17845" s="689">
        <v>27.6</v>
      </c>
    </row>
    <row r="17846" spans="1:11">
      <c r="A17846" s="688" t="s">
        <v>4061</v>
      </c>
      <c r="B17846" s="691">
        <v>27.9</v>
      </c>
      <c r="C17846" s="691">
        <v>28.1</v>
      </c>
      <c r="D17846" s="691">
        <v>27.8</v>
      </c>
      <c r="E17846" s="691">
        <v>28.1</v>
      </c>
      <c r="F17846" s="615">
        <v>28</v>
      </c>
      <c r="G17846" s="615">
        <v>28</v>
      </c>
      <c r="H17846" s="691">
        <v>28.2</v>
      </c>
      <c r="I17846" s="691">
        <v>28.1</v>
      </c>
      <c r="J17846" s="691">
        <v>27.9</v>
      </c>
      <c r="K17846" s="691">
        <v>27.6</v>
      </c>
    </row>
    <row r="17847" spans="1:11">
      <c r="A17847" s="688" t="s">
        <v>4</v>
      </c>
      <c r="B17847" s="693">
        <v>27</v>
      </c>
      <c r="C17847" s="689">
        <v>26.9</v>
      </c>
      <c r="D17847" s="693">
        <v>27</v>
      </c>
      <c r="E17847" s="689">
        <v>27.3</v>
      </c>
      <c r="F17847" s="689">
        <v>27.3</v>
      </c>
      <c r="G17847" s="689">
        <v>27.3</v>
      </c>
      <c r="H17847" s="689">
        <v>27.8</v>
      </c>
      <c r="I17847" s="689">
        <v>27.7</v>
      </c>
      <c r="J17847" s="689">
        <v>26.5</v>
      </c>
      <c r="K17847" s="689">
        <v>27.3</v>
      </c>
    </row>
    <row r="17848" spans="1:11">
      <c r="A17848" s="688" t="s">
        <v>8</v>
      </c>
      <c r="B17848" s="691">
        <v>27.9</v>
      </c>
      <c r="C17848" s="691">
        <v>27.9</v>
      </c>
      <c r="D17848" s="691">
        <v>27.9</v>
      </c>
      <c r="E17848" s="615">
        <v>28</v>
      </c>
      <c r="F17848" s="691">
        <v>28.4</v>
      </c>
      <c r="G17848" s="691">
        <v>28.5</v>
      </c>
      <c r="H17848" s="691">
        <v>28.9</v>
      </c>
      <c r="I17848" s="691">
        <v>28.6</v>
      </c>
      <c r="J17848" s="691">
        <v>28.5</v>
      </c>
      <c r="K17848" s="691">
        <v>28.6</v>
      </c>
    </row>
    <row r="17849" spans="1:11">
      <c r="A17849" s="688" t="s">
        <v>7</v>
      </c>
      <c r="B17849" s="689">
        <v>28.7</v>
      </c>
      <c r="C17849" s="689">
        <v>28.5</v>
      </c>
      <c r="D17849" s="689">
        <v>28.2</v>
      </c>
      <c r="E17849" s="689">
        <v>28.5</v>
      </c>
      <c r="F17849" s="689">
        <v>28.4</v>
      </c>
      <c r="G17849" s="689">
        <v>28.8</v>
      </c>
      <c r="H17849" s="689">
        <v>28.7</v>
      </c>
      <c r="I17849" s="689">
        <v>28.4</v>
      </c>
      <c r="J17849" s="689">
        <v>27.6</v>
      </c>
      <c r="K17849" s="693">
        <v>28</v>
      </c>
    </row>
    <row r="17850" spans="1:11">
      <c r="A17850" s="688" t="s">
        <v>27</v>
      </c>
      <c r="B17850" s="691">
        <v>30.6</v>
      </c>
      <c r="C17850" s="691">
        <v>30.1</v>
      </c>
      <c r="D17850" s="691">
        <v>29.8</v>
      </c>
      <c r="E17850" s="691">
        <v>30.2</v>
      </c>
      <c r="F17850" s="691">
        <v>30.1</v>
      </c>
      <c r="G17850" s="691">
        <v>30.2</v>
      </c>
      <c r="H17850" s="691">
        <v>30.6</v>
      </c>
      <c r="I17850" s="691">
        <v>29.4</v>
      </c>
      <c r="J17850" s="691">
        <v>30.2</v>
      </c>
      <c r="K17850" s="691">
        <v>30.1</v>
      </c>
    </row>
    <row r="17851" spans="1:11">
      <c r="A17851" s="688" t="s">
        <v>6</v>
      </c>
      <c r="B17851" s="689">
        <v>30.6</v>
      </c>
      <c r="C17851" s="689">
        <v>30.3</v>
      </c>
      <c r="D17851" s="689">
        <v>30.1</v>
      </c>
      <c r="E17851" s="689">
        <v>30.3</v>
      </c>
      <c r="F17851" s="689">
        <v>30.3</v>
      </c>
      <c r="G17851" s="689">
        <v>30.4</v>
      </c>
      <c r="H17851" s="689">
        <v>30.5</v>
      </c>
      <c r="I17851" s="693">
        <v>30</v>
      </c>
      <c r="J17851" s="689">
        <v>30.1</v>
      </c>
      <c r="K17851" s="693">
        <v>30</v>
      </c>
    </row>
    <row r="17852" spans="1:11">
      <c r="A17852" s="688" t="s">
        <v>4058</v>
      </c>
      <c r="B17852" s="692" t="s">
        <v>4060</v>
      </c>
      <c r="C17852" s="692" t="s">
        <v>4060</v>
      </c>
      <c r="D17852" s="692" t="s">
        <v>4060</v>
      </c>
      <c r="E17852" s="692" t="s">
        <v>4060</v>
      </c>
      <c r="F17852" s="692" t="s">
        <v>4060</v>
      </c>
      <c r="G17852" s="692" t="s">
        <v>4060</v>
      </c>
      <c r="H17852" s="692" t="s">
        <v>4060</v>
      </c>
      <c r="I17852" s="692" t="s">
        <v>4060</v>
      </c>
      <c r="J17852" s="692" t="s">
        <v>4060</v>
      </c>
      <c r="K17852" s="692" t="s">
        <v>4060</v>
      </c>
    </row>
    <row r="17853" spans="1:11">
      <c r="A17853" s="688" t="s">
        <v>11</v>
      </c>
      <c r="B17853" s="693">
        <v>26</v>
      </c>
      <c r="C17853" s="689">
        <v>25.8</v>
      </c>
      <c r="D17853" s="689">
        <v>25.4</v>
      </c>
      <c r="E17853" s="689">
        <v>25.9</v>
      </c>
      <c r="F17853" s="689">
        <v>25.6</v>
      </c>
      <c r="G17853" s="693">
        <v>26</v>
      </c>
      <c r="H17853" s="689">
        <v>26.1</v>
      </c>
      <c r="I17853" s="689">
        <v>25.5</v>
      </c>
      <c r="J17853" s="689">
        <v>24.8</v>
      </c>
      <c r="K17853" s="689">
        <v>25.6</v>
      </c>
    </row>
    <row r="17854" spans="1:11">
      <c r="A17854" s="688" t="s">
        <v>10</v>
      </c>
      <c r="B17854" s="691">
        <v>29.7</v>
      </c>
      <c r="C17854" s="691">
        <v>29.5</v>
      </c>
      <c r="D17854" s="615">
        <v>29</v>
      </c>
      <c r="E17854" s="691">
        <v>29.6</v>
      </c>
      <c r="F17854" s="691">
        <v>29.3</v>
      </c>
      <c r="G17854" s="691">
        <v>29.7</v>
      </c>
      <c r="H17854" s="691">
        <v>29.8</v>
      </c>
      <c r="I17854" s="691">
        <v>28.9</v>
      </c>
      <c r="J17854" s="691">
        <v>29.2</v>
      </c>
      <c r="K17854" s="691">
        <v>29.1</v>
      </c>
    </row>
    <row r="17855" spans="1:11">
      <c r="A17855" s="688" t="s">
        <v>30</v>
      </c>
      <c r="B17855" s="689">
        <v>28.9</v>
      </c>
      <c r="C17855" s="689">
        <v>28.4</v>
      </c>
      <c r="D17855" s="689">
        <v>28.1</v>
      </c>
      <c r="E17855" s="693">
        <v>29</v>
      </c>
      <c r="F17855" s="689">
        <v>28.6</v>
      </c>
      <c r="G17855" s="693">
        <v>29</v>
      </c>
      <c r="H17855" s="689">
        <v>28.8</v>
      </c>
      <c r="I17855" s="689">
        <v>28.9</v>
      </c>
      <c r="J17855" s="689">
        <v>28.3</v>
      </c>
      <c r="K17855" s="689">
        <v>28.4</v>
      </c>
    </row>
    <row r="17856" spans="1:11">
      <c r="A17856" s="688" t="s">
        <v>12</v>
      </c>
      <c r="B17856" s="691">
        <v>25.1</v>
      </c>
      <c r="C17856" s="691">
        <v>25.3</v>
      </c>
      <c r="D17856" s="691">
        <v>25.2</v>
      </c>
      <c r="E17856" s="691">
        <v>25.4</v>
      </c>
      <c r="F17856" s="691">
        <v>25.4</v>
      </c>
      <c r="G17856" s="691">
        <v>25.5</v>
      </c>
      <c r="H17856" s="691">
        <v>25.9</v>
      </c>
      <c r="I17856" s="691">
        <v>25.6</v>
      </c>
      <c r="J17856" s="615">
        <v>24</v>
      </c>
      <c r="K17856" s="691">
        <v>25.3</v>
      </c>
    </row>
    <row r="17857" spans="1:11">
      <c r="A17857" s="688" t="s">
        <v>14</v>
      </c>
      <c r="B17857" s="689">
        <v>25.7</v>
      </c>
      <c r="C17857" s="689">
        <v>25.7</v>
      </c>
      <c r="D17857" s="689">
        <v>25.5</v>
      </c>
      <c r="E17857" s="689">
        <v>25.7</v>
      </c>
      <c r="F17857" s="689">
        <v>25.9</v>
      </c>
      <c r="G17857" s="689">
        <v>26.1</v>
      </c>
      <c r="H17857" s="689">
        <v>26.4</v>
      </c>
      <c r="I17857" s="689">
        <v>25.6</v>
      </c>
      <c r="J17857" s="689">
        <v>24.7</v>
      </c>
      <c r="K17857" s="689">
        <v>25.8</v>
      </c>
    </row>
    <row r="17858" spans="1:11">
      <c r="A17858" s="688" t="s">
        <v>15</v>
      </c>
      <c r="B17858" s="615">
        <v>29</v>
      </c>
      <c r="C17858" s="615">
        <v>29</v>
      </c>
      <c r="D17858" s="691">
        <v>28.4</v>
      </c>
      <c r="E17858" s="691">
        <v>29.2</v>
      </c>
      <c r="F17858" s="691">
        <v>28.5</v>
      </c>
      <c r="G17858" s="691">
        <v>28.8</v>
      </c>
      <c r="H17858" s="691">
        <v>29.1</v>
      </c>
      <c r="I17858" s="691">
        <v>28.9</v>
      </c>
      <c r="J17858" s="691">
        <v>29.2</v>
      </c>
      <c r="K17858" s="691">
        <v>29.2</v>
      </c>
    </row>
    <row r="17859" spans="1:11">
      <c r="A17859" s="688" t="s">
        <v>29</v>
      </c>
      <c r="B17859" s="689">
        <v>24.7</v>
      </c>
      <c r="C17859" s="689">
        <v>24.7</v>
      </c>
      <c r="D17859" s="689">
        <v>24.3</v>
      </c>
      <c r="E17859" s="689">
        <v>24.8</v>
      </c>
      <c r="F17859" s="689">
        <v>24.5</v>
      </c>
      <c r="G17859" s="689">
        <v>24.7</v>
      </c>
      <c r="H17859" s="689">
        <v>24.7</v>
      </c>
      <c r="I17859" s="689">
        <v>24.1</v>
      </c>
      <c r="J17859" s="689">
        <v>23.2</v>
      </c>
      <c r="K17859" s="689">
        <v>24.4</v>
      </c>
    </row>
    <row r="17860" spans="1:11">
      <c r="A17860" s="688" t="s">
        <v>16</v>
      </c>
      <c r="B17860" s="691">
        <v>28.6</v>
      </c>
      <c r="C17860" s="691">
        <v>28.4</v>
      </c>
      <c r="D17860" s="691">
        <v>28.4</v>
      </c>
      <c r="E17860" s="691">
        <v>28.9</v>
      </c>
      <c r="F17860" s="691">
        <v>28.8</v>
      </c>
      <c r="G17860" s="691">
        <v>28.8</v>
      </c>
      <c r="H17860" s="691">
        <v>29.1</v>
      </c>
      <c r="I17860" s="691">
        <v>28.7</v>
      </c>
      <c r="J17860" s="691">
        <v>28.3</v>
      </c>
      <c r="K17860" s="691">
        <v>28.7</v>
      </c>
    </row>
    <row r="17861" spans="1:11">
      <c r="A17861" s="688" t="s">
        <v>17</v>
      </c>
      <c r="B17861" s="693">
        <v>28</v>
      </c>
      <c r="C17861" s="689">
        <v>28.1</v>
      </c>
      <c r="D17861" s="689">
        <v>27.8</v>
      </c>
      <c r="E17861" s="689">
        <v>27.9</v>
      </c>
      <c r="F17861" s="693">
        <v>28</v>
      </c>
      <c r="G17861" s="693">
        <v>28</v>
      </c>
      <c r="H17861" s="689">
        <v>28.2</v>
      </c>
      <c r="I17861" s="689">
        <v>27.7</v>
      </c>
      <c r="J17861" s="689">
        <v>27.7</v>
      </c>
      <c r="K17861" s="689">
        <v>27.8</v>
      </c>
    </row>
    <row r="17862" spans="1:11">
      <c r="A17862" s="688" t="s">
        <v>19</v>
      </c>
      <c r="B17862" s="691">
        <v>28.5</v>
      </c>
      <c r="C17862" s="691">
        <v>28.5</v>
      </c>
      <c r="D17862" s="691">
        <v>28.2</v>
      </c>
      <c r="E17862" s="691">
        <v>28.6</v>
      </c>
      <c r="F17862" s="691">
        <v>28.5</v>
      </c>
      <c r="G17862" s="691">
        <v>28.6</v>
      </c>
      <c r="H17862" s="691">
        <v>28.8</v>
      </c>
      <c r="I17862" s="691">
        <v>28.3</v>
      </c>
      <c r="J17862" s="691">
        <v>28.3</v>
      </c>
      <c r="K17862" s="691">
        <v>28.3</v>
      </c>
    </row>
    <row r="17863" spans="1:11">
      <c r="A17863" s="688" t="s">
        <v>20</v>
      </c>
      <c r="B17863" s="689">
        <v>26.5</v>
      </c>
      <c r="C17863" s="689">
        <v>26.6</v>
      </c>
      <c r="D17863" s="689">
        <v>26.4</v>
      </c>
      <c r="E17863" s="689">
        <v>26.8</v>
      </c>
      <c r="F17863" s="689">
        <v>26.6</v>
      </c>
      <c r="G17863" s="689">
        <v>26.5</v>
      </c>
      <c r="H17863" s="689">
        <v>26.8</v>
      </c>
      <c r="I17863" s="689">
        <v>25.7</v>
      </c>
      <c r="J17863" s="689">
        <v>24.8</v>
      </c>
      <c r="K17863" s="689">
        <v>26.2</v>
      </c>
    </row>
    <row r="17864" spans="1:11">
      <c r="A17864" s="688" t="s">
        <v>21</v>
      </c>
      <c r="B17864" s="691">
        <v>28.8</v>
      </c>
      <c r="C17864" s="691">
        <v>29.1</v>
      </c>
      <c r="D17864" s="691">
        <v>28.9</v>
      </c>
      <c r="E17864" s="615">
        <v>29</v>
      </c>
      <c r="F17864" s="691">
        <v>29.3</v>
      </c>
      <c r="G17864" s="691">
        <v>29.2</v>
      </c>
      <c r="H17864" s="691">
        <v>29.5</v>
      </c>
      <c r="I17864" s="691">
        <v>28.9</v>
      </c>
      <c r="J17864" s="615">
        <v>29</v>
      </c>
      <c r="K17864" s="691">
        <v>29.1</v>
      </c>
    </row>
    <row r="17865" spans="1:11">
      <c r="A17865" s="688" t="s">
        <v>22</v>
      </c>
      <c r="B17865" s="689">
        <v>24.7</v>
      </c>
      <c r="C17865" s="689">
        <v>24.5</v>
      </c>
      <c r="D17865" s="689">
        <v>24.5</v>
      </c>
      <c r="E17865" s="689">
        <v>24.7</v>
      </c>
      <c r="F17865" s="689">
        <v>24.7</v>
      </c>
      <c r="G17865" s="689">
        <v>24.9</v>
      </c>
      <c r="H17865" s="689">
        <v>25.1</v>
      </c>
      <c r="I17865" s="693">
        <v>24</v>
      </c>
      <c r="J17865" s="689">
        <v>22.6</v>
      </c>
      <c r="K17865" s="689">
        <v>24.7</v>
      </c>
    </row>
    <row r="17866" spans="1:11">
      <c r="A17866" s="688" t="s">
        <v>26</v>
      </c>
      <c r="B17866" s="691">
        <v>28.3</v>
      </c>
      <c r="C17866" s="691">
        <v>28.2</v>
      </c>
      <c r="D17866" s="691">
        <v>28.1</v>
      </c>
      <c r="E17866" s="691">
        <v>28.4</v>
      </c>
      <c r="F17866" s="691">
        <v>28.3</v>
      </c>
      <c r="G17866" s="691">
        <v>28.4</v>
      </c>
      <c r="H17866" s="691">
        <v>28.5</v>
      </c>
      <c r="I17866" s="691">
        <v>27.7</v>
      </c>
      <c r="J17866" s="691">
        <v>28.1</v>
      </c>
      <c r="K17866" s="691">
        <v>28.4</v>
      </c>
    </row>
    <row r="17867" spans="1:11">
      <c r="A17867" s="688" t="s">
        <v>25</v>
      </c>
      <c r="B17867" s="689">
        <v>25.5</v>
      </c>
      <c r="C17867" s="689">
        <v>25.7</v>
      </c>
      <c r="D17867" s="689">
        <v>25.4</v>
      </c>
      <c r="E17867" s="689">
        <v>25.9</v>
      </c>
      <c r="F17867" s="689">
        <v>25.8</v>
      </c>
      <c r="G17867" s="689">
        <v>25.9</v>
      </c>
      <c r="H17867" s="689">
        <v>26.3</v>
      </c>
      <c r="I17867" s="689">
        <v>25.6</v>
      </c>
      <c r="J17867" s="689">
        <v>23.7</v>
      </c>
      <c r="K17867" s="689">
        <v>25.6</v>
      </c>
    </row>
    <row r="17868" spans="1:11">
      <c r="A17868" s="688" t="s">
        <v>5</v>
      </c>
      <c r="B17868" s="691">
        <v>28.8</v>
      </c>
      <c r="C17868" s="691">
        <v>28.5</v>
      </c>
      <c r="D17868" s="691">
        <v>28.7</v>
      </c>
      <c r="E17868" s="691">
        <v>28.7</v>
      </c>
      <c r="F17868" s="691">
        <v>28.9</v>
      </c>
      <c r="G17868" s="691">
        <v>28.9</v>
      </c>
      <c r="H17868" s="691">
        <v>29.2</v>
      </c>
      <c r="I17868" s="691">
        <v>29.2</v>
      </c>
      <c r="J17868" s="691">
        <v>29.1</v>
      </c>
      <c r="K17868" s="691">
        <v>28.4</v>
      </c>
    </row>
    <row r="17869" spans="1:11">
      <c r="A17869" s="688" t="s">
        <v>23</v>
      </c>
      <c r="B17869" s="689">
        <v>28.4</v>
      </c>
      <c r="C17869" s="689">
        <v>28.6</v>
      </c>
      <c r="D17869" s="689">
        <v>28.5</v>
      </c>
      <c r="E17869" s="689">
        <v>28.6</v>
      </c>
      <c r="F17869" s="689">
        <v>28.6</v>
      </c>
      <c r="G17869" s="689">
        <v>28.7</v>
      </c>
      <c r="H17869" s="689">
        <v>29.2</v>
      </c>
      <c r="I17869" s="689">
        <v>28.7</v>
      </c>
      <c r="J17869" s="689">
        <v>29.2</v>
      </c>
      <c r="K17869" s="689">
        <v>29.1</v>
      </c>
    </row>
    <row r="17870" spans="1:11">
      <c r="A17870" s="688" t="s">
        <v>4067</v>
      </c>
      <c r="B17870" s="691">
        <v>28.2</v>
      </c>
      <c r="C17870" s="691">
        <v>28.6</v>
      </c>
      <c r="D17870" s="691">
        <v>28.1</v>
      </c>
      <c r="E17870" s="691">
        <v>28.5</v>
      </c>
      <c r="F17870" s="691">
        <v>28.4</v>
      </c>
      <c r="G17870" s="691">
        <v>28.5</v>
      </c>
      <c r="H17870" s="692" t="s">
        <v>4060</v>
      </c>
      <c r="I17870" s="692" t="s">
        <v>4060</v>
      </c>
      <c r="J17870" s="692" t="s">
        <v>4060</v>
      </c>
      <c r="K17870" s="692" t="s">
        <v>4060</v>
      </c>
    </row>
    <row r="17871" spans="1:11">
      <c r="A17871" s="688" t="s">
        <v>4066</v>
      </c>
      <c r="B17871" s="689">
        <v>28.3</v>
      </c>
      <c r="C17871" s="689">
        <v>28.6</v>
      </c>
      <c r="D17871" s="689">
        <v>28.2</v>
      </c>
      <c r="E17871" s="689">
        <v>28.5</v>
      </c>
      <c r="F17871" s="689">
        <v>28.4</v>
      </c>
      <c r="G17871" s="689">
        <v>28.5</v>
      </c>
      <c r="H17871" s="690" t="s">
        <v>4060</v>
      </c>
      <c r="I17871" s="690" t="s">
        <v>4060</v>
      </c>
      <c r="J17871" s="690" t="s">
        <v>4060</v>
      </c>
      <c r="K17871" s="690" t="s">
        <v>4060</v>
      </c>
    </row>
    <row r="17872" spans="1:11">
      <c r="A17872" s="688" t="s">
        <v>4062</v>
      </c>
      <c r="B17872" s="691">
        <v>29.1</v>
      </c>
      <c r="C17872" s="691">
        <v>29.2</v>
      </c>
      <c r="D17872" s="691">
        <v>29.1</v>
      </c>
      <c r="E17872" s="691">
        <v>29.3</v>
      </c>
      <c r="F17872" s="691">
        <v>29.4</v>
      </c>
      <c r="G17872" s="691">
        <v>29.5</v>
      </c>
      <c r="H17872" s="691">
        <v>29.6</v>
      </c>
      <c r="I17872" s="691">
        <v>29.4</v>
      </c>
      <c r="J17872" s="691">
        <v>29.6</v>
      </c>
      <c r="K17872" s="691">
        <v>29.4</v>
      </c>
    </row>
    <row r="17873" spans="1:11">
      <c r="A17873" s="688" t="s">
        <v>9</v>
      </c>
      <c r="B17873" s="689">
        <v>28.2</v>
      </c>
      <c r="C17873" s="689">
        <v>28.7</v>
      </c>
      <c r="D17873" s="689">
        <v>28.1</v>
      </c>
      <c r="E17873" s="689">
        <v>28.1</v>
      </c>
      <c r="F17873" s="689">
        <v>28.5</v>
      </c>
      <c r="G17873" s="689">
        <v>28.6</v>
      </c>
      <c r="H17873" s="693">
        <v>29</v>
      </c>
      <c r="I17873" s="693">
        <v>29</v>
      </c>
      <c r="J17873" s="689">
        <v>28.9</v>
      </c>
      <c r="K17873" s="689">
        <v>28.1</v>
      </c>
    </row>
    <row r="17874" spans="1:11">
      <c r="A17874" s="688" t="s">
        <v>13</v>
      </c>
      <c r="B17874" s="691">
        <v>29.1</v>
      </c>
      <c r="C17874" s="691">
        <v>27.5</v>
      </c>
      <c r="D17874" s="691">
        <v>28.4</v>
      </c>
      <c r="E17874" s="691">
        <v>28.9</v>
      </c>
      <c r="F17874" s="691">
        <v>29.5</v>
      </c>
      <c r="G17874" s="691">
        <v>29.4</v>
      </c>
      <c r="H17874" s="691">
        <v>29.3</v>
      </c>
      <c r="I17874" s="691">
        <v>28.7</v>
      </c>
      <c r="J17874" s="691">
        <v>29.9</v>
      </c>
      <c r="K17874" s="691">
        <v>29.5</v>
      </c>
    </row>
    <row r="17875" spans="1:11">
      <c r="A17875" s="688" t="s">
        <v>18</v>
      </c>
      <c r="B17875" s="689">
        <v>28.4</v>
      </c>
      <c r="C17875" s="689">
        <v>28.6</v>
      </c>
      <c r="D17875" s="689">
        <v>28.6</v>
      </c>
      <c r="E17875" s="689">
        <v>28.7</v>
      </c>
      <c r="F17875" s="689">
        <v>28.7</v>
      </c>
      <c r="G17875" s="689">
        <v>28.9</v>
      </c>
      <c r="H17875" s="689">
        <v>29.1</v>
      </c>
      <c r="I17875" s="689">
        <v>29.3</v>
      </c>
      <c r="J17875" s="689">
        <v>29.1</v>
      </c>
      <c r="K17875" s="689">
        <v>28.7</v>
      </c>
    </row>
    <row r="17876" spans="1:11">
      <c r="A17876" s="688" t="s">
        <v>24</v>
      </c>
      <c r="B17876" s="691">
        <v>29.5</v>
      </c>
      <c r="C17876" s="691">
        <v>29.6</v>
      </c>
      <c r="D17876" s="691">
        <v>29.4</v>
      </c>
      <c r="E17876" s="691">
        <v>29.7</v>
      </c>
      <c r="F17876" s="691">
        <v>29.8</v>
      </c>
      <c r="G17876" s="691">
        <v>29.9</v>
      </c>
      <c r="H17876" s="691">
        <v>29.9</v>
      </c>
      <c r="I17876" s="691">
        <v>29.5</v>
      </c>
      <c r="J17876" s="691">
        <v>29.9</v>
      </c>
      <c r="K17876" s="691">
        <v>29.8</v>
      </c>
    </row>
    <row r="17877" spans="1:11">
      <c r="A17877" s="688" t="s">
        <v>4059</v>
      </c>
      <c r="B17877" s="689">
        <v>27.9</v>
      </c>
      <c r="C17877" s="689">
        <v>28.2</v>
      </c>
      <c r="D17877" s="689">
        <v>27.8</v>
      </c>
      <c r="E17877" s="693">
        <v>28</v>
      </c>
      <c r="F17877" s="689">
        <v>28.1</v>
      </c>
      <c r="G17877" s="689">
        <v>28.1</v>
      </c>
      <c r="H17877" s="690" t="s">
        <v>4060</v>
      </c>
      <c r="I17877" s="690" t="s">
        <v>4060</v>
      </c>
      <c r="J17877" s="690" t="s">
        <v>4060</v>
      </c>
      <c r="K17877" s="690" t="s">
        <v>4060</v>
      </c>
    </row>
    <row r="17878" spans="1:11">
      <c r="A17878" s="688" t="s">
        <v>2324</v>
      </c>
      <c r="B17878" s="691">
        <v>24.2</v>
      </c>
      <c r="C17878" s="691">
        <v>24.4</v>
      </c>
      <c r="D17878" s="691">
        <v>23.8</v>
      </c>
      <c r="E17878" s="615">
        <v>24</v>
      </c>
      <c r="F17878" s="691">
        <v>24.3</v>
      </c>
      <c r="G17878" s="691">
        <v>24.3</v>
      </c>
      <c r="H17878" s="691">
        <v>24.6</v>
      </c>
      <c r="I17878" s="691">
        <v>23.9</v>
      </c>
      <c r="J17878" s="691">
        <v>22.1</v>
      </c>
      <c r="K17878" s="692" t="s">
        <v>4060</v>
      </c>
    </row>
    <row r="17879" spans="1:11">
      <c r="A17879" s="688" t="s">
        <v>2322</v>
      </c>
      <c r="B17879" s="690" t="s">
        <v>4060</v>
      </c>
      <c r="C17879" s="690" t="s">
        <v>4060</v>
      </c>
      <c r="D17879" s="690" t="s">
        <v>4060</v>
      </c>
      <c r="E17879" s="690" t="s">
        <v>4060</v>
      </c>
      <c r="F17879" s="690" t="s">
        <v>4060</v>
      </c>
      <c r="G17879" s="690" t="s">
        <v>4060</v>
      </c>
      <c r="H17879" s="690" t="s">
        <v>4060</v>
      </c>
      <c r="I17879" s="690" t="s">
        <v>4060</v>
      </c>
      <c r="J17879" s="690" t="s">
        <v>4060</v>
      </c>
      <c r="K17879" s="690" t="s">
        <v>4060</v>
      </c>
    </row>
    <row r="17880" spans="1:11">
      <c r="A17880" s="688" t="s">
        <v>2328</v>
      </c>
      <c r="B17880" s="691">
        <v>23.2</v>
      </c>
      <c r="C17880" s="615">
        <v>23</v>
      </c>
      <c r="D17880" s="691">
        <v>22.8</v>
      </c>
      <c r="E17880" s="691">
        <v>23.3</v>
      </c>
      <c r="F17880" s="691">
        <v>23.3</v>
      </c>
      <c r="G17880" s="691">
        <v>23.8</v>
      </c>
      <c r="H17880" s="691">
        <v>23.6</v>
      </c>
      <c r="I17880" s="691">
        <v>22.2</v>
      </c>
      <c r="J17880" s="691">
        <v>21.2</v>
      </c>
      <c r="K17880" s="692" t="s">
        <v>4060</v>
      </c>
    </row>
    <row r="17881" spans="1:11">
      <c r="A17881" s="688" t="s">
        <v>2496</v>
      </c>
      <c r="B17881" s="690" t="s">
        <v>4060</v>
      </c>
      <c r="C17881" s="689">
        <v>24.2</v>
      </c>
      <c r="D17881" s="689">
        <v>23.4</v>
      </c>
      <c r="E17881" s="689">
        <v>23.2</v>
      </c>
      <c r="F17881" s="689">
        <v>23.7</v>
      </c>
      <c r="G17881" s="693">
        <v>24</v>
      </c>
      <c r="H17881" s="693">
        <v>24</v>
      </c>
      <c r="I17881" s="690" t="s">
        <v>4060</v>
      </c>
      <c r="J17881" s="690" t="s">
        <v>4060</v>
      </c>
      <c r="K17881" s="689">
        <v>23.7</v>
      </c>
    </row>
    <row r="17882" spans="1:11">
      <c r="A17882" s="688" t="s">
        <v>2269</v>
      </c>
      <c r="B17882" s="691">
        <v>25.6</v>
      </c>
      <c r="C17882" s="691">
        <v>25.7</v>
      </c>
      <c r="D17882" s="615">
        <v>25</v>
      </c>
      <c r="E17882" s="691">
        <v>25.5</v>
      </c>
      <c r="F17882" s="691">
        <v>25.3</v>
      </c>
      <c r="G17882" s="691">
        <v>25.7</v>
      </c>
      <c r="H17882" s="615">
        <v>26</v>
      </c>
      <c r="I17882" s="691">
        <v>24.8</v>
      </c>
      <c r="J17882" s="691">
        <v>22.9</v>
      </c>
      <c r="K17882" s="691">
        <v>25.6</v>
      </c>
    </row>
    <row r="17883" spans="1:11">
      <c r="A17883" s="688" t="s">
        <v>2349</v>
      </c>
      <c r="B17883" s="689">
        <v>23.4</v>
      </c>
      <c r="C17883" s="689">
        <v>23.5</v>
      </c>
      <c r="D17883" s="689">
        <v>23.4</v>
      </c>
      <c r="E17883" s="689">
        <v>23.7</v>
      </c>
      <c r="F17883" s="689">
        <v>23.5</v>
      </c>
      <c r="G17883" s="689">
        <v>23.8</v>
      </c>
      <c r="H17883" s="689">
        <v>23.9</v>
      </c>
      <c r="I17883" s="689">
        <v>22.9</v>
      </c>
      <c r="J17883" s="689">
        <v>21.4</v>
      </c>
      <c r="K17883" s="689">
        <v>23.1</v>
      </c>
    </row>
    <row r="17884" spans="1:11">
      <c r="A17884" s="688" t="s">
        <v>2355</v>
      </c>
      <c r="B17884" s="691">
        <v>26.8</v>
      </c>
      <c r="C17884" s="691">
        <v>26.5</v>
      </c>
      <c r="D17884" s="691">
        <v>26.5</v>
      </c>
      <c r="E17884" s="691">
        <v>26.5</v>
      </c>
      <c r="F17884" s="691">
        <v>26.7</v>
      </c>
      <c r="G17884" s="615">
        <v>27</v>
      </c>
      <c r="H17884" s="691">
        <v>27.1</v>
      </c>
      <c r="I17884" s="692" t="s">
        <v>4060</v>
      </c>
      <c r="J17884" s="692" t="s">
        <v>4060</v>
      </c>
      <c r="K17884" s="692" t="s">
        <v>4060</v>
      </c>
    </row>
    <row r="17885" spans="1:11">
      <c r="A17885" s="688" t="s">
        <v>2357</v>
      </c>
      <c r="B17885" s="690" t="s">
        <v>4060</v>
      </c>
      <c r="C17885" s="689">
        <v>23.5</v>
      </c>
      <c r="D17885" s="689">
        <v>23.9</v>
      </c>
      <c r="E17885" s="689">
        <v>24.1</v>
      </c>
      <c r="F17885" s="689">
        <v>24.4</v>
      </c>
      <c r="G17885" s="689">
        <v>24.4</v>
      </c>
      <c r="H17885" s="689">
        <v>24.6</v>
      </c>
      <c r="I17885" s="690" t="s">
        <v>4060</v>
      </c>
      <c r="J17885" s="690" t="s">
        <v>4060</v>
      </c>
      <c r="K17885" s="690" t="s">
        <v>4060</v>
      </c>
    </row>
    <row r="17886" spans="1:11">
      <c r="A17886" s="688" t="s">
        <v>4070</v>
      </c>
      <c r="B17886" s="692" t="s">
        <v>4060</v>
      </c>
      <c r="C17886" s="692" t="s">
        <v>4060</v>
      </c>
      <c r="D17886" s="692" t="s">
        <v>4060</v>
      </c>
      <c r="E17886" s="691">
        <v>26.6</v>
      </c>
      <c r="F17886" s="692" t="s">
        <v>4060</v>
      </c>
      <c r="G17886" s="692" t="s">
        <v>4060</v>
      </c>
      <c r="H17886" s="692" t="s">
        <v>4060</v>
      </c>
      <c r="I17886" s="692" t="s">
        <v>4060</v>
      </c>
      <c r="J17886" s="692" t="s">
        <v>4060</v>
      </c>
      <c r="K17886" s="692" t="s">
        <v>4060</v>
      </c>
    </row>
    <row r="17887" spans="1:11">
      <c r="A17887" s="688" t="s">
        <v>2491</v>
      </c>
      <c r="B17887" s="693">
        <v>24</v>
      </c>
      <c r="C17887" s="689">
        <v>24.5</v>
      </c>
      <c r="D17887" s="689">
        <v>24.6</v>
      </c>
      <c r="E17887" s="689">
        <v>24.9</v>
      </c>
      <c r="F17887" s="689">
        <v>24.9</v>
      </c>
      <c r="G17887" s="693">
        <v>25</v>
      </c>
      <c r="H17887" s="690" t="s">
        <v>4060</v>
      </c>
      <c r="I17887" s="690" t="s">
        <v>4060</v>
      </c>
      <c r="J17887" s="690" t="s">
        <v>4060</v>
      </c>
      <c r="K17887" s="690" t="s">
        <v>4060</v>
      </c>
    </row>
    <row r="17888" spans="1:11">
      <c r="A17888" s="688" t="s">
        <v>2343</v>
      </c>
      <c r="B17888" s="692" t="s">
        <v>4060</v>
      </c>
      <c r="C17888" s="692" t="s">
        <v>4060</v>
      </c>
      <c r="D17888" s="692" t="s">
        <v>4060</v>
      </c>
      <c r="E17888" s="692" t="s">
        <v>4060</v>
      </c>
      <c r="F17888" s="692" t="s">
        <v>4060</v>
      </c>
      <c r="G17888" s="692" t="s">
        <v>4060</v>
      </c>
      <c r="H17888" s="692" t="s">
        <v>4060</v>
      </c>
      <c r="I17888" s="692" t="s">
        <v>4060</v>
      </c>
      <c r="J17888" s="692" t="s">
        <v>4060</v>
      </c>
      <c r="K17888" s="692" t="s">
        <v>4060</v>
      </c>
    </row>
    <row r="17889" spans="1:11">
      <c r="A17889" s="688" t="s">
        <v>4071</v>
      </c>
      <c r="B17889" s="690" t="s">
        <v>4060</v>
      </c>
      <c r="C17889" s="690" t="s">
        <v>4060</v>
      </c>
      <c r="D17889" s="690" t="s">
        <v>4060</v>
      </c>
      <c r="E17889" s="690" t="s">
        <v>4060</v>
      </c>
      <c r="F17889" s="690" t="s">
        <v>4060</v>
      </c>
      <c r="G17889" s="690" t="s">
        <v>4060</v>
      </c>
      <c r="H17889" s="690" t="s">
        <v>4060</v>
      </c>
      <c r="I17889" s="690" t="s">
        <v>4060</v>
      </c>
      <c r="J17889" s="690" t="s">
        <v>4060</v>
      </c>
      <c r="K17889" s="690" t="s">
        <v>4060</v>
      </c>
    </row>
    <row r="17890" spans="1:11">
      <c r="A17890" s="688" t="s">
        <v>2489</v>
      </c>
      <c r="B17890" s="692" t="s">
        <v>4060</v>
      </c>
      <c r="C17890" s="692" t="s">
        <v>4060</v>
      </c>
      <c r="D17890" s="691">
        <v>23.9</v>
      </c>
      <c r="E17890" s="691">
        <v>23.9</v>
      </c>
      <c r="F17890" s="691">
        <v>24.2</v>
      </c>
      <c r="G17890" s="691">
        <v>24.9</v>
      </c>
      <c r="H17890" s="691">
        <v>24.8</v>
      </c>
      <c r="I17890" s="692" t="s">
        <v>4060</v>
      </c>
      <c r="J17890" s="692" t="s">
        <v>4060</v>
      </c>
      <c r="K17890" s="692" t="s">
        <v>4060</v>
      </c>
    </row>
    <row r="17891" spans="1:11">
      <c r="A17891" s="688" t="s">
        <v>2490</v>
      </c>
      <c r="B17891" s="689">
        <v>23.1</v>
      </c>
      <c r="C17891" s="689">
        <v>23.1</v>
      </c>
      <c r="D17891" s="689">
        <v>23.6</v>
      </c>
      <c r="E17891" s="690" t="s">
        <v>4060</v>
      </c>
      <c r="F17891" s="689">
        <v>23.8</v>
      </c>
      <c r="G17891" s="689">
        <v>24.1</v>
      </c>
      <c r="H17891" s="689">
        <v>24.8</v>
      </c>
      <c r="I17891" s="690" t="s">
        <v>4060</v>
      </c>
      <c r="J17891" s="690" t="s">
        <v>4060</v>
      </c>
      <c r="K17891" s="690" t="s">
        <v>4060</v>
      </c>
    </row>
    <row r="17893" spans="1:11">
      <c r="A17893" s="683" t="s">
        <v>4233</v>
      </c>
    </row>
    <row r="17894" spans="1:11">
      <c r="A17894" s="683" t="s">
        <v>4060</v>
      </c>
      <c r="B17894" s="682" t="s">
        <v>4234</v>
      </c>
    </row>
    <row r="17896" spans="1:11">
      <c r="A17896" s="682" t="s">
        <v>4332</v>
      </c>
    </row>
    <row r="17897" spans="1:11">
      <c r="A17897" s="682" t="s">
        <v>4210</v>
      </c>
      <c r="B17897" s="683" t="s">
        <v>4211</v>
      </c>
    </row>
    <row r="17898" spans="1:11">
      <c r="A17898" s="682" t="s">
        <v>4212</v>
      </c>
      <c r="B17898" s="682" t="s">
        <v>4213</v>
      </c>
    </row>
    <row r="17900" spans="1:11">
      <c r="A17900" s="683" t="s">
        <v>4214</v>
      </c>
      <c r="C17900" s="682" t="s">
        <v>4215</v>
      </c>
    </row>
    <row r="17901" spans="1:11">
      <c r="A17901" s="683" t="s">
        <v>4216</v>
      </c>
      <c r="C17901" s="682" t="s">
        <v>2967</v>
      </c>
    </row>
    <row r="17902" spans="1:11">
      <c r="A17902" s="683" t="s">
        <v>3893</v>
      </c>
      <c r="C17902" s="682" t="s">
        <v>2169</v>
      </c>
    </row>
    <row r="17903" spans="1:11">
      <c r="A17903" s="683" t="s">
        <v>4218</v>
      </c>
      <c r="C17903" s="682" t="s">
        <v>4293</v>
      </c>
    </row>
    <row r="17905" spans="1:11">
      <c r="A17905" s="684" t="s">
        <v>4220</v>
      </c>
      <c r="B17905" s="685" t="s">
        <v>4221</v>
      </c>
      <c r="C17905" s="685" t="s">
        <v>4222</v>
      </c>
      <c r="D17905" s="685" t="s">
        <v>4223</v>
      </c>
      <c r="E17905" s="685" t="s">
        <v>4224</v>
      </c>
      <c r="F17905" s="685" t="s">
        <v>4225</v>
      </c>
      <c r="G17905" s="685" t="s">
        <v>4226</v>
      </c>
      <c r="H17905" s="685" t="s">
        <v>4227</v>
      </c>
      <c r="I17905" s="685" t="s">
        <v>4228</v>
      </c>
      <c r="J17905" s="685" t="s">
        <v>4229</v>
      </c>
      <c r="K17905" s="685" t="s">
        <v>4230</v>
      </c>
    </row>
    <row r="17906" spans="1:11">
      <c r="A17906" s="686" t="s">
        <v>4231</v>
      </c>
      <c r="B17906" s="687" t="s">
        <v>4232</v>
      </c>
      <c r="C17906" s="687" t="s">
        <v>4232</v>
      </c>
      <c r="D17906" s="687" t="s">
        <v>4232</v>
      </c>
      <c r="E17906" s="687" t="s">
        <v>4232</v>
      </c>
      <c r="F17906" s="687" t="s">
        <v>4232</v>
      </c>
      <c r="G17906" s="687" t="s">
        <v>4232</v>
      </c>
      <c r="H17906" s="687" t="s">
        <v>4232</v>
      </c>
      <c r="I17906" s="687" t="s">
        <v>4232</v>
      </c>
      <c r="J17906" s="687" t="s">
        <v>4232</v>
      </c>
      <c r="K17906" s="687" t="s">
        <v>4232</v>
      </c>
    </row>
    <row r="17907" spans="1:11">
      <c r="A17907" s="688" t="s">
        <v>4064</v>
      </c>
      <c r="B17907" s="689">
        <v>27.4</v>
      </c>
      <c r="C17907" s="689">
        <v>27.3</v>
      </c>
      <c r="D17907" s="689">
        <v>27.3</v>
      </c>
      <c r="E17907" s="689">
        <v>27.4</v>
      </c>
      <c r="F17907" s="689">
        <v>27.3</v>
      </c>
      <c r="G17907" s="689">
        <v>27.4</v>
      </c>
      <c r="H17907" s="689">
        <v>27.6</v>
      </c>
      <c r="I17907" s="693">
        <v>27</v>
      </c>
      <c r="J17907" s="689">
        <v>26.7</v>
      </c>
      <c r="K17907" s="689">
        <v>27.1</v>
      </c>
    </row>
    <row r="17908" spans="1:11">
      <c r="A17908" s="688" t="s">
        <v>4065</v>
      </c>
      <c r="B17908" s="691">
        <v>27.3</v>
      </c>
      <c r="C17908" s="691">
        <v>27.7</v>
      </c>
      <c r="D17908" s="691">
        <v>27.2</v>
      </c>
      <c r="E17908" s="691">
        <v>27.6</v>
      </c>
      <c r="F17908" s="691">
        <v>27.5</v>
      </c>
      <c r="G17908" s="691">
        <v>27.6</v>
      </c>
      <c r="H17908" s="692" t="s">
        <v>4060</v>
      </c>
      <c r="I17908" s="692" t="s">
        <v>4060</v>
      </c>
      <c r="J17908" s="692" t="s">
        <v>4060</v>
      </c>
      <c r="K17908" s="692" t="s">
        <v>4060</v>
      </c>
    </row>
    <row r="17909" spans="1:11">
      <c r="A17909" s="688" t="s">
        <v>4063</v>
      </c>
      <c r="B17909" s="689">
        <v>27.4</v>
      </c>
      <c r="C17909" s="689">
        <v>27.7</v>
      </c>
      <c r="D17909" s="689">
        <v>27.3</v>
      </c>
      <c r="E17909" s="689">
        <v>27.7</v>
      </c>
      <c r="F17909" s="689">
        <v>27.5</v>
      </c>
      <c r="G17909" s="689">
        <v>27.6</v>
      </c>
      <c r="H17909" s="690" t="s">
        <v>4060</v>
      </c>
      <c r="I17909" s="690" t="s">
        <v>4060</v>
      </c>
      <c r="J17909" s="690" t="s">
        <v>4060</v>
      </c>
      <c r="K17909" s="690" t="s">
        <v>4060</v>
      </c>
    </row>
    <row r="17910" spans="1:11">
      <c r="A17910" s="688" t="s">
        <v>4069</v>
      </c>
      <c r="B17910" s="692" t="s">
        <v>4060</v>
      </c>
      <c r="C17910" s="615">
        <v>28</v>
      </c>
      <c r="D17910" s="691">
        <v>27.7</v>
      </c>
      <c r="E17910" s="691">
        <v>28.1</v>
      </c>
      <c r="F17910" s="615">
        <v>28</v>
      </c>
      <c r="G17910" s="691">
        <v>28.1</v>
      </c>
      <c r="H17910" s="691">
        <v>28.3</v>
      </c>
      <c r="I17910" s="691">
        <v>27.7</v>
      </c>
      <c r="J17910" s="691">
        <v>27.8</v>
      </c>
      <c r="K17910" s="691">
        <v>27.8</v>
      </c>
    </row>
    <row r="17911" spans="1:11">
      <c r="A17911" s="688" t="s">
        <v>4068</v>
      </c>
      <c r="B17911" s="689">
        <v>28.2</v>
      </c>
      <c r="C17911" s="690" t="s">
        <v>4060</v>
      </c>
      <c r="D17911" s="690" t="s">
        <v>4060</v>
      </c>
      <c r="E17911" s="690" t="s">
        <v>4060</v>
      </c>
      <c r="F17911" s="690" t="s">
        <v>4060</v>
      </c>
      <c r="G17911" s="690" t="s">
        <v>4060</v>
      </c>
      <c r="H17911" s="690" t="s">
        <v>4060</v>
      </c>
      <c r="I17911" s="690" t="s">
        <v>4060</v>
      </c>
      <c r="J17911" s="690" t="s">
        <v>4060</v>
      </c>
      <c r="K17911" s="690" t="s">
        <v>4060</v>
      </c>
    </row>
    <row r="17912" spans="1:11">
      <c r="A17912" s="688" t="s">
        <v>0</v>
      </c>
      <c r="B17912" s="691">
        <v>27.4</v>
      </c>
      <c r="C17912" s="691">
        <v>27.5</v>
      </c>
      <c r="D17912" s="691">
        <v>27.2</v>
      </c>
      <c r="E17912" s="691">
        <v>27.6</v>
      </c>
      <c r="F17912" s="691">
        <v>27.6</v>
      </c>
      <c r="G17912" s="691">
        <v>27.6</v>
      </c>
      <c r="H17912" s="691">
        <v>27.9</v>
      </c>
      <c r="I17912" s="691">
        <v>26.9</v>
      </c>
      <c r="J17912" s="691">
        <v>27.9</v>
      </c>
      <c r="K17912" s="691">
        <v>27.6</v>
      </c>
    </row>
    <row r="17913" spans="1:11">
      <c r="A17913" s="688" t="s">
        <v>1</v>
      </c>
      <c r="B17913" s="689">
        <v>23.7</v>
      </c>
      <c r="C17913" s="689">
        <v>23.3</v>
      </c>
      <c r="D17913" s="689">
        <v>23.3</v>
      </c>
      <c r="E17913" s="689">
        <v>23.5</v>
      </c>
      <c r="F17913" s="689">
        <v>23.4</v>
      </c>
      <c r="G17913" s="689">
        <v>23.6</v>
      </c>
      <c r="H17913" s="689">
        <v>23.7</v>
      </c>
      <c r="I17913" s="689">
        <v>22.6</v>
      </c>
      <c r="J17913" s="689">
        <v>20.9</v>
      </c>
      <c r="K17913" s="693">
        <v>23</v>
      </c>
    </row>
    <row r="17914" spans="1:11">
      <c r="A17914" s="688" t="s">
        <v>2240</v>
      </c>
      <c r="B17914" s="691">
        <v>25.2</v>
      </c>
      <c r="C17914" s="691">
        <v>25.6</v>
      </c>
      <c r="D17914" s="691">
        <v>25.3</v>
      </c>
      <c r="E17914" s="691">
        <v>25.8</v>
      </c>
      <c r="F17914" s="691">
        <v>25.7</v>
      </c>
      <c r="G17914" s="691">
        <v>25.7</v>
      </c>
      <c r="H17914" s="615">
        <v>26</v>
      </c>
      <c r="I17914" s="691">
        <v>25.2</v>
      </c>
      <c r="J17914" s="691">
        <v>24.5</v>
      </c>
      <c r="K17914" s="691">
        <v>25.8</v>
      </c>
    </row>
    <row r="17915" spans="1:11">
      <c r="A17915" s="688" t="s">
        <v>2</v>
      </c>
      <c r="B17915" s="689">
        <v>26.3</v>
      </c>
      <c r="C17915" s="689">
        <v>26.6</v>
      </c>
      <c r="D17915" s="689">
        <v>26.6</v>
      </c>
      <c r="E17915" s="689">
        <v>26.6</v>
      </c>
      <c r="F17915" s="689">
        <v>26.9</v>
      </c>
      <c r="G17915" s="689">
        <v>26.7</v>
      </c>
      <c r="H17915" s="693">
        <v>27</v>
      </c>
      <c r="I17915" s="689">
        <v>27.1</v>
      </c>
      <c r="J17915" s="693">
        <v>27</v>
      </c>
      <c r="K17915" s="689">
        <v>26.8</v>
      </c>
    </row>
    <row r="17916" spans="1:11">
      <c r="A17916" s="688" t="s">
        <v>3</v>
      </c>
      <c r="B17916" s="615">
        <v>27</v>
      </c>
      <c r="C17916" s="691">
        <v>27.2</v>
      </c>
      <c r="D17916" s="691">
        <v>26.9</v>
      </c>
      <c r="E17916" s="691">
        <v>27.2</v>
      </c>
      <c r="F17916" s="691">
        <v>27.1</v>
      </c>
      <c r="G17916" s="691">
        <v>27.1</v>
      </c>
      <c r="H17916" s="691">
        <v>27.3</v>
      </c>
      <c r="I17916" s="691">
        <v>27.2</v>
      </c>
      <c r="J17916" s="615">
        <v>27</v>
      </c>
      <c r="K17916" s="691">
        <v>26.7</v>
      </c>
    </row>
    <row r="17917" spans="1:11">
      <c r="A17917" s="688" t="s">
        <v>4061</v>
      </c>
      <c r="B17917" s="693">
        <v>27</v>
      </c>
      <c r="C17917" s="689">
        <v>27.2</v>
      </c>
      <c r="D17917" s="689">
        <v>26.9</v>
      </c>
      <c r="E17917" s="689">
        <v>27.2</v>
      </c>
      <c r="F17917" s="689">
        <v>27.1</v>
      </c>
      <c r="G17917" s="689">
        <v>27.1</v>
      </c>
      <c r="H17917" s="689">
        <v>27.3</v>
      </c>
      <c r="I17917" s="689">
        <v>27.2</v>
      </c>
      <c r="J17917" s="693">
        <v>27</v>
      </c>
      <c r="K17917" s="689">
        <v>26.7</v>
      </c>
    </row>
    <row r="17918" spans="1:11">
      <c r="A17918" s="688" t="s">
        <v>4</v>
      </c>
      <c r="B17918" s="691">
        <v>26.1</v>
      </c>
      <c r="C17918" s="615">
        <v>26</v>
      </c>
      <c r="D17918" s="691">
        <v>26.2</v>
      </c>
      <c r="E17918" s="691">
        <v>26.4</v>
      </c>
      <c r="F17918" s="691">
        <v>26.4</v>
      </c>
      <c r="G17918" s="691">
        <v>26.4</v>
      </c>
      <c r="H17918" s="691">
        <v>26.9</v>
      </c>
      <c r="I17918" s="691">
        <v>26.8</v>
      </c>
      <c r="J17918" s="691">
        <v>25.6</v>
      </c>
      <c r="K17918" s="691">
        <v>26.4</v>
      </c>
    </row>
    <row r="17919" spans="1:11">
      <c r="A17919" s="688" t="s">
        <v>8</v>
      </c>
      <c r="B17919" s="693">
        <v>27</v>
      </c>
      <c r="C17919" s="689">
        <v>27.1</v>
      </c>
      <c r="D17919" s="693">
        <v>27</v>
      </c>
      <c r="E17919" s="689">
        <v>27.1</v>
      </c>
      <c r="F17919" s="689">
        <v>27.4</v>
      </c>
      <c r="G17919" s="689">
        <v>27.6</v>
      </c>
      <c r="H17919" s="689">
        <v>27.9</v>
      </c>
      <c r="I17919" s="689">
        <v>27.7</v>
      </c>
      <c r="J17919" s="689">
        <v>27.6</v>
      </c>
      <c r="K17919" s="689">
        <v>27.7</v>
      </c>
    </row>
    <row r="17920" spans="1:11">
      <c r="A17920" s="688" t="s">
        <v>7</v>
      </c>
      <c r="B17920" s="691">
        <v>27.8</v>
      </c>
      <c r="C17920" s="691">
        <v>27.5</v>
      </c>
      <c r="D17920" s="691">
        <v>27.3</v>
      </c>
      <c r="E17920" s="691">
        <v>27.6</v>
      </c>
      <c r="F17920" s="691">
        <v>27.5</v>
      </c>
      <c r="G17920" s="691">
        <v>27.9</v>
      </c>
      <c r="H17920" s="691">
        <v>27.8</v>
      </c>
      <c r="I17920" s="691">
        <v>27.5</v>
      </c>
      <c r="J17920" s="691">
        <v>26.7</v>
      </c>
      <c r="K17920" s="691">
        <v>27.1</v>
      </c>
    </row>
    <row r="17921" spans="1:11">
      <c r="A17921" s="688" t="s">
        <v>27</v>
      </c>
      <c r="B17921" s="689">
        <v>29.7</v>
      </c>
      <c r="C17921" s="689">
        <v>29.2</v>
      </c>
      <c r="D17921" s="689">
        <v>28.9</v>
      </c>
      <c r="E17921" s="689">
        <v>29.3</v>
      </c>
      <c r="F17921" s="689">
        <v>29.2</v>
      </c>
      <c r="G17921" s="689">
        <v>29.3</v>
      </c>
      <c r="H17921" s="689">
        <v>29.7</v>
      </c>
      <c r="I17921" s="689">
        <v>28.5</v>
      </c>
      <c r="J17921" s="689">
        <v>29.3</v>
      </c>
      <c r="K17921" s="689">
        <v>29.2</v>
      </c>
    </row>
    <row r="17922" spans="1:11">
      <c r="A17922" s="688" t="s">
        <v>6</v>
      </c>
      <c r="B17922" s="691">
        <v>29.7</v>
      </c>
      <c r="C17922" s="691">
        <v>29.5</v>
      </c>
      <c r="D17922" s="691">
        <v>29.2</v>
      </c>
      <c r="E17922" s="691">
        <v>29.4</v>
      </c>
      <c r="F17922" s="691">
        <v>29.4</v>
      </c>
      <c r="G17922" s="691">
        <v>29.5</v>
      </c>
      <c r="H17922" s="691">
        <v>29.6</v>
      </c>
      <c r="I17922" s="691">
        <v>29.1</v>
      </c>
      <c r="J17922" s="691">
        <v>29.2</v>
      </c>
      <c r="K17922" s="691">
        <v>29.1</v>
      </c>
    </row>
    <row r="17923" spans="1:11">
      <c r="A17923" s="688" t="s">
        <v>4058</v>
      </c>
      <c r="B17923" s="690" t="s">
        <v>4060</v>
      </c>
      <c r="C17923" s="690" t="s">
        <v>4060</v>
      </c>
      <c r="D17923" s="690" t="s">
        <v>4060</v>
      </c>
      <c r="E17923" s="690" t="s">
        <v>4060</v>
      </c>
      <c r="F17923" s="690" t="s">
        <v>4060</v>
      </c>
      <c r="G17923" s="690" t="s">
        <v>4060</v>
      </c>
      <c r="H17923" s="690" t="s">
        <v>4060</v>
      </c>
      <c r="I17923" s="690" t="s">
        <v>4060</v>
      </c>
      <c r="J17923" s="690" t="s">
        <v>4060</v>
      </c>
      <c r="K17923" s="690" t="s">
        <v>4060</v>
      </c>
    </row>
    <row r="17924" spans="1:11">
      <c r="A17924" s="688" t="s">
        <v>11</v>
      </c>
      <c r="B17924" s="691">
        <v>25.1</v>
      </c>
      <c r="C17924" s="691">
        <v>24.9</v>
      </c>
      <c r="D17924" s="691">
        <v>24.5</v>
      </c>
      <c r="E17924" s="615">
        <v>25</v>
      </c>
      <c r="F17924" s="691">
        <v>24.7</v>
      </c>
      <c r="G17924" s="691">
        <v>25.1</v>
      </c>
      <c r="H17924" s="691">
        <v>25.2</v>
      </c>
      <c r="I17924" s="691">
        <v>24.6</v>
      </c>
      <c r="J17924" s="691">
        <v>23.9</v>
      </c>
      <c r="K17924" s="691">
        <v>24.7</v>
      </c>
    </row>
    <row r="17925" spans="1:11">
      <c r="A17925" s="688" t="s">
        <v>10</v>
      </c>
      <c r="B17925" s="689">
        <v>28.8</v>
      </c>
      <c r="C17925" s="689">
        <v>28.6</v>
      </c>
      <c r="D17925" s="689">
        <v>28.1</v>
      </c>
      <c r="E17925" s="689">
        <v>28.7</v>
      </c>
      <c r="F17925" s="689">
        <v>28.4</v>
      </c>
      <c r="G17925" s="689">
        <v>28.8</v>
      </c>
      <c r="H17925" s="689">
        <v>28.9</v>
      </c>
      <c r="I17925" s="689">
        <v>27.9</v>
      </c>
      <c r="J17925" s="689">
        <v>28.3</v>
      </c>
      <c r="K17925" s="689">
        <v>28.2</v>
      </c>
    </row>
    <row r="17926" spans="1:11">
      <c r="A17926" s="688" t="s">
        <v>30</v>
      </c>
      <c r="B17926" s="615">
        <v>28</v>
      </c>
      <c r="C17926" s="691">
        <v>27.5</v>
      </c>
      <c r="D17926" s="691">
        <v>27.2</v>
      </c>
      <c r="E17926" s="691">
        <v>28.1</v>
      </c>
      <c r="F17926" s="691">
        <v>27.7</v>
      </c>
      <c r="G17926" s="691">
        <v>28.1</v>
      </c>
      <c r="H17926" s="691">
        <v>27.9</v>
      </c>
      <c r="I17926" s="615">
        <v>28</v>
      </c>
      <c r="J17926" s="691">
        <v>27.3</v>
      </c>
      <c r="K17926" s="691">
        <v>27.5</v>
      </c>
    </row>
    <row r="17927" spans="1:11">
      <c r="A17927" s="688" t="s">
        <v>12</v>
      </c>
      <c r="B17927" s="689">
        <v>24.3</v>
      </c>
      <c r="C17927" s="689">
        <v>24.4</v>
      </c>
      <c r="D17927" s="689">
        <v>24.4</v>
      </c>
      <c r="E17927" s="689">
        <v>24.6</v>
      </c>
      <c r="F17927" s="689">
        <v>24.6</v>
      </c>
      <c r="G17927" s="689">
        <v>24.6</v>
      </c>
      <c r="H17927" s="689">
        <v>25.1</v>
      </c>
      <c r="I17927" s="689">
        <v>24.7</v>
      </c>
      <c r="J17927" s="689">
        <v>23.1</v>
      </c>
      <c r="K17927" s="689">
        <v>24.4</v>
      </c>
    </row>
    <row r="17928" spans="1:11">
      <c r="A17928" s="688" t="s">
        <v>14</v>
      </c>
      <c r="B17928" s="691">
        <v>24.9</v>
      </c>
      <c r="C17928" s="691">
        <v>24.8</v>
      </c>
      <c r="D17928" s="691">
        <v>24.6</v>
      </c>
      <c r="E17928" s="691">
        <v>24.8</v>
      </c>
      <c r="F17928" s="691">
        <v>25.1</v>
      </c>
      <c r="G17928" s="691">
        <v>25.2</v>
      </c>
      <c r="H17928" s="691">
        <v>25.5</v>
      </c>
      <c r="I17928" s="691">
        <v>24.8</v>
      </c>
      <c r="J17928" s="691">
        <v>23.8</v>
      </c>
      <c r="K17928" s="691">
        <v>24.9</v>
      </c>
    </row>
    <row r="17929" spans="1:11">
      <c r="A17929" s="688" t="s">
        <v>15</v>
      </c>
      <c r="B17929" s="693">
        <v>28</v>
      </c>
      <c r="C17929" s="689">
        <v>28.1</v>
      </c>
      <c r="D17929" s="689">
        <v>27.5</v>
      </c>
      <c r="E17929" s="689">
        <v>28.3</v>
      </c>
      <c r="F17929" s="689">
        <v>27.5</v>
      </c>
      <c r="G17929" s="693">
        <v>28</v>
      </c>
      <c r="H17929" s="689">
        <v>28.2</v>
      </c>
      <c r="I17929" s="693">
        <v>28</v>
      </c>
      <c r="J17929" s="689">
        <v>28.3</v>
      </c>
      <c r="K17929" s="689">
        <v>28.3</v>
      </c>
    </row>
    <row r="17930" spans="1:11">
      <c r="A17930" s="688" t="s">
        <v>29</v>
      </c>
      <c r="B17930" s="691">
        <v>23.9</v>
      </c>
      <c r="C17930" s="691">
        <v>23.9</v>
      </c>
      <c r="D17930" s="691">
        <v>23.5</v>
      </c>
      <c r="E17930" s="615">
        <v>24</v>
      </c>
      <c r="F17930" s="691">
        <v>23.7</v>
      </c>
      <c r="G17930" s="691">
        <v>23.8</v>
      </c>
      <c r="H17930" s="691">
        <v>23.9</v>
      </c>
      <c r="I17930" s="691">
        <v>23.2</v>
      </c>
      <c r="J17930" s="691">
        <v>22.4</v>
      </c>
      <c r="K17930" s="691">
        <v>23.6</v>
      </c>
    </row>
    <row r="17931" spans="1:11">
      <c r="A17931" s="688" t="s">
        <v>16</v>
      </c>
      <c r="B17931" s="689">
        <v>27.7</v>
      </c>
      <c r="C17931" s="689">
        <v>27.4</v>
      </c>
      <c r="D17931" s="689">
        <v>27.5</v>
      </c>
      <c r="E17931" s="689">
        <v>27.9</v>
      </c>
      <c r="F17931" s="689">
        <v>27.9</v>
      </c>
      <c r="G17931" s="689">
        <v>27.9</v>
      </c>
      <c r="H17931" s="689">
        <v>28.1</v>
      </c>
      <c r="I17931" s="689">
        <v>27.8</v>
      </c>
      <c r="J17931" s="689">
        <v>27.4</v>
      </c>
      <c r="K17931" s="689">
        <v>27.8</v>
      </c>
    </row>
    <row r="17932" spans="1:11">
      <c r="A17932" s="688" t="s">
        <v>17</v>
      </c>
      <c r="B17932" s="691">
        <v>27.2</v>
      </c>
      <c r="C17932" s="691">
        <v>27.2</v>
      </c>
      <c r="D17932" s="691">
        <v>26.9</v>
      </c>
      <c r="E17932" s="615">
        <v>27</v>
      </c>
      <c r="F17932" s="691">
        <v>27.1</v>
      </c>
      <c r="G17932" s="691">
        <v>27.1</v>
      </c>
      <c r="H17932" s="691">
        <v>27.3</v>
      </c>
      <c r="I17932" s="691">
        <v>26.8</v>
      </c>
      <c r="J17932" s="691">
        <v>26.8</v>
      </c>
      <c r="K17932" s="691">
        <v>26.9</v>
      </c>
    </row>
    <row r="17933" spans="1:11">
      <c r="A17933" s="688" t="s">
        <v>19</v>
      </c>
      <c r="B17933" s="689">
        <v>27.6</v>
      </c>
      <c r="C17933" s="689">
        <v>27.5</v>
      </c>
      <c r="D17933" s="689">
        <v>27.3</v>
      </c>
      <c r="E17933" s="689">
        <v>27.7</v>
      </c>
      <c r="F17933" s="689">
        <v>27.6</v>
      </c>
      <c r="G17933" s="689">
        <v>27.7</v>
      </c>
      <c r="H17933" s="689">
        <v>27.9</v>
      </c>
      <c r="I17933" s="689">
        <v>27.4</v>
      </c>
      <c r="J17933" s="689">
        <v>27.4</v>
      </c>
      <c r="K17933" s="689">
        <v>27.4</v>
      </c>
    </row>
    <row r="17934" spans="1:11">
      <c r="A17934" s="688" t="s">
        <v>20</v>
      </c>
      <c r="B17934" s="691">
        <v>25.6</v>
      </c>
      <c r="C17934" s="691">
        <v>25.8</v>
      </c>
      <c r="D17934" s="691">
        <v>25.6</v>
      </c>
      <c r="E17934" s="615">
        <v>26</v>
      </c>
      <c r="F17934" s="691">
        <v>25.8</v>
      </c>
      <c r="G17934" s="691">
        <v>25.7</v>
      </c>
      <c r="H17934" s="691">
        <v>25.9</v>
      </c>
      <c r="I17934" s="691">
        <v>24.8</v>
      </c>
      <c r="J17934" s="615">
        <v>24</v>
      </c>
      <c r="K17934" s="691">
        <v>25.3</v>
      </c>
    </row>
    <row r="17935" spans="1:11">
      <c r="A17935" s="688" t="s">
        <v>21</v>
      </c>
      <c r="B17935" s="689">
        <v>27.9</v>
      </c>
      <c r="C17935" s="689">
        <v>28.1</v>
      </c>
      <c r="D17935" s="693">
        <v>28</v>
      </c>
      <c r="E17935" s="689">
        <v>28.1</v>
      </c>
      <c r="F17935" s="689">
        <v>28.3</v>
      </c>
      <c r="G17935" s="689">
        <v>28.3</v>
      </c>
      <c r="H17935" s="689">
        <v>28.6</v>
      </c>
      <c r="I17935" s="693">
        <v>28</v>
      </c>
      <c r="J17935" s="693">
        <v>28</v>
      </c>
      <c r="K17935" s="689">
        <v>28.2</v>
      </c>
    </row>
    <row r="17936" spans="1:11">
      <c r="A17936" s="688" t="s">
        <v>22</v>
      </c>
      <c r="B17936" s="691">
        <v>23.9</v>
      </c>
      <c r="C17936" s="691">
        <v>23.7</v>
      </c>
      <c r="D17936" s="691">
        <v>23.6</v>
      </c>
      <c r="E17936" s="691">
        <v>23.9</v>
      </c>
      <c r="F17936" s="691">
        <v>23.9</v>
      </c>
      <c r="G17936" s="615">
        <v>24</v>
      </c>
      <c r="H17936" s="691">
        <v>24.2</v>
      </c>
      <c r="I17936" s="691">
        <v>23.2</v>
      </c>
      <c r="J17936" s="691">
        <v>21.8</v>
      </c>
      <c r="K17936" s="691">
        <v>23.8</v>
      </c>
    </row>
    <row r="17937" spans="1:11">
      <c r="A17937" s="688" t="s">
        <v>26</v>
      </c>
      <c r="B17937" s="689">
        <v>27.4</v>
      </c>
      <c r="C17937" s="689">
        <v>27.3</v>
      </c>
      <c r="D17937" s="689">
        <v>27.1</v>
      </c>
      <c r="E17937" s="689">
        <v>27.5</v>
      </c>
      <c r="F17937" s="689">
        <v>27.4</v>
      </c>
      <c r="G17937" s="689">
        <v>27.5</v>
      </c>
      <c r="H17937" s="689">
        <v>27.6</v>
      </c>
      <c r="I17937" s="689">
        <v>26.8</v>
      </c>
      <c r="J17937" s="689">
        <v>27.2</v>
      </c>
      <c r="K17937" s="689">
        <v>27.5</v>
      </c>
    </row>
    <row r="17938" spans="1:11">
      <c r="A17938" s="688" t="s">
        <v>25</v>
      </c>
      <c r="B17938" s="691">
        <v>24.6</v>
      </c>
      <c r="C17938" s="691">
        <v>24.8</v>
      </c>
      <c r="D17938" s="691">
        <v>24.5</v>
      </c>
      <c r="E17938" s="615">
        <v>25</v>
      </c>
      <c r="F17938" s="691">
        <v>24.9</v>
      </c>
      <c r="G17938" s="615">
        <v>25</v>
      </c>
      <c r="H17938" s="691">
        <v>25.4</v>
      </c>
      <c r="I17938" s="691">
        <v>24.7</v>
      </c>
      <c r="J17938" s="691">
        <v>22.8</v>
      </c>
      <c r="K17938" s="691">
        <v>24.7</v>
      </c>
    </row>
    <row r="17939" spans="1:11">
      <c r="A17939" s="688" t="s">
        <v>5</v>
      </c>
      <c r="B17939" s="689">
        <v>27.9</v>
      </c>
      <c r="C17939" s="689">
        <v>27.6</v>
      </c>
      <c r="D17939" s="689">
        <v>27.8</v>
      </c>
      <c r="E17939" s="689">
        <v>27.8</v>
      </c>
      <c r="F17939" s="693">
        <v>28</v>
      </c>
      <c r="G17939" s="693">
        <v>28</v>
      </c>
      <c r="H17939" s="689">
        <v>28.3</v>
      </c>
      <c r="I17939" s="689">
        <v>28.3</v>
      </c>
      <c r="J17939" s="689">
        <v>28.1</v>
      </c>
      <c r="K17939" s="689">
        <v>27.5</v>
      </c>
    </row>
    <row r="17940" spans="1:11">
      <c r="A17940" s="688" t="s">
        <v>23</v>
      </c>
      <c r="B17940" s="691">
        <v>27.5</v>
      </c>
      <c r="C17940" s="691">
        <v>27.6</v>
      </c>
      <c r="D17940" s="691">
        <v>27.6</v>
      </c>
      <c r="E17940" s="691">
        <v>27.7</v>
      </c>
      <c r="F17940" s="691">
        <v>27.7</v>
      </c>
      <c r="G17940" s="691">
        <v>27.8</v>
      </c>
      <c r="H17940" s="691">
        <v>28.2</v>
      </c>
      <c r="I17940" s="691">
        <v>27.7</v>
      </c>
      <c r="J17940" s="691">
        <v>28.3</v>
      </c>
      <c r="K17940" s="691">
        <v>28.1</v>
      </c>
    </row>
    <row r="17941" spans="1:11">
      <c r="A17941" s="688" t="s">
        <v>4067</v>
      </c>
      <c r="B17941" s="689">
        <v>27.3</v>
      </c>
      <c r="C17941" s="689">
        <v>27.7</v>
      </c>
      <c r="D17941" s="689">
        <v>27.2</v>
      </c>
      <c r="E17941" s="689">
        <v>27.6</v>
      </c>
      <c r="F17941" s="689">
        <v>27.5</v>
      </c>
      <c r="G17941" s="689">
        <v>27.6</v>
      </c>
      <c r="H17941" s="690" t="s">
        <v>4060</v>
      </c>
      <c r="I17941" s="690" t="s">
        <v>4060</v>
      </c>
      <c r="J17941" s="690" t="s">
        <v>4060</v>
      </c>
      <c r="K17941" s="690" t="s">
        <v>4060</v>
      </c>
    </row>
    <row r="17942" spans="1:11">
      <c r="A17942" s="688" t="s">
        <v>4066</v>
      </c>
      <c r="B17942" s="691">
        <v>27.4</v>
      </c>
      <c r="C17942" s="691">
        <v>27.7</v>
      </c>
      <c r="D17942" s="691">
        <v>27.3</v>
      </c>
      <c r="E17942" s="691">
        <v>27.7</v>
      </c>
      <c r="F17942" s="691">
        <v>27.5</v>
      </c>
      <c r="G17942" s="691">
        <v>27.6</v>
      </c>
      <c r="H17942" s="692" t="s">
        <v>4060</v>
      </c>
      <c r="I17942" s="692" t="s">
        <v>4060</v>
      </c>
      <c r="J17942" s="692" t="s">
        <v>4060</v>
      </c>
      <c r="K17942" s="692" t="s">
        <v>4060</v>
      </c>
    </row>
    <row r="17943" spans="1:11">
      <c r="A17943" s="688" t="s">
        <v>4062</v>
      </c>
      <c r="B17943" s="689">
        <v>28.2</v>
      </c>
      <c r="C17943" s="689">
        <v>28.3</v>
      </c>
      <c r="D17943" s="689">
        <v>28.2</v>
      </c>
      <c r="E17943" s="689">
        <v>28.4</v>
      </c>
      <c r="F17943" s="689">
        <v>28.5</v>
      </c>
      <c r="G17943" s="689">
        <v>28.6</v>
      </c>
      <c r="H17943" s="689">
        <v>28.7</v>
      </c>
      <c r="I17943" s="689">
        <v>28.4</v>
      </c>
      <c r="J17943" s="689">
        <v>28.7</v>
      </c>
      <c r="K17943" s="689">
        <v>28.4</v>
      </c>
    </row>
    <row r="17944" spans="1:11">
      <c r="A17944" s="688" t="s">
        <v>9</v>
      </c>
      <c r="B17944" s="691">
        <v>27.3</v>
      </c>
      <c r="C17944" s="691">
        <v>27.8</v>
      </c>
      <c r="D17944" s="691">
        <v>27.2</v>
      </c>
      <c r="E17944" s="691">
        <v>27.2</v>
      </c>
      <c r="F17944" s="691">
        <v>27.5</v>
      </c>
      <c r="G17944" s="691">
        <v>27.7</v>
      </c>
      <c r="H17944" s="691">
        <v>28.1</v>
      </c>
      <c r="I17944" s="691">
        <v>28.1</v>
      </c>
      <c r="J17944" s="615">
        <v>28</v>
      </c>
      <c r="K17944" s="691">
        <v>27.2</v>
      </c>
    </row>
    <row r="17945" spans="1:11">
      <c r="A17945" s="688" t="s">
        <v>13</v>
      </c>
      <c r="B17945" s="689">
        <v>28.2</v>
      </c>
      <c r="C17945" s="689">
        <v>26.6</v>
      </c>
      <c r="D17945" s="689">
        <v>27.5</v>
      </c>
      <c r="E17945" s="689">
        <v>28.1</v>
      </c>
      <c r="F17945" s="689">
        <v>28.6</v>
      </c>
      <c r="G17945" s="689">
        <v>28.4</v>
      </c>
      <c r="H17945" s="689">
        <v>28.3</v>
      </c>
      <c r="I17945" s="689">
        <v>27.7</v>
      </c>
      <c r="J17945" s="689">
        <v>28.9</v>
      </c>
      <c r="K17945" s="689">
        <v>28.5</v>
      </c>
    </row>
    <row r="17946" spans="1:11">
      <c r="A17946" s="688" t="s">
        <v>18</v>
      </c>
      <c r="B17946" s="691">
        <v>27.5</v>
      </c>
      <c r="C17946" s="691">
        <v>27.7</v>
      </c>
      <c r="D17946" s="691">
        <v>27.7</v>
      </c>
      <c r="E17946" s="691">
        <v>27.8</v>
      </c>
      <c r="F17946" s="691">
        <v>27.8</v>
      </c>
      <c r="G17946" s="615">
        <v>28</v>
      </c>
      <c r="H17946" s="691">
        <v>28.2</v>
      </c>
      <c r="I17946" s="691">
        <v>28.4</v>
      </c>
      <c r="J17946" s="691">
        <v>28.2</v>
      </c>
      <c r="K17946" s="691">
        <v>27.8</v>
      </c>
    </row>
    <row r="17947" spans="1:11">
      <c r="A17947" s="688" t="s">
        <v>24</v>
      </c>
      <c r="B17947" s="689">
        <v>28.6</v>
      </c>
      <c r="C17947" s="689">
        <v>28.7</v>
      </c>
      <c r="D17947" s="689">
        <v>28.5</v>
      </c>
      <c r="E17947" s="689">
        <v>28.8</v>
      </c>
      <c r="F17947" s="689">
        <v>28.8</v>
      </c>
      <c r="G17947" s="689">
        <v>28.9</v>
      </c>
      <c r="H17947" s="693">
        <v>29</v>
      </c>
      <c r="I17947" s="689">
        <v>28.5</v>
      </c>
      <c r="J17947" s="693">
        <v>29</v>
      </c>
      <c r="K17947" s="689">
        <v>28.8</v>
      </c>
    </row>
    <row r="17948" spans="1:11">
      <c r="A17948" s="688" t="s">
        <v>4059</v>
      </c>
      <c r="B17948" s="615">
        <v>27</v>
      </c>
      <c r="C17948" s="691">
        <v>27.3</v>
      </c>
      <c r="D17948" s="691">
        <v>26.9</v>
      </c>
      <c r="E17948" s="691">
        <v>27.2</v>
      </c>
      <c r="F17948" s="691">
        <v>27.2</v>
      </c>
      <c r="G17948" s="691">
        <v>27.2</v>
      </c>
      <c r="H17948" s="692" t="s">
        <v>4060</v>
      </c>
      <c r="I17948" s="692" t="s">
        <v>4060</v>
      </c>
      <c r="J17948" s="692" t="s">
        <v>4060</v>
      </c>
      <c r="K17948" s="692" t="s">
        <v>4060</v>
      </c>
    </row>
    <row r="17949" spans="1:11">
      <c r="A17949" s="688" t="s">
        <v>2324</v>
      </c>
      <c r="B17949" s="689">
        <v>23.3</v>
      </c>
      <c r="C17949" s="689">
        <v>23.4</v>
      </c>
      <c r="D17949" s="693">
        <v>23</v>
      </c>
      <c r="E17949" s="689">
        <v>23.1</v>
      </c>
      <c r="F17949" s="689">
        <v>23.4</v>
      </c>
      <c r="G17949" s="689">
        <v>23.5</v>
      </c>
      <c r="H17949" s="689">
        <v>23.8</v>
      </c>
      <c r="I17949" s="689">
        <v>23.1</v>
      </c>
      <c r="J17949" s="689">
        <v>21.2</v>
      </c>
      <c r="K17949" s="690" t="s">
        <v>4060</v>
      </c>
    </row>
    <row r="17950" spans="1:11">
      <c r="A17950" s="688" t="s">
        <v>2322</v>
      </c>
      <c r="B17950" s="692" t="s">
        <v>4060</v>
      </c>
      <c r="C17950" s="692" t="s">
        <v>4060</v>
      </c>
      <c r="D17950" s="692" t="s">
        <v>4060</v>
      </c>
      <c r="E17950" s="692" t="s">
        <v>4060</v>
      </c>
      <c r="F17950" s="692" t="s">
        <v>4060</v>
      </c>
      <c r="G17950" s="692" t="s">
        <v>4060</v>
      </c>
      <c r="H17950" s="692" t="s">
        <v>4060</v>
      </c>
      <c r="I17950" s="692" t="s">
        <v>4060</v>
      </c>
      <c r="J17950" s="692" t="s">
        <v>4060</v>
      </c>
      <c r="K17950" s="692" t="s">
        <v>4060</v>
      </c>
    </row>
    <row r="17951" spans="1:11">
      <c r="A17951" s="688" t="s">
        <v>2328</v>
      </c>
      <c r="B17951" s="689">
        <v>22.3</v>
      </c>
      <c r="C17951" s="689">
        <v>22.1</v>
      </c>
      <c r="D17951" s="693">
        <v>22</v>
      </c>
      <c r="E17951" s="689">
        <v>22.4</v>
      </c>
      <c r="F17951" s="689">
        <v>22.4</v>
      </c>
      <c r="G17951" s="689">
        <v>22.9</v>
      </c>
      <c r="H17951" s="689">
        <v>22.7</v>
      </c>
      <c r="I17951" s="689">
        <v>21.3</v>
      </c>
      <c r="J17951" s="689">
        <v>20.3</v>
      </c>
      <c r="K17951" s="690" t="s">
        <v>4060</v>
      </c>
    </row>
    <row r="17952" spans="1:11">
      <c r="A17952" s="688" t="s">
        <v>2496</v>
      </c>
      <c r="B17952" s="692" t="s">
        <v>4060</v>
      </c>
      <c r="C17952" s="691">
        <v>23.4</v>
      </c>
      <c r="D17952" s="691">
        <v>22.6</v>
      </c>
      <c r="E17952" s="691">
        <v>22.3</v>
      </c>
      <c r="F17952" s="691">
        <v>22.9</v>
      </c>
      <c r="G17952" s="691">
        <v>23.1</v>
      </c>
      <c r="H17952" s="691">
        <v>23.1</v>
      </c>
      <c r="I17952" s="692" t="s">
        <v>4060</v>
      </c>
      <c r="J17952" s="692" t="s">
        <v>4060</v>
      </c>
      <c r="K17952" s="691">
        <v>22.9</v>
      </c>
    </row>
    <row r="17953" spans="1:11">
      <c r="A17953" s="688" t="s">
        <v>2269</v>
      </c>
      <c r="B17953" s="689">
        <v>24.7</v>
      </c>
      <c r="C17953" s="689">
        <v>24.8</v>
      </c>
      <c r="D17953" s="689">
        <v>24.1</v>
      </c>
      <c r="E17953" s="689">
        <v>24.5</v>
      </c>
      <c r="F17953" s="689">
        <v>24.4</v>
      </c>
      <c r="G17953" s="689">
        <v>24.8</v>
      </c>
      <c r="H17953" s="693">
        <v>25</v>
      </c>
      <c r="I17953" s="689">
        <v>23.9</v>
      </c>
      <c r="J17953" s="693">
        <v>22</v>
      </c>
      <c r="K17953" s="689">
        <v>24.7</v>
      </c>
    </row>
    <row r="17954" spans="1:11">
      <c r="A17954" s="688" t="s">
        <v>2349</v>
      </c>
      <c r="B17954" s="691">
        <v>22.6</v>
      </c>
      <c r="C17954" s="691">
        <v>22.6</v>
      </c>
      <c r="D17954" s="691">
        <v>22.6</v>
      </c>
      <c r="E17954" s="691">
        <v>22.9</v>
      </c>
      <c r="F17954" s="691">
        <v>22.7</v>
      </c>
      <c r="G17954" s="691">
        <v>22.9</v>
      </c>
      <c r="H17954" s="691">
        <v>23.1</v>
      </c>
      <c r="I17954" s="615">
        <v>22</v>
      </c>
      <c r="J17954" s="691">
        <v>20.6</v>
      </c>
      <c r="K17954" s="691">
        <v>22.3</v>
      </c>
    </row>
    <row r="17955" spans="1:11">
      <c r="A17955" s="688" t="s">
        <v>2355</v>
      </c>
      <c r="B17955" s="689">
        <v>25.9</v>
      </c>
      <c r="C17955" s="689">
        <v>25.6</v>
      </c>
      <c r="D17955" s="689">
        <v>25.6</v>
      </c>
      <c r="E17955" s="689">
        <v>25.6</v>
      </c>
      <c r="F17955" s="689">
        <v>25.7</v>
      </c>
      <c r="G17955" s="689">
        <v>26.1</v>
      </c>
      <c r="H17955" s="689">
        <v>26.1</v>
      </c>
      <c r="I17955" s="690" t="s">
        <v>4060</v>
      </c>
      <c r="J17955" s="690" t="s">
        <v>4060</v>
      </c>
      <c r="K17955" s="690" t="s">
        <v>4060</v>
      </c>
    </row>
    <row r="17956" spans="1:11">
      <c r="A17956" s="688" t="s">
        <v>2357</v>
      </c>
      <c r="B17956" s="692" t="s">
        <v>4060</v>
      </c>
      <c r="C17956" s="691">
        <v>22.7</v>
      </c>
      <c r="D17956" s="615">
        <v>23</v>
      </c>
      <c r="E17956" s="691">
        <v>23.3</v>
      </c>
      <c r="F17956" s="691">
        <v>23.5</v>
      </c>
      <c r="G17956" s="691">
        <v>23.5</v>
      </c>
      <c r="H17956" s="691">
        <v>23.7</v>
      </c>
      <c r="I17956" s="692" t="s">
        <v>4060</v>
      </c>
      <c r="J17956" s="692" t="s">
        <v>4060</v>
      </c>
      <c r="K17956" s="692" t="s">
        <v>4060</v>
      </c>
    </row>
    <row r="17957" spans="1:11">
      <c r="A17957" s="688" t="s">
        <v>4070</v>
      </c>
      <c r="B17957" s="690" t="s">
        <v>4060</v>
      </c>
      <c r="C17957" s="690" t="s">
        <v>4060</v>
      </c>
      <c r="D17957" s="690" t="s">
        <v>4060</v>
      </c>
      <c r="E17957" s="689">
        <v>25.7</v>
      </c>
      <c r="F17957" s="690" t="s">
        <v>4060</v>
      </c>
      <c r="G17957" s="690" t="s">
        <v>4060</v>
      </c>
      <c r="H17957" s="690" t="s">
        <v>4060</v>
      </c>
      <c r="I17957" s="690" t="s">
        <v>4060</v>
      </c>
      <c r="J17957" s="690" t="s">
        <v>4060</v>
      </c>
      <c r="K17957" s="690" t="s">
        <v>4060</v>
      </c>
    </row>
    <row r="17958" spans="1:11">
      <c r="A17958" s="688" t="s">
        <v>2491</v>
      </c>
      <c r="B17958" s="691">
        <v>23.2</v>
      </c>
      <c r="C17958" s="691">
        <v>23.7</v>
      </c>
      <c r="D17958" s="691">
        <v>23.8</v>
      </c>
      <c r="E17958" s="615">
        <v>24</v>
      </c>
      <c r="F17958" s="615">
        <v>24</v>
      </c>
      <c r="G17958" s="691">
        <v>24.1</v>
      </c>
      <c r="H17958" s="692" t="s">
        <v>4060</v>
      </c>
      <c r="I17958" s="692" t="s">
        <v>4060</v>
      </c>
      <c r="J17958" s="692" t="s">
        <v>4060</v>
      </c>
      <c r="K17958" s="692" t="s">
        <v>4060</v>
      </c>
    </row>
    <row r="17959" spans="1:11">
      <c r="A17959" s="688" t="s">
        <v>2343</v>
      </c>
      <c r="B17959" s="690" t="s">
        <v>4060</v>
      </c>
      <c r="C17959" s="690" t="s">
        <v>4060</v>
      </c>
      <c r="D17959" s="690" t="s">
        <v>4060</v>
      </c>
      <c r="E17959" s="690" t="s">
        <v>4060</v>
      </c>
      <c r="F17959" s="690" t="s">
        <v>4060</v>
      </c>
      <c r="G17959" s="690" t="s">
        <v>4060</v>
      </c>
      <c r="H17959" s="690" t="s">
        <v>4060</v>
      </c>
      <c r="I17959" s="690" t="s">
        <v>4060</v>
      </c>
      <c r="J17959" s="690" t="s">
        <v>4060</v>
      </c>
      <c r="K17959" s="690" t="s">
        <v>4060</v>
      </c>
    </row>
    <row r="17960" spans="1:11">
      <c r="A17960" s="688" t="s">
        <v>4071</v>
      </c>
      <c r="B17960" s="692" t="s">
        <v>4060</v>
      </c>
      <c r="C17960" s="692" t="s">
        <v>4060</v>
      </c>
      <c r="D17960" s="692" t="s">
        <v>4060</v>
      </c>
      <c r="E17960" s="692" t="s">
        <v>4060</v>
      </c>
      <c r="F17960" s="692" t="s">
        <v>4060</v>
      </c>
      <c r="G17960" s="692" t="s">
        <v>4060</v>
      </c>
      <c r="H17960" s="692" t="s">
        <v>4060</v>
      </c>
      <c r="I17960" s="692" t="s">
        <v>4060</v>
      </c>
      <c r="J17960" s="692" t="s">
        <v>4060</v>
      </c>
      <c r="K17960" s="692" t="s">
        <v>4060</v>
      </c>
    </row>
    <row r="17961" spans="1:11">
      <c r="A17961" s="688" t="s">
        <v>2489</v>
      </c>
      <c r="B17961" s="690" t="s">
        <v>4060</v>
      </c>
      <c r="C17961" s="690" t="s">
        <v>4060</v>
      </c>
      <c r="D17961" s="693">
        <v>23</v>
      </c>
      <c r="E17961" s="693">
        <v>23</v>
      </c>
      <c r="F17961" s="689">
        <v>23.3</v>
      </c>
      <c r="G17961" s="693">
        <v>24</v>
      </c>
      <c r="H17961" s="693">
        <v>24</v>
      </c>
      <c r="I17961" s="690" t="s">
        <v>4060</v>
      </c>
      <c r="J17961" s="690" t="s">
        <v>4060</v>
      </c>
      <c r="K17961" s="690" t="s">
        <v>4060</v>
      </c>
    </row>
    <row r="17962" spans="1:11">
      <c r="A17962" s="688" t="s">
        <v>2490</v>
      </c>
      <c r="B17962" s="691">
        <v>22.2</v>
      </c>
      <c r="C17962" s="691">
        <v>22.3</v>
      </c>
      <c r="D17962" s="691">
        <v>22.8</v>
      </c>
      <c r="E17962" s="692" t="s">
        <v>4060</v>
      </c>
      <c r="F17962" s="691">
        <v>22.9</v>
      </c>
      <c r="G17962" s="691">
        <v>23.2</v>
      </c>
      <c r="H17962" s="691">
        <v>23.9</v>
      </c>
      <c r="I17962" s="692" t="s">
        <v>4060</v>
      </c>
      <c r="J17962" s="692" t="s">
        <v>4060</v>
      </c>
      <c r="K17962" s="692" t="s">
        <v>4060</v>
      </c>
    </row>
    <row r="17964" spans="1:11">
      <c r="A17964" s="683" t="s">
        <v>4233</v>
      </c>
    </row>
    <row r="17965" spans="1:11">
      <c r="A17965" s="683" t="s">
        <v>4060</v>
      </c>
      <c r="B17965" s="682" t="s">
        <v>4234</v>
      </c>
    </row>
    <row r="17967" spans="1:11">
      <c r="A17967" s="682" t="s">
        <v>4332</v>
      </c>
    </row>
    <row r="17968" spans="1:11">
      <c r="A17968" s="682" t="s">
        <v>4210</v>
      </c>
      <c r="B17968" s="683" t="s">
        <v>4211</v>
      </c>
    </row>
    <row r="17969" spans="1:11">
      <c r="A17969" s="682" t="s">
        <v>4212</v>
      </c>
      <c r="B17969" s="682" t="s">
        <v>4213</v>
      </c>
    </row>
    <row r="17971" spans="1:11">
      <c r="A17971" s="683" t="s">
        <v>4214</v>
      </c>
      <c r="C17971" s="682" t="s">
        <v>4215</v>
      </c>
    </row>
    <row r="17972" spans="1:11">
      <c r="A17972" s="683" t="s">
        <v>4216</v>
      </c>
      <c r="C17972" s="682" t="s">
        <v>2967</v>
      </c>
    </row>
    <row r="17973" spans="1:11">
      <c r="A17973" s="683" t="s">
        <v>3893</v>
      </c>
      <c r="C17973" s="682" t="s">
        <v>2169</v>
      </c>
    </row>
    <row r="17974" spans="1:11">
      <c r="A17974" s="683" t="s">
        <v>4218</v>
      </c>
      <c r="C17974" s="682" t="s">
        <v>4294</v>
      </c>
    </row>
    <row r="17976" spans="1:11">
      <c r="A17976" s="684" t="s">
        <v>4220</v>
      </c>
      <c r="B17976" s="685" t="s">
        <v>4221</v>
      </c>
      <c r="C17976" s="685" t="s">
        <v>4222</v>
      </c>
      <c r="D17976" s="685" t="s">
        <v>4223</v>
      </c>
      <c r="E17976" s="685" t="s">
        <v>4224</v>
      </c>
      <c r="F17976" s="685" t="s">
        <v>4225</v>
      </c>
      <c r="G17976" s="685" t="s">
        <v>4226</v>
      </c>
      <c r="H17976" s="685" t="s">
        <v>4227</v>
      </c>
      <c r="I17976" s="685" t="s">
        <v>4228</v>
      </c>
      <c r="J17976" s="685" t="s">
        <v>4229</v>
      </c>
      <c r="K17976" s="685" t="s">
        <v>4230</v>
      </c>
    </row>
    <row r="17977" spans="1:11">
      <c r="A17977" s="686" t="s">
        <v>4231</v>
      </c>
      <c r="B17977" s="687" t="s">
        <v>4232</v>
      </c>
      <c r="C17977" s="687" t="s">
        <v>4232</v>
      </c>
      <c r="D17977" s="687" t="s">
        <v>4232</v>
      </c>
      <c r="E17977" s="687" t="s">
        <v>4232</v>
      </c>
      <c r="F17977" s="687" t="s">
        <v>4232</v>
      </c>
      <c r="G17977" s="687" t="s">
        <v>4232</v>
      </c>
      <c r="H17977" s="687" t="s">
        <v>4232</v>
      </c>
      <c r="I17977" s="687" t="s">
        <v>4232</v>
      </c>
      <c r="J17977" s="687" t="s">
        <v>4232</v>
      </c>
      <c r="K17977" s="687" t="s">
        <v>4232</v>
      </c>
    </row>
    <row r="17978" spans="1:11">
      <c r="A17978" s="688" t="s">
        <v>4064</v>
      </c>
      <c r="B17978" s="691">
        <v>26.5</v>
      </c>
      <c r="C17978" s="691">
        <v>26.5</v>
      </c>
      <c r="D17978" s="691">
        <v>26.4</v>
      </c>
      <c r="E17978" s="691">
        <v>26.5</v>
      </c>
      <c r="F17978" s="691">
        <v>26.4</v>
      </c>
      <c r="G17978" s="691">
        <v>26.5</v>
      </c>
      <c r="H17978" s="691">
        <v>26.7</v>
      </c>
      <c r="I17978" s="691">
        <v>26.1</v>
      </c>
      <c r="J17978" s="691">
        <v>25.9</v>
      </c>
      <c r="K17978" s="691">
        <v>26.2</v>
      </c>
    </row>
    <row r="17979" spans="1:11">
      <c r="A17979" s="688" t="s">
        <v>4065</v>
      </c>
      <c r="B17979" s="689">
        <v>26.5</v>
      </c>
      <c r="C17979" s="689">
        <v>26.8</v>
      </c>
      <c r="D17979" s="689">
        <v>26.4</v>
      </c>
      <c r="E17979" s="689">
        <v>26.8</v>
      </c>
      <c r="F17979" s="689">
        <v>26.6</v>
      </c>
      <c r="G17979" s="689">
        <v>26.7</v>
      </c>
      <c r="H17979" s="690" t="s">
        <v>4060</v>
      </c>
      <c r="I17979" s="690" t="s">
        <v>4060</v>
      </c>
      <c r="J17979" s="690" t="s">
        <v>4060</v>
      </c>
      <c r="K17979" s="690" t="s">
        <v>4060</v>
      </c>
    </row>
    <row r="17980" spans="1:11">
      <c r="A17980" s="688" t="s">
        <v>4063</v>
      </c>
      <c r="B17980" s="691">
        <v>26.5</v>
      </c>
      <c r="C17980" s="691">
        <v>26.8</v>
      </c>
      <c r="D17980" s="691">
        <v>26.4</v>
      </c>
      <c r="E17980" s="691">
        <v>26.8</v>
      </c>
      <c r="F17980" s="691">
        <v>26.6</v>
      </c>
      <c r="G17980" s="691">
        <v>26.7</v>
      </c>
      <c r="H17980" s="692" t="s">
        <v>4060</v>
      </c>
      <c r="I17980" s="692" t="s">
        <v>4060</v>
      </c>
      <c r="J17980" s="692" t="s">
        <v>4060</v>
      </c>
      <c r="K17980" s="692" t="s">
        <v>4060</v>
      </c>
    </row>
    <row r="17981" spans="1:11">
      <c r="A17981" s="688" t="s">
        <v>4069</v>
      </c>
      <c r="B17981" s="690" t="s">
        <v>4060</v>
      </c>
      <c r="C17981" s="689">
        <v>27.2</v>
      </c>
      <c r="D17981" s="689">
        <v>26.8</v>
      </c>
      <c r="E17981" s="689">
        <v>27.2</v>
      </c>
      <c r="F17981" s="689">
        <v>27.1</v>
      </c>
      <c r="G17981" s="689">
        <v>27.2</v>
      </c>
      <c r="H17981" s="689">
        <v>27.4</v>
      </c>
      <c r="I17981" s="689">
        <v>26.8</v>
      </c>
      <c r="J17981" s="689">
        <v>26.9</v>
      </c>
      <c r="K17981" s="689">
        <v>26.9</v>
      </c>
    </row>
    <row r="17982" spans="1:11">
      <c r="A17982" s="688" t="s">
        <v>4068</v>
      </c>
      <c r="B17982" s="691">
        <v>27.3</v>
      </c>
      <c r="C17982" s="692" t="s">
        <v>4060</v>
      </c>
      <c r="D17982" s="692" t="s">
        <v>4060</v>
      </c>
      <c r="E17982" s="692" t="s">
        <v>4060</v>
      </c>
      <c r="F17982" s="692" t="s">
        <v>4060</v>
      </c>
      <c r="G17982" s="692" t="s">
        <v>4060</v>
      </c>
      <c r="H17982" s="692" t="s">
        <v>4060</v>
      </c>
      <c r="I17982" s="692" t="s">
        <v>4060</v>
      </c>
      <c r="J17982" s="692" t="s">
        <v>4060</v>
      </c>
      <c r="K17982" s="692" t="s">
        <v>4060</v>
      </c>
    </row>
    <row r="17983" spans="1:11">
      <c r="A17983" s="688" t="s">
        <v>0</v>
      </c>
      <c r="B17983" s="689">
        <v>26.5</v>
      </c>
      <c r="C17983" s="689">
        <v>26.7</v>
      </c>
      <c r="D17983" s="689">
        <v>26.3</v>
      </c>
      <c r="E17983" s="689">
        <v>26.7</v>
      </c>
      <c r="F17983" s="689">
        <v>26.7</v>
      </c>
      <c r="G17983" s="689">
        <v>26.7</v>
      </c>
      <c r="H17983" s="693">
        <v>27</v>
      </c>
      <c r="I17983" s="693">
        <v>26</v>
      </c>
      <c r="J17983" s="693">
        <v>27</v>
      </c>
      <c r="K17983" s="689">
        <v>26.7</v>
      </c>
    </row>
    <row r="17984" spans="1:11">
      <c r="A17984" s="688" t="s">
        <v>1</v>
      </c>
      <c r="B17984" s="691">
        <v>22.9</v>
      </c>
      <c r="C17984" s="691">
        <v>22.4</v>
      </c>
      <c r="D17984" s="691">
        <v>22.4</v>
      </c>
      <c r="E17984" s="691">
        <v>22.7</v>
      </c>
      <c r="F17984" s="691">
        <v>22.5</v>
      </c>
      <c r="G17984" s="691">
        <v>22.7</v>
      </c>
      <c r="H17984" s="691">
        <v>22.8</v>
      </c>
      <c r="I17984" s="691">
        <v>21.7</v>
      </c>
      <c r="J17984" s="691">
        <v>20.100000000000001</v>
      </c>
      <c r="K17984" s="691">
        <v>22.2</v>
      </c>
    </row>
    <row r="17985" spans="1:11">
      <c r="A17985" s="688" t="s">
        <v>2240</v>
      </c>
      <c r="B17985" s="689">
        <v>24.4</v>
      </c>
      <c r="C17985" s="689">
        <v>24.7</v>
      </c>
      <c r="D17985" s="689">
        <v>24.4</v>
      </c>
      <c r="E17985" s="689">
        <v>24.9</v>
      </c>
      <c r="F17985" s="689">
        <v>24.8</v>
      </c>
      <c r="G17985" s="689">
        <v>24.8</v>
      </c>
      <c r="H17985" s="689">
        <v>25.1</v>
      </c>
      <c r="I17985" s="689">
        <v>24.3</v>
      </c>
      <c r="J17985" s="689">
        <v>23.7</v>
      </c>
      <c r="K17985" s="689">
        <v>24.9</v>
      </c>
    </row>
    <row r="17986" spans="1:11">
      <c r="A17986" s="688" t="s">
        <v>2</v>
      </c>
      <c r="B17986" s="691">
        <v>25.5</v>
      </c>
      <c r="C17986" s="691">
        <v>25.7</v>
      </c>
      <c r="D17986" s="691">
        <v>25.7</v>
      </c>
      <c r="E17986" s="691">
        <v>25.8</v>
      </c>
      <c r="F17986" s="615">
        <v>26</v>
      </c>
      <c r="G17986" s="691">
        <v>25.8</v>
      </c>
      <c r="H17986" s="691">
        <v>26.1</v>
      </c>
      <c r="I17986" s="691">
        <v>26.2</v>
      </c>
      <c r="J17986" s="691">
        <v>26.1</v>
      </c>
      <c r="K17986" s="691">
        <v>25.9</v>
      </c>
    </row>
    <row r="17987" spans="1:11">
      <c r="A17987" s="688" t="s">
        <v>3</v>
      </c>
      <c r="B17987" s="689">
        <v>26.1</v>
      </c>
      <c r="C17987" s="689">
        <v>26.3</v>
      </c>
      <c r="D17987" s="693">
        <v>26</v>
      </c>
      <c r="E17987" s="689">
        <v>26.3</v>
      </c>
      <c r="F17987" s="689">
        <v>26.2</v>
      </c>
      <c r="G17987" s="689">
        <v>26.2</v>
      </c>
      <c r="H17987" s="689">
        <v>26.4</v>
      </c>
      <c r="I17987" s="689">
        <v>26.3</v>
      </c>
      <c r="J17987" s="689">
        <v>26.1</v>
      </c>
      <c r="K17987" s="689">
        <v>25.8</v>
      </c>
    </row>
    <row r="17988" spans="1:11">
      <c r="A17988" s="688" t="s">
        <v>4061</v>
      </c>
      <c r="B17988" s="691">
        <v>26.1</v>
      </c>
      <c r="C17988" s="691">
        <v>26.3</v>
      </c>
      <c r="D17988" s="615">
        <v>26</v>
      </c>
      <c r="E17988" s="691">
        <v>26.3</v>
      </c>
      <c r="F17988" s="691">
        <v>26.2</v>
      </c>
      <c r="G17988" s="691">
        <v>26.2</v>
      </c>
      <c r="H17988" s="691">
        <v>26.4</v>
      </c>
      <c r="I17988" s="691">
        <v>26.3</v>
      </c>
      <c r="J17988" s="691">
        <v>26.1</v>
      </c>
      <c r="K17988" s="691">
        <v>25.8</v>
      </c>
    </row>
    <row r="17989" spans="1:11">
      <c r="A17989" s="688" t="s">
        <v>4</v>
      </c>
      <c r="B17989" s="689">
        <v>25.3</v>
      </c>
      <c r="C17989" s="689">
        <v>25.1</v>
      </c>
      <c r="D17989" s="689">
        <v>25.3</v>
      </c>
      <c r="E17989" s="689">
        <v>25.6</v>
      </c>
      <c r="F17989" s="689">
        <v>25.5</v>
      </c>
      <c r="G17989" s="689">
        <v>25.5</v>
      </c>
      <c r="H17989" s="693">
        <v>26</v>
      </c>
      <c r="I17989" s="689">
        <v>25.9</v>
      </c>
      <c r="J17989" s="689">
        <v>24.7</v>
      </c>
      <c r="K17989" s="689">
        <v>25.5</v>
      </c>
    </row>
    <row r="17990" spans="1:11">
      <c r="A17990" s="688" t="s">
        <v>8</v>
      </c>
      <c r="B17990" s="691">
        <v>26.1</v>
      </c>
      <c r="C17990" s="691">
        <v>26.2</v>
      </c>
      <c r="D17990" s="691">
        <v>26.2</v>
      </c>
      <c r="E17990" s="691">
        <v>26.2</v>
      </c>
      <c r="F17990" s="691">
        <v>26.6</v>
      </c>
      <c r="G17990" s="691">
        <v>26.7</v>
      </c>
      <c r="H17990" s="615">
        <v>27</v>
      </c>
      <c r="I17990" s="691">
        <v>26.8</v>
      </c>
      <c r="J17990" s="691">
        <v>26.7</v>
      </c>
      <c r="K17990" s="691">
        <v>26.8</v>
      </c>
    </row>
    <row r="17991" spans="1:11">
      <c r="A17991" s="688" t="s">
        <v>7</v>
      </c>
      <c r="B17991" s="689">
        <v>26.9</v>
      </c>
      <c r="C17991" s="689">
        <v>26.6</v>
      </c>
      <c r="D17991" s="689">
        <v>26.4</v>
      </c>
      <c r="E17991" s="689">
        <v>26.7</v>
      </c>
      <c r="F17991" s="689">
        <v>26.6</v>
      </c>
      <c r="G17991" s="693">
        <v>27</v>
      </c>
      <c r="H17991" s="689">
        <v>26.9</v>
      </c>
      <c r="I17991" s="689">
        <v>26.6</v>
      </c>
      <c r="J17991" s="689">
        <v>25.8</v>
      </c>
      <c r="K17991" s="689">
        <v>26.2</v>
      </c>
    </row>
    <row r="17992" spans="1:11">
      <c r="A17992" s="688" t="s">
        <v>27</v>
      </c>
      <c r="B17992" s="691">
        <v>28.8</v>
      </c>
      <c r="C17992" s="691">
        <v>28.3</v>
      </c>
      <c r="D17992" s="615">
        <v>28</v>
      </c>
      <c r="E17992" s="691">
        <v>28.4</v>
      </c>
      <c r="F17992" s="691">
        <v>28.3</v>
      </c>
      <c r="G17992" s="691">
        <v>28.4</v>
      </c>
      <c r="H17992" s="691">
        <v>28.8</v>
      </c>
      <c r="I17992" s="691">
        <v>27.6</v>
      </c>
      <c r="J17992" s="691">
        <v>28.4</v>
      </c>
      <c r="K17992" s="691">
        <v>28.3</v>
      </c>
    </row>
    <row r="17993" spans="1:11">
      <c r="A17993" s="688" t="s">
        <v>6</v>
      </c>
      <c r="B17993" s="689">
        <v>28.9</v>
      </c>
      <c r="C17993" s="689">
        <v>28.6</v>
      </c>
      <c r="D17993" s="689">
        <v>28.3</v>
      </c>
      <c r="E17993" s="689">
        <v>28.5</v>
      </c>
      <c r="F17993" s="689">
        <v>28.5</v>
      </c>
      <c r="G17993" s="689">
        <v>28.6</v>
      </c>
      <c r="H17993" s="689">
        <v>28.7</v>
      </c>
      <c r="I17993" s="689">
        <v>28.2</v>
      </c>
      <c r="J17993" s="689">
        <v>28.3</v>
      </c>
      <c r="K17993" s="689">
        <v>28.2</v>
      </c>
    </row>
    <row r="17994" spans="1:11">
      <c r="A17994" s="688" t="s">
        <v>4058</v>
      </c>
      <c r="B17994" s="692" t="s">
        <v>4060</v>
      </c>
      <c r="C17994" s="692" t="s">
        <v>4060</v>
      </c>
      <c r="D17994" s="692" t="s">
        <v>4060</v>
      </c>
      <c r="E17994" s="692" t="s">
        <v>4060</v>
      </c>
      <c r="F17994" s="692" t="s">
        <v>4060</v>
      </c>
      <c r="G17994" s="692" t="s">
        <v>4060</v>
      </c>
      <c r="H17994" s="692" t="s">
        <v>4060</v>
      </c>
      <c r="I17994" s="692" t="s">
        <v>4060</v>
      </c>
      <c r="J17994" s="692" t="s">
        <v>4060</v>
      </c>
      <c r="K17994" s="692" t="s">
        <v>4060</v>
      </c>
    </row>
    <row r="17995" spans="1:11">
      <c r="A17995" s="688" t="s">
        <v>11</v>
      </c>
      <c r="B17995" s="689">
        <v>24.2</v>
      </c>
      <c r="C17995" s="693">
        <v>24</v>
      </c>
      <c r="D17995" s="689">
        <v>23.6</v>
      </c>
      <c r="E17995" s="689">
        <v>24.1</v>
      </c>
      <c r="F17995" s="689">
        <v>23.9</v>
      </c>
      <c r="G17995" s="689">
        <v>24.2</v>
      </c>
      <c r="H17995" s="689">
        <v>24.4</v>
      </c>
      <c r="I17995" s="689">
        <v>23.7</v>
      </c>
      <c r="J17995" s="693">
        <v>23</v>
      </c>
      <c r="K17995" s="689">
        <v>23.8</v>
      </c>
    </row>
    <row r="17996" spans="1:11">
      <c r="A17996" s="688" t="s">
        <v>10</v>
      </c>
      <c r="B17996" s="691">
        <v>27.9</v>
      </c>
      <c r="C17996" s="691">
        <v>27.7</v>
      </c>
      <c r="D17996" s="691">
        <v>27.2</v>
      </c>
      <c r="E17996" s="691">
        <v>27.8</v>
      </c>
      <c r="F17996" s="691">
        <v>27.5</v>
      </c>
      <c r="G17996" s="691">
        <v>27.8</v>
      </c>
      <c r="H17996" s="615">
        <v>28</v>
      </c>
      <c r="I17996" s="615">
        <v>27</v>
      </c>
      <c r="J17996" s="691">
        <v>27.3</v>
      </c>
      <c r="K17996" s="691">
        <v>27.3</v>
      </c>
    </row>
    <row r="17997" spans="1:11">
      <c r="A17997" s="688" t="s">
        <v>30</v>
      </c>
      <c r="B17997" s="693">
        <v>27</v>
      </c>
      <c r="C17997" s="689">
        <v>26.6</v>
      </c>
      <c r="D17997" s="689">
        <v>26.3</v>
      </c>
      <c r="E17997" s="689">
        <v>27.1</v>
      </c>
      <c r="F17997" s="689">
        <v>26.7</v>
      </c>
      <c r="G17997" s="689">
        <v>27.1</v>
      </c>
      <c r="H17997" s="693">
        <v>27</v>
      </c>
      <c r="I17997" s="693">
        <v>27</v>
      </c>
      <c r="J17997" s="689">
        <v>26.4</v>
      </c>
      <c r="K17997" s="689">
        <v>26.6</v>
      </c>
    </row>
    <row r="17998" spans="1:11">
      <c r="A17998" s="688" t="s">
        <v>12</v>
      </c>
      <c r="B17998" s="691">
        <v>23.5</v>
      </c>
      <c r="C17998" s="691">
        <v>23.6</v>
      </c>
      <c r="D17998" s="691">
        <v>23.5</v>
      </c>
      <c r="E17998" s="691">
        <v>23.7</v>
      </c>
      <c r="F17998" s="691">
        <v>23.7</v>
      </c>
      <c r="G17998" s="691">
        <v>23.7</v>
      </c>
      <c r="H17998" s="691">
        <v>24.2</v>
      </c>
      <c r="I17998" s="691">
        <v>23.9</v>
      </c>
      <c r="J17998" s="691">
        <v>22.3</v>
      </c>
      <c r="K17998" s="691">
        <v>23.6</v>
      </c>
    </row>
    <row r="17999" spans="1:11">
      <c r="A17999" s="688" t="s">
        <v>14</v>
      </c>
      <c r="B17999" s="693">
        <v>24</v>
      </c>
      <c r="C17999" s="693">
        <v>24</v>
      </c>
      <c r="D17999" s="689">
        <v>23.8</v>
      </c>
      <c r="E17999" s="693">
        <v>24</v>
      </c>
      <c r="F17999" s="689">
        <v>24.2</v>
      </c>
      <c r="G17999" s="689">
        <v>24.4</v>
      </c>
      <c r="H17999" s="689">
        <v>24.6</v>
      </c>
      <c r="I17999" s="689">
        <v>23.9</v>
      </c>
      <c r="J17999" s="693">
        <v>23</v>
      </c>
      <c r="K17999" s="693">
        <v>24</v>
      </c>
    </row>
    <row r="18000" spans="1:11">
      <c r="A18000" s="688" t="s">
        <v>15</v>
      </c>
      <c r="B18000" s="691">
        <v>27.1</v>
      </c>
      <c r="C18000" s="691">
        <v>27.2</v>
      </c>
      <c r="D18000" s="691">
        <v>26.6</v>
      </c>
      <c r="E18000" s="691">
        <v>27.4</v>
      </c>
      <c r="F18000" s="691">
        <v>26.6</v>
      </c>
      <c r="G18000" s="691">
        <v>27.1</v>
      </c>
      <c r="H18000" s="691">
        <v>27.4</v>
      </c>
      <c r="I18000" s="691">
        <v>27.1</v>
      </c>
      <c r="J18000" s="691">
        <v>27.3</v>
      </c>
      <c r="K18000" s="691">
        <v>27.4</v>
      </c>
    </row>
    <row r="18001" spans="1:11">
      <c r="A18001" s="688" t="s">
        <v>29</v>
      </c>
      <c r="B18001" s="689">
        <v>23.1</v>
      </c>
      <c r="C18001" s="689">
        <v>23.1</v>
      </c>
      <c r="D18001" s="689">
        <v>22.7</v>
      </c>
      <c r="E18001" s="689">
        <v>23.2</v>
      </c>
      <c r="F18001" s="689">
        <v>22.9</v>
      </c>
      <c r="G18001" s="693">
        <v>23</v>
      </c>
      <c r="H18001" s="689">
        <v>23.1</v>
      </c>
      <c r="I18001" s="689">
        <v>22.4</v>
      </c>
      <c r="J18001" s="689">
        <v>21.6</v>
      </c>
      <c r="K18001" s="689">
        <v>22.7</v>
      </c>
    </row>
    <row r="18002" spans="1:11">
      <c r="A18002" s="688" t="s">
        <v>16</v>
      </c>
      <c r="B18002" s="691">
        <v>26.8</v>
      </c>
      <c r="C18002" s="691">
        <v>26.6</v>
      </c>
      <c r="D18002" s="691">
        <v>26.6</v>
      </c>
      <c r="E18002" s="615">
        <v>27</v>
      </c>
      <c r="F18002" s="615">
        <v>27</v>
      </c>
      <c r="G18002" s="615">
        <v>27</v>
      </c>
      <c r="H18002" s="691">
        <v>27.3</v>
      </c>
      <c r="I18002" s="691">
        <v>26.9</v>
      </c>
      <c r="J18002" s="691">
        <v>26.4</v>
      </c>
      <c r="K18002" s="691">
        <v>26.9</v>
      </c>
    </row>
    <row r="18003" spans="1:11">
      <c r="A18003" s="688" t="s">
        <v>17</v>
      </c>
      <c r="B18003" s="689">
        <v>26.3</v>
      </c>
      <c r="C18003" s="689">
        <v>26.3</v>
      </c>
      <c r="D18003" s="689">
        <v>26.1</v>
      </c>
      <c r="E18003" s="689">
        <v>26.2</v>
      </c>
      <c r="F18003" s="689">
        <v>26.2</v>
      </c>
      <c r="G18003" s="689">
        <v>26.2</v>
      </c>
      <c r="H18003" s="689">
        <v>26.4</v>
      </c>
      <c r="I18003" s="689">
        <v>25.9</v>
      </c>
      <c r="J18003" s="689">
        <v>25.9</v>
      </c>
      <c r="K18003" s="693">
        <v>26</v>
      </c>
    </row>
    <row r="18004" spans="1:11">
      <c r="A18004" s="688" t="s">
        <v>19</v>
      </c>
      <c r="B18004" s="691">
        <v>26.7</v>
      </c>
      <c r="C18004" s="691">
        <v>26.7</v>
      </c>
      <c r="D18004" s="691">
        <v>26.4</v>
      </c>
      <c r="E18004" s="691">
        <v>26.8</v>
      </c>
      <c r="F18004" s="691">
        <v>26.7</v>
      </c>
      <c r="G18004" s="691">
        <v>26.8</v>
      </c>
      <c r="H18004" s="615">
        <v>27</v>
      </c>
      <c r="I18004" s="691">
        <v>26.4</v>
      </c>
      <c r="J18004" s="691">
        <v>26.4</v>
      </c>
      <c r="K18004" s="691">
        <v>26.5</v>
      </c>
    </row>
    <row r="18005" spans="1:11">
      <c r="A18005" s="688" t="s">
        <v>20</v>
      </c>
      <c r="B18005" s="689">
        <v>24.8</v>
      </c>
      <c r="C18005" s="689">
        <v>24.9</v>
      </c>
      <c r="D18005" s="689">
        <v>24.7</v>
      </c>
      <c r="E18005" s="689">
        <v>25.1</v>
      </c>
      <c r="F18005" s="689">
        <v>24.9</v>
      </c>
      <c r="G18005" s="689">
        <v>24.8</v>
      </c>
      <c r="H18005" s="689">
        <v>25.1</v>
      </c>
      <c r="I18005" s="693">
        <v>24</v>
      </c>
      <c r="J18005" s="689">
        <v>23.1</v>
      </c>
      <c r="K18005" s="689">
        <v>24.4</v>
      </c>
    </row>
    <row r="18006" spans="1:11">
      <c r="A18006" s="688" t="s">
        <v>21</v>
      </c>
      <c r="B18006" s="615">
        <v>27</v>
      </c>
      <c r="C18006" s="691">
        <v>27.2</v>
      </c>
      <c r="D18006" s="691">
        <v>27.1</v>
      </c>
      <c r="E18006" s="691">
        <v>27.2</v>
      </c>
      <c r="F18006" s="691">
        <v>27.4</v>
      </c>
      <c r="G18006" s="691">
        <v>27.4</v>
      </c>
      <c r="H18006" s="691">
        <v>27.7</v>
      </c>
      <c r="I18006" s="691">
        <v>27.1</v>
      </c>
      <c r="J18006" s="691">
        <v>27.1</v>
      </c>
      <c r="K18006" s="691">
        <v>27.3</v>
      </c>
    </row>
    <row r="18007" spans="1:11">
      <c r="A18007" s="688" t="s">
        <v>22</v>
      </c>
      <c r="B18007" s="693">
        <v>23</v>
      </c>
      <c r="C18007" s="689">
        <v>22.8</v>
      </c>
      <c r="D18007" s="689">
        <v>22.8</v>
      </c>
      <c r="E18007" s="693">
        <v>23</v>
      </c>
      <c r="F18007" s="693">
        <v>23</v>
      </c>
      <c r="G18007" s="689">
        <v>23.2</v>
      </c>
      <c r="H18007" s="689">
        <v>23.4</v>
      </c>
      <c r="I18007" s="689">
        <v>22.4</v>
      </c>
      <c r="J18007" s="693">
        <v>21</v>
      </c>
      <c r="K18007" s="689">
        <v>22.9</v>
      </c>
    </row>
    <row r="18008" spans="1:11">
      <c r="A18008" s="688" t="s">
        <v>26</v>
      </c>
      <c r="B18008" s="691">
        <v>26.5</v>
      </c>
      <c r="C18008" s="691">
        <v>26.4</v>
      </c>
      <c r="D18008" s="691">
        <v>26.2</v>
      </c>
      <c r="E18008" s="691">
        <v>26.6</v>
      </c>
      <c r="F18008" s="691">
        <v>26.5</v>
      </c>
      <c r="G18008" s="691">
        <v>26.6</v>
      </c>
      <c r="H18008" s="691">
        <v>26.7</v>
      </c>
      <c r="I18008" s="691">
        <v>25.9</v>
      </c>
      <c r="J18008" s="691">
        <v>26.3</v>
      </c>
      <c r="K18008" s="691">
        <v>26.6</v>
      </c>
    </row>
    <row r="18009" spans="1:11">
      <c r="A18009" s="688" t="s">
        <v>25</v>
      </c>
      <c r="B18009" s="689">
        <v>23.8</v>
      </c>
      <c r="C18009" s="689">
        <v>23.9</v>
      </c>
      <c r="D18009" s="689">
        <v>23.7</v>
      </c>
      <c r="E18009" s="689">
        <v>24.1</v>
      </c>
      <c r="F18009" s="693">
        <v>24</v>
      </c>
      <c r="G18009" s="689">
        <v>24.2</v>
      </c>
      <c r="H18009" s="689">
        <v>24.6</v>
      </c>
      <c r="I18009" s="689">
        <v>23.9</v>
      </c>
      <c r="J18009" s="693">
        <v>22</v>
      </c>
      <c r="K18009" s="689">
        <v>23.9</v>
      </c>
    </row>
    <row r="18010" spans="1:11">
      <c r="A18010" s="688" t="s">
        <v>5</v>
      </c>
      <c r="B18010" s="615">
        <v>27</v>
      </c>
      <c r="C18010" s="691">
        <v>26.7</v>
      </c>
      <c r="D18010" s="691">
        <v>26.9</v>
      </c>
      <c r="E18010" s="691">
        <v>26.9</v>
      </c>
      <c r="F18010" s="691">
        <v>27.1</v>
      </c>
      <c r="G18010" s="691">
        <v>27.1</v>
      </c>
      <c r="H18010" s="691">
        <v>27.4</v>
      </c>
      <c r="I18010" s="691">
        <v>27.3</v>
      </c>
      <c r="J18010" s="691">
        <v>27.2</v>
      </c>
      <c r="K18010" s="691">
        <v>26.6</v>
      </c>
    </row>
    <row r="18011" spans="1:11">
      <c r="A18011" s="688" t="s">
        <v>23</v>
      </c>
      <c r="B18011" s="689">
        <v>26.5</v>
      </c>
      <c r="C18011" s="689">
        <v>26.8</v>
      </c>
      <c r="D18011" s="689">
        <v>26.7</v>
      </c>
      <c r="E18011" s="689">
        <v>26.8</v>
      </c>
      <c r="F18011" s="689">
        <v>26.7</v>
      </c>
      <c r="G18011" s="689">
        <v>26.9</v>
      </c>
      <c r="H18011" s="689">
        <v>27.3</v>
      </c>
      <c r="I18011" s="689">
        <v>26.8</v>
      </c>
      <c r="J18011" s="689">
        <v>27.3</v>
      </c>
      <c r="K18011" s="689">
        <v>27.2</v>
      </c>
    </row>
    <row r="18012" spans="1:11">
      <c r="A18012" s="688" t="s">
        <v>4067</v>
      </c>
      <c r="B18012" s="691">
        <v>26.5</v>
      </c>
      <c r="C18012" s="691">
        <v>26.8</v>
      </c>
      <c r="D18012" s="691">
        <v>26.4</v>
      </c>
      <c r="E18012" s="691">
        <v>26.8</v>
      </c>
      <c r="F18012" s="691">
        <v>26.6</v>
      </c>
      <c r="G18012" s="691">
        <v>26.7</v>
      </c>
      <c r="H18012" s="692" t="s">
        <v>4060</v>
      </c>
      <c r="I18012" s="692" t="s">
        <v>4060</v>
      </c>
      <c r="J18012" s="692" t="s">
        <v>4060</v>
      </c>
      <c r="K18012" s="692" t="s">
        <v>4060</v>
      </c>
    </row>
    <row r="18013" spans="1:11">
      <c r="A18013" s="688" t="s">
        <v>4066</v>
      </c>
      <c r="B18013" s="689">
        <v>26.5</v>
      </c>
      <c r="C18013" s="689">
        <v>26.8</v>
      </c>
      <c r="D18013" s="689">
        <v>26.4</v>
      </c>
      <c r="E18013" s="689">
        <v>26.8</v>
      </c>
      <c r="F18013" s="689">
        <v>26.6</v>
      </c>
      <c r="G18013" s="689">
        <v>26.7</v>
      </c>
      <c r="H18013" s="690" t="s">
        <v>4060</v>
      </c>
      <c r="I18013" s="690" t="s">
        <v>4060</v>
      </c>
      <c r="J18013" s="690" t="s">
        <v>4060</v>
      </c>
      <c r="K18013" s="690" t="s">
        <v>4060</v>
      </c>
    </row>
    <row r="18014" spans="1:11">
      <c r="A18014" s="688" t="s">
        <v>4062</v>
      </c>
      <c r="B18014" s="691">
        <v>27.3</v>
      </c>
      <c r="C18014" s="691">
        <v>27.4</v>
      </c>
      <c r="D18014" s="691">
        <v>27.3</v>
      </c>
      <c r="E18014" s="691">
        <v>27.5</v>
      </c>
      <c r="F18014" s="691">
        <v>27.5</v>
      </c>
      <c r="G18014" s="691">
        <v>27.7</v>
      </c>
      <c r="H18014" s="691">
        <v>27.8</v>
      </c>
      <c r="I18014" s="691">
        <v>27.5</v>
      </c>
      <c r="J18014" s="691">
        <v>27.8</v>
      </c>
      <c r="K18014" s="691">
        <v>27.5</v>
      </c>
    </row>
    <row r="18015" spans="1:11">
      <c r="A18015" s="688" t="s">
        <v>9</v>
      </c>
      <c r="B18015" s="689">
        <v>26.4</v>
      </c>
      <c r="C18015" s="689">
        <v>26.9</v>
      </c>
      <c r="D18015" s="689">
        <v>26.3</v>
      </c>
      <c r="E18015" s="689">
        <v>26.3</v>
      </c>
      <c r="F18015" s="689">
        <v>26.6</v>
      </c>
      <c r="G18015" s="689">
        <v>26.8</v>
      </c>
      <c r="H18015" s="689">
        <v>27.1</v>
      </c>
      <c r="I18015" s="689">
        <v>27.1</v>
      </c>
      <c r="J18015" s="689">
        <v>27.1</v>
      </c>
      <c r="K18015" s="689">
        <v>26.3</v>
      </c>
    </row>
    <row r="18016" spans="1:11">
      <c r="A18016" s="688" t="s">
        <v>13</v>
      </c>
      <c r="B18016" s="691">
        <v>27.4</v>
      </c>
      <c r="C18016" s="691">
        <v>26.1</v>
      </c>
      <c r="D18016" s="691">
        <v>26.8</v>
      </c>
      <c r="E18016" s="691">
        <v>27.3</v>
      </c>
      <c r="F18016" s="691">
        <v>27.6</v>
      </c>
      <c r="G18016" s="691">
        <v>27.5</v>
      </c>
      <c r="H18016" s="691">
        <v>27.3</v>
      </c>
      <c r="I18016" s="615">
        <v>27</v>
      </c>
      <c r="J18016" s="615">
        <v>28</v>
      </c>
      <c r="K18016" s="691">
        <v>27.5</v>
      </c>
    </row>
    <row r="18017" spans="1:11">
      <c r="A18017" s="688" t="s">
        <v>18</v>
      </c>
      <c r="B18017" s="689">
        <v>26.6</v>
      </c>
      <c r="C18017" s="689">
        <v>26.8</v>
      </c>
      <c r="D18017" s="689">
        <v>26.8</v>
      </c>
      <c r="E18017" s="689">
        <v>26.9</v>
      </c>
      <c r="F18017" s="689">
        <v>26.9</v>
      </c>
      <c r="G18017" s="689">
        <v>27.1</v>
      </c>
      <c r="H18017" s="689">
        <v>27.2</v>
      </c>
      <c r="I18017" s="689">
        <v>27.4</v>
      </c>
      <c r="J18017" s="689">
        <v>27.2</v>
      </c>
      <c r="K18017" s="689">
        <v>26.9</v>
      </c>
    </row>
    <row r="18018" spans="1:11">
      <c r="A18018" s="688" t="s">
        <v>24</v>
      </c>
      <c r="B18018" s="691">
        <v>27.7</v>
      </c>
      <c r="C18018" s="691">
        <v>27.8</v>
      </c>
      <c r="D18018" s="691">
        <v>27.5</v>
      </c>
      <c r="E18018" s="691">
        <v>27.9</v>
      </c>
      <c r="F18018" s="691">
        <v>27.9</v>
      </c>
      <c r="G18018" s="615">
        <v>28</v>
      </c>
      <c r="H18018" s="691">
        <v>28.1</v>
      </c>
      <c r="I18018" s="691">
        <v>27.6</v>
      </c>
      <c r="J18018" s="691">
        <v>28.1</v>
      </c>
      <c r="K18018" s="691">
        <v>27.9</v>
      </c>
    </row>
    <row r="18019" spans="1:11">
      <c r="A18019" s="688" t="s">
        <v>4059</v>
      </c>
      <c r="B18019" s="689">
        <v>26.1</v>
      </c>
      <c r="C18019" s="689">
        <v>26.4</v>
      </c>
      <c r="D18019" s="693">
        <v>26</v>
      </c>
      <c r="E18019" s="689">
        <v>26.3</v>
      </c>
      <c r="F18019" s="689">
        <v>26.3</v>
      </c>
      <c r="G18019" s="689">
        <v>26.3</v>
      </c>
      <c r="H18019" s="690" t="s">
        <v>4060</v>
      </c>
      <c r="I18019" s="690" t="s">
        <v>4060</v>
      </c>
      <c r="J18019" s="690" t="s">
        <v>4060</v>
      </c>
      <c r="K18019" s="690" t="s">
        <v>4060</v>
      </c>
    </row>
    <row r="18020" spans="1:11">
      <c r="A18020" s="688" t="s">
        <v>2324</v>
      </c>
      <c r="B18020" s="691">
        <v>22.5</v>
      </c>
      <c r="C18020" s="691">
        <v>22.6</v>
      </c>
      <c r="D18020" s="691">
        <v>22.1</v>
      </c>
      <c r="E18020" s="691">
        <v>22.3</v>
      </c>
      <c r="F18020" s="691">
        <v>22.5</v>
      </c>
      <c r="G18020" s="691">
        <v>22.7</v>
      </c>
      <c r="H18020" s="691">
        <v>22.9</v>
      </c>
      <c r="I18020" s="691">
        <v>22.2</v>
      </c>
      <c r="J18020" s="691">
        <v>20.399999999999999</v>
      </c>
      <c r="K18020" s="692" t="s">
        <v>4060</v>
      </c>
    </row>
    <row r="18021" spans="1:11">
      <c r="A18021" s="688" t="s">
        <v>2322</v>
      </c>
      <c r="B18021" s="690" t="s">
        <v>4060</v>
      </c>
      <c r="C18021" s="690" t="s">
        <v>4060</v>
      </c>
      <c r="D18021" s="690" t="s">
        <v>4060</v>
      </c>
      <c r="E18021" s="690" t="s">
        <v>4060</v>
      </c>
      <c r="F18021" s="690" t="s">
        <v>4060</v>
      </c>
      <c r="G18021" s="690" t="s">
        <v>4060</v>
      </c>
      <c r="H18021" s="690" t="s">
        <v>4060</v>
      </c>
      <c r="I18021" s="690" t="s">
        <v>4060</v>
      </c>
      <c r="J18021" s="690" t="s">
        <v>4060</v>
      </c>
      <c r="K18021" s="690" t="s">
        <v>4060</v>
      </c>
    </row>
    <row r="18022" spans="1:11">
      <c r="A18022" s="688" t="s">
        <v>2328</v>
      </c>
      <c r="B18022" s="691">
        <v>21.4</v>
      </c>
      <c r="C18022" s="691">
        <v>21.3</v>
      </c>
      <c r="D18022" s="691">
        <v>21.1</v>
      </c>
      <c r="E18022" s="691">
        <v>21.5</v>
      </c>
      <c r="F18022" s="691">
        <v>21.6</v>
      </c>
      <c r="G18022" s="615">
        <v>22</v>
      </c>
      <c r="H18022" s="691">
        <v>21.9</v>
      </c>
      <c r="I18022" s="691">
        <v>20.5</v>
      </c>
      <c r="J18022" s="691">
        <v>19.5</v>
      </c>
      <c r="K18022" s="692" t="s">
        <v>4060</v>
      </c>
    </row>
    <row r="18023" spans="1:11">
      <c r="A18023" s="688" t="s">
        <v>2496</v>
      </c>
      <c r="B18023" s="690" t="s">
        <v>4060</v>
      </c>
      <c r="C18023" s="689">
        <v>22.5</v>
      </c>
      <c r="D18023" s="689">
        <v>21.8</v>
      </c>
      <c r="E18023" s="689">
        <v>21.5</v>
      </c>
      <c r="F18023" s="693">
        <v>22</v>
      </c>
      <c r="G18023" s="689">
        <v>22.3</v>
      </c>
      <c r="H18023" s="689">
        <v>22.3</v>
      </c>
      <c r="I18023" s="690" t="s">
        <v>4060</v>
      </c>
      <c r="J18023" s="690" t="s">
        <v>4060</v>
      </c>
      <c r="K18023" s="693">
        <v>22</v>
      </c>
    </row>
    <row r="18024" spans="1:11">
      <c r="A18024" s="688" t="s">
        <v>2269</v>
      </c>
      <c r="B18024" s="691">
        <v>23.7</v>
      </c>
      <c r="C18024" s="691">
        <v>23.9</v>
      </c>
      <c r="D18024" s="691">
        <v>23.2</v>
      </c>
      <c r="E18024" s="691">
        <v>23.6</v>
      </c>
      <c r="F18024" s="691">
        <v>23.4</v>
      </c>
      <c r="G18024" s="691">
        <v>23.9</v>
      </c>
      <c r="H18024" s="691">
        <v>24.1</v>
      </c>
      <c r="I18024" s="615">
        <v>23</v>
      </c>
      <c r="J18024" s="691">
        <v>21.1</v>
      </c>
      <c r="K18024" s="691">
        <v>23.8</v>
      </c>
    </row>
    <row r="18025" spans="1:11">
      <c r="A18025" s="688" t="s">
        <v>2349</v>
      </c>
      <c r="B18025" s="689">
        <v>21.8</v>
      </c>
      <c r="C18025" s="689">
        <v>21.8</v>
      </c>
      <c r="D18025" s="689">
        <v>21.7</v>
      </c>
      <c r="E18025" s="693">
        <v>22</v>
      </c>
      <c r="F18025" s="689">
        <v>21.8</v>
      </c>
      <c r="G18025" s="689">
        <v>22.1</v>
      </c>
      <c r="H18025" s="689">
        <v>22.2</v>
      </c>
      <c r="I18025" s="689">
        <v>21.2</v>
      </c>
      <c r="J18025" s="689">
        <v>19.7</v>
      </c>
      <c r="K18025" s="689">
        <v>21.5</v>
      </c>
    </row>
    <row r="18026" spans="1:11">
      <c r="A18026" s="688" t="s">
        <v>2355</v>
      </c>
      <c r="B18026" s="615">
        <v>25</v>
      </c>
      <c r="C18026" s="691">
        <v>24.8</v>
      </c>
      <c r="D18026" s="691">
        <v>24.7</v>
      </c>
      <c r="E18026" s="691">
        <v>24.7</v>
      </c>
      <c r="F18026" s="691">
        <v>24.8</v>
      </c>
      <c r="G18026" s="691">
        <v>25.2</v>
      </c>
      <c r="H18026" s="691">
        <v>25.2</v>
      </c>
      <c r="I18026" s="692" t="s">
        <v>4060</v>
      </c>
      <c r="J18026" s="692" t="s">
        <v>4060</v>
      </c>
      <c r="K18026" s="692" t="s">
        <v>4060</v>
      </c>
    </row>
    <row r="18027" spans="1:11">
      <c r="A18027" s="688" t="s">
        <v>2357</v>
      </c>
      <c r="B18027" s="690" t="s">
        <v>4060</v>
      </c>
      <c r="C18027" s="689">
        <v>21.8</v>
      </c>
      <c r="D18027" s="689">
        <v>22.2</v>
      </c>
      <c r="E18027" s="689">
        <v>22.4</v>
      </c>
      <c r="F18027" s="689">
        <v>22.7</v>
      </c>
      <c r="G18027" s="689">
        <v>22.7</v>
      </c>
      <c r="H18027" s="689">
        <v>22.8</v>
      </c>
      <c r="I18027" s="690" t="s">
        <v>4060</v>
      </c>
      <c r="J18027" s="690" t="s">
        <v>4060</v>
      </c>
      <c r="K18027" s="690" t="s">
        <v>4060</v>
      </c>
    </row>
    <row r="18028" spans="1:11">
      <c r="A18028" s="688" t="s">
        <v>4070</v>
      </c>
      <c r="B18028" s="692" t="s">
        <v>4060</v>
      </c>
      <c r="C18028" s="692" t="s">
        <v>4060</v>
      </c>
      <c r="D18028" s="692" t="s">
        <v>4060</v>
      </c>
      <c r="E18028" s="691">
        <v>24.8</v>
      </c>
      <c r="F18028" s="692" t="s">
        <v>4060</v>
      </c>
      <c r="G18028" s="692" t="s">
        <v>4060</v>
      </c>
      <c r="H18028" s="692" t="s">
        <v>4060</v>
      </c>
      <c r="I18028" s="692" t="s">
        <v>4060</v>
      </c>
      <c r="J18028" s="692" t="s">
        <v>4060</v>
      </c>
      <c r="K18028" s="692" t="s">
        <v>4060</v>
      </c>
    </row>
    <row r="18029" spans="1:11">
      <c r="A18029" s="688" t="s">
        <v>2491</v>
      </c>
      <c r="B18029" s="689">
        <v>22.4</v>
      </c>
      <c r="C18029" s="689">
        <v>22.8</v>
      </c>
      <c r="D18029" s="693">
        <v>23</v>
      </c>
      <c r="E18029" s="689">
        <v>23.1</v>
      </c>
      <c r="F18029" s="689">
        <v>23.2</v>
      </c>
      <c r="G18029" s="689">
        <v>23.3</v>
      </c>
      <c r="H18029" s="690" t="s">
        <v>4060</v>
      </c>
      <c r="I18029" s="690" t="s">
        <v>4060</v>
      </c>
      <c r="J18029" s="690" t="s">
        <v>4060</v>
      </c>
      <c r="K18029" s="690" t="s">
        <v>4060</v>
      </c>
    </row>
    <row r="18030" spans="1:11">
      <c r="A18030" s="688" t="s">
        <v>2343</v>
      </c>
      <c r="B18030" s="692" t="s">
        <v>4060</v>
      </c>
      <c r="C18030" s="692" t="s">
        <v>4060</v>
      </c>
      <c r="D18030" s="692" t="s">
        <v>4060</v>
      </c>
      <c r="E18030" s="692" t="s">
        <v>4060</v>
      </c>
      <c r="F18030" s="692" t="s">
        <v>4060</v>
      </c>
      <c r="G18030" s="692" t="s">
        <v>4060</v>
      </c>
      <c r="H18030" s="692" t="s">
        <v>4060</v>
      </c>
      <c r="I18030" s="692" t="s">
        <v>4060</v>
      </c>
      <c r="J18030" s="692" t="s">
        <v>4060</v>
      </c>
      <c r="K18030" s="692" t="s">
        <v>4060</v>
      </c>
    </row>
    <row r="18031" spans="1:11">
      <c r="A18031" s="688" t="s">
        <v>4071</v>
      </c>
      <c r="B18031" s="690" t="s">
        <v>4060</v>
      </c>
      <c r="C18031" s="690" t="s">
        <v>4060</v>
      </c>
      <c r="D18031" s="690" t="s">
        <v>4060</v>
      </c>
      <c r="E18031" s="690" t="s">
        <v>4060</v>
      </c>
      <c r="F18031" s="690" t="s">
        <v>4060</v>
      </c>
      <c r="G18031" s="690" t="s">
        <v>4060</v>
      </c>
      <c r="H18031" s="690" t="s">
        <v>4060</v>
      </c>
      <c r="I18031" s="690" t="s">
        <v>4060</v>
      </c>
      <c r="J18031" s="690" t="s">
        <v>4060</v>
      </c>
      <c r="K18031" s="690" t="s">
        <v>4060</v>
      </c>
    </row>
    <row r="18032" spans="1:11">
      <c r="A18032" s="688" t="s">
        <v>2489</v>
      </c>
      <c r="B18032" s="692" t="s">
        <v>4060</v>
      </c>
      <c r="C18032" s="692" t="s">
        <v>4060</v>
      </c>
      <c r="D18032" s="691">
        <v>22.2</v>
      </c>
      <c r="E18032" s="691">
        <v>22.2</v>
      </c>
      <c r="F18032" s="691">
        <v>22.5</v>
      </c>
      <c r="G18032" s="691">
        <v>23.1</v>
      </c>
      <c r="H18032" s="691">
        <v>23.1</v>
      </c>
      <c r="I18032" s="692" t="s">
        <v>4060</v>
      </c>
      <c r="J18032" s="692" t="s">
        <v>4060</v>
      </c>
      <c r="K18032" s="692" t="s">
        <v>4060</v>
      </c>
    </row>
    <row r="18033" spans="1:11">
      <c r="A18033" s="688" t="s">
        <v>2490</v>
      </c>
      <c r="B18033" s="689">
        <v>21.4</v>
      </c>
      <c r="C18033" s="689">
        <v>21.4</v>
      </c>
      <c r="D18033" s="689">
        <v>21.9</v>
      </c>
      <c r="E18033" s="690" t="s">
        <v>4060</v>
      </c>
      <c r="F18033" s="693">
        <v>22</v>
      </c>
      <c r="G18033" s="689">
        <v>22.4</v>
      </c>
      <c r="H18033" s="689">
        <v>23.1</v>
      </c>
      <c r="I18033" s="690" t="s">
        <v>4060</v>
      </c>
      <c r="J18033" s="690" t="s">
        <v>4060</v>
      </c>
      <c r="K18033" s="690" t="s">
        <v>4060</v>
      </c>
    </row>
    <row r="18035" spans="1:11">
      <c r="A18035" s="683" t="s">
        <v>4233</v>
      </c>
    </row>
    <row r="18036" spans="1:11">
      <c r="A18036" s="683" t="s">
        <v>4060</v>
      </c>
      <c r="B18036" s="682" t="s">
        <v>4234</v>
      </c>
    </row>
    <row r="18038" spans="1:11">
      <c r="A18038" s="682" t="s">
        <v>4332</v>
      </c>
    </row>
    <row r="18039" spans="1:11">
      <c r="A18039" s="682" t="s">
        <v>4210</v>
      </c>
      <c r="B18039" s="683" t="s">
        <v>4211</v>
      </c>
    </row>
    <row r="18040" spans="1:11">
      <c r="A18040" s="682" t="s">
        <v>4212</v>
      </c>
      <c r="B18040" s="682" t="s">
        <v>4213</v>
      </c>
    </row>
    <row r="18042" spans="1:11">
      <c r="A18042" s="683" t="s">
        <v>4214</v>
      </c>
      <c r="C18042" s="682" t="s">
        <v>4215</v>
      </c>
    </row>
    <row r="18043" spans="1:11">
      <c r="A18043" s="683" t="s">
        <v>4216</v>
      </c>
      <c r="C18043" s="682" t="s">
        <v>2967</v>
      </c>
    </row>
    <row r="18044" spans="1:11">
      <c r="A18044" s="683" t="s">
        <v>3893</v>
      </c>
      <c r="C18044" s="682" t="s">
        <v>2169</v>
      </c>
    </row>
    <row r="18045" spans="1:11">
      <c r="A18045" s="683" t="s">
        <v>4218</v>
      </c>
      <c r="C18045" s="682" t="s">
        <v>4295</v>
      </c>
    </row>
    <row r="18047" spans="1:11">
      <c r="A18047" s="684" t="s">
        <v>4220</v>
      </c>
      <c r="B18047" s="685" t="s">
        <v>4221</v>
      </c>
      <c r="C18047" s="685" t="s">
        <v>4222</v>
      </c>
      <c r="D18047" s="685" t="s">
        <v>4223</v>
      </c>
      <c r="E18047" s="685" t="s">
        <v>4224</v>
      </c>
      <c r="F18047" s="685" t="s">
        <v>4225</v>
      </c>
      <c r="G18047" s="685" t="s">
        <v>4226</v>
      </c>
      <c r="H18047" s="685" t="s">
        <v>4227</v>
      </c>
      <c r="I18047" s="685" t="s">
        <v>4228</v>
      </c>
      <c r="J18047" s="685" t="s">
        <v>4229</v>
      </c>
      <c r="K18047" s="685" t="s">
        <v>4230</v>
      </c>
    </row>
    <row r="18048" spans="1:11">
      <c r="A18048" s="686" t="s">
        <v>4231</v>
      </c>
      <c r="B18048" s="687" t="s">
        <v>4232</v>
      </c>
      <c r="C18048" s="687" t="s">
        <v>4232</v>
      </c>
      <c r="D18048" s="687" t="s">
        <v>4232</v>
      </c>
      <c r="E18048" s="687" t="s">
        <v>4232</v>
      </c>
      <c r="F18048" s="687" t="s">
        <v>4232</v>
      </c>
      <c r="G18048" s="687" t="s">
        <v>4232</v>
      </c>
      <c r="H18048" s="687" t="s">
        <v>4232</v>
      </c>
      <c r="I18048" s="687" t="s">
        <v>4232</v>
      </c>
      <c r="J18048" s="687" t="s">
        <v>4232</v>
      </c>
      <c r="K18048" s="687" t="s">
        <v>4232</v>
      </c>
    </row>
    <row r="18049" spans="1:11">
      <c r="A18049" s="688" t="s">
        <v>4064</v>
      </c>
      <c r="B18049" s="689">
        <v>25.6</v>
      </c>
      <c r="C18049" s="689">
        <v>25.6</v>
      </c>
      <c r="D18049" s="689">
        <v>25.5</v>
      </c>
      <c r="E18049" s="689">
        <v>25.6</v>
      </c>
      <c r="F18049" s="689">
        <v>25.6</v>
      </c>
      <c r="G18049" s="689">
        <v>25.7</v>
      </c>
      <c r="H18049" s="689">
        <v>25.9</v>
      </c>
      <c r="I18049" s="689">
        <v>25.2</v>
      </c>
      <c r="J18049" s="693">
        <v>25</v>
      </c>
      <c r="K18049" s="689">
        <v>25.3</v>
      </c>
    </row>
    <row r="18050" spans="1:11">
      <c r="A18050" s="688" t="s">
        <v>4065</v>
      </c>
      <c r="B18050" s="691">
        <v>25.6</v>
      </c>
      <c r="C18050" s="691">
        <v>25.9</v>
      </c>
      <c r="D18050" s="691">
        <v>25.5</v>
      </c>
      <c r="E18050" s="691">
        <v>25.9</v>
      </c>
      <c r="F18050" s="691">
        <v>25.7</v>
      </c>
      <c r="G18050" s="691">
        <v>25.8</v>
      </c>
      <c r="H18050" s="692" t="s">
        <v>4060</v>
      </c>
      <c r="I18050" s="692" t="s">
        <v>4060</v>
      </c>
      <c r="J18050" s="692" t="s">
        <v>4060</v>
      </c>
      <c r="K18050" s="692" t="s">
        <v>4060</v>
      </c>
    </row>
    <row r="18051" spans="1:11">
      <c r="A18051" s="688" t="s">
        <v>4063</v>
      </c>
      <c r="B18051" s="689">
        <v>25.6</v>
      </c>
      <c r="C18051" s="689">
        <v>25.9</v>
      </c>
      <c r="D18051" s="689">
        <v>25.5</v>
      </c>
      <c r="E18051" s="689">
        <v>25.9</v>
      </c>
      <c r="F18051" s="689">
        <v>25.8</v>
      </c>
      <c r="G18051" s="689">
        <v>25.8</v>
      </c>
      <c r="H18051" s="690" t="s">
        <v>4060</v>
      </c>
      <c r="I18051" s="690" t="s">
        <v>4060</v>
      </c>
      <c r="J18051" s="690" t="s">
        <v>4060</v>
      </c>
      <c r="K18051" s="690" t="s">
        <v>4060</v>
      </c>
    </row>
    <row r="18052" spans="1:11">
      <c r="A18052" s="688" t="s">
        <v>4069</v>
      </c>
      <c r="B18052" s="692" t="s">
        <v>4060</v>
      </c>
      <c r="C18052" s="691">
        <v>26.3</v>
      </c>
      <c r="D18052" s="615">
        <v>26</v>
      </c>
      <c r="E18052" s="691">
        <v>26.3</v>
      </c>
      <c r="F18052" s="691">
        <v>26.2</v>
      </c>
      <c r="G18052" s="691">
        <v>26.3</v>
      </c>
      <c r="H18052" s="691">
        <v>26.5</v>
      </c>
      <c r="I18052" s="691">
        <v>25.9</v>
      </c>
      <c r="J18052" s="615">
        <v>26</v>
      </c>
      <c r="K18052" s="615">
        <v>26</v>
      </c>
    </row>
    <row r="18053" spans="1:11">
      <c r="A18053" s="688" t="s">
        <v>4068</v>
      </c>
      <c r="B18053" s="689">
        <v>26.4</v>
      </c>
      <c r="C18053" s="690" t="s">
        <v>4060</v>
      </c>
      <c r="D18053" s="690" t="s">
        <v>4060</v>
      </c>
      <c r="E18053" s="690" t="s">
        <v>4060</v>
      </c>
      <c r="F18053" s="690" t="s">
        <v>4060</v>
      </c>
      <c r="G18053" s="690" t="s">
        <v>4060</v>
      </c>
      <c r="H18053" s="690" t="s">
        <v>4060</v>
      </c>
      <c r="I18053" s="690" t="s">
        <v>4060</v>
      </c>
      <c r="J18053" s="690" t="s">
        <v>4060</v>
      </c>
      <c r="K18053" s="690" t="s">
        <v>4060</v>
      </c>
    </row>
    <row r="18054" spans="1:11">
      <c r="A18054" s="688" t="s">
        <v>0</v>
      </c>
      <c r="B18054" s="691">
        <v>25.7</v>
      </c>
      <c r="C18054" s="691">
        <v>25.8</v>
      </c>
      <c r="D18054" s="691">
        <v>25.5</v>
      </c>
      <c r="E18054" s="691">
        <v>25.9</v>
      </c>
      <c r="F18054" s="691">
        <v>25.8</v>
      </c>
      <c r="G18054" s="691">
        <v>25.9</v>
      </c>
      <c r="H18054" s="691">
        <v>26.1</v>
      </c>
      <c r="I18054" s="691">
        <v>25.1</v>
      </c>
      <c r="J18054" s="691">
        <v>26.1</v>
      </c>
      <c r="K18054" s="691">
        <v>25.8</v>
      </c>
    </row>
    <row r="18055" spans="1:11">
      <c r="A18055" s="688" t="s">
        <v>1</v>
      </c>
      <c r="B18055" s="693">
        <v>22</v>
      </c>
      <c r="C18055" s="689">
        <v>21.6</v>
      </c>
      <c r="D18055" s="689">
        <v>21.6</v>
      </c>
      <c r="E18055" s="689">
        <v>21.9</v>
      </c>
      <c r="F18055" s="689">
        <v>21.7</v>
      </c>
      <c r="G18055" s="689">
        <v>21.9</v>
      </c>
      <c r="H18055" s="693">
        <v>22</v>
      </c>
      <c r="I18055" s="689">
        <v>20.9</v>
      </c>
      <c r="J18055" s="689">
        <v>19.3</v>
      </c>
      <c r="K18055" s="689">
        <v>21.4</v>
      </c>
    </row>
    <row r="18056" spans="1:11">
      <c r="A18056" s="688" t="s">
        <v>2240</v>
      </c>
      <c r="B18056" s="691">
        <v>23.5</v>
      </c>
      <c r="C18056" s="691">
        <v>23.8</v>
      </c>
      <c r="D18056" s="691">
        <v>23.5</v>
      </c>
      <c r="E18056" s="615">
        <v>24</v>
      </c>
      <c r="F18056" s="691">
        <v>23.9</v>
      </c>
      <c r="G18056" s="691">
        <v>23.9</v>
      </c>
      <c r="H18056" s="691">
        <v>24.2</v>
      </c>
      <c r="I18056" s="691">
        <v>23.4</v>
      </c>
      <c r="J18056" s="691">
        <v>22.8</v>
      </c>
      <c r="K18056" s="615">
        <v>24</v>
      </c>
    </row>
    <row r="18057" spans="1:11">
      <c r="A18057" s="688" t="s">
        <v>2</v>
      </c>
      <c r="B18057" s="689">
        <v>24.6</v>
      </c>
      <c r="C18057" s="689">
        <v>24.8</v>
      </c>
      <c r="D18057" s="689">
        <v>24.8</v>
      </c>
      <c r="E18057" s="689">
        <v>24.9</v>
      </c>
      <c r="F18057" s="689">
        <v>25.1</v>
      </c>
      <c r="G18057" s="689">
        <v>24.9</v>
      </c>
      <c r="H18057" s="689">
        <v>25.2</v>
      </c>
      <c r="I18057" s="689">
        <v>25.3</v>
      </c>
      <c r="J18057" s="689">
        <v>25.2</v>
      </c>
      <c r="K18057" s="693">
        <v>25</v>
      </c>
    </row>
    <row r="18058" spans="1:11">
      <c r="A18058" s="688" t="s">
        <v>3</v>
      </c>
      <c r="B18058" s="691">
        <v>25.2</v>
      </c>
      <c r="C18058" s="691">
        <v>25.4</v>
      </c>
      <c r="D18058" s="691">
        <v>25.1</v>
      </c>
      <c r="E18058" s="691">
        <v>25.4</v>
      </c>
      <c r="F18058" s="691">
        <v>25.4</v>
      </c>
      <c r="G18058" s="691">
        <v>25.3</v>
      </c>
      <c r="H18058" s="691">
        <v>25.6</v>
      </c>
      <c r="I18058" s="691">
        <v>25.4</v>
      </c>
      <c r="J18058" s="691">
        <v>25.2</v>
      </c>
      <c r="K18058" s="691">
        <v>24.9</v>
      </c>
    </row>
    <row r="18059" spans="1:11">
      <c r="A18059" s="688" t="s">
        <v>4061</v>
      </c>
      <c r="B18059" s="689">
        <v>25.2</v>
      </c>
      <c r="C18059" s="689">
        <v>25.4</v>
      </c>
      <c r="D18059" s="689">
        <v>25.1</v>
      </c>
      <c r="E18059" s="689">
        <v>25.4</v>
      </c>
      <c r="F18059" s="689">
        <v>25.4</v>
      </c>
      <c r="G18059" s="689">
        <v>25.3</v>
      </c>
      <c r="H18059" s="689">
        <v>25.6</v>
      </c>
      <c r="I18059" s="689">
        <v>25.4</v>
      </c>
      <c r="J18059" s="689">
        <v>25.2</v>
      </c>
      <c r="K18059" s="689">
        <v>24.9</v>
      </c>
    </row>
    <row r="18060" spans="1:11">
      <c r="A18060" s="688" t="s">
        <v>4</v>
      </c>
      <c r="B18060" s="691">
        <v>24.5</v>
      </c>
      <c r="C18060" s="691">
        <v>24.2</v>
      </c>
      <c r="D18060" s="691">
        <v>24.4</v>
      </c>
      <c r="E18060" s="691">
        <v>24.7</v>
      </c>
      <c r="F18060" s="691">
        <v>24.6</v>
      </c>
      <c r="G18060" s="691">
        <v>24.7</v>
      </c>
      <c r="H18060" s="691">
        <v>25.1</v>
      </c>
      <c r="I18060" s="691">
        <v>25.1</v>
      </c>
      <c r="J18060" s="691">
        <v>23.8</v>
      </c>
      <c r="K18060" s="691">
        <v>24.6</v>
      </c>
    </row>
    <row r="18061" spans="1:11">
      <c r="A18061" s="688" t="s">
        <v>8</v>
      </c>
      <c r="B18061" s="689">
        <v>25.2</v>
      </c>
      <c r="C18061" s="689">
        <v>25.3</v>
      </c>
      <c r="D18061" s="689">
        <v>25.3</v>
      </c>
      <c r="E18061" s="689">
        <v>25.3</v>
      </c>
      <c r="F18061" s="689">
        <v>25.6</v>
      </c>
      <c r="G18061" s="689">
        <v>25.8</v>
      </c>
      <c r="H18061" s="689">
        <v>26.1</v>
      </c>
      <c r="I18061" s="689">
        <v>25.9</v>
      </c>
      <c r="J18061" s="689">
        <v>25.9</v>
      </c>
      <c r="K18061" s="689">
        <v>25.8</v>
      </c>
    </row>
    <row r="18062" spans="1:11">
      <c r="A18062" s="688" t="s">
        <v>7</v>
      </c>
      <c r="B18062" s="615">
        <v>26</v>
      </c>
      <c r="C18062" s="691">
        <v>25.7</v>
      </c>
      <c r="D18062" s="691">
        <v>25.5</v>
      </c>
      <c r="E18062" s="691">
        <v>25.8</v>
      </c>
      <c r="F18062" s="691">
        <v>25.7</v>
      </c>
      <c r="G18062" s="691">
        <v>26.1</v>
      </c>
      <c r="H18062" s="615">
        <v>26</v>
      </c>
      <c r="I18062" s="691">
        <v>25.7</v>
      </c>
      <c r="J18062" s="691">
        <v>24.9</v>
      </c>
      <c r="K18062" s="691">
        <v>25.3</v>
      </c>
    </row>
    <row r="18063" spans="1:11">
      <c r="A18063" s="688" t="s">
        <v>27</v>
      </c>
      <c r="B18063" s="689">
        <v>27.9</v>
      </c>
      <c r="C18063" s="689">
        <v>27.4</v>
      </c>
      <c r="D18063" s="689">
        <v>27.1</v>
      </c>
      <c r="E18063" s="689">
        <v>27.5</v>
      </c>
      <c r="F18063" s="689">
        <v>27.4</v>
      </c>
      <c r="G18063" s="689">
        <v>27.5</v>
      </c>
      <c r="H18063" s="689">
        <v>27.8</v>
      </c>
      <c r="I18063" s="689">
        <v>26.7</v>
      </c>
      <c r="J18063" s="689">
        <v>27.5</v>
      </c>
      <c r="K18063" s="689">
        <v>27.4</v>
      </c>
    </row>
    <row r="18064" spans="1:11">
      <c r="A18064" s="688" t="s">
        <v>6</v>
      </c>
      <c r="B18064" s="615">
        <v>28</v>
      </c>
      <c r="C18064" s="691">
        <v>27.7</v>
      </c>
      <c r="D18064" s="691">
        <v>27.4</v>
      </c>
      <c r="E18064" s="691">
        <v>27.6</v>
      </c>
      <c r="F18064" s="691">
        <v>27.6</v>
      </c>
      <c r="G18064" s="691">
        <v>27.7</v>
      </c>
      <c r="H18064" s="691">
        <v>27.8</v>
      </c>
      <c r="I18064" s="691">
        <v>27.3</v>
      </c>
      <c r="J18064" s="691">
        <v>27.4</v>
      </c>
      <c r="K18064" s="691">
        <v>27.3</v>
      </c>
    </row>
    <row r="18065" spans="1:11">
      <c r="A18065" s="688" t="s">
        <v>4058</v>
      </c>
      <c r="B18065" s="690" t="s">
        <v>4060</v>
      </c>
      <c r="C18065" s="690" t="s">
        <v>4060</v>
      </c>
      <c r="D18065" s="690" t="s">
        <v>4060</v>
      </c>
      <c r="E18065" s="690" t="s">
        <v>4060</v>
      </c>
      <c r="F18065" s="690" t="s">
        <v>4060</v>
      </c>
      <c r="G18065" s="690" t="s">
        <v>4060</v>
      </c>
      <c r="H18065" s="690" t="s">
        <v>4060</v>
      </c>
      <c r="I18065" s="690" t="s">
        <v>4060</v>
      </c>
      <c r="J18065" s="690" t="s">
        <v>4060</v>
      </c>
      <c r="K18065" s="690" t="s">
        <v>4060</v>
      </c>
    </row>
    <row r="18066" spans="1:11">
      <c r="A18066" s="688" t="s">
        <v>11</v>
      </c>
      <c r="B18066" s="691">
        <v>23.3</v>
      </c>
      <c r="C18066" s="691">
        <v>23.2</v>
      </c>
      <c r="D18066" s="691">
        <v>22.8</v>
      </c>
      <c r="E18066" s="691">
        <v>23.2</v>
      </c>
      <c r="F18066" s="615">
        <v>23</v>
      </c>
      <c r="G18066" s="691">
        <v>23.4</v>
      </c>
      <c r="H18066" s="691">
        <v>23.5</v>
      </c>
      <c r="I18066" s="691">
        <v>22.9</v>
      </c>
      <c r="J18066" s="691">
        <v>22.2</v>
      </c>
      <c r="K18066" s="691">
        <v>22.9</v>
      </c>
    </row>
    <row r="18067" spans="1:11">
      <c r="A18067" s="688" t="s">
        <v>10</v>
      </c>
      <c r="B18067" s="693">
        <v>27</v>
      </c>
      <c r="C18067" s="689">
        <v>26.8</v>
      </c>
      <c r="D18067" s="689">
        <v>26.3</v>
      </c>
      <c r="E18067" s="689">
        <v>26.9</v>
      </c>
      <c r="F18067" s="689">
        <v>26.6</v>
      </c>
      <c r="G18067" s="689">
        <v>26.9</v>
      </c>
      <c r="H18067" s="689">
        <v>27.1</v>
      </c>
      <c r="I18067" s="689">
        <v>26.1</v>
      </c>
      <c r="J18067" s="689">
        <v>26.4</v>
      </c>
      <c r="K18067" s="689">
        <v>26.4</v>
      </c>
    </row>
    <row r="18068" spans="1:11">
      <c r="A18068" s="688" t="s">
        <v>30</v>
      </c>
      <c r="B18068" s="691">
        <v>26.1</v>
      </c>
      <c r="C18068" s="691">
        <v>25.7</v>
      </c>
      <c r="D18068" s="691">
        <v>25.3</v>
      </c>
      <c r="E18068" s="691">
        <v>26.2</v>
      </c>
      <c r="F18068" s="691">
        <v>25.8</v>
      </c>
      <c r="G18068" s="691">
        <v>26.2</v>
      </c>
      <c r="H18068" s="615">
        <v>26</v>
      </c>
      <c r="I18068" s="691">
        <v>26.1</v>
      </c>
      <c r="J18068" s="691">
        <v>25.5</v>
      </c>
      <c r="K18068" s="691">
        <v>25.6</v>
      </c>
    </row>
    <row r="18069" spans="1:11">
      <c r="A18069" s="688" t="s">
        <v>12</v>
      </c>
      <c r="B18069" s="689">
        <v>22.6</v>
      </c>
      <c r="C18069" s="689">
        <v>22.8</v>
      </c>
      <c r="D18069" s="689">
        <v>22.7</v>
      </c>
      <c r="E18069" s="689">
        <v>22.9</v>
      </c>
      <c r="F18069" s="689">
        <v>22.9</v>
      </c>
      <c r="G18069" s="689">
        <v>22.9</v>
      </c>
      <c r="H18069" s="689">
        <v>23.4</v>
      </c>
      <c r="I18069" s="693">
        <v>23</v>
      </c>
      <c r="J18069" s="689">
        <v>21.5</v>
      </c>
      <c r="K18069" s="689">
        <v>22.7</v>
      </c>
    </row>
    <row r="18070" spans="1:11">
      <c r="A18070" s="688" t="s">
        <v>14</v>
      </c>
      <c r="B18070" s="691">
        <v>23.2</v>
      </c>
      <c r="C18070" s="691">
        <v>23.2</v>
      </c>
      <c r="D18070" s="615">
        <v>23</v>
      </c>
      <c r="E18070" s="691">
        <v>23.1</v>
      </c>
      <c r="F18070" s="691">
        <v>23.3</v>
      </c>
      <c r="G18070" s="691">
        <v>23.5</v>
      </c>
      <c r="H18070" s="691">
        <v>23.8</v>
      </c>
      <c r="I18070" s="615">
        <v>23</v>
      </c>
      <c r="J18070" s="691">
        <v>22.1</v>
      </c>
      <c r="K18070" s="691">
        <v>23.2</v>
      </c>
    </row>
    <row r="18071" spans="1:11">
      <c r="A18071" s="688" t="s">
        <v>15</v>
      </c>
      <c r="B18071" s="689">
        <v>26.2</v>
      </c>
      <c r="C18071" s="689">
        <v>26.3</v>
      </c>
      <c r="D18071" s="689">
        <v>25.7</v>
      </c>
      <c r="E18071" s="689">
        <v>26.5</v>
      </c>
      <c r="F18071" s="689">
        <v>25.7</v>
      </c>
      <c r="G18071" s="689">
        <v>26.2</v>
      </c>
      <c r="H18071" s="689">
        <v>26.5</v>
      </c>
      <c r="I18071" s="689">
        <v>26.2</v>
      </c>
      <c r="J18071" s="689">
        <v>26.4</v>
      </c>
      <c r="K18071" s="689">
        <v>26.5</v>
      </c>
    </row>
    <row r="18072" spans="1:11">
      <c r="A18072" s="688" t="s">
        <v>29</v>
      </c>
      <c r="B18072" s="691">
        <v>22.3</v>
      </c>
      <c r="C18072" s="691">
        <v>22.3</v>
      </c>
      <c r="D18072" s="691">
        <v>21.9</v>
      </c>
      <c r="E18072" s="691">
        <v>22.4</v>
      </c>
      <c r="F18072" s="691">
        <v>22.1</v>
      </c>
      <c r="G18072" s="691">
        <v>22.2</v>
      </c>
      <c r="H18072" s="691">
        <v>22.3</v>
      </c>
      <c r="I18072" s="691">
        <v>21.6</v>
      </c>
      <c r="J18072" s="691">
        <v>20.8</v>
      </c>
      <c r="K18072" s="691">
        <v>21.9</v>
      </c>
    </row>
    <row r="18073" spans="1:11">
      <c r="A18073" s="688" t="s">
        <v>16</v>
      </c>
      <c r="B18073" s="689">
        <v>25.9</v>
      </c>
      <c r="C18073" s="689">
        <v>25.7</v>
      </c>
      <c r="D18073" s="689">
        <v>25.7</v>
      </c>
      <c r="E18073" s="693">
        <v>26</v>
      </c>
      <c r="F18073" s="689">
        <v>26.1</v>
      </c>
      <c r="G18073" s="689">
        <v>26.1</v>
      </c>
      <c r="H18073" s="689">
        <v>26.4</v>
      </c>
      <c r="I18073" s="689">
        <v>25.9</v>
      </c>
      <c r="J18073" s="689">
        <v>25.5</v>
      </c>
      <c r="K18073" s="693">
        <v>26</v>
      </c>
    </row>
    <row r="18074" spans="1:11">
      <c r="A18074" s="688" t="s">
        <v>17</v>
      </c>
      <c r="B18074" s="691">
        <v>25.4</v>
      </c>
      <c r="C18074" s="691">
        <v>25.5</v>
      </c>
      <c r="D18074" s="691">
        <v>25.2</v>
      </c>
      <c r="E18074" s="691">
        <v>25.3</v>
      </c>
      <c r="F18074" s="691">
        <v>25.3</v>
      </c>
      <c r="G18074" s="691">
        <v>25.3</v>
      </c>
      <c r="H18074" s="691">
        <v>25.5</v>
      </c>
      <c r="I18074" s="615">
        <v>25</v>
      </c>
      <c r="J18074" s="615">
        <v>25</v>
      </c>
      <c r="K18074" s="691">
        <v>25.1</v>
      </c>
    </row>
    <row r="18075" spans="1:11">
      <c r="A18075" s="688" t="s">
        <v>19</v>
      </c>
      <c r="B18075" s="689">
        <v>25.8</v>
      </c>
      <c r="C18075" s="689">
        <v>25.8</v>
      </c>
      <c r="D18075" s="689">
        <v>25.5</v>
      </c>
      <c r="E18075" s="689">
        <v>25.9</v>
      </c>
      <c r="F18075" s="689">
        <v>25.8</v>
      </c>
      <c r="G18075" s="689">
        <v>25.9</v>
      </c>
      <c r="H18075" s="689">
        <v>26.1</v>
      </c>
      <c r="I18075" s="689">
        <v>25.5</v>
      </c>
      <c r="J18075" s="689">
        <v>25.5</v>
      </c>
      <c r="K18075" s="689">
        <v>25.6</v>
      </c>
    </row>
    <row r="18076" spans="1:11">
      <c r="A18076" s="688" t="s">
        <v>20</v>
      </c>
      <c r="B18076" s="691">
        <v>23.9</v>
      </c>
      <c r="C18076" s="691">
        <v>24.1</v>
      </c>
      <c r="D18076" s="691">
        <v>23.9</v>
      </c>
      <c r="E18076" s="691">
        <v>24.3</v>
      </c>
      <c r="F18076" s="691">
        <v>24.1</v>
      </c>
      <c r="G18076" s="615">
        <v>24</v>
      </c>
      <c r="H18076" s="691">
        <v>24.2</v>
      </c>
      <c r="I18076" s="691">
        <v>23.1</v>
      </c>
      <c r="J18076" s="691">
        <v>22.3</v>
      </c>
      <c r="K18076" s="691">
        <v>23.6</v>
      </c>
    </row>
    <row r="18077" spans="1:11">
      <c r="A18077" s="688" t="s">
        <v>21</v>
      </c>
      <c r="B18077" s="693">
        <v>26</v>
      </c>
      <c r="C18077" s="689">
        <v>26.3</v>
      </c>
      <c r="D18077" s="689">
        <v>26.1</v>
      </c>
      <c r="E18077" s="689">
        <v>26.3</v>
      </c>
      <c r="F18077" s="689">
        <v>26.5</v>
      </c>
      <c r="G18077" s="689">
        <v>26.5</v>
      </c>
      <c r="H18077" s="689">
        <v>26.8</v>
      </c>
      <c r="I18077" s="689">
        <v>26.2</v>
      </c>
      <c r="J18077" s="689">
        <v>26.2</v>
      </c>
      <c r="K18077" s="689">
        <v>26.4</v>
      </c>
    </row>
    <row r="18078" spans="1:11">
      <c r="A18078" s="688" t="s">
        <v>22</v>
      </c>
      <c r="B18078" s="691">
        <v>22.2</v>
      </c>
      <c r="C18078" s="615">
        <v>22</v>
      </c>
      <c r="D18078" s="691">
        <v>21.9</v>
      </c>
      <c r="E18078" s="691">
        <v>22.2</v>
      </c>
      <c r="F18078" s="691">
        <v>22.2</v>
      </c>
      <c r="G18078" s="691">
        <v>22.3</v>
      </c>
      <c r="H18078" s="691">
        <v>22.6</v>
      </c>
      <c r="I18078" s="691">
        <v>21.5</v>
      </c>
      <c r="J18078" s="691">
        <v>20.2</v>
      </c>
      <c r="K18078" s="691">
        <v>22.1</v>
      </c>
    </row>
    <row r="18079" spans="1:11">
      <c r="A18079" s="688" t="s">
        <v>26</v>
      </c>
      <c r="B18079" s="689">
        <v>25.7</v>
      </c>
      <c r="C18079" s="689">
        <v>25.5</v>
      </c>
      <c r="D18079" s="689">
        <v>25.4</v>
      </c>
      <c r="E18079" s="689">
        <v>25.7</v>
      </c>
      <c r="F18079" s="689">
        <v>25.6</v>
      </c>
      <c r="G18079" s="689">
        <v>25.7</v>
      </c>
      <c r="H18079" s="689">
        <v>25.8</v>
      </c>
      <c r="I18079" s="693">
        <v>25</v>
      </c>
      <c r="J18079" s="689">
        <v>25.4</v>
      </c>
      <c r="K18079" s="689">
        <v>25.7</v>
      </c>
    </row>
    <row r="18080" spans="1:11">
      <c r="A18080" s="688" t="s">
        <v>25</v>
      </c>
      <c r="B18080" s="691">
        <v>22.9</v>
      </c>
      <c r="C18080" s="691">
        <v>23.1</v>
      </c>
      <c r="D18080" s="691">
        <v>22.8</v>
      </c>
      <c r="E18080" s="691">
        <v>23.2</v>
      </c>
      <c r="F18080" s="691">
        <v>23.2</v>
      </c>
      <c r="G18080" s="691">
        <v>23.3</v>
      </c>
      <c r="H18080" s="691">
        <v>23.7</v>
      </c>
      <c r="I18080" s="615">
        <v>23</v>
      </c>
      <c r="J18080" s="691">
        <v>21.1</v>
      </c>
      <c r="K18080" s="615">
        <v>23</v>
      </c>
    </row>
    <row r="18081" spans="1:11">
      <c r="A18081" s="688" t="s">
        <v>5</v>
      </c>
      <c r="B18081" s="689">
        <v>26.2</v>
      </c>
      <c r="C18081" s="689">
        <v>25.8</v>
      </c>
      <c r="D18081" s="693">
        <v>26</v>
      </c>
      <c r="E18081" s="693">
        <v>26</v>
      </c>
      <c r="F18081" s="689">
        <v>26.2</v>
      </c>
      <c r="G18081" s="689">
        <v>26.2</v>
      </c>
      <c r="H18081" s="689">
        <v>26.5</v>
      </c>
      <c r="I18081" s="689">
        <v>26.5</v>
      </c>
      <c r="J18081" s="689">
        <v>26.4</v>
      </c>
      <c r="K18081" s="689">
        <v>25.7</v>
      </c>
    </row>
    <row r="18082" spans="1:11">
      <c r="A18082" s="688" t="s">
        <v>23</v>
      </c>
      <c r="B18082" s="691">
        <v>25.7</v>
      </c>
      <c r="C18082" s="691">
        <v>25.9</v>
      </c>
      <c r="D18082" s="691">
        <v>25.8</v>
      </c>
      <c r="E18082" s="691">
        <v>25.9</v>
      </c>
      <c r="F18082" s="691">
        <v>25.8</v>
      </c>
      <c r="G18082" s="615">
        <v>26</v>
      </c>
      <c r="H18082" s="691">
        <v>26.4</v>
      </c>
      <c r="I18082" s="691">
        <v>25.9</v>
      </c>
      <c r="J18082" s="691">
        <v>26.4</v>
      </c>
      <c r="K18082" s="691">
        <v>26.3</v>
      </c>
    </row>
    <row r="18083" spans="1:11">
      <c r="A18083" s="688" t="s">
        <v>4067</v>
      </c>
      <c r="B18083" s="689">
        <v>25.6</v>
      </c>
      <c r="C18083" s="689">
        <v>25.9</v>
      </c>
      <c r="D18083" s="689">
        <v>25.5</v>
      </c>
      <c r="E18083" s="689">
        <v>25.9</v>
      </c>
      <c r="F18083" s="689">
        <v>25.7</v>
      </c>
      <c r="G18083" s="689">
        <v>25.8</v>
      </c>
      <c r="H18083" s="690" t="s">
        <v>4060</v>
      </c>
      <c r="I18083" s="690" t="s">
        <v>4060</v>
      </c>
      <c r="J18083" s="690" t="s">
        <v>4060</v>
      </c>
      <c r="K18083" s="690" t="s">
        <v>4060</v>
      </c>
    </row>
    <row r="18084" spans="1:11">
      <c r="A18084" s="688" t="s">
        <v>4066</v>
      </c>
      <c r="B18084" s="691">
        <v>25.6</v>
      </c>
      <c r="C18084" s="691">
        <v>25.9</v>
      </c>
      <c r="D18084" s="691">
        <v>25.5</v>
      </c>
      <c r="E18084" s="691">
        <v>25.9</v>
      </c>
      <c r="F18084" s="691">
        <v>25.8</v>
      </c>
      <c r="G18084" s="691">
        <v>25.8</v>
      </c>
      <c r="H18084" s="692" t="s">
        <v>4060</v>
      </c>
      <c r="I18084" s="692" t="s">
        <v>4060</v>
      </c>
      <c r="J18084" s="692" t="s">
        <v>4060</v>
      </c>
      <c r="K18084" s="692" t="s">
        <v>4060</v>
      </c>
    </row>
    <row r="18085" spans="1:11">
      <c r="A18085" s="688" t="s">
        <v>4062</v>
      </c>
      <c r="B18085" s="689">
        <v>26.4</v>
      </c>
      <c r="C18085" s="689">
        <v>26.5</v>
      </c>
      <c r="D18085" s="689">
        <v>26.4</v>
      </c>
      <c r="E18085" s="689">
        <v>26.6</v>
      </c>
      <c r="F18085" s="689">
        <v>26.6</v>
      </c>
      <c r="G18085" s="689">
        <v>26.8</v>
      </c>
      <c r="H18085" s="689">
        <v>26.8</v>
      </c>
      <c r="I18085" s="689">
        <v>26.6</v>
      </c>
      <c r="J18085" s="689">
        <v>26.9</v>
      </c>
      <c r="K18085" s="689">
        <v>26.6</v>
      </c>
    </row>
    <row r="18086" spans="1:11">
      <c r="A18086" s="688" t="s">
        <v>9</v>
      </c>
      <c r="B18086" s="691">
        <v>25.5</v>
      </c>
      <c r="C18086" s="615">
        <v>26</v>
      </c>
      <c r="D18086" s="691">
        <v>25.4</v>
      </c>
      <c r="E18086" s="691">
        <v>25.4</v>
      </c>
      <c r="F18086" s="691">
        <v>25.7</v>
      </c>
      <c r="G18086" s="691">
        <v>25.9</v>
      </c>
      <c r="H18086" s="691">
        <v>26.3</v>
      </c>
      <c r="I18086" s="691">
        <v>26.2</v>
      </c>
      <c r="J18086" s="691">
        <v>26.2</v>
      </c>
      <c r="K18086" s="691">
        <v>25.3</v>
      </c>
    </row>
    <row r="18087" spans="1:11">
      <c r="A18087" s="688" t="s">
        <v>13</v>
      </c>
      <c r="B18087" s="689">
        <v>26.4</v>
      </c>
      <c r="C18087" s="689">
        <v>25.2</v>
      </c>
      <c r="D18087" s="693">
        <v>26</v>
      </c>
      <c r="E18087" s="689">
        <v>26.4</v>
      </c>
      <c r="F18087" s="689">
        <v>26.7</v>
      </c>
      <c r="G18087" s="689">
        <v>26.5</v>
      </c>
      <c r="H18087" s="689">
        <v>26.3</v>
      </c>
      <c r="I18087" s="693">
        <v>26</v>
      </c>
      <c r="J18087" s="689">
        <v>27.1</v>
      </c>
      <c r="K18087" s="689">
        <v>26.5</v>
      </c>
    </row>
    <row r="18088" spans="1:11">
      <c r="A18088" s="688" t="s">
        <v>18</v>
      </c>
      <c r="B18088" s="691">
        <v>25.7</v>
      </c>
      <c r="C18088" s="691">
        <v>25.9</v>
      </c>
      <c r="D18088" s="691">
        <v>25.9</v>
      </c>
      <c r="E18088" s="615">
        <v>26</v>
      </c>
      <c r="F18088" s="615">
        <v>26</v>
      </c>
      <c r="G18088" s="691">
        <v>26.2</v>
      </c>
      <c r="H18088" s="691">
        <v>26.3</v>
      </c>
      <c r="I18088" s="691">
        <v>26.5</v>
      </c>
      <c r="J18088" s="691">
        <v>26.3</v>
      </c>
      <c r="K18088" s="615">
        <v>26</v>
      </c>
    </row>
    <row r="18089" spans="1:11">
      <c r="A18089" s="688" t="s">
        <v>24</v>
      </c>
      <c r="B18089" s="689">
        <v>26.8</v>
      </c>
      <c r="C18089" s="689">
        <v>26.9</v>
      </c>
      <c r="D18089" s="689">
        <v>26.6</v>
      </c>
      <c r="E18089" s="693">
        <v>27</v>
      </c>
      <c r="F18089" s="693">
        <v>27</v>
      </c>
      <c r="G18089" s="689">
        <v>27.1</v>
      </c>
      <c r="H18089" s="689">
        <v>27.2</v>
      </c>
      <c r="I18089" s="689">
        <v>26.7</v>
      </c>
      <c r="J18089" s="689">
        <v>27.2</v>
      </c>
      <c r="K18089" s="693">
        <v>27</v>
      </c>
    </row>
    <row r="18090" spans="1:11">
      <c r="A18090" s="688" t="s">
        <v>4059</v>
      </c>
      <c r="B18090" s="691">
        <v>25.2</v>
      </c>
      <c r="C18090" s="691">
        <v>25.5</v>
      </c>
      <c r="D18090" s="691">
        <v>25.1</v>
      </c>
      <c r="E18090" s="691">
        <v>25.4</v>
      </c>
      <c r="F18090" s="691">
        <v>25.4</v>
      </c>
      <c r="G18090" s="691">
        <v>25.4</v>
      </c>
      <c r="H18090" s="692" t="s">
        <v>4060</v>
      </c>
      <c r="I18090" s="692" t="s">
        <v>4060</v>
      </c>
      <c r="J18090" s="692" t="s">
        <v>4060</v>
      </c>
      <c r="K18090" s="692" t="s">
        <v>4060</v>
      </c>
    </row>
    <row r="18091" spans="1:11">
      <c r="A18091" s="688" t="s">
        <v>2324</v>
      </c>
      <c r="B18091" s="689">
        <v>21.6</v>
      </c>
      <c r="C18091" s="689">
        <v>21.8</v>
      </c>
      <c r="D18091" s="689">
        <v>21.3</v>
      </c>
      <c r="E18091" s="689">
        <v>21.4</v>
      </c>
      <c r="F18091" s="689">
        <v>21.7</v>
      </c>
      <c r="G18091" s="689">
        <v>21.8</v>
      </c>
      <c r="H18091" s="689">
        <v>22.1</v>
      </c>
      <c r="I18091" s="689">
        <v>21.4</v>
      </c>
      <c r="J18091" s="689">
        <v>19.5</v>
      </c>
      <c r="K18091" s="690" t="s">
        <v>4060</v>
      </c>
    </row>
    <row r="18092" spans="1:11">
      <c r="A18092" s="688" t="s">
        <v>2322</v>
      </c>
      <c r="B18092" s="692" t="s">
        <v>4060</v>
      </c>
      <c r="C18092" s="692" t="s">
        <v>4060</v>
      </c>
      <c r="D18092" s="692" t="s">
        <v>4060</v>
      </c>
      <c r="E18092" s="692" t="s">
        <v>4060</v>
      </c>
      <c r="F18092" s="692" t="s">
        <v>4060</v>
      </c>
      <c r="G18092" s="692" t="s">
        <v>4060</v>
      </c>
      <c r="H18092" s="692" t="s">
        <v>4060</v>
      </c>
      <c r="I18092" s="692" t="s">
        <v>4060</v>
      </c>
      <c r="J18092" s="692" t="s">
        <v>4060</v>
      </c>
      <c r="K18092" s="692" t="s">
        <v>4060</v>
      </c>
    </row>
    <row r="18093" spans="1:11">
      <c r="A18093" s="688" t="s">
        <v>2328</v>
      </c>
      <c r="B18093" s="689">
        <v>20.6</v>
      </c>
      <c r="C18093" s="689">
        <v>20.399999999999999</v>
      </c>
      <c r="D18093" s="689">
        <v>20.3</v>
      </c>
      <c r="E18093" s="689">
        <v>20.6</v>
      </c>
      <c r="F18093" s="689">
        <v>20.7</v>
      </c>
      <c r="G18093" s="689">
        <v>21.2</v>
      </c>
      <c r="H18093" s="693">
        <v>21</v>
      </c>
      <c r="I18093" s="689">
        <v>19.7</v>
      </c>
      <c r="J18093" s="689">
        <v>18.8</v>
      </c>
      <c r="K18093" s="690" t="s">
        <v>4060</v>
      </c>
    </row>
    <row r="18094" spans="1:11">
      <c r="A18094" s="688" t="s">
        <v>2496</v>
      </c>
      <c r="B18094" s="692" t="s">
        <v>4060</v>
      </c>
      <c r="C18094" s="691">
        <v>21.7</v>
      </c>
      <c r="D18094" s="691">
        <v>20.9</v>
      </c>
      <c r="E18094" s="691">
        <v>20.7</v>
      </c>
      <c r="F18094" s="691">
        <v>21.2</v>
      </c>
      <c r="G18094" s="691">
        <v>21.4</v>
      </c>
      <c r="H18094" s="691">
        <v>21.4</v>
      </c>
      <c r="I18094" s="692" t="s">
        <v>4060</v>
      </c>
      <c r="J18094" s="692" t="s">
        <v>4060</v>
      </c>
      <c r="K18094" s="691">
        <v>21.1</v>
      </c>
    </row>
    <row r="18095" spans="1:11">
      <c r="A18095" s="688" t="s">
        <v>2269</v>
      </c>
      <c r="B18095" s="689">
        <v>22.8</v>
      </c>
      <c r="C18095" s="693">
        <v>23</v>
      </c>
      <c r="D18095" s="689">
        <v>22.2</v>
      </c>
      <c r="E18095" s="689">
        <v>22.7</v>
      </c>
      <c r="F18095" s="689">
        <v>22.5</v>
      </c>
      <c r="G18095" s="693">
        <v>23</v>
      </c>
      <c r="H18095" s="689">
        <v>23.2</v>
      </c>
      <c r="I18095" s="689">
        <v>22.1</v>
      </c>
      <c r="J18095" s="689">
        <v>20.2</v>
      </c>
      <c r="K18095" s="689">
        <v>22.9</v>
      </c>
    </row>
    <row r="18096" spans="1:11">
      <c r="A18096" s="688" t="s">
        <v>2349</v>
      </c>
      <c r="B18096" s="691">
        <v>20.9</v>
      </c>
      <c r="C18096" s="691">
        <v>20.9</v>
      </c>
      <c r="D18096" s="691">
        <v>20.9</v>
      </c>
      <c r="E18096" s="691">
        <v>21.2</v>
      </c>
      <c r="F18096" s="615">
        <v>21</v>
      </c>
      <c r="G18096" s="691">
        <v>21.3</v>
      </c>
      <c r="H18096" s="691">
        <v>21.4</v>
      </c>
      <c r="I18096" s="691">
        <v>20.399999999999999</v>
      </c>
      <c r="J18096" s="691">
        <v>18.899999999999999</v>
      </c>
      <c r="K18096" s="691">
        <v>20.6</v>
      </c>
    </row>
    <row r="18097" spans="1:11">
      <c r="A18097" s="688" t="s">
        <v>2355</v>
      </c>
      <c r="B18097" s="689">
        <v>24.1</v>
      </c>
      <c r="C18097" s="689">
        <v>23.9</v>
      </c>
      <c r="D18097" s="689">
        <v>23.8</v>
      </c>
      <c r="E18097" s="689">
        <v>23.8</v>
      </c>
      <c r="F18097" s="693">
        <v>24</v>
      </c>
      <c r="G18097" s="689">
        <v>24.3</v>
      </c>
      <c r="H18097" s="689">
        <v>24.4</v>
      </c>
      <c r="I18097" s="690" t="s">
        <v>4060</v>
      </c>
      <c r="J18097" s="690" t="s">
        <v>4060</v>
      </c>
      <c r="K18097" s="690" t="s">
        <v>4060</v>
      </c>
    </row>
    <row r="18098" spans="1:11">
      <c r="A18098" s="688" t="s">
        <v>2357</v>
      </c>
      <c r="B18098" s="692" t="s">
        <v>4060</v>
      </c>
      <c r="C18098" s="615">
        <v>21</v>
      </c>
      <c r="D18098" s="691">
        <v>21.4</v>
      </c>
      <c r="E18098" s="691">
        <v>21.6</v>
      </c>
      <c r="F18098" s="691">
        <v>21.8</v>
      </c>
      <c r="G18098" s="691">
        <v>21.8</v>
      </c>
      <c r="H18098" s="615">
        <v>22</v>
      </c>
      <c r="I18098" s="692" t="s">
        <v>4060</v>
      </c>
      <c r="J18098" s="692" t="s">
        <v>4060</v>
      </c>
      <c r="K18098" s="692" t="s">
        <v>4060</v>
      </c>
    </row>
    <row r="18099" spans="1:11">
      <c r="A18099" s="688" t="s">
        <v>4070</v>
      </c>
      <c r="B18099" s="690" t="s">
        <v>4060</v>
      </c>
      <c r="C18099" s="690" t="s">
        <v>4060</v>
      </c>
      <c r="D18099" s="690" t="s">
        <v>4060</v>
      </c>
      <c r="E18099" s="693">
        <v>24</v>
      </c>
      <c r="F18099" s="690" t="s">
        <v>4060</v>
      </c>
      <c r="G18099" s="690" t="s">
        <v>4060</v>
      </c>
      <c r="H18099" s="690" t="s">
        <v>4060</v>
      </c>
      <c r="I18099" s="690" t="s">
        <v>4060</v>
      </c>
      <c r="J18099" s="690" t="s">
        <v>4060</v>
      </c>
      <c r="K18099" s="690" t="s">
        <v>4060</v>
      </c>
    </row>
    <row r="18100" spans="1:11">
      <c r="A18100" s="688" t="s">
        <v>2491</v>
      </c>
      <c r="B18100" s="691">
        <v>21.6</v>
      </c>
      <c r="C18100" s="615">
        <v>22</v>
      </c>
      <c r="D18100" s="691">
        <v>22.1</v>
      </c>
      <c r="E18100" s="691">
        <v>22.3</v>
      </c>
      <c r="F18100" s="691">
        <v>22.3</v>
      </c>
      <c r="G18100" s="691">
        <v>22.4</v>
      </c>
      <c r="H18100" s="692" t="s">
        <v>4060</v>
      </c>
      <c r="I18100" s="692" t="s">
        <v>4060</v>
      </c>
      <c r="J18100" s="692" t="s">
        <v>4060</v>
      </c>
      <c r="K18100" s="692" t="s">
        <v>4060</v>
      </c>
    </row>
    <row r="18101" spans="1:11">
      <c r="A18101" s="688" t="s">
        <v>2343</v>
      </c>
      <c r="B18101" s="690" t="s">
        <v>4060</v>
      </c>
      <c r="C18101" s="690" t="s">
        <v>4060</v>
      </c>
      <c r="D18101" s="690" t="s">
        <v>4060</v>
      </c>
      <c r="E18101" s="690" t="s">
        <v>4060</v>
      </c>
      <c r="F18101" s="690" t="s">
        <v>4060</v>
      </c>
      <c r="G18101" s="690" t="s">
        <v>4060</v>
      </c>
      <c r="H18101" s="690" t="s">
        <v>4060</v>
      </c>
      <c r="I18101" s="690" t="s">
        <v>4060</v>
      </c>
      <c r="J18101" s="690" t="s">
        <v>4060</v>
      </c>
      <c r="K18101" s="690" t="s">
        <v>4060</v>
      </c>
    </row>
    <row r="18102" spans="1:11">
      <c r="A18102" s="688" t="s">
        <v>4071</v>
      </c>
      <c r="B18102" s="692" t="s">
        <v>4060</v>
      </c>
      <c r="C18102" s="692" t="s">
        <v>4060</v>
      </c>
      <c r="D18102" s="692" t="s">
        <v>4060</v>
      </c>
      <c r="E18102" s="692" t="s">
        <v>4060</v>
      </c>
      <c r="F18102" s="692" t="s">
        <v>4060</v>
      </c>
      <c r="G18102" s="692" t="s">
        <v>4060</v>
      </c>
      <c r="H18102" s="692" t="s">
        <v>4060</v>
      </c>
      <c r="I18102" s="692" t="s">
        <v>4060</v>
      </c>
      <c r="J18102" s="692" t="s">
        <v>4060</v>
      </c>
      <c r="K18102" s="692" t="s">
        <v>4060</v>
      </c>
    </row>
    <row r="18103" spans="1:11">
      <c r="A18103" s="688" t="s">
        <v>2489</v>
      </c>
      <c r="B18103" s="690" t="s">
        <v>4060</v>
      </c>
      <c r="C18103" s="690" t="s">
        <v>4060</v>
      </c>
      <c r="D18103" s="689">
        <v>21.3</v>
      </c>
      <c r="E18103" s="689">
        <v>21.3</v>
      </c>
      <c r="F18103" s="689">
        <v>21.6</v>
      </c>
      <c r="G18103" s="689">
        <v>22.2</v>
      </c>
      <c r="H18103" s="689">
        <v>22.2</v>
      </c>
      <c r="I18103" s="690" t="s">
        <v>4060</v>
      </c>
      <c r="J18103" s="690" t="s">
        <v>4060</v>
      </c>
      <c r="K18103" s="690" t="s">
        <v>4060</v>
      </c>
    </row>
    <row r="18104" spans="1:11">
      <c r="A18104" s="688" t="s">
        <v>2490</v>
      </c>
      <c r="B18104" s="691">
        <v>20.5</v>
      </c>
      <c r="C18104" s="691">
        <v>20.6</v>
      </c>
      <c r="D18104" s="691">
        <v>21.1</v>
      </c>
      <c r="E18104" s="692" t="s">
        <v>4060</v>
      </c>
      <c r="F18104" s="691">
        <v>21.2</v>
      </c>
      <c r="G18104" s="691">
        <v>21.5</v>
      </c>
      <c r="H18104" s="691">
        <v>22.2</v>
      </c>
      <c r="I18104" s="692" t="s">
        <v>4060</v>
      </c>
      <c r="J18104" s="692" t="s">
        <v>4060</v>
      </c>
      <c r="K18104" s="692" t="s">
        <v>4060</v>
      </c>
    </row>
    <row r="18106" spans="1:11">
      <c r="A18106" s="683" t="s">
        <v>4233</v>
      </c>
    </row>
    <row r="18107" spans="1:11">
      <c r="A18107" s="683" t="s">
        <v>4060</v>
      </c>
      <c r="B18107" s="682" t="s">
        <v>4234</v>
      </c>
    </row>
    <row r="18109" spans="1:11">
      <c r="A18109" s="682" t="s">
        <v>4332</v>
      </c>
    </row>
    <row r="18110" spans="1:11">
      <c r="A18110" s="682" t="s">
        <v>4210</v>
      </c>
      <c r="B18110" s="683" t="s">
        <v>4211</v>
      </c>
    </row>
    <row r="18111" spans="1:11">
      <c r="A18111" s="682" t="s">
        <v>4212</v>
      </c>
      <c r="B18111" s="682" t="s">
        <v>4213</v>
      </c>
    </row>
    <row r="18113" spans="1:11">
      <c r="A18113" s="683" t="s">
        <v>4214</v>
      </c>
      <c r="C18113" s="682" t="s">
        <v>4215</v>
      </c>
    </row>
    <row r="18114" spans="1:11">
      <c r="A18114" s="683" t="s">
        <v>4216</v>
      </c>
      <c r="C18114" s="682" t="s">
        <v>2967</v>
      </c>
    </row>
    <row r="18115" spans="1:11">
      <c r="A18115" s="683" t="s">
        <v>3893</v>
      </c>
      <c r="C18115" s="682" t="s">
        <v>2169</v>
      </c>
    </row>
    <row r="18116" spans="1:11">
      <c r="A18116" s="683" t="s">
        <v>4218</v>
      </c>
      <c r="C18116" s="682" t="s">
        <v>4296</v>
      </c>
    </row>
    <row r="18118" spans="1:11">
      <c r="A18118" s="684" t="s">
        <v>4220</v>
      </c>
      <c r="B18118" s="685" t="s">
        <v>4221</v>
      </c>
      <c r="C18118" s="685" t="s">
        <v>4222</v>
      </c>
      <c r="D18118" s="685" t="s">
        <v>4223</v>
      </c>
      <c r="E18118" s="685" t="s">
        <v>4224</v>
      </c>
      <c r="F18118" s="685" t="s">
        <v>4225</v>
      </c>
      <c r="G18118" s="685" t="s">
        <v>4226</v>
      </c>
      <c r="H18118" s="685" t="s">
        <v>4227</v>
      </c>
      <c r="I18118" s="685" t="s">
        <v>4228</v>
      </c>
      <c r="J18118" s="685" t="s">
        <v>4229</v>
      </c>
      <c r="K18118" s="685" t="s">
        <v>4230</v>
      </c>
    </row>
    <row r="18119" spans="1:11">
      <c r="A18119" s="686" t="s">
        <v>4231</v>
      </c>
      <c r="B18119" s="687" t="s">
        <v>4232</v>
      </c>
      <c r="C18119" s="687" t="s">
        <v>4232</v>
      </c>
      <c r="D18119" s="687" t="s">
        <v>4232</v>
      </c>
      <c r="E18119" s="687" t="s">
        <v>4232</v>
      </c>
      <c r="F18119" s="687" t="s">
        <v>4232</v>
      </c>
      <c r="G18119" s="687" t="s">
        <v>4232</v>
      </c>
      <c r="H18119" s="687" t="s">
        <v>4232</v>
      </c>
      <c r="I18119" s="687" t="s">
        <v>4232</v>
      </c>
      <c r="J18119" s="687" t="s">
        <v>4232</v>
      </c>
      <c r="K18119" s="687" t="s">
        <v>4232</v>
      </c>
    </row>
    <row r="18120" spans="1:11">
      <c r="A18120" s="688" t="s">
        <v>4064</v>
      </c>
      <c r="B18120" s="691">
        <v>24.8</v>
      </c>
      <c r="C18120" s="691">
        <v>24.7</v>
      </c>
      <c r="D18120" s="691">
        <v>24.7</v>
      </c>
      <c r="E18120" s="691">
        <v>24.8</v>
      </c>
      <c r="F18120" s="691">
        <v>24.7</v>
      </c>
      <c r="G18120" s="691">
        <v>24.8</v>
      </c>
      <c r="H18120" s="615">
        <v>25</v>
      </c>
      <c r="I18120" s="691">
        <v>24.3</v>
      </c>
      <c r="J18120" s="691">
        <v>24.1</v>
      </c>
      <c r="K18120" s="691">
        <v>24.5</v>
      </c>
    </row>
    <row r="18121" spans="1:11">
      <c r="A18121" s="688" t="s">
        <v>4065</v>
      </c>
      <c r="B18121" s="689">
        <v>24.7</v>
      </c>
      <c r="C18121" s="693">
        <v>25</v>
      </c>
      <c r="D18121" s="689">
        <v>24.6</v>
      </c>
      <c r="E18121" s="693">
        <v>25</v>
      </c>
      <c r="F18121" s="689">
        <v>24.9</v>
      </c>
      <c r="G18121" s="689">
        <v>24.9</v>
      </c>
      <c r="H18121" s="690" t="s">
        <v>4060</v>
      </c>
      <c r="I18121" s="690" t="s">
        <v>4060</v>
      </c>
      <c r="J18121" s="690" t="s">
        <v>4060</v>
      </c>
      <c r="K18121" s="690" t="s">
        <v>4060</v>
      </c>
    </row>
    <row r="18122" spans="1:11">
      <c r="A18122" s="688" t="s">
        <v>4063</v>
      </c>
      <c r="B18122" s="691">
        <v>24.8</v>
      </c>
      <c r="C18122" s="691">
        <v>25.1</v>
      </c>
      <c r="D18122" s="691">
        <v>24.6</v>
      </c>
      <c r="E18122" s="615">
        <v>25</v>
      </c>
      <c r="F18122" s="691">
        <v>24.9</v>
      </c>
      <c r="G18122" s="615">
        <v>25</v>
      </c>
      <c r="H18122" s="692" t="s">
        <v>4060</v>
      </c>
      <c r="I18122" s="692" t="s">
        <v>4060</v>
      </c>
      <c r="J18122" s="692" t="s">
        <v>4060</v>
      </c>
      <c r="K18122" s="692" t="s">
        <v>4060</v>
      </c>
    </row>
    <row r="18123" spans="1:11">
      <c r="A18123" s="688" t="s">
        <v>4069</v>
      </c>
      <c r="B18123" s="690" t="s">
        <v>4060</v>
      </c>
      <c r="C18123" s="689">
        <v>25.4</v>
      </c>
      <c r="D18123" s="689">
        <v>25.1</v>
      </c>
      <c r="E18123" s="689">
        <v>25.4</v>
      </c>
      <c r="F18123" s="689">
        <v>25.3</v>
      </c>
      <c r="G18123" s="689">
        <v>25.4</v>
      </c>
      <c r="H18123" s="689">
        <v>25.6</v>
      </c>
      <c r="I18123" s="689">
        <v>25.1</v>
      </c>
      <c r="J18123" s="689">
        <v>25.1</v>
      </c>
      <c r="K18123" s="689">
        <v>25.1</v>
      </c>
    </row>
    <row r="18124" spans="1:11">
      <c r="A18124" s="688" t="s">
        <v>4068</v>
      </c>
      <c r="B18124" s="691">
        <v>25.5</v>
      </c>
      <c r="C18124" s="692" t="s">
        <v>4060</v>
      </c>
      <c r="D18124" s="692" t="s">
        <v>4060</v>
      </c>
      <c r="E18124" s="692" t="s">
        <v>4060</v>
      </c>
      <c r="F18124" s="692" t="s">
        <v>4060</v>
      </c>
      <c r="G18124" s="692" t="s">
        <v>4060</v>
      </c>
      <c r="H18124" s="692" t="s">
        <v>4060</v>
      </c>
      <c r="I18124" s="692" t="s">
        <v>4060</v>
      </c>
      <c r="J18124" s="692" t="s">
        <v>4060</v>
      </c>
      <c r="K18124" s="692" t="s">
        <v>4060</v>
      </c>
    </row>
    <row r="18125" spans="1:11">
      <c r="A18125" s="688" t="s">
        <v>0</v>
      </c>
      <c r="B18125" s="689">
        <v>24.8</v>
      </c>
      <c r="C18125" s="689">
        <v>24.9</v>
      </c>
      <c r="D18125" s="689">
        <v>24.6</v>
      </c>
      <c r="E18125" s="693">
        <v>25</v>
      </c>
      <c r="F18125" s="693">
        <v>25</v>
      </c>
      <c r="G18125" s="693">
        <v>25</v>
      </c>
      <c r="H18125" s="689">
        <v>25.2</v>
      </c>
      <c r="I18125" s="689">
        <v>24.2</v>
      </c>
      <c r="J18125" s="689">
        <v>25.2</v>
      </c>
      <c r="K18125" s="693">
        <v>25</v>
      </c>
    </row>
    <row r="18126" spans="1:11">
      <c r="A18126" s="688" t="s">
        <v>1</v>
      </c>
      <c r="B18126" s="691">
        <v>21.2</v>
      </c>
      <c r="C18126" s="691">
        <v>20.8</v>
      </c>
      <c r="D18126" s="691">
        <v>20.8</v>
      </c>
      <c r="E18126" s="615">
        <v>21</v>
      </c>
      <c r="F18126" s="691">
        <v>20.9</v>
      </c>
      <c r="G18126" s="691">
        <v>21.1</v>
      </c>
      <c r="H18126" s="691">
        <v>21.2</v>
      </c>
      <c r="I18126" s="691">
        <v>20.100000000000001</v>
      </c>
      <c r="J18126" s="691">
        <v>18.5</v>
      </c>
      <c r="K18126" s="691">
        <v>20.6</v>
      </c>
    </row>
    <row r="18127" spans="1:11">
      <c r="A18127" s="688" t="s">
        <v>2240</v>
      </c>
      <c r="B18127" s="689">
        <v>22.7</v>
      </c>
      <c r="C18127" s="693">
        <v>23</v>
      </c>
      <c r="D18127" s="689">
        <v>22.7</v>
      </c>
      <c r="E18127" s="689">
        <v>23.2</v>
      </c>
      <c r="F18127" s="693">
        <v>23</v>
      </c>
      <c r="G18127" s="689">
        <v>23.1</v>
      </c>
      <c r="H18127" s="689">
        <v>23.3</v>
      </c>
      <c r="I18127" s="689">
        <v>22.5</v>
      </c>
      <c r="J18127" s="689">
        <v>21.9</v>
      </c>
      <c r="K18127" s="689">
        <v>23.1</v>
      </c>
    </row>
    <row r="18128" spans="1:11">
      <c r="A18128" s="688" t="s">
        <v>2</v>
      </c>
      <c r="B18128" s="691">
        <v>23.7</v>
      </c>
      <c r="C18128" s="691">
        <v>23.9</v>
      </c>
      <c r="D18128" s="615">
        <v>24</v>
      </c>
      <c r="E18128" s="615">
        <v>24</v>
      </c>
      <c r="F18128" s="691">
        <v>24.2</v>
      </c>
      <c r="G18128" s="691">
        <v>24.1</v>
      </c>
      <c r="H18128" s="691">
        <v>24.4</v>
      </c>
      <c r="I18128" s="691">
        <v>24.5</v>
      </c>
      <c r="J18128" s="691">
        <v>24.3</v>
      </c>
      <c r="K18128" s="691">
        <v>24.1</v>
      </c>
    </row>
    <row r="18129" spans="1:11">
      <c r="A18129" s="688" t="s">
        <v>3</v>
      </c>
      <c r="B18129" s="689">
        <v>24.3</v>
      </c>
      <c r="C18129" s="689">
        <v>24.6</v>
      </c>
      <c r="D18129" s="689">
        <v>24.3</v>
      </c>
      <c r="E18129" s="689">
        <v>24.6</v>
      </c>
      <c r="F18129" s="689">
        <v>24.5</v>
      </c>
      <c r="G18129" s="689">
        <v>24.4</v>
      </c>
      <c r="H18129" s="689">
        <v>24.7</v>
      </c>
      <c r="I18129" s="689">
        <v>24.5</v>
      </c>
      <c r="J18129" s="689">
        <v>24.3</v>
      </c>
      <c r="K18129" s="689">
        <v>24.1</v>
      </c>
    </row>
    <row r="18130" spans="1:11">
      <c r="A18130" s="688" t="s">
        <v>4061</v>
      </c>
      <c r="B18130" s="691">
        <v>24.3</v>
      </c>
      <c r="C18130" s="691">
        <v>24.6</v>
      </c>
      <c r="D18130" s="691">
        <v>24.3</v>
      </c>
      <c r="E18130" s="691">
        <v>24.6</v>
      </c>
      <c r="F18130" s="691">
        <v>24.5</v>
      </c>
      <c r="G18130" s="691">
        <v>24.4</v>
      </c>
      <c r="H18130" s="691">
        <v>24.7</v>
      </c>
      <c r="I18130" s="691">
        <v>24.5</v>
      </c>
      <c r="J18130" s="691">
        <v>24.3</v>
      </c>
      <c r="K18130" s="691">
        <v>24.1</v>
      </c>
    </row>
    <row r="18131" spans="1:11">
      <c r="A18131" s="688" t="s">
        <v>4</v>
      </c>
      <c r="B18131" s="689">
        <v>23.6</v>
      </c>
      <c r="C18131" s="689">
        <v>23.4</v>
      </c>
      <c r="D18131" s="689">
        <v>23.6</v>
      </c>
      <c r="E18131" s="689">
        <v>23.9</v>
      </c>
      <c r="F18131" s="689">
        <v>23.8</v>
      </c>
      <c r="G18131" s="689">
        <v>23.8</v>
      </c>
      <c r="H18131" s="689">
        <v>24.2</v>
      </c>
      <c r="I18131" s="689">
        <v>24.2</v>
      </c>
      <c r="J18131" s="693">
        <v>23</v>
      </c>
      <c r="K18131" s="689">
        <v>23.8</v>
      </c>
    </row>
    <row r="18132" spans="1:11">
      <c r="A18132" s="688" t="s">
        <v>8</v>
      </c>
      <c r="B18132" s="691">
        <v>24.3</v>
      </c>
      <c r="C18132" s="691">
        <v>24.4</v>
      </c>
      <c r="D18132" s="691">
        <v>24.4</v>
      </c>
      <c r="E18132" s="691">
        <v>24.4</v>
      </c>
      <c r="F18132" s="691">
        <v>24.7</v>
      </c>
      <c r="G18132" s="691">
        <v>24.9</v>
      </c>
      <c r="H18132" s="691">
        <v>25.2</v>
      </c>
      <c r="I18132" s="615">
        <v>25</v>
      </c>
      <c r="J18132" s="615">
        <v>25</v>
      </c>
      <c r="K18132" s="691">
        <v>24.9</v>
      </c>
    </row>
    <row r="18133" spans="1:11">
      <c r="A18133" s="688" t="s">
        <v>7</v>
      </c>
      <c r="B18133" s="689">
        <v>25.1</v>
      </c>
      <c r="C18133" s="689">
        <v>24.8</v>
      </c>
      <c r="D18133" s="689">
        <v>24.6</v>
      </c>
      <c r="E18133" s="689">
        <v>24.9</v>
      </c>
      <c r="F18133" s="689">
        <v>24.8</v>
      </c>
      <c r="G18133" s="689">
        <v>25.2</v>
      </c>
      <c r="H18133" s="689">
        <v>25.1</v>
      </c>
      <c r="I18133" s="689">
        <v>24.8</v>
      </c>
      <c r="J18133" s="689">
        <v>24.1</v>
      </c>
      <c r="K18133" s="689">
        <v>24.4</v>
      </c>
    </row>
    <row r="18134" spans="1:11">
      <c r="A18134" s="688" t="s">
        <v>27</v>
      </c>
      <c r="B18134" s="615">
        <v>27</v>
      </c>
      <c r="C18134" s="691">
        <v>26.5</v>
      </c>
      <c r="D18134" s="691">
        <v>26.2</v>
      </c>
      <c r="E18134" s="691">
        <v>26.6</v>
      </c>
      <c r="F18134" s="691">
        <v>26.5</v>
      </c>
      <c r="G18134" s="691">
        <v>26.6</v>
      </c>
      <c r="H18134" s="691">
        <v>26.9</v>
      </c>
      <c r="I18134" s="691">
        <v>25.8</v>
      </c>
      <c r="J18134" s="691">
        <v>26.6</v>
      </c>
      <c r="K18134" s="691">
        <v>26.5</v>
      </c>
    </row>
    <row r="18135" spans="1:11">
      <c r="A18135" s="688" t="s">
        <v>6</v>
      </c>
      <c r="B18135" s="689">
        <v>27.1</v>
      </c>
      <c r="C18135" s="689">
        <v>26.8</v>
      </c>
      <c r="D18135" s="689">
        <v>26.5</v>
      </c>
      <c r="E18135" s="689">
        <v>26.7</v>
      </c>
      <c r="F18135" s="689">
        <v>26.7</v>
      </c>
      <c r="G18135" s="689">
        <v>26.9</v>
      </c>
      <c r="H18135" s="689">
        <v>26.9</v>
      </c>
      <c r="I18135" s="689">
        <v>26.4</v>
      </c>
      <c r="J18135" s="689">
        <v>26.5</v>
      </c>
      <c r="K18135" s="689">
        <v>26.5</v>
      </c>
    </row>
    <row r="18136" spans="1:11">
      <c r="A18136" s="688" t="s">
        <v>4058</v>
      </c>
      <c r="B18136" s="692" t="s">
        <v>4060</v>
      </c>
      <c r="C18136" s="692" t="s">
        <v>4060</v>
      </c>
      <c r="D18136" s="692" t="s">
        <v>4060</v>
      </c>
      <c r="E18136" s="692" t="s">
        <v>4060</v>
      </c>
      <c r="F18136" s="692" t="s">
        <v>4060</v>
      </c>
      <c r="G18136" s="692" t="s">
        <v>4060</v>
      </c>
      <c r="H18136" s="692" t="s">
        <v>4060</v>
      </c>
      <c r="I18136" s="692" t="s">
        <v>4060</v>
      </c>
      <c r="J18136" s="692" t="s">
        <v>4060</v>
      </c>
      <c r="K18136" s="692" t="s">
        <v>4060</v>
      </c>
    </row>
    <row r="18137" spans="1:11">
      <c r="A18137" s="688" t="s">
        <v>11</v>
      </c>
      <c r="B18137" s="689">
        <v>22.5</v>
      </c>
      <c r="C18137" s="689">
        <v>22.3</v>
      </c>
      <c r="D18137" s="689">
        <v>21.9</v>
      </c>
      <c r="E18137" s="689">
        <v>22.4</v>
      </c>
      <c r="F18137" s="689">
        <v>22.1</v>
      </c>
      <c r="G18137" s="689">
        <v>22.5</v>
      </c>
      <c r="H18137" s="689">
        <v>22.6</v>
      </c>
      <c r="I18137" s="693">
        <v>22</v>
      </c>
      <c r="J18137" s="689">
        <v>21.3</v>
      </c>
      <c r="K18137" s="693">
        <v>22</v>
      </c>
    </row>
    <row r="18138" spans="1:11">
      <c r="A18138" s="688" t="s">
        <v>10</v>
      </c>
      <c r="B18138" s="691">
        <v>26.1</v>
      </c>
      <c r="C18138" s="691">
        <v>25.9</v>
      </c>
      <c r="D18138" s="691">
        <v>25.4</v>
      </c>
      <c r="E18138" s="615">
        <v>26</v>
      </c>
      <c r="F18138" s="691">
        <v>25.7</v>
      </c>
      <c r="G18138" s="615">
        <v>26</v>
      </c>
      <c r="H18138" s="691">
        <v>26.2</v>
      </c>
      <c r="I18138" s="691">
        <v>25.2</v>
      </c>
      <c r="J18138" s="691">
        <v>25.5</v>
      </c>
      <c r="K18138" s="691">
        <v>25.5</v>
      </c>
    </row>
    <row r="18139" spans="1:11">
      <c r="A18139" s="688" t="s">
        <v>30</v>
      </c>
      <c r="B18139" s="689">
        <v>25.2</v>
      </c>
      <c r="C18139" s="689">
        <v>24.8</v>
      </c>
      <c r="D18139" s="689">
        <v>24.4</v>
      </c>
      <c r="E18139" s="689">
        <v>25.3</v>
      </c>
      <c r="F18139" s="689">
        <v>24.9</v>
      </c>
      <c r="G18139" s="689">
        <v>25.3</v>
      </c>
      <c r="H18139" s="689">
        <v>25.1</v>
      </c>
      <c r="I18139" s="689">
        <v>25.2</v>
      </c>
      <c r="J18139" s="689">
        <v>24.6</v>
      </c>
      <c r="K18139" s="689">
        <v>24.7</v>
      </c>
    </row>
    <row r="18140" spans="1:11">
      <c r="A18140" s="688" t="s">
        <v>12</v>
      </c>
      <c r="B18140" s="691">
        <v>21.8</v>
      </c>
      <c r="C18140" s="615">
        <v>22</v>
      </c>
      <c r="D18140" s="691">
        <v>21.8</v>
      </c>
      <c r="E18140" s="615">
        <v>22</v>
      </c>
      <c r="F18140" s="691">
        <v>22.1</v>
      </c>
      <c r="G18140" s="691">
        <v>22.1</v>
      </c>
      <c r="H18140" s="691">
        <v>22.5</v>
      </c>
      <c r="I18140" s="691">
        <v>22.2</v>
      </c>
      <c r="J18140" s="691">
        <v>20.7</v>
      </c>
      <c r="K18140" s="691">
        <v>21.9</v>
      </c>
    </row>
    <row r="18141" spans="1:11">
      <c r="A18141" s="688" t="s">
        <v>14</v>
      </c>
      <c r="B18141" s="689">
        <v>22.4</v>
      </c>
      <c r="C18141" s="689">
        <v>22.4</v>
      </c>
      <c r="D18141" s="689">
        <v>22.1</v>
      </c>
      <c r="E18141" s="689">
        <v>22.3</v>
      </c>
      <c r="F18141" s="689">
        <v>22.5</v>
      </c>
      <c r="G18141" s="689">
        <v>22.7</v>
      </c>
      <c r="H18141" s="689">
        <v>22.9</v>
      </c>
      <c r="I18141" s="689">
        <v>22.2</v>
      </c>
      <c r="J18141" s="689">
        <v>21.3</v>
      </c>
      <c r="K18141" s="689">
        <v>22.3</v>
      </c>
    </row>
    <row r="18142" spans="1:11">
      <c r="A18142" s="688" t="s">
        <v>15</v>
      </c>
      <c r="B18142" s="691">
        <v>25.3</v>
      </c>
      <c r="C18142" s="691">
        <v>25.4</v>
      </c>
      <c r="D18142" s="691">
        <v>24.8</v>
      </c>
      <c r="E18142" s="691">
        <v>25.6</v>
      </c>
      <c r="F18142" s="691">
        <v>24.8</v>
      </c>
      <c r="G18142" s="691">
        <v>25.3</v>
      </c>
      <c r="H18142" s="691">
        <v>25.6</v>
      </c>
      <c r="I18142" s="691">
        <v>25.3</v>
      </c>
      <c r="J18142" s="691">
        <v>25.5</v>
      </c>
      <c r="K18142" s="691">
        <v>25.6</v>
      </c>
    </row>
    <row r="18143" spans="1:11">
      <c r="A18143" s="688" t="s">
        <v>29</v>
      </c>
      <c r="B18143" s="689">
        <v>21.5</v>
      </c>
      <c r="C18143" s="689">
        <v>21.5</v>
      </c>
      <c r="D18143" s="689">
        <v>21.1</v>
      </c>
      <c r="E18143" s="689">
        <v>21.6</v>
      </c>
      <c r="F18143" s="689">
        <v>21.3</v>
      </c>
      <c r="G18143" s="689">
        <v>21.4</v>
      </c>
      <c r="H18143" s="689">
        <v>21.5</v>
      </c>
      <c r="I18143" s="689">
        <v>20.8</v>
      </c>
      <c r="J18143" s="689">
        <v>20.100000000000001</v>
      </c>
      <c r="K18143" s="689">
        <v>21.1</v>
      </c>
    </row>
    <row r="18144" spans="1:11">
      <c r="A18144" s="688" t="s">
        <v>16</v>
      </c>
      <c r="B18144" s="691">
        <v>24.9</v>
      </c>
      <c r="C18144" s="691">
        <v>24.8</v>
      </c>
      <c r="D18144" s="691">
        <v>24.8</v>
      </c>
      <c r="E18144" s="691">
        <v>25.1</v>
      </c>
      <c r="F18144" s="691">
        <v>25.3</v>
      </c>
      <c r="G18144" s="691">
        <v>25.2</v>
      </c>
      <c r="H18144" s="691">
        <v>25.4</v>
      </c>
      <c r="I18144" s="615">
        <v>25</v>
      </c>
      <c r="J18144" s="691">
        <v>24.6</v>
      </c>
      <c r="K18144" s="615">
        <v>25</v>
      </c>
    </row>
    <row r="18145" spans="1:11">
      <c r="A18145" s="688" t="s">
        <v>17</v>
      </c>
      <c r="B18145" s="689">
        <v>24.5</v>
      </c>
      <c r="C18145" s="689">
        <v>24.6</v>
      </c>
      <c r="D18145" s="689">
        <v>24.3</v>
      </c>
      <c r="E18145" s="689">
        <v>24.4</v>
      </c>
      <c r="F18145" s="689">
        <v>24.5</v>
      </c>
      <c r="G18145" s="689">
        <v>24.5</v>
      </c>
      <c r="H18145" s="689">
        <v>24.7</v>
      </c>
      <c r="I18145" s="689">
        <v>24.2</v>
      </c>
      <c r="J18145" s="689">
        <v>24.1</v>
      </c>
      <c r="K18145" s="689">
        <v>24.2</v>
      </c>
    </row>
    <row r="18146" spans="1:11">
      <c r="A18146" s="688" t="s">
        <v>19</v>
      </c>
      <c r="B18146" s="691">
        <v>24.9</v>
      </c>
      <c r="C18146" s="691">
        <v>24.9</v>
      </c>
      <c r="D18146" s="691">
        <v>24.7</v>
      </c>
      <c r="E18146" s="615">
        <v>25</v>
      </c>
      <c r="F18146" s="691">
        <v>24.9</v>
      </c>
      <c r="G18146" s="615">
        <v>25</v>
      </c>
      <c r="H18146" s="691">
        <v>25.2</v>
      </c>
      <c r="I18146" s="691">
        <v>24.7</v>
      </c>
      <c r="J18146" s="691">
        <v>24.7</v>
      </c>
      <c r="K18146" s="691">
        <v>24.7</v>
      </c>
    </row>
    <row r="18147" spans="1:11">
      <c r="A18147" s="688" t="s">
        <v>20</v>
      </c>
      <c r="B18147" s="689">
        <v>23.1</v>
      </c>
      <c r="C18147" s="689">
        <v>23.2</v>
      </c>
      <c r="D18147" s="693">
        <v>23</v>
      </c>
      <c r="E18147" s="689">
        <v>23.4</v>
      </c>
      <c r="F18147" s="689">
        <v>23.2</v>
      </c>
      <c r="G18147" s="689">
        <v>23.2</v>
      </c>
      <c r="H18147" s="689">
        <v>23.4</v>
      </c>
      <c r="I18147" s="689">
        <v>22.3</v>
      </c>
      <c r="J18147" s="689">
        <v>21.4</v>
      </c>
      <c r="K18147" s="689">
        <v>22.7</v>
      </c>
    </row>
    <row r="18148" spans="1:11">
      <c r="A18148" s="688" t="s">
        <v>21</v>
      </c>
      <c r="B18148" s="691">
        <v>25.1</v>
      </c>
      <c r="C18148" s="691">
        <v>25.4</v>
      </c>
      <c r="D18148" s="691">
        <v>25.2</v>
      </c>
      <c r="E18148" s="691">
        <v>25.4</v>
      </c>
      <c r="F18148" s="691">
        <v>25.6</v>
      </c>
      <c r="G18148" s="691">
        <v>25.6</v>
      </c>
      <c r="H18148" s="691">
        <v>25.9</v>
      </c>
      <c r="I18148" s="691">
        <v>25.3</v>
      </c>
      <c r="J18148" s="691">
        <v>25.3</v>
      </c>
      <c r="K18148" s="691">
        <v>25.5</v>
      </c>
    </row>
    <row r="18149" spans="1:11">
      <c r="A18149" s="688" t="s">
        <v>22</v>
      </c>
      <c r="B18149" s="689">
        <v>21.4</v>
      </c>
      <c r="C18149" s="689">
        <v>21.2</v>
      </c>
      <c r="D18149" s="689">
        <v>21.1</v>
      </c>
      <c r="E18149" s="689">
        <v>21.4</v>
      </c>
      <c r="F18149" s="689">
        <v>21.4</v>
      </c>
      <c r="G18149" s="689">
        <v>21.5</v>
      </c>
      <c r="H18149" s="689">
        <v>21.8</v>
      </c>
      <c r="I18149" s="689">
        <v>20.7</v>
      </c>
      <c r="J18149" s="689">
        <v>19.399999999999999</v>
      </c>
      <c r="K18149" s="689">
        <v>21.3</v>
      </c>
    </row>
    <row r="18150" spans="1:11">
      <c r="A18150" s="688" t="s">
        <v>26</v>
      </c>
      <c r="B18150" s="691">
        <v>24.8</v>
      </c>
      <c r="C18150" s="691">
        <v>24.6</v>
      </c>
      <c r="D18150" s="691">
        <v>24.5</v>
      </c>
      <c r="E18150" s="691">
        <v>24.8</v>
      </c>
      <c r="F18150" s="691">
        <v>24.7</v>
      </c>
      <c r="G18150" s="691">
        <v>24.9</v>
      </c>
      <c r="H18150" s="615">
        <v>25</v>
      </c>
      <c r="I18150" s="691">
        <v>24.1</v>
      </c>
      <c r="J18150" s="691">
        <v>24.5</v>
      </c>
      <c r="K18150" s="691">
        <v>24.8</v>
      </c>
    </row>
    <row r="18151" spans="1:11">
      <c r="A18151" s="688" t="s">
        <v>25</v>
      </c>
      <c r="B18151" s="689">
        <v>22.1</v>
      </c>
      <c r="C18151" s="689">
        <v>22.2</v>
      </c>
      <c r="D18151" s="693">
        <v>22</v>
      </c>
      <c r="E18151" s="689">
        <v>22.4</v>
      </c>
      <c r="F18151" s="689">
        <v>22.3</v>
      </c>
      <c r="G18151" s="689">
        <v>22.5</v>
      </c>
      <c r="H18151" s="689">
        <v>22.9</v>
      </c>
      <c r="I18151" s="689">
        <v>22.2</v>
      </c>
      <c r="J18151" s="689">
        <v>20.3</v>
      </c>
      <c r="K18151" s="689">
        <v>22.2</v>
      </c>
    </row>
    <row r="18152" spans="1:11">
      <c r="A18152" s="688" t="s">
        <v>5</v>
      </c>
      <c r="B18152" s="691">
        <v>25.3</v>
      </c>
      <c r="C18152" s="691">
        <v>24.9</v>
      </c>
      <c r="D18152" s="691">
        <v>25.1</v>
      </c>
      <c r="E18152" s="691">
        <v>25.1</v>
      </c>
      <c r="F18152" s="691">
        <v>25.3</v>
      </c>
      <c r="G18152" s="691">
        <v>25.4</v>
      </c>
      <c r="H18152" s="691">
        <v>25.6</v>
      </c>
      <c r="I18152" s="691">
        <v>25.5</v>
      </c>
      <c r="J18152" s="691">
        <v>25.5</v>
      </c>
      <c r="K18152" s="691">
        <v>24.8</v>
      </c>
    </row>
    <row r="18153" spans="1:11">
      <c r="A18153" s="688" t="s">
        <v>23</v>
      </c>
      <c r="B18153" s="689">
        <v>24.8</v>
      </c>
      <c r="C18153" s="693">
        <v>25</v>
      </c>
      <c r="D18153" s="689">
        <v>24.9</v>
      </c>
      <c r="E18153" s="693">
        <v>25</v>
      </c>
      <c r="F18153" s="693">
        <v>25</v>
      </c>
      <c r="G18153" s="689">
        <v>25.1</v>
      </c>
      <c r="H18153" s="689">
        <v>25.5</v>
      </c>
      <c r="I18153" s="693">
        <v>25</v>
      </c>
      <c r="J18153" s="689">
        <v>25.5</v>
      </c>
      <c r="K18153" s="689">
        <v>25.4</v>
      </c>
    </row>
    <row r="18154" spans="1:11">
      <c r="A18154" s="688" t="s">
        <v>4067</v>
      </c>
      <c r="B18154" s="691">
        <v>24.7</v>
      </c>
      <c r="C18154" s="615">
        <v>25</v>
      </c>
      <c r="D18154" s="691">
        <v>24.6</v>
      </c>
      <c r="E18154" s="615">
        <v>25</v>
      </c>
      <c r="F18154" s="691">
        <v>24.9</v>
      </c>
      <c r="G18154" s="691">
        <v>24.9</v>
      </c>
      <c r="H18154" s="692" t="s">
        <v>4060</v>
      </c>
      <c r="I18154" s="692" t="s">
        <v>4060</v>
      </c>
      <c r="J18154" s="692" t="s">
        <v>4060</v>
      </c>
      <c r="K18154" s="692" t="s">
        <v>4060</v>
      </c>
    </row>
    <row r="18155" spans="1:11">
      <c r="A18155" s="688" t="s">
        <v>4066</v>
      </c>
      <c r="B18155" s="689">
        <v>24.8</v>
      </c>
      <c r="C18155" s="689">
        <v>25.1</v>
      </c>
      <c r="D18155" s="689">
        <v>24.7</v>
      </c>
      <c r="E18155" s="693">
        <v>25</v>
      </c>
      <c r="F18155" s="689">
        <v>24.9</v>
      </c>
      <c r="G18155" s="693">
        <v>25</v>
      </c>
      <c r="H18155" s="690" t="s">
        <v>4060</v>
      </c>
      <c r="I18155" s="690" t="s">
        <v>4060</v>
      </c>
      <c r="J18155" s="690" t="s">
        <v>4060</v>
      </c>
      <c r="K18155" s="690" t="s">
        <v>4060</v>
      </c>
    </row>
    <row r="18156" spans="1:11">
      <c r="A18156" s="688" t="s">
        <v>4062</v>
      </c>
      <c r="B18156" s="691">
        <v>25.5</v>
      </c>
      <c r="C18156" s="691">
        <v>25.6</v>
      </c>
      <c r="D18156" s="691">
        <v>25.5</v>
      </c>
      <c r="E18156" s="691">
        <v>25.7</v>
      </c>
      <c r="F18156" s="691">
        <v>25.7</v>
      </c>
      <c r="G18156" s="691">
        <v>25.8</v>
      </c>
      <c r="H18156" s="691">
        <v>25.9</v>
      </c>
      <c r="I18156" s="691">
        <v>25.7</v>
      </c>
      <c r="J18156" s="615">
        <v>26</v>
      </c>
      <c r="K18156" s="691">
        <v>25.7</v>
      </c>
    </row>
    <row r="18157" spans="1:11">
      <c r="A18157" s="688" t="s">
        <v>9</v>
      </c>
      <c r="B18157" s="689">
        <v>24.5</v>
      </c>
      <c r="C18157" s="689">
        <v>25.1</v>
      </c>
      <c r="D18157" s="689">
        <v>24.5</v>
      </c>
      <c r="E18157" s="689">
        <v>24.5</v>
      </c>
      <c r="F18157" s="689">
        <v>24.7</v>
      </c>
      <c r="G18157" s="693">
        <v>25</v>
      </c>
      <c r="H18157" s="689">
        <v>25.3</v>
      </c>
      <c r="I18157" s="689">
        <v>25.3</v>
      </c>
      <c r="J18157" s="689">
        <v>25.3</v>
      </c>
      <c r="K18157" s="689">
        <v>24.4</v>
      </c>
    </row>
    <row r="18158" spans="1:11">
      <c r="A18158" s="688" t="s">
        <v>13</v>
      </c>
      <c r="B18158" s="691">
        <v>25.8</v>
      </c>
      <c r="C18158" s="691">
        <v>24.3</v>
      </c>
      <c r="D18158" s="691">
        <v>25.3</v>
      </c>
      <c r="E18158" s="691">
        <v>25.5</v>
      </c>
      <c r="F18158" s="691">
        <v>25.8</v>
      </c>
      <c r="G18158" s="691">
        <v>25.7</v>
      </c>
      <c r="H18158" s="691">
        <v>25.5</v>
      </c>
      <c r="I18158" s="691">
        <v>25.1</v>
      </c>
      <c r="J18158" s="691">
        <v>26.4</v>
      </c>
      <c r="K18158" s="691">
        <v>25.5</v>
      </c>
    </row>
    <row r="18159" spans="1:11">
      <c r="A18159" s="688" t="s">
        <v>18</v>
      </c>
      <c r="B18159" s="689">
        <v>24.8</v>
      </c>
      <c r="C18159" s="693">
        <v>25</v>
      </c>
      <c r="D18159" s="693">
        <v>25</v>
      </c>
      <c r="E18159" s="689">
        <v>25.1</v>
      </c>
      <c r="F18159" s="689">
        <v>25.1</v>
      </c>
      <c r="G18159" s="689">
        <v>25.3</v>
      </c>
      <c r="H18159" s="689">
        <v>25.4</v>
      </c>
      <c r="I18159" s="689">
        <v>25.6</v>
      </c>
      <c r="J18159" s="689">
        <v>25.4</v>
      </c>
      <c r="K18159" s="689">
        <v>25.1</v>
      </c>
    </row>
    <row r="18160" spans="1:11">
      <c r="A18160" s="688" t="s">
        <v>24</v>
      </c>
      <c r="B18160" s="691">
        <v>25.9</v>
      </c>
      <c r="C18160" s="615">
        <v>26</v>
      </c>
      <c r="D18160" s="691">
        <v>25.7</v>
      </c>
      <c r="E18160" s="691">
        <v>26.1</v>
      </c>
      <c r="F18160" s="691">
        <v>26.1</v>
      </c>
      <c r="G18160" s="691">
        <v>26.2</v>
      </c>
      <c r="H18160" s="691">
        <v>26.3</v>
      </c>
      <c r="I18160" s="691">
        <v>25.8</v>
      </c>
      <c r="J18160" s="691">
        <v>26.3</v>
      </c>
      <c r="K18160" s="691">
        <v>26.1</v>
      </c>
    </row>
    <row r="18161" spans="1:11">
      <c r="A18161" s="688" t="s">
        <v>4059</v>
      </c>
      <c r="B18161" s="689">
        <v>24.4</v>
      </c>
      <c r="C18161" s="689">
        <v>24.7</v>
      </c>
      <c r="D18161" s="689">
        <v>24.2</v>
      </c>
      <c r="E18161" s="689">
        <v>24.5</v>
      </c>
      <c r="F18161" s="689">
        <v>24.5</v>
      </c>
      <c r="G18161" s="689">
        <v>24.5</v>
      </c>
      <c r="H18161" s="690" t="s">
        <v>4060</v>
      </c>
      <c r="I18161" s="690" t="s">
        <v>4060</v>
      </c>
      <c r="J18161" s="690" t="s">
        <v>4060</v>
      </c>
      <c r="K18161" s="690" t="s">
        <v>4060</v>
      </c>
    </row>
    <row r="18162" spans="1:11">
      <c r="A18162" s="688" t="s">
        <v>2324</v>
      </c>
      <c r="B18162" s="691">
        <v>20.8</v>
      </c>
      <c r="C18162" s="691">
        <v>20.9</v>
      </c>
      <c r="D18162" s="691">
        <v>20.5</v>
      </c>
      <c r="E18162" s="691">
        <v>20.6</v>
      </c>
      <c r="F18162" s="691">
        <v>20.9</v>
      </c>
      <c r="G18162" s="691">
        <v>20.9</v>
      </c>
      <c r="H18162" s="691">
        <v>21.2</v>
      </c>
      <c r="I18162" s="691">
        <v>20.5</v>
      </c>
      <c r="J18162" s="691">
        <v>18.7</v>
      </c>
      <c r="K18162" s="692" t="s">
        <v>4060</v>
      </c>
    </row>
    <row r="18163" spans="1:11">
      <c r="A18163" s="688" t="s">
        <v>2322</v>
      </c>
      <c r="B18163" s="690" t="s">
        <v>4060</v>
      </c>
      <c r="C18163" s="690" t="s">
        <v>4060</v>
      </c>
      <c r="D18163" s="690" t="s">
        <v>4060</v>
      </c>
      <c r="E18163" s="690" t="s">
        <v>4060</v>
      </c>
      <c r="F18163" s="690" t="s">
        <v>4060</v>
      </c>
      <c r="G18163" s="690" t="s">
        <v>4060</v>
      </c>
      <c r="H18163" s="690" t="s">
        <v>4060</v>
      </c>
      <c r="I18163" s="690" t="s">
        <v>4060</v>
      </c>
      <c r="J18163" s="690" t="s">
        <v>4060</v>
      </c>
      <c r="K18163" s="690" t="s">
        <v>4060</v>
      </c>
    </row>
    <row r="18164" spans="1:11">
      <c r="A18164" s="688" t="s">
        <v>2328</v>
      </c>
      <c r="B18164" s="691">
        <v>19.7</v>
      </c>
      <c r="C18164" s="691">
        <v>19.5</v>
      </c>
      <c r="D18164" s="691">
        <v>19.5</v>
      </c>
      <c r="E18164" s="691">
        <v>19.8</v>
      </c>
      <c r="F18164" s="691">
        <v>19.899999999999999</v>
      </c>
      <c r="G18164" s="691">
        <v>20.399999999999999</v>
      </c>
      <c r="H18164" s="691">
        <v>20.2</v>
      </c>
      <c r="I18164" s="691">
        <v>18.8</v>
      </c>
      <c r="J18164" s="615">
        <v>18</v>
      </c>
      <c r="K18164" s="692" t="s">
        <v>4060</v>
      </c>
    </row>
    <row r="18165" spans="1:11">
      <c r="A18165" s="688" t="s">
        <v>2496</v>
      </c>
      <c r="B18165" s="690" t="s">
        <v>4060</v>
      </c>
      <c r="C18165" s="689">
        <v>20.8</v>
      </c>
      <c r="D18165" s="689">
        <v>20.100000000000001</v>
      </c>
      <c r="E18165" s="689">
        <v>19.8</v>
      </c>
      <c r="F18165" s="689">
        <v>20.3</v>
      </c>
      <c r="G18165" s="689">
        <v>20.6</v>
      </c>
      <c r="H18165" s="689">
        <v>20.6</v>
      </c>
      <c r="I18165" s="690" t="s">
        <v>4060</v>
      </c>
      <c r="J18165" s="690" t="s">
        <v>4060</v>
      </c>
      <c r="K18165" s="689">
        <v>20.3</v>
      </c>
    </row>
    <row r="18166" spans="1:11">
      <c r="A18166" s="688" t="s">
        <v>2269</v>
      </c>
      <c r="B18166" s="691">
        <v>21.9</v>
      </c>
      <c r="C18166" s="691">
        <v>22.1</v>
      </c>
      <c r="D18166" s="691">
        <v>21.3</v>
      </c>
      <c r="E18166" s="691">
        <v>21.8</v>
      </c>
      <c r="F18166" s="691">
        <v>21.6</v>
      </c>
      <c r="G18166" s="691">
        <v>22.1</v>
      </c>
      <c r="H18166" s="691">
        <v>22.3</v>
      </c>
      <c r="I18166" s="691">
        <v>21.2</v>
      </c>
      <c r="J18166" s="691">
        <v>19.3</v>
      </c>
      <c r="K18166" s="691">
        <v>21.9</v>
      </c>
    </row>
    <row r="18167" spans="1:11">
      <c r="A18167" s="688" t="s">
        <v>2349</v>
      </c>
      <c r="B18167" s="689">
        <v>20.100000000000001</v>
      </c>
      <c r="C18167" s="689">
        <v>20.100000000000001</v>
      </c>
      <c r="D18167" s="693">
        <v>20</v>
      </c>
      <c r="E18167" s="689">
        <v>20.399999999999999</v>
      </c>
      <c r="F18167" s="689">
        <v>20.2</v>
      </c>
      <c r="G18167" s="689">
        <v>20.399999999999999</v>
      </c>
      <c r="H18167" s="689">
        <v>20.6</v>
      </c>
      <c r="I18167" s="689">
        <v>19.600000000000001</v>
      </c>
      <c r="J18167" s="689">
        <v>18.100000000000001</v>
      </c>
      <c r="K18167" s="689">
        <v>19.8</v>
      </c>
    </row>
    <row r="18168" spans="1:11">
      <c r="A18168" s="688" t="s">
        <v>2355</v>
      </c>
      <c r="B18168" s="691">
        <v>23.2</v>
      </c>
      <c r="C18168" s="615">
        <v>23</v>
      </c>
      <c r="D18168" s="615">
        <v>23</v>
      </c>
      <c r="E18168" s="691">
        <v>22.9</v>
      </c>
      <c r="F18168" s="691">
        <v>23.1</v>
      </c>
      <c r="G18168" s="691">
        <v>23.4</v>
      </c>
      <c r="H18168" s="691">
        <v>23.5</v>
      </c>
      <c r="I18168" s="692" t="s">
        <v>4060</v>
      </c>
      <c r="J18168" s="692" t="s">
        <v>4060</v>
      </c>
      <c r="K18168" s="692" t="s">
        <v>4060</v>
      </c>
    </row>
    <row r="18169" spans="1:11">
      <c r="A18169" s="688" t="s">
        <v>2357</v>
      </c>
      <c r="B18169" s="690" t="s">
        <v>4060</v>
      </c>
      <c r="C18169" s="689">
        <v>20.2</v>
      </c>
      <c r="D18169" s="689">
        <v>20.5</v>
      </c>
      <c r="E18169" s="689">
        <v>20.8</v>
      </c>
      <c r="F18169" s="693">
        <v>21</v>
      </c>
      <c r="G18169" s="693">
        <v>21</v>
      </c>
      <c r="H18169" s="689">
        <v>21.2</v>
      </c>
      <c r="I18169" s="690" t="s">
        <v>4060</v>
      </c>
      <c r="J18169" s="690" t="s">
        <v>4060</v>
      </c>
      <c r="K18169" s="690" t="s">
        <v>4060</v>
      </c>
    </row>
    <row r="18170" spans="1:11">
      <c r="A18170" s="688" t="s">
        <v>4070</v>
      </c>
      <c r="B18170" s="692" t="s">
        <v>4060</v>
      </c>
      <c r="C18170" s="692" t="s">
        <v>4060</v>
      </c>
      <c r="D18170" s="692" t="s">
        <v>4060</v>
      </c>
      <c r="E18170" s="691">
        <v>23.1</v>
      </c>
      <c r="F18170" s="692" t="s">
        <v>4060</v>
      </c>
      <c r="G18170" s="692" t="s">
        <v>4060</v>
      </c>
      <c r="H18170" s="692" t="s">
        <v>4060</v>
      </c>
      <c r="I18170" s="692" t="s">
        <v>4060</v>
      </c>
      <c r="J18170" s="692" t="s">
        <v>4060</v>
      </c>
      <c r="K18170" s="692" t="s">
        <v>4060</v>
      </c>
    </row>
    <row r="18171" spans="1:11">
      <c r="A18171" s="688" t="s">
        <v>2491</v>
      </c>
      <c r="B18171" s="689">
        <v>20.8</v>
      </c>
      <c r="C18171" s="689">
        <v>21.2</v>
      </c>
      <c r="D18171" s="689">
        <v>21.3</v>
      </c>
      <c r="E18171" s="689">
        <v>21.5</v>
      </c>
      <c r="F18171" s="689">
        <v>21.5</v>
      </c>
      <c r="G18171" s="689">
        <v>21.6</v>
      </c>
      <c r="H18171" s="690" t="s">
        <v>4060</v>
      </c>
      <c r="I18171" s="690" t="s">
        <v>4060</v>
      </c>
      <c r="J18171" s="690" t="s">
        <v>4060</v>
      </c>
      <c r="K18171" s="690" t="s">
        <v>4060</v>
      </c>
    </row>
    <row r="18172" spans="1:11">
      <c r="A18172" s="688" t="s">
        <v>2343</v>
      </c>
      <c r="B18172" s="692" t="s">
        <v>4060</v>
      </c>
      <c r="C18172" s="692" t="s">
        <v>4060</v>
      </c>
      <c r="D18172" s="692" t="s">
        <v>4060</v>
      </c>
      <c r="E18172" s="692" t="s">
        <v>4060</v>
      </c>
      <c r="F18172" s="692" t="s">
        <v>4060</v>
      </c>
      <c r="G18172" s="692" t="s">
        <v>4060</v>
      </c>
      <c r="H18172" s="692" t="s">
        <v>4060</v>
      </c>
      <c r="I18172" s="692" t="s">
        <v>4060</v>
      </c>
      <c r="J18172" s="692" t="s">
        <v>4060</v>
      </c>
      <c r="K18172" s="692" t="s">
        <v>4060</v>
      </c>
    </row>
    <row r="18173" spans="1:11">
      <c r="A18173" s="688" t="s">
        <v>4071</v>
      </c>
      <c r="B18173" s="690" t="s">
        <v>4060</v>
      </c>
      <c r="C18173" s="690" t="s">
        <v>4060</v>
      </c>
      <c r="D18173" s="690" t="s">
        <v>4060</v>
      </c>
      <c r="E18173" s="690" t="s">
        <v>4060</v>
      </c>
      <c r="F18173" s="690" t="s">
        <v>4060</v>
      </c>
      <c r="G18173" s="690" t="s">
        <v>4060</v>
      </c>
      <c r="H18173" s="690" t="s">
        <v>4060</v>
      </c>
      <c r="I18173" s="690" t="s">
        <v>4060</v>
      </c>
      <c r="J18173" s="690" t="s">
        <v>4060</v>
      </c>
      <c r="K18173" s="690" t="s">
        <v>4060</v>
      </c>
    </row>
    <row r="18174" spans="1:11">
      <c r="A18174" s="688" t="s">
        <v>2489</v>
      </c>
      <c r="B18174" s="692" t="s">
        <v>4060</v>
      </c>
      <c r="C18174" s="692" t="s">
        <v>4060</v>
      </c>
      <c r="D18174" s="691">
        <v>20.5</v>
      </c>
      <c r="E18174" s="691">
        <v>20.399999999999999</v>
      </c>
      <c r="F18174" s="691">
        <v>20.7</v>
      </c>
      <c r="G18174" s="691">
        <v>21.4</v>
      </c>
      <c r="H18174" s="691">
        <v>21.4</v>
      </c>
      <c r="I18174" s="692" t="s">
        <v>4060</v>
      </c>
      <c r="J18174" s="692" t="s">
        <v>4060</v>
      </c>
      <c r="K18174" s="692" t="s">
        <v>4060</v>
      </c>
    </row>
    <row r="18175" spans="1:11">
      <c r="A18175" s="688" t="s">
        <v>2490</v>
      </c>
      <c r="B18175" s="689">
        <v>19.7</v>
      </c>
      <c r="C18175" s="689">
        <v>19.7</v>
      </c>
      <c r="D18175" s="689">
        <v>20.2</v>
      </c>
      <c r="E18175" s="690" t="s">
        <v>4060</v>
      </c>
      <c r="F18175" s="689">
        <v>20.399999999999999</v>
      </c>
      <c r="G18175" s="689">
        <v>20.7</v>
      </c>
      <c r="H18175" s="689">
        <v>21.4</v>
      </c>
      <c r="I18175" s="690" t="s">
        <v>4060</v>
      </c>
      <c r="J18175" s="690" t="s">
        <v>4060</v>
      </c>
      <c r="K18175" s="690" t="s">
        <v>4060</v>
      </c>
    </row>
    <row r="18177" spans="1:11">
      <c r="A18177" s="683" t="s">
        <v>4233</v>
      </c>
    </row>
    <row r="18178" spans="1:11">
      <c r="A18178" s="683" t="s">
        <v>4060</v>
      </c>
      <c r="B18178" s="682" t="s">
        <v>4234</v>
      </c>
    </row>
    <row r="18180" spans="1:11">
      <c r="A18180" s="682" t="s">
        <v>4332</v>
      </c>
    </row>
    <row r="18181" spans="1:11">
      <c r="A18181" s="682" t="s">
        <v>4210</v>
      </c>
      <c r="B18181" s="683" t="s">
        <v>4211</v>
      </c>
    </row>
    <row r="18182" spans="1:11">
      <c r="A18182" s="682" t="s">
        <v>4212</v>
      </c>
      <c r="B18182" s="682" t="s">
        <v>4213</v>
      </c>
    </row>
    <row r="18184" spans="1:11">
      <c r="A18184" s="683" t="s">
        <v>4214</v>
      </c>
      <c r="C18184" s="682" t="s">
        <v>4215</v>
      </c>
    </row>
    <row r="18185" spans="1:11">
      <c r="A18185" s="683" t="s">
        <v>4216</v>
      </c>
      <c r="C18185" s="682" t="s">
        <v>2967</v>
      </c>
    </row>
    <row r="18186" spans="1:11">
      <c r="A18186" s="683" t="s">
        <v>3893</v>
      </c>
      <c r="C18186" s="682" t="s">
        <v>2169</v>
      </c>
    </row>
    <row r="18187" spans="1:11">
      <c r="A18187" s="683" t="s">
        <v>4218</v>
      </c>
      <c r="C18187" s="682" t="s">
        <v>4297</v>
      </c>
    </row>
    <row r="18189" spans="1:11">
      <c r="A18189" s="684" t="s">
        <v>4220</v>
      </c>
      <c r="B18189" s="685" t="s">
        <v>4221</v>
      </c>
      <c r="C18189" s="685" t="s">
        <v>4222</v>
      </c>
      <c r="D18189" s="685" t="s">
        <v>4223</v>
      </c>
      <c r="E18189" s="685" t="s">
        <v>4224</v>
      </c>
      <c r="F18189" s="685" t="s">
        <v>4225</v>
      </c>
      <c r="G18189" s="685" t="s">
        <v>4226</v>
      </c>
      <c r="H18189" s="685" t="s">
        <v>4227</v>
      </c>
      <c r="I18189" s="685" t="s">
        <v>4228</v>
      </c>
      <c r="J18189" s="685" t="s">
        <v>4229</v>
      </c>
      <c r="K18189" s="685" t="s">
        <v>4230</v>
      </c>
    </row>
    <row r="18190" spans="1:11">
      <c r="A18190" s="686" t="s">
        <v>4231</v>
      </c>
      <c r="B18190" s="687" t="s">
        <v>4232</v>
      </c>
      <c r="C18190" s="687" t="s">
        <v>4232</v>
      </c>
      <c r="D18190" s="687" t="s">
        <v>4232</v>
      </c>
      <c r="E18190" s="687" t="s">
        <v>4232</v>
      </c>
      <c r="F18190" s="687" t="s">
        <v>4232</v>
      </c>
      <c r="G18190" s="687" t="s">
        <v>4232</v>
      </c>
      <c r="H18190" s="687" t="s">
        <v>4232</v>
      </c>
      <c r="I18190" s="687" t="s">
        <v>4232</v>
      </c>
      <c r="J18190" s="687" t="s">
        <v>4232</v>
      </c>
      <c r="K18190" s="687" t="s">
        <v>4232</v>
      </c>
    </row>
    <row r="18191" spans="1:11">
      <c r="A18191" s="688" t="s">
        <v>4064</v>
      </c>
      <c r="B18191" s="689">
        <v>23.9</v>
      </c>
      <c r="C18191" s="689">
        <v>23.9</v>
      </c>
      <c r="D18191" s="689">
        <v>23.8</v>
      </c>
      <c r="E18191" s="689">
        <v>23.9</v>
      </c>
      <c r="F18191" s="689">
        <v>23.8</v>
      </c>
      <c r="G18191" s="689">
        <v>23.9</v>
      </c>
      <c r="H18191" s="689">
        <v>24.1</v>
      </c>
      <c r="I18191" s="689">
        <v>23.5</v>
      </c>
      <c r="J18191" s="689">
        <v>23.3</v>
      </c>
      <c r="K18191" s="689">
        <v>23.6</v>
      </c>
    </row>
    <row r="18192" spans="1:11">
      <c r="A18192" s="688" t="s">
        <v>4065</v>
      </c>
      <c r="B18192" s="691">
        <v>23.9</v>
      </c>
      <c r="C18192" s="691">
        <v>24.2</v>
      </c>
      <c r="D18192" s="691">
        <v>23.8</v>
      </c>
      <c r="E18192" s="691">
        <v>24.1</v>
      </c>
      <c r="F18192" s="615">
        <v>24</v>
      </c>
      <c r="G18192" s="691">
        <v>24.1</v>
      </c>
      <c r="H18192" s="692" t="s">
        <v>4060</v>
      </c>
      <c r="I18192" s="692" t="s">
        <v>4060</v>
      </c>
      <c r="J18192" s="692" t="s">
        <v>4060</v>
      </c>
      <c r="K18192" s="692" t="s">
        <v>4060</v>
      </c>
    </row>
    <row r="18193" spans="1:11">
      <c r="A18193" s="688" t="s">
        <v>4063</v>
      </c>
      <c r="B18193" s="689">
        <v>23.9</v>
      </c>
      <c r="C18193" s="689">
        <v>24.2</v>
      </c>
      <c r="D18193" s="689">
        <v>23.8</v>
      </c>
      <c r="E18193" s="689">
        <v>24.2</v>
      </c>
      <c r="F18193" s="693">
        <v>24</v>
      </c>
      <c r="G18193" s="689">
        <v>24.1</v>
      </c>
      <c r="H18193" s="690" t="s">
        <v>4060</v>
      </c>
      <c r="I18193" s="690" t="s">
        <v>4060</v>
      </c>
      <c r="J18193" s="690" t="s">
        <v>4060</v>
      </c>
      <c r="K18193" s="690" t="s">
        <v>4060</v>
      </c>
    </row>
    <row r="18194" spans="1:11">
      <c r="A18194" s="688" t="s">
        <v>4069</v>
      </c>
      <c r="B18194" s="692" t="s">
        <v>4060</v>
      </c>
      <c r="C18194" s="691">
        <v>24.5</v>
      </c>
      <c r="D18194" s="691">
        <v>24.2</v>
      </c>
      <c r="E18194" s="691">
        <v>24.5</v>
      </c>
      <c r="F18194" s="691">
        <v>24.5</v>
      </c>
      <c r="G18194" s="691">
        <v>24.6</v>
      </c>
      <c r="H18194" s="691">
        <v>24.8</v>
      </c>
      <c r="I18194" s="691">
        <v>24.2</v>
      </c>
      <c r="J18194" s="691">
        <v>24.2</v>
      </c>
      <c r="K18194" s="691">
        <v>24.2</v>
      </c>
    </row>
    <row r="18195" spans="1:11">
      <c r="A18195" s="688" t="s">
        <v>4068</v>
      </c>
      <c r="B18195" s="689">
        <v>24.6</v>
      </c>
      <c r="C18195" s="690" t="s">
        <v>4060</v>
      </c>
      <c r="D18195" s="690" t="s">
        <v>4060</v>
      </c>
      <c r="E18195" s="690" t="s">
        <v>4060</v>
      </c>
      <c r="F18195" s="690" t="s">
        <v>4060</v>
      </c>
      <c r="G18195" s="690" t="s">
        <v>4060</v>
      </c>
      <c r="H18195" s="690" t="s">
        <v>4060</v>
      </c>
      <c r="I18195" s="690" t="s">
        <v>4060</v>
      </c>
      <c r="J18195" s="690" t="s">
        <v>4060</v>
      </c>
      <c r="K18195" s="690" t="s">
        <v>4060</v>
      </c>
    </row>
    <row r="18196" spans="1:11">
      <c r="A18196" s="688" t="s">
        <v>0</v>
      </c>
      <c r="B18196" s="691">
        <v>23.9</v>
      </c>
      <c r="C18196" s="615">
        <v>24</v>
      </c>
      <c r="D18196" s="691">
        <v>23.7</v>
      </c>
      <c r="E18196" s="691">
        <v>24.1</v>
      </c>
      <c r="F18196" s="691">
        <v>24.1</v>
      </c>
      <c r="G18196" s="691">
        <v>24.1</v>
      </c>
      <c r="H18196" s="691">
        <v>24.4</v>
      </c>
      <c r="I18196" s="691">
        <v>23.4</v>
      </c>
      <c r="J18196" s="691">
        <v>24.4</v>
      </c>
      <c r="K18196" s="691">
        <v>24.1</v>
      </c>
    </row>
    <row r="18197" spans="1:11">
      <c r="A18197" s="688" t="s">
        <v>1</v>
      </c>
      <c r="B18197" s="689">
        <v>20.3</v>
      </c>
      <c r="C18197" s="689">
        <v>19.899999999999999</v>
      </c>
      <c r="D18197" s="689">
        <v>19.899999999999999</v>
      </c>
      <c r="E18197" s="689">
        <v>20.2</v>
      </c>
      <c r="F18197" s="689">
        <v>20.100000000000001</v>
      </c>
      <c r="G18197" s="689">
        <v>20.3</v>
      </c>
      <c r="H18197" s="689">
        <v>20.399999999999999</v>
      </c>
      <c r="I18197" s="689">
        <v>19.399999999999999</v>
      </c>
      <c r="J18197" s="689">
        <v>17.8</v>
      </c>
      <c r="K18197" s="689">
        <v>19.8</v>
      </c>
    </row>
    <row r="18198" spans="1:11">
      <c r="A18198" s="688" t="s">
        <v>2240</v>
      </c>
      <c r="B18198" s="691">
        <v>21.8</v>
      </c>
      <c r="C18198" s="691">
        <v>22.1</v>
      </c>
      <c r="D18198" s="691">
        <v>21.8</v>
      </c>
      <c r="E18198" s="691">
        <v>22.3</v>
      </c>
      <c r="F18198" s="691">
        <v>22.2</v>
      </c>
      <c r="G18198" s="691">
        <v>22.2</v>
      </c>
      <c r="H18198" s="691">
        <v>22.5</v>
      </c>
      <c r="I18198" s="691">
        <v>21.7</v>
      </c>
      <c r="J18198" s="691">
        <v>21.1</v>
      </c>
      <c r="K18198" s="691">
        <v>22.3</v>
      </c>
    </row>
    <row r="18199" spans="1:11">
      <c r="A18199" s="688" t="s">
        <v>2</v>
      </c>
      <c r="B18199" s="689">
        <v>22.9</v>
      </c>
      <c r="C18199" s="689">
        <v>23.1</v>
      </c>
      <c r="D18199" s="689">
        <v>23.1</v>
      </c>
      <c r="E18199" s="689">
        <v>23.2</v>
      </c>
      <c r="F18199" s="689">
        <v>23.4</v>
      </c>
      <c r="G18199" s="689">
        <v>23.2</v>
      </c>
      <c r="H18199" s="689">
        <v>23.5</v>
      </c>
      <c r="I18199" s="689">
        <v>23.6</v>
      </c>
      <c r="J18199" s="689">
        <v>23.4</v>
      </c>
      <c r="K18199" s="689">
        <v>23.2</v>
      </c>
    </row>
    <row r="18200" spans="1:11">
      <c r="A18200" s="688" t="s">
        <v>3</v>
      </c>
      <c r="B18200" s="691">
        <v>23.5</v>
      </c>
      <c r="C18200" s="691">
        <v>23.7</v>
      </c>
      <c r="D18200" s="691">
        <v>23.4</v>
      </c>
      <c r="E18200" s="691">
        <v>23.7</v>
      </c>
      <c r="F18200" s="691">
        <v>23.6</v>
      </c>
      <c r="G18200" s="691">
        <v>23.6</v>
      </c>
      <c r="H18200" s="691">
        <v>23.8</v>
      </c>
      <c r="I18200" s="691">
        <v>23.7</v>
      </c>
      <c r="J18200" s="691">
        <v>23.5</v>
      </c>
      <c r="K18200" s="691">
        <v>23.2</v>
      </c>
    </row>
    <row r="18201" spans="1:11">
      <c r="A18201" s="688" t="s">
        <v>4061</v>
      </c>
      <c r="B18201" s="689">
        <v>23.5</v>
      </c>
      <c r="C18201" s="689">
        <v>23.7</v>
      </c>
      <c r="D18201" s="689">
        <v>23.4</v>
      </c>
      <c r="E18201" s="689">
        <v>23.7</v>
      </c>
      <c r="F18201" s="689">
        <v>23.6</v>
      </c>
      <c r="G18201" s="689">
        <v>23.6</v>
      </c>
      <c r="H18201" s="689">
        <v>23.8</v>
      </c>
      <c r="I18201" s="689">
        <v>23.7</v>
      </c>
      <c r="J18201" s="689">
        <v>23.5</v>
      </c>
      <c r="K18201" s="689">
        <v>23.2</v>
      </c>
    </row>
    <row r="18202" spans="1:11">
      <c r="A18202" s="688" t="s">
        <v>4</v>
      </c>
      <c r="B18202" s="691">
        <v>22.8</v>
      </c>
      <c r="C18202" s="691">
        <v>22.5</v>
      </c>
      <c r="D18202" s="691">
        <v>22.7</v>
      </c>
      <c r="E18202" s="615">
        <v>23</v>
      </c>
      <c r="F18202" s="691">
        <v>22.9</v>
      </c>
      <c r="G18202" s="691">
        <v>22.9</v>
      </c>
      <c r="H18202" s="691">
        <v>23.4</v>
      </c>
      <c r="I18202" s="691">
        <v>23.4</v>
      </c>
      <c r="J18202" s="691">
        <v>22.1</v>
      </c>
      <c r="K18202" s="691">
        <v>22.9</v>
      </c>
    </row>
    <row r="18203" spans="1:11">
      <c r="A18203" s="688" t="s">
        <v>8</v>
      </c>
      <c r="B18203" s="689">
        <v>23.4</v>
      </c>
      <c r="C18203" s="689">
        <v>23.5</v>
      </c>
      <c r="D18203" s="689">
        <v>23.5</v>
      </c>
      <c r="E18203" s="689">
        <v>23.5</v>
      </c>
      <c r="F18203" s="689">
        <v>23.9</v>
      </c>
      <c r="G18203" s="693">
        <v>24</v>
      </c>
      <c r="H18203" s="689">
        <v>24.3</v>
      </c>
      <c r="I18203" s="689">
        <v>24.1</v>
      </c>
      <c r="J18203" s="689">
        <v>24.1</v>
      </c>
      <c r="K18203" s="693">
        <v>24</v>
      </c>
    </row>
    <row r="18204" spans="1:11">
      <c r="A18204" s="688" t="s">
        <v>7</v>
      </c>
      <c r="B18204" s="691">
        <v>24.2</v>
      </c>
      <c r="C18204" s="615">
        <v>24</v>
      </c>
      <c r="D18204" s="691">
        <v>23.7</v>
      </c>
      <c r="E18204" s="615">
        <v>24</v>
      </c>
      <c r="F18204" s="691">
        <v>23.9</v>
      </c>
      <c r="G18204" s="691">
        <v>24.3</v>
      </c>
      <c r="H18204" s="691">
        <v>24.2</v>
      </c>
      <c r="I18204" s="691">
        <v>23.9</v>
      </c>
      <c r="J18204" s="691">
        <v>23.2</v>
      </c>
      <c r="K18204" s="691">
        <v>23.5</v>
      </c>
    </row>
    <row r="18205" spans="1:11">
      <c r="A18205" s="688" t="s">
        <v>27</v>
      </c>
      <c r="B18205" s="689">
        <v>26.1</v>
      </c>
      <c r="C18205" s="689">
        <v>25.6</v>
      </c>
      <c r="D18205" s="689">
        <v>25.3</v>
      </c>
      <c r="E18205" s="689">
        <v>25.7</v>
      </c>
      <c r="F18205" s="689">
        <v>25.6</v>
      </c>
      <c r="G18205" s="689">
        <v>25.7</v>
      </c>
      <c r="H18205" s="689">
        <v>26.1</v>
      </c>
      <c r="I18205" s="689">
        <v>24.9</v>
      </c>
      <c r="J18205" s="689">
        <v>25.7</v>
      </c>
      <c r="K18205" s="689">
        <v>25.6</v>
      </c>
    </row>
    <row r="18206" spans="1:11">
      <c r="A18206" s="688" t="s">
        <v>6</v>
      </c>
      <c r="B18206" s="691">
        <v>26.2</v>
      </c>
      <c r="C18206" s="691">
        <v>25.9</v>
      </c>
      <c r="D18206" s="691">
        <v>25.6</v>
      </c>
      <c r="E18206" s="691">
        <v>25.9</v>
      </c>
      <c r="F18206" s="691">
        <v>25.9</v>
      </c>
      <c r="G18206" s="615">
        <v>26</v>
      </c>
      <c r="H18206" s="691">
        <v>26.1</v>
      </c>
      <c r="I18206" s="691">
        <v>25.5</v>
      </c>
      <c r="J18206" s="691">
        <v>25.7</v>
      </c>
      <c r="K18206" s="691">
        <v>25.6</v>
      </c>
    </row>
    <row r="18207" spans="1:11">
      <c r="A18207" s="688" t="s">
        <v>4058</v>
      </c>
      <c r="B18207" s="690" t="s">
        <v>4060</v>
      </c>
      <c r="C18207" s="690" t="s">
        <v>4060</v>
      </c>
      <c r="D18207" s="690" t="s">
        <v>4060</v>
      </c>
      <c r="E18207" s="690" t="s">
        <v>4060</v>
      </c>
      <c r="F18207" s="690" t="s">
        <v>4060</v>
      </c>
      <c r="G18207" s="690" t="s">
        <v>4060</v>
      </c>
      <c r="H18207" s="690" t="s">
        <v>4060</v>
      </c>
      <c r="I18207" s="690" t="s">
        <v>4060</v>
      </c>
      <c r="J18207" s="690" t="s">
        <v>4060</v>
      </c>
      <c r="K18207" s="690" t="s">
        <v>4060</v>
      </c>
    </row>
    <row r="18208" spans="1:11">
      <c r="A18208" s="688" t="s">
        <v>11</v>
      </c>
      <c r="B18208" s="691">
        <v>21.6</v>
      </c>
      <c r="C18208" s="691">
        <v>21.4</v>
      </c>
      <c r="D18208" s="615">
        <v>21</v>
      </c>
      <c r="E18208" s="691">
        <v>21.5</v>
      </c>
      <c r="F18208" s="691">
        <v>21.3</v>
      </c>
      <c r="G18208" s="691">
        <v>21.6</v>
      </c>
      <c r="H18208" s="691">
        <v>21.8</v>
      </c>
      <c r="I18208" s="691">
        <v>21.1</v>
      </c>
      <c r="J18208" s="691">
        <v>20.5</v>
      </c>
      <c r="K18208" s="691">
        <v>21.2</v>
      </c>
    </row>
    <row r="18209" spans="1:11">
      <c r="A18209" s="688" t="s">
        <v>10</v>
      </c>
      <c r="B18209" s="689">
        <v>25.2</v>
      </c>
      <c r="C18209" s="693">
        <v>25</v>
      </c>
      <c r="D18209" s="689">
        <v>24.5</v>
      </c>
      <c r="E18209" s="689">
        <v>25.1</v>
      </c>
      <c r="F18209" s="689">
        <v>24.8</v>
      </c>
      <c r="G18209" s="689">
        <v>25.1</v>
      </c>
      <c r="H18209" s="689">
        <v>25.2</v>
      </c>
      <c r="I18209" s="689">
        <v>24.3</v>
      </c>
      <c r="J18209" s="689">
        <v>24.6</v>
      </c>
      <c r="K18209" s="689">
        <v>24.6</v>
      </c>
    </row>
    <row r="18210" spans="1:11">
      <c r="A18210" s="688" t="s">
        <v>30</v>
      </c>
      <c r="B18210" s="691">
        <v>24.3</v>
      </c>
      <c r="C18210" s="691">
        <v>23.8</v>
      </c>
      <c r="D18210" s="691">
        <v>23.5</v>
      </c>
      <c r="E18210" s="691">
        <v>24.3</v>
      </c>
      <c r="F18210" s="615">
        <v>24</v>
      </c>
      <c r="G18210" s="691">
        <v>24.4</v>
      </c>
      <c r="H18210" s="691">
        <v>24.2</v>
      </c>
      <c r="I18210" s="691">
        <v>24.3</v>
      </c>
      <c r="J18210" s="691">
        <v>23.7</v>
      </c>
      <c r="K18210" s="691">
        <v>23.8</v>
      </c>
    </row>
    <row r="18211" spans="1:11">
      <c r="A18211" s="688" t="s">
        <v>12</v>
      </c>
      <c r="B18211" s="693">
        <v>21</v>
      </c>
      <c r="C18211" s="689">
        <v>21.1</v>
      </c>
      <c r="D18211" s="693">
        <v>21</v>
      </c>
      <c r="E18211" s="689">
        <v>21.2</v>
      </c>
      <c r="F18211" s="689">
        <v>21.3</v>
      </c>
      <c r="G18211" s="689">
        <v>21.3</v>
      </c>
      <c r="H18211" s="689">
        <v>21.7</v>
      </c>
      <c r="I18211" s="689">
        <v>21.4</v>
      </c>
      <c r="J18211" s="689">
        <v>19.899999999999999</v>
      </c>
      <c r="K18211" s="693">
        <v>21</v>
      </c>
    </row>
    <row r="18212" spans="1:11">
      <c r="A18212" s="688" t="s">
        <v>14</v>
      </c>
      <c r="B18212" s="691">
        <v>21.6</v>
      </c>
      <c r="C18212" s="691">
        <v>21.5</v>
      </c>
      <c r="D18212" s="691">
        <v>21.3</v>
      </c>
      <c r="E18212" s="691">
        <v>21.5</v>
      </c>
      <c r="F18212" s="691">
        <v>21.6</v>
      </c>
      <c r="G18212" s="691">
        <v>21.8</v>
      </c>
      <c r="H18212" s="691">
        <v>22.1</v>
      </c>
      <c r="I18212" s="691">
        <v>21.4</v>
      </c>
      <c r="J18212" s="691">
        <v>20.5</v>
      </c>
      <c r="K18212" s="691">
        <v>21.5</v>
      </c>
    </row>
    <row r="18213" spans="1:11">
      <c r="A18213" s="688" t="s">
        <v>15</v>
      </c>
      <c r="B18213" s="689">
        <v>24.5</v>
      </c>
      <c r="C18213" s="689">
        <v>24.5</v>
      </c>
      <c r="D18213" s="689">
        <v>23.9</v>
      </c>
      <c r="E18213" s="689">
        <v>24.7</v>
      </c>
      <c r="F18213" s="689">
        <v>23.9</v>
      </c>
      <c r="G18213" s="689">
        <v>24.3</v>
      </c>
      <c r="H18213" s="689">
        <v>24.7</v>
      </c>
      <c r="I18213" s="689">
        <v>24.3</v>
      </c>
      <c r="J18213" s="689">
        <v>24.6</v>
      </c>
      <c r="K18213" s="689">
        <v>24.7</v>
      </c>
    </row>
    <row r="18214" spans="1:11">
      <c r="A18214" s="688" t="s">
        <v>29</v>
      </c>
      <c r="B18214" s="691">
        <v>20.7</v>
      </c>
      <c r="C18214" s="691">
        <v>20.7</v>
      </c>
      <c r="D18214" s="691">
        <v>20.3</v>
      </c>
      <c r="E18214" s="691">
        <v>20.8</v>
      </c>
      <c r="F18214" s="691">
        <v>20.5</v>
      </c>
      <c r="G18214" s="691">
        <v>20.6</v>
      </c>
      <c r="H18214" s="691">
        <v>20.7</v>
      </c>
      <c r="I18214" s="615">
        <v>20</v>
      </c>
      <c r="J18214" s="691">
        <v>19.3</v>
      </c>
      <c r="K18214" s="691">
        <v>20.3</v>
      </c>
    </row>
    <row r="18215" spans="1:11">
      <c r="A18215" s="688" t="s">
        <v>16</v>
      </c>
      <c r="B18215" s="689">
        <v>24.1</v>
      </c>
      <c r="C18215" s="689">
        <v>23.9</v>
      </c>
      <c r="D18215" s="689">
        <v>23.9</v>
      </c>
      <c r="E18215" s="689">
        <v>24.2</v>
      </c>
      <c r="F18215" s="689">
        <v>24.4</v>
      </c>
      <c r="G18215" s="689">
        <v>24.3</v>
      </c>
      <c r="H18215" s="689">
        <v>24.5</v>
      </c>
      <c r="I18215" s="689">
        <v>24.1</v>
      </c>
      <c r="J18215" s="689">
        <v>23.8</v>
      </c>
      <c r="K18215" s="689">
        <v>24.2</v>
      </c>
    </row>
    <row r="18216" spans="1:11">
      <c r="A18216" s="688" t="s">
        <v>17</v>
      </c>
      <c r="B18216" s="691">
        <v>23.7</v>
      </c>
      <c r="C18216" s="691">
        <v>23.7</v>
      </c>
      <c r="D18216" s="691">
        <v>23.5</v>
      </c>
      <c r="E18216" s="691">
        <v>23.6</v>
      </c>
      <c r="F18216" s="691">
        <v>23.6</v>
      </c>
      <c r="G18216" s="691">
        <v>23.6</v>
      </c>
      <c r="H18216" s="691">
        <v>23.8</v>
      </c>
      <c r="I18216" s="691">
        <v>23.3</v>
      </c>
      <c r="J18216" s="691">
        <v>23.3</v>
      </c>
      <c r="K18216" s="691">
        <v>23.4</v>
      </c>
    </row>
    <row r="18217" spans="1:11">
      <c r="A18217" s="688" t="s">
        <v>19</v>
      </c>
      <c r="B18217" s="693">
        <v>24</v>
      </c>
      <c r="C18217" s="693">
        <v>24</v>
      </c>
      <c r="D18217" s="689">
        <v>23.8</v>
      </c>
      <c r="E18217" s="689">
        <v>24.1</v>
      </c>
      <c r="F18217" s="693">
        <v>24</v>
      </c>
      <c r="G18217" s="689">
        <v>24.1</v>
      </c>
      <c r="H18217" s="689">
        <v>24.3</v>
      </c>
      <c r="I18217" s="689">
        <v>23.8</v>
      </c>
      <c r="J18217" s="689">
        <v>23.8</v>
      </c>
      <c r="K18217" s="689">
        <v>23.8</v>
      </c>
    </row>
    <row r="18218" spans="1:11">
      <c r="A18218" s="688" t="s">
        <v>20</v>
      </c>
      <c r="B18218" s="691">
        <v>22.3</v>
      </c>
      <c r="C18218" s="691">
        <v>22.4</v>
      </c>
      <c r="D18218" s="691">
        <v>22.2</v>
      </c>
      <c r="E18218" s="691">
        <v>22.6</v>
      </c>
      <c r="F18218" s="691">
        <v>22.4</v>
      </c>
      <c r="G18218" s="691">
        <v>22.3</v>
      </c>
      <c r="H18218" s="691">
        <v>22.6</v>
      </c>
      <c r="I18218" s="691">
        <v>21.5</v>
      </c>
      <c r="J18218" s="691">
        <v>20.6</v>
      </c>
      <c r="K18218" s="691">
        <v>21.9</v>
      </c>
    </row>
    <row r="18219" spans="1:11">
      <c r="A18219" s="688" t="s">
        <v>21</v>
      </c>
      <c r="B18219" s="689">
        <v>24.3</v>
      </c>
      <c r="C18219" s="689">
        <v>24.5</v>
      </c>
      <c r="D18219" s="689">
        <v>24.4</v>
      </c>
      <c r="E18219" s="689">
        <v>24.5</v>
      </c>
      <c r="F18219" s="689">
        <v>24.7</v>
      </c>
      <c r="G18219" s="689">
        <v>24.7</v>
      </c>
      <c r="H18219" s="693">
        <v>25</v>
      </c>
      <c r="I18219" s="689">
        <v>24.4</v>
      </c>
      <c r="J18219" s="689">
        <v>24.4</v>
      </c>
      <c r="K18219" s="689">
        <v>24.6</v>
      </c>
    </row>
    <row r="18220" spans="1:11">
      <c r="A18220" s="688" t="s">
        <v>22</v>
      </c>
      <c r="B18220" s="691">
        <v>20.6</v>
      </c>
      <c r="C18220" s="691">
        <v>20.399999999999999</v>
      </c>
      <c r="D18220" s="691">
        <v>20.3</v>
      </c>
      <c r="E18220" s="691">
        <v>20.6</v>
      </c>
      <c r="F18220" s="691">
        <v>20.6</v>
      </c>
      <c r="G18220" s="691">
        <v>20.7</v>
      </c>
      <c r="H18220" s="615">
        <v>21</v>
      </c>
      <c r="I18220" s="691">
        <v>19.899999999999999</v>
      </c>
      <c r="J18220" s="691">
        <v>18.600000000000001</v>
      </c>
      <c r="K18220" s="691">
        <v>20.5</v>
      </c>
    </row>
    <row r="18221" spans="1:11">
      <c r="A18221" s="688" t="s">
        <v>26</v>
      </c>
      <c r="B18221" s="693">
        <v>24</v>
      </c>
      <c r="C18221" s="689">
        <v>23.7</v>
      </c>
      <c r="D18221" s="689">
        <v>23.6</v>
      </c>
      <c r="E18221" s="689">
        <v>23.9</v>
      </c>
      <c r="F18221" s="689">
        <v>23.9</v>
      </c>
      <c r="G18221" s="693">
        <v>24</v>
      </c>
      <c r="H18221" s="689">
        <v>24.1</v>
      </c>
      <c r="I18221" s="689">
        <v>23.2</v>
      </c>
      <c r="J18221" s="689">
        <v>23.6</v>
      </c>
      <c r="K18221" s="689">
        <v>23.9</v>
      </c>
    </row>
    <row r="18222" spans="1:11">
      <c r="A18222" s="688" t="s">
        <v>25</v>
      </c>
      <c r="B18222" s="691">
        <v>21.3</v>
      </c>
      <c r="C18222" s="691">
        <v>21.4</v>
      </c>
      <c r="D18222" s="691">
        <v>21.1</v>
      </c>
      <c r="E18222" s="691">
        <v>21.5</v>
      </c>
      <c r="F18222" s="691">
        <v>21.5</v>
      </c>
      <c r="G18222" s="691">
        <v>21.6</v>
      </c>
      <c r="H18222" s="615">
        <v>22</v>
      </c>
      <c r="I18222" s="691">
        <v>21.3</v>
      </c>
      <c r="J18222" s="691">
        <v>19.5</v>
      </c>
      <c r="K18222" s="691">
        <v>21.3</v>
      </c>
    </row>
    <row r="18223" spans="1:11">
      <c r="A18223" s="688" t="s">
        <v>5</v>
      </c>
      <c r="B18223" s="689">
        <v>24.4</v>
      </c>
      <c r="C18223" s="689">
        <v>24.1</v>
      </c>
      <c r="D18223" s="689">
        <v>24.2</v>
      </c>
      <c r="E18223" s="689">
        <v>24.2</v>
      </c>
      <c r="F18223" s="689">
        <v>24.4</v>
      </c>
      <c r="G18223" s="689">
        <v>24.5</v>
      </c>
      <c r="H18223" s="689">
        <v>24.7</v>
      </c>
      <c r="I18223" s="689">
        <v>24.7</v>
      </c>
      <c r="J18223" s="689">
        <v>24.6</v>
      </c>
      <c r="K18223" s="689">
        <v>23.9</v>
      </c>
    </row>
    <row r="18224" spans="1:11">
      <c r="A18224" s="688" t="s">
        <v>23</v>
      </c>
      <c r="B18224" s="691">
        <v>23.9</v>
      </c>
      <c r="C18224" s="691">
        <v>24.1</v>
      </c>
      <c r="D18224" s="615">
        <v>24</v>
      </c>
      <c r="E18224" s="691">
        <v>24.1</v>
      </c>
      <c r="F18224" s="691">
        <v>24.1</v>
      </c>
      <c r="G18224" s="691">
        <v>24.2</v>
      </c>
      <c r="H18224" s="691">
        <v>24.6</v>
      </c>
      <c r="I18224" s="691">
        <v>24.1</v>
      </c>
      <c r="J18224" s="691">
        <v>24.6</v>
      </c>
      <c r="K18224" s="691">
        <v>24.5</v>
      </c>
    </row>
    <row r="18225" spans="1:11">
      <c r="A18225" s="688" t="s">
        <v>4067</v>
      </c>
      <c r="B18225" s="689">
        <v>23.9</v>
      </c>
      <c r="C18225" s="689">
        <v>24.2</v>
      </c>
      <c r="D18225" s="689">
        <v>23.8</v>
      </c>
      <c r="E18225" s="689">
        <v>24.1</v>
      </c>
      <c r="F18225" s="693">
        <v>24</v>
      </c>
      <c r="G18225" s="689">
        <v>24.1</v>
      </c>
      <c r="H18225" s="690" t="s">
        <v>4060</v>
      </c>
      <c r="I18225" s="690" t="s">
        <v>4060</v>
      </c>
      <c r="J18225" s="690" t="s">
        <v>4060</v>
      </c>
      <c r="K18225" s="690" t="s">
        <v>4060</v>
      </c>
    </row>
    <row r="18226" spans="1:11">
      <c r="A18226" s="688" t="s">
        <v>4066</v>
      </c>
      <c r="B18226" s="691">
        <v>23.9</v>
      </c>
      <c r="C18226" s="691">
        <v>24.2</v>
      </c>
      <c r="D18226" s="691">
        <v>23.8</v>
      </c>
      <c r="E18226" s="691">
        <v>24.2</v>
      </c>
      <c r="F18226" s="615">
        <v>24</v>
      </c>
      <c r="G18226" s="691">
        <v>24.1</v>
      </c>
      <c r="H18226" s="692" t="s">
        <v>4060</v>
      </c>
      <c r="I18226" s="692" t="s">
        <v>4060</v>
      </c>
      <c r="J18226" s="692" t="s">
        <v>4060</v>
      </c>
      <c r="K18226" s="692" t="s">
        <v>4060</v>
      </c>
    </row>
    <row r="18227" spans="1:11">
      <c r="A18227" s="688" t="s">
        <v>4062</v>
      </c>
      <c r="B18227" s="689">
        <v>24.6</v>
      </c>
      <c r="C18227" s="689">
        <v>24.7</v>
      </c>
      <c r="D18227" s="689">
        <v>24.6</v>
      </c>
      <c r="E18227" s="689">
        <v>24.8</v>
      </c>
      <c r="F18227" s="689">
        <v>24.8</v>
      </c>
      <c r="G18227" s="693">
        <v>25</v>
      </c>
      <c r="H18227" s="693">
        <v>25</v>
      </c>
      <c r="I18227" s="689">
        <v>24.8</v>
      </c>
      <c r="J18227" s="689">
        <v>25.1</v>
      </c>
      <c r="K18227" s="689">
        <v>24.8</v>
      </c>
    </row>
    <row r="18228" spans="1:11">
      <c r="A18228" s="688" t="s">
        <v>9</v>
      </c>
      <c r="B18228" s="691">
        <v>23.6</v>
      </c>
      <c r="C18228" s="691">
        <v>24.3</v>
      </c>
      <c r="D18228" s="691">
        <v>23.7</v>
      </c>
      <c r="E18228" s="691">
        <v>23.6</v>
      </c>
      <c r="F18228" s="691">
        <v>23.9</v>
      </c>
      <c r="G18228" s="691">
        <v>24.1</v>
      </c>
      <c r="H18228" s="691">
        <v>24.4</v>
      </c>
      <c r="I18228" s="691">
        <v>24.4</v>
      </c>
      <c r="J18228" s="691">
        <v>24.4</v>
      </c>
      <c r="K18228" s="691">
        <v>23.5</v>
      </c>
    </row>
    <row r="18229" spans="1:11">
      <c r="A18229" s="688" t="s">
        <v>13</v>
      </c>
      <c r="B18229" s="689">
        <v>24.8</v>
      </c>
      <c r="C18229" s="689">
        <v>23.3</v>
      </c>
      <c r="D18229" s="689">
        <v>24.5</v>
      </c>
      <c r="E18229" s="689">
        <v>24.6</v>
      </c>
      <c r="F18229" s="689">
        <v>25.1</v>
      </c>
      <c r="G18229" s="689">
        <v>24.7</v>
      </c>
      <c r="H18229" s="689">
        <v>24.7</v>
      </c>
      <c r="I18229" s="689">
        <v>24.2</v>
      </c>
      <c r="J18229" s="689">
        <v>25.4</v>
      </c>
      <c r="K18229" s="689">
        <v>24.6</v>
      </c>
    </row>
    <row r="18230" spans="1:11">
      <c r="A18230" s="688" t="s">
        <v>18</v>
      </c>
      <c r="B18230" s="691">
        <v>23.9</v>
      </c>
      <c r="C18230" s="691">
        <v>24.1</v>
      </c>
      <c r="D18230" s="691">
        <v>24.2</v>
      </c>
      <c r="E18230" s="691">
        <v>24.2</v>
      </c>
      <c r="F18230" s="691">
        <v>24.2</v>
      </c>
      <c r="G18230" s="691">
        <v>24.4</v>
      </c>
      <c r="H18230" s="691">
        <v>24.5</v>
      </c>
      <c r="I18230" s="691">
        <v>24.7</v>
      </c>
      <c r="J18230" s="691">
        <v>24.5</v>
      </c>
      <c r="K18230" s="691">
        <v>24.2</v>
      </c>
    </row>
    <row r="18231" spans="1:11">
      <c r="A18231" s="688" t="s">
        <v>24</v>
      </c>
      <c r="B18231" s="689">
        <v>25.1</v>
      </c>
      <c r="C18231" s="689">
        <v>25.1</v>
      </c>
      <c r="D18231" s="689">
        <v>24.8</v>
      </c>
      <c r="E18231" s="689">
        <v>25.2</v>
      </c>
      <c r="F18231" s="689">
        <v>25.2</v>
      </c>
      <c r="G18231" s="689">
        <v>25.3</v>
      </c>
      <c r="H18231" s="689">
        <v>25.4</v>
      </c>
      <c r="I18231" s="689">
        <v>24.9</v>
      </c>
      <c r="J18231" s="689">
        <v>25.4</v>
      </c>
      <c r="K18231" s="689">
        <v>25.2</v>
      </c>
    </row>
    <row r="18232" spans="1:11">
      <c r="A18232" s="688" t="s">
        <v>4059</v>
      </c>
      <c r="B18232" s="691">
        <v>23.5</v>
      </c>
      <c r="C18232" s="691">
        <v>23.8</v>
      </c>
      <c r="D18232" s="691">
        <v>23.4</v>
      </c>
      <c r="E18232" s="691">
        <v>23.7</v>
      </c>
      <c r="F18232" s="691">
        <v>23.6</v>
      </c>
      <c r="G18232" s="691">
        <v>23.7</v>
      </c>
      <c r="H18232" s="692" t="s">
        <v>4060</v>
      </c>
      <c r="I18232" s="692" t="s">
        <v>4060</v>
      </c>
      <c r="J18232" s="692" t="s">
        <v>4060</v>
      </c>
      <c r="K18232" s="692" t="s">
        <v>4060</v>
      </c>
    </row>
    <row r="18233" spans="1:11">
      <c r="A18233" s="688" t="s">
        <v>2324</v>
      </c>
      <c r="B18233" s="689">
        <v>19.899999999999999</v>
      </c>
      <c r="C18233" s="689">
        <v>20.100000000000001</v>
      </c>
      <c r="D18233" s="689">
        <v>19.600000000000001</v>
      </c>
      <c r="E18233" s="689">
        <v>19.8</v>
      </c>
      <c r="F18233" s="693">
        <v>20</v>
      </c>
      <c r="G18233" s="689">
        <v>20.100000000000001</v>
      </c>
      <c r="H18233" s="689">
        <v>20.399999999999999</v>
      </c>
      <c r="I18233" s="689">
        <v>19.7</v>
      </c>
      <c r="J18233" s="689">
        <v>17.899999999999999</v>
      </c>
      <c r="K18233" s="690" t="s">
        <v>4060</v>
      </c>
    </row>
    <row r="18234" spans="1:11">
      <c r="A18234" s="688" t="s">
        <v>2322</v>
      </c>
      <c r="B18234" s="692" t="s">
        <v>4060</v>
      </c>
      <c r="C18234" s="692" t="s">
        <v>4060</v>
      </c>
      <c r="D18234" s="692" t="s">
        <v>4060</v>
      </c>
      <c r="E18234" s="692" t="s">
        <v>4060</v>
      </c>
      <c r="F18234" s="692" t="s">
        <v>4060</v>
      </c>
      <c r="G18234" s="692" t="s">
        <v>4060</v>
      </c>
      <c r="H18234" s="692" t="s">
        <v>4060</v>
      </c>
      <c r="I18234" s="692" t="s">
        <v>4060</v>
      </c>
      <c r="J18234" s="692" t="s">
        <v>4060</v>
      </c>
      <c r="K18234" s="692" t="s">
        <v>4060</v>
      </c>
    </row>
    <row r="18235" spans="1:11">
      <c r="A18235" s="688" t="s">
        <v>2328</v>
      </c>
      <c r="B18235" s="689">
        <v>18.899999999999999</v>
      </c>
      <c r="C18235" s="689">
        <v>18.7</v>
      </c>
      <c r="D18235" s="689">
        <v>18.600000000000001</v>
      </c>
      <c r="E18235" s="689">
        <v>18.899999999999999</v>
      </c>
      <c r="F18235" s="689">
        <v>19.100000000000001</v>
      </c>
      <c r="G18235" s="689">
        <v>19.5</v>
      </c>
      <c r="H18235" s="689">
        <v>19.3</v>
      </c>
      <c r="I18235" s="693">
        <v>18</v>
      </c>
      <c r="J18235" s="689">
        <v>17.2</v>
      </c>
      <c r="K18235" s="690" t="s">
        <v>4060</v>
      </c>
    </row>
    <row r="18236" spans="1:11">
      <c r="A18236" s="688" t="s">
        <v>2496</v>
      </c>
      <c r="B18236" s="692" t="s">
        <v>4060</v>
      </c>
      <c r="C18236" s="615">
        <v>20</v>
      </c>
      <c r="D18236" s="691">
        <v>19.3</v>
      </c>
      <c r="E18236" s="615">
        <v>19</v>
      </c>
      <c r="F18236" s="691">
        <v>19.5</v>
      </c>
      <c r="G18236" s="691">
        <v>19.7</v>
      </c>
      <c r="H18236" s="691">
        <v>19.7</v>
      </c>
      <c r="I18236" s="692" t="s">
        <v>4060</v>
      </c>
      <c r="J18236" s="692" t="s">
        <v>4060</v>
      </c>
      <c r="K18236" s="691">
        <v>19.399999999999999</v>
      </c>
    </row>
    <row r="18237" spans="1:11">
      <c r="A18237" s="688" t="s">
        <v>2269</v>
      </c>
      <c r="B18237" s="693">
        <v>21</v>
      </c>
      <c r="C18237" s="689">
        <v>21.2</v>
      </c>
      <c r="D18237" s="689">
        <v>20.399999999999999</v>
      </c>
      <c r="E18237" s="689">
        <v>20.9</v>
      </c>
      <c r="F18237" s="689">
        <v>20.7</v>
      </c>
      <c r="G18237" s="689">
        <v>21.2</v>
      </c>
      <c r="H18237" s="689">
        <v>21.4</v>
      </c>
      <c r="I18237" s="689">
        <v>20.3</v>
      </c>
      <c r="J18237" s="689">
        <v>18.399999999999999</v>
      </c>
      <c r="K18237" s="693">
        <v>21</v>
      </c>
    </row>
    <row r="18238" spans="1:11">
      <c r="A18238" s="688" t="s">
        <v>2349</v>
      </c>
      <c r="B18238" s="691">
        <v>19.3</v>
      </c>
      <c r="C18238" s="691">
        <v>19.3</v>
      </c>
      <c r="D18238" s="691">
        <v>19.2</v>
      </c>
      <c r="E18238" s="691">
        <v>19.600000000000001</v>
      </c>
      <c r="F18238" s="691">
        <v>19.399999999999999</v>
      </c>
      <c r="G18238" s="691">
        <v>19.600000000000001</v>
      </c>
      <c r="H18238" s="691">
        <v>19.7</v>
      </c>
      <c r="I18238" s="691">
        <v>18.8</v>
      </c>
      <c r="J18238" s="691">
        <v>17.3</v>
      </c>
      <c r="K18238" s="615">
        <v>19</v>
      </c>
    </row>
    <row r="18239" spans="1:11">
      <c r="A18239" s="688" t="s">
        <v>2355</v>
      </c>
      <c r="B18239" s="689">
        <v>22.4</v>
      </c>
      <c r="C18239" s="689">
        <v>22.1</v>
      </c>
      <c r="D18239" s="689">
        <v>22.1</v>
      </c>
      <c r="E18239" s="693">
        <v>22</v>
      </c>
      <c r="F18239" s="689">
        <v>22.2</v>
      </c>
      <c r="G18239" s="689">
        <v>22.5</v>
      </c>
      <c r="H18239" s="689">
        <v>22.6</v>
      </c>
      <c r="I18239" s="690" t="s">
        <v>4060</v>
      </c>
      <c r="J18239" s="690" t="s">
        <v>4060</v>
      </c>
      <c r="K18239" s="690" t="s">
        <v>4060</v>
      </c>
    </row>
    <row r="18240" spans="1:11">
      <c r="A18240" s="688" t="s">
        <v>2357</v>
      </c>
      <c r="B18240" s="692" t="s">
        <v>4060</v>
      </c>
      <c r="C18240" s="691">
        <v>19.399999999999999</v>
      </c>
      <c r="D18240" s="691">
        <v>19.7</v>
      </c>
      <c r="E18240" s="615">
        <v>20</v>
      </c>
      <c r="F18240" s="691">
        <v>20.2</v>
      </c>
      <c r="G18240" s="691">
        <v>20.2</v>
      </c>
      <c r="H18240" s="691">
        <v>20.3</v>
      </c>
      <c r="I18240" s="692" t="s">
        <v>4060</v>
      </c>
      <c r="J18240" s="692" t="s">
        <v>4060</v>
      </c>
      <c r="K18240" s="692" t="s">
        <v>4060</v>
      </c>
    </row>
    <row r="18241" spans="1:11">
      <c r="A18241" s="688" t="s">
        <v>4070</v>
      </c>
      <c r="B18241" s="690" t="s">
        <v>4060</v>
      </c>
      <c r="C18241" s="690" t="s">
        <v>4060</v>
      </c>
      <c r="D18241" s="690" t="s">
        <v>4060</v>
      </c>
      <c r="E18241" s="689">
        <v>22.3</v>
      </c>
      <c r="F18241" s="690" t="s">
        <v>4060</v>
      </c>
      <c r="G18241" s="690" t="s">
        <v>4060</v>
      </c>
      <c r="H18241" s="690" t="s">
        <v>4060</v>
      </c>
      <c r="I18241" s="690" t="s">
        <v>4060</v>
      </c>
      <c r="J18241" s="690" t="s">
        <v>4060</v>
      </c>
      <c r="K18241" s="690" t="s">
        <v>4060</v>
      </c>
    </row>
    <row r="18242" spans="1:11">
      <c r="A18242" s="688" t="s">
        <v>2491</v>
      </c>
      <c r="B18242" s="691">
        <v>19.899999999999999</v>
      </c>
      <c r="C18242" s="691">
        <v>20.399999999999999</v>
      </c>
      <c r="D18242" s="691">
        <v>20.5</v>
      </c>
      <c r="E18242" s="691">
        <v>20.6</v>
      </c>
      <c r="F18242" s="691">
        <v>20.7</v>
      </c>
      <c r="G18242" s="691">
        <v>20.8</v>
      </c>
      <c r="H18242" s="692" t="s">
        <v>4060</v>
      </c>
      <c r="I18242" s="692" t="s">
        <v>4060</v>
      </c>
      <c r="J18242" s="692" t="s">
        <v>4060</v>
      </c>
      <c r="K18242" s="692" t="s">
        <v>4060</v>
      </c>
    </row>
    <row r="18243" spans="1:11">
      <c r="A18243" s="688" t="s">
        <v>2343</v>
      </c>
      <c r="B18243" s="690" t="s">
        <v>4060</v>
      </c>
      <c r="C18243" s="690" t="s">
        <v>4060</v>
      </c>
      <c r="D18243" s="690" t="s">
        <v>4060</v>
      </c>
      <c r="E18243" s="690" t="s">
        <v>4060</v>
      </c>
      <c r="F18243" s="690" t="s">
        <v>4060</v>
      </c>
      <c r="G18243" s="690" t="s">
        <v>4060</v>
      </c>
      <c r="H18243" s="690" t="s">
        <v>4060</v>
      </c>
      <c r="I18243" s="690" t="s">
        <v>4060</v>
      </c>
      <c r="J18243" s="690" t="s">
        <v>4060</v>
      </c>
      <c r="K18243" s="690" t="s">
        <v>4060</v>
      </c>
    </row>
    <row r="18244" spans="1:11">
      <c r="A18244" s="688" t="s">
        <v>4071</v>
      </c>
      <c r="B18244" s="692" t="s">
        <v>4060</v>
      </c>
      <c r="C18244" s="692" t="s">
        <v>4060</v>
      </c>
      <c r="D18244" s="692" t="s">
        <v>4060</v>
      </c>
      <c r="E18244" s="692" t="s">
        <v>4060</v>
      </c>
      <c r="F18244" s="692" t="s">
        <v>4060</v>
      </c>
      <c r="G18244" s="692" t="s">
        <v>4060</v>
      </c>
      <c r="H18244" s="692" t="s">
        <v>4060</v>
      </c>
      <c r="I18244" s="692" t="s">
        <v>4060</v>
      </c>
      <c r="J18244" s="692" t="s">
        <v>4060</v>
      </c>
      <c r="K18244" s="692" t="s">
        <v>4060</v>
      </c>
    </row>
    <row r="18245" spans="1:11">
      <c r="A18245" s="688" t="s">
        <v>2489</v>
      </c>
      <c r="B18245" s="690" t="s">
        <v>4060</v>
      </c>
      <c r="C18245" s="690" t="s">
        <v>4060</v>
      </c>
      <c r="D18245" s="689">
        <v>19.600000000000001</v>
      </c>
      <c r="E18245" s="689">
        <v>19.600000000000001</v>
      </c>
      <c r="F18245" s="689">
        <v>19.899999999999999</v>
      </c>
      <c r="G18245" s="689">
        <v>20.5</v>
      </c>
      <c r="H18245" s="689">
        <v>20.5</v>
      </c>
      <c r="I18245" s="690" t="s">
        <v>4060</v>
      </c>
      <c r="J18245" s="690" t="s">
        <v>4060</v>
      </c>
      <c r="K18245" s="690" t="s">
        <v>4060</v>
      </c>
    </row>
    <row r="18246" spans="1:11">
      <c r="A18246" s="688" t="s">
        <v>2490</v>
      </c>
      <c r="B18246" s="691">
        <v>18.899999999999999</v>
      </c>
      <c r="C18246" s="691">
        <v>18.899999999999999</v>
      </c>
      <c r="D18246" s="691">
        <v>19.399999999999999</v>
      </c>
      <c r="E18246" s="692" t="s">
        <v>4060</v>
      </c>
      <c r="F18246" s="691">
        <v>19.600000000000001</v>
      </c>
      <c r="G18246" s="691">
        <v>19.8</v>
      </c>
      <c r="H18246" s="691">
        <v>20.5</v>
      </c>
      <c r="I18246" s="692" t="s">
        <v>4060</v>
      </c>
      <c r="J18246" s="692" t="s">
        <v>4060</v>
      </c>
      <c r="K18246" s="692" t="s">
        <v>4060</v>
      </c>
    </row>
    <row r="18248" spans="1:11">
      <c r="A18248" s="683" t="s">
        <v>4233</v>
      </c>
    </row>
    <row r="18249" spans="1:11">
      <c r="A18249" s="683" t="s">
        <v>4060</v>
      </c>
      <c r="B18249" s="682" t="s">
        <v>4234</v>
      </c>
    </row>
    <row r="18251" spans="1:11">
      <c r="A18251" s="682" t="s">
        <v>4332</v>
      </c>
    </row>
    <row r="18252" spans="1:11">
      <c r="A18252" s="682" t="s">
        <v>4210</v>
      </c>
      <c r="B18252" s="683" t="s">
        <v>4211</v>
      </c>
    </row>
    <row r="18253" spans="1:11">
      <c r="A18253" s="682" t="s">
        <v>4212</v>
      </c>
      <c r="B18253" s="682" t="s">
        <v>4213</v>
      </c>
    </row>
    <row r="18255" spans="1:11">
      <c r="A18255" s="683" t="s">
        <v>4214</v>
      </c>
      <c r="C18255" s="682" t="s">
        <v>4215</v>
      </c>
    </row>
    <row r="18256" spans="1:11">
      <c r="A18256" s="683" t="s">
        <v>4216</v>
      </c>
      <c r="C18256" s="682" t="s">
        <v>2967</v>
      </c>
    </row>
    <row r="18257" spans="1:11">
      <c r="A18257" s="683" t="s">
        <v>3893</v>
      </c>
      <c r="C18257" s="682" t="s">
        <v>2169</v>
      </c>
    </row>
    <row r="18258" spans="1:11">
      <c r="A18258" s="683" t="s">
        <v>4218</v>
      </c>
      <c r="C18258" s="682" t="s">
        <v>4298</v>
      </c>
    </row>
    <row r="18260" spans="1:11">
      <c r="A18260" s="684" t="s">
        <v>4220</v>
      </c>
      <c r="B18260" s="685" t="s">
        <v>4221</v>
      </c>
      <c r="C18260" s="685" t="s">
        <v>4222</v>
      </c>
      <c r="D18260" s="685" t="s">
        <v>4223</v>
      </c>
      <c r="E18260" s="685" t="s">
        <v>4224</v>
      </c>
      <c r="F18260" s="685" t="s">
        <v>4225</v>
      </c>
      <c r="G18260" s="685" t="s">
        <v>4226</v>
      </c>
      <c r="H18260" s="685" t="s">
        <v>4227</v>
      </c>
      <c r="I18260" s="685" t="s">
        <v>4228</v>
      </c>
      <c r="J18260" s="685" t="s">
        <v>4229</v>
      </c>
      <c r="K18260" s="685" t="s">
        <v>4230</v>
      </c>
    </row>
    <row r="18261" spans="1:11">
      <c r="A18261" s="686" t="s">
        <v>4231</v>
      </c>
      <c r="B18261" s="687" t="s">
        <v>4232</v>
      </c>
      <c r="C18261" s="687" t="s">
        <v>4232</v>
      </c>
      <c r="D18261" s="687" t="s">
        <v>4232</v>
      </c>
      <c r="E18261" s="687" t="s">
        <v>4232</v>
      </c>
      <c r="F18261" s="687" t="s">
        <v>4232</v>
      </c>
      <c r="G18261" s="687" t="s">
        <v>4232</v>
      </c>
      <c r="H18261" s="687" t="s">
        <v>4232</v>
      </c>
      <c r="I18261" s="687" t="s">
        <v>4232</v>
      </c>
      <c r="J18261" s="687" t="s">
        <v>4232</v>
      </c>
      <c r="K18261" s="687" t="s">
        <v>4232</v>
      </c>
    </row>
    <row r="18262" spans="1:11">
      <c r="A18262" s="688" t="s">
        <v>4064</v>
      </c>
      <c r="B18262" s="691">
        <v>23.1</v>
      </c>
      <c r="C18262" s="615">
        <v>23</v>
      </c>
      <c r="D18262" s="615">
        <v>23</v>
      </c>
      <c r="E18262" s="691">
        <v>23.1</v>
      </c>
      <c r="F18262" s="615">
        <v>23</v>
      </c>
      <c r="G18262" s="691">
        <v>23.1</v>
      </c>
      <c r="H18262" s="691">
        <v>23.3</v>
      </c>
      <c r="I18262" s="691">
        <v>22.6</v>
      </c>
      <c r="J18262" s="691">
        <v>22.4</v>
      </c>
      <c r="K18262" s="691">
        <v>22.7</v>
      </c>
    </row>
    <row r="18263" spans="1:11">
      <c r="A18263" s="688" t="s">
        <v>4065</v>
      </c>
      <c r="B18263" s="693">
        <v>23</v>
      </c>
      <c r="C18263" s="689">
        <v>23.3</v>
      </c>
      <c r="D18263" s="689">
        <v>22.9</v>
      </c>
      <c r="E18263" s="689">
        <v>23.3</v>
      </c>
      <c r="F18263" s="689">
        <v>23.1</v>
      </c>
      <c r="G18263" s="689">
        <v>23.2</v>
      </c>
      <c r="H18263" s="690" t="s">
        <v>4060</v>
      </c>
      <c r="I18263" s="690" t="s">
        <v>4060</v>
      </c>
      <c r="J18263" s="690" t="s">
        <v>4060</v>
      </c>
      <c r="K18263" s="690" t="s">
        <v>4060</v>
      </c>
    </row>
    <row r="18264" spans="1:11">
      <c r="A18264" s="688" t="s">
        <v>4063</v>
      </c>
      <c r="B18264" s="615">
        <v>23</v>
      </c>
      <c r="C18264" s="691">
        <v>23.3</v>
      </c>
      <c r="D18264" s="691">
        <v>22.9</v>
      </c>
      <c r="E18264" s="691">
        <v>23.3</v>
      </c>
      <c r="F18264" s="691">
        <v>23.2</v>
      </c>
      <c r="G18264" s="691">
        <v>23.2</v>
      </c>
      <c r="H18264" s="692" t="s">
        <v>4060</v>
      </c>
      <c r="I18264" s="692" t="s">
        <v>4060</v>
      </c>
      <c r="J18264" s="692" t="s">
        <v>4060</v>
      </c>
      <c r="K18264" s="692" t="s">
        <v>4060</v>
      </c>
    </row>
    <row r="18265" spans="1:11">
      <c r="A18265" s="688" t="s">
        <v>4069</v>
      </c>
      <c r="B18265" s="690" t="s">
        <v>4060</v>
      </c>
      <c r="C18265" s="689">
        <v>23.6</v>
      </c>
      <c r="D18265" s="689">
        <v>23.3</v>
      </c>
      <c r="E18265" s="689">
        <v>23.7</v>
      </c>
      <c r="F18265" s="689">
        <v>23.6</v>
      </c>
      <c r="G18265" s="689">
        <v>23.7</v>
      </c>
      <c r="H18265" s="689">
        <v>23.9</v>
      </c>
      <c r="I18265" s="689">
        <v>23.3</v>
      </c>
      <c r="J18265" s="689">
        <v>23.4</v>
      </c>
      <c r="K18265" s="689">
        <v>23.3</v>
      </c>
    </row>
    <row r="18266" spans="1:11">
      <c r="A18266" s="688" t="s">
        <v>4068</v>
      </c>
      <c r="B18266" s="691">
        <v>23.8</v>
      </c>
      <c r="C18266" s="692" t="s">
        <v>4060</v>
      </c>
      <c r="D18266" s="692" t="s">
        <v>4060</v>
      </c>
      <c r="E18266" s="692" t="s">
        <v>4060</v>
      </c>
      <c r="F18266" s="692" t="s">
        <v>4060</v>
      </c>
      <c r="G18266" s="692" t="s">
        <v>4060</v>
      </c>
      <c r="H18266" s="692" t="s">
        <v>4060</v>
      </c>
      <c r="I18266" s="692" t="s">
        <v>4060</v>
      </c>
      <c r="J18266" s="692" t="s">
        <v>4060</v>
      </c>
      <c r="K18266" s="692" t="s">
        <v>4060</v>
      </c>
    </row>
    <row r="18267" spans="1:11">
      <c r="A18267" s="688" t="s">
        <v>0</v>
      </c>
      <c r="B18267" s="689">
        <v>23.1</v>
      </c>
      <c r="C18267" s="689">
        <v>23.2</v>
      </c>
      <c r="D18267" s="689">
        <v>22.9</v>
      </c>
      <c r="E18267" s="689">
        <v>23.3</v>
      </c>
      <c r="F18267" s="689">
        <v>23.3</v>
      </c>
      <c r="G18267" s="689">
        <v>23.3</v>
      </c>
      <c r="H18267" s="689">
        <v>23.5</v>
      </c>
      <c r="I18267" s="689">
        <v>22.5</v>
      </c>
      <c r="J18267" s="689">
        <v>23.5</v>
      </c>
      <c r="K18267" s="689">
        <v>23.2</v>
      </c>
    </row>
    <row r="18268" spans="1:11">
      <c r="A18268" s="688" t="s">
        <v>1</v>
      </c>
      <c r="B18268" s="691">
        <v>19.5</v>
      </c>
      <c r="C18268" s="691">
        <v>19.100000000000001</v>
      </c>
      <c r="D18268" s="691">
        <v>19.100000000000001</v>
      </c>
      <c r="E18268" s="691">
        <v>19.399999999999999</v>
      </c>
      <c r="F18268" s="691">
        <v>19.3</v>
      </c>
      <c r="G18268" s="691">
        <v>19.5</v>
      </c>
      <c r="H18268" s="691">
        <v>19.5</v>
      </c>
      <c r="I18268" s="691">
        <v>18.600000000000001</v>
      </c>
      <c r="J18268" s="615">
        <v>17</v>
      </c>
      <c r="K18268" s="615">
        <v>19</v>
      </c>
    </row>
    <row r="18269" spans="1:11">
      <c r="A18269" s="688" t="s">
        <v>2240</v>
      </c>
      <c r="B18269" s="693">
        <v>21</v>
      </c>
      <c r="C18269" s="689">
        <v>21.2</v>
      </c>
      <c r="D18269" s="693">
        <v>21</v>
      </c>
      <c r="E18269" s="689">
        <v>21.4</v>
      </c>
      <c r="F18269" s="689">
        <v>21.3</v>
      </c>
      <c r="G18269" s="689">
        <v>21.4</v>
      </c>
      <c r="H18269" s="689">
        <v>21.6</v>
      </c>
      <c r="I18269" s="689">
        <v>20.8</v>
      </c>
      <c r="J18269" s="689">
        <v>20.3</v>
      </c>
      <c r="K18269" s="689">
        <v>21.4</v>
      </c>
    </row>
    <row r="18270" spans="1:11">
      <c r="A18270" s="688" t="s">
        <v>2</v>
      </c>
      <c r="B18270" s="691">
        <v>22.1</v>
      </c>
      <c r="C18270" s="691">
        <v>22.3</v>
      </c>
      <c r="D18270" s="691">
        <v>22.3</v>
      </c>
      <c r="E18270" s="691">
        <v>22.4</v>
      </c>
      <c r="F18270" s="691">
        <v>22.5</v>
      </c>
      <c r="G18270" s="691">
        <v>22.4</v>
      </c>
      <c r="H18270" s="691">
        <v>22.7</v>
      </c>
      <c r="I18270" s="691">
        <v>22.8</v>
      </c>
      <c r="J18270" s="691">
        <v>22.6</v>
      </c>
      <c r="K18270" s="691">
        <v>22.4</v>
      </c>
    </row>
    <row r="18271" spans="1:11">
      <c r="A18271" s="688" t="s">
        <v>3</v>
      </c>
      <c r="B18271" s="689">
        <v>22.6</v>
      </c>
      <c r="C18271" s="689">
        <v>22.8</v>
      </c>
      <c r="D18271" s="689">
        <v>22.5</v>
      </c>
      <c r="E18271" s="689">
        <v>22.8</v>
      </c>
      <c r="F18271" s="689">
        <v>22.8</v>
      </c>
      <c r="G18271" s="689">
        <v>22.7</v>
      </c>
      <c r="H18271" s="693">
        <v>23</v>
      </c>
      <c r="I18271" s="689">
        <v>22.8</v>
      </c>
      <c r="J18271" s="689">
        <v>22.6</v>
      </c>
      <c r="K18271" s="689">
        <v>22.4</v>
      </c>
    </row>
    <row r="18272" spans="1:11">
      <c r="A18272" s="688" t="s">
        <v>4061</v>
      </c>
      <c r="B18272" s="691">
        <v>22.6</v>
      </c>
      <c r="C18272" s="691">
        <v>22.8</v>
      </c>
      <c r="D18272" s="691">
        <v>22.5</v>
      </c>
      <c r="E18272" s="691">
        <v>22.8</v>
      </c>
      <c r="F18272" s="691">
        <v>22.8</v>
      </c>
      <c r="G18272" s="691">
        <v>22.7</v>
      </c>
      <c r="H18272" s="615">
        <v>23</v>
      </c>
      <c r="I18272" s="691">
        <v>22.8</v>
      </c>
      <c r="J18272" s="691">
        <v>22.6</v>
      </c>
      <c r="K18272" s="691">
        <v>22.4</v>
      </c>
    </row>
    <row r="18273" spans="1:11">
      <c r="A18273" s="688" t="s">
        <v>4</v>
      </c>
      <c r="B18273" s="689">
        <v>21.9</v>
      </c>
      <c r="C18273" s="689">
        <v>21.7</v>
      </c>
      <c r="D18273" s="689">
        <v>21.9</v>
      </c>
      <c r="E18273" s="689">
        <v>22.1</v>
      </c>
      <c r="F18273" s="689">
        <v>22.1</v>
      </c>
      <c r="G18273" s="689">
        <v>22.1</v>
      </c>
      <c r="H18273" s="689">
        <v>22.5</v>
      </c>
      <c r="I18273" s="689">
        <v>22.5</v>
      </c>
      <c r="J18273" s="689">
        <v>21.3</v>
      </c>
      <c r="K18273" s="689">
        <v>22.1</v>
      </c>
    </row>
    <row r="18274" spans="1:11">
      <c r="A18274" s="688" t="s">
        <v>8</v>
      </c>
      <c r="B18274" s="691">
        <v>22.5</v>
      </c>
      <c r="C18274" s="691">
        <v>22.6</v>
      </c>
      <c r="D18274" s="691">
        <v>22.6</v>
      </c>
      <c r="E18274" s="691">
        <v>22.7</v>
      </c>
      <c r="F18274" s="615">
        <v>23</v>
      </c>
      <c r="G18274" s="691">
        <v>23.1</v>
      </c>
      <c r="H18274" s="691">
        <v>23.4</v>
      </c>
      <c r="I18274" s="691">
        <v>23.3</v>
      </c>
      <c r="J18274" s="691">
        <v>23.2</v>
      </c>
      <c r="K18274" s="691">
        <v>23.1</v>
      </c>
    </row>
    <row r="18275" spans="1:11">
      <c r="A18275" s="688" t="s">
        <v>7</v>
      </c>
      <c r="B18275" s="689">
        <v>23.4</v>
      </c>
      <c r="C18275" s="689">
        <v>23.1</v>
      </c>
      <c r="D18275" s="689">
        <v>22.8</v>
      </c>
      <c r="E18275" s="689">
        <v>23.1</v>
      </c>
      <c r="F18275" s="693">
        <v>23</v>
      </c>
      <c r="G18275" s="689">
        <v>23.5</v>
      </c>
      <c r="H18275" s="689">
        <v>23.3</v>
      </c>
      <c r="I18275" s="693">
        <v>23</v>
      </c>
      <c r="J18275" s="689">
        <v>22.3</v>
      </c>
      <c r="K18275" s="689">
        <v>22.6</v>
      </c>
    </row>
    <row r="18276" spans="1:11">
      <c r="A18276" s="688" t="s">
        <v>27</v>
      </c>
      <c r="B18276" s="691">
        <v>25.2</v>
      </c>
      <c r="C18276" s="691">
        <v>24.7</v>
      </c>
      <c r="D18276" s="691">
        <v>24.4</v>
      </c>
      <c r="E18276" s="691">
        <v>24.8</v>
      </c>
      <c r="F18276" s="691">
        <v>24.7</v>
      </c>
      <c r="G18276" s="691">
        <v>24.8</v>
      </c>
      <c r="H18276" s="691">
        <v>25.2</v>
      </c>
      <c r="I18276" s="615">
        <v>24</v>
      </c>
      <c r="J18276" s="691">
        <v>24.8</v>
      </c>
      <c r="K18276" s="691">
        <v>24.7</v>
      </c>
    </row>
    <row r="18277" spans="1:11">
      <c r="A18277" s="688" t="s">
        <v>6</v>
      </c>
      <c r="B18277" s="689">
        <v>25.4</v>
      </c>
      <c r="C18277" s="693">
        <v>25</v>
      </c>
      <c r="D18277" s="689">
        <v>24.8</v>
      </c>
      <c r="E18277" s="693">
        <v>25</v>
      </c>
      <c r="F18277" s="693">
        <v>25</v>
      </c>
      <c r="G18277" s="689">
        <v>25.1</v>
      </c>
      <c r="H18277" s="689">
        <v>25.2</v>
      </c>
      <c r="I18277" s="689">
        <v>24.7</v>
      </c>
      <c r="J18277" s="689">
        <v>24.8</v>
      </c>
      <c r="K18277" s="689">
        <v>24.7</v>
      </c>
    </row>
    <row r="18278" spans="1:11">
      <c r="A18278" s="688" t="s">
        <v>4058</v>
      </c>
      <c r="B18278" s="692" t="s">
        <v>4060</v>
      </c>
      <c r="C18278" s="692" t="s">
        <v>4060</v>
      </c>
      <c r="D18278" s="692" t="s">
        <v>4060</v>
      </c>
      <c r="E18278" s="692" t="s">
        <v>4060</v>
      </c>
      <c r="F18278" s="692" t="s">
        <v>4060</v>
      </c>
      <c r="G18278" s="692" t="s">
        <v>4060</v>
      </c>
      <c r="H18278" s="692" t="s">
        <v>4060</v>
      </c>
      <c r="I18278" s="692" t="s">
        <v>4060</v>
      </c>
      <c r="J18278" s="692" t="s">
        <v>4060</v>
      </c>
      <c r="K18278" s="692" t="s">
        <v>4060</v>
      </c>
    </row>
    <row r="18279" spans="1:11">
      <c r="A18279" s="688" t="s">
        <v>11</v>
      </c>
      <c r="B18279" s="689">
        <v>20.8</v>
      </c>
      <c r="C18279" s="689">
        <v>20.6</v>
      </c>
      <c r="D18279" s="689">
        <v>20.2</v>
      </c>
      <c r="E18279" s="689">
        <v>20.7</v>
      </c>
      <c r="F18279" s="689">
        <v>20.399999999999999</v>
      </c>
      <c r="G18279" s="689">
        <v>20.8</v>
      </c>
      <c r="H18279" s="689">
        <v>20.9</v>
      </c>
      <c r="I18279" s="689">
        <v>20.3</v>
      </c>
      <c r="J18279" s="689">
        <v>19.7</v>
      </c>
      <c r="K18279" s="689">
        <v>20.3</v>
      </c>
    </row>
    <row r="18280" spans="1:11">
      <c r="A18280" s="688" t="s">
        <v>10</v>
      </c>
      <c r="B18280" s="691">
        <v>24.3</v>
      </c>
      <c r="C18280" s="691">
        <v>24.1</v>
      </c>
      <c r="D18280" s="691">
        <v>23.6</v>
      </c>
      <c r="E18280" s="691">
        <v>24.2</v>
      </c>
      <c r="F18280" s="691">
        <v>23.9</v>
      </c>
      <c r="G18280" s="691">
        <v>24.2</v>
      </c>
      <c r="H18280" s="691">
        <v>24.4</v>
      </c>
      <c r="I18280" s="691">
        <v>23.4</v>
      </c>
      <c r="J18280" s="691">
        <v>23.8</v>
      </c>
      <c r="K18280" s="691">
        <v>23.7</v>
      </c>
    </row>
    <row r="18281" spans="1:11">
      <c r="A18281" s="688" t="s">
        <v>30</v>
      </c>
      <c r="B18281" s="689">
        <v>23.4</v>
      </c>
      <c r="C18281" s="689">
        <v>22.9</v>
      </c>
      <c r="D18281" s="689">
        <v>22.6</v>
      </c>
      <c r="E18281" s="689">
        <v>23.5</v>
      </c>
      <c r="F18281" s="689">
        <v>23.1</v>
      </c>
      <c r="G18281" s="689">
        <v>23.5</v>
      </c>
      <c r="H18281" s="689">
        <v>23.3</v>
      </c>
      <c r="I18281" s="689">
        <v>23.4</v>
      </c>
      <c r="J18281" s="689">
        <v>22.9</v>
      </c>
      <c r="K18281" s="689">
        <v>22.9</v>
      </c>
    </row>
    <row r="18282" spans="1:11">
      <c r="A18282" s="688" t="s">
        <v>12</v>
      </c>
      <c r="B18282" s="691">
        <v>20.2</v>
      </c>
      <c r="C18282" s="691">
        <v>20.3</v>
      </c>
      <c r="D18282" s="691">
        <v>20.2</v>
      </c>
      <c r="E18282" s="691">
        <v>20.399999999999999</v>
      </c>
      <c r="F18282" s="691">
        <v>20.399999999999999</v>
      </c>
      <c r="G18282" s="691">
        <v>20.5</v>
      </c>
      <c r="H18282" s="691">
        <v>20.9</v>
      </c>
      <c r="I18282" s="691">
        <v>20.6</v>
      </c>
      <c r="J18282" s="691">
        <v>19.100000000000001</v>
      </c>
      <c r="K18282" s="691">
        <v>20.2</v>
      </c>
    </row>
    <row r="18283" spans="1:11">
      <c r="A18283" s="688" t="s">
        <v>14</v>
      </c>
      <c r="B18283" s="689">
        <v>20.8</v>
      </c>
      <c r="C18283" s="689">
        <v>20.7</v>
      </c>
      <c r="D18283" s="689">
        <v>20.5</v>
      </c>
      <c r="E18283" s="689">
        <v>20.7</v>
      </c>
      <c r="F18283" s="689">
        <v>20.8</v>
      </c>
      <c r="G18283" s="693">
        <v>21</v>
      </c>
      <c r="H18283" s="689">
        <v>21.2</v>
      </c>
      <c r="I18283" s="689">
        <v>20.5</v>
      </c>
      <c r="J18283" s="689">
        <v>19.7</v>
      </c>
      <c r="K18283" s="689">
        <v>20.6</v>
      </c>
    </row>
    <row r="18284" spans="1:11">
      <c r="A18284" s="688" t="s">
        <v>15</v>
      </c>
      <c r="B18284" s="691">
        <v>23.7</v>
      </c>
      <c r="C18284" s="691">
        <v>23.7</v>
      </c>
      <c r="D18284" s="615">
        <v>23</v>
      </c>
      <c r="E18284" s="691">
        <v>23.8</v>
      </c>
      <c r="F18284" s="615">
        <v>23</v>
      </c>
      <c r="G18284" s="691">
        <v>23.5</v>
      </c>
      <c r="H18284" s="691">
        <v>23.9</v>
      </c>
      <c r="I18284" s="691">
        <v>23.4</v>
      </c>
      <c r="J18284" s="691">
        <v>23.7</v>
      </c>
      <c r="K18284" s="691">
        <v>23.8</v>
      </c>
    </row>
    <row r="18285" spans="1:11">
      <c r="A18285" s="688" t="s">
        <v>29</v>
      </c>
      <c r="B18285" s="689">
        <v>19.899999999999999</v>
      </c>
      <c r="C18285" s="689">
        <v>19.899999999999999</v>
      </c>
      <c r="D18285" s="689">
        <v>19.600000000000001</v>
      </c>
      <c r="E18285" s="693">
        <v>20</v>
      </c>
      <c r="F18285" s="689">
        <v>19.7</v>
      </c>
      <c r="G18285" s="689">
        <v>19.8</v>
      </c>
      <c r="H18285" s="689">
        <v>19.899999999999999</v>
      </c>
      <c r="I18285" s="689">
        <v>19.3</v>
      </c>
      <c r="J18285" s="689">
        <v>18.600000000000001</v>
      </c>
      <c r="K18285" s="689">
        <v>19.600000000000001</v>
      </c>
    </row>
    <row r="18286" spans="1:11">
      <c r="A18286" s="688" t="s">
        <v>16</v>
      </c>
      <c r="B18286" s="691">
        <v>23.2</v>
      </c>
      <c r="C18286" s="691">
        <v>23.1</v>
      </c>
      <c r="D18286" s="615">
        <v>23</v>
      </c>
      <c r="E18286" s="691">
        <v>23.3</v>
      </c>
      <c r="F18286" s="691">
        <v>23.4</v>
      </c>
      <c r="G18286" s="691">
        <v>23.5</v>
      </c>
      <c r="H18286" s="691">
        <v>23.6</v>
      </c>
      <c r="I18286" s="691">
        <v>23.3</v>
      </c>
      <c r="J18286" s="691">
        <v>22.9</v>
      </c>
      <c r="K18286" s="691">
        <v>23.3</v>
      </c>
    </row>
    <row r="18287" spans="1:11">
      <c r="A18287" s="688" t="s">
        <v>17</v>
      </c>
      <c r="B18287" s="689">
        <v>22.8</v>
      </c>
      <c r="C18287" s="689">
        <v>22.9</v>
      </c>
      <c r="D18287" s="689">
        <v>22.6</v>
      </c>
      <c r="E18287" s="689">
        <v>22.7</v>
      </c>
      <c r="F18287" s="689">
        <v>22.8</v>
      </c>
      <c r="G18287" s="689">
        <v>22.7</v>
      </c>
      <c r="H18287" s="689">
        <v>22.9</v>
      </c>
      <c r="I18287" s="689">
        <v>22.4</v>
      </c>
      <c r="J18287" s="689">
        <v>22.4</v>
      </c>
      <c r="K18287" s="689">
        <v>22.5</v>
      </c>
    </row>
    <row r="18288" spans="1:11">
      <c r="A18288" s="688" t="s">
        <v>19</v>
      </c>
      <c r="B18288" s="691">
        <v>23.2</v>
      </c>
      <c r="C18288" s="691">
        <v>23.2</v>
      </c>
      <c r="D18288" s="691">
        <v>22.9</v>
      </c>
      <c r="E18288" s="691">
        <v>23.3</v>
      </c>
      <c r="F18288" s="691">
        <v>23.1</v>
      </c>
      <c r="G18288" s="691">
        <v>23.3</v>
      </c>
      <c r="H18288" s="691">
        <v>23.4</v>
      </c>
      <c r="I18288" s="691">
        <v>22.9</v>
      </c>
      <c r="J18288" s="691">
        <v>22.9</v>
      </c>
      <c r="K18288" s="691">
        <v>22.9</v>
      </c>
    </row>
    <row r="18289" spans="1:11">
      <c r="A18289" s="688" t="s">
        <v>20</v>
      </c>
      <c r="B18289" s="689">
        <v>21.5</v>
      </c>
      <c r="C18289" s="689">
        <v>21.6</v>
      </c>
      <c r="D18289" s="689">
        <v>21.4</v>
      </c>
      <c r="E18289" s="689">
        <v>21.8</v>
      </c>
      <c r="F18289" s="689">
        <v>21.6</v>
      </c>
      <c r="G18289" s="689">
        <v>21.5</v>
      </c>
      <c r="H18289" s="689">
        <v>21.7</v>
      </c>
      <c r="I18289" s="689">
        <v>20.7</v>
      </c>
      <c r="J18289" s="689">
        <v>19.8</v>
      </c>
      <c r="K18289" s="689">
        <v>21.1</v>
      </c>
    </row>
    <row r="18290" spans="1:11">
      <c r="A18290" s="688" t="s">
        <v>21</v>
      </c>
      <c r="B18290" s="691">
        <v>23.4</v>
      </c>
      <c r="C18290" s="691">
        <v>23.6</v>
      </c>
      <c r="D18290" s="691">
        <v>23.5</v>
      </c>
      <c r="E18290" s="691">
        <v>23.6</v>
      </c>
      <c r="F18290" s="691">
        <v>23.8</v>
      </c>
      <c r="G18290" s="691">
        <v>23.8</v>
      </c>
      <c r="H18290" s="691">
        <v>24.1</v>
      </c>
      <c r="I18290" s="691">
        <v>23.5</v>
      </c>
      <c r="J18290" s="691">
        <v>23.6</v>
      </c>
      <c r="K18290" s="691">
        <v>23.7</v>
      </c>
    </row>
    <row r="18291" spans="1:11">
      <c r="A18291" s="688" t="s">
        <v>22</v>
      </c>
      <c r="B18291" s="689">
        <v>19.7</v>
      </c>
      <c r="C18291" s="689">
        <v>19.5</v>
      </c>
      <c r="D18291" s="689">
        <v>19.5</v>
      </c>
      <c r="E18291" s="689">
        <v>19.8</v>
      </c>
      <c r="F18291" s="689">
        <v>19.8</v>
      </c>
      <c r="G18291" s="689">
        <v>19.899999999999999</v>
      </c>
      <c r="H18291" s="689">
        <v>20.100000000000001</v>
      </c>
      <c r="I18291" s="689">
        <v>19.2</v>
      </c>
      <c r="J18291" s="689">
        <v>17.899999999999999</v>
      </c>
      <c r="K18291" s="689">
        <v>19.7</v>
      </c>
    </row>
    <row r="18292" spans="1:11">
      <c r="A18292" s="688" t="s">
        <v>26</v>
      </c>
      <c r="B18292" s="691">
        <v>23.1</v>
      </c>
      <c r="C18292" s="691">
        <v>22.9</v>
      </c>
      <c r="D18292" s="691">
        <v>22.7</v>
      </c>
      <c r="E18292" s="691">
        <v>23.1</v>
      </c>
      <c r="F18292" s="615">
        <v>23</v>
      </c>
      <c r="G18292" s="691">
        <v>23.2</v>
      </c>
      <c r="H18292" s="691">
        <v>23.3</v>
      </c>
      <c r="I18292" s="691">
        <v>22.4</v>
      </c>
      <c r="J18292" s="691">
        <v>22.8</v>
      </c>
      <c r="K18292" s="691">
        <v>23.1</v>
      </c>
    </row>
    <row r="18293" spans="1:11">
      <c r="A18293" s="688" t="s">
        <v>25</v>
      </c>
      <c r="B18293" s="689">
        <v>20.399999999999999</v>
      </c>
      <c r="C18293" s="689">
        <v>20.6</v>
      </c>
      <c r="D18293" s="689">
        <v>20.3</v>
      </c>
      <c r="E18293" s="689">
        <v>20.7</v>
      </c>
      <c r="F18293" s="689">
        <v>20.7</v>
      </c>
      <c r="G18293" s="689">
        <v>20.8</v>
      </c>
      <c r="H18293" s="689">
        <v>21.2</v>
      </c>
      <c r="I18293" s="689">
        <v>20.5</v>
      </c>
      <c r="J18293" s="689">
        <v>18.7</v>
      </c>
      <c r="K18293" s="689">
        <v>20.5</v>
      </c>
    </row>
    <row r="18294" spans="1:11">
      <c r="A18294" s="688" t="s">
        <v>5</v>
      </c>
      <c r="B18294" s="691">
        <v>23.5</v>
      </c>
      <c r="C18294" s="691">
        <v>23.2</v>
      </c>
      <c r="D18294" s="691">
        <v>23.3</v>
      </c>
      <c r="E18294" s="691">
        <v>23.3</v>
      </c>
      <c r="F18294" s="691">
        <v>23.5</v>
      </c>
      <c r="G18294" s="691">
        <v>23.6</v>
      </c>
      <c r="H18294" s="691">
        <v>23.8</v>
      </c>
      <c r="I18294" s="691">
        <v>23.8</v>
      </c>
      <c r="J18294" s="691">
        <v>23.7</v>
      </c>
      <c r="K18294" s="691">
        <v>23.1</v>
      </c>
    </row>
    <row r="18295" spans="1:11">
      <c r="A18295" s="688" t="s">
        <v>23</v>
      </c>
      <c r="B18295" s="693">
        <v>23</v>
      </c>
      <c r="C18295" s="689">
        <v>23.2</v>
      </c>
      <c r="D18295" s="689">
        <v>23.1</v>
      </c>
      <c r="E18295" s="689">
        <v>23.2</v>
      </c>
      <c r="F18295" s="689">
        <v>23.2</v>
      </c>
      <c r="G18295" s="689">
        <v>23.3</v>
      </c>
      <c r="H18295" s="689">
        <v>23.7</v>
      </c>
      <c r="I18295" s="689">
        <v>23.2</v>
      </c>
      <c r="J18295" s="689">
        <v>23.7</v>
      </c>
      <c r="K18295" s="689">
        <v>23.6</v>
      </c>
    </row>
    <row r="18296" spans="1:11">
      <c r="A18296" s="688" t="s">
        <v>4067</v>
      </c>
      <c r="B18296" s="615">
        <v>23</v>
      </c>
      <c r="C18296" s="691">
        <v>23.3</v>
      </c>
      <c r="D18296" s="691">
        <v>22.9</v>
      </c>
      <c r="E18296" s="691">
        <v>23.3</v>
      </c>
      <c r="F18296" s="691">
        <v>23.1</v>
      </c>
      <c r="G18296" s="691">
        <v>23.2</v>
      </c>
      <c r="H18296" s="692" t="s">
        <v>4060</v>
      </c>
      <c r="I18296" s="692" t="s">
        <v>4060</v>
      </c>
      <c r="J18296" s="692" t="s">
        <v>4060</v>
      </c>
      <c r="K18296" s="692" t="s">
        <v>4060</v>
      </c>
    </row>
    <row r="18297" spans="1:11">
      <c r="A18297" s="688" t="s">
        <v>4066</v>
      </c>
      <c r="B18297" s="693">
        <v>23</v>
      </c>
      <c r="C18297" s="689">
        <v>23.3</v>
      </c>
      <c r="D18297" s="689">
        <v>22.9</v>
      </c>
      <c r="E18297" s="689">
        <v>23.3</v>
      </c>
      <c r="F18297" s="689">
        <v>23.2</v>
      </c>
      <c r="G18297" s="689">
        <v>23.2</v>
      </c>
      <c r="H18297" s="690" t="s">
        <v>4060</v>
      </c>
      <c r="I18297" s="690" t="s">
        <v>4060</v>
      </c>
      <c r="J18297" s="690" t="s">
        <v>4060</v>
      </c>
      <c r="K18297" s="690" t="s">
        <v>4060</v>
      </c>
    </row>
    <row r="18298" spans="1:11">
      <c r="A18298" s="688" t="s">
        <v>4062</v>
      </c>
      <c r="B18298" s="691">
        <v>23.8</v>
      </c>
      <c r="C18298" s="691">
        <v>23.8</v>
      </c>
      <c r="D18298" s="691">
        <v>23.7</v>
      </c>
      <c r="E18298" s="691">
        <v>23.9</v>
      </c>
      <c r="F18298" s="691">
        <v>23.9</v>
      </c>
      <c r="G18298" s="691">
        <v>24.1</v>
      </c>
      <c r="H18298" s="691">
        <v>24.1</v>
      </c>
      <c r="I18298" s="691">
        <v>23.9</v>
      </c>
      <c r="J18298" s="691">
        <v>24.2</v>
      </c>
      <c r="K18298" s="691">
        <v>23.9</v>
      </c>
    </row>
    <row r="18299" spans="1:11">
      <c r="A18299" s="688" t="s">
        <v>9</v>
      </c>
      <c r="B18299" s="689">
        <v>22.8</v>
      </c>
      <c r="C18299" s="689">
        <v>23.5</v>
      </c>
      <c r="D18299" s="689">
        <v>22.8</v>
      </c>
      <c r="E18299" s="689">
        <v>22.7</v>
      </c>
      <c r="F18299" s="693">
        <v>23</v>
      </c>
      <c r="G18299" s="689">
        <v>23.2</v>
      </c>
      <c r="H18299" s="689">
        <v>23.5</v>
      </c>
      <c r="I18299" s="689">
        <v>23.6</v>
      </c>
      <c r="J18299" s="689">
        <v>23.6</v>
      </c>
      <c r="K18299" s="689">
        <v>22.6</v>
      </c>
    </row>
    <row r="18300" spans="1:11">
      <c r="A18300" s="688" t="s">
        <v>13</v>
      </c>
      <c r="B18300" s="691">
        <v>23.8</v>
      </c>
      <c r="C18300" s="691">
        <v>22.4</v>
      </c>
      <c r="D18300" s="691">
        <v>23.5</v>
      </c>
      <c r="E18300" s="691">
        <v>23.7</v>
      </c>
      <c r="F18300" s="691">
        <v>24.3</v>
      </c>
      <c r="G18300" s="691">
        <v>23.8</v>
      </c>
      <c r="H18300" s="691">
        <v>23.9</v>
      </c>
      <c r="I18300" s="691">
        <v>23.2</v>
      </c>
      <c r="J18300" s="691">
        <v>24.4</v>
      </c>
      <c r="K18300" s="691">
        <v>23.7</v>
      </c>
    </row>
    <row r="18301" spans="1:11">
      <c r="A18301" s="688" t="s">
        <v>18</v>
      </c>
      <c r="B18301" s="689">
        <v>23.1</v>
      </c>
      <c r="C18301" s="689">
        <v>23.3</v>
      </c>
      <c r="D18301" s="689">
        <v>23.3</v>
      </c>
      <c r="E18301" s="689">
        <v>23.3</v>
      </c>
      <c r="F18301" s="689">
        <v>23.3</v>
      </c>
      <c r="G18301" s="689">
        <v>23.5</v>
      </c>
      <c r="H18301" s="689">
        <v>23.6</v>
      </c>
      <c r="I18301" s="689">
        <v>23.8</v>
      </c>
      <c r="J18301" s="689">
        <v>23.6</v>
      </c>
      <c r="K18301" s="689">
        <v>23.3</v>
      </c>
    </row>
    <row r="18302" spans="1:11">
      <c r="A18302" s="688" t="s">
        <v>24</v>
      </c>
      <c r="B18302" s="691">
        <v>24.2</v>
      </c>
      <c r="C18302" s="691">
        <v>24.2</v>
      </c>
      <c r="D18302" s="615">
        <v>24</v>
      </c>
      <c r="E18302" s="691">
        <v>24.3</v>
      </c>
      <c r="F18302" s="691">
        <v>24.3</v>
      </c>
      <c r="G18302" s="691">
        <v>24.4</v>
      </c>
      <c r="H18302" s="691">
        <v>24.5</v>
      </c>
      <c r="I18302" s="615">
        <v>24</v>
      </c>
      <c r="J18302" s="691">
        <v>24.5</v>
      </c>
      <c r="K18302" s="691">
        <v>24.3</v>
      </c>
    </row>
    <row r="18303" spans="1:11">
      <c r="A18303" s="688" t="s">
        <v>4059</v>
      </c>
      <c r="B18303" s="689">
        <v>22.6</v>
      </c>
      <c r="C18303" s="689">
        <v>22.9</v>
      </c>
      <c r="D18303" s="689">
        <v>22.5</v>
      </c>
      <c r="E18303" s="689">
        <v>22.8</v>
      </c>
      <c r="F18303" s="689">
        <v>22.8</v>
      </c>
      <c r="G18303" s="689">
        <v>22.8</v>
      </c>
      <c r="H18303" s="690" t="s">
        <v>4060</v>
      </c>
      <c r="I18303" s="690" t="s">
        <v>4060</v>
      </c>
      <c r="J18303" s="690" t="s">
        <v>4060</v>
      </c>
      <c r="K18303" s="690" t="s">
        <v>4060</v>
      </c>
    </row>
    <row r="18304" spans="1:11">
      <c r="A18304" s="688" t="s">
        <v>2324</v>
      </c>
      <c r="B18304" s="691">
        <v>19.100000000000001</v>
      </c>
      <c r="C18304" s="691">
        <v>19.2</v>
      </c>
      <c r="D18304" s="691">
        <v>18.8</v>
      </c>
      <c r="E18304" s="615">
        <v>19</v>
      </c>
      <c r="F18304" s="691">
        <v>19.2</v>
      </c>
      <c r="G18304" s="691">
        <v>19.2</v>
      </c>
      <c r="H18304" s="691">
        <v>19.5</v>
      </c>
      <c r="I18304" s="691">
        <v>18.899999999999999</v>
      </c>
      <c r="J18304" s="691">
        <v>17.100000000000001</v>
      </c>
      <c r="K18304" s="692" t="s">
        <v>4060</v>
      </c>
    </row>
    <row r="18305" spans="1:11">
      <c r="A18305" s="688" t="s">
        <v>2322</v>
      </c>
      <c r="B18305" s="690" t="s">
        <v>4060</v>
      </c>
      <c r="C18305" s="690" t="s">
        <v>4060</v>
      </c>
      <c r="D18305" s="690" t="s">
        <v>4060</v>
      </c>
      <c r="E18305" s="690" t="s">
        <v>4060</v>
      </c>
      <c r="F18305" s="690" t="s">
        <v>4060</v>
      </c>
      <c r="G18305" s="690" t="s">
        <v>4060</v>
      </c>
      <c r="H18305" s="690" t="s">
        <v>4060</v>
      </c>
      <c r="I18305" s="690" t="s">
        <v>4060</v>
      </c>
      <c r="J18305" s="690" t="s">
        <v>4060</v>
      </c>
      <c r="K18305" s="690" t="s">
        <v>4060</v>
      </c>
    </row>
    <row r="18306" spans="1:11">
      <c r="A18306" s="688" t="s">
        <v>2328</v>
      </c>
      <c r="B18306" s="691">
        <v>18.100000000000001</v>
      </c>
      <c r="C18306" s="691">
        <v>17.899999999999999</v>
      </c>
      <c r="D18306" s="691">
        <v>17.8</v>
      </c>
      <c r="E18306" s="691">
        <v>18.100000000000001</v>
      </c>
      <c r="F18306" s="691">
        <v>18.2</v>
      </c>
      <c r="G18306" s="691">
        <v>18.7</v>
      </c>
      <c r="H18306" s="691">
        <v>18.5</v>
      </c>
      <c r="I18306" s="691">
        <v>17.2</v>
      </c>
      <c r="J18306" s="691">
        <v>16.399999999999999</v>
      </c>
      <c r="K18306" s="692" t="s">
        <v>4060</v>
      </c>
    </row>
    <row r="18307" spans="1:11">
      <c r="A18307" s="688" t="s">
        <v>2496</v>
      </c>
      <c r="B18307" s="690" t="s">
        <v>4060</v>
      </c>
      <c r="C18307" s="689">
        <v>19.2</v>
      </c>
      <c r="D18307" s="689">
        <v>18.5</v>
      </c>
      <c r="E18307" s="689">
        <v>18.2</v>
      </c>
      <c r="F18307" s="689">
        <v>18.7</v>
      </c>
      <c r="G18307" s="689">
        <v>18.899999999999999</v>
      </c>
      <c r="H18307" s="689">
        <v>18.899999999999999</v>
      </c>
      <c r="I18307" s="690" t="s">
        <v>4060</v>
      </c>
      <c r="J18307" s="690" t="s">
        <v>4060</v>
      </c>
      <c r="K18307" s="689">
        <v>18.600000000000001</v>
      </c>
    </row>
    <row r="18308" spans="1:11">
      <c r="A18308" s="688" t="s">
        <v>2269</v>
      </c>
      <c r="B18308" s="691">
        <v>20.2</v>
      </c>
      <c r="C18308" s="691">
        <v>20.3</v>
      </c>
      <c r="D18308" s="691">
        <v>19.5</v>
      </c>
      <c r="E18308" s="615">
        <v>20</v>
      </c>
      <c r="F18308" s="691">
        <v>19.8</v>
      </c>
      <c r="G18308" s="691">
        <v>20.3</v>
      </c>
      <c r="H18308" s="691">
        <v>20.5</v>
      </c>
      <c r="I18308" s="691">
        <v>19.399999999999999</v>
      </c>
      <c r="J18308" s="691">
        <v>17.600000000000001</v>
      </c>
      <c r="K18308" s="691">
        <v>20.100000000000001</v>
      </c>
    </row>
    <row r="18309" spans="1:11">
      <c r="A18309" s="688" t="s">
        <v>2349</v>
      </c>
      <c r="B18309" s="689">
        <v>18.5</v>
      </c>
      <c r="C18309" s="689">
        <v>18.5</v>
      </c>
      <c r="D18309" s="689">
        <v>18.399999999999999</v>
      </c>
      <c r="E18309" s="689">
        <v>18.7</v>
      </c>
      <c r="F18309" s="689">
        <v>18.600000000000001</v>
      </c>
      <c r="G18309" s="689">
        <v>18.8</v>
      </c>
      <c r="H18309" s="689">
        <v>18.899999999999999</v>
      </c>
      <c r="I18309" s="693">
        <v>18</v>
      </c>
      <c r="J18309" s="689">
        <v>16.600000000000001</v>
      </c>
      <c r="K18309" s="689">
        <v>18.2</v>
      </c>
    </row>
    <row r="18310" spans="1:11">
      <c r="A18310" s="688" t="s">
        <v>2355</v>
      </c>
      <c r="B18310" s="691">
        <v>21.5</v>
      </c>
      <c r="C18310" s="691">
        <v>21.3</v>
      </c>
      <c r="D18310" s="691">
        <v>21.2</v>
      </c>
      <c r="E18310" s="691">
        <v>21.2</v>
      </c>
      <c r="F18310" s="691">
        <v>21.3</v>
      </c>
      <c r="G18310" s="691">
        <v>21.6</v>
      </c>
      <c r="H18310" s="691">
        <v>21.7</v>
      </c>
      <c r="I18310" s="692" t="s">
        <v>4060</v>
      </c>
      <c r="J18310" s="692" t="s">
        <v>4060</v>
      </c>
      <c r="K18310" s="692" t="s">
        <v>4060</v>
      </c>
    </row>
    <row r="18311" spans="1:11">
      <c r="A18311" s="688" t="s">
        <v>2357</v>
      </c>
      <c r="B18311" s="690" t="s">
        <v>4060</v>
      </c>
      <c r="C18311" s="689">
        <v>18.600000000000001</v>
      </c>
      <c r="D18311" s="689">
        <v>18.899999999999999</v>
      </c>
      <c r="E18311" s="689">
        <v>19.2</v>
      </c>
      <c r="F18311" s="689">
        <v>19.399999999999999</v>
      </c>
      <c r="G18311" s="689">
        <v>19.399999999999999</v>
      </c>
      <c r="H18311" s="689">
        <v>19.5</v>
      </c>
      <c r="I18311" s="690" t="s">
        <v>4060</v>
      </c>
      <c r="J18311" s="690" t="s">
        <v>4060</v>
      </c>
      <c r="K18311" s="690" t="s">
        <v>4060</v>
      </c>
    </row>
    <row r="18312" spans="1:11">
      <c r="A18312" s="688" t="s">
        <v>4070</v>
      </c>
      <c r="B18312" s="692" t="s">
        <v>4060</v>
      </c>
      <c r="C18312" s="692" t="s">
        <v>4060</v>
      </c>
      <c r="D18312" s="692" t="s">
        <v>4060</v>
      </c>
      <c r="E18312" s="691">
        <v>21.4</v>
      </c>
      <c r="F18312" s="692" t="s">
        <v>4060</v>
      </c>
      <c r="G18312" s="692" t="s">
        <v>4060</v>
      </c>
      <c r="H18312" s="692" t="s">
        <v>4060</v>
      </c>
      <c r="I18312" s="692" t="s">
        <v>4060</v>
      </c>
      <c r="J18312" s="692" t="s">
        <v>4060</v>
      </c>
      <c r="K18312" s="692" t="s">
        <v>4060</v>
      </c>
    </row>
    <row r="18313" spans="1:11">
      <c r="A18313" s="688" t="s">
        <v>2491</v>
      </c>
      <c r="B18313" s="689">
        <v>19.100000000000001</v>
      </c>
      <c r="C18313" s="689">
        <v>19.600000000000001</v>
      </c>
      <c r="D18313" s="689">
        <v>19.600000000000001</v>
      </c>
      <c r="E18313" s="689">
        <v>19.8</v>
      </c>
      <c r="F18313" s="689">
        <v>19.899999999999999</v>
      </c>
      <c r="G18313" s="689">
        <v>19.899999999999999</v>
      </c>
      <c r="H18313" s="690" t="s">
        <v>4060</v>
      </c>
      <c r="I18313" s="690" t="s">
        <v>4060</v>
      </c>
      <c r="J18313" s="690" t="s">
        <v>4060</v>
      </c>
      <c r="K18313" s="690" t="s">
        <v>4060</v>
      </c>
    </row>
    <row r="18314" spans="1:11">
      <c r="A18314" s="688" t="s">
        <v>2343</v>
      </c>
      <c r="B18314" s="692" t="s">
        <v>4060</v>
      </c>
      <c r="C18314" s="692" t="s">
        <v>4060</v>
      </c>
      <c r="D18314" s="692" t="s">
        <v>4060</v>
      </c>
      <c r="E18314" s="692" t="s">
        <v>4060</v>
      </c>
      <c r="F18314" s="692" t="s">
        <v>4060</v>
      </c>
      <c r="G18314" s="692" t="s">
        <v>4060</v>
      </c>
      <c r="H18314" s="692" t="s">
        <v>4060</v>
      </c>
      <c r="I18314" s="692" t="s">
        <v>4060</v>
      </c>
      <c r="J18314" s="692" t="s">
        <v>4060</v>
      </c>
      <c r="K18314" s="692" t="s">
        <v>4060</v>
      </c>
    </row>
    <row r="18315" spans="1:11">
      <c r="A18315" s="688" t="s">
        <v>4071</v>
      </c>
      <c r="B18315" s="690" t="s">
        <v>4060</v>
      </c>
      <c r="C18315" s="690" t="s">
        <v>4060</v>
      </c>
      <c r="D18315" s="690" t="s">
        <v>4060</v>
      </c>
      <c r="E18315" s="690" t="s">
        <v>4060</v>
      </c>
      <c r="F18315" s="690" t="s">
        <v>4060</v>
      </c>
      <c r="G18315" s="690" t="s">
        <v>4060</v>
      </c>
      <c r="H18315" s="690" t="s">
        <v>4060</v>
      </c>
      <c r="I18315" s="690" t="s">
        <v>4060</v>
      </c>
      <c r="J18315" s="690" t="s">
        <v>4060</v>
      </c>
      <c r="K18315" s="690" t="s">
        <v>4060</v>
      </c>
    </row>
    <row r="18316" spans="1:11">
      <c r="A18316" s="688" t="s">
        <v>2489</v>
      </c>
      <c r="B18316" s="692" t="s">
        <v>4060</v>
      </c>
      <c r="C18316" s="692" t="s">
        <v>4060</v>
      </c>
      <c r="D18316" s="691">
        <v>18.8</v>
      </c>
      <c r="E18316" s="691">
        <v>18.8</v>
      </c>
      <c r="F18316" s="691">
        <v>19.100000000000001</v>
      </c>
      <c r="G18316" s="691">
        <v>19.7</v>
      </c>
      <c r="H18316" s="691">
        <v>19.7</v>
      </c>
      <c r="I18316" s="692" t="s">
        <v>4060</v>
      </c>
      <c r="J18316" s="692" t="s">
        <v>4060</v>
      </c>
      <c r="K18316" s="692" t="s">
        <v>4060</v>
      </c>
    </row>
    <row r="18317" spans="1:11">
      <c r="A18317" s="688" t="s">
        <v>2490</v>
      </c>
      <c r="B18317" s="689">
        <v>18.100000000000001</v>
      </c>
      <c r="C18317" s="689">
        <v>18.100000000000001</v>
      </c>
      <c r="D18317" s="689">
        <v>18.600000000000001</v>
      </c>
      <c r="E18317" s="690" t="s">
        <v>4060</v>
      </c>
      <c r="F18317" s="689">
        <v>18.7</v>
      </c>
      <c r="G18317" s="693">
        <v>19</v>
      </c>
      <c r="H18317" s="689">
        <v>19.7</v>
      </c>
      <c r="I18317" s="690" t="s">
        <v>4060</v>
      </c>
      <c r="J18317" s="690" t="s">
        <v>4060</v>
      </c>
      <c r="K18317" s="690" t="s">
        <v>4060</v>
      </c>
    </row>
    <row r="18319" spans="1:11">
      <c r="A18319" s="683" t="s">
        <v>4233</v>
      </c>
    </row>
    <row r="18320" spans="1:11">
      <c r="A18320" s="683" t="s">
        <v>4060</v>
      </c>
      <c r="B18320" s="682" t="s">
        <v>4234</v>
      </c>
    </row>
    <row r="18322" spans="1:11">
      <c r="A18322" s="682" t="s">
        <v>4332</v>
      </c>
    </row>
    <row r="18323" spans="1:11">
      <c r="A18323" s="682" t="s">
        <v>4210</v>
      </c>
      <c r="B18323" s="683" t="s">
        <v>4211</v>
      </c>
    </row>
    <row r="18324" spans="1:11">
      <c r="A18324" s="682" t="s">
        <v>4212</v>
      </c>
      <c r="B18324" s="682" t="s">
        <v>4213</v>
      </c>
    </row>
    <row r="18326" spans="1:11">
      <c r="A18326" s="683" t="s">
        <v>4214</v>
      </c>
      <c r="C18326" s="682" t="s">
        <v>4215</v>
      </c>
    </row>
    <row r="18327" spans="1:11">
      <c r="A18327" s="683" t="s">
        <v>4216</v>
      </c>
      <c r="C18327" s="682" t="s">
        <v>2967</v>
      </c>
    </row>
    <row r="18328" spans="1:11">
      <c r="A18328" s="683" t="s">
        <v>3893</v>
      </c>
      <c r="C18328" s="682" t="s">
        <v>2169</v>
      </c>
    </row>
    <row r="18329" spans="1:11">
      <c r="A18329" s="683" t="s">
        <v>4218</v>
      </c>
      <c r="C18329" s="682" t="s">
        <v>4299</v>
      </c>
    </row>
    <row r="18331" spans="1:11">
      <c r="A18331" s="684" t="s">
        <v>4220</v>
      </c>
      <c r="B18331" s="685" t="s">
        <v>4221</v>
      </c>
      <c r="C18331" s="685" t="s">
        <v>4222</v>
      </c>
      <c r="D18331" s="685" t="s">
        <v>4223</v>
      </c>
      <c r="E18331" s="685" t="s">
        <v>4224</v>
      </c>
      <c r="F18331" s="685" t="s">
        <v>4225</v>
      </c>
      <c r="G18331" s="685" t="s">
        <v>4226</v>
      </c>
      <c r="H18331" s="685" t="s">
        <v>4227</v>
      </c>
      <c r="I18331" s="685" t="s">
        <v>4228</v>
      </c>
      <c r="J18331" s="685" t="s">
        <v>4229</v>
      </c>
      <c r="K18331" s="685" t="s">
        <v>4230</v>
      </c>
    </row>
    <row r="18332" spans="1:11">
      <c r="A18332" s="686" t="s">
        <v>4231</v>
      </c>
      <c r="B18332" s="687" t="s">
        <v>4232</v>
      </c>
      <c r="C18332" s="687" t="s">
        <v>4232</v>
      </c>
      <c r="D18332" s="687" t="s">
        <v>4232</v>
      </c>
      <c r="E18332" s="687" t="s">
        <v>4232</v>
      </c>
      <c r="F18332" s="687" t="s">
        <v>4232</v>
      </c>
      <c r="G18332" s="687" t="s">
        <v>4232</v>
      </c>
      <c r="H18332" s="687" t="s">
        <v>4232</v>
      </c>
      <c r="I18332" s="687" t="s">
        <v>4232</v>
      </c>
      <c r="J18332" s="687" t="s">
        <v>4232</v>
      </c>
      <c r="K18332" s="687" t="s">
        <v>4232</v>
      </c>
    </row>
    <row r="18333" spans="1:11">
      <c r="A18333" s="688" t="s">
        <v>4064</v>
      </c>
      <c r="B18333" s="689">
        <v>22.2</v>
      </c>
      <c r="C18333" s="689">
        <v>22.1</v>
      </c>
      <c r="D18333" s="689">
        <v>22.1</v>
      </c>
      <c r="E18333" s="689">
        <v>22.2</v>
      </c>
      <c r="F18333" s="689">
        <v>22.1</v>
      </c>
      <c r="G18333" s="689">
        <v>22.2</v>
      </c>
      <c r="H18333" s="689">
        <v>22.4</v>
      </c>
      <c r="I18333" s="689">
        <v>21.8</v>
      </c>
      <c r="J18333" s="689">
        <v>21.6</v>
      </c>
      <c r="K18333" s="689">
        <v>21.9</v>
      </c>
    </row>
    <row r="18334" spans="1:11">
      <c r="A18334" s="688" t="s">
        <v>4065</v>
      </c>
      <c r="B18334" s="691">
        <v>22.2</v>
      </c>
      <c r="C18334" s="691">
        <v>22.5</v>
      </c>
      <c r="D18334" s="691">
        <v>22.1</v>
      </c>
      <c r="E18334" s="691">
        <v>22.4</v>
      </c>
      <c r="F18334" s="691">
        <v>22.3</v>
      </c>
      <c r="G18334" s="691">
        <v>22.4</v>
      </c>
      <c r="H18334" s="692" t="s">
        <v>4060</v>
      </c>
      <c r="I18334" s="692" t="s">
        <v>4060</v>
      </c>
      <c r="J18334" s="692" t="s">
        <v>4060</v>
      </c>
      <c r="K18334" s="692" t="s">
        <v>4060</v>
      </c>
    </row>
    <row r="18335" spans="1:11">
      <c r="A18335" s="688" t="s">
        <v>4063</v>
      </c>
      <c r="B18335" s="689">
        <v>22.2</v>
      </c>
      <c r="C18335" s="689">
        <v>22.5</v>
      </c>
      <c r="D18335" s="689">
        <v>22.1</v>
      </c>
      <c r="E18335" s="689">
        <v>22.5</v>
      </c>
      <c r="F18335" s="689">
        <v>22.3</v>
      </c>
      <c r="G18335" s="689">
        <v>22.4</v>
      </c>
      <c r="H18335" s="690" t="s">
        <v>4060</v>
      </c>
      <c r="I18335" s="690" t="s">
        <v>4060</v>
      </c>
      <c r="J18335" s="690" t="s">
        <v>4060</v>
      </c>
      <c r="K18335" s="690" t="s">
        <v>4060</v>
      </c>
    </row>
    <row r="18336" spans="1:11">
      <c r="A18336" s="688" t="s">
        <v>4069</v>
      </c>
      <c r="B18336" s="692" t="s">
        <v>4060</v>
      </c>
      <c r="C18336" s="691">
        <v>22.8</v>
      </c>
      <c r="D18336" s="691">
        <v>22.5</v>
      </c>
      <c r="E18336" s="691">
        <v>22.8</v>
      </c>
      <c r="F18336" s="691">
        <v>22.7</v>
      </c>
      <c r="G18336" s="691">
        <v>22.8</v>
      </c>
      <c r="H18336" s="615">
        <v>23</v>
      </c>
      <c r="I18336" s="691">
        <v>22.4</v>
      </c>
      <c r="J18336" s="691">
        <v>22.5</v>
      </c>
      <c r="K18336" s="691">
        <v>22.5</v>
      </c>
    </row>
    <row r="18337" spans="1:11">
      <c r="A18337" s="688" t="s">
        <v>4068</v>
      </c>
      <c r="B18337" s="689">
        <v>22.9</v>
      </c>
      <c r="C18337" s="690" t="s">
        <v>4060</v>
      </c>
      <c r="D18337" s="690" t="s">
        <v>4060</v>
      </c>
      <c r="E18337" s="690" t="s">
        <v>4060</v>
      </c>
      <c r="F18337" s="690" t="s">
        <v>4060</v>
      </c>
      <c r="G18337" s="690" t="s">
        <v>4060</v>
      </c>
      <c r="H18337" s="690" t="s">
        <v>4060</v>
      </c>
      <c r="I18337" s="690" t="s">
        <v>4060</v>
      </c>
      <c r="J18337" s="690" t="s">
        <v>4060</v>
      </c>
      <c r="K18337" s="690" t="s">
        <v>4060</v>
      </c>
    </row>
    <row r="18338" spans="1:11">
      <c r="A18338" s="688" t="s">
        <v>0</v>
      </c>
      <c r="B18338" s="691">
        <v>22.3</v>
      </c>
      <c r="C18338" s="691">
        <v>22.3</v>
      </c>
      <c r="D18338" s="691">
        <v>22.1</v>
      </c>
      <c r="E18338" s="691">
        <v>22.4</v>
      </c>
      <c r="F18338" s="691">
        <v>22.4</v>
      </c>
      <c r="G18338" s="691">
        <v>22.5</v>
      </c>
      <c r="H18338" s="691">
        <v>22.7</v>
      </c>
      <c r="I18338" s="691">
        <v>21.6</v>
      </c>
      <c r="J18338" s="691">
        <v>22.6</v>
      </c>
      <c r="K18338" s="691">
        <v>22.4</v>
      </c>
    </row>
    <row r="18339" spans="1:11">
      <c r="A18339" s="688" t="s">
        <v>1</v>
      </c>
      <c r="B18339" s="689">
        <v>18.7</v>
      </c>
      <c r="C18339" s="689">
        <v>18.3</v>
      </c>
      <c r="D18339" s="689">
        <v>18.3</v>
      </c>
      <c r="E18339" s="689">
        <v>18.600000000000001</v>
      </c>
      <c r="F18339" s="689">
        <v>18.5</v>
      </c>
      <c r="G18339" s="689">
        <v>18.7</v>
      </c>
      <c r="H18339" s="689">
        <v>18.7</v>
      </c>
      <c r="I18339" s="689">
        <v>17.8</v>
      </c>
      <c r="J18339" s="689">
        <v>16.3</v>
      </c>
      <c r="K18339" s="689">
        <v>18.2</v>
      </c>
    </row>
    <row r="18340" spans="1:11">
      <c r="A18340" s="688" t="s">
        <v>2240</v>
      </c>
      <c r="B18340" s="691">
        <v>20.100000000000001</v>
      </c>
      <c r="C18340" s="691">
        <v>20.399999999999999</v>
      </c>
      <c r="D18340" s="691">
        <v>20.100000000000001</v>
      </c>
      <c r="E18340" s="691">
        <v>20.6</v>
      </c>
      <c r="F18340" s="691">
        <v>20.5</v>
      </c>
      <c r="G18340" s="691">
        <v>20.6</v>
      </c>
      <c r="H18340" s="691">
        <v>20.8</v>
      </c>
      <c r="I18340" s="615">
        <v>20</v>
      </c>
      <c r="J18340" s="691">
        <v>19.5</v>
      </c>
      <c r="K18340" s="691">
        <v>20.6</v>
      </c>
    </row>
    <row r="18341" spans="1:11">
      <c r="A18341" s="688" t="s">
        <v>2</v>
      </c>
      <c r="B18341" s="689">
        <v>21.2</v>
      </c>
      <c r="C18341" s="689">
        <v>21.5</v>
      </c>
      <c r="D18341" s="689">
        <v>21.5</v>
      </c>
      <c r="E18341" s="689">
        <v>21.5</v>
      </c>
      <c r="F18341" s="689">
        <v>21.7</v>
      </c>
      <c r="G18341" s="689">
        <v>21.5</v>
      </c>
      <c r="H18341" s="689">
        <v>21.8</v>
      </c>
      <c r="I18341" s="689">
        <v>21.9</v>
      </c>
      <c r="J18341" s="689">
        <v>21.7</v>
      </c>
      <c r="K18341" s="689">
        <v>21.5</v>
      </c>
    </row>
    <row r="18342" spans="1:11">
      <c r="A18342" s="688" t="s">
        <v>3</v>
      </c>
      <c r="B18342" s="691">
        <v>21.8</v>
      </c>
      <c r="C18342" s="615">
        <v>22</v>
      </c>
      <c r="D18342" s="691">
        <v>21.7</v>
      </c>
      <c r="E18342" s="615">
        <v>22</v>
      </c>
      <c r="F18342" s="691">
        <v>21.9</v>
      </c>
      <c r="G18342" s="691">
        <v>21.9</v>
      </c>
      <c r="H18342" s="691">
        <v>22.1</v>
      </c>
      <c r="I18342" s="615">
        <v>22</v>
      </c>
      <c r="J18342" s="691">
        <v>21.8</v>
      </c>
      <c r="K18342" s="691">
        <v>21.5</v>
      </c>
    </row>
    <row r="18343" spans="1:11">
      <c r="A18343" s="688" t="s">
        <v>4061</v>
      </c>
      <c r="B18343" s="689">
        <v>21.8</v>
      </c>
      <c r="C18343" s="693">
        <v>22</v>
      </c>
      <c r="D18343" s="689">
        <v>21.7</v>
      </c>
      <c r="E18343" s="693">
        <v>22</v>
      </c>
      <c r="F18343" s="689">
        <v>21.9</v>
      </c>
      <c r="G18343" s="689">
        <v>21.9</v>
      </c>
      <c r="H18343" s="689">
        <v>22.1</v>
      </c>
      <c r="I18343" s="693">
        <v>22</v>
      </c>
      <c r="J18343" s="689">
        <v>21.8</v>
      </c>
      <c r="K18343" s="689">
        <v>21.5</v>
      </c>
    </row>
    <row r="18344" spans="1:11">
      <c r="A18344" s="688" t="s">
        <v>4</v>
      </c>
      <c r="B18344" s="691">
        <v>21.1</v>
      </c>
      <c r="C18344" s="691">
        <v>20.8</v>
      </c>
      <c r="D18344" s="691">
        <v>21.1</v>
      </c>
      <c r="E18344" s="691">
        <v>21.3</v>
      </c>
      <c r="F18344" s="691">
        <v>21.3</v>
      </c>
      <c r="G18344" s="691">
        <v>21.2</v>
      </c>
      <c r="H18344" s="691">
        <v>21.7</v>
      </c>
      <c r="I18344" s="691">
        <v>21.7</v>
      </c>
      <c r="J18344" s="691">
        <v>20.399999999999999</v>
      </c>
      <c r="K18344" s="691">
        <v>21.2</v>
      </c>
    </row>
    <row r="18345" spans="1:11">
      <c r="A18345" s="688" t="s">
        <v>8</v>
      </c>
      <c r="B18345" s="689">
        <v>21.7</v>
      </c>
      <c r="C18345" s="689">
        <v>21.7</v>
      </c>
      <c r="D18345" s="689">
        <v>21.8</v>
      </c>
      <c r="E18345" s="689">
        <v>21.8</v>
      </c>
      <c r="F18345" s="689">
        <v>22.1</v>
      </c>
      <c r="G18345" s="689">
        <v>22.2</v>
      </c>
      <c r="H18345" s="689">
        <v>22.6</v>
      </c>
      <c r="I18345" s="689">
        <v>22.4</v>
      </c>
      <c r="J18345" s="689">
        <v>22.3</v>
      </c>
      <c r="K18345" s="689">
        <v>22.3</v>
      </c>
    </row>
    <row r="18346" spans="1:11">
      <c r="A18346" s="688" t="s">
        <v>7</v>
      </c>
      <c r="B18346" s="691">
        <v>22.5</v>
      </c>
      <c r="C18346" s="691">
        <v>22.2</v>
      </c>
      <c r="D18346" s="691">
        <v>21.9</v>
      </c>
      <c r="E18346" s="691">
        <v>22.2</v>
      </c>
      <c r="F18346" s="691">
        <v>22.1</v>
      </c>
      <c r="G18346" s="691">
        <v>22.6</v>
      </c>
      <c r="H18346" s="691">
        <v>22.5</v>
      </c>
      <c r="I18346" s="691">
        <v>22.2</v>
      </c>
      <c r="J18346" s="691">
        <v>21.5</v>
      </c>
      <c r="K18346" s="691">
        <v>21.7</v>
      </c>
    </row>
    <row r="18347" spans="1:11">
      <c r="A18347" s="688" t="s">
        <v>27</v>
      </c>
      <c r="B18347" s="689">
        <v>24.3</v>
      </c>
      <c r="C18347" s="689">
        <v>23.8</v>
      </c>
      <c r="D18347" s="689">
        <v>23.5</v>
      </c>
      <c r="E18347" s="689">
        <v>23.9</v>
      </c>
      <c r="F18347" s="689">
        <v>23.8</v>
      </c>
      <c r="G18347" s="689">
        <v>23.9</v>
      </c>
      <c r="H18347" s="689">
        <v>24.3</v>
      </c>
      <c r="I18347" s="689">
        <v>23.1</v>
      </c>
      <c r="J18347" s="689">
        <v>23.9</v>
      </c>
      <c r="K18347" s="689">
        <v>23.8</v>
      </c>
    </row>
    <row r="18348" spans="1:11">
      <c r="A18348" s="688" t="s">
        <v>6</v>
      </c>
      <c r="B18348" s="691">
        <v>24.5</v>
      </c>
      <c r="C18348" s="691">
        <v>24.2</v>
      </c>
      <c r="D18348" s="691">
        <v>23.9</v>
      </c>
      <c r="E18348" s="691">
        <v>24.1</v>
      </c>
      <c r="F18348" s="691">
        <v>24.1</v>
      </c>
      <c r="G18348" s="691">
        <v>24.2</v>
      </c>
      <c r="H18348" s="691">
        <v>24.3</v>
      </c>
      <c r="I18348" s="691">
        <v>23.8</v>
      </c>
      <c r="J18348" s="691">
        <v>23.9</v>
      </c>
      <c r="K18348" s="691">
        <v>23.9</v>
      </c>
    </row>
    <row r="18349" spans="1:11">
      <c r="A18349" s="688" t="s">
        <v>4058</v>
      </c>
      <c r="B18349" s="690" t="s">
        <v>4060</v>
      </c>
      <c r="C18349" s="690" t="s">
        <v>4060</v>
      </c>
      <c r="D18349" s="690" t="s">
        <v>4060</v>
      </c>
      <c r="E18349" s="690" t="s">
        <v>4060</v>
      </c>
      <c r="F18349" s="690" t="s">
        <v>4060</v>
      </c>
      <c r="G18349" s="690" t="s">
        <v>4060</v>
      </c>
      <c r="H18349" s="690" t="s">
        <v>4060</v>
      </c>
      <c r="I18349" s="690" t="s">
        <v>4060</v>
      </c>
      <c r="J18349" s="690" t="s">
        <v>4060</v>
      </c>
      <c r="K18349" s="690" t="s">
        <v>4060</v>
      </c>
    </row>
    <row r="18350" spans="1:11">
      <c r="A18350" s="688" t="s">
        <v>11</v>
      </c>
      <c r="B18350" s="691">
        <v>19.899999999999999</v>
      </c>
      <c r="C18350" s="691">
        <v>19.7</v>
      </c>
      <c r="D18350" s="691">
        <v>19.399999999999999</v>
      </c>
      <c r="E18350" s="691">
        <v>19.8</v>
      </c>
      <c r="F18350" s="691">
        <v>19.600000000000001</v>
      </c>
      <c r="G18350" s="691">
        <v>19.899999999999999</v>
      </c>
      <c r="H18350" s="691">
        <v>20.100000000000001</v>
      </c>
      <c r="I18350" s="691">
        <v>19.399999999999999</v>
      </c>
      <c r="J18350" s="691">
        <v>18.8</v>
      </c>
      <c r="K18350" s="691">
        <v>19.5</v>
      </c>
    </row>
    <row r="18351" spans="1:11">
      <c r="A18351" s="688" t="s">
        <v>10</v>
      </c>
      <c r="B18351" s="689">
        <v>23.5</v>
      </c>
      <c r="C18351" s="689">
        <v>23.2</v>
      </c>
      <c r="D18351" s="689">
        <v>22.7</v>
      </c>
      <c r="E18351" s="689">
        <v>23.3</v>
      </c>
      <c r="F18351" s="693">
        <v>23</v>
      </c>
      <c r="G18351" s="689">
        <v>23.4</v>
      </c>
      <c r="H18351" s="689">
        <v>23.5</v>
      </c>
      <c r="I18351" s="689">
        <v>22.6</v>
      </c>
      <c r="J18351" s="689">
        <v>22.9</v>
      </c>
      <c r="K18351" s="689">
        <v>22.8</v>
      </c>
    </row>
    <row r="18352" spans="1:11">
      <c r="A18352" s="688" t="s">
        <v>30</v>
      </c>
      <c r="B18352" s="691">
        <v>22.5</v>
      </c>
      <c r="C18352" s="615">
        <v>22</v>
      </c>
      <c r="D18352" s="691">
        <v>21.7</v>
      </c>
      <c r="E18352" s="691">
        <v>22.6</v>
      </c>
      <c r="F18352" s="691">
        <v>22.2</v>
      </c>
      <c r="G18352" s="691">
        <v>22.6</v>
      </c>
      <c r="H18352" s="691">
        <v>22.4</v>
      </c>
      <c r="I18352" s="691">
        <v>22.5</v>
      </c>
      <c r="J18352" s="615">
        <v>22</v>
      </c>
      <c r="K18352" s="615">
        <v>22</v>
      </c>
    </row>
    <row r="18353" spans="1:11">
      <c r="A18353" s="688" t="s">
        <v>12</v>
      </c>
      <c r="B18353" s="689">
        <v>19.399999999999999</v>
      </c>
      <c r="C18353" s="689">
        <v>19.5</v>
      </c>
      <c r="D18353" s="689">
        <v>19.5</v>
      </c>
      <c r="E18353" s="689">
        <v>19.600000000000001</v>
      </c>
      <c r="F18353" s="689">
        <v>19.600000000000001</v>
      </c>
      <c r="G18353" s="689">
        <v>19.7</v>
      </c>
      <c r="H18353" s="689">
        <v>20.100000000000001</v>
      </c>
      <c r="I18353" s="689">
        <v>19.8</v>
      </c>
      <c r="J18353" s="689">
        <v>18.399999999999999</v>
      </c>
      <c r="K18353" s="689">
        <v>19.399999999999999</v>
      </c>
    </row>
    <row r="18354" spans="1:11">
      <c r="A18354" s="688" t="s">
        <v>14</v>
      </c>
      <c r="B18354" s="615">
        <v>20</v>
      </c>
      <c r="C18354" s="691">
        <v>19.899999999999999</v>
      </c>
      <c r="D18354" s="691">
        <v>19.7</v>
      </c>
      <c r="E18354" s="691">
        <v>19.899999999999999</v>
      </c>
      <c r="F18354" s="615">
        <v>20</v>
      </c>
      <c r="G18354" s="691">
        <v>20.2</v>
      </c>
      <c r="H18354" s="691">
        <v>20.399999999999999</v>
      </c>
      <c r="I18354" s="691">
        <v>19.7</v>
      </c>
      <c r="J18354" s="691">
        <v>18.899999999999999</v>
      </c>
      <c r="K18354" s="691">
        <v>19.8</v>
      </c>
    </row>
    <row r="18355" spans="1:11">
      <c r="A18355" s="688" t="s">
        <v>15</v>
      </c>
      <c r="B18355" s="689">
        <v>22.8</v>
      </c>
      <c r="C18355" s="689">
        <v>22.9</v>
      </c>
      <c r="D18355" s="689">
        <v>22.2</v>
      </c>
      <c r="E18355" s="689">
        <v>22.9</v>
      </c>
      <c r="F18355" s="689">
        <v>22.2</v>
      </c>
      <c r="G18355" s="689">
        <v>22.7</v>
      </c>
      <c r="H18355" s="689">
        <v>22.9</v>
      </c>
      <c r="I18355" s="689">
        <v>22.5</v>
      </c>
      <c r="J18355" s="689">
        <v>22.8</v>
      </c>
      <c r="K18355" s="689">
        <v>22.9</v>
      </c>
    </row>
    <row r="18356" spans="1:11">
      <c r="A18356" s="688" t="s">
        <v>29</v>
      </c>
      <c r="B18356" s="691">
        <v>19.2</v>
      </c>
      <c r="C18356" s="691">
        <v>19.100000000000001</v>
      </c>
      <c r="D18356" s="691">
        <v>18.8</v>
      </c>
      <c r="E18356" s="691">
        <v>19.2</v>
      </c>
      <c r="F18356" s="691">
        <v>18.899999999999999</v>
      </c>
      <c r="G18356" s="691">
        <v>19.100000000000001</v>
      </c>
      <c r="H18356" s="691">
        <v>19.100000000000001</v>
      </c>
      <c r="I18356" s="691">
        <v>18.5</v>
      </c>
      <c r="J18356" s="691">
        <v>17.899999999999999</v>
      </c>
      <c r="K18356" s="691">
        <v>18.8</v>
      </c>
    </row>
    <row r="18357" spans="1:11">
      <c r="A18357" s="688" t="s">
        <v>16</v>
      </c>
      <c r="B18357" s="689">
        <v>22.3</v>
      </c>
      <c r="C18357" s="689">
        <v>22.2</v>
      </c>
      <c r="D18357" s="689">
        <v>22.1</v>
      </c>
      <c r="E18357" s="689">
        <v>22.4</v>
      </c>
      <c r="F18357" s="689">
        <v>22.6</v>
      </c>
      <c r="G18357" s="689">
        <v>22.6</v>
      </c>
      <c r="H18357" s="689">
        <v>22.7</v>
      </c>
      <c r="I18357" s="689">
        <v>22.4</v>
      </c>
      <c r="J18357" s="689">
        <v>22.1</v>
      </c>
      <c r="K18357" s="689">
        <v>22.4</v>
      </c>
    </row>
    <row r="18358" spans="1:11">
      <c r="A18358" s="688" t="s">
        <v>17</v>
      </c>
      <c r="B18358" s="615">
        <v>22</v>
      </c>
      <c r="C18358" s="615">
        <v>22</v>
      </c>
      <c r="D18358" s="691">
        <v>21.8</v>
      </c>
      <c r="E18358" s="691">
        <v>21.9</v>
      </c>
      <c r="F18358" s="691">
        <v>21.9</v>
      </c>
      <c r="G18358" s="691">
        <v>21.9</v>
      </c>
      <c r="H18358" s="691">
        <v>22.1</v>
      </c>
      <c r="I18358" s="691">
        <v>21.6</v>
      </c>
      <c r="J18358" s="691">
        <v>21.6</v>
      </c>
      <c r="K18358" s="691">
        <v>21.6</v>
      </c>
    </row>
    <row r="18359" spans="1:11">
      <c r="A18359" s="688" t="s">
        <v>19</v>
      </c>
      <c r="B18359" s="689">
        <v>22.3</v>
      </c>
      <c r="C18359" s="689">
        <v>22.3</v>
      </c>
      <c r="D18359" s="689">
        <v>22.1</v>
      </c>
      <c r="E18359" s="689">
        <v>22.4</v>
      </c>
      <c r="F18359" s="689">
        <v>22.3</v>
      </c>
      <c r="G18359" s="689">
        <v>22.4</v>
      </c>
      <c r="H18359" s="689">
        <v>22.5</v>
      </c>
      <c r="I18359" s="693">
        <v>22</v>
      </c>
      <c r="J18359" s="693">
        <v>22</v>
      </c>
      <c r="K18359" s="689">
        <v>22.1</v>
      </c>
    </row>
    <row r="18360" spans="1:11">
      <c r="A18360" s="688" t="s">
        <v>20</v>
      </c>
      <c r="B18360" s="691">
        <v>20.7</v>
      </c>
      <c r="C18360" s="691">
        <v>20.8</v>
      </c>
      <c r="D18360" s="691">
        <v>20.6</v>
      </c>
      <c r="E18360" s="615">
        <v>21</v>
      </c>
      <c r="F18360" s="691">
        <v>20.8</v>
      </c>
      <c r="G18360" s="691">
        <v>20.7</v>
      </c>
      <c r="H18360" s="691">
        <v>20.9</v>
      </c>
      <c r="I18360" s="691">
        <v>19.899999999999999</v>
      </c>
      <c r="J18360" s="615">
        <v>19</v>
      </c>
      <c r="K18360" s="691">
        <v>20.3</v>
      </c>
    </row>
    <row r="18361" spans="1:11">
      <c r="A18361" s="688" t="s">
        <v>21</v>
      </c>
      <c r="B18361" s="689">
        <v>22.5</v>
      </c>
      <c r="C18361" s="689">
        <v>22.7</v>
      </c>
      <c r="D18361" s="689">
        <v>22.6</v>
      </c>
      <c r="E18361" s="689">
        <v>22.7</v>
      </c>
      <c r="F18361" s="693">
        <v>23</v>
      </c>
      <c r="G18361" s="689">
        <v>22.9</v>
      </c>
      <c r="H18361" s="689">
        <v>23.2</v>
      </c>
      <c r="I18361" s="689">
        <v>22.6</v>
      </c>
      <c r="J18361" s="689">
        <v>22.7</v>
      </c>
      <c r="K18361" s="689">
        <v>22.8</v>
      </c>
    </row>
    <row r="18362" spans="1:11">
      <c r="A18362" s="688" t="s">
        <v>22</v>
      </c>
      <c r="B18362" s="691">
        <v>18.899999999999999</v>
      </c>
      <c r="C18362" s="691">
        <v>18.7</v>
      </c>
      <c r="D18362" s="691">
        <v>18.7</v>
      </c>
      <c r="E18362" s="615">
        <v>19</v>
      </c>
      <c r="F18362" s="615">
        <v>19</v>
      </c>
      <c r="G18362" s="691">
        <v>19.100000000000001</v>
      </c>
      <c r="H18362" s="691">
        <v>19.3</v>
      </c>
      <c r="I18362" s="691">
        <v>18.399999999999999</v>
      </c>
      <c r="J18362" s="691">
        <v>17.100000000000001</v>
      </c>
      <c r="K18362" s="691">
        <v>18.899999999999999</v>
      </c>
    </row>
    <row r="18363" spans="1:11">
      <c r="A18363" s="688" t="s">
        <v>26</v>
      </c>
      <c r="B18363" s="689">
        <v>22.2</v>
      </c>
      <c r="C18363" s="693">
        <v>22</v>
      </c>
      <c r="D18363" s="689">
        <v>21.9</v>
      </c>
      <c r="E18363" s="689">
        <v>22.2</v>
      </c>
      <c r="F18363" s="689">
        <v>22.1</v>
      </c>
      <c r="G18363" s="689">
        <v>22.3</v>
      </c>
      <c r="H18363" s="689">
        <v>22.4</v>
      </c>
      <c r="I18363" s="689">
        <v>21.5</v>
      </c>
      <c r="J18363" s="689">
        <v>21.9</v>
      </c>
      <c r="K18363" s="689">
        <v>22.2</v>
      </c>
    </row>
    <row r="18364" spans="1:11">
      <c r="A18364" s="688" t="s">
        <v>25</v>
      </c>
      <c r="B18364" s="691">
        <v>19.600000000000001</v>
      </c>
      <c r="C18364" s="691">
        <v>19.8</v>
      </c>
      <c r="D18364" s="691">
        <v>19.5</v>
      </c>
      <c r="E18364" s="691">
        <v>19.899999999999999</v>
      </c>
      <c r="F18364" s="691">
        <v>19.8</v>
      </c>
      <c r="G18364" s="615">
        <v>20</v>
      </c>
      <c r="H18364" s="691">
        <v>20.399999999999999</v>
      </c>
      <c r="I18364" s="691">
        <v>19.600000000000001</v>
      </c>
      <c r="J18364" s="691">
        <v>17.899999999999999</v>
      </c>
      <c r="K18364" s="691">
        <v>19.600000000000001</v>
      </c>
    </row>
    <row r="18365" spans="1:11">
      <c r="A18365" s="688" t="s">
        <v>5</v>
      </c>
      <c r="B18365" s="689">
        <v>22.7</v>
      </c>
      <c r="C18365" s="689">
        <v>22.3</v>
      </c>
      <c r="D18365" s="689">
        <v>22.5</v>
      </c>
      <c r="E18365" s="689">
        <v>22.5</v>
      </c>
      <c r="F18365" s="689">
        <v>22.7</v>
      </c>
      <c r="G18365" s="689">
        <v>22.7</v>
      </c>
      <c r="H18365" s="689">
        <v>22.9</v>
      </c>
      <c r="I18365" s="689">
        <v>22.9</v>
      </c>
      <c r="J18365" s="689">
        <v>22.8</v>
      </c>
      <c r="K18365" s="689">
        <v>22.2</v>
      </c>
    </row>
    <row r="18366" spans="1:11">
      <c r="A18366" s="688" t="s">
        <v>23</v>
      </c>
      <c r="B18366" s="691">
        <v>22.1</v>
      </c>
      <c r="C18366" s="691">
        <v>22.3</v>
      </c>
      <c r="D18366" s="691">
        <v>22.3</v>
      </c>
      <c r="E18366" s="691">
        <v>22.3</v>
      </c>
      <c r="F18366" s="691">
        <v>22.3</v>
      </c>
      <c r="G18366" s="691">
        <v>22.4</v>
      </c>
      <c r="H18366" s="691">
        <v>22.9</v>
      </c>
      <c r="I18366" s="691">
        <v>22.3</v>
      </c>
      <c r="J18366" s="691">
        <v>22.9</v>
      </c>
      <c r="K18366" s="691">
        <v>22.8</v>
      </c>
    </row>
    <row r="18367" spans="1:11">
      <c r="A18367" s="688" t="s">
        <v>4067</v>
      </c>
      <c r="B18367" s="689">
        <v>22.2</v>
      </c>
      <c r="C18367" s="689">
        <v>22.5</v>
      </c>
      <c r="D18367" s="689">
        <v>22.1</v>
      </c>
      <c r="E18367" s="689">
        <v>22.4</v>
      </c>
      <c r="F18367" s="689">
        <v>22.3</v>
      </c>
      <c r="G18367" s="689">
        <v>22.4</v>
      </c>
      <c r="H18367" s="690" t="s">
        <v>4060</v>
      </c>
      <c r="I18367" s="690" t="s">
        <v>4060</v>
      </c>
      <c r="J18367" s="690" t="s">
        <v>4060</v>
      </c>
      <c r="K18367" s="690" t="s">
        <v>4060</v>
      </c>
    </row>
    <row r="18368" spans="1:11">
      <c r="A18368" s="688" t="s">
        <v>4066</v>
      </c>
      <c r="B18368" s="691">
        <v>22.2</v>
      </c>
      <c r="C18368" s="691">
        <v>22.5</v>
      </c>
      <c r="D18368" s="691">
        <v>22.1</v>
      </c>
      <c r="E18368" s="691">
        <v>22.5</v>
      </c>
      <c r="F18368" s="691">
        <v>22.3</v>
      </c>
      <c r="G18368" s="691">
        <v>22.4</v>
      </c>
      <c r="H18368" s="692" t="s">
        <v>4060</v>
      </c>
      <c r="I18368" s="692" t="s">
        <v>4060</v>
      </c>
      <c r="J18368" s="692" t="s">
        <v>4060</v>
      </c>
      <c r="K18368" s="692" t="s">
        <v>4060</v>
      </c>
    </row>
    <row r="18369" spans="1:11">
      <c r="A18369" s="688" t="s">
        <v>4062</v>
      </c>
      <c r="B18369" s="689">
        <v>22.9</v>
      </c>
      <c r="C18369" s="693">
        <v>23</v>
      </c>
      <c r="D18369" s="689">
        <v>22.8</v>
      </c>
      <c r="E18369" s="693">
        <v>23</v>
      </c>
      <c r="F18369" s="693">
        <v>23</v>
      </c>
      <c r="G18369" s="689">
        <v>23.2</v>
      </c>
      <c r="H18369" s="689">
        <v>23.3</v>
      </c>
      <c r="I18369" s="693">
        <v>23</v>
      </c>
      <c r="J18369" s="689">
        <v>23.3</v>
      </c>
      <c r="K18369" s="693">
        <v>23</v>
      </c>
    </row>
    <row r="18370" spans="1:11">
      <c r="A18370" s="688" t="s">
        <v>9</v>
      </c>
      <c r="B18370" s="615">
        <v>22</v>
      </c>
      <c r="C18370" s="691">
        <v>22.5</v>
      </c>
      <c r="D18370" s="691">
        <v>21.9</v>
      </c>
      <c r="E18370" s="691">
        <v>21.8</v>
      </c>
      <c r="F18370" s="691">
        <v>22.1</v>
      </c>
      <c r="G18370" s="691">
        <v>22.3</v>
      </c>
      <c r="H18370" s="691">
        <v>22.7</v>
      </c>
      <c r="I18370" s="691">
        <v>22.7</v>
      </c>
      <c r="J18370" s="691">
        <v>22.7</v>
      </c>
      <c r="K18370" s="691">
        <v>21.7</v>
      </c>
    </row>
    <row r="18371" spans="1:11">
      <c r="A18371" s="688" t="s">
        <v>13</v>
      </c>
      <c r="B18371" s="689">
        <v>22.9</v>
      </c>
      <c r="C18371" s="689">
        <v>21.7</v>
      </c>
      <c r="D18371" s="689">
        <v>22.6</v>
      </c>
      <c r="E18371" s="689">
        <v>22.9</v>
      </c>
      <c r="F18371" s="689">
        <v>23.4</v>
      </c>
      <c r="G18371" s="693">
        <v>23</v>
      </c>
      <c r="H18371" s="693">
        <v>23</v>
      </c>
      <c r="I18371" s="689">
        <v>22.3</v>
      </c>
      <c r="J18371" s="689">
        <v>23.6</v>
      </c>
      <c r="K18371" s="689">
        <v>22.8</v>
      </c>
    </row>
    <row r="18372" spans="1:11">
      <c r="A18372" s="688" t="s">
        <v>18</v>
      </c>
      <c r="B18372" s="691">
        <v>22.2</v>
      </c>
      <c r="C18372" s="691">
        <v>22.4</v>
      </c>
      <c r="D18372" s="691">
        <v>22.4</v>
      </c>
      <c r="E18372" s="691">
        <v>22.4</v>
      </c>
      <c r="F18372" s="691">
        <v>22.5</v>
      </c>
      <c r="G18372" s="691">
        <v>22.6</v>
      </c>
      <c r="H18372" s="691">
        <v>22.8</v>
      </c>
      <c r="I18372" s="691">
        <v>22.9</v>
      </c>
      <c r="J18372" s="691">
        <v>22.7</v>
      </c>
      <c r="K18372" s="691">
        <v>22.4</v>
      </c>
    </row>
    <row r="18373" spans="1:11">
      <c r="A18373" s="688" t="s">
        <v>24</v>
      </c>
      <c r="B18373" s="689">
        <v>23.3</v>
      </c>
      <c r="C18373" s="689">
        <v>23.3</v>
      </c>
      <c r="D18373" s="693">
        <v>23</v>
      </c>
      <c r="E18373" s="689">
        <v>23.4</v>
      </c>
      <c r="F18373" s="689">
        <v>23.4</v>
      </c>
      <c r="G18373" s="689">
        <v>23.5</v>
      </c>
      <c r="H18373" s="689">
        <v>23.6</v>
      </c>
      <c r="I18373" s="689">
        <v>23.1</v>
      </c>
      <c r="J18373" s="689">
        <v>23.6</v>
      </c>
      <c r="K18373" s="689">
        <v>23.4</v>
      </c>
    </row>
    <row r="18374" spans="1:11">
      <c r="A18374" s="688" t="s">
        <v>4059</v>
      </c>
      <c r="B18374" s="691">
        <v>21.8</v>
      </c>
      <c r="C18374" s="691">
        <v>22.1</v>
      </c>
      <c r="D18374" s="691">
        <v>21.7</v>
      </c>
      <c r="E18374" s="615">
        <v>22</v>
      </c>
      <c r="F18374" s="691">
        <v>21.9</v>
      </c>
      <c r="G18374" s="615">
        <v>22</v>
      </c>
      <c r="H18374" s="692" t="s">
        <v>4060</v>
      </c>
      <c r="I18374" s="692" t="s">
        <v>4060</v>
      </c>
      <c r="J18374" s="692" t="s">
        <v>4060</v>
      </c>
      <c r="K18374" s="692" t="s">
        <v>4060</v>
      </c>
    </row>
    <row r="18375" spans="1:11">
      <c r="A18375" s="688" t="s">
        <v>2324</v>
      </c>
      <c r="B18375" s="689">
        <v>18.3</v>
      </c>
      <c r="C18375" s="689">
        <v>18.399999999999999</v>
      </c>
      <c r="D18375" s="693">
        <v>18</v>
      </c>
      <c r="E18375" s="689">
        <v>18.2</v>
      </c>
      <c r="F18375" s="689">
        <v>18.5</v>
      </c>
      <c r="G18375" s="689">
        <v>18.399999999999999</v>
      </c>
      <c r="H18375" s="689">
        <v>18.600000000000001</v>
      </c>
      <c r="I18375" s="689">
        <v>18.100000000000001</v>
      </c>
      <c r="J18375" s="689">
        <v>16.3</v>
      </c>
      <c r="K18375" s="690" t="s">
        <v>4060</v>
      </c>
    </row>
    <row r="18376" spans="1:11">
      <c r="A18376" s="688" t="s">
        <v>2322</v>
      </c>
      <c r="B18376" s="692" t="s">
        <v>4060</v>
      </c>
      <c r="C18376" s="692" t="s">
        <v>4060</v>
      </c>
      <c r="D18376" s="692" t="s">
        <v>4060</v>
      </c>
      <c r="E18376" s="692" t="s">
        <v>4060</v>
      </c>
      <c r="F18376" s="692" t="s">
        <v>4060</v>
      </c>
      <c r="G18376" s="692" t="s">
        <v>4060</v>
      </c>
      <c r="H18376" s="692" t="s">
        <v>4060</v>
      </c>
      <c r="I18376" s="692" t="s">
        <v>4060</v>
      </c>
      <c r="J18376" s="692" t="s">
        <v>4060</v>
      </c>
      <c r="K18376" s="692" t="s">
        <v>4060</v>
      </c>
    </row>
    <row r="18377" spans="1:11">
      <c r="A18377" s="688" t="s">
        <v>2328</v>
      </c>
      <c r="B18377" s="689">
        <v>17.3</v>
      </c>
      <c r="C18377" s="689">
        <v>17.100000000000001</v>
      </c>
      <c r="D18377" s="693">
        <v>17</v>
      </c>
      <c r="E18377" s="689">
        <v>17.3</v>
      </c>
      <c r="F18377" s="689">
        <v>17.399999999999999</v>
      </c>
      <c r="G18377" s="689">
        <v>17.899999999999999</v>
      </c>
      <c r="H18377" s="689">
        <v>17.7</v>
      </c>
      <c r="I18377" s="689">
        <v>16.399999999999999</v>
      </c>
      <c r="J18377" s="689">
        <v>15.7</v>
      </c>
      <c r="K18377" s="690" t="s">
        <v>4060</v>
      </c>
    </row>
    <row r="18378" spans="1:11">
      <c r="A18378" s="688" t="s">
        <v>2496</v>
      </c>
      <c r="B18378" s="692" t="s">
        <v>4060</v>
      </c>
      <c r="C18378" s="691">
        <v>18.399999999999999</v>
      </c>
      <c r="D18378" s="691">
        <v>17.7</v>
      </c>
      <c r="E18378" s="691">
        <v>17.399999999999999</v>
      </c>
      <c r="F18378" s="691">
        <v>17.8</v>
      </c>
      <c r="G18378" s="691">
        <v>18.100000000000001</v>
      </c>
      <c r="H18378" s="691">
        <v>18.100000000000001</v>
      </c>
      <c r="I18378" s="692" t="s">
        <v>4060</v>
      </c>
      <c r="J18378" s="692" t="s">
        <v>4060</v>
      </c>
      <c r="K18378" s="691">
        <v>17.8</v>
      </c>
    </row>
    <row r="18379" spans="1:11">
      <c r="A18379" s="688" t="s">
        <v>2269</v>
      </c>
      <c r="B18379" s="689">
        <v>19.3</v>
      </c>
      <c r="C18379" s="689">
        <v>19.399999999999999</v>
      </c>
      <c r="D18379" s="689">
        <v>18.600000000000001</v>
      </c>
      <c r="E18379" s="689">
        <v>19.100000000000001</v>
      </c>
      <c r="F18379" s="689">
        <v>18.899999999999999</v>
      </c>
      <c r="G18379" s="689">
        <v>19.399999999999999</v>
      </c>
      <c r="H18379" s="689">
        <v>19.600000000000001</v>
      </c>
      <c r="I18379" s="689">
        <v>18.5</v>
      </c>
      <c r="J18379" s="689">
        <v>16.7</v>
      </c>
      <c r="K18379" s="689">
        <v>19.3</v>
      </c>
    </row>
    <row r="18380" spans="1:11">
      <c r="A18380" s="688" t="s">
        <v>2349</v>
      </c>
      <c r="B18380" s="691">
        <v>17.7</v>
      </c>
      <c r="C18380" s="691">
        <v>17.7</v>
      </c>
      <c r="D18380" s="691">
        <v>17.600000000000001</v>
      </c>
      <c r="E18380" s="691">
        <v>17.899999999999999</v>
      </c>
      <c r="F18380" s="691">
        <v>17.8</v>
      </c>
      <c r="G18380" s="615">
        <v>18</v>
      </c>
      <c r="H18380" s="691">
        <v>18.100000000000001</v>
      </c>
      <c r="I18380" s="691">
        <v>17.2</v>
      </c>
      <c r="J18380" s="691">
        <v>15.8</v>
      </c>
      <c r="K18380" s="691">
        <v>17.399999999999999</v>
      </c>
    </row>
    <row r="18381" spans="1:11">
      <c r="A18381" s="688" t="s">
        <v>2355</v>
      </c>
      <c r="B18381" s="689">
        <v>20.7</v>
      </c>
      <c r="C18381" s="689">
        <v>20.399999999999999</v>
      </c>
      <c r="D18381" s="689">
        <v>20.399999999999999</v>
      </c>
      <c r="E18381" s="689">
        <v>20.3</v>
      </c>
      <c r="F18381" s="689">
        <v>20.5</v>
      </c>
      <c r="G18381" s="689">
        <v>20.8</v>
      </c>
      <c r="H18381" s="689">
        <v>20.9</v>
      </c>
      <c r="I18381" s="690" t="s">
        <v>4060</v>
      </c>
      <c r="J18381" s="690" t="s">
        <v>4060</v>
      </c>
      <c r="K18381" s="690" t="s">
        <v>4060</v>
      </c>
    </row>
    <row r="18382" spans="1:11">
      <c r="A18382" s="688" t="s">
        <v>2357</v>
      </c>
      <c r="B18382" s="692" t="s">
        <v>4060</v>
      </c>
      <c r="C18382" s="691">
        <v>17.8</v>
      </c>
      <c r="D18382" s="691">
        <v>18.100000000000001</v>
      </c>
      <c r="E18382" s="691">
        <v>18.399999999999999</v>
      </c>
      <c r="F18382" s="691">
        <v>18.600000000000001</v>
      </c>
      <c r="G18382" s="691">
        <v>18.600000000000001</v>
      </c>
      <c r="H18382" s="691">
        <v>18.7</v>
      </c>
      <c r="I18382" s="692" t="s">
        <v>4060</v>
      </c>
      <c r="J18382" s="692" t="s">
        <v>4060</v>
      </c>
      <c r="K18382" s="692" t="s">
        <v>4060</v>
      </c>
    </row>
    <row r="18383" spans="1:11">
      <c r="A18383" s="688" t="s">
        <v>4070</v>
      </c>
      <c r="B18383" s="690" t="s">
        <v>4060</v>
      </c>
      <c r="C18383" s="690" t="s">
        <v>4060</v>
      </c>
      <c r="D18383" s="690" t="s">
        <v>4060</v>
      </c>
      <c r="E18383" s="689">
        <v>20.6</v>
      </c>
      <c r="F18383" s="690" t="s">
        <v>4060</v>
      </c>
      <c r="G18383" s="690" t="s">
        <v>4060</v>
      </c>
      <c r="H18383" s="690" t="s">
        <v>4060</v>
      </c>
      <c r="I18383" s="690" t="s">
        <v>4060</v>
      </c>
      <c r="J18383" s="690" t="s">
        <v>4060</v>
      </c>
      <c r="K18383" s="690" t="s">
        <v>4060</v>
      </c>
    </row>
    <row r="18384" spans="1:11">
      <c r="A18384" s="688" t="s">
        <v>2491</v>
      </c>
      <c r="B18384" s="691">
        <v>18.3</v>
      </c>
      <c r="C18384" s="691">
        <v>18.8</v>
      </c>
      <c r="D18384" s="691">
        <v>18.8</v>
      </c>
      <c r="E18384" s="615">
        <v>19</v>
      </c>
      <c r="F18384" s="615">
        <v>19</v>
      </c>
      <c r="G18384" s="691">
        <v>19.100000000000001</v>
      </c>
      <c r="H18384" s="692" t="s">
        <v>4060</v>
      </c>
      <c r="I18384" s="692" t="s">
        <v>4060</v>
      </c>
      <c r="J18384" s="692" t="s">
        <v>4060</v>
      </c>
      <c r="K18384" s="692" t="s">
        <v>4060</v>
      </c>
    </row>
    <row r="18385" spans="1:11">
      <c r="A18385" s="688" t="s">
        <v>2343</v>
      </c>
      <c r="B18385" s="690" t="s">
        <v>4060</v>
      </c>
      <c r="C18385" s="690" t="s">
        <v>4060</v>
      </c>
      <c r="D18385" s="690" t="s">
        <v>4060</v>
      </c>
      <c r="E18385" s="690" t="s">
        <v>4060</v>
      </c>
      <c r="F18385" s="690" t="s">
        <v>4060</v>
      </c>
      <c r="G18385" s="690" t="s">
        <v>4060</v>
      </c>
      <c r="H18385" s="690" t="s">
        <v>4060</v>
      </c>
      <c r="I18385" s="690" t="s">
        <v>4060</v>
      </c>
      <c r="J18385" s="690" t="s">
        <v>4060</v>
      </c>
      <c r="K18385" s="690" t="s">
        <v>4060</v>
      </c>
    </row>
    <row r="18386" spans="1:11">
      <c r="A18386" s="688" t="s">
        <v>4071</v>
      </c>
      <c r="B18386" s="692" t="s">
        <v>4060</v>
      </c>
      <c r="C18386" s="692" t="s">
        <v>4060</v>
      </c>
      <c r="D18386" s="692" t="s">
        <v>4060</v>
      </c>
      <c r="E18386" s="692" t="s">
        <v>4060</v>
      </c>
      <c r="F18386" s="692" t="s">
        <v>4060</v>
      </c>
      <c r="G18386" s="692" t="s">
        <v>4060</v>
      </c>
      <c r="H18386" s="692" t="s">
        <v>4060</v>
      </c>
      <c r="I18386" s="692" t="s">
        <v>4060</v>
      </c>
      <c r="J18386" s="692" t="s">
        <v>4060</v>
      </c>
      <c r="K18386" s="692" t="s">
        <v>4060</v>
      </c>
    </row>
    <row r="18387" spans="1:11">
      <c r="A18387" s="688" t="s">
        <v>2489</v>
      </c>
      <c r="B18387" s="690" t="s">
        <v>4060</v>
      </c>
      <c r="C18387" s="690" t="s">
        <v>4060</v>
      </c>
      <c r="D18387" s="693">
        <v>18</v>
      </c>
      <c r="E18387" s="693">
        <v>18</v>
      </c>
      <c r="F18387" s="689">
        <v>18.2</v>
      </c>
      <c r="G18387" s="689">
        <v>18.8</v>
      </c>
      <c r="H18387" s="689">
        <v>18.899999999999999</v>
      </c>
      <c r="I18387" s="690" t="s">
        <v>4060</v>
      </c>
      <c r="J18387" s="690" t="s">
        <v>4060</v>
      </c>
      <c r="K18387" s="690" t="s">
        <v>4060</v>
      </c>
    </row>
    <row r="18388" spans="1:11">
      <c r="A18388" s="688" t="s">
        <v>2490</v>
      </c>
      <c r="B18388" s="691">
        <v>17.3</v>
      </c>
      <c r="C18388" s="691">
        <v>17.3</v>
      </c>
      <c r="D18388" s="691">
        <v>17.8</v>
      </c>
      <c r="E18388" s="692" t="s">
        <v>4060</v>
      </c>
      <c r="F18388" s="691">
        <v>17.899999999999999</v>
      </c>
      <c r="G18388" s="691">
        <v>18.2</v>
      </c>
      <c r="H18388" s="691">
        <v>18.899999999999999</v>
      </c>
      <c r="I18388" s="692" t="s">
        <v>4060</v>
      </c>
      <c r="J18388" s="692" t="s">
        <v>4060</v>
      </c>
      <c r="K18388" s="692" t="s">
        <v>4060</v>
      </c>
    </row>
    <row r="18390" spans="1:11">
      <c r="A18390" s="683" t="s">
        <v>4233</v>
      </c>
    </row>
    <row r="18391" spans="1:11">
      <c r="A18391" s="683" t="s">
        <v>4060</v>
      </c>
      <c r="B18391" s="682" t="s">
        <v>4234</v>
      </c>
    </row>
    <row r="18393" spans="1:11">
      <c r="A18393" s="682" t="s">
        <v>4332</v>
      </c>
    </row>
    <row r="18394" spans="1:11">
      <c r="A18394" s="682" t="s">
        <v>4210</v>
      </c>
      <c r="B18394" s="683" t="s">
        <v>4211</v>
      </c>
    </row>
    <row r="18395" spans="1:11">
      <c r="A18395" s="682" t="s">
        <v>4212</v>
      </c>
      <c r="B18395" s="682" t="s">
        <v>4213</v>
      </c>
    </row>
    <row r="18397" spans="1:11">
      <c r="A18397" s="683" t="s">
        <v>4214</v>
      </c>
      <c r="C18397" s="682" t="s">
        <v>4215</v>
      </c>
    </row>
    <row r="18398" spans="1:11">
      <c r="A18398" s="683" t="s">
        <v>4216</v>
      </c>
      <c r="C18398" s="682" t="s">
        <v>2967</v>
      </c>
    </row>
    <row r="18399" spans="1:11">
      <c r="A18399" s="683" t="s">
        <v>3893</v>
      </c>
      <c r="C18399" s="682" t="s">
        <v>2169</v>
      </c>
    </row>
    <row r="18400" spans="1:11">
      <c r="A18400" s="683" t="s">
        <v>4218</v>
      </c>
      <c r="C18400" s="682" t="s">
        <v>2993</v>
      </c>
    </row>
    <row r="18402" spans="1:11">
      <c r="A18402" s="684" t="s">
        <v>4220</v>
      </c>
      <c r="B18402" s="685" t="s">
        <v>4221</v>
      </c>
      <c r="C18402" s="685" t="s">
        <v>4222</v>
      </c>
      <c r="D18402" s="685" t="s">
        <v>4223</v>
      </c>
      <c r="E18402" s="685" t="s">
        <v>4224</v>
      </c>
      <c r="F18402" s="685" t="s">
        <v>4225</v>
      </c>
      <c r="G18402" s="685" t="s">
        <v>4226</v>
      </c>
      <c r="H18402" s="685" t="s">
        <v>4227</v>
      </c>
      <c r="I18402" s="685" t="s">
        <v>4228</v>
      </c>
      <c r="J18402" s="685" t="s">
        <v>4229</v>
      </c>
      <c r="K18402" s="685" t="s">
        <v>4230</v>
      </c>
    </row>
    <row r="18403" spans="1:11">
      <c r="A18403" s="686" t="s">
        <v>4231</v>
      </c>
      <c r="B18403" s="687" t="s">
        <v>4232</v>
      </c>
      <c r="C18403" s="687" t="s">
        <v>4232</v>
      </c>
      <c r="D18403" s="687" t="s">
        <v>4232</v>
      </c>
      <c r="E18403" s="687" t="s">
        <v>4232</v>
      </c>
      <c r="F18403" s="687" t="s">
        <v>4232</v>
      </c>
      <c r="G18403" s="687" t="s">
        <v>4232</v>
      </c>
      <c r="H18403" s="687" t="s">
        <v>4232</v>
      </c>
      <c r="I18403" s="687" t="s">
        <v>4232</v>
      </c>
      <c r="J18403" s="687" t="s">
        <v>4232</v>
      </c>
      <c r="K18403" s="687" t="s">
        <v>4232</v>
      </c>
    </row>
    <row r="18404" spans="1:11">
      <c r="A18404" s="688" t="s">
        <v>2269</v>
      </c>
      <c r="B18404" s="691">
        <v>18.399999999999999</v>
      </c>
      <c r="C18404" s="691">
        <v>18.5</v>
      </c>
      <c r="D18404" s="691">
        <v>17.8</v>
      </c>
      <c r="E18404" s="691">
        <v>18.3</v>
      </c>
      <c r="F18404" s="615">
        <v>18</v>
      </c>
      <c r="G18404" s="691">
        <v>18.5</v>
      </c>
      <c r="H18404" s="691">
        <v>18.7</v>
      </c>
      <c r="I18404" s="691">
        <v>17.7</v>
      </c>
      <c r="J18404" s="691">
        <v>15.8</v>
      </c>
      <c r="K18404" s="691">
        <v>18.399999999999999</v>
      </c>
    </row>
    <row r="18405" spans="1:11">
      <c r="A18405" s="688" t="s">
        <v>2489</v>
      </c>
      <c r="B18405" s="692" t="s">
        <v>4060</v>
      </c>
      <c r="C18405" s="692" t="s">
        <v>4060</v>
      </c>
      <c r="D18405" s="691">
        <v>17.2</v>
      </c>
      <c r="E18405" s="691">
        <v>17.2</v>
      </c>
      <c r="F18405" s="691">
        <v>17.5</v>
      </c>
      <c r="G18405" s="615">
        <v>18</v>
      </c>
      <c r="H18405" s="615">
        <v>18</v>
      </c>
      <c r="I18405" s="692" t="s">
        <v>4060</v>
      </c>
      <c r="J18405" s="692" t="s">
        <v>4060</v>
      </c>
      <c r="K18405" s="692" t="s">
        <v>4060</v>
      </c>
    </row>
    <row r="18406" spans="1:11">
      <c r="A18406" s="688" t="s">
        <v>2490</v>
      </c>
      <c r="B18406" s="689">
        <v>16.5</v>
      </c>
      <c r="C18406" s="689">
        <v>16.5</v>
      </c>
      <c r="D18406" s="689">
        <v>17.100000000000001</v>
      </c>
      <c r="E18406" s="690" t="s">
        <v>4060</v>
      </c>
      <c r="F18406" s="689">
        <v>17.2</v>
      </c>
      <c r="G18406" s="689">
        <v>17.5</v>
      </c>
      <c r="H18406" s="689">
        <v>18.100000000000001</v>
      </c>
      <c r="I18406" s="690" t="s">
        <v>4060</v>
      </c>
      <c r="J18406" s="690" t="s">
        <v>4060</v>
      </c>
      <c r="K18406" s="690" t="s">
        <v>4060</v>
      </c>
    </row>
    <row r="18407" spans="1:11">
      <c r="A18407" s="688" t="s">
        <v>2491</v>
      </c>
      <c r="B18407" s="689">
        <v>17.600000000000001</v>
      </c>
      <c r="C18407" s="693">
        <v>18</v>
      </c>
      <c r="D18407" s="693">
        <v>18</v>
      </c>
      <c r="E18407" s="689">
        <v>18.2</v>
      </c>
      <c r="F18407" s="689">
        <v>18.2</v>
      </c>
      <c r="G18407" s="689">
        <v>18.3</v>
      </c>
      <c r="H18407" s="690" t="s">
        <v>4060</v>
      </c>
      <c r="I18407" s="690" t="s">
        <v>4060</v>
      </c>
      <c r="J18407" s="690" t="s">
        <v>4060</v>
      </c>
      <c r="K18407" s="690" t="s">
        <v>4060</v>
      </c>
    </row>
    <row r="18408" spans="1:11">
      <c r="A18408" s="688" t="s">
        <v>0</v>
      </c>
      <c r="B18408" s="689">
        <v>21.4</v>
      </c>
      <c r="C18408" s="689">
        <v>21.5</v>
      </c>
      <c r="D18408" s="689">
        <v>21.2</v>
      </c>
      <c r="E18408" s="689">
        <v>21.6</v>
      </c>
      <c r="F18408" s="689">
        <v>21.6</v>
      </c>
      <c r="G18408" s="689">
        <v>21.6</v>
      </c>
      <c r="H18408" s="689">
        <v>21.8</v>
      </c>
      <c r="I18408" s="689">
        <v>20.8</v>
      </c>
      <c r="J18408" s="689">
        <v>21.8</v>
      </c>
      <c r="K18408" s="689">
        <v>21.5</v>
      </c>
    </row>
    <row r="18409" spans="1:11">
      <c r="A18409" s="688" t="s">
        <v>1</v>
      </c>
      <c r="B18409" s="691">
        <v>17.899999999999999</v>
      </c>
      <c r="C18409" s="691">
        <v>17.5</v>
      </c>
      <c r="D18409" s="691">
        <v>17.5</v>
      </c>
      <c r="E18409" s="691">
        <v>17.8</v>
      </c>
      <c r="F18409" s="691">
        <v>17.7</v>
      </c>
      <c r="G18409" s="691">
        <v>17.899999999999999</v>
      </c>
      <c r="H18409" s="691">
        <v>17.899999999999999</v>
      </c>
      <c r="I18409" s="615">
        <v>17</v>
      </c>
      <c r="J18409" s="691">
        <v>15.6</v>
      </c>
      <c r="K18409" s="691">
        <v>17.399999999999999</v>
      </c>
    </row>
    <row r="18410" spans="1:11">
      <c r="A18410" s="688" t="s">
        <v>2</v>
      </c>
      <c r="B18410" s="691">
        <v>20.399999999999999</v>
      </c>
      <c r="C18410" s="691">
        <v>20.6</v>
      </c>
      <c r="D18410" s="691">
        <v>20.6</v>
      </c>
      <c r="E18410" s="691">
        <v>20.7</v>
      </c>
      <c r="F18410" s="691">
        <v>20.8</v>
      </c>
      <c r="G18410" s="691">
        <v>20.7</v>
      </c>
      <c r="H18410" s="615">
        <v>21</v>
      </c>
      <c r="I18410" s="691">
        <v>21.1</v>
      </c>
      <c r="J18410" s="691">
        <v>20.9</v>
      </c>
      <c r="K18410" s="691">
        <v>20.7</v>
      </c>
    </row>
    <row r="18411" spans="1:11">
      <c r="A18411" s="688" t="s">
        <v>3</v>
      </c>
      <c r="B18411" s="689">
        <v>20.9</v>
      </c>
      <c r="C18411" s="689">
        <v>21.1</v>
      </c>
      <c r="D18411" s="689">
        <v>20.8</v>
      </c>
      <c r="E18411" s="689">
        <v>21.1</v>
      </c>
      <c r="F18411" s="689">
        <v>21.1</v>
      </c>
      <c r="G18411" s="693">
        <v>21</v>
      </c>
      <c r="H18411" s="689">
        <v>21.3</v>
      </c>
      <c r="I18411" s="689">
        <v>21.1</v>
      </c>
      <c r="J18411" s="689">
        <v>20.9</v>
      </c>
      <c r="K18411" s="689">
        <v>20.7</v>
      </c>
    </row>
    <row r="18412" spans="1:11">
      <c r="A18412" s="688" t="s">
        <v>4061</v>
      </c>
      <c r="B18412" s="691">
        <v>20.9</v>
      </c>
      <c r="C18412" s="691">
        <v>21.1</v>
      </c>
      <c r="D18412" s="691">
        <v>20.8</v>
      </c>
      <c r="E18412" s="691">
        <v>21.1</v>
      </c>
      <c r="F18412" s="691">
        <v>21.1</v>
      </c>
      <c r="G18412" s="615">
        <v>21</v>
      </c>
      <c r="H18412" s="691">
        <v>21.3</v>
      </c>
      <c r="I18412" s="691">
        <v>21.1</v>
      </c>
      <c r="J18412" s="691">
        <v>20.9</v>
      </c>
      <c r="K18412" s="691">
        <v>20.7</v>
      </c>
    </row>
    <row r="18413" spans="1:11">
      <c r="A18413" s="688" t="s">
        <v>4</v>
      </c>
      <c r="B18413" s="689">
        <v>20.3</v>
      </c>
      <c r="C18413" s="693">
        <v>20</v>
      </c>
      <c r="D18413" s="689">
        <v>20.3</v>
      </c>
      <c r="E18413" s="689">
        <v>20.5</v>
      </c>
      <c r="F18413" s="689">
        <v>20.5</v>
      </c>
      <c r="G18413" s="689">
        <v>20.399999999999999</v>
      </c>
      <c r="H18413" s="689">
        <v>20.8</v>
      </c>
      <c r="I18413" s="689">
        <v>20.8</v>
      </c>
      <c r="J18413" s="689">
        <v>19.600000000000001</v>
      </c>
      <c r="K18413" s="689">
        <v>20.399999999999999</v>
      </c>
    </row>
    <row r="18414" spans="1:11">
      <c r="A18414" s="688" t="s">
        <v>4062</v>
      </c>
      <c r="B18414" s="615">
        <v>22</v>
      </c>
      <c r="C18414" s="691">
        <v>22.1</v>
      </c>
      <c r="D18414" s="691">
        <v>21.9</v>
      </c>
      <c r="E18414" s="691">
        <v>22.2</v>
      </c>
      <c r="F18414" s="691">
        <v>22.2</v>
      </c>
      <c r="G18414" s="691">
        <v>22.3</v>
      </c>
      <c r="H18414" s="691">
        <v>22.4</v>
      </c>
      <c r="I18414" s="691">
        <v>22.1</v>
      </c>
      <c r="J18414" s="691">
        <v>22.4</v>
      </c>
      <c r="K18414" s="691">
        <v>22.1</v>
      </c>
    </row>
    <row r="18415" spans="1:11">
      <c r="A18415" s="688" t="s">
        <v>4063</v>
      </c>
      <c r="B18415" s="691">
        <v>21.3</v>
      </c>
      <c r="C18415" s="691">
        <v>21.7</v>
      </c>
      <c r="D18415" s="691">
        <v>21.2</v>
      </c>
      <c r="E18415" s="691">
        <v>21.6</v>
      </c>
      <c r="F18415" s="691">
        <v>21.5</v>
      </c>
      <c r="G18415" s="691">
        <v>21.6</v>
      </c>
      <c r="H18415" s="692" t="s">
        <v>4060</v>
      </c>
      <c r="I18415" s="692" t="s">
        <v>4060</v>
      </c>
      <c r="J18415" s="692" t="s">
        <v>4060</v>
      </c>
      <c r="K18415" s="692" t="s">
        <v>4060</v>
      </c>
    </row>
    <row r="18416" spans="1:11">
      <c r="A18416" s="688" t="s">
        <v>4064</v>
      </c>
      <c r="B18416" s="691">
        <v>21.4</v>
      </c>
      <c r="C18416" s="691">
        <v>21.3</v>
      </c>
      <c r="D18416" s="691">
        <v>21.3</v>
      </c>
      <c r="E18416" s="691">
        <v>21.4</v>
      </c>
      <c r="F18416" s="691">
        <v>21.3</v>
      </c>
      <c r="G18416" s="691">
        <v>21.4</v>
      </c>
      <c r="H18416" s="691">
        <v>21.6</v>
      </c>
      <c r="I18416" s="691">
        <v>20.9</v>
      </c>
      <c r="J18416" s="691">
        <v>20.7</v>
      </c>
      <c r="K18416" s="615">
        <v>21</v>
      </c>
    </row>
    <row r="18417" spans="1:11">
      <c r="A18417" s="688" t="s">
        <v>4065</v>
      </c>
      <c r="B18417" s="689">
        <v>21.3</v>
      </c>
      <c r="C18417" s="689">
        <v>21.6</v>
      </c>
      <c r="D18417" s="689">
        <v>21.2</v>
      </c>
      <c r="E18417" s="689">
        <v>21.6</v>
      </c>
      <c r="F18417" s="689">
        <v>21.4</v>
      </c>
      <c r="G18417" s="689">
        <v>21.5</v>
      </c>
      <c r="H18417" s="690" t="s">
        <v>4060</v>
      </c>
      <c r="I18417" s="690" t="s">
        <v>4060</v>
      </c>
      <c r="J18417" s="690" t="s">
        <v>4060</v>
      </c>
      <c r="K18417" s="690" t="s">
        <v>4060</v>
      </c>
    </row>
    <row r="18418" spans="1:11">
      <c r="A18418" s="688" t="s">
        <v>4066</v>
      </c>
      <c r="B18418" s="689">
        <v>21.3</v>
      </c>
      <c r="C18418" s="689">
        <v>21.7</v>
      </c>
      <c r="D18418" s="689">
        <v>21.2</v>
      </c>
      <c r="E18418" s="689">
        <v>21.6</v>
      </c>
      <c r="F18418" s="689">
        <v>21.5</v>
      </c>
      <c r="G18418" s="689">
        <v>21.6</v>
      </c>
      <c r="H18418" s="690" t="s">
        <v>4060</v>
      </c>
      <c r="I18418" s="690" t="s">
        <v>4060</v>
      </c>
      <c r="J18418" s="690" t="s">
        <v>4060</v>
      </c>
      <c r="K18418" s="690" t="s">
        <v>4060</v>
      </c>
    </row>
    <row r="18419" spans="1:11">
      <c r="A18419" s="688" t="s">
        <v>4067</v>
      </c>
      <c r="B18419" s="691">
        <v>21.3</v>
      </c>
      <c r="C18419" s="691">
        <v>21.6</v>
      </c>
      <c r="D18419" s="691">
        <v>21.2</v>
      </c>
      <c r="E18419" s="691">
        <v>21.6</v>
      </c>
      <c r="F18419" s="691">
        <v>21.4</v>
      </c>
      <c r="G18419" s="691">
        <v>21.5</v>
      </c>
      <c r="H18419" s="692" t="s">
        <v>4060</v>
      </c>
      <c r="I18419" s="692" t="s">
        <v>4060</v>
      </c>
      <c r="J18419" s="692" t="s">
        <v>4060</v>
      </c>
      <c r="K18419" s="692" t="s">
        <v>4060</v>
      </c>
    </row>
    <row r="18420" spans="1:11">
      <c r="A18420" s="688" t="s">
        <v>4068</v>
      </c>
      <c r="B18420" s="615">
        <v>22</v>
      </c>
      <c r="C18420" s="692" t="s">
        <v>4060</v>
      </c>
      <c r="D18420" s="692" t="s">
        <v>4060</v>
      </c>
      <c r="E18420" s="692" t="s">
        <v>4060</v>
      </c>
      <c r="F18420" s="692" t="s">
        <v>4060</v>
      </c>
      <c r="G18420" s="692" t="s">
        <v>4060</v>
      </c>
      <c r="H18420" s="692" t="s">
        <v>4060</v>
      </c>
      <c r="I18420" s="692" t="s">
        <v>4060</v>
      </c>
      <c r="J18420" s="692" t="s">
        <v>4060</v>
      </c>
      <c r="K18420" s="692" t="s">
        <v>4060</v>
      </c>
    </row>
    <row r="18421" spans="1:11">
      <c r="A18421" s="688" t="s">
        <v>4069</v>
      </c>
      <c r="B18421" s="690" t="s">
        <v>4060</v>
      </c>
      <c r="C18421" s="689">
        <v>21.9</v>
      </c>
      <c r="D18421" s="689">
        <v>21.6</v>
      </c>
      <c r="E18421" s="689">
        <v>21.9</v>
      </c>
      <c r="F18421" s="689">
        <v>21.9</v>
      </c>
      <c r="G18421" s="693">
        <v>22</v>
      </c>
      <c r="H18421" s="689">
        <v>22.2</v>
      </c>
      <c r="I18421" s="689">
        <v>21.6</v>
      </c>
      <c r="J18421" s="689">
        <v>21.7</v>
      </c>
      <c r="K18421" s="689">
        <v>21.6</v>
      </c>
    </row>
    <row r="18422" spans="1:11">
      <c r="A18422" s="688" t="s">
        <v>5</v>
      </c>
      <c r="B18422" s="691">
        <v>21.8</v>
      </c>
      <c r="C18422" s="691">
        <v>21.5</v>
      </c>
      <c r="D18422" s="691">
        <v>21.6</v>
      </c>
      <c r="E18422" s="691">
        <v>21.6</v>
      </c>
      <c r="F18422" s="691">
        <v>21.8</v>
      </c>
      <c r="G18422" s="691">
        <v>21.9</v>
      </c>
      <c r="H18422" s="691">
        <v>22.1</v>
      </c>
      <c r="I18422" s="615">
        <v>22</v>
      </c>
      <c r="J18422" s="615">
        <v>22</v>
      </c>
      <c r="K18422" s="691">
        <v>21.3</v>
      </c>
    </row>
    <row r="18423" spans="1:11">
      <c r="A18423" s="688" t="s">
        <v>6</v>
      </c>
      <c r="B18423" s="689">
        <v>23.6</v>
      </c>
      <c r="C18423" s="689">
        <v>23.3</v>
      </c>
      <c r="D18423" s="693">
        <v>23</v>
      </c>
      <c r="E18423" s="689">
        <v>23.2</v>
      </c>
      <c r="F18423" s="689">
        <v>23.3</v>
      </c>
      <c r="G18423" s="689">
        <v>23.4</v>
      </c>
      <c r="H18423" s="689">
        <v>23.5</v>
      </c>
      <c r="I18423" s="689">
        <v>22.9</v>
      </c>
      <c r="J18423" s="689">
        <v>23.1</v>
      </c>
      <c r="K18423" s="693">
        <v>23</v>
      </c>
    </row>
    <row r="18424" spans="1:11">
      <c r="A18424" s="688" t="s">
        <v>4058</v>
      </c>
      <c r="B18424" s="692" t="s">
        <v>4060</v>
      </c>
      <c r="C18424" s="692" t="s">
        <v>4060</v>
      </c>
      <c r="D18424" s="692" t="s">
        <v>4060</v>
      </c>
      <c r="E18424" s="692" t="s">
        <v>4060</v>
      </c>
      <c r="F18424" s="692" t="s">
        <v>4060</v>
      </c>
      <c r="G18424" s="692" t="s">
        <v>4060</v>
      </c>
      <c r="H18424" s="692" t="s">
        <v>4060</v>
      </c>
      <c r="I18424" s="692" t="s">
        <v>4060</v>
      </c>
      <c r="J18424" s="692" t="s">
        <v>4060</v>
      </c>
      <c r="K18424" s="692" t="s">
        <v>4060</v>
      </c>
    </row>
    <row r="18425" spans="1:11">
      <c r="A18425" s="688" t="s">
        <v>2496</v>
      </c>
      <c r="B18425" s="690" t="s">
        <v>4060</v>
      </c>
      <c r="C18425" s="689">
        <v>17.600000000000001</v>
      </c>
      <c r="D18425" s="689">
        <v>16.899999999999999</v>
      </c>
      <c r="E18425" s="689">
        <v>16.600000000000001</v>
      </c>
      <c r="F18425" s="693">
        <v>17</v>
      </c>
      <c r="G18425" s="689">
        <v>17.3</v>
      </c>
      <c r="H18425" s="689">
        <v>17.3</v>
      </c>
      <c r="I18425" s="690" t="s">
        <v>4060</v>
      </c>
      <c r="J18425" s="690" t="s">
        <v>4060</v>
      </c>
      <c r="K18425" s="693">
        <v>17</v>
      </c>
    </row>
    <row r="18426" spans="1:11">
      <c r="A18426" s="688" t="s">
        <v>7</v>
      </c>
      <c r="B18426" s="689">
        <v>21.6</v>
      </c>
      <c r="C18426" s="689">
        <v>21.3</v>
      </c>
      <c r="D18426" s="693">
        <v>21</v>
      </c>
      <c r="E18426" s="689">
        <v>21.4</v>
      </c>
      <c r="F18426" s="689">
        <v>21.2</v>
      </c>
      <c r="G18426" s="689">
        <v>21.7</v>
      </c>
      <c r="H18426" s="689">
        <v>21.6</v>
      </c>
      <c r="I18426" s="689">
        <v>21.3</v>
      </c>
      <c r="J18426" s="689">
        <v>20.6</v>
      </c>
      <c r="K18426" s="689">
        <v>20.9</v>
      </c>
    </row>
    <row r="18427" spans="1:11">
      <c r="A18427" s="688" t="s">
        <v>8</v>
      </c>
      <c r="B18427" s="691">
        <v>20.8</v>
      </c>
      <c r="C18427" s="691">
        <v>20.9</v>
      </c>
      <c r="D18427" s="691">
        <v>20.9</v>
      </c>
      <c r="E18427" s="691">
        <v>20.9</v>
      </c>
      <c r="F18427" s="691">
        <v>21.3</v>
      </c>
      <c r="G18427" s="691">
        <v>21.4</v>
      </c>
      <c r="H18427" s="691">
        <v>21.7</v>
      </c>
      <c r="I18427" s="691">
        <v>21.5</v>
      </c>
      <c r="J18427" s="691">
        <v>21.5</v>
      </c>
      <c r="K18427" s="691">
        <v>21.4</v>
      </c>
    </row>
    <row r="18428" spans="1:11">
      <c r="A18428" s="688" t="s">
        <v>9</v>
      </c>
      <c r="B18428" s="689">
        <v>21.2</v>
      </c>
      <c r="C18428" s="689">
        <v>21.7</v>
      </c>
      <c r="D18428" s="689">
        <v>21.1</v>
      </c>
      <c r="E18428" s="693">
        <v>21</v>
      </c>
      <c r="F18428" s="689">
        <v>21.2</v>
      </c>
      <c r="G18428" s="689">
        <v>21.4</v>
      </c>
      <c r="H18428" s="689">
        <v>21.8</v>
      </c>
      <c r="I18428" s="689">
        <v>21.8</v>
      </c>
      <c r="J18428" s="689">
        <v>21.8</v>
      </c>
      <c r="K18428" s="689">
        <v>20.9</v>
      </c>
    </row>
    <row r="18429" spans="1:11">
      <c r="A18429" s="688" t="s">
        <v>10</v>
      </c>
      <c r="B18429" s="691">
        <v>22.6</v>
      </c>
      <c r="C18429" s="691">
        <v>22.3</v>
      </c>
      <c r="D18429" s="691">
        <v>21.9</v>
      </c>
      <c r="E18429" s="691">
        <v>22.4</v>
      </c>
      <c r="F18429" s="691">
        <v>22.1</v>
      </c>
      <c r="G18429" s="691">
        <v>22.5</v>
      </c>
      <c r="H18429" s="691">
        <v>22.6</v>
      </c>
      <c r="I18429" s="691">
        <v>21.7</v>
      </c>
      <c r="J18429" s="615">
        <v>22</v>
      </c>
      <c r="K18429" s="691">
        <v>21.9</v>
      </c>
    </row>
    <row r="18430" spans="1:11">
      <c r="A18430" s="688" t="s">
        <v>4070</v>
      </c>
      <c r="B18430" s="692" t="s">
        <v>4060</v>
      </c>
      <c r="C18430" s="692" t="s">
        <v>4060</v>
      </c>
      <c r="D18430" s="692" t="s">
        <v>4060</v>
      </c>
      <c r="E18430" s="691">
        <v>19.8</v>
      </c>
      <c r="F18430" s="692" t="s">
        <v>4060</v>
      </c>
      <c r="G18430" s="692" t="s">
        <v>4060</v>
      </c>
      <c r="H18430" s="692" t="s">
        <v>4060</v>
      </c>
      <c r="I18430" s="692" t="s">
        <v>4060</v>
      </c>
      <c r="J18430" s="692" t="s">
        <v>4060</v>
      </c>
      <c r="K18430" s="692" t="s">
        <v>4060</v>
      </c>
    </row>
    <row r="18431" spans="1:11">
      <c r="A18431" s="688" t="s">
        <v>11</v>
      </c>
      <c r="B18431" s="689">
        <v>19.100000000000001</v>
      </c>
      <c r="C18431" s="689">
        <v>18.899999999999999</v>
      </c>
      <c r="D18431" s="689">
        <v>18.5</v>
      </c>
      <c r="E18431" s="693">
        <v>19</v>
      </c>
      <c r="F18431" s="689">
        <v>18.7</v>
      </c>
      <c r="G18431" s="689">
        <v>19.100000000000001</v>
      </c>
      <c r="H18431" s="689">
        <v>19.2</v>
      </c>
      <c r="I18431" s="689">
        <v>18.600000000000001</v>
      </c>
      <c r="J18431" s="693">
        <v>18</v>
      </c>
      <c r="K18431" s="689">
        <v>18.600000000000001</v>
      </c>
    </row>
    <row r="18432" spans="1:11">
      <c r="A18432" s="688" t="s">
        <v>12</v>
      </c>
      <c r="B18432" s="691">
        <v>18.600000000000001</v>
      </c>
      <c r="C18432" s="691">
        <v>18.8</v>
      </c>
      <c r="D18432" s="691">
        <v>18.7</v>
      </c>
      <c r="E18432" s="691">
        <v>18.8</v>
      </c>
      <c r="F18432" s="691">
        <v>18.8</v>
      </c>
      <c r="G18432" s="691">
        <v>18.899999999999999</v>
      </c>
      <c r="H18432" s="691">
        <v>19.3</v>
      </c>
      <c r="I18432" s="615">
        <v>19</v>
      </c>
      <c r="J18432" s="691">
        <v>17.600000000000001</v>
      </c>
      <c r="K18432" s="691">
        <v>18.600000000000001</v>
      </c>
    </row>
    <row r="18433" spans="1:11">
      <c r="A18433" s="688" t="s">
        <v>13</v>
      </c>
      <c r="B18433" s="615">
        <v>22</v>
      </c>
      <c r="C18433" s="691">
        <v>20.7</v>
      </c>
      <c r="D18433" s="691">
        <v>21.7</v>
      </c>
      <c r="E18433" s="615">
        <v>22</v>
      </c>
      <c r="F18433" s="691">
        <v>22.6</v>
      </c>
      <c r="G18433" s="615">
        <v>22</v>
      </c>
      <c r="H18433" s="691">
        <v>22.2</v>
      </c>
      <c r="I18433" s="691">
        <v>21.3</v>
      </c>
      <c r="J18433" s="691">
        <v>22.9</v>
      </c>
      <c r="K18433" s="691">
        <v>21.9</v>
      </c>
    </row>
    <row r="18434" spans="1:11">
      <c r="A18434" s="688" t="s">
        <v>14</v>
      </c>
      <c r="B18434" s="689">
        <v>19.2</v>
      </c>
      <c r="C18434" s="689">
        <v>19.100000000000001</v>
      </c>
      <c r="D18434" s="689">
        <v>18.899999999999999</v>
      </c>
      <c r="E18434" s="689">
        <v>19.100000000000001</v>
      </c>
      <c r="F18434" s="689">
        <v>19.2</v>
      </c>
      <c r="G18434" s="689">
        <v>19.399999999999999</v>
      </c>
      <c r="H18434" s="689">
        <v>19.600000000000001</v>
      </c>
      <c r="I18434" s="689">
        <v>18.899999999999999</v>
      </c>
      <c r="J18434" s="689">
        <v>18.100000000000001</v>
      </c>
      <c r="K18434" s="693">
        <v>19</v>
      </c>
    </row>
    <row r="18435" spans="1:11">
      <c r="A18435" s="688" t="s">
        <v>15</v>
      </c>
      <c r="B18435" s="691">
        <v>21.9</v>
      </c>
      <c r="C18435" s="615">
        <v>22</v>
      </c>
      <c r="D18435" s="691">
        <v>21.3</v>
      </c>
      <c r="E18435" s="691">
        <v>22.1</v>
      </c>
      <c r="F18435" s="691">
        <v>21.3</v>
      </c>
      <c r="G18435" s="691">
        <v>21.8</v>
      </c>
      <c r="H18435" s="691">
        <v>22.1</v>
      </c>
      <c r="I18435" s="691">
        <v>21.6</v>
      </c>
      <c r="J18435" s="615">
        <v>22</v>
      </c>
      <c r="K18435" s="615">
        <v>22</v>
      </c>
    </row>
    <row r="18436" spans="1:11">
      <c r="A18436" s="688" t="s">
        <v>16</v>
      </c>
      <c r="B18436" s="691">
        <v>21.4</v>
      </c>
      <c r="C18436" s="691">
        <v>21.3</v>
      </c>
      <c r="D18436" s="691">
        <v>21.2</v>
      </c>
      <c r="E18436" s="691">
        <v>21.6</v>
      </c>
      <c r="F18436" s="691">
        <v>21.7</v>
      </c>
      <c r="G18436" s="691">
        <v>21.7</v>
      </c>
      <c r="H18436" s="691">
        <v>21.8</v>
      </c>
      <c r="I18436" s="691">
        <v>21.5</v>
      </c>
      <c r="J18436" s="691">
        <v>21.2</v>
      </c>
      <c r="K18436" s="691">
        <v>21.5</v>
      </c>
    </row>
    <row r="18437" spans="1:11">
      <c r="A18437" s="688" t="s">
        <v>2322</v>
      </c>
      <c r="B18437" s="690" t="s">
        <v>4060</v>
      </c>
      <c r="C18437" s="690" t="s">
        <v>4060</v>
      </c>
      <c r="D18437" s="690" t="s">
        <v>4060</v>
      </c>
      <c r="E18437" s="690" t="s">
        <v>4060</v>
      </c>
      <c r="F18437" s="690" t="s">
        <v>4060</v>
      </c>
      <c r="G18437" s="690" t="s">
        <v>4060</v>
      </c>
      <c r="H18437" s="690" t="s">
        <v>4060</v>
      </c>
      <c r="I18437" s="690" t="s">
        <v>4060</v>
      </c>
      <c r="J18437" s="690" t="s">
        <v>4060</v>
      </c>
      <c r="K18437" s="690" t="s">
        <v>4060</v>
      </c>
    </row>
    <row r="18438" spans="1:11">
      <c r="A18438" s="688" t="s">
        <v>2324</v>
      </c>
      <c r="B18438" s="691">
        <v>17.5</v>
      </c>
      <c r="C18438" s="691">
        <v>17.5</v>
      </c>
      <c r="D18438" s="691">
        <v>17.2</v>
      </c>
      <c r="E18438" s="691">
        <v>17.3</v>
      </c>
      <c r="F18438" s="691">
        <v>17.7</v>
      </c>
      <c r="G18438" s="691">
        <v>17.600000000000001</v>
      </c>
      <c r="H18438" s="691">
        <v>17.8</v>
      </c>
      <c r="I18438" s="691">
        <v>17.3</v>
      </c>
      <c r="J18438" s="691">
        <v>15.5</v>
      </c>
      <c r="K18438" s="692" t="s">
        <v>4060</v>
      </c>
    </row>
    <row r="18439" spans="1:11">
      <c r="A18439" s="688" t="s">
        <v>17</v>
      </c>
      <c r="B18439" s="689">
        <v>21.2</v>
      </c>
      <c r="C18439" s="689">
        <v>21.2</v>
      </c>
      <c r="D18439" s="689">
        <v>20.9</v>
      </c>
      <c r="E18439" s="693">
        <v>21</v>
      </c>
      <c r="F18439" s="689">
        <v>21.1</v>
      </c>
      <c r="G18439" s="693">
        <v>21</v>
      </c>
      <c r="H18439" s="689">
        <v>21.2</v>
      </c>
      <c r="I18439" s="689">
        <v>20.7</v>
      </c>
      <c r="J18439" s="689">
        <v>20.7</v>
      </c>
      <c r="K18439" s="689">
        <v>20.8</v>
      </c>
    </row>
    <row r="18440" spans="1:11">
      <c r="A18440" s="688" t="s">
        <v>2328</v>
      </c>
      <c r="B18440" s="691">
        <v>16.399999999999999</v>
      </c>
      <c r="C18440" s="691">
        <v>16.2</v>
      </c>
      <c r="D18440" s="691">
        <v>16.2</v>
      </c>
      <c r="E18440" s="691">
        <v>16.5</v>
      </c>
      <c r="F18440" s="691">
        <v>16.600000000000001</v>
      </c>
      <c r="G18440" s="691">
        <v>17.100000000000001</v>
      </c>
      <c r="H18440" s="691">
        <v>16.899999999999999</v>
      </c>
      <c r="I18440" s="691">
        <v>15.7</v>
      </c>
      <c r="J18440" s="691">
        <v>14.9</v>
      </c>
      <c r="K18440" s="692" t="s">
        <v>4060</v>
      </c>
    </row>
    <row r="18441" spans="1:11">
      <c r="A18441" s="688" t="s">
        <v>18</v>
      </c>
      <c r="B18441" s="689">
        <v>21.4</v>
      </c>
      <c r="C18441" s="689">
        <v>21.5</v>
      </c>
      <c r="D18441" s="689">
        <v>21.5</v>
      </c>
      <c r="E18441" s="689">
        <v>21.6</v>
      </c>
      <c r="F18441" s="689">
        <v>21.6</v>
      </c>
      <c r="G18441" s="689">
        <v>21.8</v>
      </c>
      <c r="H18441" s="689">
        <v>21.9</v>
      </c>
      <c r="I18441" s="689">
        <v>22.1</v>
      </c>
      <c r="J18441" s="689">
        <v>21.9</v>
      </c>
      <c r="K18441" s="689">
        <v>21.5</v>
      </c>
    </row>
    <row r="18442" spans="1:11">
      <c r="A18442" s="688" t="s">
        <v>19</v>
      </c>
      <c r="B18442" s="691">
        <v>21.5</v>
      </c>
      <c r="C18442" s="691">
        <v>21.5</v>
      </c>
      <c r="D18442" s="691">
        <v>21.2</v>
      </c>
      <c r="E18442" s="691">
        <v>21.6</v>
      </c>
      <c r="F18442" s="691">
        <v>21.4</v>
      </c>
      <c r="G18442" s="691">
        <v>21.5</v>
      </c>
      <c r="H18442" s="691">
        <v>21.7</v>
      </c>
      <c r="I18442" s="691">
        <v>21.2</v>
      </c>
      <c r="J18442" s="691">
        <v>21.2</v>
      </c>
      <c r="K18442" s="691">
        <v>21.2</v>
      </c>
    </row>
    <row r="18443" spans="1:11">
      <c r="A18443" s="688" t="s">
        <v>20</v>
      </c>
      <c r="B18443" s="689">
        <v>19.899999999999999</v>
      </c>
      <c r="C18443" s="693">
        <v>20</v>
      </c>
      <c r="D18443" s="689">
        <v>19.8</v>
      </c>
      <c r="E18443" s="689">
        <v>20.2</v>
      </c>
      <c r="F18443" s="693">
        <v>20</v>
      </c>
      <c r="G18443" s="689">
        <v>19.899999999999999</v>
      </c>
      <c r="H18443" s="689">
        <v>20.100000000000001</v>
      </c>
      <c r="I18443" s="689">
        <v>19.100000000000001</v>
      </c>
      <c r="J18443" s="689">
        <v>18.3</v>
      </c>
      <c r="K18443" s="689">
        <v>19.5</v>
      </c>
    </row>
    <row r="18444" spans="1:11">
      <c r="A18444" s="688" t="s">
        <v>21</v>
      </c>
      <c r="B18444" s="691">
        <v>21.6</v>
      </c>
      <c r="C18444" s="691">
        <v>21.8</v>
      </c>
      <c r="D18444" s="691">
        <v>21.7</v>
      </c>
      <c r="E18444" s="691">
        <v>21.8</v>
      </c>
      <c r="F18444" s="691">
        <v>22.1</v>
      </c>
      <c r="G18444" s="615">
        <v>22</v>
      </c>
      <c r="H18444" s="691">
        <v>22.3</v>
      </c>
      <c r="I18444" s="691">
        <v>21.7</v>
      </c>
      <c r="J18444" s="691">
        <v>21.8</v>
      </c>
      <c r="K18444" s="691">
        <v>21.9</v>
      </c>
    </row>
    <row r="18445" spans="1:11">
      <c r="A18445" s="688" t="s">
        <v>22</v>
      </c>
      <c r="B18445" s="689">
        <v>18.100000000000001</v>
      </c>
      <c r="C18445" s="693">
        <v>18</v>
      </c>
      <c r="D18445" s="689">
        <v>17.899999999999999</v>
      </c>
      <c r="E18445" s="689">
        <v>18.2</v>
      </c>
      <c r="F18445" s="689">
        <v>18.2</v>
      </c>
      <c r="G18445" s="689">
        <v>18.3</v>
      </c>
      <c r="H18445" s="689">
        <v>18.600000000000001</v>
      </c>
      <c r="I18445" s="689">
        <v>17.600000000000001</v>
      </c>
      <c r="J18445" s="689">
        <v>16.399999999999999</v>
      </c>
      <c r="K18445" s="689">
        <v>18.100000000000001</v>
      </c>
    </row>
    <row r="18446" spans="1:11">
      <c r="A18446" s="688" t="s">
        <v>2343</v>
      </c>
      <c r="B18446" s="692" t="s">
        <v>4060</v>
      </c>
      <c r="C18446" s="692" t="s">
        <v>4060</v>
      </c>
      <c r="D18446" s="692" t="s">
        <v>4060</v>
      </c>
      <c r="E18446" s="692" t="s">
        <v>4060</v>
      </c>
      <c r="F18446" s="692" t="s">
        <v>4060</v>
      </c>
      <c r="G18446" s="692" t="s">
        <v>4060</v>
      </c>
      <c r="H18446" s="692" t="s">
        <v>4060</v>
      </c>
      <c r="I18446" s="692" t="s">
        <v>4060</v>
      </c>
      <c r="J18446" s="692" t="s">
        <v>4060</v>
      </c>
      <c r="K18446" s="692" t="s">
        <v>4060</v>
      </c>
    </row>
    <row r="18447" spans="1:11">
      <c r="A18447" s="688" t="s">
        <v>4071</v>
      </c>
      <c r="B18447" s="690" t="s">
        <v>4060</v>
      </c>
      <c r="C18447" s="690" t="s">
        <v>4060</v>
      </c>
      <c r="D18447" s="690" t="s">
        <v>4060</v>
      </c>
      <c r="E18447" s="690" t="s">
        <v>4060</v>
      </c>
      <c r="F18447" s="690" t="s">
        <v>4060</v>
      </c>
      <c r="G18447" s="690" t="s">
        <v>4060</v>
      </c>
      <c r="H18447" s="690" t="s">
        <v>4060</v>
      </c>
      <c r="I18447" s="690" t="s">
        <v>4060</v>
      </c>
      <c r="J18447" s="690" t="s">
        <v>4060</v>
      </c>
      <c r="K18447" s="690" t="s">
        <v>4060</v>
      </c>
    </row>
    <row r="18448" spans="1:11">
      <c r="A18448" s="688" t="s">
        <v>23</v>
      </c>
      <c r="B18448" s="689">
        <v>21.3</v>
      </c>
      <c r="C18448" s="689">
        <v>21.5</v>
      </c>
      <c r="D18448" s="689">
        <v>21.4</v>
      </c>
      <c r="E18448" s="689">
        <v>21.5</v>
      </c>
      <c r="F18448" s="689">
        <v>21.5</v>
      </c>
      <c r="G18448" s="689">
        <v>21.6</v>
      </c>
      <c r="H18448" s="693">
        <v>22</v>
      </c>
      <c r="I18448" s="689">
        <v>21.5</v>
      </c>
      <c r="J18448" s="693">
        <v>22</v>
      </c>
      <c r="K18448" s="689">
        <v>21.9</v>
      </c>
    </row>
    <row r="18449" spans="1:11">
      <c r="A18449" s="688" t="s">
        <v>24</v>
      </c>
      <c r="B18449" s="691">
        <v>22.4</v>
      </c>
      <c r="C18449" s="691">
        <v>22.4</v>
      </c>
      <c r="D18449" s="691">
        <v>22.2</v>
      </c>
      <c r="E18449" s="691">
        <v>22.5</v>
      </c>
      <c r="F18449" s="691">
        <v>22.5</v>
      </c>
      <c r="G18449" s="691">
        <v>22.7</v>
      </c>
      <c r="H18449" s="691">
        <v>22.7</v>
      </c>
      <c r="I18449" s="691">
        <v>22.2</v>
      </c>
      <c r="J18449" s="691">
        <v>22.7</v>
      </c>
      <c r="K18449" s="691">
        <v>22.5</v>
      </c>
    </row>
    <row r="18450" spans="1:11">
      <c r="A18450" s="688" t="s">
        <v>2349</v>
      </c>
      <c r="B18450" s="689">
        <v>16.899999999999999</v>
      </c>
      <c r="C18450" s="689">
        <v>16.899999999999999</v>
      </c>
      <c r="D18450" s="689">
        <v>16.8</v>
      </c>
      <c r="E18450" s="689">
        <v>17.100000000000001</v>
      </c>
      <c r="F18450" s="693">
        <v>17</v>
      </c>
      <c r="G18450" s="689">
        <v>17.2</v>
      </c>
      <c r="H18450" s="689">
        <v>17.3</v>
      </c>
      <c r="I18450" s="689">
        <v>16.5</v>
      </c>
      <c r="J18450" s="689">
        <v>15.1</v>
      </c>
      <c r="K18450" s="689">
        <v>16.600000000000001</v>
      </c>
    </row>
    <row r="18451" spans="1:11">
      <c r="A18451" s="688" t="s">
        <v>25</v>
      </c>
      <c r="B18451" s="689">
        <v>18.8</v>
      </c>
      <c r="C18451" s="689">
        <v>18.899999999999999</v>
      </c>
      <c r="D18451" s="689">
        <v>18.7</v>
      </c>
      <c r="E18451" s="689">
        <v>19.100000000000001</v>
      </c>
      <c r="F18451" s="693">
        <v>19</v>
      </c>
      <c r="G18451" s="689">
        <v>19.2</v>
      </c>
      <c r="H18451" s="689">
        <v>19.5</v>
      </c>
      <c r="I18451" s="689">
        <v>18.8</v>
      </c>
      <c r="J18451" s="689">
        <v>17.2</v>
      </c>
      <c r="K18451" s="689">
        <v>18.8</v>
      </c>
    </row>
    <row r="18452" spans="1:11">
      <c r="A18452" s="688" t="s">
        <v>26</v>
      </c>
      <c r="B18452" s="691">
        <v>21.4</v>
      </c>
      <c r="C18452" s="691">
        <v>21.2</v>
      </c>
      <c r="D18452" s="615">
        <v>21</v>
      </c>
      <c r="E18452" s="691">
        <v>21.4</v>
      </c>
      <c r="F18452" s="691">
        <v>21.3</v>
      </c>
      <c r="G18452" s="691">
        <v>21.4</v>
      </c>
      <c r="H18452" s="691">
        <v>21.5</v>
      </c>
      <c r="I18452" s="691">
        <v>20.6</v>
      </c>
      <c r="J18452" s="615">
        <v>21</v>
      </c>
      <c r="K18452" s="691">
        <v>21.3</v>
      </c>
    </row>
    <row r="18453" spans="1:11">
      <c r="A18453" s="688" t="s">
        <v>27</v>
      </c>
      <c r="B18453" s="691">
        <v>23.4</v>
      </c>
      <c r="C18453" s="691">
        <v>22.9</v>
      </c>
      <c r="D18453" s="691">
        <v>22.6</v>
      </c>
      <c r="E18453" s="615">
        <v>23</v>
      </c>
      <c r="F18453" s="691">
        <v>22.9</v>
      </c>
      <c r="G18453" s="615">
        <v>23</v>
      </c>
      <c r="H18453" s="691">
        <v>23.4</v>
      </c>
      <c r="I18453" s="691">
        <v>22.3</v>
      </c>
      <c r="J18453" s="615">
        <v>23</v>
      </c>
      <c r="K18453" s="691">
        <v>22.9</v>
      </c>
    </row>
    <row r="18454" spans="1:11">
      <c r="A18454" s="688" t="s">
        <v>2240</v>
      </c>
      <c r="B18454" s="689">
        <v>19.3</v>
      </c>
      <c r="C18454" s="689">
        <v>19.600000000000001</v>
      </c>
      <c r="D18454" s="689">
        <v>19.3</v>
      </c>
      <c r="E18454" s="689">
        <v>19.8</v>
      </c>
      <c r="F18454" s="689">
        <v>19.600000000000001</v>
      </c>
      <c r="G18454" s="689">
        <v>19.7</v>
      </c>
      <c r="H18454" s="693">
        <v>20</v>
      </c>
      <c r="I18454" s="689">
        <v>19.100000000000001</v>
      </c>
      <c r="J18454" s="689">
        <v>18.600000000000001</v>
      </c>
      <c r="K18454" s="689">
        <v>19.7</v>
      </c>
    </row>
    <row r="18455" spans="1:11">
      <c r="A18455" s="688" t="s">
        <v>2355</v>
      </c>
      <c r="B18455" s="691">
        <v>19.8</v>
      </c>
      <c r="C18455" s="691">
        <v>19.600000000000001</v>
      </c>
      <c r="D18455" s="691">
        <v>19.5</v>
      </c>
      <c r="E18455" s="691">
        <v>19.5</v>
      </c>
      <c r="F18455" s="691">
        <v>19.600000000000001</v>
      </c>
      <c r="G18455" s="691">
        <v>19.899999999999999</v>
      </c>
      <c r="H18455" s="615">
        <v>20</v>
      </c>
      <c r="I18455" s="692" t="s">
        <v>4060</v>
      </c>
      <c r="J18455" s="692" t="s">
        <v>4060</v>
      </c>
      <c r="K18455" s="692" t="s">
        <v>4060</v>
      </c>
    </row>
    <row r="18456" spans="1:11">
      <c r="A18456" s="688" t="s">
        <v>2357</v>
      </c>
      <c r="B18456" s="690" t="s">
        <v>4060</v>
      </c>
      <c r="C18456" s="693">
        <v>17</v>
      </c>
      <c r="D18456" s="689">
        <v>17.399999999999999</v>
      </c>
      <c r="E18456" s="689">
        <v>17.600000000000001</v>
      </c>
      <c r="F18456" s="689">
        <v>17.8</v>
      </c>
      <c r="G18456" s="689">
        <v>17.8</v>
      </c>
      <c r="H18456" s="689">
        <v>17.899999999999999</v>
      </c>
      <c r="I18456" s="690" t="s">
        <v>4060</v>
      </c>
      <c r="J18456" s="690" t="s">
        <v>4060</v>
      </c>
      <c r="K18456" s="690" t="s">
        <v>4060</v>
      </c>
    </row>
    <row r="18457" spans="1:11">
      <c r="A18457" s="688" t="s">
        <v>29</v>
      </c>
      <c r="B18457" s="689">
        <v>18.399999999999999</v>
      </c>
      <c r="C18457" s="689">
        <v>18.399999999999999</v>
      </c>
      <c r="D18457" s="693">
        <v>18</v>
      </c>
      <c r="E18457" s="689">
        <v>18.5</v>
      </c>
      <c r="F18457" s="689">
        <v>18.2</v>
      </c>
      <c r="G18457" s="689">
        <v>18.3</v>
      </c>
      <c r="H18457" s="689">
        <v>18.399999999999999</v>
      </c>
      <c r="I18457" s="689">
        <v>17.7</v>
      </c>
      <c r="J18457" s="689">
        <v>17.100000000000001</v>
      </c>
      <c r="K18457" s="693">
        <v>18</v>
      </c>
    </row>
    <row r="18458" spans="1:11">
      <c r="A18458" s="688" t="s">
        <v>4059</v>
      </c>
      <c r="B18458" s="689">
        <v>20.9</v>
      </c>
      <c r="C18458" s="689">
        <v>21.3</v>
      </c>
      <c r="D18458" s="689">
        <v>20.8</v>
      </c>
      <c r="E18458" s="689">
        <v>21.1</v>
      </c>
      <c r="F18458" s="689">
        <v>21.1</v>
      </c>
      <c r="G18458" s="689">
        <v>21.1</v>
      </c>
      <c r="H18458" s="690" t="s">
        <v>4060</v>
      </c>
      <c r="I18458" s="690" t="s">
        <v>4060</v>
      </c>
      <c r="J18458" s="690" t="s">
        <v>4060</v>
      </c>
      <c r="K18458" s="690" t="s">
        <v>4060</v>
      </c>
    </row>
    <row r="18459" spans="1:11">
      <c r="A18459" s="688" t="s">
        <v>30</v>
      </c>
      <c r="B18459" s="689">
        <v>21.6</v>
      </c>
      <c r="C18459" s="689">
        <v>21.1</v>
      </c>
      <c r="D18459" s="689">
        <v>20.8</v>
      </c>
      <c r="E18459" s="689">
        <v>21.7</v>
      </c>
      <c r="F18459" s="689">
        <v>21.3</v>
      </c>
      <c r="G18459" s="689">
        <v>21.7</v>
      </c>
      <c r="H18459" s="689">
        <v>21.6</v>
      </c>
      <c r="I18459" s="689">
        <v>21.6</v>
      </c>
      <c r="J18459" s="689">
        <v>21.1</v>
      </c>
      <c r="K18459" s="689">
        <v>21.1</v>
      </c>
    </row>
    <row r="18461" spans="1:11">
      <c r="A18461" s="683" t="s">
        <v>4233</v>
      </c>
    </row>
    <row r="18462" spans="1:11">
      <c r="A18462" s="683" t="s">
        <v>4060</v>
      </c>
      <c r="B18462" s="682" t="s">
        <v>4234</v>
      </c>
    </row>
    <row r="18464" spans="1:11">
      <c r="A18464" s="682" t="s">
        <v>4332</v>
      </c>
    </row>
    <row r="18465" spans="1:11">
      <c r="A18465" s="682" t="s">
        <v>4210</v>
      </c>
      <c r="B18465" s="683" t="s">
        <v>4211</v>
      </c>
    </row>
    <row r="18466" spans="1:11">
      <c r="A18466" s="682" t="s">
        <v>4212</v>
      </c>
      <c r="B18466" s="682" t="s">
        <v>4213</v>
      </c>
    </row>
    <row r="18468" spans="1:11">
      <c r="A18468" s="683" t="s">
        <v>4214</v>
      </c>
      <c r="C18468" s="682" t="s">
        <v>4215</v>
      </c>
    </row>
    <row r="18469" spans="1:11">
      <c r="A18469" s="683" t="s">
        <v>4216</v>
      </c>
      <c r="C18469" s="682" t="s">
        <v>2967</v>
      </c>
    </row>
    <row r="18470" spans="1:11">
      <c r="A18470" s="683" t="s">
        <v>3893</v>
      </c>
      <c r="C18470" s="682" t="s">
        <v>2169</v>
      </c>
    </row>
    <row r="18471" spans="1:11">
      <c r="A18471" s="683" t="s">
        <v>4218</v>
      </c>
      <c r="C18471" s="682" t="s">
        <v>4300</v>
      </c>
    </row>
    <row r="18473" spans="1:11">
      <c r="A18473" s="684" t="s">
        <v>4220</v>
      </c>
      <c r="B18473" s="685" t="s">
        <v>4221</v>
      </c>
      <c r="C18473" s="685" t="s">
        <v>4222</v>
      </c>
      <c r="D18473" s="685" t="s">
        <v>4223</v>
      </c>
      <c r="E18473" s="685" t="s">
        <v>4224</v>
      </c>
      <c r="F18473" s="685" t="s">
        <v>4225</v>
      </c>
      <c r="G18473" s="685" t="s">
        <v>4226</v>
      </c>
      <c r="H18473" s="685" t="s">
        <v>4227</v>
      </c>
      <c r="I18473" s="685" t="s">
        <v>4228</v>
      </c>
      <c r="J18473" s="685" t="s">
        <v>4229</v>
      </c>
      <c r="K18473" s="685" t="s">
        <v>4230</v>
      </c>
    </row>
    <row r="18474" spans="1:11">
      <c r="A18474" s="686" t="s">
        <v>4231</v>
      </c>
      <c r="B18474" s="687" t="s">
        <v>4232</v>
      </c>
      <c r="C18474" s="687" t="s">
        <v>4232</v>
      </c>
      <c r="D18474" s="687" t="s">
        <v>4232</v>
      </c>
      <c r="E18474" s="687" t="s">
        <v>4232</v>
      </c>
      <c r="F18474" s="687" t="s">
        <v>4232</v>
      </c>
      <c r="G18474" s="687" t="s">
        <v>4232</v>
      </c>
      <c r="H18474" s="687" t="s">
        <v>4232</v>
      </c>
      <c r="I18474" s="687" t="s">
        <v>4232</v>
      </c>
      <c r="J18474" s="687" t="s">
        <v>4232</v>
      </c>
      <c r="K18474" s="687" t="s">
        <v>4232</v>
      </c>
    </row>
    <row r="18475" spans="1:11">
      <c r="A18475" s="688" t="s">
        <v>4064</v>
      </c>
      <c r="B18475" s="689">
        <v>20.5</v>
      </c>
      <c r="C18475" s="689">
        <v>20.5</v>
      </c>
      <c r="D18475" s="689">
        <v>20.399999999999999</v>
      </c>
      <c r="E18475" s="689">
        <v>20.5</v>
      </c>
      <c r="F18475" s="689">
        <v>20.399999999999999</v>
      </c>
      <c r="G18475" s="689">
        <v>20.5</v>
      </c>
      <c r="H18475" s="689">
        <v>20.7</v>
      </c>
      <c r="I18475" s="689">
        <v>20.100000000000001</v>
      </c>
      <c r="J18475" s="689">
        <v>19.899999999999999</v>
      </c>
      <c r="K18475" s="689">
        <v>20.2</v>
      </c>
    </row>
    <row r="18476" spans="1:11">
      <c r="A18476" s="688" t="s">
        <v>4065</v>
      </c>
      <c r="B18476" s="691">
        <v>20.5</v>
      </c>
      <c r="C18476" s="691">
        <v>20.8</v>
      </c>
      <c r="D18476" s="691">
        <v>20.399999999999999</v>
      </c>
      <c r="E18476" s="691">
        <v>20.8</v>
      </c>
      <c r="F18476" s="691">
        <v>20.6</v>
      </c>
      <c r="G18476" s="691">
        <v>20.7</v>
      </c>
      <c r="H18476" s="692" t="s">
        <v>4060</v>
      </c>
      <c r="I18476" s="692" t="s">
        <v>4060</v>
      </c>
      <c r="J18476" s="692" t="s">
        <v>4060</v>
      </c>
      <c r="K18476" s="692" t="s">
        <v>4060</v>
      </c>
    </row>
    <row r="18477" spans="1:11">
      <c r="A18477" s="688" t="s">
        <v>4063</v>
      </c>
      <c r="B18477" s="689">
        <v>20.5</v>
      </c>
      <c r="C18477" s="689">
        <v>20.8</v>
      </c>
      <c r="D18477" s="689">
        <v>20.399999999999999</v>
      </c>
      <c r="E18477" s="689">
        <v>20.8</v>
      </c>
      <c r="F18477" s="689">
        <v>20.6</v>
      </c>
      <c r="G18477" s="689">
        <v>20.7</v>
      </c>
      <c r="H18477" s="690" t="s">
        <v>4060</v>
      </c>
      <c r="I18477" s="690" t="s">
        <v>4060</v>
      </c>
      <c r="J18477" s="690" t="s">
        <v>4060</v>
      </c>
      <c r="K18477" s="690" t="s">
        <v>4060</v>
      </c>
    </row>
    <row r="18478" spans="1:11">
      <c r="A18478" s="688" t="s">
        <v>4069</v>
      </c>
      <c r="B18478" s="692" t="s">
        <v>4060</v>
      </c>
      <c r="C18478" s="615">
        <v>21</v>
      </c>
      <c r="D18478" s="691">
        <v>20.7</v>
      </c>
      <c r="E18478" s="691">
        <v>21.1</v>
      </c>
      <c r="F18478" s="615">
        <v>21</v>
      </c>
      <c r="G18478" s="691">
        <v>21.1</v>
      </c>
      <c r="H18478" s="691">
        <v>21.3</v>
      </c>
      <c r="I18478" s="691">
        <v>20.7</v>
      </c>
      <c r="J18478" s="691">
        <v>20.8</v>
      </c>
      <c r="K18478" s="691">
        <v>20.8</v>
      </c>
    </row>
    <row r="18479" spans="1:11">
      <c r="A18479" s="688" t="s">
        <v>4068</v>
      </c>
      <c r="B18479" s="689">
        <v>21.2</v>
      </c>
      <c r="C18479" s="690" t="s">
        <v>4060</v>
      </c>
      <c r="D18479" s="690" t="s">
        <v>4060</v>
      </c>
      <c r="E18479" s="690" t="s">
        <v>4060</v>
      </c>
      <c r="F18479" s="690" t="s">
        <v>4060</v>
      </c>
      <c r="G18479" s="690" t="s">
        <v>4060</v>
      </c>
      <c r="H18479" s="690" t="s">
        <v>4060</v>
      </c>
      <c r="I18479" s="690" t="s">
        <v>4060</v>
      </c>
      <c r="J18479" s="690" t="s">
        <v>4060</v>
      </c>
      <c r="K18479" s="690" t="s">
        <v>4060</v>
      </c>
    </row>
    <row r="18480" spans="1:11">
      <c r="A18480" s="688" t="s">
        <v>0</v>
      </c>
      <c r="B18480" s="691">
        <v>20.6</v>
      </c>
      <c r="C18480" s="691">
        <v>20.7</v>
      </c>
      <c r="D18480" s="691">
        <v>20.399999999999999</v>
      </c>
      <c r="E18480" s="691">
        <v>20.8</v>
      </c>
      <c r="F18480" s="691">
        <v>20.7</v>
      </c>
      <c r="G18480" s="691">
        <v>20.8</v>
      </c>
      <c r="H18480" s="615">
        <v>21</v>
      </c>
      <c r="I18480" s="615">
        <v>20</v>
      </c>
      <c r="J18480" s="615">
        <v>21</v>
      </c>
      <c r="K18480" s="691">
        <v>20.7</v>
      </c>
    </row>
    <row r="18481" spans="1:11">
      <c r="A18481" s="688" t="s">
        <v>1</v>
      </c>
      <c r="B18481" s="689">
        <v>17.100000000000001</v>
      </c>
      <c r="C18481" s="689">
        <v>16.7</v>
      </c>
      <c r="D18481" s="689">
        <v>16.7</v>
      </c>
      <c r="E18481" s="693">
        <v>17</v>
      </c>
      <c r="F18481" s="689">
        <v>16.899999999999999</v>
      </c>
      <c r="G18481" s="689">
        <v>17.100000000000001</v>
      </c>
      <c r="H18481" s="689">
        <v>17.100000000000001</v>
      </c>
      <c r="I18481" s="689">
        <v>16.3</v>
      </c>
      <c r="J18481" s="689">
        <v>14.9</v>
      </c>
      <c r="K18481" s="689">
        <v>16.7</v>
      </c>
    </row>
    <row r="18482" spans="1:11">
      <c r="A18482" s="688" t="s">
        <v>2240</v>
      </c>
      <c r="B18482" s="691">
        <v>18.5</v>
      </c>
      <c r="C18482" s="691">
        <v>18.8</v>
      </c>
      <c r="D18482" s="691">
        <v>18.5</v>
      </c>
      <c r="E18482" s="691">
        <v>18.899999999999999</v>
      </c>
      <c r="F18482" s="691">
        <v>18.8</v>
      </c>
      <c r="G18482" s="691">
        <v>18.899999999999999</v>
      </c>
      <c r="H18482" s="691">
        <v>19.100000000000001</v>
      </c>
      <c r="I18482" s="691">
        <v>18.3</v>
      </c>
      <c r="J18482" s="691">
        <v>17.899999999999999</v>
      </c>
      <c r="K18482" s="691">
        <v>18.899999999999999</v>
      </c>
    </row>
    <row r="18483" spans="1:11">
      <c r="A18483" s="688" t="s">
        <v>2</v>
      </c>
      <c r="B18483" s="689">
        <v>19.600000000000001</v>
      </c>
      <c r="C18483" s="689">
        <v>19.8</v>
      </c>
      <c r="D18483" s="689">
        <v>19.8</v>
      </c>
      <c r="E18483" s="689">
        <v>19.899999999999999</v>
      </c>
      <c r="F18483" s="693">
        <v>20</v>
      </c>
      <c r="G18483" s="689">
        <v>19.899999999999999</v>
      </c>
      <c r="H18483" s="689">
        <v>20.2</v>
      </c>
      <c r="I18483" s="689">
        <v>20.3</v>
      </c>
      <c r="J18483" s="689">
        <v>20.100000000000001</v>
      </c>
      <c r="K18483" s="689">
        <v>19.8</v>
      </c>
    </row>
    <row r="18484" spans="1:11">
      <c r="A18484" s="688" t="s">
        <v>3</v>
      </c>
      <c r="B18484" s="691">
        <v>20.100000000000001</v>
      </c>
      <c r="C18484" s="691">
        <v>20.3</v>
      </c>
      <c r="D18484" s="615">
        <v>20</v>
      </c>
      <c r="E18484" s="691">
        <v>20.3</v>
      </c>
      <c r="F18484" s="691">
        <v>20.2</v>
      </c>
      <c r="G18484" s="691">
        <v>20.2</v>
      </c>
      <c r="H18484" s="691">
        <v>20.399999999999999</v>
      </c>
      <c r="I18484" s="691">
        <v>20.3</v>
      </c>
      <c r="J18484" s="691">
        <v>20.100000000000001</v>
      </c>
      <c r="K18484" s="691">
        <v>19.8</v>
      </c>
    </row>
    <row r="18485" spans="1:11">
      <c r="A18485" s="688" t="s">
        <v>4061</v>
      </c>
      <c r="B18485" s="689">
        <v>20.100000000000001</v>
      </c>
      <c r="C18485" s="689">
        <v>20.3</v>
      </c>
      <c r="D18485" s="693">
        <v>20</v>
      </c>
      <c r="E18485" s="689">
        <v>20.3</v>
      </c>
      <c r="F18485" s="689">
        <v>20.2</v>
      </c>
      <c r="G18485" s="689">
        <v>20.2</v>
      </c>
      <c r="H18485" s="689">
        <v>20.399999999999999</v>
      </c>
      <c r="I18485" s="689">
        <v>20.3</v>
      </c>
      <c r="J18485" s="689">
        <v>20.100000000000001</v>
      </c>
      <c r="K18485" s="689">
        <v>19.8</v>
      </c>
    </row>
    <row r="18486" spans="1:11">
      <c r="A18486" s="688" t="s">
        <v>4</v>
      </c>
      <c r="B18486" s="691">
        <v>19.5</v>
      </c>
      <c r="C18486" s="691">
        <v>19.2</v>
      </c>
      <c r="D18486" s="691">
        <v>19.399999999999999</v>
      </c>
      <c r="E18486" s="691">
        <v>19.600000000000001</v>
      </c>
      <c r="F18486" s="691">
        <v>19.600000000000001</v>
      </c>
      <c r="G18486" s="691">
        <v>19.600000000000001</v>
      </c>
      <c r="H18486" s="615">
        <v>20</v>
      </c>
      <c r="I18486" s="615">
        <v>20</v>
      </c>
      <c r="J18486" s="691">
        <v>18.8</v>
      </c>
      <c r="K18486" s="691">
        <v>19.600000000000001</v>
      </c>
    </row>
    <row r="18487" spans="1:11">
      <c r="A18487" s="688" t="s">
        <v>8</v>
      </c>
      <c r="B18487" s="693">
        <v>20</v>
      </c>
      <c r="C18487" s="689">
        <v>20.100000000000001</v>
      </c>
      <c r="D18487" s="693">
        <v>20</v>
      </c>
      <c r="E18487" s="689">
        <v>20.100000000000001</v>
      </c>
      <c r="F18487" s="689">
        <v>20.399999999999999</v>
      </c>
      <c r="G18487" s="689">
        <v>20.5</v>
      </c>
      <c r="H18487" s="689">
        <v>20.8</v>
      </c>
      <c r="I18487" s="689">
        <v>20.7</v>
      </c>
      <c r="J18487" s="689">
        <v>20.6</v>
      </c>
      <c r="K18487" s="689">
        <v>20.5</v>
      </c>
    </row>
    <row r="18488" spans="1:11">
      <c r="A18488" s="688" t="s">
        <v>7</v>
      </c>
      <c r="B18488" s="691">
        <v>20.7</v>
      </c>
      <c r="C18488" s="691">
        <v>20.399999999999999</v>
      </c>
      <c r="D18488" s="691">
        <v>20.2</v>
      </c>
      <c r="E18488" s="691">
        <v>20.5</v>
      </c>
      <c r="F18488" s="691">
        <v>20.399999999999999</v>
      </c>
      <c r="G18488" s="691">
        <v>20.8</v>
      </c>
      <c r="H18488" s="691">
        <v>20.7</v>
      </c>
      <c r="I18488" s="691">
        <v>20.399999999999999</v>
      </c>
      <c r="J18488" s="691">
        <v>19.8</v>
      </c>
      <c r="K18488" s="615">
        <v>20</v>
      </c>
    </row>
    <row r="18489" spans="1:11">
      <c r="A18489" s="688" t="s">
        <v>27</v>
      </c>
      <c r="B18489" s="689">
        <v>22.5</v>
      </c>
      <c r="C18489" s="693">
        <v>22</v>
      </c>
      <c r="D18489" s="689">
        <v>21.7</v>
      </c>
      <c r="E18489" s="689">
        <v>22.1</v>
      </c>
      <c r="F18489" s="693">
        <v>22</v>
      </c>
      <c r="G18489" s="689">
        <v>22.2</v>
      </c>
      <c r="H18489" s="689">
        <v>22.5</v>
      </c>
      <c r="I18489" s="689">
        <v>21.4</v>
      </c>
      <c r="J18489" s="689">
        <v>22.2</v>
      </c>
      <c r="K18489" s="689">
        <v>22.1</v>
      </c>
    </row>
    <row r="18490" spans="1:11">
      <c r="A18490" s="688" t="s">
        <v>6</v>
      </c>
      <c r="B18490" s="691">
        <v>22.8</v>
      </c>
      <c r="C18490" s="691">
        <v>22.4</v>
      </c>
      <c r="D18490" s="691">
        <v>22.2</v>
      </c>
      <c r="E18490" s="691">
        <v>22.4</v>
      </c>
      <c r="F18490" s="691">
        <v>22.4</v>
      </c>
      <c r="G18490" s="691">
        <v>22.5</v>
      </c>
      <c r="H18490" s="691">
        <v>22.6</v>
      </c>
      <c r="I18490" s="691">
        <v>22.1</v>
      </c>
      <c r="J18490" s="691">
        <v>22.2</v>
      </c>
      <c r="K18490" s="691">
        <v>22.1</v>
      </c>
    </row>
    <row r="18491" spans="1:11">
      <c r="A18491" s="688" t="s">
        <v>4058</v>
      </c>
      <c r="B18491" s="690" t="s">
        <v>4060</v>
      </c>
      <c r="C18491" s="690" t="s">
        <v>4060</v>
      </c>
      <c r="D18491" s="690" t="s">
        <v>4060</v>
      </c>
      <c r="E18491" s="690" t="s">
        <v>4060</v>
      </c>
      <c r="F18491" s="690" t="s">
        <v>4060</v>
      </c>
      <c r="G18491" s="690" t="s">
        <v>4060</v>
      </c>
      <c r="H18491" s="690" t="s">
        <v>4060</v>
      </c>
      <c r="I18491" s="690" t="s">
        <v>4060</v>
      </c>
      <c r="J18491" s="690" t="s">
        <v>4060</v>
      </c>
      <c r="K18491" s="690" t="s">
        <v>4060</v>
      </c>
    </row>
    <row r="18492" spans="1:11">
      <c r="A18492" s="688" t="s">
        <v>11</v>
      </c>
      <c r="B18492" s="691">
        <v>18.2</v>
      </c>
      <c r="C18492" s="691">
        <v>18.100000000000001</v>
      </c>
      <c r="D18492" s="691">
        <v>17.7</v>
      </c>
      <c r="E18492" s="691">
        <v>18.100000000000001</v>
      </c>
      <c r="F18492" s="691">
        <v>17.899999999999999</v>
      </c>
      <c r="G18492" s="691">
        <v>18.3</v>
      </c>
      <c r="H18492" s="691">
        <v>18.399999999999999</v>
      </c>
      <c r="I18492" s="691">
        <v>17.8</v>
      </c>
      <c r="J18492" s="691">
        <v>17.2</v>
      </c>
      <c r="K18492" s="691">
        <v>17.8</v>
      </c>
    </row>
    <row r="18493" spans="1:11">
      <c r="A18493" s="688" t="s">
        <v>10</v>
      </c>
      <c r="B18493" s="689">
        <v>21.7</v>
      </c>
      <c r="C18493" s="689">
        <v>21.4</v>
      </c>
      <c r="D18493" s="693">
        <v>21</v>
      </c>
      <c r="E18493" s="689">
        <v>21.5</v>
      </c>
      <c r="F18493" s="689">
        <v>21.3</v>
      </c>
      <c r="G18493" s="689">
        <v>21.6</v>
      </c>
      <c r="H18493" s="689">
        <v>21.7</v>
      </c>
      <c r="I18493" s="689">
        <v>20.8</v>
      </c>
      <c r="J18493" s="689">
        <v>21.1</v>
      </c>
      <c r="K18493" s="689">
        <v>21.1</v>
      </c>
    </row>
    <row r="18494" spans="1:11">
      <c r="A18494" s="688" t="s">
        <v>30</v>
      </c>
      <c r="B18494" s="691">
        <v>20.7</v>
      </c>
      <c r="C18494" s="691">
        <v>20.2</v>
      </c>
      <c r="D18494" s="691">
        <v>19.899999999999999</v>
      </c>
      <c r="E18494" s="691">
        <v>20.7</v>
      </c>
      <c r="F18494" s="691">
        <v>20.399999999999999</v>
      </c>
      <c r="G18494" s="691">
        <v>20.8</v>
      </c>
      <c r="H18494" s="691">
        <v>20.7</v>
      </c>
      <c r="I18494" s="691">
        <v>20.7</v>
      </c>
      <c r="J18494" s="691">
        <v>20.2</v>
      </c>
      <c r="K18494" s="691">
        <v>20.2</v>
      </c>
    </row>
    <row r="18495" spans="1:11">
      <c r="A18495" s="688" t="s">
        <v>12</v>
      </c>
      <c r="B18495" s="689">
        <v>17.899999999999999</v>
      </c>
      <c r="C18495" s="693">
        <v>18</v>
      </c>
      <c r="D18495" s="689">
        <v>17.899999999999999</v>
      </c>
      <c r="E18495" s="689">
        <v>18.100000000000001</v>
      </c>
      <c r="F18495" s="689">
        <v>18.100000000000001</v>
      </c>
      <c r="G18495" s="689">
        <v>18.100000000000001</v>
      </c>
      <c r="H18495" s="689">
        <v>18.5</v>
      </c>
      <c r="I18495" s="689">
        <v>18.2</v>
      </c>
      <c r="J18495" s="689">
        <v>16.899999999999999</v>
      </c>
      <c r="K18495" s="689">
        <v>17.8</v>
      </c>
    </row>
    <row r="18496" spans="1:11">
      <c r="A18496" s="688" t="s">
        <v>14</v>
      </c>
      <c r="B18496" s="691">
        <v>18.399999999999999</v>
      </c>
      <c r="C18496" s="691">
        <v>18.3</v>
      </c>
      <c r="D18496" s="691">
        <v>18.100000000000001</v>
      </c>
      <c r="E18496" s="691">
        <v>18.3</v>
      </c>
      <c r="F18496" s="691">
        <v>18.399999999999999</v>
      </c>
      <c r="G18496" s="691">
        <v>18.600000000000001</v>
      </c>
      <c r="H18496" s="691">
        <v>18.899999999999999</v>
      </c>
      <c r="I18496" s="691">
        <v>18.100000000000001</v>
      </c>
      <c r="J18496" s="691">
        <v>17.399999999999999</v>
      </c>
      <c r="K18496" s="691">
        <v>18.2</v>
      </c>
    </row>
    <row r="18497" spans="1:11">
      <c r="A18497" s="688" t="s">
        <v>15</v>
      </c>
      <c r="B18497" s="689">
        <v>21.1</v>
      </c>
      <c r="C18497" s="689">
        <v>21.1</v>
      </c>
      <c r="D18497" s="689">
        <v>20.5</v>
      </c>
      <c r="E18497" s="689">
        <v>21.2</v>
      </c>
      <c r="F18497" s="689">
        <v>20.5</v>
      </c>
      <c r="G18497" s="689">
        <v>20.9</v>
      </c>
      <c r="H18497" s="689">
        <v>21.2</v>
      </c>
      <c r="I18497" s="689">
        <v>20.8</v>
      </c>
      <c r="J18497" s="689">
        <v>21.2</v>
      </c>
      <c r="K18497" s="689">
        <v>21.2</v>
      </c>
    </row>
    <row r="18498" spans="1:11">
      <c r="A18498" s="688" t="s">
        <v>29</v>
      </c>
      <c r="B18498" s="691">
        <v>17.600000000000001</v>
      </c>
      <c r="C18498" s="691">
        <v>17.600000000000001</v>
      </c>
      <c r="D18498" s="691">
        <v>17.3</v>
      </c>
      <c r="E18498" s="691">
        <v>17.7</v>
      </c>
      <c r="F18498" s="691">
        <v>17.399999999999999</v>
      </c>
      <c r="G18498" s="691">
        <v>17.600000000000001</v>
      </c>
      <c r="H18498" s="691">
        <v>17.600000000000001</v>
      </c>
      <c r="I18498" s="615">
        <v>17</v>
      </c>
      <c r="J18498" s="691">
        <v>16.399999999999999</v>
      </c>
      <c r="K18498" s="691">
        <v>17.3</v>
      </c>
    </row>
    <row r="18499" spans="1:11">
      <c r="A18499" s="688" t="s">
        <v>16</v>
      </c>
      <c r="B18499" s="689">
        <v>20.5</v>
      </c>
      <c r="C18499" s="689">
        <v>20.5</v>
      </c>
      <c r="D18499" s="689">
        <v>20.399999999999999</v>
      </c>
      <c r="E18499" s="689">
        <v>20.7</v>
      </c>
      <c r="F18499" s="689">
        <v>20.9</v>
      </c>
      <c r="G18499" s="689">
        <v>20.8</v>
      </c>
      <c r="H18499" s="693">
        <v>21</v>
      </c>
      <c r="I18499" s="689">
        <v>20.7</v>
      </c>
      <c r="J18499" s="689">
        <v>20.3</v>
      </c>
      <c r="K18499" s="689">
        <v>20.6</v>
      </c>
    </row>
    <row r="18500" spans="1:11">
      <c r="A18500" s="688" t="s">
        <v>17</v>
      </c>
      <c r="B18500" s="691">
        <v>20.3</v>
      </c>
      <c r="C18500" s="691">
        <v>20.399999999999999</v>
      </c>
      <c r="D18500" s="691">
        <v>20.100000000000001</v>
      </c>
      <c r="E18500" s="691">
        <v>20.2</v>
      </c>
      <c r="F18500" s="691">
        <v>20.2</v>
      </c>
      <c r="G18500" s="691">
        <v>20.2</v>
      </c>
      <c r="H18500" s="691">
        <v>20.399999999999999</v>
      </c>
      <c r="I18500" s="691">
        <v>19.899999999999999</v>
      </c>
      <c r="J18500" s="691">
        <v>19.899999999999999</v>
      </c>
      <c r="K18500" s="691">
        <v>19.899999999999999</v>
      </c>
    </row>
    <row r="18501" spans="1:11">
      <c r="A18501" s="688" t="s">
        <v>19</v>
      </c>
      <c r="B18501" s="689">
        <v>20.6</v>
      </c>
      <c r="C18501" s="689">
        <v>20.6</v>
      </c>
      <c r="D18501" s="689">
        <v>20.399999999999999</v>
      </c>
      <c r="E18501" s="689">
        <v>20.7</v>
      </c>
      <c r="F18501" s="689">
        <v>20.6</v>
      </c>
      <c r="G18501" s="689">
        <v>20.7</v>
      </c>
      <c r="H18501" s="689">
        <v>20.8</v>
      </c>
      <c r="I18501" s="689">
        <v>20.3</v>
      </c>
      <c r="J18501" s="689">
        <v>20.3</v>
      </c>
      <c r="K18501" s="689">
        <v>20.3</v>
      </c>
    </row>
    <row r="18502" spans="1:11">
      <c r="A18502" s="688" t="s">
        <v>20</v>
      </c>
      <c r="B18502" s="691">
        <v>19.100000000000001</v>
      </c>
      <c r="C18502" s="691">
        <v>19.2</v>
      </c>
      <c r="D18502" s="615">
        <v>19</v>
      </c>
      <c r="E18502" s="691">
        <v>19.399999999999999</v>
      </c>
      <c r="F18502" s="691">
        <v>19.2</v>
      </c>
      <c r="G18502" s="691">
        <v>19.100000000000001</v>
      </c>
      <c r="H18502" s="691">
        <v>19.3</v>
      </c>
      <c r="I18502" s="691">
        <v>18.3</v>
      </c>
      <c r="J18502" s="691">
        <v>17.5</v>
      </c>
      <c r="K18502" s="691">
        <v>18.7</v>
      </c>
    </row>
    <row r="18503" spans="1:11">
      <c r="A18503" s="688" t="s">
        <v>21</v>
      </c>
      <c r="B18503" s="689">
        <v>20.7</v>
      </c>
      <c r="C18503" s="693">
        <v>21</v>
      </c>
      <c r="D18503" s="689">
        <v>20.8</v>
      </c>
      <c r="E18503" s="689">
        <v>20.9</v>
      </c>
      <c r="F18503" s="689">
        <v>21.2</v>
      </c>
      <c r="G18503" s="689">
        <v>21.2</v>
      </c>
      <c r="H18503" s="689">
        <v>21.4</v>
      </c>
      <c r="I18503" s="689">
        <v>20.8</v>
      </c>
      <c r="J18503" s="689">
        <v>20.9</v>
      </c>
      <c r="K18503" s="689">
        <v>21.1</v>
      </c>
    </row>
    <row r="18504" spans="1:11">
      <c r="A18504" s="688" t="s">
        <v>22</v>
      </c>
      <c r="B18504" s="691">
        <v>17.3</v>
      </c>
      <c r="C18504" s="691">
        <v>17.2</v>
      </c>
      <c r="D18504" s="691">
        <v>17.100000000000001</v>
      </c>
      <c r="E18504" s="691">
        <v>17.399999999999999</v>
      </c>
      <c r="F18504" s="691">
        <v>17.399999999999999</v>
      </c>
      <c r="G18504" s="691">
        <v>17.5</v>
      </c>
      <c r="H18504" s="691">
        <v>17.8</v>
      </c>
      <c r="I18504" s="691">
        <v>16.899999999999999</v>
      </c>
      <c r="J18504" s="691">
        <v>15.7</v>
      </c>
      <c r="K18504" s="691">
        <v>17.3</v>
      </c>
    </row>
    <row r="18505" spans="1:11">
      <c r="A18505" s="688" t="s">
        <v>26</v>
      </c>
      <c r="B18505" s="689">
        <v>20.5</v>
      </c>
      <c r="C18505" s="689">
        <v>20.3</v>
      </c>
      <c r="D18505" s="689">
        <v>20.2</v>
      </c>
      <c r="E18505" s="689">
        <v>20.5</v>
      </c>
      <c r="F18505" s="689">
        <v>20.399999999999999</v>
      </c>
      <c r="G18505" s="689">
        <v>20.6</v>
      </c>
      <c r="H18505" s="689">
        <v>20.7</v>
      </c>
      <c r="I18505" s="689">
        <v>19.7</v>
      </c>
      <c r="J18505" s="689">
        <v>20.2</v>
      </c>
      <c r="K18505" s="689">
        <v>20.5</v>
      </c>
    </row>
    <row r="18506" spans="1:11">
      <c r="A18506" s="688" t="s">
        <v>25</v>
      </c>
      <c r="B18506" s="615">
        <v>18</v>
      </c>
      <c r="C18506" s="691">
        <v>18.100000000000001</v>
      </c>
      <c r="D18506" s="691">
        <v>17.899999999999999</v>
      </c>
      <c r="E18506" s="691">
        <v>18.3</v>
      </c>
      <c r="F18506" s="691">
        <v>18.2</v>
      </c>
      <c r="G18506" s="691">
        <v>18.3</v>
      </c>
      <c r="H18506" s="691">
        <v>18.7</v>
      </c>
      <c r="I18506" s="615">
        <v>18</v>
      </c>
      <c r="J18506" s="691">
        <v>16.399999999999999</v>
      </c>
      <c r="K18506" s="615">
        <v>18</v>
      </c>
    </row>
    <row r="18507" spans="1:11">
      <c r="A18507" s="688" t="s">
        <v>5</v>
      </c>
      <c r="B18507" s="693">
        <v>21</v>
      </c>
      <c r="C18507" s="689">
        <v>20.6</v>
      </c>
      <c r="D18507" s="689">
        <v>20.7</v>
      </c>
      <c r="E18507" s="689">
        <v>20.8</v>
      </c>
      <c r="F18507" s="689">
        <v>20.9</v>
      </c>
      <c r="G18507" s="693">
        <v>21</v>
      </c>
      <c r="H18507" s="689">
        <v>21.2</v>
      </c>
      <c r="I18507" s="689">
        <v>21.2</v>
      </c>
      <c r="J18507" s="689">
        <v>21.1</v>
      </c>
      <c r="K18507" s="689">
        <v>20.5</v>
      </c>
    </row>
    <row r="18508" spans="1:11">
      <c r="A18508" s="688" t="s">
        <v>23</v>
      </c>
      <c r="B18508" s="691">
        <v>20.399999999999999</v>
      </c>
      <c r="C18508" s="691">
        <v>20.6</v>
      </c>
      <c r="D18508" s="691">
        <v>20.6</v>
      </c>
      <c r="E18508" s="691">
        <v>20.6</v>
      </c>
      <c r="F18508" s="691">
        <v>20.6</v>
      </c>
      <c r="G18508" s="691">
        <v>20.7</v>
      </c>
      <c r="H18508" s="691">
        <v>21.1</v>
      </c>
      <c r="I18508" s="691">
        <v>20.6</v>
      </c>
      <c r="J18508" s="691">
        <v>21.1</v>
      </c>
      <c r="K18508" s="615">
        <v>21</v>
      </c>
    </row>
    <row r="18509" spans="1:11">
      <c r="A18509" s="688" t="s">
        <v>4067</v>
      </c>
      <c r="B18509" s="689">
        <v>20.5</v>
      </c>
      <c r="C18509" s="689">
        <v>20.8</v>
      </c>
      <c r="D18509" s="689">
        <v>20.399999999999999</v>
      </c>
      <c r="E18509" s="689">
        <v>20.8</v>
      </c>
      <c r="F18509" s="689">
        <v>20.6</v>
      </c>
      <c r="G18509" s="689">
        <v>20.7</v>
      </c>
      <c r="H18509" s="690" t="s">
        <v>4060</v>
      </c>
      <c r="I18509" s="690" t="s">
        <v>4060</v>
      </c>
      <c r="J18509" s="690" t="s">
        <v>4060</v>
      </c>
      <c r="K18509" s="690" t="s">
        <v>4060</v>
      </c>
    </row>
    <row r="18510" spans="1:11">
      <c r="A18510" s="688" t="s">
        <v>4066</v>
      </c>
      <c r="B18510" s="691">
        <v>20.5</v>
      </c>
      <c r="C18510" s="691">
        <v>20.8</v>
      </c>
      <c r="D18510" s="691">
        <v>20.399999999999999</v>
      </c>
      <c r="E18510" s="691">
        <v>20.8</v>
      </c>
      <c r="F18510" s="691">
        <v>20.6</v>
      </c>
      <c r="G18510" s="691">
        <v>20.7</v>
      </c>
      <c r="H18510" s="692" t="s">
        <v>4060</v>
      </c>
      <c r="I18510" s="692" t="s">
        <v>4060</v>
      </c>
      <c r="J18510" s="692" t="s">
        <v>4060</v>
      </c>
      <c r="K18510" s="692" t="s">
        <v>4060</v>
      </c>
    </row>
    <row r="18511" spans="1:11">
      <c r="A18511" s="688" t="s">
        <v>4062</v>
      </c>
      <c r="B18511" s="689">
        <v>21.2</v>
      </c>
      <c r="C18511" s="689">
        <v>21.2</v>
      </c>
      <c r="D18511" s="689">
        <v>21.1</v>
      </c>
      <c r="E18511" s="689">
        <v>21.3</v>
      </c>
      <c r="F18511" s="689">
        <v>21.3</v>
      </c>
      <c r="G18511" s="689">
        <v>21.5</v>
      </c>
      <c r="H18511" s="689">
        <v>21.5</v>
      </c>
      <c r="I18511" s="689">
        <v>21.2</v>
      </c>
      <c r="J18511" s="689">
        <v>21.5</v>
      </c>
      <c r="K18511" s="689">
        <v>21.2</v>
      </c>
    </row>
    <row r="18512" spans="1:11">
      <c r="A18512" s="688" t="s">
        <v>9</v>
      </c>
      <c r="B18512" s="691">
        <v>20.399999999999999</v>
      </c>
      <c r="C18512" s="691">
        <v>20.8</v>
      </c>
      <c r="D18512" s="691">
        <v>20.3</v>
      </c>
      <c r="E18512" s="691">
        <v>20.100000000000001</v>
      </c>
      <c r="F18512" s="691">
        <v>20.399999999999999</v>
      </c>
      <c r="G18512" s="691">
        <v>20.5</v>
      </c>
      <c r="H18512" s="691">
        <v>20.9</v>
      </c>
      <c r="I18512" s="615">
        <v>21</v>
      </c>
      <c r="J18512" s="691">
        <v>20.9</v>
      </c>
      <c r="K18512" s="615">
        <v>20</v>
      </c>
    </row>
    <row r="18513" spans="1:11">
      <c r="A18513" s="688" t="s">
        <v>13</v>
      </c>
      <c r="B18513" s="689">
        <v>21.4</v>
      </c>
      <c r="C18513" s="689">
        <v>19.7</v>
      </c>
      <c r="D18513" s="689">
        <v>20.9</v>
      </c>
      <c r="E18513" s="693">
        <v>21</v>
      </c>
      <c r="F18513" s="689">
        <v>21.7</v>
      </c>
      <c r="G18513" s="689">
        <v>21.2</v>
      </c>
      <c r="H18513" s="689">
        <v>21.4</v>
      </c>
      <c r="I18513" s="689">
        <v>20.3</v>
      </c>
      <c r="J18513" s="689">
        <v>21.9</v>
      </c>
      <c r="K18513" s="693">
        <v>21</v>
      </c>
    </row>
    <row r="18514" spans="1:11">
      <c r="A18514" s="688" t="s">
        <v>18</v>
      </c>
      <c r="B18514" s="691">
        <v>20.5</v>
      </c>
      <c r="C18514" s="691">
        <v>20.7</v>
      </c>
      <c r="D18514" s="691">
        <v>20.7</v>
      </c>
      <c r="E18514" s="691">
        <v>20.7</v>
      </c>
      <c r="F18514" s="691">
        <v>20.7</v>
      </c>
      <c r="G18514" s="691">
        <v>20.9</v>
      </c>
      <c r="H18514" s="615">
        <v>21</v>
      </c>
      <c r="I18514" s="691">
        <v>21.2</v>
      </c>
      <c r="J18514" s="615">
        <v>21</v>
      </c>
      <c r="K18514" s="691">
        <v>20.7</v>
      </c>
    </row>
    <row r="18515" spans="1:11">
      <c r="A18515" s="688" t="s">
        <v>24</v>
      </c>
      <c r="B18515" s="689">
        <v>21.5</v>
      </c>
      <c r="C18515" s="689">
        <v>21.5</v>
      </c>
      <c r="D18515" s="689">
        <v>21.3</v>
      </c>
      <c r="E18515" s="689">
        <v>21.7</v>
      </c>
      <c r="F18515" s="689">
        <v>21.6</v>
      </c>
      <c r="G18515" s="689">
        <v>21.8</v>
      </c>
      <c r="H18515" s="689">
        <v>21.8</v>
      </c>
      <c r="I18515" s="689">
        <v>21.3</v>
      </c>
      <c r="J18515" s="689">
        <v>21.8</v>
      </c>
      <c r="K18515" s="689">
        <v>21.6</v>
      </c>
    </row>
    <row r="18516" spans="1:11">
      <c r="A18516" s="688" t="s">
        <v>4059</v>
      </c>
      <c r="B18516" s="691">
        <v>20.100000000000001</v>
      </c>
      <c r="C18516" s="691">
        <v>20.399999999999999</v>
      </c>
      <c r="D18516" s="615">
        <v>20</v>
      </c>
      <c r="E18516" s="691">
        <v>20.3</v>
      </c>
      <c r="F18516" s="691">
        <v>20.3</v>
      </c>
      <c r="G18516" s="691">
        <v>20.3</v>
      </c>
      <c r="H18516" s="692" t="s">
        <v>4060</v>
      </c>
      <c r="I18516" s="692" t="s">
        <v>4060</v>
      </c>
      <c r="J18516" s="692" t="s">
        <v>4060</v>
      </c>
      <c r="K18516" s="692" t="s">
        <v>4060</v>
      </c>
    </row>
    <row r="18517" spans="1:11">
      <c r="A18517" s="688" t="s">
        <v>2324</v>
      </c>
      <c r="B18517" s="689">
        <v>16.7</v>
      </c>
      <c r="C18517" s="689">
        <v>16.8</v>
      </c>
      <c r="D18517" s="689">
        <v>16.399999999999999</v>
      </c>
      <c r="E18517" s="689">
        <v>16.5</v>
      </c>
      <c r="F18517" s="689">
        <v>16.8</v>
      </c>
      <c r="G18517" s="689">
        <v>16.8</v>
      </c>
      <c r="H18517" s="693">
        <v>17</v>
      </c>
      <c r="I18517" s="689">
        <v>16.5</v>
      </c>
      <c r="J18517" s="689">
        <v>14.7</v>
      </c>
      <c r="K18517" s="690" t="s">
        <v>4060</v>
      </c>
    </row>
    <row r="18518" spans="1:11">
      <c r="A18518" s="688" t="s">
        <v>2322</v>
      </c>
      <c r="B18518" s="692" t="s">
        <v>4060</v>
      </c>
      <c r="C18518" s="692" t="s">
        <v>4060</v>
      </c>
      <c r="D18518" s="692" t="s">
        <v>4060</v>
      </c>
      <c r="E18518" s="692" t="s">
        <v>4060</v>
      </c>
      <c r="F18518" s="692" t="s">
        <v>4060</v>
      </c>
      <c r="G18518" s="692" t="s">
        <v>4060</v>
      </c>
      <c r="H18518" s="692" t="s">
        <v>4060</v>
      </c>
      <c r="I18518" s="692" t="s">
        <v>4060</v>
      </c>
      <c r="J18518" s="692" t="s">
        <v>4060</v>
      </c>
      <c r="K18518" s="692" t="s">
        <v>4060</v>
      </c>
    </row>
    <row r="18519" spans="1:11">
      <c r="A18519" s="688" t="s">
        <v>2328</v>
      </c>
      <c r="B18519" s="689">
        <v>15.6</v>
      </c>
      <c r="C18519" s="689">
        <v>15.5</v>
      </c>
      <c r="D18519" s="689">
        <v>15.4</v>
      </c>
      <c r="E18519" s="689">
        <v>15.8</v>
      </c>
      <c r="F18519" s="689">
        <v>15.8</v>
      </c>
      <c r="G18519" s="689">
        <v>16.3</v>
      </c>
      <c r="H18519" s="689">
        <v>16.100000000000001</v>
      </c>
      <c r="I18519" s="693">
        <v>15</v>
      </c>
      <c r="J18519" s="689">
        <v>14.2</v>
      </c>
      <c r="K18519" s="690" t="s">
        <v>4060</v>
      </c>
    </row>
    <row r="18520" spans="1:11">
      <c r="A18520" s="688" t="s">
        <v>2496</v>
      </c>
      <c r="B18520" s="692" t="s">
        <v>4060</v>
      </c>
      <c r="C18520" s="691">
        <v>16.8</v>
      </c>
      <c r="D18520" s="691">
        <v>16.100000000000001</v>
      </c>
      <c r="E18520" s="691">
        <v>15.8</v>
      </c>
      <c r="F18520" s="691">
        <v>16.2</v>
      </c>
      <c r="G18520" s="691">
        <v>16.5</v>
      </c>
      <c r="H18520" s="691">
        <v>16.5</v>
      </c>
      <c r="I18520" s="692" t="s">
        <v>4060</v>
      </c>
      <c r="J18520" s="692" t="s">
        <v>4060</v>
      </c>
      <c r="K18520" s="691">
        <v>16.2</v>
      </c>
    </row>
    <row r="18521" spans="1:11">
      <c r="A18521" s="688" t="s">
        <v>2269</v>
      </c>
      <c r="B18521" s="689">
        <v>17.5</v>
      </c>
      <c r="C18521" s="689">
        <v>17.600000000000001</v>
      </c>
      <c r="D18521" s="689">
        <v>16.899999999999999</v>
      </c>
      <c r="E18521" s="689">
        <v>17.399999999999999</v>
      </c>
      <c r="F18521" s="689">
        <v>17.2</v>
      </c>
      <c r="G18521" s="689">
        <v>17.600000000000001</v>
      </c>
      <c r="H18521" s="689">
        <v>17.8</v>
      </c>
      <c r="I18521" s="689">
        <v>16.8</v>
      </c>
      <c r="J18521" s="693">
        <v>15</v>
      </c>
      <c r="K18521" s="689">
        <v>17.5</v>
      </c>
    </row>
    <row r="18522" spans="1:11">
      <c r="A18522" s="688" t="s">
        <v>2349</v>
      </c>
      <c r="B18522" s="691">
        <v>16.100000000000001</v>
      </c>
      <c r="C18522" s="691">
        <v>16.100000000000001</v>
      </c>
      <c r="D18522" s="691">
        <v>16.100000000000001</v>
      </c>
      <c r="E18522" s="691">
        <v>16.399999999999999</v>
      </c>
      <c r="F18522" s="691">
        <v>16.2</v>
      </c>
      <c r="G18522" s="691">
        <v>16.399999999999999</v>
      </c>
      <c r="H18522" s="691">
        <v>16.600000000000001</v>
      </c>
      <c r="I18522" s="691">
        <v>15.7</v>
      </c>
      <c r="J18522" s="691">
        <v>14.4</v>
      </c>
      <c r="K18522" s="691">
        <v>15.8</v>
      </c>
    </row>
    <row r="18523" spans="1:11">
      <c r="A18523" s="688" t="s">
        <v>2355</v>
      </c>
      <c r="B18523" s="693">
        <v>19</v>
      </c>
      <c r="C18523" s="689">
        <v>18.7</v>
      </c>
      <c r="D18523" s="689">
        <v>18.7</v>
      </c>
      <c r="E18523" s="689">
        <v>18.600000000000001</v>
      </c>
      <c r="F18523" s="689">
        <v>18.8</v>
      </c>
      <c r="G18523" s="689">
        <v>19.100000000000001</v>
      </c>
      <c r="H18523" s="689">
        <v>19.2</v>
      </c>
      <c r="I18523" s="690" t="s">
        <v>4060</v>
      </c>
      <c r="J18523" s="690" t="s">
        <v>4060</v>
      </c>
      <c r="K18523" s="690" t="s">
        <v>4060</v>
      </c>
    </row>
    <row r="18524" spans="1:11">
      <c r="A18524" s="688" t="s">
        <v>2357</v>
      </c>
      <c r="B18524" s="692" t="s">
        <v>4060</v>
      </c>
      <c r="C18524" s="691">
        <v>16.3</v>
      </c>
      <c r="D18524" s="691">
        <v>16.600000000000001</v>
      </c>
      <c r="E18524" s="691">
        <v>16.8</v>
      </c>
      <c r="F18524" s="615">
        <v>17</v>
      </c>
      <c r="G18524" s="615">
        <v>17</v>
      </c>
      <c r="H18524" s="691">
        <v>17.100000000000001</v>
      </c>
      <c r="I18524" s="692" t="s">
        <v>4060</v>
      </c>
      <c r="J18524" s="692" t="s">
        <v>4060</v>
      </c>
      <c r="K18524" s="692" t="s">
        <v>4060</v>
      </c>
    </row>
    <row r="18525" spans="1:11">
      <c r="A18525" s="688" t="s">
        <v>4070</v>
      </c>
      <c r="B18525" s="690" t="s">
        <v>4060</v>
      </c>
      <c r="C18525" s="690" t="s">
        <v>4060</v>
      </c>
      <c r="D18525" s="690" t="s">
        <v>4060</v>
      </c>
      <c r="E18525" s="693">
        <v>19</v>
      </c>
      <c r="F18525" s="690" t="s">
        <v>4060</v>
      </c>
      <c r="G18525" s="690" t="s">
        <v>4060</v>
      </c>
      <c r="H18525" s="690" t="s">
        <v>4060</v>
      </c>
      <c r="I18525" s="690" t="s">
        <v>4060</v>
      </c>
      <c r="J18525" s="690" t="s">
        <v>4060</v>
      </c>
      <c r="K18525" s="690" t="s">
        <v>4060</v>
      </c>
    </row>
    <row r="18526" spans="1:11">
      <c r="A18526" s="688" t="s">
        <v>2491</v>
      </c>
      <c r="B18526" s="691">
        <v>16.8</v>
      </c>
      <c r="C18526" s="691">
        <v>17.2</v>
      </c>
      <c r="D18526" s="691">
        <v>17.3</v>
      </c>
      <c r="E18526" s="691">
        <v>17.399999999999999</v>
      </c>
      <c r="F18526" s="691">
        <v>17.5</v>
      </c>
      <c r="G18526" s="691">
        <v>17.5</v>
      </c>
      <c r="H18526" s="692" t="s">
        <v>4060</v>
      </c>
      <c r="I18526" s="692" t="s">
        <v>4060</v>
      </c>
      <c r="J18526" s="692" t="s">
        <v>4060</v>
      </c>
      <c r="K18526" s="692" t="s">
        <v>4060</v>
      </c>
    </row>
    <row r="18527" spans="1:11">
      <c r="A18527" s="688" t="s">
        <v>2343</v>
      </c>
      <c r="B18527" s="690" t="s">
        <v>4060</v>
      </c>
      <c r="C18527" s="690" t="s">
        <v>4060</v>
      </c>
      <c r="D18527" s="690" t="s">
        <v>4060</v>
      </c>
      <c r="E18527" s="690" t="s">
        <v>4060</v>
      </c>
      <c r="F18527" s="690" t="s">
        <v>4060</v>
      </c>
      <c r="G18527" s="690" t="s">
        <v>4060</v>
      </c>
      <c r="H18527" s="690" t="s">
        <v>4060</v>
      </c>
      <c r="I18527" s="690" t="s">
        <v>4060</v>
      </c>
      <c r="J18527" s="690" t="s">
        <v>4060</v>
      </c>
      <c r="K18527" s="690" t="s">
        <v>4060</v>
      </c>
    </row>
    <row r="18528" spans="1:11">
      <c r="A18528" s="688" t="s">
        <v>4071</v>
      </c>
      <c r="B18528" s="692" t="s">
        <v>4060</v>
      </c>
      <c r="C18528" s="692" t="s">
        <v>4060</v>
      </c>
      <c r="D18528" s="692" t="s">
        <v>4060</v>
      </c>
      <c r="E18528" s="692" t="s">
        <v>4060</v>
      </c>
      <c r="F18528" s="692" t="s">
        <v>4060</v>
      </c>
      <c r="G18528" s="692" t="s">
        <v>4060</v>
      </c>
      <c r="H18528" s="692" t="s">
        <v>4060</v>
      </c>
      <c r="I18528" s="692" t="s">
        <v>4060</v>
      </c>
      <c r="J18528" s="692" t="s">
        <v>4060</v>
      </c>
      <c r="K18528" s="692" t="s">
        <v>4060</v>
      </c>
    </row>
    <row r="18529" spans="1:11">
      <c r="A18529" s="688" t="s">
        <v>2489</v>
      </c>
      <c r="B18529" s="690" t="s">
        <v>4060</v>
      </c>
      <c r="C18529" s="690" t="s">
        <v>4060</v>
      </c>
      <c r="D18529" s="689">
        <v>16.399999999999999</v>
      </c>
      <c r="E18529" s="689">
        <v>16.399999999999999</v>
      </c>
      <c r="F18529" s="689">
        <v>16.7</v>
      </c>
      <c r="G18529" s="689">
        <v>17.2</v>
      </c>
      <c r="H18529" s="689">
        <v>17.2</v>
      </c>
      <c r="I18529" s="690" t="s">
        <v>4060</v>
      </c>
      <c r="J18529" s="690" t="s">
        <v>4060</v>
      </c>
      <c r="K18529" s="690" t="s">
        <v>4060</v>
      </c>
    </row>
    <row r="18530" spans="1:11">
      <c r="A18530" s="688" t="s">
        <v>2490</v>
      </c>
      <c r="B18530" s="691">
        <v>15.7</v>
      </c>
      <c r="C18530" s="691">
        <v>15.7</v>
      </c>
      <c r="D18530" s="691">
        <v>16.3</v>
      </c>
      <c r="E18530" s="692" t="s">
        <v>4060</v>
      </c>
      <c r="F18530" s="691">
        <v>16.399999999999999</v>
      </c>
      <c r="G18530" s="691">
        <v>16.7</v>
      </c>
      <c r="H18530" s="691">
        <v>17.3</v>
      </c>
      <c r="I18530" s="692" t="s">
        <v>4060</v>
      </c>
      <c r="J18530" s="692" t="s">
        <v>4060</v>
      </c>
      <c r="K18530" s="692" t="s">
        <v>4060</v>
      </c>
    </row>
    <row r="18532" spans="1:11">
      <c r="A18532" s="683" t="s">
        <v>4233</v>
      </c>
    </row>
    <row r="18533" spans="1:11">
      <c r="A18533" s="683" t="s">
        <v>4060</v>
      </c>
      <c r="B18533" s="682" t="s">
        <v>4234</v>
      </c>
    </row>
    <row r="18535" spans="1:11">
      <c r="A18535" s="682" t="s">
        <v>4332</v>
      </c>
    </row>
    <row r="18536" spans="1:11">
      <c r="A18536" s="682" t="s">
        <v>4210</v>
      </c>
      <c r="B18536" s="683" t="s">
        <v>4211</v>
      </c>
    </row>
    <row r="18537" spans="1:11">
      <c r="A18537" s="682" t="s">
        <v>4212</v>
      </c>
      <c r="B18537" s="682" t="s">
        <v>4213</v>
      </c>
    </row>
    <row r="18539" spans="1:11">
      <c r="A18539" s="683" t="s">
        <v>4214</v>
      </c>
      <c r="C18539" s="682" t="s">
        <v>4215</v>
      </c>
    </row>
    <row r="18540" spans="1:11">
      <c r="A18540" s="683" t="s">
        <v>4216</v>
      </c>
      <c r="C18540" s="682" t="s">
        <v>2967</v>
      </c>
    </row>
    <row r="18541" spans="1:11">
      <c r="A18541" s="683" t="s">
        <v>3893</v>
      </c>
      <c r="C18541" s="682" t="s">
        <v>2169</v>
      </c>
    </row>
    <row r="18542" spans="1:11">
      <c r="A18542" s="683" t="s">
        <v>4218</v>
      </c>
      <c r="C18542" s="682" t="s">
        <v>4301</v>
      </c>
    </row>
    <row r="18544" spans="1:11">
      <c r="A18544" s="684" t="s">
        <v>4220</v>
      </c>
      <c r="B18544" s="685" t="s">
        <v>4221</v>
      </c>
      <c r="C18544" s="685" t="s">
        <v>4222</v>
      </c>
      <c r="D18544" s="685" t="s">
        <v>4223</v>
      </c>
      <c r="E18544" s="685" t="s">
        <v>4224</v>
      </c>
      <c r="F18544" s="685" t="s">
        <v>4225</v>
      </c>
      <c r="G18544" s="685" t="s">
        <v>4226</v>
      </c>
      <c r="H18544" s="685" t="s">
        <v>4227</v>
      </c>
      <c r="I18544" s="685" t="s">
        <v>4228</v>
      </c>
      <c r="J18544" s="685" t="s">
        <v>4229</v>
      </c>
      <c r="K18544" s="685" t="s">
        <v>4230</v>
      </c>
    </row>
    <row r="18545" spans="1:11">
      <c r="A18545" s="686" t="s">
        <v>4231</v>
      </c>
      <c r="B18545" s="687" t="s">
        <v>4232</v>
      </c>
      <c r="C18545" s="687" t="s">
        <v>4232</v>
      </c>
      <c r="D18545" s="687" t="s">
        <v>4232</v>
      </c>
      <c r="E18545" s="687" t="s">
        <v>4232</v>
      </c>
      <c r="F18545" s="687" t="s">
        <v>4232</v>
      </c>
      <c r="G18545" s="687" t="s">
        <v>4232</v>
      </c>
      <c r="H18545" s="687" t="s">
        <v>4232</v>
      </c>
      <c r="I18545" s="687" t="s">
        <v>4232</v>
      </c>
      <c r="J18545" s="687" t="s">
        <v>4232</v>
      </c>
      <c r="K18545" s="687" t="s">
        <v>4232</v>
      </c>
    </row>
    <row r="18546" spans="1:11">
      <c r="A18546" s="688" t="s">
        <v>4064</v>
      </c>
      <c r="B18546" s="691">
        <v>19.7</v>
      </c>
      <c r="C18546" s="691">
        <v>19.600000000000001</v>
      </c>
      <c r="D18546" s="691">
        <v>19.600000000000001</v>
      </c>
      <c r="E18546" s="691">
        <v>19.7</v>
      </c>
      <c r="F18546" s="691">
        <v>19.600000000000001</v>
      </c>
      <c r="G18546" s="691">
        <v>19.7</v>
      </c>
      <c r="H18546" s="691">
        <v>19.899999999999999</v>
      </c>
      <c r="I18546" s="691">
        <v>19.3</v>
      </c>
      <c r="J18546" s="691">
        <v>19.100000000000001</v>
      </c>
      <c r="K18546" s="691">
        <v>19.399999999999999</v>
      </c>
    </row>
    <row r="18547" spans="1:11">
      <c r="A18547" s="688" t="s">
        <v>4065</v>
      </c>
      <c r="B18547" s="689">
        <v>19.7</v>
      </c>
      <c r="C18547" s="693">
        <v>20</v>
      </c>
      <c r="D18547" s="689">
        <v>19.5</v>
      </c>
      <c r="E18547" s="689">
        <v>19.899999999999999</v>
      </c>
      <c r="F18547" s="689">
        <v>19.8</v>
      </c>
      <c r="G18547" s="689">
        <v>19.899999999999999</v>
      </c>
      <c r="H18547" s="690" t="s">
        <v>4060</v>
      </c>
      <c r="I18547" s="690" t="s">
        <v>4060</v>
      </c>
      <c r="J18547" s="690" t="s">
        <v>4060</v>
      </c>
      <c r="K18547" s="690" t="s">
        <v>4060</v>
      </c>
    </row>
    <row r="18548" spans="1:11">
      <c r="A18548" s="688" t="s">
        <v>4063</v>
      </c>
      <c r="B18548" s="691">
        <v>19.7</v>
      </c>
      <c r="C18548" s="615">
        <v>20</v>
      </c>
      <c r="D18548" s="691">
        <v>19.600000000000001</v>
      </c>
      <c r="E18548" s="615">
        <v>20</v>
      </c>
      <c r="F18548" s="691">
        <v>19.8</v>
      </c>
      <c r="G18548" s="691">
        <v>19.899999999999999</v>
      </c>
      <c r="H18548" s="692" t="s">
        <v>4060</v>
      </c>
      <c r="I18548" s="692" t="s">
        <v>4060</v>
      </c>
      <c r="J18548" s="692" t="s">
        <v>4060</v>
      </c>
      <c r="K18548" s="692" t="s">
        <v>4060</v>
      </c>
    </row>
    <row r="18549" spans="1:11">
      <c r="A18549" s="688" t="s">
        <v>4069</v>
      </c>
      <c r="B18549" s="690" t="s">
        <v>4060</v>
      </c>
      <c r="C18549" s="689">
        <v>20.2</v>
      </c>
      <c r="D18549" s="689">
        <v>19.899999999999999</v>
      </c>
      <c r="E18549" s="689">
        <v>20.2</v>
      </c>
      <c r="F18549" s="689">
        <v>20.2</v>
      </c>
      <c r="G18549" s="689">
        <v>20.3</v>
      </c>
      <c r="H18549" s="689">
        <v>20.5</v>
      </c>
      <c r="I18549" s="689">
        <v>19.899999999999999</v>
      </c>
      <c r="J18549" s="693">
        <v>20</v>
      </c>
      <c r="K18549" s="689">
        <v>19.899999999999999</v>
      </c>
    </row>
    <row r="18550" spans="1:11">
      <c r="A18550" s="688" t="s">
        <v>4068</v>
      </c>
      <c r="B18550" s="691">
        <v>20.3</v>
      </c>
      <c r="C18550" s="692" t="s">
        <v>4060</v>
      </c>
      <c r="D18550" s="692" t="s">
        <v>4060</v>
      </c>
      <c r="E18550" s="692" t="s">
        <v>4060</v>
      </c>
      <c r="F18550" s="692" t="s">
        <v>4060</v>
      </c>
      <c r="G18550" s="692" t="s">
        <v>4060</v>
      </c>
      <c r="H18550" s="692" t="s">
        <v>4060</v>
      </c>
      <c r="I18550" s="692" t="s">
        <v>4060</v>
      </c>
      <c r="J18550" s="692" t="s">
        <v>4060</v>
      </c>
      <c r="K18550" s="692" t="s">
        <v>4060</v>
      </c>
    </row>
    <row r="18551" spans="1:11">
      <c r="A18551" s="688" t="s">
        <v>0</v>
      </c>
      <c r="B18551" s="689">
        <v>19.8</v>
      </c>
      <c r="C18551" s="689">
        <v>19.8</v>
      </c>
      <c r="D18551" s="689">
        <v>19.600000000000001</v>
      </c>
      <c r="E18551" s="689">
        <v>19.899999999999999</v>
      </c>
      <c r="F18551" s="689">
        <v>19.899999999999999</v>
      </c>
      <c r="G18551" s="693">
        <v>20</v>
      </c>
      <c r="H18551" s="689">
        <v>20.2</v>
      </c>
      <c r="I18551" s="689">
        <v>19.100000000000001</v>
      </c>
      <c r="J18551" s="689">
        <v>20.100000000000001</v>
      </c>
      <c r="K18551" s="689">
        <v>19.899999999999999</v>
      </c>
    </row>
    <row r="18552" spans="1:11">
      <c r="A18552" s="688" t="s">
        <v>1</v>
      </c>
      <c r="B18552" s="691">
        <v>16.3</v>
      </c>
      <c r="C18552" s="691">
        <v>15.9</v>
      </c>
      <c r="D18552" s="691">
        <v>15.9</v>
      </c>
      <c r="E18552" s="691">
        <v>16.2</v>
      </c>
      <c r="F18552" s="691">
        <v>16.100000000000001</v>
      </c>
      <c r="G18552" s="691">
        <v>16.3</v>
      </c>
      <c r="H18552" s="691">
        <v>16.399999999999999</v>
      </c>
      <c r="I18552" s="691">
        <v>15.5</v>
      </c>
      <c r="J18552" s="691">
        <v>14.2</v>
      </c>
      <c r="K18552" s="691">
        <v>15.9</v>
      </c>
    </row>
    <row r="18553" spans="1:11">
      <c r="A18553" s="688" t="s">
        <v>2240</v>
      </c>
      <c r="B18553" s="689">
        <v>17.7</v>
      </c>
      <c r="C18553" s="689">
        <v>17.899999999999999</v>
      </c>
      <c r="D18553" s="689">
        <v>17.7</v>
      </c>
      <c r="E18553" s="689">
        <v>18.100000000000001</v>
      </c>
      <c r="F18553" s="693">
        <v>18</v>
      </c>
      <c r="G18553" s="689">
        <v>18.100000000000001</v>
      </c>
      <c r="H18553" s="689">
        <v>18.3</v>
      </c>
      <c r="I18553" s="689">
        <v>17.5</v>
      </c>
      <c r="J18553" s="689">
        <v>17.100000000000001</v>
      </c>
      <c r="K18553" s="689">
        <v>18.100000000000001</v>
      </c>
    </row>
    <row r="18554" spans="1:11">
      <c r="A18554" s="688" t="s">
        <v>2</v>
      </c>
      <c r="B18554" s="691">
        <v>18.7</v>
      </c>
      <c r="C18554" s="615">
        <v>19</v>
      </c>
      <c r="D18554" s="615">
        <v>19</v>
      </c>
      <c r="E18554" s="691">
        <v>19.100000000000001</v>
      </c>
      <c r="F18554" s="691">
        <v>19.2</v>
      </c>
      <c r="G18554" s="691">
        <v>19.100000000000001</v>
      </c>
      <c r="H18554" s="691">
        <v>19.399999999999999</v>
      </c>
      <c r="I18554" s="691">
        <v>19.5</v>
      </c>
      <c r="J18554" s="691">
        <v>19.3</v>
      </c>
      <c r="K18554" s="615">
        <v>19</v>
      </c>
    </row>
    <row r="18555" spans="1:11">
      <c r="A18555" s="688" t="s">
        <v>3</v>
      </c>
      <c r="B18555" s="689">
        <v>19.3</v>
      </c>
      <c r="C18555" s="689">
        <v>19.5</v>
      </c>
      <c r="D18555" s="689">
        <v>19.2</v>
      </c>
      <c r="E18555" s="689">
        <v>19.5</v>
      </c>
      <c r="F18555" s="689">
        <v>19.399999999999999</v>
      </c>
      <c r="G18555" s="689">
        <v>19.399999999999999</v>
      </c>
      <c r="H18555" s="689">
        <v>19.600000000000001</v>
      </c>
      <c r="I18555" s="689">
        <v>19.5</v>
      </c>
      <c r="J18555" s="689">
        <v>19.3</v>
      </c>
      <c r="K18555" s="693">
        <v>19</v>
      </c>
    </row>
    <row r="18556" spans="1:11">
      <c r="A18556" s="688" t="s">
        <v>4061</v>
      </c>
      <c r="B18556" s="691">
        <v>19.3</v>
      </c>
      <c r="C18556" s="691">
        <v>19.5</v>
      </c>
      <c r="D18556" s="691">
        <v>19.2</v>
      </c>
      <c r="E18556" s="691">
        <v>19.5</v>
      </c>
      <c r="F18556" s="691">
        <v>19.399999999999999</v>
      </c>
      <c r="G18556" s="691">
        <v>19.399999999999999</v>
      </c>
      <c r="H18556" s="691">
        <v>19.600000000000001</v>
      </c>
      <c r="I18556" s="691">
        <v>19.5</v>
      </c>
      <c r="J18556" s="691">
        <v>19.3</v>
      </c>
      <c r="K18556" s="615">
        <v>19</v>
      </c>
    </row>
    <row r="18557" spans="1:11">
      <c r="A18557" s="688" t="s">
        <v>4</v>
      </c>
      <c r="B18557" s="689">
        <v>18.7</v>
      </c>
      <c r="C18557" s="689">
        <v>18.399999999999999</v>
      </c>
      <c r="D18557" s="689">
        <v>18.600000000000001</v>
      </c>
      <c r="E18557" s="689">
        <v>18.8</v>
      </c>
      <c r="F18557" s="689">
        <v>18.8</v>
      </c>
      <c r="G18557" s="689">
        <v>18.8</v>
      </c>
      <c r="H18557" s="689">
        <v>19.2</v>
      </c>
      <c r="I18557" s="689">
        <v>19.2</v>
      </c>
      <c r="J18557" s="693">
        <v>18</v>
      </c>
      <c r="K18557" s="689">
        <v>18.7</v>
      </c>
    </row>
    <row r="18558" spans="1:11">
      <c r="A18558" s="688" t="s">
        <v>8</v>
      </c>
      <c r="B18558" s="691">
        <v>19.100000000000001</v>
      </c>
      <c r="C18558" s="691">
        <v>19.2</v>
      </c>
      <c r="D18558" s="691">
        <v>19.2</v>
      </c>
      <c r="E18558" s="691">
        <v>19.2</v>
      </c>
      <c r="F18558" s="691">
        <v>19.600000000000001</v>
      </c>
      <c r="G18558" s="691">
        <v>19.7</v>
      </c>
      <c r="H18558" s="615">
        <v>20</v>
      </c>
      <c r="I18558" s="691">
        <v>19.8</v>
      </c>
      <c r="J18558" s="691">
        <v>19.8</v>
      </c>
      <c r="K18558" s="691">
        <v>19.7</v>
      </c>
    </row>
    <row r="18559" spans="1:11">
      <c r="A18559" s="688" t="s">
        <v>7</v>
      </c>
      <c r="B18559" s="689">
        <v>19.8</v>
      </c>
      <c r="C18559" s="689">
        <v>19.5</v>
      </c>
      <c r="D18559" s="689">
        <v>19.3</v>
      </c>
      <c r="E18559" s="689">
        <v>19.600000000000001</v>
      </c>
      <c r="F18559" s="689">
        <v>19.5</v>
      </c>
      <c r="G18559" s="693">
        <v>20</v>
      </c>
      <c r="H18559" s="689">
        <v>19.899999999999999</v>
      </c>
      <c r="I18559" s="689">
        <v>19.600000000000001</v>
      </c>
      <c r="J18559" s="693">
        <v>19</v>
      </c>
      <c r="K18559" s="689">
        <v>19.2</v>
      </c>
    </row>
    <row r="18560" spans="1:11">
      <c r="A18560" s="688" t="s">
        <v>27</v>
      </c>
      <c r="B18560" s="691">
        <v>21.6</v>
      </c>
      <c r="C18560" s="691">
        <v>21.1</v>
      </c>
      <c r="D18560" s="691">
        <v>20.8</v>
      </c>
      <c r="E18560" s="691">
        <v>21.3</v>
      </c>
      <c r="F18560" s="691">
        <v>21.2</v>
      </c>
      <c r="G18560" s="691">
        <v>21.3</v>
      </c>
      <c r="H18560" s="691">
        <v>21.6</v>
      </c>
      <c r="I18560" s="691">
        <v>20.5</v>
      </c>
      <c r="J18560" s="691">
        <v>21.3</v>
      </c>
      <c r="K18560" s="691">
        <v>21.2</v>
      </c>
    </row>
    <row r="18561" spans="1:11">
      <c r="A18561" s="688" t="s">
        <v>6</v>
      </c>
      <c r="B18561" s="689">
        <v>21.9</v>
      </c>
      <c r="C18561" s="689">
        <v>21.6</v>
      </c>
      <c r="D18561" s="689">
        <v>21.3</v>
      </c>
      <c r="E18561" s="689">
        <v>21.5</v>
      </c>
      <c r="F18561" s="689">
        <v>21.6</v>
      </c>
      <c r="G18561" s="689">
        <v>21.7</v>
      </c>
      <c r="H18561" s="689">
        <v>21.7</v>
      </c>
      <c r="I18561" s="689">
        <v>21.2</v>
      </c>
      <c r="J18561" s="689">
        <v>21.4</v>
      </c>
      <c r="K18561" s="689">
        <v>21.3</v>
      </c>
    </row>
    <row r="18562" spans="1:11">
      <c r="A18562" s="688" t="s">
        <v>4058</v>
      </c>
      <c r="B18562" s="692" t="s">
        <v>4060</v>
      </c>
      <c r="C18562" s="692" t="s">
        <v>4060</v>
      </c>
      <c r="D18562" s="692" t="s">
        <v>4060</v>
      </c>
      <c r="E18562" s="692" t="s">
        <v>4060</v>
      </c>
      <c r="F18562" s="692" t="s">
        <v>4060</v>
      </c>
      <c r="G18562" s="692" t="s">
        <v>4060</v>
      </c>
      <c r="H18562" s="692" t="s">
        <v>4060</v>
      </c>
      <c r="I18562" s="692" t="s">
        <v>4060</v>
      </c>
      <c r="J18562" s="692" t="s">
        <v>4060</v>
      </c>
      <c r="K18562" s="692" t="s">
        <v>4060</v>
      </c>
    </row>
    <row r="18563" spans="1:11">
      <c r="A18563" s="688" t="s">
        <v>11</v>
      </c>
      <c r="B18563" s="689">
        <v>17.399999999999999</v>
      </c>
      <c r="C18563" s="689">
        <v>17.2</v>
      </c>
      <c r="D18563" s="689">
        <v>16.899999999999999</v>
      </c>
      <c r="E18563" s="689">
        <v>17.3</v>
      </c>
      <c r="F18563" s="689">
        <v>17.100000000000001</v>
      </c>
      <c r="G18563" s="689">
        <v>17.399999999999999</v>
      </c>
      <c r="H18563" s="689">
        <v>17.600000000000001</v>
      </c>
      <c r="I18563" s="693">
        <v>17</v>
      </c>
      <c r="J18563" s="689">
        <v>16.399999999999999</v>
      </c>
      <c r="K18563" s="693">
        <v>17</v>
      </c>
    </row>
    <row r="18564" spans="1:11">
      <c r="A18564" s="688" t="s">
        <v>10</v>
      </c>
      <c r="B18564" s="691">
        <v>20.9</v>
      </c>
      <c r="C18564" s="691">
        <v>20.6</v>
      </c>
      <c r="D18564" s="691">
        <v>20.100000000000001</v>
      </c>
      <c r="E18564" s="691">
        <v>20.7</v>
      </c>
      <c r="F18564" s="691">
        <v>20.399999999999999</v>
      </c>
      <c r="G18564" s="691">
        <v>20.7</v>
      </c>
      <c r="H18564" s="691">
        <v>20.8</v>
      </c>
      <c r="I18564" s="691">
        <v>19.899999999999999</v>
      </c>
      <c r="J18564" s="691">
        <v>20.3</v>
      </c>
      <c r="K18564" s="691">
        <v>20.2</v>
      </c>
    </row>
    <row r="18565" spans="1:11">
      <c r="A18565" s="688" t="s">
        <v>30</v>
      </c>
      <c r="B18565" s="689">
        <v>19.8</v>
      </c>
      <c r="C18565" s="689">
        <v>19.3</v>
      </c>
      <c r="D18565" s="693">
        <v>19</v>
      </c>
      <c r="E18565" s="689">
        <v>19.8</v>
      </c>
      <c r="F18565" s="689">
        <v>19.5</v>
      </c>
      <c r="G18565" s="689">
        <v>19.899999999999999</v>
      </c>
      <c r="H18565" s="689">
        <v>19.8</v>
      </c>
      <c r="I18565" s="689">
        <v>19.8</v>
      </c>
      <c r="J18565" s="689">
        <v>19.399999999999999</v>
      </c>
      <c r="K18565" s="689">
        <v>19.399999999999999</v>
      </c>
    </row>
    <row r="18566" spans="1:11">
      <c r="A18566" s="688" t="s">
        <v>12</v>
      </c>
      <c r="B18566" s="691">
        <v>17.100000000000001</v>
      </c>
      <c r="C18566" s="691">
        <v>17.2</v>
      </c>
      <c r="D18566" s="691">
        <v>17.100000000000001</v>
      </c>
      <c r="E18566" s="691">
        <v>17.3</v>
      </c>
      <c r="F18566" s="691">
        <v>17.3</v>
      </c>
      <c r="G18566" s="691">
        <v>17.399999999999999</v>
      </c>
      <c r="H18566" s="691">
        <v>17.7</v>
      </c>
      <c r="I18566" s="691">
        <v>17.399999999999999</v>
      </c>
      <c r="J18566" s="691">
        <v>16.100000000000001</v>
      </c>
      <c r="K18566" s="691">
        <v>17.100000000000001</v>
      </c>
    </row>
    <row r="18567" spans="1:11">
      <c r="A18567" s="688" t="s">
        <v>14</v>
      </c>
      <c r="B18567" s="689">
        <v>17.600000000000001</v>
      </c>
      <c r="C18567" s="689">
        <v>17.5</v>
      </c>
      <c r="D18567" s="689">
        <v>17.3</v>
      </c>
      <c r="E18567" s="689">
        <v>17.5</v>
      </c>
      <c r="F18567" s="689">
        <v>17.600000000000001</v>
      </c>
      <c r="G18567" s="689">
        <v>17.8</v>
      </c>
      <c r="H18567" s="689">
        <v>18.100000000000001</v>
      </c>
      <c r="I18567" s="689">
        <v>17.3</v>
      </c>
      <c r="J18567" s="689">
        <v>16.600000000000001</v>
      </c>
      <c r="K18567" s="689">
        <v>17.399999999999999</v>
      </c>
    </row>
    <row r="18568" spans="1:11">
      <c r="A18568" s="688" t="s">
        <v>15</v>
      </c>
      <c r="B18568" s="691">
        <v>20.2</v>
      </c>
      <c r="C18568" s="691">
        <v>20.2</v>
      </c>
      <c r="D18568" s="691">
        <v>19.600000000000001</v>
      </c>
      <c r="E18568" s="691">
        <v>20.399999999999999</v>
      </c>
      <c r="F18568" s="691">
        <v>19.7</v>
      </c>
      <c r="G18568" s="691">
        <v>20.100000000000001</v>
      </c>
      <c r="H18568" s="691">
        <v>20.3</v>
      </c>
      <c r="I18568" s="691">
        <v>19.899999999999999</v>
      </c>
      <c r="J18568" s="691">
        <v>20.3</v>
      </c>
      <c r="K18568" s="691">
        <v>20.399999999999999</v>
      </c>
    </row>
    <row r="18569" spans="1:11">
      <c r="A18569" s="688" t="s">
        <v>29</v>
      </c>
      <c r="B18569" s="689">
        <v>16.899999999999999</v>
      </c>
      <c r="C18569" s="689">
        <v>16.8</v>
      </c>
      <c r="D18569" s="689">
        <v>16.5</v>
      </c>
      <c r="E18569" s="693">
        <v>17</v>
      </c>
      <c r="F18569" s="689">
        <v>16.7</v>
      </c>
      <c r="G18569" s="689">
        <v>16.8</v>
      </c>
      <c r="H18569" s="689">
        <v>16.8</v>
      </c>
      <c r="I18569" s="689">
        <v>16.3</v>
      </c>
      <c r="J18569" s="689">
        <v>15.7</v>
      </c>
      <c r="K18569" s="689">
        <v>16.5</v>
      </c>
    </row>
    <row r="18570" spans="1:11">
      <c r="A18570" s="688" t="s">
        <v>16</v>
      </c>
      <c r="B18570" s="691">
        <v>19.7</v>
      </c>
      <c r="C18570" s="691">
        <v>19.7</v>
      </c>
      <c r="D18570" s="691">
        <v>19.600000000000001</v>
      </c>
      <c r="E18570" s="691">
        <v>19.899999999999999</v>
      </c>
      <c r="F18570" s="615">
        <v>20</v>
      </c>
      <c r="G18570" s="615">
        <v>20</v>
      </c>
      <c r="H18570" s="691">
        <v>20.100000000000001</v>
      </c>
      <c r="I18570" s="691">
        <v>19.8</v>
      </c>
      <c r="J18570" s="691">
        <v>19.399999999999999</v>
      </c>
      <c r="K18570" s="691">
        <v>19.8</v>
      </c>
    </row>
    <row r="18571" spans="1:11">
      <c r="A18571" s="688" t="s">
        <v>17</v>
      </c>
      <c r="B18571" s="689">
        <v>19.5</v>
      </c>
      <c r="C18571" s="689">
        <v>19.5</v>
      </c>
      <c r="D18571" s="689">
        <v>19.3</v>
      </c>
      <c r="E18571" s="689">
        <v>19.399999999999999</v>
      </c>
      <c r="F18571" s="689">
        <v>19.399999999999999</v>
      </c>
      <c r="G18571" s="689">
        <v>19.399999999999999</v>
      </c>
      <c r="H18571" s="689">
        <v>19.600000000000001</v>
      </c>
      <c r="I18571" s="689">
        <v>19.100000000000001</v>
      </c>
      <c r="J18571" s="689">
        <v>19.100000000000001</v>
      </c>
      <c r="K18571" s="689">
        <v>19.100000000000001</v>
      </c>
    </row>
    <row r="18572" spans="1:11">
      <c r="A18572" s="688" t="s">
        <v>19</v>
      </c>
      <c r="B18572" s="691">
        <v>19.8</v>
      </c>
      <c r="C18572" s="691">
        <v>19.8</v>
      </c>
      <c r="D18572" s="691">
        <v>19.5</v>
      </c>
      <c r="E18572" s="691">
        <v>19.899999999999999</v>
      </c>
      <c r="F18572" s="691">
        <v>19.7</v>
      </c>
      <c r="G18572" s="691">
        <v>19.8</v>
      </c>
      <c r="H18572" s="615">
        <v>20</v>
      </c>
      <c r="I18572" s="691">
        <v>19.5</v>
      </c>
      <c r="J18572" s="691">
        <v>19.5</v>
      </c>
      <c r="K18572" s="691">
        <v>19.5</v>
      </c>
    </row>
    <row r="18573" spans="1:11">
      <c r="A18573" s="688" t="s">
        <v>20</v>
      </c>
      <c r="B18573" s="689">
        <v>18.3</v>
      </c>
      <c r="C18573" s="689">
        <v>18.399999999999999</v>
      </c>
      <c r="D18573" s="689">
        <v>18.2</v>
      </c>
      <c r="E18573" s="689">
        <v>18.600000000000001</v>
      </c>
      <c r="F18573" s="689">
        <v>18.399999999999999</v>
      </c>
      <c r="G18573" s="689">
        <v>18.3</v>
      </c>
      <c r="H18573" s="689">
        <v>18.5</v>
      </c>
      <c r="I18573" s="689">
        <v>17.5</v>
      </c>
      <c r="J18573" s="689">
        <v>16.8</v>
      </c>
      <c r="K18573" s="689">
        <v>17.899999999999999</v>
      </c>
    </row>
    <row r="18574" spans="1:11">
      <c r="A18574" s="688" t="s">
        <v>21</v>
      </c>
      <c r="B18574" s="691">
        <v>19.899999999999999</v>
      </c>
      <c r="C18574" s="691">
        <v>20.100000000000001</v>
      </c>
      <c r="D18574" s="615">
        <v>20</v>
      </c>
      <c r="E18574" s="691">
        <v>20.100000000000001</v>
      </c>
      <c r="F18574" s="691">
        <v>20.3</v>
      </c>
      <c r="G18574" s="691">
        <v>20.3</v>
      </c>
      <c r="H18574" s="691">
        <v>20.5</v>
      </c>
      <c r="I18574" s="615">
        <v>20</v>
      </c>
      <c r="J18574" s="691">
        <v>20.100000000000001</v>
      </c>
      <c r="K18574" s="691">
        <v>20.2</v>
      </c>
    </row>
    <row r="18575" spans="1:11">
      <c r="A18575" s="688" t="s">
        <v>22</v>
      </c>
      <c r="B18575" s="689">
        <v>16.600000000000001</v>
      </c>
      <c r="C18575" s="689">
        <v>16.399999999999999</v>
      </c>
      <c r="D18575" s="689">
        <v>16.3</v>
      </c>
      <c r="E18575" s="689">
        <v>16.600000000000001</v>
      </c>
      <c r="F18575" s="689">
        <v>16.600000000000001</v>
      </c>
      <c r="G18575" s="689">
        <v>16.7</v>
      </c>
      <c r="H18575" s="693">
        <v>17</v>
      </c>
      <c r="I18575" s="689">
        <v>16.100000000000001</v>
      </c>
      <c r="J18575" s="693">
        <v>15</v>
      </c>
      <c r="K18575" s="689">
        <v>16.5</v>
      </c>
    </row>
    <row r="18576" spans="1:11">
      <c r="A18576" s="688" t="s">
        <v>26</v>
      </c>
      <c r="B18576" s="691">
        <v>19.7</v>
      </c>
      <c r="C18576" s="691">
        <v>19.399999999999999</v>
      </c>
      <c r="D18576" s="691">
        <v>19.399999999999999</v>
      </c>
      <c r="E18576" s="691">
        <v>19.7</v>
      </c>
      <c r="F18576" s="691">
        <v>19.600000000000001</v>
      </c>
      <c r="G18576" s="691">
        <v>19.8</v>
      </c>
      <c r="H18576" s="691">
        <v>19.899999999999999</v>
      </c>
      <c r="I18576" s="691">
        <v>18.899999999999999</v>
      </c>
      <c r="J18576" s="691">
        <v>19.399999999999999</v>
      </c>
      <c r="K18576" s="691">
        <v>19.600000000000001</v>
      </c>
    </row>
    <row r="18577" spans="1:11">
      <c r="A18577" s="688" t="s">
        <v>25</v>
      </c>
      <c r="B18577" s="689">
        <v>17.2</v>
      </c>
      <c r="C18577" s="689">
        <v>17.3</v>
      </c>
      <c r="D18577" s="689">
        <v>17.100000000000001</v>
      </c>
      <c r="E18577" s="689">
        <v>17.5</v>
      </c>
      <c r="F18577" s="689">
        <v>17.399999999999999</v>
      </c>
      <c r="G18577" s="689">
        <v>17.5</v>
      </c>
      <c r="H18577" s="689">
        <v>17.899999999999999</v>
      </c>
      <c r="I18577" s="689">
        <v>17.2</v>
      </c>
      <c r="J18577" s="689">
        <v>15.6</v>
      </c>
      <c r="K18577" s="689">
        <v>17.2</v>
      </c>
    </row>
    <row r="18578" spans="1:11">
      <c r="A18578" s="688" t="s">
        <v>5</v>
      </c>
      <c r="B18578" s="691">
        <v>20.100000000000001</v>
      </c>
      <c r="C18578" s="691">
        <v>19.8</v>
      </c>
      <c r="D18578" s="691">
        <v>19.899999999999999</v>
      </c>
      <c r="E18578" s="691">
        <v>19.899999999999999</v>
      </c>
      <c r="F18578" s="691">
        <v>20.100000000000001</v>
      </c>
      <c r="G18578" s="691">
        <v>20.2</v>
      </c>
      <c r="H18578" s="691">
        <v>20.399999999999999</v>
      </c>
      <c r="I18578" s="691">
        <v>20.3</v>
      </c>
      <c r="J18578" s="691">
        <v>20.2</v>
      </c>
      <c r="K18578" s="691">
        <v>19.600000000000001</v>
      </c>
    </row>
    <row r="18579" spans="1:11">
      <c r="A18579" s="688" t="s">
        <v>23</v>
      </c>
      <c r="B18579" s="689">
        <v>19.600000000000001</v>
      </c>
      <c r="C18579" s="689">
        <v>19.8</v>
      </c>
      <c r="D18579" s="689">
        <v>19.7</v>
      </c>
      <c r="E18579" s="689">
        <v>19.8</v>
      </c>
      <c r="F18579" s="689">
        <v>19.8</v>
      </c>
      <c r="G18579" s="689">
        <v>19.899999999999999</v>
      </c>
      <c r="H18579" s="689">
        <v>20.3</v>
      </c>
      <c r="I18579" s="689">
        <v>19.7</v>
      </c>
      <c r="J18579" s="689">
        <v>20.3</v>
      </c>
      <c r="K18579" s="689">
        <v>20.2</v>
      </c>
    </row>
    <row r="18580" spans="1:11">
      <c r="A18580" s="688" t="s">
        <v>4067</v>
      </c>
      <c r="B18580" s="691">
        <v>19.7</v>
      </c>
      <c r="C18580" s="615">
        <v>20</v>
      </c>
      <c r="D18580" s="691">
        <v>19.600000000000001</v>
      </c>
      <c r="E18580" s="691">
        <v>19.899999999999999</v>
      </c>
      <c r="F18580" s="691">
        <v>19.8</v>
      </c>
      <c r="G18580" s="691">
        <v>19.899999999999999</v>
      </c>
      <c r="H18580" s="692" t="s">
        <v>4060</v>
      </c>
      <c r="I18580" s="692" t="s">
        <v>4060</v>
      </c>
      <c r="J18580" s="692" t="s">
        <v>4060</v>
      </c>
      <c r="K18580" s="692" t="s">
        <v>4060</v>
      </c>
    </row>
    <row r="18581" spans="1:11">
      <c r="A18581" s="688" t="s">
        <v>4066</v>
      </c>
      <c r="B18581" s="689">
        <v>19.7</v>
      </c>
      <c r="C18581" s="693">
        <v>20</v>
      </c>
      <c r="D18581" s="689">
        <v>19.600000000000001</v>
      </c>
      <c r="E18581" s="693">
        <v>20</v>
      </c>
      <c r="F18581" s="689">
        <v>19.8</v>
      </c>
      <c r="G18581" s="689">
        <v>19.899999999999999</v>
      </c>
      <c r="H18581" s="690" t="s">
        <v>4060</v>
      </c>
      <c r="I18581" s="690" t="s">
        <v>4060</v>
      </c>
      <c r="J18581" s="690" t="s">
        <v>4060</v>
      </c>
      <c r="K18581" s="690" t="s">
        <v>4060</v>
      </c>
    </row>
    <row r="18582" spans="1:11">
      <c r="A18582" s="688" t="s">
        <v>4062</v>
      </c>
      <c r="B18582" s="691">
        <v>20.3</v>
      </c>
      <c r="C18582" s="691">
        <v>20.399999999999999</v>
      </c>
      <c r="D18582" s="691">
        <v>20.2</v>
      </c>
      <c r="E18582" s="691">
        <v>20.5</v>
      </c>
      <c r="F18582" s="691">
        <v>20.399999999999999</v>
      </c>
      <c r="G18582" s="691">
        <v>20.6</v>
      </c>
      <c r="H18582" s="691">
        <v>20.7</v>
      </c>
      <c r="I18582" s="691">
        <v>20.399999999999999</v>
      </c>
      <c r="J18582" s="691">
        <v>20.7</v>
      </c>
      <c r="K18582" s="691">
        <v>20.399999999999999</v>
      </c>
    </row>
    <row r="18583" spans="1:11">
      <c r="A18583" s="688" t="s">
        <v>9</v>
      </c>
      <c r="B18583" s="689">
        <v>19.5</v>
      </c>
      <c r="C18583" s="693">
        <v>20</v>
      </c>
      <c r="D18583" s="689">
        <v>19.399999999999999</v>
      </c>
      <c r="E18583" s="689">
        <v>19.3</v>
      </c>
      <c r="F18583" s="689">
        <v>19.5</v>
      </c>
      <c r="G18583" s="689">
        <v>19.600000000000001</v>
      </c>
      <c r="H18583" s="693">
        <v>20</v>
      </c>
      <c r="I18583" s="693">
        <v>20</v>
      </c>
      <c r="J18583" s="689">
        <v>20.100000000000001</v>
      </c>
      <c r="K18583" s="689">
        <v>19.2</v>
      </c>
    </row>
    <row r="18584" spans="1:11">
      <c r="A18584" s="688" t="s">
        <v>13</v>
      </c>
      <c r="B18584" s="691">
        <v>20.6</v>
      </c>
      <c r="C18584" s="691">
        <v>18.7</v>
      </c>
      <c r="D18584" s="615">
        <v>20</v>
      </c>
      <c r="E18584" s="691">
        <v>20.3</v>
      </c>
      <c r="F18584" s="691">
        <v>20.9</v>
      </c>
      <c r="G18584" s="691">
        <v>20.399999999999999</v>
      </c>
      <c r="H18584" s="691">
        <v>20.399999999999999</v>
      </c>
      <c r="I18584" s="691">
        <v>19.600000000000001</v>
      </c>
      <c r="J18584" s="691">
        <v>21.1</v>
      </c>
      <c r="K18584" s="691">
        <v>20.399999999999999</v>
      </c>
    </row>
    <row r="18585" spans="1:11">
      <c r="A18585" s="688" t="s">
        <v>18</v>
      </c>
      <c r="B18585" s="689">
        <v>19.7</v>
      </c>
      <c r="C18585" s="689">
        <v>19.899999999999999</v>
      </c>
      <c r="D18585" s="689">
        <v>19.8</v>
      </c>
      <c r="E18585" s="689">
        <v>19.899999999999999</v>
      </c>
      <c r="F18585" s="689">
        <v>19.899999999999999</v>
      </c>
      <c r="G18585" s="693">
        <v>20</v>
      </c>
      <c r="H18585" s="689">
        <v>20.2</v>
      </c>
      <c r="I18585" s="689">
        <v>20.3</v>
      </c>
      <c r="J18585" s="689">
        <v>20.2</v>
      </c>
      <c r="K18585" s="689">
        <v>19.8</v>
      </c>
    </row>
    <row r="18586" spans="1:11">
      <c r="A18586" s="688" t="s">
        <v>24</v>
      </c>
      <c r="B18586" s="691">
        <v>20.7</v>
      </c>
      <c r="C18586" s="691">
        <v>20.7</v>
      </c>
      <c r="D18586" s="691">
        <v>20.5</v>
      </c>
      <c r="E18586" s="691">
        <v>20.8</v>
      </c>
      <c r="F18586" s="691">
        <v>20.8</v>
      </c>
      <c r="G18586" s="691">
        <v>20.9</v>
      </c>
      <c r="H18586" s="615">
        <v>21</v>
      </c>
      <c r="I18586" s="691">
        <v>20.399999999999999</v>
      </c>
      <c r="J18586" s="615">
        <v>21</v>
      </c>
      <c r="K18586" s="691">
        <v>20.8</v>
      </c>
    </row>
    <row r="18587" spans="1:11">
      <c r="A18587" s="688" t="s">
        <v>4059</v>
      </c>
      <c r="B18587" s="689">
        <v>19.3</v>
      </c>
      <c r="C18587" s="689">
        <v>19.600000000000001</v>
      </c>
      <c r="D18587" s="689">
        <v>19.2</v>
      </c>
      <c r="E18587" s="689">
        <v>19.5</v>
      </c>
      <c r="F18587" s="689">
        <v>19.399999999999999</v>
      </c>
      <c r="G18587" s="689">
        <v>19.5</v>
      </c>
      <c r="H18587" s="690" t="s">
        <v>4060</v>
      </c>
      <c r="I18587" s="690" t="s">
        <v>4060</v>
      </c>
      <c r="J18587" s="690" t="s">
        <v>4060</v>
      </c>
      <c r="K18587" s="690" t="s">
        <v>4060</v>
      </c>
    </row>
    <row r="18588" spans="1:11">
      <c r="A18588" s="688" t="s">
        <v>2324</v>
      </c>
      <c r="B18588" s="691">
        <v>15.9</v>
      </c>
      <c r="C18588" s="691">
        <v>15.9</v>
      </c>
      <c r="D18588" s="691">
        <v>15.6</v>
      </c>
      <c r="E18588" s="691">
        <v>15.8</v>
      </c>
      <c r="F18588" s="615">
        <v>16</v>
      </c>
      <c r="G18588" s="615">
        <v>16</v>
      </c>
      <c r="H18588" s="691">
        <v>16.2</v>
      </c>
      <c r="I18588" s="691">
        <v>15.7</v>
      </c>
      <c r="J18588" s="691">
        <v>13.9</v>
      </c>
      <c r="K18588" s="692" t="s">
        <v>4060</v>
      </c>
    </row>
    <row r="18589" spans="1:11">
      <c r="A18589" s="688" t="s">
        <v>2322</v>
      </c>
      <c r="B18589" s="690" t="s">
        <v>4060</v>
      </c>
      <c r="C18589" s="690" t="s">
        <v>4060</v>
      </c>
      <c r="D18589" s="690" t="s">
        <v>4060</v>
      </c>
      <c r="E18589" s="690" t="s">
        <v>4060</v>
      </c>
      <c r="F18589" s="690" t="s">
        <v>4060</v>
      </c>
      <c r="G18589" s="690" t="s">
        <v>4060</v>
      </c>
      <c r="H18589" s="690" t="s">
        <v>4060</v>
      </c>
      <c r="I18589" s="690" t="s">
        <v>4060</v>
      </c>
      <c r="J18589" s="690" t="s">
        <v>4060</v>
      </c>
      <c r="K18589" s="690" t="s">
        <v>4060</v>
      </c>
    </row>
    <row r="18590" spans="1:11">
      <c r="A18590" s="688" t="s">
        <v>2328</v>
      </c>
      <c r="B18590" s="691">
        <v>14.8</v>
      </c>
      <c r="C18590" s="691">
        <v>14.7</v>
      </c>
      <c r="D18590" s="691">
        <v>14.6</v>
      </c>
      <c r="E18590" s="615">
        <v>15</v>
      </c>
      <c r="F18590" s="615">
        <v>15</v>
      </c>
      <c r="G18590" s="691">
        <v>15.5</v>
      </c>
      <c r="H18590" s="691">
        <v>15.3</v>
      </c>
      <c r="I18590" s="691">
        <v>14.2</v>
      </c>
      <c r="J18590" s="691">
        <v>13.5</v>
      </c>
      <c r="K18590" s="692" t="s">
        <v>4060</v>
      </c>
    </row>
    <row r="18591" spans="1:11">
      <c r="A18591" s="688" t="s">
        <v>2496</v>
      </c>
      <c r="B18591" s="690" t="s">
        <v>4060</v>
      </c>
      <c r="C18591" s="689">
        <v>16.100000000000001</v>
      </c>
      <c r="D18591" s="689">
        <v>15.3</v>
      </c>
      <c r="E18591" s="693">
        <v>15</v>
      </c>
      <c r="F18591" s="689">
        <v>15.4</v>
      </c>
      <c r="G18591" s="689">
        <v>15.7</v>
      </c>
      <c r="H18591" s="689">
        <v>15.7</v>
      </c>
      <c r="I18591" s="690" t="s">
        <v>4060</v>
      </c>
      <c r="J18591" s="690" t="s">
        <v>4060</v>
      </c>
      <c r="K18591" s="689">
        <v>15.4</v>
      </c>
    </row>
    <row r="18592" spans="1:11">
      <c r="A18592" s="688" t="s">
        <v>2269</v>
      </c>
      <c r="B18592" s="691">
        <v>16.7</v>
      </c>
      <c r="C18592" s="691">
        <v>16.8</v>
      </c>
      <c r="D18592" s="691">
        <v>16.100000000000001</v>
      </c>
      <c r="E18592" s="691">
        <v>16.600000000000001</v>
      </c>
      <c r="F18592" s="691">
        <v>16.3</v>
      </c>
      <c r="G18592" s="691">
        <v>16.8</v>
      </c>
      <c r="H18592" s="615">
        <v>17</v>
      </c>
      <c r="I18592" s="615">
        <v>16</v>
      </c>
      <c r="J18592" s="691">
        <v>14.1</v>
      </c>
      <c r="K18592" s="691">
        <v>16.600000000000001</v>
      </c>
    </row>
    <row r="18593" spans="1:11">
      <c r="A18593" s="688" t="s">
        <v>2349</v>
      </c>
      <c r="B18593" s="689">
        <v>15.3</v>
      </c>
      <c r="C18593" s="689">
        <v>15.4</v>
      </c>
      <c r="D18593" s="689">
        <v>15.3</v>
      </c>
      <c r="E18593" s="689">
        <v>15.6</v>
      </c>
      <c r="F18593" s="689">
        <v>15.4</v>
      </c>
      <c r="G18593" s="689">
        <v>15.7</v>
      </c>
      <c r="H18593" s="689">
        <v>15.8</v>
      </c>
      <c r="I18593" s="693">
        <v>15</v>
      </c>
      <c r="J18593" s="689">
        <v>13.7</v>
      </c>
      <c r="K18593" s="689">
        <v>15.1</v>
      </c>
    </row>
    <row r="18594" spans="1:11">
      <c r="A18594" s="688" t="s">
        <v>2355</v>
      </c>
      <c r="B18594" s="691">
        <v>18.2</v>
      </c>
      <c r="C18594" s="691">
        <v>17.899999999999999</v>
      </c>
      <c r="D18594" s="691">
        <v>17.899999999999999</v>
      </c>
      <c r="E18594" s="691">
        <v>17.8</v>
      </c>
      <c r="F18594" s="691">
        <v>17.899999999999999</v>
      </c>
      <c r="G18594" s="691">
        <v>18.3</v>
      </c>
      <c r="H18594" s="691">
        <v>18.3</v>
      </c>
      <c r="I18594" s="692" t="s">
        <v>4060</v>
      </c>
      <c r="J18594" s="692" t="s">
        <v>4060</v>
      </c>
      <c r="K18594" s="692" t="s">
        <v>4060</v>
      </c>
    </row>
    <row r="18595" spans="1:11">
      <c r="A18595" s="688" t="s">
        <v>2357</v>
      </c>
      <c r="B18595" s="690" t="s">
        <v>4060</v>
      </c>
      <c r="C18595" s="689">
        <v>15.5</v>
      </c>
      <c r="D18595" s="689">
        <v>15.9</v>
      </c>
      <c r="E18595" s="689">
        <v>16.100000000000001</v>
      </c>
      <c r="F18595" s="689">
        <v>16.3</v>
      </c>
      <c r="G18595" s="689">
        <v>16.2</v>
      </c>
      <c r="H18595" s="689">
        <v>16.399999999999999</v>
      </c>
      <c r="I18595" s="690" t="s">
        <v>4060</v>
      </c>
      <c r="J18595" s="690" t="s">
        <v>4060</v>
      </c>
      <c r="K18595" s="690" t="s">
        <v>4060</v>
      </c>
    </row>
    <row r="18596" spans="1:11">
      <c r="A18596" s="688" t="s">
        <v>4070</v>
      </c>
      <c r="B18596" s="692" t="s">
        <v>4060</v>
      </c>
      <c r="C18596" s="692" t="s">
        <v>4060</v>
      </c>
      <c r="D18596" s="692" t="s">
        <v>4060</v>
      </c>
      <c r="E18596" s="691">
        <v>18.3</v>
      </c>
      <c r="F18596" s="692" t="s">
        <v>4060</v>
      </c>
      <c r="G18596" s="692" t="s">
        <v>4060</v>
      </c>
      <c r="H18596" s="692" t="s">
        <v>4060</v>
      </c>
      <c r="I18596" s="692" t="s">
        <v>4060</v>
      </c>
      <c r="J18596" s="692" t="s">
        <v>4060</v>
      </c>
      <c r="K18596" s="692" t="s">
        <v>4060</v>
      </c>
    </row>
    <row r="18597" spans="1:11">
      <c r="A18597" s="688" t="s">
        <v>2491</v>
      </c>
      <c r="B18597" s="689">
        <v>16.100000000000001</v>
      </c>
      <c r="C18597" s="689">
        <v>16.399999999999999</v>
      </c>
      <c r="D18597" s="689">
        <v>16.5</v>
      </c>
      <c r="E18597" s="689">
        <v>16.600000000000001</v>
      </c>
      <c r="F18597" s="689">
        <v>16.7</v>
      </c>
      <c r="G18597" s="689">
        <v>16.7</v>
      </c>
      <c r="H18597" s="690" t="s">
        <v>4060</v>
      </c>
      <c r="I18597" s="690" t="s">
        <v>4060</v>
      </c>
      <c r="J18597" s="690" t="s">
        <v>4060</v>
      </c>
      <c r="K18597" s="690" t="s">
        <v>4060</v>
      </c>
    </row>
    <row r="18598" spans="1:11">
      <c r="A18598" s="688" t="s">
        <v>2343</v>
      </c>
      <c r="B18598" s="692" t="s">
        <v>4060</v>
      </c>
      <c r="C18598" s="692" t="s">
        <v>4060</v>
      </c>
      <c r="D18598" s="692" t="s">
        <v>4060</v>
      </c>
      <c r="E18598" s="692" t="s">
        <v>4060</v>
      </c>
      <c r="F18598" s="692" t="s">
        <v>4060</v>
      </c>
      <c r="G18598" s="692" t="s">
        <v>4060</v>
      </c>
      <c r="H18598" s="692" t="s">
        <v>4060</v>
      </c>
      <c r="I18598" s="692" t="s">
        <v>4060</v>
      </c>
      <c r="J18598" s="692" t="s">
        <v>4060</v>
      </c>
      <c r="K18598" s="692" t="s">
        <v>4060</v>
      </c>
    </row>
    <row r="18599" spans="1:11">
      <c r="A18599" s="688" t="s">
        <v>4071</v>
      </c>
      <c r="B18599" s="690" t="s">
        <v>4060</v>
      </c>
      <c r="C18599" s="690" t="s">
        <v>4060</v>
      </c>
      <c r="D18599" s="690" t="s">
        <v>4060</v>
      </c>
      <c r="E18599" s="690" t="s">
        <v>4060</v>
      </c>
      <c r="F18599" s="690" t="s">
        <v>4060</v>
      </c>
      <c r="G18599" s="690" t="s">
        <v>4060</v>
      </c>
      <c r="H18599" s="690" t="s">
        <v>4060</v>
      </c>
      <c r="I18599" s="690" t="s">
        <v>4060</v>
      </c>
      <c r="J18599" s="690" t="s">
        <v>4060</v>
      </c>
      <c r="K18599" s="690" t="s">
        <v>4060</v>
      </c>
    </row>
    <row r="18600" spans="1:11">
      <c r="A18600" s="688" t="s">
        <v>2489</v>
      </c>
      <c r="B18600" s="692" t="s">
        <v>4060</v>
      </c>
      <c r="C18600" s="692" t="s">
        <v>4060</v>
      </c>
      <c r="D18600" s="691">
        <v>15.7</v>
      </c>
      <c r="E18600" s="691">
        <v>15.6</v>
      </c>
      <c r="F18600" s="691">
        <v>15.9</v>
      </c>
      <c r="G18600" s="691">
        <v>16.5</v>
      </c>
      <c r="H18600" s="691">
        <v>16.5</v>
      </c>
      <c r="I18600" s="692" t="s">
        <v>4060</v>
      </c>
      <c r="J18600" s="692" t="s">
        <v>4060</v>
      </c>
      <c r="K18600" s="692" t="s">
        <v>4060</v>
      </c>
    </row>
    <row r="18601" spans="1:11">
      <c r="A18601" s="688" t="s">
        <v>2490</v>
      </c>
      <c r="B18601" s="693">
        <v>15</v>
      </c>
      <c r="C18601" s="693">
        <v>15</v>
      </c>
      <c r="D18601" s="689">
        <v>15.5</v>
      </c>
      <c r="E18601" s="690" t="s">
        <v>4060</v>
      </c>
      <c r="F18601" s="689">
        <v>15.7</v>
      </c>
      <c r="G18601" s="689">
        <v>15.9</v>
      </c>
      <c r="H18601" s="689">
        <v>16.600000000000001</v>
      </c>
      <c r="I18601" s="690" t="s">
        <v>4060</v>
      </c>
      <c r="J18601" s="690" t="s">
        <v>4060</v>
      </c>
      <c r="K18601" s="690" t="s">
        <v>4060</v>
      </c>
    </row>
    <row r="18603" spans="1:11">
      <c r="A18603" s="683" t="s">
        <v>4233</v>
      </c>
    </row>
    <row r="18604" spans="1:11">
      <c r="A18604" s="683" t="s">
        <v>4060</v>
      </c>
      <c r="B18604" s="682" t="s">
        <v>4234</v>
      </c>
    </row>
    <row r="18606" spans="1:11">
      <c r="A18606" s="682" t="s">
        <v>4332</v>
      </c>
    </row>
    <row r="18607" spans="1:11">
      <c r="A18607" s="682" t="s">
        <v>4210</v>
      </c>
      <c r="B18607" s="683" t="s">
        <v>4211</v>
      </c>
    </row>
    <row r="18608" spans="1:11">
      <c r="A18608" s="682" t="s">
        <v>4212</v>
      </c>
      <c r="B18608" s="682" t="s">
        <v>4213</v>
      </c>
    </row>
    <row r="18610" spans="1:11">
      <c r="A18610" s="683" t="s">
        <v>4214</v>
      </c>
      <c r="C18610" s="682" t="s">
        <v>4215</v>
      </c>
    </row>
    <row r="18611" spans="1:11">
      <c r="A18611" s="683" t="s">
        <v>4216</v>
      </c>
      <c r="C18611" s="682" t="s">
        <v>2967</v>
      </c>
    </row>
    <row r="18612" spans="1:11">
      <c r="A18612" s="683" t="s">
        <v>3893</v>
      </c>
      <c r="C18612" s="682" t="s">
        <v>2169</v>
      </c>
    </row>
    <row r="18613" spans="1:11">
      <c r="A18613" s="683" t="s">
        <v>4218</v>
      </c>
      <c r="C18613" s="682" t="s">
        <v>4302</v>
      </c>
    </row>
    <row r="18615" spans="1:11">
      <c r="A18615" s="684" t="s">
        <v>4220</v>
      </c>
      <c r="B18615" s="685" t="s">
        <v>4221</v>
      </c>
      <c r="C18615" s="685" t="s">
        <v>4222</v>
      </c>
      <c r="D18615" s="685" t="s">
        <v>4223</v>
      </c>
      <c r="E18615" s="685" t="s">
        <v>4224</v>
      </c>
      <c r="F18615" s="685" t="s">
        <v>4225</v>
      </c>
      <c r="G18615" s="685" t="s">
        <v>4226</v>
      </c>
      <c r="H18615" s="685" t="s">
        <v>4227</v>
      </c>
      <c r="I18615" s="685" t="s">
        <v>4228</v>
      </c>
      <c r="J18615" s="685" t="s">
        <v>4229</v>
      </c>
      <c r="K18615" s="685" t="s">
        <v>4230</v>
      </c>
    </row>
    <row r="18616" spans="1:11">
      <c r="A18616" s="686" t="s">
        <v>4231</v>
      </c>
      <c r="B18616" s="687" t="s">
        <v>4232</v>
      </c>
      <c r="C18616" s="687" t="s">
        <v>4232</v>
      </c>
      <c r="D18616" s="687" t="s">
        <v>4232</v>
      </c>
      <c r="E18616" s="687" t="s">
        <v>4232</v>
      </c>
      <c r="F18616" s="687" t="s">
        <v>4232</v>
      </c>
      <c r="G18616" s="687" t="s">
        <v>4232</v>
      </c>
      <c r="H18616" s="687" t="s">
        <v>4232</v>
      </c>
      <c r="I18616" s="687" t="s">
        <v>4232</v>
      </c>
      <c r="J18616" s="687" t="s">
        <v>4232</v>
      </c>
      <c r="K18616" s="687" t="s">
        <v>4232</v>
      </c>
    </row>
    <row r="18617" spans="1:11">
      <c r="A18617" s="688" t="s">
        <v>4064</v>
      </c>
      <c r="B18617" s="689">
        <v>18.899999999999999</v>
      </c>
      <c r="C18617" s="689">
        <v>18.8</v>
      </c>
      <c r="D18617" s="689">
        <v>18.8</v>
      </c>
      <c r="E18617" s="689">
        <v>18.899999999999999</v>
      </c>
      <c r="F18617" s="689">
        <v>18.8</v>
      </c>
      <c r="G18617" s="689">
        <v>18.899999999999999</v>
      </c>
      <c r="H18617" s="689">
        <v>19.100000000000001</v>
      </c>
      <c r="I18617" s="689">
        <v>18.399999999999999</v>
      </c>
      <c r="J18617" s="689">
        <v>18.3</v>
      </c>
      <c r="K18617" s="689">
        <v>18.600000000000001</v>
      </c>
    </row>
    <row r="18618" spans="1:11">
      <c r="A18618" s="688" t="s">
        <v>4065</v>
      </c>
      <c r="B18618" s="691">
        <v>18.8</v>
      </c>
      <c r="C18618" s="691">
        <v>19.100000000000001</v>
      </c>
      <c r="D18618" s="691">
        <v>18.7</v>
      </c>
      <c r="E18618" s="691">
        <v>19.100000000000001</v>
      </c>
      <c r="F18618" s="615">
        <v>19</v>
      </c>
      <c r="G18618" s="691">
        <v>19.100000000000001</v>
      </c>
      <c r="H18618" s="692" t="s">
        <v>4060</v>
      </c>
      <c r="I18618" s="692" t="s">
        <v>4060</v>
      </c>
      <c r="J18618" s="692" t="s">
        <v>4060</v>
      </c>
      <c r="K18618" s="692" t="s">
        <v>4060</v>
      </c>
    </row>
    <row r="18619" spans="1:11">
      <c r="A18619" s="688" t="s">
        <v>4063</v>
      </c>
      <c r="B18619" s="689">
        <v>18.899999999999999</v>
      </c>
      <c r="C18619" s="689">
        <v>19.2</v>
      </c>
      <c r="D18619" s="689">
        <v>18.8</v>
      </c>
      <c r="E18619" s="689">
        <v>19.100000000000001</v>
      </c>
      <c r="F18619" s="693">
        <v>19</v>
      </c>
      <c r="G18619" s="689">
        <v>19.100000000000001</v>
      </c>
      <c r="H18619" s="690" t="s">
        <v>4060</v>
      </c>
      <c r="I18619" s="690" t="s">
        <v>4060</v>
      </c>
      <c r="J18619" s="690" t="s">
        <v>4060</v>
      </c>
      <c r="K18619" s="690" t="s">
        <v>4060</v>
      </c>
    </row>
    <row r="18620" spans="1:11">
      <c r="A18620" s="688" t="s">
        <v>4069</v>
      </c>
      <c r="B18620" s="692" t="s">
        <v>4060</v>
      </c>
      <c r="C18620" s="691">
        <v>19.399999999999999</v>
      </c>
      <c r="D18620" s="691">
        <v>19.100000000000001</v>
      </c>
      <c r="E18620" s="691">
        <v>19.399999999999999</v>
      </c>
      <c r="F18620" s="691">
        <v>19.3</v>
      </c>
      <c r="G18620" s="691">
        <v>19.399999999999999</v>
      </c>
      <c r="H18620" s="691">
        <v>19.600000000000001</v>
      </c>
      <c r="I18620" s="691">
        <v>19.100000000000001</v>
      </c>
      <c r="J18620" s="691">
        <v>19.2</v>
      </c>
      <c r="K18620" s="691">
        <v>19.100000000000001</v>
      </c>
    </row>
    <row r="18621" spans="1:11">
      <c r="A18621" s="688" t="s">
        <v>4068</v>
      </c>
      <c r="B18621" s="689">
        <v>19.5</v>
      </c>
      <c r="C18621" s="690" t="s">
        <v>4060</v>
      </c>
      <c r="D18621" s="690" t="s">
        <v>4060</v>
      </c>
      <c r="E18621" s="690" t="s">
        <v>4060</v>
      </c>
      <c r="F18621" s="690" t="s">
        <v>4060</v>
      </c>
      <c r="G18621" s="690" t="s">
        <v>4060</v>
      </c>
      <c r="H18621" s="690" t="s">
        <v>4060</v>
      </c>
      <c r="I18621" s="690" t="s">
        <v>4060</v>
      </c>
      <c r="J18621" s="690" t="s">
        <v>4060</v>
      </c>
      <c r="K18621" s="690" t="s">
        <v>4060</v>
      </c>
    </row>
    <row r="18622" spans="1:11">
      <c r="A18622" s="688" t="s">
        <v>0</v>
      </c>
      <c r="B18622" s="615">
        <v>19</v>
      </c>
      <c r="C18622" s="615">
        <v>19</v>
      </c>
      <c r="D18622" s="691">
        <v>18.7</v>
      </c>
      <c r="E18622" s="691">
        <v>19.100000000000001</v>
      </c>
      <c r="F18622" s="691">
        <v>19.100000000000001</v>
      </c>
      <c r="G18622" s="691">
        <v>19.2</v>
      </c>
      <c r="H18622" s="691">
        <v>19.3</v>
      </c>
      <c r="I18622" s="691">
        <v>18.3</v>
      </c>
      <c r="J18622" s="691">
        <v>19.3</v>
      </c>
      <c r="K18622" s="615">
        <v>19</v>
      </c>
    </row>
    <row r="18623" spans="1:11">
      <c r="A18623" s="688" t="s">
        <v>1</v>
      </c>
      <c r="B18623" s="689">
        <v>15.5</v>
      </c>
      <c r="C18623" s="689">
        <v>15.1</v>
      </c>
      <c r="D18623" s="689">
        <v>15.1</v>
      </c>
      <c r="E18623" s="689">
        <v>15.4</v>
      </c>
      <c r="F18623" s="689">
        <v>15.3</v>
      </c>
      <c r="G18623" s="689">
        <v>15.5</v>
      </c>
      <c r="H18623" s="689">
        <v>15.6</v>
      </c>
      <c r="I18623" s="689">
        <v>14.8</v>
      </c>
      <c r="J18623" s="689">
        <v>13.5</v>
      </c>
      <c r="K18623" s="689">
        <v>15.2</v>
      </c>
    </row>
    <row r="18624" spans="1:11">
      <c r="A18624" s="688" t="s">
        <v>2240</v>
      </c>
      <c r="B18624" s="691">
        <v>16.899999999999999</v>
      </c>
      <c r="C18624" s="691">
        <v>17.100000000000001</v>
      </c>
      <c r="D18624" s="691">
        <v>16.899999999999999</v>
      </c>
      <c r="E18624" s="691">
        <v>17.3</v>
      </c>
      <c r="F18624" s="691">
        <v>17.2</v>
      </c>
      <c r="G18624" s="691">
        <v>17.3</v>
      </c>
      <c r="H18624" s="691">
        <v>17.5</v>
      </c>
      <c r="I18624" s="691">
        <v>16.7</v>
      </c>
      <c r="J18624" s="691">
        <v>16.3</v>
      </c>
      <c r="K18624" s="691">
        <v>17.3</v>
      </c>
    </row>
    <row r="18625" spans="1:11">
      <c r="A18625" s="688" t="s">
        <v>2</v>
      </c>
      <c r="B18625" s="689">
        <v>17.899999999999999</v>
      </c>
      <c r="C18625" s="689">
        <v>18.2</v>
      </c>
      <c r="D18625" s="689">
        <v>18.2</v>
      </c>
      <c r="E18625" s="689">
        <v>18.3</v>
      </c>
      <c r="F18625" s="689">
        <v>18.399999999999999</v>
      </c>
      <c r="G18625" s="689">
        <v>18.3</v>
      </c>
      <c r="H18625" s="689">
        <v>18.600000000000001</v>
      </c>
      <c r="I18625" s="689">
        <v>18.600000000000001</v>
      </c>
      <c r="J18625" s="689">
        <v>18.5</v>
      </c>
      <c r="K18625" s="689">
        <v>18.3</v>
      </c>
    </row>
    <row r="18626" spans="1:11">
      <c r="A18626" s="688" t="s">
        <v>3</v>
      </c>
      <c r="B18626" s="691">
        <v>18.5</v>
      </c>
      <c r="C18626" s="691">
        <v>18.7</v>
      </c>
      <c r="D18626" s="691">
        <v>18.399999999999999</v>
      </c>
      <c r="E18626" s="691">
        <v>18.7</v>
      </c>
      <c r="F18626" s="691">
        <v>18.600000000000001</v>
      </c>
      <c r="G18626" s="691">
        <v>18.600000000000001</v>
      </c>
      <c r="H18626" s="691">
        <v>18.8</v>
      </c>
      <c r="I18626" s="691">
        <v>18.600000000000001</v>
      </c>
      <c r="J18626" s="691">
        <v>18.5</v>
      </c>
      <c r="K18626" s="691">
        <v>18.2</v>
      </c>
    </row>
    <row r="18627" spans="1:11">
      <c r="A18627" s="688" t="s">
        <v>4061</v>
      </c>
      <c r="B18627" s="689">
        <v>18.5</v>
      </c>
      <c r="C18627" s="689">
        <v>18.7</v>
      </c>
      <c r="D18627" s="689">
        <v>18.399999999999999</v>
      </c>
      <c r="E18627" s="689">
        <v>18.7</v>
      </c>
      <c r="F18627" s="689">
        <v>18.600000000000001</v>
      </c>
      <c r="G18627" s="689">
        <v>18.600000000000001</v>
      </c>
      <c r="H18627" s="689">
        <v>18.8</v>
      </c>
      <c r="I18627" s="689">
        <v>18.600000000000001</v>
      </c>
      <c r="J18627" s="689">
        <v>18.5</v>
      </c>
      <c r="K18627" s="689">
        <v>18.2</v>
      </c>
    </row>
    <row r="18628" spans="1:11">
      <c r="A18628" s="688" t="s">
        <v>4</v>
      </c>
      <c r="B18628" s="691">
        <v>17.899999999999999</v>
      </c>
      <c r="C18628" s="691">
        <v>17.600000000000001</v>
      </c>
      <c r="D18628" s="691">
        <v>17.8</v>
      </c>
      <c r="E18628" s="615">
        <v>18</v>
      </c>
      <c r="F18628" s="615">
        <v>18</v>
      </c>
      <c r="G18628" s="615">
        <v>18</v>
      </c>
      <c r="H18628" s="691">
        <v>18.3</v>
      </c>
      <c r="I18628" s="691">
        <v>18.399999999999999</v>
      </c>
      <c r="J18628" s="691">
        <v>17.3</v>
      </c>
      <c r="K18628" s="691">
        <v>17.899999999999999</v>
      </c>
    </row>
    <row r="18629" spans="1:11">
      <c r="A18629" s="688" t="s">
        <v>8</v>
      </c>
      <c r="B18629" s="689">
        <v>18.3</v>
      </c>
      <c r="C18629" s="689">
        <v>18.399999999999999</v>
      </c>
      <c r="D18629" s="689">
        <v>18.399999999999999</v>
      </c>
      <c r="E18629" s="689">
        <v>18.399999999999999</v>
      </c>
      <c r="F18629" s="689">
        <v>18.7</v>
      </c>
      <c r="G18629" s="689">
        <v>18.899999999999999</v>
      </c>
      <c r="H18629" s="689">
        <v>19.2</v>
      </c>
      <c r="I18629" s="693">
        <v>19</v>
      </c>
      <c r="J18629" s="689">
        <v>18.899999999999999</v>
      </c>
      <c r="K18629" s="689">
        <v>18.8</v>
      </c>
    </row>
    <row r="18630" spans="1:11">
      <c r="A18630" s="688" t="s">
        <v>7</v>
      </c>
      <c r="B18630" s="615">
        <v>19</v>
      </c>
      <c r="C18630" s="691">
        <v>18.7</v>
      </c>
      <c r="D18630" s="691">
        <v>18.399999999999999</v>
      </c>
      <c r="E18630" s="691">
        <v>18.8</v>
      </c>
      <c r="F18630" s="691">
        <v>18.7</v>
      </c>
      <c r="G18630" s="691">
        <v>19.100000000000001</v>
      </c>
      <c r="H18630" s="615">
        <v>19</v>
      </c>
      <c r="I18630" s="691">
        <v>18.7</v>
      </c>
      <c r="J18630" s="691">
        <v>18.100000000000001</v>
      </c>
      <c r="K18630" s="691">
        <v>18.3</v>
      </c>
    </row>
    <row r="18631" spans="1:11">
      <c r="A18631" s="688" t="s">
        <v>27</v>
      </c>
      <c r="B18631" s="689">
        <v>20.8</v>
      </c>
      <c r="C18631" s="689">
        <v>20.3</v>
      </c>
      <c r="D18631" s="693">
        <v>20</v>
      </c>
      <c r="E18631" s="689">
        <v>20.399999999999999</v>
      </c>
      <c r="F18631" s="689">
        <v>20.3</v>
      </c>
      <c r="G18631" s="689">
        <v>20.399999999999999</v>
      </c>
      <c r="H18631" s="689">
        <v>20.8</v>
      </c>
      <c r="I18631" s="689">
        <v>19.7</v>
      </c>
      <c r="J18631" s="689">
        <v>20.399999999999999</v>
      </c>
      <c r="K18631" s="689">
        <v>20.3</v>
      </c>
    </row>
    <row r="18632" spans="1:11">
      <c r="A18632" s="688" t="s">
        <v>6</v>
      </c>
      <c r="B18632" s="615">
        <v>21</v>
      </c>
      <c r="C18632" s="691">
        <v>20.7</v>
      </c>
      <c r="D18632" s="691">
        <v>20.399999999999999</v>
      </c>
      <c r="E18632" s="691">
        <v>20.7</v>
      </c>
      <c r="F18632" s="691">
        <v>20.7</v>
      </c>
      <c r="G18632" s="691">
        <v>20.8</v>
      </c>
      <c r="H18632" s="691">
        <v>20.9</v>
      </c>
      <c r="I18632" s="691">
        <v>20.399999999999999</v>
      </c>
      <c r="J18632" s="691">
        <v>20.5</v>
      </c>
      <c r="K18632" s="691">
        <v>20.5</v>
      </c>
    </row>
    <row r="18633" spans="1:11">
      <c r="A18633" s="688" t="s">
        <v>4058</v>
      </c>
      <c r="B18633" s="690" t="s">
        <v>4060</v>
      </c>
      <c r="C18633" s="690" t="s">
        <v>4060</v>
      </c>
      <c r="D18633" s="690" t="s">
        <v>4060</v>
      </c>
      <c r="E18633" s="690" t="s">
        <v>4060</v>
      </c>
      <c r="F18633" s="690" t="s">
        <v>4060</v>
      </c>
      <c r="G18633" s="690" t="s">
        <v>4060</v>
      </c>
      <c r="H18633" s="690" t="s">
        <v>4060</v>
      </c>
      <c r="I18633" s="690" t="s">
        <v>4060</v>
      </c>
      <c r="J18633" s="690" t="s">
        <v>4060</v>
      </c>
      <c r="K18633" s="690" t="s">
        <v>4060</v>
      </c>
    </row>
    <row r="18634" spans="1:11">
      <c r="A18634" s="688" t="s">
        <v>11</v>
      </c>
      <c r="B18634" s="691">
        <v>16.600000000000001</v>
      </c>
      <c r="C18634" s="691">
        <v>16.399999999999999</v>
      </c>
      <c r="D18634" s="615">
        <v>16</v>
      </c>
      <c r="E18634" s="691">
        <v>16.5</v>
      </c>
      <c r="F18634" s="691">
        <v>16.3</v>
      </c>
      <c r="G18634" s="691">
        <v>16.600000000000001</v>
      </c>
      <c r="H18634" s="691">
        <v>16.7</v>
      </c>
      <c r="I18634" s="691">
        <v>16.2</v>
      </c>
      <c r="J18634" s="691">
        <v>15.6</v>
      </c>
      <c r="K18634" s="691">
        <v>16.2</v>
      </c>
    </row>
    <row r="18635" spans="1:11">
      <c r="A18635" s="688" t="s">
        <v>10</v>
      </c>
      <c r="B18635" s="693">
        <v>20</v>
      </c>
      <c r="C18635" s="689">
        <v>19.7</v>
      </c>
      <c r="D18635" s="689">
        <v>19.3</v>
      </c>
      <c r="E18635" s="689">
        <v>19.8</v>
      </c>
      <c r="F18635" s="689">
        <v>19.5</v>
      </c>
      <c r="G18635" s="689">
        <v>19.899999999999999</v>
      </c>
      <c r="H18635" s="693">
        <v>20</v>
      </c>
      <c r="I18635" s="689">
        <v>19.100000000000001</v>
      </c>
      <c r="J18635" s="689">
        <v>19.399999999999999</v>
      </c>
      <c r="K18635" s="689">
        <v>19.3</v>
      </c>
    </row>
    <row r="18636" spans="1:11">
      <c r="A18636" s="688" t="s">
        <v>30</v>
      </c>
      <c r="B18636" s="615">
        <v>19</v>
      </c>
      <c r="C18636" s="691">
        <v>18.399999999999999</v>
      </c>
      <c r="D18636" s="691">
        <v>18.100000000000001</v>
      </c>
      <c r="E18636" s="691">
        <v>18.899999999999999</v>
      </c>
      <c r="F18636" s="691">
        <v>18.7</v>
      </c>
      <c r="G18636" s="691">
        <v>19.100000000000001</v>
      </c>
      <c r="H18636" s="691">
        <v>18.899999999999999</v>
      </c>
      <c r="I18636" s="691">
        <v>18.899999999999999</v>
      </c>
      <c r="J18636" s="691">
        <v>18.5</v>
      </c>
      <c r="K18636" s="691">
        <v>18.5</v>
      </c>
    </row>
    <row r="18637" spans="1:11">
      <c r="A18637" s="688" t="s">
        <v>12</v>
      </c>
      <c r="B18637" s="689">
        <v>16.3</v>
      </c>
      <c r="C18637" s="689">
        <v>16.5</v>
      </c>
      <c r="D18637" s="689">
        <v>16.3</v>
      </c>
      <c r="E18637" s="689">
        <v>16.5</v>
      </c>
      <c r="F18637" s="689">
        <v>16.5</v>
      </c>
      <c r="G18637" s="689">
        <v>16.600000000000001</v>
      </c>
      <c r="H18637" s="689">
        <v>16.899999999999999</v>
      </c>
      <c r="I18637" s="689">
        <v>16.7</v>
      </c>
      <c r="J18637" s="689">
        <v>15.4</v>
      </c>
      <c r="K18637" s="689">
        <v>16.3</v>
      </c>
    </row>
    <row r="18638" spans="1:11">
      <c r="A18638" s="688" t="s">
        <v>14</v>
      </c>
      <c r="B18638" s="691">
        <v>16.899999999999999</v>
      </c>
      <c r="C18638" s="691">
        <v>16.8</v>
      </c>
      <c r="D18638" s="691">
        <v>16.600000000000001</v>
      </c>
      <c r="E18638" s="691">
        <v>16.7</v>
      </c>
      <c r="F18638" s="691">
        <v>16.8</v>
      </c>
      <c r="G18638" s="615">
        <v>17</v>
      </c>
      <c r="H18638" s="691">
        <v>17.3</v>
      </c>
      <c r="I18638" s="691">
        <v>16.600000000000001</v>
      </c>
      <c r="J18638" s="691">
        <v>15.8</v>
      </c>
      <c r="K18638" s="691">
        <v>16.7</v>
      </c>
    </row>
    <row r="18639" spans="1:11">
      <c r="A18639" s="688" t="s">
        <v>15</v>
      </c>
      <c r="B18639" s="689">
        <v>19.399999999999999</v>
      </c>
      <c r="C18639" s="689">
        <v>19.5</v>
      </c>
      <c r="D18639" s="689">
        <v>18.8</v>
      </c>
      <c r="E18639" s="689">
        <v>19.5</v>
      </c>
      <c r="F18639" s="689">
        <v>18.899999999999999</v>
      </c>
      <c r="G18639" s="689">
        <v>19.3</v>
      </c>
      <c r="H18639" s="689">
        <v>19.5</v>
      </c>
      <c r="I18639" s="689">
        <v>19.100000000000001</v>
      </c>
      <c r="J18639" s="689">
        <v>19.5</v>
      </c>
      <c r="K18639" s="689">
        <v>19.5</v>
      </c>
    </row>
    <row r="18640" spans="1:11">
      <c r="A18640" s="688" t="s">
        <v>29</v>
      </c>
      <c r="B18640" s="691">
        <v>16.100000000000001</v>
      </c>
      <c r="C18640" s="691">
        <v>16.100000000000001</v>
      </c>
      <c r="D18640" s="691">
        <v>15.8</v>
      </c>
      <c r="E18640" s="691">
        <v>16.2</v>
      </c>
      <c r="F18640" s="691">
        <v>15.9</v>
      </c>
      <c r="G18640" s="691">
        <v>16.100000000000001</v>
      </c>
      <c r="H18640" s="691">
        <v>16.100000000000001</v>
      </c>
      <c r="I18640" s="691">
        <v>15.6</v>
      </c>
      <c r="J18640" s="615">
        <v>15</v>
      </c>
      <c r="K18640" s="691">
        <v>15.8</v>
      </c>
    </row>
    <row r="18641" spans="1:11">
      <c r="A18641" s="688" t="s">
        <v>16</v>
      </c>
      <c r="B18641" s="689">
        <v>18.8</v>
      </c>
      <c r="C18641" s="689">
        <v>18.8</v>
      </c>
      <c r="D18641" s="689">
        <v>18.7</v>
      </c>
      <c r="E18641" s="689">
        <v>19.100000000000001</v>
      </c>
      <c r="F18641" s="689">
        <v>19.2</v>
      </c>
      <c r="G18641" s="689">
        <v>19.100000000000001</v>
      </c>
      <c r="H18641" s="689">
        <v>19.3</v>
      </c>
      <c r="I18641" s="689">
        <v>18.899999999999999</v>
      </c>
      <c r="J18641" s="689">
        <v>18.5</v>
      </c>
      <c r="K18641" s="689">
        <v>18.899999999999999</v>
      </c>
    </row>
    <row r="18642" spans="1:11">
      <c r="A18642" s="688" t="s">
        <v>17</v>
      </c>
      <c r="B18642" s="691">
        <v>18.7</v>
      </c>
      <c r="C18642" s="691">
        <v>18.7</v>
      </c>
      <c r="D18642" s="691">
        <v>18.5</v>
      </c>
      <c r="E18642" s="691">
        <v>18.5</v>
      </c>
      <c r="F18642" s="691">
        <v>18.600000000000001</v>
      </c>
      <c r="G18642" s="691">
        <v>18.600000000000001</v>
      </c>
      <c r="H18642" s="691">
        <v>18.7</v>
      </c>
      <c r="I18642" s="691">
        <v>18.2</v>
      </c>
      <c r="J18642" s="691">
        <v>18.3</v>
      </c>
      <c r="K18642" s="691">
        <v>18.3</v>
      </c>
    </row>
    <row r="18643" spans="1:11">
      <c r="A18643" s="688" t="s">
        <v>19</v>
      </c>
      <c r="B18643" s="693">
        <v>19</v>
      </c>
      <c r="C18643" s="693">
        <v>19</v>
      </c>
      <c r="D18643" s="689">
        <v>18.7</v>
      </c>
      <c r="E18643" s="693">
        <v>19</v>
      </c>
      <c r="F18643" s="689">
        <v>18.899999999999999</v>
      </c>
      <c r="G18643" s="693">
        <v>19</v>
      </c>
      <c r="H18643" s="689">
        <v>19.2</v>
      </c>
      <c r="I18643" s="689">
        <v>18.600000000000001</v>
      </c>
      <c r="J18643" s="689">
        <v>18.7</v>
      </c>
      <c r="K18643" s="689">
        <v>18.7</v>
      </c>
    </row>
    <row r="18644" spans="1:11">
      <c r="A18644" s="688" t="s">
        <v>20</v>
      </c>
      <c r="B18644" s="691">
        <v>17.600000000000001</v>
      </c>
      <c r="C18644" s="691">
        <v>17.600000000000001</v>
      </c>
      <c r="D18644" s="691">
        <v>17.399999999999999</v>
      </c>
      <c r="E18644" s="691">
        <v>17.8</v>
      </c>
      <c r="F18644" s="691">
        <v>17.600000000000001</v>
      </c>
      <c r="G18644" s="691">
        <v>17.600000000000001</v>
      </c>
      <c r="H18644" s="691">
        <v>17.8</v>
      </c>
      <c r="I18644" s="691">
        <v>16.7</v>
      </c>
      <c r="J18644" s="615">
        <v>16</v>
      </c>
      <c r="K18644" s="691">
        <v>17.100000000000001</v>
      </c>
    </row>
    <row r="18645" spans="1:11">
      <c r="A18645" s="688" t="s">
        <v>21</v>
      </c>
      <c r="B18645" s="693">
        <v>19</v>
      </c>
      <c r="C18645" s="689">
        <v>19.2</v>
      </c>
      <c r="D18645" s="689">
        <v>19.100000000000001</v>
      </c>
      <c r="E18645" s="689">
        <v>19.2</v>
      </c>
      <c r="F18645" s="689">
        <v>19.5</v>
      </c>
      <c r="G18645" s="689">
        <v>19.399999999999999</v>
      </c>
      <c r="H18645" s="689">
        <v>19.7</v>
      </c>
      <c r="I18645" s="689">
        <v>19.100000000000001</v>
      </c>
      <c r="J18645" s="689">
        <v>19.2</v>
      </c>
      <c r="K18645" s="689">
        <v>19.3</v>
      </c>
    </row>
    <row r="18646" spans="1:11">
      <c r="A18646" s="688" t="s">
        <v>22</v>
      </c>
      <c r="B18646" s="691">
        <v>15.8</v>
      </c>
      <c r="C18646" s="691">
        <v>15.6</v>
      </c>
      <c r="D18646" s="691">
        <v>15.5</v>
      </c>
      <c r="E18646" s="691">
        <v>15.9</v>
      </c>
      <c r="F18646" s="691">
        <v>15.9</v>
      </c>
      <c r="G18646" s="615">
        <v>16</v>
      </c>
      <c r="H18646" s="691">
        <v>16.2</v>
      </c>
      <c r="I18646" s="691">
        <v>15.4</v>
      </c>
      <c r="J18646" s="691">
        <v>14.2</v>
      </c>
      <c r="K18646" s="691">
        <v>15.7</v>
      </c>
    </row>
    <row r="18647" spans="1:11">
      <c r="A18647" s="688" t="s">
        <v>26</v>
      </c>
      <c r="B18647" s="689">
        <v>18.8</v>
      </c>
      <c r="C18647" s="689">
        <v>18.600000000000001</v>
      </c>
      <c r="D18647" s="689">
        <v>18.5</v>
      </c>
      <c r="E18647" s="689">
        <v>18.899999999999999</v>
      </c>
      <c r="F18647" s="689">
        <v>18.8</v>
      </c>
      <c r="G18647" s="689">
        <v>18.899999999999999</v>
      </c>
      <c r="H18647" s="693">
        <v>19</v>
      </c>
      <c r="I18647" s="689">
        <v>18.100000000000001</v>
      </c>
      <c r="J18647" s="689">
        <v>18.5</v>
      </c>
      <c r="K18647" s="689">
        <v>18.8</v>
      </c>
    </row>
    <row r="18648" spans="1:11">
      <c r="A18648" s="688" t="s">
        <v>25</v>
      </c>
      <c r="B18648" s="691">
        <v>16.399999999999999</v>
      </c>
      <c r="C18648" s="691">
        <v>16.5</v>
      </c>
      <c r="D18648" s="691">
        <v>16.3</v>
      </c>
      <c r="E18648" s="691">
        <v>16.7</v>
      </c>
      <c r="F18648" s="691">
        <v>16.600000000000001</v>
      </c>
      <c r="G18648" s="691">
        <v>16.8</v>
      </c>
      <c r="H18648" s="691">
        <v>17.100000000000001</v>
      </c>
      <c r="I18648" s="691">
        <v>16.5</v>
      </c>
      <c r="J18648" s="691">
        <v>14.9</v>
      </c>
      <c r="K18648" s="691">
        <v>16.399999999999999</v>
      </c>
    </row>
    <row r="18649" spans="1:11">
      <c r="A18649" s="688" t="s">
        <v>5</v>
      </c>
      <c r="B18649" s="689">
        <v>19.3</v>
      </c>
      <c r="C18649" s="689">
        <v>18.899999999999999</v>
      </c>
      <c r="D18649" s="689">
        <v>19.100000000000001</v>
      </c>
      <c r="E18649" s="689">
        <v>19.100000000000001</v>
      </c>
      <c r="F18649" s="689">
        <v>19.2</v>
      </c>
      <c r="G18649" s="689">
        <v>19.3</v>
      </c>
      <c r="H18649" s="689">
        <v>19.5</v>
      </c>
      <c r="I18649" s="689">
        <v>19.5</v>
      </c>
      <c r="J18649" s="689">
        <v>19.399999999999999</v>
      </c>
      <c r="K18649" s="689">
        <v>18.8</v>
      </c>
    </row>
    <row r="18650" spans="1:11">
      <c r="A18650" s="688" t="s">
        <v>23</v>
      </c>
      <c r="B18650" s="691">
        <v>18.8</v>
      </c>
      <c r="C18650" s="615">
        <v>19</v>
      </c>
      <c r="D18650" s="691">
        <v>18.899999999999999</v>
      </c>
      <c r="E18650" s="691">
        <v>18.899999999999999</v>
      </c>
      <c r="F18650" s="691">
        <v>18.899999999999999</v>
      </c>
      <c r="G18650" s="615">
        <v>19</v>
      </c>
      <c r="H18650" s="691">
        <v>19.399999999999999</v>
      </c>
      <c r="I18650" s="691">
        <v>18.899999999999999</v>
      </c>
      <c r="J18650" s="691">
        <v>19.399999999999999</v>
      </c>
      <c r="K18650" s="691">
        <v>19.3</v>
      </c>
    </row>
    <row r="18651" spans="1:11">
      <c r="A18651" s="688" t="s">
        <v>4067</v>
      </c>
      <c r="B18651" s="689">
        <v>18.8</v>
      </c>
      <c r="C18651" s="689">
        <v>19.100000000000001</v>
      </c>
      <c r="D18651" s="689">
        <v>18.7</v>
      </c>
      <c r="E18651" s="689">
        <v>19.100000000000001</v>
      </c>
      <c r="F18651" s="693">
        <v>19</v>
      </c>
      <c r="G18651" s="689">
        <v>19.100000000000001</v>
      </c>
      <c r="H18651" s="690" t="s">
        <v>4060</v>
      </c>
      <c r="I18651" s="690" t="s">
        <v>4060</v>
      </c>
      <c r="J18651" s="690" t="s">
        <v>4060</v>
      </c>
      <c r="K18651" s="690" t="s">
        <v>4060</v>
      </c>
    </row>
    <row r="18652" spans="1:11">
      <c r="A18652" s="688" t="s">
        <v>4066</v>
      </c>
      <c r="B18652" s="691">
        <v>18.899999999999999</v>
      </c>
      <c r="C18652" s="691">
        <v>19.2</v>
      </c>
      <c r="D18652" s="691">
        <v>18.8</v>
      </c>
      <c r="E18652" s="691">
        <v>19.100000000000001</v>
      </c>
      <c r="F18652" s="615">
        <v>19</v>
      </c>
      <c r="G18652" s="691">
        <v>19.100000000000001</v>
      </c>
      <c r="H18652" s="692" t="s">
        <v>4060</v>
      </c>
      <c r="I18652" s="692" t="s">
        <v>4060</v>
      </c>
      <c r="J18652" s="692" t="s">
        <v>4060</v>
      </c>
      <c r="K18652" s="692" t="s">
        <v>4060</v>
      </c>
    </row>
    <row r="18653" spans="1:11">
      <c r="A18653" s="688" t="s">
        <v>4062</v>
      </c>
      <c r="B18653" s="689">
        <v>19.5</v>
      </c>
      <c r="C18653" s="689">
        <v>19.5</v>
      </c>
      <c r="D18653" s="689">
        <v>19.399999999999999</v>
      </c>
      <c r="E18653" s="689">
        <v>19.600000000000001</v>
      </c>
      <c r="F18653" s="689">
        <v>19.600000000000001</v>
      </c>
      <c r="G18653" s="689">
        <v>19.7</v>
      </c>
      <c r="H18653" s="689">
        <v>19.8</v>
      </c>
      <c r="I18653" s="689">
        <v>19.5</v>
      </c>
      <c r="J18653" s="689">
        <v>19.8</v>
      </c>
      <c r="K18653" s="689">
        <v>19.5</v>
      </c>
    </row>
    <row r="18654" spans="1:11">
      <c r="A18654" s="688" t="s">
        <v>9</v>
      </c>
      <c r="B18654" s="691">
        <v>18.7</v>
      </c>
      <c r="C18654" s="691">
        <v>19.100000000000001</v>
      </c>
      <c r="D18654" s="691">
        <v>18.600000000000001</v>
      </c>
      <c r="E18654" s="691">
        <v>18.5</v>
      </c>
      <c r="F18654" s="691">
        <v>18.600000000000001</v>
      </c>
      <c r="G18654" s="691">
        <v>18.8</v>
      </c>
      <c r="H18654" s="691">
        <v>19.2</v>
      </c>
      <c r="I18654" s="691">
        <v>19.2</v>
      </c>
      <c r="J18654" s="691">
        <v>19.2</v>
      </c>
      <c r="K18654" s="691">
        <v>18.399999999999999</v>
      </c>
    </row>
    <row r="18655" spans="1:11">
      <c r="A18655" s="688" t="s">
        <v>13</v>
      </c>
      <c r="B18655" s="689">
        <v>19.899999999999999</v>
      </c>
      <c r="C18655" s="689">
        <v>17.8</v>
      </c>
      <c r="D18655" s="689">
        <v>19.2</v>
      </c>
      <c r="E18655" s="689">
        <v>19.600000000000001</v>
      </c>
      <c r="F18655" s="689">
        <v>20.100000000000001</v>
      </c>
      <c r="G18655" s="689">
        <v>19.5</v>
      </c>
      <c r="H18655" s="689">
        <v>19.5</v>
      </c>
      <c r="I18655" s="689">
        <v>18.8</v>
      </c>
      <c r="J18655" s="689">
        <v>20.100000000000001</v>
      </c>
      <c r="K18655" s="689">
        <v>19.399999999999999</v>
      </c>
    </row>
    <row r="18656" spans="1:11">
      <c r="A18656" s="688" t="s">
        <v>18</v>
      </c>
      <c r="B18656" s="691">
        <v>18.8</v>
      </c>
      <c r="C18656" s="615">
        <v>19</v>
      </c>
      <c r="D18656" s="615">
        <v>19</v>
      </c>
      <c r="E18656" s="691">
        <v>19.100000000000001</v>
      </c>
      <c r="F18656" s="615">
        <v>19</v>
      </c>
      <c r="G18656" s="691">
        <v>19.2</v>
      </c>
      <c r="H18656" s="691">
        <v>19.3</v>
      </c>
      <c r="I18656" s="691">
        <v>19.5</v>
      </c>
      <c r="J18656" s="691">
        <v>19.3</v>
      </c>
      <c r="K18656" s="615">
        <v>19</v>
      </c>
    </row>
    <row r="18657" spans="1:11">
      <c r="A18657" s="688" t="s">
        <v>24</v>
      </c>
      <c r="B18657" s="689">
        <v>19.8</v>
      </c>
      <c r="C18657" s="689">
        <v>19.8</v>
      </c>
      <c r="D18657" s="689">
        <v>19.600000000000001</v>
      </c>
      <c r="E18657" s="693">
        <v>20</v>
      </c>
      <c r="F18657" s="689">
        <v>19.899999999999999</v>
      </c>
      <c r="G18657" s="689">
        <v>20.100000000000001</v>
      </c>
      <c r="H18657" s="689">
        <v>20.100000000000001</v>
      </c>
      <c r="I18657" s="689">
        <v>19.600000000000001</v>
      </c>
      <c r="J18657" s="689">
        <v>20.100000000000001</v>
      </c>
      <c r="K18657" s="689">
        <v>19.899999999999999</v>
      </c>
    </row>
    <row r="18658" spans="1:11">
      <c r="A18658" s="688" t="s">
        <v>4059</v>
      </c>
      <c r="B18658" s="691">
        <v>18.5</v>
      </c>
      <c r="C18658" s="691">
        <v>18.8</v>
      </c>
      <c r="D18658" s="691">
        <v>18.3</v>
      </c>
      <c r="E18658" s="691">
        <v>18.7</v>
      </c>
      <c r="F18658" s="691">
        <v>18.600000000000001</v>
      </c>
      <c r="G18658" s="691">
        <v>18.7</v>
      </c>
      <c r="H18658" s="692" t="s">
        <v>4060</v>
      </c>
      <c r="I18658" s="692" t="s">
        <v>4060</v>
      </c>
      <c r="J18658" s="692" t="s">
        <v>4060</v>
      </c>
      <c r="K18658" s="692" t="s">
        <v>4060</v>
      </c>
    </row>
    <row r="18659" spans="1:11">
      <c r="A18659" s="688" t="s">
        <v>2324</v>
      </c>
      <c r="B18659" s="689">
        <v>15.1</v>
      </c>
      <c r="C18659" s="689">
        <v>15.2</v>
      </c>
      <c r="D18659" s="689">
        <v>14.9</v>
      </c>
      <c r="E18659" s="693">
        <v>15</v>
      </c>
      <c r="F18659" s="689">
        <v>15.2</v>
      </c>
      <c r="G18659" s="689">
        <v>15.2</v>
      </c>
      <c r="H18659" s="689">
        <v>15.4</v>
      </c>
      <c r="I18659" s="693">
        <v>15</v>
      </c>
      <c r="J18659" s="689">
        <v>13.2</v>
      </c>
      <c r="K18659" s="690" t="s">
        <v>4060</v>
      </c>
    </row>
    <row r="18660" spans="1:11">
      <c r="A18660" s="688" t="s">
        <v>2322</v>
      </c>
      <c r="B18660" s="692" t="s">
        <v>4060</v>
      </c>
      <c r="C18660" s="692" t="s">
        <v>4060</v>
      </c>
      <c r="D18660" s="692" t="s">
        <v>4060</v>
      </c>
      <c r="E18660" s="692" t="s">
        <v>4060</v>
      </c>
      <c r="F18660" s="692" t="s">
        <v>4060</v>
      </c>
      <c r="G18660" s="692" t="s">
        <v>4060</v>
      </c>
      <c r="H18660" s="692" t="s">
        <v>4060</v>
      </c>
      <c r="I18660" s="692" t="s">
        <v>4060</v>
      </c>
      <c r="J18660" s="692" t="s">
        <v>4060</v>
      </c>
      <c r="K18660" s="692" t="s">
        <v>4060</v>
      </c>
    </row>
    <row r="18661" spans="1:11">
      <c r="A18661" s="688" t="s">
        <v>2328</v>
      </c>
      <c r="B18661" s="693">
        <v>14</v>
      </c>
      <c r="C18661" s="693">
        <v>14</v>
      </c>
      <c r="D18661" s="689">
        <v>13.8</v>
      </c>
      <c r="E18661" s="689">
        <v>14.2</v>
      </c>
      <c r="F18661" s="689">
        <v>14.3</v>
      </c>
      <c r="G18661" s="689">
        <v>14.8</v>
      </c>
      <c r="H18661" s="689">
        <v>14.6</v>
      </c>
      <c r="I18661" s="689">
        <v>13.5</v>
      </c>
      <c r="J18661" s="689">
        <v>12.8</v>
      </c>
      <c r="K18661" s="690" t="s">
        <v>4060</v>
      </c>
    </row>
    <row r="18662" spans="1:11">
      <c r="A18662" s="688" t="s">
        <v>2496</v>
      </c>
      <c r="B18662" s="692" t="s">
        <v>4060</v>
      </c>
      <c r="C18662" s="691">
        <v>15.3</v>
      </c>
      <c r="D18662" s="691">
        <v>14.6</v>
      </c>
      <c r="E18662" s="691">
        <v>14.3</v>
      </c>
      <c r="F18662" s="691">
        <v>14.6</v>
      </c>
      <c r="G18662" s="691">
        <v>14.9</v>
      </c>
      <c r="H18662" s="691">
        <v>14.9</v>
      </c>
      <c r="I18662" s="692" t="s">
        <v>4060</v>
      </c>
      <c r="J18662" s="692" t="s">
        <v>4060</v>
      </c>
      <c r="K18662" s="691">
        <v>14.6</v>
      </c>
    </row>
    <row r="18663" spans="1:11">
      <c r="A18663" s="688" t="s">
        <v>2269</v>
      </c>
      <c r="B18663" s="689">
        <v>15.8</v>
      </c>
      <c r="C18663" s="689">
        <v>15.9</v>
      </c>
      <c r="D18663" s="689">
        <v>15.2</v>
      </c>
      <c r="E18663" s="689">
        <v>15.7</v>
      </c>
      <c r="F18663" s="689">
        <v>15.5</v>
      </c>
      <c r="G18663" s="689">
        <v>15.9</v>
      </c>
      <c r="H18663" s="689">
        <v>16.100000000000001</v>
      </c>
      <c r="I18663" s="689">
        <v>15.1</v>
      </c>
      <c r="J18663" s="689">
        <v>13.3</v>
      </c>
      <c r="K18663" s="689">
        <v>15.8</v>
      </c>
    </row>
    <row r="18664" spans="1:11">
      <c r="A18664" s="688" t="s">
        <v>2349</v>
      </c>
      <c r="B18664" s="691">
        <v>14.5</v>
      </c>
      <c r="C18664" s="691">
        <v>14.6</v>
      </c>
      <c r="D18664" s="691">
        <v>14.5</v>
      </c>
      <c r="E18664" s="691">
        <v>14.8</v>
      </c>
      <c r="F18664" s="691">
        <v>14.7</v>
      </c>
      <c r="G18664" s="691">
        <v>14.9</v>
      </c>
      <c r="H18664" s="615">
        <v>15</v>
      </c>
      <c r="I18664" s="691">
        <v>14.3</v>
      </c>
      <c r="J18664" s="691">
        <v>12.9</v>
      </c>
      <c r="K18664" s="691">
        <v>14.3</v>
      </c>
    </row>
    <row r="18665" spans="1:11">
      <c r="A18665" s="688" t="s">
        <v>2355</v>
      </c>
      <c r="B18665" s="689">
        <v>17.399999999999999</v>
      </c>
      <c r="C18665" s="689">
        <v>17.100000000000001</v>
      </c>
      <c r="D18665" s="689">
        <v>17.100000000000001</v>
      </c>
      <c r="E18665" s="693">
        <v>17</v>
      </c>
      <c r="F18665" s="689">
        <v>17.2</v>
      </c>
      <c r="G18665" s="689">
        <v>17.5</v>
      </c>
      <c r="H18665" s="689">
        <v>17.5</v>
      </c>
      <c r="I18665" s="690" t="s">
        <v>4060</v>
      </c>
      <c r="J18665" s="690" t="s">
        <v>4060</v>
      </c>
      <c r="K18665" s="690" t="s">
        <v>4060</v>
      </c>
    </row>
    <row r="18666" spans="1:11">
      <c r="A18666" s="688" t="s">
        <v>2357</v>
      </c>
      <c r="B18666" s="692" t="s">
        <v>4060</v>
      </c>
      <c r="C18666" s="691">
        <v>14.8</v>
      </c>
      <c r="D18666" s="691">
        <v>15.1</v>
      </c>
      <c r="E18666" s="691">
        <v>15.4</v>
      </c>
      <c r="F18666" s="691">
        <v>15.5</v>
      </c>
      <c r="G18666" s="691">
        <v>15.5</v>
      </c>
      <c r="H18666" s="691">
        <v>15.6</v>
      </c>
      <c r="I18666" s="692" t="s">
        <v>4060</v>
      </c>
      <c r="J18666" s="692" t="s">
        <v>4060</v>
      </c>
      <c r="K18666" s="692" t="s">
        <v>4060</v>
      </c>
    </row>
    <row r="18667" spans="1:11">
      <c r="A18667" s="688" t="s">
        <v>4070</v>
      </c>
      <c r="B18667" s="690" t="s">
        <v>4060</v>
      </c>
      <c r="C18667" s="690" t="s">
        <v>4060</v>
      </c>
      <c r="D18667" s="690" t="s">
        <v>4060</v>
      </c>
      <c r="E18667" s="689">
        <v>17.5</v>
      </c>
      <c r="F18667" s="690" t="s">
        <v>4060</v>
      </c>
      <c r="G18667" s="690" t="s">
        <v>4060</v>
      </c>
      <c r="H18667" s="690" t="s">
        <v>4060</v>
      </c>
      <c r="I18667" s="690" t="s">
        <v>4060</v>
      </c>
      <c r="J18667" s="690" t="s">
        <v>4060</v>
      </c>
      <c r="K18667" s="690" t="s">
        <v>4060</v>
      </c>
    </row>
    <row r="18668" spans="1:11">
      <c r="A18668" s="688" t="s">
        <v>2491</v>
      </c>
      <c r="B18668" s="691">
        <v>15.3</v>
      </c>
      <c r="C18668" s="691">
        <v>15.7</v>
      </c>
      <c r="D18668" s="691">
        <v>15.7</v>
      </c>
      <c r="E18668" s="691">
        <v>15.8</v>
      </c>
      <c r="F18668" s="691">
        <v>15.9</v>
      </c>
      <c r="G18668" s="615">
        <v>16</v>
      </c>
      <c r="H18668" s="692" t="s">
        <v>4060</v>
      </c>
      <c r="I18668" s="692" t="s">
        <v>4060</v>
      </c>
      <c r="J18668" s="692" t="s">
        <v>4060</v>
      </c>
      <c r="K18668" s="692" t="s">
        <v>4060</v>
      </c>
    </row>
    <row r="18669" spans="1:11">
      <c r="A18669" s="688" t="s">
        <v>2343</v>
      </c>
      <c r="B18669" s="690" t="s">
        <v>4060</v>
      </c>
      <c r="C18669" s="690" t="s">
        <v>4060</v>
      </c>
      <c r="D18669" s="690" t="s">
        <v>4060</v>
      </c>
      <c r="E18669" s="690" t="s">
        <v>4060</v>
      </c>
      <c r="F18669" s="690" t="s">
        <v>4060</v>
      </c>
      <c r="G18669" s="690" t="s">
        <v>4060</v>
      </c>
      <c r="H18669" s="690" t="s">
        <v>4060</v>
      </c>
      <c r="I18669" s="690" t="s">
        <v>4060</v>
      </c>
      <c r="J18669" s="690" t="s">
        <v>4060</v>
      </c>
      <c r="K18669" s="690" t="s">
        <v>4060</v>
      </c>
    </row>
    <row r="18670" spans="1:11">
      <c r="A18670" s="688" t="s">
        <v>4071</v>
      </c>
      <c r="B18670" s="692" t="s">
        <v>4060</v>
      </c>
      <c r="C18670" s="692" t="s">
        <v>4060</v>
      </c>
      <c r="D18670" s="692" t="s">
        <v>4060</v>
      </c>
      <c r="E18670" s="692" t="s">
        <v>4060</v>
      </c>
      <c r="F18670" s="692" t="s">
        <v>4060</v>
      </c>
      <c r="G18670" s="692" t="s">
        <v>4060</v>
      </c>
      <c r="H18670" s="692" t="s">
        <v>4060</v>
      </c>
      <c r="I18670" s="692" t="s">
        <v>4060</v>
      </c>
      <c r="J18670" s="692" t="s">
        <v>4060</v>
      </c>
      <c r="K18670" s="692" t="s">
        <v>4060</v>
      </c>
    </row>
    <row r="18671" spans="1:11">
      <c r="A18671" s="688" t="s">
        <v>2489</v>
      </c>
      <c r="B18671" s="690" t="s">
        <v>4060</v>
      </c>
      <c r="C18671" s="690" t="s">
        <v>4060</v>
      </c>
      <c r="D18671" s="689">
        <v>14.9</v>
      </c>
      <c r="E18671" s="689">
        <v>14.9</v>
      </c>
      <c r="F18671" s="689">
        <v>15.1</v>
      </c>
      <c r="G18671" s="689">
        <v>15.7</v>
      </c>
      <c r="H18671" s="689">
        <v>15.7</v>
      </c>
      <c r="I18671" s="690" t="s">
        <v>4060</v>
      </c>
      <c r="J18671" s="690" t="s">
        <v>4060</v>
      </c>
      <c r="K18671" s="690" t="s">
        <v>4060</v>
      </c>
    </row>
    <row r="18672" spans="1:11">
      <c r="A18672" s="688" t="s">
        <v>2490</v>
      </c>
      <c r="B18672" s="691">
        <v>14.2</v>
      </c>
      <c r="C18672" s="691">
        <v>14.2</v>
      </c>
      <c r="D18672" s="691">
        <v>14.8</v>
      </c>
      <c r="E18672" s="692" t="s">
        <v>4060</v>
      </c>
      <c r="F18672" s="691">
        <v>14.9</v>
      </c>
      <c r="G18672" s="691">
        <v>15.2</v>
      </c>
      <c r="H18672" s="691">
        <v>15.9</v>
      </c>
      <c r="I18672" s="692" t="s">
        <v>4060</v>
      </c>
      <c r="J18672" s="692" t="s">
        <v>4060</v>
      </c>
      <c r="K18672" s="692" t="s">
        <v>4060</v>
      </c>
    </row>
    <row r="18674" spans="1:11">
      <c r="A18674" s="683" t="s">
        <v>4233</v>
      </c>
    </row>
    <row r="18675" spans="1:11">
      <c r="A18675" s="683" t="s">
        <v>4060</v>
      </c>
      <c r="B18675" s="682" t="s">
        <v>4234</v>
      </c>
    </row>
    <row r="18677" spans="1:11">
      <c r="A18677" s="682" t="s">
        <v>4332</v>
      </c>
    </row>
    <row r="18678" spans="1:11">
      <c r="A18678" s="682" t="s">
        <v>4210</v>
      </c>
      <c r="B18678" s="683" t="s">
        <v>4211</v>
      </c>
    </row>
    <row r="18679" spans="1:11">
      <c r="A18679" s="682" t="s">
        <v>4212</v>
      </c>
      <c r="B18679" s="682" t="s">
        <v>4213</v>
      </c>
    </row>
    <row r="18681" spans="1:11">
      <c r="A18681" s="683" t="s">
        <v>4214</v>
      </c>
      <c r="C18681" s="682" t="s">
        <v>4215</v>
      </c>
    </row>
    <row r="18682" spans="1:11">
      <c r="A18682" s="683" t="s">
        <v>4216</v>
      </c>
      <c r="C18682" s="682" t="s">
        <v>2967</v>
      </c>
    </row>
    <row r="18683" spans="1:11">
      <c r="A18683" s="683" t="s">
        <v>3893</v>
      </c>
      <c r="C18683" s="682" t="s">
        <v>2169</v>
      </c>
    </row>
    <row r="18684" spans="1:11">
      <c r="A18684" s="683" t="s">
        <v>4218</v>
      </c>
      <c r="C18684" s="682" t="s">
        <v>4303</v>
      </c>
    </row>
    <row r="18686" spans="1:11">
      <c r="A18686" s="684" t="s">
        <v>4220</v>
      </c>
      <c r="B18686" s="685" t="s">
        <v>4221</v>
      </c>
      <c r="C18686" s="685" t="s">
        <v>4222</v>
      </c>
      <c r="D18686" s="685" t="s">
        <v>4223</v>
      </c>
      <c r="E18686" s="685" t="s">
        <v>4224</v>
      </c>
      <c r="F18686" s="685" t="s">
        <v>4225</v>
      </c>
      <c r="G18686" s="685" t="s">
        <v>4226</v>
      </c>
      <c r="H18686" s="685" t="s">
        <v>4227</v>
      </c>
      <c r="I18686" s="685" t="s">
        <v>4228</v>
      </c>
      <c r="J18686" s="685" t="s">
        <v>4229</v>
      </c>
      <c r="K18686" s="685" t="s">
        <v>4230</v>
      </c>
    </row>
    <row r="18687" spans="1:11">
      <c r="A18687" s="686" t="s">
        <v>4231</v>
      </c>
      <c r="B18687" s="687" t="s">
        <v>4232</v>
      </c>
      <c r="C18687" s="687" t="s">
        <v>4232</v>
      </c>
      <c r="D18687" s="687" t="s">
        <v>4232</v>
      </c>
      <c r="E18687" s="687" t="s">
        <v>4232</v>
      </c>
      <c r="F18687" s="687" t="s">
        <v>4232</v>
      </c>
      <c r="G18687" s="687" t="s">
        <v>4232</v>
      </c>
      <c r="H18687" s="687" t="s">
        <v>4232</v>
      </c>
      <c r="I18687" s="687" t="s">
        <v>4232</v>
      </c>
      <c r="J18687" s="687" t="s">
        <v>4232</v>
      </c>
      <c r="K18687" s="687" t="s">
        <v>4232</v>
      </c>
    </row>
    <row r="18688" spans="1:11">
      <c r="A18688" s="688" t="s">
        <v>4064</v>
      </c>
      <c r="B18688" s="691">
        <v>18.100000000000001</v>
      </c>
      <c r="C18688" s="615">
        <v>18</v>
      </c>
      <c r="D18688" s="615">
        <v>18</v>
      </c>
      <c r="E18688" s="691">
        <v>18.100000000000001</v>
      </c>
      <c r="F18688" s="615">
        <v>18</v>
      </c>
      <c r="G18688" s="691">
        <v>18.100000000000001</v>
      </c>
      <c r="H18688" s="691">
        <v>18.3</v>
      </c>
      <c r="I18688" s="691">
        <v>17.600000000000001</v>
      </c>
      <c r="J18688" s="691">
        <v>17.5</v>
      </c>
      <c r="K18688" s="691">
        <v>17.8</v>
      </c>
    </row>
    <row r="18689" spans="1:11">
      <c r="A18689" s="688" t="s">
        <v>4065</v>
      </c>
      <c r="B18689" s="693">
        <v>18</v>
      </c>
      <c r="C18689" s="689">
        <v>18.3</v>
      </c>
      <c r="D18689" s="689">
        <v>17.899999999999999</v>
      </c>
      <c r="E18689" s="689">
        <v>18.3</v>
      </c>
      <c r="F18689" s="689">
        <v>18.100000000000001</v>
      </c>
      <c r="G18689" s="689">
        <v>18.2</v>
      </c>
      <c r="H18689" s="690" t="s">
        <v>4060</v>
      </c>
      <c r="I18689" s="690" t="s">
        <v>4060</v>
      </c>
      <c r="J18689" s="690" t="s">
        <v>4060</v>
      </c>
      <c r="K18689" s="690" t="s">
        <v>4060</v>
      </c>
    </row>
    <row r="18690" spans="1:11">
      <c r="A18690" s="688" t="s">
        <v>4063</v>
      </c>
      <c r="B18690" s="615">
        <v>18</v>
      </c>
      <c r="C18690" s="691">
        <v>18.399999999999999</v>
      </c>
      <c r="D18690" s="691">
        <v>17.899999999999999</v>
      </c>
      <c r="E18690" s="691">
        <v>18.3</v>
      </c>
      <c r="F18690" s="691">
        <v>18.2</v>
      </c>
      <c r="G18690" s="691">
        <v>18.3</v>
      </c>
      <c r="H18690" s="692" t="s">
        <v>4060</v>
      </c>
      <c r="I18690" s="692" t="s">
        <v>4060</v>
      </c>
      <c r="J18690" s="692" t="s">
        <v>4060</v>
      </c>
      <c r="K18690" s="692" t="s">
        <v>4060</v>
      </c>
    </row>
    <row r="18691" spans="1:11">
      <c r="A18691" s="688" t="s">
        <v>4069</v>
      </c>
      <c r="B18691" s="690" t="s">
        <v>4060</v>
      </c>
      <c r="C18691" s="689">
        <v>18.5</v>
      </c>
      <c r="D18691" s="689">
        <v>18.2</v>
      </c>
      <c r="E18691" s="689">
        <v>18.600000000000001</v>
      </c>
      <c r="F18691" s="689">
        <v>18.5</v>
      </c>
      <c r="G18691" s="689">
        <v>18.600000000000001</v>
      </c>
      <c r="H18691" s="689">
        <v>18.8</v>
      </c>
      <c r="I18691" s="689">
        <v>18.2</v>
      </c>
      <c r="J18691" s="689">
        <v>18.3</v>
      </c>
      <c r="K18691" s="689">
        <v>18.3</v>
      </c>
    </row>
    <row r="18692" spans="1:11">
      <c r="A18692" s="688" t="s">
        <v>4068</v>
      </c>
      <c r="B18692" s="691">
        <v>18.7</v>
      </c>
      <c r="C18692" s="692" t="s">
        <v>4060</v>
      </c>
      <c r="D18692" s="692" t="s">
        <v>4060</v>
      </c>
      <c r="E18692" s="692" t="s">
        <v>4060</v>
      </c>
      <c r="F18692" s="692" t="s">
        <v>4060</v>
      </c>
      <c r="G18692" s="692" t="s">
        <v>4060</v>
      </c>
      <c r="H18692" s="692" t="s">
        <v>4060</v>
      </c>
      <c r="I18692" s="692" t="s">
        <v>4060</v>
      </c>
      <c r="J18692" s="692" t="s">
        <v>4060</v>
      </c>
      <c r="K18692" s="692" t="s">
        <v>4060</v>
      </c>
    </row>
    <row r="18693" spans="1:11">
      <c r="A18693" s="688" t="s">
        <v>0</v>
      </c>
      <c r="B18693" s="689">
        <v>18.100000000000001</v>
      </c>
      <c r="C18693" s="689">
        <v>18.2</v>
      </c>
      <c r="D18693" s="689">
        <v>17.899999999999999</v>
      </c>
      <c r="E18693" s="689">
        <v>18.3</v>
      </c>
      <c r="F18693" s="689">
        <v>18.3</v>
      </c>
      <c r="G18693" s="689">
        <v>18.3</v>
      </c>
      <c r="H18693" s="689">
        <v>18.5</v>
      </c>
      <c r="I18693" s="689">
        <v>17.5</v>
      </c>
      <c r="J18693" s="689">
        <v>18.5</v>
      </c>
      <c r="K18693" s="689">
        <v>18.2</v>
      </c>
    </row>
    <row r="18694" spans="1:11">
      <c r="A18694" s="688" t="s">
        <v>1</v>
      </c>
      <c r="B18694" s="691">
        <v>14.7</v>
      </c>
      <c r="C18694" s="691">
        <v>14.4</v>
      </c>
      <c r="D18694" s="691">
        <v>14.4</v>
      </c>
      <c r="E18694" s="691">
        <v>14.7</v>
      </c>
      <c r="F18694" s="691">
        <v>14.5</v>
      </c>
      <c r="G18694" s="691">
        <v>14.8</v>
      </c>
      <c r="H18694" s="691">
        <v>14.8</v>
      </c>
      <c r="I18694" s="691">
        <v>14.1</v>
      </c>
      <c r="J18694" s="691">
        <v>12.8</v>
      </c>
      <c r="K18694" s="691">
        <v>14.4</v>
      </c>
    </row>
    <row r="18695" spans="1:11">
      <c r="A18695" s="688" t="s">
        <v>2240</v>
      </c>
      <c r="B18695" s="689">
        <v>16.2</v>
      </c>
      <c r="C18695" s="689">
        <v>16.399999999999999</v>
      </c>
      <c r="D18695" s="689">
        <v>16.100000000000001</v>
      </c>
      <c r="E18695" s="689">
        <v>16.5</v>
      </c>
      <c r="F18695" s="689">
        <v>16.399999999999999</v>
      </c>
      <c r="G18695" s="689">
        <v>16.5</v>
      </c>
      <c r="H18695" s="689">
        <v>16.7</v>
      </c>
      <c r="I18695" s="689">
        <v>15.9</v>
      </c>
      <c r="J18695" s="689">
        <v>15.5</v>
      </c>
      <c r="K18695" s="689">
        <v>16.5</v>
      </c>
    </row>
    <row r="18696" spans="1:11">
      <c r="A18696" s="688" t="s">
        <v>2</v>
      </c>
      <c r="B18696" s="691">
        <v>17.100000000000001</v>
      </c>
      <c r="C18696" s="691">
        <v>17.399999999999999</v>
      </c>
      <c r="D18696" s="691">
        <v>17.399999999999999</v>
      </c>
      <c r="E18696" s="691">
        <v>17.5</v>
      </c>
      <c r="F18696" s="691">
        <v>17.5</v>
      </c>
      <c r="G18696" s="691">
        <v>17.5</v>
      </c>
      <c r="H18696" s="691">
        <v>17.8</v>
      </c>
      <c r="I18696" s="691">
        <v>17.8</v>
      </c>
      <c r="J18696" s="691">
        <v>17.7</v>
      </c>
      <c r="K18696" s="691">
        <v>17.5</v>
      </c>
    </row>
    <row r="18697" spans="1:11">
      <c r="A18697" s="688" t="s">
        <v>3</v>
      </c>
      <c r="B18697" s="689">
        <v>17.600000000000001</v>
      </c>
      <c r="C18697" s="689">
        <v>17.8</v>
      </c>
      <c r="D18697" s="689">
        <v>17.600000000000001</v>
      </c>
      <c r="E18697" s="689">
        <v>17.8</v>
      </c>
      <c r="F18697" s="689">
        <v>17.8</v>
      </c>
      <c r="G18697" s="689">
        <v>17.7</v>
      </c>
      <c r="H18697" s="693">
        <v>18</v>
      </c>
      <c r="I18697" s="689">
        <v>17.8</v>
      </c>
      <c r="J18697" s="689">
        <v>17.7</v>
      </c>
      <c r="K18697" s="689">
        <v>17.399999999999999</v>
      </c>
    </row>
    <row r="18698" spans="1:11">
      <c r="A18698" s="688" t="s">
        <v>4061</v>
      </c>
      <c r="B18698" s="691">
        <v>17.600000000000001</v>
      </c>
      <c r="C18698" s="691">
        <v>17.8</v>
      </c>
      <c r="D18698" s="691">
        <v>17.600000000000001</v>
      </c>
      <c r="E18698" s="691">
        <v>17.8</v>
      </c>
      <c r="F18698" s="691">
        <v>17.8</v>
      </c>
      <c r="G18698" s="691">
        <v>17.7</v>
      </c>
      <c r="H18698" s="615">
        <v>18</v>
      </c>
      <c r="I18698" s="691">
        <v>17.8</v>
      </c>
      <c r="J18698" s="691">
        <v>17.7</v>
      </c>
      <c r="K18698" s="691">
        <v>17.399999999999999</v>
      </c>
    </row>
    <row r="18699" spans="1:11">
      <c r="A18699" s="688" t="s">
        <v>4</v>
      </c>
      <c r="B18699" s="693">
        <v>17</v>
      </c>
      <c r="C18699" s="689">
        <v>16.8</v>
      </c>
      <c r="D18699" s="693">
        <v>17</v>
      </c>
      <c r="E18699" s="689">
        <v>17.2</v>
      </c>
      <c r="F18699" s="689">
        <v>17.2</v>
      </c>
      <c r="G18699" s="689">
        <v>17.2</v>
      </c>
      <c r="H18699" s="689">
        <v>17.5</v>
      </c>
      <c r="I18699" s="689">
        <v>17.600000000000001</v>
      </c>
      <c r="J18699" s="689">
        <v>16.5</v>
      </c>
      <c r="K18699" s="689">
        <v>17.100000000000001</v>
      </c>
    </row>
    <row r="18700" spans="1:11">
      <c r="A18700" s="688" t="s">
        <v>8</v>
      </c>
      <c r="B18700" s="691">
        <v>17.5</v>
      </c>
      <c r="C18700" s="691">
        <v>17.600000000000001</v>
      </c>
      <c r="D18700" s="691">
        <v>17.5</v>
      </c>
      <c r="E18700" s="691">
        <v>17.600000000000001</v>
      </c>
      <c r="F18700" s="691">
        <v>17.899999999999999</v>
      </c>
      <c r="G18700" s="615">
        <v>18</v>
      </c>
      <c r="H18700" s="691">
        <v>18.3</v>
      </c>
      <c r="I18700" s="691">
        <v>18.100000000000001</v>
      </c>
      <c r="J18700" s="691">
        <v>18.100000000000001</v>
      </c>
      <c r="K18700" s="615">
        <v>18</v>
      </c>
    </row>
    <row r="18701" spans="1:11">
      <c r="A18701" s="688" t="s">
        <v>7</v>
      </c>
      <c r="B18701" s="689">
        <v>18.100000000000001</v>
      </c>
      <c r="C18701" s="689">
        <v>17.8</v>
      </c>
      <c r="D18701" s="689">
        <v>17.600000000000001</v>
      </c>
      <c r="E18701" s="689">
        <v>17.899999999999999</v>
      </c>
      <c r="F18701" s="689">
        <v>17.8</v>
      </c>
      <c r="G18701" s="689">
        <v>18.3</v>
      </c>
      <c r="H18701" s="689">
        <v>18.2</v>
      </c>
      <c r="I18701" s="689">
        <v>17.899999999999999</v>
      </c>
      <c r="J18701" s="689">
        <v>17.3</v>
      </c>
      <c r="K18701" s="689">
        <v>17.5</v>
      </c>
    </row>
    <row r="18702" spans="1:11">
      <c r="A18702" s="688" t="s">
        <v>27</v>
      </c>
      <c r="B18702" s="691">
        <v>19.899999999999999</v>
      </c>
      <c r="C18702" s="691">
        <v>19.399999999999999</v>
      </c>
      <c r="D18702" s="691">
        <v>19.100000000000001</v>
      </c>
      <c r="E18702" s="691">
        <v>19.5</v>
      </c>
      <c r="F18702" s="691">
        <v>19.399999999999999</v>
      </c>
      <c r="G18702" s="691">
        <v>19.5</v>
      </c>
      <c r="H18702" s="691">
        <v>19.899999999999999</v>
      </c>
      <c r="I18702" s="691">
        <v>18.8</v>
      </c>
      <c r="J18702" s="691">
        <v>19.600000000000001</v>
      </c>
      <c r="K18702" s="691">
        <v>19.5</v>
      </c>
    </row>
    <row r="18703" spans="1:11">
      <c r="A18703" s="688" t="s">
        <v>6</v>
      </c>
      <c r="B18703" s="689">
        <v>20.2</v>
      </c>
      <c r="C18703" s="689">
        <v>19.899999999999999</v>
      </c>
      <c r="D18703" s="689">
        <v>19.600000000000001</v>
      </c>
      <c r="E18703" s="689">
        <v>19.8</v>
      </c>
      <c r="F18703" s="689">
        <v>19.899999999999999</v>
      </c>
      <c r="G18703" s="693">
        <v>20</v>
      </c>
      <c r="H18703" s="689">
        <v>20.100000000000001</v>
      </c>
      <c r="I18703" s="689">
        <v>19.600000000000001</v>
      </c>
      <c r="J18703" s="689">
        <v>19.7</v>
      </c>
      <c r="K18703" s="689">
        <v>19.600000000000001</v>
      </c>
    </row>
    <row r="18704" spans="1:11">
      <c r="A18704" s="688" t="s">
        <v>4058</v>
      </c>
      <c r="B18704" s="692" t="s">
        <v>4060</v>
      </c>
      <c r="C18704" s="692" t="s">
        <v>4060</v>
      </c>
      <c r="D18704" s="692" t="s">
        <v>4060</v>
      </c>
      <c r="E18704" s="692" t="s">
        <v>4060</v>
      </c>
      <c r="F18704" s="692" t="s">
        <v>4060</v>
      </c>
      <c r="G18704" s="692" t="s">
        <v>4060</v>
      </c>
      <c r="H18704" s="692" t="s">
        <v>4060</v>
      </c>
      <c r="I18704" s="692" t="s">
        <v>4060</v>
      </c>
      <c r="J18704" s="692" t="s">
        <v>4060</v>
      </c>
      <c r="K18704" s="692" t="s">
        <v>4060</v>
      </c>
    </row>
    <row r="18705" spans="1:11">
      <c r="A18705" s="688" t="s">
        <v>11</v>
      </c>
      <c r="B18705" s="689">
        <v>15.8</v>
      </c>
      <c r="C18705" s="689">
        <v>15.6</v>
      </c>
      <c r="D18705" s="689">
        <v>15.2</v>
      </c>
      <c r="E18705" s="689">
        <v>15.7</v>
      </c>
      <c r="F18705" s="689">
        <v>15.5</v>
      </c>
      <c r="G18705" s="689">
        <v>15.8</v>
      </c>
      <c r="H18705" s="689">
        <v>15.9</v>
      </c>
      <c r="I18705" s="689">
        <v>15.4</v>
      </c>
      <c r="J18705" s="689">
        <v>14.8</v>
      </c>
      <c r="K18705" s="689">
        <v>15.4</v>
      </c>
    </row>
    <row r="18706" spans="1:11">
      <c r="A18706" s="688" t="s">
        <v>10</v>
      </c>
      <c r="B18706" s="691">
        <v>19.2</v>
      </c>
      <c r="C18706" s="691">
        <v>18.899999999999999</v>
      </c>
      <c r="D18706" s="691">
        <v>18.399999999999999</v>
      </c>
      <c r="E18706" s="615">
        <v>19</v>
      </c>
      <c r="F18706" s="691">
        <v>18.7</v>
      </c>
      <c r="G18706" s="615">
        <v>19</v>
      </c>
      <c r="H18706" s="691">
        <v>19.100000000000001</v>
      </c>
      <c r="I18706" s="691">
        <v>18.2</v>
      </c>
      <c r="J18706" s="691">
        <v>18.600000000000001</v>
      </c>
      <c r="K18706" s="691">
        <v>18.5</v>
      </c>
    </row>
    <row r="18707" spans="1:11">
      <c r="A18707" s="688" t="s">
        <v>30</v>
      </c>
      <c r="B18707" s="689">
        <v>18.2</v>
      </c>
      <c r="C18707" s="689">
        <v>17.600000000000001</v>
      </c>
      <c r="D18707" s="689">
        <v>17.3</v>
      </c>
      <c r="E18707" s="689">
        <v>18.100000000000001</v>
      </c>
      <c r="F18707" s="689">
        <v>17.8</v>
      </c>
      <c r="G18707" s="689">
        <v>18.2</v>
      </c>
      <c r="H18707" s="693">
        <v>18</v>
      </c>
      <c r="I18707" s="693">
        <v>18</v>
      </c>
      <c r="J18707" s="689">
        <v>17.7</v>
      </c>
      <c r="K18707" s="689">
        <v>17.600000000000001</v>
      </c>
    </row>
    <row r="18708" spans="1:11">
      <c r="A18708" s="688" t="s">
        <v>12</v>
      </c>
      <c r="B18708" s="691">
        <v>15.6</v>
      </c>
      <c r="C18708" s="691">
        <v>15.7</v>
      </c>
      <c r="D18708" s="691">
        <v>15.6</v>
      </c>
      <c r="E18708" s="691">
        <v>15.7</v>
      </c>
      <c r="F18708" s="691">
        <v>15.8</v>
      </c>
      <c r="G18708" s="691">
        <v>15.9</v>
      </c>
      <c r="H18708" s="691">
        <v>16.100000000000001</v>
      </c>
      <c r="I18708" s="691">
        <v>15.9</v>
      </c>
      <c r="J18708" s="691">
        <v>14.6</v>
      </c>
      <c r="K18708" s="691">
        <v>15.6</v>
      </c>
    </row>
    <row r="18709" spans="1:11">
      <c r="A18709" s="688" t="s">
        <v>14</v>
      </c>
      <c r="B18709" s="689">
        <v>16.100000000000001</v>
      </c>
      <c r="C18709" s="693">
        <v>16</v>
      </c>
      <c r="D18709" s="689">
        <v>15.8</v>
      </c>
      <c r="E18709" s="689">
        <v>15.9</v>
      </c>
      <c r="F18709" s="693">
        <v>16</v>
      </c>
      <c r="G18709" s="689">
        <v>16.2</v>
      </c>
      <c r="H18709" s="689">
        <v>16.5</v>
      </c>
      <c r="I18709" s="689">
        <v>15.8</v>
      </c>
      <c r="J18709" s="689">
        <v>15.1</v>
      </c>
      <c r="K18709" s="689">
        <v>15.9</v>
      </c>
    </row>
    <row r="18710" spans="1:11">
      <c r="A18710" s="688" t="s">
        <v>15</v>
      </c>
      <c r="B18710" s="691">
        <v>18.600000000000001</v>
      </c>
      <c r="C18710" s="691">
        <v>18.7</v>
      </c>
      <c r="D18710" s="691">
        <v>18.100000000000001</v>
      </c>
      <c r="E18710" s="691">
        <v>18.600000000000001</v>
      </c>
      <c r="F18710" s="691">
        <v>18.100000000000001</v>
      </c>
      <c r="G18710" s="691">
        <v>18.399999999999999</v>
      </c>
      <c r="H18710" s="691">
        <v>18.600000000000001</v>
      </c>
      <c r="I18710" s="691">
        <v>18.3</v>
      </c>
      <c r="J18710" s="691">
        <v>18.7</v>
      </c>
      <c r="K18710" s="691">
        <v>18.7</v>
      </c>
    </row>
    <row r="18711" spans="1:11">
      <c r="A18711" s="688" t="s">
        <v>29</v>
      </c>
      <c r="B18711" s="689">
        <v>15.4</v>
      </c>
      <c r="C18711" s="689">
        <v>15.3</v>
      </c>
      <c r="D18711" s="693">
        <v>15</v>
      </c>
      <c r="E18711" s="689">
        <v>15.5</v>
      </c>
      <c r="F18711" s="689">
        <v>15.2</v>
      </c>
      <c r="G18711" s="689">
        <v>15.3</v>
      </c>
      <c r="H18711" s="689">
        <v>15.4</v>
      </c>
      <c r="I18711" s="689">
        <v>14.8</v>
      </c>
      <c r="J18711" s="689">
        <v>14.3</v>
      </c>
      <c r="K18711" s="689">
        <v>15.1</v>
      </c>
    </row>
    <row r="18712" spans="1:11">
      <c r="A18712" s="688" t="s">
        <v>16</v>
      </c>
      <c r="B18712" s="615">
        <v>18</v>
      </c>
      <c r="C18712" s="691">
        <v>17.899999999999999</v>
      </c>
      <c r="D18712" s="691">
        <v>17.899999999999999</v>
      </c>
      <c r="E18712" s="691">
        <v>18.2</v>
      </c>
      <c r="F18712" s="691">
        <v>18.3</v>
      </c>
      <c r="G18712" s="691">
        <v>18.2</v>
      </c>
      <c r="H18712" s="691">
        <v>18.399999999999999</v>
      </c>
      <c r="I18712" s="691">
        <v>18.100000000000001</v>
      </c>
      <c r="J18712" s="691">
        <v>17.7</v>
      </c>
      <c r="K18712" s="691">
        <v>18.2</v>
      </c>
    </row>
    <row r="18713" spans="1:11">
      <c r="A18713" s="688" t="s">
        <v>17</v>
      </c>
      <c r="B18713" s="689">
        <v>17.899999999999999</v>
      </c>
      <c r="C18713" s="689">
        <v>17.899999999999999</v>
      </c>
      <c r="D18713" s="689">
        <v>17.600000000000001</v>
      </c>
      <c r="E18713" s="689">
        <v>17.7</v>
      </c>
      <c r="F18713" s="689">
        <v>17.7</v>
      </c>
      <c r="G18713" s="689">
        <v>17.7</v>
      </c>
      <c r="H18713" s="689">
        <v>17.899999999999999</v>
      </c>
      <c r="I18713" s="689">
        <v>17.399999999999999</v>
      </c>
      <c r="J18713" s="689">
        <v>17.5</v>
      </c>
      <c r="K18713" s="689">
        <v>17.5</v>
      </c>
    </row>
    <row r="18714" spans="1:11">
      <c r="A18714" s="688" t="s">
        <v>19</v>
      </c>
      <c r="B18714" s="691">
        <v>18.2</v>
      </c>
      <c r="C18714" s="691">
        <v>18.2</v>
      </c>
      <c r="D18714" s="691">
        <v>17.899999999999999</v>
      </c>
      <c r="E18714" s="691">
        <v>18.2</v>
      </c>
      <c r="F18714" s="691">
        <v>18.100000000000001</v>
      </c>
      <c r="G18714" s="691">
        <v>18.2</v>
      </c>
      <c r="H18714" s="691">
        <v>18.3</v>
      </c>
      <c r="I18714" s="691">
        <v>17.8</v>
      </c>
      <c r="J18714" s="691">
        <v>17.899999999999999</v>
      </c>
      <c r="K18714" s="691">
        <v>17.899999999999999</v>
      </c>
    </row>
    <row r="18715" spans="1:11">
      <c r="A18715" s="688" t="s">
        <v>20</v>
      </c>
      <c r="B18715" s="689">
        <v>16.8</v>
      </c>
      <c r="C18715" s="689">
        <v>16.899999999999999</v>
      </c>
      <c r="D18715" s="689">
        <v>16.7</v>
      </c>
      <c r="E18715" s="693">
        <v>17</v>
      </c>
      <c r="F18715" s="689">
        <v>16.899999999999999</v>
      </c>
      <c r="G18715" s="689">
        <v>16.8</v>
      </c>
      <c r="H18715" s="693">
        <v>17</v>
      </c>
      <c r="I18715" s="693">
        <v>16</v>
      </c>
      <c r="J18715" s="689">
        <v>15.3</v>
      </c>
      <c r="K18715" s="689">
        <v>16.399999999999999</v>
      </c>
    </row>
    <row r="18716" spans="1:11">
      <c r="A18716" s="688" t="s">
        <v>21</v>
      </c>
      <c r="B18716" s="691">
        <v>18.2</v>
      </c>
      <c r="C18716" s="691">
        <v>18.399999999999999</v>
      </c>
      <c r="D18716" s="691">
        <v>18.2</v>
      </c>
      <c r="E18716" s="691">
        <v>18.3</v>
      </c>
      <c r="F18716" s="691">
        <v>18.600000000000001</v>
      </c>
      <c r="G18716" s="691">
        <v>18.600000000000001</v>
      </c>
      <c r="H18716" s="691">
        <v>18.8</v>
      </c>
      <c r="I18716" s="691">
        <v>18.2</v>
      </c>
      <c r="J18716" s="691">
        <v>18.399999999999999</v>
      </c>
      <c r="K18716" s="691">
        <v>18.5</v>
      </c>
    </row>
    <row r="18717" spans="1:11">
      <c r="A18717" s="688" t="s">
        <v>22</v>
      </c>
      <c r="B18717" s="689">
        <v>15.1</v>
      </c>
      <c r="C18717" s="689">
        <v>14.9</v>
      </c>
      <c r="D18717" s="689">
        <v>14.8</v>
      </c>
      <c r="E18717" s="689">
        <v>15.1</v>
      </c>
      <c r="F18717" s="689">
        <v>15.1</v>
      </c>
      <c r="G18717" s="689">
        <v>15.2</v>
      </c>
      <c r="H18717" s="689">
        <v>15.5</v>
      </c>
      <c r="I18717" s="689">
        <v>14.7</v>
      </c>
      <c r="J18717" s="689">
        <v>13.5</v>
      </c>
      <c r="K18717" s="689">
        <v>14.9</v>
      </c>
    </row>
    <row r="18718" spans="1:11">
      <c r="A18718" s="688" t="s">
        <v>26</v>
      </c>
      <c r="B18718" s="615">
        <v>18</v>
      </c>
      <c r="C18718" s="691">
        <v>17.7</v>
      </c>
      <c r="D18718" s="691">
        <v>17.7</v>
      </c>
      <c r="E18718" s="615">
        <v>18</v>
      </c>
      <c r="F18718" s="615">
        <v>18</v>
      </c>
      <c r="G18718" s="691">
        <v>18.100000000000001</v>
      </c>
      <c r="H18718" s="691">
        <v>18.2</v>
      </c>
      <c r="I18718" s="691">
        <v>17.2</v>
      </c>
      <c r="J18718" s="691">
        <v>17.7</v>
      </c>
      <c r="K18718" s="615">
        <v>18</v>
      </c>
    </row>
    <row r="18719" spans="1:11">
      <c r="A18719" s="688" t="s">
        <v>25</v>
      </c>
      <c r="B18719" s="689">
        <v>15.6</v>
      </c>
      <c r="C18719" s="689">
        <v>15.8</v>
      </c>
      <c r="D18719" s="689">
        <v>15.6</v>
      </c>
      <c r="E18719" s="689">
        <v>15.9</v>
      </c>
      <c r="F18719" s="689">
        <v>15.8</v>
      </c>
      <c r="G18719" s="693">
        <v>16</v>
      </c>
      <c r="H18719" s="689">
        <v>16.399999999999999</v>
      </c>
      <c r="I18719" s="689">
        <v>15.7</v>
      </c>
      <c r="J18719" s="689">
        <v>14.1</v>
      </c>
      <c r="K18719" s="689">
        <v>15.6</v>
      </c>
    </row>
    <row r="18720" spans="1:11">
      <c r="A18720" s="688" t="s">
        <v>5</v>
      </c>
      <c r="B18720" s="691">
        <v>18.5</v>
      </c>
      <c r="C18720" s="691">
        <v>18.100000000000001</v>
      </c>
      <c r="D18720" s="691">
        <v>18.2</v>
      </c>
      <c r="E18720" s="691">
        <v>18.2</v>
      </c>
      <c r="F18720" s="691">
        <v>18.399999999999999</v>
      </c>
      <c r="G18720" s="691">
        <v>18.5</v>
      </c>
      <c r="H18720" s="691">
        <v>18.7</v>
      </c>
      <c r="I18720" s="691">
        <v>18.600000000000001</v>
      </c>
      <c r="J18720" s="691">
        <v>18.600000000000001</v>
      </c>
      <c r="K18720" s="615">
        <v>18</v>
      </c>
    </row>
    <row r="18721" spans="1:11">
      <c r="A18721" s="688" t="s">
        <v>23</v>
      </c>
      <c r="B18721" s="693">
        <v>18</v>
      </c>
      <c r="C18721" s="689">
        <v>18.100000000000001</v>
      </c>
      <c r="D18721" s="689">
        <v>18.100000000000001</v>
      </c>
      <c r="E18721" s="689">
        <v>18.100000000000001</v>
      </c>
      <c r="F18721" s="689">
        <v>18.100000000000001</v>
      </c>
      <c r="G18721" s="689">
        <v>18.2</v>
      </c>
      <c r="H18721" s="689">
        <v>18.600000000000001</v>
      </c>
      <c r="I18721" s="689">
        <v>18.100000000000001</v>
      </c>
      <c r="J18721" s="689">
        <v>18.600000000000001</v>
      </c>
      <c r="K18721" s="689">
        <v>18.5</v>
      </c>
    </row>
    <row r="18722" spans="1:11">
      <c r="A18722" s="688" t="s">
        <v>4067</v>
      </c>
      <c r="B18722" s="615">
        <v>18</v>
      </c>
      <c r="C18722" s="691">
        <v>18.3</v>
      </c>
      <c r="D18722" s="691">
        <v>17.899999999999999</v>
      </c>
      <c r="E18722" s="691">
        <v>18.3</v>
      </c>
      <c r="F18722" s="691">
        <v>18.100000000000001</v>
      </c>
      <c r="G18722" s="691">
        <v>18.2</v>
      </c>
      <c r="H18722" s="692" t="s">
        <v>4060</v>
      </c>
      <c r="I18722" s="692" t="s">
        <v>4060</v>
      </c>
      <c r="J18722" s="692" t="s">
        <v>4060</v>
      </c>
      <c r="K18722" s="692" t="s">
        <v>4060</v>
      </c>
    </row>
    <row r="18723" spans="1:11">
      <c r="A18723" s="688" t="s">
        <v>4066</v>
      </c>
      <c r="B18723" s="693">
        <v>18</v>
      </c>
      <c r="C18723" s="689">
        <v>18.399999999999999</v>
      </c>
      <c r="D18723" s="689">
        <v>17.899999999999999</v>
      </c>
      <c r="E18723" s="689">
        <v>18.3</v>
      </c>
      <c r="F18723" s="689">
        <v>18.2</v>
      </c>
      <c r="G18723" s="689">
        <v>18.3</v>
      </c>
      <c r="H18723" s="690" t="s">
        <v>4060</v>
      </c>
      <c r="I18723" s="690" t="s">
        <v>4060</v>
      </c>
      <c r="J18723" s="690" t="s">
        <v>4060</v>
      </c>
      <c r="K18723" s="690" t="s">
        <v>4060</v>
      </c>
    </row>
    <row r="18724" spans="1:11">
      <c r="A18724" s="688" t="s">
        <v>4062</v>
      </c>
      <c r="B18724" s="691">
        <v>18.600000000000001</v>
      </c>
      <c r="C18724" s="691">
        <v>18.7</v>
      </c>
      <c r="D18724" s="691">
        <v>18.5</v>
      </c>
      <c r="E18724" s="691">
        <v>18.8</v>
      </c>
      <c r="F18724" s="691">
        <v>18.7</v>
      </c>
      <c r="G18724" s="691">
        <v>18.899999999999999</v>
      </c>
      <c r="H18724" s="691">
        <v>18.899999999999999</v>
      </c>
      <c r="I18724" s="691">
        <v>18.7</v>
      </c>
      <c r="J18724" s="691">
        <v>18.899999999999999</v>
      </c>
      <c r="K18724" s="691">
        <v>18.7</v>
      </c>
    </row>
    <row r="18725" spans="1:11">
      <c r="A18725" s="688" t="s">
        <v>9</v>
      </c>
      <c r="B18725" s="689">
        <v>17.8</v>
      </c>
      <c r="C18725" s="689">
        <v>18.3</v>
      </c>
      <c r="D18725" s="689">
        <v>17.7</v>
      </c>
      <c r="E18725" s="689">
        <v>17.600000000000001</v>
      </c>
      <c r="F18725" s="689">
        <v>17.7</v>
      </c>
      <c r="G18725" s="689">
        <v>17.899999999999999</v>
      </c>
      <c r="H18725" s="689">
        <v>18.3</v>
      </c>
      <c r="I18725" s="689">
        <v>18.399999999999999</v>
      </c>
      <c r="J18725" s="689">
        <v>18.399999999999999</v>
      </c>
      <c r="K18725" s="689">
        <v>17.5</v>
      </c>
    </row>
    <row r="18726" spans="1:11">
      <c r="A18726" s="688" t="s">
        <v>13</v>
      </c>
      <c r="B18726" s="615">
        <v>19</v>
      </c>
      <c r="C18726" s="691">
        <v>16.899999999999999</v>
      </c>
      <c r="D18726" s="691">
        <v>18.3</v>
      </c>
      <c r="E18726" s="691">
        <v>18.8</v>
      </c>
      <c r="F18726" s="691">
        <v>19.399999999999999</v>
      </c>
      <c r="G18726" s="691">
        <v>18.7</v>
      </c>
      <c r="H18726" s="691">
        <v>18.5</v>
      </c>
      <c r="I18726" s="691">
        <v>17.899999999999999</v>
      </c>
      <c r="J18726" s="691">
        <v>19.2</v>
      </c>
      <c r="K18726" s="691">
        <v>18.399999999999999</v>
      </c>
    </row>
    <row r="18727" spans="1:11">
      <c r="A18727" s="688" t="s">
        <v>18</v>
      </c>
      <c r="B18727" s="693">
        <v>18</v>
      </c>
      <c r="C18727" s="689">
        <v>18.2</v>
      </c>
      <c r="D18727" s="689">
        <v>18.100000000000001</v>
      </c>
      <c r="E18727" s="689">
        <v>18.2</v>
      </c>
      <c r="F18727" s="689">
        <v>18.2</v>
      </c>
      <c r="G18727" s="689">
        <v>18.399999999999999</v>
      </c>
      <c r="H18727" s="689">
        <v>18.5</v>
      </c>
      <c r="I18727" s="689">
        <v>18.600000000000001</v>
      </c>
      <c r="J18727" s="689">
        <v>18.399999999999999</v>
      </c>
      <c r="K18727" s="689">
        <v>18.100000000000001</v>
      </c>
    </row>
    <row r="18728" spans="1:11">
      <c r="A18728" s="688" t="s">
        <v>24</v>
      </c>
      <c r="B18728" s="615">
        <v>19</v>
      </c>
      <c r="C18728" s="615">
        <v>19</v>
      </c>
      <c r="D18728" s="691">
        <v>18.7</v>
      </c>
      <c r="E18728" s="691">
        <v>19.100000000000001</v>
      </c>
      <c r="F18728" s="691">
        <v>19.100000000000001</v>
      </c>
      <c r="G18728" s="691">
        <v>19.2</v>
      </c>
      <c r="H18728" s="691">
        <v>19.2</v>
      </c>
      <c r="I18728" s="691">
        <v>18.7</v>
      </c>
      <c r="J18728" s="691">
        <v>19.2</v>
      </c>
      <c r="K18728" s="615">
        <v>19</v>
      </c>
    </row>
    <row r="18729" spans="1:11">
      <c r="A18729" s="688" t="s">
        <v>4059</v>
      </c>
      <c r="B18729" s="689">
        <v>17.7</v>
      </c>
      <c r="C18729" s="693">
        <v>18</v>
      </c>
      <c r="D18729" s="689">
        <v>17.5</v>
      </c>
      <c r="E18729" s="689">
        <v>17.8</v>
      </c>
      <c r="F18729" s="689">
        <v>17.8</v>
      </c>
      <c r="G18729" s="689">
        <v>17.8</v>
      </c>
      <c r="H18729" s="690" t="s">
        <v>4060</v>
      </c>
      <c r="I18729" s="690" t="s">
        <v>4060</v>
      </c>
      <c r="J18729" s="690" t="s">
        <v>4060</v>
      </c>
      <c r="K18729" s="690" t="s">
        <v>4060</v>
      </c>
    </row>
    <row r="18730" spans="1:11">
      <c r="A18730" s="688" t="s">
        <v>2324</v>
      </c>
      <c r="B18730" s="691">
        <v>14.4</v>
      </c>
      <c r="C18730" s="691">
        <v>14.4</v>
      </c>
      <c r="D18730" s="691">
        <v>14.1</v>
      </c>
      <c r="E18730" s="691">
        <v>14.3</v>
      </c>
      <c r="F18730" s="691">
        <v>14.5</v>
      </c>
      <c r="G18730" s="691">
        <v>14.5</v>
      </c>
      <c r="H18730" s="691">
        <v>14.7</v>
      </c>
      <c r="I18730" s="691">
        <v>14.2</v>
      </c>
      <c r="J18730" s="691">
        <v>12.4</v>
      </c>
      <c r="K18730" s="692" t="s">
        <v>4060</v>
      </c>
    </row>
    <row r="18731" spans="1:11">
      <c r="A18731" s="688" t="s">
        <v>2322</v>
      </c>
      <c r="B18731" s="690" t="s">
        <v>4060</v>
      </c>
      <c r="C18731" s="690" t="s">
        <v>4060</v>
      </c>
      <c r="D18731" s="690" t="s">
        <v>4060</v>
      </c>
      <c r="E18731" s="690" t="s">
        <v>4060</v>
      </c>
      <c r="F18731" s="690" t="s">
        <v>4060</v>
      </c>
      <c r="G18731" s="690" t="s">
        <v>4060</v>
      </c>
      <c r="H18731" s="690" t="s">
        <v>4060</v>
      </c>
      <c r="I18731" s="690" t="s">
        <v>4060</v>
      </c>
      <c r="J18731" s="690" t="s">
        <v>4060</v>
      </c>
      <c r="K18731" s="690" t="s">
        <v>4060</v>
      </c>
    </row>
    <row r="18732" spans="1:11">
      <c r="A18732" s="688" t="s">
        <v>2328</v>
      </c>
      <c r="B18732" s="691">
        <v>13.3</v>
      </c>
      <c r="C18732" s="691">
        <v>13.2</v>
      </c>
      <c r="D18732" s="691">
        <v>13.1</v>
      </c>
      <c r="E18732" s="691">
        <v>13.5</v>
      </c>
      <c r="F18732" s="691">
        <v>13.5</v>
      </c>
      <c r="G18732" s="615">
        <v>14</v>
      </c>
      <c r="H18732" s="691">
        <v>13.8</v>
      </c>
      <c r="I18732" s="691">
        <v>12.8</v>
      </c>
      <c r="J18732" s="691">
        <v>12.1</v>
      </c>
      <c r="K18732" s="692" t="s">
        <v>4060</v>
      </c>
    </row>
    <row r="18733" spans="1:11">
      <c r="A18733" s="688" t="s">
        <v>2496</v>
      </c>
      <c r="B18733" s="690" t="s">
        <v>4060</v>
      </c>
      <c r="C18733" s="689">
        <v>14.6</v>
      </c>
      <c r="D18733" s="689">
        <v>13.9</v>
      </c>
      <c r="E18733" s="689">
        <v>13.5</v>
      </c>
      <c r="F18733" s="689">
        <v>13.8</v>
      </c>
      <c r="G18733" s="689">
        <v>14.1</v>
      </c>
      <c r="H18733" s="689">
        <v>14.1</v>
      </c>
      <c r="I18733" s="690" t="s">
        <v>4060</v>
      </c>
      <c r="J18733" s="690" t="s">
        <v>4060</v>
      </c>
      <c r="K18733" s="689">
        <v>13.8</v>
      </c>
    </row>
    <row r="18734" spans="1:11">
      <c r="A18734" s="688" t="s">
        <v>2269</v>
      </c>
      <c r="B18734" s="615">
        <v>15</v>
      </c>
      <c r="C18734" s="615">
        <v>15</v>
      </c>
      <c r="D18734" s="691">
        <v>14.4</v>
      </c>
      <c r="E18734" s="691">
        <v>14.8</v>
      </c>
      <c r="F18734" s="691">
        <v>14.6</v>
      </c>
      <c r="G18734" s="691">
        <v>15.1</v>
      </c>
      <c r="H18734" s="691">
        <v>15.3</v>
      </c>
      <c r="I18734" s="691">
        <v>14.3</v>
      </c>
      <c r="J18734" s="691">
        <v>12.5</v>
      </c>
      <c r="K18734" s="691">
        <v>14.9</v>
      </c>
    </row>
    <row r="18735" spans="1:11">
      <c r="A18735" s="688" t="s">
        <v>2349</v>
      </c>
      <c r="B18735" s="689">
        <v>13.8</v>
      </c>
      <c r="C18735" s="689">
        <v>13.8</v>
      </c>
      <c r="D18735" s="689">
        <v>13.8</v>
      </c>
      <c r="E18735" s="689">
        <v>14.1</v>
      </c>
      <c r="F18735" s="689">
        <v>13.9</v>
      </c>
      <c r="G18735" s="689">
        <v>14.2</v>
      </c>
      <c r="H18735" s="689">
        <v>14.3</v>
      </c>
      <c r="I18735" s="689">
        <v>13.5</v>
      </c>
      <c r="J18735" s="689">
        <v>12.3</v>
      </c>
      <c r="K18735" s="689">
        <v>13.6</v>
      </c>
    </row>
    <row r="18736" spans="1:11">
      <c r="A18736" s="688" t="s">
        <v>2355</v>
      </c>
      <c r="B18736" s="691">
        <v>16.600000000000001</v>
      </c>
      <c r="C18736" s="691">
        <v>16.3</v>
      </c>
      <c r="D18736" s="691">
        <v>16.3</v>
      </c>
      <c r="E18736" s="691">
        <v>16.2</v>
      </c>
      <c r="F18736" s="691">
        <v>16.3</v>
      </c>
      <c r="G18736" s="691">
        <v>16.7</v>
      </c>
      <c r="H18736" s="691">
        <v>16.7</v>
      </c>
      <c r="I18736" s="692" t="s">
        <v>4060</v>
      </c>
      <c r="J18736" s="692" t="s">
        <v>4060</v>
      </c>
      <c r="K18736" s="692" t="s">
        <v>4060</v>
      </c>
    </row>
    <row r="18737" spans="1:11">
      <c r="A18737" s="688" t="s">
        <v>2357</v>
      </c>
      <c r="B18737" s="690" t="s">
        <v>4060</v>
      </c>
      <c r="C18737" s="689">
        <v>14.1</v>
      </c>
      <c r="D18737" s="689">
        <v>14.4</v>
      </c>
      <c r="E18737" s="689">
        <v>14.6</v>
      </c>
      <c r="F18737" s="689">
        <v>14.8</v>
      </c>
      <c r="G18737" s="689">
        <v>14.7</v>
      </c>
      <c r="H18737" s="689">
        <v>14.9</v>
      </c>
      <c r="I18737" s="690" t="s">
        <v>4060</v>
      </c>
      <c r="J18737" s="690" t="s">
        <v>4060</v>
      </c>
      <c r="K18737" s="690" t="s">
        <v>4060</v>
      </c>
    </row>
    <row r="18738" spans="1:11">
      <c r="A18738" s="688" t="s">
        <v>4070</v>
      </c>
      <c r="B18738" s="692" t="s">
        <v>4060</v>
      </c>
      <c r="C18738" s="692" t="s">
        <v>4060</v>
      </c>
      <c r="D18738" s="692" t="s">
        <v>4060</v>
      </c>
      <c r="E18738" s="691">
        <v>16.8</v>
      </c>
      <c r="F18738" s="692" t="s">
        <v>4060</v>
      </c>
      <c r="G18738" s="692" t="s">
        <v>4060</v>
      </c>
      <c r="H18738" s="692" t="s">
        <v>4060</v>
      </c>
      <c r="I18738" s="692" t="s">
        <v>4060</v>
      </c>
      <c r="J18738" s="692" t="s">
        <v>4060</v>
      </c>
      <c r="K18738" s="692" t="s">
        <v>4060</v>
      </c>
    </row>
    <row r="18739" spans="1:11">
      <c r="A18739" s="688" t="s">
        <v>2491</v>
      </c>
      <c r="B18739" s="689">
        <v>14.6</v>
      </c>
      <c r="C18739" s="689">
        <v>14.9</v>
      </c>
      <c r="D18739" s="693">
        <v>15</v>
      </c>
      <c r="E18739" s="689">
        <v>15.1</v>
      </c>
      <c r="F18739" s="689">
        <v>15.1</v>
      </c>
      <c r="G18739" s="689">
        <v>15.2</v>
      </c>
      <c r="H18739" s="690" t="s">
        <v>4060</v>
      </c>
      <c r="I18739" s="690" t="s">
        <v>4060</v>
      </c>
      <c r="J18739" s="690" t="s">
        <v>4060</v>
      </c>
      <c r="K18739" s="690" t="s">
        <v>4060</v>
      </c>
    </row>
    <row r="18740" spans="1:11">
      <c r="A18740" s="688" t="s">
        <v>2343</v>
      </c>
      <c r="B18740" s="692" t="s">
        <v>4060</v>
      </c>
      <c r="C18740" s="692" t="s">
        <v>4060</v>
      </c>
      <c r="D18740" s="692" t="s">
        <v>4060</v>
      </c>
      <c r="E18740" s="692" t="s">
        <v>4060</v>
      </c>
      <c r="F18740" s="692" t="s">
        <v>4060</v>
      </c>
      <c r="G18740" s="692" t="s">
        <v>4060</v>
      </c>
      <c r="H18740" s="692" t="s">
        <v>4060</v>
      </c>
      <c r="I18740" s="692" t="s">
        <v>4060</v>
      </c>
      <c r="J18740" s="692" t="s">
        <v>4060</v>
      </c>
      <c r="K18740" s="692" t="s">
        <v>4060</v>
      </c>
    </row>
    <row r="18741" spans="1:11">
      <c r="A18741" s="688" t="s">
        <v>4071</v>
      </c>
      <c r="B18741" s="690" t="s">
        <v>4060</v>
      </c>
      <c r="C18741" s="690" t="s">
        <v>4060</v>
      </c>
      <c r="D18741" s="690" t="s">
        <v>4060</v>
      </c>
      <c r="E18741" s="690" t="s">
        <v>4060</v>
      </c>
      <c r="F18741" s="690" t="s">
        <v>4060</v>
      </c>
      <c r="G18741" s="690" t="s">
        <v>4060</v>
      </c>
      <c r="H18741" s="690" t="s">
        <v>4060</v>
      </c>
      <c r="I18741" s="690" t="s">
        <v>4060</v>
      </c>
      <c r="J18741" s="690" t="s">
        <v>4060</v>
      </c>
      <c r="K18741" s="690" t="s">
        <v>4060</v>
      </c>
    </row>
    <row r="18742" spans="1:11">
      <c r="A18742" s="688" t="s">
        <v>2489</v>
      </c>
      <c r="B18742" s="692" t="s">
        <v>4060</v>
      </c>
      <c r="C18742" s="692" t="s">
        <v>4060</v>
      </c>
      <c r="D18742" s="691">
        <v>14.2</v>
      </c>
      <c r="E18742" s="691">
        <v>14.1</v>
      </c>
      <c r="F18742" s="691">
        <v>14.4</v>
      </c>
      <c r="G18742" s="615">
        <v>15</v>
      </c>
      <c r="H18742" s="691">
        <v>14.9</v>
      </c>
      <c r="I18742" s="692" t="s">
        <v>4060</v>
      </c>
      <c r="J18742" s="692" t="s">
        <v>4060</v>
      </c>
      <c r="K18742" s="692" t="s">
        <v>4060</v>
      </c>
    </row>
    <row r="18743" spans="1:11">
      <c r="A18743" s="688" t="s">
        <v>2490</v>
      </c>
      <c r="B18743" s="689">
        <v>13.5</v>
      </c>
      <c r="C18743" s="689">
        <v>13.5</v>
      </c>
      <c r="D18743" s="689">
        <v>14.1</v>
      </c>
      <c r="E18743" s="690" t="s">
        <v>4060</v>
      </c>
      <c r="F18743" s="689">
        <v>14.2</v>
      </c>
      <c r="G18743" s="689">
        <v>14.4</v>
      </c>
      <c r="H18743" s="689">
        <v>15.1</v>
      </c>
      <c r="I18743" s="690" t="s">
        <v>4060</v>
      </c>
      <c r="J18743" s="690" t="s">
        <v>4060</v>
      </c>
      <c r="K18743" s="690" t="s">
        <v>4060</v>
      </c>
    </row>
    <row r="18745" spans="1:11">
      <c r="A18745" s="683" t="s">
        <v>4233</v>
      </c>
    </row>
    <row r="18746" spans="1:11">
      <c r="A18746" s="683" t="s">
        <v>4060</v>
      </c>
      <c r="B18746" s="682" t="s">
        <v>4234</v>
      </c>
    </row>
    <row r="18748" spans="1:11">
      <c r="A18748" s="682" t="s">
        <v>4332</v>
      </c>
    </row>
    <row r="18749" spans="1:11">
      <c r="A18749" s="682" t="s">
        <v>4210</v>
      </c>
      <c r="B18749" s="683" t="s">
        <v>4211</v>
      </c>
    </row>
    <row r="18750" spans="1:11">
      <c r="A18750" s="682" t="s">
        <v>4212</v>
      </c>
      <c r="B18750" s="682" t="s">
        <v>4213</v>
      </c>
    </row>
    <row r="18752" spans="1:11">
      <c r="A18752" s="683" t="s">
        <v>4214</v>
      </c>
      <c r="C18752" s="682" t="s">
        <v>4215</v>
      </c>
    </row>
    <row r="18753" spans="1:11">
      <c r="A18753" s="683" t="s">
        <v>4216</v>
      </c>
      <c r="C18753" s="682" t="s">
        <v>2967</v>
      </c>
    </row>
    <row r="18754" spans="1:11">
      <c r="A18754" s="683" t="s">
        <v>3893</v>
      </c>
      <c r="C18754" s="682" t="s">
        <v>2169</v>
      </c>
    </row>
    <row r="18755" spans="1:11">
      <c r="A18755" s="683" t="s">
        <v>4218</v>
      </c>
      <c r="C18755" s="682" t="s">
        <v>4304</v>
      </c>
    </row>
    <row r="18757" spans="1:11">
      <c r="A18757" s="684" t="s">
        <v>4220</v>
      </c>
      <c r="B18757" s="685" t="s">
        <v>4221</v>
      </c>
      <c r="C18757" s="685" t="s">
        <v>4222</v>
      </c>
      <c r="D18757" s="685" t="s">
        <v>4223</v>
      </c>
      <c r="E18757" s="685" t="s">
        <v>4224</v>
      </c>
      <c r="F18757" s="685" t="s">
        <v>4225</v>
      </c>
      <c r="G18757" s="685" t="s">
        <v>4226</v>
      </c>
      <c r="H18757" s="685" t="s">
        <v>4227</v>
      </c>
      <c r="I18757" s="685" t="s">
        <v>4228</v>
      </c>
      <c r="J18757" s="685" t="s">
        <v>4229</v>
      </c>
      <c r="K18757" s="685" t="s">
        <v>4230</v>
      </c>
    </row>
    <row r="18758" spans="1:11">
      <c r="A18758" s="686" t="s">
        <v>4231</v>
      </c>
      <c r="B18758" s="687" t="s">
        <v>4232</v>
      </c>
      <c r="C18758" s="687" t="s">
        <v>4232</v>
      </c>
      <c r="D18758" s="687" t="s">
        <v>4232</v>
      </c>
      <c r="E18758" s="687" t="s">
        <v>4232</v>
      </c>
      <c r="F18758" s="687" t="s">
        <v>4232</v>
      </c>
      <c r="G18758" s="687" t="s">
        <v>4232</v>
      </c>
      <c r="H18758" s="687" t="s">
        <v>4232</v>
      </c>
      <c r="I18758" s="687" t="s">
        <v>4232</v>
      </c>
      <c r="J18758" s="687" t="s">
        <v>4232</v>
      </c>
      <c r="K18758" s="687" t="s">
        <v>4232</v>
      </c>
    </row>
    <row r="18759" spans="1:11">
      <c r="A18759" s="688" t="s">
        <v>4064</v>
      </c>
      <c r="B18759" s="689">
        <v>17.3</v>
      </c>
      <c r="C18759" s="689">
        <v>17.2</v>
      </c>
      <c r="D18759" s="689">
        <v>17.2</v>
      </c>
      <c r="E18759" s="689">
        <v>17.2</v>
      </c>
      <c r="F18759" s="689">
        <v>17.2</v>
      </c>
      <c r="G18759" s="689">
        <v>17.3</v>
      </c>
      <c r="H18759" s="689">
        <v>17.5</v>
      </c>
      <c r="I18759" s="689">
        <v>16.8</v>
      </c>
      <c r="J18759" s="689">
        <v>16.7</v>
      </c>
      <c r="K18759" s="693">
        <v>17</v>
      </c>
    </row>
    <row r="18760" spans="1:11">
      <c r="A18760" s="688" t="s">
        <v>4065</v>
      </c>
      <c r="B18760" s="691">
        <v>17.2</v>
      </c>
      <c r="C18760" s="691">
        <v>17.5</v>
      </c>
      <c r="D18760" s="691">
        <v>17.100000000000001</v>
      </c>
      <c r="E18760" s="691">
        <v>17.5</v>
      </c>
      <c r="F18760" s="691">
        <v>17.3</v>
      </c>
      <c r="G18760" s="691">
        <v>17.399999999999999</v>
      </c>
      <c r="H18760" s="692" t="s">
        <v>4060</v>
      </c>
      <c r="I18760" s="692" t="s">
        <v>4060</v>
      </c>
      <c r="J18760" s="692" t="s">
        <v>4060</v>
      </c>
      <c r="K18760" s="692" t="s">
        <v>4060</v>
      </c>
    </row>
    <row r="18761" spans="1:11">
      <c r="A18761" s="688" t="s">
        <v>4063</v>
      </c>
      <c r="B18761" s="689">
        <v>17.2</v>
      </c>
      <c r="C18761" s="689">
        <v>17.5</v>
      </c>
      <c r="D18761" s="689">
        <v>17.100000000000001</v>
      </c>
      <c r="E18761" s="689">
        <v>17.5</v>
      </c>
      <c r="F18761" s="689">
        <v>17.399999999999999</v>
      </c>
      <c r="G18761" s="689">
        <v>17.5</v>
      </c>
      <c r="H18761" s="690" t="s">
        <v>4060</v>
      </c>
      <c r="I18761" s="690" t="s">
        <v>4060</v>
      </c>
      <c r="J18761" s="690" t="s">
        <v>4060</v>
      </c>
      <c r="K18761" s="690" t="s">
        <v>4060</v>
      </c>
    </row>
    <row r="18762" spans="1:11">
      <c r="A18762" s="688" t="s">
        <v>4069</v>
      </c>
      <c r="B18762" s="692" t="s">
        <v>4060</v>
      </c>
      <c r="C18762" s="691">
        <v>17.7</v>
      </c>
      <c r="D18762" s="691">
        <v>17.399999999999999</v>
      </c>
      <c r="E18762" s="691">
        <v>17.7</v>
      </c>
      <c r="F18762" s="691">
        <v>17.7</v>
      </c>
      <c r="G18762" s="691">
        <v>17.8</v>
      </c>
      <c r="H18762" s="615">
        <v>18</v>
      </c>
      <c r="I18762" s="691">
        <v>17.399999999999999</v>
      </c>
      <c r="J18762" s="691">
        <v>17.5</v>
      </c>
      <c r="K18762" s="691">
        <v>17.5</v>
      </c>
    </row>
    <row r="18763" spans="1:11">
      <c r="A18763" s="688" t="s">
        <v>4068</v>
      </c>
      <c r="B18763" s="689">
        <v>17.899999999999999</v>
      </c>
      <c r="C18763" s="690" t="s">
        <v>4060</v>
      </c>
      <c r="D18763" s="690" t="s">
        <v>4060</v>
      </c>
      <c r="E18763" s="690" t="s">
        <v>4060</v>
      </c>
      <c r="F18763" s="690" t="s">
        <v>4060</v>
      </c>
      <c r="G18763" s="690" t="s">
        <v>4060</v>
      </c>
      <c r="H18763" s="690" t="s">
        <v>4060</v>
      </c>
      <c r="I18763" s="690" t="s">
        <v>4060</v>
      </c>
      <c r="J18763" s="690" t="s">
        <v>4060</v>
      </c>
      <c r="K18763" s="690" t="s">
        <v>4060</v>
      </c>
    </row>
    <row r="18764" spans="1:11">
      <c r="A18764" s="688" t="s">
        <v>0</v>
      </c>
      <c r="B18764" s="691">
        <v>17.3</v>
      </c>
      <c r="C18764" s="691">
        <v>17.399999999999999</v>
      </c>
      <c r="D18764" s="691">
        <v>17.100000000000001</v>
      </c>
      <c r="E18764" s="691">
        <v>17.5</v>
      </c>
      <c r="F18764" s="691">
        <v>17.399999999999999</v>
      </c>
      <c r="G18764" s="691">
        <v>17.5</v>
      </c>
      <c r="H18764" s="691">
        <v>17.7</v>
      </c>
      <c r="I18764" s="691">
        <v>16.7</v>
      </c>
      <c r="J18764" s="691">
        <v>17.7</v>
      </c>
      <c r="K18764" s="691">
        <v>17.399999999999999</v>
      </c>
    </row>
    <row r="18765" spans="1:11">
      <c r="A18765" s="688" t="s">
        <v>1</v>
      </c>
      <c r="B18765" s="693">
        <v>14</v>
      </c>
      <c r="C18765" s="689">
        <v>13.6</v>
      </c>
      <c r="D18765" s="689">
        <v>13.6</v>
      </c>
      <c r="E18765" s="689">
        <v>13.9</v>
      </c>
      <c r="F18765" s="689">
        <v>13.8</v>
      </c>
      <c r="G18765" s="693">
        <v>14</v>
      </c>
      <c r="H18765" s="689">
        <v>14.1</v>
      </c>
      <c r="I18765" s="689">
        <v>13.4</v>
      </c>
      <c r="J18765" s="689">
        <v>12.2</v>
      </c>
      <c r="K18765" s="689">
        <v>13.7</v>
      </c>
    </row>
    <row r="18766" spans="1:11">
      <c r="A18766" s="688" t="s">
        <v>2240</v>
      </c>
      <c r="B18766" s="691">
        <v>15.4</v>
      </c>
      <c r="C18766" s="691">
        <v>15.6</v>
      </c>
      <c r="D18766" s="691">
        <v>15.3</v>
      </c>
      <c r="E18766" s="691">
        <v>15.7</v>
      </c>
      <c r="F18766" s="691">
        <v>15.6</v>
      </c>
      <c r="G18766" s="691">
        <v>15.7</v>
      </c>
      <c r="H18766" s="691">
        <v>15.9</v>
      </c>
      <c r="I18766" s="691">
        <v>15.1</v>
      </c>
      <c r="J18766" s="691">
        <v>14.8</v>
      </c>
      <c r="K18766" s="691">
        <v>15.7</v>
      </c>
    </row>
    <row r="18767" spans="1:11">
      <c r="A18767" s="688" t="s">
        <v>2</v>
      </c>
      <c r="B18767" s="689">
        <v>16.399999999999999</v>
      </c>
      <c r="C18767" s="689">
        <v>16.600000000000001</v>
      </c>
      <c r="D18767" s="689">
        <v>16.600000000000001</v>
      </c>
      <c r="E18767" s="689">
        <v>16.7</v>
      </c>
      <c r="F18767" s="689">
        <v>16.8</v>
      </c>
      <c r="G18767" s="689">
        <v>16.7</v>
      </c>
      <c r="H18767" s="693">
        <v>17</v>
      </c>
      <c r="I18767" s="689">
        <v>17.100000000000001</v>
      </c>
      <c r="J18767" s="689">
        <v>16.899999999999999</v>
      </c>
      <c r="K18767" s="689">
        <v>16.7</v>
      </c>
    </row>
    <row r="18768" spans="1:11">
      <c r="A18768" s="688" t="s">
        <v>3</v>
      </c>
      <c r="B18768" s="691">
        <v>16.8</v>
      </c>
      <c r="C18768" s="615">
        <v>17</v>
      </c>
      <c r="D18768" s="691">
        <v>16.7</v>
      </c>
      <c r="E18768" s="691">
        <v>17.100000000000001</v>
      </c>
      <c r="F18768" s="615">
        <v>17</v>
      </c>
      <c r="G18768" s="615">
        <v>17</v>
      </c>
      <c r="H18768" s="691">
        <v>17.2</v>
      </c>
      <c r="I18768" s="615">
        <v>17</v>
      </c>
      <c r="J18768" s="691">
        <v>16.899999999999999</v>
      </c>
      <c r="K18768" s="691">
        <v>16.600000000000001</v>
      </c>
    </row>
    <row r="18769" spans="1:11">
      <c r="A18769" s="688" t="s">
        <v>4061</v>
      </c>
      <c r="B18769" s="689">
        <v>16.8</v>
      </c>
      <c r="C18769" s="693">
        <v>17</v>
      </c>
      <c r="D18769" s="689">
        <v>16.7</v>
      </c>
      <c r="E18769" s="689">
        <v>17.100000000000001</v>
      </c>
      <c r="F18769" s="693">
        <v>17</v>
      </c>
      <c r="G18769" s="693">
        <v>17</v>
      </c>
      <c r="H18769" s="689">
        <v>17.2</v>
      </c>
      <c r="I18769" s="693">
        <v>17</v>
      </c>
      <c r="J18769" s="689">
        <v>16.899999999999999</v>
      </c>
      <c r="K18769" s="689">
        <v>16.600000000000001</v>
      </c>
    </row>
    <row r="18770" spans="1:11">
      <c r="A18770" s="688" t="s">
        <v>4</v>
      </c>
      <c r="B18770" s="691">
        <v>16.2</v>
      </c>
      <c r="C18770" s="615">
        <v>16</v>
      </c>
      <c r="D18770" s="691">
        <v>16.2</v>
      </c>
      <c r="E18770" s="691">
        <v>16.399999999999999</v>
      </c>
      <c r="F18770" s="691">
        <v>16.399999999999999</v>
      </c>
      <c r="G18770" s="691">
        <v>16.399999999999999</v>
      </c>
      <c r="H18770" s="691">
        <v>16.7</v>
      </c>
      <c r="I18770" s="691">
        <v>16.8</v>
      </c>
      <c r="J18770" s="691">
        <v>15.7</v>
      </c>
      <c r="K18770" s="691">
        <v>16.3</v>
      </c>
    </row>
    <row r="18771" spans="1:11">
      <c r="A18771" s="688" t="s">
        <v>8</v>
      </c>
      <c r="B18771" s="689">
        <v>16.7</v>
      </c>
      <c r="C18771" s="689">
        <v>16.8</v>
      </c>
      <c r="D18771" s="689">
        <v>16.7</v>
      </c>
      <c r="E18771" s="689">
        <v>16.8</v>
      </c>
      <c r="F18771" s="689">
        <v>17.100000000000001</v>
      </c>
      <c r="G18771" s="689">
        <v>17.2</v>
      </c>
      <c r="H18771" s="689">
        <v>17.5</v>
      </c>
      <c r="I18771" s="689">
        <v>17.3</v>
      </c>
      <c r="J18771" s="689">
        <v>17.3</v>
      </c>
      <c r="K18771" s="689">
        <v>17.2</v>
      </c>
    </row>
    <row r="18772" spans="1:11">
      <c r="A18772" s="688" t="s">
        <v>7</v>
      </c>
      <c r="B18772" s="691">
        <v>17.3</v>
      </c>
      <c r="C18772" s="615">
        <v>17</v>
      </c>
      <c r="D18772" s="691">
        <v>16.8</v>
      </c>
      <c r="E18772" s="691">
        <v>17.100000000000001</v>
      </c>
      <c r="F18772" s="615">
        <v>17</v>
      </c>
      <c r="G18772" s="691">
        <v>17.399999999999999</v>
      </c>
      <c r="H18772" s="691">
        <v>17.3</v>
      </c>
      <c r="I18772" s="691">
        <v>17.100000000000001</v>
      </c>
      <c r="J18772" s="691">
        <v>16.5</v>
      </c>
      <c r="K18772" s="691">
        <v>16.7</v>
      </c>
    </row>
    <row r="18773" spans="1:11">
      <c r="A18773" s="688" t="s">
        <v>27</v>
      </c>
      <c r="B18773" s="689">
        <v>19.100000000000001</v>
      </c>
      <c r="C18773" s="689">
        <v>18.5</v>
      </c>
      <c r="D18773" s="689">
        <v>18.2</v>
      </c>
      <c r="E18773" s="689">
        <v>18.600000000000001</v>
      </c>
      <c r="F18773" s="689">
        <v>18.600000000000001</v>
      </c>
      <c r="G18773" s="689">
        <v>18.7</v>
      </c>
      <c r="H18773" s="693">
        <v>19</v>
      </c>
      <c r="I18773" s="689">
        <v>17.899999999999999</v>
      </c>
      <c r="J18773" s="689">
        <v>18.7</v>
      </c>
      <c r="K18773" s="689">
        <v>18.600000000000001</v>
      </c>
    </row>
    <row r="18774" spans="1:11">
      <c r="A18774" s="688" t="s">
        <v>6</v>
      </c>
      <c r="B18774" s="691">
        <v>19.399999999999999</v>
      </c>
      <c r="C18774" s="615">
        <v>19</v>
      </c>
      <c r="D18774" s="691">
        <v>18.8</v>
      </c>
      <c r="E18774" s="615">
        <v>19</v>
      </c>
      <c r="F18774" s="615">
        <v>19</v>
      </c>
      <c r="G18774" s="691">
        <v>19.100000000000001</v>
      </c>
      <c r="H18774" s="691">
        <v>19.2</v>
      </c>
      <c r="I18774" s="691">
        <v>18.7</v>
      </c>
      <c r="J18774" s="691">
        <v>18.899999999999999</v>
      </c>
      <c r="K18774" s="691">
        <v>18.8</v>
      </c>
    </row>
    <row r="18775" spans="1:11">
      <c r="A18775" s="688" t="s">
        <v>4058</v>
      </c>
      <c r="B18775" s="690" t="s">
        <v>4060</v>
      </c>
      <c r="C18775" s="690" t="s">
        <v>4060</v>
      </c>
      <c r="D18775" s="690" t="s">
        <v>4060</v>
      </c>
      <c r="E18775" s="690" t="s">
        <v>4060</v>
      </c>
      <c r="F18775" s="690" t="s">
        <v>4060</v>
      </c>
      <c r="G18775" s="690" t="s">
        <v>4060</v>
      </c>
      <c r="H18775" s="690" t="s">
        <v>4060</v>
      </c>
      <c r="I18775" s="690" t="s">
        <v>4060</v>
      </c>
      <c r="J18775" s="690" t="s">
        <v>4060</v>
      </c>
      <c r="K18775" s="690" t="s">
        <v>4060</v>
      </c>
    </row>
    <row r="18776" spans="1:11">
      <c r="A18776" s="688" t="s">
        <v>11</v>
      </c>
      <c r="B18776" s="615">
        <v>15</v>
      </c>
      <c r="C18776" s="691">
        <v>14.8</v>
      </c>
      <c r="D18776" s="691">
        <v>14.5</v>
      </c>
      <c r="E18776" s="615">
        <v>15</v>
      </c>
      <c r="F18776" s="691">
        <v>14.7</v>
      </c>
      <c r="G18776" s="615">
        <v>15</v>
      </c>
      <c r="H18776" s="691">
        <v>15.1</v>
      </c>
      <c r="I18776" s="691">
        <v>14.6</v>
      </c>
      <c r="J18776" s="691">
        <v>14.1</v>
      </c>
      <c r="K18776" s="691">
        <v>14.6</v>
      </c>
    </row>
    <row r="18777" spans="1:11">
      <c r="A18777" s="688" t="s">
        <v>10</v>
      </c>
      <c r="B18777" s="689">
        <v>18.3</v>
      </c>
      <c r="C18777" s="693">
        <v>18</v>
      </c>
      <c r="D18777" s="689">
        <v>17.600000000000001</v>
      </c>
      <c r="E18777" s="689">
        <v>18.100000000000001</v>
      </c>
      <c r="F18777" s="689">
        <v>17.899999999999999</v>
      </c>
      <c r="G18777" s="689">
        <v>18.2</v>
      </c>
      <c r="H18777" s="689">
        <v>18.3</v>
      </c>
      <c r="I18777" s="689">
        <v>17.399999999999999</v>
      </c>
      <c r="J18777" s="689">
        <v>17.8</v>
      </c>
      <c r="K18777" s="689">
        <v>17.600000000000001</v>
      </c>
    </row>
    <row r="18778" spans="1:11">
      <c r="A18778" s="688" t="s">
        <v>30</v>
      </c>
      <c r="B18778" s="691">
        <v>17.399999999999999</v>
      </c>
      <c r="C18778" s="691">
        <v>16.8</v>
      </c>
      <c r="D18778" s="691">
        <v>16.5</v>
      </c>
      <c r="E18778" s="691">
        <v>17.3</v>
      </c>
      <c r="F18778" s="691">
        <v>16.899999999999999</v>
      </c>
      <c r="G18778" s="691">
        <v>17.3</v>
      </c>
      <c r="H18778" s="691">
        <v>17.100000000000001</v>
      </c>
      <c r="I18778" s="691">
        <v>17.2</v>
      </c>
      <c r="J18778" s="691">
        <v>16.8</v>
      </c>
      <c r="K18778" s="691">
        <v>16.8</v>
      </c>
    </row>
    <row r="18779" spans="1:11">
      <c r="A18779" s="688" t="s">
        <v>12</v>
      </c>
      <c r="B18779" s="689">
        <v>14.9</v>
      </c>
      <c r="C18779" s="693">
        <v>15</v>
      </c>
      <c r="D18779" s="689">
        <v>14.8</v>
      </c>
      <c r="E18779" s="693">
        <v>15</v>
      </c>
      <c r="F18779" s="689">
        <v>15.1</v>
      </c>
      <c r="G18779" s="689">
        <v>15.1</v>
      </c>
      <c r="H18779" s="689">
        <v>15.4</v>
      </c>
      <c r="I18779" s="689">
        <v>15.1</v>
      </c>
      <c r="J18779" s="693">
        <v>14</v>
      </c>
      <c r="K18779" s="689">
        <v>14.9</v>
      </c>
    </row>
    <row r="18780" spans="1:11">
      <c r="A18780" s="688" t="s">
        <v>14</v>
      </c>
      <c r="B18780" s="691">
        <v>15.4</v>
      </c>
      <c r="C18780" s="691">
        <v>15.2</v>
      </c>
      <c r="D18780" s="615">
        <v>15</v>
      </c>
      <c r="E18780" s="691">
        <v>15.2</v>
      </c>
      <c r="F18780" s="691">
        <v>15.2</v>
      </c>
      <c r="G18780" s="691">
        <v>15.4</v>
      </c>
      <c r="H18780" s="691">
        <v>15.7</v>
      </c>
      <c r="I18780" s="615">
        <v>15</v>
      </c>
      <c r="J18780" s="691">
        <v>14.3</v>
      </c>
      <c r="K18780" s="691">
        <v>15.1</v>
      </c>
    </row>
    <row r="18781" spans="1:11">
      <c r="A18781" s="688" t="s">
        <v>15</v>
      </c>
      <c r="B18781" s="689">
        <v>17.8</v>
      </c>
      <c r="C18781" s="689">
        <v>17.8</v>
      </c>
      <c r="D18781" s="689">
        <v>17.3</v>
      </c>
      <c r="E18781" s="689">
        <v>17.899999999999999</v>
      </c>
      <c r="F18781" s="689">
        <v>17.3</v>
      </c>
      <c r="G18781" s="689">
        <v>17.600000000000001</v>
      </c>
      <c r="H18781" s="689">
        <v>17.8</v>
      </c>
      <c r="I18781" s="689">
        <v>17.5</v>
      </c>
      <c r="J18781" s="689">
        <v>17.8</v>
      </c>
      <c r="K18781" s="689">
        <v>17.899999999999999</v>
      </c>
    </row>
    <row r="18782" spans="1:11">
      <c r="A18782" s="688" t="s">
        <v>29</v>
      </c>
      <c r="B18782" s="691">
        <v>14.6</v>
      </c>
      <c r="C18782" s="691">
        <v>14.6</v>
      </c>
      <c r="D18782" s="691">
        <v>14.3</v>
      </c>
      <c r="E18782" s="691">
        <v>14.7</v>
      </c>
      <c r="F18782" s="691">
        <v>14.5</v>
      </c>
      <c r="G18782" s="691">
        <v>14.6</v>
      </c>
      <c r="H18782" s="691">
        <v>14.6</v>
      </c>
      <c r="I18782" s="691">
        <v>14.1</v>
      </c>
      <c r="J18782" s="691">
        <v>13.7</v>
      </c>
      <c r="K18782" s="691">
        <v>14.4</v>
      </c>
    </row>
    <row r="18783" spans="1:11">
      <c r="A18783" s="688" t="s">
        <v>16</v>
      </c>
      <c r="B18783" s="689">
        <v>17.100000000000001</v>
      </c>
      <c r="C18783" s="689">
        <v>17.100000000000001</v>
      </c>
      <c r="D18783" s="693">
        <v>17</v>
      </c>
      <c r="E18783" s="689">
        <v>17.399999999999999</v>
      </c>
      <c r="F18783" s="689">
        <v>17.399999999999999</v>
      </c>
      <c r="G18783" s="689">
        <v>17.399999999999999</v>
      </c>
      <c r="H18783" s="689">
        <v>17.600000000000001</v>
      </c>
      <c r="I18783" s="689">
        <v>17.2</v>
      </c>
      <c r="J18783" s="689">
        <v>16.899999999999999</v>
      </c>
      <c r="K18783" s="689">
        <v>17.399999999999999</v>
      </c>
    </row>
    <row r="18784" spans="1:11">
      <c r="A18784" s="688" t="s">
        <v>17</v>
      </c>
      <c r="B18784" s="691">
        <v>17.100000000000001</v>
      </c>
      <c r="C18784" s="691">
        <v>17.100000000000001</v>
      </c>
      <c r="D18784" s="691">
        <v>16.8</v>
      </c>
      <c r="E18784" s="691">
        <v>16.899999999999999</v>
      </c>
      <c r="F18784" s="691">
        <v>16.899999999999999</v>
      </c>
      <c r="G18784" s="691">
        <v>16.899999999999999</v>
      </c>
      <c r="H18784" s="691">
        <v>17.100000000000001</v>
      </c>
      <c r="I18784" s="691">
        <v>16.600000000000001</v>
      </c>
      <c r="J18784" s="691">
        <v>16.7</v>
      </c>
      <c r="K18784" s="691">
        <v>16.7</v>
      </c>
    </row>
    <row r="18785" spans="1:11">
      <c r="A18785" s="688" t="s">
        <v>19</v>
      </c>
      <c r="B18785" s="689">
        <v>17.399999999999999</v>
      </c>
      <c r="C18785" s="689">
        <v>17.399999999999999</v>
      </c>
      <c r="D18785" s="689">
        <v>17.100000000000001</v>
      </c>
      <c r="E18785" s="689">
        <v>17.399999999999999</v>
      </c>
      <c r="F18785" s="689">
        <v>17.2</v>
      </c>
      <c r="G18785" s="689">
        <v>17.399999999999999</v>
      </c>
      <c r="H18785" s="689">
        <v>17.5</v>
      </c>
      <c r="I18785" s="693">
        <v>17</v>
      </c>
      <c r="J18785" s="689">
        <v>17.100000000000001</v>
      </c>
      <c r="K18785" s="693">
        <v>17</v>
      </c>
    </row>
    <row r="18786" spans="1:11">
      <c r="A18786" s="688" t="s">
        <v>20</v>
      </c>
      <c r="B18786" s="691">
        <v>16.100000000000001</v>
      </c>
      <c r="C18786" s="691">
        <v>16.100000000000001</v>
      </c>
      <c r="D18786" s="691">
        <v>15.9</v>
      </c>
      <c r="E18786" s="691">
        <v>16.3</v>
      </c>
      <c r="F18786" s="691">
        <v>16.100000000000001</v>
      </c>
      <c r="G18786" s="615">
        <v>16</v>
      </c>
      <c r="H18786" s="691">
        <v>16.3</v>
      </c>
      <c r="I18786" s="691">
        <v>15.3</v>
      </c>
      <c r="J18786" s="691">
        <v>14.6</v>
      </c>
      <c r="K18786" s="691">
        <v>15.6</v>
      </c>
    </row>
    <row r="18787" spans="1:11">
      <c r="A18787" s="688" t="s">
        <v>21</v>
      </c>
      <c r="B18787" s="689">
        <v>17.3</v>
      </c>
      <c r="C18787" s="689">
        <v>17.600000000000001</v>
      </c>
      <c r="D18787" s="689">
        <v>17.399999999999999</v>
      </c>
      <c r="E18787" s="689">
        <v>17.5</v>
      </c>
      <c r="F18787" s="689">
        <v>17.8</v>
      </c>
      <c r="G18787" s="689">
        <v>17.7</v>
      </c>
      <c r="H18787" s="689">
        <v>17.899999999999999</v>
      </c>
      <c r="I18787" s="689">
        <v>17.399999999999999</v>
      </c>
      <c r="J18787" s="689">
        <v>17.5</v>
      </c>
      <c r="K18787" s="689">
        <v>17.600000000000001</v>
      </c>
    </row>
    <row r="18788" spans="1:11">
      <c r="A18788" s="688" t="s">
        <v>22</v>
      </c>
      <c r="B18788" s="691">
        <v>14.3</v>
      </c>
      <c r="C18788" s="691">
        <v>14.1</v>
      </c>
      <c r="D18788" s="615">
        <v>14</v>
      </c>
      <c r="E18788" s="691">
        <v>14.4</v>
      </c>
      <c r="F18788" s="691">
        <v>14.4</v>
      </c>
      <c r="G18788" s="691">
        <v>14.5</v>
      </c>
      <c r="H18788" s="691">
        <v>14.7</v>
      </c>
      <c r="I18788" s="615">
        <v>14</v>
      </c>
      <c r="J18788" s="691">
        <v>12.9</v>
      </c>
      <c r="K18788" s="691">
        <v>14.2</v>
      </c>
    </row>
    <row r="18789" spans="1:11">
      <c r="A18789" s="688" t="s">
        <v>26</v>
      </c>
      <c r="B18789" s="689">
        <v>17.2</v>
      </c>
      <c r="C18789" s="689">
        <v>16.899999999999999</v>
      </c>
      <c r="D18789" s="689">
        <v>16.899999999999999</v>
      </c>
      <c r="E18789" s="689">
        <v>17.100000000000001</v>
      </c>
      <c r="F18789" s="689">
        <v>17.100000000000001</v>
      </c>
      <c r="G18789" s="689">
        <v>17.3</v>
      </c>
      <c r="H18789" s="689">
        <v>17.399999999999999</v>
      </c>
      <c r="I18789" s="689">
        <v>16.399999999999999</v>
      </c>
      <c r="J18789" s="689">
        <v>16.899999999999999</v>
      </c>
      <c r="K18789" s="689">
        <v>17.100000000000001</v>
      </c>
    </row>
    <row r="18790" spans="1:11">
      <c r="A18790" s="688" t="s">
        <v>25</v>
      </c>
      <c r="B18790" s="691">
        <v>14.9</v>
      </c>
      <c r="C18790" s="615">
        <v>15</v>
      </c>
      <c r="D18790" s="691">
        <v>14.8</v>
      </c>
      <c r="E18790" s="691">
        <v>15.1</v>
      </c>
      <c r="F18790" s="691">
        <v>15.1</v>
      </c>
      <c r="G18790" s="691">
        <v>15.2</v>
      </c>
      <c r="H18790" s="691">
        <v>15.6</v>
      </c>
      <c r="I18790" s="691">
        <v>14.9</v>
      </c>
      <c r="J18790" s="691">
        <v>13.4</v>
      </c>
      <c r="K18790" s="691">
        <v>14.9</v>
      </c>
    </row>
    <row r="18791" spans="1:11">
      <c r="A18791" s="688" t="s">
        <v>5</v>
      </c>
      <c r="B18791" s="689">
        <v>17.600000000000001</v>
      </c>
      <c r="C18791" s="689">
        <v>17.3</v>
      </c>
      <c r="D18791" s="689">
        <v>17.399999999999999</v>
      </c>
      <c r="E18791" s="689">
        <v>17.399999999999999</v>
      </c>
      <c r="F18791" s="689">
        <v>17.600000000000001</v>
      </c>
      <c r="G18791" s="689">
        <v>17.600000000000001</v>
      </c>
      <c r="H18791" s="689">
        <v>17.899999999999999</v>
      </c>
      <c r="I18791" s="689">
        <v>17.8</v>
      </c>
      <c r="J18791" s="689">
        <v>17.7</v>
      </c>
      <c r="K18791" s="689">
        <v>17.2</v>
      </c>
    </row>
    <row r="18792" spans="1:11">
      <c r="A18792" s="688" t="s">
        <v>23</v>
      </c>
      <c r="B18792" s="691">
        <v>17.100000000000001</v>
      </c>
      <c r="C18792" s="691">
        <v>17.3</v>
      </c>
      <c r="D18792" s="691">
        <v>17.3</v>
      </c>
      <c r="E18792" s="691">
        <v>17.3</v>
      </c>
      <c r="F18792" s="691">
        <v>17.3</v>
      </c>
      <c r="G18792" s="691">
        <v>17.399999999999999</v>
      </c>
      <c r="H18792" s="691">
        <v>17.8</v>
      </c>
      <c r="I18792" s="691">
        <v>17.2</v>
      </c>
      <c r="J18792" s="691">
        <v>17.8</v>
      </c>
      <c r="K18792" s="691">
        <v>17.600000000000001</v>
      </c>
    </row>
    <row r="18793" spans="1:11">
      <c r="A18793" s="688" t="s">
        <v>4067</v>
      </c>
      <c r="B18793" s="689">
        <v>17.2</v>
      </c>
      <c r="C18793" s="689">
        <v>17.5</v>
      </c>
      <c r="D18793" s="689">
        <v>17.100000000000001</v>
      </c>
      <c r="E18793" s="689">
        <v>17.5</v>
      </c>
      <c r="F18793" s="689">
        <v>17.3</v>
      </c>
      <c r="G18793" s="689">
        <v>17.399999999999999</v>
      </c>
      <c r="H18793" s="690" t="s">
        <v>4060</v>
      </c>
      <c r="I18793" s="690" t="s">
        <v>4060</v>
      </c>
      <c r="J18793" s="690" t="s">
        <v>4060</v>
      </c>
      <c r="K18793" s="690" t="s">
        <v>4060</v>
      </c>
    </row>
    <row r="18794" spans="1:11">
      <c r="A18794" s="688" t="s">
        <v>4066</v>
      </c>
      <c r="B18794" s="691">
        <v>17.2</v>
      </c>
      <c r="C18794" s="691">
        <v>17.5</v>
      </c>
      <c r="D18794" s="691">
        <v>17.100000000000001</v>
      </c>
      <c r="E18794" s="691">
        <v>17.5</v>
      </c>
      <c r="F18794" s="691">
        <v>17.399999999999999</v>
      </c>
      <c r="G18794" s="691">
        <v>17.5</v>
      </c>
      <c r="H18794" s="692" t="s">
        <v>4060</v>
      </c>
      <c r="I18794" s="692" t="s">
        <v>4060</v>
      </c>
      <c r="J18794" s="692" t="s">
        <v>4060</v>
      </c>
      <c r="K18794" s="692" t="s">
        <v>4060</v>
      </c>
    </row>
    <row r="18795" spans="1:11">
      <c r="A18795" s="688" t="s">
        <v>4062</v>
      </c>
      <c r="B18795" s="689">
        <v>17.8</v>
      </c>
      <c r="C18795" s="689">
        <v>17.899999999999999</v>
      </c>
      <c r="D18795" s="689">
        <v>17.7</v>
      </c>
      <c r="E18795" s="693">
        <v>18</v>
      </c>
      <c r="F18795" s="689">
        <v>17.899999999999999</v>
      </c>
      <c r="G18795" s="689">
        <v>18.100000000000001</v>
      </c>
      <c r="H18795" s="689">
        <v>18.100000000000001</v>
      </c>
      <c r="I18795" s="689">
        <v>17.8</v>
      </c>
      <c r="J18795" s="689">
        <v>18.100000000000001</v>
      </c>
      <c r="K18795" s="689">
        <v>17.8</v>
      </c>
    </row>
    <row r="18796" spans="1:11">
      <c r="A18796" s="688" t="s">
        <v>9</v>
      </c>
      <c r="B18796" s="615">
        <v>17</v>
      </c>
      <c r="C18796" s="691">
        <v>17.5</v>
      </c>
      <c r="D18796" s="691">
        <v>16.899999999999999</v>
      </c>
      <c r="E18796" s="691">
        <v>16.899999999999999</v>
      </c>
      <c r="F18796" s="691">
        <v>16.899999999999999</v>
      </c>
      <c r="G18796" s="615">
        <v>17</v>
      </c>
      <c r="H18796" s="691">
        <v>17.399999999999999</v>
      </c>
      <c r="I18796" s="691">
        <v>17.600000000000001</v>
      </c>
      <c r="J18796" s="691">
        <v>17.5</v>
      </c>
      <c r="K18796" s="691">
        <v>16.7</v>
      </c>
    </row>
    <row r="18797" spans="1:11">
      <c r="A18797" s="688" t="s">
        <v>13</v>
      </c>
      <c r="B18797" s="689">
        <v>18.2</v>
      </c>
      <c r="C18797" s="689">
        <v>16.2</v>
      </c>
      <c r="D18797" s="689">
        <v>17.7</v>
      </c>
      <c r="E18797" s="689">
        <v>18.399999999999999</v>
      </c>
      <c r="F18797" s="689">
        <v>18.5</v>
      </c>
      <c r="G18797" s="689">
        <v>17.7</v>
      </c>
      <c r="H18797" s="689">
        <v>17.600000000000001</v>
      </c>
      <c r="I18797" s="693">
        <v>17</v>
      </c>
      <c r="J18797" s="689">
        <v>18.2</v>
      </c>
      <c r="K18797" s="689">
        <v>17.5</v>
      </c>
    </row>
    <row r="18798" spans="1:11">
      <c r="A18798" s="688" t="s">
        <v>18</v>
      </c>
      <c r="B18798" s="691">
        <v>17.2</v>
      </c>
      <c r="C18798" s="691">
        <v>17.399999999999999</v>
      </c>
      <c r="D18798" s="691">
        <v>17.3</v>
      </c>
      <c r="E18798" s="691">
        <v>17.399999999999999</v>
      </c>
      <c r="F18798" s="691">
        <v>17.399999999999999</v>
      </c>
      <c r="G18798" s="691">
        <v>17.600000000000001</v>
      </c>
      <c r="H18798" s="691">
        <v>17.600000000000001</v>
      </c>
      <c r="I18798" s="691">
        <v>17.8</v>
      </c>
      <c r="J18798" s="691">
        <v>17.600000000000001</v>
      </c>
      <c r="K18798" s="691">
        <v>17.3</v>
      </c>
    </row>
    <row r="18799" spans="1:11">
      <c r="A18799" s="688" t="s">
        <v>24</v>
      </c>
      <c r="B18799" s="689">
        <v>18.100000000000001</v>
      </c>
      <c r="C18799" s="689">
        <v>18.100000000000001</v>
      </c>
      <c r="D18799" s="689">
        <v>17.899999999999999</v>
      </c>
      <c r="E18799" s="689">
        <v>18.3</v>
      </c>
      <c r="F18799" s="689">
        <v>18.2</v>
      </c>
      <c r="G18799" s="689">
        <v>18.399999999999999</v>
      </c>
      <c r="H18799" s="689">
        <v>18.399999999999999</v>
      </c>
      <c r="I18799" s="689">
        <v>17.899999999999999</v>
      </c>
      <c r="J18799" s="689">
        <v>18.399999999999999</v>
      </c>
      <c r="K18799" s="689">
        <v>18.2</v>
      </c>
    </row>
    <row r="18800" spans="1:11">
      <c r="A18800" s="688" t="s">
        <v>4059</v>
      </c>
      <c r="B18800" s="691">
        <v>16.899999999999999</v>
      </c>
      <c r="C18800" s="691">
        <v>17.2</v>
      </c>
      <c r="D18800" s="691">
        <v>16.7</v>
      </c>
      <c r="E18800" s="691">
        <v>17.100000000000001</v>
      </c>
      <c r="F18800" s="615">
        <v>17</v>
      </c>
      <c r="G18800" s="615">
        <v>17</v>
      </c>
      <c r="H18800" s="692" t="s">
        <v>4060</v>
      </c>
      <c r="I18800" s="692" t="s">
        <v>4060</v>
      </c>
      <c r="J18800" s="692" t="s">
        <v>4060</v>
      </c>
      <c r="K18800" s="692" t="s">
        <v>4060</v>
      </c>
    </row>
    <row r="18801" spans="1:11">
      <c r="A18801" s="688" t="s">
        <v>2324</v>
      </c>
      <c r="B18801" s="689">
        <v>13.6</v>
      </c>
      <c r="C18801" s="689">
        <v>13.6</v>
      </c>
      <c r="D18801" s="689">
        <v>13.4</v>
      </c>
      <c r="E18801" s="689">
        <v>13.6</v>
      </c>
      <c r="F18801" s="689">
        <v>13.7</v>
      </c>
      <c r="G18801" s="689">
        <v>13.7</v>
      </c>
      <c r="H18801" s="689">
        <v>13.9</v>
      </c>
      <c r="I18801" s="689">
        <v>13.4</v>
      </c>
      <c r="J18801" s="689">
        <v>11.7</v>
      </c>
      <c r="K18801" s="690" t="s">
        <v>4060</v>
      </c>
    </row>
    <row r="18802" spans="1:11">
      <c r="A18802" s="688" t="s">
        <v>2322</v>
      </c>
      <c r="B18802" s="692" t="s">
        <v>4060</v>
      </c>
      <c r="C18802" s="692" t="s">
        <v>4060</v>
      </c>
      <c r="D18802" s="692" t="s">
        <v>4060</v>
      </c>
      <c r="E18802" s="692" t="s">
        <v>4060</v>
      </c>
      <c r="F18802" s="692" t="s">
        <v>4060</v>
      </c>
      <c r="G18802" s="692" t="s">
        <v>4060</v>
      </c>
      <c r="H18802" s="692" t="s">
        <v>4060</v>
      </c>
      <c r="I18802" s="692" t="s">
        <v>4060</v>
      </c>
      <c r="J18802" s="692" t="s">
        <v>4060</v>
      </c>
      <c r="K18802" s="692" t="s">
        <v>4060</v>
      </c>
    </row>
    <row r="18803" spans="1:11">
      <c r="A18803" s="688" t="s">
        <v>2328</v>
      </c>
      <c r="B18803" s="689">
        <v>12.6</v>
      </c>
      <c r="C18803" s="689">
        <v>12.5</v>
      </c>
      <c r="D18803" s="689">
        <v>12.4</v>
      </c>
      <c r="E18803" s="689">
        <v>12.7</v>
      </c>
      <c r="F18803" s="689">
        <v>12.8</v>
      </c>
      <c r="G18803" s="689">
        <v>13.2</v>
      </c>
      <c r="H18803" s="693">
        <v>13</v>
      </c>
      <c r="I18803" s="689">
        <v>12.1</v>
      </c>
      <c r="J18803" s="689">
        <v>11.5</v>
      </c>
      <c r="K18803" s="690" t="s">
        <v>4060</v>
      </c>
    </row>
    <row r="18804" spans="1:11">
      <c r="A18804" s="688" t="s">
        <v>2496</v>
      </c>
      <c r="B18804" s="692" t="s">
        <v>4060</v>
      </c>
      <c r="C18804" s="615">
        <v>14</v>
      </c>
      <c r="D18804" s="691">
        <v>13.2</v>
      </c>
      <c r="E18804" s="691">
        <v>12.8</v>
      </c>
      <c r="F18804" s="691">
        <v>13.1</v>
      </c>
      <c r="G18804" s="691">
        <v>13.4</v>
      </c>
      <c r="H18804" s="691">
        <v>13.4</v>
      </c>
      <c r="I18804" s="692" t="s">
        <v>4060</v>
      </c>
      <c r="J18804" s="692" t="s">
        <v>4060</v>
      </c>
      <c r="K18804" s="691">
        <v>13.1</v>
      </c>
    </row>
    <row r="18805" spans="1:11">
      <c r="A18805" s="688" t="s">
        <v>2269</v>
      </c>
      <c r="B18805" s="689">
        <v>14.1</v>
      </c>
      <c r="C18805" s="689">
        <v>14.2</v>
      </c>
      <c r="D18805" s="689">
        <v>13.6</v>
      </c>
      <c r="E18805" s="693">
        <v>14</v>
      </c>
      <c r="F18805" s="689">
        <v>13.8</v>
      </c>
      <c r="G18805" s="689">
        <v>14.2</v>
      </c>
      <c r="H18805" s="689">
        <v>14.4</v>
      </c>
      <c r="I18805" s="689">
        <v>13.5</v>
      </c>
      <c r="J18805" s="689">
        <v>11.6</v>
      </c>
      <c r="K18805" s="689">
        <v>14.1</v>
      </c>
    </row>
    <row r="18806" spans="1:11">
      <c r="A18806" s="688" t="s">
        <v>2349</v>
      </c>
      <c r="B18806" s="691">
        <v>13.1</v>
      </c>
      <c r="C18806" s="691">
        <v>13.1</v>
      </c>
      <c r="D18806" s="615">
        <v>13</v>
      </c>
      <c r="E18806" s="691">
        <v>13.3</v>
      </c>
      <c r="F18806" s="691">
        <v>13.2</v>
      </c>
      <c r="G18806" s="691">
        <v>13.4</v>
      </c>
      <c r="H18806" s="691">
        <v>13.6</v>
      </c>
      <c r="I18806" s="691">
        <v>12.8</v>
      </c>
      <c r="J18806" s="691">
        <v>11.6</v>
      </c>
      <c r="K18806" s="691">
        <v>12.9</v>
      </c>
    </row>
    <row r="18807" spans="1:11">
      <c r="A18807" s="688" t="s">
        <v>2355</v>
      </c>
      <c r="B18807" s="689">
        <v>15.8</v>
      </c>
      <c r="C18807" s="689">
        <v>15.6</v>
      </c>
      <c r="D18807" s="689">
        <v>15.5</v>
      </c>
      <c r="E18807" s="689">
        <v>15.4</v>
      </c>
      <c r="F18807" s="689">
        <v>15.6</v>
      </c>
      <c r="G18807" s="689">
        <v>15.9</v>
      </c>
      <c r="H18807" s="689">
        <v>15.9</v>
      </c>
      <c r="I18807" s="690" t="s">
        <v>4060</v>
      </c>
      <c r="J18807" s="690" t="s">
        <v>4060</v>
      </c>
      <c r="K18807" s="690" t="s">
        <v>4060</v>
      </c>
    </row>
    <row r="18808" spans="1:11">
      <c r="A18808" s="688" t="s">
        <v>2357</v>
      </c>
      <c r="B18808" s="692" t="s">
        <v>4060</v>
      </c>
      <c r="C18808" s="691">
        <v>13.4</v>
      </c>
      <c r="D18808" s="691">
        <v>13.7</v>
      </c>
      <c r="E18808" s="691">
        <v>13.9</v>
      </c>
      <c r="F18808" s="691">
        <v>14.1</v>
      </c>
      <c r="G18808" s="615">
        <v>14</v>
      </c>
      <c r="H18808" s="691">
        <v>14.1</v>
      </c>
      <c r="I18808" s="692" t="s">
        <v>4060</v>
      </c>
      <c r="J18808" s="692" t="s">
        <v>4060</v>
      </c>
      <c r="K18808" s="692" t="s">
        <v>4060</v>
      </c>
    </row>
    <row r="18809" spans="1:11">
      <c r="A18809" s="688" t="s">
        <v>4070</v>
      </c>
      <c r="B18809" s="690" t="s">
        <v>4060</v>
      </c>
      <c r="C18809" s="690" t="s">
        <v>4060</v>
      </c>
      <c r="D18809" s="690" t="s">
        <v>4060</v>
      </c>
      <c r="E18809" s="693">
        <v>16</v>
      </c>
      <c r="F18809" s="690" t="s">
        <v>4060</v>
      </c>
      <c r="G18809" s="690" t="s">
        <v>4060</v>
      </c>
      <c r="H18809" s="690" t="s">
        <v>4060</v>
      </c>
      <c r="I18809" s="690" t="s">
        <v>4060</v>
      </c>
      <c r="J18809" s="690" t="s">
        <v>4060</v>
      </c>
      <c r="K18809" s="690" t="s">
        <v>4060</v>
      </c>
    </row>
    <row r="18810" spans="1:11">
      <c r="A18810" s="688" t="s">
        <v>2491</v>
      </c>
      <c r="B18810" s="691">
        <v>13.8</v>
      </c>
      <c r="C18810" s="691">
        <v>14.2</v>
      </c>
      <c r="D18810" s="691">
        <v>14.2</v>
      </c>
      <c r="E18810" s="691">
        <v>14.3</v>
      </c>
      <c r="F18810" s="691">
        <v>14.4</v>
      </c>
      <c r="G18810" s="691">
        <v>14.5</v>
      </c>
      <c r="H18810" s="692" t="s">
        <v>4060</v>
      </c>
      <c r="I18810" s="692" t="s">
        <v>4060</v>
      </c>
      <c r="J18810" s="692" t="s">
        <v>4060</v>
      </c>
      <c r="K18810" s="692" t="s">
        <v>4060</v>
      </c>
    </row>
    <row r="18811" spans="1:11">
      <c r="A18811" s="688" t="s">
        <v>2343</v>
      </c>
      <c r="B18811" s="690" t="s">
        <v>4060</v>
      </c>
      <c r="C18811" s="690" t="s">
        <v>4060</v>
      </c>
      <c r="D18811" s="690" t="s">
        <v>4060</v>
      </c>
      <c r="E18811" s="690" t="s">
        <v>4060</v>
      </c>
      <c r="F18811" s="690" t="s">
        <v>4060</v>
      </c>
      <c r="G18811" s="690" t="s">
        <v>4060</v>
      </c>
      <c r="H18811" s="690" t="s">
        <v>4060</v>
      </c>
      <c r="I18811" s="690" t="s">
        <v>4060</v>
      </c>
      <c r="J18811" s="690" t="s">
        <v>4060</v>
      </c>
      <c r="K18811" s="690" t="s">
        <v>4060</v>
      </c>
    </row>
    <row r="18812" spans="1:11">
      <c r="A18812" s="688" t="s">
        <v>4071</v>
      </c>
      <c r="B18812" s="692" t="s">
        <v>4060</v>
      </c>
      <c r="C18812" s="692" t="s">
        <v>4060</v>
      </c>
      <c r="D18812" s="692" t="s">
        <v>4060</v>
      </c>
      <c r="E18812" s="692" t="s">
        <v>4060</v>
      </c>
      <c r="F18812" s="692" t="s">
        <v>4060</v>
      </c>
      <c r="G18812" s="692" t="s">
        <v>4060</v>
      </c>
      <c r="H18812" s="692" t="s">
        <v>4060</v>
      </c>
      <c r="I18812" s="692" t="s">
        <v>4060</v>
      </c>
      <c r="J18812" s="692" t="s">
        <v>4060</v>
      </c>
      <c r="K18812" s="692" t="s">
        <v>4060</v>
      </c>
    </row>
    <row r="18813" spans="1:11">
      <c r="A18813" s="688" t="s">
        <v>2489</v>
      </c>
      <c r="B18813" s="690" t="s">
        <v>4060</v>
      </c>
      <c r="C18813" s="690" t="s">
        <v>4060</v>
      </c>
      <c r="D18813" s="689">
        <v>13.4</v>
      </c>
      <c r="E18813" s="689">
        <v>13.4</v>
      </c>
      <c r="F18813" s="689">
        <v>13.7</v>
      </c>
      <c r="G18813" s="689">
        <v>14.2</v>
      </c>
      <c r="H18813" s="689">
        <v>14.1</v>
      </c>
      <c r="I18813" s="690" t="s">
        <v>4060</v>
      </c>
      <c r="J18813" s="690" t="s">
        <v>4060</v>
      </c>
      <c r="K18813" s="690" t="s">
        <v>4060</v>
      </c>
    </row>
    <row r="18814" spans="1:11">
      <c r="A18814" s="688" t="s">
        <v>2490</v>
      </c>
      <c r="B18814" s="691">
        <v>12.8</v>
      </c>
      <c r="C18814" s="691">
        <v>12.7</v>
      </c>
      <c r="D18814" s="691">
        <v>13.3</v>
      </c>
      <c r="E18814" s="692" t="s">
        <v>4060</v>
      </c>
      <c r="F18814" s="691">
        <v>13.5</v>
      </c>
      <c r="G18814" s="691">
        <v>13.8</v>
      </c>
      <c r="H18814" s="691">
        <v>14.4</v>
      </c>
      <c r="I18814" s="692" t="s">
        <v>4060</v>
      </c>
      <c r="J18814" s="692" t="s">
        <v>4060</v>
      </c>
      <c r="K18814" s="692" t="s">
        <v>4060</v>
      </c>
    </row>
    <row r="18816" spans="1:11">
      <c r="A18816" s="683" t="s">
        <v>4233</v>
      </c>
    </row>
    <row r="18817" spans="1:11">
      <c r="A18817" s="683" t="s">
        <v>4060</v>
      </c>
      <c r="B18817" s="682" t="s">
        <v>4234</v>
      </c>
    </row>
    <row r="18819" spans="1:11">
      <c r="A18819" s="682" t="s">
        <v>4332</v>
      </c>
    </row>
    <row r="18820" spans="1:11">
      <c r="A18820" s="682" t="s">
        <v>4210</v>
      </c>
      <c r="B18820" s="683" t="s">
        <v>4211</v>
      </c>
    </row>
    <row r="18821" spans="1:11">
      <c r="A18821" s="682" t="s">
        <v>4212</v>
      </c>
      <c r="B18821" s="682" t="s">
        <v>4213</v>
      </c>
    </row>
    <row r="18823" spans="1:11">
      <c r="A18823" s="683" t="s">
        <v>4214</v>
      </c>
      <c r="C18823" s="682" t="s">
        <v>4215</v>
      </c>
    </row>
    <row r="18824" spans="1:11">
      <c r="A18824" s="683" t="s">
        <v>4216</v>
      </c>
      <c r="C18824" s="682" t="s">
        <v>2967</v>
      </c>
    </row>
    <row r="18825" spans="1:11">
      <c r="A18825" s="683" t="s">
        <v>3893</v>
      </c>
      <c r="C18825" s="682" t="s">
        <v>2169</v>
      </c>
    </row>
    <row r="18826" spans="1:11">
      <c r="A18826" s="683" t="s">
        <v>4218</v>
      </c>
      <c r="C18826" s="682" t="s">
        <v>4305</v>
      </c>
    </row>
    <row r="18828" spans="1:11">
      <c r="A18828" s="684" t="s">
        <v>4220</v>
      </c>
      <c r="B18828" s="685" t="s">
        <v>4221</v>
      </c>
      <c r="C18828" s="685" t="s">
        <v>4222</v>
      </c>
      <c r="D18828" s="685" t="s">
        <v>4223</v>
      </c>
      <c r="E18828" s="685" t="s">
        <v>4224</v>
      </c>
      <c r="F18828" s="685" t="s">
        <v>4225</v>
      </c>
      <c r="G18828" s="685" t="s">
        <v>4226</v>
      </c>
      <c r="H18828" s="685" t="s">
        <v>4227</v>
      </c>
      <c r="I18828" s="685" t="s">
        <v>4228</v>
      </c>
      <c r="J18828" s="685" t="s">
        <v>4229</v>
      </c>
      <c r="K18828" s="685" t="s">
        <v>4230</v>
      </c>
    </row>
    <row r="18829" spans="1:11">
      <c r="A18829" s="686" t="s">
        <v>4231</v>
      </c>
      <c r="B18829" s="687" t="s">
        <v>4232</v>
      </c>
      <c r="C18829" s="687" t="s">
        <v>4232</v>
      </c>
      <c r="D18829" s="687" t="s">
        <v>4232</v>
      </c>
      <c r="E18829" s="687" t="s">
        <v>4232</v>
      </c>
      <c r="F18829" s="687" t="s">
        <v>4232</v>
      </c>
      <c r="G18829" s="687" t="s">
        <v>4232</v>
      </c>
      <c r="H18829" s="687" t="s">
        <v>4232</v>
      </c>
      <c r="I18829" s="687" t="s">
        <v>4232</v>
      </c>
      <c r="J18829" s="687" t="s">
        <v>4232</v>
      </c>
      <c r="K18829" s="687" t="s">
        <v>4232</v>
      </c>
    </row>
    <row r="18830" spans="1:11">
      <c r="A18830" s="688" t="s">
        <v>4064</v>
      </c>
      <c r="B18830" s="691">
        <v>16.5</v>
      </c>
      <c r="C18830" s="691">
        <v>16.399999999999999</v>
      </c>
      <c r="D18830" s="691">
        <v>16.399999999999999</v>
      </c>
      <c r="E18830" s="691">
        <v>16.399999999999999</v>
      </c>
      <c r="F18830" s="691">
        <v>16.399999999999999</v>
      </c>
      <c r="G18830" s="691">
        <v>16.5</v>
      </c>
      <c r="H18830" s="691">
        <v>16.7</v>
      </c>
      <c r="I18830" s="615">
        <v>16</v>
      </c>
      <c r="J18830" s="615">
        <v>16</v>
      </c>
      <c r="K18830" s="691">
        <v>16.2</v>
      </c>
    </row>
    <row r="18831" spans="1:11">
      <c r="A18831" s="688" t="s">
        <v>4065</v>
      </c>
      <c r="B18831" s="689">
        <v>16.399999999999999</v>
      </c>
      <c r="C18831" s="689">
        <v>16.7</v>
      </c>
      <c r="D18831" s="689">
        <v>16.3</v>
      </c>
      <c r="E18831" s="689">
        <v>16.7</v>
      </c>
      <c r="F18831" s="689">
        <v>16.600000000000001</v>
      </c>
      <c r="G18831" s="689">
        <v>16.600000000000001</v>
      </c>
      <c r="H18831" s="690" t="s">
        <v>4060</v>
      </c>
      <c r="I18831" s="690" t="s">
        <v>4060</v>
      </c>
      <c r="J18831" s="690" t="s">
        <v>4060</v>
      </c>
      <c r="K18831" s="690" t="s">
        <v>4060</v>
      </c>
    </row>
    <row r="18832" spans="1:11">
      <c r="A18832" s="688" t="s">
        <v>4063</v>
      </c>
      <c r="B18832" s="691">
        <v>16.5</v>
      </c>
      <c r="C18832" s="691">
        <v>16.8</v>
      </c>
      <c r="D18832" s="691">
        <v>16.3</v>
      </c>
      <c r="E18832" s="691">
        <v>16.7</v>
      </c>
      <c r="F18832" s="691">
        <v>16.600000000000001</v>
      </c>
      <c r="G18832" s="691">
        <v>16.7</v>
      </c>
      <c r="H18832" s="692" t="s">
        <v>4060</v>
      </c>
      <c r="I18832" s="692" t="s">
        <v>4060</v>
      </c>
      <c r="J18832" s="692" t="s">
        <v>4060</v>
      </c>
      <c r="K18832" s="692" t="s">
        <v>4060</v>
      </c>
    </row>
    <row r="18833" spans="1:11">
      <c r="A18833" s="688" t="s">
        <v>4069</v>
      </c>
      <c r="B18833" s="690" t="s">
        <v>4060</v>
      </c>
      <c r="C18833" s="689">
        <v>16.899999999999999</v>
      </c>
      <c r="D18833" s="689">
        <v>16.600000000000001</v>
      </c>
      <c r="E18833" s="689">
        <v>16.899999999999999</v>
      </c>
      <c r="F18833" s="689">
        <v>16.8</v>
      </c>
      <c r="G18833" s="693">
        <v>17</v>
      </c>
      <c r="H18833" s="689">
        <v>17.100000000000001</v>
      </c>
      <c r="I18833" s="689">
        <v>16.600000000000001</v>
      </c>
      <c r="J18833" s="689">
        <v>16.7</v>
      </c>
      <c r="K18833" s="689">
        <v>16.600000000000001</v>
      </c>
    </row>
    <row r="18834" spans="1:11">
      <c r="A18834" s="688" t="s">
        <v>4068</v>
      </c>
      <c r="B18834" s="615">
        <v>17</v>
      </c>
      <c r="C18834" s="692" t="s">
        <v>4060</v>
      </c>
      <c r="D18834" s="692" t="s">
        <v>4060</v>
      </c>
      <c r="E18834" s="692" t="s">
        <v>4060</v>
      </c>
      <c r="F18834" s="692" t="s">
        <v>4060</v>
      </c>
      <c r="G18834" s="692" t="s">
        <v>4060</v>
      </c>
      <c r="H18834" s="692" t="s">
        <v>4060</v>
      </c>
      <c r="I18834" s="692" t="s">
        <v>4060</v>
      </c>
      <c r="J18834" s="692" t="s">
        <v>4060</v>
      </c>
      <c r="K18834" s="692" t="s">
        <v>4060</v>
      </c>
    </row>
    <row r="18835" spans="1:11">
      <c r="A18835" s="688" t="s">
        <v>0</v>
      </c>
      <c r="B18835" s="689">
        <v>16.5</v>
      </c>
      <c r="C18835" s="689">
        <v>16.600000000000001</v>
      </c>
      <c r="D18835" s="689">
        <v>16.3</v>
      </c>
      <c r="E18835" s="689">
        <v>16.7</v>
      </c>
      <c r="F18835" s="689">
        <v>16.7</v>
      </c>
      <c r="G18835" s="689">
        <v>16.7</v>
      </c>
      <c r="H18835" s="689">
        <v>16.899999999999999</v>
      </c>
      <c r="I18835" s="689">
        <v>15.9</v>
      </c>
      <c r="J18835" s="693">
        <v>17</v>
      </c>
      <c r="K18835" s="689">
        <v>16.600000000000001</v>
      </c>
    </row>
    <row r="18836" spans="1:11">
      <c r="A18836" s="688" t="s">
        <v>1</v>
      </c>
      <c r="B18836" s="691">
        <v>13.3</v>
      </c>
      <c r="C18836" s="691">
        <v>12.9</v>
      </c>
      <c r="D18836" s="691">
        <v>12.9</v>
      </c>
      <c r="E18836" s="691">
        <v>13.2</v>
      </c>
      <c r="F18836" s="691">
        <v>13.1</v>
      </c>
      <c r="G18836" s="691">
        <v>13.3</v>
      </c>
      <c r="H18836" s="691">
        <v>13.3</v>
      </c>
      <c r="I18836" s="691">
        <v>12.7</v>
      </c>
      <c r="J18836" s="691">
        <v>11.5</v>
      </c>
      <c r="K18836" s="615">
        <v>13</v>
      </c>
    </row>
    <row r="18837" spans="1:11">
      <c r="A18837" s="688" t="s">
        <v>2240</v>
      </c>
      <c r="B18837" s="689">
        <v>14.6</v>
      </c>
      <c r="C18837" s="689">
        <v>14.8</v>
      </c>
      <c r="D18837" s="689">
        <v>14.5</v>
      </c>
      <c r="E18837" s="693">
        <v>15</v>
      </c>
      <c r="F18837" s="689">
        <v>14.9</v>
      </c>
      <c r="G18837" s="689">
        <v>14.9</v>
      </c>
      <c r="H18837" s="689">
        <v>15.1</v>
      </c>
      <c r="I18837" s="689">
        <v>14.3</v>
      </c>
      <c r="J18837" s="693">
        <v>14</v>
      </c>
      <c r="K18837" s="689">
        <v>14.9</v>
      </c>
    </row>
    <row r="18838" spans="1:11">
      <c r="A18838" s="688" t="s">
        <v>2</v>
      </c>
      <c r="B18838" s="691">
        <v>15.6</v>
      </c>
      <c r="C18838" s="691">
        <v>15.9</v>
      </c>
      <c r="D18838" s="691">
        <v>15.8</v>
      </c>
      <c r="E18838" s="691">
        <v>15.9</v>
      </c>
      <c r="F18838" s="615">
        <v>16</v>
      </c>
      <c r="G18838" s="691">
        <v>15.9</v>
      </c>
      <c r="H18838" s="691">
        <v>16.2</v>
      </c>
      <c r="I18838" s="691">
        <v>16.3</v>
      </c>
      <c r="J18838" s="691">
        <v>16.100000000000001</v>
      </c>
      <c r="K18838" s="691">
        <v>15.9</v>
      </c>
    </row>
    <row r="18839" spans="1:11">
      <c r="A18839" s="688" t="s">
        <v>3</v>
      </c>
      <c r="B18839" s="693">
        <v>16</v>
      </c>
      <c r="C18839" s="689">
        <v>16.2</v>
      </c>
      <c r="D18839" s="693">
        <v>16</v>
      </c>
      <c r="E18839" s="689">
        <v>16.3</v>
      </c>
      <c r="F18839" s="689">
        <v>16.2</v>
      </c>
      <c r="G18839" s="689">
        <v>16.2</v>
      </c>
      <c r="H18839" s="689">
        <v>16.399999999999999</v>
      </c>
      <c r="I18839" s="689">
        <v>16.2</v>
      </c>
      <c r="J18839" s="689">
        <v>16.100000000000001</v>
      </c>
      <c r="K18839" s="689">
        <v>15.9</v>
      </c>
    </row>
    <row r="18840" spans="1:11">
      <c r="A18840" s="688" t="s">
        <v>4061</v>
      </c>
      <c r="B18840" s="615">
        <v>16</v>
      </c>
      <c r="C18840" s="691">
        <v>16.2</v>
      </c>
      <c r="D18840" s="615">
        <v>16</v>
      </c>
      <c r="E18840" s="691">
        <v>16.3</v>
      </c>
      <c r="F18840" s="691">
        <v>16.2</v>
      </c>
      <c r="G18840" s="691">
        <v>16.2</v>
      </c>
      <c r="H18840" s="691">
        <v>16.399999999999999</v>
      </c>
      <c r="I18840" s="691">
        <v>16.2</v>
      </c>
      <c r="J18840" s="691">
        <v>16.100000000000001</v>
      </c>
      <c r="K18840" s="691">
        <v>15.9</v>
      </c>
    </row>
    <row r="18841" spans="1:11">
      <c r="A18841" s="688" t="s">
        <v>4</v>
      </c>
      <c r="B18841" s="689">
        <v>15.5</v>
      </c>
      <c r="C18841" s="689">
        <v>15.3</v>
      </c>
      <c r="D18841" s="689">
        <v>15.5</v>
      </c>
      <c r="E18841" s="689">
        <v>15.7</v>
      </c>
      <c r="F18841" s="689">
        <v>15.6</v>
      </c>
      <c r="G18841" s="689">
        <v>15.7</v>
      </c>
      <c r="H18841" s="693">
        <v>16</v>
      </c>
      <c r="I18841" s="693">
        <v>16</v>
      </c>
      <c r="J18841" s="693">
        <v>15</v>
      </c>
      <c r="K18841" s="689">
        <v>15.6</v>
      </c>
    </row>
    <row r="18842" spans="1:11">
      <c r="A18842" s="688" t="s">
        <v>8</v>
      </c>
      <c r="B18842" s="691">
        <v>15.9</v>
      </c>
      <c r="C18842" s="615">
        <v>16</v>
      </c>
      <c r="D18842" s="691">
        <v>15.9</v>
      </c>
      <c r="E18842" s="615">
        <v>16</v>
      </c>
      <c r="F18842" s="691">
        <v>16.2</v>
      </c>
      <c r="G18842" s="691">
        <v>16.399999999999999</v>
      </c>
      <c r="H18842" s="691">
        <v>16.7</v>
      </c>
      <c r="I18842" s="691">
        <v>16.5</v>
      </c>
      <c r="J18842" s="691">
        <v>16.5</v>
      </c>
      <c r="K18842" s="691">
        <v>16.399999999999999</v>
      </c>
    </row>
    <row r="18843" spans="1:11">
      <c r="A18843" s="688" t="s">
        <v>7</v>
      </c>
      <c r="B18843" s="689">
        <v>16.5</v>
      </c>
      <c r="C18843" s="689">
        <v>16.100000000000001</v>
      </c>
      <c r="D18843" s="689">
        <v>15.9</v>
      </c>
      <c r="E18843" s="689">
        <v>16.3</v>
      </c>
      <c r="F18843" s="689">
        <v>16.2</v>
      </c>
      <c r="G18843" s="689">
        <v>16.600000000000001</v>
      </c>
      <c r="H18843" s="689">
        <v>16.5</v>
      </c>
      <c r="I18843" s="689">
        <v>16.2</v>
      </c>
      <c r="J18843" s="689">
        <v>15.7</v>
      </c>
      <c r="K18843" s="689">
        <v>15.9</v>
      </c>
    </row>
    <row r="18844" spans="1:11">
      <c r="A18844" s="688" t="s">
        <v>27</v>
      </c>
      <c r="B18844" s="691">
        <v>18.2</v>
      </c>
      <c r="C18844" s="691">
        <v>17.7</v>
      </c>
      <c r="D18844" s="691">
        <v>17.399999999999999</v>
      </c>
      <c r="E18844" s="691">
        <v>17.8</v>
      </c>
      <c r="F18844" s="691">
        <v>17.7</v>
      </c>
      <c r="G18844" s="691">
        <v>17.8</v>
      </c>
      <c r="H18844" s="691">
        <v>18.2</v>
      </c>
      <c r="I18844" s="691">
        <v>17.100000000000001</v>
      </c>
      <c r="J18844" s="691">
        <v>17.899999999999999</v>
      </c>
      <c r="K18844" s="691">
        <v>17.8</v>
      </c>
    </row>
    <row r="18845" spans="1:11">
      <c r="A18845" s="688" t="s">
        <v>6</v>
      </c>
      <c r="B18845" s="689">
        <v>18.5</v>
      </c>
      <c r="C18845" s="689">
        <v>18.2</v>
      </c>
      <c r="D18845" s="689">
        <v>17.899999999999999</v>
      </c>
      <c r="E18845" s="689">
        <v>18.2</v>
      </c>
      <c r="F18845" s="689">
        <v>18.2</v>
      </c>
      <c r="G18845" s="689">
        <v>18.3</v>
      </c>
      <c r="H18845" s="689">
        <v>18.399999999999999</v>
      </c>
      <c r="I18845" s="689">
        <v>17.899999999999999</v>
      </c>
      <c r="J18845" s="689">
        <v>18.100000000000001</v>
      </c>
      <c r="K18845" s="693">
        <v>18</v>
      </c>
    </row>
    <row r="18846" spans="1:11">
      <c r="A18846" s="688" t="s">
        <v>4058</v>
      </c>
      <c r="B18846" s="692" t="s">
        <v>4060</v>
      </c>
      <c r="C18846" s="692" t="s">
        <v>4060</v>
      </c>
      <c r="D18846" s="692" t="s">
        <v>4060</v>
      </c>
      <c r="E18846" s="692" t="s">
        <v>4060</v>
      </c>
      <c r="F18846" s="692" t="s">
        <v>4060</v>
      </c>
      <c r="G18846" s="692" t="s">
        <v>4060</v>
      </c>
      <c r="H18846" s="692" t="s">
        <v>4060</v>
      </c>
      <c r="I18846" s="692" t="s">
        <v>4060</v>
      </c>
      <c r="J18846" s="692" t="s">
        <v>4060</v>
      </c>
      <c r="K18846" s="692" t="s">
        <v>4060</v>
      </c>
    </row>
    <row r="18847" spans="1:11">
      <c r="A18847" s="688" t="s">
        <v>11</v>
      </c>
      <c r="B18847" s="689">
        <v>14.2</v>
      </c>
      <c r="C18847" s="693">
        <v>14</v>
      </c>
      <c r="D18847" s="689">
        <v>13.7</v>
      </c>
      <c r="E18847" s="689">
        <v>14.2</v>
      </c>
      <c r="F18847" s="689">
        <v>13.9</v>
      </c>
      <c r="G18847" s="689">
        <v>14.2</v>
      </c>
      <c r="H18847" s="689">
        <v>14.3</v>
      </c>
      <c r="I18847" s="689">
        <v>13.8</v>
      </c>
      <c r="J18847" s="689">
        <v>13.3</v>
      </c>
      <c r="K18847" s="689">
        <v>13.8</v>
      </c>
    </row>
    <row r="18848" spans="1:11">
      <c r="A18848" s="688" t="s">
        <v>10</v>
      </c>
      <c r="B18848" s="691">
        <v>17.5</v>
      </c>
      <c r="C18848" s="691">
        <v>17.2</v>
      </c>
      <c r="D18848" s="691">
        <v>16.8</v>
      </c>
      <c r="E18848" s="691">
        <v>17.3</v>
      </c>
      <c r="F18848" s="615">
        <v>17</v>
      </c>
      <c r="G18848" s="691">
        <v>17.3</v>
      </c>
      <c r="H18848" s="691">
        <v>17.399999999999999</v>
      </c>
      <c r="I18848" s="691">
        <v>16.600000000000001</v>
      </c>
      <c r="J18848" s="691">
        <v>16.899999999999999</v>
      </c>
      <c r="K18848" s="691">
        <v>16.8</v>
      </c>
    </row>
    <row r="18849" spans="1:11">
      <c r="A18849" s="688" t="s">
        <v>30</v>
      </c>
      <c r="B18849" s="689">
        <v>16.5</v>
      </c>
      <c r="C18849" s="689">
        <v>15.9</v>
      </c>
      <c r="D18849" s="689">
        <v>15.6</v>
      </c>
      <c r="E18849" s="689">
        <v>16.399999999999999</v>
      </c>
      <c r="F18849" s="693">
        <v>16</v>
      </c>
      <c r="G18849" s="689">
        <v>16.5</v>
      </c>
      <c r="H18849" s="689">
        <v>16.3</v>
      </c>
      <c r="I18849" s="689">
        <v>16.3</v>
      </c>
      <c r="J18849" s="689">
        <v>15.9</v>
      </c>
      <c r="K18849" s="693">
        <v>16</v>
      </c>
    </row>
    <row r="18850" spans="1:11">
      <c r="A18850" s="688" t="s">
        <v>12</v>
      </c>
      <c r="B18850" s="691">
        <v>14.2</v>
      </c>
      <c r="C18850" s="691">
        <v>14.3</v>
      </c>
      <c r="D18850" s="691">
        <v>14.1</v>
      </c>
      <c r="E18850" s="691">
        <v>14.2</v>
      </c>
      <c r="F18850" s="691">
        <v>14.4</v>
      </c>
      <c r="G18850" s="691">
        <v>14.4</v>
      </c>
      <c r="H18850" s="691">
        <v>14.7</v>
      </c>
      <c r="I18850" s="691">
        <v>14.4</v>
      </c>
      <c r="J18850" s="691">
        <v>13.3</v>
      </c>
      <c r="K18850" s="691">
        <v>14.1</v>
      </c>
    </row>
    <row r="18851" spans="1:11">
      <c r="A18851" s="688" t="s">
        <v>14</v>
      </c>
      <c r="B18851" s="689">
        <v>14.6</v>
      </c>
      <c r="C18851" s="689">
        <v>14.5</v>
      </c>
      <c r="D18851" s="689">
        <v>14.3</v>
      </c>
      <c r="E18851" s="689">
        <v>14.4</v>
      </c>
      <c r="F18851" s="689">
        <v>14.5</v>
      </c>
      <c r="G18851" s="689">
        <v>14.6</v>
      </c>
      <c r="H18851" s="693">
        <v>15</v>
      </c>
      <c r="I18851" s="689">
        <v>14.3</v>
      </c>
      <c r="J18851" s="689">
        <v>13.6</v>
      </c>
      <c r="K18851" s="689">
        <v>14.4</v>
      </c>
    </row>
    <row r="18852" spans="1:11">
      <c r="A18852" s="688" t="s">
        <v>15</v>
      </c>
      <c r="B18852" s="691">
        <v>17.100000000000001</v>
      </c>
      <c r="C18852" s="615">
        <v>17</v>
      </c>
      <c r="D18852" s="691">
        <v>16.5</v>
      </c>
      <c r="E18852" s="615">
        <v>17</v>
      </c>
      <c r="F18852" s="691">
        <v>16.399999999999999</v>
      </c>
      <c r="G18852" s="691">
        <v>16.8</v>
      </c>
      <c r="H18852" s="615">
        <v>17</v>
      </c>
      <c r="I18852" s="691">
        <v>16.7</v>
      </c>
      <c r="J18852" s="615">
        <v>17</v>
      </c>
      <c r="K18852" s="691">
        <v>17.100000000000001</v>
      </c>
    </row>
    <row r="18853" spans="1:11">
      <c r="A18853" s="688" t="s">
        <v>29</v>
      </c>
      <c r="B18853" s="689">
        <v>13.9</v>
      </c>
      <c r="C18853" s="689">
        <v>13.9</v>
      </c>
      <c r="D18853" s="689">
        <v>13.6</v>
      </c>
      <c r="E18853" s="693">
        <v>14</v>
      </c>
      <c r="F18853" s="689">
        <v>13.8</v>
      </c>
      <c r="G18853" s="689">
        <v>13.9</v>
      </c>
      <c r="H18853" s="689">
        <v>13.9</v>
      </c>
      <c r="I18853" s="689">
        <v>13.4</v>
      </c>
      <c r="J18853" s="693">
        <v>13</v>
      </c>
      <c r="K18853" s="689">
        <v>13.7</v>
      </c>
    </row>
    <row r="18854" spans="1:11">
      <c r="A18854" s="688" t="s">
        <v>16</v>
      </c>
      <c r="B18854" s="691">
        <v>16.2</v>
      </c>
      <c r="C18854" s="691">
        <v>16.3</v>
      </c>
      <c r="D18854" s="691">
        <v>16.3</v>
      </c>
      <c r="E18854" s="691">
        <v>16.600000000000001</v>
      </c>
      <c r="F18854" s="691">
        <v>16.600000000000001</v>
      </c>
      <c r="G18854" s="691">
        <v>16.5</v>
      </c>
      <c r="H18854" s="691">
        <v>16.8</v>
      </c>
      <c r="I18854" s="691">
        <v>16.399999999999999</v>
      </c>
      <c r="J18854" s="691">
        <v>16.100000000000001</v>
      </c>
      <c r="K18854" s="691">
        <v>16.5</v>
      </c>
    </row>
    <row r="18855" spans="1:11">
      <c r="A18855" s="688" t="s">
        <v>17</v>
      </c>
      <c r="B18855" s="689">
        <v>16.3</v>
      </c>
      <c r="C18855" s="689">
        <v>16.3</v>
      </c>
      <c r="D18855" s="689">
        <v>16.100000000000001</v>
      </c>
      <c r="E18855" s="689">
        <v>16.100000000000001</v>
      </c>
      <c r="F18855" s="689">
        <v>16.100000000000001</v>
      </c>
      <c r="G18855" s="689">
        <v>16.100000000000001</v>
      </c>
      <c r="H18855" s="689">
        <v>16.3</v>
      </c>
      <c r="I18855" s="689">
        <v>15.8</v>
      </c>
      <c r="J18855" s="689">
        <v>15.9</v>
      </c>
      <c r="K18855" s="689">
        <v>15.9</v>
      </c>
    </row>
    <row r="18856" spans="1:11">
      <c r="A18856" s="688" t="s">
        <v>19</v>
      </c>
      <c r="B18856" s="691">
        <v>16.600000000000001</v>
      </c>
      <c r="C18856" s="691">
        <v>16.600000000000001</v>
      </c>
      <c r="D18856" s="691">
        <v>16.3</v>
      </c>
      <c r="E18856" s="691">
        <v>16.600000000000001</v>
      </c>
      <c r="F18856" s="691">
        <v>16.5</v>
      </c>
      <c r="G18856" s="691">
        <v>16.600000000000001</v>
      </c>
      <c r="H18856" s="691">
        <v>16.7</v>
      </c>
      <c r="I18856" s="691">
        <v>16.2</v>
      </c>
      <c r="J18856" s="691">
        <v>16.3</v>
      </c>
      <c r="K18856" s="691">
        <v>16.2</v>
      </c>
    </row>
    <row r="18857" spans="1:11">
      <c r="A18857" s="688" t="s">
        <v>20</v>
      </c>
      <c r="B18857" s="689">
        <v>15.3</v>
      </c>
      <c r="C18857" s="689">
        <v>15.4</v>
      </c>
      <c r="D18857" s="689">
        <v>15.2</v>
      </c>
      <c r="E18857" s="689">
        <v>15.5</v>
      </c>
      <c r="F18857" s="689">
        <v>15.3</v>
      </c>
      <c r="G18857" s="689">
        <v>15.3</v>
      </c>
      <c r="H18857" s="689">
        <v>15.5</v>
      </c>
      <c r="I18857" s="689">
        <v>14.5</v>
      </c>
      <c r="J18857" s="689">
        <v>13.9</v>
      </c>
      <c r="K18857" s="689">
        <v>14.9</v>
      </c>
    </row>
    <row r="18858" spans="1:11">
      <c r="A18858" s="688" t="s">
        <v>21</v>
      </c>
      <c r="B18858" s="691">
        <v>16.5</v>
      </c>
      <c r="C18858" s="691">
        <v>16.7</v>
      </c>
      <c r="D18858" s="691">
        <v>16.600000000000001</v>
      </c>
      <c r="E18858" s="691">
        <v>16.7</v>
      </c>
      <c r="F18858" s="691">
        <v>16.899999999999999</v>
      </c>
      <c r="G18858" s="691">
        <v>16.899999999999999</v>
      </c>
      <c r="H18858" s="691">
        <v>17.100000000000001</v>
      </c>
      <c r="I18858" s="691">
        <v>16.5</v>
      </c>
      <c r="J18858" s="691">
        <v>16.7</v>
      </c>
      <c r="K18858" s="691">
        <v>16.8</v>
      </c>
    </row>
    <row r="18859" spans="1:11">
      <c r="A18859" s="688" t="s">
        <v>22</v>
      </c>
      <c r="B18859" s="689">
        <v>13.6</v>
      </c>
      <c r="C18859" s="689">
        <v>13.4</v>
      </c>
      <c r="D18859" s="689">
        <v>13.3</v>
      </c>
      <c r="E18859" s="689">
        <v>13.7</v>
      </c>
      <c r="F18859" s="689">
        <v>13.6</v>
      </c>
      <c r="G18859" s="689">
        <v>13.8</v>
      </c>
      <c r="H18859" s="693">
        <v>14</v>
      </c>
      <c r="I18859" s="689">
        <v>13.3</v>
      </c>
      <c r="J18859" s="689">
        <v>12.2</v>
      </c>
      <c r="K18859" s="689">
        <v>13.5</v>
      </c>
    </row>
    <row r="18860" spans="1:11">
      <c r="A18860" s="688" t="s">
        <v>26</v>
      </c>
      <c r="B18860" s="691">
        <v>16.399999999999999</v>
      </c>
      <c r="C18860" s="691">
        <v>16.100000000000001</v>
      </c>
      <c r="D18860" s="691">
        <v>16.100000000000001</v>
      </c>
      <c r="E18860" s="691">
        <v>16.3</v>
      </c>
      <c r="F18860" s="691">
        <v>16.3</v>
      </c>
      <c r="G18860" s="691">
        <v>16.5</v>
      </c>
      <c r="H18860" s="691">
        <v>16.600000000000001</v>
      </c>
      <c r="I18860" s="691">
        <v>15.6</v>
      </c>
      <c r="J18860" s="691">
        <v>16.2</v>
      </c>
      <c r="K18860" s="691">
        <v>16.3</v>
      </c>
    </row>
    <row r="18861" spans="1:11">
      <c r="A18861" s="688" t="s">
        <v>25</v>
      </c>
      <c r="B18861" s="689">
        <v>14.1</v>
      </c>
      <c r="C18861" s="689">
        <v>14.3</v>
      </c>
      <c r="D18861" s="693">
        <v>14</v>
      </c>
      <c r="E18861" s="689">
        <v>14.4</v>
      </c>
      <c r="F18861" s="689">
        <v>14.3</v>
      </c>
      <c r="G18861" s="689">
        <v>14.4</v>
      </c>
      <c r="H18861" s="689">
        <v>14.8</v>
      </c>
      <c r="I18861" s="689">
        <v>14.2</v>
      </c>
      <c r="J18861" s="689">
        <v>12.7</v>
      </c>
      <c r="K18861" s="689">
        <v>14.1</v>
      </c>
    </row>
    <row r="18862" spans="1:11">
      <c r="A18862" s="688" t="s">
        <v>5</v>
      </c>
      <c r="B18862" s="691">
        <v>16.8</v>
      </c>
      <c r="C18862" s="691">
        <v>16.5</v>
      </c>
      <c r="D18862" s="691">
        <v>16.600000000000001</v>
      </c>
      <c r="E18862" s="691">
        <v>16.600000000000001</v>
      </c>
      <c r="F18862" s="691">
        <v>16.8</v>
      </c>
      <c r="G18862" s="691">
        <v>16.8</v>
      </c>
      <c r="H18862" s="615">
        <v>17</v>
      </c>
      <c r="I18862" s="615">
        <v>17</v>
      </c>
      <c r="J18862" s="691">
        <v>16.899999999999999</v>
      </c>
      <c r="K18862" s="691">
        <v>16.399999999999999</v>
      </c>
    </row>
    <row r="18863" spans="1:11">
      <c r="A18863" s="688" t="s">
        <v>23</v>
      </c>
      <c r="B18863" s="689">
        <v>16.3</v>
      </c>
      <c r="C18863" s="689">
        <v>16.5</v>
      </c>
      <c r="D18863" s="689">
        <v>16.399999999999999</v>
      </c>
      <c r="E18863" s="689">
        <v>16.5</v>
      </c>
      <c r="F18863" s="689">
        <v>16.5</v>
      </c>
      <c r="G18863" s="689">
        <v>16.600000000000001</v>
      </c>
      <c r="H18863" s="689">
        <v>16.899999999999999</v>
      </c>
      <c r="I18863" s="689">
        <v>16.399999999999999</v>
      </c>
      <c r="J18863" s="693">
        <v>17</v>
      </c>
      <c r="K18863" s="689">
        <v>16.8</v>
      </c>
    </row>
    <row r="18864" spans="1:11">
      <c r="A18864" s="688" t="s">
        <v>4067</v>
      </c>
      <c r="B18864" s="691">
        <v>16.399999999999999</v>
      </c>
      <c r="C18864" s="691">
        <v>16.7</v>
      </c>
      <c r="D18864" s="691">
        <v>16.3</v>
      </c>
      <c r="E18864" s="691">
        <v>16.7</v>
      </c>
      <c r="F18864" s="691">
        <v>16.600000000000001</v>
      </c>
      <c r="G18864" s="691">
        <v>16.600000000000001</v>
      </c>
      <c r="H18864" s="692" t="s">
        <v>4060</v>
      </c>
      <c r="I18864" s="692" t="s">
        <v>4060</v>
      </c>
      <c r="J18864" s="692" t="s">
        <v>4060</v>
      </c>
      <c r="K18864" s="692" t="s">
        <v>4060</v>
      </c>
    </row>
    <row r="18865" spans="1:11">
      <c r="A18865" s="688" t="s">
        <v>4066</v>
      </c>
      <c r="B18865" s="689">
        <v>16.5</v>
      </c>
      <c r="C18865" s="689">
        <v>16.8</v>
      </c>
      <c r="D18865" s="689">
        <v>16.3</v>
      </c>
      <c r="E18865" s="689">
        <v>16.7</v>
      </c>
      <c r="F18865" s="689">
        <v>16.600000000000001</v>
      </c>
      <c r="G18865" s="689">
        <v>16.7</v>
      </c>
      <c r="H18865" s="690" t="s">
        <v>4060</v>
      </c>
      <c r="I18865" s="690" t="s">
        <v>4060</v>
      </c>
      <c r="J18865" s="690" t="s">
        <v>4060</v>
      </c>
      <c r="K18865" s="690" t="s">
        <v>4060</v>
      </c>
    </row>
    <row r="18866" spans="1:11">
      <c r="A18866" s="688" t="s">
        <v>4062</v>
      </c>
      <c r="B18866" s="615">
        <v>17</v>
      </c>
      <c r="C18866" s="615">
        <v>17</v>
      </c>
      <c r="D18866" s="691">
        <v>16.899999999999999</v>
      </c>
      <c r="E18866" s="691">
        <v>17.100000000000001</v>
      </c>
      <c r="F18866" s="691">
        <v>17.100000000000001</v>
      </c>
      <c r="G18866" s="691">
        <v>17.2</v>
      </c>
      <c r="H18866" s="691">
        <v>17.3</v>
      </c>
      <c r="I18866" s="615">
        <v>17</v>
      </c>
      <c r="J18866" s="691">
        <v>17.3</v>
      </c>
      <c r="K18866" s="615">
        <v>17</v>
      </c>
    </row>
    <row r="18867" spans="1:11">
      <c r="A18867" s="688" t="s">
        <v>9</v>
      </c>
      <c r="B18867" s="689">
        <v>16.3</v>
      </c>
      <c r="C18867" s="689">
        <v>16.7</v>
      </c>
      <c r="D18867" s="689">
        <v>16.2</v>
      </c>
      <c r="E18867" s="693">
        <v>16</v>
      </c>
      <c r="F18867" s="693">
        <v>16</v>
      </c>
      <c r="G18867" s="689">
        <v>16.100000000000001</v>
      </c>
      <c r="H18867" s="689">
        <v>16.600000000000001</v>
      </c>
      <c r="I18867" s="689">
        <v>16.7</v>
      </c>
      <c r="J18867" s="689">
        <v>16.7</v>
      </c>
      <c r="K18867" s="689">
        <v>15.9</v>
      </c>
    </row>
    <row r="18868" spans="1:11">
      <c r="A18868" s="688" t="s">
        <v>13</v>
      </c>
      <c r="B18868" s="691">
        <v>17.5</v>
      </c>
      <c r="C18868" s="691">
        <v>15.5</v>
      </c>
      <c r="D18868" s="615">
        <v>17</v>
      </c>
      <c r="E18868" s="691">
        <v>17.600000000000001</v>
      </c>
      <c r="F18868" s="691">
        <v>17.8</v>
      </c>
      <c r="G18868" s="615">
        <v>17</v>
      </c>
      <c r="H18868" s="691">
        <v>16.8</v>
      </c>
      <c r="I18868" s="691">
        <v>16.2</v>
      </c>
      <c r="J18868" s="691">
        <v>17.399999999999999</v>
      </c>
      <c r="K18868" s="615">
        <v>17</v>
      </c>
    </row>
    <row r="18869" spans="1:11">
      <c r="A18869" s="688" t="s">
        <v>18</v>
      </c>
      <c r="B18869" s="689">
        <v>16.399999999999999</v>
      </c>
      <c r="C18869" s="689">
        <v>16.600000000000001</v>
      </c>
      <c r="D18869" s="689">
        <v>16.5</v>
      </c>
      <c r="E18869" s="689">
        <v>16.600000000000001</v>
      </c>
      <c r="F18869" s="689">
        <v>16.600000000000001</v>
      </c>
      <c r="G18869" s="689">
        <v>16.8</v>
      </c>
      <c r="H18869" s="689">
        <v>16.8</v>
      </c>
      <c r="I18869" s="693">
        <v>17</v>
      </c>
      <c r="J18869" s="689">
        <v>16.8</v>
      </c>
      <c r="K18869" s="689">
        <v>16.5</v>
      </c>
    </row>
    <row r="18870" spans="1:11">
      <c r="A18870" s="688" t="s">
        <v>24</v>
      </c>
      <c r="B18870" s="691">
        <v>17.3</v>
      </c>
      <c r="C18870" s="691">
        <v>17.3</v>
      </c>
      <c r="D18870" s="691">
        <v>17.100000000000001</v>
      </c>
      <c r="E18870" s="691">
        <v>17.399999999999999</v>
      </c>
      <c r="F18870" s="691">
        <v>17.399999999999999</v>
      </c>
      <c r="G18870" s="691">
        <v>17.5</v>
      </c>
      <c r="H18870" s="691">
        <v>17.5</v>
      </c>
      <c r="I18870" s="615">
        <v>17</v>
      </c>
      <c r="J18870" s="691">
        <v>17.600000000000001</v>
      </c>
      <c r="K18870" s="691">
        <v>17.399999999999999</v>
      </c>
    </row>
    <row r="18871" spans="1:11">
      <c r="A18871" s="688" t="s">
        <v>4059</v>
      </c>
      <c r="B18871" s="689">
        <v>16.100000000000001</v>
      </c>
      <c r="C18871" s="689">
        <v>16.399999999999999</v>
      </c>
      <c r="D18871" s="689">
        <v>15.9</v>
      </c>
      <c r="E18871" s="689">
        <v>16.3</v>
      </c>
      <c r="F18871" s="689">
        <v>16.2</v>
      </c>
      <c r="G18871" s="689">
        <v>16.3</v>
      </c>
      <c r="H18871" s="690" t="s">
        <v>4060</v>
      </c>
      <c r="I18871" s="690" t="s">
        <v>4060</v>
      </c>
      <c r="J18871" s="690" t="s">
        <v>4060</v>
      </c>
      <c r="K18871" s="690" t="s">
        <v>4060</v>
      </c>
    </row>
    <row r="18872" spans="1:11">
      <c r="A18872" s="688" t="s">
        <v>2324</v>
      </c>
      <c r="B18872" s="691">
        <v>12.9</v>
      </c>
      <c r="C18872" s="691">
        <v>12.8</v>
      </c>
      <c r="D18872" s="691">
        <v>12.6</v>
      </c>
      <c r="E18872" s="691">
        <v>12.8</v>
      </c>
      <c r="F18872" s="615">
        <v>13</v>
      </c>
      <c r="G18872" s="615">
        <v>13</v>
      </c>
      <c r="H18872" s="691">
        <v>13.2</v>
      </c>
      <c r="I18872" s="691">
        <v>12.7</v>
      </c>
      <c r="J18872" s="615">
        <v>11</v>
      </c>
      <c r="K18872" s="692" t="s">
        <v>4060</v>
      </c>
    </row>
    <row r="18873" spans="1:11">
      <c r="A18873" s="688" t="s">
        <v>2322</v>
      </c>
      <c r="B18873" s="690" t="s">
        <v>4060</v>
      </c>
      <c r="C18873" s="690" t="s">
        <v>4060</v>
      </c>
      <c r="D18873" s="690" t="s">
        <v>4060</v>
      </c>
      <c r="E18873" s="690" t="s">
        <v>4060</v>
      </c>
      <c r="F18873" s="690" t="s">
        <v>4060</v>
      </c>
      <c r="G18873" s="690" t="s">
        <v>4060</v>
      </c>
      <c r="H18873" s="690" t="s">
        <v>4060</v>
      </c>
      <c r="I18873" s="690" t="s">
        <v>4060</v>
      </c>
      <c r="J18873" s="690" t="s">
        <v>4060</v>
      </c>
      <c r="K18873" s="690" t="s">
        <v>4060</v>
      </c>
    </row>
    <row r="18874" spans="1:11">
      <c r="A18874" s="688" t="s">
        <v>2328</v>
      </c>
      <c r="B18874" s="691">
        <v>11.9</v>
      </c>
      <c r="C18874" s="691">
        <v>11.7</v>
      </c>
      <c r="D18874" s="691">
        <v>11.6</v>
      </c>
      <c r="E18874" s="615">
        <v>12</v>
      </c>
      <c r="F18874" s="615">
        <v>12</v>
      </c>
      <c r="G18874" s="691">
        <v>12.5</v>
      </c>
      <c r="H18874" s="691">
        <v>12.3</v>
      </c>
      <c r="I18874" s="691">
        <v>11.4</v>
      </c>
      <c r="J18874" s="691">
        <v>10.8</v>
      </c>
      <c r="K18874" s="692" t="s">
        <v>4060</v>
      </c>
    </row>
    <row r="18875" spans="1:11">
      <c r="A18875" s="688" t="s">
        <v>2496</v>
      </c>
      <c r="B18875" s="690" t="s">
        <v>4060</v>
      </c>
      <c r="C18875" s="689">
        <v>13.4</v>
      </c>
      <c r="D18875" s="689">
        <v>12.6</v>
      </c>
      <c r="E18875" s="693">
        <v>12</v>
      </c>
      <c r="F18875" s="689">
        <v>12.4</v>
      </c>
      <c r="G18875" s="689">
        <v>12.6</v>
      </c>
      <c r="H18875" s="689">
        <v>12.6</v>
      </c>
      <c r="I18875" s="690" t="s">
        <v>4060</v>
      </c>
      <c r="J18875" s="690" t="s">
        <v>4060</v>
      </c>
      <c r="K18875" s="689">
        <v>12.3</v>
      </c>
    </row>
    <row r="18876" spans="1:11">
      <c r="A18876" s="688" t="s">
        <v>2269</v>
      </c>
      <c r="B18876" s="691">
        <v>13.3</v>
      </c>
      <c r="C18876" s="691">
        <v>13.4</v>
      </c>
      <c r="D18876" s="691">
        <v>12.7</v>
      </c>
      <c r="E18876" s="691">
        <v>13.1</v>
      </c>
      <c r="F18876" s="615">
        <v>13</v>
      </c>
      <c r="G18876" s="691">
        <v>13.4</v>
      </c>
      <c r="H18876" s="691">
        <v>13.6</v>
      </c>
      <c r="I18876" s="691">
        <v>12.7</v>
      </c>
      <c r="J18876" s="691">
        <v>10.8</v>
      </c>
      <c r="K18876" s="691">
        <v>13.2</v>
      </c>
    </row>
    <row r="18877" spans="1:11">
      <c r="A18877" s="688" t="s">
        <v>2349</v>
      </c>
      <c r="B18877" s="689">
        <v>12.4</v>
      </c>
      <c r="C18877" s="689">
        <v>12.4</v>
      </c>
      <c r="D18877" s="689">
        <v>12.3</v>
      </c>
      <c r="E18877" s="689">
        <v>12.6</v>
      </c>
      <c r="F18877" s="689">
        <v>12.5</v>
      </c>
      <c r="G18877" s="689">
        <v>12.7</v>
      </c>
      <c r="H18877" s="689">
        <v>12.9</v>
      </c>
      <c r="I18877" s="689">
        <v>12.1</v>
      </c>
      <c r="J18877" s="689">
        <v>10.9</v>
      </c>
      <c r="K18877" s="689">
        <v>12.2</v>
      </c>
    </row>
    <row r="18878" spans="1:11">
      <c r="A18878" s="688" t="s">
        <v>2355</v>
      </c>
      <c r="B18878" s="691">
        <v>15.1</v>
      </c>
      <c r="C18878" s="691">
        <v>14.8</v>
      </c>
      <c r="D18878" s="691">
        <v>14.8</v>
      </c>
      <c r="E18878" s="691">
        <v>14.7</v>
      </c>
      <c r="F18878" s="691">
        <v>14.8</v>
      </c>
      <c r="G18878" s="691">
        <v>15.1</v>
      </c>
      <c r="H18878" s="691">
        <v>15.2</v>
      </c>
      <c r="I18878" s="692" t="s">
        <v>4060</v>
      </c>
      <c r="J18878" s="692" t="s">
        <v>4060</v>
      </c>
      <c r="K18878" s="692" t="s">
        <v>4060</v>
      </c>
    </row>
    <row r="18879" spans="1:11">
      <c r="A18879" s="688" t="s">
        <v>2357</v>
      </c>
      <c r="B18879" s="690" t="s">
        <v>4060</v>
      </c>
      <c r="C18879" s="689">
        <v>12.7</v>
      </c>
      <c r="D18879" s="693">
        <v>13</v>
      </c>
      <c r="E18879" s="689">
        <v>13.2</v>
      </c>
      <c r="F18879" s="689">
        <v>13.4</v>
      </c>
      <c r="G18879" s="689">
        <v>13.3</v>
      </c>
      <c r="H18879" s="689">
        <v>13.4</v>
      </c>
      <c r="I18879" s="690" t="s">
        <v>4060</v>
      </c>
      <c r="J18879" s="690" t="s">
        <v>4060</v>
      </c>
      <c r="K18879" s="690" t="s">
        <v>4060</v>
      </c>
    </row>
    <row r="18880" spans="1:11">
      <c r="A18880" s="688" t="s">
        <v>4070</v>
      </c>
      <c r="B18880" s="692" t="s">
        <v>4060</v>
      </c>
      <c r="C18880" s="692" t="s">
        <v>4060</v>
      </c>
      <c r="D18880" s="692" t="s">
        <v>4060</v>
      </c>
      <c r="E18880" s="691">
        <v>15.4</v>
      </c>
      <c r="F18880" s="692" t="s">
        <v>4060</v>
      </c>
      <c r="G18880" s="692" t="s">
        <v>4060</v>
      </c>
      <c r="H18880" s="692" t="s">
        <v>4060</v>
      </c>
      <c r="I18880" s="692" t="s">
        <v>4060</v>
      </c>
      <c r="J18880" s="692" t="s">
        <v>4060</v>
      </c>
      <c r="K18880" s="692" t="s">
        <v>4060</v>
      </c>
    </row>
    <row r="18881" spans="1:11">
      <c r="A18881" s="688" t="s">
        <v>2491</v>
      </c>
      <c r="B18881" s="689">
        <v>13.1</v>
      </c>
      <c r="C18881" s="689">
        <v>13.5</v>
      </c>
      <c r="D18881" s="689">
        <v>13.5</v>
      </c>
      <c r="E18881" s="689">
        <v>13.6</v>
      </c>
      <c r="F18881" s="689">
        <v>13.7</v>
      </c>
      <c r="G18881" s="689">
        <v>13.7</v>
      </c>
      <c r="H18881" s="690" t="s">
        <v>4060</v>
      </c>
      <c r="I18881" s="690" t="s">
        <v>4060</v>
      </c>
      <c r="J18881" s="690" t="s">
        <v>4060</v>
      </c>
      <c r="K18881" s="690" t="s">
        <v>4060</v>
      </c>
    </row>
    <row r="18882" spans="1:11">
      <c r="A18882" s="688" t="s">
        <v>2343</v>
      </c>
      <c r="B18882" s="692" t="s">
        <v>4060</v>
      </c>
      <c r="C18882" s="692" t="s">
        <v>4060</v>
      </c>
      <c r="D18882" s="692" t="s">
        <v>4060</v>
      </c>
      <c r="E18882" s="692" t="s">
        <v>4060</v>
      </c>
      <c r="F18882" s="692" t="s">
        <v>4060</v>
      </c>
      <c r="G18882" s="692" t="s">
        <v>4060</v>
      </c>
      <c r="H18882" s="692" t="s">
        <v>4060</v>
      </c>
      <c r="I18882" s="692" t="s">
        <v>4060</v>
      </c>
      <c r="J18882" s="692" t="s">
        <v>4060</v>
      </c>
      <c r="K18882" s="692" t="s">
        <v>4060</v>
      </c>
    </row>
    <row r="18883" spans="1:11">
      <c r="A18883" s="688" t="s">
        <v>4071</v>
      </c>
      <c r="B18883" s="690" t="s">
        <v>4060</v>
      </c>
      <c r="C18883" s="690" t="s">
        <v>4060</v>
      </c>
      <c r="D18883" s="690" t="s">
        <v>4060</v>
      </c>
      <c r="E18883" s="690" t="s">
        <v>4060</v>
      </c>
      <c r="F18883" s="690" t="s">
        <v>4060</v>
      </c>
      <c r="G18883" s="690" t="s">
        <v>4060</v>
      </c>
      <c r="H18883" s="690" t="s">
        <v>4060</v>
      </c>
      <c r="I18883" s="690" t="s">
        <v>4060</v>
      </c>
      <c r="J18883" s="690" t="s">
        <v>4060</v>
      </c>
      <c r="K18883" s="690" t="s">
        <v>4060</v>
      </c>
    </row>
    <row r="18884" spans="1:11">
      <c r="A18884" s="688" t="s">
        <v>2489</v>
      </c>
      <c r="B18884" s="692" t="s">
        <v>4060</v>
      </c>
      <c r="C18884" s="692" t="s">
        <v>4060</v>
      </c>
      <c r="D18884" s="691">
        <v>12.6</v>
      </c>
      <c r="E18884" s="691">
        <v>12.6</v>
      </c>
      <c r="F18884" s="691">
        <v>12.9</v>
      </c>
      <c r="G18884" s="691">
        <v>13.5</v>
      </c>
      <c r="H18884" s="691">
        <v>13.4</v>
      </c>
      <c r="I18884" s="692" t="s">
        <v>4060</v>
      </c>
      <c r="J18884" s="692" t="s">
        <v>4060</v>
      </c>
      <c r="K18884" s="692" t="s">
        <v>4060</v>
      </c>
    </row>
    <row r="18885" spans="1:11">
      <c r="A18885" s="688" t="s">
        <v>2490</v>
      </c>
      <c r="B18885" s="689">
        <v>12.1</v>
      </c>
      <c r="C18885" s="693">
        <v>12</v>
      </c>
      <c r="D18885" s="689">
        <v>12.6</v>
      </c>
      <c r="E18885" s="690" t="s">
        <v>4060</v>
      </c>
      <c r="F18885" s="689">
        <v>12.9</v>
      </c>
      <c r="G18885" s="689">
        <v>13.1</v>
      </c>
      <c r="H18885" s="689">
        <v>13.7</v>
      </c>
      <c r="I18885" s="690" t="s">
        <v>4060</v>
      </c>
      <c r="J18885" s="690" t="s">
        <v>4060</v>
      </c>
      <c r="K18885" s="690" t="s">
        <v>4060</v>
      </c>
    </row>
    <row r="18887" spans="1:11">
      <c r="A18887" s="683" t="s">
        <v>4233</v>
      </c>
    </row>
    <row r="18888" spans="1:11">
      <c r="A18888" s="683" t="s">
        <v>4060</v>
      </c>
      <c r="B18888" s="682" t="s">
        <v>4234</v>
      </c>
    </row>
    <row r="18890" spans="1:11">
      <c r="A18890" s="682" t="s">
        <v>4332</v>
      </c>
    </row>
    <row r="18891" spans="1:11">
      <c r="A18891" s="682" t="s">
        <v>4210</v>
      </c>
      <c r="B18891" s="683" t="s">
        <v>4211</v>
      </c>
    </row>
    <row r="18892" spans="1:11">
      <c r="A18892" s="682" t="s">
        <v>4212</v>
      </c>
      <c r="B18892" s="682" t="s">
        <v>4213</v>
      </c>
    </row>
    <row r="18894" spans="1:11">
      <c r="A18894" s="683" t="s">
        <v>4214</v>
      </c>
      <c r="C18894" s="682" t="s">
        <v>4215</v>
      </c>
    </row>
    <row r="18895" spans="1:11">
      <c r="A18895" s="683" t="s">
        <v>4216</v>
      </c>
      <c r="C18895" s="682" t="s">
        <v>2967</v>
      </c>
    </row>
    <row r="18896" spans="1:11">
      <c r="A18896" s="683" t="s">
        <v>3893</v>
      </c>
      <c r="C18896" s="682" t="s">
        <v>2169</v>
      </c>
    </row>
    <row r="18897" spans="1:11">
      <c r="A18897" s="683" t="s">
        <v>4218</v>
      </c>
      <c r="C18897" s="682" t="s">
        <v>4306</v>
      </c>
    </row>
    <row r="18899" spans="1:11">
      <c r="A18899" s="684" t="s">
        <v>4220</v>
      </c>
      <c r="B18899" s="685" t="s">
        <v>4221</v>
      </c>
      <c r="C18899" s="685" t="s">
        <v>4222</v>
      </c>
      <c r="D18899" s="685" t="s">
        <v>4223</v>
      </c>
      <c r="E18899" s="685" t="s">
        <v>4224</v>
      </c>
      <c r="F18899" s="685" t="s">
        <v>4225</v>
      </c>
      <c r="G18899" s="685" t="s">
        <v>4226</v>
      </c>
      <c r="H18899" s="685" t="s">
        <v>4227</v>
      </c>
      <c r="I18899" s="685" t="s">
        <v>4228</v>
      </c>
      <c r="J18899" s="685" t="s">
        <v>4229</v>
      </c>
      <c r="K18899" s="685" t="s">
        <v>4230</v>
      </c>
    </row>
    <row r="18900" spans="1:11">
      <c r="A18900" s="686" t="s">
        <v>4231</v>
      </c>
      <c r="B18900" s="687" t="s">
        <v>4232</v>
      </c>
      <c r="C18900" s="687" t="s">
        <v>4232</v>
      </c>
      <c r="D18900" s="687" t="s">
        <v>4232</v>
      </c>
      <c r="E18900" s="687" t="s">
        <v>4232</v>
      </c>
      <c r="F18900" s="687" t="s">
        <v>4232</v>
      </c>
      <c r="G18900" s="687" t="s">
        <v>4232</v>
      </c>
      <c r="H18900" s="687" t="s">
        <v>4232</v>
      </c>
      <c r="I18900" s="687" t="s">
        <v>4232</v>
      </c>
      <c r="J18900" s="687" t="s">
        <v>4232</v>
      </c>
      <c r="K18900" s="687" t="s">
        <v>4232</v>
      </c>
    </row>
    <row r="18901" spans="1:11">
      <c r="A18901" s="688" t="s">
        <v>4064</v>
      </c>
      <c r="B18901" s="689">
        <v>15.7</v>
      </c>
      <c r="C18901" s="689">
        <v>15.6</v>
      </c>
      <c r="D18901" s="689">
        <v>15.6</v>
      </c>
      <c r="E18901" s="689">
        <v>15.7</v>
      </c>
      <c r="F18901" s="689">
        <v>15.6</v>
      </c>
      <c r="G18901" s="689">
        <v>15.7</v>
      </c>
      <c r="H18901" s="689">
        <v>15.9</v>
      </c>
      <c r="I18901" s="689">
        <v>15.3</v>
      </c>
      <c r="J18901" s="689">
        <v>15.2</v>
      </c>
      <c r="K18901" s="689">
        <v>15.4</v>
      </c>
    </row>
    <row r="18902" spans="1:11">
      <c r="A18902" s="688" t="s">
        <v>4065</v>
      </c>
      <c r="B18902" s="691">
        <v>15.6</v>
      </c>
      <c r="C18902" s="691">
        <v>15.9</v>
      </c>
      <c r="D18902" s="691">
        <v>15.5</v>
      </c>
      <c r="E18902" s="691">
        <v>15.9</v>
      </c>
      <c r="F18902" s="691">
        <v>15.8</v>
      </c>
      <c r="G18902" s="691">
        <v>15.9</v>
      </c>
      <c r="H18902" s="692" t="s">
        <v>4060</v>
      </c>
      <c r="I18902" s="692" t="s">
        <v>4060</v>
      </c>
      <c r="J18902" s="692" t="s">
        <v>4060</v>
      </c>
      <c r="K18902" s="692" t="s">
        <v>4060</v>
      </c>
    </row>
    <row r="18903" spans="1:11">
      <c r="A18903" s="688" t="s">
        <v>4063</v>
      </c>
      <c r="B18903" s="689">
        <v>15.7</v>
      </c>
      <c r="C18903" s="693">
        <v>16</v>
      </c>
      <c r="D18903" s="689">
        <v>15.6</v>
      </c>
      <c r="E18903" s="689">
        <v>15.9</v>
      </c>
      <c r="F18903" s="689">
        <v>15.8</v>
      </c>
      <c r="G18903" s="689">
        <v>15.9</v>
      </c>
      <c r="H18903" s="690" t="s">
        <v>4060</v>
      </c>
      <c r="I18903" s="690" t="s">
        <v>4060</v>
      </c>
      <c r="J18903" s="690" t="s">
        <v>4060</v>
      </c>
      <c r="K18903" s="690" t="s">
        <v>4060</v>
      </c>
    </row>
    <row r="18904" spans="1:11">
      <c r="A18904" s="688" t="s">
        <v>4069</v>
      </c>
      <c r="B18904" s="692" t="s">
        <v>4060</v>
      </c>
      <c r="C18904" s="691">
        <v>16.100000000000001</v>
      </c>
      <c r="D18904" s="691">
        <v>15.8</v>
      </c>
      <c r="E18904" s="691">
        <v>16.100000000000001</v>
      </c>
      <c r="F18904" s="615">
        <v>16</v>
      </c>
      <c r="G18904" s="691">
        <v>16.2</v>
      </c>
      <c r="H18904" s="691">
        <v>16.3</v>
      </c>
      <c r="I18904" s="691">
        <v>15.8</v>
      </c>
      <c r="J18904" s="691">
        <v>15.9</v>
      </c>
      <c r="K18904" s="691">
        <v>15.8</v>
      </c>
    </row>
    <row r="18905" spans="1:11">
      <c r="A18905" s="688" t="s">
        <v>4068</v>
      </c>
      <c r="B18905" s="689">
        <v>16.2</v>
      </c>
      <c r="C18905" s="690" t="s">
        <v>4060</v>
      </c>
      <c r="D18905" s="690" t="s">
        <v>4060</v>
      </c>
      <c r="E18905" s="690" t="s">
        <v>4060</v>
      </c>
      <c r="F18905" s="690" t="s">
        <v>4060</v>
      </c>
      <c r="G18905" s="690" t="s">
        <v>4060</v>
      </c>
      <c r="H18905" s="690" t="s">
        <v>4060</v>
      </c>
      <c r="I18905" s="690" t="s">
        <v>4060</v>
      </c>
      <c r="J18905" s="690" t="s">
        <v>4060</v>
      </c>
      <c r="K18905" s="690" t="s">
        <v>4060</v>
      </c>
    </row>
    <row r="18906" spans="1:11">
      <c r="A18906" s="688" t="s">
        <v>0</v>
      </c>
      <c r="B18906" s="691">
        <v>15.7</v>
      </c>
      <c r="C18906" s="691">
        <v>15.8</v>
      </c>
      <c r="D18906" s="691">
        <v>15.5</v>
      </c>
      <c r="E18906" s="691">
        <v>15.9</v>
      </c>
      <c r="F18906" s="691">
        <v>15.9</v>
      </c>
      <c r="G18906" s="691">
        <v>15.9</v>
      </c>
      <c r="H18906" s="691">
        <v>16.100000000000001</v>
      </c>
      <c r="I18906" s="691">
        <v>15.1</v>
      </c>
      <c r="J18906" s="691">
        <v>16.2</v>
      </c>
      <c r="K18906" s="691">
        <v>15.8</v>
      </c>
    </row>
    <row r="18907" spans="1:11">
      <c r="A18907" s="688" t="s">
        <v>1</v>
      </c>
      <c r="B18907" s="689">
        <v>12.5</v>
      </c>
      <c r="C18907" s="689">
        <v>12.2</v>
      </c>
      <c r="D18907" s="689">
        <v>12.1</v>
      </c>
      <c r="E18907" s="689">
        <v>12.5</v>
      </c>
      <c r="F18907" s="689">
        <v>12.3</v>
      </c>
      <c r="G18907" s="689">
        <v>12.5</v>
      </c>
      <c r="H18907" s="689">
        <v>12.6</v>
      </c>
      <c r="I18907" s="693">
        <v>12</v>
      </c>
      <c r="J18907" s="689">
        <v>10.9</v>
      </c>
      <c r="K18907" s="689">
        <v>12.3</v>
      </c>
    </row>
    <row r="18908" spans="1:11">
      <c r="A18908" s="688" t="s">
        <v>2240</v>
      </c>
      <c r="B18908" s="691">
        <v>13.9</v>
      </c>
      <c r="C18908" s="691">
        <v>14.1</v>
      </c>
      <c r="D18908" s="691">
        <v>13.8</v>
      </c>
      <c r="E18908" s="691">
        <v>14.2</v>
      </c>
      <c r="F18908" s="691">
        <v>14.1</v>
      </c>
      <c r="G18908" s="691">
        <v>14.2</v>
      </c>
      <c r="H18908" s="691">
        <v>14.4</v>
      </c>
      <c r="I18908" s="691">
        <v>13.6</v>
      </c>
      <c r="J18908" s="691">
        <v>13.3</v>
      </c>
      <c r="K18908" s="691">
        <v>14.1</v>
      </c>
    </row>
    <row r="18909" spans="1:11">
      <c r="A18909" s="688" t="s">
        <v>2</v>
      </c>
      <c r="B18909" s="689">
        <v>14.8</v>
      </c>
      <c r="C18909" s="689">
        <v>15.1</v>
      </c>
      <c r="D18909" s="689">
        <v>15.1</v>
      </c>
      <c r="E18909" s="689">
        <v>15.2</v>
      </c>
      <c r="F18909" s="689">
        <v>15.2</v>
      </c>
      <c r="G18909" s="689">
        <v>15.1</v>
      </c>
      <c r="H18909" s="689">
        <v>15.4</v>
      </c>
      <c r="I18909" s="689">
        <v>15.5</v>
      </c>
      <c r="J18909" s="689">
        <v>15.3</v>
      </c>
      <c r="K18909" s="689">
        <v>15.2</v>
      </c>
    </row>
    <row r="18910" spans="1:11">
      <c r="A18910" s="688" t="s">
        <v>3</v>
      </c>
      <c r="B18910" s="691">
        <v>15.2</v>
      </c>
      <c r="C18910" s="691">
        <v>15.4</v>
      </c>
      <c r="D18910" s="691">
        <v>15.2</v>
      </c>
      <c r="E18910" s="691">
        <v>15.5</v>
      </c>
      <c r="F18910" s="691">
        <v>15.4</v>
      </c>
      <c r="G18910" s="691">
        <v>15.4</v>
      </c>
      <c r="H18910" s="691">
        <v>15.6</v>
      </c>
      <c r="I18910" s="691">
        <v>15.4</v>
      </c>
      <c r="J18910" s="691">
        <v>15.3</v>
      </c>
      <c r="K18910" s="691">
        <v>15.1</v>
      </c>
    </row>
    <row r="18911" spans="1:11">
      <c r="A18911" s="688" t="s">
        <v>4061</v>
      </c>
      <c r="B18911" s="689">
        <v>15.2</v>
      </c>
      <c r="C18911" s="689">
        <v>15.4</v>
      </c>
      <c r="D18911" s="689">
        <v>15.2</v>
      </c>
      <c r="E18911" s="689">
        <v>15.5</v>
      </c>
      <c r="F18911" s="689">
        <v>15.4</v>
      </c>
      <c r="G18911" s="689">
        <v>15.4</v>
      </c>
      <c r="H18911" s="689">
        <v>15.6</v>
      </c>
      <c r="I18911" s="689">
        <v>15.4</v>
      </c>
      <c r="J18911" s="689">
        <v>15.3</v>
      </c>
      <c r="K18911" s="689">
        <v>15.1</v>
      </c>
    </row>
    <row r="18912" spans="1:11">
      <c r="A18912" s="688" t="s">
        <v>4</v>
      </c>
      <c r="B18912" s="691">
        <v>14.8</v>
      </c>
      <c r="C18912" s="691">
        <v>14.5</v>
      </c>
      <c r="D18912" s="691">
        <v>14.7</v>
      </c>
      <c r="E18912" s="691">
        <v>14.9</v>
      </c>
      <c r="F18912" s="691">
        <v>14.9</v>
      </c>
      <c r="G18912" s="615">
        <v>15</v>
      </c>
      <c r="H18912" s="691">
        <v>15.2</v>
      </c>
      <c r="I18912" s="691">
        <v>15.2</v>
      </c>
      <c r="J18912" s="691">
        <v>14.3</v>
      </c>
      <c r="K18912" s="691">
        <v>14.8</v>
      </c>
    </row>
    <row r="18913" spans="1:11">
      <c r="A18913" s="688" t="s">
        <v>8</v>
      </c>
      <c r="B18913" s="689">
        <v>15.1</v>
      </c>
      <c r="C18913" s="689">
        <v>15.2</v>
      </c>
      <c r="D18913" s="689">
        <v>15.2</v>
      </c>
      <c r="E18913" s="689">
        <v>15.2</v>
      </c>
      <c r="F18913" s="689">
        <v>15.4</v>
      </c>
      <c r="G18913" s="689">
        <v>15.6</v>
      </c>
      <c r="H18913" s="689">
        <v>15.9</v>
      </c>
      <c r="I18913" s="689">
        <v>15.7</v>
      </c>
      <c r="J18913" s="689">
        <v>15.6</v>
      </c>
      <c r="K18913" s="689">
        <v>15.6</v>
      </c>
    </row>
    <row r="18914" spans="1:11">
      <c r="A18914" s="688" t="s">
        <v>7</v>
      </c>
      <c r="B18914" s="691">
        <v>15.6</v>
      </c>
      <c r="C18914" s="691">
        <v>15.3</v>
      </c>
      <c r="D18914" s="691">
        <v>15.1</v>
      </c>
      <c r="E18914" s="691">
        <v>15.4</v>
      </c>
      <c r="F18914" s="691">
        <v>15.4</v>
      </c>
      <c r="G18914" s="691">
        <v>15.8</v>
      </c>
      <c r="H18914" s="691">
        <v>15.6</v>
      </c>
      <c r="I18914" s="691">
        <v>15.4</v>
      </c>
      <c r="J18914" s="691">
        <v>14.9</v>
      </c>
      <c r="K18914" s="615">
        <v>15</v>
      </c>
    </row>
    <row r="18915" spans="1:11">
      <c r="A18915" s="688" t="s">
        <v>27</v>
      </c>
      <c r="B18915" s="689">
        <v>17.399999999999999</v>
      </c>
      <c r="C18915" s="689">
        <v>16.8</v>
      </c>
      <c r="D18915" s="689">
        <v>16.5</v>
      </c>
      <c r="E18915" s="689">
        <v>16.899999999999999</v>
      </c>
      <c r="F18915" s="689">
        <v>16.899999999999999</v>
      </c>
      <c r="G18915" s="693">
        <v>17</v>
      </c>
      <c r="H18915" s="689">
        <v>17.3</v>
      </c>
      <c r="I18915" s="689">
        <v>16.3</v>
      </c>
      <c r="J18915" s="689">
        <v>17.100000000000001</v>
      </c>
      <c r="K18915" s="689">
        <v>16.899999999999999</v>
      </c>
    </row>
    <row r="18916" spans="1:11">
      <c r="A18916" s="688" t="s">
        <v>6</v>
      </c>
      <c r="B18916" s="691">
        <v>17.7</v>
      </c>
      <c r="C18916" s="691">
        <v>17.399999999999999</v>
      </c>
      <c r="D18916" s="691">
        <v>17.100000000000001</v>
      </c>
      <c r="E18916" s="691">
        <v>17.3</v>
      </c>
      <c r="F18916" s="691">
        <v>17.399999999999999</v>
      </c>
      <c r="G18916" s="691">
        <v>17.5</v>
      </c>
      <c r="H18916" s="691">
        <v>17.600000000000001</v>
      </c>
      <c r="I18916" s="691">
        <v>17.100000000000001</v>
      </c>
      <c r="J18916" s="691">
        <v>17.3</v>
      </c>
      <c r="K18916" s="691">
        <v>17.2</v>
      </c>
    </row>
    <row r="18917" spans="1:11">
      <c r="A18917" s="688" t="s">
        <v>4058</v>
      </c>
      <c r="B18917" s="690" t="s">
        <v>4060</v>
      </c>
      <c r="C18917" s="690" t="s">
        <v>4060</v>
      </c>
      <c r="D18917" s="690" t="s">
        <v>4060</v>
      </c>
      <c r="E18917" s="690" t="s">
        <v>4060</v>
      </c>
      <c r="F18917" s="690" t="s">
        <v>4060</v>
      </c>
      <c r="G18917" s="690" t="s">
        <v>4060</v>
      </c>
      <c r="H18917" s="690" t="s">
        <v>4060</v>
      </c>
      <c r="I18917" s="690" t="s">
        <v>4060</v>
      </c>
      <c r="J18917" s="690" t="s">
        <v>4060</v>
      </c>
      <c r="K18917" s="690" t="s">
        <v>4060</v>
      </c>
    </row>
    <row r="18918" spans="1:11">
      <c r="A18918" s="688" t="s">
        <v>11</v>
      </c>
      <c r="B18918" s="691">
        <v>13.4</v>
      </c>
      <c r="C18918" s="691">
        <v>13.3</v>
      </c>
      <c r="D18918" s="691">
        <v>12.9</v>
      </c>
      <c r="E18918" s="691">
        <v>13.4</v>
      </c>
      <c r="F18918" s="691">
        <v>13.1</v>
      </c>
      <c r="G18918" s="691">
        <v>13.5</v>
      </c>
      <c r="H18918" s="691">
        <v>13.6</v>
      </c>
      <c r="I18918" s="615">
        <v>13</v>
      </c>
      <c r="J18918" s="691">
        <v>12.6</v>
      </c>
      <c r="K18918" s="691">
        <v>13.1</v>
      </c>
    </row>
    <row r="18919" spans="1:11">
      <c r="A18919" s="688" t="s">
        <v>10</v>
      </c>
      <c r="B18919" s="689">
        <v>16.7</v>
      </c>
      <c r="C18919" s="689">
        <v>16.399999999999999</v>
      </c>
      <c r="D18919" s="689">
        <v>15.9</v>
      </c>
      <c r="E18919" s="689">
        <v>16.5</v>
      </c>
      <c r="F18919" s="689">
        <v>16.2</v>
      </c>
      <c r="G18919" s="689">
        <v>16.5</v>
      </c>
      <c r="H18919" s="689">
        <v>16.600000000000001</v>
      </c>
      <c r="I18919" s="689">
        <v>15.8</v>
      </c>
      <c r="J18919" s="689">
        <v>16.100000000000001</v>
      </c>
      <c r="K18919" s="693">
        <v>16</v>
      </c>
    </row>
    <row r="18920" spans="1:11">
      <c r="A18920" s="688" t="s">
        <v>30</v>
      </c>
      <c r="B18920" s="691">
        <v>15.6</v>
      </c>
      <c r="C18920" s="615">
        <v>15</v>
      </c>
      <c r="D18920" s="691">
        <v>14.9</v>
      </c>
      <c r="E18920" s="691">
        <v>15.5</v>
      </c>
      <c r="F18920" s="691">
        <v>15.2</v>
      </c>
      <c r="G18920" s="691">
        <v>15.6</v>
      </c>
      <c r="H18920" s="691">
        <v>15.4</v>
      </c>
      <c r="I18920" s="691">
        <v>15.5</v>
      </c>
      <c r="J18920" s="691">
        <v>15.1</v>
      </c>
      <c r="K18920" s="691">
        <v>15.1</v>
      </c>
    </row>
    <row r="18921" spans="1:11">
      <c r="A18921" s="688" t="s">
        <v>12</v>
      </c>
      <c r="B18921" s="689">
        <v>13.4</v>
      </c>
      <c r="C18921" s="689">
        <v>13.5</v>
      </c>
      <c r="D18921" s="689">
        <v>13.4</v>
      </c>
      <c r="E18921" s="689">
        <v>13.6</v>
      </c>
      <c r="F18921" s="689">
        <v>13.6</v>
      </c>
      <c r="G18921" s="689">
        <v>13.7</v>
      </c>
      <c r="H18921" s="689">
        <v>13.9</v>
      </c>
      <c r="I18921" s="689">
        <v>13.7</v>
      </c>
      <c r="J18921" s="689">
        <v>12.6</v>
      </c>
      <c r="K18921" s="689">
        <v>13.4</v>
      </c>
    </row>
    <row r="18922" spans="1:11">
      <c r="A18922" s="688" t="s">
        <v>14</v>
      </c>
      <c r="B18922" s="691">
        <v>13.9</v>
      </c>
      <c r="C18922" s="691">
        <v>13.8</v>
      </c>
      <c r="D18922" s="691">
        <v>13.5</v>
      </c>
      <c r="E18922" s="691">
        <v>13.7</v>
      </c>
      <c r="F18922" s="691">
        <v>13.7</v>
      </c>
      <c r="G18922" s="691">
        <v>13.9</v>
      </c>
      <c r="H18922" s="691">
        <v>14.2</v>
      </c>
      <c r="I18922" s="691">
        <v>13.5</v>
      </c>
      <c r="J18922" s="691">
        <v>12.9</v>
      </c>
      <c r="K18922" s="691">
        <v>13.6</v>
      </c>
    </row>
    <row r="18923" spans="1:11">
      <c r="A18923" s="688" t="s">
        <v>15</v>
      </c>
      <c r="B18923" s="689">
        <v>16.3</v>
      </c>
      <c r="C18923" s="689">
        <v>16.2</v>
      </c>
      <c r="D18923" s="689">
        <v>15.8</v>
      </c>
      <c r="E18923" s="689">
        <v>16.2</v>
      </c>
      <c r="F18923" s="689">
        <v>15.7</v>
      </c>
      <c r="G18923" s="693">
        <v>16</v>
      </c>
      <c r="H18923" s="689">
        <v>16.100000000000001</v>
      </c>
      <c r="I18923" s="689">
        <v>15.9</v>
      </c>
      <c r="J18923" s="689">
        <v>16.2</v>
      </c>
      <c r="K18923" s="689">
        <v>16.3</v>
      </c>
    </row>
    <row r="18924" spans="1:11">
      <c r="A18924" s="688" t="s">
        <v>29</v>
      </c>
      <c r="B18924" s="691">
        <v>13.2</v>
      </c>
      <c r="C18924" s="691">
        <v>13.2</v>
      </c>
      <c r="D18924" s="691">
        <v>12.9</v>
      </c>
      <c r="E18924" s="691">
        <v>13.3</v>
      </c>
      <c r="F18924" s="691">
        <v>13.1</v>
      </c>
      <c r="G18924" s="691">
        <v>13.1</v>
      </c>
      <c r="H18924" s="691">
        <v>13.2</v>
      </c>
      <c r="I18924" s="691">
        <v>12.7</v>
      </c>
      <c r="J18924" s="691">
        <v>12.4</v>
      </c>
      <c r="K18924" s="615">
        <v>13</v>
      </c>
    </row>
    <row r="18925" spans="1:11">
      <c r="A18925" s="688" t="s">
        <v>16</v>
      </c>
      <c r="B18925" s="689">
        <v>15.4</v>
      </c>
      <c r="C18925" s="689">
        <v>15.5</v>
      </c>
      <c r="D18925" s="689">
        <v>15.5</v>
      </c>
      <c r="E18925" s="689">
        <v>15.8</v>
      </c>
      <c r="F18925" s="689">
        <v>15.8</v>
      </c>
      <c r="G18925" s="689">
        <v>15.8</v>
      </c>
      <c r="H18925" s="693">
        <v>16</v>
      </c>
      <c r="I18925" s="689">
        <v>15.6</v>
      </c>
      <c r="J18925" s="689">
        <v>15.3</v>
      </c>
      <c r="K18925" s="689">
        <v>15.7</v>
      </c>
    </row>
    <row r="18926" spans="1:11">
      <c r="A18926" s="688" t="s">
        <v>17</v>
      </c>
      <c r="B18926" s="691">
        <v>15.5</v>
      </c>
      <c r="C18926" s="691">
        <v>15.5</v>
      </c>
      <c r="D18926" s="691">
        <v>15.3</v>
      </c>
      <c r="E18926" s="691">
        <v>15.4</v>
      </c>
      <c r="F18926" s="691">
        <v>15.3</v>
      </c>
      <c r="G18926" s="691">
        <v>15.3</v>
      </c>
      <c r="H18926" s="691">
        <v>15.5</v>
      </c>
      <c r="I18926" s="615">
        <v>15</v>
      </c>
      <c r="J18926" s="691">
        <v>15.1</v>
      </c>
      <c r="K18926" s="691">
        <v>15.1</v>
      </c>
    </row>
    <row r="18927" spans="1:11">
      <c r="A18927" s="688" t="s">
        <v>19</v>
      </c>
      <c r="B18927" s="689">
        <v>15.8</v>
      </c>
      <c r="C18927" s="689">
        <v>15.8</v>
      </c>
      <c r="D18927" s="689">
        <v>15.5</v>
      </c>
      <c r="E18927" s="689">
        <v>15.8</v>
      </c>
      <c r="F18927" s="689">
        <v>15.7</v>
      </c>
      <c r="G18927" s="689">
        <v>15.8</v>
      </c>
      <c r="H18927" s="689">
        <v>15.9</v>
      </c>
      <c r="I18927" s="689">
        <v>15.4</v>
      </c>
      <c r="J18927" s="689">
        <v>15.5</v>
      </c>
      <c r="K18927" s="689">
        <v>15.4</v>
      </c>
    </row>
    <row r="18928" spans="1:11">
      <c r="A18928" s="688" t="s">
        <v>20</v>
      </c>
      <c r="B18928" s="691">
        <v>14.6</v>
      </c>
      <c r="C18928" s="691">
        <v>14.6</v>
      </c>
      <c r="D18928" s="691">
        <v>14.4</v>
      </c>
      <c r="E18928" s="691">
        <v>14.8</v>
      </c>
      <c r="F18928" s="691">
        <v>14.6</v>
      </c>
      <c r="G18928" s="691">
        <v>14.6</v>
      </c>
      <c r="H18928" s="691">
        <v>14.8</v>
      </c>
      <c r="I18928" s="691">
        <v>13.8</v>
      </c>
      <c r="J18928" s="691">
        <v>13.2</v>
      </c>
      <c r="K18928" s="691">
        <v>14.1</v>
      </c>
    </row>
    <row r="18929" spans="1:11">
      <c r="A18929" s="688" t="s">
        <v>21</v>
      </c>
      <c r="B18929" s="689">
        <v>15.7</v>
      </c>
      <c r="C18929" s="689">
        <v>15.9</v>
      </c>
      <c r="D18929" s="689">
        <v>15.7</v>
      </c>
      <c r="E18929" s="689">
        <v>15.9</v>
      </c>
      <c r="F18929" s="689">
        <v>16.100000000000001</v>
      </c>
      <c r="G18929" s="693">
        <v>16</v>
      </c>
      <c r="H18929" s="689">
        <v>16.3</v>
      </c>
      <c r="I18929" s="689">
        <v>15.7</v>
      </c>
      <c r="J18929" s="689">
        <v>15.9</v>
      </c>
      <c r="K18929" s="689">
        <v>15.9</v>
      </c>
    </row>
    <row r="18930" spans="1:11">
      <c r="A18930" s="688" t="s">
        <v>22</v>
      </c>
      <c r="B18930" s="691">
        <v>12.9</v>
      </c>
      <c r="C18930" s="691">
        <v>12.7</v>
      </c>
      <c r="D18930" s="691">
        <v>12.6</v>
      </c>
      <c r="E18930" s="691">
        <v>12.9</v>
      </c>
      <c r="F18930" s="691">
        <v>12.9</v>
      </c>
      <c r="G18930" s="615">
        <v>13</v>
      </c>
      <c r="H18930" s="691">
        <v>13.3</v>
      </c>
      <c r="I18930" s="691">
        <v>12.6</v>
      </c>
      <c r="J18930" s="691">
        <v>11.6</v>
      </c>
      <c r="K18930" s="691">
        <v>12.7</v>
      </c>
    </row>
    <row r="18931" spans="1:11">
      <c r="A18931" s="688" t="s">
        <v>26</v>
      </c>
      <c r="B18931" s="689">
        <v>15.6</v>
      </c>
      <c r="C18931" s="689">
        <v>15.3</v>
      </c>
      <c r="D18931" s="689">
        <v>15.3</v>
      </c>
      <c r="E18931" s="689">
        <v>15.5</v>
      </c>
      <c r="F18931" s="689">
        <v>15.5</v>
      </c>
      <c r="G18931" s="689">
        <v>15.7</v>
      </c>
      <c r="H18931" s="689">
        <v>15.8</v>
      </c>
      <c r="I18931" s="689">
        <v>14.8</v>
      </c>
      <c r="J18931" s="689">
        <v>15.3</v>
      </c>
      <c r="K18931" s="689">
        <v>15.5</v>
      </c>
    </row>
    <row r="18932" spans="1:11">
      <c r="A18932" s="688" t="s">
        <v>25</v>
      </c>
      <c r="B18932" s="691">
        <v>13.3</v>
      </c>
      <c r="C18932" s="691">
        <v>13.5</v>
      </c>
      <c r="D18932" s="691">
        <v>13.3</v>
      </c>
      <c r="E18932" s="691">
        <v>13.7</v>
      </c>
      <c r="F18932" s="691">
        <v>13.6</v>
      </c>
      <c r="G18932" s="691">
        <v>13.7</v>
      </c>
      <c r="H18932" s="691">
        <v>14.1</v>
      </c>
      <c r="I18932" s="691">
        <v>13.5</v>
      </c>
      <c r="J18932" s="691">
        <v>12.1</v>
      </c>
      <c r="K18932" s="691">
        <v>13.3</v>
      </c>
    </row>
    <row r="18933" spans="1:11">
      <c r="A18933" s="688" t="s">
        <v>5</v>
      </c>
      <c r="B18933" s="693">
        <v>16</v>
      </c>
      <c r="C18933" s="689">
        <v>15.7</v>
      </c>
      <c r="D18933" s="689">
        <v>15.8</v>
      </c>
      <c r="E18933" s="689">
        <v>15.8</v>
      </c>
      <c r="F18933" s="693">
        <v>16</v>
      </c>
      <c r="G18933" s="693">
        <v>16</v>
      </c>
      <c r="H18933" s="689">
        <v>16.2</v>
      </c>
      <c r="I18933" s="689">
        <v>16.2</v>
      </c>
      <c r="J18933" s="689">
        <v>16.100000000000001</v>
      </c>
      <c r="K18933" s="689">
        <v>15.6</v>
      </c>
    </row>
    <row r="18934" spans="1:11">
      <c r="A18934" s="688" t="s">
        <v>23</v>
      </c>
      <c r="B18934" s="691">
        <v>15.5</v>
      </c>
      <c r="C18934" s="691">
        <v>15.7</v>
      </c>
      <c r="D18934" s="691">
        <v>15.7</v>
      </c>
      <c r="E18934" s="691">
        <v>15.7</v>
      </c>
      <c r="F18934" s="691">
        <v>15.7</v>
      </c>
      <c r="G18934" s="691">
        <v>15.8</v>
      </c>
      <c r="H18934" s="691">
        <v>16.100000000000001</v>
      </c>
      <c r="I18934" s="691">
        <v>15.6</v>
      </c>
      <c r="J18934" s="691">
        <v>16.2</v>
      </c>
      <c r="K18934" s="615">
        <v>16</v>
      </c>
    </row>
    <row r="18935" spans="1:11">
      <c r="A18935" s="688" t="s">
        <v>4067</v>
      </c>
      <c r="B18935" s="689">
        <v>15.6</v>
      </c>
      <c r="C18935" s="689">
        <v>15.9</v>
      </c>
      <c r="D18935" s="689">
        <v>15.5</v>
      </c>
      <c r="E18935" s="689">
        <v>15.9</v>
      </c>
      <c r="F18935" s="689">
        <v>15.8</v>
      </c>
      <c r="G18935" s="689">
        <v>15.9</v>
      </c>
      <c r="H18935" s="690" t="s">
        <v>4060</v>
      </c>
      <c r="I18935" s="690" t="s">
        <v>4060</v>
      </c>
      <c r="J18935" s="690" t="s">
        <v>4060</v>
      </c>
      <c r="K18935" s="690" t="s">
        <v>4060</v>
      </c>
    </row>
    <row r="18936" spans="1:11">
      <c r="A18936" s="688" t="s">
        <v>4066</v>
      </c>
      <c r="B18936" s="691">
        <v>15.7</v>
      </c>
      <c r="C18936" s="615">
        <v>16</v>
      </c>
      <c r="D18936" s="691">
        <v>15.6</v>
      </c>
      <c r="E18936" s="691">
        <v>15.9</v>
      </c>
      <c r="F18936" s="691">
        <v>15.8</v>
      </c>
      <c r="G18936" s="691">
        <v>15.9</v>
      </c>
      <c r="H18936" s="692" t="s">
        <v>4060</v>
      </c>
      <c r="I18936" s="692" t="s">
        <v>4060</v>
      </c>
      <c r="J18936" s="692" t="s">
        <v>4060</v>
      </c>
      <c r="K18936" s="692" t="s">
        <v>4060</v>
      </c>
    </row>
    <row r="18937" spans="1:11">
      <c r="A18937" s="688" t="s">
        <v>4062</v>
      </c>
      <c r="B18937" s="689">
        <v>16.2</v>
      </c>
      <c r="C18937" s="689">
        <v>16.2</v>
      </c>
      <c r="D18937" s="689">
        <v>16.100000000000001</v>
      </c>
      <c r="E18937" s="689">
        <v>16.3</v>
      </c>
      <c r="F18937" s="689">
        <v>16.3</v>
      </c>
      <c r="G18937" s="689">
        <v>16.399999999999999</v>
      </c>
      <c r="H18937" s="689">
        <v>16.5</v>
      </c>
      <c r="I18937" s="689">
        <v>16.2</v>
      </c>
      <c r="J18937" s="689">
        <v>16.5</v>
      </c>
      <c r="K18937" s="689">
        <v>16.2</v>
      </c>
    </row>
    <row r="18938" spans="1:11">
      <c r="A18938" s="688" t="s">
        <v>9</v>
      </c>
      <c r="B18938" s="691">
        <v>15.4</v>
      </c>
      <c r="C18938" s="691">
        <v>15.9</v>
      </c>
      <c r="D18938" s="691">
        <v>15.3</v>
      </c>
      <c r="E18938" s="691">
        <v>15.2</v>
      </c>
      <c r="F18938" s="691">
        <v>15.2</v>
      </c>
      <c r="G18938" s="691">
        <v>15.3</v>
      </c>
      <c r="H18938" s="691">
        <v>15.8</v>
      </c>
      <c r="I18938" s="691">
        <v>15.9</v>
      </c>
      <c r="J18938" s="691">
        <v>15.9</v>
      </c>
      <c r="K18938" s="691">
        <v>15.1</v>
      </c>
    </row>
    <row r="18939" spans="1:11">
      <c r="A18939" s="688" t="s">
        <v>13</v>
      </c>
      <c r="B18939" s="689">
        <v>16.5</v>
      </c>
      <c r="C18939" s="689">
        <v>14.6</v>
      </c>
      <c r="D18939" s="693">
        <v>16</v>
      </c>
      <c r="E18939" s="689">
        <v>16.7</v>
      </c>
      <c r="F18939" s="689">
        <v>16.899999999999999</v>
      </c>
      <c r="G18939" s="689">
        <v>16.2</v>
      </c>
      <c r="H18939" s="689">
        <v>16.2</v>
      </c>
      <c r="I18939" s="689">
        <v>15.4</v>
      </c>
      <c r="J18939" s="689">
        <v>16.5</v>
      </c>
      <c r="K18939" s="689">
        <v>16.100000000000001</v>
      </c>
    </row>
    <row r="18940" spans="1:11">
      <c r="A18940" s="688" t="s">
        <v>18</v>
      </c>
      <c r="B18940" s="691">
        <v>15.6</v>
      </c>
      <c r="C18940" s="691">
        <v>15.8</v>
      </c>
      <c r="D18940" s="691">
        <v>15.7</v>
      </c>
      <c r="E18940" s="691">
        <v>15.8</v>
      </c>
      <c r="F18940" s="691">
        <v>15.8</v>
      </c>
      <c r="G18940" s="691">
        <v>15.9</v>
      </c>
      <c r="H18940" s="615">
        <v>16</v>
      </c>
      <c r="I18940" s="691">
        <v>16.2</v>
      </c>
      <c r="J18940" s="615">
        <v>16</v>
      </c>
      <c r="K18940" s="691">
        <v>15.7</v>
      </c>
    </row>
    <row r="18941" spans="1:11">
      <c r="A18941" s="688" t="s">
        <v>24</v>
      </c>
      <c r="B18941" s="689">
        <v>16.5</v>
      </c>
      <c r="C18941" s="689">
        <v>16.5</v>
      </c>
      <c r="D18941" s="689">
        <v>16.2</v>
      </c>
      <c r="E18941" s="689">
        <v>16.600000000000001</v>
      </c>
      <c r="F18941" s="689">
        <v>16.5</v>
      </c>
      <c r="G18941" s="689">
        <v>16.7</v>
      </c>
      <c r="H18941" s="689">
        <v>16.7</v>
      </c>
      <c r="I18941" s="689">
        <v>16.2</v>
      </c>
      <c r="J18941" s="689">
        <v>16.7</v>
      </c>
      <c r="K18941" s="689">
        <v>16.5</v>
      </c>
    </row>
    <row r="18942" spans="1:11">
      <c r="A18942" s="688" t="s">
        <v>4059</v>
      </c>
      <c r="B18942" s="691">
        <v>15.3</v>
      </c>
      <c r="C18942" s="691">
        <v>15.6</v>
      </c>
      <c r="D18942" s="691">
        <v>15.2</v>
      </c>
      <c r="E18942" s="691">
        <v>15.5</v>
      </c>
      <c r="F18942" s="691">
        <v>15.4</v>
      </c>
      <c r="G18942" s="691">
        <v>15.5</v>
      </c>
      <c r="H18942" s="692" t="s">
        <v>4060</v>
      </c>
      <c r="I18942" s="692" t="s">
        <v>4060</v>
      </c>
      <c r="J18942" s="692" t="s">
        <v>4060</v>
      </c>
      <c r="K18942" s="692" t="s">
        <v>4060</v>
      </c>
    </row>
    <row r="18943" spans="1:11">
      <c r="A18943" s="688" t="s">
        <v>2324</v>
      </c>
      <c r="B18943" s="689">
        <v>12.1</v>
      </c>
      <c r="C18943" s="689">
        <v>12.2</v>
      </c>
      <c r="D18943" s="689">
        <v>11.9</v>
      </c>
      <c r="E18943" s="689">
        <v>12.2</v>
      </c>
      <c r="F18943" s="689">
        <v>12.2</v>
      </c>
      <c r="G18943" s="689">
        <v>12.2</v>
      </c>
      <c r="H18943" s="689">
        <v>12.5</v>
      </c>
      <c r="I18943" s="693">
        <v>12</v>
      </c>
      <c r="J18943" s="689">
        <v>10.3</v>
      </c>
      <c r="K18943" s="690" t="s">
        <v>4060</v>
      </c>
    </row>
    <row r="18944" spans="1:11">
      <c r="A18944" s="688" t="s">
        <v>2322</v>
      </c>
      <c r="B18944" s="692" t="s">
        <v>4060</v>
      </c>
      <c r="C18944" s="692" t="s">
        <v>4060</v>
      </c>
      <c r="D18944" s="692" t="s">
        <v>4060</v>
      </c>
      <c r="E18944" s="692" t="s">
        <v>4060</v>
      </c>
      <c r="F18944" s="692" t="s">
        <v>4060</v>
      </c>
      <c r="G18944" s="692" t="s">
        <v>4060</v>
      </c>
      <c r="H18944" s="692" t="s">
        <v>4060</v>
      </c>
      <c r="I18944" s="692" t="s">
        <v>4060</v>
      </c>
      <c r="J18944" s="692" t="s">
        <v>4060</v>
      </c>
      <c r="K18944" s="692" t="s">
        <v>4060</v>
      </c>
    </row>
    <row r="18945" spans="1:11">
      <c r="A18945" s="688" t="s">
        <v>2328</v>
      </c>
      <c r="B18945" s="689">
        <v>11.2</v>
      </c>
      <c r="C18945" s="693">
        <v>11</v>
      </c>
      <c r="D18945" s="689">
        <v>10.9</v>
      </c>
      <c r="E18945" s="689">
        <v>11.3</v>
      </c>
      <c r="F18945" s="689">
        <v>11.3</v>
      </c>
      <c r="G18945" s="689">
        <v>11.8</v>
      </c>
      <c r="H18945" s="689">
        <v>11.6</v>
      </c>
      <c r="I18945" s="689">
        <v>10.7</v>
      </c>
      <c r="J18945" s="689">
        <v>10.3</v>
      </c>
      <c r="K18945" s="690" t="s">
        <v>4060</v>
      </c>
    </row>
    <row r="18946" spans="1:11">
      <c r="A18946" s="688" t="s">
        <v>2496</v>
      </c>
      <c r="B18946" s="692" t="s">
        <v>4060</v>
      </c>
      <c r="C18946" s="691">
        <v>12.6</v>
      </c>
      <c r="D18946" s="691">
        <v>11.8</v>
      </c>
      <c r="E18946" s="691">
        <v>11.4</v>
      </c>
      <c r="F18946" s="691">
        <v>11.6</v>
      </c>
      <c r="G18946" s="691">
        <v>11.9</v>
      </c>
      <c r="H18946" s="691">
        <v>11.9</v>
      </c>
      <c r="I18946" s="692" t="s">
        <v>4060</v>
      </c>
      <c r="J18946" s="692" t="s">
        <v>4060</v>
      </c>
      <c r="K18946" s="691">
        <v>11.6</v>
      </c>
    </row>
    <row r="18947" spans="1:11">
      <c r="A18947" s="688" t="s">
        <v>2269</v>
      </c>
      <c r="B18947" s="689">
        <v>12.6</v>
      </c>
      <c r="C18947" s="689">
        <v>12.6</v>
      </c>
      <c r="D18947" s="693">
        <v>12</v>
      </c>
      <c r="E18947" s="689">
        <v>12.4</v>
      </c>
      <c r="F18947" s="689">
        <v>12.1</v>
      </c>
      <c r="G18947" s="689">
        <v>12.5</v>
      </c>
      <c r="H18947" s="689">
        <v>12.8</v>
      </c>
      <c r="I18947" s="693">
        <v>12</v>
      </c>
      <c r="J18947" s="689">
        <v>10.1</v>
      </c>
      <c r="K18947" s="689">
        <v>12.5</v>
      </c>
    </row>
    <row r="18948" spans="1:11">
      <c r="A18948" s="688" t="s">
        <v>2349</v>
      </c>
      <c r="B18948" s="691">
        <v>11.6</v>
      </c>
      <c r="C18948" s="691">
        <v>11.7</v>
      </c>
      <c r="D18948" s="691">
        <v>11.6</v>
      </c>
      <c r="E18948" s="691">
        <v>11.9</v>
      </c>
      <c r="F18948" s="691">
        <v>11.7</v>
      </c>
      <c r="G18948" s="615">
        <v>12</v>
      </c>
      <c r="H18948" s="691">
        <v>12.2</v>
      </c>
      <c r="I18948" s="691">
        <v>11.4</v>
      </c>
      <c r="J18948" s="691">
        <v>10.3</v>
      </c>
      <c r="K18948" s="691">
        <v>11.5</v>
      </c>
    </row>
    <row r="18949" spans="1:11">
      <c r="A18949" s="688" t="s">
        <v>2355</v>
      </c>
      <c r="B18949" s="689">
        <v>14.4</v>
      </c>
      <c r="C18949" s="689">
        <v>14.1</v>
      </c>
      <c r="D18949" s="693">
        <v>14</v>
      </c>
      <c r="E18949" s="689">
        <v>13.9</v>
      </c>
      <c r="F18949" s="693">
        <v>14</v>
      </c>
      <c r="G18949" s="689">
        <v>14.4</v>
      </c>
      <c r="H18949" s="689">
        <v>14.4</v>
      </c>
      <c r="I18949" s="690" t="s">
        <v>4060</v>
      </c>
      <c r="J18949" s="690" t="s">
        <v>4060</v>
      </c>
      <c r="K18949" s="690" t="s">
        <v>4060</v>
      </c>
    </row>
    <row r="18950" spans="1:11">
      <c r="A18950" s="688" t="s">
        <v>2357</v>
      </c>
      <c r="B18950" s="692" t="s">
        <v>4060</v>
      </c>
      <c r="C18950" s="691">
        <v>12.1</v>
      </c>
      <c r="D18950" s="691">
        <v>12.3</v>
      </c>
      <c r="E18950" s="691">
        <v>12.5</v>
      </c>
      <c r="F18950" s="691">
        <v>12.7</v>
      </c>
      <c r="G18950" s="691">
        <v>12.6</v>
      </c>
      <c r="H18950" s="691">
        <v>12.8</v>
      </c>
      <c r="I18950" s="692" t="s">
        <v>4060</v>
      </c>
      <c r="J18950" s="692" t="s">
        <v>4060</v>
      </c>
      <c r="K18950" s="692" t="s">
        <v>4060</v>
      </c>
    </row>
    <row r="18951" spans="1:11">
      <c r="A18951" s="688" t="s">
        <v>4070</v>
      </c>
      <c r="B18951" s="690" t="s">
        <v>4060</v>
      </c>
      <c r="C18951" s="690" t="s">
        <v>4060</v>
      </c>
      <c r="D18951" s="690" t="s">
        <v>4060</v>
      </c>
      <c r="E18951" s="689">
        <v>14.8</v>
      </c>
      <c r="F18951" s="690" t="s">
        <v>4060</v>
      </c>
      <c r="G18951" s="690" t="s">
        <v>4060</v>
      </c>
      <c r="H18951" s="690" t="s">
        <v>4060</v>
      </c>
      <c r="I18951" s="690" t="s">
        <v>4060</v>
      </c>
      <c r="J18951" s="690" t="s">
        <v>4060</v>
      </c>
      <c r="K18951" s="690" t="s">
        <v>4060</v>
      </c>
    </row>
    <row r="18952" spans="1:11">
      <c r="A18952" s="688" t="s">
        <v>2491</v>
      </c>
      <c r="B18952" s="691">
        <v>12.4</v>
      </c>
      <c r="C18952" s="691">
        <v>12.8</v>
      </c>
      <c r="D18952" s="691">
        <v>12.8</v>
      </c>
      <c r="E18952" s="691">
        <v>12.9</v>
      </c>
      <c r="F18952" s="615">
        <v>13</v>
      </c>
      <c r="G18952" s="691">
        <v>13.1</v>
      </c>
      <c r="H18952" s="692" t="s">
        <v>4060</v>
      </c>
      <c r="I18952" s="692" t="s">
        <v>4060</v>
      </c>
      <c r="J18952" s="692" t="s">
        <v>4060</v>
      </c>
      <c r="K18952" s="692" t="s">
        <v>4060</v>
      </c>
    </row>
    <row r="18953" spans="1:11">
      <c r="A18953" s="688" t="s">
        <v>2343</v>
      </c>
      <c r="B18953" s="690" t="s">
        <v>4060</v>
      </c>
      <c r="C18953" s="690" t="s">
        <v>4060</v>
      </c>
      <c r="D18953" s="690" t="s">
        <v>4060</v>
      </c>
      <c r="E18953" s="690" t="s">
        <v>4060</v>
      </c>
      <c r="F18953" s="690" t="s">
        <v>4060</v>
      </c>
      <c r="G18953" s="690" t="s">
        <v>4060</v>
      </c>
      <c r="H18953" s="690" t="s">
        <v>4060</v>
      </c>
      <c r="I18953" s="690" t="s">
        <v>4060</v>
      </c>
      <c r="J18953" s="690" t="s">
        <v>4060</v>
      </c>
      <c r="K18953" s="690" t="s">
        <v>4060</v>
      </c>
    </row>
    <row r="18954" spans="1:11">
      <c r="A18954" s="688" t="s">
        <v>4071</v>
      </c>
      <c r="B18954" s="692" t="s">
        <v>4060</v>
      </c>
      <c r="C18954" s="692" t="s">
        <v>4060</v>
      </c>
      <c r="D18954" s="692" t="s">
        <v>4060</v>
      </c>
      <c r="E18954" s="692" t="s">
        <v>4060</v>
      </c>
      <c r="F18954" s="692" t="s">
        <v>4060</v>
      </c>
      <c r="G18954" s="692" t="s">
        <v>4060</v>
      </c>
      <c r="H18954" s="692" t="s">
        <v>4060</v>
      </c>
      <c r="I18954" s="692" t="s">
        <v>4060</v>
      </c>
      <c r="J18954" s="692" t="s">
        <v>4060</v>
      </c>
      <c r="K18954" s="692" t="s">
        <v>4060</v>
      </c>
    </row>
    <row r="18955" spans="1:11">
      <c r="A18955" s="688" t="s">
        <v>2489</v>
      </c>
      <c r="B18955" s="690" t="s">
        <v>4060</v>
      </c>
      <c r="C18955" s="690" t="s">
        <v>4060</v>
      </c>
      <c r="D18955" s="689">
        <v>11.9</v>
      </c>
      <c r="E18955" s="689">
        <v>11.9</v>
      </c>
      <c r="F18955" s="689">
        <v>12.1</v>
      </c>
      <c r="G18955" s="689">
        <v>12.8</v>
      </c>
      <c r="H18955" s="689">
        <v>12.7</v>
      </c>
      <c r="I18955" s="690" t="s">
        <v>4060</v>
      </c>
      <c r="J18955" s="690" t="s">
        <v>4060</v>
      </c>
      <c r="K18955" s="690" t="s">
        <v>4060</v>
      </c>
    </row>
    <row r="18956" spans="1:11">
      <c r="A18956" s="688" t="s">
        <v>2490</v>
      </c>
      <c r="B18956" s="691">
        <v>11.5</v>
      </c>
      <c r="C18956" s="691">
        <v>11.3</v>
      </c>
      <c r="D18956" s="615">
        <v>12</v>
      </c>
      <c r="E18956" s="692" t="s">
        <v>4060</v>
      </c>
      <c r="F18956" s="691">
        <v>12.2</v>
      </c>
      <c r="G18956" s="691">
        <v>12.4</v>
      </c>
      <c r="H18956" s="691">
        <v>13.1</v>
      </c>
      <c r="I18956" s="692" t="s">
        <v>4060</v>
      </c>
      <c r="J18956" s="692" t="s">
        <v>4060</v>
      </c>
      <c r="K18956" s="692" t="s">
        <v>4060</v>
      </c>
    </row>
    <row r="18958" spans="1:11">
      <c r="A18958" s="683" t="s">
        <v>4233</v>
      </c>
    </row>
    <row r="18959" spans="1:11">
      <c r="A18959" s="683" t="s">
        <v>4060</v>
      </c>
      <c r="B18959" s="682" t="s">
        <v>4234</v>
      </c>
    </row>
    <row r="18961" spans="1:11">
      <c r="A18961" s="682" t="s">
        <v>4332</v>
      </c>
    </row>
    <row r="18962" spans="1:11">
      <c r="A18962" s="682" t="s">
        <v>4210</v>
      </c>
      <c r="B18962" s="683" t="s">
        <v>4211</v>
      </c>
    </row>
    <row r="18963" spans="1:11">
      <c r="A18963" s="682" t="s">
        <v>4212</v>
      </c>
      <c r="B18963" s="682" t="s">
        <v>4213</v>
      </c>
    </row>
    <row r="18965" spans="1:11">
      <c r="A18965" s="683" t="s">
        <v>4214</v>
      </c>
      <c r="C18965" s="682" t="s">
        <v>4215</v>
      </c>
    </row>
    <row r="18966" spans="1:11">
      <c r="A18966" s="683" t="s">
        <v>4216</v>
      </c>
      <c r="C18966" s="682" t="s">
        <v>2967</v>
      </c>
    </row>
    <row r="18967" spans="1:11">
      <c r="A18967" s="683" t="s">
        <v>3893</v>
      </c>
      <c r="C18967" s="682" t="s">
        <v>2169</v>
      </c>
    </row>
    <row r="18968" spans="1:11">
      <c r="A18968" s="683" t="s">
        <v>4218</v>
      </c>
      <c r="C18968" s="682" t="s">
        <v>4307</v>
      </c>
    </row>
    <row r="18970" spans="1:11">
      <c r="A18970" s="684" t="s">
        <v>4220</v>
      </c>
      <c r="B18970" s="685" t="s">
        <v>4221</v>
      </c>
      <c r="C18970" s="685" t="s">
        <v>4222</v>
      </c>
      <c r="D18970" s="685" t="s">
        <v>4223</v>
      </c>
      <c r="E18970" s="685" t="s">
        <v>4224</v>
      </c>
      <c r="F18970" s="685" t="s">
        <v>4225</v>
      </c>
      <c r="G18970" s="685" t="s">
        <v>4226</v>
      </c>
      <c r="H18970" s="685" t="s">
        <v>4227</v>
      </c>
      <c r="I18970" s="685" t="s">
        <v>4228</v>
      </c>
      <c r="J18970" s="685" t="s">
        <v>4229</v>
      </c>
      <c r="K18970" s="685" t="s">
        <v>4230</v>
      </c>
    </row>
    <row r="18971" spans="1:11">
      <c r="A18971" s="686" t="s">
        <v>4231</v>
      </c>
      <c r="B18971" s="687" t="s">
        <v>4232</v>
      </c>
      <c r="C18971" s="687" t="s">
        <v>4232</v>
      </c>
      <c r="D18971" s="687" t="s">
        <v>4232</v>
      </c>
      <c r="E18971" s="687" t="s">
        <v>4232</v>
      </c>
      <c r="F18971" s="687" t="s">
        <v>4232</v>
      </c>
      <c r="G18971" s="687" t="s">
        <v>4232</v>
      </c>
      <c r="H18971" s="687" t="s">
        <v>4232</v>
      </c>
      <c r="I18971" s="687" t="s">
        <v>4232</v>
      </c>
      <c r="J18971" s="687" t="s">
        <v>4232</v>
      </c>
      <c r="K18971" s="687" t="s">
        <v>4232</v>
      </c>
    </row>
    <row r="18972" spans="1:11">
      <c r="A18972" s="688" t="s">
        <v>4064</v>
      </c>
      <c r="B18972" s="691">
        <v>14.9</v>
      </c>
      <c r="C18972" s="691">
        <v>14.8</v>
      </c>
      <c r="D18972" s="691">
        <v>14.8</v>
      </c>
      <c r="E18972" s="691">
        <v>14.9</v>
      </c>
      <c r="F18972" s="691">
        <v>14.8</v>
      </c>
      <c r="G18972" s="691">
        <v>14.9</v>
      </c>
      <c r="H18972" s="691">
        <v>15.1</v>
      </c>
      <c r="I18972" s="691">
        <v>14.5</v>
      </c>
      <c r="J18972" s="691">
        <v>14.5</v>
      </c>
      <c r="K18972" s="691">
        <v>14.6</v>
      </c>
    </row>
    <row r="18973" spans="1:11">
      <c r="A18973" s="688" t="s">
        <v>4065</v>
      </c>
      <c r="B18973" s="689">
        <v>14.9</v>
      </c>
      <c r="C18973" s="689">
        <v>15.2</v>
      </c>
      <c r="D18973" s="689">
        <v>14.8</v>
      </c>
      <c r="E18973" s="689">
        <v>15.2</v>
      </c>
      <c r="F18973" s="693">
        <v>15</v>
      </c>
      <c r="G18973" s="689">
        <v>15.1</v>
      </c>
      <c r="H18973" s="690" t="s">
        <v>4060</v>
      </c>
      <c r="I18973" s="690" t="s">
        <v>4060</v>
      </c>
      <c r="J18973" s="690" t="s">
        <v>4060</v>
      </c>
      <c r="K18973" s="690" t="s">
        <v>4060</v>
      </c>
    </row>
    <row r="18974" spans="1:11">
      <c r="A18974" s="688" t="s">
        <v>4063</v>
      </c>
      <c r="B18974" s="691">
        <v>14.9</v>
      </c>
      <c r="C18974" s="691">
        <v>15.2</v>
      </c>
      <c r="D18974" s="691">
        <v>14.8</v>
      </c>
      <c r="E18974" s="691">
        <v>15.2</v>
      </c>
      <c r="F18974" s="615">
        <v>15</v>
      </c>
      <c r="G18974" s="691">
        <v>15.1</v>
      </c>
      <c r="H18974" s="692" t="s">
        <v>4060</v>
      </c>
      <c r="I18974" s="692" t="s">
        <v>4060</v>
      </c>
      <c r="J18974" s="692" t="s">
        <v>4060</v>
      </c>
      <c r="K18974" s="692" t="s">
        <v>4060</v>
      </c>
    </row>
    <row r="18975" spans="1:11">
      <c r="A18975" s="688" t="s">
        <v>4069</v>
      </c>
      <c r="B18975" s="690" t="s">
        <v>4060</v>
      </c>
      <c r="C18975" s="689">
        <v>15.3</v>
      </c>
      <c r="D18975" s="693">
        <v>15</v>
      </c>
      <c r="E18975" s="689">
        <v>15.3</v>
      </c>
      <c r="F18975" s="689">
        <v>15.2</v>
      </c>
      <c r="G18975" s="689">
        <v>15.3</v>
      </c>
      <c r="H18975" s="689">
        <v>15.5</v>
      </c>
      <c r="I18975" s="693">
        <v>15</v>
      </c>
      <c r="J18975" s="689">
        <v>15.1</v>
      </c>
      <c r="K18975" s="693">
        <v>15</v>
      </c>
    </row>
    <row r="18976" spans="1:11">
      <c r="A18976" s="688" t="s">
        <v>4068</v>
      </c>
      <c r="B18976" s="691">
        <v>15.4</v>
      </c>
      <c r="C18976" s="692" t="s">
        <v>4060</v>
      </c>
      <c r="D18976" s="692" t="s">
        <v>4060</v>
      </c>
      <c r="E18976" s="692" t="s">
        <v>4060</v>
      </c>
      <c r="F18976" s="692" t="s">
        <v>4060</v>
      </c>
      <c r="G18976" s="692" t="s">
        <v>4060</v>
      </c>
      <c r="H18976" s="692" t="s">
        <v>4060</v>
      </c>
      <c r="I18976" s="692" t="s">
        <v>4060</v>
      </c>
      <c r="J18976" s="692" t="s">
        <v>4060</v>
      </c>
      <c r="K18976" s="692" t="s">
        <v>4060</v>
      </c>
    </row>
    <row r="18977" spans="1:11">
      <c r="A18977" s="688" t="s">
        <v>0</v>
      </c>
      <c r="B18977" s="693">
        <v>15</v>
      </c>
      <c r="C18977" s="693">
        <v>15</v>
      </c>
      <c r="D18977" s="689">
        <v>14.7</v>
      </c>
      <c r="E18977" s="689">
        <v>15.1</v>
      </c>
      <c r="F18977" s="689">
        <v>15.1</v>
      </c>
      <c r="G18977" s="689">
        <v>15.1</v>
      </c>
      <c r="H18977" s="689">
        <v>15.3</v>
      </c>
      <c r="I18977" s="689">
        <v>14.4</v>
      </c>
      <c r="J18977" s="689">
        <v>15.4</v>
      </c>
      <c r="K18977" s="689">
        <v>15.1</v>
      </c>
    </row>
    <row r="18978" spans="1:11">
      <c r="A18978" s="688" t="s">
        <v>1</v>
      </c>
      <c r="B18978" s="691">
        <v>11.8</v>
      </c>
      <c r="C18978" s="691">
        <v>11.5</v>
      </c>
      <c r="D18978" s="691">
        <v>11.5</v>
      </c>
      <c r="E18978" s="691">
        <v>11.8</v>
      </c>
      <c r="F18978" s="691">
        <v>11.7</v>
      </c>
      <c r="G18978" s="691">
        <v>11.8</v>
      </c>
      <c r="H18978" s="691">
        <v>11.9</v>
      </c>
      <c r="I18978" s="691">
        <v>11.3</v>
      </c>
      <c r="J18978" s="691">
        <v>10.3</v>
      </c>
      <c r="K18978" s="691">
        <v>11.6</v>
      </c>
    </row>
    <row r="18979" spans="1:11">
      <c r="A18979" s="688" t="s">
        <v>2240</v>
      </c>
      <c r="B18979" s="689">
        <v>13.2</v>
      </c>
      <c r="C18979" s="689">
        <v>13.3</v>
      </c>
      <c r="D18979" s="689">
        <v>13.1</v>
      </c>
      <c r="E18979" s="689">
        <v>13.5</v>
      </c>
      <c r="F18979" s="689">
        <v>13.4</v>
      </c>
      <c r="G18979" s="689">
        <v>13.4</v>
      </c>
      <c r="H18979" s="689">
        <v>13.6</v>
      </c>
      <c r="I18979" s="689">
        <v>12.9</v>
      </c>
      <c r="J18979" s="689">
        <v>12.6</v>
      </c>
      <c r="K18979" s="689">
        <v>13.4</v>
      </c>
    </row>
    <row r="18980" spans="1:11">
      <c r="A18980" s="688" t="s">
        <v>2</v>
      </c>
      <c r="B18980" s="691">
        <v>14.1</v>
      </c>
      <c r="C18980" s="691">
        <v>14.3</v>
      </c>
      <c r="D18980" s="691">
        <v>14.3</v>
      </c>
      <c r="E18980" s="691">
        <v>14.4</v>
      </c>
      <c r="F18980" s="691">
        <v>14.5</v>
      </c>
      <c r="G18980" s="691">
        <v>14.4</v>
      </c>
      <c r="H18980" s="691">
        <v>14.6</v>
      </c>
      <c r="I18980" s="691">
        <v>14.7</v>
      </c>
      <c r="J18980" s="691">
        <v>14.6</v>
      </c>
      <c r="K18980" s="691">
        <v>14.4</v>
      </c>
    </row>
    <row r="18981" spans="1:11">
      <c r="A18981" s="688" t="s">
        <v>3</v>
      </c>
      <c r="B18981" s="689">
        <v>14.5</v>
      </c>
      <c r="C18981" s="689">
        <v>14.6</v>
      </c>
      <c r="D18981" s="689">
        <v>14.4</v>
      </c>
      <c r="E18981" s="689">
        <v>14.7</v>
      </c>
      <c r="F18981" s="689">
        <v>14.6</v>
      </c>
      <c r="G18981" s="689">
        <v>14.6</v>
      </c>
      <c r="H18981" s="689">
        <v>14.8</v>
      </c>
      <c r="I18981" s="689">
        <v>14.7</v>
      </c>
      <c r="J18981" s="689">
        <v>14.6</v>
      </c>
      <c r="K18981" s="689">
        <v>14.3</v>
      </c>
    </row>
    <row r="18982" spans="1:11">
      <c r="A18982" s="688" t="s">
        <v>4061</v>
      </c>
      <c r="B18982" s="691">
        <v>14.5</v>
      </c>
      <c r="C18982" s="691">
        <v>14.6</v>
      </c>
      <c r="D18982" s="691">
        <v>14.4</v>
      </c>
      <c r="E18982" s="691">
        <v>14.7</v>
      </c>
      <c r="F18982" s="691">
        <v>14.6</v>
      </c>
      <c r="G18982" s="691">
        <v>14.6</v>
      </c>
      <c r="H18982" s="691">
        <v>14.8</v>
      </c>
      <c r="I18982" s="691">
        <v>14.7</v>
      </c>
      <c r="J18982" s="691">
        <v>14.6</v>
      </c>
      <c r="K18982" s="691">
        <v>14.3</v>
      </c>
    </row>
    <row r="18983" spans="1:11">
      <c r="A18983" s="688" t="s">
        <v>4</v>
      </c>
      <c r="B18983" s="689">
        <v>14.1</v>
      </c>
      <c r="C18983" s="689">
        <v>13.8</v>
      </c>
      <c r="D18983" s="689">
        <v>13.9</v>
      </c>
      <c r="E18983" s="689">
        <v>14.1</v>
      </c>
      <c r="F18983" s="689">
        <v>14.1</v>
      </c>
      <c r="G18983" s="689">
        <v>14.3</v>
      </c>
      <c r="H18983" s="689">
        <v>14.4</v>
      </c>
      <c r="I18983" s="689">
        <v>14.5</v>
      </c>
      <c r="J18983" s="689">
        <v>13.6</v>
      </c>
      <c r="K18983" s="689">
        <v>14.1</v>
      </c>
    </row>
    <row r="18984" spans="1:11">
      <c r="A18984" s="688" t="s">
        <v>8</v>
      </c>
      <c r="B18984" s="691">
        <v>14.3</v>
      </c>
      <c r="C18984" s="691">
        <v>14.5</v>
      </c>
      <c r="D18984" s="691">
        <v>14.4</v>
      </c>
      <c r="E18984" s="691">
        <v>14.5</v>
      </c>
      <c r="F18984" s="691">
        <v>14.7</v>
      </c>
      <c r="G18984" s="691">
        <v>14.8</v>
      </c>
      <c r="H18984" s="691">
        <v>15.1</v>
      </c>
      <c r="I18984" s="691">
        <v>14.9</v>
      </c>
      <c r="J18984" s="691">
        <v>14.9</v>
      </c>
      <c r="K18984" s="691">
        <v>14.8</v>
      </c>
    </row>
    <row r="18985" spans="1:11">
      <c r="A18985" s="688" t="s">
        <v>7</v>
      </c>
      <c r="B18985" s="689">
        <v>14.8</v>
      </c>
      <c r="C18985" s="689">
        <v>14.5</v>
      </c>
      <c r="D18985" s="689">
        <v>14.3</v>
      </c>
      <c r="E18985" s="689">
        <v>14.6</v>
      </c>
      <c r="F18985" s="689">
        <v>14.5</v>
      </c>
      <c r="G18985" s="693">
        <v>15</v>
      </c>
      <c r="H18985" s="689">
        <v>14.8</v>
      </c>
      <c r="I18985" s="689">
        <v>14.6</v>
      </c>
      <c r="J18985" s="689">
        <v>14.1</v>
      </c>
      <c r="K18985" s="689">
        <v>14.2</v>
      </c>
    </row>
    <row r="18986" spans="1:11">
      <c r="A18986" s="688" t="s">
        <v>27</v>
      </c>
      <c r="B18986" s="691">
        <v>16.5</v>
      </c>
      <c r="C18986" s="615">
        <v>16</v>
      </c>
      <c r="D18986" s="691">
        <v>15.7</v>
      </c>
      <c r="E18986" s="691">
        <v>16.100000000000001</v>
      </c>
      <c r="F18986" s="615">
        <v>16</v>
      </c>
      <c r="G18986" s="691">
        <v>16.100000000000001</v>
      </c>
      <c r="H18986" s="691">
        <v>16.5</v>
      </c>
      <c r="I18986" s="691">
        <v>15.4</v>
      </c>
      <c r="J18986" s="691">
        <v>16.2</v>
      </c>
      <c r="K18986" s="691">
        <v>16.100000000000001</v>
      </c>
    </row>
    <row r="18987" spans="1:11">
      <c r="A18987" s="688" t="s">
        <v>6</v>
      </c>
      <c r="B18987" s="689">
        <v>16.899999999999999</v>
      </c>
      <c r="C18987" s="689">
        <v>16.5</v>
      </c>
      <c r="D18987" s="689">
        <v>16.3</v>
      </c>
      <c r="E18987" s="689">
        <v>16.5</v>
      </c>
      <c r="F18987" s="689">
        <v>16.5</v>
      </c>
      <c r="G18987" s="689">
        <v>16.7</v>
      </c>
      <c r="H18987" s="689">
        <v>16.7</v>
      </c>
      <c r="I18987" s="689">
        <v>16.3</v>
      </c>
      <c r="J18987" s="689">
        <v>16.399999999999999</v>
      </c>
      <c r="K18987" s="689">
        <v>16.399999999999999</v>
      </c>
    </row>
    <row r="18988" spans="1:11">
      <c r="A18988" s="688" t="s">
        <v>4058</v>
      </c>
      <c r="B18988" s="692" t="s">
        <v>4060</v>
      </c>
      <c r="C18988" s="692" t="s">
        <v>4060</v>
      </c>
      <c r="D18988" s="692" t="s">
        <v>4060</v>
      </c>
      <c r="E18988" s="692" t="s">
        <v>4060</v>
      </c>
      <c r="F18988" s="692" t="s">
        <v>4060</v>
      </c>
      <c r="G18988" s="692" t="s">
        <v>4060</v>
      </c>
      <c r="H18988" s="692" t="s">
        <v>4060</v>
      </c>
      <c r="I18988" s="692" t="s">
        <v>4060</v>
      </c>
      <c r="J18988" s="692" t="s">
        <v>4060</v>
      </c>
      <c r="K18988" s="692" t="s">
        <v>4060</v>
      </c>
    </row>
    <row r="18989" spans="1:11">
      <c r="A18989" s="688" t="s">
        <v>11</v>
      </c>
      <c r="B18989" s="689">
        <v>12.7</v>
      </c>
      <c r="C18989" s="689">
        <v>12.5</v>
      </c>
      <c r="D18989" s="689">
        <v>12.2</v>
      </c>
      <c r="E18989" s="689">
        <v>12.7</v>
      </c>
      <c r="F18989" s="689">
        <v>12.4</v>
      </c>
      <c r="G18989" s="689">
        <v>12.7</v>
      </c>
      <c r="H18989" s="689">
        <v>12.8</v>
      </c>
      <c r="I18989" s="689">
        <v>12.3</v>
      </c>
      <c r="J18989" s="689">
        <v>11.8</v>
      </c>
      <c r="K18989" s="689">
        <v>12.3</v>
      </c>
    </row>
    <row r="18990" spans="1:11">
      <c r="A18990" s="688" t="s">
        <v>10</v>
      </c>
      <c r="B18990" s="691">
        <v>15.9</v>
      </c>
      <c r="C18990" s="691">
        <v>15.6</v>
      </c>
      <c r="D18990" s="691">
        <v>15.1</v>
      </c>
      <c r="E18990" s="691">
        <v>15.7</v>
      </c>
      <c r="F18990" s="691">
        <v>15.4</v>
      </c>
      <c r="G18990" s="691">
        <v>15.7</v>
      </c>
      <c r="H18990" s="691">
        <v>15.8</v>
      </c>
      <c r="I18990" s="691">
        <v>14.9</v>
      </c>
      <c r="J18990" s="691">
        <v>15.3</v>
      </c>
      <c r="K18990" s="691">
        <v>15.2</v>
      </c>
    </row>
    <row r="18991" spans="1:11">
      <c r="A18991" s="688" t="s">
        <v>30</v>
      </c>
      <c r="B18991" s="689">
        <v>14.8</v>
      </c>
      <c r="C18991" s="689">
        <v>14.2</v>
      </c>
      <c r="D18991" s="693">
        <v>14</v>
      </c>
      <c r="E18991" s="689">
        <v>14.7</v>
      </c>
      <c r="F18991" s="689">
        <v>14.3</v>
      </c>
      <c r="G18991" s="689">
        <v>14.8</v>
      </c>
      <c r="H18991" s="689">
        <v>14.6</v>
      </c>
      <c r="I18991" s="689">
        <v>14.7</v>
      </c>
      <c r="J18991" s="689">
        <v>14.3</v>
      </c>
      <c r="K18991" s="689">
        <v>14.3</v>
      </c>
    </row>
    <row r="18992" spans="1:11">
      <c r="A18992" s="688" t="s">
        <v>12</v>
      </c>
      <c r="B18992" s="691">
        <v>12.8</v>
      </c>
      <c r="C18992" s="691">
        <v>12.8</v>
      </c>
      <c r="D18992" s="691">
        <v>12.7</v>
      </c>
      <c r="E18992" s="691">
        <v>12.8</v>
      </c>
      <c r="F18992" s="691">
        <v>12.9</v>
      </c>
      <c r="G18992" s="615">
        <v>13</v>
      </c>
      <c r="H18992" s="691">
        <v>13.2</v>
      </c>
      <c r="I18992" s="615">
        <v>13</v>
      </c>
      <c r="J18992" s="691">
        <v>11.9</v>
      </c>
      <c r="K18992" s="691">
        <v>12.7</v>
      </c>
    </row>
    <row r="18993" spans="1:11">
      <c r="A18993" s="688" t="s">
        <v>14</v>
      </c>
      <c r="B18993" s="689">
        <v>13.2</v>
      </c>
      <c r="C18993" s="689">
        <v>13.1</v>
      </c>
      <c r="D18993" s="689">
        <v>12.8</v>
      </c>
      <c r="E18993" s="693">
        <v>13</v>
      </c>
      <c r="F18993" s="693">
        <v>13</v>
      </c>
      <c r="G18993" s="689">
        <v>13.1</v>
      </c>
      <c r="H18993" s="689">
        <v>13.5</v>
      </c>
      <c r="I18993" s="689">
        <v>12.8</v>
      </c>
      <c r="J18993" s="689">
        <v>12.2</v>
      </c>
      <c r="K18993" s="689">
        <v>12.9</v>
      </c>
    </row>
    <row r="18994" spans="1:11">
      <c r="A18994" s="688" t="s">
        <v>15</v>
      </c>
      <c r="B18994" s="691">
        <v>15.5</v>
      </c>
      <c r="C18994" s="691">
        <v>15.4</v>
      </c>
      <c r="D18994" s="691">
        <v>14.9</v>
      </c>
      <c r="E18994" s="691">
        <v>15.5</v>
      </c>
      <c r="F18994" s="691">
        <v>14.9</v>
      </c>
      <c r="G18994" s="691">
        <v>15.2</v>
      </c>
      <c r="H18994" s="691">
        <v>15.4</v>
      </c>
      <c r="I18994" s="691">
        <v>15.1</v>
      </c>
      <c r="J18994" s="691">
        <v>15.5</v>
      </c>
      <c r="K18994" s="691">
        <v>15.5</v>
      </c>
    </row>
    <row r="18995" spans="1:11">
      <c r="A18995" s="688" t="s">
        <v>29</v>
      </c>
      <c r="B18995" s="689">
        <v>12.5</v>
      </c>
      <c r="C18995" s="689">
        <v>12.5</v>
      </c>
      <c r="D18995" s="689">
        <v>12.2</v>
      </c>
      <c r="E18995" s="689">
        <v>12.6</v>
      </c>
      <c r="F18995" s="689">
        <v>12.3</v>
      </c>
      <c r="G18995" s="689">
        <v>12.4</v>
      </c>
      <c r="H18995" s="689">
        <v>12.5</v>
      </c>
      <c r="I18995" s="689">
        <v>12.1</v>
      </c>
      <c r="J18995" s="689">
        <v>11.7</v>
      </c>
      <c r="K18995" s="689">
        <v>12.3</v>
      </c>
    </row>
    <row r="18996" spans="1:11">
      <c r="A18996" s="688" t="s">
        <v>16</v>
      </c>
      <c r="B18996" s="691">
        <v>14.6</v>
      </c>
      <c r="C18996" s="691">
        <v>14.7</v>
      </c>
      <c r="D18996" s="691">
        <v>14.7</v>
      </c>
      <c r="E18996" s="615">
        <v>15</v>
      </c>
      <c r="F18996" s="615">
        <v>15</v>
      </c>
      <c r="G18996" s="691">
        <v>14.9</v>
      </c>
      <c r="H18996" s="691">
        <v>15.1</v>
      </c>
      <c r="I18996" s="691">
        <v>14.8</v>
      </c>
      <c r="J18996" s="691">
        <v>14.5</v>
      </c>
      <c r="K18996" s="691">
        <v>14.9</v>
      </c>
    </row>
    <row r="18997" spans="1:11">
      <c r="A18997" s="688" t="s">
        <v>17</v>
      </c>
      <c r="B18997" s="689">
        <v>14.7</v>
      </c>
      <c r="C18997" s="689">
        <v>14.7</v>
      </c>
      <c r="D18997" s="689">
        <v>14.5</v>
      </c>
      <c r="E18997" s="689">
        <v>14.6</v>
      </c>
      <c r="F18997" s="689">
        <v>14.6</v>
      </c>
      <c r="G18997" s="689">
        <v>14.5</v>
      </c>
      <c r="H18997" s="689">
        <v>14.8</v>
      </c>
      <c r="I18997" s="689">
        <v>14.3</v>
      </c>
      <c r="J18997" s="689">
        <v>14.4</v>
      </c>
      <c r="K18997" s="689">
        <v>14.4</v>
      </c>
    </row>
    <row r="18998" spans="1:11">
      <c r="A18998" s="688" t="s">
        <v>19</v>
      </c>
      <c r="B18998" s="615">
        <v>15</v>
      </c>
      <c r="C18998" s="615">
        <v>15</v>
      </c>
      <c r="D18998" s="691">
        <v>14.7</v>
      </c>
      <c r="E18998" s="615">
        <v>15</v>
      </c>
      <c r="F18998" s="691">
        <v>14.9</v>
      </c>
      <c r="G18998" s="615">
        <v>15</v>
      </c>
      <c r="H18998" s="691">
        <v>15.2</v>
      </c>
      <c r="I18998" s="691">
        <v>14.6</v>
      </c>
      <c r="J18998" s="691">
        <v>14.7</v>
      </c>
      <c r="K18998" s="691">
        <v>14.6</v>
      </c>
    </row>
    <row r="18999" spans="1:11">
      <c r="A18999" s="688" t="s">
        <v>20</v>
      </c>
      <c r="B18999" s="689">
        <v>13.9</v>
      </c>
      <c r="C18999" s="689">
        <v>13.9</v>
      </c>
      <c r="D18999" s="689">
        <v>13.7</v>
      </c>
      <c r="E18999" s="689">
        <v>14.1</v>
      </c>
      <c r="F18999" s="689">
        <v>13.9</v>
      </c>
      <c r="G18999" s="689">
        <v>13.9</v>
      </c>
      <c r="H18999" s="689">
        <v>14.1</v>
      </c>
      <c r="I18999" s="689">
        <v>13.1</v>
      </c>
      <c r="J18999" s="689">
        <v>12.5</v>
      </c>
      <c r="K18999" s="689">
        <v>13.4</v>
      </c>
    </row>
    <row r="19000" spans="1:11">
      <c r="A19000" s="688" t="s">
        <v>21</v>
      </c>
      <c r="B19000" s="691">
        <v>14.9</v>
      </c>
      <c r="C19000" s="691">
        <v>15.1</v>
      </c>
      <c r="D19000" s="691">
        <v>14.9</v>
      </c>
      <c r="E19000" s="691">
        <v>15.1</v>
      </c>
      <c r="F19000" s="691">
        <v>15.3</v>
      </c>
      <c r="G19000" s="691">
        <v>15.2</v>
      </c>
      <c r="H19000" s="691">
        <v>15.5</v>
      </c>
      <c r="I19000" s="691">
        <v>14.9</v>
      </c>
      <c r="J19000" s="615">
        <v>15</v>
      </c>
      <c r="K19000" s="691">
        <v>15.1</v>
      </c>
    </row>
    <row r="19001" spans="1:11">
      <c r="A19001" s="688" t="s">
        <v>22</v>
      </c>
      <c r="B19001" s="689">
        <v>12.2</v>
      </c>
      <c r="C19001" s="693">
        <v>12</v>
      </c>
      <c r="D19001" s="689">
        <v>11.9</v>
      </c>
      <c r="E19001" s="689">
        <v>12.2</v>
      </c>
      <c r="F19001" s="689">
        <v>12.2</v>
      </c>
      <c r="G19001" s="689">
        <v>12.3</v>
      </c>
      <c r="H19001" s="689">
        <v>12.6</v>
      </c>
      <c r="I19001" s="689">
        <v>11.9</v>
      </c>
      <c r="J19001" s="689">
        <v>10.9</v>
      </c>
      <c r="K19001" s="693">
        <v>12</v>
      </c>
    </row>
    <row r="19002" spans="1:11">
      <c r="A19002" s="688" t="s">
        <v>26</v>
      </c>
      <c r="B19002" s="691">
        <v>14.8</v>
      </c>
      <c r="C19002" s="691">
        <v>14.5</v>
      </c>
      <c r="D19002" s="691">
        <v>14.6</v>
      </c>
      <c r="E19002" s="691">
        <v>14.7</v>
      </c>
      <c r="F19002" s="691">
        <v>14.7</v>
      </c>
      <c r="G19002" s="691">
        <v>14.9</v>
      </c>
      <c r="H19002" s="615">
        <v>15</v>
      </c>
      <c r="I19002" s="615">
        <v>14</v>
      </c>
      <c r="J19002" s="691">
        <v>14.5</v>
      </c>
      <c r="K19002" s="691">
        <v>14.7</v>
      </c>
    </row>
    <row r="19003" spans="1:11">
      <c r="A19003" s="688" t="s">
        <v>25</v>
      </c>
      <c r="B19003" s="689">
        <v>12.6</v>
      </c>
      <c r="C19003" s="689">
        <v>12.8</v>
      </c>
      <c r="D19003" s="689">
        <v>12.5</v>
      </c>
      <c r="E19003" s="689">
        <v>12.9</v>
      </c>
      <c r="F19003" s="689">
        <v>12.8</v>
      </c>
      <c r="G19003" s="693">
        <v>13</v>
      </c>
      <c r="H19003" s="689">
        <v>13.3</v>
      </c>
      <c r="I19003" s="689">
        <v>12.7</v>
      </c>
      <c r="J19003" s="689">
        <v>11.4</v>
      </c>
      <c r="K19003" s="689">
        <v>12.6</v>
      </c>
    </row>
    <row r="19004" spans="1:11">
      <c r="A19004" s="688" t="s">
        <v>5</v>
      </c>
      <c r="B19004" s="691">
        <v>15.2</v>
      </c>
      <c r="C19004" s="691">
        <v>14.9</v>
      </c>
      <c r="D19004" s="615">
        <v>15</v>
      </c>
      <c r="E19004" s="615">
        <v>15</v>
      </c>
      <c r="F19004" s="691">
        <v>15.2</v>
      </c>
      <c r="G19004" s="691">
        <v>15.2</v>
      </c>
      <c r="H19004" s="691">
        <v>15.4</v>
      </c>
      <c r="I19004" s="691">
        <v>15.4</v>
      </c>
      <c r="J19004" s="691">
        <v>15.3</v>
      </c>
      <c r="K19004" s="691">
        <v>14.8</v>
      </c>
    </row>
    <row r="19005" spans="1:11">
      <c r="A19005" s="688" t="s">
        <v>23</v>
      </c>
      <c r="B19005" s="689">
        <v>14.7</v>
      </c>
      <c r="C19005" s="689">
        <v>14.9</v>
      </c>
      <c r="D19005" s="689">
        <v>14.9</v>
      </c>
      <c r="E19005" s="689">
        <v>14.9</v>
      </c>
      <c r="F19005" s="689">
        <v>14.9</v>
      </c>
      <c r="G19005" s="693">
        <v>15</v>
      </c>
      <c r="H19005" s="689">
        <v>15.3</v>
      </c>
      <c r="I19005" s="689">
        <v>14.8</v>
      </c>
      <c r="J19005" s="689">
        <v>15.4</v>
      </c>
      <c r="K19005" s="689">
        <v>15.3</v>
      </c>
    </row>
    <row r="19006" spans="1:11">
      <c r="A19006" s="688" t="s">
        <v>4067</v>
      </c>
      <c r="B19006" s="691">
        <v>14.9</v>
      </c>
      <c r="C19006" s="691">
        <v>15.2</v>
      </c>
      <c r="D19006" s="691">
        <v>14.8</v>
      </c>
      <c r="E19006" s="691">
        <v>15.2</v>
      </c>
      <c r="F19006" s="615">
        <v>15</v>
      </c>
      <c r="G19006" s="691">
        <v>15.1</v>
      </c>
      <c r="H19006" s="692" t="s">
        <v>4060</v>
      </c>
      <c r="I19006" s="692" t="s">
        <v>4060</v>
      </c>
      <c r="J19006" s="692" t="s">
        <v>4060</v>
      </c>
      <c r="K19006" s="692" t="s">
        <v>4060</v>
      </c>
    </row>
    <row r="19007" spans="1:11">
      <c r="A19007" s="688" t="s">
        <v>4066</v>
      </c>
      <c r="B19007" s="689">
        <v>14.9</v>
      </c>
      <c r="C19007" s="689">
        <v>15.2</v>
      </c>
      <c r="D19007" s="689">
        <v>14.8</v>
      </c>
      <c r="E19007" s="689">
        <v>15.2</v>
      </c>
      <c r="F19007" s="693">
        <v>15</v>
      </c>
      <c r="G19007" s="689">
        <v>15.1</v>
      </c>
      <c r="H19007" s="690" t="s">
        <v>4060</v>
      </c>
      <c r="I19007" s="690" t="s">
        <v>4060</v>
      </c>
      <c r="J19007" s="690" t="s">
        <v>4060</v>
      </c>
      <c r="K19007" s="690" t="s">
        <v>4060</v>
      </c>
    </row>
    <row r="19008" spans="1:11">
      <c r="A19008" s="688" t="s">
        <v>4062</v>
      </c>
      <c r="B19008" s="691">
        <v>15.4</v>
      </c>
      <c r="C19008" s="691">
        <v>15.4</v>
      </c>
      <c r="D19008" s="691">
        <v>15.2</v>
      </c>
      <c r="E19008" s="691">
        <v>15.5</v>
      </c>
      <c r="F19008" s="691">
        <v>15.5</v>
      </c>
      <c r="G19008" s="691">
        <v>15.6</v>
      </c>
      <c r="H19008" s="691">
        <v>15.7</v>
      </c>
      <c r="I19008" s="691">
        <v>15.4</v>
      </c>
      <c r="J19008" s="691">
        <v>15.6</v>
      </c>
      <c r="K19008" s="691">
        <v>15.4</v>
      </c>
    </row>
    <row r="19009" spans="1:11">
      <c r="A19009" s="688" t="s">
        <v>9</v>
      </c>
      <c r="B19009" s="689">
        <v>14.7</v>
      </c>
      <c r="C19009" s="689">
        <v>15.1</v>
      </c>
      <c r="D19009" s="689">
        <v>14.6</v>
      </c>
      <c r="E19009" s="689">
        <v>14.5</v>
      </c>
      <c r="F19009" s="689">
        <v>14.4</v>
      </c>
      <c r="G19009" s="689">
        <v>14.5</v>
      </c>
      <c r="H19009" s="693">
        <v>15</v>
      </c>
      <c r="I19009" s="689">
        <v>15.1</v>
      </c>
      <c r="J19009" s="689">
        <v>15.1</v>
      </c>
      <c r="K19009" s="689">
        <v>14.3</v>
      </c>
    </row>
    <row r="19010" spans="1:11">
      <c r="A19010" s="688" t="s">
        <v>13</v>
      </c>
      <c r="B19010" s="691">
        <v>15.8</v>
      </c>
      <c r="C19010" s="691">
        <v>13.9</v>
      </c>
      <c r="D19010" s="691">
        <v>15.1</v>
      </c>
      <c r="E19010" s="691">
        <v>16.2</v>
      </c>
      <c r="F19010" s="691">
        <v>15.9</v>
      </c>
      <c r="G19010" s="691">
        <v>15.5</v>
      </c>
      <c r="H19010" s="691">
        <v>15.2</v>
      </c>
      <c r="I19010" s="691">
        <v>14.6</v>
      </c>
      <c r="J19010" s="691">
        <v>15.5</v>
      </c>
      <c r="K19010" s="691">
        <v>15.2</v>
      </c>
    </row>
    <row r="19011" spans="1:11">
      <c r="A19011" s="688" t="s">
        <v>18</v>
      </c>
      <c r="B19011" s="689">
        <v>14.9</v>
      </c>
      <c r="C19011" s="693">
        <v>15</v>
      </c>
      <c r="D19011" s="689">
        <v>14.9</v>
      </c>
      <c r="E19011" s="693">
        <v>15</v>
      </c>
      <c r="F19011" s="693">
        <v>15</v>
      </c>
      <c r="G19011" s="689">
        <v>15.2</v>
      </c>
      <c r="H19011" s="689">
        <v>15.2</v>
      </c>
      <c r="I19011" s="689">
        <v>15.4</v>
      </c>
      <c r="J19011" s="689">
        <v>15.2</v>
      </c>
      <c r="K19011" s="689">
        <v>14.9</v>
      </c>
    </row>
    <row r="19012" spans="1:11">
      <c r="A19012" s="688" t="s">
        <v>24</v>
      </c>
      <c r="B19012" s="691">
        <v>15.7</v>
      </c>
      <c r="C19012" s="691">
        <v>15.7</v>
      </c>
      <c r="D19012" s="691">
        <v>15.4</v>
      </c>
      <c r="E19012" s="691">
        <v>15.8</v>
      </c>
      <c r="F19012" s="691">
        <v>15.7</v>
      </c>
      <c r="G19012" s="691">
        <v>15.9</v>
      </c>
      <c r="H19012" s="691">
        <v>15.9</v>
      </c>
      <c r="I19012" s="691">
        <v>15.4</v>
      </c>
      <c r="J19012" s="691">
        <v>15.9</v>
      </c>
      <c r="K19012" s="691">
        <v>15.7</v>
      </c>
    </row>
    <row r="19013" spans="1:11">
      <c r="A19013" s="688" t="s">
        <v>4059</v>
      </c>
      <c r="B19013" s="689">
        <v>14.5</v>
      </c>
      <c r="C19013" s="689">
        <v>14.9</v>
      </c>
      <c r="D19013" s="689">
        <v>14.4</v>
      </c>
      <c r="E19013" s="689">
        <v>14.7</v>
      </c>
      <c r="F19013" s="689">
        <v>14.7</v>
      </c>
      <c r="G19013" s="689">
        <v>14.7</v>
      </c>
      <c r="H19013" s="690" t="s">
        <v>4060</v>
      </c>
      <c r="I19013" s="690" t="s">
        <v>4060</v>
      </c>
      <c r="J19013" s="690" t="s">
        <v>4060</v>
      </c>
      <c r="K19013" s="690" t="s">
        <v>4060</v>
      </c>
    </row>
    <row r="19014" spans="1:11">
      <c r="A19014" s="688" t="s">
        <v>2324</v>
      </c>
      <c r="B19014" s="691">
        <v>11.4</v>
      </c>
      <c r="C19014" s="691">
        <v>11.5</v>
      </c>
      <c r="D19014" s="691">
        <v>11.1</v>
      </c>
      <c r="E19014" s="691">
        <v>11.5</v>
      </c>
      <c r="F19014" s="691">
        <v>11.6</v>
      </c>
      <c r="G19014" s="691">
        <v>11.5</v>
      </c>
      <c r="H19014" s="691">
        <v>11.8</v>
      </c>
      <c r="I19014" s="691">
        <v>11.3</v>
      </c>
      <c r="J19014" s="691">
        <v>9.6</v>
      </c>
      <c r="K19014" s="692" t="s">
        <v>4060</v>
      </c>
    </row>
    <row r="19015" spans="1:11">
      <c r="A19015" s="688" t="s">
        <v>2322</v>
      </c>
      <c r="B19015" s="690" t="s">
        <v>4060</v>
      </c>
      <c r="C19015" s="690" t="s">
        <v>4060</v>
      </c>
      <c r="D19015" s="690" t="s">
        <v>4060</v>
      </c>
      <c r="E19015" s="690" t="s">
        <v>4060</v>
      </c>
      <c r="F19015" s="690" t="s">
        <v>4060</v>
      </c>
      <c r="G19015" s="690" t="s">
        <v>4060</v>
      </c>
      <c r="H19015" s="690" t="s">
        <v>4060</v>
      </c>
      <c r="I19015" s="690" t="s">
        <v>4060</v>
      </c>
      <c r="J19015" s="690" t="s">
        <v>4060</v>
      </c>
      <c r="K19015" s="690" t="s">
        <v>4060</v>
      </c>
    </row>
    <row r="19016" spans="1:11">
      <c r="A19016" s="688" t="s">
        <v>2328</v>
      </c>
      <c r="B19016" s="691">
        <v>10.6</v>
      </c>
      <c r="C19016" s="691">
        <v>10.3</v>
      </c>
      <c r="D19016" s="691">
        <v>10.199999999999999</v>
      </c>
      <c r="E19016" s="691">
        <v>10.6</v>
      </c>
      <c r="F19016" s="691">
        <v>10.6</v>
      </c>
      <c r="G19016" s="691">
        <v>11.1</v>
      </c>
      <c r="H19016" s="691">
        <v>10.8</v>
      </c>
      <c r="I19016" s="691">
        <v>10.1</v>
      </c>
      <c r="J19016" s="691">
        <v>9.6999999999999993</v>
      </c>
      <c r="K19016" s="692" t="s">
        <v>4060</v>
      </c>
    </row>
    <row r="19017" spans="1:11">
      <c r="A19017" s="688" t="s">
        <v>2496</v>
      </c>
      <c r="B19017" s="690" t="s">
        <v>4060</v>
      </c>
      <c r="C19017" s="689">
        <v>11.9</v>
      </c>
      <c r="D19017" s="689">
        <v>11.1</v>
      </c>
      <c r="E19017" s="689">
        <v>10.6</v>
      </c>
      <c r="F19017" s="689">
        <v>10.9</v>
      </c>
      <c r="G19017" s="689">
        <v>11.2</v>
      </c>
      <c r="H19017" s="689">
        <v>11.2</v>
      </c>
      <c r="I19017" s="690" t="s">
        <v>4060</v>
      </c>
      <c r="J19017" s="690" t="s">
        <v>4060</v>
      </c>
      <c r="K19017" s="689">
        <v>10.9</v>
      </c>
    </row>
    <row r="19018" spans="1:11">
      <c r="A19018" s="688" t="s">
        <v>2269</v>
      </c>
      <c r="B19018" s="691">
        <v>11.9</v>
      </c>
      <c r="C19018" s="691">
        <v>11.9</v>
      </c>
      <c r="D19018" s="691">
        <v>11.3</v>
      </c>
      <c r="E19018" s="691">
        <v>11.6</v>
      </c>
      <c r="F19018" s="691">
        <v>11.3</v>
      </c>
      <c r="G19018" s="691">
        <v>11.7</v>
      </c>
      <c r="H19018" s="615">
        <v>12</v>
      </c>
      <c r="I19018" s="691">
        <v>11.2</v>
      </c>
      <c r="J19018" s="691">
        <v>9.3000000000000007</v>
      </c>
      <c r="K19018" s="691">
        <v>11.7</v>
      </c>
    </row>
    <row r="19019" spans="1:11">
      <c r="A19019" s="688" t="s">
        <v>2349</v>
      </c>
      <c r="B19019" s="693">
        <v>11</v>
      </c>
      <c r="C19019" s="693">
        <v>11</v>
      </c>
      <c r="D19019" s="689">
        <v>10.9</v>
      </c>
      <c r="E19019" s="689">
        <v>11.2</v>
      </c>
      <c r="F19019" s="689">
        <v>11.1</v>
      </c>
      <c r="G19019" s="689">
        <v>11.3</v>
      </c>
      <c r="H19019" s="689">
        <v>11.5</v>
      </c>
      <c r="I19019" s="689">
        <v>10.8</v>
      </c>
      <c r="J19019" s="689">
        <v>9.6999999999999993</v>
      </c>
      <c r="K19019" s="689">
        <v>10.8</v>
      </c>
    </row>
    <row r="19020" spans="1:11">
      <c r="A19020" s="688" t="s">
        <v>2355</v>
      </c>
      <c r="B19020" s="691">
        <v>13.7</v>
      </c>
      <c r="C19020" s="691">
        <v>13.4</v>
      </c>
      <c r="D19020" s="691">
        <v>13.3</v>
      </c>
      <c r="E19020" s="691">
        <v>13.2</v>
      </c>
      <c r="F19020" s="691">
        <v>13.3</v>
      </c>
      <c r="G19020" s="691">
        <v>13.6</v>
      </c>
      <c r="H19020" s="691">
        <v>13.6</v>
      </c>
      <c r="I19020" s="692" t="s">
        <v>4060</v>
      </c>
      <c r="J19020" s="692" t="s">
        <v>4060</v>
      </c>
      <c r="K19020" s="692" t="s">
        <v>4060</v>
      </c>
    </row>
    <row r="19021" spans="1:11">
      <c r="A19021" s="688" t="s">
        <v>2357</v>
      </c>
      <c r="B19021" s="690" t="s">
        <v>4060</v>
      </c>
      <c r="C19021" s="689">
        <v>11.4</v>
      </c>
      <c r="D19021" s="689">
        <v>11.7</v>
      </c>
      <c r="E19021" s="689">
        <v>11.9</v>
      </c>
      <c r="F19021" s="693">
        <v>12</v>
      </c>
      <c r="G19021" s="693">
        <v>12</v>
      </c>
      <c r="H19021" s="689">
        <v>12.1</v>
      </c>
      <c r="I19021" s="690" t="s">
        <v>4060</v>
      </c>
      <c r="J19021" s="690" t="s">
        <v>4060</v>
      </c>
      <c r="K19021" s="690" t="s">
        <v>4060</v>
      </c>
    </row>
    <row r="19022" spans="1:11">
      <c r="A19022" s="688" t="s">
        <v>4070</v>
      </c>
      <c r="B19022" s="692" t="s">
        <v>4060</v>
      </c>
      <c r="C19022" s="692" t="s">
        <v>4060</v>
      </c>
      <c r="D19022" s="692" t="s">
        <v>4060</v>
      </c>
      <c r="E19022" s="691">
        <v>14.2</v>
      </c>
      <c r="F19022" s="692" t="s">
        <v>4060</v>
      </c>
      <c r="G19022" s="692" t="s">
        <v>4060</v>
      </c>
      <c r="H19022" s="692" t="s">
        <v>4060</v>
      </c>
      <c r="I19022" s="692" t="s">
        <v>4060</v>
      </c>
      <c r="J19022" s="692" t="s">
        <v>4060</v>
      </c>
      <c r="K19022" s="692" t="s">
        <v>4060</v>
      </c>
    </row>
    <row r="19023" spans="1:11">
      <c r="A19023" s="688" t="s">
        <v>2491</v>
      </c>
      <c r="B19023" s="689">
        <v>11.8</v>
      </c>
      <c r="C19023" s="689">
        <v>12.1</v>
      </c>
      <c r="D19023" s="689">
        <v>12.1</v>
      </c>
      <c r="E19023" s="689">
        <v>12.2</v>
      </c>
      <c r="F19023" s="689">
        <v>12.3</v>
      </c>
      <c r="G19023" s="689">
        <v>12.3</v>
      </c>
      <c r="H19023" s="690" t="s">
        <v>4060</v>
      </c>
      <c r="I19023" s="690" t="s">
        <v>4060</v>
      </c>
      <c r="J19023" s="690" t="s">
        <v>4060</v>
      </c>
      <c r="K19023" s="690" t="s">
        <v>4060</v>
      </c>
    </row>
    <row r="19024" spans="1:11">
      <c r="A19024" s="688" t="s">
        <v>2343</v>
      </c>
      <c r="B19024" s="692" t="s">
        <v>4060</v>
      </c>
      <c r="C19024" s="692" t="s">
        <v>4060</v>
      </c>
      <c r="D19024" s="692" t="s">
        <v>4060</v>
      </c>
      <c r="E19024" s="692" t="s">
        <v>4060</v>
      </c>
      <c r="F19024" s="692" t="s">
        <v>4060</v>
      </c>
      <c r="G19024" s="692" t="s">
        <v>4060</v>
      </c>
      <c r="H19024" s="692" t="s">
        <v>4060</v>
      </c>
      <c r="I19024" s="692" t="s">
        <v>4060</v>
      </c>
      <c r="J19024" s="692" t="s">
        <v>4060</v>
      </c>
      <c r="K19024" s="692" t="s">
        <v>4060</v>
      </c>
    </row>
    <row r="19025" spans="1:11">
      <c r="A19025" s="688" t="s">
        <v>4071</v>
      </c>
      <c r="B19025" s="690" t="s">
        <v>4060</v>
      </c>
      <c r="C19025" s="690" t="s">
        <v>4060</v>
      </c>
      <c r="D19025" s="690" t="s">
        <v>4060</v>
      </c>
      <c r="E19025" s="690" t="s">
        <v>4060</v>
      </c>
      <c r="F19025" s="690" t="s">
        <v>4060</v>
      </c>
      <c r="G19025" s="690" t="s">
        <v>4060</v>
      </c>
      <c r="H19025" s="690" t="s">
        <v>4060</v>
      </c>
      <c r="I19025" s="690" t="s">
        <v>4060</v>
      </c>
      <c r="J19025" s="690" t="s">
        <v>4060</v>
      </c>
      <c r="K19025" s="690" t="s">
        <v>4060</v>
      </c>
    </row>
    <row r="19026" spans="1:11">
      <c r="A19026" s="688" t="s">
        <v>2489</v>
      </c>
      <c r="B19026" s="692" t="s">
        <v>4060</v>
      </c>
      <c r="C19026" s="692" t="s">
        <v>4060</v>
      </c>
      <c r="D19026" s="691">
        <v>11.3</v>
      </c>
      <c r="E19026" s="691">
        <v>11.2</v>
      </c>
      <c r="F19026" s="691">
        <v>11.4</v>
      </c>
      <c r="G19026" s="691">
        <v>12.1</v>
      </c>
      <c r="H19026" s="615">
        <v>12</v>
      </c>
      <c r="I19026" s="692" t="s">
        <v>4060</v>
      </c>
      <c r="J19026" s="692" t="s">
        <v>4060</v>
      </c>
      <c r="K19026" s="692" t="s">
        <v>4060</v>
      </c>
    </row>
    <row r="19027" spans="1:11">
      <c r="A19027" s="688" t="s">
        <v>2490</v>
      </c>
      <c r="B19027" s="689">
        <v>10.8</v>
      </c>
      <c r="C19027" s="689">
        <v>10.7</v>
      </c>
      <c r="D19027" s="689">
        <v>11.3</v>
      </c>
      <c r="E19027" s="690" t="s">
        <v>4060</v>
      </c>
      <c r="F19027" s="689">
        <v>11.5</v>
      </c>
      <c r="G19027" s="689">
        <v>11.7</v>
      </c>
      <c r="H19027" s="689">
        <v>12.4</v>
      </c>
      <c r="I19027" s="690" t="s">
        <v>4060</v>
      </c>
      <c r="J19027" s="690" t="s">
        <v>4060</v>
      </c>
      <c r="K19027" s="690" t="s">
        <v>4060</v>
      </c>
    </row>
    <row r="19029" spans="1:11">
      <c r="A19029" s="683" t="s">
        <v>4233</v>
      </c>
    </row>
    <row r="19030" spans="1:11">
      <c r="A19030" s="683" t="s">
        <v>4060</v>
      </c>
      <c r="B19030" s="682" t="s">
        <v>4234</v>
      </c>
    </row>
    <row r="19032" spans="1:11">
      <c r="A19032" s="682" t="s">
        <v>4332</v>
      </c>
    </row>
    <row r="19033" spans="1:11">
      <c r="A19033" s="682" t="s">
        <v>4210</v>
      </c>
      <c r="B19033" s="683" t="s">
        <v>4211</v>
      </c>
    </row>
    <row r="19034" spans="1:11">
      <c r="A19034" s="682" t="s">
        <v>4212</v>
      </c>
      <c r="B19034" s="682" t="s">
        <v>4213</v>
      </c>
    </row>
    <row r="19036" spans="1:11">
      <c r="A19036" s="683" t="s">
        <v>4214</v>
      </c>
      <c r="C19036" s="682" t="s">
        <v>4215</v>
      </c>
    </row>
    <row r="19037" spans="1:11">
      <c r="A19037" s="683" t="s">
        <v>4216</v>
      </c>
      <c r="C19037" s="682" t="s">
        <v>2967</v>
      </c>
    </row>
    <row r="19038" spans="1:11">
      <c r="A19038" s="683" t="s">
        <v>3893</v>
      </c>
      <c r="C19038" s="682" t="s">
        <v>2169</v>
      </c>
    </row>
    <row r="19039" spans="1:11">
      <c r="A19039" s="683" t="s">
        <v>4218</v>
      </c>
      <c r="C19039" s="682" t="s">
        <v>4308</v>
      </c>
    </row>
    <row r="19041" spans="1:11">
      <c r="A19041" s="684" t="s">
        <v>4220</v>
      </c>
      <c r="B19041" s="685" t="s">
        <v>4221</v>
      </c>
      <c r="C19041" s="685" t="s">
        <v>4222</v>
      </c>
      <c r="D19041" s="685" t="s">
        <v>4223</v>
      </c>
      <c r="E19041" s="685" t="s">
        <v>4224</v>
      </c>
      <c r="F19041" s="685" t="s">
        <v>4225</v>
      </c>
      <c r="G19041" s="685" t="s">
        <v>4226</v>
      </c>
      <c r="H19041" s="685" t="s">
        <v>4227</v>
      </c>
      <c r="I19041" s="685" t="s">
        <v>4228</v>
      </c>
      <c r="J19041" s="685" t="s">
        <v>4229</v>
      </c>
      <c r="K19041" s="685" t="s">
        <v>4230</v>
      </c>
    </row>
    <row r="19042" spans="1:11">
      <c r="A19042" s="686" t="s">
        <v>4231</v>
      </c>
      <c r="B19042" s="687" t="s">
        <v>4232</v>
      </c>
      <c r="C19042" s="687" t="s">
        <v>4232</v>
      </c>
      <c r="D19042" s="687" t="s">
        <v>4232</v>
      </c>
      <c r="E19042" s="687" t="s">
        <v>4232</v>
      </c>
      <c r="F19042" s="687" t="s">
        <v>4232</v>
      </c>
      <c r="G19042" s="687" t="s">
        <v>4232</v>
      </c>
      <c r="H19042" s="687" t="s">
        <v>4232</v>
      </c>
      <c r="I19042" s="687" t="s">
        <v>4232</v>
      </c>
      <c r="J19042" s="687" t="s">
        <v>4232</v>
      </c>
      <c r="K19042" s="687" t="s">
        <v>4232</v>
      </c>
    </row>
    <row r="19043" spans="1:11">
      <c r="A19043" s="688" t="s">
        <v>4064</v>
      </c>
      <c r="B19043" s="689">
        <v>14.1</v>
      </c>
      <c r="C19043" s="693">
        <v>14</v>
      </c>
      <c r="D19043" s="693">
        <v>14</v>
      </c>
      <c r="E19043" s="689">
        <v>14.1</v>
      </c>
      <c r="F19043" s="693">
        <v>14</v>
      </c>
      <c r="G19043" s="689">
        <v>14.1</v>
      </c>
      <c r="H19043" s="689">
        <v>14.3</v>
      </c>
      <c r="I19043" s="689">
        <v>13.7</v>
      </c>
      <c r="J19043" s="689">
        <v>13.7</v>
      </c>
      <c r="K19043" s="689">
        <v>13.9</v>
      </c>
    </row>
    <row r="19044" spans="1:11">
      <c r="A19044" s="688" t="s">
        <v>4065</v>
      </c>
      <c r="B19044" s="691">
        <v>14.1</v>
      </c>
      <c r="C19044" s="691">
        <v>14.4</v>
      </c>
      <c r="D19044" s="615">
        <v>14</v>
      </c>
      <c r="E19044" s="691">
        <v>14.4</v>
      </c>
      <c r="F19044" s="691">
        <v>14.2</v>
      </c>
      <c r="G19044" s="691">
        <v>14.3</v>
      </c>
      <c r="H19044" s="692" t="s">
        <v>4060</v>
      </c>
      <c r="I19044" s="692" t="s">
        <v>4060</v>
      </c>
      <c r="J19044" s="692" t="s">
        <v>4060</v>
      </c>
      <c r="K19044" s="692" t="s">
        <v>4060</v>
      </c>
    </row>
    <row r="19045" spans="1:11">
      <c r="A19045" s="688" t="s">
        <v>4063</v>
      </c>
      <c r="B19045" s="689">
        <v>14.1</v>
      </c>
      <c r="C19045" s="689">
        <v>14.4</v>
      </c>
      <c r="D19045" s="693">
        <v>14</v>
      </c>
      <c r="E19045" s="689">
        <v>14.4</v>
      </c>
      <c r="F19045" s="689">
        <v>14.3</v>
      </c>
      <c r="G19045" s="689">
        <v>14.3</v>
      </c>
      <c r="H19045" s="690" t="s">
        <v>4060</v>
      </c>
      <c r="I19045" s="690" t="s">
        <v>4060</v>
      </c>
      <c r="J19045" s="690" t="s">
        <v>4060</v>
      </c>
      <c r="K19045" s="690" t="s">
        <v>4060</v>
      </c>
    </row>
    <row r="19046" spans="1:11">
      <c r="A19046" s="688" t="s">
        <v>4069</v>
      </c>
      <c r="B19046" s="692" t="s">
        <v>4060</v>
      </c>
      <c r="C19046" s="691">
        <v>14.5</v>
      </c>
      <c r="D19046" s="691">
        <v>14.2</v>
      </c>
      <c r="E19046" s="691">
        <v>14.5</v>
      </c>
      <c r="F19046" s="691">
        <v>14.5</v>
      </c>
      <c r="G19046" s="691">
        <v>14.6</v>
      </c>
      <c r="H19046" s="691">
        <v>14.7</v>
      </c>
      <c r="I19046" s="691">
        <v>14.2</v>
      </c>
      <c r="J19046" s="691">
        <v>14.4</v>
      </c>
      <c r="K19046" s="691">
        <v>14.3</v>
      </c>
    </row>
    <row r="19047" spans="1:11">
      <c r="A19047" s="688" t="s">
        <v>4068</v>
      </c>
      <c r="B19047" s="689">
        <v>14.7</v>
      </c>
      <c r="C19047" s="690" t="s">
        <v>4060</v>
      </c>
      <c r="D19047" s="690" t="s">
        <v>4060</v>
      </c>
      <c r="E19047" s="690" t="s">
        <v>4060</v>
      </c>
      <c r="F19047" s="690" t="s">
        <v>4060</v>
      </c>
      <c r="G19047" s="690" t="s">
        <v>4060</v>
      </c>
      <c r="H19047" s="690" t="s">
        <v>4060</v>
      </c>
      <c r="I19047" s="690" t="s">
        <v>4060</v>
      </c>
      <c r="J19047" s="690" t="s">
        <v>4060</v>
      </c>
      <c r="K19047" s="690" t="s">
        <v>4060</v>
      </c>
    </row>
    <row r="19048" spans="1:11">
      <c r="A19048" s="688" t="s">
        <v>0</v>
      </c>
      <c r="B19048" s="691">
        <v>14.2</v>
      </c>
      <c r="C19048" s="691">
        <v>14.3</v>
      </c>
      <c r="D19048" s="615">
        <v>14</v>
      </c>
      <c r="E19048" s="691">
        <v>14.3</v>
      </c>
      <c r="F19048" s="691">
        <v>14.3</v>
      </c>
      <c r="G19048" s="691">
        <v>14.4</v>
      </c>
      <c r="H19048" s="691">
        <v>14.6</v>
      </c>
      <c r="I19048" s="691">
        <v>13.6</v>
      </c>
      <c r="J19048" s="691">
        <v>14.7</v>
      </c>
      <c r="K19048" s="691">
        <v>14.3</v>
      </c>
    </row>
    <row r="19049" spans="1:11">
      <c r="A19049" s="688" t="s">
        <v>1</v>
      </c>
      <c r="B19049" s="689">
        <v>11.1</v>
      </c>
      <c r="C19049" s="689">
        <v>10.8</v>
      </c>
      <c r="D19049" s="689">
        <v>10.8</v>
      </c>
      <c r="E19049" s="689">
        <v>11.1</v>
      </c>
      <c r="F19049" s="693">
        <v>11</v>
      </c>
      <c r="G19049" s="689">
        <v>11.1</v>
      </c>
      <c r="H19049" s="689">
        <v>11.2</v>
      </c>
      <c r="I19049" s="689">
        <v>10.6</v>
      </c>
      <c r="J19049" s="689">
        <v>9.6999999999999993</v>
      </c>
      <c r="K19049" s="689">
        <v>10.9</v>
      </c>
    </row>
    <row r="19050" spans="1:11">
      <c r="A19050" s="688" t="s">
        <v>2240</v>
      </c>
      <c r="B19050" s="691">
        <v>12.4</v>
      </c>
      <c r="C19050" s="691">
        <v>12.6</v>
      </c>
      <c r="D19050" s="691">
        <v>12.3</v>
      </c>
      <c r="E19050" s="691">
        <v>12.8</v>
      </c>
      <c r="F19050" s="691">
        <v>12.7</v>
      </c>
      <c r="G19050" s="691">
        <v>12.7</v>
      </c>
      <c r="H19050" s="691">
        <v>12.9</v>
      </c>
      <c r="I19050" s="691">
        <v>12.1</v>
      </c>
      <c r="J19050" s="691">
        <v>11.9</v>
      </c>
      <c r="K19050" s="691">
        <v>12.7</v>
      </c>
    </row>
    <row r="19051" spans="1:11">
      <c r="A19051" s="688" t="s">
        <v>2</v>
      </c>
      <c r="B19051" s="689">
        <v>13.3</v>
      </c>
      <c r="C19051" s="689">
        <v>13.6</v>
      </c>
      <c r="D19051" s="689">
        <v>13.6</v>
      </c>
      <c r="E19051" s="689">
        <v>13.7</v>
      </c>
      <c r="F19051" s="689">
        <v>13.7</v>
      </c>
      <c r="G19051" s="689">
        <v>13.6</v>
      </c>
      <c r="H19051" s="689">
        <v>13.9</v>
      </c>
      <c r="I19051" s="693">
        <v>14</v>
      </c>
      <c r="J19051" s="689">
        <v>13.8</v>
      </c>
      <c r="K19051" s="689">
        <v>13.7</v>
      </c>
    </row>
    <row r="19052" spans="1:11">
      <c r="A19052" s="688" t="s">
        <v>3</v>
      </c>
      <c r="B19052" s="691">
        <v>13.7</v>
      </c>
      <c r="C19052" s="691">
        <v>13.9</v>
      </c>
      <c r="D19052" s="691">
        <v>13.6</v>
      </c>
      <c r="E19052" s="691">
        <v>13.9</v>
      </c>
      <c r="F19052" s="691">
        <v>13.9</v>
      </c>
      <c r="G19052" s="691">
        <v>13.8</v>
      </c>
      <c r="H19052" s="691">
        <v>14.1</v>
      </c>
      <c r="I19052" s="691">
        <v>13.9</v>
      </c>
      <c r="J19052" s="691">
        <v>13.8</v>
      </c>
      <c r="K19052" s="691">
        <v>13.6</v>
      </c>
    </row>
    <row r="19053" spans="1:11">
      <c r="A19053" s="688" t="s">
        <v>4061</v>
      </c>
      <c r="B19053" s="689">
        <v>13.7</v>
      </c>
      <c r="C19053" s="689">
        <v>13.9</v>
      </c>
      <c r="D19053" s="689">
        <v>13.6</v>
      </c>
      <c r="E19053" s="689">
        <v>13.9</v>
      </c>
      <c r="F19053" s="689">
        <v>13.9</v>
      </c>
      <c r="G19053" s="689">
        <v>13.8</v>
      </c>
      <c r="H19053" s="689">
        <v>14.1</v>
      </c>
      <c r="I19053" s="689">
        <v>13.9</v>
      </c>
      <c r="J19053" s="689">
        <v>13.8</v>
      </c>
      <c r="K19053" s="689">
        <v>13.6</v>
      </c>
    </row>
    <row r="19054" spans="1:11">
      <c r="A19054" s="688" t="s">
        <v>4</v>
      </c>
      <c r="B19054" s="691">
        <v>13.3</v>
      </c>
      <c r="C19054" s="615">
        <v>13</v>
      </c>
      <c r="D19054" s="691">
        <v>13.2</v>
      </c>
      <c r="E19054" s="691">
        <v>13.4</v>
      </c>
      <c r="F19054" s="691">
        <v>13.4</v>
      </c>
      <c r="G19054" s="691">
        <v>13.5</v>
      </c>
      <c r="H19054" s="691">
        <v>13.7</v>
      </c>
      <c r="I19054" s="691">
        <v>13.7</v>
      </c>
      <c r="J19054" s="691">
        <v>12.8</v>
      </c>
      <c r="K19054" s="691">
        <v>13.3</v>
      </c>
    </row>
    <row r="19055" spans="1:11">
      <c r="A19055" s="688" t="s">
        <v>8</v>
      </c>
      <c r="B19055" s="689">
        <v>13.6</v>
      </c>
      <c r="C19055" s="689">
        <v>13.7</v>
      </c>
      <c r="D19055" s="689">
        <v>13.6</v>
      </c>
      <c r="E19055" s="689">
        <v>13.7</v>
      </c>
      <c r="F19055" s="689">
        <v>13.9</v>
      </c>
      <c r="G19055" s="689">
        <v>14.1</v>
      </c>
      <c r="H19055" s="689">
        <v>14.3</v>
      </c>
      <c r="I19055" s="689">
        <v>14.2</v>
      </c>
      <c r="J19055" s="689">
        <v>14.1</v>
      </c>
      <c r="K19055" s="693">
        <v>14</v>
      </c>
    </row>
    <row r="19056" spans="1:11">
      <c r="A19056" s="688" t="s">
        <v>7</v>
      </c>
      <c r="B19056" s="615">
        <v>14</v>
      </c>
      <c r="C19056" s="691">
        <v>13.7</v>
      </c>
      <c r="D19056" s="691">
        <v>13.5</v>
      </c>
      <c r="E19056" s="691">
        <v>13.8</v>
      </c>
      <c r="F19056" s="691">
        <v>13.8</v>
      </c>
      <c r="G19056" s="691">
        <v>14.2</v>
      </c>
      <c r="H19056" s="615">
        <v>14</v>
      </c>
      <c r="I19056" s="691">
        <v>13.8</v>
      </c>
      <c r="J19056" s="691">
        <v>13.4</v>
      </c>
      <c r="K19056" s="691">
        <v>13.5</v>
      </c>
    </row>
    <row r="19057" spans="1:11">
      <c r="A19057" s="688" t="s">
        <v>27</v>
      </c>
      <c r="B19057" s="689">
        <v>15.7</v>
      </c>
      <c r="C19057" s="689">
        <v>15.2</v>
      </c>
      <c r="D19057" s="689">
        <v>14.9</v>
      </c>
      <c r="E19057" s="689">
        <v>15.3</v>
      </c>
      <c r="F19057" s="689">
        <v>15.2</v>
      </c>
      <c r="G19057" s="689">
        <v>15.3</v>
      </c>
      <c r="H19057" s="689">
        <v>15.6</v>
      </c>
      <c r="I19057" s="689">
        <v>14.6</v>
      </c>
      <c r="J19057" s="689">
        <v>15.4</v>
      </c>
      <c r="K19057" s="689">
        <v>15.3</v>
      </c>
    </row>
    <row r="19058" spans="1:11">
      <c r="A19058" s="688" t="s">
        <v>6</v>
      </c>
      <c r="B19058" s="691">
        <v>16.100000000000001</v>
      </c>
      <c r="C19058" s="691">
        <v>15.7</v>
      </c>
      <c r="D19058" s="691">
        <v>15.5</v>
      </c>
      <c r="E19058" s="691">
        <v>15.7</v>
      </c>
      <c r="F19058" s="691">
        <v>15.7</v>
      </c>
      <c r="G19058" s="691">
        <v>15.8</v>
      </c>
      <c r="H19058" s="691">
        <v>15.9</v>
      </c>
      <c r="I19058" s="691">
        <v>15.4</v>
      </c>
      <c r="J19058" s="691">
        <v>15.6</v>
      </c>
      <c r="K19058" s="691">
        <v>15.6</v>
      </c>
    </row>
    <row r="19059" spans="1:11">
      <c r="A19059" s="688" t="s">
        <v>4058</v>
      </c>
      <c r="B19059" s="690" t="s">
        <v>4060</v>
      </c>
      <c r="C19059" s="690" t="s">
        <v>4060</v>
      </c>
      <c r="D19059" s="690" t="s">
        <v>4060</v>
      </c>
      <c r="E19059" s="690" t="s">
        <v>4060</v>
      </c>
      <c r="F19059" s="690" t="s">
        <v>4060</v>
      </c>
      <c r="G19059" s="690" t="s">
        <v>4060</v>
      </c>
      <c r="H19059" s="690" t="s">
        <v>4060</v>
      </c>
      <c r="I19059" s="690" t="s">
        <v>4060</v>
      </c>
      <c r="J19059" s="690" t="s">
        <v>4060</v>
      </c>
      <c r="K19059" s="690" t="s">
        <v>4060</v>
      </c>
    </row>
    <row r="19060" spans="1:11">
      <c r="A19060" s="688" t="s">
        <v>11</v>
      </c>
      <c r="B19060" s="615">
        <v>12</v>
      </c>
      <c r="C19060" s="691">
        <v>11.8</v>
      </c>
      <c r="D19060" s="691">
        <v>11.5</v>
      </c>
      <c r="E19060" s="691">
        <v>11.9</v>
      </c>
      <c r="F19060" s="691">
        <v>11.7</v>
      </c>
      <c r="G19060" s="615">
        <v>12</v>
      </c>
      <c r="H19060" s="691">
        <v>12.1</v>
      </c>
      <c r="I19060" s="691">
        <v>11.6</v>
      </c>
      <c r="J19060" s="691">
        <v>11.1</v>
      </c>
      <c r="K19060" s="691">
        <v>11.6</v>
      </c>
    </row>
    <row r="19061" spans="1:11">
      <c r="A19061" s="688" t="s">
        <v>10</v>
      </c>
      <c r="B19061" s="689">
        <v>15.1</v>
      </c>
      <c r="C19061" s="689">
        <v>14.8</v>
      </c>
      <c r="D19061" s="689">
        <v>14.3</v>
      </c>
      <c r="E19061" s="689">
        <v>14.9</v>
      </c>
      <c r="F19061" s="689">
        <v>14.6</v>
      </c>
      <c r="G19061" s="689">
        <v>14.9</v>
      </c>
      <c r="H19061" s="693">
        <v>15</v>
      </c>
      <c r="I19061" s="689">
        <v>14.2</v>
      </c>
      <c r="J19061" s="689">
        <v>14.5</v>
      </c>
      <c r="K19061" s="689">
        <v>14.4</v>
      </c>
    </row>
    <row r="19062" spans="1:11">
      <c r="A19062" s="688" t="s">
        <v>30</v>
      </c>
      <c r="B19062" s="615">
        <v>14</v>
      </c>
      <c r="C19062" s="691">
        <v>13.3</v>
      </c>
      <c r="D19062" s="691">
        <v>13.2</v>
      </c>
      <c r="E19062" s="691">
        <v>13.9</v>
      </c>
      <c r="F19062" s="691">
        <v>13.5</v>
      </c>
      <c r="G19062" s="615">
        <v>14</v>
      </c>
      <c r="H19062" s="691">
        <v>13.8</v>
      </c>
      <c r="I19062" s="691">
        <v>13.9</v>
      </c>
      <c r="J19062" s="691">
        <v>13.5</v>
      </c>
      <c r="K19062" s="691">
        <v>13.4</v>
      </c>
    </row>
    <row r="19063" spans="1:11">
      <c r="A19063" s="688" t="s">
        <v>12</v>
      </c>
      <c r="B19063" s="689">
        <v>12.1</v>
      </c>
      <c r="C19063" s="689">
        <v>12.1</v>
      </c>
      <c r="D19063" s="693">
        <v>12</v>
      </c>
      <c r="E19063" s="689">
        <v>12.2</v>
      </c>
      <c r="F19063" s="689">
        <v>12.2</v>
      </c>
      <c r="G19063" s="689">
        <v>12.3</v>
      </c>
      <c r="H19063" s="689">
        <v>12.5</v>
      </c>
      <c r="I19063" s="689">
        <v>12.3</v>
      </c>
      <c r="J19063" s="689">
        <v>11.2</v>
      </c>
      <c r="K19063" s="693">
        <v>12</v>
      </c>
    </row>
    <row r="19064" spans="1:11">
      <c r="A19064" s="688" t="s">
        <v>14</v>
      </c>
      <c r="B19064" s="691">
        <v>12.4</v>
      </c>
      <c r="C19064" s="691">
        <v>12.3</v>
      </c>
      <c r="D19064" s="691">
        <v>12.1</v>
      </c>
      <c r="E19064" s="691">
        <v>12.3</v>
      </c>
      <c r="F19064" s="691">
        <v>12.3</v>
      </c>
      <c r="G19064" s="691">
        <v>12.4</v>
      </c>
      <c r="H19064" s="691">
        <v>12.7</v>
      </c>
      <c r="I19064" s="691">
        <v>12.1</v>
      </c>
      <c r="J19064" s="691">
        <v>11.5</v>
      </c>
      <c r="K19064" s="691">
        <v>12.2</v>
      </c>
    </row>
    <row r="19065" spans="1:11">
      <c r="A19065" s="688" t="s">
        <v>15</v>
      </c>
      <c r="B19065" s="689">
        <v>14.6</v>
      </c>
      <c r="C19065" s="689">
        <v>14.6</v>
      </c>
      <c r="D19065" s="689">
        <v>14.2</v>
      </c>
      <c r="E19065" s="689">
        <v>14.7</v>
      </c>
      <c r="F19065" s="689">
        <v>14.2</v>
      </c>
      <c r="G19065" s="689">
        <v>14.4</v>
      </c>
      <c r="H19065" s="689">
        <v>14.6</v>
      </c>
      <c r="I19065" s="689">
        <v>14.3</v>
      </c>
      <c r="J19065" s="689">
        <v>14.6</v>
      </c>
      <c r="K19065" s="689">
        <v>14.7</v>
      </c>
    </row>
    <row r="19066" spans="1:11">
      <c r="A19066" s="688" t="s">
        <v>29</v>
      </c>
      <c r="B19066" s="691">
        <v>11.8</v>
      </c>
      <c r="C19066" s="691">
        <v>11.8</v>
      </c>
      <c r="D19066" s="691">
        <v>11.5</v>
      </c>
      <c r="E19066" s="691">
        <v>11.9</v>
      </c>
      <c r="F19066" s="691">
        <v>11.7</v>
      </c>
      <c r="G19066" s="691">
        <v>11.8</v>
      </c>
      <c r="H19066" s="691">
        <v>11.8</v>
      </c>
      <c r="I19066" s="691">
        <v>11.4</v>
      </c>
      <c r="J19066" s="691">
        <v>11.1</v>
      </c>
      <c r="K19066" s="691">
        <v>11.7</v>
      </c>
    </row>
    <row r="19067" spans="1:11">
      <c r="A19067" s="688" t="s">
        <v>16</v>
      </c>
      <c r="B19067" s="689">
        <v>13.8</v>
      </c>
      <c r="C19067" s="693">
        <v>14</v>
      </c>
      <c r="D19067" s="689">
        <v>13.8</v>
      </c>
      <c r="E19067" s="689">
        <v>14.2</v>
      </c>
      <c r="F19067" s="689">
        <v>14.2</v>
      </c>
      <c r="G19067" s="689">
        <v>14.2</v>
      </c>
      <c r="H19067" s="689">
        <v>14.3</v>
      </c>
      <c r="I19067" s="693">
        <v>14</v>
      </c>
      <c r="J19067" s="689">
        <v>13.7</v>
      </c>
      <c r="K19067" s="689">
        <v>14.1</v>
      </c>
    </row>
    <row r="19068" spans="1:11">
      <c r="A19068" s="688" t="s">
        <v>17</v>
      </c>
      <c r="B19068" s="615">
        <v>14</v>
      </c>
      <c r="C19068" s="615">
        <v>14</v>
      </c>
      <c r="D19068" s="691">
        <v>13.7</v>
      </c>
      <c r="E19068" s="691">
        <v>13.8</v>
      </c>
      <c r="F19068" s="691">
        <v>13.8</v>
      </c>
      <c r="G19068" s="691">
        <v>13.8</v>
      </c>
      <c r="H19068" s="615">
        <v>14</v>
      </c>
      <c r="I19068" s="691">
        <v>13.5</v>
      </c>
      <c r="J19068" s="691">
        <v>13.6</v>
      </c>
      <c r="K19068" s="691">
        <v>13.6</v>
      </c>
    </row>
    <row r="19069" spans="1:11">
      <c r="A19069" s="688" t="s">
        <v>19</v>
      </c>
      <c r="B19069" s="689">
        <v>14.2</v>
      </c>
      <c r="C19069" s="689">
        <v>14.2</v>
      </c>
      <c r="D19069" s="689">
        <v>13.9</v>
      </c>
      <c r="E19069" s="689">
        <v>14.3</v>
      </c>
      <c r="F19069" s="689">
        <v>14.1</v>
      </c>
      <c r="G19069" s="689">
        <v>14.2</v>
      </c>
      <c r="H19069" s="689">
        <v>14.4</v>
      </c>
      <c r="I19069" s="689">
        <v>13.9</v>
      </c>
      <c r="J19069" s="693">
        <v>14</v>
      </c>
      <c r="K19069" s="689">
        <v>13.9</v>
      </c>
    </row>
    <row r="19070" spans="1:11">
      <c r="A19070" s="688" t="s">
        <v>20</v>
      </c>
      <c r="B19070" s="691">
        <v>13.1</v>
      </c>
      <c r="C19070" s="691">
        <v>13.1</v>
      </c>
      <c r="D19070" s="615">
        <v>13</v>
      </c>
      <c r="E19070" s="691">
        <v>13.3</v>
      </c>
      <c r="F19070" s="691">
        <v>13.2</v>
      </c>
      <c r="G19070" s="691">
        <v>13.1</v>
      </c>
      <c r="H19070" s="691">
        <v>13.4</v>
      </c>
      <c r="I19070" s="691">
        <v>12.4</v>
      </c>
      <c r="J19070" s="691">
        <v>11.9</v>
      </c>
      <c r="K19070" s="691">
        <v>12.7</v>
      </c>
    </row>
    <row r="19071" spans="1:11">
      <c r="A19071" s="688" t="s">
        <v>21</v>
      </c>
      <c r="B19071" s="689">
        <v>14.1</v>
      </c>
      <c r="C19071" s="689">
        <v>14.3</v>
      </c>
      <c r="D19071" s="689">
        <v>14.1</v>
      </c>
      <c r="E19071" s="689">
        <v>14.3</v>
      </c>
      <c r="F19071" s="689">
        <v>14.5</v>
      </c>
      <c r="G19071" s="689">
        <v>14.4</v>
      </c>
      <c r="H19071" s="689">
        <v>14.6</v>
      </c>
      <c r="I19071" s="689">
        <v>14.1</v>
      </c>
      <c r="J19071" s="689">
        <v>14.2</v>
      </c>
      <c r="K19071" s="689">
        <v>14.3</v>
      </c>
    </row>
    <row r="19072" spans="1:11">
      <c r="A19072" s="688" t="s">
        <v>22</v>
      </c>
      <c r="B19072" s="691">
        <v>11.5</v>
      </c>
      <c r="C19072" s="691">
        <v>11.3</v>
      </c>
      <c r="D19072" s="691">
        <v>11.2</v>
      </c>
      <c r="E19072" s="691">
        <v>11.6</v>
      </c>
      <c r="F19072" s="691">
        <v>11.5</v>
      </c>
      <c r="G19072" s="691">
        <v>11.7</v>
      </c>
      <c r="H19072" s="691">
        <v>11.9</v>
      </c>
      <c r="I19072" s="691">
        <v>11.2</v>
      </c>
      <c r="J19072" s="691">
        <v>10.3</v>
      </c>
      <c r="K19072" s="691">
        <v>11.4</v>
      </c>
    </row>
    <row r="19073" spans="1:11">
      <c r="A19073" s="688" t="s">
        <v>26</v>
      </c>
      <c r="B19073" s="693">
        <v>14</v>
      </c>
      <c r="C19073" s="689">
        <v>13.7</v>
      </c>
      <c r="D19073" s="689">
        <v>13.8</v>
      </c>
      <c r="E19073" s="689">
        <v>13.9</v>
      </c>
      <c r="F19073" s="689">
        <v>13.9</v>
      </c>
      <c r="G19073" s="689">
        <v>14.1</v>
      </c>
      <c r="H19073" s="689">
        <v>14.2</v>
      </c>
      <c r="I19073" s="689">
        <v>13.2</v>
      </c>
      <c r="J19073" s="689">
        <v>13.8</v>
      </c>
      <c r="K19073" s="689">
        <v>13.9</v>
      </c>
    </row>
    <row r="19074" spans="1:11">
      <c r="A19074" s="688" t="s">
        <v>25</v>
      </c>
      <c r="B19074" s="691">
        <v>11.9</v>
      </c>
      <c r="C19074" s="615">
        <v>12</v>
      </c>
      <c r="D19074" s="691">
        <v>11.8</v>
      </c>
      <c r="E19074" s="691">
        <v>12.2</v>
      </c>
      <c r="F19074" s="691">
        <v>12.1</v>
      </c>
      <c r="G19074" s="691">
        <v>12.2</v>
      </c>
      <c r="H19074" s="691">
        <v>12.6</v>
      </c>
      <c r="I19074" s="615">
        <v>12</v>
      </c>
      <c r="J19074" s="691">
        <v>10.8</v>
      </c>
      <c r="K19074" s="691">
        <v>11.9</v>
      </c>
    </row>
    <row r="19075" spans="1:11">
      <c r="A19075" s="688" t="s">
        <v>5</v>
      </c>
      <c r="B19075" s="689">
        <v>14.4</v>
      </c>
      <c r="C19075" s="689">
        <v>14.1</v>
      </c>
      <c r="D19075" s="689">
        <v>14.1</v>
      </c>
      <c r="E19075" s="689">
        <v>14.2</v>
      </c>
      <c r="F19075" s="689">
        <v>14.4</v>
      </c>
      <c r="G19075" s="689">
        <v>14.4</v>
      </c>
      <c r="H19075" s="689">
        <v>14.6</v>
      </c>
      <c r="I19075" s="689">
        <v>14.6</v>
      </c>
      <c r="J19075" s="689">
        <v>14.5</v>
      </c>
      <c r="K19075" s="693">
        <v>14</v>
      </c>
    </row>
    <row r="19076" spans="1:11">
      <c r="A19076" s="688" t="s">
        <v>23</v>
      </c>
      <c r="B19076" s="615">
        <v>14</v>
      </c>
      <c r="C19076" s="691">
        <v>14.2</v>
      </c>
      <c r="D19076" s="691">
        <v>14.1</v>
      </c>
      <c r="E19076" s="691">
        <v>14.2</v>
      </c>
      <c r="F19076" s="691">
        <v>14.1</v>
      </c>
      <c r="G19076" s="691">
        <v>14.2</v>
      </c>
      <c r="H19076" s="691">
        <v>14.6</v>
      </c>
      <c r="I19076" s="691">
        <v>14.1</v>
      </c>
      <c r="J19076" s="691">
        <v>14.6</v>
      </c>
      <c r="K19076" s="691">
        <v>14.5</v>
      </c>
    </row>
    <row r="19077" spans="1:11">
      <c r="A19077" s="688" t="s">
        <v>4067</v>
      </c>
      <c r="B19077" s="689">
        <v>14.1</v>
      </c>
      <c r="C19077" s="689">
        <v>14.4</v>
      </c>
      <c r="D19077" s="693">
        <v>14</v>
      </c>
      <c r="E19077" s="689">
        <v>14.4</v>
      </c>
      <c r="F19077" s="689">
        <v>14.2</v>
      </c>
      <c r="G19077" s="689">
        <v>14.3</v>
      </c>
      <c r="H19077" s="690" t="s">
        <v>4060</v>
      </c>
      <c r="I19077" s="690" t="s">
        <v>4060</v>
      </c>
      <c r="J19077" s="690" t="s">
        <v>4060</v>
      </c>
      <c r="K19077" s="690" t="s">
        <v>4060</v>
      </c>
    </row>
    <row r="19078" spans="1:11">
      <c r="A19078" s="688" t="s">
        <v>4066</v>
      </c>
      <c r="B19078" s="691">
        <v>14.1</v>
      </c>
      <c r="C19078" s="691">
        <v>14.4</v>
      </c>
      <c r="D19078" s="615">
        <v>14</v>
      </c>
      <c r="E19078" s="691">
        <v>14.4</v>
      </c>
      <c r="F19078" s="691">
        <v>14.3</v>
      </c>
      <c r="G19078" s="691">
        <v>14.3</v>
      </c>
      <c r="H19078" s="692" t="s">
        <v>4060</v>
      </c>
      <c r="I19078" s="692" t="s">
        <v>4060</v>
      </c>
      <c r="J19078" s="692" t="s">
        <v>4060</v>
      </c>
      <c r="K19078" s="692" t="s">
        <v>4060</v>
      </c>
    </row>
    <row r="19079" spans="1:11">
      <c r="A19079" s="688" t="s">
        <v>4062</v>
      </c>
      <c r="B19079" s="689">
        <v>14.6</v>
      </c>
      <c r="C19079" s="689">
        <v>14.6</v>
      </c>
      <c r="D19079" s="689">
        <v>14.4</v>
      </c>
      <c r="E19079" s="689">
        <v>14.7</v>
      </c>
      <c r="F19079" s="689">
        <v>14.7</v>
      </c>
      <c r="G19079" s="689">
        <v>14.8</v>
      </c>
      <c r="H19079" s="689">
        <v>14.9</v>
      </c>
      <c r="I19079" s="689">
        <v>14.6</v>
      </c>
      <c r="J19079" s="689">
        <v>14.8</v>
      </c>
      <c r="K19079" s="689">
        <v>14.6</v>
      </c>
    </row>
    <row r="19080" spans="1:11">
      <c r="A19080" s="688" t="s">
        <v>9</v>
      </c>
      <c r="B19080" s="615">
        <v>14</v>
      </c>
      <c r="C19080" s="691">
        <v>14.3</v>
      </c>
      <c r="D19080" s="691">
        <v>13.8</v>
      </c>
      <c r="E19080" s="691">
        <v>13.8</v>
      </c>
      <c r="F19080" s="691">
        <v>13.6</v>
      </c>
      <c r="G19080" s="691">
        <v>13.7</v>
      </c>
      <c r="H19080" s="691">
        <v>14.2</v>
      </c>
      <c r="I19080" s="691">
        <v>14.4</v>
      </c>
      <c r="J19080" s="691">
        <v>14.4</v>
      </c>
      <c r="K19080" s="691">
        <v>13.5</v>
      </c>
    </row>
    <row r="19081" spans="1:11">
      <c r="A19081" s="688" t="s">
        <v>13</v>
      </c>
      <c r="B19081" s="689">
        <v>15.2</v>
      </c>
      <c r="C19081" s="693">
        <v>13</v>
      </c>
      <c r="D19081" s="689">
        <v>14.5</v>
      </c>
      <c r="E19081" s="689">
        <v>15.3</v>
      </c>
      <c r="F19081" s="693">
        <v>15</v>
      </c>
      <c r="G19081" s="689">
        <v>14.7</v>
      </c>
      <c r="H19081" s="689">
        <v>14.7</v>
      </c>
      <c r="I19081" s="689">
        <v>13.6</v>
      </c>
      <c r="J19081" s="689">
        <v>14.6</v>
      </c>
      <c r="K19081" s="689">
        <v>14.5</v>
      </c>
    </row>
    <row r="19082" spans="1:11">
      <c r="A19082" s="688" t="s">
        <v>18</v>
      </c>
      <c r="B19082" s="691">
        <v>14.1</v>
      </c>
      <c r="C19082" s="691">
        <v>14.2</v>
      </c>
      <c r="D19082" s="691">
        <v>14.2</v>
      </c>
      <c r="E19082" s="691">
        <v>14.2</v>
      </c>
      <c r="F19082" s="691">
        <v>14.3</v>
      </c>
      <c r="G19082" s="691">
        <v>14.4</v>
      </c>
      <c r="H19082" s="691">
        <v>14.5</v>
      </c>
      <c r="I19082" s="691">
        <v>14.7</v>
      </c>
      <c r="J19082" s="691">
        <v>14.4</v>
      </c>
      <c r="K19082" s="691">
        <v>14.1</v>
      </c>
    </row>
    <row r="19083" spans="1:11">
      <c r="A19083" s="688" t="s">
        <v>24</v>
      </c>
      <c r="B19083" s="689">
        <v>14.9</v>
      </c>
      <c r="C19083" s="689">
        <v>14.8</v>
      </c>
      <c r="D19083" s="689">
        <v>14.6</v>
      </c>
      <c r="E19083" s="693">
        <v>15</v>
      </c>
      <c r="F19083" s="689">
        <v>14.9</v>
      </c>
      <c r="G19083" s="689">
        <v>15.1</v>
      </c>
      <c r="H19083" s="689">
        <v>15.1</v>
      </c>
      <c r="I19083" s="689">
        <v>14.6</v>
      </c>
      <c r="J19083" s="689">
        <v>15.1</v>
      </c>
      <c r="K19083" s="689">
        <v>14.9</v>
      </c>
    </row>
    <row r="19084" spans="1:11">
      <c r="A19084" s="688" t="s">
        <v>4059</v>
      </c>
      <c r="B19084" s="691">
        <v>13.8</v>
      </c>
      <c r="C19084" s="691">
        <v>14.1</v>
      </c>
      <c r="D19084" s="691">
        <v>13.7</v>
      </c>
      <c r="E19084" s="615">
        <v>14</v>
      </c>
      <c r="F19084" s="691">
        <v>13.9</v>
      </c>
      <c r="G19084" s="691">
        <v>13.9</v>
      </c>
      <c r="H19084" s="692" t="s">
        <v>4060</v>
      </c>
      <c r="I19084" s="692" t="s">
        <v>4060</v>
      </c>
      <c r="J19084" s="692" t="s">
        <v>4060</v>
      </c>
      <c r="K19084" s="692" t="s">
        <v>4060</v>
      </c>
    </row>
    <row r="19085" spans="1:11">
      <c r="A19085" s="688" t="s">
        <v>2324</v>
      </c>
      <c r="B19085" s="689">
        <v>10.9</v>
      </c>
      <c r="C19085" s="689">
        <v>10.9</v>
      </c>
      <c r="D19085" s="689">
        <v>10.4</v>
      </c>
      <c r="E19085" s="689">
        <v>10.8</v>
      </c>
      <c r="F19085" s="693">
        <v>11</v>
      </c>
      <c r="G19085" s="689">
        <v>10.8</v>
      </c>
      <c r="H19085" s="693">
        <v>11</v>
      </c>
      <c r="I19085" s="689">
        <v>10.7</v>
      </c>
      <c r="J19085" s="693">
        <v>9</v>
      </c>
      <c r="K19085" s="690" t="s">
        <v>4060</v>
      </c>
    </row>
    <row r="19086" spans="1:11">
      <c r="A19086" s="688" t="s">
        <v>2322</v>
      </c>
      <c r="B19086" s="692" t="s">
        <v>4060</v>
      </c>
      <c r="C19086" s="692" t="s">
        <v>4060</v>
      </c>
      <c r="D19086" s="692" t="s">
        <v>4060</v>
      </c>
      <c r="E19086" s="692" t="s">
        <v>4060</v>
      </c>
      <c r="F19086" s="692" t="s">
        <v>4060</v>
      </c>
      <c r="G19086" s="692" t="s">
        <v>4060</v>
      </c>
      <c r="H19086" s="692" t="s">
        <v>4060</v>
      </c>
      <c r="I19086" s="692" t="s">
        <v>4060</v>
      </c>
      <c r="J19086" s="692" t="s">
        <v>4060</v>
      </c>
      <c r="K19086" s="692" t="s">
        <v>4060</v>
      </c>
    </row>
    <row r="19087" spans="1:11">
      <c r="A19087" s="688" t="s">
        <v>2328</v>
      </c>
      <c r="B19087" s="689">
        <v>9.9</v>
      </c>
      <c r="C19087" s="689">
        <v>9.6999999999999993</v>
      </c>
      <c r="D19087" s="689">
        <v>9.6</v>
      </c>
      <c r="E19087" s="689">
        <v>9.9</v>
      </c>
      <c r="F19087" s="689">
        <v>9.9</v>
      </c>
      <c r="G19087" s="689">
        <v>10.4</v>
      </c>
      <c r="H19087" s="689">
        <v>10.199999999999999</v>
      </c>
      <c r="I19087" s="689">
        <v>9.5</v>
      </c>
      <c r="J19087" s="689">
        <v>9.1</v>
      </c>
      <c r="K19087" s="690" t="s">
        <v>4060</v>
      </c>
    </row>
    <row r="19088" spans="1:11">
      <c r="A19088" s="688" t="s">
        <v>2496</v>
      </c>
      <c r="B19088" s="692" t="s">
        <v>4060</v>
      </c>
      <c r="C19088" s="691">
        <v>11.3</v>
      </c>
      <c r="D19088" s="691">
        <v>10.4</v>
      </c>
      <c r="E19088" s="615">
        <v>10</v>
      </c>
      <c r="F19088" s="691">
        <v>10.199999999999999</v>
      </c>
      <c r="G19088" s="691">
        <v>10.5</v>
      </c>
      <c r="H19088" s="691">
        <v>10.5</v>
      </c>
      <c r="I19088" s="692" t="s">
        <v>4060</v>
      </c>
      <c r="J19088" s="692" t="s">
        <v>4060</v>
      </c>
      <c r="K19088" s="691">
        <v>10.199999999999999</v>
      </c>
    </row>
    <row r="19089" spans="1:11">
      <c r="A19089" s="688" t="s">
        <v>2269</v>
      </c>
      <c r="B19089" s="689">
        <v>11.1</v>
      </c>
      <c r="C19089" s="689">
        <v>11.1</v>
      </c>
      <c r="D19089" s="689">
        <v>10.5</v>
      </c>
      <c r="E19089" s="689">
        <v>10.8</v>
      </c>
      <c r="F19089" s="689">
        <v>10.6</v>
      </c>
      <c r="G19089" s="689">
        <v>10.9</v>
      </c>
      <c r="H19089" s="689">
        <v>11.1</v>
      </c>
      <c r="I19089" s="689">
        <v>10.4</v>
      </c>
      <c r="J19089" s="689">
        <v>8.5</v>
      </c>
      <c r="K19089" s="689">
        <v>10.9</v>
      </c>
    </row>
    <row r="19090" spans="1:11">
      <c r="A19090" s="688" t="s">
        <v>2349</v>
      </c>
      <c r="B19090" s="691">
        <v>10.3</v>
      </c>
      <c r="C19090" s="691">
        <v>10.3</v>
      </c>
      <c r="D19090" s="691">
        <v>10.3</v>
      </c>
      <c r="E19090" s="691">
        <v>10.6</v>
      </c>
      <c r="F19090" s="691">
        <v>10.4</v>
      </c>
      <c r="G19090" s="691">
        <v>10.7</v>
      </c>
      <c r="H19090" s="691">
        <v>10.8</v>
      </c>
      <c r="I19090" s="691">
        <v>10.199999999999999</v>
      </c>
      <c r="J19090" s="691">
        <v>9.1</v>
      </c>
      <c r="K19090" s="691">
        <v>10.1</v>
      </c>
    </row>
    <row r="19091" spans="1:11">
      <c r="A19091" s="688" t="s">
        <v>2355</v>
      </c>
      <c r="B19091" s="693">
        <v>13</v>
      </c>
      <c r="C19091" s="689">
        <v>12.7</v>
      </c>
      <c r="D19091" s="689">
        <v>12.6</v>
      </c>
      <c r="E19091" s="689">
        <v>12.5</v>
      </c>
      <c r="F19091" s="689">
        <v>12.6</v>
      </c>
      <c r="G19091" s="689">
        <v>12.9</v>
      </c>
      <c r="H19091" s="689">
        <v>12.9</v>
      </c>
      <c r="I19091" s="690" t="s">
        <v>4060</v>
      </c>
      <c r="J19091" s="690" t="s">
        <v>4060</v>
      </c>
      <c r="K19091" s="690" t="s">
        <v>4060</v>
      </c>
    </row>
    <row r="19092" spans="1:11">
      <c r="A19092" s="688" t="s">
        <v>2357</v>
      </c>
      <c r="B19092" s="692" t="s">
        <v>4060</v>
      </c>
      <c r="C19092" s="691">
        <v>10.8</v>
      </c>
      <c r="D19092" s="615">
        <v>11</v>
      </c>
      <c r="E19092" s="691">
        <v>11.2</v>
      </c>
      <c r="F19092" s="691">
        <v>11.4</v>
      </c>
      <c r="G19092" s="691">
        <v>11.3</v>
      </c>
      <c r="H19092" s="691">
        <v>11.5</v>
      </c>
      <c r="I19092" s="692" t="s">
        <v>4060</v>
      </c>
      <c r="J19092" s="692" t="s">
        <v>4060</v>
      </c>
      <c r="K19092" s="692" t="s">
        <v>4060</v>
      </c>
    </row>
    <row r="19093" spans="1:11">
      <c r="A19093" s="688" t="s">
        <v>4070</v>
      </c>
      <c r="B19093" s="690" t="s">
        <v>4060</v>
      </c>
      <c r="C19093" s="690" t="s">
        <v>4060</v>
      </c>
      <c r="D19093" s="690" t="s">
        <v>4060</v>
      </c>
      <c r="E19093" s="689">
        <v>13.6</v>
      </c>
      <c r="F19093" s="690" t="s">
        <v>4060</v>
      </c>
      <c r="G19093" s="690" t="s">
        <v>4060</v>
      </c>
      <c r="H19093" s="690" t="s">
        <v>4060</v>
      </c>
      <c r="I19093" s="690" t="s">
        <v>4060</v>
      </c>
      <c r="J19093" s="690" t="s">
        <v>4060</v>
      </c>
      <c r="K19093" s="690" t="s">
        <v>4060</v>
      </c>
    </row>
    <row r="19094" spans="1:11">
      <c r="A19094" s="688" t="s">
        <v>2491</v>
      </c>
      <c r="B19094" s="691">
        <v>11.1</v>
      </c>
      <c r="C19094" s="691">
        <v>11.5</v>
      </c>
      <c r="D19094" s="691">
        <v>11.5</v>
      </c>
      <c r="E19094" s="691">
        <v>11.6</v>
      </c>
      <c r="F19094" s="691">
        <v>11.6</v>
      </c>
      <c r="G19094" s="691">
        <v>11.6</v>
      </c>
      <c r="H19094" s="692" t="s">
        <v>4060</v>
      </c>
      <c r="I19094" s="692" t="s">
        <v>4060</v>
      </c>
      <c r="J19094" s="692" t="s">
        <v>4060</v>
      </c>
      <c r="K19094" s="692" t="s">
        <v>4060</v>
      </c>
    </row>
    <row r="19095" spans="1:11">
      <c r="A19095" s="688" t="s">
        <v>2343</v>
      </c>
      <c r="B19095" s="690" t="s">
        <v>4060</v>
      </c>
      <c r="C19095" s="690" t="s">
        <v>4060</v>
      </c>
      <c r="D19095" s="690" t="s">
        <v>4060</v>
      </c>
      <c r="E19095" s="690" t="s">
        <v>4060</v>
      </c>
      <c r="F19095" s="690" t="s">
        <v>4060</v>
      </c>
      <c r="G19095" s="690" t="s">
        <v>4060</v>
      </c>
      <c r="H19095" s="690" t="s">
        <v>4060</v>
      </c>
      <c r="I19095" s="690" t="s">
        <v>4060</v>
      </c>
      <c r="J19095" s="690" t="s">
        <v>4060</v>
      </c>
      <c r="K19095" s="690" t="s">
        <v>4060</v>
      </c>
    </row>
    <row r="19096" spans="1:11">
      <c r="A19096" s="688" t="s">
        <v>4071</v>
      </c>
      <c r="B19096" s="692" t="s">
        <v>4060</v>
      </c>
      <c r="C19096" s="692" t="s">
        <v>4060</v>
      </c>
      <c r="D19096" s="692" t="s">
        <v>4060</v>
      </c>
      <c r="E19096" s="692" t="s">
        <v>4060</v>
      </c>
      <c r="F19096" s="692" t="s">
        <v>4060</v>
      </c>
      <c r="G19096" s="692" t="s">
        <v>4060</v>
      </c>
      <c r="H19096" s="692" t="s">
        <v>4060</v>
      </c>
      <c r="I19096" s="692" t="s">
        <v>4060</v>
      </c>
      <c r="J19096" s="692" t="s">
        <v>4060</v>
      </c>
      <c r="K19096" s="692" t="s">
        <v>4060</v>
      </c>
    </row>
    <row r="19097" spans="1:11">
      <c r="A19097" s="688" t="s">
        <v>2489</v>
      </c>
      <c r="B19097" s="690" t="s">
        <v>4060</v>
      </c>
      <c r="C19097" s="690" t="s">
        <v>4060</v>
      </c>
      <c r="D19097" s="689">
        <v>10.7</v>
      </c>
      <c r="E19097" s="689">
        <v>10.6</v>
      </c>
      <c r="F19097" s="689">
        <v>10.8</v>
      </c>
      <c r="G19097" s="689">
        <v>11.4</v>
      </c>
      <c r="H19097" s="689">
        <v>11.3</v>
      </c>
      <c r="I19097" s="690" t="s">
        <v>4060</v>
      </c>
      <c r="J19097" s="690" t="s">
        <v>4060</v>
      </c>
      <c r="K19097" s="690" t="s">
        <v>4060</v>
      </c>
    </row>
    <row r="19098" spans="1:11">
      <c r="A19098" s="688" t="s">
        <v>2490</v>
      </c>
      <c r="B19098" s="691">
        <v>10.199999999999999</v>
      </c>
      <c r="C19098" s="691">
        <v>10.1</v>
      </c>
      <c r="D19098" s="691">
        <v>10.7</v>
      </c>
      <c r="E19098" s="692" t="s">
        <v>4060</v>
      </c>
      <c r="F19098" s="691">
        <v>10.8</v>
      </c>
      <c r="G19098" s="615">
        <v>11</v>
      </c>
      <c r="H19098" s="691">
        <v>11.7</v>
      </c>
      <c r="I19098" s="692" t="s">
        <v>4060</v>
      </c>
      <c r="J19098" s="692" t="s">
        <v>4060</v>
      </c>
      <c r="K19098" s="692" t="s">
        <v>4060</v>
      </c>
    </row>
    <row r="19100" spans="1:11">
      <c r="A19100" s="683" t="s">
        <v>4233</v>
      </c>
    </row>
    <row r="19101" spans="1:11">
      <c r="A19101" s="683" t="s">
        <v>4060</v>
      </c>
      <c r="B19101" s="682" t="s">
        <v>4234</v>
      </c>
    </row>
    <row r="19103" spans="1:11">
      <c r="A19103" s="682" t="s">
        <v>4332</v>
      </c>
    </row>
    <row r="19104" spans="1:11">
      <c r="A19104" s="682" t="s">
        <v>4210</v>
      </c>
      <c r="B19104" s="683" t="s">
        <v>4211</v>
      </c>
    </row>
    <row r="19105" spans="1:11">
      <c r="A19105" s="682" t="s">
        <v>4212</v>
      </c>
      <c r="B19105" s="682" t="s">
        <v>4213</v>
      </c>
    </row>
    <row r="19107" spans="1:11">
      <c r="A19107" s="683" t="s">
        <v>4214</v>
      </c>
      <c r="C19107" s="682" t="s">
        <v>4215</v>
      </c>
    </row>
    <row r="19108" spans="1:11">
      <c r="A19108" s="683" t="s">
        <v>4216</v>
      </c>
      <c r="C19108" s="682" t="s">
        <v>2967</v>
      </c>
    </row>
    <row r="19109" spans="1:11">
      <c r="A19109" s="683" t="s">
        <v>3893</v>
      </c>
      <c r="C19109" s="682" t="s">
        <v>2169</v>
      </c>
    </row>
    <row r="19110" spans="1:11">
      <c r="A19110" s="683" t="s">
        <v>4218</v>
      </c>
      <c r="C19110" s="682" t="s">
        <v>4309</v>
      </c>
    </row>
    <row r="19112" spans="1:11">
      <c r="A19112" s="684" t="s">
        <v>4220</v>
      </c>
      <c r="B19112" s="685" t="s">
        <v>4221</v>
      </c>
      <c r="C19112" s="685" t="s">
        <v>4222</v>
      </c>
      <c r="D19112" s="685" t="s">
        <v>4223</v>
      </c>
      <c r="E19112" s="685" t="s">
        <v>4224</v>
      </c>
      <c r="F19112" s="685" t="s">
        <v>4225</v>
      </c>
      <c r="G19112" s="685" t="s">
        <v>4226</v>
      </c>
      <c r="H19112" s="685" t="s">
        <v>4227</v>
      </c>
      <c r="I19112" s="685" t="s">
        <v>4228</v>
      </c>
      <c r="J19112" s="685" t="s">
        <v>4229</v>
      </c>
      <c r="K19112" s="685" t="s">
        <v>4230</v>
      </c>
    </row>
    <row r="19113" spans="1:11">
      <c r="A19113" s="686" t="s">
        <v>4231</v>
      </c>
      <c r="B19113" s="687" t="s">
        <v>4232</v>
      </c>
      <c r="C19113" s="687" t="s">
        <v>4232</v>
      </c>
      <c r="D19113" s="687" t="s">
        <v>4232</v>
      </c>
      <c r="E19113" s="687" t="s">
        <v>4232</v>
      </c>
      <c r="F19113" s="687" t="s">
        <v>4232</v>
      </c>
      <c r="G19113" s="687" t="s">
        <v>4232</v>
      </c>
      <c r="H19113" s="687" t="s">
        <v>4232</v>
      </c>
      <c r="I19113" s="687" t="s">
        <v>4232</v>
      </c>
      <c r="J19113" s="687" t="s">
        <v>4232</v>
      </c>
      <c r="K19113" s="687" t="s">
        <v>4232</v>
      </c>
    </row>
    <row r="19114" spans="1:11">
      <c r="A19114" s="688" t="s">
        <v>4064</v>
      </c>
      <c r="B19114" s="691">
        <v>13.4</v>
      </c>
      <c r="C19114" s="691">
        <v>13.3</v>
      </c>
      <c r="D19114" s="691">
        <v>13.3</v>
      </c>
      <c r="E19114" s="691">
        <v>13.4</v>
      </c>
      <c r="F19114" s="691">
        <v>13.3</v>
      </c>
      <c r="G19114" s="691">
        <v>13.4</v>
      </c>
      <c r="H19114" s="691">
        <v>13.6</v>
      </c>
      <c r="I19114" s="615">
        <v>13</v>
      </c>
      <c r="J19114" s="615">
        <v>13</v>
      </c>
      <c r="K19114" s="691">
        <v>13.1</v>
      </c>
    </row>
    <row r="19115" spans="1:11">
      <c r="A19115" s="688" t="s">
        <v>4065</v>
      </c>
      <c r="B19115" s="689">
        <v>13.4</v>
      </c>
      <c r="C19115" s="689">
        <v>13.7</v>
      </c>
      <c r="D19115" s="689">
        <v>13.2</v>
      </c>
      <c r="E19115" s="689">
        <v>13.6</v>
      </c>
      <c r="F19115" s="689">
        <v>13.5</v>
      </c>
      <c r="G19115" s="689">
        <v>13.6</v>
      </c>
      <c r="H19115" s="690" t="s">
        <v>4060</v>
      </c>
      <c r="I19115" s="690" t="s">
        <v>4060</v>
      </c>
      <c r="J19115" s="690" t="s">
        <v>4060</v>
      </c>
      <c r="K19115" s="690" t="s">
        <v>4060</v>
      </c>
    </row>
    <row r="19116" spans="1:11">
      <c r="A19116" s="688" t="s">
        <v>4063</v>
      </c>
      <c r="B19116" s="691">
        <v>13.4</v>
      </c>
      <c r="C19116" s="691">
        <v>13.7</v>
      </c>
      <c r="D19116" s="691">
        <v>13.3</v>
      </c>
      <c r="E19116" s="691">
        <v>13.7</v>
      </c>
      <c r="F19116" s="691">
        <v>13.5</v>
      </c>
      <c r="G19116" s="691">
        <v>13.6</v>
      </c>
      <c r="H19116" s="692" t="s">
        <v>4060</v>
      </c>
      <c r="I19116" s="692" t="s">
        <v>4060</v>
      </c>
      <c r="J19116" s="692" t="s">
        <v>4060</v>
      </c>
      <c r="K19116" s="692" t="s">
        <v>4060</v>
      </c>
    </row>
    <row r="19117" spans="1:11">
      <c r="A19117" s="688" t="s">
        <v>4069</v>
      </c>
      <c r="B19117" s="690" t="s">
        <v>4060</v>
      </c>
      <c r="C19117" s="689">
        <v>13.7</v>
      </c>
      <c r="D19117" s="689">
        <v>13.4</v>
      </c>
      <c r="E19117" s="689">
        <v>13.7</v>
      </c>
      <c r="F19117" s="689">
        <v>13.7</v>
      </c>
      <c r="G19117" s="689">
        <v>13.8</v>
      </c>
      <c r="H19117" s="693">
        <v>14</v>
      </c>
      <c r="I19117" s="689">
        <v>13.4</v>
      </c>
      <c r="J19117" s="689">
        <v>13.6</v>
      </c>
      <c r="K19117" s="689">
        <v>13.5</v>
      </c>
    </row>
    <row r="19118" spans="1:11">
      <c r="A19118" s="688" t="s">
        <v>4068</v>
      </c>
      <c r="B19118" s="691">
        <v>13.9</v>
      </c>
      <c r="C19118" s="692" t="s">
        <v>4060</v>
      </c>
      <c r="D19118" s="692" t="s">
        <v>4060</v>
      </c>
      <c r="E19118" s="692" t="s">
        <v>4060</v>
      </c>
      <c r="F19118" s="692" t="s">
        <v>4060</v>
      </c>
      <c r="G19118" s="692" t="s">
        <v>4060</v>
      </c>
      <c r="H19118" s="692" t="s">
        <v>4060</v>
      </c>
      <c r="I19118" s="692" t="s">
        <v>4060</v>
      </c>
      <c r="J19118" s="692" t="s">
        <v>4060</v>
      </c>
      <c r="K19118" s="692" t="s">
        <v>4060</v>
      </c>
    </row>
    <row r="19119" spans="1:11">
      <c r="A19119" s="688" t="s">
        <v>0</v>
      </c>
      <c r="B19119" s="689">
        <v>13.5</v>
      </c>
      <c r="C19119" s="689">
        <v>13.5</v>
      </c>
      <c r="D19119" s="689">
        <v>13.2</v>
      </c>
      <c r="E19119" s="689">
        <v>13.6</v>
      </c>
      <c r="F19119" s="689">
        <v>13.6</v>
      </c>
      <c r="G19119" s="689">
        <v>13.6</v>
      </c>
      <c r="H19119" s="689">
        <v>13.8</v>
      </c>
      <c r="I19119" s="689">
        <v>12.8</v>
      </c>
      <c r="J19119" s="689">
        <v>13.9</v>
      </c>
      <c r="K19119" s="689">
        <v>13.6</v>
      </c>
    </row>
    <row r="19120" spans="1:11">
      <c r="A19120" s="688" t="s">
        <v>1</v>
      </c>
      <c r="B19120" s="691">
        <v>10.4</v>
      </c>
      <c r="C19120" s="691">
        <v>10.1</v>
      </c>
      <c r="D19120" s="691">
        <v>10.1</v>
      </c>
      <c r="E19120" s="691">
        <v>10.4</v>
      </c>
      <c r="F19120" s="691">
        <v>10.3</v>
      </c>
      <c r="G19120" s="691">
        <v>10.5</v>
      </c>
      <c r="H19120" s="691">
        <v>10.5</v>
      </c>
      <c r="I19120" s="615">
        <v>10</v>
      </c>
      <c r="J19120" s="691">
        <v>9.1</v>
      </c>
      <c r="K19120" s="691">
        <v>10.3</v>
      </c>
    </row>
    <row r="19121" spans="1:11">
      <c r="A19121" s="688" t="s">
        <v>2240</v>
      </c>
      <c r="B19121" s="689">
        <v>11.7</v>
      </c>
      <c r="C19121" s="689">
        <v>11.9</v>
      </c>
      <c r="D19121" s="689">
        <v>11.6</v>
      </c>
      <c r="E19121" s="693">
        <v>12</v>
      </c>
      <c r="F19121" s="689">
        <v>11.9</v>
      </c>
      <c r="G19121" s="693">
        <v>12</v>
      </c>
      <c r="H19121" s="689">
        <v>12.2</v>
      </c>
      <c r="I19121" s="689">
        <v>11.4</v>
      </c>
      <c r="J19121" s="689">
        <v>11.3</v>
      </c>
      <c r="K19121" s="689">
        <v>11.9</v>
      </c>
    </row>
    <row r="19122" spans="1:11">
      <c r="A19122" s="688" t="s">
        <v>2</v>
      </c>
      <c r="B19122" s="691">
        <v>12.6</v>
      </c>
      <c r="C19122" s="691">
        <v>12.9</v>
      </c>
      <c r="D19122" s="691">
        <v>12.9</v>
      </c>
      <c r="E19122" s="691">
        <v>12.9</v>
      </c>
      <c r="F19122" s="615">
        <v>13</v>
      </c>
      <c r="G19122" s="691">
        <v>12.9</v>
      </c>
      <c r="H19122" s="691">
        <v>13.2</v>
      </c>
      <c r="I19122" s="691">
        <v>13.2</v>
      </c>
      <c r="J19122" s="691">
        <v>13.1</v>
      </c>
      <c r="K19122" s="691">
        <v>12.9</v>
      </c>
    </row>
    <row r="19123" spans="1:11">
      <c r="A19123" s="688" t="s">
        <v>3</v>
      </c>
      <c r="B19123" s="689">
        <v>12.9</v>
      </c>
      <c r="C19123" s="689">
        <v>13.1</v>
      </c>
      <c r="D19123" s="689">
        <v>12.8</v>
      </c>
      <c r="E19123" s="689">
        <v>13.2</v>
      </c>
      <c r="F19123" s="689">
        <v>13.1</v>
      </c>
      <c r="G19123" s="689">
        <v>13.1</v>
      </c>
      <c r="H19123" s="689">
        <v>13.3</v>
      </c>
      <c r="I19123" s="689">
        <v>13.2</v>
      </c>
      <c r="J19123" s="689">
        <v>13.1</v>
      </c>
      <c r="K19123" s="689">
        <v>12.8</v>
      </c>
    </row>
    <row r="19124" spans="1:11">
      <c r="A19124" s="688" t="s">
        <v>4061</v>
      </c>
      <c r="B19124" s="691">
        <v>12.9</v>
      </c>
      <c r="C19124" s="691">
        <v>13.1</v>
      </c>
      <c r="D19124" s="691">
        <v>12.8</v>
      </c>
      <c r="E19124" s="691">
        <v>13.2</v>
      </c>
      <c r="F19124" s="691">
        <v>13.1</v>
      </c>
      <c r="G19124" s="691">
        <v>13.1</v>
      </c>
      <c r="H19124" s="691">
        <v>13.3</v>
      </c>
      <c r="I19124" s="691">
        <v>13.2</v>
      </c>
      <c r="J19124" s="691">
        <v>13.1</v>
      </c>
      <c r="K19124" s="691">
        <v>12.8</v>
      </c>
    </row>
    <row r="19125" spans="1:11">
      <c r="A19125" s="688" t="s">
        <v>4</v>
      </c>
      <c r="B19125" s="689">
        <v>12.6</v>
      </c>
      <c r="C19125" s="689">
        <v>12.3</v>
      </c>
      <c r="D19125" s="689">
        <v>12.5</v>
      </c>
      <c r="E19125" s="689">
        <v>12.7</v>
      </c>
      <c r="F19125" s="689">
        <v>12.6</v>
      </c>
      <c r="G19125" s="689">
        <v>12.7</v>
      </c>
      <c r="H19125" s="693">
        <v>13</v>
      </c>
      <c r="I19125" s="693">
        <v>13</v>
      </c>
      <c r="J19125" s="689">
        <v>12.1</v>
      </c>
      <c r="K19125" s="689">
        <v>12.6</v>
      </c>
    </row>
    <row r="19126" spans="1:11">
      <c r="A19126" s="688" t="s">
        <v>8</v>
      </c>
      <c r="B19126" s="691">
        <v>12.8</v>
      </c>
      <c r="C19126" s="615">
        <v>13</v>
      </c>
      <c r="D19126" s="691">
        <v>12.8</v>
      </c>
      <c r="E19126" s="691">
        <v>12.9</v>
      </c>
      <c r="F19126" s="691">
        <v>13.1</v>
      </c>
      <c r="G19126" s="691">
        <v>13.3</v>
      </c>
      <c r="H19126" s="691">
        <v>13.6</v>
      </c>
      <c r="I19126" s="691">
        <v>13.4</v>
      </c>
      <c r="J19126" s="691">
        <v>13.4</v>
      </c>
      <c r="K19126" s="691">
        <v>13.3</v>
      </c>
    </row>
    <row r="19127" spans="1:11">
      <c r="A19127" s="688" t="s">
        <v>7</v>
      </c>
      <c r="B19127" s="689">
        <v>13.2</v>
      </c>
      <c r="C19127" s="689">
        <v>12.9</v>
      </c>
      <c r="D19127" s="689">
        <v>12.7</v>
      </c>
      <c r="E19127" s="693">
        <v>13</v>
      </c>
      <c r="F19127" s="693">
        <v>13</v>
      </c>
      <c r="G19127" s="689">
        <v>13.4</v>
      </c>
      <c r="H19127" s="689">
        <v>13.3</v>
      </c>
      <c r="I19127" s="693">
        <v>13</v>
      </c>
      <c r="J19127" s="689">
        <v>12.7</v>
      </c>
      <c r="K19127" s="689">
        <v>12.7</v>
      </c>
    </row>
    <row r="19128" spans="1:11">
      <c r="A19128" s="688" t="s">
        <v>27</v>
      </c>
      <c r="B19128" s="691">
        <v>14.9</v>
      </c>
      <c r="C19128" s="691">
        <v>14.4</v>
      </c>
      <c r="D19128" s="615">
        <v>14</v>
      </c>
      <c r="E19128" s="691">
        <v>14.5</v>
      </c>
      <c r="F19128" s="691">
        <v>14.4</v>
      </c>
      <c r="G19128" s="691">
        <v>14.5</v>
      </c>
      <c r="H19128" s="691">
        <v>14.8</v>
      </c>
      <c r="I19128" s="691">
        <v>13.8</v>
      </c>
      <c r="J19128" s="691">
        <v>14.6</v>
      </c>
      <c r="K19128" s="691">
        <v>14.5</v>
      </c>
    </row>
    <row r="19129" spans="1:11">
      <c r="A19129" s="688" t="s">
        <v>6</v>
      </c>
      <c r="B19129" s="689">
        <v>15.3</v>
      </c>
      <c r="C19129" s="689">
        <v>14.9</v>
      </c>
      <c r="D19129" s="689">
        <v>14.7</v>
      </c>
      <c r="E19129" s="689">
        <v>14.9</v>
      </c>
      <c r="F19129" s="689">
        <v>14.9</v>
      </c>
      <c r="G19129" s="689">
        <v>15.1</v>
      </c>
      <c r="H19129" s="689">
        <v>15.1</v>
      </c>
      <c r="I19129" s="689">
        <v>14.7</v>
      </c>
      <c r="J19129" s="689">
        <v>14.9</v>
      </c>
      <c r="K19129" s="689">
        <v>14.8</v>
      </c>
    </row>
    <row r="19130" spans="1:11">
      <c r="A19130" s="688" t="s">
        <v>4058</v>
      </c>
      <c r="B19130" s="692" t="s">
        <v>4060</v>
      </c>
      <c r="C19130" s="692" t="s">
        <v>4060</v>
      </c>
      <c r="D19130" s="692" t="s">
        <v>4060</v>
      </c>
      <c r="E19130" s="692" t="s">
        <v>4060</v>
      </c>
      <c r="F19130" s="692" t="s">
        <v>4060</v>
      </c>
      <c r="G19130" s="692" t="s">
        <v>4060</v>
      </c>
      <c r="H19130" s="692" t="s">
        <v>4060</v>
      </c>
      <c r="I19130" s="692" t="s">
        <v>4060</v>
      </c>
      <c r="J19130" s="692" t="s">
        <v>4060</v>
      </c>
      <c r="K19130" s="692" t="s">
        <v>4060</v>
      </c>
    </row>
    <row r="19131" spans="1:11">
      <c r="A19131" s="688" t="s">
        <v>11</v>
      </c>
      <c r="B19131" s="689">
        <v>11.3</v>
      </c>
      <c r="C19131" s="689">
        <v>11.1</v>
      </c>
      <c r="D19131" s="689">
        <v>10.8</v>
      </c>
      <c r="E19131" s="689">
        <v>11.2</v>
      </c>
      <c r="F19131" s="689">
        <v>10.9</v>
      </c>
      <c r="G19131" s="689">
        <v>11.2</v>
      </c>
      <c r="H19131" s="689">
        <v>11.3</v>
      </c>
      <c r="I19131" s="689">
        <v>10.8</v>
      </c>
      <c r="J19131" s="689">
        <v>10.5</v>
      </c>
      <c r="K19131" s="689">
        <v>10.9</v>
      </c>
    </row>
    <row r="19132" spans="1:11">
      <c r="A19132" s="688" t="s">
        <v>10</v>
      </c>
      <c r="B19132" s="691">
        <v>14.3</v>
      </c>
      <c r="C19132" s="615">
        <v>14</v>
      </c>
      <c r="D19132" s="691">
        <v>13.5</v>
      </c>
      <c r="E19132" s="691">
        <v>14.1</v>
      </c>
      <c r="F19132" s="691">
        <v>13.8</v>
      </c>
      <c r="G19132" s="691">
        <v>14.1</v>
      </c>
      <c r="H19132" s="691">
        <v>14.2</v>
      </c>
      <c r="I19132" s="691">
        <v>13.4</v>
      </c>
      <c r="J19132" s="691">
        <v>13.7</v>
      </c>
      <c r="K19132" s="691">
        <v>13.6</v>
      </c>
    </row>
    <row r="19133" spans="1:11">
      <c r="A19133" s="688" t="s">
        <v>30</v>
      </c>
      <c r="B19133" s="689">
        <v>13.2</v>
      </c>
      <c r="C19133" s="689">
        <v>12.5</v>
      </c>
      <c r="D19133" s="689">
        <v>12.3</v>
      </c>
      <c r="E19133" s="689">
        <v>13.1</v>
      </c>
      <c r="F19133" s="689">
        <v>12.7</v>
      </c>
      <c r="G19133" s="689">
        <v>13.2</v>
      </c>
      <c r="H19133" s="693">
        <v>13</v>
      </c>
      <c r="I19133" s="689">
        <v>13.1</v>
      </c>
      <c r="J19133" s="689">
        <v>12.7</v>
      </c>
      <c r="K19133" s="689">
        <v>12.6</v>
      </c>
    </row>
    <row r="19134" spans="1:11">
      <c r="A19134" s="688" t="s">
        <v>12</v>
      </c>
      <c r="B19134" s="691">
        <v>11.4</v>
      </c>
      <c r="C19134" s="691">
        <v>11.4</v>
      </c>
      <c r="D19134" s="691">
        <v>11.3</v>
      </c>
      <c r="E19134" s="691">
        <v>11.5</v>
      </c>
      <c r="F19134" s="691">
        <v>11.5</v>
      </c>
      <c r="G19134" s="691">
        <v>11.6</v>
      </c>
      <c r="H19134" s="691">
        <v>11.9</v>
      </c>
      <c r="I19134" s="691">
        <v>11.6</v>
      </c>
      <c r="J19134" s="691">
        <v>10.6</v>
      </c>
      <c r="K19134" s="691">
        <v>11.4</v>
      </c>
    </row>
    <row r="19135" spans="1:11">
      <c r="A19135" s="688" t="s">
        <v>14</v>
      </c>
      <c r="B19135" s="689">
        <v>11.8</v>
      </c>
      <c r="C19135" s="689">
        <v>11.6</v>
      </c>
      <c r="D19135" s="689">
        <v>11.4</v>
      </c>
      <c r="E19135" s="689">
        <v>11.6</v>
      </c>
      <c r="F19135" s="689">
        <v>11.6</v>
      </c>
      <c r="G19135" s="689">
        <v>11.7</v>
      </c>
      <c r="H19135" s="693">
        <v>12</v>
      </c>
      <c r="I19135" s="689">
        <v>11.5</v>
      </c>
      <c r="J19135" s="689">
        <v>10.8</v>
      </c>
      <c r="K19135" s="689">
        <v>11.5</v>
      </c>
    </row>
    <row r="19136" spans="1:11">
      <c r="A19136" s="688" t="s">
        <v>15</v>
      </c>
      <c r="B19136" s="691">
        <v>13.9</v>
      </c>
      <c r="C19136" s="691">
        <v>13.8</v>
      </c>
      <c r="D19136" s="691">
        <v>13.4</v>
      </c>
      <c r="E19136" s="615">
        <v>14</v>
      </c>
      <c r="F19136" s="691">
        <v>13.5</v>
      </c>
      <c r="G19136" s="691">
        <v>13.7</v>
      </c>
      <c r="H19136" s="691">
        <v>13.9</v>
      </c>
      <c r="I19136" s="691">
        <v>13.6</v>
      </c>
      <c r="J19136" s="691">
        <v>13.9</v>
      </c>
      <c r="K19136" s="615">
        <v>14</v>
      </c>
    </row>
    <row r="19137" spans="1:11">
      <c r="A19137" s="688" t="s">
        <v>29</v>
      </c>
      <c r="B19137" s="689">
        <v>11.2</v>
      </c>
      <c r="C19137" s="689">
        <v>11.1</v>
      </c>
      <c r="D19137" s="689">
        <v>10.8</v>
      </c>
      <c r="E19137" s="689">
        <v>11.2</v>
      </c>
      <c r="F19137" s="693">
        <v>11</v>
      </c>
      <c r="G19137" s="689">
        <v>11.1</v>
      </c>
      <c r="H19137" s="689">
        <v>11.1</v>
      </c>
      <c r="I19137" s="689">
        <v>10.7</v>
      </c>
      <c r="J19137" s="689">
        <v>10.4</v>
      </c>
      <c r="K19137" s="693">
        <v>11</v>
      </c>
    </row>
    <row r="19138" spans="1:11">
      <c r="A19138" s="688" t="s">
        <v>16</v>
      </c>
      <c r="B19138" s="691">
        <v>13.1</v>
      </c>
      <c r="C19138" s="691">
        <v>13.2</v>
      </c>
      <c r="D19138" s="615">
        <v>13</v>
      </c>
      <c r="E19138" s="691">
        <v>13.5</v>
      </c>
      <c r="F19138" s="691">
        <v>13.4</v>
      </c>
      <c r="G19138" s="691">
        <v>13.4</v>
      </c>
      <c r="H19138" s="691">
        <v>13.6</v>
      </c>
      <c r="I19138" s="691">
        <v>13.2</v>
      </c>
      <c r="J19138" s="615">
        <v>13</v>
      </c>
      <c r="K19138" s="691">
        <v>13.3</v>
      </c>
    </row>
    <row r="19139" spans="1:11">
      <c r="A19139" s="688" t="s">
        <v>17</v>
      </c>
      <c r="B19139" s="689">
        <v>13.2</v>
      </c>
      <c r="C19139" s="689">
        <v>13.2</v>
      </c>
      <c r="D19139" s="693">
        <v>13</v>
      </c>
      <c r="E19139" s="689">
        <v>13.1</v>
      </c>
      <c r="F19139" s="693">
        <v>13</v>
      </c>
      <c r="G19139" s="693">
        <v>13</v>
      </c>
      <c r="H19139" s="689">
        <v>13.3</v>
      </c>
      <c r="I19139" s="689">
        <v>12.7</v>
      </c>
      <c r="J19139" s="689">
        <v>12.9</v>
      </c>
      <c r="K19139" s="689">
        <v>12.9</v>
      </c>
    </row>
    <row r="19140" spans="1:11">
      <c r="A19140" s="688" t="s">
        <v>19</v>
      </c>
      <c r="B19140" s="691">
        <v>13.4</v>
      </c>
      <c r="C19140" s="691">
        <v>13.4</v>
      </c>
      <c r="D19140" s="691">
        <v>13.2</v>
      </c>
      <c r="E19140" s="691">
        <v>13.5</v>
      </c>
      <c r="F19140" s="691">
        <v>13.3</v>
      </c>
      <c r="G19140" s="691">
        <v>13.5</v>
      </c>
      <c r="H19140" s="691">
        <v>13.6</v>
      </c>
      <c r="I19140" s="691">
        <v>13.1</v>
      </c>
      <c r="J19140" s="691">
        <v>13.2</v>
      </c>
      <c r="K19140" s="691">
        <v>13.1</v>
      </c>
    </row>
    <row r="19141" spans="1:11">
      <c r="A19141" s="688" t="s">
        <v>20</v>
      </c>
      <c r="B19141" s="689">
        <v>12.4</v>
      </c>
      <c r="C19141" s="689">
        <v>12.4</v>
      </c>
      <c r="D19141" s="689">
        <v>12.3</v>
      </c>
      <c r="E19141" s="689">
        <v>12.6</v>
      </c>
      <c r="F19141" s="689">
        <v>12.5</v>
      </c>
      <c r="G19141" s="689">
        <v>12.4</v>
      </c>
      <c r="H19141" s="689">
        <v>12.7</v>
      </c>
      <c r="I19141" s="689">
        <v>11.8</v>
      </c>
      <c r="J19141" s="689">
        <v>11.2</v>
      </c>
      <c r="K19141" s="693">
        <v>12</v>
      </c>
    </row>
    <row r="19142" spans="1:11">
      <c r="A19142" s="688" t="s">
        <v>21</v>
      </c>
      <c r="B19142" s="691">
        <v>13.3</v>
      </c>
      <c r="C19142" s="691">
        <v>13.5</v>
      </c>
      <c r="D19142" s="691">
        <v>13.3</v>
      </c>
      <c r="E19142" s="691">
        <v>13.5</v>
      </c>
      <c r="F19142" s="691">
        <v>13.7</v>
      </c>
      <c r="G19142" s="691">
        <v>13.6</v>
      </c>
      <c r="H19142" s="691">
        <v>13.9</v>
      </c>
      <c r="I19142" s="691">
        <v>13.3</v>
      </c>
      <c r="J19142" s="691">
        <v>13.4</v>
      </c>
      <c r="K19142" s="691">
        <v>13.5</v>
      </c>
    </row>
    <row r="19143" spans="1:11">
      <c r="A19143" s="688" t="s">
        <v>22</v>
      </c>
      <c r="B19143" s="689">
        <v>10.9</v>
      </c>
      <c r="C19143" s="689">
        <v>10.6</v>
      </c>
      <c r="D19143" s="689">
        <v>10.5</v>
      </c>
      <c r="E19143" s="689">
        <v>10.9</v>
      </c>
      <c r="F19143" s="689">
        <v>10.9</v>
      </c>
      <c r="G19143" s="693">
        <v>11</v>
      </c>
      <c r="H19143" s="689">
        <v>11.2</v>
      </c>
      <c r="I19143" s="689">
        <v>10.6</v>
      </c>
      <c r="J19143" s="689">
        <v>9.6999999999999993</v>
      </c>
      <c r="K19143" s="689">
        <v>10.7</v>
      </c>
    </row>
    <row r="19144" spans="1:11">
      <c r="A19144" s="688" t="s">
        <v>26</v>
      </c>
      <c r="B19144" s="691">
        <v>13.2</v>
      </c>
      <c r="C19144" s="615">
        <v>13</v>
      </c>
      <c r="D19144" s="615">
        <v>13</v>
      </c>
      <c r="E19144" s="691">
        <v>13.2</v>
      </c>
      <c r="F19144" s="691">
        <v>13.1</v>
      </c>
      <c r="G19144" s="691">
        <v>13.3</v>
      </c>
      <c r="H19144" s="691">
        <v>13.4</v>
      </c>
      <c r="I19144" s="691">
        <v>12.4</v>
      </c>
      <c r="J19144" s="615">
        <v>13</v>
      </c>
      <c r="K19144" s="691">
        <v>13.2</v>
      </c>
    </row>
    <row r="19145" spans="1:11">
      <c r="A19145" s="688" t="s">
        <v>25</v>
      </c>
      <c r="B19145" s="689">
        <v>11.2</v>
      </c>
      <c r="C19145" s="689">
        <v>11.4</v>
      </c>
      <c r="D19145" s="689">
        <v>11.1</v>
      </c>
      <c r="E19145" s="689">
        <v>11.5</v>
      </c>
      <c r="F19145" s="689">
        <v>11.4</v>
      </c>
      <c r="G19145" s="689">
        <v>11.6</v>
      </c>
      <c r="H19145" s="689">
        <v>11.9</v>
      </c>
      <c r="I19145" s="689">
        <v>11.3</v>
      </c>
      <c r="J19145" s="689">
        <v>10.1</v>
      </c>
      <c r="K19145" s="689">
        <v>11.2</v>
      </c>
    </row>
    <row r="19146" spans="1:11">
      <c r="A19146" s="688" t="s">
        <v>5</v>
      </c>
      <c r="B19146" s="691">
        <v>13.7</v>
      </c>
      <c r="C19146" s="691">
        <v>13.3</v>
      </c>
      <c r="D19146" s="691">
        <v>13.4</v>
      </c>
      <c r="E19146" s="691">
        <v>13.4</v>
      </c>
      <c r="F19146" s="691">
        <v>13.6</v>
      </c>
      <c r="G19146" s="691">
        <v>13.6</v>
      </c>
      <c r="H19146" s="691">
        <v>13.8</v>
      </c>
      <c r="I19146" s="691">
        <v>13.8</v>
      </c>
      <c r="J19146" s="691">
        <v>13.7</v>
      </c>
      <c r="K19146" s="691">
        <v>13.2</v>
      </c>
    </row>
    <row r="19147" spans="1:11">
      <c r="A19147" s="688" t="s">
        <v>23</v>
      </c>
      <c r="B19147" s="689">
        <v>13.2</v>
      </c>
      <c r="C19147" s="689">
        <v>13.4</v>
      </c>
      <c r="D19147" s="689">
        <v>13.3</v>
      </c>
      <c r="E19147" s="689">
        <v>13.4</v>
      </c>
      <c r="F19147" s="689">
        <v>13.4</v>
      </c>
      <c r="G19147" s="689">
        <v>13.5</v>
      </c>
      <c r="H19147" s="689">
        <v>13.8</v>
      </c>
      <c r="I19147" s="689">
        <v>13.3</v>
      </c>
      <c r="J19147" s="689">
        <v>13.8</v>
      </c>
      <c r="K19147" s="689">
        <v>13.7</v>
      </c>
    </row>
    <row r="19148" spans="1:11">
      <c r="A19148" s="688" t="s">
        <v>4067</v>
      </c>
      <c r="B19148" s="691">
        <v>13.4</v>
      </c>
      <c r="C19148" s="691">
        <v>13.7</v>
      </c>
      <c r="D19148" s="691">
        <v>13.2</v>
      </c>
      <c r="E19148" s="691">
        <v>13.6</v>
      </c>
      <c r="F19148" s="691">
        <v>13.5</v>
      </c>
      <c r="G19148" s="691">
        <v>13.6</v>
      </c>
      <c r="H19148" s="692" t="s">
        <v>4060</v>
      </c>
      <c r="I19148" s="692" t="s">
        <v>4060</v>
      </c>
      <c r="J19148" s="692" t="s">
        <v>4060</v>
      </c>
      <c r="K19148" s="692" t="s">
        <v>4060</v>
      </c>
    </row>
    <row r="19149" spans="1:11">
      <c r="A19149" s="688" t="s">
        <v>4066</v>
      </c>
      <c r="B19149" s="689">
        <v>13.4</v>
      </c>
      <c r="C19149" s="689">
        <v>13.7</v>
      </c>
      <c r="D19149" s="689">
        <v>13.3</v>
      </c>
      <c r="E19149" s="689">
        <v>13.7</v>
      </c>
      <c r="F19149" s="689">
        <v>13.5</v>
      </c>
      <c r="G19149" s="689">
        <v>13.6</v>
      </c>
      <c r="H19149" s="690" t="s">
        <v>4060</v>
      </c>
      <c r="I19149" s="690" t="s">
        <v>4060</v>
      </c>
      <c r="J19149" s="690" t="s">
        <v>4060</v>
      </c>
      <c r="K19149" s="690" t="s">
        <v>4060</v>
      </c>
    </row>
    <row r="19150" spans="1:11">
      <c r="A19150" s="688" t="s">
        <v>4062</v>
      </c>
      <c r="B19150" s="691">
        <v>13.8</v>
      </c>
      <c r="C19150" s="691">
        <v>13.8</v>
      </c>
      <c r="D19150" s="691">
        <v>13.7</v>
      </c>
      <c r="E19150" s="691">
        <v>13.9</v>
      </c>
      <c r="F19150" s="691">
        <v>13.9</v>
      </c>
      <c r="G19150" s="615">
        <v>14</v>
      </c>
      <c r="H19150" s="691">
        <v>14.1</v>
      </c>
      <c r="I19150" s="691">
        <v>13.8</v>
      </c>
      <c r="J19150" s="691">
        <v>14.1</v>
      </c>
      <c r="K19150" s="691">
        <v>13.8</v>
      </c>
    </row>
    <row r="19151" spans="1:11">
      <c r="A19151" s="688" t="s">
        <v>9</v>
      </c>
      <c r="B19151" s="689">
        <v>13.3</v>
      </c>
      <c r="C19151" s="689">
        <v>13.6</v>
      </c>
      <c r="D19151" s="689">
        <v>13.1</v>
      </c>
      <c r="E19151" s="689">
        <v>13.2</v>
      </c>
      <c r="F19151" s="689">
        <v>12.9</v>
      </c>
      <c r="G19151" s="689">
        <v>12.9</v>
      </c>
      <c r="H19151" s="689">
        <v>13.5</v>
      </c>
      <c r="I19151" s="689">
        <v>13.5</v>
      </c>
      <c r="J19151" s="689">
        <v>13.6</v>
      </c>
      <c r="K19151" s="689">
        <v>12.8</v>
      </c>
    </row>
    <row r="19152" spans="1:11">
      <c r="A19152" s="688" t="s">
        <v>13</v>
      </c>
      <c r="B19152" s="691">
        <v>14.7</v>
      </c>
      <c r="C19152" s="691">
        <v>12.2</v>
      </c>
      <c r="D19152" s="691">
        <v>13.5</v>
      </c>
      <c r="E19152" s="691">
        <v>14.5</v>
      </c>
      <c r="F19152" s="691">
        <v>14.2</v>
      </c>
      <c r="G19152" s="691">
        <v>13.7</v>
      </c>
      <c r="H19152" s="691">
        <v>13.8</v>
      </c>
      <c r="I19152" s="691">
        <v>12.8</v>
      </c>
      <c r="J19152" s="691">
        <v>13.8</v>
      </c>
      <c r="K19152" s="691">
        <v>13.6</v>
      </c>
    </row>
    <row r="19153" spans="1:11">
      <c r="A19153" s="688" t="s">
        <v>18</v>
      </c>
      <c r="B19153" s="689">
        <v>13.3</v>
      </c>
      <c r="C19153" s="689">
        <v>13.4</v>
      </c>
      <c r="D19153" s="689">
        <v>13.4</v>
      </c>
      <c r="E19153" s="689">
        <v>13.5</v>
      </c>
      <c r="F19153" s="689">
        <v>13.5</v>
      </c>
      <c r="G19153" s="689">
        <v>13.6</v>
      </c>
      <c r="H19153" s="689">
        <v>13.7</v>
      </c>
      <c r="I19153" s="689">
        <v>13.9</v>
      </c>
      <c r="J19153" s="689">
        <v>13.7</v>
      </c>
      <c r="K19153" s="689">
        <v>13.4</v>
      </c>
    </row>
    <row r="19154" spans="1:11">
      <c r="A19154" s="688" t="s">
        <v>24</v>
      </c>
      <c r="B19154" s="691">
        <v>14.1</v>
      </c>
      <c r="C19154" s="615">
        <v>14</v>
      </c>
      <c r="D19154" s="691">
        <v>13.8</v>
      </c>
      <c r="E19154" s="691">
        <v>14.2</v>
      </c>
      <c r="F19154" s="691">
        <v>14.1</v>
      </c>
      <c r="G19154" s="691">
        <v>14.3</v>
      </c>
      <c r="H19154" s="691">
        <v>14.3</v>
      </c>
      <c r="I19154" s="691">
        <v>13.8</v>
      </c>
      <c r="J19154" s="691">
        <v>14.3</v>
      </c>
      <c r="K19154" s="691">
        <v>14.1</v>
      </c>
    </row>
    <row r="19155" spans="1:11">
      <c r="A19155" s="688" t="s">
        <v>4059</v>
      </c>
      <c r="B19155" s="689">
        <v>13.1</v>
      </c>
      <c r="C19155" s="689">
        <v>13.4</v>
      </c>
      <c r="D19155" s="689">
        <v>12.9</v>
      </c>
      <c r="E19155" s="689">
        <v>13.3</v>
      </c>
      <c r="F19155" s="689">
        <v>13.2</v>
      </c>
      <c r="G19155" s="689">
        <v>13.2</v>
      </c>
      <c r="H19155" s="690" t="s">
        <v>4060</v>
      </c>
      <c r="I19155" s="690" t="s">
        <v>4060</v>
      </c>
      <c r="J19155" s="690" t="s">
        <v>4060</v>
      </c>
      <c r="K19155" s="690" t="s">
        <v>4060</v>
      </c>
    </row>
    <row r="19156" spans="1:11">
      <c r="A19156" s="688" t="s">
        <v>2324</v>
      </c>
      <c r="B19156" s="691">
        <v>10.199999999999999</v>
      </c>
      <c r="C19156" s="691">
        <v>10.199999999999999</v>
      </c>
      <c r="D19156" s="691">
        <v>9.8000000000000007</v>
      </c>
      <c r="E19156" s="691">
        <v>10.199999999999999</v>
      </c>
      <c r="F19156" s="691">
        <v>10.199999999999999</v>
      </c>
      <c r="G19156" s="691">
        <v>10.1</v>
      </c>
      <c r="H19156" s="691">
        <v>10.4</v>
      </c>
      <c r="I19156" s="615">
        <v>10</v>
      </c>
      <c r="J19156" s="691">
        <v>8.3000000000000007</v>
      </c>
      <c r="K19156" s="692" t="s">
        <v>4060</v>
      </c>
    </row>
    <row r="19157" spans="1:11">
      <c r="A19157" s="688" t="s">
        <v>2322</v>
      </c>
      <c r="B19157" s="690" t="s">
        <v>4060</v>
      </c>
      <c r="C19157" s="690" t="s">
        <v>4060</v>
      </c>
      <c r="D19157" s="690" t="s">
        <v>4060</v>
      </c>
      <c r="E19157" s="690" t="s">
        <v>4060</v>
      </c>
      <c r="F19157" s="690" t="s">
        <v>4060</v>
      </c>
      <c r="G19157" s="690" t="s">
        <v>4060</v>
      </c>
      <c r="H19157" s="690" t="s">
        <v>4060</v>
      </c>
      <c r="I19157" s="690" t="s">
        <v>4060</v>
      </c>
      <c r="J19157" s="690" t="s">
        <v>4060</v>
      </c>
      <c r="K19157" s="690" t="s">
        <v>4060</v>
      </c>
    </row>
    <row r="19158" spans="1:11">
      <c r="A19158" s="688" t="s">
        <v>2328</v>
      </c>
      <c r="B19158" s="691">
        <v>9.3000000000000007</v>
      </c>
      <c r="C19158" s="615">
        <v>9</v>
      </c>
      <c r="D19158" s="691">
        <v>8.9</v>
      </c>
      <c r="E19158" s="691">
        <v>9.3000000000000007</v>
      </c>
      <c r="F19158" s="691">
        <v>9.3000000000000007</v>
      </c>
      <c r="G19158" s="691">
        <v>9.6999999999999993</v>
      </c>
      <c r="H19158" s="691">
        <v>9.6</v>
      </c>
      <c r="I19158" s="691">
        <v>8.9</v>
      </c>
      <c r="J19158" s="691">
        <v>8.5</v>
      </c>
      <c r="K19158" s="692" t="s">
        <v>4060</v>
      </c>
    </row>
    <row r="19159" spans="1:11">
      <c r="A19159" s="688" t="s">
        <v>2496</v>
      </c>
      <c r="B19159" s="690" t="s">
        <v>4060</v>
      </c>
      <c r="C19159" s="689">
        <v>10.7</v>
      </c>
      <c r="D19159" s="689">
        <v>9.8000000000000007</v>
      </c>
      <c r="E19159" s="689">
        <v>9.3000000000000007</v>
      </c>
      <c r="F19159" s="689">
        <v>9.5</v>
      </c>
      <c r="G19159" s="689">
        <v>9.6999999999999993</v>
      </c>
      <c r="H19159" s="689">
        <v>9.8000000000000007</v>
      </c>
      <c r="I19159" s="690" t="s">
        <v>4060</v>
      </c>
      <c r="J19159" s="690" t="s">
        <v>4060</v>
      </c>
      <c r="K19159" s="689">
        <v>9.6</v>
      </c>
    </row>
    <row r="19160" spans="1:11">
      <c r="A19160" s="688" t="s">
        <v>2269</v>
      </c>
      <c r="B19160" s="691">
        <v>10.4</v>
      </c>
      <c r="C19160" s="691">
        <v>10.4</v>
      </c>
      <c r="D19160" s="691">
        <v>9.8000000000000007</v>
      </c>
      <c r="E19160" s="691">
        <v>10.1</v>
      </c>
      <c r="F19160" s="691">
        <v>9.9</v>
      </c>
      <c r="G19160" s="691">
        <v>10.199999999999999</v>
      </c>
      <c r="H19160" s="691">
        <v>10.3</v>
      </c>
      <c r="I19160" s="691">
        <v>9.6</v>
      </c>
      <c r="J19160" s="691">
        <v>7.8</v>
      </c>
      <c r="K19160" s="691">
        <v>10.1</v>
      </c>
    </row>
    <row r="19161" spans="1:11">
      <c r="A19161" s="688" t="s">
        <v>2349</v>
      </c>
      <c r="B19161" s="689">
        <v>9.6999999999999993</v>
      </c>
      <c r="C19161" s="689">
        <v>9.6999999999999993</v>
      </c>
      <c r="D19161" s="689">
        <v>9.6999999999999993</v>
      </c>
      <c r="E19161" s="689">
        <v>9.9</v>
      </c>
      <c r="F19161" s="689">
        <v>9.8000000000000007</v>
      </c>
      <c r="G19161" s="693">
        <v>10</v>
      </c>
      <c r="H19161" s="689">
        <v>10.199999999999999</v>
      </c>
      <c r="I19161" s="689">
        <v>9.5</v>
      </c>
      <c r="J19161" s="689">
        <v>8.5</v>
      </c>
      <c r="K19161" s="689">
        <v>9.5</v>
      </c>
    </row>
    <row r="19162" spans="1:11">
      <c r="A19162" s="688" t="s">
        <v>2355</v>
      </c>
      <c r="B19162" s="691">
        <v>12.3</v>
      </c>
      <c r="C19162" s="615">
        <v>12</v>
      </c>
      <c r="D19162" s="615">
        <v>12</v>
      </c>
      <c r="E19162" s="691">
        <v>11.9</v>
      </c>
      <c r="F19162" s="615">
        <v>12</v>
      </c>
      <c r="G19162" s="691">
        <v>12.2</v>
      </c>
      <c r="H19162" s="691">
        <v>12.2</v>
      </c>
      <c r="I19162" s="692" t="s">
        <v>4060</v>
      </c>
      <c r="J19162" s="692" t="s">
        <v>4060</v>
      </c>
      <c r="K19162" s="692" t="s">
        <v>4060</v>
      </c>
    </row>
    <row r="19163" spans="1:11">
      <c r="A19163" s="688" t="s">
        <v>2357</v>
      </c>
      <c r="B19163" s="690" t="s">
        <v>4060</v>
      </c>
      <c r="C19163" s="689">
        <v>10.1</v>
      </c>
      <c r="D19163" s="689">
        <v>10.4</v>
      </c>
      <c r="E19163" s="689">
        <v>10.6</v>
      </c>
      <c r="F19163" s="689">
        <v>10.8</v>
      </c>
      <c r="G19163" s="689">
        <v>10.7</v>
      </c>
      <c r="H19163" s="689">
        <v>10.8</v>
      </c>
      <c r="I19163" s="690" t="s">
        <v>4060</v>
      </c>
      <c r="J19163" s="690" t="s">
        <v>4060</v>
      </c>
      <c r="K19163" s="690" t="s">
        <v>4060</v>
      </c>
    </row>
    <row r="19164" spans="1:11">
      <c r="A19164" s="688" t="s">
        <v>4070</v>
      </c>
      <c r="B19164" s="692" t="s">
        <v>4060</v>
      </c>
      <c r="C19164" s="692" t="s">
        <v>4060</v>
      </c>
      <c r="D19164" s="692" t="s">
        <v>4060</v>
      </c>
      <c r="E19164" s="691">
        <v>13.1</v>
      </c>
      <c r="F19164" s="692" t="s">
        <v>4060</v>
      </c>
      <c r="G19164" s="692" t="s">
        <v>4060</v>
      </c>
      <c r="H19164" s="692" t="s">
        <v>4060</v>
      </c>
      <c r="I19164" s="692" t="s">
        <v>4060</v>
      </c>
      <c r="J19164" s="692" t="s">
        <v>4060</v>
      </c>
      <c r="K19164" s="692" t="s">
        <v>4060</v>
      </c>
    </row>
    <row r="19165" spans="1:11">
      <c r="A19165" s="688" t="s">
        <v>2491</v>
      </c>
      <c r="B19165" s="689">
        <v>10.5</v>
      </c>
      <c r="C19165" s="689">
        <v>10.8</v>
      </c>
      <c r="D19165" s="689">
        <v>10.8</v>
      </c>
      <c r="E19165" s="689">
        <v>10.9</v>
      </c>
      <c r="F19165" s="693">
        <v>11</v>
      </c>
      <c r="G19165" s="693">
        <v>11</v>
      </c>
      <c r="H19165" s="690" t="s">
        <v>4060</v>
      </c>
      <c r="I19165" s="690" t="s">
        <v>4060</v>
      </c>
      <c r="J19165" s="690" t="s">
        <v>4060</v>
      </c>
      <c r="K19165" s="690" t="s">
        <v>4060</v>
      </c>
    </row>
    <row r="19166" spans="1:11">
      <c r="A19166" s="688" t="s">
        <v>2343</v>
      </c>
      <c r="B19166" s="692" t="s">
        <v>4060</v>
      </c>
      <c r="C19166" s="692" t="s">
        <v>4060</v>
      </c>
      <c r="D19166" s="692" t="s">
        <v>4060</v>
      </c>
      <c r="E19166" s="692" t="s">
        <v>4060</v>
      </c>
      <c r="F19166" s="692" t="s">
        <v>4060</v>
      </c>
      <c r="G19166" s="692" t="s">
        <v>4060</v>
      </c>
      <c r="H19166" s="692" t="s">
        <v>4060</v>
      </c>
      <c r="I19166" s="692" t="s">
        <v>4060</v>
      </c>
      <c r="J19166" s="692" t="s">
        <v>4060</v>
      </c>
      <c r="K19166" s="692" t="s">
        <v>4060</v>
      </c>
    </row>
    <row r="19167" spans="1:11">
      <c r="A19167" s="688" t="s">
        <v>4071</v>
      </c>
      <c r="B19167" s="690" t="s">
        <v>4060</v>
      </c>
      <c r="C19167" s="690" t="s">
        <v>4060</v>
      </c>
      <c r="D19167" s="690" t="s">
        <v>4060</v>
      </c>
      <c r="E19167" s="690" t="s">
        <v>4060</v>
      </c>
      <c r="F19167" s="690" t="s">
        <v>4060</v>
      </c>
      <c r="G19167" s="690" t="s">
        <v>4060</v>
      </c>
      <c r="H19167" s="690" t="s">
        <v>4060</v>
      </c>
      <c r="I19167" s="690" t="s">
        <v>4060</v>
      </c>
      <c r="J19167" s="690" t="s">
        <v>4060</v>
      </c>
      <c r="K19167" s="690" t="s">
        <v>4060</v>
      </c>
    </row>
    <row r="19168" spans="1:11">
      <c r="A19168" s="688" t="s">
        <v>2489</v>
      </c>
      <c r="B19168" s="692" t="s">
        <v>4060</v>
      </c>
      <c r="C19168" s="692" t="s">
        <v>4060</v>
      </c>
      <c r="D19168" s="691">
        <v>10.1</v>
      </c>
      <c r="E19168" s="615">
        <v>10</v>
      </c>
      <c r="F19168" s="691">
        <v>10.199999999999999</v>
      </c>
      <c r="G19168" s="691">
        <v>10.7</v>
      </c>
      <c r="H19168" s="691">
        <v>10.5</v>
      </c>
      <c r="I19168" s="692" t="s">
        <v>4060</v>
      </c>
      <c r="J19168" s="692" t="s">
        <v>4060</v>
      </c>
      <c r="K19168" s="692" t="s">
        <v>4060</v>
      </c>
    </row>
    <row r="19169" spans="1:11">
      <c r="A19169" s="688" t="s">
        <v>2490</v>
      </c>
      <c r="B19169" s="689">
        <v>9.6</v>
      </c>
      <c r="C19169" s="689">
        <v>9.5</v>
      </c>
      <c r="D19169" s="689">
        <v>10.1</v>
      </c>
      <c r="E19169" s="690" t="s">
        <v>4060</v>
      </c>
      <c r="F19169" s="689">
        <v>10.199999999999999</v>
      </c>
      <c r="G19169" s="689">
        <v>10.4</v>
      </c>
      <c r="H19169" s="689">
        <v>11.1</v>
      </c>
      <c r="I19169" s="690" t="s">
        <v>4060</v>
      </c>
      <c r="J19169" s="690" t="s">
        <v>4060</v>
      </c>
      <c r="K19169" s="690" t="s">
        <v>4060</v>
      </c>
    </row>
    <row r="19171" spans="1:11">
      <c r="A19171" s="683" t="s">
        <v>4233</v>
      </c>
    </row>
    <row r="19172" spans="1:11">
      <c r="A19172" s="683" t="s">
        <v>4060</v>
      </c>
      <c r="B19172" s="682" t="s">
        <v>4234</v>
      </c>
    </row>
    <row r="19174" spans="1:11">
      <c r="A19174" s="682" t="s">
        <v>4332</v>
      </c>
    </row>
    <row r="19175" spans="1:11">
      <c r="A19175" s="682" t="s">
        <v>4210</v>
      </c>
      <c r="B19175" s="683" t="s">
        <v>4211</v>
      </c>
    </row>
    <row r="19176" spans="1:11">
      <c r="A19176" s="682" t="s">
        <v>4212</v>
      </c>
      <c r="B19176" s="682" t="s">
        <v>4213</v>
      </c>
    </row>
    <row r="19178" spans="1:11">
      <c r="A19178" s="683" t="s">
        <v>4214</v>
      </c>
      <c r="C19178" s="682" t="s">
        <v>4215</v>
      </c>
    </row>
    <row r="19179" spans="1:11">
      <c r="A19179" s="683" t="s">
        <v>4216</v>
      </c>
      <c r="C19179" s="682" t="s">
        <v>2967</v>
      </c>
    </row>
    <row r="19180" spans="1:11">
      <c r="A19180" s="683" t="s">
        <v>3893</v>
      </c>
      <c r="C19180" s="682" t="s">
        <v>2169</v>
      </c>
    </row>
    <row r="19181" spans="1:11">
      <c r="A19181" s="683" t="s">
        <v>4218</v>
      </c>
      <c r="C19181" s="682" t="s">
        <v>4310</v>
      </c>
    </row>
    <row r="19183" spans="1:11">
      <c r="A19183" s="684" t="s">
        <v>4220</v>
      </c>
      <c r="B19183" s="685" t="s">
        <v>4221</v>
      </c>
      <c r="C19183" s="685" t="s">
        <v>4222</v>
      </c>
      <c r="D19183" s="685" t="s">
        <v>4223</v>
      </c>
      <c r="E19183" s="685" t="s">
        <v>4224</v>
      </c>
      <c r="F19183" s="685" t="s">
        <v>4225</v>
      </c>
      <c r="G19183" s="685" t="s">
        <v>4226</v>
      </c>
      <c r="H19183" s="685" t="s">
        <v>4227</v>
      </c>
      <c r="I19183" s="685" t="s">
        <v>4228</v>
      </c>
      <c r="J19183" s="685" t="s">
        <v>4229</v>
      </c>
      <c r="K19183" s="685" t="s">
        <v>4230</v>
      </c>
    </row>
    <row r="19184" spans="1:11">
      <c r="A19184" s="686" t="s">
        <v>4231</v>
      </c>
      <c r="B19184" s="687" t="s">
        <v>4232</v>
      </c>
      <c r="C19184" s="687" t="s">
        <v>4232</v>
      </c>
      <c r="D19184" s="687" t="s">
        <v>4232</v>
      </c>
      <c r="E19184" s="687" t="s">
        <v>4232</v>
      </c>
      <c r="F19184" s="687" t="s">
        <v>4232</v>
      </c>
      <c r="G19184" s="687" t="s">
        <v>4232</v>
      </c>
      <c r="H19184" s="687" t="s">
        <v>4232</v>
      </c>
      <c r="I19184" s="687" t="s">
        <v>4232</v>
      </c>
      <c r="J19184" s="687" t="s">
        <v>4232</v>
      </c>
      <c r="K19184" s="687" t="s">
        <v>4232</v>
      </c>
    </row>
    <row r="19185" spans="1:11">
      <c r="A19185" s="688" t="s">
        <v>4064</v>
      </c>
      <c r="B19185" s="689">
        <v>12.7</v>
      </c>
      <c r="C19185" s="689">
        <v>12.5</v>
      </c>
      <c r="D19185" s="689">
        <v>12.5</v>
      </c>
      <c r="E19185" s="689">
        <v>12.6</v>
      </c>
      <c r="F19185" s="689">
        <v>12.5</v>
      </c>
      <c r="G19185" s="689">
        <v>12.6</v>
      </c>
      <c r="H19185" s="689">
        <v>12.8</v>
      </c>
      <c r="I19185" s="689">
        <v>12.3</v>
      </c>
      <c r="J19185" s="689">
        <v>12.3</v>
      </c>
      <c r="K19185" s="689">
        <v>12.4</v>
      </c>
    </row>
    <row r="19186" spans="1:11">
      <c r="A19186" s="688" t="s">
        <v>4065</v>
      </c>
      <c r="B19186" s="691">
        <v>12.6</v>
      </c>
      <c r="C19186" s="691">
        <v>12.9</v>
      </c>
      <c r="D19186" s="691">
        <v>12.5</v>
      </c>
      <c r="E19186" s="691">
        <v>12.9</v>
      </c>
      <c r="F19186" s="691">
        <v>12.7</v>
      </c>
      <c r="G19186" s="691">
        <v>12.8</v>
      </c>
      <c r="H19186" s="692" t="s">
        <v>4060</v>
      </c>
      <c r="I19186" s="692" t="s">
        <v>4060</v>
      </c>
      <c r="J19186" s="692" t="s">
        <v>4060</v>
      </c>
      <c r="K19186" s="692" t="s">
        <v>4060</v>
      </c>
    </row>
    <row r="19187" spans="1:11">
      <c r="A19187" s="688" t="s">
        <v>4063</v>
      </c>
      <c r="B19187" s="689">
        <v>12.7</v>
      </c>
      <c r="C19187" s="689">
        <v>12.9</v>
      </c>
      <c r="D19187" s="689">
        <v>12.5</v>
      </c>
      <c r="E19187" s="689">
        <v>12.9</v>
      </c>
      <c r="F19187" s="689">
        <v>12.8</v>
      </c>
      <c r="G19187" s="689">
        <v>12.9</v>
      </c>
      <c r="H19187" s="690" t="s">
        <v>4060</v>
      </c>
      <c r="I19187" s="690" t="s">
        <v>4060</v>
      </c>
      <c r="J19187" s="690" t="s">
        <v>4060</v>
      </c>
      <c r="K19187" s="690" t="s">
        <v>4060</v>
      </c>
    </row>
    <row r="19188" spans="1:11">
      <c r="A19188" s="688" t="s">
        <v>4069</v>
      </c>
      <c r="B19188" s="692" t="s">
        <v>4060</v>
      </c>
      <c r="C19188" s="691">
        <v>12.9</v>
      </c>
      <c r="D19188" s="691">
        <v>12.6</v>
      </c>
      <c r="E19188" s="615">
        <v>13</v>
      </c>
      <c r="F19188" s="691">
        <v>12.9</v>
      </c>
      <c r="G19188" s="615">
        <v>13</v>
      </c>
      <c r="H19188" s="691">
        <v>13.2</v>
      </c>
      <c r="I19188" s="691">
        <v>12.7</v>
      </c>
      <c r="J19188" s="691">
        <v>12.8</v>
      </c>
      <c r="K19188" s="691">
        <v>12.7</v>
      </c>
    </row>
    <row r="19189" spans="1:11">
      <c r="A19189" s="688" t="s">
        <v>4068</v>
      </c>
      <c r="B19189" s="689">
        <v>13.1</v>
      </c>
      <c r="C19189" s="690" t="s">
        <v>4060</v>
      </c>
      <c r="D19189" s="690" t="s">
        <v>4060</v>
      </c>
      <c r="E19189" s="690" t="s">
        <v>4060</v>
      </c>
      <c r="F19189" s="690" t="s">
        <v>4060</v>
      </c>
      <c r="G19189" s="690" t="s">
        <v>4060</v>
      </c>
      <c r="H19189" s="690" t="s">
        <v>4060</v>
      </c>
      <c r="I19189" s="690" t="s">
        <v>4060</v>
      </c>
      <c r="J19189" s="690" t="s">
        <v>4060</v>
      </c>
      <c r="K19189" s="690" t="s">
        <v>4060</v>
      </c>
    </row>
    <row r="19190" spans="1:11">
      <c r="A19190" s="688" t="s">
        <v>0</v>
      </c>
      <c r="B19190" s="691">
        <v>12.7</v>
      </c>
      <c r="C19190" s="691">
        <v>12.7</v>
      </c>
      <c r="D19190" s="691">
        <v>12.5</v>
      </c>
      <c r="E19190" s="691">
        <v>12.8</v>
      </c>
      <c r="F19190" s="691">
        <v>12.8</v>
      </c>
      <c r="G19190" s="691">
        <v>12.9</v>
      </c>
      <c r="H19190" s="691">
        <v>13.1</v>
      </c>
      <c r="I19190" s="691">
        <v>12.1</v>
      </c>
      <c r="J19190" s="691">
        <v>13.2</v>
      </c>
      <c r="K19190" s="691">
        <v>12.8</v>
      </c>
    </row>
    <row r="19191" spans="1:11">
      <c r="A19191" s="688" t="s">
        <v>1</v>
      </c>
      <c r="B19191" s="689">
        <v>9.8000000000000007</v>
      </c>
      <c r="C19191" s="689">
        <v>9.5</v>
      </c>
      <c r="D19191" s="689">
        <v>9.4</v>
      </c>
      <c r="E19191" s="689">
        <v>9.6999999999999993</v>
      </c>
      <c r="F19191" s="689">
        <v>9.6</v>
      </c>
      <c r="G19191" s="689">
        <v>9.8000000000000007</v>
      </c>
      <c r="H19191" s="689">
        <v>9.8000000000000007</v>
      </c>
      <c r="I19191" s="689">
        <v>9.4</v>
      </c>
      <c r="J19191" s="689">
        <v>8.6</v>
      </c>
      <c r="K19191" s="689">
        <v>9.6</v>
      </c>
    </row>
    <row r="19192" spans="1:11">
      <c r="A19192" s="688" t="s">
        <v>2240</v>
      </c>
      <c r="B19192" s="691">
        <v>11.1</v>
      </c>
      <c r="C19192" s="691">
        <v>11.1</v>
      </c>
      <c r="D19192" s="691">
        <v>10.9</v>
      </c>
      <c r="E19192" s="691">
        <v>11.3</v>
      </c>
      <c r="F19192" s="691">
        <v>11.2</v>
      </c>
      <c r="G19192" s="691">
        <v>11.3</v>
      </c>
      <c r="H19192" s="691">
        <v>11.5</v>
      </c>
      <c r="I19192" s="691">
        <v>10.7</v>
      </c>
      <c r="J19192" s="691">
        <v>10.6</v>
      </c>
      <c r="K19192" s="691">
        <v>11.2</v>
      </c>
    </row>
    <row r="19193" spans="1:11">
      <c r="A19193" s="688" t="s">
        <v>2</v>
      </c>
      <c r="B19193" s="689">
        <v>11.9</v>
      </c>
      <c r="C19193" s="689">
        <v>12.2</v>
      </c>
      <c r="D19193" s="689">
        <v>12.1</v>
      </c>
      <c r="E19193" s="689">
        <v>12.2</v>
      </c>
      <c r="F19193" s="689">
        <v>12.3</v>
      </c>
      <c r="G19193" s="689">
        <v>12.2</v>
      </c>
      <c r="H19193" s="689">
        <v>12.5</v>
      </c>
      <c r="I19193" s="689">
        <v>12.5</v>
      </c>
      <c r="J19193" s="689">
        <v>12.3</v>
      </c>
      <c r="K19193" s="689">
        <v>12.2</v>
      </c>
    </row>
    <row r="19194" spans="1:11">
      <c r="A19194" s="688" t="s">
        <v>3</v>
      </c>
      <c r="B19194" s="691">
        <v>12.2</v>
      </c>
      <c r="C19194" s="691">
        <v>12.3</v>
      </c>
      <c r="D19194" s="691">
        <v>12.1</v>
      </c>
      <c r="E19194" s="691">
        <v>12.4</v>
      </c>
      <c r="F19194" s="691">
        <v>12.4</v>
      </c>
      <c r="G19194" s="691">
        <v>12.4</v>
      </c>
      <c r="H19194" s="691">
        <v>12.6</v>
      </c>
      <c r="I19194" s="691">
        <v>12.4</v>
      </c>
      <c r="J19194" s="691">
        <v>12.3</v>
      </c>
      <c r="K19194" s="691">
        <v>12.1</v>
      </c>
    </row>
    <row r="19195" spans="1:11">
      <c r="A19195" s="688" t="s">
        <v>4061</v>
      </c>
      <c r="B19195" s="689">
        <v>12.2</v>
      </c>
      <c r="C19195" s="689">
        <v>12.3</v>
      </c>
      <c r="D19195" s="689">
        <v>12.1</v>
      </c>
      <c r="E19195" s="689">
        <v>12.4</v>
      </c>
      <c r="F19195" s="689">
        <v>12.4</v>
      </c>
      <c r="G19195" s="689">
        <v>12.4</v>
      </c>
      <c r="H19195" s="689">
        <v>12.6</v>
      </c>
      <c r="I19195" s="689">
        <v>12.4</v>
      </c>
      <c r="J19195" s="689">
        <v>12.3</v>
      </c>
      <c r="K19195" s="689">
        <v>12.1</v>
      </c>
    </row>
    <row r="19196" spans="1:11">
      <c r="A19196" s="688" t="s">
        <v>4</v>
      </c>
      <c r="B19196" s="691">
        <v>11.9</v>
      </c>
      <c r="C19196" s="691">
        <v>11.6</v>
      </c>
      <c r="D19196" s="691">
        <v>11.8</v>
      </c>
      <c r="E19196" s="691">
        <v>11.9</v>
      </c>
      <c r="F19196" s="691">
        <v>11.9</v>
      </c>
      <c r="G19196" s="615">
        <v>12</v>
      </c>
      <c r="H19196" s="691">
        <v>12.2</v>
      </c>
      <c r="I19196" s="691">
        <v>12.3</v>
      </c>
      <c r="J19196" s="691">
        <v>11.5</v>
      </c>
      <c r="K19196" s="691">
        <v>11.9</v>
      </c>
    </row>
    <row r="19197" spans="1:11">
      <c r="A19197" s="688" t="s">
        <v>8</v>
      </c>
      <c r="B19197" s="689">
        <v>12.1</v>
      </c>
      <c r="C19197" s="689">
        <v>12.2</v>
      </c>
      <c r="D19197" s="689">
        <v>12.1</v>
      </c>
      <c r="E19197" s="689">
        <v>12.2</v>
      </c>
      <c r="F19197" s="689">
        <v>12.4</v>
      </c>
      <c r="G19197" s="689">
        <v>12.6</v>
      </c>
      <c r="H19197" s="689">
        <v>12.8</v>
      </c>
      <c r="I19197" s="689">
        <v>12.7</v>
      </c>
      <c r="J19197" s="689">
        <v>12.6</v>
      </c>
      <c r="K19197" s="689">
        <v>12.5</v>
      </c>
    </row>
    <row r="19198" spans="1:11">
      <c r="A19198" s="688" t="s">
        <v>7</v>
      </c>
      <c r="B19198" s="691">
        <v>12.5</v>
      </c>
      <c r="C19198" s="691">
        <v>12.1</v>
      </c>
      <c r="D19198" s="691">
        <v>11.9</v>
      </c>
      <c r="E19198" s="691">
        <v>12.2</v>
      </c>
      <c r="F19198" s="691">
        <v>12.2</v>
      </c>
      <c r="G19198" s="691">
        <v>12.6</v>
      </c>
      <c r="H19198" s="691">
        <v>12.5</v>
      </c>
      <c r="I19198" s="691">
        <v>12.3</v>
      </c>
      <c r="J19198" s="691">
        <v>11.9</v>
      </c>
      <c r="K19198" s="615">
        <v>12</v>
      </c>
    </row>
    <row r="19199" spans="1:11">
      <c r="A19199" s="688" t="s">
        <v>27</v>
      </c>
      <c r="B19199" s="689">
        <v>14.1</v>
      </c>
      <c r="C19199" s="689">
        <v>13.6</v>
      </c>
      <c r="D19199" s="689">
        <v>13.2</v>
      </c>
      <c r="E19199" s="689">
        <v>13.7</v>
      </c>
      <c r="F19199" s="689">
        <v>13.6</v>
      </c>
      <c r="G19199" s="689">
        <v>13.7</v>
      </c>
      <c r="H19199" s="693">
        <v>14</v>
      </c>
      <c r="I19199" s="693">
        <v>13</v>
      </c>
      <c r="J19199" s="689">
        <v>13.8</v>
      </c>
      <c r="K19199" s="689">
        <v>13.7</v>
      </c>
    </row>
    <row r="19200" spans="1:11">
      <c r="A19200" s="688" t="s">
        <v>6</v>
      </c>
      <c r="B19200" s="691">
        <v>14.6</v>
      </c>
      <c r="C19200" s="691">
        <v>14.1</v>
      </c>
      <c r="D19200" s="691">
        <v>13.9</v>
      </c>
      <c r="E19200" s="691">
        <v>14.1</v>
      </c>
      <c r="F19200" s="691">
        <v>14.1</v>
      </c>
      <c r="G19200" s="691">
        <v>14.3</v>
      </c>
      <c r="H19200" s="691">
        <v>14.3</v>
      </c>
      <c r="I19200" s="691">
        <v>13.9</v>
      </c>
      <c r="J19200" s="691">
        <v>14.1</v>
      </c>
      <c r="K19200" s="615">
        <v>14</v>
      </c>
    </row>
    <row r="19201" spans="1:11">
      <c r="A19201" s="688" t="s">
        <v>4058</v>
      </c>
      <c r="B19201" s="690" t="s">
        <v>4060</v>
      </c>
      <c r="C19201" s="690" t="s">
        <v>4060</v>
      </c>
      <c r="D19201" s="690" t="s">
        <v>4060</v>
      </c>
      <c r="E19201" s="690" t="s">
        <v>4060</v>
      </c>
      <c r="F19201" s="690" t="s">
        <v>4060</v>
      </c>
      <c r="G19201" s="690" t="s">
        <v>4060</v>
      </c>
      <c r="H19201" s="690" t="s">
        <v>4060</v>
      </c>
      <c r="I19201" s="690" t="s">
        <v>4060</v>
      </c>
      <c r="J19201" s="690" t="s">
        <v>4060</v>
      </c>
      <c r="K19201" s="690" t="s">
        <v>4060</v>
      </c>
    </row>
    <row r="19202" spans="1:11">
      <c r="A19202" s="688" t="s">
        <v>11</v>
      </c>
      <c r="B19202" s="691">
        <v>10.6</v>
      </c>
      <c r="C19202" s="691">
        <v>10.4</v>
      </c>
      <c r="D19202" s="691">
        <v>10.1</v>
      </c>
      <c r="E19202" s="691">
        <v>10.5</v>
      </c>
      <c r="F19202" s="691">
        <v>10.3</v>
      </c>
      <c r="G19202" s="691">
        <v>10.5</v>
      </c>
      <c r="H19202" s="691">
        <v>10.7</v>
      </c>
      <c r="I19202" s="691">
        <v>10.199999999999999</v>
      </c>
      <c r="J19202" s="691">
        <v>9.8000000000000007</v>
      </c>
      <c r="K19202" s="691">
        <v>10.199999999999999</v>
      </c>
    </row>
    <row r="19203" spans="1:11">
      <c r="A19203" s="688" t="s">
        <v>10</v>
      </c>
      <c r="B19203" s="689">
        <v>13.6</v>
      </c>
      <c r="C19203" s="689">
        <v>13.2</v>
      </c>
      <c r="D19203" s="689">
        <v>12.8</v>
      </c>
      <c r="E19203" s="689">
        <v>13.3</v>
      </c>
      <c r="F19203" s="693">
        <v>13</v>
      </c>
      <c r="G19203" s="689">
        <v>13.3</v>
      </c>
      <c r="H19203" s="689">
        <v>13.4</v>
      </c>
      <c r="I19203" s="689">
        <v>12.6</v>
      </c>
      <c r="J19203" s="693">
        <v>13</v>
      </c>
      <c r="K19203" s="689">
        <v>12.8</v>
      </c>
    </row>
    <row r="19204" spans="1:11">
      <c r="A19204" s="688" t="s">
        <v>30</v>
      </c>
      <c r="B19204" s="691">
        <v>12.4</v>
      </c>
      <c r="C19204" s="691">
        <v>11.7</v>
      </c>
      <c r="D19204" s="691">
        <v>11.6</v>
      </c>
      <c r="E19204" s="691">
        <v>12.4</v>
      </c>
      <c r="F19204" s="691">
        <v>11.9</v>
      </c>
      <c r="G19204" s="691">
        <v>12.4</v>
      </c>
      <c r="H19204" s="691">
        <v>12.2</v>
      </c>
      <c r="I19204" s="691">
        <v>12.3</v>
      </c>
      <c r="J19204" s="615">
        <v>12</v>
      </c>
      <c r="K19204" s="691">
        <v>11.9</v>
      </c>
    </row>
    <row r="19205" spans="1:11">
      <c r="A19205" s="688" t="s">
        <v>12</v>
      </c>
      <c r="B19205" s="689">
        <v>10.8</v>
      </c>
      <c r="C19205" s="689">
        <v>10.7</v>
      </c>
      <c r="D19205" s="689">
        <v>10.6</v>
      </c>
      <c r="E19205" s="689">
        <v>10.8</v>
      </c>
      <c r="F19205" s="689">
        <v>10.9</v>
      </c>
      <c r="G19205" s="689">
        <v>10.9</v>
      </c>
      <c r="H19205" s="689">
        <v>11.2</v>
      </c>
      <c r="I19205" s="689">
        <v>10.9</v>
      </c>
      <c r="J19205" s="693">
        <v>10</v>
      </c>
      <c r="K19205" s="689">
        <v>10.7</v>
      </c>
    </row>
    <row r="19206" spans="1:11">
      <c r="A19206" s="688" t="s">
        <v>14</v>
      </c>
      <c r="B19206" s="691">
        <v>11.1</v>
      </c>
      <c r="C19206" s="691">
        <v>10.9</v>
      </c>
      <c r="D19206" s="691">
        <v>10.6</v>
      </c>
      <c r="E19206" s="691">
        <v>10.9</v>
      </c>
      <c r="F19206" s="691">
        <v>10.9</v>
      </c>
      <c r="G19206" s="615">
        <v>11</v>
      </c>
      <c r="H19206" s="691">
        <v>11.3</v>
      </c>
      <c r="I19206" s="691">
        <v>10.8</v>
      </c>
      <c r="J19206" s="691">
        <v>10.199999999999999</v>
      </c>
      <c r="K19206" s="691">
        <v>10.8</v>
      </c>
    </row>
    <row r="19207" spans="1:11">
      <c r="A19207" s="688" t="s">
        <v>15</v>
      </c>
      <c r="B19207" s="689">
        <v>13.2</v>
      </c>
      <c r="C19207" s="689">
        <v>13.2</v>
      </c>
      <c r="D19207" s="689">
        <v>12.7</v>
      </c>
      <c r="E19207" s="689">
        <v>13.2</v>
      </c>
      <c r="F19207" s="689">
        <v>12.9</v>
      </c>
      <c r="G19207" s="693">
        <v>13</v>
      </c>
      <c r="H19207" s="689">
        <v>13.1</v>
      </c>
      <c r="I19207" s="689">
        <v>12.8</v>
      </c>
      <c r="J19207" s="689">
        <v>13.1</v>
      </c>
      <c r="K19207" s="689">
        <v>13.1</v>
      </c>
    </row>
    <row r="19208" spans="1:11">
      <c r="A19208" s="688" t="s">
        <v>29</v>
      </c>
      <c r="B19208" s="691">
        <v>10.5</v>
      </c>
      <c r="C19208" s="691">
        <v>10.4</v>
      </c>
      <c r="D19208" s="691">
        <v>10.199999999999999</v>
      </c>
      <c r="E19208" s="691">
        <v>10.5</v>
      </c>
      <c r="F19208" s="691">
        <v>10.3</v>
      </c>
      <c r="G19208" s="691">
        <v>10.4</v>
      </c>
      <c r="H19208" s="691">
        <v>10.5</v>
      </c>
      <c r="I19208" s="691">
        <v>10.1</v>
      </c>
      <c r="J19208" s="691">
        <v>9.8000000000000007</v>
      </c>
      <c r="K19208" s="691">
        <v>10.3</v>
      </c>
    </row>
    <row r="19209" spans="1:11">
      <c r="A19209" s="688" t="s">
        <v>16</v>
      </c>
      <c r="B19209" s="689">
        <v>12.3</v>
      </c>
      <c r="C19209" s="689">
        <v>12.4</v>
      </c>
      <c r="D19209" s="689">
        <v>12.3</v>
      </c>
      <c r="E19209" s="689">
        <v>12.7</v>
      </c>
      <c r="F19209" s="689">
        <v>12.6</v>
      </c>
      <c r="G19209" s="689">
        <v>12.6</v>
      </c>
      <c r="H19209" s="689">
        <v>12.8</v>
      </c>
      <c r="I19209" s="689">
        <v>12.5</v>
      </c>
      <c r="J19209" s="689">
        <v>12.2</v>
      </c>
      <c r="K19209" s="689">
        <v>12.6</v>
      </c>
    </row>
    <row r="19210" spans="1:11">
      <c r="A19210" s="688" t="s">
        <v>17</v>
      </c>
      <c r="B19210" s="691">
        <v>12.5</v>
      </c>
      <c r="C19210" s="691">
        <v>12.5</v>
      </c>
      <c r="D19210" s="691">
        <v>12.2</v>
      </c>
      <c r="E19210" s="691">
        <v>12.3</v>
      </c>
      <c r="F19210" s="691">
        <v>12.3</v>
      </c>
      <c r="G19210" s="691">
        <v>12.3</v>
      </c>
      <c r="H19210" s="691">
        <v>12.5</v>
      </c>
      <c r="I19210" s="615">
        <v>12</v>
      </c>
      <c r="J19210" s="691">
        <v>12.1</v>
      </c>
      <c r="K19210" s="691">
        <v>12.1</v>
      </c>
    </row>
    <row r="19211" spans="1:11">
      <c r="A19211" s="688" t="s">
        <v>19</v>
      </c>
      <c r="B19211" s="689">
        <v>12.7</v>
      </c>
      <c r="C19211" s="689">
        <v>12.6</v>
      </c>
      <c r="D19211" s="689">
        <v>12.4</v>
      </c>
      <c r="E19211" s="689">
        <v>12.8</v>
      </c>
      <c r="F19211" s="689">
        <v>12.6</v>
      </c>
      <c r="G19211" s="689">
        <v>12.7</v>
      </c>
      <c r="H19211" s="689">
        <v>12.9</v>
      </c>
      <c r="I19211" s="689">
        <v>12.4</v>
      </c>
      <c r="J19211" s="689">
        <v>12.5</v>
      </c>
      <c r="K19211" s="689">
        <v>12.4</v>
      </c>
    </row>
    <row r="19212" spans="1:11">
      <c r="A19212" s="688" t="s">
        <v>20</v>
      </c>
      <c r="B19212" s="691">
        <v>11.8</v>
      </c>
      <c r="C19212" s="691">
        <v>11.7</v>
      </c>
      <c r="D19212" s="691">
        <v>11.6</v>
      </c>
      <c r="E19212" s="691">
        <v>11.9</v>
      </c>
      <c r="F19212" s="691">
        <v>11.8</v>
      </c>
      <c r="G19212" s="691">
        <v>11.8</v>
      </c>
      <c r="H19212" s="615">
        <v>12</v>
      </c>
      <c r="I19212" s="691">
        <v>11.1</v>
      </c>
      <c r="J19212" s="691">
        <v>10.6</v>
      </c>
      <c r="K19212" s="691">
        <v>11.4</v>
      </c>
    </row>
    <row r="19213" spans="1:11">
      <c r="A19213" s="688" t="s">
        <v>21</v>
      </c>
      <c r="B19213" s="689">
        <v>12.6</v>
      </c>
      <c r="C19213" s="689">
        <v>12.8</v>
      </c>
      <c r="D19213" s="689">
        <v>12.6</v>
      </c>
      <c r="E19213" s="689">
        <v>12.7</v>
      </c>
      <c r="F19213" s="689">
        <v>12.9</v>
      </c>
      <c r="G19213" s="689">
        <v>12.9</v>
      </c>
      <c r="H19213" s="689">
        <v>13.1</v>
      </c>
      <c r="I19213" s="689">
        <v>12.5</v>
      </c>
      <c r="J19213" s="689">
        <v>12.7</v>
      </c>
      <c r="K19213" s="689">
        <v>12.7</v>
      </c>
    </row>
    <row r="19214" spans="1:11">
      <c r="A19214" s="688" t="s">
        <v>22</v>
      </c>
      <c r="B19214" s="691">
        <v>10.199999999999999</v>
      </c>
      <c r="C19214" s="615">
        <v>10</v>
      </c>
      <c r="D19214" s="691">
        <v>9.9</v>
      </c>
      <c r="E19214" s="691">
        <v>10.3</v>
      </c>
      <c r="F19214" s="691">
        <v>10.199999999999999</v>
      </c>
      <c r="G19214" s="691">
        <v>10.4</v>
      </c>
      <c r="H19214" s="691">
        <v>10.6</v>
      </c>
      <c r="I19214" s="615">
        <v>10</v>
      </c>
      <c r="J19214" s="691">
        <v>9.1999999999999993</v>
      </c>
      <c r="K19214" s="615">
        <v>10</v>
      </c>
    </row>
    <row r="19215" spans="1:11">
      <c r="A19215" s="688" t="s">
        <v>26</v>
      </c>
      <c r="B19215" s="689">
        <v>12.5</v>
      </c>
      <c r="C19215" s="689">
        <v>12.2</v>
      </c>
      <c r="D19215" s="689">
        <v>12.2</v>
      </c>
      <c r="E19215" s="689">
        <v>12.4</v>
      </c>
      <c r="F19215" s="689">
        <v>12.4</v>
      </c>
      <c r="G19215" s="689">
        <v>12.6</v>
      </c>
      <c r="H19215" s="689">
        <v>12.7</v>
      </c>
      <c r="I19215" s="689">
        <v>11.7</v>
      </c>
      <c r="J19215" s="689">
        <v>12.3</v>
      </c>
      <c r="K19215" s="689">
        <v>12.4</v>
      </c>
    </row>
    <row r="19216" spans="1:11">
      <c r="A19216" s="688" t="s">
        <v>25</v>
      </c>
      <c r="B19216" s="691">
        <v>10.5</v>
      </c>
      <c r="C19216" s="691">
        <v>10.7</v>
      </c>
      <c r="D19216" s="691">
        <v>10.4</v>
      </c>
      <c r="E19216" s="691">
        <v>10.8</v>
      </c>
      <c r="F19216" s="691">
        <v>10.7</v>
      </c>
      <c r="G19216" s="691">
        <v>10.9</v>
      </c>
      <c r="H19216" s="691">
        <v>11.3</v>
      </c>
      <c r="I19216" s="691">
        <v>10.7</v>
      </c>
      <c r="J19216" s="691">
        <v>9.5</v>
      </c>
      <c r="K19216" s="691">
        <v>10.5</v>
      </c>
    </row>
    <row r="19217" spans="1:11">
      <c r="A19217" s="688" t="s">
        <v>5</v>
      </c>
      <c r="B19217" s="689">
        <v>12.9</v>
      </c>
      <c r="C19217" s="689">
        <v>12.5</v>
      </c>
      <c r="D19217" s="689">
        <v>12.6</v>
      </c>
      <c r="E19217" s="689">
        <v>12.6</v>
      </c>
      <c r="F19217" s="689">
        <v>12.8</v>
      </c>
      <c r="G19217" s="689">
        <v>12.8</v>
      </c>
      <c r="H19217" s="689">
        <v>13.1</v>
      </c>
      <c r="I19217" s="693">
        <v>13</v>
      </c>
      <c r="J19217" s="693">
        <v>13</v>
      </c>
      <c r="K19217" s="689">
        <v>12.5</v>
      </c>
    </row>
    <row r="19218" spans="1:11">
      <c r="A19218" s="688" t="s">
        <v>23</v>
      </c>
      <c r="B19218" s="691">
        <v>12.5</v>
      </c>
      <c r="C19218" s="691">
        <v>12.7</v>
      </c>
      <c r="D19218" s="691">
        <v>12.6</v>
      </c>
      <c r="E19218" s="691">
        <v>12.6</v>
      </c>
      <c r="F19218" s="691">
        <v>12.6</v>
      </c>
      <c r="G19218" s="691">
        <v>12.8</v>
      </c>
      <c r="H19218" s="691">
        <v>13.1</v>
      </c>
      <c r="I19218" s="691">
        <v>12.6</v>
      </c>
      <c r="J19218" s="691">
        <v>13.1</v>
      </c>
      <c r="K19218" s="691">
        <v>12.9</v>
      </c>
    </row>
    <row r="19219" spans="1:11">
      <c r="A19219" s="688" t="s">
        <v>4067</v>
      </c>
      <c r="B19219" s="689">
        <v>12.6</v>
      </c>
      <c r="C19219" s="689">
        <v>12.9</v>
      </c>
      <c r="D19219" s="689">
        <v>12.5</v>
      </c>
      <c r="E19219" s="689">
        <v>12.9</v>
      </c>
      <c r="F19219" s="689">
        <v>12.7</v>
      </c>
      <c r="G19219" s="689">
        <v>12.8</v>
      </c>
      <c r="H19219" s="690" t="s">
        <v>4060</v>
      </c>
      <c r="I19219" s="690" t="s">
        <v>4060</v>
      </c>
      <c r="J19219" s="690" t="s">
        <v>4060</v>
      </c>
      <c r="K19219" s="690" t="s">
        <v>4060</v>
      </c>
    </row>
    <row r="19220" spans="1:11">
      <c r="A19220" s="688" t="s">
        <v>4066</v>
      </c>
      <c r="B19220" s="691">
        <v>12.7</v>
      </c>
      <c r="C19220" s="691">
        <v>12.9</v>
      </c>
      <c r="D19220" s="691">
        <v>12.5</v>
      </c>
      <c r="E19220" s="691">
        <v>12.9</v>
      </c>
      <c r="F19220" s="691">
        <v>12.8</v>
      </c>
      <c r="G19220" s="691">
        <v>12.9</v>
      </c>
      <c r="H19220" s="692" t="s">
        <v>4060</v>
      </c>
      <c r="I19220" s="692" t="s">
        <v>4060</v>
      </c>
      <c r="J19220" s="692" t="s">
        <v>4060</v>
      </c>
      <c r="K19220" s="692" t="s">
        <v>4060</v>
      </c>
    </row>
    <row r="19221" spans="1:11">
      <c r="A19221" s="688" t="s">
        <v>4062</v>
      </c>
      <c r="B19221" s="689">
        <v>13.1</v>
      </c>
      <c r="C19221" s="693">
        <v>13</v>
      </c>
      <c r="D19221" s="689">
        <v>12.9</v>
      </c>
      <c r="E19221" s="689">
        <v>13.2</v>
      </c>
      <c r="F19221" s="689">
        <v>13.1</v>
      </c>
      <c r="G19221" s="689">
        <v>13.2</v>
      </c>
      <c r="H19221" s="689">
        <v>13.3</v>
      </c>
      <c r="I19221" s="693">
        <v>13</v>
      </c>
      <c r="J19221" s="689">
        <v>13.3</v>
      </c>
      <c r="K19221" s="689">
        <v>13.1</v>
      </c>
    </row>
    <row r="19222" spans="1:11">
      <c r="A19222" s="688" t="s">
        <v>9</v>
      </c>
      <c r="B19222" s="691">
        <v>12.6</v>
      </c>
      <c r="C19222" s="691">
        <v>12.8</v>
      </c>
      <c r="D19222" s="691">
        <v>12.4</v>
      </c>
      <c r="E19222" s="691">
        <v>12.4</v>
      </c>
      <c r="F19222" s="691">
        <v>12.2</v>
      </c>
      <c r="G19222" s="691">
        <v>12.1</v>
      </c>
      <c r="H19222" s="691">
        <v>12.8</v>
      </c>
      <c r="I19222" s="691">
        <v>12.9</v>
      </c>
      <c r="J19222" s="691">
        <v>12.7</v>
      </c>
      <c r="K19222" s="615">
        <v>12</v>
      </c>
    </row>
    <row r="19223" spans="1:11">
      <c r="A19223" s="688" t="s">
        <v>13</v>
      </c>
      <c r="B19223" s="689">
        <v>13.9</v>
      </c>
      <c r="C19223" s="689">
        <v>11.2</v>
      </c>
      <c r="D19223" s="689">
        <v>12.5</v>
      </c>
      <c r="E19223" s="689">
        <v>13.8</v>
      </c>
      <c r="F19223" s="689">
        <v>13.4</v>
      </c>
      <c r="G19223" s="689">
        <v>12.8</v>
      </c>
      <c r="H19223" s="693">
        <v>13</v>
      </c>
      <c r="I19223" s="693">
        <v>12</v>
      </c>
      <c r="J19223" s="693">
        <v>13</v>
      </c>
      <c r="K19223" s="689">
        <v>12.7</v>
      </c>
    </row>
    <row r="19224" spans="1:11">
      <c r="A19224" s="688" t="s">
        <v>18</v>
      </c>
      <c r="B19224" s="691">
        <v>12.6</v>
      </c>
      <c r="C19224" s="691">
        <v>12.7</v>
      </c>
      <c r="D19224" s="691">
        <v>12.6</v>
      </c>
      <c r="E19224" s="691">
        <v>12.7</v>
      </c>
      <c r="F19224" s="691">
        <v>12.8</v>
      </c>
      <c r="G19224" s="691">
        <v>12.8</v>
      </c>
      <c r="H19224" s="615">
        <v>13</v>
      </c>
      <c r="I19224" s="691">
        <v>13.1</v>
      </c>
      <c r="J19224" s="691">
        <v>12.9</v>
      </c>
      <c r="K19224" s="691">
        <v>12.6</v>
      </c>
    </row>
    <row r="19225" spans="1:11">
      <c r="A19225" s="688" t="s">
        <v>24</v>
      </c>
      <c r="B19225" s="689">
        <v>13.3</v>
      </c>
      <c r="C19225" s="689">
        <v>13.2</v>
      </c>
      <c r="D19225" s="693">
        <v>13</v>
      </c>
      <c r="E19225" s="689">
        <v>13.4</v>
      </c>
      <c r="F19225" s="689">
        <v>13.3</v>
      </c>
      <c r="G19225" s="689">
        <v>13.5</v>
      </c>
      <c r="H19225" s="689">
        <v>13.6</v>
      </c>
      <c r="I19225" s="693">
        <v>13</v>
      </c>
      <c r="J19225" s="689">
        <v>13.5</v>
      </c>
      <c r="K19225" s="689">
        <v>13.3</v>
      </c>
    </row>
    <row r="19226" spans="1:11">
      <c r="A19226" s="688" t="s">
        <v>4059</v>
      </c>
      <c r="B19226" s="691">
        <v>12.4</v>
      </c>
      <c r="C19226" s="691">
        <v>12.7</v>
      </c>
      <c r="D19226" s="691">
        <v>12.2</v>
      </c>
      <c r="E19226" s="691">
        <v>12.5</v>
      </c>
      <c r="F19226" s="691">
        <v>12.5</v>
      </c>
      <c r="G19226" s="691">
        <v>12.5</v>
      </c>
      <c r="H19226" s="692" t="s">
        <v>4060</v>
      </c>
      <c r="I19226" s="692" t="s">
        <v>4060</v>
      </c>
      <c r="J19226" s="692" t="s">
        <v>4060</v>
      </c>
      <c r="K19226" s="692" t="s">
        <v>4060</v>
      </c>
    </row>
    <row r="19227" spans="1:11">
      <c r="A19227" s="688" t="s">
        <v>2324</v>
      </c>
      <c r="B19227" s="689">
        <v>9.6</v>
      </c>
      <c r="C19227" s="689">
        <v>9.6</v>
      </c>
      <c r="D19227" s="689">
        <v>9.1</v>
      </c>
      <c r="E19227" s="689">
        <v>9.5</v>
      </c>
      <c r="F19227" s="689">
        <v>9.6999999999999993</v>
      </c>
      <c r="G19227" s="689">
        <v>9.5</v>
      </c>
      <c r="H19227" s="689">
        <v>9.6999999999999993</v>
      </c>
      <c r="I19227" s="689">
        <v>9.4</v>
      </c>
      <c r="J19227" s="689">
        <v>7.7</v>
      </c>
      <c r="K19227" s="690" t="s">
        <v>4060</v>
      </c>
    </row>
    <row r="19228" spans="1:11">
      <c r="A19228" s="688" t="s">
        <v>2322</v>
      </c>
      <c r="B19228" s="692" t="s">
        <v>4060</v>
      </c>
      <c r="C19228" s="692" t="s">
        <v>4060</v>
      </c>
      <c r="D19228" s="692" t="s">
        <v>4060</v>
      </c>
      <c r="E19228" s="692" t="s">
        <v>4060</v>
      </c>
      <c r="F19228" s="692" t="s">
        <v>4060</v>
      </c>
      <c r="G19228" s="692" t="s">
        <v>4060</v>
      </c>
      <c r="H19228" s="692" t="s">
        <v>4060</v>
      </c>
      <c r="I19228" s="692" t="s">
        <v>4060</v>
      </c>
      <c r="J19228" s="692" t="s">
        <v>4060</v>
      </c>
      <c r="K19228" s="692" t="s">
        <v>4060</v>
      </c>
    </row>
    <row r="19229" spans="1:11">
      <c r="A19229" s="688" t="s">
        <v>2328</v>
      </c>
      <c r="B19229" s="689">
        <v>8.6999999999999993</v>
      </c>
      <c r="C19229" s="689">
        <v>8.5</v>
      </c>
      <c r="D19229" s="689">
        <v>8.3000000000000007</v>
      </c>
      <c r="E19229" s="689">
        <v>8.6999999999999993</v>
      </c>
      <c r="F19229" s="689">
        <v>8.6999999999999993</v>
      </c>
      <c r="G19229" s="689">
        <v>9.1</v>
      </c>
      <c r="H19229" s="693">
        <v>9</v>
      </c>
      <c r="I19229" s="689">
        <v>8.3000000000000007</v>
      </c>
      <c r="J19229" s="689">
        <v>7.9</v>
      </c>
      <c r="K19229" s="690" t="s">
        <v>4060</v>
      </c>
    </row>
    <row r="19230" spans="1:11">
      <c r="A19230" s="688" t="s">
        <v>2496</v>
      </c>
      <c r="B19230" s="692" t="s">
        <v>4060</v>
      </c>
      <c r="C19230" s="691">
        <v>10.1</v>
      </c>
      <c r="D19230" s="691">
        <v>9.1999999999999993</v>
      </c>
      <c r="E19230" s="691">
        <v>8.6999999999999993</v>
      </c>
      <c r="F19230" s="691">
        <v>8.9</v>
      </c>
      <c r="G19230" s="691">
        <v>9.1</v>
      </c>
      <c r="H19230" s="691">
        <v>9.1</v>
      </c>
      <c r="I19230" s="692" t="s">
        <v>4060</v>
      </c>
      <c r="J19230" s="692" t="s">
        <v>4060</v>
      </c>
      <c r="K19230" s="691">
        <v>8.9</v>
      </c>
    </row>
    <row r="19231" spans="1:11">
      <c r="A19231" s="688" t="s">
        <v>2269</v>
      </c>
      <c r="B19231" s="689">
        <v>9.6999999999999993</v>
      </c>
      <c r="C19231" s="689">
        <v>9.6999999999999993</v>
      </c>
      <c r="D19231" s="689">
        <v>9.1</v>
      </c>
      <c r="E19231" s="689">
        <v>9.4</v>
      </c>
      <c r="F19231" s="689">
        <v>9.1</v>
      </c>
      <c r="G19231" s="689">
        <v>9.5</v>
      </c>
      <c r="H19231" s="689">
        <v>9.6</v>
      </c>
      <c r="I19231" s="689">
        <v>8.9</v>
      </c>
      <c r="J19231" s="693">
        <v>7</v>
      </c>
      <c r="K19231" s="689">
        <v>9.4</v>
      </c>
    </row>
    <row r="19232" spans="1:11">
      <c r="A19232" s="688" t="s">
        <v>2349</v>
      </c>
      <c r="B19232" s="691">
        <v>9.1</v>
      </c>
      <c r="C19232" s="691">
        <v>9.1</v>
      </c>
      <c r="D19232" s="615">
        <v>9</v>
      </c>
      <c r="E19232" s="691">
        <v>9.3000000000000007</v>
      </c>
      <c r="F19232" s="691">
        <v>9.1999999999999993</v>
      </c>
      <c r="G19232" s="691">
        <v>9.4</v>
      </c>
      <c r="H19232" s="691">
        <v>9.6</v>
      </c>
      <c r="I19232" s="691">
        <v>8.9</v>
      </c>
      <c r="J19232" s="691">
        <v>7.9</v>
      </c>
      <c r="K19232" s="691">
        <v>8.9</v>
      </c>
    </row>
    <row r="19233" spans="1:11">
      <c r="A19233" s="688" t="s">
        <v>2355</v>
      </c>
      <c r="B19233" s="689">
        <v>11.7</v>
      </c>
      <c r="C19233" s="689">
        <v>11.4</v>
      </c>
      <c r="D19233" s="689">
        <v>11.4</v>
      </c>
      <c r="E19233" s="689">
        <v>11.2</v>
      </c>
      <c r="F19233" s="689">
        <v>11.3</v>
      </c>
      <c r="G19233" s="689">
        <v>11.5</v>
      </c>
      <c r="H19233" s="689">
        <v>11.6</v>
      </c>
      <c r="I19233" s="690" t="s">
        <v>4060</v>
      </c>
      <c r="J19233" s="690" t="s">
        <v>4060</v>
      </c>
      <c r="K19233" s="690" t="s">
        <v>4060</v>
      </c>
    </row>
    <row r="19234" spans="1:11">
      <c r="A19234" s="688" t="s">
        <v>2357</v>
      </c>
      <c r="B19234" s="692" t="s">
        <v>4060</v>
      </c>
      <c r="C19234" s="691">
        <v>9.6</v>
      </c>
      <c r="D19234" s="691">
        <v>9.8000000000000007</v>
      </c>
      <c r="E19234" s="615">
        <v>10</v>
      </c>
      <c r="F19234" s="691">
        <v>10.199999999999999</v>
      </c>
      <c r="G19234" s="615">
        <v>10</v>
      </c>
      <c r="H19234" s="691">
        <v>10.199999999999999</v>
      </c>
      <c r="I19234" s="692" t="s">
        <v>4060</v>
      </c>
      <c r="J19234" s="692" t="s">
        <v>4060</v>
      </c>
      <c r="K19234" s="692" t="s">
        <v>4060</v>
      </c>
    </row>
    <row r="19235" spans="1:11">
      <c r="A19235" s="688" t="s">
        <v>4070</v>
      </c>
      <c r="B19235" s="690" t="s">
        <v>4060</v>
      </c>
      <c r="C19235" s="690" t="s">
        <v>4060</v>
      </c>
      <c r="D19235" s="690" t="s">
        <v>4060</v>
      </c>
      <c r="E19235" s="689">
        <v>12.4</v>
      </c>
      <c r="F19235" s="690" t="s">
        <v>4060</v>
      </c>
      <c r="G19235" s="690" t="s">
        <v>4060</v>
      </c>
      <c r="H19235" s="690" t="s">
        <v>4060</v>
      </c>
      <c r="I19235" s="690" t="s">
        <v>4060</v>
      </c>
      <c r="J19235" s="690" t="s">
        <v>4060</v>
      </c>
      <c r="K19235" s="690" t="s">
        <v>4060</v>
      </c>
    </row>
    <row r="19236" spans="1:11">
      <c r="A19236" s="688" t="s">
        <v>2491</v>
      </c>
      <c r="B19236" s="691">
        <v>9.9</v>
      </c>
      <c r="C19236" s="691">
        <v>10.199999999999999</v>
      </c>
      <c r="D19236" s="691">
        <v>10.199999999999999</v>
      </c>
      <c r="E19236" s="691">
        <v>10.199999999999999</v>
      </c>
      <c r="F19236" s="691">
        <v>10.3</v>
      </c>
      <c r="G19236" s="691">
        <v>10.3</v>
      </c>
      <c r="H19236" s="692" t="s">
        <v>4060</v>
      </c>
      <c r="I19236" s="692" t="s">
        <v>4060</v>
      </c>
      <c r="J19236" s="692" t="s">
        <v>4060</v>
      </c>
      <c r="K19236" s="692" t="s">
        <v>4060</v>
      </c>
    </row>
    <row r="19237" spans="1:11">
      <c r="A19237" s="688" t="s">
        <v>2343</v>
      </c>
      <c r="B19237" s="690" t="s">
        <v>4060</v>
      </c>
      <c r="C19237" s="690" t="s">
        <v>4060</v>
      </c>
      <c r="D19237" s="690" t="s">
        <v>4060</v>
      </c>
      <c r="E19237" s="690" t="s">
        <v>4060</v>
      </c>
      <c r="F19237" s="690" t="s">
        <v>4060</v>
      </c>
      <c r="G19237" s="690" t="s">
        <v>4060</v>
      </c>
      <c r="H19237" s="690" t="s">
        <v>4060</v>
      </c>
      <c r="I19237" s="690" t="s">
        <v>4060</v>
      </c>
      <c r="J19237" s="690" t="s">
        <v>4060</v>
      </c>
      <c r="K19237" s="690" t="s">
        <v>4060</v>
      </c>
    </row>
    <row r="19238" spans="1:11">
      <c r="A19238" s="688" t="s">
        <v>4071</v>
      </c>
      <c r="B19238" s="692" t="s">
        <v>4060</v>
      </c>
      <c r="C19238" s="692" t="s">
        <v>4060</v>
      </c>
      <c r="D19238" s="692" t="s">
        <v>4060</v>
      </c>
      <c r="E19238" s="692" t="s">
        <v>4060</v>
      </c>
      <c r="F19238" s="692" t="s">
        <v>4060</v>
      </c>
      <c r="G19238" s="692" t="s">
        <v>4060</v>
      </c>
      <c r="H19238" s="692" t="s">
        <v>4060</v>
      </c>
      <c r="I19238" s="692" t="s">
        <v>4060</v>
      </c>
      <c r="J19238" s="692" t="s">
        <v>4060</v>
      </c>
      <c r="K19238" s="692" t="s">
        <v>4060</v>
      </c>
    </row>
    <row r="19239" spans="1:11">
      <c r="A19239" s="688" t="s">
        <v>2489</v>
      </c>
      <c r="B19239" s="690" t="s">
        <v>4060</v>
      </c>
      <c r="C19239" s="690" t="s">
        <v>4060</v>
      </c>
      <c r="D19239" s="689">
        <v>9.4</v>
      </c>
      <c r="E19239" s="689">
        <v>9.4</v>
      </c>
      <c r="F19239" s="689">
        <v>9.5</v>
      </c>
      <c r="G19239" s="689">
        <v>9.9</v>
      </c>
      <c r="H19239" s="689">
        <v>9.8000000000000007</v>
      </c>
      <c r="I19239" s="690" t="s">
        <v>4060</v>
      </c>
      <c r="J19239" s="690" t="s">
        <v>4060</v>
      </c>
      <c r="K19239" s="690" t="s">
        <v>4060</v>
      </c>
    </row>
    <row r="19240" spans="1:11">
      <c r="A19240" s="688" t="s">
        <v>2490</v>
      </c>
      <c r="B19240" s="691">
        <v>9.1</v>
      </c>
      <c r="C19240" s="691">
        <v>8.9</v>
      </c>
      <c r="D19240" s="691">
        <v>9.5</v>
      </c>
      <c r="E19240" s="692" t="s">
        <v>4060</v>
      </c>
      <c r="F19240" s="691">
        <v>9.6</v>
      </c>
      <c r="G19240" s="691">
        <v>9.8000000000000007</v>
      </c>
      <c r="H19240" s="691">
        <v>10.4</v>
      </c>
      <c r="I19240" s="692" t="s">
        <v>4060</v>
      </c>
      <c r="J19240" s="692" t="s">
        <v>4060</v>
      </c>
      <c r="K19240" s="692" t="s">
        <v>4060</v>
      </c>
    </row>
    <row r="19242" spans="1:11">
      <c r="A19242" s="683" t="s">
        <v>4233</v>
      </c>
    </row>
    <row r="19243" spans="1:11">
      <c r="A19243" s="683" t="s">
        <v>4060</v>
      </c>
      <c r="B19243" s="682" t="s">
        <v>4234</v>
      </c>
    </row>
    <row r="19245" spans="1:11">
      <c r="A19245" s="682" t="s">
        <v>4332</v>
      </c>
    </row>
    <row r="19246" spans="1:11">
      <c r="A19246" s="682" t="s">
        <v>4210</v>
      </c>
      <c r="B19246" s="683" t="s">
        <v>4211</v>
      </c>
    </row>
    <row r="19247" spans="1:11">
      <c r="A19247" s="682" t="s">
        <v>4212</v>
      </c>
      <c r="B19247" s="682" t="s">
        <v>4213</v>
      </c>
    </row>
    <row r="19249" spans="1:11">
      <c r="A19249" s="683" t="s">
        <v>4214</v>
      </c>
      <c r="C19249" s="682" t="s">
        <v>4215</v>
      </c>
    </row>
    <row r="19250" spans="1:11">
      <c r="A19250" s="683" t="s">
        <v>4216</v>
      </c>
      <c r="C19250" s="682" t="s">
        <v>2967</v>
      </c>
    </row>
    <row r="19251" spans="1:11">
      <c r="A19251" s="683" t="s">
        <v>3893</v>
      </c>
      <c r="C19251" s="682" t="s">
        <v>2169</v>
      </c>
    </row>
    <row r="19252" spans="1:11">
      <c r="A19252" s="683" t="s">
        <v>4218</v>
      </c>
      <c r="C19252" s="682" t="s">
        <v>4311</v>
      </c>
    </row>
    <row r="19254" spans="1:11">
      <c r="A19254" s="684" t="s">
        <v>4220</v>
      </c>
      <c r="B19254" s="685" t="s">
        <v>4221</v>
      </c>
      <c r="C19254" s="685" t="s">
        <v>4222</v>
      </c>
      <c r="D19254" s="685" t="s">
        <v>4223</v>
      </c>
      <c r="E19254" s="685" t="s">
        <v>4224</v>
      </c>
      <c r="F19254" s="685" t="s">
        <v>4225</v>
      </c>
      <c r="G19254" s="685" t="s">
        <v>4226</v>
      </c>
      <c r="H19254" s="685" t="s">
        <v>4227</v>
      </c>
      <c r="I19254" s="685" t="s">
        <v>4228</v>
      </c>
      <c r="J19254" s="685" t="s">
        <v>4229</v>
      </c>
      <c r="K19254" s="685" t="s">
        <v>4230</v>
      </c>
    </row>
    <row r="19255" spans="1:11">
      <c r="A19255" s="686" t="s">
        <v>4231</v>
      </c>
      <c r="B19255" s="687" t="s">
        <v>4232</v>
      </c>
      <c r="C19255" s="687" t="s">
        <v>4232</v>
      </c>
      <c r="D19255" s="687" t="s">
        <v>4232</v>
      </c>
      <c r="E19255" s="687" t="s">
        <v>4232</v>
      </c>
      <c r="F19255" s="687" t="s">
        <v>4232</v>
      </c>
      <c r="G19255" s="687" t="s">
        <v>4232</v>
      </c>
      <c r="H19255" s="687" t="s">
        <v>4232</v>
      </c>
      <c r="I19255" s="687" t="s">
        <v>4232</v>
      </c>
      <c r="J19255" s="687" t="s">
        <v>4232</v>
      </c>
      <c r="K19255" s="687" t="s">
        <v>4232</v>
      </c>
    </row>
    <row r="19256" spans="1:11">
      <c r="A19256" s="688" t="s">
        <v>4064</v>
      </c>
      <c r="B19256" s="615">
        <v>12</v>
      </c>
      <c r="C19256" s="691">
        <v>11.8</v>
      </c>
      <c r="D19256" s="691">
        <v>11.8</v>
      </c>
      <c r="E19256" s="691">
        <v>11.9</v>
      </c>
      <c r="F19256" s="691">
        <v>11.8</v>
      </c>
      <c r="G19256" s="691">
        <v>11.9</v>
      </c>
      <c r="H19256" s="691">
        <v>12.1</v>
      </c>
      <c r="I19256" s="691">
        <v>11.6</v>
      </c>
      <c r="J19256" s="691">
        <v>11.6</v>
      </c>
      <c r="K19256" s="691">
        <v>11.7</v>
      </c>
    </row>
    <row r="19257" spans="1:11">
      <c r="A19257" s="688" t="s">
        <v>4065</v>
      </c>
      <c r="B19257" s="689">
        <v>11.9</v>
      </c>
      <c r="C19257" s="689">
        <v>12.2</v>
      </c>
      <c r="D19257" s="689">
        <v>11.8</v>
      </c>
      <c r="E19257" s="689">
        <v>12.2</v>
      </c>
      <c r="F19257" s="693">
        <v>12</v>
      </c>
      <c r="G19257" s="689">
        <v>12.1</v>
      </c>
      <c r="H19257" s="690" t="s">
        <v>4060</v>
      </c>
      <c r="I19257" s="690" t="s">
        <v>4060</v>
      </c>
      <c r="J19257" s="690" t="s">
        <v>4060</v>
      </c>
      <c r="K19257" s="690" t="s">
        <v>4060</v>
      </c>
    </row>
    <row r="19258" spans="1:11">
      <c r="A19258" s="688" t="s">
        <v>4063</v>
      </c>
      <c r="B19258" s="691">
        <v>11.9</v>
      </c>
      <c r="C19258" s="691">
        <v>12.2</v>
      </c>
      <c r="D19258" s="691">
        <v>11.8</v>
      </c>
      <c r="E19258" s="691">
        <v>12.2</v>
      </c>
      <c r="F19258" s="615">
        <v>12</v>
      </c>
      <c r="G19258" s="691">
        <v>12.1</v>
      </c>
      <c r="H19258" s="692" t="s">
        <v>4060</v>
      </c>
      <c r="I19258" s="692" t="s">
        <v>4060</v>
      </c>
      <c r="J19258" s="692" t="s">
        <v>4060</v>
      </c>
      <c r="K19258" s="692" t="s">
        <v>4060</v>
      </c>
    </row>
    <row r="19259" spans="1:11">
      <c r="A19259" s="688" t="s">
        <v>4069</v>
      </c>
      <c r="B19259" s="690" t="s">
        <v>4060</v>
      </c>
      <c r="C19259" s="689">
        <v>12.2</v>
      </c>
      <c r="D19259" s="689">
        <v>11.9</v>
      </c>
      <c r="E19259" s="689">
        <v>12.2</v>
      </c>
      <c r="F19259" s="689">
        <v>12.2</v>
      </c>
      <c r="G19259" s="689">
        <v>12.3</v>
      </c>
      <c r="H19259" s="689">
        <v>12.4</v>
      </c>
      <c r="I19259" s="689">
        <v>11.9</v>
      </c>
      <c r="J19259" s="689">
        <v>12.1</v>
      </c>
      <c r="K19259" s="693">
        <v>12</v>
      </c>
    </row>
    <row r="19260" spans="1:11">
      <c r="A19260" s="688" t="s">
        <v>4068</v>
      </c>
      <c r="B19260" s="691">
        <v>12.4</v>
      </c>
      <c r="C19260" s="692" t="s">
        <v>4060</v>
      </c>
      <c r="D19260" s="692" t="s">
        <v>4060</v>
      </c>
      <c r="E19260" s="692" t="s">
        <v>4060</v>
      </c>
      <c r="F19260" s="692" t="s">
        <v>4060</v>
      </c>
      <c r="G19260" s="692" t="s">
        <v>4060</v>
      </c>
      <c r="H19260" s="692" t="s">
        <v>4060</v>
      </c>
      <c r="I19260" s="692" t="s">
        <v>4060</v>
      </c>
      <c r="J19260" s="692" t="s">
        <v>4060</v>
      </c>
      <c r="K19260" s="692" t="s">
        <v>4060</v>
      </c>
    </row>
    <row r="19261" spans="1:11">
      <c r="A19261" s="688" t="s">
        <v>0</v>
      </c>
      <c r="B19261" s="693">
        <v>12</v>
      </c>
      <c r="C19261" s="693">
        <v>12</v>
      </c>
      <c r="D19261" s="689">
        <v>11.7</v>
      </c>
      <c r="E19261" s="689">
        <v>12.1</v>
      </c>
      <c r="F19261" s="689">
        <v>12.1</v>
      </c>
      <c r="G19261" s="689">
        <v>12.1</v>
      </c>
      <c r="H19261" s="689">
        <v>12.3</v>
      </c>
      <c r="I19261" s="689">
        <v>11.4</v>
      </c>
      <c r="J19261" s="689">
        <v>12.5</v>
      </c>
      <c r="K19261" s="689">
        <v>12.1</v>
      </c>
    </row>
    <row r="19262" spans="1:11">
      <c r="A19262" s="688" t="s">
        <v>1</v>
      </c>
      <c r="B19262" s="691">
        <v>9.1999999999999993</v>
      </c>
      <c r="C19262" s="691">
        <v>8.8000000000000007</v>
      </c>
      <c r="D19262" s="691">
        <v>8.8000000000000007</v>
      </c>
      <c r="E19262" s="691">
        <v>9.1</v>
      </c>
      <c r="F19262" s="615">
        <v>9</v>
      </c>
      <c r="G19262" s="691">
        <v>9.1999999999999993</v>
      </c>
      <c r="H19262" s="691">
        <v>9.1999999999999993</v>
      </c>
      <c r="I19262" s="691">
        <v>8.8000000000000007</v>
      </c>
      <c r="J19262" s="615">
        <v>8</v>
      </c>
      <c r="K19262" s="615">
        <v>9</v>
      </c>
    </row>
    <row r="19263" spans="1:11">
      <c r="A19263" s="688" t="s">
        <v>2240</v>
      </c>
      <c r="B19263" s="689">
        <v>10.4</v>
      </c>
      <c r="C19263" s="689">
        <v>10.5</v>
      </c>
      <c r="D19263" s="689">
        <v>10.199999999999999</v>
      </c>
      <c r="E19263" s="689">
        <v>10.7</v>
      </c>
      <c r="F19263" s="689">
        <v>10.5</v>
      </c>
      <c r="G19263" s="689">
        <v>10.6</v>
      </c>
      <c r="H19263" s="689">
        <v>10.8</v>
      </c>
      <c r="I19263" s="689">
        <v>10.1</v>
      </c>
      <c r="J19263" s="693">
        <v>10</v>
      </c>
      <c r="K19263" s="689">
        <v>10.6</v>
      </c>
    </row>
    <row r="19264" spans="1:11">
      <c r="A19264" s="688" t="s">
        <v>2</v>
      </c>
      <c r="B19264" s="691">
        <v>11.3</v>
      </c>
      <c r="C19264" s="691">
        <v>11.5</v>
      </c>
      <c r="D19264" s="691">
        <v>11.4</v>
      </c>
      <c r="E19264" s="691">
        <v>11.5</v>
      </c>
      <c r="F19264" s="691">
        <v>11.6</v>
      </c>
      <c r="G19264" s="691">
        <v>11.5</v>
      </c>
      <c r="H19264" s="691">
        <v>11.8</v>
      </c>
      <c r="I19264" s="691">
        <v>11.8</v>
      </c>
      <c r="J19264" s="691">
        <v>11.6</v>
      </c>
      <c r="K19264" s="691">
        <v>11.5</v>
      </c>
    </row>
    <row r="19265" spans="1:11">
      <c r="A19265" s="688" t="s">
        <v>3</v>
      </c>
      <c r="B19265" s="689">
        <v>11.4</v>
      </c>
      <c r="C19265" s="689">
        <v>11.6</v>
      </c>
      <c r="D19265" s="689">
        <v>11.4</v>
      </c>
      <c r="E19265" s="689">
        <v>11.7</v>
      </c>
      <c r="F19265" s="689">
        <v>11.6</v>
      </c>
      <c r="G19265" s="689">
        <v>11.6</v>
      </c>
      <c r="H19265" s="689">
        <v>11.9</v>
      </c>
      <c r="I19265" s="689">
        <v>11.7</v>
      </c>
      <c r="J19265" s="689">
        <v>11.6</v>
      </c>
      <c r="K19265" s="689">
        <v>11.4</v>
      </c>
    </row>
    <row r="19266" spans="1:11">
      <c r="A19266" s="688" t="s">
        <v>4061</v>
      </c>
      <c r="B19266" s="691">
        <v>11.4</v>
      </c>
      <c r="C19266" s="691">
        <v>11.6</v>
      </c>
      <c r="D19266" s="691">
        <v>11.4</v>
      </c>
      <c r="E19266" s="691">
        <v>11.7</v>
      </c>
      <c r="F19266" s="691">
        <v>11.6</v>
      </c>
      <c r="G19266" s="691">
        <v>11.6</v>
      </c>
      <c r="H19266" s="691">
        <v>11.9</v>
      </c>
      <c r="I19266" s="691">
        <v>11.7</v>
      </c>
      <c r="J19266" s="691">
        <v>11.6</v>
      </c>
      <c r="K19266" s="691">
        <v>11.4</v>
      </c>
    </row>
    <row r="19267" spans="1:11">
      <c r="A19267" s="688" t="s">
        <v>4</v>
      </c>
      <c r="B19267" s="689">
        <v>11.2</v>
      </c>
      <c r="C19267" s="693">
        <v>11</v>
      </c>
      <c r="D19267" s="689">
        <v>11.1</v>
      </c>
      <c r="E19267" s="689">
        <v>11.2</v>
      </c>
      <c r="F19267" s="689">
        <v>11.2</v>
      </c>
      <c r="G19267" s="689">
        <v>11.3</v>
      </c>
      <c r="H19267" s="689">
        <v>11.5</v>
      </c>
      <c r="I19267" s="689">
        <v>11.6</v>
      </c>
      <c r="J19267" s="689">
        <v>10.8</v>
      </c>
      <c r="K19267" s="689">
        <v>11.2</v>
      </c>
    </row>
    <row r="19268" spans="1:11">
      <c r="A19268" s="688" t="s">
        <v>8</v>
      </c>
      <c r="B19268" s="691">
        <v>11.4</v>
      </c>
      <c r="C19268" s="691">
        <v>11.5</v>
      </c>
      <c r="D19268" s="691">
        <v>11.4</v>
      </c>
      <c r="E19268" s="691">
        <v>11.5</v>
      </c>
      <c r="F19268" s="691">
        <v>11.7</v>
      </c>
      <c r="G19268" s="691">
        <v>11.8</v>
      </c>
      <c r="H19268" s="615">
        <v>12</v>
      </c>
      <c r="I19268" s="691">
        <v>11.9</v>
      </c>
      <c r="J19268" s="691">
        <v>11.9</v>
      </c>
      <c r="K19268" s="691">
        <v>11.9</v>
      </c>
    </row>
    <row r="19269" spans="1:11">
      <c r="A19269" s="688" t="s">
        <v>7</v>
      </c>
      <c r="B19269" s="689">
        <v>11.7</v>
      </c>
      <c r="C19269" s="689">
        <v>11.3</v>
      </c>
      <c r="D19269" s="689">
        <v>11.1</v>
      </c>
      <c r="E19269" s="689">
        <v>11.5</v>
      </c>
      <c r="F19269" s="689">
        <v>11.4</v>
      </c>
      <c r="G19269" s="689">
        <v>11.8</v>
      </c>
      <c r="H19269" s="689">
        <v>11.7</v>
      </c>
      <c r="I19269" s="689">
        <v>11.6</v>
      </c>
      <c r="J19269" s="689">
        <v>11.2</v>
      </c>
      <c r="K19269" s="689">
        <v>11.2</v>
      </c>
    </row>
    <row r="19270" spans="1:11">
      <c r="A19270" s="688" t="s">
        <v>27</v>
      </c>
      <c r="B19270" s="691">
        <v>13.4</v>
      </c>
      <c r="C19270" s="691">
        <v>12.8</v>
      </c>
      <c r="D19270" s="691">
        <v>12.5</v>
      </c>
      <c r="E19270" s="691">
        <v>12.9</v>
      </c>
      <c r="F19270" s="691">
        <v>12.8</v>
      </c>
      <c r="G19270" s="691">
        <v>12.9</v>
      </c>
      <c r="H19270" s="691">
        <v>13.2</v>
      </c>
      <c r="I19270" s="691">
        <v>12.3</v>
      </c>
      <c r="J19270" s="615">
        <v>13</v>
      </c>
      <c r="K19270" s="691">
        <v>12.9</v>
      </c>
    </row>
    <row r="19271" spans="1:11">
      <c r="A19271" s="688" t="s">
        <v>6</v>
      </c>
      <c r="B19271" s="689">
        <v>13.8</v>
      </c>
      <c r="C19271" s="689">
        <v>13.4</v>
      </c>
      <c r="D19271" s="689">
        <v>13.1</v>
      </c>
      <c r="E19271" s="689">
        <v>13.3</v>
      </c>
      <c r="F19271" s="689">
        <v>13.4</v>
      </c>
      <c r="G19271" s="689">
        <v>13.5</v>
      </c>
      <c r="H19271" s="689">
        <v>13.6</v>
      </c>
      <c r="I19271" s="689">
        <v>13.1</v>
      </c>
      <c r="J19271" s="689">
        <v>13.3</v>
      </c>
      <c r="K19271" s="689">
        <v>13.2</v>
      </c>
    </row>
    <row r="19272" spans="1:11">
      <c r="A19272" s="688" t="s">
        <v>4058</v>
      </c>
      <c r="B19272" s="692" t="s">
        <v>4060</v>
      </c>
      <c r="C19272" s="692" t="s">
        <v>4060</v>
      </c>
      <c r="D19272" s="692" t="s">
        <v>4060</v>
      </c>
      <c r="E19272" s="692" t="s">
        <v>4060</v>
      </c>
      <c r="F19272" s="692" t="s">
        <v>4060</v>
      </c>
      <c r="G19272" s="692" t="s">
        <v>4060</v>
      </c>
      <c r="H19272" s="692" t="s">
        <v>4060</v>
      </c>
      <c r="I19272" s="692" t="s">
        <v>4060</v>
      </c>
      <c r="J19272" s="692" t="s">
        <v>4060</v>
      </c>
      <c r="K19272" s="692" t="s">
        <v>4060</v>
      </c>
    </row>
    <row r="19273" spans="1:11">
      <c r="A19273" s="688" t="s">
        <v>11</v>
      </c>
      <c r="B19273" s="689">
        <v>9.9</v>
      </c>
      <c r="C19273" s="689">
        <v>9.6999999999999993</v>
      </c>
      <c r="D19273" s="689">
        <v>9.4</v>
      </c>
      <c r="E19273" s="689">
        <v>9.8000000000000007</v>
      </c>
      <c r="F19273" s="689">
        <v>9.6</v>
      </c>
      <c r="G19273" s="689">
        <v>9.8000000000000007</v>
      </c>
      <c r="H19273" s="693">
        <v>10</v>
      </c>
      <c r="I19273" s="689">
        <v>9.5</v>
      </c>
      <c r="J19273" s="689">
        <v>9.1</v>
      </c>
      <c r="K19273" s="689">
        <v>9.5</v>
      </c>
    </row>
    <row r="19274" spans="1:11">
      <c r="A19274" s="688" t="s">
        <v>10</v>
      </c>
      <c r="B19274" s="691">
        <v>12.8</v>
      </c>
      <c r="C19274" s="691">
        <v>12.4</v>
      </c>
      <c r="D19274" s="615">
        <v>12</v>
      </c>
      <c r="E19274" s="691">
        <v>12.5</v>
      </c>
      <c r="F19274" s="691">
        <v>12.3</v>
      </c>
      <c r="G19274" s="691">
        <v>12.5</v>
      </c>
      <c r="H19274" s="691">
        <v>12.7</v>
      </c>
      <c r="I19274" s="691">
        <v>11.9</v>
      </c>
      <c r="J19274" s="691">
        <v>12.2</v>
      </c>
      <c r="K19274" s="691">
        <v>12.1</v>
      </c>
    </row>
    <row r="19275" spans="1:11">
      <c r="A19275" s="688" t="s">
        <v>30</v>
      </c>
      <c r="B19275" s="689">
        <v>11.7</v>
      </c>
      <c r="C19275" s="689">
        <v>10.9</v>
      </c>
      <c r="D19275" s="689">
        <v>10.9</v>
      </c>
      <c r="E19275" s="689">
        <v>11.5</v>
      </c>
      <c r="F19275" s="689">
        <v>11.1</v>
      </c>
      <c r="G19275" s="689">
        <v>11.6</v>
      </c>
      <c r="H19275" s="689">
        <v>11.4</v>
      </c>
      <c r="I19275" s="689">
        <v>11.5</v>
      </c>
      <c r="J19275" s="689">
        <v>11.2</v>
      </c>
      <c r="K19275" s="689">
        <v>11.1</v>
      </c>
    </row>
    <row r="19276" spans="1:11">
      <c r="A19276" s="688" t="s">
        <v>12</v>
      </c>
      <c r="B19276" s="691">
        <v>10.199999999999999</v>
      </c>
      <c r="C19276" s="691">
        <v>10.1</v>
      </c>
      <c r="D19276" s="615">
        <v>10</v>
      </c>
      <c r="E19276" s="691">
        <v>10.199999999999999</v>
      </c>
      <c r="F19276" s="691">
        <v>10.199999999999999</v>
      </c>
      <c r="G19276" s="691">
        <v>10.3</v>
      </c>
      <c r="H19276" s="691">
        <v>10.6</v>
      </c>
      <c r="I19276" s="691">
        <v>10.3</v>
      </c>
      <c r="J19276" s="691">
        <v>9.4</v>
      </c>
      <c r="K19276" s="615">
        <v>10</v>
      </c>
    </row>
    <row r="19277" spans="1:11">
      <c r="A19277" s="688" t="s">
        <v>14</v>
      </c>
      <c r="B19277" s="689">
        <v>10.4</v>
      </c>
      <c r="C19277" s="689">
        <v>10.199999999999999</v>
      </c>
      <c r="D19277" s="693">
        <v>10</v>
      </c>
      <c r="E19277" s="689">
        <v>10.199999999999999</v>
      </c>
      <c r="F19277" s="689">
        <v>10.199999999999999</v>
      </c>
      <c r="G19277" s="689">
        <v>10.3</v>
      </c>
      <c r="H19277" s="689">
        <v>10.7</v>
      </c>
      <c r="I19277" s="689">
        <v>10.1</v>
      </c>
      <c r="J19277" s="689">
        <v>9.6</v>
      </c>
      <c r="K19277" s="689">
        <v>10.199999999999999</v>
      </c>
    </row>
    <row r="19278" spans="1:11">
      <c r="A19278" s="688" t="s">
        <v>15</v>
      </c>
      <c r="B19278" s="691">
        <v>12.4</v>
      </c>
      <c r="C19278" s="691">
        <v>12.4</v>
      </c>
      <c r="D19278" s="615">
        <v>12</v>
      </c>
      <c r="E19278" s="691">
        <v>12.4</v>
      </c>
      <c r="F19278" s="691">
        <v>12.2</v>
      </c>
      <c r="G19278" s="691">
        <v>12.2</v>
      </c>
      <c r="H19278" s="691">
        <v>12.3</v>
      </c>
      <c r="I19278" s="691">
        <v>12.1</v>
      </c>
      <c r="J19278" s="691">
        <v>12.3</v>
      </c>
      <c r="K19278" s="691">
        <v>12.4</v>
      </c>
    </row>
    <row r="19279" spans="1:11">
      <c r="A19279" s="688" t="s">
        <v>29</v>
      </c>
      <c r="B19279" s="689">
        <v>9.9</v>
      </c>
      <c r="C19279" s="689">
        <v>9.8000000000000007</v>
      </c>
      <c r="D19279" s="689">
        <v>9.5</v>
      </c>
      <c r="E19279" s="689">
        <v>9.9</v>
      </c>
      <c r="F19279" s="689">
        <v>9.6999999999999993</v>
      </c>
      <c r="G19279" s="689">
        <v>9.8000000000000007</v>
      </c>
      <c r="H19279" s="689">
        <v>9.8000000000000007</v>
      </c>
      <c r="I19279" s="689">
        <v>9.5</v>
      </c>
      <c r="J19279" s="689">
        <v>9.1999999999999993</v>
      </c>
      <c r="K19279" s="689">
        <v>9.6999999999999993</v>
      </c>
    </row>
    <row r="19280" spans="1:11">
      <c r="A19280" s="688" t="s">
        <v>16</v>
      </c>
      <c r="B19280" s="691">
        <v>11.6</v>
      </c>
      <c r="C19280" s="691">
        <v>11.7</v>
      </c>
      <c r="D19280" s="691">
        <v>11.5</v>
      </c>
      <c r="E19280" s="691">
        <v>11.9</v>
      </c>
      <c r="F19280" s="691">
        <v>11.7</v>
      </c>
      <c r="G19280" s="691">
        <v>11.8</v>
      </c>
      <c r="H19280" s="615">
        <v>12</v>
      </c>
      <c r="I19280" s="691">
        <v>11.7</v>
      </c>
      <c r="J19280" s="691">
        <v>11.6</v>
      </c>
      <c r="K19280" s="691">
        <v>11.8</v>
      </c>
    </row>
    <row r="19281" spans="1:11">
      <c r="A19281" s="688" t="s">
        <v>17</v>
      </c>
      <c r="B19281" s="689">
        <v>11.8</v>
      </c>
      <c r="C19281" s="689">
        <v>11.8</v>
      </c>
      <c r="D19281" s="689">
        <v>11.5</v>
      </c>
      <c r="E19281" s="689">
        <v>11.6</v>
      </c>
      <c r="F19281" s="689">
        <v>11.6</v>
      </c>
      <c r="G19281" s="689">
        <v>11.6</v>
      </c>
      <c r="H19281" s="689">
        <v>11.8</v>
      </c>
      <c r="I19281" s="689">
        <v>11.3</v>
      </c>
      <c r="J19281" s="689">
        <v>11.4</v>
      </c>
      <c r="K19281" s="689">
        <v>11.4</v>
      </c>
    </row>
    <row r="19282" spans="1:11">
      <c r="A19282" s="688" t="s">
        <v>19</v>
      </c>
      <c r="B19282" s="691">
        <v>11.9</v>
      </c>
      <c r="C19282" s="691">
        <v>11.9</v>
      </c>
      <c r="D19282" s="691">
        <v>11.6</v>
      </c>
      <c r="E19282" s="615">
        <v>12</v>
      </c>
      <c r="F19282" s="691">
        <v>11.8</v>
      </c>
      <c r="G19282" s="615">
        <v>12</v>
      </c>
      <c r="H19282" s="691">
        <v>12.1</v>
      </c>
      <c r="I19282" s="691">
        <v>11.7</v>
      </c>
      <c r="J19282" s="691">
        <v>11.8</v>
      </c>
      <c r="K19282" s="691">
        <v>11.7</v>
      </c>
    </row>
    <row r="19283" spans="1:11">
      <c r="A19283" s="688" t="s">
        <v>20</v>
      </c>
      <c r="B19283" s="689">
        <v>11.1</v>
      </c>
      <c r="C19283" s="693">
        <v>11</v>
      </c>
      <c r="D19283" s="689">
        <v>10.9</v>
      </c>
      <c r="E19283" s="689">
        <v>11.2</v>
      </c>
      <c r="F19283" s="689">
        <v>11.1</v>
      </c>
      <c r="G19283" s="689">
        <v>11.1</v>
      </c>
      <c r="H19283" s="689">
        <v>11.3</v>
      </c>
      <c r="I19283" s="689">
        <v>10.5</v>
      </c>
      <c r="J19283" s="693">
        <v>10</v>
      </c>
      <c r="K19283" s="689">
        <v>10.7</v>
      </c>
    </row>
    <row r="19284" spans="1:11">
      <c r="A19284" s="688" t="s">
        <v>21</v>
      </c>
      <c r="B19284" s="691">
        <v>11.8</v>
      </c>
      <c r="C19284" s="615">
        <v>12</v>
      </c>
      <c r="D19284" s="691">
        <v>11.8</v>
      </c>
      <c r="E19284" s="615">
        <v>12</v>
      </c>
      <c r="F19284" s="691">
        <v>12.2</v>
      </c>
      <c r="G19284" s="691">
        <v>12.1</v>
      </c>
      <c r="H19284" s="691">
        <v>12.3</v>
      </c>
      <c r="I19284" s="691">
        <v>11.8</v>
      </c>
      <c r="J19284" s="691">
        <v>11.9</v>
      </c>
      <c r="K19284" s="615">
        <v>12</v>
      </c>
    </row>
    <row r="19285" spans="1:11">
      <c r="A19285" s="688" t="s">
        <v>22</v>
      </c>
      <c r="B19285" s="689">
        <v>9.6</v>
      </c>
      <c r="C19285" s="689">
        <v>9.4</v>
      </c>
      <c r="D19285" s="689">
        <v>9.3000000000000007</v>
      </c>
      <c r="E19285" s="689">
        <v>9.6</v>
      </c>
      <c r="F19285" s="689">
        <v>9.6</v>
      </c>
      <c r="G19285" s="689">
        <v>9.6999999999999993</v>
      </c>
      <c r="H19285" s="693">
        <v>10</v>
      </c>
      <c r="I19285" s="689">
        <v>9.4</v>
      </c>
      <c r="J19285" s="689">
        <v>8.6</v>
      </c>
      <c r="K19285" s="689">
        <v>9.4</v>
      </c>
    </row>
    <row r="19286" spans="1:11">
      <c r="A19286" s="688" t="s">
        <v>26</v>
      </c>
      <c r="B19286" s="691">
        <v>11.8</v>
      </c>
      <c r="C19286" s="691">
        <v>11.5</v>
      </c>
      <c r="D19286" s="691">
        <v>11.5</v>
      </c>
      <c r="E19286" s="691">
        <v>11.6</v>
      </c>
      <c r="F19286" s="691">
        <v>11.6</v>
      </c>
      <c r="G19286" s="691">
        <v>11.8</v>
      </c>
      <c r="H19286" s="691">
        <v>11.9</v>
      </c>
      <c r="I19286" s="615">
        <v>11</v>
      </c>
      <c r="J19286" s="691">
        <v>11.6</v>
      </c>
      <c r="K19286" s="691">
        <v>11.6</v>
      </c>
    </row>
    <row r="19287" spans="1:11">
      <c r="A19287" s="688" t="s">
        <v>25</v>
      </c>
      <c r="B19287" s="689">
        <v>9.9</v>
      </c>
      <c r="C19287" s="693">
        <v>10</v>
      </c>
      <c r="D19287" s="689">
        <v>9.6999999999999993</v>
      </c>
      <c r="E19287" s="689">
        <v>10.199999999999999</v>
      </c>
      <c r="F19287" s="693">
        <v>10</v>
      </c>
      <c r="G19287" s="689">
        <v>10.199999999999999</v>
      </c>
      <c r="H19287" s="689">
        <v>10.6</v>
      </c>
      <c r="I19287" s="689">
        <v>10.1</v>
      </c>
      <c r="J19287" s="689">
        <v>8.9</v>
      </c>
      <c r="K19287" s="689">
        <v>9.9</v>
      </c>
    </row>
    <row r="19288" spans="1:11">
      <c r="A19288" s="688" t="s">
        <v>5</v>
      </c>
      <c r="B19288" s="691">
        <v>12.2</v>
      </c>
      <c r="C19288" s="691">
        <v>11.8</v>
      </c>
      <c r="D19288" s="691">
        <v>11.9</v>
      </c>
      <c r="E19288" s="691">
        <v>11.9</v>
      </c>
      <c r="F19288" s="691">
        <v>12.1</v>
      </c>
      <c r="G19288" s="691">
        <v>12.1</v>
      </c>
      <c r="H19288" s="691">
        <v>12.3</v>
      </c>
      <c r="I19288" s="691">
        <v>12.3</v>
      </c>
      <c r="J19288" s="691">
        <v>12.2</v>
      </c>
      <c r="K19288" s="691">
        <v>11.7</v>
      </c>
    </row>
    <row r="19289" spans="1:11">
      <c r="A19289" s="688" t="s">
        <v>23</v>
      </c>
      <c r="B19289" s="689">
        <v>11.8</v>
      </c>
      <c r="C19289" s="689">
        <v>11.9</v>
      </c>
      <c r="D19289" s="689">
        <v>11.9</v>
      </c>
      <c r="E19289" s="689">
        <v>11.9</v>
      </c>
      <c r="F19289" s="689">
        <v>11.9</v>
      </c>
      <c r="G19289" s="693">
        <v>12</v>
      </c>
      <c r="H19289" s="689">
        <v>12.3</v>
      </c>
      <c r="I19289" s="689">
        <v>11.8</v>
      </c>
      <c r="J19289" s="689">
        <v>12.4</v>
      </c>
      <c r="K19289" s="689">
        <v>12.2</v>
      </c>
    </row>
    <row r="19290" spans="1:11">
      <c r="A19290" s="688" t="s">
        <v>4067</v>
      </c>
      <c r="B19290" s="691">
        <v>11.9</v>
      </c>
      <c r="C19290" s="691">
        <v>12.2</v>
      </c>
      <c r="D19290" s="691">
        <v>11.8</v>
      </c>
      <c r="E19290" s="691">
        <v>12.2</v>
      </c>
      <c r="F19290" s="615">
        <v>12</v>
      </c>
      <c r="G19290" s="691">
        <v>12.1</v>
      </c>
      <c r="H19290" s="692" t="s">
        <v>4060</v>
      </c>
      <c r="I19290" s="692" t="s">
        <v>4060</v>
      </c>
      <c r="J19290" s="692" t="s">
        <v>4060</v>
      </c>
      <c r="K19290" s="692" t="s">
        <v>4060</v>
      </c>
    </row>
    <row r="19291" spans="1:11">
      <c r="A19291" s="688" t="s">
        <v>4066</v>
      </c>
      <c r="B19291" s="689">
        <v>11.9</v>
      </c>
      <c r="C19291" s="689">
        <v>12.2</v>
      </c>
      <c r="D19291" s="689">
        <v>11.8</v>
      </c>
      <c r="E19291" s="689">
        <v>12.2</v>
      </c>
      <c r="F19291" s="693">
        <v>12</v>
      </c>
      <c r="G19291" s="689">
        <v>12.1</v>
      </c>
      <c r="H19291" s="690" t="s">
        <v>4060</v>
      </c>
      <c r="I19291" s="690" t="s">
        <v>4060</v>
      </c>
      <c r="J19291" s="690" t="s">
        <v>4060</v>
      </c>
      <c r="K19291" s="690" t="s">
        <v>4060</v>
      </c>
    </row>
    <row r="19292" spans="1:11">
      <c r="A19292" s="688" t="s">
        <v>4062</v>
      </c>
      <c r="B19292" s="691">
        <v>12.3</v>
      </c>
      <c r="C19292" s="691">
        <v>12.3</v>
      </c>
      <c r="D19292" s="691">
        <v>12.1</v>
      </c>
      <c r="E19292" s="691">
        <v>12.4</v>
      </c>
      <c r="F19292" s="691">
        <v>12.4</v>
      </c>
      <c r="G19292" s="691">
        <v>12.5</v>
      </c>
      <c r="H19292" s="691">
        <v>12.6</v>
      </c>
      <c r="I19292" s="691">
        <v>12.3</v>
      </c>
      <c r="J19292" s="691">
        <v>12.6</v>
      </c>
      <c r="K19292" s="691">
        <v>12.3</v>
      </c>
    </row>
    <row r="19293" spans="1:11">
      <c r="A19293" s="688" t="s">
        <v>9</v>
      </c>
      <c r="B19293" s="689">
        <v>11.8</v>
      </c>
      <c r="C19293" s="693">
        <v>12</v>
      </c>
      <c r="D19293" s="689">
        <v>11.6</v>
      </c>
      <c r="E19293" s="689">
        <v>11.8</v>
      </c>
      <c r="F19293" s="689">
        <v>11.5</v>
      </c>
      <c r="G19293" s="689">
        <v>11.4</v>
      </c>
      <c r="H19293" s="693">
        <v>12</v>
      </c>
      <c r="I19293" s="693">
        <v>12</v>
      </c>
      <c r="J19293" s="689">
        <v>12.1</v>
      </c>
      <c r="K19293" s="689">
        <v>11.3</v>
      </c>
    </row>
    <row r="19294" spans="1:11">
      <c r="A19294" s="688" t="s">
        <v>13</v>
      </c>
      <c r="B19294" s="691">
        <v>13.1</v>
      </c>
      <c r="C19294" s="691">
        <v>10.5</v>
      </c>
      <c r="D19294" s="691">
        <v>11.5</v>
      </c>
      <c r="E19294" s="615">
        <v>13</v>
      </c>
      <c r="F19294" s="691">
        <v>12.7</v>
      </c>
      <c r="G19294" s="691">
        <v>12.2</v>
      </c>
      <c r="H19294" s="691">
        <v>12.1</v>
      </c>
      <c r="I19294" s="691">
        <v>11.3</v>
      </c>
      <c r="J19294" s="691">
        <v>12.3</v>
      </c>
      <c r="K19294" s="691">
        <v>12.3</v>
      </c>
    </row>
    <row r="19295" spans="1:11">
      <c r="A19295" s="688" t="s">
        <v>18</v>
      </c>
      <c r="B19295" s="689">
        <v>11.9</v>
      </c>
      <c r="C19295" s="693">
        <v>12</v>
      </c>
      <c r="D19295" s="689">
        <v>11.9</v>
      </c>
      <c r="E19295" s="693">
        <v>12</v>
      </c>
      <c r="F19295" s="689">
        <v>12.1</v>
      </c>
      <c r="G19295" s="689">
        <v>12.1</v>
      </c>
      <c r="H19295" s="689">
        <v>12.2</v>
      </c>
      <c r="I19295" s="689">
        <v>12.4</v>
      </c>
      <c r="J19295" s="689">
        <v>12.2</v>
      </c>
      <c r="K19295" s="689">
        <v>11.9</v>
      </c>
    </row>
    <row r="19296" spans="1:11">
      <c r="A19296" s="688" t="s">
        <v>24</v>
      </c>
      <c r="B19296" s="691">
        <v>12.5</v>
      </c>
      <c r="C19296" s="691">
        <v>12.5</v>
      </c>
      <c r="D19296" s="691">
        <v>12.3</v>
      </c>
      <c r="E19296" s="691">
        <v>12.6</v>
      </c>
      <c r="F19296" s="691">
        <v>12.5</v>
      </c>
      <c r="G19296" s="691">
        <v>12.7</v>
      </c>
      <c r="H19296" s="691">
        <v>12.8</v>
      </c>
      <c r="I19296" s="691">
        <v>12.3</v>
      </c>
      <c r="J19296" s="691">
        <v>12.8</v>
      </c>
      <c r="K19296" s="691">
        <v>12.6</v>
      </c>
    </row>
    <row r="19297" spans="1:11">
      <c r="A19297" s="688" t="s">
        <v>4059</v>
      </c>
      <c r="B19297" s="689">
        <v>11.7</v>
      </c>
      <c r="C19297" s="693">
        <v>12</v>
      </c>
      <c r="D19297" s="689">
        <v>11.5</v>
      </c>
      <c r="E19297" s="689">
        <v>11.9</v>
      </c>
      <c r="F19297" s="689">
        <v>11.8</v>
      </c>
      <c r="G19297" s="689">
        <v>11.8</v>
      </c>
      <c r="H19297" s="690" t="s">
        <v>4060</v>
      </c>
      <c r="I19297" s="690" t="s">
        <v>4060</v>
      </c>
      <c r="J19297" s="690" t="s">
        <v>4060</v>
      </c>
      <c r="K19297" s="690" t="s">
        <v>4060</v>
      </c>
    </row>
    <row r="19298" spans="1:11">
      <c r="A19298" s="688" t="s">
        <v>2324</v>
      </c>
      <c r="B19298" s="615">
        <v>9</v>
      </c>
      <c r="C19298" s="691">
        <v>8.9</v>
      </c>
      <c r="D19298" s="691">
        <v>8.4</v>
      </c>
      <c r="E19298" s="691">
        <v>8.9</v>
      </c>
      <c r="F19298" s="691">
        <v>9.1</v>
      </c>
      <c r="G19298" s="615">
        <v>9</v>
      </c>
      <c r="H19298" s="691">
        <v>9.1</v>
      </c>
      <c r="I19298" s="691">
        <v>8.8000000000000007</v>
      </c>
      <c r="J19298" s="691">
        <v>7.1</v>
      </c>
      <c r="K19298" s="692" t="s">
        <v>4060</v>
      </c>
    </row>
    <row r="19299" spans="1:11">
      <c r="A19299" s="688" t="s">
        <v>2322</v>
      </c>
      <c r="B19299" s="690" t="s">
        <v>4060</v>
      </c>
      <c r="C19299" s="690" t="s">
        <v>4060</v>
      </c>
      <c r="D19299" s="690" t="s">
        <v>4060</v>
      </c>
      <c r="E19299" s="690" t="s">
        <v>4060</v>
      </c>
      <c r="F19299" s="690" t="s">
        <v>4060</v>
      </c>
      <c r="G19299" s="690" t="s">
        <v>4060</v>
      </c>
      <c r="H19299" s="690" t="s">
        <v>4060</v>
      </c>
      <c r="I19299" s="690" t="s">
        <v>4060</v>
      </c>
      <c r="J19299" s="690" t="s">
        <v>4060</v>
      </c>
      <c r="K19299" s="690" t="s">
        <v>4060</v>
      </c>
    </row>
    <row r="19300" spans="1:11">
      <c r="A19300" s="688" t="s">
        <v>2328</v>
      </c>
      <c r="B19300" s="691">
        <v>8.1</v>
      </c>
      <c r="C19300" s="691">
        <v>7.9</v>
      </c>
      <c r="D19300" s="691">
        <v>7.7</v>
      </c>
      <c r="E19300" s="691">
        <v>8.1</v>
      </c>
      <c r="F19300" s="691">
        <v>8.1</v>
      </c>
      <c r="G19300" s="691">
        <v>8.5</v>
      </c>
      <c r="H19300" s="691">
        <v>8.3000000000000007</v>
      </c>
      <c r="I19300" s="691">
        <v>7.8</v>
      </c>
      <c r="J19300" s="691">
        <v>7.4</v>
      </c>
      <c r="K19300" s="692" t="s">
        <v>4060</v>
      </c>
    </row>
    <row r="19301" spans="1:11">
      <c r="A19301" s="688" t="s">
        <v>2496</v>
      </c>
      <c r="B19301" s="690" t="s">
        <v>4060</v>
      </c>
      <c r="C19301" s="689">
        <v>9.6</v>
      </c>
      <c r="D19301" s="689">
        <v>8.6</v>
      </c>
      <c r="E19301" s="689">
        <v>8.1</v>
      </c>
      <c r="F19301" s="689">
        <v>8.3000000000000007</v>
      </c>
      <c r="G19301" s="689">
        <v>8.4</v>
      </c>
      <c r="H19301" s="689">
        <v>8.5</v>
      </c>
      <c r="I19301" s="690" t="s">
        <v>4060</v>
      </c>
      <c r="J19301" s="690" t="s">
        <v>4060</v>
      </c>
      <c r="K19301" s="689">
        <v>8.1999999999999993</v>
      </c>
    </row>
    <row r="19302" spans="1:11">
      <c r="A19302" s="688" t="s">
        <v>2269</v>
      </c>
      <c r="B19302" s="691">
        <v>9.1</v>
      </c>
      <c r="C19302" s="615">
        <v>9</v>
      </c>
      <c r="D19302" s="691">
        <v>8.4</v>
      </c>
      <c r="E19302" s="691">
        <v>8.6999999999999993</v>
      </c>
      <c r="F19302" s="691">
        <v>8.4</v>
      </c>
      <c r="G19302" s="691">
        <v>8.8000000000000007</v>
      </c>
      <c r="H19302" s="691">
        <v>8.9</v>
      </c>
      <c r="I19302" s="691">
        <v>8.1999999999999993</v>
      </c>
      <c r="J19302" s="691">
        <v>6.2</v>
      </c>
      <c r="K19302" s="691">
        <v>8.6</v>
      </c>
    </row>
    <row r="19303" spans="1:11">
      <c r="A19303" s="688" t="s">
        <v>2349</v>
      </c>
      <c r="B19303" s="689">
        <v>8.5</v>
      </c>
      <c r="C19303" s="689">
        <v>8.5</v>
      </c>
      <c r="D19303" s="689">
        <v>8.4</v>
      </c>
      <c r="E19303" s="689">
        <v>8.6999999999999993</v>
      </c>
      <c r="F19303" s="689">
        <v>8.6</v>
      </c>
      <c r="G19303" s="689">
        <v>8.8000000000000007</v>
      </c>
      <c r="H19303" s="693">
        <v>9</v>
      </c>
      <c r="I19303" s="689">
        <v>8.4</v>
      </c>
      <c r="J19303" s="689">
        <v>7.4</v>
      </c>
      <c r="K19303" s="689">
        <v>8.1999999999999993</v>
      </c>
    </row>
    <row r="19304" spans="1:11">
      <c r="A19304" s="688" t="s">
        <v>2355</v>
      </c>
      <c r="B19304" s="691">
        <v>11.1</v>
      </c>
      <c r="C19304" s="691">
        <v>10.8</v>
      </c>
      <c r="D19304" s="691">
        <v>10.8</v>
      </c>
      <c r="E19304" s="691">
        <v>10.6</v>
      </c>
      <c r="F19304" s="691">
        <v>10.7</v>
      </c>
      <c r="G19304" s="691">
        <v>10.9</v>
      </c>
      <c r="H19304" s="691">
        <v>10.9</v>
      </c>
      <c r="I19304" s="692" t="s">
        <v>4060</v>
      </c>
      <c r="J19304" s="692" t="s">
        <v>4060</v>
      </c>
      <c r="K19304" s="692" t="s">
        <v>4060</v>
      </c>
    </row>
    <row r="19305" spans="1:11">
      <c r="A19305" s="688" t="s">
        <v>2357</v>
      </c>
      <c r="B19305" s="690" t="s">
        <v>4060</v>
      </c>
      <c r="C19305" s="693">
        <v>9</v>
      </c>
      <c r="D19305" s="689">
        <v>9.1999999999999993</v>
      </c>
      <c r="E19305" s="689">
        <v>9.5</v>
      </c>
      <c r="F19305" s="689">
        <v>9.6</v>
      </c>
      <c r="G19305" s="689">
        <v>9.4</v>
      </c>
      <c r="H19305" s="689">
        <v>9.6</v>
      </c>
      <c r="I19305" s="690" t="s">
        <v>4060</v>
      </c>
      <c r="J19305" s="690" t="s">
        <v>4060</v>
      </c>
      <c r="K19305" s="690" t="s">
        <v>4060</v>
      </c>
    </row>
    <row r="19306" spans="1:11">
      <c r="A19306" s="688" t="s">
        <v>4070</v>
      </c>
      <c r="B19306" s="692" t="s">
        <v>4060</v>
      </c>
      <c r="C19306" s="692" t="s">
        <v>4060</v>
      </c>
      <c r="D19306" s="692" t="s">
        <v>4060</v>
      </c>
      <c r="E19306" s="691">
        <v>11.9</v>
      </c>
      <c r="F19306" s="692" t="s">
        <v>4060</v>
      </c>
      <c r="G19306" s="692" t="s">
        <v>4060</v>
      </c>
      <c r="H19306" s="692" t="s">
        <v>4060</v>
      </c>
      <c r="I19306" s="692" t="s">
        <v>4060</v>
      </c>
      <c r="J19306" s="692" t="s">
        <v>4060</v>
      </c>
      <c r="K19306" s="692" t="s">
        <v>4060</v>
      </c>
    </row>
    <row r="19307" spans="1:11">
      <c r="A19307" s="688" t="s">
        <v>2491</v>
      </c>
      <c r="B19307" s="689">
        <v>9.3000000000000007</v>
      </c>
      <c r="C19307" s="689">
        <v>9.6</v>
      </c>
      <c r="D19307" s="689">
        <v>9.6</v>
      </c>
      <c r="E19307" s="689">
        <v>9.6</v>
      </c>
      <c r="F19307" s="689">
        <v>9.6999999999999993</v>
      </c>
      <c r="G19307" s="689">
        <v>9.6999999999999993</v>
      </c>
      <c r="H19307" s="690" t="s">
        <v>4060</v>
      </c>
      <c r="I19307" s="690" t="s">
        <v>4060</v>
      </c>
      <c r="J19307" s="690" t="s">
        <v>4060</v>
      </c>
      <c r="K19307" s="690" t="s">
        <v>4060</v>
      </c>
    </row>
    <row r="19308" spans="1:11">
      <c r="A19308" s="688" t="s">
        <v>2343</v>
      </c>
      <c r="B19308" s="692" t="s">
        <v>4060</v>
      </c>
      <c r="C19308" s="692" t="s">
        <v>4060</v>
      </c>
      <c r="D19308" s="692" t="s">
        <v>4060</v>
      </c>
      <c r="E19308" s="692" t="s">
        <v>4060</v>
      </c>
      <c r="F19308" s="692" t="s">
        <v>4060</v>
      </c>
      <c r="G19308" s="692" t="s">
        <v>4060</v>
      </c>
      <c r="H19308" s="692" t="s">
        <v>4060</v>
      </c>
      <c r="I19308" s="692" t="s">
        <v>4060</v>
      </c>
      <c r="J19308" s="692" t="s">
        <v>4060</v>
      </c>
      <c r="K19308" s="692" t="s">
        <v>4060</v>
      </c>
    </row>
    <row r="19309" spans="1:11">
      <c r="A19309" s="688" t="s">
        <v>4071</v>
      </c>
      <c r="B19309" s="690" t="s">
        <v>4060</v>
      </c>
      <c r="C19309" s="690" t="s">
        <v>4060</v>
      </c>
      <c r="D19309" s="690" t="s">
        <v>4060</v>
      </c>
      <c r="E19309" s="690" t="s">
        <v>4060</v>
      </c>
      <c r="F19309" s="690" t="s">
        <v>4060</v>
      </c>
      <c r="G19309" s="690" t="s">
        <v>4060</v>
      </c>
      <c r="H19309" s="690" t="s">
        <v>4060</v>
      </c>
      <c r="I19309" s="690" t="s">
        <v>4060</v>
      </c>
      <c r="J19309" s="690" t="s">
        <v>4060</v>
      </c>
      <c r="K19309" s="690" t="s">
        <v>4060</v>
      </c>
    </row>
    <row r="19310" spans="1:11">
      <c r="A19310" s="688" t="s">
        <v>2489</v>
      </c>
      <c r="B19310" s="692" t="s">
        <v>4060</v>
      </c>
      <c r="C19310" s="692" t="s">
        <v>4060</v>
      </c>
      <c r="D19310" s="691">
        <v>8.9</v>
      </c>
      <c r="E19310" s="691">
        <v>8.8000000000000007</v>
      </c>
      <c r="F19310" s="615">
        <v>9</v>
      </c>
      <c r="G19310" s="691">
        <v>9.1999999999999993</v>
      </c>
      <c r="H19310" s="691">
        <v>9.3000000000000007</v>
      </c>
      <c r="I19310" s="692" t="s">
        <v>4060</v>
      </c>
      <c r="J19310" s="692" t="s">
        <v>4060</v>
      </c>
      <c r="K19310" s="692" t="s">
        <v>4060</v>
      </c>
    </row>
    <row r="19311" spans="1:11">
      <c r="A19311" s="688" t="s">
        <v>2490</v>
      </c>
      <c r="B19311" s="689">
        <v>8.6</v>
      </c>
      <c r="C19311" s="689">
        <v>8.4</v>
      </c>
      <c r="D19311" s="693">
        <v>9</v>
      </c>
      <c r="E19311" s="690" t="s">
        <v>4060</v>
      </c>
      <c r="F19311" s="693">
        <v>9</v>
      </c>
      <c r="G19311" s="689">
        <v>9.1999999999999993</v>
      </c>
      <c r="H19311" s="689">
        <v>9.8000000000000007</v>
      </c>
      <c r="I19311" s="690" t="s">
        <v>4060</v>
      </c>
      <c r="J19311" s="690" t="s">
        <v>4060</v>
      </c>
      <c r="K19311" s="690" t="s">
        <v>4060</v>
      </c>
    </row>
    <row r="19313" spans="1:11">
      <c r="A19313" s="683" t="s">
        <v>4233</v>
      </c>
    </row>
    <row r="19314" spans="1:11">
      <c r="A19314" s="683" t="s">
        <v>4060</v>
      </c>
      <c r="B19314" s="682" t="s">
        <v>4234</v>
      </c>
    </row>
    <row r="19316" spans="1:11">
      <c r="A19316" s="682" t="s">
        <v>4332</v>
      </c>
    </row>
    <row r="19317" spans="1:11">
      <c r="A19317" s="682" t="s">
        <v>4210</v>
      </c>
      <c r="B19317" s="683" t="s">
        <v>4211</v>
      </c>
    </row>
    <row r="19318" spans="1:11">
      <c r="A19318" s="682" t="s">
        <v>4212</v>
      </c>
      <c r="B19318" s="682" t="s">
        <v>4213</v>
      </c>
    </row>
    <row r="19320" spans="1:11">
      <c r="A19320" s="683" t="s">
        <v>4214</v>
      </c>
      <c r="C19320" s="682" t="s">
        <v>4215</v>
      </c>
    </row>
    <row r="19321" spans="1:11">
      <c r="A19321" s="683" t="s">
        <v>4216</v>
      </c>
      <c r="C19321" s="682" t="s">
        <v>2967</v>
      </c>
    </row>
    <row r="19322" spans="1:11">
      <c r="A19322" s="683" t="s">
        <v>3893</v>
      </c>
      <c r="C19322" s="682" t="s">
        <v>2169</v>
      </c>
    </row>
    <row r="19323" spans="1:11">
      <c r="A19323" s="683" t="s">
        <v>4218</v>
      </c>
      <c r="C19323" s="682" t="s">
        <v>4312</v>
      </c>
    </row>
    <row r="19325" spans="1:11">
      <c r="A19325" s="684" t="s">
        <v>4220</v>
      </c>
      <c r="B19325" s="685" t="s">
        <v>4221</v>
      </c>
      <c r="C19325" s="685" t="s">
        <v>4222</v>
      </c>
      <c r="D19325" s="685" t="s">
        <v>4223</v>
      </c>
      <c r="E19325" s="685" t="s">
        <v>4224</v>
      </c>
      <c r="F19325" s="685" t="s">
        <v>4225</v>
      </c>
      <c r="G19325" s="685" t="s">
        <v>4226</v>
      </c>
      <c r="H19325" s="685" t="s">
        <v>4227</v>
      </c>
      <c r="I19325" s="685" t="s">
        <v>4228</v>
      </c>
      <c r="J19325" s="685" t="s">
        <v>4229</v>
      </c>
      <c r="K19325" s="685" t="s">
        <v>4230</v>
      </c>
    </row>
    <row r="19326" spans="1:11">
      <c r="A19326" s="686" t="s">
        <v>4231</v>
      </c>
      <c r="B19326" s="687" t="s">
        <v>4232</v>
      </c>
      <c r="C19326" s="687" t="s">
        <v>4232</v>
      </c>
      <c r="D19326" s="687" t="s">
        <v>4232</v>
      </c>
      <c r="E19326" s="687" t="s">
        <v>4232</v>
      </c>
      <c r="F19326" s="687" t="s">
        <v>4232</v>
      </c>
      <c r="G19326" s="687" t="s">
        <v>4232</v>
      </c>
      <c r="H19326" s="687" t="s">
        <v>4232</v>
      </c>
      <c r="I19326" s="687" t="s">
        <v>4232</v>
      </c>
      <c r="J19326" s="687" t="s">
        <v>4232</v>
      </c>
      <c r="K19326" s="687" t="s">
        <v>4232</v>
      </c>
    </row>
    <row r="19327" spans="1:11">
      <c r="A19327" s="688" t="s">
        <v>4064</v>
      </c>
      <c r="B19327" s="689">
        <v>11.3</v>
      </c>
      <c r="C19327" s="689">
        <v>11.1</v>
      </c>
      <c r="D19327" s="689">
        <v>11.1</v>
      </c>
      <c r="E19327" s="689">
        <v>11.2</v>
      </c>
      <c r="F19327" s="689">
        <v>11.1</v>
      </c>
      <c r="G19327" s="689">
        <v>11.2</v>
      </c>
      <c r="H19327" s="689">
        <v>11.4</v>
      </c>
      <c r="I19327" s="689">
        <v>10.9</v>
      </c>
      <c r="J19327" s="689">
        <v>10.9</v>
      </c>
      <c r="K19327" s="693">
        <v>11</v>
      </c>
    </row>
    <row r="19328" spans="1:11">
      <c r="A19328" s="688" t="s">
        <v>4065</v>
      </c>
      <c r="B19328" s="691">
        <v>11.2</v>
      </c>
      <c r="C19328" s="691">
        <v>11.5</v>
      </c>
      <c r="D19328" s="691">
        <v>11.1</v>
      </c>
      <c r="E19328" s="691">
        <v>11.5</v>
      </c>
      <c r="F19328" s="691">
        <v>11.3</v>
      </c>
      <c r="G19328" s="691">
        <v>11.4</v>
      </c>
      <c r="H19328" s="692" t="s">
        <v>4060</v>
      </c>
      <c r="I19328" s="692" t="s">
        <v>4060</v>
      </c>
      <c r="J19328" s="692" t="s">
        <v>4060</v>
      </c>
      <c r="K19328" s="692" t="s">
        <v>4060</v>
      </c>
    </row>
    <row r="19329" spans="1:11">
      <c r="A19329" s="688" t="s">
        <v>4063</v>
      </c>
      <c r="B19329" s="689">
        <v>11.3</v>
      </c>
      <c r="C19329" s="689">
        <v>11.5</v>
      </c>
      <c r="D19329" s="689">
        <v>11.1</v>
      </c>
      <c r="E19329" s="689">
        <v>11.5</v>
      </c>
      <c r="F19329" s="689">
        <v>11.3</v>
      </c>
      <c r="G19329" s="689">
        <v>11.4</v>
      </c>
      <c r="H19329" s="690" t="s">
        <v>4060</v>
      </c>
      <c r="I19329" s="690" t="s">
        <v>4060</v>
      </c>
      <c r="J19329" s="690" t="s">
        <v>4060</v>
      </c>
      <c r="K19329" s="690" t="s">
        <v>4060</v>
      </c>
    </row>
    <row r="19330" spans="1:11">
      <c r="A19330" s="688" t="s">
        <v>4069</v>
      </c>
      <c r="B19330" s="692" t="s">
        <v>4060</v>
      </c>
      <c r="C19330" s="691">
        <v>11.4</v>
      </c>
      <c r="D19330" s="691">
        <v>11.2</v>
      </c>
      <c r="E19330" s="691">
        <v>11.5</v>
      </c>
      <c r="F19330" s="691">
        <v>11.4</v>
      </c>
      <c r="G19330" s="691">
        <v>11.5</v>
      </c>
      <c r="H19330" s="691">
        <v>11.7</v>
      </c>
      <c r="I19330" s="691">
        <v>11.2</v>
      </c>
      <c r="J19330" s="691">
        <v>11.4</v>
      </c>
      <c r="K19330" s="691">
        <v>11.3</v>
      </c>
    </row>
    <row r="19331" spans="1:11">
      <c r="A19331" s="688" t="s">
        <v>4068</v>
      </c>
      <c r="B19331" s="689">
        <v>11.7</v>
      </c>
      <c r="C19331" s="690" t="s">
        <v>4060</v>
      </c>
      <c r="D19331" s="690" t="s">
        <v>4060</v>
      </c>
      <c r="E19331" s="690" t="s">
        <v>4060</v>
      </c>
      <c r="F19331" s="690" t="s">
        <v>4060</v>
      </c>
      <c r="G19331" s="690" t="s">
        <v>4060</v>
      </c>
      <c r="H19331" s="690" t="s">
        <v>4060</v>
      </c>
      <c r="I19331" s="690" t="s">
        <v>4060</v>
      </c>
      <c r="J19331" s="690" t="s">
        <v>4060</v>
      </c>
      <c r="K19331" s="690" t="s">
        <v>4060</v>
      </c>
    </row>
    <row r="19332" spans="1:11">
      <c r="A19332" s="688" t="s">
        <v>0</v>
      </c>
      <c r="B19332" s="691">
        <v>11.3</v>
      </c>
      <c r="C19332" s="691">
        <v>11.3</v>
      </c>
      <c r="D19332" s="615">
        <v>11</v>
      </c>
      <c r="E19332" s="691">
        <v>11.4</v>
      </c>
      <c r="F19332" s="691">
        <v>11.4</v>
      </c>
      <c r="G19332" s="691">
        <v>11.4</v>
      </c>
      <c r="H19332" s="691">
        <v>11.6</v>
      </c>
      <c r="I19332" s="691">
        <v>10.7</v>
      </c>
      <c r="J19332" s="691">
        <v>11.8</v>
      </c>
      <c r="K19332" s="691">
        <v>11.4</v>
      </c>
    </row>
    <row r="19333" spans="1:11">
      <c r="A19333" s="688" t="s">
        <v>1</v>
      </c>
      <c r="B19333" s="689">
        <v>8.6</v>
      </c>
      <c r="C19333" s="689">
        <v>8.1999999999999993</v>
      </c>
      <c r="D19333" s="689">
        <v>8.1999999999999993</v>
      </c>
      <c r="E19333" s="689">
        <v>8.5</v>
      </c>
      <c r="F19333" s="689">
        <v>8.4</v>
      </c>
      <c r="G19333" s="689">
        <v>8.5</v>
      </c>
      <c r="H19333" s="689">
        <v>8.6</v>
      </c>
      <c r="I19333" s="689">
        <v>8.1999999999999993</v>
      </c>
      <c r="J19333" s="689">
        <v>7.5</v>
      </c>
      <c r="K19333" s="689">
        <v>8.4</v>
      </c>
    </row>
    <row r="19334" spans="1:11">
      <c r="A19334" s="688" t="s">
        <v>2240</v>
      </c>
      <c r="B19334" s="691">
        <v>9.6999999999999993</v>
      </c>
      <c r="C19334" s="691">
        <v>9.8000000000000007</v>
      </c>
      <c r="D19334" s="691">
        <v>9.5</v>
      </c>
      <c r="E19334" s="615">
        <v>10</v>
      </c>
      <c r="F19334" s="691">
        <v>9.9</v>
      </c>
      <c r="G19334" s="691">
        <v>9.9</v>
      </c>
      <c r="H19334" s="691">
        <v>10.1</v>
      </c>
      <c r="I19334" s="691">
        <v>9.4</v>
      </c>
      <c r="J19334" s="691">
        <v>9.4</v>
      </c>
      <c r="K19334" s="691">
        <v>9.9</v>
      </c>
    </row>
    <row r="19335" spans="1:11">
      <c r="A19335" s="688" t="s">
        <v>2</v>
      </c>
      <c r="B19335" s="689">
        <v>10.6</v>
      </c>
      <c r="C19335" s="689">
        <v>10.9</v>
      </c>
      <c r="D19335" s="689">
        <v>10.8</v>
      </c>
      <c r="E19335" s="689">
        <v>10.8</v>
      </c>
      <c r="F19335" s="689">
        <v>10.9</v>
      </c>
      <c r="G19335" s="689">
        <v>10.8</v>
      </c>
      <c r="H19335" s="689">
        <v>11.1</v>
      </c>
      <c r="I19335" s="689">
        <v>11.2</v>
      </c>
      <c r="J19335" s="693">
        <v>11</v>
      </c>
      <c r="K19335" s="689">
        <v>10.8</v>
      </c>
    </row>
    <row r="19336" spans="1:11">
      <c r="A19336" s="688" t="s">
        <v>3</v>
      </c>
      <c r="B19336" s="691">
        <v>10.7</v>
      </c>
      <c r="C19336" s="691">
        <v>10.9</v>
      </c>
      <c r="D19336" s="691">
        <v>10.6</v>
      </c>
      <c r="E19336" s="691">
        <v>10.9</v>
      </c>
      <c r="F19336" s="691">
        <v>10.9</v>
      </c>
      <c r="G19336" s="691">
        <v>10.9</v>
      </c>
      <c r="H19336" s="691">
        <v>11.1</v>
      </c>
      <c r="I19336" s="615">
        <v>11</v>
      </c>
      <c r="J19336" s="691">
        <v>10.9</v>
      </c>
      <c r="K19336" s="691">
        <v>10.7</v>
      </c>
    </row>
    <row r="19337" spans="1:11">
      <c r="A19337" s="688" t="s">
        <v>4061</v>
      </c>
      <c r="B19337" s="689">
        <v>10.7</v>
      </c>
      <c r="C19337" s="689">
        <v>10.9</v>
      </c>
      <c r="D19337" s="689">
        <v>10.6</v>
      </c>
      <c r="E19337" s="689">
        <v>10.9</v>
      </c>
      <c r="F19337" s="689">
        <v>10.9</v>
      </c>
      <c r="G19337" s="689">
        <v>10.9</v>
      </c>
      <c r="H19337" s="689">
        <v>11.1</v>
      </c>
      <c r="I19337" s="693">
        <v>11</v>
      </c>
      <c r="J19337" s="689">
        <v>10.9</v>
      </c>
      <c r="K19337" s="689">
        <v>10.7</v>
      </c>
    </row>
    <row r="19338" spans="1:11">
      <c r="A19338" s="688" t="s">
        <v>4</v>
      </c>
      <c r="B19338" s="691">
        <v>10.6</v>
      </c>
      <c r="C19338" s="691">
        <v>10.199999999999999</v>
      </c>
      <c r="D19338" s="691">
        <v>10.4</v>
      </c>
      <c r="E19338" s="691">
        <v>10.5</v>
      </c>
      <c r="F19338" s="691">
        <v>10.5</v>
      </c>
      <c r="G19338" s="691">
        <v>10.6</v>
      </c>
      <c r="H19338" s="691">
        <v>10.8</v>
      </c>
      <c r="I19338" s="691">
        <v>10.9</v>
      </c>
      <c r="J19338" s="691">
        <v>10.199999999999999</v>
      </c>
      <c r="K19338" s="691">
        <v>10.5</v>
      </c>
    </row>
    <row r="19339" spans="1:11">
      <c r="A19339" s="688" t="s">
        <v>8</v>
      </c>
      <c r="B19339" s="689">
        <v>10.7</v>
      </c>
      <c r="C19339" s="689">
        <v>10.8</v>
      </c>
      <c r="D19339" s="689">
        <v>10.7</v>
      </c>
      <c r="E19339" s="689">
        <v>10.8</v>
      </c>
      <c r="F19339" s="693">
        <v>11</v>
      </c>
      <c r="G19339" s="689">
        <v>11.1</v>
      </c>
      <c r="H19339" s="689">
        <v>11.3</v>
      </c>
      <c r="I19339" s="689">
        <v>11.2</v>
      </c>
      <c r="J19339" s="689">
        <v>11.1</v>
      </c>
      <c r="K19339" s="689">
        <v>11.1</v>
      </c>
    </row>
    <row r="19340" spans="1:11">
      <c r="A19340" s="688" t="s">
        <v>7</v>
      </c>
      <c r="B19340" s="615">
        <v>11</v>
      </c>
      <c r="C19340" s="691">
        <v>10.6</v>
      </c>
      <c r="D19340" s="691">
        <v>10.4</v>
      </c>
      <c r="E19340" s="691">
        <v>10.8</v>
      </c>
      <c r="F19340" s="691">
        <v>10.7</v>
      </c>
      <c r="G19340" s="691">
        <v>11.1</v>
      </c>
      <c r="H19340" s="615">
        <v>11</v>
      </c>
      <c r="I19340" s="691">
        <v>10.8</v>
      </c>
      <c r="J19340" s="691">
        <v>10.5</v>
      </c>
      <c r="K19340" s="691">
        <v>10.5</v>
      </c>
    </row>
    <row r="19341" spans="1:11">
      <c r="A19341" s="688" t="s">
        <v>27</v>
      </c>
      <c r="B19341" s="689">
        <v>12.6</v>
      </c>
      <c r="C19341" s="693">
        <v>12</v>
      </c>
      <c r="D19341" s="689">
        <v>11.7</v>
      </c>
      <c r="E19341" s="689">
        <v>12.1</v>
      </c>
      <c r="F19341" s="693">
        <v>12</v>
      </c>
      <c r="G19341" s="689">
        <v>12.1</v>
      </c>
      <c r="H19341" s="689">
        <v>12.4</v>
      </c>
      <c r="I19341" s="689">
        <v>11.5</v>
      </c>
      <c r="J19341" s="689">
        <v>12.3</v>
      </c>
      <c r="K19341" s="689">
        <v>12.1</v>
      </c>
    </row>
    <row r="19342" spans="1:11">
      <c r="A19342" s="688" t="s">
        <v>6</v>
      </c>
      <c r="B19342" s="615">
        <v>13</v>
      </c>
      <c r="C19342" s="691">
        <v>12.6</v>
      </c>
      <c r="D19342" s="691">
        <v>12.3</v>
      </c>
      <c r="E19342" s="691">
        <v>12.6</v>
      </c>
      <c r="F19342" s="691">
        <v>12.6</v>
      </c>
      <c r="G19342" s="691">
        <v>12.7</v>
      </c>
      <c r="H19342" s="691">
        <v>12.8</v>
      </c>
      <c r="I19342" s="691">
        <v>12.4</v>
      </c>
      <c r="J19342" s="691">
        <v>12.6</v>
      </c>
      <c r="K19342" s="691">
        <v>12.5</v>
      </c>
    </row>
    <row r="19343" spans="1:11">
      <c r="A19343" s="688" t="s">
        <v>4058</v>
      </c>
      <c r="B19343" s="690" t="s">
        <v>4060</v>
      </c>
      <c r="C19343" s="690" t="s">
        <v>4060</v>
      </c>
      <c r="D19343" s="690" t="s">
        <v>4060</v>
      </c>
      <c r="E19343" s="690" t="s">
        <v>4060</v>
      </c>
      <c r="F19343" s="690" t="s">
        <v>4060</v>
      </c>
      <c r="G19343" s="690" t="s">
        <v>4060</v>
      </c>
      <c r="H19343" s="690" t="s">
        <v>4060</v>
      </c>
      <c r="I19343" s="690" t="s">
        <v>4060</v>
      </c>
      <c r="J19343" s="690" t="s">
        <v>4060</v>
      </c>
      <c r="K19343" s="690" t="s">
        <v>4060</v>
      </c>
    </row>
    <row r="19344" spans="1:11">
      <c r="A19344" s="688" t="s">
        <v>11</v>
      </c>
      <c r="B19344" s="691">
        <v>9.3000000000000007</v>
      </c>
      <c r="C19344" s="691">
        <v>9.1</v>
      </c>
      <c r="D19344" s="691">
        <v>8.8000000000000007</v>
      </c>
      <c r="E19344" s="691">
        <v>9.1</v>
      </c>
      <c r="F19344" s="615">
        <v>9</v>
      </c>
      <c r="G19344" s="691">
        <v>9.1999999999999993</v>
      </c>
      <c r="H19344" s="691">
        <v>9.3000000000000007</v>
      </c>
      <c r="I19344" s="691">
        <v>8.9</v>
      </c>
      <c r="J19344" s="691">
        <v>8.5</v>
      </c>
      <c r="K19344" s="691">
        <v>8.8000000000000007</v>
      </c>
    </row>
    <row r="19345" spans="1:11">
      <c r="A19345" s="688" t="s">
        <v>10</v>
      </c>
      <c r="B19345" s="689">
        <v>12.1</v>
      </c>
      <c r="C19345" s="689">
        <v>11.7</v>
      </c>
      <c r="D19345" s="689">
        <v>11.3</v>
      </c>
      <c r="E19345" s="689">
        <v>11.8</v>
      </c>
      <c r="F19345" s="689">
        <v>11.5</v>
      </c>
      <c r="G19345" s="689">
        <v>11.8</v>
      </c>
      <c r="H19345" s="689">
        <v>11.9</v>
      </c>
      <c r="I19345" s="689">
        <v>11.1</v>
      </c>
      <c r="J19345" s="689">
        <v>11.5</v>
      </c>
      <c r="K19345" s="689">
        <v>11.3</v>
      </c>
    </row>
    <row r="19346" spans="1:11">
      <c r="A19346" s="688" t="s">
        <v>30</v>
      </c>
      <c r="B19346" s="615">
        <v>11</v>
      </c>
      <c r="C19346" s="691">
        <v>10.199999999999999</v>
      </c>
      <c r="D19346" s="691">
        <v>10.1</v>
      </c>
      <c r="E19346" s="691">
        <v>10.8</v>
      </c>
      <c r="F19346" s="691">
        <v>10.4</v>
      </c>
      <c r="G19346" s="691">
        <v>10.8</v>
      </c>
      <c r="H19346" s="691">
        <v>10.6</v>
      </c>
      <c r="I19346" s="691">
        <v>10.8</v>
      </c>
      <c r="J19346" s="691">
        <v>10.5</v>
      </c>
      <c r="K19346" s="691">
        <v>10.4</v>
      </c>
    </row>
    <row r="19347" spans="1:11">
      <c r="A19347" s="688" t="s">
        <v>12</v>
      </c>
      <c r="B19347" s="689">
        <v>9.6</v>
      </c>
      <c r="C19347" s="689">
        <v>9.4</v>
      </c>
      <c r="D19347" s="689">
        <v>9.4</v>
      </c>
      <c r="E19347" s="689">
        <v>9.5</v>
      </c>
      <c r="F19347" s="689">
        <v>9.6</v>
      </c>
      <c r="G19347" s="689">
        <v>9.6</v>
      </c>
      <c r="H19347" s="689">
        <v>9.9</v>
      </c>
      <c r="I19347" s="689">
        <v>9.6999999999999993</v>
      </c>
      <c r="J19347" s="689">
        <v>8.8000000000000007</v>
      </c>
      <c r="K19347" s="689">
        <v>9.4</v>
      </c>
    </row>
    <row r="19348" spans="1:11">
      <c r="A19348" s="688" t="s">
        <v>14</v>
      </c>
      <c r="B19348" s="691">
        <v>9.6999999999999993</v>
      </c>
      <c r="C19348" s="691">
        <v>9.5</v>
      </c>
      <c r="D19348" s="691">
        <v>9.3000000000000007</v>
      </c>
      <c r="E19348" s="691">
        <v>9.5</v>
      </c>
      <c r="F19348" s="691">
        <v>9.5</v>
      </c>
      <c r="G19348" s="691">
        <v>9.6</v>
      </c>
      <c r="H19348" s="615">
        <v>10</v>
      </c>
      <c r="I19348" s="691">
        <v>9.5</v>
      </c>
      <c r="J19348" s="615">
        <v>9</v>
      </c>
      <c r="K19348" s="691">
        <v>9.5</v>
      </c>
    </row>
    <row r="19349" spans="1:11">
      <c r="A19349" s="688" t="s">
        <v>15</v>
      </c>
      <c r="B19349" s="689">
        <v>11.7</v>
      </c>
      <c r="C19349" s="689">
        <v>11.7</v>
      </c>
      <c r="D19349" s="689">
        <v>11.2</v>
      </c>
      <c r="E19349" s="689">
        <v>11.7</v>
      </c>
      <c r="F19349" s="689">
        <v>11.6</v>
      </c>
      <c r="G19349" s="689">
        <v>11.6</v>
      </c>
      <c r="H19349" s="689">
        <v>11.6</v>
      </c>
      <c r="I19349" s="689">
        <v>11.4</v>
      </c>
      <c r="J19349" s="689">
        <v>11.6</v>
      </c>
      <c r="K19349" s="689">
        <v>11.6</v>
      </c>
    </row>
    <row r="19350" spans="1:11">
      <c r="A19350" s="688" t="s">
        <v>29</v>
      </c>
      <c r="B19350" s="691">
        <v>9.3000000000000007</v>
      </c>
      <c r="C19350" s="691">
        <v>9.1999999999999993</v>
      </c>
      <c r="D19350" s="691">
        <v>8.9</v>
      </c>
      <c r="E19350" s="691">
        <v>9.3000000000000007</v>
      </c>
      <c r="F19350" s="691">
        <v>9.1</v>
      </c>
      <c r="G19350" s="691">
        <v>9.1</v>
      </c>
      <c r="H19350" s="691">
        <v>9.1999999999999993</v>
      </c>
      <c r="I19350" s="691">
        <v>8.9</v>
      </c>
      <c r="J19350" s="691">
        <v>8.6</v>
      </c>
      <c r="K19350" s="691">
        <v>9.1</v>
      </c>
    </row>
    <row r="19351" spans="1:11">
      <c r="A19351" s="688" t="s">
        <v>16</v>
      </c>
      <c r="B19351" s="689">
        <v>10.9</v>
      </c>
      <c r="C19351" s="693">
        <v>11</v>
      </c>
      <c r="D19351" s="689">
        <v>10.7</v>
      </c>
      <c r="E19351" s="689">
        <v>11.2</v>
      </c>
      <c r="F19351" s="693">
        <v>11</v>
      </c>
      <c r="G19351" s="689">
        <v>11.1</v>
      </c>
      <c r="H19351" s="689">
        <v>11.2</v>
      </c>
      <c r="I19351" s="693">
        <v>11</v>
      </c>
      <c r="J19351" s="689">
        <v>10.9</v>
      </c>
      <c r="K19351" s="693">
        <v>11</v>
      </c>
    </row>
    <row r="19352" spans="1:11">
      <c r="A19352" s="688" t="s">
        <v>17</v>
      </c>
      <c r="B19352" s="615">
        <v>11</v>
      </c>
      <c r="C19352" s="615">
        <v>11</v>
      </c>
      <c r="D19352" s="691">
        <v>10.8</v>
      </c>
      <c r="E19352" s="691">
        <v>10.9</v>
      </c>
      <c r="F19352" s="691">
        <v>10.9</v>
      </c>
      <c r="G19352" s="691">
        <v>10.9</v>
      </c>
      <c r="H19352" s="691">
        <v>11.1</v>
      </c>
      <c r="I19352" s="691">
        <v>10.6</v>
      </c>
      <c r="J19352" s="691">
        <v>10.8</v>
      </c>
      <c r="K19352" s="691">
        <v>10.7</v>
      </c>
    </row>
    <row r="19353" spans="1:11">
      <c r="A19353" s="688" t="s">
        <v>19</v>
      </c>
      <c r="B19353" s="689">
        <v>11.2</v>
      </c>
      <c r="C19353" s="689">
        <v>11.2</v>
      </c>
      <c r="D19353" s="689">
        <v>10.9</v>
      </c>
      <c r="E19353" s="689">
        <v>11.3</v>
      </c>
      <c r="F19353" s="689">
        <v>11.1</v>
      </c>
      <c r="G19353" s="689">
        <v>11.2</v>
      </c>
      <c r="H19353" s="689">
        <v>11.4</v>
      </c>
      <c r="I19353" s="689">
        <v>10.9</v>
      </c>
      <c r="J19353" s="689">
        <v>11.1</v>
      </c>
      <c r="K19353" s="693">
        <v>11</v>
      </c>
    </row>
    <row r="19354" spans="1:11">
      <c r="A19354" s="688" t="s">
        <v>20</v>
      </c>
      <c r="B19354" s="691">
        <v>10.5</v>
      </c>
      <c r="C19354" s="691">
        <v>10.4</v>
      </c>
      <c r="D19354" s="691">
        <v>10.199999999999999</v>
      </c>
      <c r="E19354" s="691">
        <v>10.6</v>
      </c>
      <c r="F19354" s="691">
        <v>10.4</v>
      </c>
      <c r="G19354" s="691">
        <v>10.4</v>
      </c>
      <c r="H19354" s="691">
        <v>10.7</v>
      </c>
      <c r="I19354" s="691">
        <v>9.9</v>
      </c>
      <c r="J19354" s="691">
        <v>9.4</v>
      </c>
      <c r="K19354" s="691">
        <v>10.1</v>
      </c>
    </row>
    <row r="19355" spans="1:11">
      <c r="A19355" s="688" t="s">
        <v>21</v>
      </c>
      <c r="B19355" s="689">
        <v>11.1</v>
      </c>
      <c r="C19355" s="689">
        <v>11.3</v>
      </c>
      <c r="D19355" s="689">
        <v>11.1</v>
      </c>
      <c r="E19355" s="689">
        <v>11.2</v>
      </c>
      <c r="F19355" s="689">
        <v>11.4</v>
      </c>
      <c r="G19355" s="689">
        <v>11.4</v>
      </c>
      <c r="H19355" s="689">
        <v>11.6</v>
      </c>
      <c r="I19355" s="689">
        <v>11.1</v>
      </c>
      <c r="J19355" s="689">
        <v>11.2</v>
      </c>
      <c r="K19355" s="689">
        <v>11.2</v>
      </c>
    </row>
    <row r="19356" spans="1:11">
      <c r="A19356" s="688" t="s">
        <v>22</v>
      </c>
      <c r="B19356" s="615">
        <v>9</v>
      </c>
      <c r="C19356" s="691">
        <v>8.8000000000000007</v>
      </c>
      <c r="D19356" s="691">
        <v>8.6999999999999993</v>
      </c>
      <c r="E19356" s="615">
        <v>9</v>
      </c>
      <c r="F19356" s="615">
        <v>9</v>
      </c>
      <c r="G19356" s="691">
        <v>9.1</v>
      </c>
      <c r="H19356" s="691">
        <v>9.4</v>
      </c>
      <c r="I19356" s="691">
        <v>8.9</v>
      </c>
      <c r="J19356" s="691">
        <v>8.1</v>
      </c>
      <c r="K19356" s="691">
        <v>8.8000000000000007</v>
      </c>
    </row>
    <row r="19357" spans="1:11">
      <c r="A19357" s="688" t="s">
        <v>26</v>
      </c>
      <c r="B19357" s="689">
        <v>11.1</v>
      </c>
      <c r="C19357" s="689">
        <v>10.7</v>
      </c>
      <c r="D19357" s="689">
        <v>10.8</v>
      </c>
      <c r="E19357" s="689">
        <v>10.9</v>
      </c>
      <c r="F19357" s="689">
        <v>10.9</v>
      </c>
      <c r="G19357" s="689">
        <v>11.1</v>
      </c>
      <c r="H19357" s="689">
        <v>11.2</v>
      </c>
      <c r="I19357" s="689">
        <v>10.199999999999999</v>
      </c>
      <c r="J19357" s="689">
        <v>10.8</v>
      </c>
      <c r="K19357" s="689">
        <v>10.9</v>
      </c>
    </row>
    <row r="19358" spans="1:11">
      <c r="A19358" s="688" t="s">
        <v>25</v>
      </c>
      <c r="B19358" s="691">
        <v>9.3000000000000007</v>
      </c>
      <c r="C19358" s="691">
        <v>9.4</v>
      </c>
      <c r="D19358" s="691">
        <v>9.1</v>
      </c>
      <c r="E19358" s="691">
        <v>9.5</v>
      </c>
      <c r="F19358" s="691">
        <v>9.4</v>
      </c>
      <c r="G19358" s="691">
        <v>9.6</v>
      </c>
      <c r="H19358" s="691">
        <v>9.9</v>
      </c>
      <c r="I19358" s="691">
        <v>9.5</v>
      </c>
      <c r="J19358" s="691">
        <v>8.4</v>
      </c>
      <c r="K19358" s="691">
        <v>9.1999999999999993</v>
      </c>
    </row>
    <row r="19359" spans="1:11">
      <c r="A19359" s="688" t="s">
        <v>5</v>
      </c>
      <c r="B19359" s="689">
        <v>11.5</v>
      </c>
      <c r="C19359" s="689">
        <v>11.1</v>
      </c>
      <c r="D19359" s="689">
        <v>11.1</v>
      </c>
      <c r="E19359" s="689">
        <v>11.2</v>
      </c>
      <c r="F19359" s="689">
        <v>11.4</v>
      </c>
      <c r="G19359" s="689">
        <v>11.4</v>
      </c>
      <c r="H19359" s="689">
        <v>11.6</v>
      </c>
      <c r="I19359" s="689">
        <v>11.6</v>
      </c>
      <c r="J19359" s="689">
        <v>11.5</v>
      </c>
      <c r="K19359" s="693">
        <v>11</v>
      </c>
    </row>
    <row r="19360" spans="1:11">
      <c r="A19360" s="688" t="s">
        <v>23</v>
      </c>
      <c r="B19360" s="691">
        <v>11.1</v>
      </c>
      <c r="C19360" s="691">
        <v>11.2</v>
      </c>
      <c r="D19360" s="691">
        <v>11.2</v>
      </c>
      <c r="E19360" s="691">
        <v>11.2</v>
      </c>
      <c r="F19360" s="691">
        <v>11.2</v>
      </c>
      <c r="G19360" s="691">
        <v>11.3</v>
      </c>
      <c r="H19360" s="691">
        <v>11.6</v>
      </c>
      <c r="I19360" s="691">
        <v>11.1</v>
      </c>
      <c r="J19360" s="691">
        <v>11.6</v>
      </c>
      <c r="K19360" s="691">
        <v>11.5</v>
      </c>
    </row>
    <row r="19361" spans="1:11">
      <c r="A19361" s="688" t="s">
        <v>4067</v>
      </c>
      <c r="B19361" s="689">
        <v>11.2</v>
      </c>
      <c r="C19361" s="689">
        <v>11.5</v>
      </c>
      <c r="D19361" s="689">
        <v>11.1</v>
      </c>
      <c r="E19361" s="689">
        <v>11.5</v>
      </c>
      <c r="F19361" s="689">
        <v>11.3</v>
      </c>
      <c r="G19361" s="689">
        <v>11.4</v>
      </c>
      <c r="H19361" s="690" t="s">
        <v>4060</v>
      </c>
      <c r="I19361" s="690" t="s">
        <v>4060</v>
      </c>
      <c r="J19361" s="690" t="s">
        <v>4060</v>
      </c>
      <c r="K19361" s="690" t="s">
        <v>4060</v>
      </c>
    </row>
    <row r="19362" spans="1:11">
      <c r="A19362" s="688" t="s">
        <v>4066</v>
      </c>
      <c r="B19362" s="691">
        <v>11.3</v>
      </c>
      <c r="C19362" s="691">
        <v>11.5</v>
      </c>
      <c r="D19362" s="691">
        <v>11.1</v>
      </c>
      <c r="E19362" s="691">
        <v>11.5</v>
      </c>
      <c r="F19362" s="691">
        <v>11.3</v>
      </c>
      <c r="G19362" s="691">
        <v>11.4</v>
      </c>
      <c r="H19362" s="692" t="s">
        <v>4060</v>
      </c>
      <c r="I19362" s="692" t="s">
        <v>4060</v>
      </c>
      <c r="J19362" s="692" t="s">
        <v>4060</v>
      </c>
      <c r="K19362" s="692" t="s">
        <v>4060</v>
      </c>
    </row>
    <row r="19363" spans="1:11">
      <c r="A19363" s="688" t="s">
        <v>4062</v>
      </c>
      <c r="B19363" s="689">
        <v>11.6</v>
      </c>
      <c r="C19363" s="689">
        <v>11.6</v>
      </c>
      <c r="D19363" s="689">
        <v>11.4</v>
      </c>
      <c r="E19363" s="689">
        <v>11.7</v>
      </c>
      <c r="F19363" s="689">
        <v>11.6</v>
      </c>
      <c r="G19363" s="689">
        <v>11.7</v>
      </c>
      <c r="H19363" s="689">
        <v>11.9</v>
      </c>
      <c r="I19363" s="689">
        <v>11.5</v>
      </c>
      <c r="J19363" s="689">
        <v>11.8</v>
      </c>
      <c r="K19363" s="689">
        <v>11.6</v>
      </c>
    </row>
    <row r="19364" spans="1:11">
      <c r="A19364" s="688" t="s">
        <v>9</v>
      </c>
      <c r="B19364" s="691">
        <v>11.1</v>
      </c>
      <c r="C19364" s="691">
        <v>11.4</v>
      </c>
      <c r="D19364" s="691">
        <v>10.9</v>
      </c>
      <c r="E19364" s="691">
        <v>11.1</v>
      </c>
      <c r="F19364" s="691">
        <v>10.8</v>
      </c>
      <c r="G19364" s="691">
        <v>10.7</v>
      </c>
      <c r="H19364" s="691">
        <v>11.3</v>
      </c>
      <c r="I19364" s="691">
        <v>11.3</v>
      </c>
      <c r="J19364" s="691">
        <v>11.3</v>
      </c>
      <c r="K19364" s="691">
        <v>10.6</v>
      </c>
    </row>
    <row r="19365" spans="1:11">
      <c r="A19365" s="688" t="s">
        <v>13</v>
      </c>
      <c r="B19365" s="689">
        <v>12.6</v>
      </c>
      <c r="C19365" s="693">
        <v>10</v>
      </c>
      <c r="D19365" s="689">
        <v>10.6</v>
      </c>
      <c r="E19365" s="689">
        <v>12.1</v>
      </c>
      <c r="F19365" s="689">
        <v>11.7</v>
      </c>
      <c r="G19365" s="689">
        <v>11.5</v>
      </c>
      <c r="H19365" s="689">
        <v>11.3</v>
      </c>
      <c r="I19365" s="689">
        <v>10.6</v>
      </c>
      <c r="J19365" s="689">
        <v>11.5</v>
      </c>
      <c r="K19365" s="689">
        <v>11.5</v>
      </c>
    </row>
    <row r="19366" spans="1:11">
      <c r="A19366" s="688" t="s">
        <v>18</v>
      </c>
      <c r="B19366" s="691">
        <v>11.2</v>
      </c>
      <c r="C19366" s="691">
        <v>11.3</v>
      </c>
      <c r="D19366" s="691">
        <v>11.2</v>
      </c>
      <c r="E19366" s="691">
        <v>11.3</v>
      </c>
      <c r="F19366" s="691">
        <v>11.4</v>
      </c>
      <c r="G19366" s="691">
        <v>11.4</v>
      </c>
      <c r="H19366" s="691">
        <v>11.5</v>
      </c>
      <c r="I19366" s="691">
        <v>11.7</v>
      </c>
      <c r="J19366" s="691">
        <v>11.5</v>
      </c>
      <c r="K19366" s="691">
        <v>11.2</v>
      </c>
    </row>
    <row r="19367" spans="1:11">
      <c r="A19367" s="688" t="s">
        <v>24</v>
      </c>
      <c r="B19367" s="689">
        <v>11.8</v>
      </c>
      <c r="C19367" s="689">
        <v>11.7</v>
      </c>
      <c r="D19367" s="689">
        <v>11.5</v>
      </c>
      <c r="E19367" s="689">
        <v>11.9</v>
      </c>
      <c r="F19367" s="689">
        <v>11.8</v>
      </c>
      <c r="G19367" s="689">
        <v>11.9</v>
      </c>
      <c r="H19367" s="693">
        <v>12</v>
      </c>
      <c r="I19367" s="689">
        <v>11.5</v>
      </c>
      <c r="J19367" s="693">
        <v>12</v>
      </c>
      <c r="K19367" s="689">
        <v>11.8</v>
      </c>
    </row>
    <row r="19368" spans="1:11">
      <c r="A19368" s="688" t="s">
        <v>4059</v>
      </c>
      <c r="B19368" s="615">
        <v>11</v>
      </c>
      <c r="C19368" s="691">
        <v>11.3</v>
      </c>
      <c r="D19368" s="691">
        <v>10.8</v>
      </c>
      <c r="E19368" s="691">
        <v>11.2</v>
      </c>
      <c r="F19368" s="691">
        <v>11.1</v>
      </c>
      <c r="G19368" s="691">
        <v>11.1</v>
      </c>
      <c r="H19368" s="692" t="s">
        <v>4060</v>
      </c>
      <c r="I19368" s="692" t="s">
        <v>4060</v>
      </c>
      <c r="J19368" s="692" t="s">
        <v>4060</v>
      </c>
      <c r="K19368" s="692" t="s">
        <v>4060</v>
      </c>
    </row>
    <row r="19369" spans="1:11">
      <c r="A19369" s="688" t="s">
        <v>2324</v>
      </c>
      <c r="B19369" s="689">
        <v>8.5</v>
      </c>
      <c r="C19369" s="689">
        <v>8.3000000000000007</v>
      </c>
      <c r="D19369" s="689">
        <v>7.9</v>
      </c>
      <c r="E19369" s="689">
        <v>8.3000000000000007</v>
      </c>
      <c r="F19369" s="689">
        <v>8.5</v>
      </c>
      <c r="G19369" s="689">
        <v>8.4</v>
      </c>
      <c r="H19369" s="689">
        <v>8.5</v>
      </c>
      <c r="I19369" s="689">
        <v>8.1999999999999993</v>
      </c>
      <c r="J19369" s="689">
        <v>6.6</v>
      </c>
      <c r="K19369" s="690" t="s">
        <v>4060</v>
      </c>
    </row>
    <row r="19370" spans="1:11">
      <c r="A19370" s="688" t="s">
        <v>2322</v>
      </c>
      <c r="B19370" s="692" t="s">
        <v>4060</v>
      </c>
      <c r="C19370" s="692" t="s">
        <v>4060</v>
      </c>
      <c r="D19370" s="692" t="s">
        <v>4060</v>
      </c>
      <c r="E19370" s="692" t="s">
        <v>4060</v>
      </c>
      <c r="F19370" s="692" t="s">
        <v>4060</v>
      </c>
      <c r="G19370" s="692" t="s">
        <v>4060</v>
      </c>
      <c r="H19370" s="692" t="s">
        <v>4060</v>
      </c>
      <c r="I19370" s="692" t="s">
        <v>4060</v>
      </c>
      <c r="J19370" s="692" t="s">
        <v>4060</v>
      </c>
      <c r="K19370" s="692" t="s">
        <v>4060</v>
      </c>
    </row>
    <row r="19371" spans="1:11">
      <c r="A19371" s="688" t="s">
        <v>2328</v>
      </c>
      <c r="B19371" s="689">
        <v>7.5</v>
      </c>
      <c r="C19371" s="689">
        <v>7.3</v>
      </c>
      <c r="D19371" s="689">
        <v>7.2</v>
      </c>
      <c r="E19371" s="689">
        <v>7.6</v>
      </c>
      <c r="F19371" s="689">
        <v>7.6</v>
      </c>
      <c r="G19371" s="693">
        <v>8</v>
      </c>
      <c r="H19371" s="689">
        <v>7.8</v>
      </c>
      <c r="I19371" s="689">
        <v>7.2</v>
      </c>
      <c r="J19371" s="689">
        <v>6.9</v>
      </c>
      <c r="K19371" s="690" t="s">
        <v>4060</v>
      </c>
    </row>
    <row r="19372" spans="1:11">
      <c r="A19372" s="688" t="s">
        <v>2496</v>
      </c>
      <c r="B19372" s="692" t="s">
        <v>4060</v>
      </c>
      <c r="C19372" s="691">
        <v>9.1</v>
      </c>
      <c r="D19372" s="691">
        <v>8.1</v>
      </c>
      <c r="E19372" s="691">
        <v>7.5</v>
      </c>
      <c r="F19372" s="691">
        <v>7.7</v>
      </c>
      <c r="G19372" s="691">
        <v>7.9</v>
      </c>
      <c r="H19372" s="691">
        <v>7.9</v>
      </c>
      <c r="I19372" s="692" t="s">
        <v>4060</v>
      </c>
      <c r="J19372" s="692" t="s">
        <v>4060</v>
      </c>
      <c r="K19372" s="691">
        <v>7.6</v>
      </c>
    </row>
    <row r="19373" spans="1:11">
      <c r="A19373" s="688" t="s">
        <v>2269</v>
      </c>
      <c r="B19373" s="689">
        <v>8.4</v>
      </c>
      <c r="C19373" s="689">
        <v>8.4</v>
      </c>
      <c r="D19373" s="689">
        <v>7.8</v>
      </c>
      <c r="E19373" s="693">
        <v>8</v>
      </c>
      <c r="F19373" s="689">
        <v>7.7</v>
      </c>
      <c r="G19373" s="689">
        <v>8.1</v>
      </c>
      <c r="H19373" s="689">
        <v>8.1999999999999993</v>
      </c>
      <c r="I19373" s="689">
        <v>7.6</v>
      </c>
      <c r="J19373" s="689">
        <v>5.5</v>
      </c>
      <c r="K19373" s="689">
        <v>7.9</v>
      </c>
    </row>
    <row r="19374" spans="1:11">
      <c r="A19374" s="688" t="s">
        <v>2349</v>
      </c>
      <c r="B19374" s="691">
        <v>7.9</v>
      </c>
      <c r="C19374" s="691">
        <v>7.9</v>
      </c>
      <c r="D19374" s="691">
        <v>7.9</v>
      </c>
      <c r="E19374" s="691">
        <v>8.1999999999999993</v>
      </c>
      <c r="F19374" s="615">
        <v>8</v>
      </c>
      <c r="G19374" s="691">
        <v>8.3000000000000007</v>
      </c>
      <c r="H19374" s="691">
        <v>8.4</v>
      </c>
      <c r="I19374" s="691">
        <v>7.8</v>
      </c>
      <c r="J19374" s="615">
        <v>7</v>
      </c>
      <c r="K19374" s="691">
        <v>7.7</v>
      </c>
    </row>
    <row r="19375" spans="1:11">
      <c r="A19375" s="688" t="s">
        <v>2355</v>
      </c>
      <c r="B19375" s="689">
        <v>10.5</v>
      </c>
      <c r="C19375" s="689">
        <v>10.199999999999999</v>
      </c>
      <c r="D19375" s="689">
        <v>10.199999999999999</v>
      </c>
      <c r="E19375" s="693">
        <v>10</v>
      </c>
      <c r="F19375" s="689">
        <v>10.1</v>
      </c>
      <c r="G19375" s="689">
        <v>10.3</v>
      </c>
      <c r="H19375" s="689">
        <v>10.3</v>
      </c>
      <c r="I19375" s="690" t="s">
        <v>4060</v>
      </c>
      <c r="J19375" s="690" t="s">
        <v>4060</v>
      </c>
      <c r="K19375" s="690" t="s">
        <v>4060</v>
      </c>
    </row>
    <row r="19376" spans="1:11">
      <c r="A19376" s="688" t="s">
        <v>2357</v>
      </c>
      <c r="B19376" s="692" t="s">
        <v>4060</v>
      </c>
      <c r="C19376" s="691">
        <v>8.5</v>
      </c>
      <c r="D19376" s="691">
        <v>8.6999999999999993</v>
      </c>
      <c r="E19376" s="691">
        <v>8.9</v>
      </c>
      <c r="F19376" s="691">
        <v>9.1</v>
      </c>
      <c r="G19376" s="691">
        <v>8.8000000000000007</v>
      </c>
      <c r="H19376" s="615">
        <v>9</v>
      </c>
      <c r="I19376" s="692" t="s">
        <v>4060</v>
      </c>
      <c r="J19376" s="692" t="s">
        <v>4060</v>
      </c>
      <c r="K19376" s="692" t="s">
        <v>4060</v>
      </c>
    </row>
    <row r="19377" spans="1:11">
      <c r="A19377" s="688" t="s">
        <v>4070</v>
      </c>
      <c r="B19377" s="690" t="s">
        <v>4060</v>
      </c>
      <c r="C19377" s="690" t="s">
        <v>4060</v>
      </c>
      <c r="D19377" s="690" t="s">
        <v>4060</v>
      </c>
      <c r="E19377" s="689">
        <v>11.3</v>
      </c>
      <c r="F19377" s="690" t="s">
        <v>4060</v>
      </c>
      <c r="G19377" s="690" t="s">
        <v>4060</v>
      </c>
      <c r="H19377" s="690" t="s">
        <v>4060</v>
      </c>
      <c r="I19377" s="690" t="s">
        <v>4060</v>
      </c>
      <c r="J19377" s="690" t="s">
        <v>4060</v>
      </c>
      <c r="K19377" s="690" t="s">
        <v>4060</v>
      </c>
    </row>
    <row r="19378" spans="1:11">
      <c r="A19378" s="688" t="s">
        <v>2491</v>
      </c>
      <c r="B19378" s="691">
        <v>8.6999999999999993</v>
      </c>
      <c r="C19378" s="615">
        <v>9</v>
      </c>
      <c r="D19378" s="615">
        <v>9</v>
      </c>
      <c r="E19378" s="691">
        <v>9.1</v>
      </c>
      <c r="F19378" s="691">
        <v>9.1</v>
      </c>
      <c r="G19378" s="691">
        <v>9.1</v>
      </c>
      <c r="H19378" s="692" t="s">
        <v>4060</v>
      </c>
      <c r="I19378" s="692" t="s">
        <v>4060</v>
      </c>
      <c r="J19378" s="692" t="s">
        <v>4060</v>
      </c>
      <c r="K19378" s="692" t="s">
        <v>4060</v>
      </c>
    </row>
    <row r="19379" spans="1:11">
      <c r="A19379" s="688" t="s">
        <v>2343</v>
      </c>
      <c r="B19379" s="690" t="s">
        <v>4060</v>
      </c>
      <c r="C19379" s="690" t="s">
        <v>4060</v>
      </c>
      <c r="D19379" s="690" t="s">
        <v>4060</v>
      </c>
      <c r="E19379" s="690" t="s">
        <v>4060</v>
      </c>
      <c r="F19379" s="690" t="s">
        <v>4060</v>
      </c>
      <c r="G19379" s="690" t="s">
        <v>4060</v>
      </c>
      <c r="H19379" s="690" t="s">
        <v>4060</v>
      </c>
      <c r="I19379" s="690" t="s">
        <v>4060</v>
      </c>
      <c r="J19379" s="690" t="s">
        <v>4060</v>
      </c>
      <c r="K19379" s="690" t="s">
        <v>4060</v>
      </c>
    </row>
    <row r="19380" spans="1:11">
      <c r="A19380" s="688" t="s">
        <v>4071</v>
      </c>
      <c r="B19380" s="692" t="s">
        <v>4060</v>
      </c>
      <c r="C19380" s="692" t="s">
        <v>4060</v>
      </c>
      <c r="D19380" s="692" t="s">
        <v>4060</v>
      </c>
      <c r="E19380" s="692" t="s">
        <v>4060</v>
      </c>
      <c r="F19380" s="692" t="s">
        <v>4060</v>
      </c>
      <c r="G19380" s="692" t="s">
        <v>4060</v>
      </c>
      <c r="H19380" s="692" t="s">
        <v>4060</v>
      </c>
      <c r="I19380" s="692" t="s">
        <v>4060</v>
      </c>
      <c r="J19380" s="692" t="s">
        <v>4060</v>
      </c>
      <c r="K19380" s="692" t="s">
        <v>4060</v>
      </c>
    </row>
    <row r="19381" spans="1:11">
      <c r="A19381" s="688" t="s">
        <v>2489</v>
      </c>
      <c r="B19381" s="690" t="s">
        <v>4060</v>
      </c>
      <c r="C19381" s="690" t="s">
        <v>4060</v>
      </c>
      <c r="D19381" s="689">
        <v>8.3000000000000007</v>
      </c>
      <c r="E19381" s="689">
        <v>8.3000000000000007</v>
      </c>
      <c r="F19381" s="689">
        <v>8.3000000000000007</v>
      </c>
      <c r="G19381" s="689">
        <v>8.5</v>
      </c>
      <c r="H19381" s="689">
        <v>8.8000000000000007</v>
      </c>
      <c r="I19381" s="690" t="s">
        <v>4060</v>
      </c>
      <c r="J19381" s="690" t="s">
        <v>4060</v>
      </c>
      <c r="K19381" s="690" t="s">
        <v>4060</v>
      </c>
    </row>
    <row r="19382" spans="1:11">
      <c r="A19382" s="688" t="s">
        <v>2490</v>
      </c>
      <c r="B19382" s="691">
        <v>8.1</v>
      </c>
      <c r="C19382" s="691">
        <v>7.9</v>
      </c>
      <c r="D19382" s="691">
        <v>8.5</v>
      </c>
      <c r="E19382" s="692" t="s">
        <v>4060</v>
      </c>
      <c r="F19382" s="691">
        <v>8.5</v>
      </c>
      <c r="G19382" s="691">
        <v>8.6</v>
      </c>
      <c r="H19382" s="691">
        <v>9.3000000000000007</v>
      </c>
      <c r="I19382" s="692" t="s">
        <v>4060</v>
      </c>
      <c r="J19382" s="692" t="s">
        <v>4060</v>
      </c>
      <c r="K19382" s="692" t="s">
        <v>4060</v>
      </c>
    </row>
    <row r="19384" spans="1:11">
      <c r="A19384" s="683" t="s">
        <v>4233</v>
      </c>
    </row>
    <row r="19385" spans="1:11">
      <c r="A19385" s="683" t="s">
        <v>4060</v>
      </c>
      <c r="B19385" s="682" t="s">
        <v>4234</v>
      </c>
    </row>
    <row r="19387" spans="1:11">
      <c r="A19387" s="682" t="s">
        <v>4332</v>
      </c>
    </row>
    <row r="19388" spans="1:11">
      <c r="A19388" s="682" t="s">
        <v>4210</v>
      </c>
      <c r="B19388" s="683" t="s">
        <v>4211</v>
      </c>
    </row>
    <row r="19389" spans="1:11">
      <c r="A19389" s="682" t="s">
        <v>4212</v>
      </c>
      <c r="B19389" s="682" t="s">
        <v>4213</v>
      </c>
    </row>
    <row r="19391" spans="1:11">
      <c r="A19391" s="683" t="s">
        <v>4214</v>
      </c>
      <c r="C19391" s="682" t="s">
        <v>4215</v>
      </c>
    </row>
    <row r="19392" spans="1:11">
      <c r="A19392" s="683" t="s">
        <v>4216</v>
      </c>
      <c r="C19392" s="682" t="s">
        <v>2967</v>
      </c>
    </row>
    <row r="19393" spans="1:11">
      <c r="A19393" s="683" t="s">
        <v>3893</v>
      </c>
      <c r="C19393" s="682" t="s">
        <v>2169</v>
      </c>
    </row>
    <row r="19394" spans="1:11">
      <c r="A19394" s="683" t="s">
        <v>4218</v>
      </c>
      <c r="C19394" s="682" t="s">
        <v>4313</v>
      </c>
    </row>
    <row r="19396" spans="1:11">
      <c r="A19396" s="684" t="s">
        <v>4220</v>
      </c>
      <c r="B19396" s="685" t="s">
        <v>4221</v>
      </c>
      <c r="C19396" s="685" t="s">
        <v>4222</v>
      </c>
      <c r="D19396" s="685" t="s">
        <v>4223</v>
      </c>
      <c r="E19396" s="685" t="s">
        <v>4224</v>
      </c>
      <c r="F19396" s="685" t="s">
        <v>4225</v>
      </c>
      <c r="G19396" s="685" t="s">
        <v>4226</v>
      </c>
      <c r="H19396" s="685" t="s">
        <v>4227</v>
      </c>
      <c r="I19396" s="685" t="s">
        <v>4228</v>
      </c>
      <c r="J19396" s="685" t="s">
        <v>4229</v>
      </c>
      <c r="K19396" s="685" t="s">
        <v>4230</v>
      </c>
    </row>
    <row r="19397" spans="1:11">
      <c r="A19397" s="686" t="s">
        <v>4231</v>
      </c>
      <c r="B19397" s="687" t="s">
        <v>4232</v>
      </c>
      <c r="C19397" s="687" t="s">
        <v>4232</v>
      </c>
      <c r="D19397" s="687" t="s">
        <v>4232</v>
      </c>
      <c r="E19397" s="687" t="s">
        <v>4232</v>
      </c>
      <c r="F19397" s="687" t="s">
        <v>4232</v>
      </c>
      <c r="G19397" s="687" t="s">
        <v>4232</v>
      </c>
      <c r="H19397" s="687" t="s">
        <v>4232</v>
      </c>
      <c r="I19397" s="687" t="s">
        <v>4232</v>
      </c>
      <c r="J19397" s="687" t="s">
        <v>4232</v>
      </c>
      <c r="K19397" s="687" t="s">
        <v>4232</v>
      </c>
    </row>
    <row r="19398" spans="1:11">
      <c r="A19398" s="688" t="s">
        <v>4064</v>
      </c>
      <c r="B19398" s="691">
        <v>10.6</v>
      </c>
      <c r="C19398" s="691">
        <v>10.4</v>
      </c>
      <c r="D19398" s="691">
        <v>10.4</v>
      </c>
      <c r="E19398" s="691">
        <v>10.5</v>
      </c>
      <c r="F19398" s="691">
        <v>10.4</v>
      </c>
      <c r="G19398" s="691">
        <v>10.5</v>
      </c>
      <c r="H19398" s="691">
        <v>10.7</v>
      </c>
      <c r="I19398" s="691">
        <v>10.199999999999999</v>
      </c>
      <c r="J19398" s="691">
        <v>10.199999999999999</v>
      </c>
      <c r="K19398" s="691">
        <v>10.3</v>
      </c>
    </row>
    <row r="19399" spans="1:11">
      <c r="A19399" s="688" t="s">
        <v>4065</v>
      </c>
      <c r="B19399" s="689">
        <v>10.6</v>
      </c>
      <c r="C19399" s="689">
        <v>10.8</v>
      </c>
      <c r="D19399" s="689">
        <v>10.4</v>
      </c>
      <c r="E19399" s="689">
        <v>10.8</v>
      </c>
      <c r="F19399" s="689">
        <v>10.6</v>
      </c>
      <c r="G19399" s="689">
        <v>10.7</v>
      </c>
      <c r="H19399" s="690" t="s">
        <v>4060</v>
      </c>
      <c r="I19399" s="690" t="s">
        <v>4060</v>
      </c>
      <c r="J19399" s="690" t="s">
        <v>4060</v>
      </c>
      <c r="K19399" s="690" t="s">
        <v>4060</v>
      </c>
    </row>
    <row r="19400" spans="1:11">
      <c r="A19400" s="688" t="s">
        <v>4063</v>
      </c>
      <c r="B19400" s="691">
        <v>10.6</v>
      </c>
      <c r="C19400" s="691">
        <v>10.9</v>
      </c>
      <c r="D19400" s="691">
        <v>10.4</v>
      </c>
      <c r="E19400" s="691">
        <v>10.8</v>
      </c>
      <c r="F19400" s="691">
        <v>10.7</v>
      </c>
      <c r="G19400" s="691">
        <v>10.7</v>
      </c>
      <c r="H19400" s="692" t="s">
        <v>4060</v>
      </c>
      <c r="I19400" s="692" t="s">
        <v>4060</v>
      </c>
      <c r="J19400" s="692" t="s">
        <v>4060</v>
      </c>
      <c r="K19400" s="692" t="s">
        <v>4060</v>
      </c>
    </row>
    <row r="19401" spans="1:11">
      <c r="A19401" s="688" t="s">
        <v>4069</v>
      </c>
      <c r="B19401" s="690" t="s">
        <v>4060</v>
      </c>
      <c r="C19401" s="689">
        <v>10.7</v>
      </c>
      <c r="D19401" s="689">
        <v>10.5</v>
      </c>
      <c r="E19401" s="689">
        <v>10.8</v>
      </c>
      <c r="F19401" s="689">
        <v>10.7</v>
      </c>
      <c r="G19401" s="689">
        <v>10.8</v>
      </c>
      <c r="H19401" s="693">
        <v>11</v>
      </c>
      <c r="I19401" s="689">
        <v>10.5</v>
      </c>
      <c r="J19401" s="689">
        <v>10.7</v>
      </c>
      <c r="K19401" s="689">
        <v>10.6</v>
      </c>
    </row>
    <row r="19402" spans="1:11">
      <c r="A19402" s="688" t="s">
        <v>4068</v>
      </c>
      <c r="B19402" s="615">
        <v>11</v>
      </c>
      <c r="C19402" s="692" t="s">
        <v>4060</v>
      </c>
      <c r="D19402" s="692" t="s">
        <v>4060</v>
      </c>
      <c r="E19402" s="692" t="s">
        <v>4060</v>
      </c>
      <c r="F19402" s="692" t="s">
        <v>4060</v>
      </c>
      <c r="G19402" s="692" t="s">
        <v>4060</v>
      </c>
      <c r="H19402" s="692" t="s">
        <v>4060</v>
      </c>
      <c r="I19402" s="692" t="s">
        <v>4060</v>
      </c>
      <c r="J19402" s="692" t="s">
        <v>4060</v>
      </c>
      <c r="K19402" s="692" t="s">
        <v>4060</v>
      </c>
    </row>
    <row r="19403" spans="1:11">
      <c r="A19403" s="688" t="s">
        <v>0</v>
      </c>
      <c r="B19403" s="689">
        <v>10.6</v>
      </c>
      <c r="C19403" s="689">
        <v>10.6</v>
      </c>
      <c r="D19403" s="689">
        <v>10.3</v>
      </c>
      <c r="E19403" s="689">
        <v>10.6</v>
      </c>
      <c r="F19403" s="689">
        <v>10.7</v>
      </c>
      <c r="G19403" s="689">
        <v>10.7</v>
      </c>
      <c r="H19403" s="689">
        <v>10.9</v>
      </c>
      <c r="I19403" s="693">
        <v>10</v>
      </c>
      <c r="J19403" s="689">
        <v>11.1</v>
      </c>
      <c r="K19403" s="689">
        <v>10.7</v>
      </c>
    </row>
    <row r="19404" spans="1:11">
      <c r="A19404" s="688" t="s">
        <v>1</v>
      </c>
      <c r="B19404" s="615">
        <v>8</v>
      </c>
      <c r="C19404" s="691">
        <v>7.6</v>
      </c>
      <c r="D19404" s="691">
        <v>7.6</v>
      </c>
      <c r="E19404" s="691">
        <v>7.9</v>
      </c>
      <c r="F19404" s="691">
        <v>7.8</v>
      </c>
      <c r="G19404" s="691">
        <v>7.9</v>
      </c>
      <c r="H19404" s="615">
        <v>8</v>
      </c>
      <c r="I19404" s="691">
        <v>7.6</v>
      </c>
      <c r="J19404" s="615">
        <v>7</v>
      </c>
      <c r="K19404" s="691">
        <v>7.9</v>
      </c>
    </row>
    <row r="19405" spans="1:11">
      <c r="A19405" s="688" t="s">
        <v>2240</v>
      </c>
      <c r="B19405" s="689">
        <v>9.1</v>
      </c>
      <c r="C19405" s="689">
        <v>9.1</v>
      </c>
      <c r="D19405" s="689">
        <v>8.9</v>
      </c>
      <c r="E19405" s="689">
        <v>9.3000000000000007</v>
      </c>
      <c r="F19405" s="689">
        <v>9.1999999999999993</v>
      </c>
      <c r="G19405" s="689">
        <v>9.3000000000000007</v>
      </c>
      <c r="H19405" s="689">
        <v>9.5</v>
      </c>
      <c r="I19405" s="689">
        <v>8.8000000000000007</v>
      </c>
      <c r="J19405" s="689">
        <v>8.8000000000000007</v>
      </c>
      <c r="K19405" s="689">
        <v>9.1999999999999993</v>
      </c>
    </row>
    <row r="19406" spans="1:11">
      <c r="A19406" s="688" t="s">
        <v>2</v>
      </c>
      <c r="B19406" s="615">
        <v>10</v>
      </c>
      <c r="C19406" s="691">
        <v>10.199999999999999</v>
      </c>
      <c r="D19406" s="691">
        <v>10.1</v>
      </c>
      <c r="E19406" s="691">
        <v>10.199999999999999</v>
      </c>
      <c r="F19406" s="691">
        <v>10.199999999999999</v>
      </c>
      <c r="G19406" s="691">
        <v>10.1</v>
      </c>
      <c r="H19406" s="691">
        <v>10.4</v>
      </c>
      <c r="I19406" s="691">
        <v>10.5</v>
      </c>
      <c r="J19406" s="691">
        <v>10.3</v>
      </c>
      <c r="K19406" s="691">
        <v>10.199999999999999</v>
      </c>
    </row>
    <row r="19407" spans="1:11">
      <c r="A19407" s="688" t="s">
        <v>3</v>
      </c>
      <c r="B19407" s="689">
        <v>10.1</v>
      </c>
      <c r="C19407" s="689">
        <v>10.199999999999999</v>
      </c>
      <c r="D19407" s="689">
        <v>9.9</v>
      </c>
      <c r="E19407" s="689">
        <v>10.199999999999999</v>
      </c>
      <c r="F19407" s="689">
        <v>10.199999999999999</v>
      </c>
      <c r="G19407" s="689">
        <v>10.199999999999999</v>
      </c>
      <c r="H19407" s="689">
        <v>10.4</v>
      </c>
      <c r="I19407" s="689">
        <v>10.3</v>
      </c>
      <c r="J19407" s="689">
        <v>10.199999999999999</v>
      </c>
      <c r="K19407" s="693">
        <v>10</v>
      </c>
    </row>
    <row r="19408" spans="1:11">
      <c r="A19408" s="688" t="s">
        <v>4061</v>
      </c>
      <c r="B19408" s="691">
        <v>10.1</v>
      </c>
      <c r="C19408" s="691">
        <v>10.199999999999999</v>
      </c>
      <c r="D19408" s="691">
        <v>9.9</v>
      </c>
      <c r="E19408" s="691">
        <v>10.199999999999999</v>
      </c>
      <c r="F19408" s="691">
        <v>10.199999999999999</v>
      </c>
      <c r="G19408" s="691">
        <v>10.199999999999999</v>
      </c>
      <c r="H19408" s="691">
        <v>10.4</v>
      </c>
      <c r="I19408" s="691">
        <v>10.3</v>
      </c>
      <c r="J19408" s="691">
        <v>10.199999999999999</v>
      </c>
      <c r="K19408" s="615">
        <v>10</v>
      </c>
    </row>
    <row r="19409" spans="1:11">
      <c r="A19409" s="688" t="s">
        <v>4</v>
      </c>
      <c r="B19409" s="689">
        <v>9.9</v>
      </c>
      <c r="C19409" s="689">
        <v>9.6</v>
      </c>
      <c r="D19409" s="689">
        <v>9.8000000000000007</v>
      </c>
      <c r="E19409" s="689">
        <v>9.8000000000000007</v>
      </c>
      <c r="F19409" s="689">
        <v>9.8000000000000007</v>
      </c>
      <c r="G19409" s="693">
        <v>10</v>
      </c>
      <c r="H19409" s="689">
        <v>10.199999999999999</v>
      </c>
      <c r="I19409" s="689">
        <v>10.199999999999999</v>
      </c>
      <c r="J19409" s="689">
        <v>9.5</v>
      </c>
      <c r="K19409" s="689">
        <v>9.8000000000000007</v>
      </c>
    </row>
    <row r="19410" spans="1:11">
      <c r="A19410" s="688" t="s">
        <v>8</v>
      </c>
      <c r="B19410" s="691">
        <v>10.1</v>
      </c>
      <c r="C19410" s="691">
        <v>10.1</v>
      </c>
      <c r="D19410" s="615">
        <v>10</v>
      </c>
      <c r="E19410" s="691">
        <v>10.1</v>
      </c>
      <c r="F19410" s="691">
        <v>10.3</v>
      </c>
      <c r="G19410" s="691">
        <v>10.5</v>
      </c>
      <c r="H19410" s="691">
        <v>10.6</v>
      </c>
      <c r="I19410" s="691">
        <v>10.5</v>
      </c>
      <c r="J19410" s="691">
        <v>10.4</v>
      </c>
      <c r="K19410" s="691">
        <v>10.5</v>
      </c>
    </row>
    <row r="19411" spans="1:11">
      <c r="A19411" s="688" t="s">
        <v>7</v>
      </c>
      <c r="B19411" s="689">
        <v>10.3</v>
      </c>
      <c r="C19411" s="689">
        <v>9.9</v>
      </c>
      <c r="D19411" s="689">
        <v>9.6999999999999993</v>
      </c>
      <c r="E19411" s="693">
        <v>10</v>
      </c>
      <c r="F19411" s="693">
        <v>10</v>
      </c>
      <c r="G19411" s="689">
        <v>10.4</v>
      </c>
      <c r="H19411" s="689">
        <v>10.3</v>
      </c>
      <c r="I19411" s="689">
        <v>10.1</v>
      </c>
      <c r="J19411" s="689">
        <v>9.8000000000000007</v>
      </c>
      <c r="K19411" s="689">
        <v>9.8000000000000007</v>
      </c>
    </row>
    <row r="19412" spans="1:11">
      <c r="A19412" s="688" t="s">
        <v>27</v>
      </c>
      <c r="B19412" s="691">
        <v>11.9</v>
      </c>
      <c r="C19412" s="691">
        <v>11.3</v>
      </c>
      <c r="D19412" s="615">
        <v>11</v>
      </c>
      <c r="E19412" s="691">
        <v>11.4</v>
      </c>
      <c r="F19412" s="691">
        <v>11.3</v>
      </c>
      <c r="G19412" s="691">
        <v>11.4</v>
      </c>
      <c r="H19412" s="691">
        <v>11.7</v>
      </c>
      <c r="I19412" s="691">
        <v>10.8</v>
      </c>
      <c r="J19412" s="691">
        <v>11.5</v>
      </c>
      <c r="K19412" s="691">
        <v>11.4</v>
      </c>
    </row>
    <row r="19413" spans="1:11">
      <c r="A19413" s="688" t="s">
        <v>6</v>
      </c>
      <c r="B19413" s="689">
        <v>12.3</v>
      </c>
      <c r="C19413" s="689">
        <v>11.8</v>
      </c>
      <c r="D19413" s="689">
        <v>11.6</v>
      </c>
      <c r="E19413" s="689">
        <v>11.8</v>
      </c>
      <c r="F19413" s="689">
        <v>11.8</v>
      </c>
      <c r="G19413" s="693">
        <v>12</v>
      </c>
      <c r="H19413" s="693">
        <v>12</v>
      </c>
      <c r="I19413" s="689">
        <v>11.6</v>
      </c>
      <c r="J19413" s="689">
        <v>11.8</v>
      </c>
      <c r="K19413" s="689">
        <v>11.7</v>
      </c>
    </row>
    <row r="19414" spans="1:11">
      <c r="A19414" s="688" t="s">
        <v>4058</v>
      </c>
      <c r="B19414" s="692" t="s">
        <v>4060</v>
      </c>
      <c r="C19414" s="692" t="s">
        <v>4060</v>
      </c>
      <c r="D19414" s="692" t="s">
        <v>4060</v>
      </c>
      <c r="E19414" s="692" t="s">
        <v>4060</v>
      </c>
      <c r="F19414" s="692" t="s">
        <v>4060</v>
      </c>
      <c r="G19414" s="692" t="s">
        <v>4060</v>
      </c>
      <c r="H19414" s="692" t="s">
        <v>4060</v>
      </c>
      <c r="I19414" s="692" t="s">
        <v>4060</v>
      </c>
      <c r="J19414" s="692" t="s">
        <v>4060</v>
      </c>
      <c r="K19414" s="692" t="s">
        <v>4060</v>
      </c>
    </row>
    <row r="19415" spans="1:11">
      <c r="A19415" s="688" t="s">
        <v>11</v>
      </c>
      <c r="B19415" s="689">
        <v>8.6999999999999993</v>
      </c>
      <c r="C19415" s="689">
        <v>8.4</v>
      </c>
      <c r="D19415" s="689">
        <v>8.1999999999999993</v>
      </c>
      <c r="E19415" s="689">
        <v>8.5</v>
      </c>
      <c r="F19415" s="689">
        <v>8.3000000000000007</v>
      </c>
      <c r="G19415" s="689">
        <v>8.5</v>
      </c>
      <c r="H19415" s="689">
        <v>8.6999999999999993</v>
      </c>
      <c r="I19415" s="689">
        <v>8.3000000000000007</v>
      </c>
      <c r="J19415" s="689">
        <v>7.9</v>
      </c>
      <c r="K19415" s="689">
        <v>8.1999999999999993</v>
      </c>
    </row>
    <row r="19416" spans="1:11">
      <c r="A19416" s="688" t="s">
        <v>10</v>
      </c>
      <c r="B19416" s="691">
        <v>11.4</v>
      </c>
      <c r="C19416" s="691">
        <v>10.9</v>
      </c>
      <c r="D19416" s="691">
        <v>10.5</v>
      </c>
      <c r="E19416" s="615">
        <v>11</v>
      </c>
      <c r="F19416" s="691">
        <v>10.8</v>
      </c>
      <c r="G19416" s="691">
        <v>11.1</v>
      </c>
      <c r="H19416" s="691">
        <v>11.2</v>
      </c>
      <c r="I19416" s="691">
        <v>10.4</v>
      </c>
      <c r="J19416" s="691">
        <v>10.8</v>
      </c>
      <c r="K19416" s="691">
        <v>10.6</v>
      </c>
    </row>
    <row r="19417" spans="1:11">
      <c r="A19417" s="688" t="s">
        <v>30</v>
      </c>
      <c r="B19417" s="689">
        <v>10.3</v>
      </c>
      <c r="C19417" s="689">
        <v>9.5</v>
      </c>
      <c r="D19417" s="689">
        <v>9.3000000000000007</v>
      </c>
      <c r="E19417" s="689">
        <v>10.1</v>
      </c>
      <c r="F19417" s="689">
        <v>9.6</v>
      </c>
      <c r="G19417" s="689">
        <v>10.1</v>
      </c>
      <c r="H19417" s="689">
        <v>9.9</v>
      </c>
      <c r="I19417" s="693">
        <v>10</v>
      </c>
      <c r="J19417" s="689">
        <v>9.6999999999999993</v>
      </c>
      <c r="K19417" s="689">
        <v>9.6999999999999993</v>
      </c>
    </row>
    <row r="19418" spans="1:11">
      <c r="A19418" s="688" t="s">
        <v>12</v>
      </c>
      <c r="B19418" s="615">
        <v>9</v>
      </c>
      <c r="C19418" s="691">
        <v>8.8000000000000007</v>
      </c>
      <c r="D19418" s="691">
        <v>8.6999999999999993</v>
      </c>
      <c r="E19418" s="691">
        <v>8.9</v>
      </c>
      <c r="F19418" s="615">
        <v>9</v>
      </c>
      <c r="G19418" s="615">
        <v>9</v>
      </c>
      <c r="H19418" s="691">
        <v>9.3000000000000007</v>
      </c>
      <c r="I19418" s="691">
        <v>9.1</v>
      </c>
      <c r="J19418" s="691">
        <v>8.1999999999999993</v>
      </c>
      <c r="K19418" s="691">
        <v>8.8000000000000007</v>
      </c>
    </row>
    <row r="19419" spans="1:11">
      <c r="A19419" s="688" t="s">
        <v>14</v>
      </c>
      <c r="B19419" s="689">
        <v>9.1</v>
      </c>
      <c r="C19419" s="689">
        <v>8.9</v>
      </c>
      <c r="D19419" s="689">
        <v>8.6</v>
      </c>
      <c r="E19419" s="689">
        <v>8.9</v>
      </c>
      <c r="F19419" s="689">
        <v>8.8000000000000007</v>
      </c>
      <c r="G19419" s="693">
        <v>9</v>
      </c>
      <c r="H19419" s="689">
        <v>9.3000000000000007</v>
      </c>
      <c r="I19419" s="689">
        <v>8.9</v>
      </c>
      <c r="J19419" s="689">
        <v>8.4</v>
      </c>
      <c r="K19419" s="689">
        <v>8.9</v>
      </c>
    </row>
    <row r="19420" spans="1:11">
      <c r="A19420" s="688" t="s">
        <v>15</v>
      </c>
      <c r="B19420" s="691">
        <v>11.1</v>
      </c>
      <c r="C19420" s="691">
        <v>10.9</v>
      </c>
      <c r="D19420" s="691">
        <v>10.6</v>
      </c>
      <c r="E19420" s="691">
        <v>10.9</v>
      </c>
      <c r="F19420" s="691">
        <v>10.9</v>
      </c>
      <c r="G19420" s="691">
        <v>10.8</v>
      </c>
      <c r="H19420" s="691">
        <v>10.9</v>
      </c>
      <c r="I19420" s="691">
        <v>10.6</v>
      </c>
      <c r="J19420" s="691">
        <v>10.9</v>
      </c>
      <c r="K19420" s="691">
        <v>10.9</v>
      </c>
    </row>
    <row r="19421" spans="1:11">
      <c r="A19421" s="688" t="s">
        <v>29</v>
      </c>
      <c r="B19421" s="689">
        <v>8.6999999999999993</v>
      </c>
      <c r="C19421" s="689">
        <v>8.6</v>
      </c>
      <c r="D19421" s="689">
        <v>8.3000000000000007</v>
      </c>
      <c r="E19421" s="689">
        <v>8.6999999999999993</v>
      </c>
      <c r="F19421" s="689">
        <v>8.5</v>
      </c>
      <c r="G19421" s="689">
        <v>8.5</v>
      </c>
      <c r="H19421" s="689">
        <v>8.6</v>
      </c>
      <c r="I19421" s="689">
        <v>8.3000000000000007</v>
      </c>
      <c r="J19421" s="689">
        <v>8.1</v>
      </c>
      <c r="K19421" s="689">
        <v>8.5</v>
      </c>
    </row>
    <row r="19422" spans="1:11">
      <c r="A19422" s="688" t="s">
        <v>16</v>
      </c>
      <c r="B19422" s="691">
        <v>10.3</v>
      </c>
      <c r="C19422" s="691">
        <v>10.3</v>
      </c>
      <c r="D19422" s="615">
        <v>10</v>
      </c>
      <c r="E19422" s="691">
        <v>10.4</v>
      </c>
      <c r="F19422" s="691">
        <v>10.3</v>
      </c>
      <c r="G19422" s="691">
        <v>10.4</v>
      </c>
      <c r="H19422" s="691">
        <v>10.5</v>
      </c>
      <c r="I19422" s="691">
        <v>10.3</v>
      </c>
      <c r="J19422" s="691">
        <v>10.3</v>
      </c>
      <c r="K19422" s="691">
        <v>10.3</v>
      </c>
    </row>
    <row r="19423" spans="1:11">
      <c r="A19423" s="688" t="s">
        <v>17</v>
      </c>
      <c r="B19423" s="689">
        <v>10.4</v>
      </c>
      <c r="C19423" s="689">
        <v>10.4</v>
      </c>
      <c r="D19423" s="689">
        <v>10.1</v>
      </c>
      <c r="E19423" s="689">
        <v>10.199999999999999</v>
      </c>
      <c r="F19423" s="689">
        <v>10.199999999999999</v>
      </c>
      <c r="G19423" s="689">
        <v>10.199999999999999</v>
      </c>
      <c r="H19423" s="689">
        <v>10.4</v>
      </c>
      <c r="I19423" s="689">
        <v>9.9</v>
      </c>
      <c r="J19423" s="689">
        <v>10.1</v>
      </c>
      <c r="K19423" s="693">
        <v>10</v>
      </c>
    </row>
    <row r="19424" spans="1:11">
      <c r="A19424" s="688" t="s">
        <v>19</v>
      </c>
      <c r="B19424" s="691">
        <v>10.5</v>
      </c>
      <c r="C19424" s="691">
        <v>10.4</v>
      </c>
      <c r="D19424" s="691">
        <v>10.199999999999999</v>
      </c>
      <c r="E19424" s="691">
        <v>10.6</v>
      </c>
      <c r="F19424" s="691">
        <v>10.3</v>
      </c>
      <c r="G19424" s="691">
        <v>10.5</v>
      </c>
      <c r="H19424" s="691">
        <v>10.7</v>
      </c>
      <c r="I19424" s="691">
        <v>10.199999999999999</v>
      </c>
      <c r="J19424" s="691">
        <v>10.4</v>
      </c>
      <c r="K19424" s="691">
        <v>10.3</v>
      </c>
    </row>
    <row r="19425" spans="1:11">
      <c r="A19425" s="688" t="s">
        <v>20</v>
      </c>
      <c r="B19425" s="689">
        <v>9.8000000000000007</v>
      </c>
      <c r="C19425" s="689">
        <v>9.6999999999999993</v>
      </c>
      <c r="D19425" s="689">
        <v>9.6</v>
      </c>
      <c r="E19425" s="689">
        <v>9.9</v>
      </c>
      <c r="F19425" s="689">
        <v>9.8000000000000007</v>
      </c>
      <c r="G19425" s="689">
        <v>9.8000000000000007</v>
      </c>
      <c r="H19425" s="693">
        <v>10</v>
      </c>
      <c r="I19425" s="689">
        <v>9.3000000000000007</v>
      </c>
      <c r="J19425" s="689">
        <v>8.8000000000000007</v>
      </c>
      <c r="K19425" s="689">
        <v>9.4</v>
      </c>
    </row>
    <row r="19426" spans="1:11">
      <c r="A19426" s="688" t="s">
        <v>21</v>
      </c>
      <c r="B19426" s="691">
        <v>10.4</v>
      </c>
      <c r="C19426" s="691">
        <v>10.6</v>
      </c>
      <c r="D19426" s="691">
        <v>10.4</v>
      </c>
      <c r="E19426" s="691">
        <v>10.5</v>
      </c>
      <c r="F19426" s="691">
        <v>10.7</v>
      </c>
      <c r="G19426" s="691">
        <v>10.7</v>
      </c>
      <c r="H19426" s="691">
        <v>10.9</v>
      </c>
      <c r="I19426" s="691">
        <v>10.4</v>
      </c>
      <c r="J19426" s="691">
        <v>10.5</v>
      </c>
      <c r="K19426" s="691">
        <v>10.5</v>
      </c>
    </row>
    <row r="19427" spans="1:11">
      <c r="A19427" s="688" t="s">
        <v>22</v>
      </c>
      <c r="B19427" s="689">
        <v>8.5</v>
      </c>
      <c r="C19427" s="689">
        <v>8.1999999999999993</v>
      </c>
      <c r="D19427" s="689">
        <v>8.1</v>
      </c>
      <c r="E19427" s="689">
        <v>8.5</v>
      </c>
      <c r="F19427" s="689">
        <v>8.5</v>
      </c>
      <c r="G19427" s="689">
        <v>8.5</v>
      </c>
      <c r="H19427" s="689">
        <v>8.8000000000000007</v>
      </c>
      <c r="I19427" s="689">
        <v>8.3000000000000007</v>
      </c>
      <c r="J19427" s="689">
        <v>7.5</v>
      </c>
      <c r="K19427" s="689">
        <v>8.1999999999999993</v>
      </c>
    </row>
    <row r="19428" spans="1:11">
      <c r="A19428" s="688" t="s">
        <v>26</v>
      </c>
      <c r="B19428" s="691">
        <v>10.4</v>
      </c>
      <c r="C19428" s="615">
        <v>10</v>
      </c>
      <c r="D19428" s="691">
        <v>10.1</v>
      </c>
      <c r="E19428" s="691">
        <v>10.199999999999999</v>
      </c>
      <c r="F19428" s="691">
        <v>10.3</v>
      </c>
      <c r="G19428" s="691">
        <v>10.4</v>
      </c>
      <c r="H19428" s="691">
        <v>10.5</v>
      </c>
      <c r="I19428" s="691">
        <v>9.5</v>
      </c>
      <c r="J19428" s="691">
        <v>10.1</v>
      </c>
      <c r="K19428" s="691">
        <v>10.199999999999999</v>
      </c>
    </row>
    <row r="19429" spans="1:11">
      <c r="A19429" s="688" t="s">
        <v>25</v>
      </c>
      <c r="B19429" s="689">
        <v>8.6999999999999993</v>
      </c>
      <c r="C19429" s="689">
        <v>8.8000000000000007</v>
      </c>
      <c r="D19429" s="689">
        <v>8.5</v>
      </c>
      <c r="E19429" s="689">
        <v>8.9</v>
      </c>
      <c r="F19429" s="689">
        <v>8.8000000000000007</v>
      </c>
      <c r="G19429" s="693">
        <v>9</v>
      </c>
      <c r="H19429" s="689">
        <v>9.3000000000000007</v>
      </c>
      <c r="I19429" s="689">
        <v>8.9</v>
      </c>
      <c r="J19429" s="689">
        <v>7.8</v>
      </c>
      <c r="K19429" s="689">
        <v>8.6</v>
      </c>
    </row>
    <row r="19430" spans="1:11">
      <c r="A19430" s="688" t="s">
        <v>5</v>
      </c>
      <c r="B19430" s="691">
        <v>10.8</v>
      </c>
      <c r="C19430" s="691">
        <v>10.4</v>
      </c>
      <c r="D19430" s="691">
        <v>10.4</v>
      </c>
      <c r="E19430" s="691">
        <v>10.5</v>
      </c>
      <c r="F19430" s="691">
        <v>10.7</v>
      </c>
      <c r="G19430" s="691">
        <v>10.6</v>
      </c>
      <c r="H19430" s="691">
        <v>10.8</v>
      </c>
      <c r="I19430" s="691">
        <v>10.8</v>
      </c>
      <c r="J19430" s="691">
        <v>10.8</v>
      </c>
      <c r="K19430" s="691">
        <v>10.3</v>
      </c>
    </row>
    <row r="19431" spans="1:11">
      <c r="A19431" s="688" t="s">
        <v>23</v>
      </c>
      <c r="B19431" s="689">
        <v>10.4</v>
      </c>
      <c r="C19431" s="689">
        <v>10.5</v>
      </c>
      <c r="D19431" s="689">
        <v>10.5</v>
      </c>
      <c r="E19431" s="689">
        <v>10.5</v>
      </c>
      <c r="F19431" s="689">
        <v>10.5</v>
      </c>
      <c r="G19431" s="689">
        <v>10.6</v>
      </c>
      <c r="H19431" s="689">
        <v>10.9</v>
      </c>
      <c r="I19431" s="689">
        <v>10.4</v>
      </c>
      <c r="J19431" s="689">
        <v>10.9</v>
      </c>
      <c r="K19431" s="689">
        <v>10.8</v>
      </c>
    </row>
    <row r="19432" spans="1:11">
      <c r="A19432" s="688" t="s">
        <v>4067</v>
      </c>
      <c r="B19432" s="691">
        <v>10.6</v>
      </c>
      <c r="C19432" s="691">
        <v>10.8</v>
      </c>
      <c r="D19432" s="691">
        <v>10.4</v>
      </c>
      <c r="E19432" s="691">
        <v>10.8</v>
      </c>
      <c r="F19432" s="691">
        <v>10.6</v>
      </c>
      <c r="G19432" s="691">
        <v>10.7</v>
      </c>
      <c r="H19432" s="692" t="s">
        <v>4060</v>
      </c>
      <c r="I19432" s="692" t="s">
        <v>4060</v>
      </c>
      <c r="J19432" s="692" t="s">
        <v>4060</v>
      </c>
      <c r="K19432" s="692" t="s">
        <v>4060</v>
      </c>
    </row>
    <row r="19433" spans="1:11">
      <c r="A19433" s="688" t="s">
        <v>4066</v>
      </c>
      <c r="B19433" s="689">
        <v>10.6</v>
      </c>
      <c r="C19433" s="689">
        <v>10.9</v>
      </c>
      <c r="D19433" s="689">
        <v>10.4</v>
      </c>
      <c r="E19433" s="689">
        <v>10.8</v>
      </c>
      <c r="F19433" s="689">
        <v>10.7</v>
      </c>
      <c r="G19433" s="689">
        <v>10.7</v>
      </c>
      <c r="H19433" s="690" t="s">
        <v>4060</v>
      </c>
      <c r="I19433" s="690" t="s">
        <v>4060</v>
      </c>
      <c r="J19433" s="690" t="s">
        <v>4060</v>
      </c>
      <c r="K19433" s="690" t="s">
        <v>4060</v>
      </c>
    </row>
    <row r="19434" spans="1:11">
      <c r="A19434" s="688" t="s">
        <v>4062</v>
      </c>
      <c r="B19434" s="691">
        <v>10.9</v>
      </c>
      <c r="C19434" s="691">
        <v>10.8</v>
      </c>
      <c r="D19434" s="691">
        <v>10.7</v>
      </c>
      <c r="E19434" s="691">
        <v>10.9</v>
      </c>
      <c r="F19434" s="691">
        <v>10.9</v>
      </c>
      <c r="G19434" s="615">
        <v>11</v>
      </c>
      <c r="H19434" s="691">
        <v>11.1</v>
      </c>
      <c r="I19434" s="691">
        <v>10.8</v>
      </c>
      <c r="J19434" s="691">
        <v>11.1</v>
      </c>
      <c r="K19434" s="691">
        <v>10.8</v>
      </c>
    </row>
    <row r="19435" spans="1:11">
      <c r="A19435" s="688" t="s">
        <v>9</v>
      </c>
      <c r="B19435" s="689">
        <v>10.5</v>
      </c>
      <c r="C19435" s="689">
        <v>10.7</v>
      </c>
      <c r="D19435" s="689">
        <v>10.1</v>
      </c>
      <c r="E19435" s="689">
        <v>10.5</v>
      </c>
      <c r="F19435" s="689">
        <v>10.199999999999999</v>
      </c>
      <c r="G19435" s="693">
        <v>10</v>
      </c>
      <c r="H19435" s="689">
        <v>10.5</v>
      </c>
      <c r="I19435" s="689">
        <v>10.5</v>
      </c>
      <c r="J19435" s="689">
        <v>10.7</v>
      </c>
      <c r="K19435" s="693">
        <v>10</v>
      </c>
    </row>
    <row r="19436" spans="1:11">
      <c r="A19436" s="688" t="s">
        <v>13</v>
      </c>
      <c r="B19436" s="691">
        <v>11.8</v>
      </c>
      <c r="C19436" s="691">
        <v>9.3000000000000007</v>
      </c>
      <c r="D19436" s="691">
        <v>9.8000000000000007</v>
      </c>
      <c r="E19436" s="691">
        <v>11.3</v>
      </c>
      <c r="F19436" s="691">
        <v>10.9</v>
      </c>
      <c r="G19436" s="691">
        <v>10.5</v>
      </c>
      <c r="H19436" s="691">
        <v>10.8</v>
      </c>
      <c r="I19436" s="615">
        <v>10</v>
      </c>
      <c r="J19436" s="691">
        <v>10.6</v>
      </c>
      <c r="K19436" s="691">
        <v>10.9</v>
      </c>
    </row>
    <row r="19437" spans="1:11">
      <c r="A19437" s="688" t="s">
        <v>18</v>
      </c>
      <c r="B19437" s="689">
        <v>10.5</v>
      </c>
      <c r="C19437" s="689">
        <v>10.6</v>
      </c>
      <c r="D19437" s="689">
        <v>10.5</v>
      </c>
      <c r="E19437" s="689">
        <v>10.6</v>
      </c>
      <c r="F19437" s="689">
        <v>10.7</v>
      </c>
      <c r="G19437" s="689">
        <v>10.7</v>
      </c>
      <c r="H19437" s="689">
        <v>10.8</v>
      </c>
      <c r="I19437" s="693">
        <v>11</v>
      </c>
      <c r="J19437" s="689">
        <v>10.8</v>
      </c>
      <c r="K19437" s="689">
        <v>10.5</v>
      </c>
    </row>
    <row r="19438" spans="1:11">
      <c r="A19438" s="688" t="s">
        <v>24</v>
      </c>
      <c r="B19438" s="691">
        <v>11.1</v>
      </c>
      <c r="C19438" s="615">
        <v>11</v>
      </c>
      <c r="D19438" s="691">
        <v>10.8</v>
      </c>
      <c r="E19438" s="691">
        <v>11.1</v>
      </c>
      <c r="F19438" s="691">
        <v>11.1</v>
      </c>
      <c r="G19438" s="691">
        <v>11.2</v>
      </c>
      <c r="H19438" s="691">
        <v>11.3</v>
      </c>
      <c r="I19438" s="691">
        <v>10.8</v>
      </c>
      <c r="J19438" s="691">
        <v>11.3</v>
      </c>
      <c r="K19438" s="691">
        <v>11.1</v>
      </c>
    </row>
    <row r="19439" spans="1:11">
      <c r="A19439" s="688" t="s">
        <v>4059</v>
      </c>
      <c r="B19439" s="689">
        <v>10.4</v>
      </c>
      <c r="C19439" s="689">
        <v>10.6</v>
      </c>
      <c r="D19439" s="689">
        <v>10.199999999999999</v>
      </c>
      <c r="E19439" s="689">
        <v>10.5</v>
      </c>
      <c r="F19439" s="689">
        <v>10.4</v>
      </c>
      <c r="G19439" s="689">
        <v>10.5</v>
      </c>
      <c r="H19439" s="690" t="s">
        <v>4060</v>
      </c>
      <c r="I19439" s="690" t="s">
        <v>4060</v>
      </c>
      <c r="J19439" s="690" t="s">
        <v>4060</v>
      </c>
      <c r="K19439" s="690" t="s">
        <v>4060</v>
      </c>
    </row>
    <row r="19440" spans="1:11">
      <c r="A19440" s="688" t="s">
        <v>2324</v>
      </c>
      <c r="B19440" s="615">
        <v>8</v>
      </c>
      <c r="C19440" s="691">
        <v>7.8</v>
      </c>
      <c r="D19440" s="691">
        <v>7.3</v>
      </c>
      <c r="E19440" s="691">
        <v>7.8</v>
      </c>
      <c r="F19440" s="691">
        <v>7.9</v>
      </c>
      <c r="G19440" s="691">
        <v>7.9</v>
      </c>
      <c r="H19440" s="615">
        <v>8</v>
      </c>
      <c r="I19440" s="691">
        <v>7.6</v>
      </c>
      <c r="J19440" s="691">
        <v>6.3</v>
      </c>
      <c r="K19440" s="692" t="s">
        <v>4060</v>
      </c>
    </row>
    <row r="19441" spans="1:11">
      <c r="A19441" s="688" t="s">
        <v>2322</v>
      </c>
      <c r="B19441" s="690" t="s">
        <v>4060</v>
      </c>
      <c r="C19441" s="690" t="s">
        <v>4060</v>
      </c>
      <c r="D19441" s="690" t="s">
        <v>4060</v>
      </c>
      <c r="E19441" s="690" t="s">
        <v>4060</v>
      </c>
      <c r="F19441" s="690" t="s">
        <v>4060</v>
      </c>
      <c r="G19441" s="690" t="s">
        <v>4060</v>
      </c>
      <c r="H19441" s="690" t="s">
        <v>4060</v>
      </c>
      <c r="I19441" s="690" t="s">
        <v>4060</v>
      </c>
      <c r="J19441" s="690" t="s">
        <v>4060</v>
      </c>
      <c r="K19441" s="690" t="s">
        <v>4060</v>
      </c>
    </row>
    <row r="19442" spans="1:11">
      <c r="A19442" s="688" t="s">
        <v>2328</v>
      </c>
      <c r="B19442" s="615">
        <v>7</v>
      </c>
      <c r="C19442" s="691">
        <v>6.8</v>
      </c>
      <c r="D19442" s="691">
        <v>6.7</v>
      </c>
      <c r="E19442" s="691">
        <v>7.1</v>
      </c>
      <c r="F19442" s="691">
        <v>7.1</v>
      </c>
      <c r="G19442" s="691">
        <v>7.4</v>
      </c>
      <c r="H19442" s="691">
        <v>7.3</v>
      </c>
      <c r="I19442" s="691">
        <v>6.7</v>
      </c>
      <c r="J19442" s="691">
        <v>6.3</v>
      </c>
      <c r="K19442" s="692" t="s">
        <v>4060</v>
      </c>
    </row>
    <row r="19443" spans="1:11">
      <c r="A19443" s="688" t="s">
        <v>2496</v>
      </c>
      <c r="B19443" s="690" t="s">
        <v>4060</v>
      </c>
      <c r="C19443" s="689">
        <v>8.6999999999999993</v>
      </c>
      <c r="D19443" s="689">
        <v>7.6</v>
      </c>
      <c r="E19443" s="693">
        <v>7</v>
      </c>
      <c r="F19443" s="689">
        <v>7.1</v>
      </c>
      <c r="G19443" s="689">
        <v>7.3</v>
      </c>
      <c r="H19443" s="689">
        <v>7.3</v>
      </c>
      <c r="I19443" s="690" t="s">
        <v>4060</v>
      </c>
      <c r="J19443" s="690" t="s">
        <v>4060</v>
      </c>
      <c r="K19443" s="693">
        <v>7</v>
      </c>
    </row>
    <row r="19444" spans="1:11">
      <c r="A19444" s="688" t="s">
        <v>2269</v>
      </c>
      <c r="B19444" s="691">
        <v>7.8</v>
      </c>
      <c r="C19444" s="691">
        <v>7.8</v>
      </c>
      <c r="D19444" s="691">
        <v>7.1</v>
      </c>
      <c r="E19444" s="691">
        <v>7.3</v>
      </c>
      <c r="F19444" s="691">
        <v>7.1</v>
      </c>
      <c r="G19444" s="691">
        <v>7.4</v>
      </c>
      <c r="H19444" s="691">
        <v>7.5</v>
      </c>
      <c r="I19444" s="615">
        <v>7</v>
      </c>
      <c r="J19444" s="691">
        <v>4.8</v>
      </c>
      <c r="K19444" s="691">
        <v>7.2</v>
      </c>
    </row>
    <row r="19445" spans="1:11">
      <c r="A19445" s="688" t="s">
        <v>2349</v>
      </c>
      <c r="B19445" s="689">
        <v>7.4</v>
      </c>
      <c r="C19445" s="689">
        <v>7.4</v>
      </c>
      <c r="D19445" s="689">
        <v>7.3</v>
      </c>
      <c r="E19445" s="689">
        <v>7.6</v>
      </c>
      <c r="F19445" s="689">
        <v>7.5</v>
      </c>
      <c r="G19445" s="689">
        <v>7.7</v>
      </c>
      <c r="H19445" s="689">
        <v>7.9</v>
      </c>
      <c r="I19445" s="689">
        <v>7.3</v>
      </c>
      <c r="J19445" s="689">
        <v>6.5</v>
      </c>
      <c r="K19445" s="689">
        <v>7.2</v>
      </c>
    </row>
    <row r="19446" spans="1:11">
      <c r="A19446" s="688" t="s">
        <v>2355</v>
      </c>
      <c r="B19446" s="615">
        <v>10</v>
      </c>
      <c r="C19446" s="691">
        <v>9.6999999999999993</v>
      </c>
      <c r="D19446" s="691">
        <v>9.6</v>
      </c>
      <c r="E19446" s="691">
        <v>9.5</v>
      </c>
      <c r="F19446" s="691">
        <v>9.5</v>
      </c>
      <c r="G19446" s="691">
        <v>9.6999999999999993</v>
      </c>
      <c r="H19446" s="691">
        <v>9.6999999999999993</v>
      </c>
      <c r="I19446" s="692" t="s">
        <v>4060</v>
      </c>
      <c r="J19446" s="692" t="s">
        <v>4060</v>
      </c>
      <c r="K19446" s="692" t="s">
        <v>4060</v>
      </c>
    </row>
    <row r="19447" spans="1:11">
      <c r="A19447" s="688" t="s">
        <v>2357</v>
      </c>
      <c r="B19447" s="690" t="s">
        <v>4060</v>
      </c>
      <c r="C19447" s="693">
        <v>8</v>
      </c>
      <c r="D19447" s="689">
        <v>8.1999999999999993</v>
      </c>
      <c r="E19447" s="689">
        <v>8.4</v>
      </c>
      <c r="F19447" s="689">
        <v>8.5</v>
      </c>
      <c r="G19447" s="689">
        <v>8.1999999999999993</v>
      </c>
      <c r="H19447" s="689">
        <v>8.4</v>
      </c>
      <c r="I19447" s="690" t="s">
        <v>4060</v>
      </c>
      <c r="J19447" s="690" t="s">
        <v>4060</v>
      </c>
      <c r="K19447" s="690" t="s">
        <v>4060</v>
      </c>
    </row>
    <row r="19448" spans="1:11">
      <c r="A19448" s="688" t="s">
        <v>4070</v>
      </c>
      <c r="B19448" s="692" t="s">
        <v>4060</v>
      </c>
      <c r="C19448" s="692" t="s">
        <v>4060</v>
      </c>
      <c r="D19448" s="692" t="s">
        <v>4060</v>
      </c>
      <c r="E19448" s="615">
        <v>11</v>
      </c>
      <c r="F19448" s="692" t="s">
        <v>4060</v>
      </c>
      <c r="G19448" s="692" t="s">
        <v>4060</v>
      </c>
      <c r="H19448" s="692" t="s">
        <v>4060</v>
      </c>
      <c r="I19448" s="692" t="s">
        <v>4060</v>
      </c>
      <c r="J19448" s="692" t="s">
        <v>4060</v>
      </c>
      <c r="K19448" s="692" t="s">
        <v>4060</v>
      </c>
    </row>
    <row r="19449" spans="1:11">
      <c r="A19449" s="688" t="s">
        <v>2491</v>
      </c>
      <c r="B19449" s="689">
        <v>8.1999999999999993</v>
      </c>
      <c r="C19449" s="689">
        <v>8.5</v>
      </c>
      <c r="D19449" s="689">
        <v>8.4</v>
      </c>
      <c r="E19449" s="689">
        <v>8.5</v>
      </c>
      <c r="F19449" s="689">
        <v>8.5</v>
      </c>
      <c r="G19449" s="689">
        <v>8.5</v>
      </c>
      <c r="H19449" s="690" t="s">
        <v>4060</v>
      </c>
      <c r="I19449" s="690" t="s">
        <v>4060</v>
      </c>
      <c r="J19449" s="690" t="s">
        <v>4060</v>
      </c>
      <c r="K19449" s="690" t="s">
        <v>4060</v>
      </c>
    </row>
    <row r="19450" spans="1:11">
      <c r="A19450" s="688" t="s">
        <v>2343</v>
      </c>
      <c r="B19450" s="692" t="s">
        <v>4060</v>
      </c>
      <c r="C19450" s="692" t="s">
        <v>4060</v>
      </c>
      <c r="D19450" s="692" t="s">
        <v>4060</v>
      </c>
      <c r="E19450" s="692" t="s">
        <v>4060</v>
      </c>
      <c r="F19450" s="692" t="s">
        <v>4060</v>
      </c>
      <c r="G19450" s="692" t="s">
        <v>4060</v>
      </c>
      <c r="H19450" s="692" t="s">
        <v>4060</v>
      </c>
      <c r="I19450" s="692" t="s">
        <v>4060</v>
      </c>
      <c r="J19450" s="692" t="s">
        <v>4060</v>
      </c>
      <c r="K19450" s="692" t="s">
        <v>4060</v>
      </c>
    </row>
    <row r="19451" spans="1:11">
      <c r="A19451" s="688" t="s">
        <v>4071</v>
      </c>
      <c r="B19451" s="690" t="s">
        <v>4060</v>
      </c>
      <c r="C19451" s="690" t="s">
        <v>4060</v>
      </c>
      <c r="D19451" s="690" t="s">
        <v>4060</v>
      </c>
      <c r="E19451" s="690" t="s">
        <v>4060</v>
      </c>
      <c r="F19451" s="690" t="s">
        <v>4060</v>
      </c>
      <c r="G19451" s="690" t="s">
        <v>4060</v>
      </c>
      <c r="H19451" s="690" t="s">
        <v>4060</v>
      </c>
      <c r="I19451" s="690" t="s">
        <v>4060</v>
      </c>
      <c r="J19451" s="690" t="s">
        <v>4060</v>
      </c>
      <c r="K19451" s="690" t="s">
        <v>4060</v>
      </c>
    </row>
    <row r="19452" spans="1:11">
      <c r="A19452" s="688" t="s">
        <v>2489</v>
      </c>
      <c r="B19452" s="692" t="s">
        <v>4060</v>
      </c>
      <c r="C19452" s="692" t="s">
        <v>4060</v>
      </c>
      <c r="D19452" s="691">
        <v>7.8</v>
      </c>
      <c r="E19452" s="691">
        <v>7.7</v>
      </c>
      <c r="F19452" s="691">
        <v>7.8</v>
      </c>
      <c r="G19452" s="691">
        <v>7.9</v>
      </c>
      <c r="H19452" s="691">
        <v>8.1999999999999993</v>
      </c>
      <c r="I19452" s="692" t="s">
        <v>4060</v>
      </c>
      <c r="J19452" s="692" t="s">
        <v>4060</v>
      </c>
      <c r="K19452" s="692" t="s">
        <v>4060</v>
      </c>
    </row>
    <row r="19453" spans="1:11">
      <c r="A19453" s="688" t="s">
        <v>2490</v>
      </c>
      <c r="B19453" s="689">
        <v>7.7</v>
      </c>
      <c r="C19453" s="689">
        <v>7.5</v>
      </c>
      <c r="D19453" s="693">
        <v>8</v>
      </c>
      <c r="E19453" s="690" t="s">
        <v>4060</v>
      </c>
      <c r="F19453" s="693">
        <v>8</v>
      </c>
      <c r="G19453" s="689">
        <v>8.1</v>
      </c>
      <c r="H19453" s="689">
        <v>8.8000000000000007</v>
      </c>
      <c r="I19453" s="690" t="s">
        <v>4060</v>
      </c>
      <c r="J19453" s="690" t="s">
        <v>4060</v>
      </c>
      <c r="K19453" s="690" t="s">
        <v>4060</v>
      </c>
    </row>
    <row r="19455" spans="1:11">
      <c r="A19455" s="683" t="s">
        <v>4233</v>
      </c>
    </row>
    <row r="19456" spans="1:11">
      <c r="A19456" s="683" t="s">
        <v>4060</v>
      </c>
      <c r="B19456" s="682" t="s">
        <v>4234</v>
      </c>
    </row>
    <row r="19458" spans="1:11">
      <c r="A19458" s="682" t="s">
        <v>4332</v>
      </c>
    </row>
    <row r="19459" spans="1:11">
      <c r="A19459" s="682" t="s">
        <v>4210</v>
      </c>
      <c r="B19459" s="683" t="s">
        <v>4211</v>
      </c>
    </row>
    <row r="19460" spans="1:11">
      <c r="A19460" s="682" t="s">
        <v>4212</v>
      </c>
      <c r="B19460" s="682" t="s">
        <v>4213</v>
      </c>
    </row>
    <row r="19462" spans="1:11">
      <c r="A19462" s="683" t="s">
        <v>4214</v>
      </c>
      <c r="C19462" s="682" t="s">
        <v>4215</v>
      </c>
    </row>
    <row r="19463" spans="1:11">
      <c r="A19463" s="683" t="s">
        <v>4216</v>
      </c>
      <c r="C19463" s="682" t="s">
        <v>2967</v>
      </c>
    </row>
    <row r="19464" spans="1:11">
      <c r="A19464" s="683" t="s">
        <v>3893</v>
      </c>
      <c r="C19464" s="682" t="s">
        <v>2169</v>
      </c>
    </row>
    <row r="19465" spans="1:11">
      <c r="A19465" s="683" t="s">
        <v>4218</v>
      </c>
      <c r="C19465" s="682" t="s">
        <v>4314</v>
      </c>
    </row>
    <row r="19467" spans="1:11">
      <c r="A19467" s="684" t="s">
        <v>4220</v>
      </c>
      <c r="B19467" s="685" t="s">
        <v>4221</v>
      </c>
      <c r="C19467" s="685" t="s">
        <v>4222</v>
      </c>
      <c r="D19467" s="685" t="s">
        <v>4223</v>
      </c>
      <c r="E19467" s="685" t="s">
        <v>4224</v>
      </c>
      <c r="F19467" s="685" t="s">
        <v>4225</v>
      </c>
      <c r="G19467" s="685" t="s">
        <v>4226</v>
      </c>
      <c r="H19467" s="685" t="s">
        <v>4227</v>
      </c>
      <c r="I19467" s="685" t="s">
        <v>4228</v>
      </c>
      <c r="J19467" s="685" t="s">
        <v>4229</v>
      </c>
      <c r="K19467" s="685" t="s">
        <v>4230</v>
      </c>
    </row>
    <row r="19468" spans="1:11">
      <c r="A19468" s="686" t="s">
        <v>4231</v>
      </c>
      <c r="B19468" s="687" t="s">
        <v>4232</v>
      </c>
      <c r="C19468" s="687" t="s">
        <v>4232</v>
      </c>
      <c r="D19468" s="687" t="s">
        <v>4232</v>
      </c>
      <c r="E19468" s="687" t="s">
        <v>4232</v>
      </c>
      <c r="F19468" s="687" t="s">
        <v>4232</v>
      </c>
      <c r="G19468" s="687" t="s">
        <v>4232</v>
      </c>
      <c r="H19468" s="687" t="s">
        <v>4232</v>
      </c>
      <c r="I19468" s="687" t="s">
        <v>4232</v>
      </c>
      <c r="J19468" s="687" t="s">
        <v>4232</v>
      </c>
      <c r="K19468" s="687" t="s">
        <v>4232</v>
      </c>
    </row>
    <row r="19469" spans="1:11">
      <c r="A19469" s="688" t="s">
        <v>4064</v>
      </c>
      <c r="B19469" s="693">
        <v>10</v>
      </c>
      <c r="C19469" s="689">
        <v>9.6999999999999993</v>
      </c>
      <c r="D19469" s="689">
        <v>9.8000000000000007</v>
      </c>
      <c r="E19469" s="689">
        <v>9.8000000000000007</v>
      </c>
      <c r="F19469" s="689">
        <v>9.6999999999999993</v>
      </c>
      <c r="G19469" s="689">
        <v>9.8000000000000007</v>
      </c>
      <c r="H19469" s="693">
        <v>10</v>
      </c>
      <c r="I19469" s="689">
        <v>9.5</v>
      </c>
      <c r="J19469" s="689">
        <v>9.6</v>
      </c>
      <c r="K19469" s="689">
        <v>9.6</v>
      </c>
    </row>
    <row r="19470" spans="1:11">
      <c r="A19470" s="688" t="s">
        <v>4065</v>
      </c>
      <c r="B19470" s="691">
        <v>9.9</v>
      </c>
      <c r="C19470" s="691">
        <v>10.199999999999999</v>
      </c>
      <c r="D19470" s="691">
        <v>9.8000000000000007</v>
      </c>
      <c r="E19470" s="691">
        <v>10.199999999999999</v>
      </c>
      <c r="F19470" s="615">
        <v>10</v>
      </c>
      <c r="G19470" s="691">
        <v>10.1</v>
      </c>
      <c r="H19470" s="692" t="s">
        <v>4060</v>
      </c>
      <c r="I19470" s="692" t="s">
        <v>4060</v>
      </c>
      <c r="J19470" s="692" t="s">
        <v>4060</v>
      </c>
      <c r="K19470" s="692" t="s">
        <v>4060</v>
      </c>
    </row>
    <row r="19471" spans="1:11">
      <c r="A19471" s="688" t="s">
        <v>4063</v>
      </c>
      <c r="B19471" s="689">
        <v>9.9</v>
      </c>
      <c r="C19471" s="689">
        <v>10.199999999999999</v>
      </c>
      <c r="D19471" s="689">
        <v>9.8000000000000007</v>
      </c>
      <c r="E19471" s="689">
        <v>10.199999999999999</v>
      </c>
      <c r="F19471" s="693">
        <v>10</v>
      </c>
      <c r="G19471" s="689">
        <v>10.1</v>
      </c>
      <c r="H19471" s="690" t="s">
        <v>4060</v>
      </c>
      <c r="I19471" s="690" t="s">
        <v>4060</v>
      </c>
      <c r="J19471" s="690" t="s">
        <v>4060</v>
      </c>
      <c r="K19471" s="690" t="s">
        <v>4060</v>
      </c>
    </row>
    <row r="19472" spans="1:11">
      <c r="A19472" s="688" t="s">
        <v>4069</v>
      </c>
      <c r="B19472" s="692" t="s">
        <v>4060</v>
      </c>
      <c r="C19472" s="691">
        <v>10.1</v>
      </c>
      <c r="D19472" s="691">
        <v>9.8000000000000007</v>
      </c>
      <c r="E19472" s="691">
        <v>10.1</v>
      </c>
      <c r="F19472" s="615">
        <v>10</v>
      </c>
      <c r="G19472" s="691">
        <v>10.1</v>
      </c>
      <c r="H19472" s="691">
        <v>10.3</v>
      </c>
      <c r="I19472" s="691">
        <v>9.8000000000000007</v>
      </c>
      <c r="J19472" s="615">
        <v>10</v>
      </c>
      <c r="K19472" s="691">
        <v>9.9</v>
      </c>
    </row>
    <row r="19473" spans="1:11">
      <c r="A19473" s="688" t="s">
        <v>4068</v>
      </c>
      <c r="B19473" s="689">
        <v>10.3</v>
      </c>
      <c r="C19473" s="690" t="s">
        <v>4060</v>
      </c>
      <c r="D19473" s="690" t="s">
        <v>4060</v>
      </c>
      <c r="E19473" s="690" t="s">
        <v>4060</v>
      </c>
      <c r="F19473" s="690" t="s">
        <v>4060</v>
      </c>
      <c r="G19473" s="690" t="s">
        <v>4060</v>
      </c>
      <c r="H19473" s="690" t="s">
        <v>4060</v>
      </c>
      <c r="I19473" s="690" t="s">
        <v>4060</v>
      </c>
      <c r="J19473" s="690" t="s">
        <v>4060</v>
      </c>
      <c r="K19473" s="690" t="s">
        <v>4060</v>
      </c>
    </row>
    <row r="19474" spans="1:11">
      <c r="A19474" s="688" t="s">
        <v>0</v>
      </c>
      <c r="B19474" s="691">
        <v>9.9</v>
      </c>
      <c r="C19474" s="691">
        <v>9.9</v>
      </c>
      <c r="D19474" s="691">
        <v>9.6</v>
      </c>
      <c r="E19474" s="615">
        <v>10</v>
      </c>
      <c r="F19474" s="615">
        <v>10</v>
      </c>
      <c r="G19474" s="615">
        <v>10</v>
      </c>
      <c r="H19474" s="691">
        <v>10.199999999999999</v>
      </c>
      <c r="I19474" s="691">
        <v>9.3000000000000007</v>
      </c>
      <c r="J19474" s="691">
        <v>10.4</v>
      </c>
      <c r="K19474" s="615">
        <v>10</v>
      </c>
    </row>
    <row r="19475" spans="1:11">
      <c r="A19475" s="688" t="s">
        <v>1</v>
      </c>
      <c r="B19475" s="689">
        <v>7.5</v>
      </c>
      <c r="C19475" s="689">
        <v>7.1</v>
      </c>
      <c r="D19475" s="693">
        <v>7</v>
      </c>
      <c r="E19475" s="689">
        <v>7.3</v>
      </c>
      <c r="F19475" s="689">
        <v>7.2</v>
      </c>
      <c r="G19475" s="689">
        <v>7.4</v>
      </c>
      <c r="H19475" s="689">
        <v>7.4</v>
      </c>
      <c r="I19475" s="689">
        <v>7.1</v>
      </c>
      <c r="J19475" s="689">
        <v>6.5</v>
      </c>
      <c r="K19475" s="689">
        <v>7.3</v>
      </c>
    </row>
    <row r="19476" spans="1:11">
      <c r="A19476" s="688" t="s">
        <v>2240</v>
      </c>
      <c r="B19476" s="691">
        <v>8.5</v>
      </c>
      <c r="C19476" s="691">
        <v>8.5</v>
      </c>
      <c r="D19476" s="691">
        <v>8.3000000000000007</v>
      </c>
      <c r="E19476" s="691">
        <v>8.6999999999999993</v>
      </c>
      <c r="F19476" s="691">
        <v>8.6</v>
      </c>
      <c r="G19476" s="691">
        <v>8.6999999999999993</v>
      </c>
      <c r="H19476" s="691">
        <v>8.8000000000000007</v>
      </c>
      <c r="I19476" s="691">
        <v>8.1999999999999993</v>
      </c>
      <c r="J19476" s="691">
        <v>8.1999999999999993</v>
      </c>
      <c r="K19476" s="691">
        <v>8.6</v>
      </c>
    </row>
    <row r="19477" spans="1:11">
      <c r="A19477" s="688" t="s">
        <v>2</v>
      </c>
      <c r="B19477" s="689">
        <v>9.4</v>
      </c>
      <c r="C19477" s="689">
        <v>9.6</v>
      </c>
      <c r="D19477" s="689">
        <v>9.5</v>
      </c>
      <c r="E19477" s="689">
        <v>9.6</v>
      </c>
      <c r="F19477" s="689">
        <v>9.6</v>
      </c>
      <c r="G19477" s="689">
        <v>9.5</v>
      </c>
      <c r="H19477" s="689">
        <v>9.6999999999999993</v>
      </c>
      <c r="I19477" s="689">
        <v>9.8000000000000007</v>
      </c>
      <c r="J19477" s="689">
        <v>9.6</v>
      </c>
      <c r="K19477" s="689">
        <v>9.5</v>
      </c>
    </row>
    <row r="19478" spans="1:11">
      <c r="A19478" s="688" t="s">
        <v>3</v>
      </c>
      <c r="B19478" s="691">
        <v>9.4</v>
      </c>
      <c r="C19478" s="691">
        <v>9.5</v>
      </c>
      <c r="D19478" s="691">
        <v>9.3000000000000007</v>
      </c>
      <c r="E19478" s="691">
        <v>9.5</v>
      </c>
      <c r="F19478" s="691">
        <v>9.5</v>
      </c>
      <c r="G19478" s="691">
        <v>9.5</v>
      </c>
      <c r="H19478" s="691">
        <v>9.6999999999999993</v>
      </c>
      <c r="I19478" s="691">
        <v>9.6</v>
      </c>
      <c r="J19478" s="691">
        <v>9.6</v>
      </c>
      <c r="K19478" s="691">
        <v>9.3000000000000007</v>
      </c>
    </row>
    <row r="19479" spans="1:11">
      <c r="A19479" s="688" t="s">
        <v>4061</v>
      </c>
      <c r="B19479" s="689">
        <v>9.4</v>
      </c>
      <c r="C19479" s="689">
        <v>9.5</v>
      </c>
      <c r="D19479" s="689">
        <v>9.3000000000000007</v>
      </c>
      <c r="E19479" s="689">
        <v>9.5</v>
      </c>
      <c r="F19479" s="689">
        <v>9.5</v>
      </c>
      <c r="G19479" s="689">
        <v>9.5</v>
      </c>
      <c r="H19479" s="689">
        <v>9.6999999999999993</v>
      </c>
      <c r="I19479" s="689">
        <v>9.6</v>
      </c>
      <c r="J19479" s="689">
        <v>9.6</v>
      </c>
      <c r="K19479" s="689">
        <v>9.3000000000000007</v>
      </c>
    </row>
    <row r="19480" spans="1:11">
      <c r="A19480" s="688" t="s">
        <v>4</v>
      </c>
      <c r="B19480" s="691">
        <v>9.4</v>
      </c>
      <c r="C19480" s="615">
        <v>9</v>
      </c>
      <c r="D19480" s="691">
        <v>9.1</v>
      </c>
      <c r="E19480" s="691">
        <v>9.1999999999999993</v>
      </c>
      <c r="F19480" s="691">
        <v>9.1999999999999993</v>
      </c>
      <c r="G19480" s="691">
        <v>9.3000000000000007</v>
      </c>
      <c r="H19480" s="691">
        <v>9.5</v>
      </c>
      <c r="I19480" s="691">
        <v>9.5</v>
      </c>
      <c r="J19480" s="691">
        <v>8.8000000000000007</v>
      </c>
      <c r="K19480" s="691">
        <v>9.1</v>
      </c>
    </row>
    <row r="19481" spans="1:11">
      <c r="A19481" s="688" t="s">
        <v>8</v>
      </c>
      <c r="B19481" s="689">
        <v>9.4</v>
      </c>
      <c r="C19481" s="689">
        <v>9.5</v>
      </c>
      <c r="D19481" s="689">
        <v>9.4</v>
      </c>
      <c r="E19481" s="689">
        <v>9.5</v>
      </c>
      <c r="F19481" s="689">
        <v>9.6</v>
      </c>
      <c r="G19481" s="689">
        <v>9.8000000000000007</v>
      </c>
      <c r="H19481" s="689">
        <v>9.9</v>
      </c>
      <c r="I19481" s="689">
        <v>9.8000000000000007</v>
      </c>
      <c r="J19481" s="689">
        <v>9.6999999999999993</v>
      </c>
      <c r="K19481" s="689">
        <v>9.8000000000000007</v>
      </c>
    </row>
    <row r="19482" spans="1:11">
      <c r="A19482" s="688" t="s">
        <v>7</v>
      </c>
      <c r="B19482" s="691">
        <v>9.6999999999999993</v>
      </c>
      <c r="C19482" s="691">
        <v>9.1999999999999993</v>
      </c>
      <c r="D19482" s="615">
        <v>9</v>
      </c>
      <c r="E19482" s="691">
        <v>9.4</v>
      </c>
      <c r="F19482" s="691">
        <v>9.3000000000000007</v>
      </c>
      <c r="G19482" s="691">
        <v>9.6999999999999993</v>
      </c>
      <c r="H19482" s="691">
        <v>9.6</v>
      </c>
      <c r="I19482" s="691">
        <v>9.4</v>
      </c>
      <c r="J19482" s="691">
        <v>9.1999999999999993</v>
      </c>
      <c r="K19482" s="691">
        <v>9.1</v>
      </c>
    </row>
    <row r="19483" spans="1:11">
      <c r="A19483" s="688" t="s">
        <v>27</v>
      </c>
      <c r="B19483" s="689">
        <v>11.2</v>
      </c>
      <c r="C19483" s="689">
        <v>10.6</v>
      </c>
      <c r="D19483" s="689">
        <v>10.199999999999999</v>
      </c>
      <c r="E19483" s="689">
        <v>10.6</v>
      </c>
      <c r="F19483" s="689">
        <v>10.5</v>
      </c>
      <c r="G19483" s="689">
        <v>10.6</v>
      </c>
      <c r="H19483" s="689">
        <v>10.9</v>
      </c>
      <c r="I19483" s="693">
        <v>10</v>
      </c>
      <c r="J19483" s="689">
        <v>10.8</v>
      </c>
      <c r="K19483" s="689">
        <v>10.6</v>
      </c>
    </row>
    <row r="19484" spans="1:11">
      <c r="A19484" s="688" t="s">
        <v>6</v>
      </c>
      <c r="B19484" s="691">
        <v>11.6</v>
      </c>
      <c r="C19484" s="691">
        <v>11.1</v>
      </c>
      <c r="D19484" s="691">
        <v>10.9</v>
      </c>
      <c r="E19484" s="691">
        <v>11.1</v>
      </c>
      <c r="F19484" s="691">
        <v>11.1</v>
      </c>
      <c r="G19484" s="691">
        <v>11.2</v>
      </c>
      <c r="H19484" s="691">
        <v>11.3</v>
      </c>
      <c r="I19484" s="691">
        <v>10.9</v>
      </c>
      <c r="J19484" s="691">
        <v>11.1</v>
      </c>
      <c r="K19484" s="615">
        <v>11</v>
      </c>
    </row>
    <row r="19485" spans="1:11">
      <c r="A19485" s="688" t="s">
        <v>4058</v>
      </c>
      <c r="B19485" s="690" t="s">
        <v>4060</v>
      </c>
      <c r="C19485" s="690" t="s">
        <v>4060</v>
      </c>
      <c r="D19485" s="690" t="s">
        <v>4060</v>
      </c>
      <c r="E19485" s="690" t="s">
        <v>4060</v>
      </c>
      <c r="F19485" s="690" t="s">
        <v>4060</v>
      </c>
      <c r="G19485" s="690" t="s">
        <v>4060</v>
      </c>
      <c r="H19485" s="690" t="s">
        <v>4060</v>
      </c>
      <c r="I19485" s="690" t="s">
        <v>4060</v>
      </c>
      <c r="J19485" s="690" t="s">
        <v>4060</v>
      </c>
      <c r="K19485" s="690" t="s">
        <v>4060</v>
      </c>
    </row>
    <row r="19486" spans="1:11">
      <c r="A19486" s="688" t="s">
        <v>11</v>
      </c>
      <c r="B19486" s="691">
        <v>8.1999999999999993</v>
      </c>
      <c r="C19486" s="691">
        <v>7.8</v>
      </c>
      <c r="D19486" s="691">
        <v>7.6</v>
      </c>
      <c r="E19486" s="691">
        <v>7.9</v>
      </c>
      <c r="F19486" s="691">
        <v>7.8</v>
      </c>
      <c r="G19486" s="691">
        <v>7.9</v>
      </c>
      <c r="H19486" s="691">
        <v>8.1</v>
      </c>
      <c r="I19486" s="691">
        <v>7.7</v>
      </c>
      <c r="J19486" s="691">
        <v>7.3</v>
      </c>
      <c r="K19486" s="691">
        <v>7.6</v>
      </c>
    </row>
    <row r="19487" spans="1:11">
      <c r="A19487" s="688" t="s">
        <v>10</v>
      </c>
      <c r="B19487" s="689">
        <v>10.7</v>
      </c>
      <c r="C19487" s="689">
        <v>10.199999999999999</v>
      </c>
      <c r="D19487" s="689">
        <v>9.8000000000000007</v>
      </c>
      <c r="E19487" s="689">
        <v>10.3</v>
      </c>
      <c r="F19487" s="689">
        <v>10.1</v>
      </c>
      <c r="G19487" s="689">
        <v>10.3</v>
      </c>
      <c r="H19487" s="689">
        <v>10.4</v>
      </c>
      <c r="I19487" s="689">
        <v>9.6999999999999993</v>
      </c>
      <c r="J19487" s="689">
        <v>10.1</v>
      </c>
      <c r="K19487" s="689">
        <v>9.9</v>
      </c>
    </row>
    <row r="19488" spans="1:11">
      <c r="A19488" s="688" t="s">
        <v>30</v>
      </c>
      <c r="B19488" s="691">
        <v>9.6999999999999993</v>
      </c>
      <c r="C19488" s="691">
        <v>8.8000000000000007</v>
      </c>
      <c r="D19488" s="691">
        <v>8.6</v>
      </c>
      <c r="E19488" s="691">
        <v>9.3000000000000007</v>
      </c>
      <c r="F19488" s="691">
        <v>8.8000000000000007</v>
      </c>
      <c r="G19488" s="691">
        <v>9.4</v>
      </c>
      <c r="H19488" s="691">
        <v>9.1</v>
      </c>
      <c r="I19488" s="691">
        <v>9.3000000000000007</v>
      </c>
      <c r="J19488" s="691">
        <v>9.1</v>
      </c>
      <c r="K19488" s="615">
        <v>9</v>
      </c>
    </row>
    <row r="19489" spans="1:11">
      <c r="A19489" s="688" t="s">
        <v>12</v>
      </c>
      <c r="B19489" s="689">
        <v>8.5</v>
      </c>
      <c r="C19489" s="689">
        <v>8.1999999999999993</v>
      </c>
      <c r="D19489" s="689">
        <v>8.1</v>
      </c>
      <c r="E19489" s="689">
        <v>8.3000000000000007</v>
      </c>
      <c r="F19489" s="689">
        <v>8.4</v>
      </c>
      <c r="G19489" s="689">
        <v>8.4</v>
      </c>
      <c r="H19489" s="689">
        <v>8.6</v>
      </c>
      <c r="I19489" s="689">
        <v>8.5</v>
      </c>
      <c r="J19489" s="689">
        <v>7.7</v>
      </c>
      <c r="K19489" s="689">
        <v>8.1999999999999993</v>
      </c>
    </row>
    <row r="19490" spans="1:11">
      <c r="A19490" s="688" t="s">
        <v>14</v>
      </c>
      <c r="B19490" s="691">
        <v>8.5</v>
      </c>
      <c r="C19490" s="691">
        <v>8.1999999999999993</v>
      </c>
      <c r="D19490" s="615">
        <v>8</v>
      </c>
      <c r="E19490" s="691">
        <v>8.1999999999999993</v>
      </c>
      <c r="F19490" s="691">
        <v>8.1999999999999993</v>
      </c>
      <c r="G19490" s="691">
        <v>8.4</v>
      </c>
      <c r="H19490" s="691">
        <v>8.6</v>
      </c>
      <c r="I19490" s="691">
        <v>8.3000000000000007</v>
      </c>
      <c r="J19490" s="691">
        <v>7.8</v>
      </c>
      <c r="K19490" s="691">
        <v>8.1999999999999993</v>
      </c>
    </row>
    <row r="19491" spans="1:11">
      <c r="A19491" s="688" t="s">
        <v>15</v>
      </c>
      <c r="B19491" s="689">
        <v>10.4</v>
      </c>
      <c r="C19491" s="689">
        <v>10.3</v>
      </c>
      <c r="D19491" s="689">
        <v>9.9</v>
      </c>
      <c r="E19491" s="689">
        <v>10.199999999999999</v>
      </c>
      <c r="F19491" s="689">
        <v>10.1</v>
      </c>
      <c r="G19491" s="689">
        <v>10.199999999999999</v>
      </c>
      <c r="H19491" s="689">
        <v>10.199999999999999</v>
      </c>
      <c r="I19491" s="693">
        <v>10</v>
      </c>
      <c r="J19491" s="689">
        <v>10.199999999999999</v>
      </c>
      <c r="K19491" s="689">
        <v>10.199999999999999</v>
      </c>
    </row>
    <row r="19492" spans="1:11">
      <c r="A19492" s="688" t="s">
        <v>29</v>
      </c>
      <c r="B19492" s="691">
        <v>8.1999999999999993</v>
      </c>
      <c r="C19492" s="691">
        <v>8.1</v>
      </c>
      <c r="D19492" s="691">
        <v>7.8</v>
      </c>
      <c r="E19492" s="691">
        <v>8.1</v>
      </c>
      <c r="F19492" s="691">
        <v>7.9</v>
      </c>
      <c r="G19492" s="615">
        <v>8</v>
      </c>
      <c r="H19492" s="615">
        <v>8</v>
      </c>
      <c r="I19492" s="691">
        <v>7.7</v>
      </c>
      <c r="J19492" s="691">
        <v>7.6</v>
      </c>
      <c r="K19492" s="615">
        <v>8</v>
      </c>
    </row>
    <row r="19493" spans="1:11">
      <c r="A19493" s="688" t="s">
        <v>16</v>
      </c>
      <c r="B19493" s="689">
        <v>9.8000000000000007</v>
      </c>
      <c r="C19493" s="689">
        <v>9.5</v>
      </c>
      <c r="D19493" s="689">
        <v>9.4</v>
      </c>
      <c r="E19493" s="689">
        <v>9.8000000000000007</v>
      </c>
      <c r="F19493" s="689">
        <v>9.6999999999999993</v>
      </c>
      <c r="G19493" s="689">
        <v>9.6999999999999993</v>
      </c>
      <c r="H19493" s="689">
        <v>9.9</v>
      </c>
      <c r="I19493" s="689">
        <v>9.6999999999999993</v>
      </c>
      <c r="J19493" s="689">
        <v>9.6</v>
      </c>
      <c r="K19493" s="689">
        <v>9.6999999999999993</v>
      </c>
    </row>
    <row r="19494" spans="1:11">
      <c r="A19494" s="688" t="s">
        <v>17</v>
      </c>
      <c r="B19494" s="691">
        <v>9.6999999999999993</v>
      </c>
      <c r="C19494" s="691">
        <v>9.6999999999999993</v>
      </c>
      <c r="D19494" s="691">
        <v>9.4</v>
      </c>
      <c r="E19494" s="691">
        <v>9.5</v>
      </c>
      <c r="F19494" s="691">
        <v>9.5</v>
      </c>
      <c r="G19494" s="691">
        <v>9.5</v>
      </c>
      <c r="H19494" s="691">
        <v>9.6999999999999993</v>
      </c>
      <c r="I19494" s="691">
        <v>9.3000000000000007</v>
      </c>
      <c r="J19494" s="691">
        <v>9.4</v>
      </c>
      <c r="K19494" s="691">
        <v>9.4</v>
      </c>
    </row>
    <row r="19495" spans="1:11">
      <c r="A19495" s="688" t="s">
        <v>19</v>
      </c>
      <c r="B19495" s="689">
        <v>9.8000000000000007</v>
      </c>
      <c r="C19495" s="689">
        <v>9.6999999999999993</v>
      </c>
      <c r="D19495" s="689">
        <v>9.5</v>
      </c>
      <c r="E19495" s="689">
        <v>9.9</v>
      </c>
      <c r="F19495" s="689">
        <v>9.6</v>
      </c>
      <c r="G19495" s="689">
        <v>9.8000000000000007</v>
      </c>
      <c r="H19495" s="689">
        <v>9.9</v>
      </c>
      <c r="I19495" s="689">
        <v>9.5</v>
      </c>
      <c r="J19495" s="689">
        <v>9.6999999999999993</v>
      </c>
      <c r="K19495" s="689">
        <v>9.6</v>
      </c>
    </row>
    <row r="19496" spans="1:11">
      <c r="A19496" s="688" t="s">
        <v>20</v>
      </c>
      <c r="B19496" s="691">
        <v>9.3000000000000007</v>
      </c>
      <c r="C19496" s="691">
        <v>9.1</v>
      </c>
      <c r="D19496" s="691">
        <v>8.9</v>
      </c>
      <c r="E19496" s="691">
        <v>9.3000000000000007</v>
      </c>
      <c r="F19496" s="691">
        <v>9.1</v>
      </c>
      <c r="G19496" s="691">
        <v>9.1</v>
      </c>
      <c r="H19496" s="691">
        <v>9.4</v>
      </c>
      <c r="I19496" s="691">
        <v>8.6999999999999993</v>
      </c>
      <c r="J19496" s="691">
        <v>8.3000000000000007</v>
      </c>
      <c r="K19496" s="691">
        <v>8.8000000000000007</v>
      </c>
    </row>
    <row r="19497" spans="1:11">
      <c r="A19497" s="688" t="s">
        <v>21</v>
      </c>
      <c r="B19497" s="689">
        <v>9.8000000000000007</v>
      </c>
      <c r="C19497" s="689">
        <v>9.9</v>
      </c>
      <c r="D19497" s="689">
        <v>9.6999999999999993</v>
      </c>
      <c r="E19497" s="689">
        <v>9.9</v>
      </c>
      <c r="F19497" s="689">
        <v>10.1</v>
      </c>
      <c r="G19497" s="693">
        <v>10</v>
      </c>
      <c r="H19497" s="689">
        <v>10.199999999999999</v>
      </c>
      <c r="I19497" s="689">
        <v>9.6999999999999993</v>
      </c>
      <c r="J19497" s="689">
        <v>9.8000000000000007</v>
      </c>
      <c r="K19497" s="689">
        <v>9.8000000000000007</v>
      </c>
    </row>
    <row r="19498" spans="1:11">
      <c r="A19498" s="688" t="s">
        <v>22</v>
      </c>
      <c r="B19498" s="615">
        <v>8</v>
      </c>
      <c r="C19498" s="691">
        <v>7.7</v>
      </c>
      <c r="D19498" s="691">
        <v>7.6</v>
      </c>
      <c r="E19498" s="691">
        <v>7.9</v>
      </c>
      <c r="F19498" s="691">
        <v>7.9</v>
      </c>
      <c r="G19498" s="615">
        <v>8</v>
      </c>
      <c r="H19498" s="691">
        <v>8.3000000000000007</v>
      </c>
      <c r="I19498" s="691">
        <v>7.8</v>
      </c>
      <c r="J19498" s="691">
        <v>7.1</v>
      </c>
      <c r="K19498" s="691">
        <v>7.6</v>
      </c>
    </row>
    <row r="19499" spans="1:11">
      <c r="A19499" s="688" t="s">
        <v>26</v>
      </c>
      <c r="B19499" s="689">
        <v>9.8000000000000007</v>
      </c>
      <c r="C19499" s="689">
        <v>9.4</v>
      </c>
      <c r="D19499" s="689">
        <v>9.4</v>
      </c>
      <c r="E19499" s="689">
        <v>9.5</v>
      </c>
      <c r="F19499" s="689">
        <v>9.5</v>
      </c>
      <c r="G19499" s="689">
        <v>9.6999999999999993</v>
      </c>
      <c r="H19499" s="689">
        <v>9.8000000000000007</v>
      </c>
      <c r="I19499" s="689">
        <v>8.9</v>
      </c>
      <c r="J19499" s="689">
        <v>9.5</v>
      </c>
      <c r="K19499" s="689">
        <v>9.5</v>
      </c>
    </row>
    <row r="19500" spans="1:11">
      <c r="A19500" s="688" t="s">
        <v>25</v>
      </c>
      <c r="B19500" s="691">
        <v>8.1</v>
      </c>
      <c r="C19500" s="691">
        <v>8.1999999999999993</v>
      </c>
      <c r="D19500" s="691">
        <v>7.9</v>
      </c>
      <c r="E19500" s="691">
        <v>8.3000000000000007</v>
      </c>
      <c r="F19500" s="691">
        <v>8.1999999999999993</v>
      </c>
      <c r="G19500" s="691">
        <v>8.4</v>
      </c>
      <c r="H19500" s="691">
        <v>8.6999999999999993</v>
      </c>
      <c r="I19500" s="691">
        <v>8.3000000000000007</v>
      </c>
      <c r="J19500" s="691">
        <v>7.3</v>
      </c>
      <c r="K19500" s="615">
        <v>8</v>
      </c>
    </row>
    <row r="19501" spans="1:11">
      <c r="A19501" s="688" t="s">
        <v>5</v>
      </c>
      <c r="B19501" s="689">
        <v>10.1</v>
      </c>
      <c r="C19501" s="689">
        <v>9.6999999999999993</v>
      </c>
      <c r="D19501" s="689">
        <v>9.6999999999999993</v>
      </c>
      <c r="E19501" s="689">
        <v>9.8000000000000007</v>
      </c>
      <c r="F19501" s="693">
        <v>10</v>
      </c>
      <c r="G19501" s="689">
        <v>9.9</v>
      </c>
      <c r="H19501" s="689">
        <v>10.199999999999999</v>
      </c>
      <c r="I19501" s="689">
        <v>10.1</v>
      </c>
      <c r="J19501" s="693">
        <v>10</v>
      </c>
      <c r="K19501" s="689">
        <v>9.6</v>
      </c>
    </row>
    <row r="19502" spans="1:11">
      <c r="A19502" s="688" t="s">
        <v>23</v>
      </c>
      <c r="B19502" s="691">
        <v>9.6999999999999993</v>
      </c>
      <c r="C19502" s="691">
        <v>9.8000000000000007</v>
      </c>
      <c r="D19502" s="691">
        <v>9.8000000000000007</v>
      </c>
      <c r="E19502" s="691">
        <v>9.8000000000000007</v>
      </c>
      <c r="F19502" s="691">
        <v>9.8000000000000007</v>
      </c>
      <c r="G19502" s="691">
        <v>9.9</v>
      </c>
      <c r="H19502" s="691">
        <v>10.199999999999999</v>
      </c>
      <c r="I19502" s="691">
        <v>9.6999999999999993</v>
      </c>
      <c r="J19502" s="691">
        <v>10.3</v>
      </c>
      <c r="K19502" s="691">
        <v>10.1</v>
      </c>
    </row>
    <row r="19503" spans="1:11">
      <c r="A19503" s="688" t="s">
        <v>4067</v>
      </c>
      <c r="B19503" s="689">
        <v>9.9</v>
      </c>
      <c r="C19503" s="689">
        <v>10.199999999999999</v>
      </c>
      <c r="D19503" s="689">
        <v>9.8000000000000007</v>
      </c>
      <c r="E19503" s="689">
        <v>10.1</v>
      </c>
      <c r="F19503" s="693">
        <v>10</v>
      </c>
      <c r="G19503" s="689">
        <v>10.1</v>
      </c>
      <c r="H19503" s="690" t="s">
        <v>4060</v>
      </c>
      <c r="I19503" s="690" t="s">
        <v>4060</v>
      </c>
      <c r="J19503" s="690" t="s">
        <v>4060</v>
      </c>
      <c r="K19503" s="690" t="s">
        <v>4060</v>
      </c>
    </row>
    <row r="19504" spans="1:11">
      <c r="A19504" s="688" t="s">
        <v>4066</v>
      </c>
      <c r="B19504" s="691">
        <v>9.9</v>
      </c>
      <c r="C19504" s="691">
        <v>10.199999999999999</v>
      </c>
      <c r="D19504" s="691">
        <v>9.8000000000000007</v>
      </c>
      <c r="E19504" s="691">
        <v>10.199999999999999</v>
      </c>
      <c r="F19504" s="615">
        <v>10</v>
      </c>
      <c r="G19504" s="691">
        <v>10.1</v>
      </c>
      <c r="H19504" s="692" t="s">
        <v>4060</v>
      </c>
      <c r="I19504" s="692" t="s">
        <v>4060</v>
      </c>
      <c r="J19504" s="692" t="s">
        <v>4060</v>
      </c>
      <c r="K19504" s="692" t="s">
        <v>4060</v>
      </c>
    </row>
    <row r="19505" spans="1:11">
      <c r="A19505" s="688" t="s">
        <v>4062</v>
      </c>
      <c r="B19505" s="689">
        <v>10.199999999999999</v>
      </c>
      <c r="C19505" s="689">
        <v>10.1</v>
      </c>
      <c r="D19505" s="693">
        <v>10</v>
      </c>
      <c r="E19505" s="689">
        <v>10.199999999999999</v>
      </c>
      <c r="F19505" s="689">
        <v>10.199999999999999</v>
      </c>
      <c r="G19505" s="689">
        <v>10.3</v>
      </c>
      <c r="H19505" s="689">
        <v>10.4</v>
      </c>
      <c r="I19505" s="689">
        <v>10.1</v>
      </c>
      <c r="J19505" s="689">
        <v>10.4</v>
      </c>
      <c r="K19505" s="689">
        <v>10.1</v>
      </c>
    </row>
    <row r="19506" spans="1:11">
      <c r="A19506" s="688" t="s">
        <v>9</v>
      </c>
      <c r="B19506" s="691">
        <v>9.9</v>
      </c>
      <c r="C19506" s="615">
        <v>10</v>
      </c>
      <c r="D19506" s="691">
        <v>9.4</v>
      </c>
      <c r="E19506" s="691">
        <v>9.9</v>
      </c>
      <c r="F19506" s="691">
        <v>9.5</v>
      </c>
      <c r="G19506" s="691">
        <v>9.6</v>
      </c>
      <c r="H19506" s="691">
        <v>9.8000000000000007</v>
      </c>
      <c r="I19506" s="691">
        <v>9.8000000000000007</v>
      </c>
      <c r="J19506" s="615">
        <v>10</v>
      </c>
      <c r="K19506" s="691">
        <v>9.4</v>
      </c>
    </row>
    <row r="19507" spans="1:11">
      <c r="A19507" s="688" t="s">
        <v>13</v>
      </c>
      <c r="B19507" s="693">
        <v>11</v>
      </c>
      <c r="C19507" s="693">
        <v>9</v>
      </c>
      <c r="D19507" s="689">
        <v>8.9</v>
      </c>
      <c r="E19507" s="689">
        <v>10.4</v>
      </c>
      <c r="F19507" s="689">
        <v>10.1</v>
      </c>
      <c r="G19507" s="689">
        <v>9.6</v>
      </c>
      <c r="H19507" s="689">
        <v>10.1</v>
      </c>
      <c r="I19507" s="689">
        <v>9.4</v>
      </c>
      <c r="J19507" s="689">
        <v>9.8000000000000007</v>
      </c>
      <c r="K19507" s="693">
        <v>10</v>
      </c>
    </row>
    <row r="19508" spans="1:11">
      <c r="A19508" s="688" t="s">
        <v>18</v>
      </c>
      <c r="B19508" s="691">
        <v>9.9</v>
      </c>
      <c r="C19508" s="691">
        <v>9.9</v>
      </c>
      <c r="D19508" s="691">
        <v>9.9</v>
      </c>
      <c r="E19508" s="691">
        <v>9.9</v>
      </c>
      <c r="F19508" s="615">
        <v>10</v>
      </c>
      <c r="G19508" s="615">
        <v>10</v>
      </c>
      <c r="H19508" s="691">
        <v>10.199999999999999</v>
      </c>
      <c r="I19508" s="691">
        <v>10.3</v>
      </c>
      <c r="J19508" s="691">
        <v>10.1</v>
      </c>
      <c r="K19508" s="691">
        <v>9.8000000000000007</v>
      </c>
    </row>
    <row r="19509" spans="1:11">
      <c r="A19509" s="688" t="s">
        <v>24</v>
      </c>
      <c r="B19509" s="689">
        <v>10.4</v>
      </c>
      <c r="C19509" s="689">
        <v>10.3</v>
      </c>
      <c r="D19509" s="689">
        <v>10.1</v>
      </c>
      <c r="E19509" s="689">
        <v>10.4</v>
      </c>
      <c r="F19509" s="689">
        <v>10.3</v>
      </c>
      <c r="G19509" s="689">
        <v>10.5</v>
      </c>
      <c r="H19509" s="689">
        <v>10.5</v>
      </c>
      <c r="I19509" s="693">
        <v>10</v>
      </c>
      <c r="J19509" s="689">
        <v>10.6</v>
      </c>
      <c r="K19509" s="689">
        <v>10.3</v>
      </c>
    </row>
    <row r="19510" spans="1:11">
      <c r="A19510" s="688" t="s">
        <v>4059</v>
      </c>
      <c r="B19510" s="691">
        <v>9.6999999999999993</v>
      </c>
      <c r="C19510" s="615">
        <v>10</v>
      </c>
      <c r="D19510" s="691">
        <v>9.5</v>
      </c>
      <c r="E19510" s="691">
        <v>9.9</v>
      </c>
      <c r="F19510" s="691">
        <v>9.8000000000000007</v>
      </c>
      <c r="G19510" s="691">
        <v>9.8000000000000007</v>
      </c>
      <c r="H19510" s="692" t="s">
        <v>4060</v>
      </c>
      <c r="I19510" s="692" t="s">
        <v>4060</v>
      </c>
      <c r="J19510" s="692" t="s">
        <v>4060</v>
      </c>
      <c r="K19510" s="692" t="s">
        <v>4060</v>
      </c>
    </row>
    <row r="19511" spans="1:11">
      <c r="A19511" s="688" t="s">
        <v>2324</v>
      </c>
      <c r="B19511" s="689">
        <v>7.5</v>
      </c>
      <c r="C19511" s="689">
        <v>7.3</v>
      </c>
      <c r="D19511" s="689">
        <v>6.8</v>
      </c>
      <c r="E19511" s="689">
        <v>7.3</v>
      </c>
      <c r="F19511" s="689">
        <v>7.4</v>
      </c>
      <c r="G19511" s="689">
        <v>7.3</v>
      </c>
      <c r="H19511" s="689">
        <v>7.4</v>
      </c>
      <c r="I19511" s="689">
        <v>7.1</v>
      </c>
      <c r="J19511" s="689">
        <v>5.8</v>
      </c>
      <c r="K19511" s="690" t="s">
        <v>4060</v>
      </c>
    </row>
    <row r="19512" spans="1:11">
      <c r="A19512" s="688" t="s">
        <v>2322</v>
      </c>
      <c r="B19512" s="692" t="s">
        <v>4060</v>
      </c>
      <c r="C19512" s="692" t="s">
        <v>4060</v>
      </c>
      <c r="D19512" s="692" t="s">
        <v>4060</v>
      </c>
      <c r="E19512" s="692" t="s">
        <v>4060</v>
      </c>
      <c r="F19512" s="692" t="s">
        <v>4060</v>
      </c>
      <c r="G19512" s="692" t="s">
        <v>4060</v>
      </c>
      <c r="H19512" s="692" t="s">
        <v>4060</v>
      </c>
      <c r="I19512" s="692" t="s">
        <v>4060</v>
      </c>
      <c r="J19512" s="692" t="s">
        <v>4060</v>
      </c>
      <c r="K19512" s="692" t="s">
        <v>4060</v>
      </c>
    </row>
    <row r="19513" spans="1:11">
      <c r="A19513" s="688" t="s">
        <v>2328</v>
      </c>
      <c r="B19513" s="689">
        <v>6.5</v>
      </c>
      <c r="C19513" s="689">
        <v>6.3</v>
      </c>
      <c r="D19513" s="689">
        <v>6.2</v>
      </c>
      <c r="E19513" s="689">
        <v>6.6</v>
      </c>
      <c r="F19513" s="689">
        <v>6.6</v>
      </c>
      <c r="G19513" s="689">
        <v>6.9</v>
      </c>
      <c r="H19513" s="689">
        <v>6.8</v>
      </c>
      <c r="I19513" s="689">
        <v>6.2</v>
      </c>
      <c r="J19513" s="689">
        <v>5.9</v>
      </c>
      <c r="K19513" s="690" t="s">
        <v>4060</v>
      </c>
    </row>
    <row r="19514" spans="1:11">
      <c r="A19514" s="688" t="s">
        <v>2496</v>
      </c>
      <c r="B19514" s="692" t="s">
        <v>4060</v>
      </c>
      <c r="C19514" s="691">
        <v>8.3000000000000007</v>
      </c>
      <c r="D19514" s="691">
        <v>7.2</v>
      </c>
      <c r="E19514" s="691">
        <v>6.5</v>
      </c>
      <c r="F19514" s="691">
        <v>6.6</v>
      </c>
      <c r="G19514" s="691">
        <v>6.7</v>
      </c>
      <c r="H19514" s="691">
        <v>6.7</v>
      </c>
      <c r="I19514" s="692" t="s">
        <v>4060</v>
      </c>
      <c r="J19514" s="692" t="s">
        <v>4060</v>
      </c>
      <c r="K19514" s="691">
        <v>6.4</v>
      </c>
    </row>
    <row r="19515" spans="1:11">
      <c r="A19515" s="688" t="s">
        <v>2269</v>
      </c>
      <c r="B19515" s="689">
        <v>7.2</v>
      </c>
      <c r="C19515" s="689">
        <v>7.1</v>
      </c>
      <c r="D19515" s="689">
        <v>6.6</v>
      </c>
      <c r="E19515" s="689">
        <v>6.7</v>
      </c>
      <c r="F19515" s="689">
        <v>6.4</v>
      </c>
      <c r="G19515" s="689">
        <v>6.7</v>
      </c>
      <c r="H19515" s="689">
        <v>6.9</v>
      </c>
      <c r="I19515" s="689">
        <v>6.3</v>
      </c>
      <c r="J19515" s="689">
        <v>4.0999999999999996</v>
      </c>
      <c r="K19515" s="689">
        <v>6.6</v>
      </c>
    </row>
    <row r="19516" spans="1:11">
      <c r="A19516" s="688" t="s">
        <v>2349</v>
      </c>
      <c r="B19516" s="691">
        <v>6.9</v>
      </c>
      <c r="C19516" s="691">
        <v>6.9</v>
      </c>
      <c r="D19516" s="691">
        <v>6.8</v>
      </c>
      <c r="E19516" s="691">
        <v>7.1</v>
      </c>
      <c r="F19516" s="615">
        <v>7</v>
      </c>
      <c r="G19516" s="691">
        <v>7.2</v>
      </c>
      <c r="H19516" s="691">
        <v>7.4</v>
      </c>
      <c r="I19516" s="691">
        <v>6.9</v>
      </c>
      <c r="J19516" s="615">
        <v>6</v>
      </c>
      <c r="K19516" s="691">
        <v>6.7</v>
      </c>
    </row>
    <row r="19517" spans="1:11">
      <c r="A19517" s="688" t="s">
        <v>2355</v>
      </c>
      <c r="B19517" s="689">
        <v>9.4</v>
      </c>
      <c r="C19517" s="689">
        <v>9.1</v>
      </c>
      <c r="D19517" s="689">
        <v>9.1</v>
      </c>
      <c r="E19517" s="693">
        <v>9</v>
      </c>
      <c r="F19517" s="693">
        <v>9</v>
      </c>
      <c r="G19517" s="689">
        <v>9.1999999999999993</v>
      </c>
      <c r="H19517" s="689">
        <v>9.1999999999999993</v>
      </c>
      <c r="I19517" s="690" t="s">
        <v>4060</v>
      </c>
      <c r="J19517" s="690" t="s">
        <v>4060</v>
      </c>
      <c r="K19517" s="690" t="s">
        <v>4060</v>
      </c>
    </row>
    <row r="19518" spans="1:11">
      <c r="A19518" s="688" t="s">
        <v>2357</v>
      </c>
      <c r="B19518" s="692" t="s">
        <v>4060</v>
      </c>
      <c r="C19518" s="691">
        <v>7.5</v>
      </c>
      <c r="D19518" s="691">
        <v>7.7</v>
      </c>
      <c r="E19518" s="691">
        <v>7.9</v>
      </c>
      <c r="F19518" s="615">
        <v>8</v>
      </c>
      <c r="G19518" s="691">
        <v>7.7</v>
      </c>
      <c r="H19518" s="691">
        <v>7.8</v>
      </c>
      <c r="I19518" s="692" t="s">
        <v>4060</v>
      </c>
      <c r="J19518" s="692" t="s">
        <v>4060</v>
      </c>
      <c r="K19518" s="692" t="s">
        <v>4060</v>
      </c>
    </row>
    <row r="19519" spans="1:11">
      <c r="A19519" s="688" t="s">
        <v>4070</v>
      </c>
      <c r="B19519" s="690" t="s">
        <v>4060</v>
      </c>
      <c r="C19519" s="690" t="s">
        <v>4060</v>
      </c>
      <c r="D19519" s="690" t="s">
        <v>4060</v>
      </c>
      <c r="E19519" s="689">
        <v>10.6</v>
      </c>
      <c r="F19519" s="690" t="s">
        <v>4060</v>
      </c>
      <c r="G19519" s="690" t="s">
        <v>4060</v>
      </c>
      <c r="H19519" s="690" t="s">
        <v>4060</v>
      </c>
      <c r="I19519" s="690" t="s">
        <v>4060</v>
      </c>
      <c r="J19519" s="690" t="s">
        <v>4060</v>
      </c>
      <c r="K19519" s="690" t="s">
        <v>4060</v>
      </c>
    </row>
    <row r="19520" spans="1:11">
      <c r="A19520" s="688" t="s">
        <v>2491</v>
      </c>
      <c r="B19520" s="691">
        <v>7.7</v>
      </c>
      <c r="C19520" s="615">
        <v>8</v>
      </c>
      <c r="D19520" s="691">
        <v>7.9</v>
      </c>
      <c r="E19520" s="691">
        <v>7.9</v>
      </c>
      <c r="F19520" s="615">
        <v>8</v>
      </c>
      <c r="G19520" s="615">
        <v>8</v>
      </c>
      <c r="H19520" s="692" t="s">
        <v>4060</v>
      </c>
      <c r="I19520" s="692" t="s">
        <v>4060</v>
      </c>
      <c r="J19520" s="692" t="s">
        <v>4060</v>
      </c>
      <c r="K19520" s="692" t="s">
        <v>4060</v>
      </c>
    </row>
    <row r="19521" spans="1:11">
      <c r="A19521" s="688" t="s">
        <v>2343</v>
      </c>
      <c r="B19521" s="690" t="s">
        <v>4060</v>
      </c>
      <c r="C19521" s="690" t="s">
        <v>4060</v>
      </c>
      <c r="D19521" s="690" t="s">
        <v>4060</v>
      </c>
      <c r="E19521" s="690" t="s">
        <v>4060</v>
      </c>
      <c r="F19521" s="690" t="s">
        <v>4060</v>
      </c>
      <c r="G19521" s="690" t="s">
        <v>4060</v>
      </c>
      <c r="H19521" s="690" t="s">
        <v>4060</v>
      </c>
      <c r="I19521" s="690" t="s">
        <v>4060</v>
      </c>
      <c r="J19521" s="690" t="s">
        <v>4060</v>
      </c>
      <c r="K19521" s="690" t="s">
        <v>4060</v>
      </c>
    </row>
    <row r="19522" spans="1:11">
      <c r="A19522" s="688" t="s">
        <v>4071</v>
      </c>
      <c r="B19522" s="692" t="s">
        <v>4060</v>
      </c>
      <c r="C19522" s="692" t="s">
        <v>4060</v>
      </c>
      <c r="D19522" s="692" t="s">
        <v>4060</v>
      </c>
      <c r="E19522" s="692" t="s">
        <v>4060</v>
      </c>
      <c r="F19522" s="692" t="s">
        <v>4060</v>
      </c>
      <c r="G19522" s="692" t="s">
        <v>4060</v>
      </c>
      <c r="H19522" s="692" t="s">
        <v>4060</v>
      </c>
      <c r="I19522" s="692" t="s">
        <v>4060</v>
      </c>
      <c r="J19522" s="692" t="s">
        <v>4060</v>
      </c>
      <c r="K19522" s="692" t="s">
        <v>4060</v>
      </c>
    </row>
    <row r="19523" spans="1:11">
      <c r="A19523" s="688" t="s">
        <v>2489</v>
      </c>
      <c r="B19523" s="690" t="s">
        <v>4060</v>
      </c>
      <c r="C19523" s="690" t="s">
        <v>4060</v>
      </c>
      <c r="D19523" s="689">
        <v>7.2</v>
      </c>
      <c r="E19523" s="689">
        <v>7.2</v>
      </c>
      <c r="F19523" s="689">
        <v>7.3</v>
      </c>
      <c r="G19523" s="689">
        <v>7.3</v>
      </c>
      <c r="H19523" s="689">
        <v>7.7</v>
      </c>
      <c r="I19523" s="690" t="s">
        <v>4060</v>
      </c>
      <c r="J19523" s="690" t="s">
        <v>4060</v>
      </c>
      <c r="K19523" s="690" t="s">
        <v>4060</v>
      </c>
    </row>
    <row r="19524" spans="1:11">
      <c r="A19524" s="688" t="s">
        <v>2490</v>
      </c>
      <c r="B19524" s="691">
        <v>7.2</v>
      </c>
      <c r="C19524" s="691">
        <v>7.1</v>
      </c>
      <c r="D19524" s="691">
        <v>7.6</v>
      </c>
      <c r="E19524" s="692" t="s">
        <v>4060</v>
      </c>
      <c r="F19524" s="691">
        <v>7.6</v>
      </c>
      <c r="G19524" s="691">
        <v>7.6</v>
      </c>
      <c r="H19524" s="691">
        <v>8.3000000000000007</v>
      </c>
      <c r="I19524" s="692" t="s">
        <v>4060</v>
      </c>
      <c r="J19524" s="692" t="s">
        <v>4060</v>
      </c>
      <c r="K19524" s="692" t="s">
        <v>4060</v>
      </c>
    </row>
    <row r="19526" spans="1:11">
      <c r="A19526" s="683" t="s">
        <v>4233</v>
      </c>
    </row>
    <row r="19527" spans="1:11">
      <c r="A19527" s="683" t="s">
        <v>4060</v>
      </c>
      <c r="B19527" s="682" t="s">
        <v>4234</v>
      </c>
    </row>
    <row r="19529" spans="1:11">
      <c r="A19529" s="682" t="s">
        <v>4332</v>
      </c>
    </row>
    <row r="19530" spans="1:11">
      <c r="A19530" s="682" t="s">
        <v>4210</v>
      </c>
      <c r="B19530" s="683" t="s">
        <v>4211</v>
      </c>
    </row>
    <row r="19531" spans="1:11">
      <c r="A19531" s="682" t="s">
        <v>4212</v>
      </c>
      <c r="B19531" s="682" t="s">
        <v>4213</v>
      </c>
    </row>
    <row r="19533" spans="1:11">
      <c r="A19533" s="683" t="s">
        <v>4214</v>
      </c>
      <c r="C19533" s="682" t="s">
        <v>4215</v>
      </c>
    </row>
    <row r="19534" spans="1:11">
      <c r="A19534" s="683" t="s">
        <v>4216</v>
      </c>
      <c r="C19534" s="682" t="s">
        <v>2967</v>
      </c>
    </row>
    <row r="19535" spans="1:11">
      <c r="A19535" s="683" t="s">
        <v>3893</v>
      </c>
      <c r="C19535" s="682" t="s">
        <v>2169</v>
      </c>
    </row>
    <row r="19536" spans="1:11">
      <c r="A19536" s="683" t="s">
        <v>4218</v>
      </c>
      <c r="C19536" s="682" t="s">
        <v>4315</v>
      </c>
    </row>
    <row r="19538" spans="1:11">
      <c r="A19538" s="684" t="s">
        <v>4220</v>
      </c>
      <c r="B19538" s="685" t="s">
        <v>4221</v>
      </c>
      <c r="C19538" s="685" t="s">
        <v>4222</v>
      </c>
      <c r="D19538" s="685" t="s">
        <v>4223</v>
      </c>
      <c r="E19538" s="685" t="s">
        <v>4224</v>
      </c>
      <c r="F19538" s="685" t="s">
        <v>4225</v>
      </c>
      <c r="G19538" s="685" t="s">
        <v>4226</v>
      </c>
      <c r="H19538" s="685" t="s">
        <v>4227</v>
      </c>
      <c r="I19538" s="685" t="s">
        <v>4228</v>
      </c>
      <c r="J19538" s="685" t="s">
        <v>4229</v>
      </c>
      <c r="K19538" s="685" t="s">
        <v>4230</v>
      </c>
    </row>
    <row r="19539" spans="1:11">
      <c r="A19539" s="686" t="s">
        <v>4231</v>
      </c>
      <c r="B19539" s="687" t="s">
        <v>4232</v>
      </c>
      <c r="C19539" s="687" t="s">
        <v>4232</v>
      </c>
      <c r="D19539" s="687" t="s">
        <v>4232</v>
      </c>
      <c r="E19539" s="687" t="s">
        <v>4232</v>
      </c>
      <c r="F19539" s="687" t="s">
        <v>4232</v>
      </c>
      <c r="G19539" s="687" t="s">
        <v>4232</v>
      </c>
      <c r="H19539" s="687" t="s">
        <v>4232</v>
      </c>
      <c r="I19539" s="687" t="s">
        <v>4232</v>
      </c>
      <c r="J19539" s="687" t="s">
        <v>4232</v>
      </c>
      <c r="K19539" s="687" t="s">
        <v>4232</v>
      </c>
    </row>
    <row r="19540" spans="1:11">
      <c r="A19540" s="688" t="s">
        <v>4064</v>
      </c>
      <c r="B19540" s="691">
        <v>9.3000000000000007</v>
      </c>
      <c r="C19540" s="691">
        <v>9.1</v>
      </c>
      <c r="D19540" s="691">
        <v>9.1999999999999993</v>
      </c>
      <c r="E19540" s="691">
        <v>9.1999999999999993</v>
      </c>
      <c r="F19540" s="691">
        <v>9.1</v>
      </c>
      <c r="G19540" s="691">
        <v>9.1999999999999993</v>
      </c>
      <c r="H19540" s="691">
        <v>9.3000000000000007</v>
      </c>
      <c r="I19540" s="691">
        <v>8.9</v>
      </c>
      <c r="J19540" s="615">
        <v>9</v>
      </c>
      <c r="K19540" s="615">
        <v>9</v>
      </c>
    </row>
    <row r="19541" spans="1:11">
      <c r="A19541" s="688" t="s">
        <v>4065</v>
      </c>
      <c r="B19541" s="689">
        <v>9.3000000000000007</v>
      </c>
      <c r="C19541" s="689">
        <v>9.6</v>
      </c>
      <c r="D19541" s="689">
        <v>9.1</v>
      </c>
      <c r="E19541" s="689">
        <v>9.5</v>
      </c>
      <c r="F19541" s="689">
        <v>9.3000000000000007</v>
      </c>
      <c r="G19541" s="689">
        <v>9.4</v>
      </c>
      <c r="H19541" s="690" t="s">
        <v>4060</v>
      </c>
      <c r="I19541" s="690" t="s">
        <v>4060</v>
      </c>
      <c r="J19541" s="690" t="s">
        <v>4060</v>
      </c>
      <c r="K19541" s="690" t="s">
        <v>4060</v>
      </c>
    </row>
    <row r="19542" spans="1:11">
      <c r="A19542" s="688" t="s">
        <v>4063</v>
      </c>
      <c r="B19542" s="691">
        <v>9.3000000000000007</v>
      </c>
      <c r="C19542" s="691">
        <v>9.6</v>
      </c>
      <c r="D19542" s="691">
        <v>9.1999999999999993</v>
      </c>
      <c r="E19542" s="691">
        <v>9.5</v>
      </c>
      <c r="F19542" s="691">
        <v>9.4</v>
      </c>
      <c r="G19542" s="691">
        <v>9.4</v>
      </c>
      <c r="H19542" s="692" t="s">
        <v>4060</v>
      </c>
      <c r="I19542" s="692" t="s">
        <v>4060</v>
      </c>
      <c r="J19542" s="692" t="s">
        <v>4060</v>
      </c>
      <c r="K19542" s="692" t="s">
        <v>4060</v>
      </c>
    </row>
    <row r="19543" spans="1:11">
      <c r="A19543" s="688" t="s">
        <v>4069</v>
      </c>
      <c r="B19543" s="690" t="s">
        <v>4060</v>
      </c>
      <c r="C19543" s="689">
        <v>9.4</v>
      </c>
      <c r="D19543" s="689">
        <v>9.1</v>
      </c>
      <c r="E19543" s="689">
        <v>9.4</v>
      </c>
      <c r="F19543" s="689">
        <v>9.3000000000000007</v>
      </c>
      <c r="G19543" s="689">
        <v>9.4</v>
      </c>
      <c r="H19543" s="689">
        <v>9.6</v>
      </c>
      <c r="I19543" s="689">
        <v>9.1999999999999993</v>
      </c>
      <c r="J19543" s="689">
        <v>9.4</v>
      </c>
      <c r="K19543" s="689">
        <v>9.1999999999999993</v>
      </c>
    </row>
    <row r="19544" spans="1:11">
      <c r="A19544" s="688" t="s">
        <v>4068</v>
      </c>
      <c r="B19544" s="691">
        <v>9.6999999999999993</v>
      </c>
      <c r="C19544" s="692" t="s">
        <v>4060</v>
      </c>
      <c r="D19544" s="692" t="s">
        <v>4060</v>
      </c>
      <c r="E19544" s="692" t="s">
        <v>4060</v>
      </c>
      <c r="F19544" s="692" t="s">
        <v>4060</v>
      </c>
      <c r="G19544" s="692" t="s">
        <v>4060</v>
      </c>
      <c r="H19544" s="692" t="s">
        <v>4060</v>
      </c>
      <c r="I19544" s="692" t="s">
        <v>4060</v>
      </c>
      <c r="J19544" s="692" t="s">
        <v>4060</v>
      </c>
      <c r="K19544" s="692" t="s">
        <v>4060</v>
      </c>
    </row>
    <row r="19545" spans="1:11">
      <c r="A19545" s="688" t="s">
        <v>0</v>
      </c>
      <c r="B19545" s="689">
        <v>9.3000000000000007</v>
      </c>
      <c r="C19545" s="689">
        <v>9.1999999999999993</v>
      </c>
      <c r="D19545" s="693">
        <v>9</v>
      </c>
      <c r="E19545" s="689">
        <v>9.3000000000000007</v>
      </c>
      <c r="F19545" s="689">
        <v>9.3000000000000007</v>
      </c>
      <c r="G19545" s="689">
        <v>9.3000000000000007</v>
      </c>
      <c r="H19545" s="689">
        <v>9.5</v>
      </c>
      <c r="I19545" s="689">
        <v>8.6999999999999993</v>
      </c>
      <c r="J19545" s="689">
        <v>9.6999999999999993</v>
      </c>
      <c r="K19545" s="689">
        <v>9.4</v>
      </c>
    </row>
    <row r="19546" spans="1:11">
      <c r="A19546" s="688" t="s">
        <v>1</v>
      </c>
      <c r="B19546" s="615">
        <v>7</v>
      </c>
      <c r="C19546" s="691">
        <v>6.6</v>
      </c>
      <c r="D19546" s="691">
        <v>6.5</v>
      </c>
      <c r="E19546" s="691">
        <v>6.8</v>
      </c>
      <c r="F19546" s="691">
        <v>6.7</v>
      </c>
      <c r="G19546" s="691">
        <v>6.8</v>
      </c>
      <c r="H19546" s="691">
        <v>6.9</v>
      </c>
      <c r="I19546" s="691">
        <v>6.6</v>
      </c>
      <c r="J19546" s="615">
        <v>6</v>
      </c>
      <c r="K19546" s="691">
        <v>6.7</v>
      </c>
    </row>
    <row r="19547" spans="1:11">
      <c r="A19547" s="688" t="s">
        <v>2240</v>
      </c>
      <c r="B19547" s="693">
        <v>8</v>
      </c>
      <c r="C19547" s="689">
        <v>7.9</v>
      </c>
      <c r="D19547" s="689">
        <v>7.7</v>
      </c>
      <c r="E19547" s="689">
        <v>8.1</v>
      </c>
      <c r="F19547" s="693">
        <v>8</v>
      </c>
      <c r="G19547" s="693">
        <v>8</v>
      </c>
      <c r="H19547" s="689">
        <v>8.1999999999999993</v>
      </c>
      <c r="I19547" s="689">
        <v>7.6</v>
      </c>
      <c r="J19547" s="689">
        <v>7.6</v>
      </c>
      <c r="K19547" s="693">
        <v>8</v>
      </c>
    </row>
    <row r="19548" spans="1:11">
      <c r="A19548" s="688" t="s">
        <v>2</v>
      </c>
      <c r="B19548" s="691">
        <v>8.8000000000000007</v>
      </c>
      <c r="C19548" s="615">
        <v>9</v>
      </c>
      <c r="D19548" s="691">
        <v>8.9</v>
      </c>
      <c r="E19548" s="615">
        <v>9</v>
      </c>
      <c r="F19548" s="691">
        <v>8.9</v>
      </c>
      <c r="G19548" s="691">
        <v>8.9</v>
      </c>
      <c r="H19548" s="691">
        <v>9.1</v>
      </c>
      <c r="I19548" s="691">
        <v>9.1999999999999993</v>
      </c>
      <c r="J19548" s="615">
        <v>9</v>
      </c>
      <c r="K19548" s="691">
        <v>8.9</v>
      </c>
    </row>
    <row r="19549" spans="1:11">
      <c r="A19549" s="688" t="s">
        <v>3</v>
      </c>
      <c r="B19549" s="689">
        <v>8.8000000000000007</v>
      </c>
      <c r="C19549" s="689">
        <v>8.9</v>
      </c>
      <c r="D19549" s="689">
        <v>8.6</v>
      </c>
      <c r="E19549" s="689">
        <v>8.9</v>
      </c>
      <c r="F19549" s="689">
        <v>8.8000000000000007</v>
      </c>
      <c r="G19549" s="689">
        <v>8.8000000000000007</v>
      </c>
      <c r="H19549" s="689">
        <v>9.1</v>
      </c>
      <c r="I19549" s="689">
        <v>8.9</v>
      </c>
      <c r="J19549" s="689">
        <v>8.9</v>
      </c>
      <c r="K19549" s="689">
        <v>8.6999999999999993</v>
      </c>
    </row>
    <row r="19550" spans="1:11">
      <c r="A19550" s="688" t="s">
        <v>4061</v>
      </c>
      <c r="B19550" s="691">
        <v>8.8000000000000007</v>
      </c>
      <c r="C19550" s="691">
        <v>8.9</v>
      </c>
      <c r="D19550" s="691">
        <v>8.6</v>
      </c>
      <c r="E19550" s="691">
        <v>8.9</v>
      </c>
      <c r="F19550" s="691">
        <v>8.8000000000000007</v>
      </c>
      <c r="G19550" s="691">
        <v>8.8000000000000007</v>
      </c>
      <c r="H19550" s="691">
        <v>9.1</v>
      </c>
      <c r="I19550" s="691">
        <v>8.9</v>
      </c>
      <c r="J19550" s="691">
        <v>8.9</v>
      </c>
      <c r="K19550" s="691">
        <v>8.6999999999999993</v>
      </c>
    </row>
    <row r="19551" spans="1:11">
      <c r="A19551" s="688" t="s">
        <v>4</v>
      </c>
      <c r="B19551" s="689">
        <v>8.8000000000000007</v>
      </c>
      <c r="C19551" s="689">
        <v>8.4</v>
      </c>
      <c r="D19551" s="689">
        <v>8.5</v>
      </c>
      <c r="E19551" s="689">
        <v>8.5</v>
      </c>
      <c r="F19551" s="689">
        <v>8.6</v>
      </c>
      <c r="G19551" s="689">
        <v>8.6999999999999993</v>
      </c>
      <c r="H19551" s="689">
        <v>8.9</v>
      </c>
      <c r="I19551" s="689">
        <v>8.9</v>
      </c>
      <c r="J19551" s="689">
        <v>8.1999999999999993</v>
      </c>
      <c r="K19551" s="689">
        <v>8.5</v>
      </c>
    </row>
    <row r="19552" spans="1:11">
      <c r="A19552" s="688" t="s">
        <v>8</v>
      </c>
      <c r="B19552" s="691">
        <v>8.8000000000000007</v>
      </c>
      <c r="C19552" s="691">
        <v>8.8000000000000007</v>
      </c>
      <c r="D19552" s="691">
        <v>8.6999999999999993</v>
      </c>
      <c r="E19552" s="691">
        <v>8.8000000000000007</v>
      </c>
      <c r="F19552" s="615">
        <v>9</v>
      </c>
      <c r="G19552" s="691">
        <v>9.1</v>
      </c>
      <c r="H19552" s="691">
        <v>9.3000000000000007</v>
      </c>
      <c r="I19552" s="691">
        <v>9.1999999999999993</v>
      </c>
      <c r="J19552" s="691">
        <v>9.1</v>
      </c>
      <c r="K19552" s="691">
        <v>9.1999999999999993</v>
      </c>
    </row>
    <row r="19553" spans="1:11">
      <c r="A19553" s="688" t="s">
        <v>7</v>
      </c>
      <c r="B19553" s="689">
        <v>9.1</v>
      </c>
      <c r="C19553" s="689">
        <v>8.5</v>
      </c>
      <c r="D19553" s="689">
        <v>8.3000000000000007</v>
      </c>
      <c r="E19553" s="689">
        <v>8.6999999999999993</v>
      </c>
      <c r="F19553" s="689">
        <v>8.6</v>
      </c>
      <c r="G19553" s="693">
        <v>9</v>
      </c>
      <c r="H19553" s="689">
        <v>8.9</v>
      </c>
      <c r="I19553" s="689">
        <v>8.8000000000000007</v>
      </c>
      <c r="J19553" s="689">
        <v>8.5</v>
      </c>
      <c r="K19553" s="689">
        <v>8.5</v>
      </c>
    </row>
    <row r="19554" spans="1:11">
      <c r="A19554" s="688" t="s">
        <v>27</v>
      </c>
      <c r="B19554" s="691">
        <v>10.5</v>
      </c>
      <c r="C19554" s="691">
        <v>9.9</v>
      </c>
      <c r="D19554" s="691">
        <v>9.5</v>
      </c>
      <c r="E19554" s="691">
        <v>9.9</v>
      </c>
      <c r="F19554" s="691">
        <v>9.8000000000000007</v>
      </c>
      <c r="G19554" s="691">
        <v>9.9</v>
      </c>
      <c r="H19554" s="691">
        <v>10.199999999999999</v>
      </c>
      <c r="I19554" s="691">
        <v>9.4</v>
      </c>
      <c r="J19554" s="691">
        <v>10.1</v>
      </c>
      <c r="K19554" s="691">
        <v>9.9</v>
      </c>
    </row>
    <row r="19555" spans="1:11">
      <c r="A19555" s="688" t="s">
        <v>6</v>
      </c>
      <c r="B19555" s="689">
        <v>10.9</v>
      </c>
      <c r="C19555" s="689">
        <v>10.4</v>
      </c>
      <c r="D19555" s="689">
        <v>10.1</v>
      </c>
      <c r="E19555" s="689">
        <v>10.4</v>
      </c>
      <c r="F19555" s="689">
        <v>10.4</v>
      </c>
      <c r="G19555" s="689">
        <v>10.5</v>
      </c>
      <c r="H19555" s="689">
        <v>10.6</v>
      </c>
      <c r="I19555" s="689">
        <v>10.199999999999999</v>
      </c>
      <c r="J19555" s="689">
        <v>10.4</v>
      </c>
      <c r="K19555" s="689">
        <v>10.3</v>
      </c>
    </row>
    <row r="19556" spans="1:11">
      <c r="A19556" s="688" t="s">
        <v>4058</v>
      </c>
      <c r="B19556" s="692" t="s">
        <v>4060</v>
      </c>
      <c r="C19556" s="692" t="s">
        <v>4060</v>
      </c>
      <c r="D19556" s="692" t="s">
        <v>4060</v>
      </c>
      <c r="E19556" s="692" t="s">
        <v>4060</v>
      </c>
      <c r="F19556" s="692" t="s">
        <v>4060</v>
      </c>
      <c r="G19556" s="692" t="s">
        <v>4060</v>
      </c>
      <c r="H19556" s="692" t="s">
        <v>4060</v>
      </c>
      <c r="I19556" s="692" t="s">
        <v>4060</v>
      </c>
      <c r="J19556" s="692" t="s">
        <v>4060</v>
      </c>
      <c r="K19556" s="692" t="s">
        <v>4060</v>
      </c>
    </row>
    <row r="19557" spans="1:11">
      <c r="A19557" s="688" t="s">
        <v>11</v>
      </c>
      <c r="B19557" s="689">
        <v>7.6</v>
      </c>
      <c r="C19557" s="689">
        <v>7.3</v>
      </c>
      <c r="D19557" s="693">
        <v>7</v>
      </c>
      <c r="E19557" s="689">
        <v>7.3</v>
      </c>
      <c r="F19557" s="689">
        <v>7.2</v>
      </c>
      <c r="G19557" s="689">
        <v>7.4</v>
      </c>
      <c r="H19557" s="689">
        <v>7.5</v>
      </c>
      <c r="I19557" s="689">
        <v>7.1</v>
      </c>
      <c r="J19557" s="689">
        <v>6.8</v>
      </c>
      <c r="K19557" s="693">
        <v>7</v>
      </c>
    </row>
    <row r="19558" spans="1:11">
      <c r="A19558" s="688" t="s">
        <v>10</v>
      </c>
      <c r="B19558" s="691">
        <v>10.1</v>
      </c>
      <c r="C19558" s="691">
        <v>9.6</v>
      </c>
      <c r="D19558" s="691">
        <v>9.1999999999999993</v>
      </c>
      <c r="E19558" s="691">
        <v>9.6</v>
      </c>
      <c r="F19558" s="691">
        <v>9.4</v>
      </c>
      <c r="G19558" s="691">
        <v>9.6999999999999993</v>
      </c>
      <c r="H19558" s="691">
        <v>9.6999999999999993</v>
      </c>
      <c r="I19558" s="691">
        <v>9.1</v>
      </c>
      <c r="J19558" s="691">
        <v>9.4</v>
      </c>
      <c r="K19558" s="691">
        <v>9.1999999999999993</v>
      </c>
    </row>
    <row r="19559" spans="1:11">
      <c r="A19559" s="688" t="s">
        <v>30</v>
      </c>
      <c r="B19559" s="689">
        <v>8.9</v>
      </c>
      <c r="C19559" s="689">
        <v>8.1999999999999993</v>
      </c>
      <c r="D19559" s="693">
        <v>8</v>
      </c>
      <c r="E19559" s="689">
        <v>8.6999999999999993</v>
      </c>
      <c r="F19559" s="689">
        <v>8.1</v>
      </c>
      <c r="G19559" s="689">
        <v>8.6999999999999993</v>
      </c>
      <c r="H19559" s="689">
        <v>8.4</v>
      </c>
      <c r="I19559" s="689">
        <v>8.5</v>
      </c>
      <c r="J19559" s="689">
        <v>8.4</v>
      </c>
      <c r="K19559" s="689">
        <v>8.3000000000000007</v>
      </c>
    </row>
    <row r="19560" spans="1:11">
      <c r="A19560" s="688" t="s">
        <v>12</v>
      </c>
      <c r="B19560" s="691">
        <v>7.9</v>
      </c>
      <c r="C19560" s="691">
        <v>7.7</v>
      </c>
      <c r="D19560" s="691">
        <v>7.6</v>
      </c>
      <c r="E19560" s="691">
        <v>7.7</v>
      </c>
      <c r="F19560" s="691">
        <v>7.8</v>
      </c>
      <c r="G19560" s="691">
        <v>7.8</v>
      </c>
      <c r="H19560" s="615">
        <v>8</v>
      </c>
      <c r="I19560" s="691">
        <v>7.9</v>
      </c>
      <c r="J19560" s="691">
        <v>7.1</v>
      </c>
      <c r="K19560" s="691">
        <v>7.6</v>
      </c>
    </row>
    <row r="19561" spans="1:11">
      <c r="A19561" s="688" t="s">
        <v>14</v>
      </c>
      <c r="B19561" s="693">
        <v>8</v>
      </c>
      <c r="C19561" s="689">
        <v>7.6</v>
      </c>
      <c r="D19561" s="689">
        <v>7.4</v>
      </c>
      <c r="E19561" s="689">
        <v>7.6</v>
      </c>
      <c r="F19561" s="689">
        <v>7.6</v>
      </c>
      <c r="G19561" s="689">
        <v>7.8</v>
      </c>
      <c r="H19561" s="693">
        <v>8</v>
      </c>
      <c r="I19561" s="689">
        <v>7.6</v>
      </c>
      <c r="J19561" s="689">
        <v>7.2</v>
      </c>
      <c r="K19561" s="689">
        <v>7.6</v>
      </c>
    </row>
    <row r="19562" spans="1:11">
      <c r="A19562" s="688" t="s">
        <v>15</v>
      </c>
      <c r="B19562" s="691">
        <v>9.6999999999999993</v>
      </c>
      <c r="C19562" s="691">
        <v>9.6999999999999993</v>
      </c>
      <c r="D19562" s="691">
        <v>9.3000000000000007</v>
      </c>
      <c r="E19562" s="691">
        <v>9.4</v>
      </c>
      <c r="F19562" s="691">
        <v>9.4</v>
      </c>
      <c r="G19562" s="691">
        <v>9.4</v>
      </c>
      <c r="H19562" s="691">
        <v>9.5</v>
      </c>
      <c r="I19562" s="691">
        <v>9.4</v>
      </c>
      <c r="J19562" s="691">
        <v>9.5</v>
      </c>
      <c r="K19562" s="691">
        <v>9.5</v>
      </c>
    </row>
    <row r="19563" spans="1:11">
      <c r="A19563" s="688" t="s">
        <v>29</v>
      </c>
      <c r="B19563" s="689">
        <v>7.7</v>
      </c>
      <c r="C19563" s="689">
        <v>7.5</v>
      </c>
      <c r="D19563" s="689">
        <v>7.2</v>
      </c>
      <c r="E19563" s="689">
        <v>7.6</v>
      </c>
      <c r="F19563" s="689">
        <v>7.4</v>
      </c>
      <c r="G19563" s="689">
        <v>7.4</v>
      </c>
      <c r="H19563" s="689">
        <v>7.5</v>
      </c>
      <c r="I19563" s="689">
        <v>7.2</v>
      </c>
      <c r="J19563" s="693">
        <v>7</v>
      </c>
      <c r="K19563" s="689">
        <v>7.4</v>
      </c>
    </row>
    <row r="19564" spans="1:11">
      <c r="A19564" s="688" t="s">
        <v>16</v>
      </c>
      <c r="B19564" s="691">
        <v>9.1</v>
      </c>
      <c r="C19564" s="691">
        <v>8.9</v>
      </c>
      <c r="D19564" s="691">
        <v>8.6999999999999993</v>
      </c>
      <c r="E19564" s="691">
        <v>9.1</v>
      </c>
      <c r="F19564" s="615">
        <v>9</v>
      </c>
      <c r="G19564" s="691">
        <v>9.1</v>
      </c>
      <c r="H19564" s="691">
        <v>9.1999999999999993</v>
      </c>
      <c r="I19564" s="691">
        <v>9.1</v>
      </c>
      <c r="J19564" s="615">
        <v>9</v>
      </c>
      <c r="K19564" s="615">
        <v>9</v>
      </c>
    </row>
    <row r="19565" spans="1:11">
      <c r="A19565" s="688" t="s">
        <v>17</v>
      </c>
      <c r="B19565" s="689">
        <v>9.1</v>
      </c>
      <c r="C19565" s="693">
        <v>9</v>
      </c>
      <c r="D19565" s="689">
        <v>8.8000000000000007</v>
      </c>
      <c r="E19565" s="689">
        <v>8.9</v>
      </c>
      <c r="F19565" s="689">
        <v>8.8000000000000007</v>
      </c>
      <c r="G19565" s="689">
        <v>8.8000000000000007</v>
      </c>
      <c r="H19565" s="689">
        <v>9.1</v>
      </c>
      <c r="I19565" s="689">
        <v>8.6</v>
      </c>
      <c r="J19565" s="689">
        <v>8.8000000000000007</v>
      </c>
      <c r="K19565" s="689">
        <v>8.6999999999999993</v>
      </c>
    </row>
    <row r="19566" spans="1:11">
      <c r="A19566" s="688" t="s">
        <v>19</v>
      </c>
      <c r="B19566" s="691">
        <v>9.1999999999999993</v>
      </c>
      <c r="C19566" s="691">
        <v>9.1</v>
      </c>
      <c r="D19566" s="691">
        <v>8.8000000000000007</v>
      </c>
      <c r="E19566" s="691">
        <v>9.1999999999999993</v>
      </c>
      <c r="F19566" s="615">
        <v>9</v>
      </c>
      <c r="G19566" s="691">
        <v>9.1</v>
      </c>
      <c r="H19566" s="691">
        <v>9.1999999999999993</v>
      </c>
      <c r="I19566" s="691">
        <v>8.9</v>
      </c>
      <c r="J19566" s="615">
        <v>9</v>
      </c>
      <c r="K19566" s="691">
        <v>8.9</v>
      </c>
    </row>
    <row r="19567" spans="1:11">
      <c r="A19567" s="688" t="s">
        <v>20</v>
      </c>
      <c r="B19567" s="689">
        <v>8.6999999999999993</v>
      </c>
      <c r="C19567" s="689">
        <v>8.5</v>
      </c>
      <c r="D19567" s="689">
        <v>8.3000000000000007</v>
      </c>
      <c r="E19567" s="689">
        <v>8.6999999999999993</v>
      </c>
      <c r="F19567" s="689">
        <v>8.5</v>
      </c>
      <c r="G19567" s="689">
        <v>8.5</v>
      </c>
      <c r="H19567" s="689">
        <v>8.8000000000000007</v>
      </c>
      <c r="I19567" s="689">
        <v>8.1</v>
      </c>
      <c r="J19567" s="689">
        <v>7.7</v>
      </c>
      <c r="K19567" s="689">
        <v>8.1999999999999993</v>
      </c>
    </row>
    <row r="19568" spans="1:11">
      <c r="A19568" s="688" t="s">
        <v>21</v>
      </c>
      <c r="B19568" s="691">
        <v>9.1</v>
      </c>
      <c r="C19568" s="691">
        <v>9.3000000000000007</v>
      </c>
      <c r="D19568" s="691">
        <v>9.1</v>
      </c>
      <c r="E19568" s="691">
        <v>9.1999999999999993</v>
      </c>
      <c r="F19568" s="691">
        <v>9.4</v>
      </c>
      <c r="G19568" s="691">
        <v>9.3000000000000007</v>
      </c>
      <c r="H19568" s="691">
        <v>9.5</v>
      </c>
      <c r="I19568" s="615">
        <v>9</v>
      </c>
      <c r="J19568" s="691">
        <v>9.1</v>
      </c>
      <c r="K19568" s="691">
        <v>9.1999999999999993</v>
      </c>
    </row>
    <row r="19569" spans="1:11">
      <c r="A19569" s="688" t="s">
        <v>22</v>
      </c>
      <c r="B19569" s="689">
        <v>7.5</v>
      </c>
      <c r="C19569" s="689">
        <v>7.2</v>
      </c>
      <c r="D19569" s="689">
        <v>7.1</v>
      </c>
      <c r="E19569" s="689">
        <v>7.4</v>
      </c>
      <c r="F19569" s="689">
        <v>7.4</v>
      </c>
      <c r="G19569" s="689">
        <v>7.5</v>
      </c>
      <c r="H19569" s="689">
        <v>7.8</v>
      </c>
      <c r="I19569" s="689">
        <v>7.3</v>
      </c>
      <c r="J19569" s="689">
        <v>6.6</v>
      </c>
      <c r="K19569" s="689">
        <v>7.1</v>
      </c>
    </row>
    <row r="19570" spans="1:11">
      <c r="A19570" s="688" t="s">
        <v>26</v>
      </c>
      <c r="B19570" s="691">
        <v>9.1999999999999993</v>
      </c>
      <c r="C19570" s="691">
        <v>8.6999999999999993</v>
      </c>
      <c r="D19570" s="691">
        <v>8.8000000000000007</v>
      </c>
      <c r="E19570" s="691">
        <v>8.8000000000000007</v>
      </c>
      <c r="F19570" s="691">
        <v>8.9</v>
      </c>
      <c r="G19570" s="691">
        <v>9.1</v>
      </c>
      <c r="H19570" s="691">
        <v>9.1</v>
      </c>
      <c r="I19570" s="691">
        <v>8.3000000000000007</v>
      </c>
      <c r="J19570" s="691">
        <v>8.9</v>
      </c>
      <c r="K19570" s="691">
        <v>8.9</v>
      </c>
    </row>
    <row r="19571" spans="1:11">
      <c r="A19571" s="688" t="s">
        <v>25</v>
      </c>
      <c r="B19571" s="689">
        <v>7.6</v>
      </c>
      <c r="C19571" s="689">
        <v>7.7</v>
      </c>
      <c r="D19571" s="689">
        <v>7.4</v>
      </c>
      <c r="E19571" s="689">
        <v>7.7</v>
      </c>
      <c r="F19571" s="689">
        <v>7.6</v>
      </c>
      <c r="G19571" s="689">
        <v>7.8</v>
      </c>
      <c r="H19571" s="689">
        <v>8.1</v>
      </c>
      <c r="I19571" s="689">
        <v>7.8</v>
      </c>
      <c r="J19571" s="689">
        <v>6.9</v>
      </c>
      <c r="K19571" s="689">
        <v>7.5</v>
      </c>
    </row>
    <row r="19572" spans="1:11">
      <c r="A19572" s="688" t="s">
        <v>5</v>
      </c>
      <c r="B19572" s="691">
        <v>9.5</v>
      </c>
      <c r="C19572" s="615">
        <v>9</v>
      </c>
      <c r="D19572" s="691">
        <v>9.1</v>
      </c>
      <c r="E19572" s="691">
        <v>9.1</v>
      </c>
      <c r="F19572" s="691">
        <v>9.3000000000000007</v>
      </c>
      <c r="G19572" s="691">
        <v>9.3000000000000007</v>
      </c>
      <c r="H19572" s="691">
        <v>9.5</v>
      </c>
      <c r="I19572" s="691">
        <v>9.5</v>
      </c>
      <c r="J19572" s="691">
        <v>9.4</v>
      </c>
      <c r="K19572" s="691">
        <v>8.9</v>
      </c>
    </row>
    <row r="19573" spans="1:11">
      <c r="A19573" s="688" t="s">
        <v>23</v>
      </c>
      <c r="B19573" s="689">
        <v>9.1</v>
      </c>
      <c r="C19573" s="689">
        <v>9.1999999999999993</v>
      </c>
      <c r="D19573" s="689">
        <v>9.1</v>
      </c>
      <c r="E19573" s="689">
        <v>9.1999999999999993</v>
      </c>
      <c r="F19573" s="689">
        <v>9.1</v>
      </c>
      <c r="G19573" s="689">
        <v>9.1999999999999993</v>
      </c>
      <c r="H19573" s="689">
        <v>9.5</v>
      </c>
      <c r="I19573" s="689">
        <v>9.1</v>
      </c>
      <c r="J19573" s="689">
        <v>9.6</v>
      </c>
      <c r="K19573" s="689">
        <v>9.5</v>
      </c>
    </row>
    <row r="19574" spans="1:11">
      <c r="A19574" s="688" t="s">
        <v>4067</v>
      </c>
      <c r="B19574" s="691">
        <v>9.3000000000000007</v>
      </c>
      <c r="C19574" s="691">
        <v>9.6</v>
      </c>
      <c r="D19574" s="691">
        <v>9.1</v>
      </c>
      <c r="E19574" s="691">
        <v>9.5</v>
      </c>
      <c r="F19574" s="691">
        <v>9.3000000000000007</v>
      </c>
      <c r="G19574" s="691">
        <v>9.4</v>
      </c>
      <c r="H19574" s="692" t="s">
        <v>4060</v>
      </c>
      <c r="I19574" s="692" t="s">
        <v>4060</v>
      </c>
      <c r="J19574" s="692" t="s">
        <v>4060</v>
      </c>
      <c r="K19574" s="692" t="s">
        <v>4060</v>
      </c>
    </row>
    <row r="19575" spans="1:11">
      <c r="A19575" s="688" t="s">
        <v>4066</v>
      </c>
      <c r="B19575" s="689">
        <v>9.3000000000000007</v>
      </c>
      <c r="C19575" s="689">
        <v>9.6</v>
      </c>
      <c r="D19575" s="689">
        <v>9.1999999999999993</v>
      </c>
      <c r="E19575" s="689">
        <v>9.5</v>
      </c>
      <c r="F19575" s="689">
        <v>9.4</v>
      </c>
      <c r="G19575" s="689">
        <v>9.4</v>
      </c>
      <c r="H19575" s="690" t="s">
        <v>4060</v>
      </c>
      <c r="I19575" s="690" t="s">
        <v>4060</v>
      </c>
      <c r="J19575" s="690" t="s">
        <v>4060</v>
      </c>
      <c r="K19575" s="690" t="s">
        <v>4060</v>
      </c>
    </row>
    <row r="19576" spans="1:11">
      <c r="A19576" s="688" t="s">
        <v>4062</v>
      </c>
      <c r="B19576" s="691">
        <v>9.5</v>
      </c>
      <c r="C19576" s="691">
        <v>9.4</v>
      </c>
      <c r="D19576" s="691">
        <v>9.3000000000000007</v>
      </c>
      <c r="E19576" s="691">
        <v>9.6</v>
      </c>
      <c r="F19576" s="691">
        <v>9.5</v>
      </c>
      <c r="G19576" s="691">
        <v>9.6</v>
      </c>
      <c r="H19576" s="691">
        <v>9.6999999999999993</v>
      </c>
      <c r="I19576" s="691">
        <v>9.4</v>
      </c>
      <c r="J19576" s="691">
        <v>9.6999999999999993</v>
      </c>
      <c r="K19576" s="691">
        <v>9.5</v>
      </c>
    </row>
    <row r="19577" spans="1:11">
      <c r="A19577" s="688" t="s">
        <v>9</v>
      </c>
      <c r="B19577" s="689">
        <v>9.4</v>
      </c>
      <c r="C19577" s="689">
        <v>9.5</v>
      </c>
      <c r="D19577" s="689">
        <v>8.8000000000000007</v>
      </c>
      <c r="E19577" s="689">
        <v>9.1</v>
      </c>
      <c r="F19577" s="689">
        <v>8.9</v>
      </c>
      <c r="G19577" s="689">
        <v>8.9</v>
      </c>
      <c r="H19577" s="689">
        <v>9.1</v>
      </c>
      <c r="I19577" s="689">
        <v>9.1</v>
      </c>
      <c r="J19577" s="689">
        <v>9.4</v>
      </c>
      <c r="K19577" s="689">
        <v>8.6999999999999993</v>
      </c>
    </row>
    <row r="19578" spans="1:11">
      <c r="A19578" s="688" t="s">
        <v>13</v>
      </c>
      <c r="B19578" s="691">
        <v>10.5</v>
      </c>
      <c r="C19578" s="691">
        <v>8.4</v>
      </c>
      <c r="D19578" s="691">
        <v>8.1999999999999993</v>
      </c>
      <c r="E19578" s="691">
        <v>9.8000000000000007</v>
      </c>
      <c r="F19578" s="691">
        <v>9.6</v>
      </c>
      <c r="G19578" s="691">
        <v>8.9</v>
      </c>
      <c r="H19578" s="691">
        <v>9.6</v>
      </c>
      <c r="I19578" s="691">
        <v>8.6999999999999993</v>
      </c>
      <c r="J19578" s="691">
        <v>8.9</v>
      </c>
      <c r="K19578" s="691">
        <v>9.1999999999999993</v>
      </c>
    </row>
    <row r="19579" spans="1:11">
      <c r="A19579" s="688" t="s">
        <v>18</v>
      </c>
      <c r="B19579" s="689">
        <v>9.1999999999999993</v>
      </c>
      <c r="C19579" s="689">
        <v>9.1999999999999993</v>
      </c>
      <c r="D19579" s="689">
        <v>9.1999999999999993</v>
      </c>
      <c r="E19579" s="689">
        <v>9.3000000000000007</v>
      </c>
      <c r="F19579" s="689">
        <v>9.3000000000000007</v>
      </c>
      <c r="G19579" s="689">
        <v>9.4</v>
      </c>
      <c r="H19579" s="689">
        <v>9.5</v>
      </c>
      <c r="I19579" s="689">
        <v>9.6</v>
      </c>
      <c r="J19579" s="689">
        <v>9.4</v>
      </c>
      <c r="K19579" s="689">
        <v>9.1</v>
      </c>
    </row>
    <row r="19580" spans="1:11">
      <c r="A19580" s="688" t="s">
        <v>24</v>
      </c>
      <c r="B19580" s="691">
        <v>9.6999999999999993</v>
      </c>
      <c r="C19580" s="691">
        <v>9.6</v>
      </c>
      <c r="D19580" s="691">
        <v>9.4</v>
      </c>
      <c r="E19580" s="691">
        <v>9.6999999999999993</v>
      </c>
      <c r="F19580" s="691">
        <v>9.6</v>
      </c>
      <c r="G19580" s="691">
        <v>9.8000000000000007</v>
      </c>
      <c r="H19580" s="691">
        <v>9.8000000000000007</v>
      </c>
      <c r="I19580" s="691">
        <v>9.3000000000000007</v>
      </c>
      <c r="J19580" s="691">
        <v>9.9</v>
      </c>
      <c r="K19580" s="691">
        <v>9.6</v>
      </c>
    </row>
    <row r="19581" spans="1:11">
      <c r="A19581" s="688" t="s">
        <v>4059</v>
      </c>
      <c r="B19581" s="689">
        <v>9.1</v>
      </c>
      <c r="C19581" s="689">
        <v>9.4</v>
      </c>
      <c r="D19581" s="689">
        <v>8.9</v>
      </c>
      <c r="E19581" s="689">
        <v>9.3000000000000007</v>
      </c>
      <c r="F19581" s="689">
        <v>9.1999999999999993</v>
      </c>
      <c r="G19581" s="689">
        <v>9.1999999999999993</v>
      </c>
      <c r="H19581" s="690" t="s">
        <v>4060</v>
      </c>
      <c r="I19581" s="690" t="s">
        <v>4060</v>
      </c>
      <c r="J19581" s="690" t="s">
        <v>4060</v>
      </c>
      <c r="K19581" s="690" t="s">
        <v>4060</v>
      </c>
    </row>
    <row r="19582" spans="1:11">
      <c r="A19582" s="688" t="s">
        <v>2324</v>
      </c>
      <c r="B19582" s="691">
        <v>6.9</v>
      </c>
      <c r="C19582" s="691">
        <v>6.8</v>
      </c>
      <c r="D19582" s="691">
        <v>6.3</v>
      </c>
      <c r="E19582" s="691">
        <v>6.8</v>
      </c>
      <c r="F19582" s="615">
        <v>7</v>
      </c>
      <c r="G19582" s="691">
        <v>6.8</v>
      </c>
      <c r="H19582" s="691">
        <v>6.8</v>
      </c>
      <c r="I19582" s="691">
        <v>6.6</v>
      </c>
      <c r="J19582" s="691">
        <v>5.5</v>
      </c>
      <c r="K19582" s="692" t="s">
        <v>4060</v>
      </c>
    </row>
    <row r="19583" spans="1:11">
      <c r="A19583" s="688" t="s">
        <v>2322</v>
      </c>
      <c r="B19583" s="690" t="s">
        <v>4060</v>
      </c>
      <c r="C19583" s="690" t="s">
        <v>4060</v>
      </c>
      <c r="D19583" s="690" t="s">
        <v>4060</v>
      </c>
      <c r="E19583" s="690" t="s">
        <v>4060</v>
      </c>
      <c r="F19583" s="690" t="s">
        <v>4060</v>
      </c>
      <c r="G19583" s="690" t="s">
        <v>4060</v>
      </c>
      <c r="H19583" s="690" t="s">
        <v>4060</v>
      </c>
      <c r="I19583" s="690" t="s">
        <v>4060</v>
      </c>
      <c r="J19583" s="690" t="s">
        <v>4060</v>
      </c>
      <c r="K19583" s="690" t="s">
        <v>4060</v>
      </c>
    </row>
    <row r="19584" spans="1:11">
      <c r="A19584" s="688" t="s">
        <v>2328</v>
      </c>
      <c r="B19584" s="691">
        <v>6.1</v>
      </c>
      <c r="C19584" s="691">
        <v>5.9</v>
      </c>
      <c r="D19584" s="691">
        <v>5.7</v>
      </c>
      <c r="E19584" s="691">
        <v>6.1</v>
      </c>
      <c r="F19584" s="691">
        <v>6.2</v>
      </c>
      <c r="G19584" s="691">
        <v>6.5</v>
      </c>
      <c r="H19584" s="691">
        <v>6.3</v>
      </c>
      <c r="I19584" s="691">
        <v>5.8</v>
      </c>
      <c r="J19584" s="691">
        <v>5.5</v>
      </c>
      <c r="K19584" s="692" t="s">
        <v>4060</v>
      </c>
    </row>
    <row r="19585" spans="1:11">
      <c r="A19585" s="688" t="s">
        <v>2496</v>
      </c>
      <c r="B19585" s="690" t="s">
        <v>4060</v>
      </c>
      <c r="C19585" s="693">
        <v>8</v>
      </c>
      <c r="D19585" s="689">
        <v>6.8</v>
      </c>
      <c r="E19585" s="693">
        <v>6</v>
      </c>
      <c r="F19585" s="689">
        <v>6.1</v>
      </c>
      <c r="G19585" s="689">
        <v>6.2</v>
      </c>
      <c r="H19585" s="689">
        <v>6.2</v>
      </c>
      <c r="I19585" s="690" t="s">
        <v>4060</v>
      </c>
      <c r="J19585" s="690" t="s">
        <v>4060</v>
      </c>
      <c r="K19585" s="689">
        <v>5.8</v>
      </c>
    </row>
    <row r="19586" spans="1:11">
      <c r="A19586" s="688" t="s">
        <v>2269</v>
      </c>
      <c r="B19586" s="691">
        <v>6.6</v>
      </c>
      <c r="C19586" s="691">
        <v>6.6</v>
      </c>
      <c r="D19586" s="615">
        <v>6</v>
      </c>
      <c r="E19586" s="691">
        <v>6.2</v>
      </c>
      <c r="F19586" s="691">
        <v>5.9</v>
      </c>
      <c r="G19586" s="691">
        <v>6.1</v>
      </c>
      <c r="H19586" s="691">
        <v>6.3</v>
      </c>
      <c r="I19586" s="691">
        <v>5.7</v>
      </c>
      <c r="J19586" s="691">
        <v>3.4</v>
      </c>
      <c r="K19586" s="615">
        <v>6</v>
      </c>
    </row>
    <row r="19587" spans="1:11">
      <c r="A19587" s="688" t="s">
        <v>2349</v>
      </c>
      <c r="B19587" s="689">
        <v>6.5</v>
      </c>
      <c r="C19587" s="689">
        <v>6.5</v>
      </c>
      <c r="D19587" s="689">
        <v>6.4</v>
      </c>
      <c r="E19587" s="689">
        <v>6.6</v>
      </c>
      <c r="F19587" s="689">
        <v>6.5</v>
      </c>
      <c r="G19587" s="689">
        <v>6.7</v>
      </c>
      <c r="H19587" s="689">
        <v>6.9</v>
      </c>
      <c r="I19587" s="689">
        <v>6.4</v>
      </c>
      <c r="J19587" s="689">
        <v>5.6</v>
      </c>
      <c r="K19587" s="689">
        <v>6.2</v>
      </c>
    </row>
    <row r="19588" spans="1:11">
      <c r="A19588" s="688" t="s">
        <v>2355</v>
      </c>
      <c r="B19588" s="691">
        <v>8.9</v>
      </c>
      <c r="C19588" s="691">
        <v>8.6</v>
      </c>
      <c r="D19588" s="691">
        <v>8.6</v>
      </c>
      <c r="E19588" s="691">
        <v>8.5</v>
      </c>
      <c r="F19588" s="691">
        <v>8.5</v>
      </c>
      <c r="G19588" s="691">
        <v>8.6999999999999993</v>
      </c>
      <c r="H19588" s="691">
        <v>8.6</v>
      </c>
      <c r="I19588" s="692" t="s">
        <v>4060</v>
      </c>
      <c r="J19588" s="692" t="s">
        <v>4060</v>
      </c>
      <c r="K19588" s="692" t="s">
        <v>4060</v>
      </c>
    </row>
    <row r="19589" spans="1:11">
      <c r="A19589" s="688" t="s">
        <v>2357</v>
      </c>
      <c r="B19589" s="690" t="s">
        <v>4060</v>
      </c>
      <c r="C19589" s="693">
        <v>7</v>
      </c>
      <c r="D19589" s="689">
        <v>7.3</v>
      </c>
      <c r="E19589" s="689">
        <v>7.5</v>
      </c>
      <c r="F19589" s="689">
        <v>7.6</v>
      </c>
      <c r="G19589" s="689">
        <v>7.2</v>
      </c>
      <c r="H19589" s="689">
        <v>7.3</v>
      </c>
      <c r="I19589" s="690" t="s">
        <v>4060</v>
      </c>
      <c r="J19589" s="690" t="s">
        <v>4060</v>
      </c>
      <c r="K19589" s="690" t="s">
        <v>4060</v>
      </c>
    </row>
    <row r="19590" spans="1:11">
      <c r="A19590" s="688" t="s">
        <v>4070</v>
      </c>
      <c r="B19590" s="692" t="s">
        <v>4060</v>
      </c>
      <c r="C19590" s="692" t="s">
        <v>4060</v>
      </c>
      <c r="D19590" s="692" t="s">
        <v>4060</v>
      </c>
      <c r="E19590" s="691">
        <v>10.3</v>
      </c>
      <c r="F19590" s="692" t="s">
        <v>4060</v>
      </c>
      <c r="G19590" s="692" t="s">
        <v>4060</v>
      </c>
      <c r="H19590" s="692" t="s">
        <v>4060</v>
      </c>
      <c r="I19590" s="692" t="s">
        <v>4060</v>
      </c>
      <c r="J19590" s="692" t="s">
        <v>4060</v>
      </c>
      <c r="K19590" s="692" t="s">
        <v>4060</v>
      </c>
    </row>
    <row r="19591" spans="1:11">
      <c r="A19591" s="688" t="s">
        <v>2491</v>
      </c>
      <c r="B19591" s="689">
        <v>7.3</v>
      </c>
      <c r="C19591" s="689">
        <v>7.5</v>
      </c>
      <c r="D19591" s="689">
        <v>7.4</v>
      </c>
      <c r="E19591" s="689">
        <v>7.4</v>
      </c>
      <c r="F19591" s="689">
        <v>7.4</v>
      </c>
      <c r="G19591" s="689">
        <v>7.5</v>
      </c>
      <c r="H19591" s="690" t="s">
        <v>4060</v>
      </c>
      <c r="I19591" s="690" t="s">
        <v>4060</v>
      </c>
      <c r="J19591" s="690" t="s">
        <v>4060</v>
      </c>
      <c r="K19591" s="690" t="s">
        <v>4060</v>
      </c>
    </row>
    <row r="19592" spans="1:11">
      <c r="A19592" s="688" t="s">
        <v>2343</v>
      </c>
      <c r="B19592" s="692" t="s">
        <v>4060</v>
      </c>
      <c r="C19592" s="692" t="s">
        <v>4060</v>
      </c>
      <c r="D19592" s="692" t="s">
        <v>4060</v>
      </c>
      <c r="E19592" s="692" t="s">
        <v>4060</v>
      </c>
      <c r="F19592" s="692" t="s">
        <v>4060</v>
      </c>
      <c r="G19592" s="692" t="s">
        <v>4060</v>
      </c>
      <c r="H19592" s="692" t="s">
        <v>4060</v>
      </c>
      <c r="I19592" s="692" t="s">
        <v>4060</v>
      </c>
      <c r="J19592" s="692" t="s">
        <v>4060</v>
      </c>
      <c r="K19592" s="692" t="s">
        <v>4060</v>
      </c>
    </row>
    <row r="19593" spans="1:11">
      <c r="A19593" s="688" t="s">
        <v>4071</v>
      </c>
      <c r="B19593" s="690" t="s">
        <v>4060</v>
      </c>
      <c r="C19593" s="690" t="s">
        <v>4060</v>
      </c>
      <c r="D19593" s="690" t="s">
        <v>4060</v>
      </c>
      <c r="E19593" s="690" t="s">
        <v>4060</v>
      </c>
      <c r="F19593" s="690" t="s">
        <v>4060</v>
      </c>
      <c r="G19593" s="690" t="s">
        <v>4060</v>
      </c>
      <c r="H19593" s="690" t="s">
        <v>4060</v>
      </c>
      <c r="I19593" s="690" t="s">
        <v>4060</v>
      </c>
      <c r="J19593" s="690" t="s">
        <v>4060</v>
      </c>
      <c r="K19593" s="690" t="s">
        <v>4060</v>
      </c>
    </row>
    <row r="19594" spans="1:11">
      <c r="A19594" s="688" t="s">
        <v>2489</v>
      </c>
      <c r="B19594" s="692" t="s">
        <v>4060</v>
      </c>
      <c r="C19594" s="692" t="s">
        <v>4060</v>
      </c>
      <c r="D19594" s="691">
        <v>6.7</v>
      </c>
      <c r="E19594" s="691">
        <v>6.7</v>
      </c>
      <c r="F19594" s="691">
        <v>6.8</v>
      </c>
      <c r="G19594" s="691">
        <v>6.8</v>
      </c>
      <c r="H19594" s="691">
        <v>7.1</v>
      </c>
      <c r="I19594" s="692" t="s">
        <v>4060</v>
      </c>
      <c r="J19594" s="692" t="s">
        <v>4060</v>
      </c>
      <c r="K19594" s="692" t="s">
        <v>4060</v>
      </c>
    </row>
    <row r="19595" spans="1:11">
      <c r="A19595" s="688" t="s">
        <v>2490</v>
      </c>
      <c r="B19595" s="689">
        <v>6.9</v>
      </c>
      <c r="C19595" s="689">
        <v>6.7</v>
      </c>
      <c r="D19595" s="689">
        <v>7.2</v>
      </c>
      <c r="E19595" s="690" t="s">
        <v>4060</v>
      </c>
      <c r="F19595" s="689">
        <v>7.2</v>
      </c>
      <c r="G19595" s="689">
        <v>7.2</v>
      </c>
      <c r="H19595" s="689">
        <v>7.8</v>
      </c>
      <c r="I19595" s="690" t="s">
        <v>4060</v>
      </c>
      <c r="J19595" s="690" t="s">
        <v>4060</v>
      </c>
      <c r="K19595" s="690" t="s">
        <v>4060</v>
      </c>
    </row>
    <row r="19597" spans="1:11">
      <c r="A19597" s="683" t="s">
        <v>4233</v>
      </c>
    </row>
    <row r="19598" spans="1:11">
      <c r="A19598" s="683" t="s">
        <v>4060</v>
      </c>
      <c r="B19598" s="682" t="s">
        <v>4234</v>
      </c>
    </row>
    <row r="19600" spans="1:11">
      <c r="A19600" s="682" t="s">
        <v>4332</v>
      </c>
    </row>
    <row r="19601" spans="1:11">
      <c r="A19601" s="682" t="s">
        <v>4210</v>
      </c>
      <c r="B19601" s="683" t="s">
        <v>4211</v>
      </c>
    </row>
    <row r="19602" spans="1:11">
      <c r="A19602" s="682" t="s">
        <v>4212</v>
      </c>
      <c r="B19602" s="682" t="s">
        <v>4213</v>
      </c>
    </row>
    <row r="19604" spans="1:11">
      <c r="A19604" s="683" t="s">
        <v>4214</v>
      </c>
      <c r="C19604" s="682" t="s">
        <v>4215</v>
      </c>
    </row>
    <row r="19605" spans="1:11">
      <c r="A19605" s="683" t="s">
        <v>4216</v>
      </c>
      <c r="C19605" s="682" t="s">
        <v>2967</v>
      </c>
    </row>
    <row r="19606" spans="1:11">
      <c r="A19606" s="683" t="s">
        <v>3893</v>
      </c>
      <c r="C19606" s="682" t="s">
        <v>2169</v>
      </c>
    </row>
    <row r="19607" spans="1:11">
      <c r="A19607" s="683" t="s">
        <v>4218</v>
      </c>
      <c r="C19607" s="682" t="s">
        <v>4316</v>
      </c>
    </row>
    <row r="19609" spans="1:11">
      <c r="A19609" s="684" t="s">
        <v>4220</v>
      </c>
      <c r="B19609" s="685" t="s">
        <v>4221</v>
      </c>
      <c r="C19609" s="685" t="s">
        <v>4222</v>
      </c>
      <c r="D19609" s="685" t="s">
        <v>4223</v>
      </c>
      <c r="E19609" s="685" t="s">
        <v>4224</v>
      </c>
      <c r="F19609" s="685" t="s">
        <v>4225</v>
      </c>
      <c r="G19609" s="685" t="s">
        <v>4226</v>
      </c>
      <c r="H19609" s="685" t="s">
        <v>4227</v>
      </c>
      <c r="I19609" s="685" t="s">
        <v>4228</v>
      </c>
      <c r="J19609" s="685" t="s">
        <v>4229</v>
      </c>
      <c r="K19609" s="685" t="s">
        <v>4230</v>
      </c>
    </row>
    <row r="19610" spans="1:11">
      <c r="A19610" s="686" t="s">
        <v>4231</v>
      </c>
      <c r="B19610" s="687" t="s">
        <v>4232</v>
      </c>
      <c r="C19610" s="687" t="s">
        <v>4232</v>
      </c>
      <c r="D19610" s="687" t="s">
        <v>4232</v>
      </c>
      <c r="E19610" s="687" t="s">
        <v>4232</v>
      </c>
      <c r="F19610" s="687" t="s">
        <v>4232</v>
      </c>
      <c r="G19610" s="687" t="s">
        <v>4232</v>
      </c>
      <c r="H19610" s="687" t="s">
        <v>4232</v>
      </c>
      <c r="I19610" s="687" t="s">
        <v>4232</v>
      </c>
      <c r="J19610" s="687" t="s">
        <v>4232</v>
      </c>
      <c r="K19610" s="687" t="s">
        <v>4232</v>
      </c>
    </row>
    <row r="19611" spans="1:11">
      <c r="A19611" s="688" t="s">
        <v>4064</v>
      </c>
      <c r="B19611" s="689">
        <v>8.8000000000000007</v>
      </c>
      <c r="C19611" s="689">
        <v>8.5</v>
      </c>
      <c r="D19611" s="689">
        <v>8.6</v>
      </c>
      <c r="E19611" s="689">
        <v>8.5</v>
      </c>
      <c r="F19611" s="689">
        <v>8.5</v>
      </c>
      <c r="G19611" s="689">
        <v>8.5</v>
      </c>
      <c r="H19611" s="689">
        <v>8.6999999999999993</v>
      </c>
      <c r="I19611" s="689">
        <v>8.3000000000000007</v>
      </c>
      <c r="J19611" s="689">
        <v>8.4</v>
      </c>
      <c r="K19611" s="689">
        <v>8.3000000000000007</v>
      </c>
    </row>
    <row r="19612" spans="1:11">
      <c r="A19612" s="688" t="s">
        <v>4065</v>
      </c>
      <c r="B19612" s="691">
        <v>8.6999999999999993</v>
      </c>
      <c r="C19612" s="615">
        <v>9</v>
      </c>
      <c r="D19612" s="691">
        <v>8.5</v>
      </c>
      <c r="E19612" s="691">
        <v>8.9</v>
      </c>
      <c r="F19612" s="691">
        <v>8.6999999999999993</v>
      </c>
      <c r="G19612" s="691">
        <v>8.8000000000000007</v>
      </c>
      <c r="H19612" s="692" t="s">
        <v>4060</v>
      </c>
      <c r="I19612" s="692" t="s">
        <v>4060</v>
      </c>
      <c r="J19612" s="692" t="s">
        <v>4060</v>
      </c>
      <c r="K19612" s="692" t="s">
        <v>4060</v>
      </c>
    </row>
    <row r="19613" spans="1:11">
      <c r="A19613" s="688" t="s">
        <v>4063</v>
      </c>
      <c r="B19613" s="689">
        <v>8.6999999999999993</v>
      </c>
      <c r="C19613" s="693">
        <v>9</v>
      </c>
      <c r="D19613" s="689">
        <v>8.6</v>
      </c>
      <c r="E19613" s="689">
        <v>8.9</v>
      </c>
      <c r="F19613" s="689">
        <v>8.6999999999999993</v>
      </c>
      <c r="G19613" s="689">
        <v>8.8000000000000007</v>
      </c>
      <c r="H19613" s="690" t="s">
        <v>4060</v>
      </c>
      <c r="I19613" s="690" t="s">
        <v>4060</v>
      </c>
      <c r="J19613" s="690" t="s">
        <v>4060</v>
      </c>
      <c r="K19613" s="690" t="s">
        <v>4060</v>
      </c>
    </row>
    <row r="19614" spans="1:11">
      <c r="A19614" s="688" t="s">
        <v>4069</v>
      </c>
      <c r="B19614" s="692" t="s">
        <v>4060</v>
      </c>
      <c r="C19614" s="691">
        <v>8.8000000000000007</v>
      </c>
      <c r="D19614" s="691">
        <v>8.5</v>
      </c>
      <c r="E19614" s="691">
        <v>8.8000000000000007</v>
      </c>
      <c r="F19614" s="691">
        <v>8.6999999999999993</v>
      </c>
      <c r="G19614" s="691">
        <v>8.8000000000000007</v>
      </c>
      <c r="H19614" s="615">
        <v>9</v>
      </c>
      <c r="I19614" s="691">
        <v>8.5</v>
      </c>
      <c r="J19614" s="691">
        <v>8.6999999999999993</v>
      </c>
      <c r="K19614" s="691">
        <v>8.6</v>
      </c>
    </row>
    <row r="19615" spans="1:11">
      <c r="A19615" s="688" t="s">
        <v>4068</v>
      </c>
      <c r="B19615" s="689">
        <v>9.1</v>
      </c>
      <c r="C19615" s="690" t="s">
        <v>4060</v>
      </c>
      <c r="D19615" s="690" t="s">
        <v>4060</v>
      </c>
      <c r="E19615" s="690" t="s">
        <v>4060</v>
      </c>
      <c r="F19615" s="690" t="s">
        <v>4060</v>
      </c>
      <c r="G19615" s="690" t="s">
        <v>4060</v>
      </c>
      <c r="H19615" s="690" t="s">
        <v>4060</v>
      </c>
      <c r="I19615" s="690" t="s">
        <v>4060</v>
      </c>
      <c r="J19615" s="690" t="s">
        <v>4060</v>
      </c>
      <c r="K19615" s="690" t="s">
        <v>4060</v>
      </c>
    </row>
    <row r="19616" spans="1:11">
      <c r="A19616" s="688" t="s">
        <v>0</v>
      </c>
      <c r="B19616" s="691">
        <v>8.6999999999999993</v>
      </c>
      <c r="C19616" s="691">
        <v>8.6</v>
      </c>
      <c r="D19616" s="691">
        <v>8.3000000000000007</v>
      </c>
      <c r="E19616" s="691">
        <v>8.6</v>
      </c>
      <c r="F19616" s="691">
        <v>8.6999999999999993</v>
      </c>
      <c r="G19616" s="691">
        <v>8.6999999999999993</v>
      </c>
      <c r="H19616" s="691">
        <v>8.9</v>
      </c>
      <c r="I19616" s="691">
        <v>8.1</v>
      </c>
      <c r="J19616" s="691">
        <v>9.1</v>
      </c>
      <c r="K19616" s="691">
        <v>8.6999999999999993</v>
      </c>
    </row>
    <row r="19617" spans="1:11">
      <c r="A19617" s="688" t="s">
        <v>1</v>
      </c>
      <c r="B19617" s="689">
        <v>6.5</v>
      </c>
      <c r="C19617" s="689">
        <v>6.2</v>
      </c>
      <c r="D19617" s="689">
        <v>6.1</v>
      </c>
      <c r="E19617" s="689">
        <v>6.3</v>
      </c>
      <c r="F19617" s="689">
        <v>6.2</v>
      </c>
      <c r="G19617" s="689">
        <v>6.3</v>
      </c>
      <c r="H19617" s="689">
        <v>6.3</v>
      </c>
      <c r="I19617" s="689">
        <v>6.1</v>
      </c>
      <c r="J19617" s="689">
        <v>5.6</v>
      </c>
      <c r="K19617" s="689">
        <v>6.2</v>
      </c>
    </row>
    <row r="19618" spans="1:11">
      <c r="A19618" s="688" t="s">
        <v>2240</v>
      </c>
      <c r="B19618" s="691">
        <v>7.4</v>
      </c>
      <c r="C19618" s="691">
        <v>7.4</v>
      </c>
      <c r="D19618" s="691">
        <v>7.1</v>
      </c>
      <c r="E19618" s="691">
        <v>7.5</v>
      </c>
      <c r="F19618" s="691">
        <v>7.4</v>
      </c>
      <c r="G19618" s="691">
        <v>7.5</v>
      </c>
      <c r="H19618" s="691">
        <v>7.6</v>
      </c>
      <c r="I19618" s="615">
        <v>7</v>
      </c>
      <c r="J19618" s="691">
        <v>7.1</v>
      </c>
      <c r="K19618" s="691">
        <v>7.4</v>
      </c>
    </row>
    <row r="19619" spans="1:11">
      <c r="A19619" s="688" t="s">
        <v>2</v>
      </c>
      <c r="B19619" s="689">
        <v>8.3000000000000007</v>
      </c>
      <c r="C19619" s="689">
        <v>8.4</v>
      </c>
      <c r="D19619" s="689">
        <v>8.3000000000000007</v>
      </c>
      <c r="E19619" s="689">
        <v>8.4</v>
      </c>
      <c r="F19619" s="689">
        <v>8.3000000000000007</v>
      </c>
      <c r="G19619" s="689">
        <v>8.3000000000000007</v>
      </c>
      <c r="H19619" s="689">
        <v>8.5</v>
      </c>
      <c r="I19619" s="689">
        <v>8.6</v>
      </c>
      <c r="J19619" s="689">
        <v>8.4</v>
      </c>
      <c r="K19619" s="689">
        <v>8.3000000000000007</v>
      </c>
    </row>
    <row r="19620" spans="1:11">
      <c r="A19620" s="688" t="s">
        <v>3</v>
      </c>
      <c r="B19620" s="691">
        <v>8.1999999999999993</v>
      </c>
      <c r="C19620" s="691">
        <v>8.1999999999999993</v>
      </c>
      <c r="D19620" s="615">
        <v>8</v>
      </c>
      <c r="E19620" s="691">
        <v>8.3000000000000007</v>
      </c>
      <c r="F19620" s="691">
        <v>8.1999999999999993</v>
      </c>
      <c r="G19620" s="691">
        <v>8.1999999999999993</v>
      </c>
      <c r="H19620" s="691">
        <v>8.4</v>
      </c>
      <c r="I19620" s="691">
        <v>8.3000000000000007</v>
      </c>
      <c r="J19620" s="691">
        <v>8.3000000000000007</v>
      </c>
      <c r="K19620" s="691">
        <v>8.1</v>
      </c>
    </row>
    <row r="19621" spans="1:11">
      <c r="A19621" s="688" t="s">
        <v>4061</v>
      </c>
      <c r="B19621" s="689">
        <v>8.1999999999999993</v>
      </c>
      <c r="C19621" s="689">
        <v>8.1999999999999993</v>
      </c>
      <c r="D19621" s="693">
        <v>8</v>
      </c>
      <c r="E19621" s="689">
        <v>8.3000000000000007</v>
      </c>
      <c r="F19621" s="689">
        <v>8.1999999999999993</v>
      </c>
      <c r="G19621" s="689">
        <v>8.1999999999999993</v>
      </c>
      <c r="H19621" s="689">
        <v>8.4</v>
      </c>
      <c r="I19621" s="689">
        <v>8.3000000000000007</v>
      </c>
      <c r="J19621" s="689">
        <v>8.3000000000000007</v>
      </c>
      <c r="K19621" s="689">
        <v>8.1</v>
      </c>
    </row>
    <row r="19622" spans="1:11">
      <c r="A19622" s="688" t="s">
        <v>4</v>
      </c>
      <c r="B19622" s="691">
        <v>8.1999999999999993</v>
      </c>
      <c r="C19622" s="691">
        <v>7.8</v>
      </c>
      <c r="D19622" s="691">
        <v>7.9</v>
      </c>
      <c r="E19622" s="615">
        <v>8</v>
      </c>
      <c r="F19622" s="615">
        <v>8</v>
      </c>
      <c r="G19622" s="691">
        <v>8.1</v>
      </c>
      <c r="H19622" s="691">
        <v>8.3000000000000007</v>
      </c>
      <c r="I19622" s="691">
        <v>8.3000000000000007</v>
      </c>
      <c r="J19622" s="691">
        <v>7.7</v>
      </c>
      <c r="K19622" s="615">
        <v>8</v>
      </c>
    </row>
    <row r="19623" spans="1:11">
      <c r="A19623" s="688" t="s">
        <v>8</v>
      </c>
      <c r="B19623" s="689">
        <v>8.1999999999999993</v>
      </c>
      <c r="C19623" s="689">
        <v>8.1999999999999993</v>
      </c>
      <c r="D19623" s="689">
        <v>8.1</v>
      </c>
      <c r="E19623" s="689">
        <v>8.1999999999999993</v>
      </c>
      <c r="F19623" s="689">
        <v>8.4</v>
      </c>
      <c r="G19623" s="689">
        <v>8.5</v>
      </c>
      <c r="H19623" s="689">
        <v>8.6999999999999993</v>
      </c>
      <c r="I19623" s="689">
        <v>8.5</v>
      </c>
      <c r="J19623" s="689">
        <v>8.5</v>
      </c>
      <c r="K19623" s="689">
        <v>8.5</v>
      </c>
    </row>
    <row r="19624" spans="1:11">
      <c r="A19624" s="688" t="s">
        <v>7</v>
      </c>
      <c r="B19624" s="691">
        <v>8.5</v>
      </c>
      <c r="C19624" s="691">
        <v>7.9</v>
      </c>
      <c r="D19624" s="691">
        <v>7.7</v>
      </c>
      <c r="E19624" s="691">
        <v>8.1</v>
      </c>
      <c r="F19624" s="615">
        <v>8</v>
      </c>
      <c r="G19624" s="691">
        <v>8.4</v>
      </c>
      <c r="H19624" s="691">
        <v>8.1999999999999993</v>
      </c>
      <c r="I19624" s="691">
        <v>8.1999999999999993</v>
      </c>
      <c r="J19624" s="691">
        <v>7.9</v>
      </c>
      <c r="K19624" s="691">
        <v>7.8</v>
      </c>
    </row>
    <row r="19625" spans="1:11">
      <c r="A19625" s="688" t="s">
        <v>27</v>
      </c>
      <c r="B19625" s="689">
        <v>9.9</v>
      </c>
      <c r="C19625" s="689">
        <v>9.1999999999999993</v>
      </c>
      <c r="D19625" s="689">
        <v>8.9</v>
      </c>
      <c r="E19625" s="689">
        <v>9.1999999999999993</v>
      </c>
      <c r="F19625" s="689">
        <v>9.1</v>
      </c>
      <c r="G19625" s="689">
        <v>9.3000000000000007</v>
      </c>
      <c r="H19625" s="689">
        <v>9.5</v>
      </c>
      <c r="I19625" s="689">
        <v>8.6999999999999993</v>
      </c>
      <c r="J19625" s="689">
        <v>9.4</v>
      </c>
      <c r="K19625" s="689">
        <v>9.1999999999999993</v>
      </c>
    </row>
    <row r="19626" spans="1:11">
      <c r="A19626" s="688" t="s">
        <v>6</v>
      </c>
      <c r="B19626" s="691">
        <v>10.199999999999999</v>
      </c>
      <c r="C19626" s="691">
        <v>9.6999999999999993</v>
      </c>
      <c r="D19626" s="691">
        <v>9.5</v>
      </c>
      <c r="E19626" s="691">
        <v>9.6999999999999993</v>
      </c>
      <c r="F19626" s="691">
        <v>9.6999999999999993</v>
      </c>
      <c r="G19626" s="691">
        <v>9.8000000000000007</v>
      </c>
      <c r="H19626" s="691">
        <v>9.9</v>
      </c>
      <c r="I19626" s="691">
        <v>9.5</v>
      </c>
      <c r="J19626" s="691">
        <v>9.6999999999999993</v>
      </c>
      <c r="K19626" s="691">
        <v>9.6</v>
      </c>
    </row>
    <row r="19627" spans="1:11">
      <c r="A19627" s="688" t="s">
        <v>4058</v>
      </c>
      <c r="B19627" s="690" t="s">
        <v>4060</v>
      </c>
      <c r="C19627" s="690" t="s">
        <v>4060</v>
      </c>
      <c r="D19627" s="690" t="s">
        <v>4060</v>
      </c>
      <c r="E19627" s="690" t="s">
        <v>4060</v>
      </c>
      <c r="F19627" s="690" t="s">
        <v>4060</v>
      </c>
      <c r="G19627" s="690" t="s">
        <v>4060</v>
      </c>
      <c r="H19627" s="690" t="s">
        <v>4060</v>
      </c>
      <c r="I19627" s="690" t="s">
        <v>4060</v>
      </c>
      <c r="J19627" s="690" t="s">
        <v>4060</v>
      </c>
      <c r="K19627" s="690" t="s">
        <v>4060</v>
      </c>
    </row>
    <row r="19628" spans="1:11">
      <c r="A19628" s="688" t="s">
        <v>11</v>
      </c>
      <c r="B19628" s="691">
        <v>7.1</v>
      </c>
      <c r="C19628" s="691">
        <v>6.8</v>
      </c>
      <c r="D19628" s="691">
        <v>6.5</v>
      </c>
      <c r="E19628" s="691">
        <v>6.8</v>
      </c>
      <c r="F19628" s="691">
        <v>6.7</v>
      </c>
      <c r="G19628" s="691">
        <v>6.8</v>
      </c>
      <c r="H19628" s="691">
        <v>6.9</v>
      </c>
      <c r="I19628" s="691">
        <v>6.6</v>
      </c>
      <c r="J19628" s="691">
        <v>6.3</v>
      </c>
      <c r="K19628" s="691">
        <v>6.5</v>
      </c>
    </row>
    <row r="19629" spans="1:11">
      <c r="A19629" s="688" t="s">
        <v>10</v>
      </c>
      <c r="B19629" s="689">
        <v>9.4</v>
      </c>
      <c r="C19629" s="689">
        <v>8.9</v>
      </c>
      <c r="D19629" s="689">
        <v>8.5</v>
      </c>
      <c r="E19629" s="693">
        <v>9</v>
      </c>
      <c r="F19629" s="689">
        <v>8.6999999999999993</v>
      </c>
      <c r="G19629" s="693">
        <v>9</v>
      </c>
      <c r="H19629" s="689">
        <v>9.1</v>
      </c>
      <c r="I19629" s="689">
        <v>8.4</v>
      </c>
      <c r="J19629" s="689">
        <v>8.8000000000000007</v>
      </c>
      <c r="K19629" s="689">
        <v>8.6</v>
      </c>
    </row>
    <row r="19630" spans="1:11">
      <c r="A19630" s="688" t="s">
        <v>30</v>
      </c>
      <c r="B19630" s="691">
        <v>8.3000000000000007</v>
      </c>
      <c r="C19630" s="691">
        <v>7.6</v>
      </c>
      <c r="D19630" s="691">
        <v>7.4</v>
      </c>
      <c r="E19630" s="691">
        <v>8.1</v>
      </c>
      <c r="F19630" s="691">
        <v>7.5</v>
      </c>
      <c r="G19630" s="691">
        <v>8.1</v>
      </c>
      <c r="H19630" s="691">
        <v>7.8</v>
      </c>
      <c r="I19630" s="691">
        <v>7.9</v>
      </c>
      <c r="J19630" s="691">
        <v>7.8</v>
      </c>
      <c r="K19630" s="691">
        <v>7.6</v>
      </c>
    </row>
    <row r="19631" spans="1:11">
      <c r="A19631" s="688" t="s">
        <v>12</v>
      </c>
      <c r="B19631" s="689">
        <v>7.4</v>
      </c>
      <c r="C19631" s="689">
        <v>7.2</v>
      </c>
      <c r="D19631" s="689">
        <v>7.1</v>
      </c>
      <c r="E19631" s="689">
        <v>7.2</v>
      </c>
      <c r="F19631" s="689">
        <v>7.2</v>
      </c>
      <c r="G19631" s="689">
        <v>7.3</v>
      </c>
      <c r="H19631" s="689">
        <v>7.5</v>
      </c>
      <c r="I19631" s="689">
        <v>7.3</v>
      </c>
      <c r="J19631" s="689">
        <v>6.6</v>
      </c>
      <c r="K19631" s="689">
        <v>7.1</v>
      </c>
    </row>
    <row r="19632" spans="1:11">
      <c r="A19632" s="688" t="s">
        <v>14</v>
      </c>
      <c r="B19632" s="691">
        <v>7.5</v>
      </c>
      <c r="C19632" s="691">
        <v>7.1</v>
      </c>
      <c r="D19632" s="691">
        <v>6.9</v>
      </c>
      <c r="E19632" s="691">
        <v>7.1</v>
      </c>
      <c r="F19632" s="691">
        <v>7.1</v>
      </c>
      <c r="G19632" s="691">
        <v>7.2</v>
      </c>
      <c r="H19632" s="691">
        <v>7.4</v>
      </c>
      <c r="I19632" s="691">
        <v>7.1</v>
      </c>
      <c r="J19632" s="691">
        <v>6.7</v>
      </c>
      <c r="K19632" s="691">
        <v>7.1</v>
      </c>
    </row>
    <row r="19633" spans="1:11">
      <c r="A19633" s="688" t="s">
        <v>15</v>
      </c>
      <c r="B19633" s="693">
        <v>9</v>
      </c>
      <c r="C19633" s="689">
        <v>9.1</v>
      </c>
      <c r="D19633" s="689">
        <v>8.6999999999999993</v>
      </c>
      <c r="E19633" s="689">
        <v>8.6999999999999993</v>
      </c>
      <c r="F19633" s="689">
        <v>8.6999999999999993</v>
      </c>
      <c r="G19633" s="689">
        <v>8.8000000000000007</v>
      </c>
      <c r="H19633" s="689">
        <v>8.9</v>
      </c>
      <c r="I19633" s="689">
        <v>8.6999999999999993</v>
      </c>
      <c r="J19633" s="689">
        <v>8.9</v>
      </c>
      <c r="K19633" s="689">
        <v>8.9</v>
      </c>
    </row>
    <row r="19634" spans="1:11">
      <c r="A19634" s="688" t="s">
        <v>29</v>
      </c>
      <c r="B19634" s="691">
        <v>7.2</v>
      </c>
      <c r="C19634" s="615">
        <v>7</v>
      </c>
      <c r="D19634" s="691">
        <v>6.7</v>
      </c>
      <c r="E19634" s="691">
        <v>7.1</v>
      </c>
      <c r="F19634" s="691">
        <v>6.9</v>
      </c>
      <c r="G19634" s="691">
        <v>6.9</v>
      </c>
      <c r="H19634" s="615">
        <v>7</v>
      </c>
      <c r="I19634" s="691">
        <v>6.7</v>
      </c>
      <c r="J19634" s="691">
        <v>6.6</v>
      </c>
      <c r="K19634" s="691">
        <v>6.9</v>
      </c>
    </row>
    <row r="19635" spans="1:11">
      <c r="A19635" s="688" t="s">
        <v>16</v>
      </c>
      <c r="B19635" s="689">
        <v>8.5</v>
      </c>
      <c r="C19635" s="689">
        <v>8.4</v>
      </c>
      <c r="D19635" s="689">
        <v>8.1</v>
      </c>
      <c r="E19635" s="689">
        <v>8.4</v>
      </c>
      <c r="F19635" s="689">
        <v>8.4</v>
      </c>
      <c r="G19635" s="689">
        <v>8.5</v>
      </c>
      <c r="H19635" s="689">
        <v>8.6</v>
      </c>
      <c r="I19635" s="689">
        <v>8.4</v>
      </c>
      <c r="J19635" s="689">
        <v>8.3000000000000007</v>
      </c>
      <c r="K19635" s="689">
        <v>8.4</v>
      </c>
    </row>
    <row r="19636" spans="1:11">
      <c r="A19636" s="688" t="s">
        <v>17</v>
      </c>
      <c r="B19636" s="691">
        <v>8.5</v>
      </c>
      <c r="C19636" s="691">
        <v>8.4</v>
      </c>
      <c r="D19636" s="691">
        <v>8.1999999999999993</v>
      </c>
      <c r="E19636" s="691">
        <v>8.1999999999999993</v>
      </c>
      <c r="F19636" s="691">
        <v>8.1999999999999993</v>
      </c>
      <c r="G19636" s="691">
        <v>8.1999999999999993</v>
      </c>
      <c r="H19636" s="691">
        <v>8.4</v>
      </c>
      <c r="I19636" s="615">
        <v>8</v>
      </c>
      <c r="J19636" s="691">
        <v>8.1999999999999993</v>
      </c>
      <c r="K19636" s="691">
        <v>8.1</v>
      </c>
    </row>
    <row r="19637" spans="1:11">
      <c r="A19637" s="688" t="s">
        <v>19</v>
      </c>
      <c r="B19637" s="689">
        <v>8.6</v>
      </c>
      <c r="C19637" s="689">
        <v>8.4</v>
      </c>
      <c r="D19637" s="689">
        <v>8.1999999999999993</v>
      </c>
      <c r="E19637" s="689">
        <v>8.5</v>
      </c>
      <c r="F19637" s="689">
        <v>8.3000000000000007</v>
      </c>
      <c r="G19637" s="689">
        <v>8.4</v>
      </c>
      <c r="H19637" s="689">
        <v>8.5</v>
      </c>
      <c r="I19637" s="689">
        <v>8.1999999999999993</v>
      </c>
      <c r="J19637" s="689">
        <v>8.4</v>
      </c>
      <c r="K19637" s="689">
        <v>8.1999999999999993</v>
      </c>
    </row>
    <row r="19638" spans="1:11">
      <c r="A19638" s="688" t="s">
        <v>20</v>
      </c>
      <c r="B19638" s="691">
        <v>8.1999999999999993</v>
      </c>
      <c r="C19638" s="615">
        <v>8</v>
      </c>
      <c r="D19638" s="691">
        <v>7.8</v>
      </c>
      <c r="E19638" s="691">
        <v>8.1</v>
      </c>
      <c r="F19638" s="615">
        <v>8</v>
      </c>
      <c r="G19638" s="615">
        <v>8</v>
      </c>
      <c r="H19638" s="691">
        <v>8.1999999999999993</v>
      </c>
      <c r="I19638" s="691">
        <v>7.5</v>
      </c>
      <c r="J19638" s="691">
        <v>7.2</v>
      </c>
      <c r="K19638" s="691">
        <v>7.7</v>
      </c>
    </row>
    <row r="19639" spans="1:11">
      <c r="A19639" s="688" t="s">
        <v>21</v>
      </c>
      <c r="B19639" s="689">
        <v>8.5</v>
      </c>
      <c r="C19639" s="689">
        <v>8.6999999999999993</v>
      </c>
      <c r="D19639" s="689">
        <v>8.4</v>
      </c>
      <c r="E19639" s="689">
        <v>8.6</v>
      </c>
      <c r="F19639" s="689">
        <v>8.6999999999999993</v>
      </c>
      <c r="G19639" s="689">
        <v>8.6999999999999993</v>
      </c>
      <c r="H19639" s="689">
        <v>8.9</v>
      </c>
      <c r="I19639" s="689">
        <v>8.4</v>
      </c>
      <c r="J19639" s="689">
        <v>8.5</v>
      </c>
      <c r="K19639" s="689">
        <v>8.5</v>
      </c>
    </row>
    <row r="19640" spans="1:11">
      <c r="A19640" s="688" t="s">
        <v>22</v>
      </c>
      <c r="B19640" s="615">
        <v>7</v>
      </c>
      <c r="C19640" s="691">
        <v>6.7</v>
      </c>
      <c r="D19640" s="691">
        <v>6.7</v>
      </c>
      <c r="E19640" s="615">
        <v>7</v>
      </c>
      <c r="F19640" s="615">
        <v>7</v>
      </c>
      <c r="G19640" s="615">
        <v>7</v>
      </c>
      <c r="H19640" s="691">
        <v>7.3</v>
      </c>
      <c r="I19640" s="691">
        <v>6.9</v>
      </c>
      <c r="J19640" s="691">
        <v>6.2</v>
      </c>
      <c r="K19640" s="691">
        <v>6.6</v>
      </c>
    </row>
    <row r="19641" spans="1:11">
      <c r="A19641" s="688" t="s">
        <v>26</v>
      </c>
      <c r="B19641" s="689">
        <v>8.6</v>
      </c>
      <c r="C19641" s="689">
        <v>8.1</v>
      </c>
      <c r="D19641" s="689">
        <v>8.1</v>
      </c>
      <c r="E19641" s="689">
        <v>8.1999999999999993</v>
      </c>
      <c r="F19641" s="689">
        <v>8.3000000000000007</v>
      </c>
      <c r="G19641" s="689">
        <v>8.4</v>
      </c>
      <c r="H19641" s="689">
        <v>8.5</v>
      </c>
      <c r="I19641" s="689">
        <v>7.6</v>
      </c>
      <c r="J19641" s="689">
        <v>8.1999999999999993</v>
      </c>
      <c r="K19641" s="689">
        <v>8.1999999999999993</v>
      </c>
    </row>
    <row r="19642" spans="1:11">
      <c r="A19642" s="688" t="s">
        <v>25</v>
      </c>
      <c r="B19642" s="691">
        <v>7.1</v>
      </c>
      <c r="C19642" s="691">
        <v>7.2</v>
      </c>
      <c r="D19642" s="691">
        <v>6.9</v>
      </c>
      <c r="E19642" s="691">
        <v>7.2</v>
      </c>
      <c r="F19642" s="691">
        <v>7.1</v>
      </c>
      <c r="G19642" s="691">
        <v>7.3</v>
      </c>
      <c r="H19642" s="691">
        <v>7.6</v>
      </c>
      <c r="I19642" s="691">
        <v>7.2</v>
      </c>
      <c r="J19642" s="691">
        <v>6.4</v>
      </c>
      <c r="K19642" s="691">
        <v>6.9</v>
      </c>
    </row>
    <row r="19643" spans="1:11">
      <c r="A19643" s="688" t="s">
        <v>5</v>
      </c>
      <c r="B19643" s="689">
        <v>8.9</v>
      </c>
      <c r="C19643" s="689">
        <v>8.4</v>
      </c>
      <c r="D19643" s="689">
        <v>8.4</v>
      </c>
      <c r="E19643" s="689">
        <v>8.4</v>
      </c>
      <c r="F19643" s="689">
        <v>8.6</v>
      </c>
      <c r="G19643" s="689">
        <v>8.6</v>
      </c>
      <c r="H19643" s="689">
        <v>8.9</v>
      </c>
      <c r="I19643" s="689">
        <v>8.8000000000000007</v>
      </c>
      <c r="J19643" s="689">
        <v>8.6999999999999993</v>
      </c>
      <c r="K19643" s="689">
        <v>8.3000000000000007</v>
      </c>
    </row>
    <row r="19644" spans="1:11">
      <c r="A19644" s="688" t="s">
        <v>23</v>
      </c>
      <c r="B19644" s="691">
        <v>8.5</v>
      </c>
      <c r="C19644" s="691">
        <v>8.5</v>
      </c>
      <c r="D19644" s="691">
        <v>8.5</v>
      </c>
      <c r="E19644" s="691">
        <v>8.5</v>
      </c>
      <c r="F19644" s="691">
        <v>8.5</v>
      </c>
      <c r="G19644" s="691">
        <v>8.6</v>
      </c>
      <c r="H19644" s="691">
        <v>8.9</v>
      </c>
      <c r="I19644" s="691">
        <v>8.5</v>
      </c>
      <c r="J19644" s="615">
        <v>9</v>
      </c>
      <c r="K19644" s="691">
        <v>8.8000000000000007</v>
      </c>
    </row>
    <row r="19645" spans="1:11">
      <c r="A19645" s="688" t="s">
        <v>4067</v>
      </c>
      <c r="B19645" s="689">
        <v>8.6999999999999993</v>
      </c>
      <c r="C19645" s="693">
        <v>9</v>
      </c>
      <c r="D19645" s="689">
        <v>8.5</v>
      </c>
      <c r="E19645" s="689">
        <v>8.9</v>
      </c>
      <c r="F19645" s="689">
        <v>8.6999999999999993</v>
      </c>
      <c r="G19645" s="689">
        <v>8.8000000000000007</v>
      </c>
      <c r="H19645" s="690" t="s">
        <v>4060</v>
      </c>
      <c r="I19645" s="690" t="s">
        <v>4060</v>
      </c>
      <c r="J19645" s="690" t="s">
        <v>4060</v>
      </c>
      <c r="K19645" s="690" t="s">
        <v>4060</v>
      </c>
    </row>
    <row r="19646" spans="1:11">
      <c r="A19646" s="688" t="s">
        <v>4066</v>
      </c>
      <c r="B19646" s="691">
        <v>8.6999999999999993</v>
      </c>
      <c r="C19646" s="615">
        <v>9</v>
      </c>
      <c r="D19646" s="691">
        <v>8.6</v>
      </c>
      <c r="E19646" s="691">
        <v>8.9</v>
      </c>
      <c r="F19646" s="691">
        <v>8.6999999999999993</v>
      </c>
      <c r="G19646" s="691">
        <v>8.8000000000000007</v>
      </c>
      <c r="H19646" s="692" t="s">
        <v>4060</v>
      </c>
      <c r="I19646" s="692" t="s">
        <v>4060</v>
      </c>
      <c r="J19646" s="692" t="s">
        <v>4060</v>
      </c>
      <c r="K19646" s="692" t="s">
        <v>4060</v>
      </c>
    </row>
    <row r="19647" spans="1:11">
      <c r="A19647" s="688" t="s">
        <v>4062</v>
      </c>
      <c r="B19647" s="689">
        <v>8.9</v>
      </c>
      <c r="C19647" s="689">
        <v>8.8000000000000007</v>
      </c>
      <c r="D19647" s="689">
        <v>8.6999999999999993</v>
      </c>
      <c r="E19647" s="689">
        <v>8.9</v>
      </c>
      <c r="F19647" s="689">
        <v>8.9</v>
      </c>
      <c r="G19647" s="689">
        <v>8.9</v>
      </c>
      <c r="H19647" s="693">
        <v>9</v>
      </c>
      <c r="I19647" s="689">
        <v>8.6999999999999993</v>
      </c>
      <c r="J19647" s="693">
        <v>9</v>
      </c>
      <c r="K19647" s="689">
        <v>8.8000000000000007</v>
      </c>
    </row>
    <row r="19648" spans="1:11">
      <c r="A19648" s="688" t="s">
        <v>9</v>
      </c>
      <c r="B19648" s="691">
        <v>8.8000000000000007</v>
      </c>
      <c r="C19648" s="691">
        <v>8.9</v>
      </c>
      <c r="D19648" s="691">
        <v>8.3000000000000007</v>
      </c>
      <c r="E19648" s="691">
        <v>8.5</v>
      </c>
      <c r="F19648" s="691">
        <v>8.4</v>
      </c>
      <c r="G19648" s="691">
        <v>8.5</v>
      </c>
      <c r="H19648" s="691">
        <v>8.5</v>
      </c>
      <c r="I19648" s="691">
        <v>8.5</v>
      </c>
      <c r="J19648" s="691">
        <v>8.8000000000000007</v>
      </c>
      <c r="K19648" s="691">
        <v>8.1</v>
      </c>
    </row>
    <row r="19649" spans="1:11">
      <c r="A19649" s="688" t="s">
        <v>13</v>
      </c>
      <c r="B19649" s="693">
        <v>10</v>
      </c>
      <c r="C19649" s="689">
        <v>7.8</v>
      </c>
      <c r="D19649" s="689">
        <v>8.1</v>
      </c>
      <c r="E19649" s="693">
        <v>9</v>
      </c>
      <c r="F19649" s="689">
        <v>9.1</v>
      </c>
      <c r="G19649" s="689">
        <v>8.5</v>
      </c>
      <c r="H19649" s="689">
        <v>8.6</v>
      </c>
      <c r="I19649" s="689">
        <v>8.1999999999999993</v>
      </c>
      <c r="J19649" s="689">
        <v>8.4</v>
      </c>
      <c r="K19649" s="689">
        <v>8.4</v>
      </c>
    </row>
    <row r="19650" spans="1:11">
      <c r="A19650" s="688" t="s">
        <v>18</v>
      </c>
      <c r="B19650" s="691">
        <v>8.6</v>
      </c>
      <c r="C19650" s="691">
        <v>8.6</v>
      </c>
      <c r="D19650" s="691">
        <v>8.6</v>
      </c>
      <c r="E19650" s="691">
        <v>8.6999999999999993</v>
      </c>
      <c r="F19650" s="691">
        <v>8.6999999999999993</v>
      </c>
      <c r="G19650" s="691">
        <v>8.6999999999999993</v>
      </c>
      <c r="H19650" s="691">
        <v>8.8000000000000007</v>
      </c>
      <c r="I19650" s="691">
        <v>8.9</v>
      </c>
      <c r="J19650" s="691">
        <v>8.8000000000000007</v>
      </c>
      <c r="K19650" s="691">
        <v>8.5</v>
      </c>
    </row>
    <row r="19651" spans="1:11">
      <c r="A19651" s="688" t="s">
        <v>24</v>
      </c>
      <c r="B19651" s="693">
        <v>9</v>
      </c>
      <c r="C19651" s="689">
        <v>8.9</v>
      </c>
      <c r="D19651" s="689">
        <v>8.6999999999999993</v>
      </c>
      <c r="E19651" s="693">
        <v>9</v>
      </c>
      <c r="F19651" s="689">
        <v>8.9</v>
      </c>
      <c r="G19651" s="689">
        <v>9.1</v>
      </c>
      <c r="H19651" s="689">
        <v>9.1</v>
      </c>
      <c r="I19651" s="689">
        <v>8.6</v>
      </c>
      <c r="J19651" s="689">
        <v>9.1999999999999993</v>
      </c>
      <c r="K19651" s="693">
        <v>9</v>
      </c>
    </row>
    <row r="19652" spans="1:11">
      <c r="A19652" s="688" t="s">
        <v>4059</v>
      </c>
      <c r="B19652" s="691">
        <v>8.5</v>
      </c>
      <c r="C19652" s="691">
        <v>8.8000000000000007</v>
      </c>
      <c r="D19652" s="691">
        <v>8.3000000000000007</v>
      </c>
      <c r="E19652" s="691">
        <v>8.6999999999999993</v>
      </c>
      <c r="F19652" s="691">
        <v>8.6</v>
      </c>
      <c r="G19652" s="691">
        <v>8.6</v>
      </c>
      <c r="H19652" s="692" t="s">
        <v>4060</v>
      </c>
      <c r="I19652" s="692" t="s">
        <v>4060</v>
      </c>
      <c r="J19652" s="692" t="s">
        <v>4060</v>
      </c>
      <c r="K19652" s="692" t="s">
        <v>4060</v>
      </c>
    </row>
    <row r="19653" spans="1:11">
      <c r="A19653" s="688" t="s">
        <v>2324</v>
      </c>
      <c r="B19653" s="689">
        <v>6.5</v>
      </c>
      <c r="C19653" s="689">
        <v>6.3</v>
      </c>
      <c r="D19653" s="689">
        <v>5.8</v>
      </c>
      <c r="E19653" s="689">
        <v>6.3</v>
      </c>
      <c r="F19653" s="689">
        <v>6.6</v>
      </c>
      <c r="G19653" s="689">
        <v>6.4</v>
      </c>
      <c r="H19653" s="689">
        <v>6.3</v>
      </c>
      <c r="I19653" s="689">
        <v>6.2</v>
      </c>
      <c r="J19653" s="689">
        <v>5.0999999999999996</v>
      </c>
      <c r="K19653" s="690" t="s">
        <v>4060</v>
      </c>
    </row>
    <row r="19654" spans="1:11">
      <c r="A19654" s="688" t="s">
        <v>2322</v>
      </c>
      <c r="B19654" s="692" t="s">
        <v>4060</v>
      </c>
      <c r="C19654" s="692" t="s">
        <v>4060</v>
      </c>
      <c r="D19654" s="692" t="s">
        <v>4060</v>
      </c>
      <c r="E19654" s="692" t="s">
        <v>4060</v>
      </c>
      <c r="F19654" s="692" t="s">
        <v>4060</v>
      </c>
      <c r="G19654" s="692" t="s">
        <v>4060</v>
      </c>
      <c r="H19654" s="692" t="s">
        <v>4060</v>
      </c>
      <c r="I19654" s="692" t="s">
        <v>4060</v>
      </c>
      <c r="J19654" s="692" t="s">
        <v>4060</v>
      </c>
      <c r="K19654" s="692" t="s">
        <v>4060</v>
      </c>
    </row>
    <row r="19655" spans="1:11">
      <c r="A19655" s="688" t="s">
        <v>2328</v>
      </c>
      <c r="B19655" s="689">
        <v>5.7</v>
      </c>
      <c r="C19655" s="689">
        <v>5.5</v>
      </c>
      <c r="D19655" s="689">
        <v>5.3</v>
      </c>
      <c r="E19655" s="689">
        <v>5.7</v>
      </c>
      <c r="F19655" s="689">
        <v>5.8</v>
      </c>
      <c r="G19655" s="693">
        <v>6</v>
      </c>
      <c r="H19655" s="689">
        <v>5.8</v>
      </c>
      <c r="I19655" s="689">
        <v>5.4</v>
      </c>
      <c r="J19655" s="689">
        <v>5.0999999999999996</v>
      </c>
      <c r="K19655" s="690" t="s">
        <v>4060</v>
      </c>
    </row>
    <row r="19656" spans="1:11">
      <c r="A19656" s="688" t="s">
        <v>2496</v>
      </c>
      <c r="B19656" s="692" t="s">
        <v>4060</v>
      </c>
      <c r="C19656" s="691">
        <v>7.6</v>
      </c>
      <c r="D19656" s="691">
        <v>6.4</v>
      </c>
      <c r="E19656" s="691">
        <v>5.6</v>
      </c>
      <c r="F19656" s="691">
        <v>5.6</v>
      </c>
      <c r="G19656" s="691">
        <v>5.7</v>
      </c>
      <c r="H19656" s="691">
        <v>5.7</v>
      </c>
      <c r="I19656" s="692" t="s">
        <v>4060</v>
      </c>
      <c r="J19656" s="692" t="s">
        <v>4060</v>
      </c>
      <c r="K19656" s="691">
        <v>5.4</v>
      </c>
    </row>
    <row r="19657" spans="1:11">
      <c r="A19657" s="688" t="s">
        <v>2269</v>
      </c>
      <c r="B19657" s="689">
        <v>6.2</v>
      </c>
      <c r="C19657" s="693">
        <v>6</v>
      </c>
      <c r="D19657" s="689">
        <v>5.4</v>
      </c>
      <c r="E19657" s="689">
        <v>5.6</v>
      </c>
      <c r="F19657" s="689">
        <v>5.3</v>
      </c>
      <c r="G19657" s="689">
        <v>5.5</v>
      </c>
      <c r="H19657" s="689">
        <v>5.6</v>
      </c>
      <c r="I19657" s="689">
        <v>5.0999999999999996</v>
      </c>
      <c r="J19657" s="689">
        <v>2.6</v>
      </c>
      <c r="K19657" s="689">
        <v>5.4</v>
      </c>
    </row>
    <row r="19658" spans="1:11">
      <c r="A19658" s="688" t="s">
        <v>2349</v>
      </c>
      <c r="B19658" s="691">
        <v>6.1</v>
      </c>
      <c r="C19658" s="691">
        <v>6.1</v>
      </c>
      <c r="D19658" s="691">
        <v>5.9</v>
      </c>
      <c r="E19658" s="691">
        <v>6.2</v>
      </c>
      <c r="F19658" s="615">
        <v>6</v>
      </c>
      <c r="G19658" s="691">
        <v>6.3</v>
      </c>
      <c r="H19658" s="691">
        <v>6.5</v>
      </c>
      <c r="I19658" s="615">
        <v>6</v>
      </c>
      <c r="J19658" s="691">
        <v>5.3</v>
      </c>
      <c r="K19658" s="691">
        <v>5.8</v>
      </c>
    </row>
    <row r="19659" spans="1:11">
      <c r="A19659" s="688" t="s">
        <v>2355</v>
      </c>
      <c r="B19659" s="689">
        <v>8.5</v>
      </c>
      <c r="C19659" s="689">
        <v>8.1</v>
      </c>
      <c r="D19659" s="689">
        <v>8.1</v>
      </c>
      <c r="E19659" s="693">
        <v>8</v>
      </c>
      <c r="F19659" s="693">
        <v>8</v>
      </c>
      <c r="G19659" s="689">
        <v>8.1999999999999993</v>
      </c>
      <c r="H19659" s="689">
        <v>8.1999999999999993</v>
      </c>
      <c r="I19659" s="690" t="s">
        <v>4060</v>
      </c>
      <c r="J19659" s="690" t="s">
        <v>4060</v>
      </c>
      <c r="K19659" s="690" t="s">
        <v>4060</v>
      </c>
    </row>
    <row r="19660" spans="1:11">
      <c r="A19660" s="688" t="s">
        <v>2357</v>
      </c>
      <c r="B19660" s="692" t="s">
        <v>4060</v>
      </c>
      <c r="C19660" s="691">
        <v>6.6</v>
      </c>
      <c r="D19660" s="691">
        <v>6.8</v>
      </c>
      <c r="E19660" s="691">
        <v>7.1</v>
      </c>
      <c r="F19660" s="691">
        <v>7.1</v>
      </c>
      <c r="G19660" s="691">
        <v>6.8</v>
      </c>
      <c r="H19660" s="691">
        <v>6.8</v>
      </c>
      <c r="I19660" s="692" t="s">
        <v>4060</v>
      </c>
      <c r="J19660" s="692" t="s">
        <v>4060</v>
      </c>
      <c r="K19660" s="692" t="s">
        <v>4060</v>
      </c>
    </row>
    <row r="19661" spans="1:11">
      <c r="A19661" s="688" t="s">
        <v>4070</v>
      </c>
      <c r="B19661" s="690" t="s">
        <v>4060</v>
      </c>
      <c r="C19661" s="690" t="s">
        <v>4060</v>
      </c>
      <c r="D19661" s="690" t="s">
        <v>4060</v>
      </c>
      <c r="E19661" s="689">
        <v>9.9</v>
      </c>
      <c r="F19661" s="690" t="s">
        <v>4060</v>
      </c>
      <c r="G19661" s="690" t="s">
        <v>4060</v>
      </c>
      <c r="H19661" s="690" t="s">
        <v>4060</v>
      </c>
      <c r="I19661" s="690" t="s">
        <v>4060</v>
      </c>
      <c r="J19661" s="690" t="s">
        <v>4060</v>
      </c>
      <c r="K19661" s="690" t="s">
        <v>4060</v>
      </c>
    </row>
    <row r="19662" spans="1:11">
      <c r="A19662" s="688" t="s">
        <v>2491</v>
      </c>
      <c r="B19662" s="691">
        <v>6.8</v>
      </c>
      <c r="C19662" s="691">
        <v>7.1</v>
      </c>
      <c r="D19662" s="615">
        <v>7</v>
      </c>
      <c r="E19662" s="615">
        <v>7</v>
      </c>
      <c r="F19662" s="615">
        <v>7</v>
      </c>
      <c r="G19662" s="615">
        <v>7</v>
      </c>
      <c r="H19662" s="692" t="s">
        <v>4060</v>
      </c>
      <c r="I19662" s="692" t="s">
        <v>4060</v>
      </c>
      <c r="J19662" s="692" t="s">
        <v>4060</v>
      </c>
      <c r="K19662" s="692" t="s">
        <v>4060</v>
      </c>
    </row>
    <row r="19663" spans="1:11">
      <c r="A19663" s="688" t="s">
        <v>2343</v>
      </c>
      <c r="B19663" s="690" t="s">
        <v>4060</v>
      </c>
      <c r="C19663" s="690" t="s">
        <v>4060</v>
      </c>
      <c r="D19663" s="690" t="s">
        <v>4060</v>
      </c>
      <c r="E19663" s="690" t="s">
        <v>4060</v>
      </c>
      <c r="F19663" s="690" t="s">
        <v>4060</v>
      </c>
      <c r="G19663" s="690" t="s">
        <v>4060</v>
      </c>
      <c r="H19663" s="690" t="s">
        <v>4060</v>
      </c>
      <c r="I19663" s="690" t="s">
        <v>4060</v>
      </c>
      <c r="J19663" s="690" t="s">
        <v>4060</v>
      </c>
      <c r="K19663" s="690" t="s">
        <v>4060</v>
      </c>
    </row>
    <row r="19664" spans="1:11">
      <c r="A19664" s="688" t="s">
        <v>4071</v>
      </c>
      <c r="B19664" s="692" t="s">
        <v>4060</v>
      </c>
      <c r="C19664" s="692" t="s">
        <v>4060</v>
      </c>
      <c r="D19664" s="692" t="s">
        <v>4060</v>
      </c>
      <c r="E19664" s="692" t="s">
        <v>4060</v>
      </c>
      <c r="F19664" s="692" t="s">
        <v>4060</v>
      </c>
      <c r="G19664" s="692" t="s">
        <v>4060</v>
      </c>
      <c r="H19664" s="692" t="s">
        <v>4060</v>
      </c>
      <c r="I19664" s="692" t="s">
        <v>4060</v>
      </c>
      <c r="J19664" s="692" t="s">
        <v>4060</v>
      </c>
      <c r="K19664" s="692" t="s">
        <v>4060</v>
      </c>
    </row>
    <row r="19665" spans="1:11">
      <c r="A19665" s="688" t="s">
        <v>2489</v>
      </c>
      <c r="B19665" s="690" t="s">
        <v>4060</v>
      </c>
      <c r="C19665" s="690" t="s">
        <v>4060</v>
      </c>
      <c r="D19665" s="689">
        <v>6.3</v>
      </c>
      <c r="E19665" s="689">
        <v>6.2</v>
      </c>
      <c r="F19665" s="689">
        <v>6.2</v>
      </c>
      <c r="G19665" s="689">
        <v>6.3</v>
      </c>
      <c r="H19665" s="689">
        <v>6.7</v>
      </c>
      <c r="I19665" s="690" t="s">
        <v>4060</v>
      </c>
      <c r="J19665" s="690" t="s">
        <v>4060</v>
      </c>
      <c r="K19665" s="690" t="s">
        <v>4060</v>
      </c>
    </row>
    <row r="19666" spans="1:11">
      <c r="A19666" s="688" t="s">
        <v>2490</v>
      </c>
      <c r="B19666" s="691">
        <v>6.5</v>
      </c>
      <c r="C19666" s="691">
        <v>6.2</v>
      </c>
      <c r="D19666" s="691">
        <v>6.8</v>
      </c>
      <c r="E19666" s="692" t="s">
        <v>4060</v>
      </c>
      <c r="F19666" s="691">
        <v>6.8</v>
      </c>
      <c r="G19666" s="691">
        <v>6.8</v>
      </c>
      <c r="H19666" s="691">
        <v>7.4</v>
      </c>
      <c r="I19666" s="692" t="s">
        <v>4060</v>
      </c>
      <c r="J19666" s="692" t="s">
        <v>4060</v>
      </c>
      <c r="K19666" s="692" t="s">
        <v>4060</v>
      </c>
    </row>
    <row r="19668" spans="1:11">
      <c r="A19668" s="683" t="s">
        <v>4233</v>
      </c>
    </row>
    <row r="19669" spans="1:11">
      <c r="A19669" s="683" t="s">
        <v>4060</v>
      </c>
      <c r="B19669" s="682" t="s">
        <v>4234</v>
      </c>
    </row>
    <row r="19671" spans="1:11">
      <c r="A19671" s="682" t="s">
        <v>4332</v>
      </c>
    </row>
    <row r="19672" spans="1:11">
      <c r="A19672" s="682" t="s">
        <v>4210</v>
      </c>
      <c r="B19672" s="683" t="s">
        <v>4211</v>
      </c>
    </row>
    <row r="19673" spans="1:11">
      <c r="A19673" s="682" t="s">
        <v>4212</v>
      </c>
      <c r="B19673" s="682" t="s">
        <v>4213</v>
      </c>
    </row>
    <row r="19675" spans="1:11">
      <c r="A19675" s="683" t="s">
        <v>4214</v>
      </c>
      <c r="C19675" s="682" t="s">
        <v>4215</v>
      </c>
    </row>
    <row r="19676" spans="1:11">
      <c r="A19676" s="683" t="s">
        <v>4216</v>
      </c>
      <c r="C19676" s="682" t="s">
        <v>2967</v>
      </c>
    </row>
    <row r="19677" spans="1:11">
      <c r="A19677" s="683" t="s">
        <v>3893</v>
      </c>
      <c r="C19677" s="682" t="s">
        <v>2169</v>
      </c>
    </row>
    <row r="19678" spans="1:11">
      <c r="A19678" s="683" t="s">
        <v>4218</v>
      </c>
      <c r="C19678" s="682" t="s">
        <v>4317</v>
      </c>
    </row>
    <row r="19680" spans="1:11">
      <c r="A19680" s="684" t="s">
        <v>4220</v>
      </c>
      <c r="B19680" s="685" t="s">
        <v>4221</v>
      </c>
      <c r="C19680" s="685" t="s">
        <v>4222</v>
      </c>
      <c r="D19680" s="685" t="s">
        <v>4223</v>
      </c>
      <c r="E19680" s="685" t="s">
        <v>4224</v>
      </c>
      <c r="F19680" s="685" t="s">
        <v>4225</v>
      </c>
      <c r="G19680" s="685" t="s">
        <v>4226</v>
      </c>
      <c r="H19680" s="685" t="s">
        <v>4227</v>
      </c>
      <c r="I19680" s="685" t="s">
        <v>4228</v>
      </c>
      <c r="J19680" s="685" t="s">
        <v>4229</v>
      </c>
      <c r="K19680" s="685" t="s">
        <v>4230</v>
      </c>
    </row>
    <row r="19681" spans="1:11">
      <c r="A19681" s="686" t="s">
        <v>4231</v>
      </c>
      <c r="B19681" s="687" t="s">
        <v>4232</v>
      </c>
      <c r="C19681" s="687" t="s">
        <v>4232</v>
      </c>
      <c r="D19681" s="687" t="s">
        <v>4232</v>
      </c>
      <c r="E19681" s="687" t="s">
        <v>4232</v>
      </c>
      <c r="F19681" s="687" t="s">
        <v>4232</v>
      </c>
      <c r="G19681" s="687" t="s">
        <v>4232</v>
      </c>
      <c r="H19681" s="687" t="s">
        <v>4232</v>
      </c>
      <c r="I19681" s="687" t="s">
        <v>4232</v>
      </c>
      <c r="J19681" s="687" t="s">
        <v>4232</v>
      </c>
      <c r="K19681" s="687" t="s">
        <v>4232</v>
      </c>
    </row>
    <row r="19682" spans="1:11">
      <c r="A19682" s="688" t="s">
        <v>4064</v>
      </c>
      <c r="B19682" s="691">
        <v>8.1999999999999993</v>
      </c>
      <c r="C19682" s="691">
        <v>7.9</v>
      </c>
      <c r="D19682" s="615">
        <v>8</v>
      </c>
      <c r="E19682" s="615">
        <v>8</v>
      </c>
      <c r="F19682" s="691">
        <v>7.9</v>
      </c>
      <c r="G19682" s="615">
        <v>8</v>
      </c>
      <c r="H19682" s="691">
        <v>8.1</v>
      </c>
      <c r="I19682" s="691">
        <v>7.7</v>
      </c>
      <c r="J19682" s="691">
        <v>7.8</v>
      </c>
      <c r="K19682" s="691">
        <v>7.7</v>
      </c>
    </row>
    <row r="19683" spans="1:11">
      <c r="A19683" s="688" t="s">
        <v>4065</v>
      </c>
      <c r="B19683" s="689">
        <v>8.1999999999999993</v>
      </c>
      <c r="C19683" s="689">
        <v>8.4</v>
      </c>
      <c r="D19683" s="693">
        <v>8</v>
      </c>
      <c r="E19683" s="689">
        <v>8.4</v>
      </c>
      <c r="F19683" s="689">
        <v>8.1999999999999993</v>
      </c>
      <c r="G19683" s="689">
        <v>8.1999999999999993</v>
      </c>
      <c r="H19683" s="690" t="s">
        <v>4060</v>
      </c>
      <c r="I19683" s="690" t="s">
        <v>4060</v>
      </c>
      <c r="J19683" s="690" t="s">
        <v>4060</v>
      </c>
      <c r="K19683" s="690" t="s">
        <v>4060</v>
      </c>
    </row>
    <row r="19684" spans="1:11">
      <c r="A19684" s="688" t="s">
        <v>4063</v>
      </c>
      <c r="B19684" s="691">
        <v>8.1999999999999993</v>
      </c>
      <c r="C19684" s="691">
        <v>8.5</v>
      </c>
      <c r="D19684" s="615">
        <v>8</v>
      </c>
      <c r="E19684" s="691">
        <v>8.4</v>
      </c>
      <c r="F19684" s="691">
        <v>8.1999999999999993</v>
      </c>
      <c r="G19684" s="691">
        <v>8.1999999999999993</v>
      </c>
      <c r="H19684" s="692" t="s">
        <v>4060</v>
      </c>
      <c r="I19684" s="692" t="s">
        <v>4060</v>
      </c>
      <c r="J19684" s="692" t="s">
        <v>4060</v>
      </c>
      <c r="K19684" s="692" t="s">
        <v>4060</v>
      </c>
    </row>
    <row r="19685" spans="1:11">
      <c r="A19685" s="688" t="s">
        <v>4069</v>
      </c>
      <c r="B19685" s="690" t="s">
        <v>4060</v>
      </c>
      <c r="C19685" s="689">
        <v>8.1</v>
      </c>
      <c r="D19685" s="689">
        <v>7.9</v>
      </c>
      <c r="E19685" s="689">
        <v>8.1999999999999993</v>
      </c>
      <c r="F19685" s="689">
        <v>8.1</v>
      </c>
      <c r="G19685" s="689">
        <v>8.1999999999999993</v>
      </c>
      <c r="H19685" s="689">
        <v>8.3000000000000007</v>
      </c>
      <c r="I19685" s="689">
        <v>7.9</v>
      </c>
      <c r="J19685" s="689">
        <v>8.1</v>
      </c>
      <c r="K19685" s="693">
        <v>8</v>
      </c>
    </row>
    <row r="19686" spans="1:11">
      <c r="A19686" s="688" t="s">
        <v>4068</v>
      </c>
      <c r="B19686" s="691">
        <v>8.5</v>
      </c>
      <c r="C19686" s="692" t="s">
        <v>4060</v>
      </c>
      <c r="D19686" s="692" t="s">
        <v>4060</v>
      </c>
      <c r="E19686" s="692" t="s">
        <v>4060</v>
      </c>
      <c r="F19686" s="692" t="s">
        <v>4060</v>
      </c>
      <c r="G19686" s="692" t="s">
        <v>4060</v>
      </c>
      <c r="H19686" s="692" t="s">
        <v>4060</v>
      </c>
      <c r="I19686" s="692" t="s">
        <v>4060</v>
      </c>
      <c r="J19686" s="692" t="s">
        <v>4060</v>
      </c>
      <c r="K19686" s="692" t="s">
        <v>4060</v>
      </c>
    </row>
    <row r="19687" spans="1:11">
      <c r="A19687" s="688" t="s">
        <v>0</v>
      </c>
      <c r="B19687" s="689">
        <v>8.1</v>
      </c>
      <c r="C19687" s="693">
        <v>8</v>
      </c>
      <c r="D19687" s="689">
        <v>7.7</v>
      </c>
      <c r="E19687" s="693">
        <v>8</v>
      </c>
      <c r="F19687" s="693">
        <v>8</v>
      </c>
      <c r="G19687" s="689">
        <v>8.1</v>
      </c>
      <c r="H19687" s="689">
        <v>8.1999999999999993</v>
      </c>
      <c r="I19687" s="689">
        <v>7.5</v>
      </c>
      <c r="J19687" s="689">
        <v>8.5</v>
      </c>
      <c r="K19687" s="689">
        <v>8.1</v>
      </c>
    </row>
    <row r="19688" spans="1:11">
      <c r="A19688" s="688" t="s">
        <v>1</v>
      </c>
      <c r="B19688" s="691">
        <v>6.1</v>
      </c>
      <c r="C19688" s="691">
        <v>5.7</v>
      </c>
      <c r="D19688" s="691">
        <v>5.6</v>
      </c>
      <c r="E19688" s="691">
        <v>5.8</v>
      </c>
      <c r="F19688" s="691">
        <v>5.7</v>
      </c>
      <c r="G19688" s="691">
        <v>5.9</v>
      </c>
      <c r="H19688" s="691">
        <v>5.9</v>
      </c>
      <c r="I19688" s="691">
        <v>5.6</v>
      </c>
      <c r="J19688" s="691">
        <v>5.2</v>
      </c>
      <c r="K19688" s="691">
        <v>5.8</v>
      </c>
    </row>
    <row r="19689" spans="1:11">
      <c r="A19689" s="688" t="s">
        <v>2240</v>
      </c>
      <c r="B19689" s="689">
        <v>6.9</v>
      </c>
      <c r="C19689" s="689">
        <v>6.8</v>
      </c>
      <c r="D19689" s="689">
        <v>6.6</v>
      </c>
      <c r="E19689" s="693">
        <v>7</v>
      </c>
      <c r="F19689" s="689">
        <v>6.9</v>
      </c>
      <c r="G19689" s="689">
        <v>6.9</v>
      </c>
      <c r="H19689" s="689">
        <v>7.1</v>
      </c>
      <c r="I19689" s="689">
        <v>6.5</v>
      </c>
      <c r="J19689" s="689">
        <v>6.6</v>
      </c>
      <c r="K19689" s="689">
        <v>6.9</v>
      </c>
    </row>
    <row r="19690" spans="1:11">
      <c r="A19690" s="688" t="s">
        <v>2</v>
      </c>
      <c r="B19690" s="691">
        <v>7.8</v>
      </c>
      <c r="C19690" s="691">
        <v>7.9</v>
      </c>
      <c r="D19690" s="691">
        <v>7.8</v>
      </c>
      <c r="E19690" s="691">
        <v>7.8</v>
      </c>
      <c r="F19690" s="691">
        <v>7.8</v>
      </c>
      <c r="G19690" s="691">
        <v>7.7</v>
      </c>
      <c r="H19690" s="691">
        <v>7.9</v>
      </c>
      <c r="I19690" s="615">
        <v>8</v>
      </c>
      <c r="J19690" s="691">
        <v>7.8</v>
      </c>
      <c r="K19690" s="691">
        <v>7.7</v>
      </c>
    </row>
    <row r="19691" spans="1:11">
      <c r="A19691" s="688" t="s">
        <v>3</v>
      </c>
      <c r="B19691" s="689">
        <v>7.6</v>
      </c>
      <c r="C19691" s="689">
        <v>7.7</v>
      </c>
      <c r="D19691" s="689">
        <v>7.4</v>
      </c>
      <c r="E19691" s="689">
        <v>7.7</v>
      </c>
      <c r="F19691" s="689">
        <v>7.6</v>
      </c>
      <c r="G19691" s="689">
        <v>7.6</v>
      </c>
      <c r="H19691" s="689">
        <v>7.8</v>
      </c>
      <c r="I19691" s="689">
        <v>7.7</v>
      </c>
      <c r="J19691" s="689">
        <v>7.7</v>
      </c>
      <c r="K19691" s="689">
        <v>7.5</v>
      </c>
    </row>
    <row r="19692" spans="1:11">
      <c r="A19692" s="688" t="s">
        <v>4061</v>
      </c>
      <c r="B19692" s="691">
        <v>7.6</v>
      </c>
      <c r="C19692" s="691">
        <v>7.7</v>
      </c>
      <c r="D19692" s="691">
        <v>7.4</v>
      </c>
      <c r="E19692" s="691">
        <v>7.7</v>
      </c>
      <c r="F19692" s="691">
        <v>7.6</v>
      </c>
      <c r="G19692" s="691">
        <v>7.6</v>
      </c>
      <c r="H19692" s="691">
        <v>7.8</v>
      </c>
      <c r="I19692" s="691">
        <v>7.7</v>
      </c>
      <c r="J19692" s="691">
        <v>7.7</v>
      </c>
      <c r="K19692" s="691">
        <v>7.5</v>
      </c>
    </row>
    <row r="19693" spans="1:11">
      <c r="A19693" s="688" t="s">
        <v>4</v>
      </c>
      <c r="B19693" s="689">
        <v>7.7</v>
      </c>
      <c r="C19693" s="689">
        <v>7.2</v>
      </c>
      <c r="D19693" s="689">
        <v>7.3</v>
      </c>
      <c r="E19693" s="689">
        <v>7.4</v>
      </c>
      <c r="F19693" s="689">
        <v>7.4</v>
      </c>
      <c r="G19693" s="689">
        <v>7.6</v>
      </c>
      <c r="H19693" s="689">
        <v>7.7</v>
      </c>
      <c r="I19693" s="689">
        <v>7.7</v>
      </c>
      <c r="J19693" s="689">
        <v>7.1</v>
      </c>
      <c r="K19693" s="689">
        <v>7.3</v>
      </c>
    </row>
    <row r="19694" spans="1:11">
      <c r="A19694" s="688" t="s">
        <v>8</v>
      </c>
      <c r="B19694" s="691">
        <v>7.7</v>
      </c>
      <c r="C19694" s="691">
        <v>7.7</v>
      </c>
      <c r="D19694" s="691">
        <v>7.5</v>
      </c>
      <c r="E19694" s="691">
        <v>7.6</v>
      </c>
      <c r="F19694" s="691">
        <v>7.8</v>
      </c>
      <c r="G19694" s="615">
        <v>8</v>
      </c>
      <c r="H19694" s="691">
        <v>8.1</v>
      </c>
      <c r="I19694" s="691">
        <v>7.9</v>
      </c>
      <c r="J19694" s="691">
        <v>7.9</v>
      </c>
      <c r="K19694" s="691">
        <v>7.9</v>
      </c>
    </row>
    <row r="19695" spans="1:11">
      <c r="A19695" s="688" t="s">
        <v>7</v>
      </c>
      <c r="B19695" s="689">
        <v>7.9</v>
      </c>
      <c r="C19695" s="689">
        <v>7.3</v>
      </c>
      <c r="D19695" s="689">
        <v>7.1</v>
      </c>
      <c r="E19695" s="689">
        <v>7.5</v>
      </c>
      <c r="F19695" s="689">
        <v>7.4</v>
      </c>
      <c r="G19695" s="689">
        <v>7.8</v>
      </c>
      <c r="H19695" s="689">
        <v>7.6</v>
      </c>
      <c r="I19695" s="689">
        <v>7.6</v>
      </c>
      <c r="J19695" s="689">
        <v>7.3</v>
      </c>
      <c r="K19695" s="689">
        <v>7.2</v>
      </c>
    </row>
    <row r="19696" spans="1:11">
      <c r="A19696" s="688" t="s">
        <v>27</v>
      </c>
      <c r="B19696" s="691">
        <v>9.3000000000000007</v>
      </c>
      <c r="C19696" s="691">
        <v>8.6</v>
      </c>
      <c r="D19696" s="691">
        <v>8.1999999999999993</v>
      </c>
      <c r="E19696" s="691">
        <v>8.6</v>
      </c>
      <c r="F19696" s="691">
        <v>8.5</v>
      </c>
      <c r="G19696" s="691">
        <v>8.6</v>
      </c>
      <c r="H19696" s="691">
        <v>8.9</v>
      </c>
      <c r="I19696" s="691">
        <v>8.1</v>
      </c>
      <c r="J19696" s="691">
        <v>8.8000000000000007</v>
      </c>
      <c r="K19696" s="691">
        <v>8.6</v>
      </c>
    </row>
    <row r="19697" spans="1:11">
      <c r="A19697" s="688" t="s">
        <v>6</v>
      </c>
      <c r="B19697" s="689">
        <v>9.6</v>
      </c>
      <c r="C19697" s="693">
        <v>9</v>
      </c>
      <c r="D19697" s="689">
        <v>8.8000000000000007</v>
      </c>
      <c r="E19697" s="693">
        <v>9</v>
      </c>
      <c r="F19697" s="693">
        <v>9</v>
      </c>
      <c r="G19697" s="689">
        <v>9.1</v>
      </c>
      <c r="H19697" s="689">
        <v>9.1999999999999993</v>
      </c>
      <c r="I19697" s="689">
        <v>8.8000000000000007</v>
      </c>
      <c r="J19697" s="689">
        <v>9.1</v>
      </c>
      <c r="K19697" s="689">
        <v>8.9</v>
      </c>
    </row>
    <row r="19698" spans="1:11">
      <c r="A19698" s="688" t="s">
        <v>4058</v>
      </c>
      <c r="B19698" s="692" t="s">
        <v>4060</v>
      </c>
      <c r="C19698" s="692" t="s">
        <v>4060</v>
      </c>
      <c r="D19698" s="692" t="s">
        <v>4060</v>
      </c>
      <c r="E19698" s="692" t="s">
        <v>4060</v>
      </c>
      <c r="F19698" s="692" t="s">
        <v>4060</v>
      </c>
      <c r="G19698" s="692" t="s">
        <v>4060</v>
      </c>
      <c r="H19698" s="692" t="s">
        <v>4060</v>
      </c>
      <c r="I19698" s="692" t="s">
        <v>4060</v>
      </c>
      <c r="J19698" s="692" t="s">
        <v>4060</v>
      </c>
      <c r="K19698" s="692" t="s">
        <v>4060</v>
      </c>
    </row>
    <row r="19699" spans="1:11">
      <c r="A19699" s="688" t="s">
        <v>11</v>
      </c>
      <c r="B19699" s="689">
        <v>6.6</v>
      </c>
      <c r="C19699" s="689">
        <v>6.3</v>
      </c>
      <c r="D19699" s="693">
        <v>6</v>
      </c>
      <c r="E19699" s="689">
        <v>6.3</v>
      </c>
      <c r="F19699" s="689">
        <v>6.2</v>
      </c>
      <c r="G19699" s="689">
        <v>6.3</v>
      </c>
      <c r="H19699" s="689">
        <v>6.4</v>
      </c>
      <c r="I19699" s="689">
        <v>6.1</v>
      </c>
      <c r="J19699" s="689">
        <v>5.8</v>
      </c>
      <c r="K19699" s="689">
        <v>5.9</v>
      </c>
    </row>
    <row r="19700" spans="1:11">
      <c r="A19700" s="688" t="s">
        <v>10</v>
      </c>
      <c r="B19700" s="691">
        <v>8.8000000000000007</v>
      </c>
      <c r="C19700" s="691">
        <v>8.3000000000000007</v>
      </c>
      <c r="D19700" s="691">
        <v>7.9</v>
      </c>
      <c r="E19700" s="691">
        <v>8.3000000000000007</v>
      </c>
      <c r="F19700" s="691">
        <v>8.1</v>
      </c>
      <c r="G19700" s="691">
        <v>8.4</v>
      </c>
      <c r="H19700" s="691">
        <v>8.4</v>
      </c>
      <c r="I19700" s="691">
        <v>7.8</v>
      </c>
      <c r="J19700" s="691">
        <v>8.1</v>
      </c>
      <c r="K19700" s="615">
        <v>8</v>
      </c>
    </row>
    <row r="19701" spans="1:11">
      <c r="A19701" s="688" t="s">
        <v>30</v>
      </c>
      <c r="B19701" s="689">
        <v>7.8</v>
      </c>
      <c r="C19701" s="689">
        <v>7.1</v>
      </c>
      <c r="D19701" s="689">
        <v>6.7</v>
      </c>
      <c r="E19701" s="689">
        <v>7.4</v>
      </c>
      <c r="F19701" s="689">
        <v>6.9</v>
      </c>
      <c r="G19701" s="689">
        <v>7.4</v>
      </c>
      <c r="H19701" s="689">
        <v>7.2</v>
      </c>
      <c r="I19701" s="689">
        <v>7.2</v>
      </c>
      <c r="J19701" s="689">
        <v>7.2</v>
      </c>
      <c r="K19701" s="693">
        <v>7</v>
      </c>
    </row>
    <row r="19702" spans="1:11">
      <c r="A19702" s="688" t="s">
        <v>12</v>
      </c>
      <c r="B19702" s="615">
        <v>7</v>
      </c>
      <c r="C19702" s="691">
        <v>6.6</v>
      </c>
      <c r="D19702" s="691">
        <v>6.6</v>
      </c>
      <c r="E19702" s="691">
        <v>6.7</v>
      </c>
      <c r="F19702" s="691">
        <v>6.7</v>
      </c>
      <c r="G19702" s="691">
        <v>6.8</v>
      </c>
      <c r="H19702" s="691">
        <v>6.9</v>
      </c>
      <c r="I19702" s="691">
        <v>6.8</v>
      </c>
      <c r="J19702" s="691">
        <v>6.1</v>
      </c>
      <c r="K19702" s="691">
        <v>6.5</v>
      </c>
    </row>
    <row r="19703" spans="1:11">
      <c r="A19703" s="688" t="s">
        <v>14</v>
      </c>
      <c r="B19703" s="693">
        <v>7</v>
      </c>
      <c r="C19703" s="689">
        <v>6.5</v>
      </c>
      <c r="D19703" s="689">
        <v>6.3</v>
      </c>
      <c r="E19703" s="689">
        <v>6.5</v>
      </c>
      <c r="F19703" s="689">
        <v>6.5</v>
      </c>
      <c r="G19703" s="689">
        <v>6.7</v>
      </c>
      <c r="H19703" s="689">
        <v>6.9</v>
      </c>
      <c r="I19703" s="689">
        <v>6.5</v>
      </c>
      <c r="J19703" s="689">
        <v>6.2</v>
      </c>
      <c r="K19703" s="689">
        <v>6.5</v>
      </c>
    </row>
    <row r="19704" spans="1:11">
      <c r="A19704" s="688" t="s">
        <v>15</v>
      </c>
      <c r="B19704" s="691">
        <v>8.5</v>
      </c>
      <c r="C19704" s="691">
        <v>8.5</v>
      </c>
      <c r="D19704" s="615">
        <v>8</v>
      </c>
      <c r="E19704" s="691">
        <v>8.1999999999999993</v>
      </c>
      <c r="F19704" s="691">
        <v>8.1</v>
      </c>
      <c r="G19704" s="691">
        <v>8.1</v>
      </c>
      <c r="H19704" s="691">
        <v>8.3000000000000007</v>
      </c>
      <c r="I19704" s="691">
        <v>8.1999999999999993</v>
      </c>
      <c r="J19704" s="691">
        <v>8.1999999999999993</v>
      </c>
      <c r="K19704" s="691">
        <v>8.3000000000000007</v>
      </c>
    </row>
    <row r="19705" spans="1:11">
      <c r="A19705" s="688" t="s">
        <v>29</v>
      </c>
      <c r="B19705" s="689">
        <v>6.7</v>
      </c>
      <c r="C19705" s="689">
        <v>6.5</v>
      </c>
      <c r="D19705" s="689">
        <v>6.3</v>
      </c>
      <c r="E19705" s="689">
        <v>6.6</v>
      </c>
      <c r="F19705" s="689">
        <v>6.4</v>
      </c>
      <c r="G19705" s="689">
        <v>6.4</v>
      </c>
      <c r="H19705" s="689">
        <v>6.5</v>
      </c>
      <c r="I19705" s="689">
        <v>6.2</v>
      </c>
      <c r="J19705" s="689">
        <v>6.1</v>
      </c>
      <c r="K19705" s="689">
        <v>6.4</v>
      </c>
    </row>
    <row r="19706" spans="1:11">
      <c r="A19706" s="688" t="s">
        <v>16</v>
      </c>
      <c r="B19706" s="615">
        <v>8</v>
      </c>
      <c r="C19706" s="691">
        <v>7.8</v>
      </c>
      <c r="D19706" s="691">
        <v>7.5</v>
      </c>
      <c r="E19706" s="691">
        <v>7.9</v>
      </c>
      <c r="F19706" s="691">
        <v>7.8</v>
      </c>
      <c r="G19706" s="615">
        <v>8</v>
      </c>
      <c r="H19706" s="615">
        <v>8</v>
      </c>
      <c r="I19706" s="691">
        <v>7.7</v>
      </c>
      <c r="J19706" s="691">
        <v>7.7</v>
      </c>
      <c r="K19706" s="691">
        <v>7.8</v>
      </c>
    </row>
    <row r="19707" spans="1:11">
      <c r="A19707" s="688" t="s">
        <v>17</v>
      </c>
      <c r="B19707" s="689">
        <v>7.9</v>
      </c>
      <c r="C19707" s="689">
        <v>7.8</v>
      </c>
      <c r="D19707" s="689">
        <v>7.6</v>
      </c>
      <c r="E19707" s="689">
        <v>7.6</v>
      </c>
      <c r="F19707" s="689">
        <v>7.6</v>
      </c>
      <c r="G19707" s="689">
        <v>7.6</v>
      </c>
      <c r="H19707" s="689">
        <v>7.8</v>
      </c>
      <c r="I19707" s="689">
        <v>7.4</v>
      </c>
      <c r="J19707" s="689">
        <v>7.6</v>
      </c>
      <c r="K19707" s="689">
        <v>7.5</v>
      </c>
    </row>
    <row r="19708" spans="1:11">
      <c r="A19708" s="688" t="s">
        <v>19</v>
      </c>
      <c r="B19708" s="615">
        <v>8</v>
      </c>
      <c r="C19708" s="691">
        <v>7.8</v>
      </c>
      <c r="D19708" s="691">
        <v>7.6</v>
      </c>
      <c r="E19708" s="691">
        <v>7.9</v>
      </c>
      <c r="F19708" s="691">
        <v>7.7</v>
      </c>
      <c r="G19708" s="691">
        <v>7.8</v>
      </c>
      <c r="H19708" s="691">
        <v>7.9</v>
      </c>
      <c r="I19708" s="691">
        <v>7.6</v>
      </c>
      <c r="J19708" s="691">
        <v>7.7</v>
      </c>
      <c r="K19708" s="691">
        <v>7.6</v>
      </c>
    </row>
    <row r="19709" spans="1:11">
      <c r="A19709" s="688" t="s">
        <v>20</v>
      </c>
      <c r="B19709" s="689">
        <v>7.7</v>
      </c>
      <c r="C19709" s="689">
        <v>7.4</v>
      </c>
      <c r="D19709" s="689">
        <v>7.2</v>
      </c>
      <c r="E19709" s="689">
        <v>7.6</v>
      </c>
      <c r="F19709" s="689">
        <v>7.4</v>
      </c>
      <c r="G19709" s="689">
        <v>7.4</v>
      </c>
      <c r="H19709" s="689">
        <v>7.6</v>
      </c>
      <c r="I19709" s="693">
        <v>7</v>
      </c>
      <c r="J19709" s="689">
        <v>6.7</v>
      </c>
      <c r="K19709" s="689">
        <v>7.1</v>
      </c>
    </row>
    <row r="19710" spans="1:11">
      <c r="A19710" s="688" t="s">
        <v>21</v>
      </c>
      <c r="B19710" s="691">
        <v>7.9</v>
      </c>
      <c r="C19710" s="691">
        <v>8.1</v>
      </c>
      <c r="D19710" s="691">
        <v>7.9</v>
      </c>
      <c r="E19710" s="615">
        <v>8</v>
      </c>
      <c r="F19710" s="691">
        <v>8.1</v>
      </c>
      <c r="G19710" s="691">
        <v>8.1</v>
      </c>
      <c r="H19710" s="691">
        <v>8.1999999999999993</v>
      </c>
      <c r="I19710" s="691">
        <v>7.8</v>
      </c>
      <c r="J19710" s="691">
        <v>7.9</v>
      </c>
      <c r="K19710" s="691">
        <v>7.9</v>
      </c>
    </row>
    <row r="19711" spans="1:11">
      <c r="A19711" s="688" t="s">
        <v>22</v>
      </c>
      <c r="B19711" s="689">
        <v>6.6</v>
      </c>
      <c r="C19711" s="689">
        <v>6.3</v>
      </c>
      <c r="D19711" s="689">
        <v>6.2</v>
      </c>
      <c r="E19711" s="689">
        <v>6.6</v>
      </c>
      <c r="F19711" s="689">
        <v>6.5</v>
      </c>
      <c r="G19711" s="689">
        <v>6.6</v>
      </c>
      <c r="H19711" s="689">
        <v>6.8</v>
      </c>
      <c r="I19711" s="689">
        <v>6.5</v>
      </c>
      <c r="J19711" s="689">
        <v>5.7</v>
      </c>
      <c r="K19711" s="689">
        <v>6.1</v>
      </c>
    </row>
    <row r="19712" spans="1:11">
      <c r="A19712" s="688" t="s">
        <v>26</v>
      </c>
      <c r="B19712" s="691">
        <v>8.1</v>
      </c>
      <c r="C19712" s="691">
        <v>7.6</v>
      </c>
      <c r="D19712" s="691">
        <v>7.5</v>
      </c>
      <c r="E19712" s="691">
        <v>7.6</v>
      </c>
      <c r="F19712" s="691">
        <v>7.7</v>
      </c>
      <c r="G19712" s="691">
        <v>7.8</v>
      </c>
      <c r="H19712" s="691">
        <v>7.8</v>
      </c>
      <c r="I19712" s="691">
        <v>7.1</v>
      </c>
      <c r="J19712" s="691">
        <v>7.6</v>
      </c>
      <c r="K19712" s="691">
        <v>7.6</v>
      </c>
    </row>
    <row r="19713" spans="1:11">
      <c r="A19713" s="688" t="s">
        <v>25</v>
      </c>
      <c r="B19713" s="689">
        <v>6.7</v>
      </c>
      <c r="C19713" s="689">
        <v>6.7</v>
      </c>
      <c r="D19713" s="689">
        <v>6.5</v>
      </c>
      <c r="E19713" s="689">
        <v>6.7</v>
      </c>
      <c r="F19713" s="689">
        <v>6.6</v>
      </c>
      <c r="G19713" s="689">
        <v>6.8</v>
      </c>
      <c r="H19713" s="689">
        <v>7.1</v>
      </c>
      <c r="I19713" s="689">
        <v>6.8</v>
      </c>
      <c r="J19713" s="689">
        <v>5.9</v>
      </c>
      <c r="K19713" s="689">
        <v>6.4</v>
      </c>
    </row>
    <row r="19714" spans="1:11">
      <c r="A19714" s="688" t="s">
        <v>5</v>
      </c>
      <c r="B19714" s="691">
        <v>8.3000000000000007</v>
      </c>
      <c r="C19714" s="691">
        <v>7.8</v>
      </c>
      <c r="D19714" s="691">
        <v>7.8</v>
      </c>
      <c r="E19714" s="691">
        <v>7.8</v>
      </c>
      <c r="F19714" s="615">
        <v>8</v>
      </c>
      <c r="G19714" s="615">
        <v>8</v>
      </c>
      <c r="H19714" s="691">
        <v>8.1999999999999993</v>
      </c>
      <c r="I19714" s="691">
        <v>8.1999999999999993</v>
      </c>
      <c r="J19714" s="691">
        <v>8.1</v>
      </c>
      <c r="K19714" s="691">
        <v>7.7</v>
      </c>
    </row>
    <row r="19715" spans="1:11">
      <c r="A19715" s="688" t="s">
        <v>23</v>
      </c>
      <c r="B19715" s="689">
        <v>7.9</v>
      </c>
      <c r="C19715" s="689">
        <v>7.9</v>
      </c>
      <c r="D19715" s="689">
        <v>7.9</v>
      </c>
      <c r="E19715" s="689">
        <v>7.9</v>
      </c>
      <c r="F19715" s="689">
        <v>7.9</v>
      </c>
      <c r="G19715" s="693">
        <v>8</v>
      </c>
      <c r="H19715" s="689">
        <v>8.3000000000000007</v>
      </c>
      <c r="I19715" s="689">
        <v>7.9</v>
      </c>
      <c r="J19715" s="689">
        <v>8.4</v>
      </c>
      <c r="K19715" s="689">
        <v>8.1999999999999993</v>
      </c>
    </row>
    <row r="19716" spans="1:11">
      <c r="A19716" s="688" t="s">
        <v>4067</v>
      </c>
      <c r="B19716" s="691">
        <v>8.1999999999999993</v>
      </c>
      <c r="C19716" s="691">
        <v>8.4</v>
      </c>
      <c r="D19716" s="615">
        <v>8</v>
      </c>
      <c r="E19716" s="691">
        <v>8.3000000000000007</v>
      </c>
      <c r="F19716" s="691">
        <v>8.1999999999999993</v>
      </c>
      <c r="G19716" s="691">
        <v>8.1999999999999993</v>
      </c>
      <c r="H19716" s="692" t="s">
        <v>4060</v>
      </c>
      <c r="I19716" s="692" t="s">
        <v>4060</v>
      </c>
      <c r="J19716" s="692" t="s">
        <v>4060</v>
      </c>
      <c r="K19716" s="692" t="s">
        <v>4060</v>
      </c>
    </row>
    <row r="19717" spans="1:11">
      <c r="A19717" s="688" t="s">
        <v>4066</v>
      </c>
      <c r="B19717" s="689">
        <v>8.1999999999999993</v>
      </c>
      <c r="C19717" s="689">
        <v>8.5</v>
      </c>
      <c r="D19717" s="693">
        <v>8</v>
      </c>
      <c r="E19717" s="689">
        <v>8.4</v>
      </c>
      <c r="F19717" s="689">
        <v>8.1999999999999993</v>
      </c>
      <c r="G19717" s="689">
        <v>8.1999999999999993</v>
      </c>
      <c r="H19717" s="690" t="s">
        <v>4060</v>
      </c>
      <c r="I19717" s="690" t="s">
        <v>4060</v>
      </c>
      <c r="J19717" s="690" t="s">
        <v>4060</v>
      </c>
      <c r="K19717" s="690" t="s">
        <v>4060</v>
      </c>
    </row>
    <row r="19718" spans="1:11">
      <c r="A19718" s="688" t="s">
        <v>4062</v>
      </c>
      <c r="B19718" s="691">
        <v>8.3000000000000007</v>
      </c>
      <c r="C19718" s="691">
        <v>8.1999999999999993</v>
      </c>
      <c r="D19718" s="615">
        <v>8</v>
      </c>
      <c r="E19718" s="691">
        <v>8.3000000000000007</v>
      </c>
      <c r="F19718" s="691">
        <v>8.1999999999999993</v>
      </c>
      <c r="G19718" s="691">
        <v>8.3000000000000007</v>
      </c>
      <c r="H19718" s="691">
        <v>8.4</v>
      </c>
      <c r="I19718" s="691">
        <v>8.1</v>
      </c>
      <c r="J19718" s="691">
        <v>8.4</v>
      </c>
      <c r="K19718" s="691">
        <v>8.1</v>
      </c>
    </row>
    <row r="19719" spans="1:11">
      <c r="A19719" s="688" t="s">
        <v>9</v>
      </c>
      <c r="B19719" s="689">
        <v>8.1</v>
      </c>
      <c r="C19719" s="689">
        <v>8.3000000000000007</v>
      </c>
      <c r="D19719" s="689">
        <v>7.7</v>
      </c>
      <c r="E19719" s="689">
        <v>8.1</v>
      </c>
      <c r="F19719" s="689">
        <v>7.7</v>
      </c>
      <c r="G19719" s="689">
        <v>7.9</v>
      </c>
      <c r="H19719" s="693">
        <v>8</v>
      </c>
      <c r="I19719" s="689">
        <v>7.9</v>
      </c>
      <c r="J19719" s="689">
        <v>8.1</v>
      </c>
      <c r="K19719" s="689">
        <v>7.5</v>
      </c>
    </row>
    <row r="19720" spans="1:11">
      <c r="A19720" s="688" t="s">
        <v>13</v>
      </c>
      <c r="B19720" s="691">
        <v>9.3000000000000007</v>
      </c>
      <c r="C19720" s="691">
        <v>7.2</v>
      </c>
      <c r="D19720" s="691">
        <v>7.3</v>
      </c>
      <c r="E19720" s="691">
        <v>8.5</v>
      </c>
      <c r="F19720" s="691">
        <v>8.4</v>
      </c>
      <c r="G19720" s="691">
        <v>7.8</v>
      </c>
      <c r="H19720" s="615">
        <v>8</v>
      </c>
      <c r="I19720" s="615">
        <v>8</v>
      </c>
      <c r="J19720" s="691">
        <v>7.5</v>
      </c>
      <c r="K19720" s="691">
        <v>7.6</v>
      </c>
    </row>
    <row r="19721" spans="1:11">
      <c r="A19721" s="688" t="s">
        <v>18</v>
      </c>
      <c r="B19721" s="693">
        <v>8</v>
      </c>
      <c r="C19721" s="693">
        <v>8</v>
      </c>
      <c r="D19721" s="693">
        <v>8</v>
      </c>
      <c r="E19721" s="689">
        <v>8.1</v>
      </c>
      <c r="F19721" s="689">
        <v>8.1</v>
      </c>
      <c r="G19721" s="689">
        <v>8.1</v>
      </c>
      <c r="H19721" s="689">
        <v>8.1999999999999993</v>
      </c>
      <c r="I19721" s="689">
        <v>8.3000000000000007</v>
      </c>
      <c r="J19721" s="689">
        <v>8.1</v>
      </c>
      <c r="K19721" s="689">
        <v>7.9</v>
      </c>
    </row>
    <row r="19722" spans="1:11">
      <c r="A19722" s="688" t="s">
        <v>24</v>
      </c>
      <c r="B19722" s="691">
        <v>8.4</v>
      </c>
      <c r="C19722" s="691">
        <v>8.3000000000000007</v>
      </c>
      <c r="D19722" s="615">
        <v>8</v>
      </c>
      <c r="E19722" s="691">
        <v>8.4</v>
      </c>
      <c r="F19722" s="691">
        <v>8.3000000000000007</v>
      </c>
      <c r="G19722" s="691">
        <v>8.4</v>
      </c>
      <c r="H19722" s="691">
        <v>8.5</v>
      </c>
      <c r="I19722" s="615">
        <v>8</v>
      </c>
      <c r="J19722" s="691">
        <v>8.5</v>
      </c>
      <c r="K19722" s="691">
        <v>8.3000000000000007</v>
      </c>
    </row>
    <row r="19723" spans="1:11">
      <c r="A19723" s="688" t="s">
        <v>4059</v>
      </c>
      <c r="B19723" s="693">
        <v>8</v>
      </c>
      <c r="C19723" s="689">
        <v>8.3000000000000007</v>
      </c>
      <c r="D19723" s="689">
        <v>7.8</v>
      </c>
      <c r="E19723" s="689">
        <v>8.1</v>
      </c>
      <c r="F19723" s="693">
        <v>8</v>
      </c>
      <c r="G19723" s="693">
        <v>8</v>
      </c>
      <c r="H19723" s="690" t="s">
        <v>4060</v>
      </c>
      <c r="I19723" s="690" t="s">
        <v>4060</v>
      </c>
      <c r="J19723" s="690" t="s">
        <v>4060</v>
      </c>
      <c r="K19723" s="690" t="s">
        <v>4060</v>
      </c>
    </row>
    <row r="19724" spans="1:11">
      <c r="A19724" s="688" t="s">
        <v>2324</v>
      </c>
      <c r="B19724" s="615">
        <v>6</v>
      </c>
      <c r="C19724" s="615">
        <v>6</v>
      </c>
      <c r="D19724" s="691">
        <v>5.4</v>
      </c>
      <c r="E19724" s="615">
        <v>6</v>
      </c>
      <c r="F19724" s="691">
        <v>6.2</v>
      </c>
      <c r="G19724" s="691">
        <v>6.1</v>
      </c>
      <c r="H19724" s="691">
        <v>5.9</v>
      </c>
      <c r="I19724" s="691">
        <v>5.8</v>
      </c>
      <c r="J19724" s="691">
        <v>4.5999999999999996</v>
      </c>
      <c r="K19724" s="692" t="s">
        <v>4060</v>
      </c>
    </row>
    <row r="19725" spans="1:11">
      <c r="A19725" s="688" t="s">
        <v>2322</v>
      </c>
      <c r="B19725" s="690" t="s">
        <v>4060</v>
      </c>
      <c r="C19725" s="690" t="s">
        <v>4060</v>
      </c>
      <c r="D19725" s="690" t="s">
        <v>4060</v>
      </c>
      <c r="E19725" s="690" t="s">
        <v>4060</v>
      </c>
      <c r="F19725" s="690" t="s">
        <v>4060</v>
      </c>
      <c r="G19725" s="690" t="s">
        <v>4060</v>
      </c>
      <c r="H19725" s="690" t="s">
        <v>4060</v>
      </c>
      <c r="I19725" s="690" t="s">
        <v>4060</v>
      </c>
      <c r="J19725" s="690" t="s">
        <v>4060</v>
      </c>
      <c r="K19725" s="690" t="s">
        <v>4060</v>
      </c>
    </row>
    <row r="19726" spans="1:11">
      <c r="A19726" s="688" t="s">
        <v>2328</v>
      </c>
      <c r="B19726" s="691">
        <v>5.3</v>
      </c>
      <c r="C19726" s="615">
        <v>5</v>
      </c>
      <c r="D19726" s="691">
        <v>4.9000000000000004</v>
      </c>
      <c r="E19726" s="691">
        <v>5.4</v>
      </c>
      <c r="F19726" s="691">
        <v>5.4</v>
      </c>
      <c r="G19726" s="691">
        <v>5.6</v>
      </c>
      <c r="H19726" s="691">
        <v>5.4</v>
      </c>
      <c r="I19726" s="691">
        <v>5.0999999999999996</v>
      </c>
      <c r="J19726" s="691">
        <v>4.7</v>
      </c>
      <c r="K19726" s="692" t="s">
        <v>4060</v>
      </c>
    </row>
    <row r="19727" spans="1:11">
      <c r="A19727" s="688" t="s">
        <v>2496</v>
      </c>
      <c r="B19727" s="690" t="s">
        <v>4060</v>
      </c>
      <c r="C19727" s="689">
        <v>7.7</v>
      </c>
      <c r="D19727" s="689">
        <v>6.2</v>
      </c>
      <c r="E19727" s="689">
        <v>5.2</v>
      </c>
      <c r="F19727" s="689">
        <v>5.2</v>
      </c>
      <c r="G19727" s="689">
        <v>5.2</v>
      </c>
      <c r="H19727" s="689">
        <v>5.2</v>
      </c>
      <c r="I19727" s="690" t="s">
        <v>4060</v>
      </c>
      <c r="J19727" s="690" t="s">
        <v>4060</v>
      </c>
      <c r="K19727" s="689">
        <v>4.8</v>
      </c>
    </row>
    <row r="19728" spans="1:11">
      <c r="A19728" s="688" t="s">
        <v>2269</v>
      </c>
      <c r="B19728" s="691">
        <v>5.7</v>
      </c>
      <c r="C19728" s="691">
        <v>5.5</v>
      </c>
      <c r="D19728" s="691">
        <v>4.9000000000000004</v>
      </c>
      <c r="E19728" s="615">
        <v>5</v>
      </c>
      <c r="F19728" s="691">
        <v>4.7</v>
      </c>
      <c r="G19728" s="691">
        <v>5.0999999999999996</v>
      </c>
      <c r="H19728" s="615">
        <v>5</v>
      </c>
      <c r="I19728" s="691">
        <v>4.5</v>
      </c>
      <c r="J19728" s="691">
        <v>1.8</v>
      </c>
      <c r="K19728" s="691">
        <v>4.8</v>
      </c>
    </row>
    <row r="19729" spans="1:11">
      <c r="A19729" s="688" t="s">
        <v>2349</v>
      </c>
      <c r="B19729" s="689">
        <v>5.7</v>
      </c>
      <c r="C19729" s="689">
        <v>5.7</v>
      </c>
      <c r="D19729" s="689">
        <v>5.6</v>
      </c>
      <c r="E19729" s="689">
        <v>5.8</v>
      </c>
      <c r="F19729" s="689">
        <v>5.7</v>
      </c>
      <c r="G19729" s="689">
        <v>5.9</v>
      </c>
      <c r="H19729" s="689">
        <v>6.1</v>
      </c>
      <c r="I19729" s="689">
        <v>5.6</v>
      </c>
      <c r="J19729" s="689">
        <v>4.9000000000000004</v>
      </c>
      <c r="K19729" s="689">
        <v>5.3</v>
      </c>
    </row>
    <row r="19730" spans="1:11">
      <c r="A19730" s="688" t="s">
        <v>2355</v>
      </c>
      <c r="B19730" s="615">
        <v>8</v>
      </c>
      <c r="C19730" s="691">
        <v>7.7</v>
      </c>
      <c r="D19730" s="691">
        <v>7.7</v>
      </c>
      <c r="E19730" s="691">
        <v>7.5</v>
      </c>
      <c r="F19730" s="691">
        <v>7.5</v>
      </c>
      <c r="G19730" s="691">
        <v>7.8</v>
      </c>
      <c r="H19730" s="691">
        <v>7.7</v>
      </c>
      <c r="I19730" s="692" t="s">
        <v>4060</v>
      </c>
      <c r="J19730" s="692" t="s">
        <v>4060</v>
      </c>
      <c r="K19730" s="692" t="s">
        <v>4060</v>
      </c>
    </row>
    <row r="19731" spans="1:11">
      <c r="A19731" s="688" t="s">
        <v>2357</v>
      </c>
      <c r="B19731" s="690" t="s">
        <v>4060</v>
      </c>
      <c r="C19731" s="689">
        <v>6.2</v>
      </c>
      <c r="D19731" s="689">
        <v>6.4</v>
      </c>
      <c r="E19731" s="689">
        <v>6.6</v>
      </c>
      <c r="F19731" s="689">
        <v>6.8</v>
      </c>
      <c r="G19731" s="689">
        <v>6.4</v>
      </c>
      <c r="H19731" s="689">
        <v>6.4</v>
      </c>
      <c r="I19731" s="690" t="s">
        <v>4060</v>
      </c>
      <c r="J19731" s="690" t="s">
        <v>4060</v>
      </c>
      <c r="K19731" s="690" t="s">
        <v>4060</v>
      </c>
    </row>
    <row r="19732" spans="1:11">
      <c r="A19732" s="688" t="s">
        <v>4070</v>
      </c>
      <c r="B19732" s="692" t="s">
        <v>4060</v>
      </c>
      <c r="C19732" s="692" t="s">
        <v>4060</v>
      </c>
      <c r="D19732" s="692" t="s">
        <v>4060</v>
      </c>
      <c r="E19732" s="691">
        <v>9.6999999999999993</v>
      </c>
      <c r="F19732" s="692" t="s">
        <v>4060</v>
      </c>
      <c r="G19732" s="692" t="s">
        <v>4060</v>
      </c>
      <c r="H19732" s="692" t="s">
        <v>4060</v>
      </c>
      <c r="I19732" s="692" t="s">
        <v>4060</v>
      </c>
      <c r="J19732" s="692" t="s">
        <v>4060</v>
      </c>
      <c r="K19732" s="692" t="s">
        <v>4060</v>
      </c>
    </row>
    <row r="19733" spans="1:11">
      <c r="A19733" s="688" t="s">
        <v>2491</v>
      </c>
      <c r="B19733" s="689">
        <v>6.4</v>
      </c>
      <c r="C19733" s="689">
        <v>6.6</v>
      </c>
      <c r="D19733" s="689">
        <v>6.5</v>
      </c>
      <c r="E19733" s="689">
        <v>6.6</v>
      </c>
      <c r="F19733" s="689">
        <v>6.5</v>
      </c>
      <c r="G19733" s="689">
        <v>6.5</v>
      </c>
      <c r="H19733" s="690" t="s">
        <v>4060</v>
      </c>
      <c r="I19733" s="690" t="s">
        <v>4060</v>
      </c>
      <c r="J19733" s="690" t="s">
        <v>4060</v>
      </c>
      <c r="K19733" s="690" t="s">
        <v>4060</v>
      </c>
    </row>
    <row r="19734" spans="1:11">
      <c r="A19734" s="688" t="s">
        <v>2343</v>
      </c>
      <c r="B19734" s="692" t="s">
        <v>4060</v>
      </c>
      <c r="C19734" s="692" t="s">
        <v>4060</v>
      </c>
      <c r="D19734" s="692" t="s">
        <v>4060</v>
      </c>
      <c r="E19734" s="692" t="s">
        <v>4060</v>
      </c>
      <c r="F19734" s="692" t="s">
        <v>4060</v>
      </c>
      <c r="G19734" s="692" t="s">
        <v>4060</v>
      </c>
      <c r="H19734" s="692" t="s">
        <v>4060</v>
      </c>
      <c r="I19734" s="692" t="s">
        <v>4060</v>
      </c>
      <c r="J19734" s="692" t="s">
        <v>4060</v>
      </c>
      <c r="K19734" s="692" t="s">
        <v>4060</v>
      </c>
    </row>
    <row r="19735" spans="1:11">
      <c r="A19735" s="688" t="s">
        <v>4071</v>
      </c>
      <c r="B19735" s="690" t="s">
        <v>4060</v>
      </c>
      <c r="C19735" s="690" t="s">
        <v>4060</v>
      </c>
      <c r="D19735" s="690" t="s">
        <v>4060</v>
      </c>
      <c r="E19735" s="690" t="s">
        <v>4060</v>
      </c>
      <c r="F19735" s="690" t="s">
        <v>4060</v>
      </c>
      <c r="G19735" s="690" t="s">
        <v>4060</v>
      </c>
      <c r="H19735" s="690" t="s">
        <v>4060</v>
      </c>
      <c r="I19735" s="690" t="s">
        <v>4060</v>
      </c>
      <c r="J19735" s="690" t="s">
        <v>4060</v>
      </c>
      <c r="K19735" s="690" t="s">
        <v>4060</v>
      </c>
    </row>
    <row r="19736" spans="1:11">
      <c r="A19736" s="688" t="s">
        <v>2489</v>
      </c>
      <c r="B19736" s="692" t="s">
        <v>4060</v>
      </c>
      <c r="C19736" s="692" t="s">
        <v>4060</v>
      </c>
      <c r="D19736" s="691">
        <v>5.9</v>
      </c>
      <c r="E19736" s="691">
        <v>5.8</v>
      </c>
      <c r="F19736" s="691">
        <v>5.7</v>
      </c>
      <c r="G19736" s="691">
        <v>5.8</v>
      </c>
      <c r="H19736" s="691">
        <v>6.2</v>
      </c>
      <c r="I19736" s="692" t="s">
        <v>4060</v>
      </c>
      <c r="J19736" s="692" t="s">
        <v>4060</v>
      </c>
      <c r="K19736" s="692" t="s">
        <v>4060</v>
      </c>
    </row>
    <row r="19737" spans="1:11">
      <c r="A19737" s="688" t="s">
        <v>2490</v>
      </c>
      <c r="B19737" s="689">
        <v>6.1</v>
      </c>
      <c r="C19737" s="693">
        <v>6</v>
      </c>
      <c r="D19737" s="689">
        <v>6.4</v>
      </c>
      <c r="E19737" s="690" t="s">
        <v>4060</v>
      </c>
      <c r="F19737" s="689">
        <v>6.5</v>
      </c>
      <c r="G19737" s="689">
        <v>6.4</v>
      </c>
      <c r="H19737" s="693">
        <v>7</v>
      </c>
      <c r="I19737" s="690" t="s">
        <v>4060</v>
      </c>
      <c r="J19737" s="690" t="s">
        <v>4060</v>
      </c>
      <c r="K19737" s="690" t="s">
        <v>4060</v>
      </c>
    </row>
    <row r="19739" spans="1:11">
      <c r="A19739" s="683" t="s">
        <v>4233</v>
      </c>
    </row>
    <row r="19740" spans="1:11">
      <c r="A19740" s="683" t="s">
        <v>4060</v>
      </c>
      <c r="B19740" s="682" t="s">
        <v>4234</v>
      </c>
    </row>
    <row r="19742" spans="1:11">
      <c r="A19742" s="682" t="s">
        <v>4332</v>
      </c>
    </row>
    <row r="19743" spans="1:11">
      <c r="A19743" s="682" t="s">
        <v>4210</v>
      </c>
      <c r="B19743" s="683" t="s">
        <v>4211</v>
      </c>
    </row>
    <row r="19744" spans="1:11">
      <c r="A19744" s="682" t="s">
        <v>4212</v>
      </c>
      <c r="B19744" s="682" t="s">
        <v>4213</v>
      </c>
    </row>
    <row r="19746" spans="1:11">
      <c r="A19746" s="683" t="s">
        <v>4214</v>
      </c>
      <c r="C19746" s="682" t="s">
        <v>4215</v>
      </c>
    </row>
    <row r="19747" spans="1:11">
      <c r="A19747" s="683" t="s">
        <v>4216</v>
      </c>
      <c r="C19747" s="682" t="s">
        <v>2967</v>
      </c>
    </row>
    <row r="19748" spans="1:11">
      <c r="A19748" s="683" t="s">
        <v>3893</v>
      </c>
      <c r="C19748" s="682" t="s">
        <v>2169</v>
      </c>
    </row>
    <row r="19749" spans="1:11">
      <c r="A19749" s="683" t="s">
        <v>4218</v>
      </c>
      <c r="C19749" s="682" t="s">
        <v>4318</v>
      </c>
    </row>
    <row r="19751" spans="1:11">
      <c r="A19751" s="684" t="s">
        <v>4220</v>
      </c>
      <c r="B19751" s="685" t="s">
        <v>4221</v>
      </c>
      <c r="C19751" s="685" t="s">
        <v>4222</v>
      </c>
      <c r="D19751" s="685" t="s">
        <v>4223</v>
      </c>
      <c r="E19751" s="685" t="s">
        <v>4224</v>
      </c>
      <c r="F19751" s="685" t="s">
        <v>4225</v>
      </c>
      <c r="G19751" s="685" t="s">
        <v>4226</v>
      </c>
      <c r="H19751" s="685" t="s">
        <v>4227</v>
      </c>
      <c r="I19751" s="685" t="s">
        <v>4228</v>
      </c>
      <c r="J19751" s="685" t="s">
        <v>4229</v>
      </c>
      <c r="K19751" s="685" t="s">
        <v>4230</v>
      </c>
    </row>
    <row r="19752" spans="1:11">
      <c r="A19752" s="686" t="s">
        <v>4231</v>
      </c>
      <c r="B19752" s="687" t="s">
        <v>4232</v>
      </c>
      <c r="C19752" s="687" t="s">
        <v>4232</v>
      </c>
      <c r="D19752" s="687" t="s">
        <v>4232</v>
      </c>
      <c r="E19752" s="687" t="s">
        <v>4232</v>
      </c>
      <c r="F19752" s="687" t="s">
        <v>4232</v>
      </c>
      <c r="G19752" s="687" t="s">
        <v>4232</v>
      </c>
      <c r="H19752" s="687" t="s">
        <v>4232</v>
      </c>
      <c r="I19752" s="687" t="s">
        <v>4232</v>
      </c>
      <c r="J19752" s="687" t="s">
        <v>4232</v>
      </c>
      <c r="K19752" s="687" t="s">
        <v>4232</v>
      </c>
    </row>
    <row r="19753" spans="1:11">
      <c r="A19753" s="688" t="s">
        <v>4064</v>
      </c>
      <c r="B19753" s="689">
        <v>7.7</v>
      </c>
      <c r="C19753" s="689">
        <v>7.4</v>
      </c>
      <c r="D19753" s="689">
        <v>7.5</v>
      </c>
      <c r="E19753" s="689">
        <v>7.4</v>
      </c>
      <c r="F19753" s="689">
        <v>7.3</v>
      </c>
      <c r="G19753" s="689">
        <v>7.4</v>
      </c>
      <c r="H19753" s="689">
        <v>7.5</v>
      </c>
      <c r="I19753" s="689">
        <v>7.1</v>
      </c>
      <c r="J19753" s="689">
        <v>7.2</v>
      </c>
      <c r="K19753" s="689">
        <v>7.2</v>
      </c>
    </row>
    <row r="19754" spans="1:11">
      <c r="A19754" s="688" t="s">
        <v>4065</v>
      </c>
      <c r="B19754" s="691">
        <v>7.7</v>
      </c>
      <c r="C19754" s="691">
        <v>7.9</v>
      </c>
      <c r="D19754" s="691">
        <v>7.4</v>
      </c>
      <c r="E19754" s="691">
        <v>7.8</v>
      </c>
      <c r="F19754" s="691">
        <v>7.6</v>
      </c>
      <c r="G19754" s="691">
        <v>7.7</v>
      </c>
      <c r="H19754" s="692" t="s">
        <v>4060</v>
      </c>
      <c r="I19754" s="692" t="s">
        <v>4060</v>
      </c>
      <c r="J19754" s="692" t="s">
        <v>4060</v>
      </c>
      <c r="K19754" s="692" t="s">
        <v>4060</v>
      </c>
    </row>
    <row r="19755" spans="1:11">
      <c r="A19755" s="688" t="s">
        <v>4063</v>
      </c>
      <c r="B19755" s="689">
        <v>7.7</v>
      </c>
      <c r="C19755" s="689">
        <v>7.9</v>
      </c>
      <c r="D19755" s="689">
        <v>7.5</v>
      </c>
      <c r="E19755" s="689">
        <v>7.8</v>
      </c>
      <c r="F19755" s="689">
        <v>7.6</v>
      </c>
      <c r="G19755" s="689">
        <v>7.7</v>
      </c>
      <c r="H19755" s="690" t="s">
        <v>4060</v>
      </c>
      <c r="I19755" s="690" t="s">
        <v>4060</v>
      </c>
      <c r="J19755" s="690" t="s">
        <v>4060</v>
      </c>
      <c r="K19755" s="690" t="s">
        <v>4060</v>
      </c>
    </row>
    <row r="19756" spans="1:11">
      <c r="A19756" s="688" t="s">
        <v>4069</v>
      </c>
      <c r="B19756" s="692" t="s">
        <v>4060</v>
      </c>
      <c r="C19756" s="691">
        <v>7.6</v>
      </c>
      <c r="D19756" s="691">
        <v>7.3</v>
      </c>
      <c r="E19756" s="691">
        <v>7.6</v>
      </c>
      <c r="F19756" s="691">
        <v>7.5</v>
      </c>
      <c r="G19756" s="691">
        <v>7.6</v>
      </c>
      <c r="H19756" s="691">
        <v>7.7</v>
      </c>
      <c r="I19756" s="691">
        <v>7.3</v>
      </c>
      <c r="J19756" s="691">
        <v>7.5</v>
      </c>
      <c r="K19756" s="691">
        <v>7.4</v>
      </c>
    </row>
    <row r="19757" spans="1:11">
      <c r="A19757" s="688" t="s">
        <v>4068</v>
      </c>
      <c r="B19757" s="689">
        <v>7.9</v>
      </c>
      <c r="C19757" s="690" t="s">
        <v>4060</v>
      </c>
      <c r="D19757" s="690" t="s">
        <v>4060</v>
      </c>
      <c r="E19757" s="690" t="s">
        <v>4060</v>
      </c>
      <c r="F19757" s="690" t="s">
        <v>4060</v>
      </c>
      <c r="G19757" s="690" t="s">
        <v>4060</v>
      </c>
      <c r="H19757" s="690" t="s">
        <v>4060</v>
      </c>
      <c r="I19757" s="690" t="s">
        <v>4060</v>
      </c>
      <c r="J19757" s="690" t="s">
        <v>4060</v>
      </c>
      <c r="K19757" s="690" t="s">
        <v>4060</v>
      </c>
    </row>
    <row r="19758" spans="1:11">
      <c r="A19758" s="688" t="s">
        <v>0</v>
      </c>
      <c r="B19758" s="691">
        <v>7.6</v>
      </c>
      <c r="C19758" s="691">
        <v>7.4</v>
      </c>
      <c r="D19758" s="691">
        <v>7.2</v>
      </c>
      <c r="E19758" s="691">
        <v>7.4</v>
      </c>
      <c r="F19758" s="691">
        <v>7.5</v>
      </c>
      <c r="G19758" s="691">
        <v>7.5</v>
      </c>
      <c r="H19758" s="691">
        <v>7.7</v>
      </c>
      <c r="I19758" s="691">
        <v>6.9</v>
      </c>
      <c r="J19758" s="691">
        <v>7.9</v>
      </c>
      <c r="K19758" s="691">
        <v>7.5</v>
      </c>
    </row>
    <row r="19759" spans="1:11">
      <c r="A19759" s="688" t="s">
        <v>1</v>
      </c>
      <c r="B19759" s="689">
        <v>5.7</v>
      </c>
      <c r="C19759" s="689">
        <v>5.3</v>
      </c>
      <c r="D19759" s="689">
        <v>5.2</v>
      </c>
      <c r="E19759" s="689">
        <v>5.4</v>
      </c>
      <c r="F19759" s="689">
        <v>5.3</v>
      </c>
      <c r="G19759" s="689">
        <v>5.4</v>
      </c>
      <c r="H19759" s="689">
        <v>5.4</v>
      </c>
      <c r="I19759" s="689">
        <v>5.2</v>
      </c>
      <c r="J19759" s="689">
        <v>4.8</v>
      </c>
      <c r="K19759" s="689">
        <v>5.3</v>
      </c>
    </row>
    <row r="19760" spans="1:11">
      <c r="A19760" s="688" t="s">
        <v>2240</v>
      </c>
      <c r="B19760" s="691">
        <v>6.5</v>
      </c>
      <c r="C19760" s="691">
        <v>6.3</v>
      </c>
      <c r="D19760" s="691">
        <v>6.1</v>
      </c>
      <c r="E19760" s="691">
        <v>6.4</v>
      </c>
      <c r="F19760" s="691">
        <v>6.3</v>
      </c>
      <c r="G19760" s="691">
        <v>6.4</v>
      </c>
      <c r="H19760" s="691">
        <v>6.5</v>
      </c>
      <c r="I19760" s="615">
        <v>6</v>
      </c>
      <c r="J19760" s="615">
        <v>6</v>
      </c>
      <c r="K19760" s="691">
        <v>6.4</v>
      </c>
    </row>
    <row r="19761" spans="1:11">
      <c r="A19761" s="688" t="s">
        <v>2</v>
      </c>
      <c r="B19761" s="689">
        <v>7.3</v>
      </c>
      <c r="C19761" s="689">
        <v>7.4</v>
      </c>
      <c r="D19761" s="689">
        <v>7.3</v>
      </c>
      <c r="E19761" s="689">
        <v>7.3</v>
      </c>
      <c r="F19761" s="689">
        <v>7.2</v>
      </c>
      <c r="G19761" s="689">
        <v>7.2</v>
      </c>
      <c r="H19761" s="689">
        <v>7.3</v>
      </c>
      <c r="I19761" s="689">
        <v>7.4</v>
      </c>
      <c r="J19761" s="689">
        <v>7.2</v>
      </c>
      <c r="K19761" s="689">
        <v>7.1</v>
      </c>
    </row>
    <row r="19762" spans="1:11">
      <c r="A19762" s="688" t="s">
        <v>3</v>
      </c>
      <c r="B19762" s="691">
        <v>7.1</v>
      </c>
      <c r="C19762" s="691">
        <v>7.1</v>
      </c>
      <c r="D19762" s="691">
        <v>6.9</v>
      </c>
      <c r="E19762" s="691">
        <v>7.1</v>
      </c>
      <c r="F19762" s="615">
        <v>7</v>
      </c>
      <c r="G19762" s="615">
        <v>7</v>
      </c>
      <c r="H19762" s="691">
        <v>7.2</v>
      </c>
      <c r="I19762" s="691">
        <v>7.1</v>
      </c>
      <c r="J19762" s="691">
        <v>7.1</v>
      </c>
      <c r="K19762" s="691">
        <v>6.9</v>
      </c>
    </row>
    <row r="19763" spans="1:11">
      <c r="A19763" s="688" t="s">
        <v>4061</v>
      </c>
      <c r="B19763" s="689">
        <v>7.1</v>
      </c>
      <c r="C19763" s="689">
        <v>7.1</v>
      </c>
      <c r="D19763" s="689">
        <v>6.9</v>
      </c>
      <c r="E19763" s="689">
        <v>7.1</v>
      </c>
      <c r="F19763" s="693">
        <v>7</v>
      </c>
      <c r="G19763" s="693">
        <v>7</v>
      </c>
      <c r="H19763" s="689">
        <v>7.2</v>
      </c>
      <c r="I19763" s="689">
        <v>7.1</v>
      </c>
      <c r="J19763" s="689">
        <v>7.1</v>
      </c>
      <c r="K19763" s="689">
        <v>6.9</v>
      </c>
    </row>
    <row r="19764" spans="1:11">
      <c r="A19764" s="688" t="s">
        <v>4</v>
      </c>
      <c r="B19764" s="691">
        <v>7.2</v>
      </c>
      <c r="C19764" s="691">
        <v>6.7</v>
      </c>
      <c r="D19764" s="691">
        <v>6.8</v>
      </c>
      <c r="E19764" s="691">
        <v>6.8</v>
      </c>
      <c r="F19764" s="691">
        <v>6.9</v>
      </c>
      <c r="G19764" s="615">
        <v>7</v>
      </c>
      <c r="H19764" s="691">
        <v>7.2</v>
      </c>
      <c r="I19764" s="691">
        <v>7.2</v>
      </c>
      <c r="J19764" s="691">
        <v>6.5</v>
      </c>
      <c r="K19764" s="691">
        <v>6.8</v>
      </c>
    </row>
    <row r="19765" spans="1:11">
      <c r="A19765" s="688" t="s">
        <v>8</v>
      </c>
      <c r="B19765" s="689">
        <v>7.1</v>
      </c>
      <c r="C19765" s="689">
        <v>7.1</v>
      </c>
      <c r="D19765" s="693">
        <v>7</v>
      </c>
      <c r="E19765" s="693">
        <v>7</v>
      </c>
      <c r="F19765" s="689">
        <v>7.2</v>
      </c>
      <c r="G19765" s="689">
        <v>7.4</v>
      </c>
      <c r="H19765" s="689">
        <v>7.5</v>
      </c>
      <c r="I19765" s="689">
        <v>7.4</v>
      </c>
      <c r="J19765" s="689">
        <v>7.3</v>
      </c>
      <c r="K19765" s="689">
        <v>7.3</v>
      </c>
    </row>
    <row r="19766" spans="1:11">
      <c r="A19766" s="688" t="s">
        <v>7</v>
      </c>
      <c r="B19766" s="691">
        <v>7.5</v>
      </c>
      <c r="C19766" s="691">
        <v>6.7</v>
      </c>
      <c r="D19766" s="691">
        <v>6.6</v>
      </c>
      <c r="E19766" s="691">
        <v>6.9</v>
      </c>
      <c r="F19766" s="691">
        <v>6.8</v>
      </c>
      <c r="G19766" s="691">
        <v>7.2</v>
      </c>
      <c r="H19766" s="691">
        <v>7.1</v>
      </c>
      <c r="I19766" s="615">
        <v>7</v>
      </c>
      <c r="J19766" s="691">
        <v>6.8</v>
      </c>
      <c r="K19766" s="691">
        <v>6.7</v>
      </c>
    </row>
    <row r="19767" spans="1:11">
      <c r="A19767" s="688" t="s">
        <v>27</v>
      </c>
      <c r="B19767" s="689">
        <v>8.6999999999999993</v>
      </c>
      <c r="C19767" s="693">
        <v>8</v>
      </c>
      <c r="D19767" s="689">
        <v>7.6</v>
      </c>
      <c r="E19767" s="693">
        <v>8</v>
      </c>
      <c r="F19767" s="689">
        <v>7.9</v>
      </c>
      <c r="G19767" s="693">
        <v>8</v>
      </c>
      <c r="H19767" s="689">
        <v>8.1999999999999993</v>
      </c>
      <c r="I19767" s="689">
        <v>7.5</v>
      </c>
      <c r="J19767" s="689">
        <v>8.1999999999999993</v>
      </c>
      <c r="K19767" s="689">
        <v>7.9</v>
      </c>
    </row>
    <row r="19768" spans="1:11">
      <c r="A19768" s="688" t="s">
        <v>6</v>
      </c>
      <c r="B19768" s="615">
        <v>9</v>
      </c>
      <c r="C19768" s="691">
        <v>8.4</v>
      </c>
      <c r="D19768" s="691">
        <v>8.1999999999999993</v>
      </c>
      <c r="E19768" s="691">
        <v>8.4</v>
      </c>
      <c r="F19768" s="691">
        <v>8.4</v>
      </c>
      <c r="G19768" s="691">
        <v>8.5</v>
      </c>
      <c r="H19768" s="691">
        <v>8.6</v>
      </c>
      <c r="I19768" s="691">
        <v>8.1999999999999993</v>
      </c>
      <c r="J19768" s="691">
        <v>8.4</v>
      </c>
      <c r="K19768" s="691">
        <v>8.3000000000000007</v>
      </c>
    </row>
    <row r="19769" spans="1:11">
      <c r="A19769" s="688" t="s">
        <v>4058</v>
      </c>
      <c r="B19769" s="690" t="s">
        <v>4060</v>
      </c>
      <c r="C19769" s="690" t="s">
        <v>4060</v>
      </c>
      <c r="D19769" s="690" t="s">
        <v>4060</v>
      </c>
      <c r="E19769" s="690" t="s">
        <v>4060</v>
      </c>
      <c r="F19769" s="690" t="s">
        <v>4060</v>
      </c>
      <c r="G19769" s="690" t="s">
        <v>4060</v>
      </c>
      <c r="H19769" s="690" t="s">
        <v>4060</v>
      </c>
      <c r="I19769" s="690" t="s">
        <v>4060</v>
      </c>
      <c r="J19769" s="690" t="s">
        <v>4060</v>
      </c>
      <c r="K19769" s="690" t="s">
        <v>4060</v>
      </c>
    </row>
    <row r="19770" spans="1:11">
      <c r="A19770" s="688" t="s">
        <v>11</v>
      </c>
      <c r="B19770" s="691">
        <v>6.2</v>
      </c>
      <c r="C19770" s="691">
        <v>5.9</v>
      </c>
      <c r="D19770" s="691">
        <v>5.6</v>
      </c>
      <c r="E19770" s="691">
        <v>5.9</v>
      </c>
      <c r="F19770" s="691">
        <v>5.7</v>
      </c>
      <c r="G19770" s="691">
        <v>5.8</v>
      </c>
      <c r="H19770" s="615">
        <v>6</v>
      </c>
      <c r="I19770" s="691">
        <v>5.6</v>
      </c>
      <c r="J19770" s="691">
        <v>5.3</v>
      </c>
      <c r="K19770" s="691">
        <v>5.4</v>
      </c>
    </row>
    <row r="19771" spans="1:11">
      <c r="A19771" s="688" t="s">
        <v>10</v>
      </c>
      <c r="B19771" s="689">
        <v>8.3000000000000007</v>
      </c>
      <c r="C19771" s="689">
        <v>7.7</v>
      </c>
      <c r="D19771" s="689">
        <v>7.3</v>
      </c>
      <c r="E19771" s="689">
        <v>7.7</v>
      </c>
      <c r="F19771" s="689">
        <v>7.5</v>
      </c>
      <c r="G19771" s="689">
        <v>7.7</v>
      </c>
      <c r="H19771" s="689">
        <v>7.8</v>
      </c>
      <c r="I19771" s="689">
        <v>7.2</v>
      </c>
      <c r="J19771" s="689">
        <v>7.5</v>
      </c>
      <c r="K19771" s="689">
        <v>7.3</v>
      </c>
    </row>
    <row r="19772" spans="1:11">
      <c r="A19772" s="688" t="s">
        <v>30</v>
      </c>
      <c r="B19772" s="691">
        <v>7.2</v>
      </c>
      <c r="C19772" s="691">
        <v>6.6</v>
      </c>
      <c r="D19772" s="691">
        <v>6.1</v>
      </c>
      <c r="E19772" s="691">
        <v>6.8</v>
      </c>
      <c r="F19772" s="691">
        <v>6.3</v>
      </c>
      <c r="G19772" s="691">
        <v>6.9</v>
      </c>
      <c r="H19772" s="691">
        <v>6.6</v>
      </c>
      <c r="I19772" s="691">
        <v>6.6</v>
      </c>
      <c r="J19772" s="691">
        <v>6.6</v>
      </c>
      <c r="K19772" s="691">
        <v>6.4</v>
      </c>
    </row>
    <row r="19773" spans="1:11">
      <c r="A19773" s="688" t="s">
        <v>12</v>
      </c>
      <c r="B19773" s="689">
        <v>6.6</v>
      </c>
      <c r="C19773" s="689">
        <v>6.2</v>
      </c>
      <c r="D19773" s="689">
        <v>6.1</v>
      </c>
      <c r="E19773" s="689">
        <v>6.2</v>
      </c>
      <c r="F19773" s="689">
        <v>6.2</v>
      </c>
      <c r="G19773" s="689">
        <v>6.3</v>
      </c>
      <c r="H19773" s="689">
        <v>6.4</v>
      </c>
      <c r="I19773" s="689">
        <v>6.3</v>
      </c>
      <c r="J19773" s="689">
        <v>5.6</v>
      </c>
      <c r="K19773" s="693">
        <v>6</v>
      </c>
    </row>
    <row r="19774" spans="1:11">
      <c r="A19774" s="688" t="s">
        <v>14</v>
      </c>
      <c r="B19774" s="691">
        <v>6.6</v>
      </c>
      <c r="C19774" s="615">
        <v>6</v>
      </c>
      <c r="D19774" s="691">
        <v>5.8</v>
      </c>
      <c r="E19774" s="691">
        <v>5.9</v>
      </c>
      <c r="F19774" s="615">
        <v>6</v>
      </c>
      <c r="G19774" s="691">
        <v>6.1</v>
      </c>
      <c r="H19774" s="691">
        <v>6.3</v>
      </c>
      <c r="I19774" s="615">
        <v>6</v>
      </c>
      <c r="J19774" s="691">
        <v>5.7</v>
      </c>
      <c r="K19774" s="615">
        <v>6</v>
      </c>
    </row>
    <row r="19775" spans="1:11">
      <c r="A19775" s="688" t="s">
        <v>15</v>
      </c>
      <c r="B19775" s="693">
        <v>8</v>
      </c>
      <c r="C19775" s="689">
        <v>7.9</v>
      </c>
      <c r="D19775" s="689">
        <v>7.4</v>
      </c>
      <c r="E19775" s="689">
        <v>7.6</v>
      </c>
      <c r="F19775" s="689">
        <v>7.5</v>
      </c>
      <c r="G19775" s="689">
        <v>7.6</v>
      </c>
      <c r="H19775" s="689">
        <v>7.8</v>
      </c>
      <c r="I19775" s="689">
        <v>7.5</v>
      </c>
      <c r="J19775" s="689">
        <v>7.6</v>
      </c>
      <c r="K19775" s="689">
        <v>7.7</v>
      </c>
    </row>
    <row r="19776" spans="1:11">
      <c r="A19776" s="688" t="s">
        <v>29</v>
      </c>
      <c r="B19776" s="691">
        <v>6.3</v>
      </c>
      <c r="C19776" s="691">
        <v>6.1</v>
      </c>
      <c r="D19776" s="691">
        <v>5.8</v>
      </c>
      <c r="E19776" s="691">
        <v>6.2</v>
      </c>
      <c r="F19776" s="615">
        <v>6</v>
      </c>
      <c r="G19776" s="615">
        <v>6</v>
      </c>
      <c r="H19776" s="615">
        <v>6</v>
      </c>
      <c r="I19776" s="691">
        <v>5.8</v>
      </c>
      <c r="J19776" s="691">
        <v>5.7</v>
      </c>
      <c r="K19776" s="691">
        <v>5.9</v>
      </c>
    </row>
    <row r="19777" spans="1:11">
      <c r="A19777" s="688" t="s">
        <v>16</v>
      </c>
      <c r="B19777" s="689">
        <v>7.6</v>
      </c>
      <c r="C19777" s="689">
        <v>7.2</v>
      </c>
      <c r="D19777" s="693">
        <v>7</v>
      </c>
      <c r="E19777" s="689">
        <v>7.4</v>
      </c>
      <c r="F19777" s="689">
        <v>7.2</v>
      </c>
      <c r="G19777" s="689">
        <v>7.3</v>
      </c>
      <c r="H19777" s="689">
        <v>7.5</v>
      </c>
      <c r="I19777" s="689">
        <v>7.1</v>
      </c>
      <c r="J19777" s="689">
        <v>7.2</v>
      </c>
      <c r="K19777" s="689">
        <v>7.2</v>
      </c>
    </row>
    <row r="19778" spans="1:11">
      <c r="A19778" s="688" t="s">
        <v>17</v>
      </c>
      <c r="B19778" s="691">
        <v>7.4</v>
      </c>
      <c r="C19778" s="691">
        <v>7.3</v>
      </c>
      <c r="D19778" s="615">
        <v>7</v>
      </c>
      <c r="E19778" s="691">
        <v>7.1</v>
      </c>
      <c r="F19778" s="615">
        <v>7</v>
      </c>
      <c r="G19778" s="615">
        <v>7</v>
      </c>
      <c r="H19778" s="691">
        <v>7.2</v>
      </c>
      <c r="I19778" s="691">
        <v>6.9</v>
      </c>
      <c r="J19778" s="615">
        <v>7</v>
      </c>
      <c r="K19778" s="691">
        <v>6.9</v>
      </c>
    </row>
    <row r="19779" spans="1:11">
      <c r="A19779" s="688" t="s">
        <v>19</v>
      </c>
      <c r="B19779" s="689">
        <v>7.4</v>
      </c>
      <c r="C19779" s="689">
        <v>7.2</v>
      </c>
      <c r="D19779" s="693">
        <v>7</v>
      </c>
      <c r="E19779" s="689">
        <v>7.3</v>
      </c>
      <c r="F19779" s="689">
        <v>7.1</v>
      </c>
      <c r="G19779" s="689">
        <v>7.2</v>
      </c>
      <c r="H19779" s="689">
        <v>7.3</v>
      </c>
      <c r="I19779" s="693">
        <v>7</v>
      </c>
      <c r="J19779" s="689">
        <v>7.1</v>
      </c>
      <c r="K19779" s="693">
        <v>7</v>
      </c>
    </row>
    <row r="19780" spans="1:11">
      <c r="A19780" s="688" t="s">
        <v>20</v>
      </c>
      <c r="B19780" s="691">
        <v>7.2</v>
      </c>
      <c r="C19780" s="691">
        <v>6.9</v>
      </c>
      <c r="D19780" s="691">
        <v>6.7</v>
      </c>
      <c r="E19780" s="615">
        <v>7</v>
      </c>
      <c r="F19780" s="691">
        <v>6.9</v>
      </c>
      <c r="G19780" s="691">
        <v>6.9</v>
      </c>
      <c r="H19780" s="691">
        <v>7.1</v>
      </c>
      <c r="I19780" s="691">
        <v>6.5</v>
      </c>
      <c r="J19780" s="691">
        <v>6.2</v>
      </c>
      <c r="K19780" s="691">
        <v>6.6</v>
      </c>
    </row>
    <row r="19781" spans="1:11">
      <c r="A19781" s="688" t="s">
        <v>21</v>
      </c>
      <c r="B19781" s="689">
        <v>7.4</v>
      </c>
      <c r="C19781" s="689">
        <v>7.5</v>
      </c>
      <c r="D19781" s="689">
        <v>7.3</v>
      </c>
      <c r="E19781" s="689">
        <v>7.4</v>
      </c>
      <c r="F19781" s="689">
        <v>7.6</v>
      </c>
      <c r="G19781" s="689">
        <v>7.5</v>
      </c>
      <c r="H19781" s="689">
        <v>7.7</v>
      </c>
      <c r="I19781" s="689">
        <v>7.2</v>
      </c>
      <c r="J19781" s="689">
        <v>7.3</v>
      </c>
      <c r="K19781" s="689">
        <v>7.3</v>
      </c>
    </row>
    <row r="19782" spans="1:11">
      <c r="A19782" s="688" t="s">
        <v>22</v>
      </c>
      <c r="B19782" s="691">
        <v>6.2</v>
      </c>
      <c r="C19782" s="691">
        <v>5.9</v>
      </c>
      <c r="D19782" s="691">
        <v>5.8</v>
      </c>
      <c r="E19782" s="691">
        <v>6.1</v>
      </c>
      <c r="F19782" s="691">
        <v>6.1</v>
      </c>
      <c r="G19782" s="691">
        <v>6.2</v>
      </c>
      <c r="H19782" s="691">
        <v>6.4</v>
      </c>
      <c r="I19782" s="691">
        <v>6.1</v>
      </c>
      <c r="J19782" s="691">
        <v>5.4</v>
      </c>
      <c r="K19782" s="691">
        <v>5.6</v>
      </c>
    </row>
    <row r="19783" spans="1:11">
      <c r="A19783" s="688" t="s">
        <v>26</v>
      </c>
      <c r="B19783" s="689">
        <v>7.6</v>
      </c>
      <c r="C19783" s="693">
        <v>7</v>
      </c>
      <c r="D19783" s="693">
        <v>7</v>
      </c>
      <c r="E19783" s="689">
        <v>7.1</v>
      </c>
      <c r="F19783" s="689">
        <v>7.1</v>
      </c>
      <c r="G19783" s="689">
        <v>7.3</v>
      </c>
      <c r="H19783" s="689">
        <v>7.2</v>
      </c>
      <c r="I19783" s="689">
        <v>6.5</v>
      </c>
      <c r="J19783" s="693">
        <v>7</v>
      </c>
      <c r="K19783" s="693">
        <v>7</v>
      </c>
    </row>
    <row r="19784" spans="1:11">
      <c r="A19784" s="688" t="s">
        <v>25</v>
      </c>
      <c r="B19784" s="691">
        <v>6.3</v>
      </c>
      <c r="C19784" s="691">
        <v>6.3</v>
      </c>
      <c r="D19784" s="615">
        <v>6</v>
      </c>
      <c r="E19784" s="691">
        <v>6.3</v>
      </c>
      <c r="F19784" s="691">
        <v>6.2</v>
      </c>
      <c r="G19784" s="691">
        <v>6.3</v>
      </c>
      <c r="H19784" s="691">
        <v>6.7</v>
      </c>
      <c r="I19784" s="691">
        <v>6.3</v>
      </c>
      <c r="J19784" s="691">
        <v>5.5</v>
      </c>
      <c r="K19784" s="691">
        <v>5.9</v>
      </c>
    </row>
    <row r="19785" spans="1:11">
      <c r="A19785" s="688" t="s">
        <v>5</v>
      </c>
      <c r="B19785" s="689">
        <v>7.7</v>
      </c>
      <c r="C19785" s="689">
        <v>7.2</v>
      </c>
      <c r="D19785" s="689">
        <v>7.2</v>
      </c>
      <c r="E19785" s="689">
        <v>7.2</v>
      </c>
      <c r="F19785" s="689">
        <v>7.4</v>
      </c>
      <c r="G19785" s="689">
        <v>7.4</v>
      </c>
      <c r="H19785" s="689">
        <v>7.6</v>
      </c>
      <c r="I19785" s="689">
        <v>7.6</v>
      </c>
      <c r="J19785" s="689">
        <v>7.6</v>
      </c>
      <c r="K19785" s="689">
        <v>7.1</v>
      </c>
    </row>
    <row r="19786" spans="1:11">
      <c r="A19786" s="688" t="s">
        <v>23</v>
      </c>
      <c r="B19786" s="691">
        <v>7.4</v>
      </c>
      <c r="C19786" s="691">
        <v>7.4</v>
      </c>
      <c r="D19786" s="691">
        <v>7.3</v>
      </c>
      <c r="E19786" s="691">
        <v>7.4</v>
      </c>
      <c r="F19786" s="691">
        <v>7.3</v>
      </c>
      <c r="G19786" s="691">
        <v>7.4</v>
      </c>
      <c r="H19786" s="691">
        <v>7.7</v>
      </c>
      <c r="I19786" s="691">
        <v>7.3</v>
      </c>
      <c r="J19786" s="691">
        <v>7.8</v>
      </c>
      <c r="K19786" s="691">
        <v>7.6</v>
      </c>
    </row>
    <row r="19787" spans="1:11">
      <c r="A19787" s="688" t="s">
        <v>4067</v>
      </c>
      <c r="B19787" s="689">
        <v>7.7</v>
      </c>
      <c r="C19787" s="689">
        <v>7.9</v>
      </c>
      <c r="D19787" s="689">
        <v>7.4</v>
      </c>
      <c r="E19787" s="689">
        <v>7.8</v>
      </c>
      <c r="F19787" s="689">
        <v>7.6</v>
      </c>
      <c r="G19787" s="689">
        <v>7.7</v>
      </c>
      <c r="H19787" s="690" t="s">
        <v>4060</v>
      </c>
      <c r="I19787" s="690" t="s">
        <v>4060</v>
      </c>
      <c r="J19787" s="690" t="s">
        <v>4060</v>
      </c>
      <c r="K19787" s="690" t="s">
        <v>4060</v>
      </c>
    </row>
    <row r="19788" spans="1:11">
      <c r="A19788" s="688" t="s">
        <v>4066</v>
      </c>
      <c r="B19788" s="691">
        <v>7.7</v>
      </c>
      <c r="C19788" s="691">
        <v>7.9</v>
      </c>
      <c r="D19788" s="691">
        <v>7.5</v>
      </c>
      <c r="E19788" s="691">
        <v>7.8</v>
      </c>
      <c r="F19788" s="691">
        <v>7.6</v>
      </c>
      <c r="G19788" s="691">
        <v>7.7</v>
      </c>
      <c r="H19788" s="692" t="s">
        <v>4060</v>
      </c>
      <c r="I19788" s="692" t="s">
        <v>4060</v>
      </c>
      <c r="J19788" s="692" t="s">
        <v>4060</v>
      </c>
      <c r="K19788" s="692" t="s">
        <v>4060</v>
      </c>
    </row>
    <row r="19789" spans="1:11">
      <c r="A19789" s="688" t="s">
        <v>4062</v>
      </c>
      <c r="B19789" s="689">
        <v>7.6</v>
      </c>
      <c r="C19789" s="689">
        <v>7.6</v>
      </c>
      <c r="D19789" s="689">
        <v>7.4</v>
      </c>
      <c r="E19789" s="689">
        <v>7.7</v>
      </c>
      <c r="F19789" s="689">
        <v>7.6</v>
      </c>
      <c r="G19789" s="689">
        <v>7.7</v>
      </c>
      <c r="H19789" s="689">
        <v>7.8</v>
      </c>
      <c r="I19789" s="689">
        <v>7.5</v>
      </c>
      <c r="J19789" s="689">
        <v>7.8</v>
      </c>
      <c r="K19789" s="689">
        <v>7.5</v>
      </c>
    </row>
    <row r="19790" spans="1:11">
      <c r="A19790" s="688" t="s">
        <v>9</v>
      </c>
      <c r="B19790" s="691">
        <v>7.6</v>
      </c>
      <c r="C19790" s="691">
        <v>7.7</v>
      </c>
      <c r="D19790" s="691">
        <v>7.2</v>
      </c>
      <c r="E19790" s="691">
        <v>7.4</v>
      </c>
      <c r="F19790" s="691">
        <v>7.2</v>
      </c>
      <c r="G19790" s="691">
        <v>7.5</v>
      </c>
      <c r="H19790" s="691">
        <v>7.4</v>
      </c>
      <c r="I19790" s="691">
        <v>7.5</v>
      </c>
      <c r="J19790" s="691">
        <v>7.5</v>
      </c>
      <c r="K19790" s="615">
        <v>7</v>
      </c>
    </row>
    <row r="19791" spans="1:11">
      <c r="A19791" s="688" t="s">
        <v>13</v>
      </c>
      <c r="B19791" s="689">
        <v>8.9</v>
      </c>
      <c r="C19791" s="689">
        <v>6.5</v>
      </c>
      <c r="D19791" s="689">
        <v>6.7</v>
      </c>
      <c r="E19791" s="689">
        <v>7.9</v>
      </c>
      <c r="F19791" s="689">
        <v>7.8</v>
      </c>
      <c r="G19791" s="689">
        <v>7.2</v>
      </c>
      <c r="H19791" s="689">
        <v>7.5</v>
      </c>
      <c r="I19791" s="689">
        <v>7.4</v>
      </c>
      <c r="J19791" s="693">
        <v>7</v>
      </c>
      <c r="K19791" s="689">
        <v>6.9</v>
      </c>
    </row>
    <row r="19792" spans="1:11">
      <c r="A19792" s="688" t="s">
        <v>18</v>
      </c>
      <c r="B19792" s="691">
        <v>7.4</v>
      </c>
      <c r="C19792" s="691">
        <v>7.4</v>
      </c>
      <c r="D19792" s="691">
        <v>7.4</v>
      </c>
      <c r="E19792" s="691">
        <v>7.5</v>
      </c>
      <c r="F19792" s="691">
        <v>7.5</v>
      </c>
      <c r="G19792" s="691">
        <v>7.6</v>
      </c>
      <c r="H19792" s="691">
        <v>7.7</v>
      </c>
      <c r="I19792" s="691">
        <v>7.7</v>
      </c>
      <c r="J19792" s="691">
        <v>7.6</v>
      </c>
      <c r="K19792" s="691">
        <v>7.3</v>
      </c>
    </row>
    <row r="19793" spans="1:11">
      <c r="A19793" s="688" t="s">
        <v>24</v>
      </c>
      <c r="B19793" s="689">
        <v>7.8</v>
      </c>
      <c r="C19793" s="689">
        <v>7.6</v>
      </c>
      <c r="D19793" s="689">
        <v>7.4</v>
      </c>
      <c r="E19793" s="689">
        <v>7.8</v>
      </c>
      <c r="F19793" s="689">
        <v>7.7</v>
      </c>
      <c r="G19793" s="689">
        <v>7.8</v>
      </c>
      <c r="H19793" s="689">
        <v>7.9</v>
      </c>
      <c r="I19793" s="689">
        <v>7.4</v>
      </c>
      <c r="J19793" s="689">
        <v>7.9</v>
      </c>
      <c r="K19793" s="689">
        <v>7.7</v>
      </c>
    </row>
    <row r="19794" spans="1:11">
      <c r="A19794" s="688" t="s">
        <v>4059</v>
      </c>
      <c r="B19794" s="691">
        <v>7.4</v>
      </c>
      <c r="C19794" s="691">
        <v>7.7</v>
      </c>
      <c r="D19794" s="691">
        <v>7.2</v>
      </c>
      <c r="E19794" s="691">
        <v>7.6</v>
      </c>
      <c r="F19794" s="691">
        <v>7.4</v>
      </c>
      <c r="G19794" s="691">
        <v>7.5</v>
      </c>
      <c r="H19794" s="692" t="s">
        <v>4060</v>
      </c>
      <c r="I19794" s="692" t="s">
        <v>4060</v>
      </c>
      <c r="J19794" s="692" t="s">
        <v>4060</v>
      </c>
      <c r="K19794" s="692" t="s">
        <v>4060</v>
      </c>
    </row>
    <row r="19795" spans="1:11">
      <c r="A19795" s="688" t="s">
        <v>2324</v>
      </c>
      <c r="B19795" s="689">
        <v>5.6</v>
      </c>
      <c r="C19795" s="689">
        <v>5.5</v>
      </c>
      <c r="D19795" s="689">
        <v>5.0999999999999996</v>
      </c>
      <c r="E19795" s="689">
        <v>5.5</v>
      </c>
      <c r="F19795" s="689">
        <v>5.9</v>
      </c>
      <c r="G19795" s="689">
        <v>5.7</v>
      </c>
      <c r="H19795" s="689">
        <v>5.5</v>
      </c>
      <c r="I19795" s="689">
        <v>5.4</v>
      </c>
      <c r="J19795" s="689">
        <v>4.3</v>
      </c>
      <c r="K19795" s="690" t="s">
        <v>4060</v>
      </c>
    </row>
    <row r="19796" spans="1:11">
      <c r="A19796" s="688" t="s">
        <v>2322</v>
      </c>
      <c r="B19796" s="692" t="s">
        <v>4060</v>
      </c>
      <c r="C19796" s="692" t="s">
        <v>4060</v>
      </c>
      <c r="D19796" s="692" t="s">
        <v>4060</v>
      </c>
      <c r="E19796" s="692" t="s">
        <v>4060</v>
      </c>
      <c r="F19796" s="692" t="s">
        <v>4060</v>
      </c>
      <c r="G19796" s="692" t="s">
        <v>4060</v>
      </c>
      <c r="H19796" s="692" t="s">
        <v>4060</v>
      </c>
      <c r="I19796" s="692" t="s">
        <v>4060</v>
      </c>
      <c r="J19796" s="692" t="s">
        <v>4060</v>
      </c>
      <c r="K19796" s="692" t="s">
        <v>4060</v>
      </c>
    </row>
    <row r="19797" spans="1:11">
      <c r="A19797" s="688" t="s">
        <v>2328</v>
      </c>
      <c r="B19797" s="693">
        <v>5</v>
      </c>
      <c r="C19797" s="689">
        <v>4.7</v>
      </c>
      <c r="D19797" s="689">
        <v>4.5999999999999996</v>
      </c>
      <c r="E19797" s="693">
        <v>5</v>
      </c>
      <c r="F19797" s="689">
        <v>5.0999999999999996</v>
      </c>
      <c r="G19797" s="689">
        <v>5.2</v>
      </c>
      <c r="H19797" s="689">
        <v>5.0999999999999996</v>
      </c>
      <c r="I19797" s="689">
        <v>4.8</v>
      </c>
      <c r="J19797" s="689">
        <v>4.4000000000000004</v>
      </c>
      <c r="K19797" s="690" t="s">
        <v>4060</v>
      </c>
    </row>
    <row r="19798" spans="1:11">
      <c r="A19798" s="688" t="s">
        <v>2496</v>
      </c>
      <c r="B19798" s="692" t="s">
        <v>4060</v>
      </c>
      <c r="C19798" s="691">
        <v>7.3</v>
      </c>
      <c r="D19798" s="691">
        <v>5.8</v>
      </c>
      <c r="E19798" s="691">
        <v>4.8</v>
      </c>
      <c r="F19798" s="691">
        <v>4.8</v>
      </c>
      <c r="G19798" s="691">
        <v>4.8</v>
      </c>
      <c r="H19798" s="691">
        <v>4.8</v>
      </c>
      <c r="I19798" s="692" t="s">
        <v>4060</v>
      </c>
      <c r="J19798" s="692" t="s">
        <v>4060</v>
      </c>
      <c r="K19798" s="691">
        <v>4.3</v>
      </c>
    </row>
    <row r="19799" spans="1:11">
      <c r="A19799" s="688" t="s">
        <v>2269</v>
      </c>
      <c r="B19799" s="689">
        <v>5.3</v>
      </c>
      <c r="C19799" s="689">
        <v>5.0999999999999996</v>
      </c>
      <c r="D19799" s="689">
        <v>4.4000000000000004</v>
      </c>
      <c r="E19799" s="689">
        <v>4.4000000000000004</v>
      </c>
      <c r="F19799" s="689">
        <v>4.2</v>
      </c>
      <c r="G19799" s="689">
        <v>4.5</v>
      </c>
      <c r="H19799" s="689">
        <v>4.5</v>
      </c>
      <c r="I19799" s="693">
        <v>4</v>
      </c>
      <c r="J19799" s="689">
        <v>0.9</v>
      </c>
      <c r="K19799" s="689">
        <v>4.0999999999999996</v>
      </c>
    </row>
    <row r="19800" spans="1:11">
      <c r="A19800" s="688" t="s">
        <v>2349</v>
      </c>
      <c r="B19800" s="691">
        <v>5.4</v>
      </c>
      <c r="C19800" s="691">
        <v>5.4</v>
      </c>
      <c r="D19800" s="691">
        <v>5.3</v>
      </c>
      <c r="E19800" s="691">
        <v>5.5</v>
      </c>
      <c r="F19800" s="691">
        <v>5.3</v>
      </c>
      <c r="G19800" s="691">
        <v>5.6</v>
      </c>
      <c r="H19800" s="691">
        <v>5.8</v>
      </c>
      <c r="I19800" s="691">
        <v>5.3</v>
      </c>
      <c r="J19800" s="691">
        <v>4.5999999999999996</v>
      </c>
      <c r="K19800" s="615">
        <v>5</v>
      </c>
    </row>
    <row r="19801" spans="1:11">
      <c r="A19801" s="688" t="s">
        <v>2355</v>
      </c>
      <c r="B19801" s="689">
        <v>7.7</v>
      </c>
      <c r="C19801" s="689">
        <v>7.3</v>
      </c>
      <c r="D19801" s="689">
        <v>7.3</v>
      </c>
      <c r="E19801" s="689">
        <v>7.2</v>
      </c>
      <c r="F19801" s="689">
        <v>7.1</v>
      </c>
      <c r="G19801" s="689">
        <v>7.3</v>
      </c>
      <c r="H19801" s="689">
        <v>7.3</v>
      </c>
      <c r="I19801" s="690" t="s">
        <v>4060</v>
      </c>
      <c r="J19801" s="690" t="s">
        <v>4060</v>
      </c>
      <c r="K19801" s="690" t="s">
        <v>4060</v>
      </c>
    </row>
    <row r="19802" spans="1:11">
      <c r="A19802" s="688" t="s">
        <v>2357</v>
      </c>
      <c r="B19802" s="692" t="s">
        <v>4060</v>
      </c>
      <c r="C19802" s="691">
        <v>5.9</v>
      </c>
      <c r="D19802" s="691">
        <v>6.1</v>
      </c>
      <c r="E19802" s="691">
        <v>6.2</v>
      </c>
      <c r="F19802" s="691">
        <v>6.4</v>
      </c>
      <c r="G19802" s="615">
        <v>6</v>
      </c>
      <c r="H19802" s="691">
        <v>6.1</v>
      </c>
      <c r="I19802" s="692" t="s">
        <v>4060</v>
      </c>
      <c r="J19802" s="692" t="s">
        <v>4060</v>
      </c>
      <c r="K19802" s="692" t="s">
        <v>4060</v>
      </c>
    </row>
    <row r="19803" spans="1:11">
      <c r="A19803" s="688" t="s">
        <v>4070</v>
      </c>
      <c r="B19803" s="690" t="s">
        <v>4060</v>
      </c>
      <c r="C19803" s="690" t="s">
        <v>4060</v>
      </c>
      <c r="D19803" s="690" t="s">
        <v>4060</v>
      </c>
      <c r="E19803" s="689">
        <v>9.5</v>
      </c>
      <c r="F19803" s="690" t="s">
        <v>4060</v>
      </c>
      <c r="G19803" s="690" t="s">
        <v>4060</v>
      </c>
      <c r="H19803" s="690" t="s">
        <v>4060</v>
      </c>
      <c r="I19803" s="690" t="s">
        <v>4060</v>
      </c>
      <c r="J19803" s="690" t="s">
        <v>4060</v>
      </c>
      <c r="K19803" s="690" t="s">
        <v>4060</v>
      </c>
    </row>
    <row r="19804" spans="1:11">
      <c r="A19804" s="688" t="s">
        <v>2491</v>
      </c>
      <c r="B19804" s="615">
        <v>6</v>
      </c>
      <c r="C19804" s="691">
        <v>6.2</v>
      </c>
      <c r="D19804" s="691">
        <v>6.1</v>
      </c>
      <c r="E19804" s="691">
        <v>6.2</v>
      </c>
      <c r="F19804" s="691">
        <v>6.1</v>
      </c>
      <c r="G19804" s="691">
        <v>6.1</v>
      </c>
      <c r="H19804" s="692" t="s">
        <v>4060</v>
      </c>
      <c r="I19804" s="692" t="s">
        <v>4060</v>
      </c>
      <c r="J19804" s="692" t="s">
        <v>4060</v>
      </c>
      <c r="K19804" s="692" t="s">
        <v>4060</v>
      </c>
    </row>
    <row r="19805" spans="1:11">
      <c r="A19805" s="688" t="s">
        <v>2343</v>
      </c>
      <c r="B19805" s="690" t="s">
        <v>4060</v>
      </c>
      <c r="C19805" s="690" t="s">
        <v>4060</v>
      </c>
      <c r="D19805" s="690" t="s">
        <v>4060</v>
      </c>
      <c r="E19805" s="690" t="s">
        <v>4060</v>
      </c>
      <c r="F19805" s="690" t="s">
        <v>4060</v>
      </c>
      <c r="G19805" s="690" t="s">
        <v>4060</v>
      </c>
      <c r="H19805" s="690" t="s">
        <v>4060</v>
      </c>
      <c r="I19805" s="690" t="s">
        <v>4060</v>
      </c>
      <c r="J19805" s="690" t="s">
        <v>4060</v>
      </c>
      <c r="K19805" s="690" t="s">
        <v>4060</v>
      </c>
    </row>
    <row r="19806" spans="1:11">
      <c r="A19806" s="688" t="s">
        <v>4071</v>
      </c>
      <c r="B19806" s="692" t="s">
        <v>4060</v>
      </c>
      <c r="C19806" s="692" t="s">
        <v>4060</v>
      </c>
      <c r="D19806" s="692" t="s">
        <v>4060</v>
      </c>
      <c r="E19806" s="692" t="s">
        <v>4060</v>
      </c>
      <c r="F19806" s="692" t="s">
        <v>4060</v>
      </c>
      <c r="G19806" s="692" t="s">
        <v>4060</v>
      </c>
      <c r="H19806" s="692" t="s">
        <v>4060</v>
      </c>
      <c r="I19806" s="692" t="s">
        <v>4060</v>
      </c>
      <c r="J19806" s="692" t="s">
        <v>4060</v>
      </c>
      <c r="K19806" s="692" t="s">
        <v>4060</v>
      </c>
    </row>
    <row r="19807" spans="1:11">
      <c r="A19807" s="688" t="s">
        <v>2489</v>
      </c>
      <c r="B19807" s="690" t="s">
        <v>4060</v>
      </c>
      <c r="C19807" s="690" t="s">
        <v>4060</v>
      </c>
      <c r="D19807" s="689">
        <v>5.5</v>
      </c>
      <c r="E19807" s="689">
        <v>5.4</v>
      </c>
      <c r="F19807" s="689">
        <v>5.3</v>
      </c>
      <c r="G19807" s="689">
        <v>5.3</v>
      </c>
      <c r="H19807" s="689">
        <v>5.7</v>
      </c>
      <c r="I19807" s="690" t="s">
        <v>4060</v>
      </c>
      <c r="J19807" s="690" t="s">
        <v>4060</v>
      </c>
      <c r="K19807" s="690" t="s">
        <v>4060</v>
      </c>
    </row>
    <row r="19808" spans="1:11">
      <c r="A19808" s="688" t="s">
        <v>2490</v>
      </c>
      <c r="B19808" s="691">
        <v>5.8</v>
      </c>
      <c r="C19808" s="691">
        <v>5.6</v>
      </c>
      <c r="D19808" s="691">
        <v>6.2</v>
      </c>
      <c r="E19808" s="692" t="s">
        <v>4060</v>
      </c>
      <c r="F19808" s="691">
        <v>6.2</v>
      </c>
      <c r="G19808" s="691">
        <v>6.1</v>
      </c>
      <c r="H19808" s="691">
        <v>6.7</v>
      </c>
      <c r="I19808" s="692" t="s">
        <v>4060</v>
      </c>
      <c r="J19808" s="692" t="s">
        <v>4060</v>
      </c>
      <c r="K19808" s="692" t="s">
        <v>4060</v>
      </c>
    </row>
    <row r="19810" spans="1:11">
      <c r="A19810" s="683" t="s">
        <v>4233</v>
      </c>
    </row>
    <row r="19811" spans="1:11">
      <c r="A19811" s="683" t="s">
        <v>4060</v>
      </c>
      <c r="B19811" s="682" t="s">
        <v>4234</v>
      </c>
    </row>
    <row r="19813" spans="1:11">
      <c r="A19813" s="682" t="s">
        <v>4332</v>
      </c>
    </row>
    <row r="19814" spans="1:11">
      <c r="A19814" s="682" t="s">
        <v>4210</v>
      </c>
      <c r="B19814" s="683" t="s">
        <v>4211</v>
      </c>
    </row>
    <row r="19815" spans="1:11">
      <c r="A19815" s="682" t="s">
        <v>4212</v>
      </c>
      <c r="B19815" s="682" t="s">
        <v>4213</v>
      </c>
    </row>
    <row r="19817" spans="1:11">
      <c r="A19817" s="683" t="s">
        <v>4214</v>
      </c>
      <c r="C19817" s="682" t="s">
        <v>4215</v>
      </c>
    </row>
    <row r="19818" spans="1:11">
      <c r="A19818" s="683" t="s">
        <v>4216</v>
      </c>
      <c r="C19818" s="682" t="s">
        <v>2967</v>
      </c>
    </row>
    <row r="19819" spans="1:11">
      <c r="A19819" s="683" t="s">
        <v>3893</v>
      </c>
      <c r="C19819" s="682" t="s">
        <v>2169</v>
      </c>
    </row>
    <row r="19820" spans="1:11">
      <c r="A19820" s="683" t="s">
        <v>4218</v>
      </c>
      <c r="C19820" s="682" t="s">
        <v>4319</v>
      </c>
    </row>
    <row r="19822" spans="1:11">
      <c r="A19822" s="684" t="s">
        <v>4220</v>
      </c>
      <c r="B19822" s="685" t="s">
        <v>4221</v>
      </c>
      <c r="C19822" s="685" t="s">
        <v>4222</v>
      </c>
      <c r="D19822" s="685" t="s">
        <v>4223</v>
      </c>
      <c r="E19822" s="685" t="s">
        <v>4224</v>
      </c>
      <c r="F19822" s="685" t="s">
        <v>4225</v>
      </c>
      <c r="G19822" s="685" t="s">
        <v>4226</v>
      </c>
      <c r="H19822" s="685" t="s">
        <v>4227</v>
      </c>
      <c r="I19822" s="685" t="s">
        <v>4228</v>
      </c>
      <c r="J19822" s="685" t="s">
        <v>4229</v>
      </c>
      <c r="K19822" s="685" t="s">
        <v>4230</v>
      </c>
    </row>
    <row r="19823" spans="1:11">
      <c r="A19823" s="686" t="s">
        <v>4231</v>
      </c>
      <c r="B19823" s="687" t="s">
        <v>4232</v>
      </c>
      <c r="C19823" s="687" t="s">
        <v>4232</v>
      </c>
      <c r="D19823" s="687" t="s">
        <v>4232</v>
      </c>
      <c r="E19823" s="687" t="s">
        <v>4232</v>
      </c>
      <c r="F19823" s="687" t="s">
        <v>4232</v>
      </c>
      <c r="G19823" s="687" t="s">
        <v>4232</v>
      </c>
      <c r="H19823" s="687" t="s">
        <v>4232</v>
      </c>
      <c r="I19823" s="687" t="s">
        <v>4232</v>
      </c>
      <c r="J19823" s="687" t="s">
        <v>4232</v>
      </c>
      <c r="K19823" s="687" t="s">
        <v>4232</v>
      </c>
    </row>
    <row r="19824" spans="1:11">
      <c r="A19824" s="688" t="s">
        <v>4064</v>
      </c>
      <c r="B19824" s="692" t="s">
        <v>4060</v>
      </c>
      <c r="C19824" s="691">
        <v>6.8</v>
      </c>
      <c r="D19824" s="692" t="s">
        <v>4060</v>
      </c>
      <c r="E19824" s="691">
        <v>6.9</v>
      </c>
      <c r="F19824" s="691">
        <v>6.8</v>
      </c>
      <c r="G19824" s="691">
        <v>6.8</v>
      </c>
      <c r="H19824" s="615">
        <v>7</v>
      </c>
      <c r="I19824" s="691">
        <v>6.6</v>
      </c>
      <c r="J19824" s="691">
        <v>6.7</v>
      </c>
      <c r="K19824" s="691">
        <v>6.6</v>
      </c>
    </row>
    <row r="19825" spans="1:11">
      <c r="A19825" s="688" t="s">
        <v>4065</v>
      </c>
      <c r="B19825" s="690" t="s">
        <v>4060</v>
      </c>
      <c r="C19825" s="690" t="s">
        <v>4060</v>
      </c>
      <c r="D19825" s="690" t="s">
        <v>4060</v>
      </c>
      <c r="E19825" s="690" t="s">
        <v>4060</v>
      </c>
      <c r="F19825" s="690" t="s">
        <v>4060</v>
      </c>
      <c r="G19825" s="690" t="s">
        <v>4060</v>
      </c>
      <c r="H19825" s="690" t="s">
        <v>4060</v>
      </c>
      <c r="I19825" s="690" t="s">
        <v>4060</v>
      </c>
      <c r="J19825" s="690" t="s">
        <v>4060</v>
      </c>
      <c r="K19825" s="690" t="s">
        <v>4060</v>
      </c>
    </row>
    <row r="19826" spans="1:11">
      <c r="A19826" s="688" t="s">
        <v>4063</v>
      </c>
      <c r="B19826" s="692" t="s">
        <v>4060</v>
      </c>
      <c r="C19826" s="692" t="s">
        <v>4060</v>
      </c>
      <c r="D19826" s="692" t="s">
        <v>4060</v>
      </c>
      <c r="E19826" s="692" t="s">
        <v>4060</v>
      </c>
      <c r="F19826" s="692" t="s">
        <v>4060</v>
      </c>
      <c r="G19826" s="692" t="s">
        <v>4060</v>
      </c>
      <c r="H19826" s="692" t="s">
        <v>4060</v>
      </c>
      <c r="I19826" s="692" t="s">
        <v>4060</v>
      </c>
      <c r="J19826" s="692" t="s">
        <v>4060</v>
      </c>
      <c r="K19826" s="692" t="s">
        <v>4060</v>
      </c>
    </row>
    <row r="19827" spans="1:11">
      <c r="A19827" s="688" t="s">
        <v>4069</v>
      </c>
      <c r="B19827" s="690" t="s">
        <v>4060</v>
      </c>
      <c r="C19827" s="693">
        <v>7</v>
      </c>
      <c r="D19827" s="689">
        <v>6.7</v>
      </c>
      <c r="E19827" s="693">
        <v>7</v>
      </c>
      <c r="F19827" s="689">
        <v>6.9</v>
      </c>
      <c r="G19827" s="693">
        <v>7</v>
      </c>
      <c r="H19827" s="689">
        <v>7.2</v>
      </c>
      <c r="I19827" s="689">
        <v>6.8</v>
      </c>
      <c r="J19827" s="693">
        <v>7</v>
      </c>
      <c r="K19827" s="689">
        <v>6.8</v>
      </c>
    </row>
    <row r="19828" spans="1:11">
      <c r="A19828" s="688" t="s">
        <v>4068</v>
      </c>
      <c r="B19828" s="692" t="s">
        <v>4060</v>
      </c>
      <c r="C19828" s="692" t="s">
        <v>4060</v>
      </c>
      <c r="D19828" s="692" t="s">
        <v>4060</v>
      </c>
      <c r="E19828" s="692" t="s">
        <v>4060</v>
      </c>
      <c r="F19828" s="692" t="s">
        <v>4060</v>
      </c>
      <c r="G19828" s="692" t="s">
        <v>4060</v>
      </c>
      <c r="H19828" s="692" t="s">
        <v>4060</v>
      </c>
      <c r="I19828" s="692" t="s">
        <v>4060</v>
      </c>
      <c r="J19828" s="692" t="s">
        <v>4060</v>
      </c>
      <c r="K19828" s="692" t="s">
        <v>4060</v>
      </c>
    </row>
    <row r="19829" spans="1:11">
      <c r="A19829" s="688" t="s">
        <v>0</v>
      </c>
      <c r="B19829" s="690" t="s">
        <v>4060</v>
      </c>
      <c r="C19829" s="689">
        <v>6.8</v>
      </c>
      <c r="D19829" s="689">
        <v>6.6</v>
      </c>
      <c r="E19829" s="689">
        <v>6.9</v>
      </c>
      <c r="F19829" s="689">
        <v>6.9</v>
      </c>
      <c r="G19829" s="689">
        <v>6.9</v>
      </c>
      <c r="H19829" s="689">
        <v>7.1</v>
      </c>
      <c r="I19829" s="689">
        <v>6.4</v>
      </c>
      <c r="J19829" s="689">
        <v>7.3</v>
      </c>
      <c r="K19829" s="689">
        <v>6.9</v>
      </c>
    </row>
    <row r="19830" spans="1:11">
      <c r="A19830" s="688" t="s">
        <v>1</v>
      </c>
      <c r="B19830" s="692" t="s">
        <v>4060</v>
      </c>
      <c r="C19830" s="691">
        <v>4.9000000000000004</v>
      </c>
      <c r="D19830" s="691">
        <v>4.8</v>
      </c>
      <c r="E19830" s="615">
        <v>5</v>
      </c>
      <c r="F19830" s="691">
        <v>4.9000000000000004</v>
      </c>
      <c r="G19830" s="615">
        <v>5</v>
      </c>
      <c r="H19830" s="615">
        <v>5</v>
      </c>
      <c r="I19830" s="691">
        <v>4.8</v>
      </c>
      <c r="J19830" s="691">
        <v>4.4000000000000004</v>
      </c>
      <c r="K19830" s="691">
        <v>4.9000000000000004</v>
      </c>
    </row>
    <row r="19831" spans="1:11">
      <c r="A19831" s="688" t="s">
        <v>2240</v>
      </c>
      <c r="B19831" s="690" t="s">
        <v>4060</v>
      </c>
      <c r="C19831" s="689">
        <v>5.8</v>
      </c>
      <c r="D19831" s="689">
        <v>5.7</v>
      </c>
      <c r="E19831" s="693">
        <v>6</v>
      </c>
      <c r="F19831" s="689">
        <v>5.9</v>
      </c>
      <c r="G19831" s="689">
        <v>5.9</v>
      </c>
      <c r="H19831" s="693">
        <v>6</v>
      </c>
      <c r="I19831" s="689">
        <v>5.5</v>
      </c>
      <c r="J19831" s="689">
        <v>5.6</v>
      </c>
      <c r="K19831" s="689">
        <v>5.9</v>
      </c>
    </row>
    <row r="19832" spans="1:11">
      <c r="A19832" s="688" t="s">
        <v>2</v>
      </c>
      <c r="B19832" s="692" t="s">
        <v>4060</v>
      </c>
      <c r="C19832" s="691">
        <v>6.9</v>
      </c>
      <c r="D19832" s="691">
        <v>6.8</v>
      </c>
      <c r="E19832" s="691">
        <v>6.8</v>
      </c>
      <c r="F19832" s="691">
        <v>6.7</v>
      </c>
      <c r="G19832" s="691">
        <v>6.6</v>
      </c>
      <c r="H19832" s="691">
        <v>6.8</v>
      </c>
      <c r="I19832" s="691">
        <v>6.9</v>
      </c>
      <c r="J19832" s="691">
        <v>6.7</v>
      </c>
      <c r="K19832" s="691">
        <v>6.6</v>
      </c>
    </row>
    <row r="19833" spans="1:11">
      <c r="A19833" s="688" t="s">
        <v>3</v>
      </c>
      <c r="B19833" s="690" t="s">
        <v>4060</v>
      </c>
      <c r="C19833" s="689">
        <v>6.6</v>
      </c>
      <c r="D19833" s="689">
        <v>6.3</v>
      </c>
      <c r="E19833" s="689">
        <v>6.6</v>
      </c>
      <c r="F19833" s="689">
        <v>6.5</v>
      </c>
      <c r="G19833" s="689">
        <v>6.5</v>
      </c>
      <c r="H19833" s="689">
        <v>6.7</v>
      </c>
      <c r="I19833" s="689">
        <v>6.5</v>
      </c>
      <c r="J19833" s="689">
        <v>6.5</v>
      </c>
      <c r="K19833" s="689">
        <v>6.3</v>
      </c>
    </row>
    <row r="19834" spans="1:11">
      <c r="A19834" s="688" t="s">
        <v>4061</v>
      </c>
      <c r="B19834" s="692" t="s">
        <v>4060</v>
      </c>
      <c r="C19834" s="691">
        <v>6.6</v>
      </c>
      <c r="D19834" s="691">
        <v>6.3</v>
      </c>
      <c r="E19834" s="691">
        <v>6.6</v>
      </c>
      <c r="F19834" s="691">
        <v>6.5</v>
      </c>
      <c r="G19834" s="691">
        <v>6.5</v>
      </c>
      <c r="H19834" s="691">
        <v>6.7</v>
      </c>
      <c r="I19834" s="691">
        <v>6.5</v>
      </c>
      <c r="J19834" s="691">
        <v>6.5</v>
      </c>
      <c r="K19834" s="691">
        <v>6.3</v>
      </c>
    </row>
    <row r="19835" spans="1:11">
      <c r="A19835" s="688" t="s">
        <v>4</v>
      </c>
      <c r="B19835" s="690" t="s">
        <v>4060</v>
      </c>
      <c r="C19835" s="689">
        <v>6.3</v>
      </c>
      <c r="D19835" s="689">
        <v>6.3</v>
      </c>
      <c r="E19835" s="689">
        <v>6.3</v>
      </c>
      <c r="F19835" s="689">
        <v>6.4</v>
      </c>
      <c r="G19835" s="689">
        <v>6.5</v>
      </c>
      <c r="H19835" s="689">
        <v>6.7</v>
      </c>
      <c r="I19835" s="689">
        <v>6.7</v>
      </c>
      <c r="J19835" s="693">
        <v>6</v>
      </c>
      <c r="K19835" s="689">
        <v>6.3</v>
      </c>
    </row>
    <row r="19836" spans="1:11">
      <c r="A19836" s="688" t="s">
        <v>8</v>
      </c>
      <c r="B19836" s="692" t="s">
        <v>4060</v>
      </c>
      <c r="C19836" s="691">
        <v>6.6</v>
      </c>
      <c r="D19836" s="691">
        <v>6.4</v>
      </c>
      <c r="E19836" s="691">
        <v>6.5</v>
      </c>
      <c r="F19836" s="691">
        <v>6.7</v>
      </c>
      <c r="G19836" s="691">
        <v>6.9</v>
      </c>
      <c r="H19836" s="691">
        <v>6.9</v>
      </c>
      <c r="I19836" s="691">
        <v>6.8</v>
      </c>
      <c r="J19836" s="691">
        <v>6.8</v>
      </c>
      <c r="K19836" s="691">
        <v>6.8</v>
      </c>
    </row>
    <row r="19837" spans="1:11">
      <c r="A19837" s="688" t="s">
        <v>7</v>
      </c>
      <c r="B19837" s="690" t="s">
        <v>4060</v>
      </c>
      <c r="C19837" s="689">
        <v>6.2</v>
      </c>
      <c r="D19837" s="693">
        <v>6</v>
      </c>
      <c r="E19837" s="689">
        <v>6.4</v>
      </c>
      <c r="F19837" s="689">
        <v>6.3</v>
      </c>
      <c r="G19837" s="689">
        <v>6.6</v>
      </c>
      <c r="H19837" s="689">
        <v>6.5</v>
      </c>
      <c r="I19837" s="689">
        <v>6.5</v>
      </c>
      <c r="J19837" s="689">
        <v>6.2</v>
      </c>
      <c r="K19837" s="689">
        <v>6.1</v>
      </c>
    </row>
    <row r="19838" spans="1:11">
      <c r="A19838" s="688" t="s">
        <v>27</v>
      </c>
      <c r="B19838" s="692" t="s">
        <v>4060</v>
      </c>
      <c r="C19838" s="691">
        <v>7.4</v>
      </c>
      <c r="D19838" s="691">
        <v>7.1</v>
      </c>
      <c r="E19838" s="691">
        <v>7.4</v>
      </c>
      <c r="F19838" s="691">
        <v>7.3</v>
      </c>
      <c r="G19838" s="691">
        <v>7.4</v>
      </c>
      <c r="H19838" s="691">
        <v>7.6</v>
      </c>
      <c r="I19838" s="691">
        <v>6.9</v>
      </c>
      <c r="J19838" s="691">
        <v>7.6</v>
      </c>
      <c r="K19838" s="691">
        <v>7.3</v>
      </c>
    </row>
    <row r="19839" spans="1:11">
      <c r="A19839" s="688" t="s">
        <v>6</v>
      </c>
      <c r="B19839" s="690" t="s">
        <v>4060</v>
      </c>
      <c r="C19839" s="689">
        <v>7.8</v>
      </c>
      <c r="D19839" s="689">
        <v>7.5</v>
      </c>
      <c r="E19839" s="689">
        <v>7.8</v>
      </c>
      <c r="F19839" s="689">
        <v>7.8</v>
      </c>
      <c r="G19839" s="689">
        <v>7.9</v>
      </c>
      <c r="H19839" s="689">
        <v>7.9</v>
      </c>
      <c r="I19839" s="689">
        <v>7.6</v>
      </c>
      <c r="J19839" s="689">
        <v>7.8</v>
      </c>
      <c r="K19839" s="689">
        <v>7.7</v>
      </c>
    </row>
    <row r="19840" spans="1:11">
      <c r="A19840" s="688" t="s">
        <v>4058</v>
      </c>
      <c r="B19840" s="692" t="s">
        <v>4060</v>
      </c>
      <c r="C19840" s="692" t="s">
        <v>4060</v>
      </c>
      <c r="D19840" s="692" t="s">
        <v>4060</v>
      </c>
      <c r="E19840" s="692" t="s">
        <v>4060</v>
      </c>
      <c r="F19840" s="692" t="s">
        <v>4060</v>
      </c>
      <c r="G19840" s="692" t="s">
        <v>4060</v>
      </c>
      <c r="H19840" s="692" t="s">
        <v>4060</v>
      </c>
      <c r="I19840" s="692" t="s">
        <v>4060</v>
      </c>
      <c r="J19840" s="692" t="s">
        <v>4060</v>
      </c>
      <c r="K19840" s="692" t="s">
        <v>4060</v>
      </c>
    </row>
    <row r="19841" spans="1:11">
      <c r="A19841" s="688" t="s">
        <v>11</v>
      </c>
      <c r="B19841" s="690" t="s">
        <v>4060</v>
      </c>
      <c r="C19841" s="689">
        <v>5.4</v>
      </c>
      <c r="D19841" s="689">
        <v>5.0999999999999996</v>
      </c>
      <c r="E19841" s="689">
        <v>5.4</v>
      </c>
      <c r="F19841" s="689">
        <v>5.3</v>
      </c>
      <c r="G19841" s="689">
        <v>5.4</v>
      </c>
      <c r="H19841" s="689">
        <v>5.5</v>
      </c>
      <c r="I19841" s="689">
        <v>5.2</v>
      </c>
      <c r="J19841" s="689">
        <v>4.9000000000000004</v>
      </c>
      <c r="K19841" s="693">
        <v>5</v>
      </c>
    </row>
    <row r="19842" spans="1:11">
      <c r="A19842" s="688" t="s">
        <v>10</v>
      </c>
      <c r="B19842" s="692" t="s">
        <v>4060</v>
      </c>
      <c r="C19842" s="691">
        <v>7.1</v>
      </c>
      <c r="D19842" s="691">
        <v>6.8</v>
      </c>
      <c r="E19842" s="691">
        <v>7.2</v>
      </c>
      <c r="F19842" s="615">
        <v>7</v>
      </c>
      <c r="G19842" s="691">
        <v>7.2</v>
      </c>
      <c r="H19842" s="691">
        <v>7.2</v>
      </c>
      <c r="I19842" s="691">
        <v>6.6</v>
      </c>
      <c r="J19842" s="615">
        <v>7</v>
      </c>
      <c r="K19842" s="691">
        <v>6.8</v>
      </c>
    </row>
    <row r="19843" spans="1:11">
      <c r="A19843" s="688" t="s">
        <v>30</v>
      </c>
      <c r="B19843" s="690" t="s">
        <v>4060</v>
      </c>
      <c r="C19843" s="689">
        <v>6.2</v>
      </c>
      <c r="D19843" s="689">
        <v>5.7</v>
      </c>
      <c r="E19843" s="689">
        <v>6.2</v>
      </c>
      <c r="F19843" s="689">
        <v>5.7</v>
      </c>
      <c r="G19843" s="689">
        <v>6.3</v>
      </c>
      <c r="H19843" s="693">
        <v>6</v>
      </c>
      <c r="I19843" s="689">
        <v>6.1</v>
      </c>
      <c r="J19843" s="689">
        <v>6.1</v>
      </c>
      <c r="K19843" s="689">
        <v>5.8</v>
      </c>
    </row>
    <row r="19844" spans="1:11">
      <c r="A19844" s="688" t="s">
        <v>12</v>
      </c>
      <c r="B19844" s="692" t="s">
        <v>4060</v>
      </c>
      <c r="C19844" s="691">
        <v>5.7</v>
      </c>
      <c r="D19844" s="691">
        <v>5.7</v>
      </c>
      <c r="E19844" s="691">
        <v>5.7</v>
      </c>
      <c r="F19844" s="691">
        <v>5.7</v>
      </c>
      <c r="G19844" s="691">
        <v>5.8</v>
      </c>
      <c r="H19844" s="691">
        <v>5.9</v>
      </c>
      <c r="I19844" s="691">
        <v>5.8</v>
      </c>
      <c r="J19844" s="691">
        <v>5.3</v>
      </c>
      <c r="K19844" s="691">
        <v>5.6</v>
      </c>
    </row>
    <row r="19845" spans="1:11">
      <c r="A19845" s="688" t="s">
        <v>14</v>
      </c>
      <c r="B19845" s="690" t="s">
        <v>4060</v>
      </c>
      <c r="C19845" s="689">
        <v>5.5</v>
      </c>
      <c r="D19845" s="689">
        <v>5.3</v>
      </c>
      <c r="E19845" s="689">
        <v>5.4</v>
      </c>
      <c r="F19845" s="689">
        <v>5.5</v>
      </c>
      <c r="G19845" s="689">
        <v>5.6</v>
      </c>
      <c r="H19845" s="689">
        <v>5.8</v>
      </c>
      <c r="I19845" s="689">
        <v>5.6</v>
      </c>
      <c r="J19845" s="689">
        <v>5.3</v>
      </c>
      <c r="K19845" s="689">
        <v>5.5</v>
      </c>
    </row>
    <row r="19846" spans="1:11">
      <c r="A19846" s="688" t="s">
        <v>15</v>
      </c>
      <c r="B19846" s="692" t="s">
        <v>4060</v>
      </c>
      <c r="C19846" s="691">
        <v>7.3</v>
      </c>
      <c r="D19846" s="691">
        <v>6.8</v>
      </c>
      <c r="E19846" s="691">
        <v>7.1</v>
      </c>
      <c r="F19846" s="615">
        <v>7</v>
      </c>
      <c r="G19846" s="615">
        <v>7</v>
      </c>
      <c r="H19846" s="691">
        <v>7.2</v>
      </c>
      <c r="I19846" s="691">
        <v>6.9</v>
      </c>
      <c r="J19846" s="615">
        <v>7</v>
      </c>
      <c r="K19846" s="615">
        <v>7</v>
      </c>
    </row>
    <row r="19847" spans="1:11">
      <c r="A19847" s="688" t="s">
        <v>29</v>
      </c>
      <c r="B19847" s="690" t="s">
        <v>4060</v>
      </c>
      <c r="C19847" s="689">
        <v>5.7</v>
      </c>
      <c r="D19847" s="689">
        <v>5.4</v>
      </c>
      <c r="E19847" s="689">
        <v>5.7</v>
      </c>
      <c r="F19847" s="689">
        <v>5.5</v>
      </c>
      <c r="G19847" s="689">
        <v>5.6</v>
      </c>
      <c r="H19847" s="689">
        <v>5.6</v>
      </c>
      <c r="I19847" s="689">
        <v>5.4</v>
      </c>
      <c r="J19847" s="689">
        <v>5.3</v>
      </c>
      <c r="K19847" s="689">
        <v>5.5</v>
      </c>
    </row>
    <row r="19848" spans="1:11">
      <c r="A19848" s="688" t="s">
        <v>16</v>
      </c>
      <c r="B19848" s="692" t="s">
        <v>4060</v>
      </c>
      <c r="C19848" s="691">
        <v>6.6</v>
      </c>
      <c r="D19848" s="691">
        <v>6.5</v>
      </c>
      <c r="E19848" s="691">
        <v>6.9</v>
      </c>
      <c r="F19848" s="691">
        <v>6.7</v>
      </c>
      <c r="G19848" s="691">
        <v>6.8</v>
      </c>
      <c r="H19848" s="615">
        <v>7</v>
      </c>
      <c r="I19848" s="691">
        <v>6.6</v>
      </c>
      <c r="J19848" s="691">
        <v>6.7</v>
      </c>
      <c r="K19848" s="691">
        <v>6.7</v>
      </c>
    </row>
    <row r="19849" spans="1:11">
      <c r="A19849" s="688" t="s">
        <v>17</v>
      </c>
      <c r="B19849" s="690" t="s">
        <v>4060</v>
      </c>
      <c r="C19849" s="689">
        <v>6.7</v>
      </c>
      <c r="D19849" s="689">
        <v>6.5</v>
      </c>
      <c r="E19849" s="689">
        <v>6.5</v>
      </c>
      <c r="F19849" s="689">
        <v>6.5</v>
      </c>
      <c r="G19849" s="689">
        <v>6.5</v>
      </c>
      <c r="H19849" s="689">
        <v>6.7</v>
      </c>
      <c r="I19849" s="689">
        <v>6.3</v>
      </c>
      <c r="J19849" s="689">
        <v>6.4</v>
      </c>
      <c r="K19849" s="689">
        <v>6.3</v>
      </c>
    </row>
    <row r="19850" spans="1:11">
      <c r="A19850" s="688" t="s">
        <v>19</v>
      </c>
      <c r="B19850" s="692" t="s">
        <v>4060</v>
      </c>
      <c r="C19850" s="691">
        <v>6.7</v>
      </c>
      <c r="D19850" s="691">
        <v>6.4</v>
      </c>
      <c r="E19850" s="691">
        <v>6.8</v>
      </c>
      <c r="F19850" s="691">
        <v>6.6</v>
      </c>
      <c r="G19850" s="691">
        <v>6.7</v>
      </c>
      <c r="H19850" s="691">
        <v>6.7</v>
      </c>
      <c r="I19850" s="691">
        <v>6.4</v>
      </c>
      <c r="J19850" s="691">
        <v>6.5</v>
      </c>
      <c r="K19850" s="691">
        <v>6.4</v>
      </c>
    </row>
    <row r="19851" spans="1:11">
      <c r="A19851" s="688" t="s">
        <v>20</v>
      </c>
      <c r="B19851" s="690" t="s">
        <v>4060</v>
      </c>
      <c r="C19851" s="689">
        <v>6.4</v>
      </c>
      <c r="D19851" s="689">
        <v>6.2</v>
      </c>
      <c r="E19851" s="689">
        <v>6.5</v>
      </c>
      <c r="F19851" s="689">
        <v>6.4</v>
      </c>
      <c r="G19851" s="689">
        <v>6.4</v>
      </c>
      <c r="H19851" s="689">
        <v>6.6</v>
      </c>
      <c r="I19851" s="693">
        <v>6</v>
      </c>
      <c r="J19851" s="689">
        <v>5.7</v>
      </c>
      <c r="K19851" s="689">
        <v>6.1</v>
      </c>
    </row>
    <row r="19852" spans="1:11">
      <c r="A19852" s="688" t="s">
        <v>21</v>
      </c>
      <c r="B19852" s="692" t="s">
        <v>4060</v>
      </c>
      <c r="C19852" s="615">
        <v>7</v>
      </c>
      <c r="D19852" s="691">
        <v>6.8</v>
      </c>
      <c r="E19852" s="691">
        <v>6.9</v>
      </c>
      <c r="F19852" s="615">
        <v>7</v>
      </c>
      <c r="G19852" s="615">
        <v>7</v>
      </c>
      <c r="H19852" s="691">
        <v>7.1</v>
      </c>
      <c r="I19852" s="691">
        <v>6.7</v>
      </c>
      <c r="J19852" s="691">
        <v>6.8</v>
      </c>
      <c r="K19852" s="691">
        <v>6.7</v>
      </c>
    </row>
    <row r="19853" spans="1:11">
      <c r="A19853" s="688" t="s">
        <v>22</v>
      </c>
      <c r="B19853" s="690" t="s">
        <v>4060</v>
      </c>
      <c r="C19853" s="689">
        <v>5.5</v>
      </c>
      <c r="D19853" s="689">
        <v>5.4</v>
      </c>
      <c r="E19853" s="689">
        <v>5.8</v>
      </c>
      <c r="F19853" s="689">
        <v>5.8</v>
      </c>
      <c r="G19853" s="689">
        <v>5.8</v>
      </c>
      <c r="H19853" s="689">
        <v>6.1</v>
      </c>
      <c r="I19853" s="689">
        <v>5.7</v>
      </c>
      <c r="J19853" s="693">
        <v>5</v>
      </c>
      <c r="K19853" s="689">
        <v>5.2</v>
      </c>
    </row>
    <row r="19854" spans="1:11">
      <c r="A19854" s="688" t="s">
        <v>26</v>
      </c>
      <c r="B19854" s="692" t="s">
        <v>4060</v>
      </c>
      <c r="C19854" s="691">
        <v>6.5</v>
      </c>
      <c r="D19854" s="691">
        <v>6.5</v>
      </c>
      <c r="E19854" s="691">
        <v>6.5</v>
      </c>
      <c r="F19854" s="691">
        <v>6.6</v>
      </c>
      <c r="G19854" s="691">
        <v>6.7</v>
      </c>
      <c r="H19854" s="691">
        <v>6.7</v>
      </c>
      <c r="I19854" s="615">
        <v>6</v>
      </c>
      <c r="J19854" s="691">
        <v>6.5</v>
      </c>
      <c r="K19854" s="691">
        <v>6.5</v>
      </c>
    </row>
    <row r="19855" spans="1:11">
      <c r="A19855" s="688" t="s">
        <v>25</v>
      </c>
      <c r="B19855" s="690" t="s">
        <v>4060</v>
      </c>
      <c r="C19855" s="689">
        <v>5.9</v>
      </c>
      <c r="D19855" s="689">
        <v>5.6</v>
      </c>
      <c r="E19855" s="689">
        <v>5.8</v>
      </c>
      <c r="F19855" s="689">
        <v>5.7</v>
      </c>
      <c r="G19855" s="689">
        <v>5.9</v>
      </c>
      <c r="H19855" s="689">
        <v>6.2</v>
      </c>
      <c r="I19855" s="689">
        <v>5.9</v>
      </c>
      <c r="J19855" s="689">
        <v>5.0999999999999996</v>
      </c>
      <c r="K19855" s="689">
        <v>5.5</v>
      </c>
    </row>
    <row r="19856" spans="1:11">
      <c r="A19856" s="688" t="s">
        <v>5</v>
      </c>
      <c r="B19856" s="692" t="s">
        <v>4060</v>
      </c>
      <c r="C19856" s="691">
        <v>6.6</v>
      </c>
      <c r="D19856" s="691">
        <v>6.7</v>
      </c>
      <c r="E19856" s="691">
        <v>6.7</v>
      </c>
      <c r="F19856" s="691">
        <v>6.9</v>
      </c>
      <c r="G19856" s="691">
        <v>6.8</v>
      </c>
      <c r="H19856" s="615">
        <v>7</v>
      </c>
      <c r="I19856" s="615">
        <v>7</v>
      </c>
      <c r="J19856" s="615">
        <v>7</v>
      </c>
      <c r="K19856" s="691">
        <v>6.6</v>
      </c>
    </row>
    <row r="19857" spans="1:11">
      <c r="A19857" s="688" t="s">
        <v>23</v>
      </c>
      <c r="B19857" s="690" t="s">
        <v>4060</v>
      </c>
      <c r="C19857" s="689">
        <v>6.8</v>
      </c>
      <c r="D19857" s="689">
        <v>6.8</v>
      </c>
      <c r="E19857" s="689">
        <v>6.8</v>
      </c>
      <c r="F19857" s="689">
        <v>6.8</v>
      </c>
      <c r="G19857" s="689">
        <v>6.9</v>
      </c>
      <c r="H19857" s="689">
        <v>7.1</v>
      </c>
      <c r="I19857" s="689">
        <v>6.7</v>
      </c>
      <c r="J19857" s="689">
        <v>7.2</v>
      </c>
      <c r="K19857" s="689">
        <v>7.1</v>
      </c>
    </row>
    <row r="19858" spans="1:11">
      <c r="A19858" s="688" t="s">
        <v>4067</v>
      </c>
      <c r="B19858" s="692" t="s">
        <v>4060</v>
      </c>
      <c r="C19858" s="692" t="s">
        <v>4060</v>
      </c>
      <c r="D19858" s="692" t="s">
        <v>4060</v>
      </c>
      <c r="E19858" s="692" t="s">
        <v>4060</v>
      </c>
      <c r="F19858" s="692" t="s">
        <v>4060</v>
      </c>
      <c r="G19858" s="692" t="s">
        <v>4060</v>
      </c>
      <c r="H19858" s="692" t="s">
        <v>4060</v>
      </c>
      <c r="I19858" s="692" t="s">
        <v>4060</v>
      </c>
      <c r="J19858" s="692" t="s">
        <v>4060</v>
      </c>
      <c r="K19858" s="692" t="s">
        <v>4060</v>
      </c>
    </row>
    <row r="19859" spans="1:11">
      <c r="A19859" s="688" t="s">
        <v>4066</v>
      </c>
      <c r="B19859" s="690" t="s">
        <v>4060</v>
      </c>
      <c r="C19859" s="690" t="s">
        <v>4060</v>
      </c>
      <c r="D19859" s="690" t="s">
        <v>4060</v>
      </c>
      <c r="E19859" s="690" t="s">
        <v>4060</v>
      </c>
      <c r="F19859" s="690" t="s">
        <v>4060</v>
      </c>
      <c r="G19859" s="690" t="s">
        <v>4060</v>
      </c>
      <c r="H19859" s="690" t="s">
        <v>4060</v>
      </c>
      <c r="I19859" s="690" t="s">
        <v>4060</v>
      </c>
      <c r="J19859" s="690" t="s">
        <v>4060</v>
      </c>
      <c r="K19859" s="690" t="s">
        <v>4060</v>
      </c>
    </row>
    <row r="19860" spans="1:11">
      <c r="A19860" s="688" t="s">
        <v>4062</v>
      </c>
      <c r="B19860" s="692" t="s">
        <v>4060</v>
      </c>
      <c r="C19860" s="615">
        <v>7</v>
      </c>
      <c r="D19860" s="691">
        <v>6.8</v>
      </c>
      <c r="E19860" s="691">
        <v>7.1</v>
      </c>
      <c r="F19860" s="615">
        <v>7</v>
      </c>
      <c r="G19860" s="691">
        <v>7.1</v>
      </c>
      <c r="H19860" s="691">
        <v>7.2</v>
      </c>
      <c r="I19860" s="691">
        <v>6.9</v>
      </c>
      <c r="J19860" s="691">
        <v>7.2</v>
      </c>
      <c r="K19860" s="615">
        <v>7</v>
      </c>
    </row>
    <row r="19861" spans="1:11">
      <c r="A19861" s="688" t="s">
        <v>9</v>
      </c>
      <c r="B19861" s="690" t="s">
        <v>4060</v>
      </c>
      <c r="C19861" s="689">
        <v>7.2</v>
      </c>
      <c r="D19861" s="689">
        <v>6.7</v>
      </c>
      <c r="E19861" s="689">
        <v>6.8</v>
      </c>
      <c r="F19861" s="689">
        <v>6.7</v>
      </c>
      <c r="G19861" s="689">
        <v>6.9</v>
      </c>
      <c r="H19861" s="689">
        <v>6.9</v>
      </c>
      <c r="I19861" s="689">
        <v>6.8</v>
      </c>
      <c r="J19861" s="689">
        <v>6.8</v>
      </c>
      <c r="K19861" s="689">
        <v>6.5</v>
      </c>
    </row>
    <row r="19862" spans="1:11">
      <c r="A19862" s="688" t="s">
        <v>13</v>
      </c>
      <c r="B19862" s="692" t="s">
        <v>4060</v>
      </c>
      <c r="C19862" s="691">
        <v>5.6</v>
      </c>
      <c r="D19862" s="691">
        <v>6.2</v>
      </c>
      <c r="E19862" s="691">
        <v>7.3</v>
      </c>
      <c r="F19862" s="691">
        <v>7.5</v>
      </c>
      <c r="G19862" s="691">
        <v>6.5</v>
      </c>
      <c r="H19862" s="691">
        <v>7.1</v>
      </c>
      <c r="I19862" s="691">
        <v>6.8</v>
      </c>
      <c r="J19862" s="691">
        <v>6.5</v>
      </c>
      <c r="K19862" s="691">
        <v>6.4</v>
      </c>
    </row>
    <row r="19863" spans="1:11">
      <c r="A19863" s="688" t="s">
        <v>18</v>
      </c>
      <c r="B19863" s="690" t="s">
        <v>4060</v>
      </c>
      <c r="C19863" s="689">
        <v>6.9</v>
      </c>
      <c r="D19863" s="689">
        <v>6.9</v>
      </c>
      <c r="E19863" s="689">
        <v>6.9</v>
      </c>
      <c r="F19863" s="689">
        <v>6.9</v>
      </c>
      <c r="G19863" s="693">
        <v>7</v>
      </c>
      <c r="H19863" s="689">
        <v>7.1</v>
      </c>
      <c r="I19863" s="689">
        <v>7.2</v>
      </c>
      <c r="J19863" s="693">
        <v>7</v>
      </c>
      <c r="K19863" s="689">
        <v>6.7</v>
      </c>
    </row>
    <row r="19864" spans="1:11">
      <c r="A19864" s="688" t="s">
        <v>24</v>
      </c>
      <c r="B19864" s="692" t="s">
        <v>4060</v>
      </c>
      <c r="C19864" s="691">
        <v>7.1</v>
      </c>
      <c r="D19864" s="691">
        <v>6.8</v>
      </c>
      <c r="E19864" s="691">
        <v>7.2</v>
      </c>
      <c r="F19864" s="691">
        <v>7.1</v>
      </c>
      <c r="G19864" s="691">
        <v>7.2</v>
      </c>
      <c r="H19864" s="691">
        <v>7.3</v>
      </c>
      <c r="I19864" s="691">
        <v>6.8</v>
      </c>
      <c r="J19864" s="691">
        <v>7.3</v>
      </c>
      <c r="K19864" s="691">
        <v>7.1</v>
      </c>
    </row>
    <row r="19865" spans="1:11">
      <c r="A19865" s="688" t="s">
        <v>4059</v>
      </c>
      <c r="B19865" s="690" t="s">
        <v>4060</v>
      </c>
      <c r="C19865" s="690" t="s">
        <v>4060</v>
      </c>
      <c r="D19865" s="690" t="s">
        <v>4060</v>
      </c>
      <c r="E19865" s="690" t="s">
        <v>4060</v>
      </c>
      <c r="F19865" s="690" t="s">
        <v>4060</v>
      </c>
      <c r="G19865" s="690" t="s">
        <v>4060</v>
      </c>
      <c r="H19865" s="690" t="s">
        <v>4060</v>
      </c>
      <c r="I19865" s="690" t="s">
        <v>4060</v>
      </c>
      <c r="J19865" s="690" t="s">
        <v>4060</v>
      </c>
      <c r="K19865" s="690" t="s">
        <v>4060</v>
      </c>
    </row>
    <row r="19866" spans="1:11">
      <c r="A19866" s="688" t="s">
        <v>2324</v>
      </c>
      <c r="B19866" s="692" t="s">
        <v>4060</v>
      </c>
      <c r="C19866" s="692" t="s">
        <v>4060</v>
      </c>
      <c r="D19866" s="692" t="s">
        <v>4060</v>
      </c>
      <c r="E19866" s="692" t="s">
        <v>4060</v>
      </c>
      <c r="F19866" s="692" t="s">
        <v>4060</v>
      </c>
      <c r="G19866" s="692" t="s">
        <v>4060</v>
      </c>
      <c r="H19866" s="692" t="s">
        <v>4060</v>
      </c>
      <c r="I19866" s="692" t="s">
        <v>4060</v>
      </c>
      <c r="J19866" s="692" t="s">
        <v>4060</v>
      </c>
      <c r="K19866" s="692" t="s">
        <v>4060</v>
      </c>
    </row>
    <row r="19867" spans="1:11">
      <c r="A19867" s="688" t="s">
        <v>2322</v>
      </c>
      <c r="B19867" s="690" t="s">
        <v>4060</v>
      </c>
      <c r="C19867" s="690" t="s">
        <v>4060</v>
      </c>
      <c r="D19867" s="690" t="s">
        <v>4060</v>
      </c>
      <c r="E19867" s="690" t="s">
        <v>4060</v>
      </c>
      <c r="F19867" s="690" t="s">
        <v>4060</v>
      </c>
      <c r="G19867" s="690" t="s">
        <v>4060</v>
      </c>
      <c r="H19867" s="690" t="s">
        <v>4060</v>
      </c>
      <c r="I19867" s="690" t="s">
        <v>4060</v>
      </c>
      <c r="J19867" s="690" t="s">
        <v>4060</v>
      </c>
      <c r="K19867" s="690" t="s">
        <v>4060</v>
      </c>
    </row>
    <row r="19868" spans="1:11">
      <c r="A19868" s="688" t="s">
        <v>2328</v>
      </c>
      <c r="B19868" s="692" t="s">
        <v>4060</v>
      </c>
      <c r="C19868" s="692" t="s">
        <v>4060</v>
      </c>
      <c r="D19868" s="692" t="s">
        <v>4060</v>
      </c>
      <c r="E19868" s="692" t="s">
        <v>4060</v>
      </c>
      <c r="F19868" s="692" t="s">
        <v>4060</v>
      </c>
      <c r="G19868" s="692" t="s">
        <v>4060</v>
      </c>
      <c r="H19868" s="692" t="s">
        <v>4060</v>
      </c>
      <c r="I19868" s="692" t="s">
        <v>4060</v>
      </c>
      <c r="J19868" s="692" t="s">
        <v>4060</v>
      </c>
      <c r="K19868" s="692" t="s">
        <v>4060</v>
      </c>
    </row>
    <row r="19869" spans="1:11">
      <c r="A19869" s="688" t="s">
        <v>2496</v>
      </c>
      <c r="B19869" s="690" t="s">
        <v>4060</v>
      </c>
      <c r="C19869" s="690" t="s">
        <v>4060</v>
      </c>
      <c r="D19869" s="690" t="s">
        <v>4060</v>
      </c>
      <c r="E19869" s="690" t="s">
        <v>4060</v>
      </c>
      <c r="F19869" s="690" t="s">
        <v>4060</v>
      </c>
      <c r="G19869" s="690" t="s">
        <v>4060</v>
      </c>
      <c r="H19869" s="690" t="s">
        <v>4060</v>
      </c>
      <c r="I19869" s="690" t="s">
        <v>4060</v>
      </c>
      <c r="J19869" s="690" t="s">
        <v>4060</v>
      </c>
      <c r="K19869" s="690" t="s">
        <v>4060</v>
      </c>
    </row>
    <row r="19870" spans="1:11">
      <c r="A19870" s="688" t="s">
        <v>2269</v>
      </c>
      <c r="B19870" s="692" t="s">
        <v>4060</v>
      </c>
      <c r="C19870" s="692" t="s">
        <v>4060</v>
      </c>
      <c r="D19870" s="692" t="s">
        <v>4060</v>
      </c>
      <c r="E19870" s="692" t="s">
        <v>4060</v>
      </c>
      <c r="F19870" s="692" t="s">
        <v>4060</v>
      </c>
      <c r="G19870" s="692" t="s">
        <v>4060</v>
      </c>
      <c r="H19870" s="692" t="s">
        <v>4060</v>
      </c>
      <c r="I19870" s="692" t="s">
        <v>4060</v>
      </c>
      <c r="J19870" s="692" t="s">
        <v>4060</v>
      </c>
      <c r="K19870" s="692" t="s">
        <v>4060</v>
      </c>
    </row>
    <row r="19871" spans="1:11">
      <c r="A19871" s="688" t="s">
        <v>2349</v>
      </c>
      <c r="B19871" s="690" t="s">
        <v>4060</v>
      </c>
      <c r="C19871" s="690" t="s">
        <v>4060</v>
      </c>
      <c r="D19871" s="690" t="s">
        <v>4060</v>
      </c>
      <c r="E19871" s="690" t="s">
        <v>4060</v>
      </c>
      <c r="F19871" s="690" t="s">
        <v>4060</v>
      </c>
      <c r="G19871" s="690" t="s">
        <v>4060</v>
      </c>
      <c r="H19871" s="690" t="s">
        <v>4060</v>
      </c>
      <c r="I19871" s="690" t="s">
        <v>4060</v>
      </c>
      <c r="J19871" s="690" t="s">
        <v>4060</v>
      </c>
      <c r="K19871" s="690" t="s">
        <v>4060</v>
      </c>
    </row>
    <row r="19872" spans="1:11">
      <c r="A19872" s="688" t="s">
        <v>2355</v>
      </c>
      <c r="B19872" s="692" t="s">
        <v>4060</v>
      </c>
      <c r="C19872" s="692" t="s">
        <v>4060</v>
      </c>
      <c r="D19872" s="692" t="s">
        <v>4060</v>
      </c>
      <c r="E19872" s="692" t="s">
        <v>4060</v>
      </c>
      <c r="F19872" s="692" t="s">
        <v>4060</v>
      </c>
      <c r="G19872" s="692" t="s">
        <v>4060</v>
      </c>
      <c r="H19872" s="692" t="s">
        <v>4060</v>
      </c>
      <c r="I19872" s="692" t="s">
        <v>4060</v>
      </c>
      <c r="J19872" s="692" t="s">
        <v>4060</v>
      </c>
      <c r="K19872" s="692" t="s">
        <v>4060</v>
      </c>
    </row>
    <row r="19873" spans="1:11">
      <c r="A19873" s="688" t="s">
        <v>2357</v>
      </c>
      <c r="B19873" s="690" t="s">
        <v>4060</v>
      </c>
      <c r="C19873" s="690" t="s">
        <v>4060</v>
      </c>
      <c r="D19873" s="690" t="s">
        <v>4060</v>
      </c>
      <c r="E19873" s="690" t="s">
        <v>4060</v>
      </c>
      <c r="F19873" s="690" t="s">
        <v>4060</v>
      </c>
      <c r="G19873" s="690" t="s">
        <v>4060</v>
      </c>
      <c r="H19873" s="690" t="s">
        <v>4060</v>
      </c>
      <c r="I19873" s="690" t="s">
        <v>4060</v>
      </c>
      <c r="J19873" s="690" t="s">
        <v>4060</v>
      </c>
      <c r="K19873" s="690" t="s">
        <v>4060</v>
      </c>
    </row>
    <row r="19874" spans="1:11">
      <c r="A19874" s="688" t="s">
        <v>4070</v>
      </c>
      <c r="B19874" s="692" t="s">
        <v>4060</v>
      </c>
      <c r="C19874" s="692" t="s">
        <v>4060</v>
      </c>
      <c r="D19874" s="692" t="s">
        <v>4060</v>
      </c>
      <c r="E19874" s="692" t="s">
        <v>4060</v>
      </c>
      <c r="F19874" s="692" t="s">
        <v>4060</v>
      </c>
      <c r="G19874" s="692" t="s">
        <v>4060</v>
      </c>
      <c r="H19874" s="692" t="s">
        <v>4060</v>
      </c>
      <c r="I19874" s="692" t="s">
        <v>4060</v>
      </c>
      <c r="J19874" s="692" t="s">
        <v>4060</v>
      </c>
      <c r="K19874" s="692" t="s">
        <v>4060</v>
      </c>
    </row>
    <row r="19875" spans="1:11">
      <c r="A19875" s="688" t="s">
        <v>2491</v>
      </c>
      <c r="B19875" s="690" t="s">
        <v>4060</v>
      </c>
      <c r="C19875" s="690" t="s">
        <v>4060</v>
      </c>
      <c r="D19875" s="690" t="s">
        <v>4060</v>
      </c>
      <c r="E19875" s="690" t="s">
        <v>4060</v>
      </c>
      <c r="F19875" s="690" t="s">
        <v>4060</v>
      </c>
      <c r="G19875" s="690" t="s">
        <v>4060</v>
      </c>
      <c r="H19875" s="690" t="s">
        <v>4060</v>
      </c>
      <c r="I19875" s="690" t="s">
        <v>4060</v>
      </c>
      <c r="J19875" s="690" t="s">
        <v>4060</v>
      </c>
      <c r="K19875" s="690" t="s">
        <v>4060</v>
      </c>
    </row>
    <row r="19876" spans="1:11">
      <c r="A19876" s="688" t="s">
        <v>2343</v>
      </c>
      <c r="B19876" s="692" t="s">
        <v>4060</v>
      </c>
      <c r="C19876" s="692" t="s">
        <v>4060</v>
      </c>
      <c r="D19876" s="692" t="s">
        <v>4060</v>
      </c>
      <c r="E19876" s="692" t="s">
        <v>4060</v>
      </c>
      <c r="F19876" s="692" t="s">
        <v>4060</v>
      </c>
      <c r="G19876" s="692" t="s">
        <v>4060</v>
      </c>
      <c r="H19876" s="692" t="s">
        <v>4060</v>
      </c>
      <c r="I19876" s="692" t="s">
        <v>4060</v>
      </c>
      <c r="J19876" s="692" t="s">
        <v>4060</v>
      </c>
      <c r="K19876" s="692" t="s">
        <v>4060</v>
      </c>
    </row>
    <row r="19877" spans="1:11">
      <c r="A19877" s="688" t="s">
        <v>4071</v>
      </c>
      <c r="B19877" s="690" t="s">
        <v>4060</v>
      </c>
      <c r="C19877" s="690" t="s">
        <v>4060</v>
      </c>
      <c r="D19877" s="690" t="s">
        <v>4060</v>
      </c>
      <c r="E19877" s="690" t="s">
        <v>4060</v>
      </c>
      <c r="F19877" s="690" t="s">
        <v>4060</v>
      </c>
      <c r="G19877" s="690" t="s">
        <v>4060</v>
      </c>
      <c r="H19877" s="690" t="s">
        <v>4060</v>
      </c>
      <c r="I19877" s="690" t="s">
        <v>4060</v>
      </c>
      <c r="J19877" s="690" t="s">
        <v>4060</v>
      </c>
      <c r="K19877" s="690" t="s">
        <v>4060</v>
      </c>
    </row>
    <row r="19878" spans="1:11">
      <c r="A19878" s="688" t="s">
        <v>2489</v>
      </c>
      <c r="B19878" s="692" t="s">
        <v>4060</v>
      </c>
      <c r="C19878" s="692" t="s">
        <v>4060</v>
      </c>
      <c r="D19878" s="692" t="s">
        <v>4060</v>
      </c>
      <c r="E19878" s="692" t="s">
        <v>4060</v>
      </c>
      <c r="F19878" s="692" t="s">
        <v>4060</v>
      </c>
      <c r="G19878" s="692" t="s">
        <v>4060</v>
      </c>
      <c r="H19878" s="692" t="s">
        <v>4060</v>
      </c>
      <c r="I19878" s="692" t="s">
        <v>4060</v>
      </c>
      <c r="J19878" s="692" t="s">
        <v>4060</v>
      </c>
      <c r="K19878" s="692" t="s">
        <v>4060</v>
      </c>
    </row>
    <row r="19879" spans="1:11">
      <c r="A19879" s="688" t="s">
        <v>2490</v>
      </c>
      <c r="B19879" s="690" t="s">
        <v>4060</v>
      </c>
      <c r="C19879" s="690" t="s">
        <v>4060</v>
      </c>
      <c r="D19879" s="690" t="s">
        <v>4060</v>
      </c>
      <c r="E19879" s="690" t="s">
        <v>4060</v>
      </c>
      <c r="F19879" s="690" t="s">
        <v>4060</v>
      </c>
      <c r="G19879" s="690" t="s">
        <v>4060</v>
      </c>
      <c r="H19879" s="690" t="s">
        <v>4060</v>
      </c>
      <c r="I19879" s="690" t="s">
        <v>4060</v>
      </c>
      <c r="J19879" s="690" t="s">
        <v>4060</v>
      </c>
      <c r="K19879" s="690" t="s">
        <v>4060</v>
      </c>
    </row>
    <row r="19881" spans="1:11">
      <c r="A19881" s="683" t="s">
        <v>4233</v>
      </c>
    </row>
    <row r="19882" spans="1:11">
      <c r="A19882" s="683" t="s">
        <v>4060</v>
      </c>
      <c r="B19882" s="682" t="s">
        <v>4234</v>
      </c>
    </row>
    <row r="19884" spans="1:11">
      <c r="A19884" s="682" t="s">
        <v>4333</v>
      </c>
    </row>
    <row r="19885" spans="1:11">
      <c r="A19885" s="682" t="s">
        <v>4210</v>
      </c>
      <c r="B19885" s="683" t="s">
        <v>4211</v>
      </c>
    </row>
    <row r="19886" spans="1:11">
      <c r="A19886" s="682" t="s">
        <v>4212</v>
      </c>
      <c r="B19886" s="682" t="s">
        <v>4213</v>
      </c>
    </row>
    <row r="19888" spans="1:11">
      <c r="A19888" s="683" t="s">
        <v>4214</v>
      </c>
      <c r="C19888" s="682" t="s">
        <v>4215</v>
      </c>
    </row>
    <row r="19889" spans="1:11">
      <c r="A19889" s="683" t="s">
        <v>4216</v>
      </c>
      <c r="C19889" s="682" t="s">
        <v>2967</v>
      </c>
    </row>
    <row r="19890" spans="1:11">
      <c r="A19890" s="683" t="s">
        <v>3893</v>
      </c>
      <c r="C19890" s="682" t="s">
        <v>2169</v>
      </c>
    </row>
    <row r="19891" spans="1:11">
      <c r="A19891" s="683" t="s">
        <v>4218</v>
      </c>
      <c r="C19891" s="682" t="s">
        <v>4320</v>
      </c>
    </row>
    <row r="19893" spans="1:11">
      <c r="A19893" s="684" t="s">
        <v>4220</v>
      </c>
      <c r="B19893" s="685" t="s">
        <v>4221</v>
      </c>
      <c r="C19893" s="685" t="s">
        <v>4222</v>
      </c>
      <c r="D19893" s="685" t="s">
        <v>4223</v>
      </c>
      <c r="E19893" s="685" t="s">
        <v>4224</v>
      </c>
      <c r="F19893" s="685" t="s">
        <v>4225</v>
      </c>
      <c r="G19893" s="685" t="s">
        <v>4226</v>
      </c>
      <c r="H19893" s="685" t="s">
        <v>4227</v>
      </c>
      <c r="I19893" s="685" t="s">
        <v>4228</v>
      </c>
      <c r="J19893" s="685" t="s">
        <v>4229</v>
      </c>
      <c r="K19893" s="685" t="s">
        <v>4230</v>
      </c>
    </row>
    <row r="19894" spans="1:11">
      <c r="A19894" s="686" t="s">
        <v>4231</v>
      </c>
      <c r="B19894" s="687" t="s">
        <v>4232</v>
      </c>
      <c r="C19894" s="687" t="s">
        <v>4232</v>
      </c>
      <c r="D19894" s="687" t="s">
        <v>4232</v>
      </c>
      <c r="E19894" s="687" t="s">
        <v>4232</v>
      </c>
      <c r="F19894" s="687" t="s">
        <v>4232</v>
      </c>
      <c r="G19894" s="687" t="s">
        <v>4232</v>
      </c>
      <c r="H19894" s="687" t="s">
        <v>4232</v>
      </c>
      <c r="I19894" s="687" t="s">
        <v>4232</v>
      </c>
      <c r="J19894" s="687" t="s">
        <v>4232</v>
      </c>
      <c r="K19894" s="687" t="s">
        <v>4232</v>
      </c>
    </row>
    <row r="19895" spans="1:11">
      <c r="A19895" s="688" t="s">
        <v>4064</v>
      </c>
      <c r="B19895" s="689">
        <v>7.2</v>
      </c>
      <c r="C19895" s="690" t="s">
        <v>4060</v>
      </c>
      <c r="D19895" s="693">
        <v>7</v>
      </c>
      <c r="E19895" s="690" t="s">
        <v>4060</v>
      </c>
      <c r="F19895" s="690" t="s">
        <v>4060</v>
      </c>
      <c r="G19895" s="690" t="s">
        <v>4060</v>
      </c>
      <c r="H19895" s="690" t="s">
        <v>4060</v>
      </c>
      <c r="I19895" s="690" t="s">
        <v>4060</v>
      </c>
      <c r="J19895" s="690" t="s">
        <v>4060</v>
      </c>
      <c r="K19895" s="690" t="s">
        <v>4060</v>
      </c>
    </row>
    <row r="19896" spans="1:11">
      <c r="A19896" s="688" t="s">
        <v>4065</v>
      </c>
      <c r="B19896" s="691">
        <v>7.2</v>
      </c>
      <c r="C19896" s="691">
        <v>7.4</v>
      </c>
      <c r="D19896" s="691">
        <v>6.9</v>
      </c>
      <c r="E19896" s="691">
        <v>7.3</v>
      </c>
      <c r="F19896" s="691">
        <v>7.1</v>
      </c>
      <c r="G19896" s="691">
        <v>7.2</v>
      </c>
      <c r="H19896" s="692" t="s">
        <v>4060</v>
      </c>
      <c r="I19896" s="692" t="s">
        <v>4060</v>
      </c>
      <c r="J19896" s="692" t="s">
        <v>4060</v>
      </c>
      <c r="K19896" s="692" t="s">
        <v>4060</v>
      </c>
    </row>
    <row r="19897" spans="1:11">
      <c r="A19897" s="688" t="s">
        <v>4063</v>
      </c>
      <c r="B19897" s="689">
        <v>7.2</v>
      </c>
      <c r="C19897" s="689">
        <v>7.4</v>
      </c>
      <c r="D19897" s="693">
        <v>7</v>
      </c>
      <c r="E19897" s="689">
        <v>7.3</v>
      </c>
      <c r="F19897" s="689">
        <v>7.1</v>
      </c>
      <c r="G19897" s="689">
        <v>7.2</v>
      </c>
      <c r="H19897" s="690" t="s">
        <v>4060</v>
      </c>
      <c r="I19897" s="690" t="s">
        <v>4060</v>
      </c>
      <c r="J19897" s="690" t="s">
        <v>4060</v>
      </c>
      <c r="K19897" s="690" t="s">
        <v>4060</v>
      </c>
    </row>
    <row r="19898" spans="1:11">
      <c r="A19898" s="688" t="s">
        <v>4069</v>
      </c>
      <c r="B19898" s="692" t="s">
        <v>4060</v>
      </c>
      <c r="C19898" s="692" t="s">
        <v>4060</v>
      </c>
      <c r="D19898" s="692" t="s">
        <v>4060</v>
      </c>
      <c r="E19898" s="692" t="s">
        <v>4060</v>
      </c>
      <c r="F19898" s="692" t="s">
        <v>4060</v>
      </c>
      <c r="G19898" s="692" t="s">
        <v>4060</v>
      </c>
      <c r="H19898" s="692" t="s">
        <v>4060</v>
      </c>
      <c r="I19898" s="692" t="s">
        <v>4060</v>
      </c>
      <c r="J19898" s="692" t="s">
        <v>4060</v>
      </c>
      <c r="K19898" s="692" t="s">
        <v>4060</v>
      </c>
    </row>
    <row r="19899" spans="1:11">
      <c r="A19899" s="688" t="s">
        <v>4068</v>
      </c>
      <c r="B19899" s="689">
        <v>7.4</v>
      </c>
      <c r="C19899" s="690" t="s">
        <v>4060</v>
      </c>
      <c r="D19899" s="690" t="s">
        <v>4060</v>
      </c>
      <c r="E19899" s="690" t="s">
        <v>4060</v>
      </c>
      <c r="F19899" s="690" t="s">
        <v>4060</v>
      </c>
      <c r="G19899" s="690" t="s">
        <v>4060</v>
      </c>
      <c r="H19899" s="690" t="s">
        <v>4060</v>
      </c>
      <c r="I19899" s="690" t="s">
        <v>4060</v>
      </c>
      <c r="J19899" s="690" t="s">
        <v>4060</v>
      </c>
      <c r="K19899" s="690" t="s">
        <v>4060</v>
      </c>
    </row>
    <row r="19900" spans="1:11">
      <c r="A19900" s="688" t="s">
        <v>0</v>
      </c>
      <c r="B19900" s="691">
        <v>7.1</v>
      </c>
      <c r="C19900" s="692" t="s">
        <v>4060</v>
      </c>
      <c r="D19900" s="692" t="s">
        <v>4060</v>
      </c>
      <c r="E19900" s="692" t="s">
        <v>4060</v>
      </c>
      <c r="F19900" s="692" t="s">
        <v>4060</v>
      </c>
      <c r="G19900" s="692" t="s">
        <v>4060</v>
      </c>
      <c r="H19900" s="692" t="s">
        <v>4060</v>
      </c>
      <c r="I19900" s="692" t="s">
        <v>4060</v>
      </c>
      <c r="J19900" s="692" t="s">
        <v>4060</v>
      </c>
      <c r="K19900" s="692" t="s">
        <v>4060</v>
      </c>
    </row>
    <row r="19901" spans="1:11">
      <c r="A19901" s="688" t="s">
        <v>1</v>
      </c>
      <c r="B19901" s="689">
        <v>5.4</v>
      </c>
      <c r="C19901" s="690" t="s">
        <v>4060</v>
      </c>
      <c r="D19901" s="690" t="s">
        <v>4060</v>
      </c>
      <c r="E19901" s="690" t="s">
        <v>4060</v>
      </c>
      <c r="F19901" s="690" t="s">
        <v>4060</v>
      </c>
      <c r="G19901" s="690" t="s">
        <v>4060</v>
      </c>
      <c r="H19901" s="690" t="s">
        <v>4060</v>
      </c>
      <c r="I19901" s="690" t="s">
        <v>4060</v>
      </c>
      <c r="J19901" s="690" t="s">
        <v>4060</v>
      </c>
      <c r="K19901" s="690" t="s">
        <v>4060</v>
      </c>
    </row>
    <row r="19902" spans="1:11">
      <c r="A19902" s="688" t="s">
        <v>2240</v>
      </c>
      <c r="B19902" s="615">
        <v>6</v>
      </c>
      <c r="C19902" s="692" t="s">
        <v>4060</v>
      </c>
      <c r="D19902" s="692" t="s">
        <v>4060</v>
      </c>
      <c r="E19902" s="692" t="s">
        <v>4060</v>
      </c>
      <c r="F19902" s="692" t="s">
        <v>4060</v>
      </c>
      <c r="G19902" s="692" t="s">
        <v>4060</v>
      </c>
      <c r="H19902" s="692" t="s">
        <v>4060</v>
      </c>
      <c r="I19902" s="692" t="s">
        <v>4060</v>
      </c>
      <c r="J19902" s="692" t="s">
        <v>4060</v>
      </c>
      <c r="K19902" s="692" t="s">
        <v>4060</v>
      </c>
    </row>
    <row r="19903" spans="1:11">
      <c r="A19903" s="688" t="s">
        <v>2</v>
      </c>
      <c r="B19903" s="689">
        <v>6.8</v>
      </c>
      <c r="C19903" s="690" t="s">
        <v>4060</v>
      </c>
      <c r="D19903" s="690" t="s">
        <v>4060</v>
      </c>
      <c r="E19903" s="690" t="s">
        <v>4060</v>
      </c>
      <c r="F19903" s="690" t="s">
        <v>4060</v>
      </c>
      <c r="G19903" s="690" t="s">
        <v>4060</v>
      </c>
      <c r="H19903" s="690" t="s">
        <v>4060</v>
      </c>
      <c r="I19903" s="690" t="s">
        <v>4060</v>
      </c>
      <c r="J19903" s="690" t="s">
        <v>4060</v>
      </c>
      <c r="K19903" s="690" t="s">
        <v>4060</v>
      </c>
    </row>
    <row r="19904" spans="1:11">
      <c r="A19904" s="688" t="s">
        <v>3</v>
      </c>
      <c r="B19904" s="691">
        <v>6.6</v>
      </c>
      <c r="C19904" s="692" t="s">
        <v>4060</v>
      </c>
      <c r="D19904" s="692" t="s">
        <v>4060</v>
      </c>
      <c r="E19904" s="692" t="s">
        <v>4060</v>
      </c>
      <c r="F19904" s="692" t="s">
        <v>4060</v>
      </c>
      <c r="G19904" s="692" t="s">
        <v>4060</v>
      </c>
      <c r="H19904" s="692" t="s">
        <v>4060</v>
      </c>
      <c r="I19904" s="692" t="s">
        <v>4060</v>
      </c>
      <c r="J19904" s="692" t="s">
        <v>4060</v>
      </c>
      <c r="K19904" s="692" t="s">
        <v>4060</v>
      </c>
    </row>
    <row r="19905" spans="1:11">
      <c r="A19905" s="688" t="s">
        <v>4061</v>
      </c>
      <c r="B19905" s="689">
        <v>6.6</v>
      </c>
      <c r="C19905" s="690" t="s">
        <v>4060</v>
      </c>
      <c r="D19905" s="690" t="s">
        <v>4060</v>
      </c>
      <c r="E19905" s="690" t="s">
        <v>4060</v>
      </c>
      <c r="F19905" s="690" t="s">
        <v>4060</v>
      </c>
      <c r="G19905" s="690" t="s">
        <v>4060</v>
      </c>
      <c r="H19905" s="690" t="s">
        <v>4060</v>
      </c>
      <c r="I19905" s="690" t="s">
        <v>4060</v>
      </c>
      <c r="J19905" s="690" t="s">
        <v>4060</v>
      </c>
      <c r="K19905" s="690" t="s">
        <v>4060</v>
      </c>
    </row>
    <row r="19906" spans="1:11">
      <c r="A19906" s="688" t="s">
        <v>4</v>
      </c>
      <c r="B19906" s="691">
        <v>6.8</v>
      </c>
      <c r="C19906" s="692" t="s">
        <v>4060</v>
      </c>
      <c r="D19906" s="692" t="s">
        <v>4060</v>
      </c>
      <c r="E19906" s="692" t="s">
        <v>4060</v>
      </c>
      <c r="F19906" s="692" t="s">
        <v>4060</v>
      </c>
      <c r="G19906" s="692" t="s">
        <v>4060</v>
      </c>
      <c r="H19906" s="692" t="s">
        <v>4060</v>
      </c>
      <c r="I19906" s="692" t="s">
        <v>4060</v>
      </c>
      <c r="J19906" s="692" t="s">
        <v>4060</v>
      </c>
      <c r="K19906" s="692" t="s">
        <v>4060</v>
      </c>
    </row>
    <row r="19907" spans="1:11">
      <c r="A19907" s="688" t="s">
        <v>8</v>
      </c>
      <c r="B19907" s="689">
        <v>6.6</v>
      </c>
      <c r="C19907" s="690" t="s">
        <v>4060</v>
      </c>
      <c r="D19907" s="690" t="s">
        <v>4060</v>
      </c>
      <c r="E19907" s="690" t="s">
        <v>4060</v>
      </c>
      <c r="F19907" s="690" t="s">
        <v>4060</v>
      </c>
      <c r="G19907" s="690" t="s">
        <v>4060</v>
      </c>
      <c r="H19907" s="690" t="s">
        <v>4060</v>
      </c>
      <c r="I19907" s="690" t="s">
        <v>4060</v>
      </c>
      <c r="J19907" s="690" t="s">
        <v>4060</v>
      </c>
      <c r="K19907" s="690" t="s">
        <v>4060</v>
      </c>
    </row>
    <row r="19908" spans="1:11">
      <c r="A19908" s="688" t="s">
        <v>7</v>
      </c>
      <c r="B19908" s="615">
        <v>7</v>
      </c>
      <c r="C19908" s="692" t="s">
        <v>4060</v>
      </c>
      <c r="D19908" s="692" t="s">
        <v>4060</v>
      </c>
      <c r="E19908" s="692" t="s">
        <v>4060</v>
      </c>
      <c r="F19908" s="692" t="s">
        <v>4060</v>
      </c>
      <c r="G19908" s="692" t="s">
        <v>4060</v>
      </c>
      <c r="H19908" s="692" t="s">
        <v>4060</v>
      </c>
      <c r="I19908" s="692" t="s">
        <v>4060</v>
      </c>
      <c r="J19908" s="692" t="s">
        <v>4060</v>
      </c>
      <c r="K19908" s="692" t="s">
        <v>4060</v>
      </c>
    </row>
    <row r="19909" spans="1:11">
      <c r="A19909" s="688" t="s">
        <v>27</v>
      </c>
      <c r="B19909" s="689">
        <v>8.1999999999999993</v>
      </c>
      <c r="C19909" s="690" t="s">
        <v>4060</v>
      </c>
      <c r="D19909" s="690" t="s">
        <v>4060</v>
      </c>
      <c r="E19909" s="690" t="s">
        <v>4060</v>
      </c>
      <c r="F19909" s="690" t="s">
        <v>4060</v>
      </c>
      <c r="G19909" s="690" t="s">
        <v>4060</v>
      </c>
      <c r="H19909" s="690" t="s">
        <v>4060</v>
      </c>
      <c r="I19909" s="690" t="s">
        <v>4060</v>
      </c>
      <c r="J19909" s="690" t="s">
        <v>4060</v>
      </c>
      <c r="K19909" s="690" t="s">
        <v>4060</v>
      </c>
    </row>
    <row r="19910" spans="1:11">
      <c r="A19910" s="688" t="s">
        <v>6</v>
      </c>
      <c r="B19910" s="691">
        <v>8.5</v>
      </c>
      <c r="C19910" s="692" t="s">
        <v>4060</v>
      </c>
      <c r="D19910" s="692" t="s">
        <v>4060</v>
      </c>
      <c r="E19910" s="692" t="s">
        <v>4060</v>
      </c>
      <c r="F19910" s="692" t="s">
        <v>4060</v>
      </c>
      <c r="G19910" s="692" t="s">
        <v>4060</v>
      </c>
      <c r="H19910" s="692" t="s">
        <v>4060</v>
      </c>
      <c r="I19910" s="692" t="s">
        <v>4060</v>
      </c>
      <c r="J19910" s="692" t="s">
        <v>4060</v>
      </c>
      <c r="K19910" s="692" t="s">
        <v>4060</v>
      </c>
    </row>
    <row r="19911" spans="1:11">
      <c r="A19911" s="688" t="s">
        <v>4058</v>
      </c>
      <c r="B19911" s="690" t="s">
        <v>4060</v>
      </c>
      <c r="C19911" s="690" t="s">
        <v>4060</v>
      </c>
      <c r="D19911" s="690" t="s">
        <v>4060</v>
      </c>
      <c r="E19911" s="690" t="s">
        <v>4060</v>
      </c>
      <c r="F19911" s="690" t="s">
        <v>4060</v>
      </c>
      <c r="G19911" s="690" t="s">
        <v>4060</v>
      </c>
      <c r="H19911" s="690" t="s">
        <v>4060</v>
      </c>
      <c r="I19911" s="690" t="s">
        <v>4060</v>
      </c>
      <c r="J19911" s="690" t="s">
        <v>4060</v>
      </c>
      <c r="K19911" s="690" t="s">
        <v>4060</v>
      </c>
    </row>
    <row r="19912" spans="1:11">
      <c r="A19912" s="688" t="s">
        <v>11</v>
      </c>
      <c r="B19912" s="691">
        <v>5.8</v>
      </c>
      <c r="C19912" s="692" t="s">
        <v>4060</v>
      </c>
      <c r="D19912" s="692" t="s">
        <v>4060</v>
      </c>
      <c r="E19912" s="692" t="s">
        <v>4060</v>
      </c>
      <c r="F19912" s="692" t="s">
        <v>4060</v>
      </c>
      <c r="G19912" s="692" t="s">
        <v>4060</v>
      </c>
      <c r="H19912" s="692" t="s">
        <v>4060</v>
      </c>
      <c r="I19912" s="692" t="s">
        <v>4060</v>
      </c>
      <c r="J19912" s="692" t="s">
        <v>4060</v>
      </c>
      <c r="K19912" s="692" t="s">
        <v>4060</v>
      </c>
    </row>
    <row r="19913" spans="1:11">
      <c r="A19913" s="688" t="s">
        <v>10</v>
      </c>
      <c r="B19913" s="689">
        <v>7.8</v>
      </c>
      <c r="C19913" s="690" t="s">
        <v>4060</v>
      </c>
      <c r="D19913" s="690" t="s">
        <v>4060</v>
      </c>
      <c r="E19913" s="690" t="s">
        <v>4060</v>
      </c>
      <c r="F19913" s="690" t="s">
        <v>4060</v>
      </c>
      <c r="G19913" s="690" t="s">
        <v>4060</v>
      </c>
      <c r="H19913" s="690" t="s">
        <v>4060</v>
      </c>
      <c r="I19913" s="690" t="s">
        <v>4060</v>
      </c>
      <c r="J19913" s="690" t="s">
        <v>4060</v>
      </c>
      <c r="K19913" s="690" t="s">
        <v>4060</v>
      </c>
    </row>
    <row r="19914" spans="1:11">
      <c r="A19914" s="688" t="s">
        <v>30</v>
      </c>
      <c r="B19914" s="691">
        <v>6.7</v>
      </c>
      <c r="C19914" s="692" t="s">
        <v>4060</v>
      </c>
      <c r="D19914" s="692" t="s">
        <v>4060</v>
      </c>
      <c r="E19914" s="692" t="s">
        <v>4060</v>
      </c>
      <c r="F19914" s="692" t="s">
        <v>4060</v>
      </c>
      <c r="G19914" s="692" t="s">
        <v>4060</v>
      </c>
      <c r="H19914" s="692" t="s">
        <v>4060</v>
      </c>
      <c r="I19914" s="692" t="s">
        <v>4060</v>
      </c>
      <c r="J19914" s="692" t="s">
        <v>4060</v>
      </c>
      <c r="K19914" s="692" t="s">
        <v>4060</v>
      </c>
    </row>
    <row r="19915" spans="1:11">
      <c r="A19915" s="688" t="s">
        <v>12</v>
      </c>
      <c r="B19915" s="689">
        <v>6.2</v>
      </c>
      <c r="C19915" s="690" t="s">
        <v>4060</v>
      </c>
      <c r="D19915" s="690" t="s">
        <v>4060</v>
      </c>
      <c r="E19915" s="690" t="s">
        <v>4060</v>
      </c>
      <c r="F19915" s="690" t="s">
        <v>4060</v>
      </c>
      <c r="G19915" s="690" t="s">
        <v>4060</v>
      </c>
      <c r="H19915" s="690" t="s">
        <v>4060</v>
      </c>
      <c r="I19915" s="690" t="s">
        <v>4060</v>
      </c>
      <c r="J19915" s="690" t="s">
        <v>4060</v>
      </c>
      <c r="K19915" s="690" t="s">
        <v>4060</v>
      </c>
    </row>
    <row r="19916" spans="1:11">
      <c r="A19916" s="688" t="s">
        <v>14</v>
      </c>
      <c r="B19916" s="691">
        <v>6.2</v>
      </c>
      <c r="C19916" s="692" t="s">
        <v>4060</v>
      </c>
      <c r="D19916" s="692" t="s">
        <v>4060</v>
      </c>
      <c r="E19916" s="692" t="s">
        <v>4060</v>
      </c>
      <c r="F19916" s="692" t="s">
        <v>4060</v>
      </c>
      <c r="G19916" s="692" t="s">
        <v>4060</v>
      </c>
      <c r="H19916" s="692" t="s">
        <v>4060</v>
      </c>
      <c r="I19916" s="692" t="s">
        <v>4060</v>
      </c>
      <c r="J19916" s="692" t="s">
        <v>4060</v>
      </c>
      <c r="K19916" s="692" t="s">
        <v>4060</v>
      </c>
    </row>
    <row r="19917" spans="1:11">
      <c r="A19917" s="688" t="s">
        <v>15</v>
      </c>
      <c r="B19917" s="689">
        <v>7.4</v>
      </c>
      <c r="C19917" s="690" t="s">
        <v>4060</v>
      </c>
      <c r="D19917" s="690" t="s">
        <v>4060</v>
      </c>
      <c r="E19917" s="690" t="s">
        <v>4060</v>
      </c>
      <c r="F19917" s="690" t="s">
        <v>4060</v>
      </c>
      <c r="G19917" s="690" t="s">
        <v>4060</v>
      </c>
      <c r="H19917" s="690" t="s">
        <v>4060</v>
      </c>
      <c r="I19917" s="690" t="s">
        <v>4060</v>
      </c>
      <c r="J19917" s="690" t="s">
        <v>4060</v>
      </c>
      <c r="K19917" s="690" t="s">
        <v>4060</v>
      </c>
    </row>
    <row r="19918" spans="1:11">
      <c r="A19918" s="688" t="s">
        <v>29</v>
      </c>
      <c r="B19918" s="691">
        <v>5.9</v>
      </c>
      <c r="C19918" s="692" t="s">
        <v>4060</v>
      </c>
      <c r="D19918" s="692" t="s">
        <v>4060</v>
      </c>
      <c r="E19918" s="692" t="s">
        <v>4060</v>
      </c>
      <c r="F19918" s="692" t="s">
        <v>4060</v>
      </c>
      <c r="G19918" s="692" t="s">
        <v>4060</v>
      </c>
      <c r="H19918" s="692" t="s">
        <v>4060</v>
      </c>
      <c r="I19918" s="692" t="s">
        <v>4060</v>
      </c>
      <c r="J19918" s="692" t="s">
        <v>4060</v>
      </c>
      <c r="K19918" s="692" t="s">
        <v>4060</v>
      </c>
    </row>
    <row r="19919" spans="1:11">
      <c r="A19919" s="688" t="s">
        <v>16</v>
      </c>
      <c r="B19919" s="693">
        <v>7</v>
      </c>
      <c r="C19919" s="690" t="s">
        <v>4060</v>
      </c>
      <c r="D19919" s="690" t="s">
        <v>4060</v>
      </c>
      <c r="E19919" s="690" t="s">
        <v>4060</v>
      </c>
      <c r="F19919" s="690" t="s">
        <v>4060</v>
      </c>
      <c r="G19919" s="690" t="s">
        <v>4060</v>
      </c>
      <c r="H19919" s="690" t="s">
        <v>4060</v>
      </c>
      <c r="I19919" s="690" t="s">
        <v>4060</v>
      </c>
      <c r="J19919" s="690" t="s">
        <v>4060</v>
      </c>
      <c r="K19919" s="690" t="s">
        <v>4060</v>
      </c>
    </row>
    <row r="19920" spans="1:11">
      <c r="A19920" s="688" t="s">
        <v>17</v>
      </c>
      <c r="B19920" s="691">
        <v>6.9</v>
      </c>
      <c r="C19920" s="692" t="s">
        <v>4060</v>
      </c>
      <c r="D19920" s="692" t="s">
        <v>4060</v>
      </c>
      <c r="E19920" s="692" t="s">
        <v>4060</v>
      </c>
      <c r="F19920" s="692" t="s">
        <v>4060</v>
      </c>
      <c r="G19920" s="692" t="s">
        <v>4060</v>
      </c>
      <c r="H19920" s="692" t="s">
        <v>4060</v>
      </c>
      <c r="I19920" s="692" t="s">
        <v>4060</v>
      </c>
      <c r="J19920" s="692" t="s">
        <v>4060</v>
      </c>
      <c r="K19920" s="692" t="s">
        <v>4060</v>
      </c>
    </row>
    <row r="19921" spans="1:11">
      <c r="A19921" s="688" t="s">
        <v>19</v>
      </c>
      <c r="B19921" s="689">
        <v>6.9</v>
      </c>
      <c r="C19921" s="690" t="s">
        <v>4060</v>
      </c>
      <c r="D19921" s="690" t="s">
        <v>4060</v>
      </c>
      <c r="E19921" s="690" t="s">
        <v>4060</v>
      </c>
      <c r="F19921" s="690" t="s">
        <v>4060</v>
      </c>
      <c r="G19921" s="690" t="s">
        <v>4060</v>
      </c>
      <c r="H19921" s="690" t="s">
        <v>4060</v>
      </c>
      <c r="I19921" s="690" t="s">
        <v>4060</v>
      </c>
      <c r="J19921" s="690" t="s">
        <v>4060</v>
      </c>
      <c r="K19921" s="690" t="s">
        <v>4060</v>
      </c>
    </row>
    <row r="19922" spans="1:11">
      <c r="A19922" s="688" t="s">
        <v>20</v>
      </c>
      <c r="B19922" s="691">
        <v>6.8</v>
      </c>
      <c r="C19922" s="692" t="s">
        <v>4060</v>
      </c>
      <c r="D19922" s="692" t="s">
        <v>4060</v>
      </c>
      <c r="E19922" s="692" t="s">
        <v>4060</v>
      </c>
      <c r="F19922" s="692" t="s">
        <v>4060</v>
      </c>
      <c r="G19922" s="692" t="s">
        <v>4060</v>
      </c>
      <c r="H19922" s="692" t="s">
        <v>4060</v>
      </c>
      <c r="I19922" s="692" t="s">
        <v>4060</v>
      </c>
      <c r="J19922" s="692" t="s">
        <v>4060</v>
      </c>
      <c r="K19922" s="692" t="s">
        <v>4060</v>
      </c>
    </row>
    <row r="19923" spans="1:11">
      <c r="A19923" s="688" t="s">
        <v>21</v>
      </c>
      <c r="B19923" s="689">
        <v>6.9</v>
      </c>
      <c r="C19923" s="690" t="s">
        <v>4060</v>
      </c>
      <c r="D19923" s="690" t="s">
        <v>4060</v>
      </c>
      <c r="E19923" s="690" t="s">
        <v>4060</v>
      </c>
      <c r="F19923" s="690" t="s">
        <v>4060</v>
      </c>
      <c r="G19923" s="690" t="s">
        <v>4060</v>
      </c>
      <c r="H19923" s="690" t="s">
        <v>4060</v>
      </c>
      <c r="I19923" s="690" t="s">
        <v>4060</v>
      </c>
      <c r="J19923" s="690" t="s">
        <v>4060</v>
      </c>
      <c r="K19923" s="690" t="s">
        <v>4060</v>
      </c>
    </row>
    <row r="19924" spans="1:11">
      <c r="A19924" s="688" t="s">
        <v>22</v>
      </c>
      <c r="B19924" s="691">
        <v>5.9</v>
      </c>
      <c r="C19924" s="692" t="s">
        <v>4060</v>
      </c>
      <c r="D19924" s="692" t="s">
        <v>4060</v>
      </c>
      <c r="E19924" s="692" t="s">
        <v>4060</v>
      </c>
      <c r="F19924" s="692" t="s">
        <v>4060</v>
      </c>
      <c r="G19924" s="692" t="s">
        <v>4060</v>
      </c>
      <c r="H19924" s="692" t="s">
        <v>4060</v>
      </c>
      <c r="I19924" s="692" t="s">
        <v>4060</v>
      </c>
      <c r="J19924" s="692" t="s">
        <v>4060</v>
      </c>
      <c r="K19924" s="692" t="s">
        <v>4060</v>
      </c>
    </row>
    <row r="19925" spans="1:11">
      <c r="A19925" s="688" t="s">
        <v>26</v>
      </c>
      <c r="B19925" s="689">
        <v>7.2</v>
      </c>
      <c r="C19925" s="690" t="s">
        <v>4060</v>
      </c>
      <c r="D19925" s="690" t="s">
        <v>4060</v>
      </c>
      <c r="E19925" s="690" t="s">
        <v>4060</v>
      </c>
      <c r="F19925" s="690" t="s">
        <v>4060</v>
      </c>
      <c r="G19925" s="690" t="s">
        <v>4060</v>
      </c>
      <c r="H19925" s="690" t="s">
        <v>4060</v>
      </c>
      <c r="I19925" s="690" t="s">
        <v>4060</v>
      </c>
      <c r="J19925" s="690" t="s">
        <v>4060</v>
      </c>
      <c r="K19925" s="690" t="s">
        <v>4060</v>
      </c>
    </row>
    <row r="19926" spans="1:11">
      <c r="A19926" s="688" t="s">
        <v>25</v>
      </c>
      <c r="B19926" s="691">
        <v>5.9</v>
      </c>
      <c r="C19926" s="692" t="s">
        <v>4060</v>
      </c>
      <c r="D19926" s="692" t="s">
        <v>4060</v>
      </c>
      <c r="E19926" s="692" t="s">
        <v>4060</v>
      </c>
      <c r="F19926" s="692" t="s">
        <v>4060</v>
      </c>
      <c r="G19926" s="692" t="s">
        <v>4060</v>
      </c>
      <c r="H19926" s="692" t="s">
        <v>4060</v>
      </c>
      <c r="I19926" s="692" t="s">
        <v>4060</v>
      </c>
      <c r="J19926" s="692" t="s">
        <v>4060</v>
      </c>
      <c r="K19926" s="692" t="s">
        <v>4060</v>
      </c>
    </row>
    <row r="19927" spans="1:11">
      <c r="A19927" s="688" t="s">
        <v>5</v>
      </c>
      <c r="B19927" s="689">
        <v>7.2</v>
      </c>
      <c r="C19927" s="690" t="s">
        <v>4060</v>
      </c>
      <c r="D19927" s="690" t="s">
        <v>4060</v>
      </c>
      <c r="E19927" s="690" t="s">
        <v>4060</v>
      </c>
      <c r="F19927" s="690" t="s">
        <v>4060</v>
      </c>
      <c r="G19927" s="690" t="s">
        <v>4060</v>
      </c>
      <c r="H19927" s="690" t="s">
        <v>4060</v>
      </c>
      <c r="I19927" s="690" t="s">
        <v>4060</v>
      </c>
      <c r="J19927" s="690" t="s">
        <v>4060</v>
      </c>
      <c r="K19927" s="690" t="s">
        <v>4060</v>
      </c>
    </row>
    <row r="19928" spans="1:11">
      <c r="A19928" s="688" t="s">
        <v>23</v>
      </c>
      <c r="B19928" s="691">
        <v>6.8</v>
      </c>
      <c r="C19928" s="692" t="s">
        <v>4060</v>
      </c>
      <c r="D19928" s="692" t="s">
        <v>4060</v>
      </c>
      <c r="E19928" s="692" t="s">
        <v>4060</v>
      </c>
      <c r="F19928" s="692" t="s">
        <v>4060</v>
      </c>
      <c r="G19928" s="692" t="s">
        <v>4060</v>
      </c>
      <c r="H19928" s="692" t="s">
        <v>4060</v>
      </c>
      <c r="I19928" s="692" t="s">
        <v>4060</v>
      </c>
      <c r="J19928" s="692" t="s">
        <v>4060</v>
      </c>
      <c r="K19928" s="692" t="s">
        <v>4060</v>
      </c>
    </row>
    <row r="19929" spans="1:11">
      <c r="A19929" s="688" t="s">
        <v>4067</v>
      </c>
      <c r="B19929" s="689">
        <v>7.2</v>
      </c>
      <c r="C19929" s="689">
        <v>7.4</v>
      </c>
      <c r="D19929" s="689">
        <v>6.9</v>
      </c>
      <c r="E19929" s="689">
        <v>7.3</v>
      </c>
      <c r="F19929" s="689">
        <v>7.1</v>
      </c>
      <c r="G19929" s="689">
        <v>7.2</v>
      </c>
      <c r="H19929" s="690" t="s">
        <v>4060</v>
      </c>
      <c r="I19929" s="690" t="s">
        <v>4060</v>
      </c>
      <c r="J19929" s="690" t="s">
        <v>4060</v>
      </c>
      <c r="K19929" s="690" t="s">
        <v>4060</v>
      </c>
    </row>
    <row r="19930" spans="1:11">
      <c r="A19930" s="688" t="s">
        <v>4066</v>
      </c>
      <c r="B19930" s="691">
        <v>7.2</v>
      </c>
      <c r="C19930" s="691">
        <v>7.4</v>
      </c>
      <c r="D19930" s="615">
        <v>7</v>
      </c>
      <c r="E19930" s="691">
        <v>7.3</v>
      </c>
      <c r="F19930" s="691">
        <v>7.1</v>
      </c>
      <c r="G19930" s="691">
        <v>7.2</v>
      </c>
      <c r="H19930" s="692" t="s">
        <v>4060</v>
      </c>
      <c r="I19930" s="692" t="s">
        <v>4060</v>
      </c>
      <c r="J19930" s="692" t="s">
        <v>4060</v>
      </c>
      <c r="K19930" s="692" t="s">
        <v>4060</v>
      </c>
    </row>
    <row r="19931" spans="1:11">
      <c r="A19931" s="688" t="s">
        <v>4062</v>
      </c>
      <c r="B19931" s="689">
        <v>7.1</v>
      </c>
      <c r="C19931" s="690" t="s">
        <v>4060</v>
      </c>
      <c r="D19931" s="690" t="s">
        <v>4060</v>
      </c>
      <c r="E19931" s="690" t="s">
        <v>4060</v>
      </c>
      <c r="F19931" s="690" t="s">
        <v>4060</v>
      </c>
      <c r="G19931" s="690" t="s">
        <v>4060</v>
      </c>
      <c r="H19931" s="690" t="s">
        <v>4060</v>
      </c>
      <c r="I19931" s="690" t="s">
        <v>4060</v>
      </c>
      <c r="J19931" s="690" t="s">
        <v>4060</v>
      </c>
      <c r="K19931" s="690" t="s">
        <v>4060</v>
      </c>
    </row>
    <row r="19932" spans="1:11">
      <c r="A19932" s="688" t="s">
        <v>9</v>
      </c>
      <c r="B19932" s="615">
        <v>7</v>
      </c>
      <c r="C19932" s="692" t="s">
        <v>4060</v>
      </c>
      <c r="D19932" s="692" t="s">
        <v>4060</v>
      </c>
      <c r="E19932" s="692" t="s">
        <v>4060</v>
      </c>
      <c r="F19932" s="692" t="s">
        <v>4060</v>
      </c>
      <c r="G19932" s="692" t="s">
        <v>4060</v>
      </c>
      <c r="H19932" s="692" t="s">
        <v>4060</v>
      </c>
      <c r="I19932" s="692" t="s">
        <v>4060</v>
      </c>
      <c r="J19932" s="692" t="s">
        <v>4060</v>
      </c>
      <c r="K19932" s="692" t="s">
        <v>4060</v>
      </c>
    </row>
    <row r="19933" spans="1:11">
      <c r="A19933" s="688" t="s">
        <v>13</v>
      </c>
      <c r="B19933" s="689">
        <v>8.1999999999999993</v>
      </c>
      <c r="C19933" s="690" t="s">
        <v>4060</v>
      </c>
      <c r="D19933" s="690" t="s">
        <v>4060</v>
      </c>
      <c r="E19933" s="690" t="s">
        <v>4060</v>
      </c>
      <c r="F19933" s="690" t="s">
        <v>4060</v>
      </c>
      <c r="G19933" s="690" t="s">
        <v>4060</v>
      </c>
      <c r="H19933" s="690" t="s">
        <v>4060</v>
      </c>
      <c r="I19933" s="690" t="s">
        <v>4060</v>
      </c>
      <c r="J19933" s="690" t="s">
        <v>4060</v>
      </c>
      <c r="K19933" s="690" t="s">
        <v>4060</v>
      </c>
    </row>
    <row r="19934" spans="1:11">
      <c r="A19934" s="688" t="s">
        <v>18</v>
      </c>
      <c r="B19934" s="691">
        <v>6.9</v>
      </c>
      <c r="C19934" s="692" t="s">
        <v>4060</v>
      </c>
      <c r="D19934" s="692" t="s">
        <v>4060</v>
      </c>
      <c r="E19934" s="692" t="s">
        <v>4060</v>
      </c>
      <c r="F19934" s="692" t="s">
        <v>4060</v>
      </c>
      <c r="G19934" s="692" t="s">
        <v>4060</v>
      </c>
      <c r="H19934" s="692" t="s">
        <v>4060</v>
      </c>
      <c r="I19934" s="692" t="s">
        <v>4060</v>
      </c>
      <c r="J19934" s="692" t="s">
        <v>4060</v>
      </c>
      <c r="K19934" s="692" t="s">
        <v>4060</v>
      </c>
    </row>
    <row r="19935" spans="1:11">
      <c r="A19935" s="688" t="s">
        <v>24</v>
      </c>
      <c r="B19935" s="689">
        <v>7.2</v>
      </c>
      <c r="C19935" s="690" t="s">
        <v>4060</v>
      </c>
      <c r="D19935" s="690" t="s">
        <v>4060</v>
      </c>
      <c r="E19935" s="690" t="s">
        <v>4060</v>
      </c>
      <c r="F19935" s="690" t="s">
        <v>4060</v>
      </c>
      <c r="G19935" s="690" t="s">
        <v>4060</v>
      </c>
      <c r="H19935" s="690" t="s">
        <v>4060</v>
      </c>
      <c r="I19935" s="690" t="s">
        <v>4060</v>
      </c>
      <c r="J19935" s="690" t="s">
        <v>4060</v>
      </c>
      <c r="K19935" s="690" t="s">
        <v>4060</v>
      </c>
    </row>
    <row r="19936" spans="1:11">
      <c r="A19936" s="688" t="s">
        <v>4059</v>
      </c>
      <c r="B19936" s="615">
        <v>7</v>
      </c>
      <c r="C19936" s="691">
        <v>7.2</v>
      </c>
      <c r="D19936" s="691">
        <v>6.7</v>
      </c>
      <c r="E19936" s="615">
        <v>7</v>
      </c>
      <c r="F19936" s="691">
        <v>6.9</v>
      </c>
      <c r="G19936" s="691">
        <v>6.9</v>
      </c>
      <c r="H19936" s="692" t="s">
        <v>4060</v>
      </c>
      <c r="I19936" s="692" t="s">
        <v>4060</v>
      </c>
      <c r="J19936" s="692" t="s">
        <v>4060</v>
      </c>
      <c r="K19936" s="692" t="s">
        <v>4060</v>
      </c>
    </row>
    <row r="19937" spans="1:11">
      <c r="A19937" s="688" t="s">
        <v>2324</v>
      </c>
      <c r="B19937" s="689">
        <v>5.3</v>
      </c>
      <c r="C19937" s="689">
        <v>5.0999999999999996</v>
      </c>
      <c r="D19937" s="689">
        <v>4.7</v>
      </c>
      <c r="E19937" s="689">
        <v>5.0999999999999996</v>
      </c>
      <c r="F19937" s="689">
        <v>5.5</v>
      </c>
      <c r="G19937" s="689">
        <v>5.3</v>
      </c>
      <c r="H19937" s="689">
        <v>5.3</v>
      </c>
      <c r="I19937" s="689">
        <v>5.0999999999999996</v>
      </c>
      <c r="J19937" s="693">
        <v>4</v>
      </c>
      <c r="K19937" s="690" t="s">
        <v>4060</v>
      </c>
    </row>
    <row r="19938" spans="1:11">
      <c r="A19938" s="688" t="s">
        <v>2322</v>
      </c>
      <c r="B19938" s="692" t="s">
        <v>4060</v>
      </c>
      <c r="C19938" s="692" t="s">
        <v>4060</v>
      </c>
      <c r="D19938" s="692" t="s">
        <v>4060</v>
      </c>
      <c r="E19938" s="692" t="s">
        <v>4060</v>
      </c>
      <c r="F19938" s="692" t="s">
        <v>4060</v>
      </c>
      <c r="G19938" s="692" t="s">
        <v>4060</v>
      </c>
      <c r="H19938" s="692" t="s">
        <v>4060</v>
      </c>
      <c r="I19938" s="692" t="s">
        <v>4060</v>
      </c>
      <c r="J19938" s="692" t="s">
        <v>4060</v>
      </c>
      <c r="K19938" s="692" t="s">
        <v>4060</v>
      </c>
    </row>
    <row r="19939" spans="1:11">
      <c r="A19939" s="688" t="s">
        <v>2328</v>
      </c>
      <c r="B19939" s="689">
        <v>4.7</v>
      </c>
      <c r="C19939" s="689">
        <v>4.4000000000000004</v>
      </c>
      <c r="D19939" s="689">
        <v>4.3</v>
      </c>
      <c r="E19939" s="689">
        <v>4.8</v>
      </c>
      <c r="F19939" s="689">
        <v>4.8</v>
      </c>
      <c r="G19939" s="689">
        <v>4.9000000000000004</v>
      </c>
      <c r="H19939" s="689">
        <v>4.7</v>
      </c>
      <c r="I19939" s="689">
        <v>4.5</v>
      </c>
      <c r="J19939" s="689">
        <v>4.0999999999999996</v>
      </c>
      <c r="K19939" s="690" t="s">
        <v>4060</v>
      </c>
    </row>
    <row r="19940" spans="1:11">
      <c r="A19940" s="688" t="s">
        <v>2496</v>
      </c>
      <c r="B19940" s="692" t="s">
        <v>4060</v>
      </c>
      <c r="C19940" s="691">
        <v>7.4</v>
      </c>
      <c r="D19940" s="691">
        <v>5.6</v>
      </c>
      <c r="E19940" s="691">
        <v>4.4000000000000004</v>
      </c>
      <c r="F19940" s="691">
        <v>4.4000000000000004</v>
      </c>
      <c r="G19940" s="691">
        <v>4.4000000000000004</v>
      </c>
      <c r="H19940" s="691">
        <v>4.4000000000000004</v>
      </c>
      <c r="I19940" s="692" t="s">
        <v>4060</v>
      </c>
      <c r="J19940" s="692" t="s">
        <v>4060</v>
      </c>
      <c r="K19940" s="691">
        <v>3.9</v>
      </c>
    </row>
    <row r="19941" spans="1:11">
      <c r="A19941" s="688" t="s">
        <v>2269</v>
      </c>
      <c r="B19941" s="689">
        <v>4.7</v>
      </c>
      <c r="C19941" s="689">
        <v>4.5999999999999996</v>
      </c>
      <c r="D19941" s="689">
        <v>4.0999999999999996</v>
      </c>
      <c r="E19941" s="689">
        <v>3.9</v>
      </c>
      <c r="F19941" s="689">
        <v>3.6</v>
      </c>
      <c r="G19941" s="689">
        <v>3.9</v>
      </c>
      <c r="H19941" s="689">
        <v>3.9</v>
      </c>
      <c r="I19941" s="689">
        <v>3.5</v>
      </c>
      <c r="J19941" s="690" t="s">
        <v>4060</v>
      </c>
      <c r="K19941" s="689">
        <v>3.5</v>
      </c>
    </row>
    <row r="19942" spans="1:11">
      <c r="A19942" s="688" t="s">
        <v>2349</v>
      </c>
      <c r="B19942" s="691">
        <v>5.0999999999999996</v>
      </c>
      <c r="C19942" s="691">
        <v>5.0999999999999996</v>
      </c>
      <c r="D19942" s="615">
        <v>5</v>
      </c>
      <c r="E19942" s="691">
        <v>5.2</v>
      </c>
      <c r="F19942" s="615">
        <v>5</v>
      </c>
      <c r="G19942" s="691">
        <v>5.3</v>
      </c>
      <c r="H19942" s="691">
        <v>5.5</v>
      </c>
      <c r="I19942" s="615">
        <v>5</v>
      </c>
      <c r="J19942" s="691">
        <v>4.4000000000000004</v>
      </c>
      <c r="K19942" s="691">
        <v>4.5999999999999996</v>
      </c>
    </row>
    <row r="19943" spans="1:11">
      <c r="A19943" s="688" t="s">
        <v>2355</v>
      </c>
      <c r="B19943" s="689">
        <v>7.3</v>
      </c>
      <c r="C19943" s="693">
        <v>7</v>
      </c>
      <c r="D19943" s="689">
        <v>6.9</v>
      </c>
      <c r="E19943" s="689">
        <v>6.8</v>
      </c>
      <c r="F19943" s="689">
        <v>6.8</v>
      </c>
      <c r="G19943" s="689">
        <v>6.9</v>
      </c>
      <c r="H19943" s="689">
        <v>6.9</v>
      </c>
      <c r="I19943" s="690" t="s">
        <v>4060</v>
      </c>
      <c r="J19943" s="690" t="s">
        <v>4060</v>
      </c>
      <c r="K19943" s="690" t="s">
        <v>4060</v>
      </c>
    </row>
    <row r="19944" spans="1:11">
      <c r="A19944" s="688" t="s">
        <v>2357</v>
      </c>
      <c r="B19944" s="692" t="s">
        <v>4060</v>
      </c>
      <c r="C19944" s="691">
        <v>5.5</v>
      </c>
      <c r="D19944" s="691">
        <v>5.7</v>
      </c>
      <c r="E19944" s="691">
        <v>5.9</v>
      </c>
      <c r="F19944" s="615">
        <v>6</v>
      </c>
      <c r="G19944" s="691">
        <v>5.7</v>
      </c>
      <c r="H19944" s="691">
        <v>5.8</v>
      </c>
      <c r="I19944" s="692" t="s">
        <v>4060</v>
      </c>
      <c r="J19944" s="692" t="s">
        <v>4060</v>
      </c>
      <c r="K19944" s="692" t="s">
        <v>4060</v>
      </c>
    </row>
    <row r="19945" spans="1:11">
      <c r="A19945" s="688" t="s">
        <v>4070</v>
      </c>
      <c r="B19945" s="690" t="s">
        <v>4060</v>
      </c>
      <c r="C19945" s="690" t="s">
        <v>4060</v>
      </c>
      <c r="D19945" s="690" t="s">
        <v>4060</v>
      </c>
      <c r="E19945" s="689">
        <v>9.4</v>
      </c>
      <c r="F19945" s="690" t="s">
        <v>4060</v>
      </c>
      <c r="G19945" s="690" t="s">
        <v>4060</v>
      </c>
      <c r="H19945" s="690" t="s">
        <v>4060</v>
      </c>
      <c r="I19945" s="690" t="s">
        <v>4060</v>
      </c>
      <c r="J19945" s="690" t="s">
        <v>4060</v>
      </c>
      <c r="K19945" s="690" t="s">
        <v>4060</v>
      </c>
    </row>
    <row r="19946" spans="1:11">
      <c r="A19946" s="688" t="s">
        <v>2491</v>
      </c>
      <c r="B19946" s="691">
        <v>5.7</v>
      </c>
      <c r="C19946" s="691">
        <v>5.9</v>
      </c>
      <c r="D19946" s="691">
        <v>5.8</v>
      </c>
      <c r="E19946" s="691">
        <v>5.8</v>
      </c>
      <c r="F19946" s="691">
        <v>5.8</v>
      </c>
      <c r="G19946" s="691">
        <v>5.7</v>
      </c>
      <c r="H19946" s="692" t="s">
        <v>4060</v>
      </c>
      <c r="I19946" s="692" t="s">
        <v>4060</v>
      </c>
      <c r="J19946" s="692" t="s">
        <v>4060</v>
      </c>
      <c r="K19946" s="692" t="s">
        <v>4060</v>
      </c>
    </row>
    <row r="19947" spans="1:11">
      <c r="A19947" s="688" t="s">
        <v>2343</v>
      </c>
      <c r="B19947" s="690" t="s">
        <v>4060</v>
      </c>
      <c r="C19947" s="690" t="s">
        <v>4060</v>
      </c>
      <c r="D19947" s="690" t="s">
        <v>4060</v>
      </c>
      <c r="E19947" s="690" t="s">
        <v>4060</v>
      </c>
      <c r="F19947" s="690" t="s">
        <v>4060</v>
      </c>
      <c r="G19947" s="690" t="s">
        <v>4060</v>
      </c>
      <c r="H19947" s="690" t="s">
        <v>4060</v>
      </c>
      <c r="I19947" s="690" t="s">
        <v>4060</v>
      </c>
      <c r="J19947" s="690" t="s">
        <v>4060</v>
      </c>
      <c r="K19947" s="690" t="s">
        <v>4060</v>
      </c>
    </row>
    <row r="19948" spans="1:11">
      <c r="A19948" s="688" t="s">
        <v>4071</v>
      </c>
      <c r="B19948" s="692" t="s">
        <v>4060</v>
      </c>
      <c r="C19948" s="692" t="s">
        <v>4060</v>
      </c>
      <c r="D19948" s="692" t="s">
        <v>4060</v>
      </c>
      <c r="E19948" s="692" t="s">
        <v>4060</v>
      </c>
      <c r="F19948" s="692" t="s">
        <v>4060</v>
      </c>
      <c r="G19948" s="692" t="s">
        <v>4060</v>
      </c>
      <c r="H19948" s="692" t="s">
        <v>4060</v>
      </c>
      <c r="I19948" s="692" t="s">
        <v>4060</v>
      </c>
      <c r="J19948" s="692" t="s">
        <v>4060</v>
      </c>
      <c r="K19948" s="692" t="s">
        <v>4060</v>
      </c>
    </row>
    <row r="19949" spans="1:11">
      <c r="A19949" s="688" t="s">
        <v>2489</v>
      </c>
      <c r="B19949" s="690" t="s">
        <v>4060</v>
      </c>
      <c r="C19949" s="690" t="s">
        <v>4060</v>
      </c>
      <c r="D19949" s="689">
        <v>5.2</v>
      </c>
      <c r="E19949" s="693">
        <v>5</v>
      </c>
      <c r="F19949" s="689">
        <v>4.9000000000000004</v>
      </c>
      <c r="G19949" s="689">
        <v>4.8</v>
      </c>
      <c r="H19949" s="689">
        <v>5.2</v>
      </c>
      <c r="I19949" s="690" t="s">
        <v>4060</v>
      </c>
      <c r="J19949" s="690" t="s">
        <v>4060</v>
      </c>
      <c r="K19949" s="690" t="s">
        <v>4060</v>
      </c>
    </row>
    <row r="19950" spans="1:11">
      <c r="A19950" s="688" t="s">
        <v>2490</v>
      </c>
      <c r="B19950" s="691">
        <v>5.5</v>
      </c>
      <c r="C19950" s="691">
        <v>5.3</v>
      </c>
      <c r="D19950" s="691">
        <v>5.9</v>
      </c>
      <c r="E19950" s="692" t="s">
        <v>4060</v>
      </c>
      <c r="F19950" s="691">
        <v>5.9</v>
      </c>
      <c r="G19950" s="691">
        <v>5.9</v>
      </c>
      <c r="H19950" s="691">
        <v>6.4</v>
      </c>
      <c r="I19950" s="692" t="s">
        <v>4060</v>
      </c>
      <c r="J19950" s="692" t="s">
        <v>4060</v>
      </c>
      <c r="K19950" s="692" t="s">
        <v>4060</v>
      </c>
    </row>
    <row r="19952" spans="1:11">
      <c r="A19952" s="683" t="s">
        <v>4233</v>
      </c>
    </row>
    <row r="19953" spans="1:11">
      <c r="A19953" s="683" t="s">
        <v>4060</v>
      </c>
      <c r="B19953" s="682" t="s">
        <v>4234</v>
      </c>
    </row>
    <row r="19955" spans="1:11">
      <c r="A19955" s="682" t="s">
        <v>4333</v>
      </c>
    </row>
    <row r="19956" spans="1:11">
      <c r="A19956" s="682" t="s">
        <v>4210</v>
      </c>
      <c r="B19956" s="683" t="s">
        <v>4211</v>
      </c>
    </row>
    <row r="19957" spans="1:11">
      <c r="A19957" s="682" t="s">
        <v>4212</v>
      </c>
      <c r="B19957" s="682" t="s">
        <v>4213</v>
      </c>
    </row>
    <row r="19959" spans="1:11">
      <c r="A19959" s="683" t="s">
        <v>4214</v>
      </c>
      <c r="C19959" s="682" t="s">
        <v>4215</v>
      </c>
    </row>
    <row r="19960" spans="1:11">
      <c r="A19960" s="683" t="s">
        <v>4216</v>
      </c>
      <c r="C19960" s="682" t="s">
        <v>2967</v>
      </c>
    </row>
    <row r="19961" spans="1:11">
      <c r="A19961" s="683" t="s">
        <v>3893</v>
      </c>
      <c r="C19961" s="682" t="s">
        <v>2169</v>
      </c>
    </row>
    <row r="19962" spans="1:11">
      <c r="A19962" s="683" t="s">
        <v>4218</v>
      </c>
      <c r="C19962" s="682" t="s">
        <v>4321</v>
      </c>
    </row>
    <row r="19964" spans="1:11">
      <c r="A19964" s="684" t="s">
        <v>4220</v>
      </c>
      <c r="B19964" s="685" t="s">
        <v>4221</v>
      </c>
      <c r="C19964" s="685" t="s">
        <v>4222</v>
      </c>
      <c r="D19964" s="685" t="s">
        <v>4223</v>
      </c>
      <c r="E19964" s="685" t="s">
        <v>4224</v>
      </c>
      <c r="F19964" s="685" t="s">
        <v>4225</v>
      </c>
      <c r="G19964" s="685" t="s">
        <v>4226</v>
      </c>
      <c r="H19964" s="685" t="s">
        <v>4227</v>
      </c>
      <c r="I19964" s="685" t="s">
        <v>4228</v>
      </c>
      <c r="J19964" s="685" t="s">
        <v>4229</v>
      </c>
      <c r="K19964" s="685" t="s">
        <v>4230</v>
      </c>
    </row>
    <row r="19965" spans="1:11">
      <c r="A19965" s="686" t="s">
        <v>4231</v>
      </c>
      <c r="B19965" s="687" t="s">
        <v>4232</v>
      </c>
      <c r="C19965" s="687" t="s">
        <v>4232</v>
      </c>
      <c r="D19965" s="687" t="s">
        <v>4232</v>
      </c>
      <c r="E19965" s="687" t="s">
        <v>4232</v>
      </c>
      <c r="F19965" s="687" t="s">
        <v>4232</v>
      </c>
      <c r="G19965" s="687" t="s">
        <v>4232</v>
      </c>
      <c r="H19965" s="687" t="s">
        <v>4232</v>
      </c>
      <c r="I19965" s="687" t="s">
        <v>4232</v>
      </c>
      <c r="J19965" s="687" t="s">
        <v>4232</v>
      </c>
      <c r="K19965" s="687" t="s">
        <v>4232</v>
      </c>
    </row>
    <row r="19966" spans="1:11">
      <c r="A19966" s="688" t="s">
        <v>4064</v>
      </c>
      <c r="B19966" s="692" t="s">
        <v>4060</v>
      </c>
      <c r="C19966" s="691">
        <v>6.3</v>
      </c>
      <c r="D19966" s="692" t="s">
        <v>4060</v>
      </c>
      <c r="E19966" s="691">
        <v>6.4</v>
      </c>
      <c r="F19966" s="691">
        <v>6.3</v>
      </c>
      <c r="G19966" s="691">
        <v>6.3</v>
      </c>
      <c r="H19966" s="691">
        <v>6.5</v>
      </c>
      <c r="I19966" s="691">
        <v>6.1</v>
      </c>
      <c r="J19966" s="691">
        <v>6.2</v>
      </c>
      <c r="K19966" s="691">
        <v>6.1</v>
      </c>
    </row>
    <row r="19967" spans="1:11">
      <c r="A19967" s="688" t="s">
        <v>4065</v>
      </c>
      <c r="B19967" s="690" t="s">
        <v>4060</v>
      </c>
      <c r="C19967" s="690" t="s">
        <v>4060</v>
      </c>
      <c r="D19967" s="690" t="s">
        <v>4060</v>
      </c>
      <c r="E19967" s="690" t="s">
        <v>4060</v>
      </c>
      <c r="F19967" s="690" t="s">
        <v>4060</v>
      </c>
      <c r="G19967" s="690" t="s">
        <v>4060</v>
      </c>
      <c r="H19967" s="690" t="s">
        <v>4060</v>
      </c>
      <c r="I19967" s="690" t="s">
        <v>4060</v>
      </c>
      <c r="J19967" s="690" t="s">
        <v>4060</v>
      </c>
      <c r="K19967" s="690" t="s">
        <v>4060</v>
      </c>
    </row>
    <row r="19968" spans="1:11">
      <c r="A19968" s="688" t="s">
        <v>4063</v>
      </c>
      <c r="B19968" s="692" t="s">
        <v>4060</v>
      </c>
      <c r="C19968" s="692" t="s">
        <v>4060</v>
      </c>
      <c r="D19968" s="692" t="s">
        <v>4060</v>
      </c>
      <c r="E19968" s="692" t="s">
        <v>4060</v>
      </c>
      <c r="F19968" s="692" t="s">
        <v>4060</v>
      </c>
      <c r="G19968" s="692" t="s">
        <v>4060</v>
      </c>
      <c r="H19968" s="692" t="s">
        <v>4060</v>
      </c>
      <c r="I19968" s="692" t="s">
        <v>4060</v>
      </c>
      <c r="J19968" s="692" t="s">
        <v>4060</v>
      </c>
      <c r="K19968" s="692" t="s">
        <v>4060</v>
      </c>
    </row>
    <row r="19969" spans="1:11">
      <c r="A19969" s="688" t="s">
        <v>4069</v>
      </c>
      <c r="B19969" s="690" t="s">
        <v>4060</v>
      </c>
      <c r="C19969" s="689">
        <v>6.5</v>
      </c>
      <c r="D19969" s="689">
        <v>6.2</v>
      </c>
      <c r="E19969" s="689">
        <v>6.5</v>
      </c>
      <c r="F19969" s="689">
        <v>6.4</v>
      </c>
      <c r="G19969" s="689">
        <v>6.5</v>
      </c>
      <c r="H19969" s="689">
        <v>6.6</v>
      </c>
      <c r="I19969" s="689">
        <v>6.2</v>
      </c>
      <c r="J19969" s="689">
        <v>6.4</v>
      </c>
      <c r="K19969" s="689">
        <v>6.3</v>
      </c>
    </row>
    <row r="19970" spans="1:11">
      <c r="A19970" s="688" t="s">
        <v>4068</v>
      </c>
      <c r="B19970" s="692" t="s">
        <v>4060</v>
      </c>
      <c r="C19970" s="692" t="s">
        <v>4060</v>
      </c>
      <c r="D19970" s="692" t="s">
        <v>4060</v>
      </c>
      <c r="E19970" s="692" t="s">
        <v>4060</v>
      </c>
      <c r="F19970" s="692" t="s">
        <v>4060</v>
      </c>
      <c r="G19970" s="692" t="s">
        <v>4060</v>
      </c>
      <c r="H19970" s="692" t="s">
        <v>4060</v>
      </c>
      <c r="I19970" s="692" t="s">
        <v>4060</v>
      </c>
      <c r="J19970" s="692" t="s">
        <v>4060</v>
      </c>
      <c r="K19970" s="692" t="s">
        <v>4060</v>
      </c>
    </row>
    <row r="19971" spans="1:11">
      <c r="A19971" s="688" t="s">
        <v>0</v>
      </c>
      <c r="B19971" s="690" t="s">
        <v>4060</v>
      </c>
      <c r="C19971" s="689">
        <v>6.3</v>
      </c>
      <c r="D19971" s="689">
        <v>6.1</v>
      </c>
      <c r="E19971" s="689">
        <v>6.4</v>
      </c>
      <c r="F19971" s="689">
        <v>6.4</v>
      </c>
      <c r="G19971" s="689">
        <v>6.4</v>
      </c>
      <c r="H19971" s="689">
        <v>6.5</v>
      </c>
      <c r="I19971" s="689">
        <v>5.8</v>
      </c>
      <c r="J19971" s="689">
        <v>6.8</v>
      </c>
      <c r="K19971" s="689">
        <v>6.4</v>
      </c>
    </row>
    <row r="19972" spans="1:11">
      <c r="A19972" s="688" t="s">
        <v>1</v>
      </c>
      <c r="B19972" s="692" t="s">
        <v>4060</v>
      </c>
      <c r="C19972" s="691">
        <v>4.5999999999999996</v>
      </c>
      <c r="D19972" s="691">
        <v>4.5</v>
      </c>
      <c r="E19972" s="691">
        <v>4.5999999999999996</v>
      </c>
      <c r="F19972" s="691">
        <v>4.5</v>
      </c>
      <c r="G19972" s="691">
        <v>4.5999999999999996</v>
      </c>
      <c r="H19972" s="691">
        <v>4.5999999999999996</v>
      </c>
      <c r="I19972" s="691">
        <v>4.4000000000000004</v>
      </c>
      <c r="J19972" s="691">
        <v>4.0999999999999996</v>
      </c>
      <c r="K19972" s="691">
        <v>4.5</v>
      </c>
    </row>
    <row r="19973" spans="1:11">
      <c r="A19973" s="688" t="s">
        <v>2240</v>
      </c>
      <c r="B19973" s="690" t="s">
        <v>4060</v>
      </c>
      <c r="C19973" s="689">
        <v>5.4</v>
      </c>
      <c r="D19973" s="689">
        <v>5.2</v>
      </c>
      <c r="E19973" s="689">
        <v>5.5</v>
      </c>
      <c r="F19973" s="689">
        <v>5.4</v>
      </c>
      <c r="G19973" s="689">
        <v>5.4</v>
      </c>
      <c r="H19973" s="689">
        <v>5.6</v>
      </c>
      <c r="I19973" s="689">
        <v>5.0999999999999996</v>
      </c>
      <c r="J19973" s="689">
        <v>5.0999999999999996</v>
      </c>
      <c r="K19973" s="689">
        <v>5.4</v>
      </c>
    </row>
    <row r="19974" spans="1:11">
      <c r="A19974" s="688" t="s">
        <v>2</v>
      </c>
      <c r="B19974" s="692" t="s">
        <v>4060</v>
      </c>
      <c r="C19974" s="691">
        <v>6.4</v>
      </c>
      <c r="D19974" s="691">
        <v>6.3</v>
      </c>
      <c r="E19974" s="691">
        <v>6.3</v>
      </c>
      <c r="F19974" s="691">
        <v>6.3</v>
      </c>
      <c r="G19974" s="691">
        <v>6.1</v>
      </c>
      <c r="H19974" s="691">
        <v>6.3</v>
      </c>
      <c r="I19974" s="691">
        <v>6.4</v>
      </c>
      <c r="J19974" s="691">
        <v>6.1</v>
      </c>
      <c r="K19974" s="691">
        <v>6.1</v>
      </c>
    </row>
    <row r="19975" spans="1:11">
      <c r="A19975" s="688" t="s">
        <v>3</v>
      </c>
      <c r="B19975" s="690" t="s">
        <v>4060</v>
      </c>
      <c r="C19975" s="689">
        <v>6.1</v>
      </c>
      <c r="D19975" s="689">
        <v>5.8</v>
      </c>
      <c r="E19975" s="689">
        <v>6.1</v>
      </c>
      <c r="F19975" s="693">
        <v>6</v>
      </c>
      <c r="G19975" s="693">
        <v>6</v>
      </c>
      <c r="H19975" s="689">
        <v>6.1</v>
      </c>
      <c r="I19975" s="693">
        <v>6</v>
      </c>
      <c r="J19975" s="693">
        <v>6</v>
      </c>
      <c r="K19975" s="689">
        <v>5.8</v>
      </c>
    </row>
    <row r="19976" spans="1:11">
      <c r="A19976" s="688" t="s">
        <v>4061</v>
      </c>
      <c r="B19976" s="692" t="s">
        <v>4060</v>
      </c>
      <c r="C19976" s="691">
        <v>6.1</v>
      </c>
      <c r="D19976" s="691">
        <v>5.8</v>
      </c>
      <c r="E19976" s="691">
        <v>6.1</v>
      </c>
      <c r="F19976" s="615">
        <v>6</v>
      </c>
      <c r="G19976" s="615">
        <v>6</v>
      </c>
      <c r="H19976" s="691">
        <v>6.1</v>
      </c>
      <c r="I19976" s="615">
        <v>6</v>
      </c>
      <c r="J19976" s="615">
        <v>6</v>
      </c>
      <c r="K19976" s="691">
        <v>5.8</v>
      </c>
    </row>
    <row r="19977" spans="1:11">
      <c r="A19977" s="688" t="s">
        <v>4</v>
      </c>
      <c r="B19977" s="690" t="s">
        <v>4060</v>
      </c>
      <c r="C19977" s="689">
        <v>5.8</v>
      </c>
      <c r="D19977" s="689">
        <v>5.8</v>
      </c>
      <c r="E19977" s="689">
        <v>5.9</v>
      </c>
      <c r="F19977" s="689">
        <v>5.9</v>
      </c>
      <c r="G19977" s="693">
        <v>6</v>
      </c>
      <c r="H19977" s="689">
        <v>6.1</v>
      </c>
      <c r="I19977" s="689">
        <v>6.2</v>
      </c>
      <c r="J19977" s="689">
        <v>5.6</v>
      </c>
      <c r="K19977" s="689">
        <v>5.8</v>
      </c>
    </row>
    <row r="19978" spans="1:11">
      <c r="A19978" s="688" t="s">
        <v>8</v>
      </c>
      <c r="B19978" s="692" t="s">
        <v>4060</v>
      </c>
      <c r="C19978" s="691">
        <v>6.1</v>
      </c>
      <c r="D19978" s="691">
        <v>5.9</v>
      </c>
      <c r="E19978" s="615">
        <v>6</v>
      </c>
      <c r="F19978" s="691">
        <v>6.2</v>
      </c>
      <c r="G19978" s="691">
        <v>6.3</v>
      </c>
      <c r="H19978" s="691">
        <v>6.4</v>
      </c>
      <c r="I19978" s="691">
        <v>6.3</v>
      </c>
      <c r="J19978" s="691">
        <v>6.3</v>
      </c>
      <c r="K19978" s="691">
        <v>6.3</v>
      </c>
    </row>
    <row r="19979" spans="1:11">
      <c r="A19979" s="688" t="s">
        <v>7</v>
      </c>
      <c r="B19979" s="690" t="s">
        <v>4060</v>
      </c>
      <c r="C19979" s="689">
        <v>5.7</v>
      </c>
      <c r="D19979" s="689">
        <v>5.5</v>
      </c>
      <c r="E19979" s="689">
        <v>5.9</v>
      </c>
      <c r="F19979" s="689">
        <v>5.8</v>
      </c>
      <c r="G19979" s="689">
        <v>6.1</v>
      </c>
      <c r="H19979" s="693">
        <v>6</v>
      </c>
      <c r="I19979" s="693">
        <v>6</v>
      </c>
      <c r="J19979" s="689">
        <v>5.7</v>
      </c>
      <c r="K19979" s="689">
        <v>5.7</v>
      </c>
    </row>
    <row r="19980" spans="1:11">
      <c r="A19980" s="688" t="s">
        <v>27</v>
      </c>
      <c r="B19980" s="692" t="s">
        <v>4060</v>
      </c>
      <c r="C19980" s="691">
        <v>6.9</v>
      </c>
      <c r="D19980" s="691">
        <v>6.5</v>
      </c>
      <c r="E19980" s="691">
        <v>6.9</v>
      </c>
      <c r="F19980" s="691">
        <v>6.7</v>
      </c>
      <c r="G19980" s="691">
        <v>6.8</v>
      </c>
      <c r="H19980" s="691">
        <v>7.1</v>
      </c>
      <c r="I19980" s="691">
        <v>6.4</v>
      </c>
      <c r="J19980" s="615">
        <v>7</v>
      </c>
      <c r="K19980" s="691">
        <v>6.8</v>
      </c>
    </row>
    <row r="19981" spans="1:11">
      <c r="A19981" s="688" t="s">
        <v>6</v>
      </c>
      <c r="B19981" s="690" t="s">
        <v>4060</v>
      </c>
      <c r="C19981" s="689">
        <v>7.2</v>
      </c>
      <c r="D19981" s="693">
        <v>7</v>
      </c>
      <c r="E19981" s="689">
        <v>7.2</v>
      </c>
      <c r="F19981" s="689">
        <v>7.2</v>
      </c>
      <c r="G19981" s="689">
        <v>7.3</v>
      </c>
      <c r="H19981" s="689">
        <v>7.3</v>
      </c>
      <c r="I19981" s="693">
        <v>7</v>
      </c>
      <c r="J19981" s="689">
        <v>7.2</v>
      </c>
      <c r="K19981" s="689">
        <v>7.1</v>
      </c>
    </row>
    <row r="19982" spans="1:11">
      <c r="A19982" s="688" t="s">
        <v>4058</v>
      </c>
      <c r="B19982" s="692" t="s">
        <v>4060</v>
      </c>
      <c r="C19982" s="692" t="s">
        <v>4060</v>
      </c>
      <c r="D19982" s="692" t="s">
        <v>4060</v>
      </c>
      <c r="E19982" s="692" t="s">
        <v>4060</v>
      </c>
      <c r="F19982" s="692" t="s">
        <v>4060</v>
      </c>
      <c r="G19982" s="692" t="s">
        <v>4060</v>
      </c>
      <c r="H19982" s="692" t="s">
        <v>4060</v>
      </c>
      <c r="I19982" s="692" t="s">
        <v>4060</v>
      </c>
      <c r="J19982" s="692" t="s">
        <v>4060</v>
      </c>
      <c r="K19982" s="692" t="s">
        <v>4060</v>
      </c>
    </row>
    <row r="19983" spans="1:11">
      <c r="A19983" s="688" t="s">
        <v>11</v>
      </c>
      <c r="B19983" s="690" t="s">
        <v>4060</v>
      </c>
      <c r="C19983" s="693">
        <v>5</v>
      </c>
      <c r="D19983" s="689">
        <v>4.7</v>
      </c>
      <c r="E19983" s="689">
        <v>5.0999999999999996</v>
      </c>
      <c r="F19983" s="689">
        <v>4.9000000000000004</v>
      </c>
      <c r="G19983" s="693">
        <v>5</v>
      </c>
      <c r="H19983" s="689">
        <v>5.0999999999999996</v>
      </c>
      <c r="I19983" s="689">
        <v>4.7</v>
      </c>
      <c r="J19983" s="689">
        <v>4.5</v>
      </c>
      <c r="K19983" s="689">
        <v>4.5999999999999996</v>
      </c>
    </row>
    <row r="19984" spans="1:11">
      <c r="A19984" s="688" t="s">
        <v>10</v>
      </c>
      <c r="B19984" s="692" t="s">
        <v>4060</v>
      </c>
      <c r="C19984" s="691">
        <v>6.6</v>
      </c>
      <c r="D19984" s="691">
        <v>6.2</v>
      </c>
      <c r="E19984" s="691">
        <v>6.6</v>
      </c>
      <c r="F19984" s="691">
        <v>6.4</v>
      </c>
      <c r="G19984" s="691">
        <v>6.6</v>
      </c>
      <c r="H19984" s="691">
        <v>6.7</v>
      </c>
      <c r="I19984" s="691">
        <v>6.1</v>
      </c>
      <c r="J19984" s="691">
        <v>6.4</v>
      </c>
      <c r="K19984" s="691">
        <v>6.2</v>
      </c>
    </row>
    <row r="19985" spans="1:11">
      <c r="A19985" s="688" t="s">
        <v>30</v>
      </c>
      <c r="B19985" s="690" t="s">
        <v>4060</v>
      </c>
      <c r="C19985" s="689">
        <v>5.7</v>
      </c>
      <c r="D19985" s="689">
        <v>5.2</v>
      </c>
      <c r="E19985" s="689">
        <v>5.7</v>
      </c>
      <c r="F19985" s="689">
        <v>5.2</v>
      </c>
      <c r="G19985" s="689">
        <v>5.7</v>
      </c>
      <c r="H19985" s="689">
        <v>5.5</v>
      </c>
      <c r="I19985" s="689">
        <v>5.5</v>
      </c>
      <c r="J19985" s="689">
        <v>5.6</v>
      </c>
      <c r="K19985" s="689">
        <v>5.2</v>
      </c>
    </row>
    <row r="19986" spans="1:11">
      <c r="A19986" s="688" t="s">
        <v>12</v>
      </c>
      <c r="B19986" s="692" t="s">
        <v>4060</v>
      </c>
      <c r="C19986" s="691">
        <v>5.3</v>
      </c>
      <c r="D19986" s="691">
        <v>5.3</v>
      </c>
      <c r="E19986" s="691">
        <v>5.3</v>
      </c>
      <c r="F19986" s="691">
        <v>5.3</v>
      </c>
      <c r="G19986" s="691">
        <v>5.3</v>
      </c>
      <c r="H19986" s="691">
        <v>5.5</v>
      </c>
      <c r="I19986" s="691">
        <v>5.4</v>
      </c>
      <c r="J19986" s="691">
        <v>4.9000000000000004</v>
      </c>
      <c r="K19986" s="691">
        <v>5.0999999999999996</v>
      </c>
    </row>
    <row r="19987" spans="1:11">
      <c r="A19987" s="688" t="s">
        <v>14</v>
      </c>
      <c r="B19987" s="690" t="s">
        <v>4060</v>
      </c>
      <c r="C19987" s="689">
        <v>5.0999999999999996</v>
      </c>
      <c r="D19987" s="689">
        <v>4.8</v>
      </c>
      <c r="E19987" s="693">
        <v>5</v>
      </c>
      <c r="F19987" s="693">
        <v>5</v>
      </c>
      <c r="G19987" s="689">
        <v>5.0999999999999996</v>
      </c>
      <c r="H19987" s="689">
        <v>5.3</v>
      </c>
      <c r="I19987" s="689">
        <v>5.0999999999999996</v>
      </c>
      <c r="J19987" s="689">
        <v>4.9000000000000004</v>
      </c>
      <c r="K19987" s="693">
        <v>5</v>
      </c>
    </row>
    <row r="19988" spans="1:11">
      <c r="A19988" s="688" t="s">
        <v>15</v>
      </c>
      <c r="B19988" s="692" t="s">
        <v>4060</v>
      </c>
      <c r="C19988" s="691">
        <v>6.8</v>
      </c>
      <c r="D19988" s="691">
        <v>6.2</v>
      </c>
      <c r="E19988" s="691">
        <v>6.5</v>
      </c>
      <c r="F19988" s="691">
        <v>6.5</v>
      </c>
      <c r="G19988" s="691">
        <v>6.5</v>
      </c>
      <c r="H19988" s="691">
        <v>6.7</v>
      </c>
      <c r="I19988" s="691">
        <v>6.2</v>
      </c>
      <c r="J19988" s="691">
        <v>6.5</v>
      </c>
      <c r="K19988" s="691">
        <v>6.5</v>
      </c>
    </row>
    <row r="19989" spans="1:11">
      <c r="A19989" s="688" t="s">
        <v>29</v>
      </c>
      <c r="B19989" s="690" t="s">
        <v>4060</v>
      </c>
      <c r="C19989" s="689">
        <v>5.3</v>
      </c>
      <c r="D19989" s="693">
        <v>5</v>
      </c>
      <c r="E19989" s="689">
        <v>5.3</v>
      </c>
      <c r="F19989" s="689">
        <v>5.0999999999999996</v>
      </c>
      <c r="G19989" s="689">
        <v>5.2</v>
      </c>
      <c r="H19989" s="689">
        <v>5.3</v>
      </c>
      <c r="I19989" s="693">
        <v>5</v>
      </c>
      <c r="J19989" s="693">
        <v>5</v>
      </c>
      <c r="K19989" s="689">
        <v>5.0999999999999996</v>
      </c>
    </row>
    <row r="19990" spans="1:11">
      <c r="A19990" s="688" t="s">
        <v>16</v>
      </c>
      <c r="B19990" s="692" t="s">
        <v>4060</v>
      </c>
      <c r="C19990" s="691">
        <v>6.1</v>
      </c>
      <c r="D19990" s="691">
        <v>5.9</v>
      </c>
      <c r="E19990" s="691">
        <v>6.4</v>
      </c>
      <c r="F19990" s="691">
        <v>6.2</v>
      </c>
      <c r="G19990" s="691">
        <v>6.2</v>
      </c>
      <c r="H19990" s="691">
        <v>6.5</v>
      </c>
      <c r="I19990" s="615">
        <v>6</v>
      </c>
      <c r="J19990" s="691">
        <v>6.2</v>
      </c>
      <c r="K19990" s="691">
        <v>6.1</v>
      </c>
    </row>
    <row r="19991" spans="1:11">
      <c r="A19991" s="688" t="s">
        <v>17</v>
      </c>
      <c r="B19991" s="690" t="s">
        <v>4060</v>
      </c>
      <c r="C19991" s="689">
        <v>6.2</v>
      </c>
      <c r="D19991" s="693">
        <v>6</v>
      </c>
      <c r="E19991" s="693">
        <v>6</v>
      </c>
      <c r="F19991" s="693">
        <v>6</v>
      </c>
      <c r="G19991" s="693">
        <v>6</v>
      </c>
      <c r="H19991" s="689">
        <v>6.1</v>
      </c>
      <c r="I19991" s="689">
        <v>5.8</v>
      </c>
      <c r="J19991" s="689">
        <v>5.9</v>
      </c>
      <c r="K19991" s="689">
        <v>5.8</v>
      </c>
    </row>
    <row r="19992" spans="1:11">
      <c r="A19992" s="688" t="s">
        <v>19</v>
      </c>
      <c r="B19992" s="692" t="s">
        <v>4060</v>
      </c>
      <c r="C19992" s="691">
        <v>6.1</v>
      </c>
      <c r="D19992" s="691">
        <v>5.9</v>
      </c>
      <c r="E19992" s="691">
        <v>6.2</v>
      </c>
      <c r="F19992" s="615">
        <v>6</v>
      </c>
      <c r="G19992" s="691">
        <v>6.1</v>
      </c>
      <c r="H19992" s="691">
        <v>6.2</v>
      </c>
      <c r="I19992" s="691">
        <v>5.9</v>
      </c>
      <c r="J19992" s="615">
        <v>6</v>
      </c>
      <c r="K19992" s="691">
        <v>5.9</v>
      </c>
    </row>
    <row r="19993" spans="1:11">
      <c r="A19993" s="688" t="s">
        <v>20</v>
      </c>
      <c r="B19993" s="690" t="s">
        <v>4060</v>
      </c>
      <c r="C19993" s="693">
        <v>6</v>
      </c>
      <c r="D19993" s="689">
        <v>5.8</v>
      </c>
      <c r="E19993" s="689">
        <v>6.1</v>
      </c>
      <c r="F19993" s="689">
        <v>5.9</v>
      </c>
      <c r="G19993" s="689">
        <v>5.9</v>
      </c>
      <c r="H19993" s="689">
        <v>6.1</v>
      </c>
      <c r="I19993" s="689">
        <v>5.6</v>
      </c>
      <c r="J19993" s="689">
        <v>5.3</v>
      </c>
      <c r="K19993" s="689">
        <v>5.6</v>
      </c>
    </row>
    <row r="19994" spans="1:11">
      <c r="A19994" s="688" t="s">
        <v>21</v>
      </c>
      <c r="B19994" s="692" t="s">
        <v>4060</v>
      </c>
      <c r="C19994" s="691">
        <v>6.5</v>
      </c>
      <c r="D19994" s="691">
        <v>6.3</v>
      </c>
      <c r="E19994" s="691">
        <v>6.4</v>
      </c>
      <c r="F19994" s="691">
        <v>6.5</v>
      </c>
      <c r="G19994" s="691">
        <v>6.5</v>
      </c>
      <c r="H19994" s="691">
        <v>6.6</v>
      </c>
      <c r="I19994" s="691">
        <v>6.2</v>
      </c>
      <c r="J19994" s="691">
        <v>6.3</v>
      </c>
      <c r="K19994" s="691">
        <v>6.2</v>
      </c>
    </row>
    <row r="19995" spans="1:11">
      <c r="A19995" s="688" t="s">
        <v>22</v>
      </c>
      <c r="B19995" s="690" t="s">
        <v>4060</v>
      </c>
      <c r="C19995" s="689">
        <v>5.0999999999999996</v>
      </c>
      <c r="D19995" s="689">
        <v>5.0999999999999996</v>
      </c>
      <c r="E19995" s="689">
        <v>5.4</v>
      </c>
      <c r="F19995" s="689">
        <v>5.4</v>
      </c>
      <c r="G19995" s="689">
        <v>5.5</v>
      </c>
      <c r="H19995" s="689">
        <v>5.8</v>
      </c>
      <c r="I19995" s="689">
        <v>5.4</v>
      </c>
      <c r="J19995" s="689">
        <v>4.7</v>
      </c>
      <c r="K19995" s="689">
        <v>4.8</v>
      </c>
    </row>
    <row r="19996" spans="1:11">
      <c r="A19996" s="688" t="s">
        <v>26</v>
      </c>
      <c r="B19996" s="692" t="s">
        <v>4060</v>
      </c>
      <c r="C19996" s="615">
        <v>6</v>
      </c>
      <c r="D19996" s="691">
        <v>5.9</v>
      </c>
      <c r="E19996" s="615">
        <v>6</v>
      </c>
      <c r="F19996" s="691">
        <v>6.1</v>
      </c>
      <c r="G19996" s="691">
        <v>6.3</v>
      </c>
      <c r="H19996" s="691">
        <v>6.2</v>
      </c>
      <c r="I19996" s="691">
        <v>5.5</v>
      </c>
      <c r="J19996" s="615">
        <v>6</v>
      </c>
      <c r="K19996" s="615">
        <v>6</v>
      </c>
    </row>
    <row r="19997" spans="1:11">
      <c r="A19997" s="688" t="s">
        <v>25</v>
      </c>
      <c r="B19997" s="690" t="s">
        <v>4060</v>
      </c>
      <c r="C19997" s="689">
        <v>5.5</v>
      </c>
      <c r="D19997" s="689">
        <v>5.3</v>
      </c>
      <c r="E19997" s="689">
        <v>5.4</v>
      </c>
      <c r="F19997" s="689">
        <v>5.3</v>
      </c>
      <c r="G19997" s="689">
        <v>5.6</v>
      </c>
      <c r="H19997" s="689">
        <v>5.8</v>
      </c>
      <c r="I19997" s="689">
        <v>5.5</v>
      </c>
      <c r="J19997" s="689">
        <v>4.8</v>
      </c>
      <c r="K19997" s="689">
        <v>5.0999999999999996</v>
      </c>
    </row>
    <row r="19998" spans="1:11">
      <c r="A19998" s="688" t="s">
        <v>5</v>
      </c>
      <c r="B19998" s="692" t="s">
        <v>4060</v>
      </c>
      <c r="C19998" s="691">
        <v>6.1</v>
      </c>
      <c r="D19998" s="691">
        <v>6.1</v>
      </c>
      <c r="E19998" s="691">
        <v>6.2</v>
      </c>
      <c r="F19998" s="691">
        <v>6.3</v>
      </c>
      <c r="G19998" s="691">
        <v>6.3</v>
      </c>
      <c r="H19998" s="691">
        <v>6.5</v>
      </c>
      <c r="I19998" s="691">
        <v>6.5</v>
      </c>
      <c r="J19998" s="691">
        <v>6.4</v>
      </c>
      <c r="K19998" s="615">
        <v>6</v>
      </c>
    </row>
    <row r="19999" spans="1:11">
      <c r="A19999" s="688" t="s">
        <v>23</v>
      </c>
      <c r="B19999" s="690" t="s">
        <v>4060</v>
      </c>
      <c r="C19999" s="689">
        <v>6.3</v>
      </c>
      <c r="D19999" s="689">
        <v>6.3</v>
      </c>
      <c r="E19999" s="689">
        <v>6.3</v>
      </c>
      <c r="F19999" s="689">
        <v>6.3</v>
      </c>
      <c r="G19999" s="689">
        <v>6.3</v>
      </c>
      <c r="H19999" s="689">
        <v>6.6</v>
      </c>
      <c r="I19999" s="689">
        <v>6.2</v>
      </c>
      <c r="J19999" s="689">
        <v>6.7</v>
      </c>
      <c r="K19999" s="689">
        <v>6.5</v>
      </c>
    </row>
    <row r="20000" spans="1:11">
      <c r="A20000" s="688" t="s">
        <v>4067</v>
      </c>
      <c r="B20000" s="692" t="s">
        <v>4060</v>
      </c>
      <c r="C20000" s="692" t="s">
        <v>4060</v>
      </c>
      <c r="D20000" s="692" t="s">
        <v>4060</v>
      </c>
      <c r="E20000" s="692" t="s">
        <v>4060</v>
      </c>
      <c r="F20000" s="692" t="s">
        <v>4060</v>
      </c>
      <c r="G20000" s="692" t="s">
        <v>4060</v>
      </c>
      <c r="H20000" s="692" t="s">
        <v>4060</v>
      </c>
      <c r="I20000" s="692" t="s">
        <v>4060</v>
      </c>
      <c r="J20000" s="692" t="s">
        <v>4060</v>
      </c>
      <c r="K20000" s="692" t="s">
        <v>4060</v>
      </c>
    </row>
    <row r="20001" spans="1:11">
      <c r="A20001" s="688" t="s">
        <v>4066</v>
      </c>
      <c r="B20001" s="690" t="s">
        <v>4060</v>
      </c>
      <c r="C20001" s="690" t="s">
        <v>4060</v>
      </c>
      <c r="D20001" s="690" t="s">
        <v>4060</v>
      </c>
      <c r="E20001" s="690" t="s">
        <v>4060</v>
      </c>
      <c r="F20001" s="690" t="s">
        <v>4060</v>
      </c>
      <c r="G20001" s="690" t="s">
        <v>4060</v>
      </c>
      <c r="H20001" s="690" t="s">
        <v>4060</v>
      </c>
      <c r="I20001" s="690" t="s">
        <v>4060</v>
      </c>
      <c r="J20001" s="690" t="s">
        <v>4060</v>
      </c>
      <c r="K20001" s="690" t="s">
        <v>4060</v>
      </c>
    </row>
    <row r="20002" spans="1:11">
      <c r="A20002" s="688" t="s">
        <v>4062</v>
      </c>
      <c r="B20002" s="692" t="s">
        <v>4060</v>
      </c>
      <c r="C20002" s="691">
        <v>6.5</v>
      </c>
      <c r="D20002" s="691">
        <v>6.3</v>
      </c>
      <c r="E20002" s="691">
        <v>6.5</v>
      </c>
      <c r="F20002" s="691">
        <v>6.5</v>
      </c>
      <c r="G20002" s="691">
        <v>6.6</v>
      </c>
      <c r="H20002" s="691">
        <v>6.6</v>
      </c>
      <c r="I20002" s="691">
        <v>6.4</v>
      </c>
      <c r="J20002" s="691">
        <v>6.6</v>
      </c>
      <c r="K20002" s="691">
        <v>6.4</v>
      </c>
    </row>
    <row r="20003" spans="1:11">
      <c r="A20003" s="688" t="s">
        <v>9</v>
      </c>
      <c r="B20003" s="690" t="s">
        <v>4060</v>
      </c>
      <c r="C20003" s="689">
        <v>6.5</v>
      </c>
      <c r="D20003" s="689">
        <v>6.2</v>
      </c>
      <c r="E20003" s="689">
        <v>6.4</v>
      </c>
      <c r="F20003" s="689">
        <v>6.2</v>
      </c>
      <c r="G20003" s="689">
        <v>6.4</v>
      </c>
      <c r="H20003" s="689">
        <v>6.4</v>
      </c>
      <c r="I20003" s="689">
        <v>6.3</v>
      </c>
      <c r="J20003" s="689">
        <v>6.4</v>
      </c>
      <c r="K20003" s="689">
        <v>5.9</v>
      </c>
    </row>
    <row r="20004" spans="1:11">
      <c r="A20004" s="688" t="s">
        <v>13</v>
      </c>
      <c r="B20004" s="692" t="s">
        <v>4060</v>
      </c>
      <c r="C20004" s="691">
        <v>5.0999999999999996</v>
      </c>
      <c r="D20004" s="691">
        <v>5.9</v>
      </c>
      <c r="E20004" s="691">
        <v>7.1</v>
      </c>
      <c r="F20004" s="691">
        <v>6.5</v>
      </c>
      <c r="G20004" s="691">
        <v>5.7</v>
      </c>
      <c r="H20004" s="691">
        <v>6.5</v>
      </c>
      <c r="I20004" s="691">
        <v>6.2</v>
      </c>
      <c r="J20004" s="691">
        <v>6.4</v>
      </c>
      <c r="K20004" s="691">
        <v>5.6</v>
      </c>
    </row>
    <row r="20005" spans="1:11">
      <c r="A20005" s="688" t="s">
        <v>18</v>
      </c>
      <c r="B20005" s="690" t="s">
        <v>4060</v>
      </c>
      <c r="C20005" s="689">
        <v>6.4</v>
      </c>
      <c r="D20005" s="689">
        <v>6.3</v>
      </c>
      <c r="E20005" s="689">
        <v>6.4</v>
      </c>
      <c r="F20005" s="689">
        <v>6.4</v>
      </c>
      <c r="G20005" s="689">
        <v>6.4</v>
      </c>
      <c r="H20005" s="689">
        <v>6.6</v>
      </c>
      <c r="I20005" s="689">
        <v>6.7</v>
      </c>
      <c r="J20005" s="689">
        <v>6.4</v>
      </c>
      <c r="K20005" s="689">
        <v>6.2</v>
      </c>
    </row>
    <row r="20006" spans="1:11">
      <c r="A20006" s="688" t="s">
        <v>24</v>
      </c>
      <c r="B20006" s="692" t="s">
        <v>4060</v>
      </c>
      <c r="C20006" s="691">
        <v>6.5</v>
      </c>
      <c r="D20006" s="691">
        <v>6.3</v>
      </c>
      <c r="E20006" s="691">
        <v>6.6</v>
      </c>
      <c r="F20006" s="691">
        <v>6.5</v>
      </c>
      <c r="G20006" s="691">
        <v>6.7</v>
      </c>
      <c r="H20006" s="691">
        <v>6.7</v>
      </c>
      <c r="I20006" s="691">
        <v>6.2</v>
      </c>
      <c r="J20006" s="691">
        <v>6.7</v>
      </c>
      <c r="K20006" s="691">
        <v>6.5</v>
      </c>
    </row>
    <row r="20007" spans="1:11">
      <c r="A20007" s="688" t="s">
        <v>4059</v>
      </c>
      <c r="B20007" s="690" t="s">
        <v>4060</v>
      </c>
      <c r="C20007" s="690" t="s">
        <v>4060</v>
      </c>
      <c r="D20007" s="690" t="s">
        <v>4060</v>
      </c>
      <c r="E20007" s="690" t="s">
        <v>4060</v>
      </c>
      <c r="F20007" s="690" t="s">
        <v>4060</v>
      </c>
      <c r="G20007" s="690" t="s">
        <v>4060</v>
      </c>
      <c r="H20007" s="690" t="s">
        <v>4060</v>
      </c>
      <c r="I20007" s="690" t="s">
        <v>4060</v>
      </c>
      <c r="J20007" s="690" t="s">
        <v>4060</v>
      </c>
      <c r="K20007" s="690" t="s">
        <v>4060</v>
      </c>
    </row>
    <row r="20008" spans="1:11">
      <c r="A20008" s="688" t="s">
        <v>2324</v>
      </c>
      <c r="B20008" s="692" t="s">
        <v>4060</v>
      </c>
      <c r="C20008" s="692" t="s">
        <v>4060</v>
      </c>
      <c r="D20008" s="692" t="s">
        <v>4060</v>
      </c>
      <c r="E20008" s="692" t="s">
        <v>4060</v>
      </c>
      <c r="F20008" s="692" t="s">
        <v>4060</v>
      </c>
      <c r="G20008" s="692" t="s">
        <v>4060</v>
      </c>
      <c r="H20008" s="692" t="s">
        <v>4060</v>
      </c>
      <c r="I20008" s="692" t="s">
        <v>4060</v>
      </c>
      <c r="J20008" s="692" t="s">
        <v>4060</v>
      </c>
      <c r="K20008" s="692" t="s">
        <v>4060</v>
      </c>
    </row>
    <row r="20009" spans="1:11">
      <c r="A20009" s="688" t="s">
        <v>2322</v>
      </c>
      <c r="B20009" s="690" t="s">
        <v>4060</v>
      </c>
      <c r="C20009" s="690" t="s">
        <v>4060</v>
      </c>
      <c r="D20009" s="690" t="s">
        <v>4060</v>
      </c>
      <c r="E20009" s="690" t="s">
        <v>4060</v>
      </c>
      <c r="F20009" s="690" t="s">
        <v>4060</v>
      </c>
      <c r="G20009" s="690" t="s">
        <v>4060</v>
      </c>
      <c r="H20009" s="690" t="s">
        <v>4060</v>
      </c>
      <c r="I20009" s="690" t="s">
        <v>4060</v>
      </c>
      <c r="J20009" s="690" t="s">
        <v>4060</v>
      </c>
      <c r="K20009" s="690" t="s">
        <v>4060</v>
      </c>
    </row>
    <row r="20010" spans="1:11">
      <c r="A20010" s="688" t="s">
        <v>2328</v>
      </c>
      <c r="B20010" s="692" t="s">
        <v>4060</v>
      </c>
      <c r="C20010" s="692" t="s">
        <v>4060</v>
      </c>
      <c r="D20010" s="692" t="s">
        <v>4060</v>
      </c>
      <c r="E20010" s="692" t="s">
        <v>4060</v>
      </c>
      <c r="F20010" s="692" t="s">
        <v>4060</v>
      </c>
      <c r="G20010" s="692" t="s">
        <v>4060</v>
      </c>
      <c r="H20010" s="692" t="s">
        <v>4060</v>
      </c>
      <c r="I20010" s="692" t="s">
        <v>4060</v>
      </c>
      <c r="J20010" s="692" t="s">
        <v>4060</v>
      </c>
      <c r="K20010" s="692" t="s">
        <v>4060</v>
      </c>
    </row>
    <row r="20011" spans="1:11">
      <c r="A20011" s="688" t="s">
        <v>2496</v>
      </c>
      <c r="B20011" s="690" t="s">
        <v>4060</v>
      </c>
      <c r="C20011" s="690" t="s">
        <v>4060</v>
      </c>
      <c r="D20011" s="690" t="s">
        <v>4060</v>
      </c>
      <c r="E20011" s="690" t="s">
        <v>4060</v>
      </c>
      <c r="F20011" s="690" t="s">
        <v>4060</v>
      </c>
      <c r="G20011" s="690" t="s">
        <v>4060</v>
      </c>
      <c r="H20011" s="690" t="s">
        <v>4060</v>
      </c>
      <c r="I20011" s="690" t="s">
        <v>4060</v>
      </c>
      <c r="J20011" s="690" t="s">
        <v>4060</v>
      </c>
      <c r="K20011" s="690" t="s">
        <v>4060</v>
      </c>
    </row>
    <row r="20012" spans="1:11">
      <c r="A20012" s="688" t="s">
        <v>2269</v>
      </c>
      <c r="B20012" s="692" t="s">
        <v>4060</v>
      </c>
      <c r="C20012" s="692" t="s">
        <v>4060</v>
      </c>
      <c r="D20012" s="692" t="s">
        <v>4060</v>
      </c>
      <c r="E20012" s="692" t="s">
        <v>4060</v>
      </c>
      <c r="F20012" s="692" t="s">
        <v>4060</v>
      </c>
      <c r="G20012" s="692" t="s">
        <v>4060</v>
      </c>
      <c r="H20012" s="692" t="s">
        <v>4060</v>
      </c>
      <c r="I20012" s="692" t="s">
        <v>4060</v>
      </c>
      <c r="J20012" s="692" t="s">
        <v>4060</v>
      </c>
      <c r="K20012" s="692" t="s">
        <v>4060</v>
      </c>
    </row>
    <row r="20013" spans="1:11">
      <c r="A20013" s="688" t="s">
        <v>2349</v>
      </c>
      <c r="B20013" s="690" t="s">
        <v>4060</v>
      </c>
      <c r="C20013" s="690" t="s">
        <v>4060</v>
      </c>
      <c r="D20013" s="690" t="s">
        <v>4060</v>
      </c>
      <c r="E20013" s="690" t="s">
        <v>4060</v>
      </c>
      <c r="F20013" s="690" t="s">
        <v>4060</v>
      </c>
      <c r="G20013" s="690" t="s">
        <v>4060</v>
      </c>
      <c r="H20013" s="690" t="s">
        <v>4060</v>
      </c>
      <c r="I20013" s="690" t="s">
        <v>4060</v>
      </c>
      <c r="J20013" s="690" t="s">
        <v>4060</v>
      </c>
      <c r="K20013" s="690" t="s">
        <v>4060</v>
      </c>
    </row>
    <row r="20014" spans="1:11">
      <c r="A20014" s="688" t="s">
        <v>2355</v>
      </c>
      <c r="B20014" s="692" t="s">
        <v>4060</v>
      </c>
      <c r="C20014" s="692" t="s">
        <v>4060</v>
      </c>
      <c r="D20014" s="692" t="s">
        <v>4060</v>
      </c>
      <c r="E20014" s="692" t="s">
        <v>4060</v>
      </c>
      <c r="F20014" s="692" t="s">
        <v>4060</v>
      </c>
      <c r="G20014" s="692" t="s">
        <v>4060</v>
      </c>
      <c r="H20014" s="692" t="s">
        <v>4060</v>
      </c>
      <c r="I20014" s="692" t="s">
        <v>4060</v>
      </c>
      <c r="J20014" s="692" t="s">
        <v>4060</v>
      </c>
      <c r="K20014" s="692" t="s">
        <v>4060</v>
      </c>
    </row>
    <row r="20015" spans="1:11">
      <c r="A20015" s="688" t="s">
        <v>2357</v>
      </c>
      <c r="B20015" s="690" t="s">
        <v>4060</v>
      </c>
      <c r="C20015" s="690" t="s">
        <v>4060</v>
      </c>
      <c r="D20015" s="690" t="s">
        <v>4060</v>
      </c>
      <c r="E20015" s="690" t="s">
        <v>4060</v>
      </c>
      <c r="F20015" s="690" t="s">
        <v>4060</v>
      </c>
      <c r="G20015" s="690" t="s">
        <v>4060</v>
      </c>
      <c r="H20015" s="690" t="s">
        <v>4060</v>
      </c>
      <c r="I20015" s="690" t="s">
        <v>4060</v>
      </c>
      <c r="J20015" s="690" t="s">
        <v>4060</v>
      </c>
      <c r="K20015" s="690" t="s">
        <v>4060</v>
      </c>
    </row>
    <row r="20016" spans="1:11">
      <c r="A20016" s="688" t="s">
        <v>4070</v>
      </c>
      <c r="B20016" s="692" t="s">
        <v>4060</v>
      </c>
      <c r="C20016" s="692" t="s">
        <v>4060</v>
      </c>
      <c r="D20016" s="692" t="s">
        <v>4060</v>
      </c>
      <c r="E20016" s="692" t="s">
        <v>4060</v>
      </c>
      <c r="F20016" s="692" t="s">
        <v>4060</v>
      </c>
      <c r="G20016" s="692" t="s">
        <v>4060</v>
      </c>
      <c r="H20016" s="692" t="s">
        <v>4060</v>
      </c>
      <c r="I20016" s="692" t="s">
        <v>4060</v>
      </c>
      <c r="J20016" s="692" t="s">
        <v>4060</v>
      </c>
      <c r="K20016" s="692" t="s">
        <v>4060</v>
      </c>
    </row>
    <row r="20017" spans="1:11">
      <c r="A20017" s="688" t="s">
        <v>2491</v>
      </c>
      <c r="B20017" s="690" t="s">
        <v>4060</v>
      </c>
      <c r="C20017" s="690" t="s">
        <v>4060</v>
      </c>
      <c r="D20017" s="690" t="s">
        <v>4060</v>
      </c>
      <c r="E20017" s="690" t="s">
        <v>4060</v>
      </c>
      <c r="F20017" s="690" t="s">
        <v>4060</v>
      </c>
      <c r="G20017" s="690" t="s">
        <v>4060</v>
      </c>
      <c r="H20017" s="690" t="s">
        <v>4060</v>
      </c>
      <c r="I20017" s="690" t="s">
        <v>4060</v>
      </c>
      <c r="J20017" s="690" t="s">
        <v>4060</v>
      </c>
      <c r="K20017" s="690" t="s">
        <v>4060</v>
      </c>
    </row>
    <row r="20018" spans="1:11">
      <c r="A20018" s="688" t="s">
        <v>2343</v>
      </c>
      <c r="B20018" s="692" t="s">
        <v>4060</v>
      </c>
      <c r="C20018" s="692" t="s">
        <v>4060</v>
      </c>
      <c r="D20018" s="692" t="s">
        <v>4060</v>
      </c>
      <c r="E20018" s="692" t="s">
        <v>4060</v>
      </c>
      <c r="F20018" s="692" t="s">
        <v>4060</v>
      </c>
      <c r="G20018" s="692" t="s">
        <v>4060</v>
      </c>
      <c r="H20018" s="692" t="s">
        <v>4060</v>
      </c>
      <c r="I20018" s="692" t="s">
        <v>4060</v>
      </c>
      <c r="J20018" s="692" t="s">
        <v>4060</v>
      </c>
      <c r="K20018" s="692" t="s">
        <v>4060</v>
      </c>
    </row>
    <row r="20019" spans="1:11">
      <c r="A20019" s="688" t="s">
        <v>4071</v>
      </c>
      <c r="B20019" s="690" t="s">
        <v>4060</v>
      </c>
      <c r="C20019" s="690" t="s">
        <v>4060</v>
      </c>
      <c r="D20019" s="690" t="s">
        <v>4060</v>
      </c>
      <c r="E20019" s="690" t="s">
        <v>4060</v>
      </c>
      <c r="F20019" s="690" t="s">
        <v>4060</v>
      </c>
      <c r="G20019" s="690" t="s">
        <v>4060</v>
      </c>
      <c r="H20019" s="690" t="s">
        <v>4060</v>
      </c>
      <c r="I20019" s="690" t="s">
        <v>4060</v>
      </c>
      <c r="J20019" s="690" t="s">
        <v>4060</v>
      </c>
      <c r="K20019" s="690" t="s">
        <v>4060</v>
      </c>
    </row>
    <row r="20020" spans="1:11">
      <c r="A20020" s="688" t="s">
        <v>2489</v>
      </c>
      <c r="B20020" s="692" t="s">
        <v>4060</v>
      </c>
      <c r="C20020" s="692" t="s">
        <v>4060</v>
      </c>
      <c r="D20020" s="692" t="s">
        <v>4060</v>
      </c>
      <c r="E20020" s="692" t="s">
        <v>4060</v>
      </c>
      <c r="F20020" s="692" t="s">
        <v>4060</v>
      </c>
      <c r="G20020" s="692" t="s">
        <v>4060</v>
      </c>
      <c r="H20020" s="692" t="s">
        <v>4060</v>
      </c>
      <c r="I20020" s="692" t="s">
        <v>4060</v>
      </c>
      <c r="J20020" s="692" t="s">
        <v>4060</v>
      </c>
      <c r="K20020" s="692" t="s">
        <v>4060</v>
      </c>
    </row>
    <row r="20021" spans="1:11">
      <c r="A20021" s="688" t="s">
        <v>2490</v>
      </c>
      <c r="B20021" s="690" t="s">
        <v>4060</v>
      </c>
      <c r="C20021" s="690" t="s">
        <v>4060</v>
      </c>
      <c r="D20021" s="690" t="s">
        <v>4060</v>
      </c>
      <c r="E20021" s="690" t="s">
        <v>4060</v>
      </c>
      <c r="F20021" s="690" t="s">
        <v>4060</v>
      </c>
      <c r="G20021" s="690" t="s">
        <v>4060</v>
      </c>
      <c r="H20021" s="690" t="s">
        <v>4060</v>
      </c>
      <c r="I20021" s="690" t="s">
        <v>4060</v>
      </c>
      <c r="J20021" s="690" t="s">
        <v>4060</v>
      </c>
      <c r="K20021" s="690" t="s">
        <v>4060</v>
      </c>
    </row>
    <row r="20023" spans="1:11">
      <c r="A20023" s="683" t="s">
        <v>4233</v>
      </c>
    </row>
    <row r="20024" spans="1:11">
      <c r="A20024" s="683" t="s">
        <v>4060</v>
      </c>
      <c r="B20024" s="682" t="s">
        <v>4234</v>
      </c>
    </row>
    <row r="20026" spans="1:11">
      <c r="A20026" s="682" t="s">
        <v>4333</v>
      </c>
    </row>
    <row r="20027" spans="1:11">
      <c r="A20027" s="682" t="s">
        <v>4210</v>
      </c>
      <c r="B20027" s="683" t="s">
        <v>4211</v>
      </c>
    </row>
    <row r="20028" spans="1:11">
      <c r="A20028" s="682" t="s">
        <v>4212</v>
      </c>
      <c r="B20028" s="682" t="s">
        <v>4213</v>
      </c>
    </row>
    <row r="20030" spans="1:11">
      <c r="A20030" s="683" t="s">
        <v>4214</v>
      </c>
      <c r="C20030" s="682" t="s">
        <v>4215</v>
      </c>
    </row>
    <row r="20031" spans="1:11">
      <c r="A20031" s="683" t="s">
        <v>4216</v>
      </c>
      <c r="C20031" s="682" t="s">
        <v>2967</v>
      </c>
    </row>
    <row r="20032" spans="1:11">
      <c r="A20032" s="683" t="s">
        <v>3893</v>
      </c>
      <c r="C20032" s="682" t="s">
        <v>2169</v>
      </c>
    </row>
    <row r="20033" spans="1:11">
      <c r="A20033" s="683" t="s">
        <v>4218</v>
      </c>
      <c r="C20033" s="682" t="s">
        <v>4322</v>
      </c>
    </row>
    <row r="20035" spans="1:11">
      <c r="A20035" s="684" t="s">
        <v>4220</v>
      </c>
      <c r="B20035" s="685" t="s">
        <v>4221</v>
      </c>
      <c r="C20035" s="685" t="s">
        <v>4222</v>
      </c>
      <c r="D20035" s="685" t="s">
        <v>4223</v>
      </c>
      <c r="E20035" s="685" t="s">
        <v>4224</v>
      </c>
      <c r="F20035" s="685" t="s">
        <v>4225</v>
      </c>
      <c r="G20035" s="685" t="s">
        <v>4226</v>
      </c>
      <c r="H20035" s="685" t="s">
        <v>4227</v>
      </c>
      <c r="I20035" s="685" t="s">
        <v>4228</v>
      </c>
      <c r="J20035" s="685" t="s">
        <v>4229</v>
      </c>
      <c r="K20035" s="685" t="s">
        <v>4230</v>
      </c>
    </row>
    <row r="20036" spans="1:11">
      <c r="A20036" s="686" t="s">
        <v>4231</v>
      </c>
      <c r="B20036" s="687" t="s">
        <v>4232</v>
      </c>
      <c r="C20036" s="687" t="s">
        <v>4232</v>
      </c>
      <c r="D20036" s="687" t="s">
        <v>4232</v>
      </c>
      <c r="E20036" s="687" t="s">
        <v>4232</v>
      </c>
      <c r="F20036" s="687" t="s">
        <v>4232</v>
      </c>
      <c r="G20036" s="687" t="s">
        <v>4232</v>
      </c>
      <c r="H20036" s="687" t="s">
        <v>4232</v>
      </c>
      <c r="I20036" s="687" t="s">
        <v>4232</v>
      </c>
      <c r="J20036" s="687" t="s">
        <v>4232</v>
      </c>
      <c r="K20036" s="687" t="s">
        <v>4232</v>
      </c>
    </row>
    <row r="20037" spans="1:11">
      <c r="A20037" s="688" t="s">
        <v>4064</v>
      </c>
      <c r="B20037" s="690" t="s">
        <v>4060</v>
      </c>
      <c r="C20037" s="689">
        <v>5.9</v>
      </c>
      <c r="D20037" s="690" t="s">
        <v>4060</v>
      </c>
      <c r="E20037" s="689">
        <v>5.9</v>
      </c>
      <c r="F20037" s="689">
        <v>5.8</v>
      </c>
      <c r="G20037" s="689">
        <v>5.9</v>
      </c>
      <c r="H20037" s="693">
        <v>6</v>
      </c>
      <c r="I20037" s="689">
        <v>5.6</v>
      </c>
      <c r="J20037" s="689">
        <v>5.7</v>
      </c>
      <c r="K20037" s="689">
        <v>5.6</v>
      </c>
    </row>
    <row r="20038" spans="1:11">
      <c r="A20038" s="688" t="s">
        <v>4065</v>
      </c>
      <c r="B20038" s="692" t="s">
        <v>4060</v>
      </c>
      <c r="C20038" s="692" t="s">
        <v>4060</v>
      </c>
      <c r="D20038" s="692" t="s">
        <v>4060</v>
      </c>
      <c r="E20038" s="692" t="s">
        <v>4060</v>
      </c>
      <c r="F20038" s="692" t="s">
        <v>4060</v>
      </c>
      <c r="G20038" s="692" t="s">
        <v>4060</v>
      </c>
      <c r="H20038" s="692" t="s">
        <v>4060</v>
      </c>
      <c r="I20038" s="692" t="s">
        <v>4060</v>
      </c>
      <c r="J20038" s="692" t="s">
        <v>4060</v>
      </c>
      <c r="K20038" s="692" t="s">
        <v>4060</v>
      </c>
    </row>
    <row r="20039" spans="1:11">
      <c r="A20039" s="688" t="s">
        <v>4063</v>
      </c>
      <c r="B20039" s="690" t="s">
        <v>4060</v>
      </c>
      <c r="C20039" s="690" t="s">
        <v>4060</v>
      </c>
      <c r="D20039" s="690" t="s">
        <v>4060</v>
      </c>
      <c r="E20039" s="690" t="s">
        <v>4060</v>
      </c>
      <c r="F20039" s="690" t="s">
        <v>4060</v>
      </c>
      <c r="G20039" s="690" t="s">
        <v>4060</v>
      </c>
      <c r="H20039" s="690" t="s">
        <v>4060</v>
      </c>
      <c r="I20039" s="690" t="s">
        <v>4060</v>
      </c>
      <c r="J20039" s="690" t="s">
        <v>4060</v>
      </c>
      <c r="K20039" s="690" t="s">
        <v>4060</v>
      </c>
    </row>
    <row r="20040" spans="1:11">
      <c r="A20040" s="688" t="s">
        <v>4069</v>
      </c>
      <c r="B20040" s="692" t="s">
        <v>4060</v>
      </c>
      <c r="C20040" s="615">
        <v>6</v>
      </c>
      <c r="D20040" s="691">
        <v>5.7</v>
      </c>
      <c r="E20040" s="615">
        <v>6</v>
      </c>
      <c r="F20040" s="691">
        <v>5.9</v>
      </c>
      <c r="G20040" s="615">
        <v>6</v>
      </c>
      <c r="H20040" s="691">
        <v>6.1</v>
      </c>
      <c r="I20040" s="691">
        <v>5.7</v>
      </c>
      <c r="J20040" s="691">
        <v>5.9</v>
      </c>
      <c r="K20040" s="691">
        <v>5.8</v>
      </c>
    </row>
    <row r="20041" spans="1:11">
      <c r="A20041" s="688" t="s">
        <v>4068</v>
      </c>
      <c r="B20041" s="690" t="s">
        <v>4060</v>
      </c>
      <c r="C20041" s="690" t="s">
        <v>4060</v>
      </c>
      <c r="D20041" s="690" t="s">
        <v>4060</v>
      </c>
      <c r="E20041" s="690" t="s">
        <v>4060</v>
      </c>
      <c r="F20041" s="690" t="s">
        <v>4060</v>
      </c>
      <c r="G20041" s="690" t="s">
        <v>4060</v>
      </c>
      <c r="H20041" s="690" t="s">
        <v>4060</v>
      </c>
      <c r="I20041" s="690" t="s">
        <v>4060</v>
      </c>
      <c r="J20041" s="690" t="s">
        <v>4060</v>
      </c>
      <c r="K20041" s="690" t="s">
        <v>4060</v>
      </c>
    </row>
    <row r="20042" spans="1:11">
      <c r="A20042" s="688" t="s">
        <v>0</v>
      </c>
      <c r="B20042" s="692" t="s">
        <v>4060</v>
      </c>
      <c r="C20042" s="691">
        <v>5.8</v>
      </c>
      <c r="D20042" s="691">
        <v>5.6</v>
      </c>
      <c r="E20042" s="691">
        <v>5.9</v>
      </c>
      <c r="F20042" s="691">
        <v>5.9</v>
      </c>
      <c r="G20042" s="691">
        <v>5.9</v>
      </c>
      <c r="H20042" s="615">
        <v>6</v>
      </c>
      <c r="I20042" s="691">
        <v>5.4</v>
      </c>
      <c r="J20042" s="691">
        <v>6.3</v>
      </c>
      <c r="K20042" s="691">
        <v>5.9</v>
      </c>
    </row>
    <row r="20043" spans="1:11">
      <c r="A20043" s="688" t="s">
        <v>1</v>
      </c>
      <c r="B20043" s="690" t="s">
        <v>4060</v>
      </c>
      <c r="C20043" s="689">
        <v>4.2</v>
      </c>
      <c r="D20043" s="689">
        <v>4.0999999999999996</v>
      </c>
      <c r="E20043" s="689">
        <v>4.2</v>
      </c>
      <c r="F20043" s="689">
        <v>4.2</v>
      </c>
      <c r="G20043" s="689">
        <v>4.2</v>
      </c>
      <c r="H20043" s="689">
        <v>4.3</v>
      </c>
      <c r="I20043" s="689">
        <v>4.0999999999999996</v>
      </c>
      <c r="J20043" s="689">
        <v>3.8</v>
      </c>
      <c r="K20043" s="689">
        <v>4.2</v>
      </c>
    </row>
    <row r="20044" spans="1:11">
      <c r="A20044" s="688" t="s">
        <v>2240</v>
      </c>
      <c r="B20044" s="692" t="s">
        <v>4060</v>
      </c>
      <c r="C20044" s="615">
        <v>5</v>
      </c>
      <c r="D20044" s="691">
        <v>4.8</v>
      </c>
      <c r="E20044" s="691">
        <v>5.0999999999999996</v>
      </c>
      <c r="F20044" s="615">
        <v>5</v>
      </c>
      <c r="G20044" s="615">
        <v>5</v>
      </c>
      <c r="H20044" s="691">
        <v>5.0999999999999996</v>
      </c>
      <c r="I20044" s="691">
        <v>4.7</v>
      </c>
      <c r="J20044" s="691">
        <v>4.7</v>
      </c>
      <c r="K20044" s="691">
        <v>4.9000000000000004</v>
      </c>
    </row>
    <row r="20045" spans="1:11">
      <c r="A20045" s="688" t="s">
        <v>2</v>
      </c>
      <c r="B20045" s="690" t="s">
        <v>4060</v>
      </c>
      <c r="C20045" s="689">
        <v>5.9</v>
      </c>
      <c r="D20045" s="689">
        <v>5.8</v>
      </c>
      <c r="E20045" s="689">
        <v>5.8</v>
      </c>
      <c r="F20045" s="689">
        <v>5.8</v>
      </c>
      <c r="G20045" s="689">
        <v>5.7</v>
      </c>
      <c r="H20045" s="689">
        <v>5.8</v>
      </c>
      <c r="I20045" s="689">
        <v>5.9</v>
      </c>
      <c r="J20045" s="689">
        <v>5.7</v>
      </c>
      <c r="K20045" s="689">
        <v>5.6</v>
      </c>
    </row>
    <row r="20046" spans="1:11">
      <c r="A20046" s="688" t="s">
        <v>3</v>
      </c>
      <c r="B20046" s="692" t="s">
        <v>4060</v>
      </c>
      <c r="C20046" s="691">
        <v>5.6</v>
      </c>
      <c r="D20046" s="691">
        <v>5.4</v>
      </c>
      <c r="E20046" s="691">
        <v>5.6</v>
      </c>
      <c r="F20046" s="691">
        <v>5.5</v>
      </c>
      <c r="G20046" s="691">
        <v>5.5</v>
      </c>
      <c r="H20046" s="691">
        <v>5.7</v>
      </c>
      <c r="I20046" s="691">
        <v>5.5</v>
      </c>
      <c r="J20046" s="691">
        <v>5.5</v>
      </c>
      <c r="K20046" s="691">
        <v>5.3</v>
      </c>
    </row>
    <row r="20047" spans="1:11">
      <c r="A20047" s="688" t="s">
        <v>4061</v>
      </c>
      <c r="B20047" s="690" t="s">
        <v>4060</v>
      </c>
      <c r="C20047" s="689">
        <v>5.6</v>
      </c>
      <c r="D20047" s="689">
        <v>5.4</v>
      </c>
      <c r="E20047" s="689">
        <v>5.6</v>
      </c>
      <c r="F20047" s="689">
        <v>5.5</v>
      </c>
      <c r="G20047" s="689">
        <v>5.5</v>
      </c>
      <c r="H20047" s="689">
        <v>5.7</v>
      </c>
      <c r="I20047" s="689">
        <v>5.5</v>
      </c>
      <c r="J20047" s="689">
        <v>5.5</v>
      </c>
      <c r="K20047" s="689">
        <v>5.3</v>
      </c>
    </row>
    <row r="20048" spans="1:11">
      <c r="A20048" s="688" t="s">
        <v>4</v>
      </c>
      <c r="B20048" s="692" t="s">
        <v>4060</v>
      </c>
      <c r="C20048" s="691">
        <v>5.4</v>
      </c>
      <c r="D20048" s="691">
        <v>5.4</v>
      </c>
      <c r="E20048" s="691">
        <v>5.5</v>
      </c>
      <c r="F20048" s="691">
        <v>5.5</v>
      </c>
      <c r="G20048" s="691">
        <v>5.5</v>
      </c>
      <c r="H20048" s="691">
        <v>5.7</v>
      </c>
      <c r="I20048" s="691">
        <v>5.7</v>
      </c>
      <c r="J20048" s="691">
        <v>5.0999999999999996</v>
      </c>
      <c r="K20048" s="691">
        <v>5.4</v>
      </c>
    </row>
    <row r="20049" spans="1:11">
      <c r="A20049" s="688" t="s">
        <v>8</v>
      </c>
      <c r="B20049" s="690" t="s">
        <v>4060</v>
      </c>
      <c r="C20049" s="689">
        <v>5.6</v>
      </c>
      <c r="D20049" s="689">
        <v>5.5</v>
      </c>
      <c r="E20049" s="689">
        <v>5.5</v>
      </c>
      <c r="F20049" s="689">
        <v>5.7</v>
      </c>
      <c r="G20049" s="689">
        <v>5.9</v>
      </c>
      <c r="H20049" s="689">
        <v>5.9</v>
      </c>
      <c r="I20049" s="689">
        <v>5.9</v>
      </c>
      <c r="J20049" s="689">
        <v>5.8</v>
      </c>
      <c r="K20049" s="689">
        <v>5.8</v>
      </c>
    </row>
    <row r="20050" spans="1:11">
      <c r="A20050" s="688" t="s">
        <v>7</v>
      </c>
      <c r="B20050" s="692" t="s">
        <v>4060</v>
      </c>
      <c r="C20050" s="691">
        <v>5.2</v>
      </c>
      <c r="D20050" s="615">
        <v>5</v>
      </c>
      <c r="E20050" s="691">
        <v>5.4</v>
      </c>
      <c r="F20050" s="691">
        <v>5.3</v>
      </c>
      <c r="G20050" s="691">
        <v>5.7</v>
      </c>
      <c r="H20050" s="691">
        <v>5.6</v>
      </c>
      <c r="I20050" s="691">
        <v>5.5</v>
      </c>
      <c r="J20050" s="691">
        <v>5.3</v>
      </c>
      <c r="K20050" s="691">
        <v>5.2</v>
      </c>
    </row>
    <row r="20051" spans="1:11">
      <c r="A20051" s="688" t="s">
        <v>27</v>
      </c>
      <c r="B20051" s="690" t="s">
        <v>4060</v>
      </c>
      <c r="C20051" s="689">
        <v>6.3</v>
      </c>
      <c r="D20051" s="693">
        <v>6</v>
      </c>
      <c r="E20051" s="689">
        <v>6.3</v>
      </c>
      <c r="F20051" s="689">
        <v>6.2</v>
      </c>
      <c r="G20051" s="689">
        <v>6.3</v>
      </c>
      <c r="H20051" s="689">
        <v>6.5</v>
      </c>
      <c r="I20051" s="689">
        <v>5.9</v>
      </c>
      <c r="J20051" s="689">
        <v>6.5</v>
      </c>
      <c r="K20051" s="689">
        <v>6.2</v>
      </c>
    </row>
    <row r="20052" spans="1:11">
      <c r="A20052" s="688" t="s">
        <v>6</v>
      </c>
      <c r="B20052" s="692" t="s">
        <v>4060</v>
      </c>
      <c r="C20052" s="691">
        <v>6.7</v>
      </c>
      <c r="D20052" s="691">
        <v>6.4</v>
      </c>
      <c r="E20052" s="691">
        <v>6.6</v>
      </c>
      <c r="F20052" s="691">
        <v>6.6</v>
      </c>
      <c r="G20052" s="691">
        <v>6.7</v>
      </c>
      <c r="H20052" s="691">
        <v>6.8</v>
      </c>
      <c r="I20052" s="691">
        <v>6.5</v>
      </c>
      <c r="J20052" s="691">
        <v>6.7</v>
      </c>
      <c r="K20052" s="691">
        <v>6.5</v>
      </c>
    </row>
    <row r="20053" spans="1:11">
      <c r="A20053" s="688" t="s">
        <v>4058</v>
      </c>
      <c r="B20053" s="690" t="s">
        <v>4060</v>
      </c>
      <c r="C20053" s="690" t="s">
        <v>4060</v>
      </c>
      <c r="D20053" s="690" t="s">
        <v>4060</v>
      </c>
      <c r="E20053" s="690" t="s">
        <v>4060</v>
      </c>
      <c r="F20053" s="690" t="s">
        <v>4060</v>
      </c>
      <c r="G20053" s="690" t="s">
        <v>4060</v>
      </c>
      <c r="H20053" s="690" t="s">
        <v>4060</v>
      </c>
      <c r="I20053" s="690" t="s">
        <v>4060</v>
      </c>
      <c r="J20053" s="690" t="s">
        <v>4060</v>
      </c>
      <c r="K20053" s="690" t="s">
        <v>4060</v>
      </c>
    </row>
    <row r="20054" spans="1:11">
      <c r="A20054" s="688" t="s">
        <v>11</v>
      </c>
      <c r="B20054" s="692" t="s">
        <v>4060</v>
      </c>
      <c r="C20054" s="691">
        <v>4.7</v>
      </c>
      <c r="D20054" s="691">
        <v>4.4000000000000004</v>
      </c>
      <c r="E20054" s="691">
        <v>4.7</v>
      </c>
      <c r="F20054" s="691">
        <v>4.5</v>
      </c>
      <c r="G20054" s="691">
        <v>4.5999999999999996</v>
      </c>
      <c r="H20054" s="691">
        <v>4.7</v>
      </c>
      <c r="I20054" s="691">
        <v>4.4000000000000004</v>
      </c>
      <c r="J20054" s="691">
        <v>4.0999999999999996</v>
      </c>
      <c r="K20054" s="691">
        <v>4.2</v>
      </c>
    </row>
    <row r="20055" spans="1:11">
      <c r="A20055" s="688" t="s">
        <v>10</v>
      </c>
      <c r="B20055" s="690" t="s">
        <v>4060</v>
      </c>
      <c r="C20055" s="689">
        <v>6.1</v>
      </c>
      <c r="D20055" s="689">
        <v>5.7</v>
      </c>
      <c r="E20055" s="689">
        <v>6.1</v>
      </c>
      <c r="F20055" s="689">
        <v>5.9</v>
      </c>
      <c r="G20055" s="689">
        <v>6.1</v>
      </c>
      <c r="H20055" s="689">
        <v>6.2</v>
      </c>
      <c r="I20055" s="689">
        <v>5.6</v>
      </c>
      <c r="J20055" s="689">
        <v>5.9</v>
      </c>
      <c r="K20055" s="689">
        <v>5.7</v>
      </c>
    </row>
    <row r="20056" spans="1:11">
      <c r="A20056" s="688" t="s">
        <v>30</v>
      </c>
      <c r="B20056" s="692" t="s">
        <v>4060</v>
      </c>
      <c r="C20056" s="691">
        <v>5.2</v>
      </c>
      <c r="D20056" s="691">
        <v>4.8</v>
      </c>
      <c r="E20056" s="691">
        <v>5.2</v>
      </c>
      <c r="F20056" s="691">
        <v>4.9000000000000004</v>
      </c>
      <c r="G20056" s="691">
        <v>5.2</v>
      </c>
      <c r="H20056" s="615">
        <v>5</v>
      </c>
      <c r="I20056" s="615">
        <v>5</v>
      </c>
      <c r="J20056" s="691">
        <v>5.0999999999999996</v>
      </c>
      <c r="K20056" s="691">
        <v>4.8</v>
      </c>
    </row>
    <row r="20057" spans="1:11">
      <c r="A20057" s="688" t="s">
        <v>12</v>
      </c>
      <c r="B20057" s="690" t="s">
        <v>4060</v>
      </c>
      <c r="C20057" s="689">
        <v>4.9000000000000004</v>
      </c>
      <c r="D20057" s="689">
        <v>4.9000000000000004</v>
      </c>
      <c r="E20057" s="693">
        <v>5</v>
      </c>
      <c r="F20057" s="689">
        <v>4.9000000000000004</v>
      </c>
      <c r="G20057" s="693">
        <v>5</v>
      </c>
      <c r="H20057" s="689">
        <v>5.0999999999999996</v>
      </c>
      <c r="I20057" s="693">
        <v>5</v>
      </c>
      <c r="J20057" s="689">
        <v>4.5</v>
      </c>
      <c r="K20057" s="689">
        <v>4.7</v>
      </c>
    </row>
    <row r="20058" spans="1:11">
      <c r="A20058" s="688" t="s">
        <v>14</v>
      </c>
      <c r="B20058" s="692" t="s">
        <v>4060</v>
      </c>
      <c r="C20058" s="691">
        <v>4.5999999999999996</v>
      </c>
      <c r="D20058" s="691">
        <v>4.4000000000000004</v>
      </c>
      <c r="E20058" s="691">
        <v>4.5</v>
      </c>
      <c r="F20058" s="691">
        <v>4.5999999999999996</v>
      </c>
      <c r="G20058" s="691">
        <v>4.7</v>
      </c>
      <c r="H20058" s="691">
        <v>4.8</v>
      </c>
      <c r="I20058" s="691">
        <v>4.7</v>
      </c>
      <c r="J20058" s="691">
        <v>4.5</v>
      </c>
      <c r="K20058" s="691">
        <v>4.5999999999999996</v>
      </c>
    </row>
    <row r="20059" spans="1:11">
      <c r="A20059" s="688" t="s">
        <v>15</v>
      </c>
      <c r="B20059" s="690" t="s">
        <v>4060</v>
      </c>
      <c r="C20059" s="689">
        <v>6.3</v>
      </c>
      <c r="D20059" s="689">
        <v>5.7</v>
      </c>
      <c r="E20059" s="693">
        <v>6</v>
      </c>
      <c r="F20059" s="693">
        <v>6</v>
      </c>
      <c r="G20059" s="693">
        <v>6</v>
      </c>
      <c r="H20059" s="689">
        <v>6.2</v>
      </c>
      <c r="I20059" s="689">
        <v>5.8</v>
      </c>
      <c r="J20059" s="693">
        <v>6</v>
      </c>
      <c r="K20059" s="693">
        <v>6</v>
      </c>
    </row>
    <row r="20060" spans="1:11">
      <c r="A20060" s="688" t="s">
        <v>29</v>
      </c>
      <c r="B20060" s="692" t="s">
        <v>4060</v>
      </c>
      <c r="C20060" s="691">
        <v>4.9000000000000004</v>
      </c>
      <c r="D20060" s="691">
        <v>4.7</v>
      </c>
      <c r="E20060" s="615">
        <v>5</v>
      </c>
      <c r="F20060" s="691">
        <v>4.8</v>
      </c>
      <c r="G20060" s="691">
        <v>4.8</v>
      </c>
      <c r="H20060" s="691">
        <v>4.9000000000000004</v>
      </c>
      <c r="I20060" s="691">
        <v>4.7</v>
      </c>
      <c r="J20060" s="691">
        <v>4.5999999999999996</v>
      </c>
      <c r="K20060" s="691">
        <v>4.7</v>
      </c>
    </row>
    <row r="20061" spans="1:11">
      <c r="A20061" s="688" t="s">
        <v>16</v>
      </c>
      <c r="B20061" s="690" t="s">
        <v>4060</v>
      </c>
      <c r="C20061" s="689">
        <v>5.7</v>
      </c>
      <c r="D20061" s="689">
        <v>5.5</v>
      </c>
      <c r="E20061" s="689">
        <v>5.9</v>
      </c>
      <c r="F20061" s="689">
        <v>5.7</v>
      </c>
      <c r="G20061" s="689">
        <v>5.8</v>
      </c>
      <c r="H20061" s="689">
        <v>6.1</v>
      </c>
      <c r="I20061" s="689">
        <v>5.4</v>
      </c>
      <c r="J20061" s="689">
        <v>5.8</v>
      </c>
      <c r="K20061" s="689">
        <v>5.7</v>
      </c>
    </row>
    <row r="20062" spans="1:11">
      <c r="A20062" s="688" t="s">
        <v>17</v>
      </c>
      <c r="B20062" s="692" t="s">
        <v>4060</v>
      </c>
      <c r="C20062" s="691">
        <v>5.7</v>
      </c>
      <c r="D20062" s="691">
        <v>5.5</v>
      </c>
      <c r="E20062" s="691">
        <v>5.5</v>
      </c>
      <c r="F20062" s="691">
        <v>5.5</v>
      </c>
      <c r="G20062" s="691">
        <v>5.5</v>
      </c>
      <c r="H20062" s="691">
        <v>5.7</v>
      </c>
      <c r="I20062" s="691">
        <v>5.3</v>
      </c>
      <c r="J20062" s="691">
        <v>5.4</v>
      </c>
      <c r="K20062" s="691">
        <v>5.3</v>
      </c>
    </row>
    <row r="20063" spans="1:11">
      <c r="A20063" s="688" t="s">
        <v>19</v>
      </c>
      <c r="B20063" s="690" t="s">
        <v>4060</v>
      </c>
      <c r="C20063" s="689">
        <v>5.7</v>
      </c>
      <c r="D20063" s="689">
        <v>5.5</v>
      </c>
      <c r="E20063" s="689">
        <v>5.8</v>
      </c>
      <c r="F20063" s="689">
        <v>5.6</v>
      </c>
      <c r="G20063" s="689">
        <v>5.6</v>
      </c>
      <c r="H20063" s="689">
        <v>5.7</v>
      </c>
      <c r="I20063" s="689">
        <v>5.4</v>
      </c>
      <c r="J20063" s="689">
        <v>5.5</v>
      </c>
      <c r="K20063" s="689">
        <v>5.4</v>
      </c>
    </row>
    <row r="20064" spans="1:11">
      <c r="A20064" s="688" t="s">
        <v>20</v>
      </c>
      <c r="B20064" s="692" t="s">
        <v>4060</v>
      </c>
      <c r="C20064" s="691">
        <v>5.6</v>
      </c>
      <c r="D20064" s="691">
        <v>5.4</v>
      </c>
      <c r="E20064" s="691">
        <v>5.7</v>
      </c>
      <c r="F20064" s="691">
        <v>5.5</v>
      </c>
      <c r="G20064" s="691">
        <v>5.5</v>
      </c>
      <c r="H20064" s="691">
        <v>5.7</v>
      </c>
      <c r="I20064" s="691">
        <v>5.2</v>
      </c>
      <c r="J20064" s="691">
        <v>4.9000000000000004</v>
      </c>
      <c r="K20064" s="691">
        <v>5.2</v>
      </c>
    </row>
    <row r="20065" spans="1:11">
      <c r="A20065" s="688" t="s">
        <v>21</v>
      </c>
      <c r="B20065" s="690" t="s">
        <v>4060</v>
      </c>
      <c r="C20065" s="693">
        <v>6</v>
      </c>
      <c r="D20065" s="689">
        <v>5.8</v>
      </c>
      <c r="E20065" s="689">
        <v>5.9</v>
      </c>
      <c r="F20065" s="693">
        <v>6</v>
      </c>
      <c r="G20065" s="693">
        <v>6</v>
      </c>
      <c r="H20065" s="689">
        <v>6.1</v>
      </c>
      <c r="I20065" s="689">
        <v>5.7</v>
      </c>
      <c r="J20065" s="689">
        <v>5.8</v>
      </c>
      <c r="K20065" s="689">
        <v>5.7</v>
      </c>
    </row>
    <row r="20066" spans="1:11">
      <c r="A20066" s="688" t="s">
        <v>22</v>
      </c>
      <c r="B20066" s="692" t="s">
        <v>4060</v>
      </c>
      <c r="C20066" s="691">
        <v>4.8</v>
      </c>
      <c r="D20066" s="691">
        <v>4.8</v>
      </c>
      <c r="E20066" s="691">
        <v>5.0999999999999996</v>
      </c>
      <c r="F20066" s="691">
        <v>5.0999999999999996</v>
      </c>
      <c r="G20066" s="691">
        <v>5.0999999999999996</v>
      </c>
      <c r="H20066" s="691">
        <v>5.5</v>
      </c>
      <c r="I20066" s="691">
        <v>5.2</v>
      </c>
      <c r="J20066" s="691">
        <v>4.4000000000000004</v>
      </c>
      <c r="K20066" s="691">
        <v>4.5</v>
      </c>
    </row>
    <row r="20067" spans="1:11">
      <c r="A20067" s="688" t="s">
        <v>26</v>
      </c>
      <c r="B20067" s="690" t="s">
        <v>4060</v>
      </c>
      <c r="C20067" s="689">
        <v>5.5</v>
      </c>
      <c r="D20067" s="689">
        <v>5.5</v>
      </c>
      <c r="E20067" s="689">
        <v>5.5</v>
      </c>
      <c r="F20067" s="689">
        <v>5.6</v>
      </c>
      <c r="G20067" s="689">
        <v>5.8</v>
      </c>
      <c r="H20067" s="689">
        <v>5.7</v>
      </c>
      <c r="I20067" s="693">
        <v>5</v>
      </c>
      <c r="J20067" s="689">
        <v>5.5</v>
      </c>
      <c r="K20067" s="689">
        <v>5.5</v>
      </c>
    </row>
    <row r="20068" spans="1:11">
      <c r="A20068" s="688" t="s">
        <v>25</v>
      </c>
      <c r="B20068" s="692" t="s">
        <v>4060</v>
      </c>
      <c r="C20068" s="691">
        <v>5.2</v>
      </c>
      <c r="D20068" s="691">
        <v>4.9000000000000004</v>
      </c>
      <c r="E20068" s="691">
        <v>5.0999999999999996</v>
      </c>
      <c r="F20068" s="615">
        <v>5</v>
      </c>
      <c r="G20068" s="691">
        <v>5.2</v>
      </c>
      <c r="H20068" s="691">
        <v>5.5</v>
      </c>
      <c r="I20068" s="691">
        <v>5.2</v>
      </c>
      <c r="J20068" s="691">
        <v>4.5</v>
      </c>
      <c r="K20068" s="691">
        <v>4.7</v>
      </c>
    </row>
    <row r="20069" spans="1:11">
      <c r="A20069" s="688" t="s">
        <v>5</v>
      </c>
      <c r="B20069" s="690" t="s">
        <v>4060</v>
      </c>
      <c r="C20069" s="689">
        <v>5.6</v>
      </c>
      <c r="D20069" s="689">
        <v>5.7</v>
      </c>
      <c r="E20069" s="689">
        <v>5.6</v>
      </c>
      <c r="F20069" s="689">
        <v>5.8</v>
      </c>
      <c r="G20069" s="689">
        <v>5.8</v>
      </c>
      <c r="H20069" s="693">
        <v>6</v>
      </c>
      <c r="I20069" s="693">
        <v>6</v>
      </c>
      <c r="J20069" s="689">
        <v>5.9</v>
      </c>
      <c r="K20069" s="689">
        <v>5.5</v>
      </c>
    </row>
    <row r="20070" spans="1:11">
      <c r="A20070" s="688" t="s">
        <v>23</v>
      </c>
      <c r="B20070" s="692" t="s">
        <v>4060</v>
      </c>
      <c r="C20070" s="691">
        <v>5.8</v>
      </c>
      <c r="D20070" s="691">
        <v>5.8</v>
      </c>
      <c r="E20070" s="691">
        <v>5.8</v>
      </c>
      <c r="F20070" s="691">
        <v>5.8</v>
      </c>
      <c r="G20070" s="691">
        <v>5.8</v>
      </c>
      <c r="H20070" s="691">
        <v>6.1</v>
      </c>
      <c r="I20070" s="691">
        <v>5.7</v>
      </c>
      <c r="J20070" s="691">
        <v>6.2</v>
      </c>
      <c r="K20070" s="615">
        <v>6</v>
      </c>
    </row>
    <row r="20071" spans="1:11">
      <c r="A20071" s="688" t="s">
        <v>4067</v>
      </c>
      <c r="B20071" s="690" t="s">
        <v>4060</v>
      </c>
      <c r="C20071" s="690" t="s">
        <v>4060</v>
      </c>
      <c r="D20071" s="690" t="s">
        <v>4060</v>
      </c>
      <c r="E20071" s="690" t="s">
        <v>4060</v>
      </c>
      <c r="F20071" s="690" t="s">
        <v>4060</v>
      </c>
      <c r="G20071" s="690" t="s">
        <v>4060</v>
      </c>
      <c r="H20071" s="690" t="s">
        <v>4060</v>
      </c>
      <c r="I20071" s="690" t="s">
        <v>4060</v>
      </c>
      <c r="J20071" s="690" t="s">
        <v>4060</v>
      </c>
      <c r="K20071" s="690" t="s">
        <v>4060</v>
      </c>
    </row>
    <row r="20072" spans="1:11">
      <c r="A20072" s="688" t="s">
        <v>4066</v>
      </c>
      <c r="B20072" s="692" t="s">
        <v>4060</v>
      </c>
      <c r="C20072" s="692" t="s">
        <v>4060</v>
      </c>
      <c r="D20072" s="692" t="s">
        <v>4060</v>
      </c>
      <c r="E20072" s="692" t="s">
        <v>4060</v>
      </c>
      <c r="F20072" s="692" t="s">
        <v>4060</v>
      </c>
      <c r="G20072" s="692" t="s">
        <v>4060</v>
      </c>
      <c r="H20072" s="692" t="s">
        <v>4060</v>
      </c>
      <c r="I20072" s="692" t="s">
        <v>4060</v>
      </c>
      <c r="J20072" s="692" t="s">
        <v>4060</v>
      </c>
      <c r="K20072" s="692" t="s">
        <v>4060</v>
      </c>
    </row>
    <row r="20073" spans="1:11">
      <c r="A20073" s="688" t="s">
        <v>4062</v>
      </c>
      <c r="B20073" s="690" t="s">
        <v>4060</v>
      </c>
      <c r="C20073" s="689">
        <v>5.9</v>
      </c>
      <c r="D20073" s="689">
        <v>5.8</v>
      </c>
      <c r="E20073" s="693">
        <v>6</v>
      </c>
      <c r="F20073" s="693">
        <v>6</v>
      </c>
      <c r="G20073" s="693">
        <v>6</v>
      </c>
      <c r="H20073" s="689">
        <v>6.1</v>
      </c>
      <c r="I20073" s="689">
        <v>5.9</v>
      </c>
      <c r="J20073" s="689">
        <v>6.1</v>
      </c>
      <c r="K20073" s="689">
        <v>5.8</v>
      </c>
    </row>
    <row r="20074" spans="1:11">
      <c r="A20074" s="688" t="s">
        <v>9</v>
      </c>
      <c r="B20074" s="692" t="s">
        <v>4060</v>
      </c>
      <c r="C20074" s="691">
        <v>6.1</v>
      </c>
      <c r="D20074" s="691">
        <v>5.6</v>
      </c>
      <c r="E20074" s="691">
        <v>5.8</v>
      </c>
      <c r="F20074" s="691">
        <v>5.7</v>
      </c>
      <c r="G20074" s="691">
        <v>6.1</v>
      </c>
      <c r="H20074" s="691">
        <v>5.8</v>
      </c>
      <c r="I20074" s="691">
        <v>5.9</v>
      </c>
      <c r="J20074" s="691">
        <v>5.8</v>
      </c>
      <c r="K20074" s="691">
        <v>5.3</v>
      </c>
    </row>
    <row r="20075" spans="1:11">
      <c r="A20075" s="688" t="s">
        <v>13</v>
      </c>
      <c r="B20075" s="690" t="s">
        <v>4060</v>
      </c>
      <c r="C20075" s="689">
        <v>4.9000000000000004</v>
      </c>
      <c r="D20075" s="689">
        <v>5.4</v>
      </c>
      <c r="E20075" s="689">
        <v>6.3</v>
      </c>
      <c r="F20075" s="689">
        <v>5.7</v>
      </c>
      <c r="G20075" s="693">
        <v>5</v>
      </c>
      <c r="H20075" s="689">
        <v>6.2</v>
      </c>
      <c r="I20075" s="689">
        <v>5.4</v>
      </c>
      <c r="J20075" s="689">
        <v>6.2</v>
      </c>
      <c r="K20075" s="689">
        <v>5.3</v>
      </c>
    </row>
    <row r="20076" spans="1:11">
      <c r="A20076" s="688" t="s">
        <v>18</v>
      </c>
      <c r="B20076" s="692" t="s">
        <v>4060</v>
      </c>
      <c r="C20076" s="691">
        <v>5.9</v>
      </c>
      <c r="D20076" s="691">
        <v>5.8</v>
      </c>
      <c r="E20076" s="691">
        <v>5.9</v>
      </c>
      <c r="F20076" s="691">
        <v>5.9</v>
      </c>
      <c r="G20076" s="691">
        <v>5.9</v>
      </c>
      <c r="H20076" s="691">
        <v>6.1</v>
      </c>
      <c r="I20076" s="691">
        <v>6.1</v>
      </c>
      <c r="J20076" s="691">
        <v>5.9</v>
      </c>
      <c r="K20076" s="691">
        <v>5.7</v>
      </c>
    </row>
    <row r="20077" spans="1:11">
      <c r="A20077" s="688" t="s">
        <v>24</v>
      </c>
      <c r="B20077" s="690" t="s">
        <v>4060</v>
      </c>
      <c r="C20077" s="693">
        <v>6</v>
      </c>
      <c r="D20077" s="689">
        <v>5.8</v>
      </c>
      <c r="E20077" s="689">
        <v>6.1</v>
      </c>
      <c r="F20077" s="693">
        <v>6</v>
      </c>
      <c r="G20077" s="689">
        <v>6.1</v>
      </c>
      <c r="H20077" s="689">
        <v>6.2</v>
      </c>
      <c r="I20077" s="689">
        <v>5.7</v>
      </c>
      <c r="J20077" s="689">
        <v>6.2</v>
      </c>
      <c r="K20077" s="693">
        <v>6</v>
      </c>
    </row>
    <row r="20078" spans="1:11">
      <c r="A20078" s="688" t="s">
        <v>4059</v>
      </c>
      <c r="B20078" s="692" t="s">
        <v>4060</v>
      </c>
      <c r="C20078" s="692" t="s">
        <v>4060</v>
      </c>
      <c r="D20078" s="692" t="s">
        <v>4060</v>
      </c>
      <c r="E20078" s="692" t="s">
        <v>4060</v>
      </c>
      <c r="F20078" s="692" t="s">
        <v>4060</v>
      </c>
      <c r="G20078" s="692" t="s">
        <v>4060</v>
      </c>
      <c r="H20078" s="692" t="s">
        <v>4060</v>
      </c>
      <c r="I20078" s="692" t="s">
        <v>4060</v>
      </c>
      <c r="J20078" s="692" t="s">
        <v>4060</v>
      </c>
      <c r="K20078" s="692" t="s">
        <v>4060</v>
      </c>
    </row>
    <row r="20079" spans="1:11">
      <c r="A20079" s="688" t="s">
        <v>2324</v>
      </c>
      <c r="B20079" s="690" t="s">
        <v>4060</v>
      </c>
      <c r="C20079" s="690" t="s">
        <v>4060</v>
      </c>
      <c r="D20079" s="690" t="s">
        <v>4060</v>
      </c>
      <c r="E20079" s="690" t="s">
        <v>4060</v>
      </c>
      <c r="F20079" s="690" t="s">
        <v>4060</v>
      </c>
      <c r="G20079" s="690" t="s">
        <v>4060</v>
      </c>
      <c r="H20079" s="690" t="s">
        <v>4060</v>
      </c>
      <c r="I20079" s="690" t="s">
        <v>4060</v>
      </c>
      <c r="J20079" s="690" t="s">
        <v>4060</v>
      </c>
      <c r="K20079" s="690" t="s">
        <v>4060</v>
      </c>
    </row>
    <row r="20080" spans="1:11">
      <c r="A20080" s="688" t="s">
        <v>2322</v>
      </c>
      <c r="B20080" s="692" t="s">
        <v>4060</v>
      </c>
      <c r="C20080" s="692" t="s">
        <v>4060</v>
      </c>
      <c r="D20080" s="692" t="s">
        <v>4060</v>
      </c>
      <c r="E20080" s="692" t="s">
        <v>4060</v>
      </c>
      <c r="F20080" s="692" t="s">
        <v>4060</v>
      </c>
      <c r="G20080" s="692" t="s">
        <v>4060</v>
      </c>
      <c r="H20080" s="692" t="s">
        <v>4060</v>
      </c>
      <c r="I20080" s="692" t="s">
        <v>4060</v>
      </c>
      <c r="J20080" s="692" t="s">
        <v>4060</v>
      </c>
      <c r="K20080" s="692" t="s">
        <v>4060</v>
      </c>
    </row>
    <row r="20081" spans="1:11">
      <c r="A20081" s="688" t="s">
        <v>2328</v>
      </c>
      <c r="B20081" s="690" t="s">
        <v>4060</v>
      </c>
      <c r="C20081" s="690" t="s">
        <v>4060</v>
      </c>
      <c r="D20081" s="690" t="s">
        <v>4060</v>
      </c>
      <c r="E20081" s="690" t="s">
        <v>4060</v>
      </c>
      <c r="F20081" s="690" t="s">
        <v>4060</v>
      </c>
      <c r="G20081" s="690" t="s">
        <v>4060</v>
      </c>
      <c r="H20081" s="690" t="s">
        <v>4060</v>
      </c>
      <c r="I20081" s="690" t="s">
        <v>4060</v>
      </c>
      <c r="J20081" s="690" t="s">
        <v>4060</v>
      </c>
      <c r="K20081" s="690" t="s">
        <v>4060</v>
      </c>
    </row>
    <row r="20082" spans="1:11">
      <c r="A20082" s="688" t="s">
        <v>2496</v>
      </c>
      <c r="B20082" s="692" t="s">
        <v>4060</v>
      </c>
      <c r="C20082" s="692" t="s">
        <v>4060</v>
      </c>
      <c r="D20082" s="692" t="s">
        <v>4060</v>
      </c>
      <c r="E20082" s="692" t="s">
        <v>4060</v>
      </c>
      <c r="F20082" s="692" t="s">
        <v>4060</v>
      </c>
      <c r="G20082" s="692" t="s">
        <v>4060</v>
      </c>
      <c r="H20082" s="692" t="s">
        <v>4060</v>
      </c>
      <c r="I20082" s="692" t="s">
        <v>4060</v>
      </c>
      <c r="J20082" s="692" t="s">
        <v>4060</v>
      </c>
      <c r="K20082" s="692" t="s">
        <v>4060</v>
      </c>
    </row>
    <row r="20083" spans="1:11">
      <c r="A20083" s="688" t="s">
        <v>2269</v>
      </c>
      <c r="B20083" s="690" t="s">
        <v>4060</v>
      </c>
      <c r="C20083" s="690" t="s">
        <v>4060</v>
      </c>
      <c r="D20083" s="690" t="s">
        <v>4060</v>
      </c>
      <c r="E20083" s="690" t="s">
        <v>4060</v>
      </c>
      <c r="F20083" s="690" t="s">
        <v>4060</v>
      </c>
      <c r="G20083" s="690" t="s">
        <v>4060</v>
      </c>
      <c r="H20083" s="690" t="s">
        <v>4060</v>
      </c>
      <c r="I20083" s="690" t="s">
        <v>4060</v>
      </c>
      <c r="J20083" s="690" t="s">
        <v>4060</v>
      </c>
      <c r="K20083" s="690" t="s">
        <v>4060</v>
      </c>
    </row>
    <row r="20084" spans="1:11">
      <c r="A20084" s="688" t="s">
        <v>2349</v>
      </c>
      <c r="B20084" s="692" t="s">
        <v>4060</v>
      </c>
      <c r="C20084" s="692" t="s">
        <v>4060</v>
      </c>
      <c r="D20084" s="692" t="s">
        <v>4060</v>
      </c>
      <c r="E20084" s="692" t="s">
        <v>4060</v>
      </c>
      <c r="F20084" s="692" t="s">
        <v>4060</v>
      </c>
      <c r="G20084" s="692" t="s">
        <v>4060</v>
      </c>
      <c r="H20084" s="692" t="s">
        <v>4060</v>
      </c>
      <c r="I20084" s="692" t="s">
        <v>4060</v>
      </c>
      <c r="J20084" s="692" t="s">
        <v>4060</v>
      </c>
      <c r="K20084" s="692" t="s">
        <v>4060</v>
      </c>
    </row>
    <row r="20085" spans="1:11">
      <c r="A20085" s="688" t="s">
        <v>2355</v>
      </c>
      <c r="B20085" s="690" t="s">
        <v>4060</v>
      </c>
      <c r="C20085" s="690" t="s">
        <v>4060</v>
      </c>
      <c r="D20085" s="690" t="s">
        <v>4060</v>
      </c>
      <c r="E20085" s="690" t="s">
        <v>4060</v>
      </c>
      <c r="F20085" s="690" t="s">
        <v>4060</v>
      </c>
      <c r="G20085" s="690" t="s">
        <v>4060</v>
      </c>
      <c r="H20085" s="690" t="s">
        <v>4060</v>
      </c>
      <c r="I20085" s="690" t="s">
        <v>4060</v>
      </c>
      <c r="J20085" s="690" t="s">
        <v>4060</v>
      </c>
      <c r="K20085" s="690" t="s">
        <v>4060</v>
      </c>
    </row>
    <row r="20086" spans="1:11">
      <c r="A20086" s="688" t="s">
        <v>2357</v>
      </c>
      <c r="B20086" s="692" t="s">
        <v>4060</v>
      </c>
      <c r="C20086" s="692" t="s">
        <v>4060</v>
      </c>
      <c r="D20086" s="692" t="s">
        <v>4060</v>
      </c>
      <c r="E20086" s="692" t="s">
        <v>4060</v>
      </c>
      <c r="F20086" s="692" t="s">
        <v>4060</v>
      </c>
      <c r="G20086" s="692" t="s">
        <v>4060</v>
      </c>
      <c r="H20086" s="692" t="s">
        <v>4060</v>
      </c>
      <c r="I20086" s="692" t="s">
        <v>4060</v>
      </c>
      <c r="J20086" s="692" t="s">
        <v>4060</v>
      </c>
      <c r="K20086" s="692" t="s">
        <v>4060</v>
      </c>
    </row>
    <row r="20087" spans="1:11">
      <c r="A20087" s="688" t="s">
        <v>4070</v>
      </c>
      <c r="B20087" s="690" t="s">
        <v>4060</v>
      </c>
      <c r="C20087" s="690" t="s">
        <v>4060</v>
      </c>
      <c r="D20087" s="690" t="s">
        <v>4060</v>
      </c>
      <c r="E20087" s="690" t="s">
        <v>4060</v>
      </c>
      <c r="F20087" s="690" t="s">
        <v>4060</v>
      </c>
      <c r="G20087" s="690" t="s">
        <v>4060</v>
      </c>
      <c r="H20087" s="690" t="s">
        <v>4060</v>
      </c>
      <c r="I20087" s="690" t="s">
        <v>4060</v>
      </c>
      <c r="J20087" s="690" t="s">
        <v>4060</v>
      </c>
      <c r="K20087" s="690" t="s">
        <v>4060</v>
      </c>
    </row>
    <row r="20088" spans="1:11">
      <c r="A20088" s="688" t="s">
        <v>2491</v>
      </c>
      <c r="B20088" s="692" t="s">
        <v>4060</v>
      </c>
      <c r="C20088" s="692" t="s">
        <v>4060</v>
      </c>
      <c r="D20088" s="692" t="s">
        <v>4060</v>
      </c>
      <c r="E20088" s="692" t="s">
        <v>4060</v>
      </c>
      <c r="F20088" s="692" t="s">
        <v>4060</v>
      </c>
      <c r="G20088" s="692" t="s">
        <v>4060</v>
      </c>
      <c r="H20088" s="692" t="s">
        <v>4060</v>
      </c>
      <c r="I20088" s="692" t="s">
        <v>4060</v>
      </c>
      <c r="J20088" s="692" t="s">
        <v>4060</v>
      </c>
      <c r="K20088" s="692" t="s">
        <v>4060</v>
      </c>
    </row>
    <row r="20089" spans="1:11">
      <c r="A20089" s="688" t="s">
        <v>2343</v>
      </c>
      <c r="B20089" s="690" t="s">
        <v>4060</v>
      </c>
      <c r="C20089" s="690" t="s">
        <v>4060</v>
      </c>
      <c r="D20089" s="690" t="s">
        <v>4060</v>
      </c>
      <c r="E20089" s="690" t="s">
        <v>4060</v>
      </c>
      <c r="F20089" s="690" t="s">
        <v>4060</v>
      </c>
      <c r="G20089" s="690" t="s">
        <v>4060</v>
      </c>
      <c r="H20089" s="690" t="s">
        <v>4060</v>
      </c>
      <c r="I20089" s="690" t="s">
        <v>4060</v>
      </c>
      <c r="J20089" s="690" t="s">
        <v>4060</v>
      </c>
      <c r="K20089" s="690" t="s">
        <v>4060</v>
      </c>
    </row>
    <row r="20090" spans="1:11">
      <c r="A20090" s="688" t="s">
        <v>4071</v>
      </c>
      <c r="B20090" s="692" t="s">
        <v>4060</v>
      </c>
      <c r="C20090" s="692" t="s">
        <v>4060</v>
      </c>
      <c r="D20090" s="692" t="s">
        <v>4060</v>
      </c>
      <c r="E20090" s="692" t="s">
        <v>4060</v>
      </c>
      <c r="F20090" s="692" t="s">
        <v>4060</v>
      </c>
      <c r="G20090" s="692" t="s">
        <v>4060</v>
      </c>
      <c r="H20090" s="692" t="s">
        <v>4060</v>
      </c>
      <c r="I20090" s="692" t="s">
        <v>4060</v>
      </c>
      <c r="J20090" s="692" t="s">
        <v>4060</v>
      </c>
      <c r="K20090" s="692" t="s">
        <v>4060</v>
      </c>
    </row>
    <row r="20091" spans="1:11">
      <c r="A20091" s="688" t="s">
        <v>2489</v>
      </c>
      <c r="B20091" s="690" t="s">
        <v>4060</v>
      </c>
      <c r="C20091" s="690" t="s">
        <v>4060</v>
      </c>
      <c r="D20091" s="690" t="s">
        <v>4060</v>
      </c>
      <c r="E20091" s="690" t="s">
        <v>4060</v>
      </c>
      <c r="F20091" s="690" t="s">
        <v>4060</v>
      </c>
      <c r="G20091" s="690" t="s">
        <v>4060</v>
      </c>
      <c r="H20091" s="690" t="s">
        <v>4060</v>
      </c>
      <c r="I20091" s="690" t="s">
        <v>4060</v>
      </c>
      <c r="J20091" s="690" t="s">
        <v>4060</v>
      </c>
      <c r="K20091" s="690" t="s">
        <v>4060</v>
      </c>
    </row>
    <row r="20092" spans="1:11">
      <c r="A20092" s="688" t="s">
        <v>2490</v>
      </c>
      <c r="B20092" s="692" t="s">
        <v>4060</v>
      </c>
      <c r="C20092" s="692" t="s">
        <v>4060</v>
      </c>
      <c r="D20092" s="692" t="s">
        <v>4060</v>
      </c>
      <c r="E20092" s="692" t="s">
        <v>4060</v>
      </c>
      <c r="F20092" s="692" t="s">
        <v>4060</v>
      </c>
      <c r="G20092" s="692" t="s">
        <v>4060</v>
      </c>
      <c r="H20092" s="692" t="s">
        <v>4060</v>
      </c>
      <c r="I20092" s="692" t="s">
        <v>4060</v>
      </c>
      <c r="J20092" s="692" t="s">
        <v>4060</v>
      </c>
      <c r="K20092" s="692" t="s">
        <v>4060</v>
      </c>
    </row>
    <row r="20094" spans="1:11">
      <c r="A20094" s="683" t="s">
        <v>4233</v>
      </c>
    </row>
    <row r="20095" spans="1:11">
      <c r="A20095" s="683" t="s">
        <v>4060</v>
      </c>
      <c r="B20095" s="682" t="s">
        <v>4234</v>
      </c>
    </row>
    <row r="20097" spans="1:11">
      <c r="A20097" s="682" t="s">
        <v>4333</v>
      </c>
    </row>
    <row r="20098" spans="1:11">
      <c r="A20098" s="682" t="s">
        <v>4210</v>
      </c>
      <c r="B20098" s="683" t="s">
        <v>4211</v>
      </c>
    </row>
    <row r="20099" spans="1:11">
      <c r="A20099" s="682" t="s">
        <v>4212</v>
      </c>
      <c r="B20099" s="682" t="s">
        <v>4213</v>
      </c>
    </row>
    <row r="20101" spans="1:11">
      <c r="A20101" s="683" t="s">
        <v>4214</v>
      </c>
      <c r="C20101" s="682" t="s">
        <v>4215</v>
      </c>
    </row>
    <row r="20102" spans="1:11">
      <c r="A20102" s="683" t="s">
        <v>4216</v>
      </c>
      <c r="C20102" s="682" t="s">
        <v>2967</v>
      </c>
    </row>
    <row r="20103" spans="1:11">
      <c r="A20103" s="683" t="s">
        <v>3893</v>
      </c>
      <c r="C20103" s="682" t="s">
        <v>2169</v>
      </c>
    </row>
    <row r="20104" spans="1:11">
      <c r="A20104" s="683" t="s">
        <v>4218</v>
      </c>
      <c r="C20104" s="682" t="s">
        <v>4323</v>
      </c>
    </row>
    <row r="20106" spans="1:11">
      <c r="A20106" s="684" t="s">
        <v>4220</v>
      </c>
      <c r="B20106" s="685" t="s">
        <v>4221</v>
      </c>
      <c r="C20106" s="685" t="s">
        <v>4222</v>
      </c>
      <c r="D20106" s="685" t="s">
        <v>4223</v>
      </c>
      <c r="E20106" s="685" t="s">
        <v>4224</v>
      </c>
      <c r="F20106" s="685" t="s">
        <v>4225</v>
      </c>
      <c r="G20106" s="685" t="s">
        <v>4226</v>
      </c>
      <c r="H20106" s="685" t="s">
        <v>4227</v>
      </c>
      <c r="I20106" s="685" t="s">
        <v>4228</v>
      </c>
      <c r="J20106" s="685" t="s">
        <v>4229</v>
      </c>
      <c r="K20106" s="685" t="s">
        <v>4230</v>
      </c>
    </row>
    <row r="20107" spans="1:11">
      <c r="A20107" s="686" t="s">
        <v>4231</v>
      </c>
      <c r="B20107" s="687" t="s">
        <v>4232</v>
      </c>
      <c r="C20107" s="687" t="s">
        <v>4232</v>
      </c>
      <c r="D20107" s="687" t="s">
        <v>4232</v>
      </c>
      <c r="E20107" s="687" t="s">
        <v>4232</v>
      </c>
      <c r="F20107" s="687" t="s">
        <v>4232</v>
      </c>
      <c r="G20107" s="687" t="s">
        <v>4232</v>
      </c>
      <c r="H20107" s="687" t="s">
        <v>4232</v>
      </c>
      <c r="I20107" s="687" t="s">
        <v>4232</v>
      </c>
      <c r="J20107" s="687" t="s">
        <v>4232</v>
      </c>
      <c r="K20107" s="687" t="s">
        <v>4232</v>
      </c>
    </row>
    <row r="20108" spans="1:11">
      <c r="A20108" s="688" t="s">
        <v>4064</v>
      </c>
      <c r="B20108" s="692" t="s">
        <v>4060</v>
      </c>
      <c r="C20108" s="691">
        <v>5.4</v>
      </c>
      <c r="D20108" s="692" t="s">
        <v>4060</v>
      </c>
      <c r="E20108" s="691">
        <v>5.4</v>
      </c>
      <c r="F20108" s="691">
        <v>5.4</v>
      </c>
      <c r="G20108" s="691">
        <v>5.4</v>
      </c>
      <c r="H20108" s="691">
        <v>5.5</v>
      </c>
      <c r="I20108" s="691">
        <v>5.2</v>
      </c>
      <c r="J20108" s="691">
        <v>5.3</v>
      </c>
      <c r="K20108" s="691">
        <v>5.2</v>
      </c>
    </row>
    <row r="20109" spans="1:11">
      <c r="A20109" s="688" t="s">
        <v>4065</v>
      </c>
      <c r="B20109" s="690" t="s">
        <v>4060</v>
      </c>
      <c r="C20109" s="690" t="s">
        <v>4060</v>
      </c>
      <c r="D20109" s="690" t="s">
        <v>4060</v>
      </c>
      <c r="E20109" s="690" t="s">
        <v>4060</v>
      </c>
      <c r="F20109" s="690" t="s">
        <v>4060</v>
      </c>
      <c r="G20109" s="690" t="s">
        <v>4060</v>
      </c>
      <c r="H20109" s="690" t="s">
        <v>4060</v>
      </c>
      <c r="I20109" s="690" t="s">
        <v>4060</v>
      </c>
      <c r="J20109" s="690" t="s">
        <v>4060</v>
      </c>
      <c r="K20109" s="690" t="s">
        <v>4060</v>
      </c>
    </row>
    <row r="20110" spans="1:11">
      <c r="A20110" s="688" t="s">
        <v>4063</v>
      </c>
      <c r="B20110" s="692" t="s">
        <v>4060</v>
      </c>
      <c r="C20110" s="692" t="s">
        <v>4060</v>
      </c>
      <c r="D20110" s="692" t="s">
        <v>4060</v>
      </c>
      <c r="E20110" s="692" t="s">
        <v>4060</v>
      </c>
      <c r="F20110" s="692" t="s">
        <v>4060</v>
      </c>
      <c r="G20110" s="692" t="s">
        <v>4060</v>
      </c>
      <c r="H20110" s="692" t="s">
        <v>4060</v>
      </c>
      <c r="I20110" s="692" t="s">
        <v>4060</v>
      </c>
      <c r="J20110" s="692" t="s">
        <v>4060</v>
      </c>
      <c r="K20110" s="692" t="s">
        <v>4060</v>
      </c>
    </row>
    <row r="20111" spans="1:11">
      <c r="A20111" s="688" t="s">
        <v>4069</v>
      </c>
      <c r="B20111" s="690" t="s">
        <v>4060</v>
      </c>
      <c r="C20111" s="689">
        <v>5.5</v>
      </c>
      <c r="D20111" s="689">
        <v>5.3</v>
      </c>
      <c r="E20111" s="689">
        <v>5.5</v>
      </c>
      <c r="F20111" s="689">
        <v>5.5</v>
      </c>
      <c r="G20111" s="689">
        <v>5.5</v>
      </c>
      <c r="H20111" s="689">
        <v>5.6</v>
      </c>
      <c r="I20111" s="689">
        <v>5.3</v>
      </c>
      <c r="J20111" s="689">
        <v>5.5</v>
      </c>
      <c r="K20111" s="689">
        <v>5.3</v>
      </c>
    </row>
    <row r="20112" spans="1:11">
      <c r="A20112" s="688" t="s">
        <v>4068</v>
      </c>
      <c r="B20112" s="692" t="s">
        <v>4060</v>
      </c>
      <c r="C20112" s="692" t="s">
        <v>4060</v>
      </c>
      <c r="D20112" s="692" t="s">
        <v>4060</v>
      </c>
      <c r="E20112" s="692" t="s">
        <v>4060</v>
      </c>
      <c r="F20112" s="692" t="s">
        <v>4060</v>
      </c>
      <c r="G20112" s="692" t="s">
        <v>4060</v>
      </c>
      <c r="H20112" s="692" t="s">
        <v>4060</v>
      </c>
      <c r="I20112" s="692" t="s">
        <v>4060</v>
      </c>
      <c r="J20112" s="692" t="s">
        <v>4060</v>
      </c>
      <c r="K20112" s="692" t="s">
        <v>4060</v>
      </c>
    </row>
    <row r="20113" spans="1:11">
      <c r="A20113" s="688" t="s">
        <v>0</v>
      </c>
      <c r="B20113" s="690" t="s">
        <v>4060</v>
      </c>
      <c r="C20113" s="689">
        <v>5.4</v>
      </c>
      <c r="D20113" s="689">
        <v>5.0999999999999996</v>
      </c>
      <c r="E20113" s="689">
        <v>5.4</v>
      </c>
      <c r="F20113" s="689">
        <v>5.4</v>
      </c>
      <c r="G20113" s="689">
        <v>5.4</v>
      </c>
      <c r="H20113" s="689">
        <v>5.6</v>
      </c>
      <c r="I20113" s="689">
        <v>4.9000000000000004</v>
      </c>
      <c r="J20113" s="689">
        <v>5.8</v>
      </c>
      <c r="K20113" s="689">
        <v>5.4</v>
      </c>
    </row>
    <row r="20114" spans="1:11">
      <c r="A20114" s="688" t="s">
        <v>1</v>
      </c>
      <c r="B20114" s="692" t="s">
        <v>4060</v>
      </c>
      <c r="C20114" s="691">
        <v>3.9</v>
      </c>
      <c r="D20114" s="691">
        <v>3.8</v>
      </c>
      <c r="E20114" s="691">
        <v>3.9</v>
      </c>
      <c r="F20114" s="691">
        <v>3.8</v>
      </c>
      <c r="G20114" s="691">
        <v>3.9</v>
      </c>
      <c r="H20114" s="691">
        <v>3.9</v>
      </c>
      <c r="I20114" s="691">
        <v>3.7</v>
      </c>
      <c r="J20114" s="691">
        <v>3.5</v>
      </c>
      <c r="K20114" s="691">
        <v>3.8</v>
      </c>
    </row>
    <row r="20115" spans="1:11">
      <c r="A20115" s="688" t="s">
        <v>2240</v>
      </c>
      <c r="B20115" s="690" t="s">
        <v>4060</v>
      </c>
      <c r="C20115" s="689">
        <v>4.5999999999999996</v>
      </c>
      <c r="D20115" s="689">
        <v>4.4000000000000004</v>
      </c>
      <c r="E20115" s="689">
        <v>4.7</v>
      </c>
      <c r="F20115" s="689">
        <v>4.5999999999999996</v>
      </c>
      <c r="G20115" s="689">
        <v>4.5999999999999996</v>
      </c>
      <c r="H20115" s="689">
        <v>4.7</v>
      </c>
      <c r="I20115" s="689">
        <v>4.3</v>
      </c>
      <c r="J20115" s="689">
        <v>4.3</v>
      </c>
      <c r="K20115" s="689">
        <v>4.5</v>
      </c>
    </row>
    <row r="20116" spans="1:11">
      <c r="A20116" s="688" t="s">
        <v>2</v>
      </c>
      <c r="B20116" s="692" t="s">
        <v>4060</v>
      </c>
      <c r="C20116" s="691">
        <v>5.5</v>
      </c>
      <c r="D20116" s="691">
        <v>5.4</v>
      </c>
      <c r="E20116" s="691">
        <v>5.4</v>
      </c>
      <c r="F20116" s="691">
        <v>5.4</v>
      </c>
      <c r="G20116" s="691">
        <v>5.2</v>
      </c>
      <c r="H20116" s="691">
        <v>5.4</v>
      </c>
      <c r="I20116" s="691">
        <v>5.5</v>
      </c>
      <c r="J20116" s="691">
        <v>5.3</v>
      </c>
      <c r="K20116" s="691">
        <v>5.0999999999999996</v>
      </c>
    </row>
    <row r="20117" spans="1:11">
      <c r="A20117" s="688" t="s">
        <v>3</v>
      </c>
      <c r="B20117" s="690" t="s">
        <v>4060</v>
      </c>
      <c r="C20117" s="689">
        <v>5.2</v>
      </c>
      <c r="D20117" s="689">
        <v>4.9000000000000004</v>
      </c>
      <c r="E20117" s="689">
        <v>5.2</v>
      </c>
      <c r="F20117" s="689">
        <v>5.0999999999999996</v>
      </c>
      <c r="G20117" s="693">
        <v>5</v>
      </c>
      <c r="H20117" s="689">
        <v>5.2</v>
      </c>
      <c r="I20117" s="689">
        <v>5.0999999999999996</v>
      </c>
      <c r="J20117" s="689">
        <v>5.0999999999999996</v>
      </c>
      <c r="K20117" s="689">
        <v>4.8</v>
      </c>
    </row>
    <row r="20118" spans="1:11">
      <c r="A20118" s="688" t="s">
        <v>4061</v>
      </c>
      <c r="B20118" s="692" t="s">
        <v>4060</v>
      </c>
      <c r="C20118" s="691">
        <v>5.2</v>
      </c>
      <c r="D20118" s="691">
        <v>4.9000000000000004</v>
      </c>
      <c r="E20118" s="691">
        <v>5.2</v>
      </c>
      <c r="F20118" s="691">
        <v>5.0999999999999996</v>
      </c>
      <c r="G20118" s="615">
        <v>5</v>
      </c>
      <c r="H20118" s="691">
        <v>5.2</v>
      </c>
      <c r="I20118" s="691">
        <v>5.0999999999999996</v>
      </c>
      <c r="J20118" s="691">
        <v>5.0999999999999996</v>
      </c>
      <c r="K20118" s="691">
        <v>4.8</v>
      </c>
    </row>
    <row r="20119" spans="1:11">
      <c r="A20119" s="688" t="s">
        <v>4</v>
      </c>
      <c r="B20119" s="690" t="s">
        <v>4060</v>
      </c>
      <c r="C20119" s="693">
        <v>5</v>
      </c>
      <c r="D20119" s="693">
        <v>5</v>
      </c>
      <c r="E20119" s="689">
        <v>5.0999999999999996</v>
      </c>
      <c r="F20119" s="689">
        <v>5.0999999999999996</v>
      </c>
      <c r="G20119" s="693">
        <v>5</v>
      </c>
      <c r="H20119" s="689">
        <v>5.3</v>
      </c>
      <c r="I20119" s="689">
        <v>5.3</v>
      </c>
      <c r="J20119" s="689">
        <v>4.7</v>
      </c>
      <c r="K20119" s="689">
        <v>4.9000000000000004</v>
      </c>
    </row>
    <row r="20120" spans="1:11">
      <c r="A20120" s="688" t="s">
        <v>8</v>
      </c>
      <c r="B20120" s="692" t="s">
        <v>4060</v>
      </c>
      <c r="C20120" s="691">
        <v>5.3</v>
      </c>
      <c r="D20120" s="615">
        <v>5</v>
      </c>
      <c r="E20120" s="691">
        <v>5.0999999999999996</v>
      </c>
      <c r="F20120" s="691">
        <v>5.2</v>
      </c>
      <c r="G20120" s="691">
        <v>5.4</v>
      </c>
      <c r="H20120" s="691">
        <v>5.5</v>
      </c>
      <c r="I20120" s="691">
        <v>5.5</v>
      </c>
      <c r="J20120" s="691">
        <v>5.4</v>
      </c>
      <c r="K20120" s="691">
        <v>5.4</v>
      </c>
    </row>
    <row r="20121" spans="1:11">
      <c r="A20121" s="688" t="s">
        <v>7</v>
      </c>
      <c r="B20121" s="690" t="s">
        <v>4060</v>
      </c>
      <c r="C20121" s="689">
        <v>4.7</v>
      </c>
      <c r="D20121" s="689">
        <v>4.5999999999999996</v>
      </c>
      <c r="E20121" s="693">
        <v>5</v>
      </c>
      <c r="F20121" s="689">
        <v>4.9000000000000004</v>
      </c>
      <c r="G20121" s="689">
        <v>5.2</v>
      </c>
      <c r="H20121" s="689">
        <v>5.0999999999999996</v>
      </c>
      <c r="I20121" s="689">
        <v>5.0999999999999996</v>
      </c>
      <c r="J20121" s="689">
        <v>4.9000000000000004</v>
      </c>
      <c r="K20121" s="689">
        <v>4.8</v>
      </c>
    </row>
    <row r="20122" spans="1:11">
      <c r="A20122" s="688" t="s">
        <v>27</v>
      </c>
      <c r="B20122" s="692" t="s">
        <v>4060</v>
      </c>
      <c r="C20122" s="691">
        <v>5.9</v>
      </c>
      <c r="D20122" s="691">
        <v>5.6</v>
      </c>
      <c r="E20122" s="691">
        <v>5.9</v>
      </c>
      <c r="F20122" s="691">
        <v>5.7</v>
      </c>
      <c r="G20122" s="691">
        <v>5.8</v>
      </c>
      <c r="H20122" s="615">
        <v>6</v>
      </c>
      <c r="I20122" s="691">
        <v>5.4</v>
      </c>
      <c r="J20122" s="615">
        <v>6</v>
      </c>
      <c r="K20122" s="691">
        <v>5.7</v>
      </c>
    </row>
    <row r="20123" spans="1:11">
      <c r="A20123" s="688" t="s">
        <v>6</v>
      </c>
      <c r="B20123" s="690" t="s">
        <v>4060</v>
      </c>
      <c r="C20123" s="689">
        <v>6.1</v>
      </c>
      <c r="D20123" s="689">
        <v>5.9</v>
      </c>
      <c r="E20123" s="689">
        <v>6.1</v>
      </c>
      <c r="F20123" s="689">
        <v>6.1</v>
      </c>
      <c r="G20123" s="689">
        <v>6.2</v>
      </c>
      <c r="H20123" s="689">
        <v>6.2</v>
      </c>
      <c r="I20123" s="689">
        <v>5.9</v>
      </c>
      <c r="J20123" s="689">
        <v>6.1</v>
      </c>
      <c r="K20123" s="693">
        <v>6</v>
      </c>
    </row>
    <row r="20124" spans="1:11">
      <c r="A20124" s="688" t="s">
        <v>4058</v>
      </c>
      <c r="B20124" s="692" t="s">
        <v>4060</v>
      </c>
      <c r="C20124" s="692" t="s">
        <v>4060</v>
      </c>
      <c r="D20124" s="692" t="s">
        <v>4060</v>
      </c>
      <c r="E20124" s="692" t="s">
        <v>4060</v>
      </c>
      <c r="F20124" s="692" t="s">
        <v>4060</v>
      </c>
      <c r="G20124" s="692" t="s">
        <v>4060</v>
      </c>
      <c r="H20124" s="692" t="s">
        <v>4060</v>
      </c>
      <c r="I20124" s="692" t="s">
        <v>4060</v>
      </c>
      <c r="J20124" s="692" t="s">
        <v>4060</v>
      </c>
      <c r="K20124" s="692" t="s">
        <v>4060</v>
      </c>
    </row>
    <row r="20125" spans="1:11">
      <c r="A20125" s="688" t="s">
        <v>11</v>
      </c>
      <c r="B20125" s="690" t="s">
        <v>4060</v>
      </c>
      <c r="C20125" s="689">
        <v>4.3</v>
      </c>
      <c r="D20125" s="693">
        <v>4</v>
      </c>
      <c r="E20125" s="689">
        <v>4.3</v>
      </c>
      <c r="F20125" s="689">
        <v>4.0999999999999996</v>
      </c>
      <c r="G20125" s="689">
        <v>4.3</v>
      </c>
      <c r="H20125" s="689">
        <v>4.3</v>
      </c>
      <c r="I20125" s="693">
        <v>4</v>
      </c>
      <c r="J20125" s="689">
        <v>3.8</v>
      </c>
      <c r="K20125" s="689">
        <v>3.9</v>
      </c>
    </row>
    <row r="20126" spans="1:11">
      <c r="A20126" s="688" t="s">
        <v>10</v>
      </c>
      <c r="B20126" s="692" t="s">
        <v>4060</v>
      </c>
      <c r="C20126" s="691">
        <v>5.6</v>
      </c>
      <c r="D20126" s="691">
        <v>5.3</v>
      </c>
      <c r="E20126" s="691">
        <v>5.6</v>
      </c>
      <c r="F20126" s="691">
        <v>5.4</v>
      </c>
      <c r="G20126" s="691">
        <v>5.6</v>
      </c>
      <c r="H20126" s="691">
        <v>5.7</v>
      </c>
      <c r="I20126" s="691">
        <v>5.2</v>
      </c>
      <c r="J20126" s="691">
        <v>5.5</v>
      </c>
      <c r="K20126" s="691">
        <v>5.2</v>
      </c>
    </row>
    <row r="20127" spans="1:11">
      <c r="A20127" s="688" t="s">
        <v>30</v>
      </c>
      <c r="B20127" s="690" t="s">
        <v>4060</v>
      </c>
      <c r="C20127" s="689">
        <v>4.8</v>
      </c>
      <c r="D20127" s="689">
        <v>4.3</v>
      </c>
      <c r="E20127" s="689">
        <v>4.7</v>
      </c>
      <c r="F20127" s="689">
        <v>4.4000000000000004</v>
      </c>
      <c r="G20127" s="689">
        <v>4.8</v>
      </c>
      <c r="H20127" s="689">
        <v>4.5</v>
      </c>
      <c r="I20127" s="689">
        <v>4.5999999999999996</v>
      </c>
      <c r="J20127" s="689">
        <v>4.5999999999999996</v>
      </c>
      <c r="K20127" s="689">
        <v>4.3</v>
      </c>
    </row>
    <row r="20128" spans="1:11">
      <c r="A20128" s="688" t="s">
        <v>12</v>
      </c>
      <c r="B20128" s="692" t="s">
        <v>4060</v>
      </c>
      <c r="C20128" s="691">
        <v>4.5999999999999996</v>
      </c>
      <c r="D20128" s="691">
        <v>4.5</v>
      </c>
      <c r="E20128" s="691">
        <v>4.5999999999999996</v>
      </c>
      <c r="F20128" s="691">
        <v>4.5</v>
      </c>
      <c r="G20128" s="691">
        <v>4.5</v>
      </c>
      <c r="H20128" s="691">
        <v>4.7</v>
      </c>
      <c r="I20128" s="691">
        <v>4.5999999999999996</v>
      </c>
      <c r="J20128" s="691">
        <v>4.2</v>
      </c>
      <c r="K20128" s="691">
        <v>4.4000000000000004</v>
      </c>
    </row>
    <row r="20129" spans="1:11">
      <c r="A20129" s="688" t="s">
        <v>14</v>
      </c>
      <c r="B20129" s="690" t="s">
        <v>4060</v>
      </c>
      <c r="C20129" s="689">
        <v>4.2</v>
      </c>
      <c r="D20129" s="689">
        <v>3.9</v>
      </c>
      <c r="E20129" s="689">
        <v>4.0999999999999996</v>
      </c>
      <c r="F20129" s="689">
        <v>4.0999999999999996</v>
      </c>
      <c r="G20129" s="689">
        <v>4.2</v>
      </c>
      <c r="H20129" s="689">
        <v>4.4000000000000004</v>
      </c>
      <c r="I20129" s="689">
        <v>4.2</v>
      </c>
      <c r="J20129" s="689">
        <v>4.0999999999999996</v>
      </c>
      <c r="K20129" s="689">
        <v>4.3</v>
      </c>
    </row>
    <row r="20130" spans="1:11">
      <c r="A20130" s="688" t="s">
        <v>15</v>
      </c>
      <c r="B20130" s="692" t="s">
        <v>4060</v>
      </c>
      <c r="C20130" s="691">
        <v>5.7</v>
      </c>
      <c r="D20130" s="691">
        <v>5.2</v>
      </c>
      <c r="E20130" s="691">
        <v>5.5</v>
      </c>
      <c r="F20130" s="691">
        <v>5.5</v>
      </c>
      <c r="G20130" s="691">
        <v>5.5</v>
      </c>
      <c r="H20130" s="691">
        <v>5.8</v>
      </c>
      <c r="I20130" s="691">
        <v>5.3</v>
      </c>
      <c r="J20130" s="691">
        <v>5.6</v>
      </c>
      <c r="K20130" s="691">
        <v>5.6</v>
      </c>
    </row>
    <row r="20131" spans="1:11">
      <c r="A20131" s="688" t="s">
        <v>29</v>
      </c>
      <c r="B20131" s="690" t="s">
        <v>4060</v>
      </c>
      <c r="C20131" s="689">
        <v>4.5999999999999996</v>
      </c>
      <c r="D20131" s="689">
        <v>4.4000000000000004</v>
      </c>
      <c r="E20131" s="689">
        <v>4.5999999999999996</v>
      </c>
      <c r="F20131" s="689">
        <v>4.5</v>
      </c>
      <c r="G20131" s="689">
        <v>4.5</v>
      </c>
      <c r="H20131" s="689">
        <v>4.5999999999999996</v>
      </c>
      <c r="I20131" s="689">
        <v>4.4000000000000004</v>
      </c>
      <c r="J20131" s="689">
        <v>4.4000000000000004</v>
      </c>
      <c r="K20131" s="689">
        <v>4.4000000000000004</v>
      </c>
    </row>
    <row r="20132" spans="1:11">
      <c r="A20132" s="688" t="s">
        <v>16</v>
      </c>
      <c r="B20132" s="692" t="s">
        <v>4060</v>
      </c>
      <c r="C20132" s="691">
        <v>5.3</v>
      </c>
      <c r="D20132" s="691">
        <v>5.2</v>
      </c>
      <c r="E20132" s="691">
        <v>5.4</v>
      </c>
      <c r="F20132" s="691">
        <v>5.3</v>
      </c>
      <c r="G20132" s="691">
        <v>5.4</v>
      </c>
      <c r="H20132" s="691">
        <v>5.5</v>
      </c>
      <c r="I20132" s="691">
        <v>4.9000000000000004</v>
      </c>
      <c r="J20132" s="691">
        <v>5.3</v>
      </c>
      <c r="K20132" s="691">
        <v>5.3</v>
      </c>
    </row>
    <row r="20133" spans="1:11">
      <c r="A20133" s="688" t="s">
        <v>17</v>
      </c>
      <c r="B20133" s="690" t="s">
        <v>4060</v>
      </c>
      <c r="C20133" s="689">
        <v>5.3</v>
      </c>
      <c r="D20133" s="689">
        <v>5.0999999999999996</v>
      </c>
      <c r="E20133" s="689">
        <v>5.0999999999999996</v>
      </c>
      <c r="F20133" s="693">
        <v>5</v>
      </c>
      <c r="G20133" s="693">
        <v>5</v>
      </c>
      <c r="H20133" s="689">
        <v>5.2</v>
      </c>
      <c r="I20133" s="689">
        <v>4.9000000000000004</v>
      </c>
      <c r="J20133" s="693">
        <v>5</v>
      </c>
      <c r="K20133" s="689">
        <v>4.9000000000000004</v>
      </c>
    </row>
    <row r="20134" spans="1:11">
      <c r="A20134" s="688" t="s">
        <v>19</v>
      </c>
      <c r="B20134" s="692" t="s">
        <v>4060</v>
      </c>
      <c r="C20134" s="691">
        <v>5.2</v>
      </c>
      <c r="D20134" s="615">
        <v>5</v>
      </c>
      <c r="E20134" s="691">
        <v>5.3</v>
      </c>
      <c r="F20134" s="691">
        <v>5.0999999999999996</v>
      </c>
      <c r="G20134" s="691">
        <v>5.2</v>
      </c>
      <c r="H20134" s="691">
        <v>5.2</v>
      </c>
      <c r="I20134" s="615">
        <v>5</v>
      </c>
      <c r="J20134" s="691">
        <v>5.0999999999999996</v>
      </c>
      <c r="K20134" s="691">
        <v>4.9000000000000004</v>
      </c>
    </row>
    <row r="20135" spans="1:11">
      <c r="A20135" s="688" t="s">
        <v>20</v>
      </c>
      <c r="B20135" s="690" t="s">
        <v>4060</v>
      </c>
      <c r="C20135" s="689">
        <v>5.2</v>
      </c>
      <c r="D20135" s="693">
        <v>5</v>
      </c>
      <c r="E20135" s="689">
        <v>5.3</v>
      </c>
      <c r="F20135" s="689">
        <v>5.0999999999999996</v>
      </c>
      <c r="G20135" s="689">
        <v>5.0999999999999996</v>
      </c>
      <c r="H20135" s="689">
        <v>5.3</v>
      </c>
      <c r="I20135" s="689">
        <v>4.8</v>
      </c>
      <c r="J20135" s="689">
        <v>4.5</v>
      </c>
      <c r="K20135" s="689">
        <v>4.8</v>
      </c>
    </row>
    <row r="20136" spans="1:11">
      <c r="A20136" s="688" t="s">
        <v>21</v>
      </c>
      <c r="B20136" s="692" t="s">
        <v>4060</v>
      </c>
      <c r="C20136" s="691">
        <v>5.6</v>
      </c>
      <c r="D20136" s="691">
        <v>5.4</v>
      </c>
      <c r="E20136" s="691">
        <v>5.5</v>
      </c>
      <c r="F20136" s="691">
        <v>5.6</v>
      </c>
      <c r="G20136" s="691">
        <v>5.5</v>
      </c>
      <c r="H20136" s="691">
        <v>5.7</v>
      </c>
      <c r="I20136" s="691">
        <v>5.3</v>
      </c>
      <c r="J20136" s="691">
        <v>5.4</v>
      </c>
      <c r="K20136" s="691">
        <v>5.3</v>
      </c>
    </row>
    <row r="20137" spans="1:11">
      <c r="A20137" s="688" t="s">
        <v>22</v>
      </c>
      <c r="B20137" s="690" t="s">
        <v>4060</v>
      </c>
      <c r="C20137" s="689">
        <v>4.5</v>
      </c>
      <c r="D20137" s="689">
        <v>4.5</v>
      </c>
      <c r="E20137" s="689">
        <v>4.9000000000000004</v>
      </c>
      <c r="F20137" s="689">
        <v>4.9000000000000004</v>
      </c>
      <c r="G20137" s="689">
        <v>4.9000000000000004</v>
      </c>
      <c r="H20137" s="689">
        <v>5.2</v>
      </c>
      <c r="I20137" s="693">
        <v>5</v>
      </c>
      <c r="J20137" s="689">
        <v>4.2</v>
      </c>
      <c r="K20137" s="689">
        <v>4.0999999999999996</v>
      </c>
    </row>
    <row r="20138" spans="1:11">
      <c r="A20138" s="688" t="s">
        <v>26</v>
      </c>
      <c r="B20138" s="692" t="s">
        <v>4060</v>
      </c>
      <c r="C20138" s="615">
        <v>5</v>
      </c>
      <c r="D20138" s="691">
        <v>5.0999999999999996</v>
      </c>
      <c r="E20138" s="691">
        <v>5.2</v>
      </c>
      <c r="F20138" s="691">
        <v>5.0999999999999996</v>
      </c>
      <c r="G20138" s="691">
        <v>5.4</v>
      </c>
      <c r="H20138" s="691">
        <v>5.2</v>
      </c>
      <c r="I20138" s="691">
        <v>4.5999999999999996</v>
      </c>
      <c r="J20138" s="615">
        <v>5</v>
      </c>
      <c r="K20138" s="691">
        <v>5.0999999999999996</v>
      </c>
    </row>
    <row r="20139" spans="1:11">
      <c r="A20139" s="688" t="s">
        <v>25</v>
      </c>
      <c r="B20139" s="690" t="s">
        <v>4060</v>
      </c>
      <c r="C20139" s="689">
        <v>4.9000000000000004</v>
      </c>
      <c r="D20139" s="689">
        <v>4.7</v>
      </c>
      <c r="E20139" s="689">
        <v>4.8</v>
      </c>
      <c r="F20139" s="689">
        <v>4.7</v>
      </c>
      <c r="G20139" s="693">
        <v>5</v>
      </c>
      <c r="H20139" s="689">
        <v>5.2</v>
      </c>
      <c r="I20139" s="689">
        <v>4.9000000000000004</v>
      </c>
      <c r="J20139" s="689">
        <v>4.2</v>
      </c>
      <c r="K20139" s="689">
        <v>4.3</v>
      </c>
    </row>
    <row r="20140" spans="1:11">
      <c r="A20140" s="688" t="s">
        <v>5</v>
      </c>
      <c r="B20140" s="692" t="s">
        <v>4060</v>
      </c>
      <c r="C20140" s="691">
        <v>5.2</v>
      </c>
      <c r="D20140" s="691">
        <v>5.2</v>
      </c>
      <c r="E20140" s="691">
        <v>5.2</v>
      </c>
      <c r="F20140" s="691">
        <v>5.4</v>
      </c>
      <c r="G20140" s="691">
        <v>5.3</v>
      </c>
      <c r="H20140" s="691">
        <v>5.5</v>
      </c>
      <c r="I20140" s="691">
        <v>5.5</v>
      </c>
      <c r="J20140" s="691">
        <v>5.4</v>
      </c>
      <c r="K20140" s="691">
        <v>5.0999999999999996</v>
      </c>
    </row>
    <row r="20141" spans="1:11">
      <c r="A20141" s="688" t="s">
        <v>23</v>
      </c>
      <c r="B20141" s="690" t="s">
        <v>4060</v>
      </c>
      <c r="C20141" s="689">
        <v>5.4</v>
      </c>
      <c r="D20141" s="689">
        <v>5.3</v>
      </c>
      <c r="E20141" s="689">
        <v>5.3</v>
      </c>
      <c r="F20141" s="689">
        <v>5.3</v>
      </c>
      <c r="G20141" s="689">
        <v>5.4</v>
      </c>
      <c r="H20141" s="689">
        <v>5.6</v>
      </c>
      <c r="I20141" s="689">
        <v>5.2</v>
      </c>
      <c r="J20141" s="689">
        <v>5.7</v>
      </c>
      <c r="K20141" s="689">
        <v>5.5</v>
      </c>
    </row>
    <row r="20142" spans="1:11">
      <c r="A20142" s="688" t="s">
        <v>4067</v>
      </c>
      <c r="B20142" s="692" t="s">
        <v>4060</v>
      </c>
      <c r="C20142" s="692" t="s">
        <v>4060</v>
      </c>
      <c r="D20142" s="692" t="s">
        <v>4060</v>
      </c>
      <c r="E20142" s="692" t="s">
        <v>4060</v>
      </c>
      <c r="F20142" s="692" t="s">
        <v>4060</v>
      </c>
      <c r="G20142" s="692" t="s">
        <v>4060</v>
      </c>
      <c r="H20142" s="692" t="s">
        <v>4060</v>
      </c>
      <c r="I20142" s="692" t="s">
        <v>4060</v>
      </c>
      <c r="J20142" s="692" t="s">
        <v>4060</v>
      </c>
      <c r="K20142" s="692" t="s">
        <v>4060</v>
      </c>
    </row>
    <row r="20143" spans="1:11">
      <c r="A20143" s="688" t="s">
        <v>4066</v>
      </c>
      <c r="B20143" s="690" t="s">
        <v>4060</v>
      </c>
      <c r="C20143" s="690" t="s">
        <v>4060</v>
      </c>
      <c r="D20143" s="690" t="s">
        <v>4060</v>
      </c>
      <c r="E20143" s="690" t="s">
        <v>4060</v>
      </c>
      <c r="F20143" s="690" t="s">
        <v>4060</v>
      </c>
      <c r="G20143" s="690" t="s">
        <v>4060</v>
      </c>
      <c r="H20143" s="690" t="s">
        <v>4060</v>
      </c>
      <c r="I20143" s="690" t="s">
        <v>4060</v>
      </c>
      <c r="J20143" s="690" t="s">
        <v>4060</v>
      </c>
      <c r="K20143" s="690" t="s">
        <v>4060</v>
      </c>
    </row>
    <row r="20144" spans="1:11">
      <c r="A20144" s="688" t="s">
        <v>4062</v>
      </c>
      <c r="B20144" s="692" t="s">
        <v>4060</v>
      </c>
      <c r="C20144" s="691">
        <v>5.5</v>
      </c>
      <c r="D20144" s="691">
        <v>5.3</v>
      </c>
      <c r="E20144" s="691">
        <v>5.5</v>
      </c>
      <c r="F20144" s="691">
        <v>5.5</v>
      </c>
      <c r="G20144" s="691">
        <v>5.6</v>
      </c>
      <c r="H20144" s="691">
        <v>5.6</v>
      </c>
      <c r="I20144" s="691">
        <v>5.4</v>
      </c>
      <c r="J20144" s="691">
        <v>5.6</v>
      </c>
      <c r="K20144" s="691">
        <v>5.3</v>
      </c>
    </row>
    <row r="20145" spans="1:11">
      <c r="A20145" s="688" t="s">
        <v>9</v>
      </c>
      <c r="B20145" s="690" t="s">
        <v>4060</v>
      </c>
      <c r="C20145" s="689">
        <v>5.6</v>
      </c>
      <c r="D20145" s="689">
        <v>5.0999999999999996</v>
      </c>
      <c r="E20145" s="689">
        <v>5.3</v>
      </c>
      <c r="F20145" s="689">
        <v>5.2</v>
      </c>
      <c r="G20145" s="689">
        <v>5.7</v>
      </c>
      <c r="H20145" s="689">
        <v>5.5</v>
      </c>
      <c r="I20145" s="689">
        <v>5.3</v>
      </c>
      <c r="J20145" s="689">
        <v>5.4</v>
      </c>
      <c r="K20145" s="689">
        <v>4.9000000000000004</v>
      </c>
    </row>
    <row r="20146" spans="1:11">
      <c r="A20146" s="688" t="s">
        <v>13</v>
      </c>
      <c r="B20146" s="692" t="s">
        <v>4060</v>
      </c>
      <c r="C20146" s="691">
        <v>4.5</v>
      </c>
      <c r="D20146" s="691">
        <v>5.2</v>
      </c>
      <c r="E20146" s="691">
        <v>5.6</v>
      </c>
      <c r="F20146" s="691">
        <v>5.7</v>
      </c>
      <c r="G20146" s="691">
        <v>4.7</v>
      </c>
      <c r="H20146" s="691">
        <v>5.5</v>
      </c>
      <c r="I20146" s="691">
        <v>5.2</v>
      </c>
      <c r="J20146" s="691">
        <v>5.5</v>
      </c>
      <c r="K20146" s="615">
        <v>5</v>
      </c>
    </row>
    <row r="20147" spans="1:11">
      <c r="A20147" s="688" t="s">
        <v>18</v>
      </c>
      <c r="B20147" s="690" t="s">
        <v>4060</v>
      </c>
      <c r="C20147" s="689">
        <v>5.4</v>
      </c>
      <c r="D20147" s="689">
        <v>5.4</v>
      </c>
      <c r="E20147" s="689">
        <v>5.4</v>
      </c>
      <c r="F20147" s="689">
        <v>5.4</v>
      </c>
      <c r="G20147" s="689">
        <v>5.4</v>
      </c>
      <c r="H20147" s="689">
        <v>5.6</v>
      </c>
      <c r="I20147" s="689">
        <v>5.6</v>
      </c>
      <c r="J20147" s="689">
        <v>5.5</v>
      </c>
      <c r="K20147" s="689">
        <v>5.2</v>
      </c>
    </row>
    <row r="20148" spans="1:11">
      <c r="A20148" s="688" t="s">
        <v>24</v>
      </c>
      <c r="B20148" s="692" t="s">
        <v>4060</v>
      </c>
      <c r="C20148" s="691">
        <v>5.5</v>
      </c>
      <c r="D20148" s="691">
        <v>5.3</v>
      </c>
      <c r="E20148" s="691">
        <v>5.6</v>
      </c>
      <c r="F20148" s="691">
        <v>5.5</v>
      </c>
      <c r="G20148" s="691">
        <v>5.6</v>
      </c>
      <c r="H20148" s="691">
        <v>5.7</v>
      </c>
      <c r="I20148" s="691">
        <v>5.3</v>
      </c>
      <c r="J20148" s="691">
        <v>5.7</v>
      </c>
      <c r="K20148" s="691">
        <v>5.5</v>
      </c>
    </row>
    <row r="20149" spans="1:11">
      <c r="A20149" s="688" t="s">
        <v>4059</v>
      </c>
      <c r="B20149" s="690" t="s">
        <v>4060</v>
      </c>
      <c r="C20149" s="690" t="s">
        <v>4060</v>
      </c>
      <c r="D20149" s="690" t="s">
        <v>4060</v>
      </c>
      <c r="E20149" s="690" t="s">
        <v>4060</v>
      </c>
      <c r="F20149" s="690" t="s">
        <v>4060</v>
      </c>
      <c r="G20149" s="690" t="s">
        <v>4060</v>
      </c>
      <c r="H20149" s="690" t="s">
        <v>4060</v>
      </c>
      <c r="I20149" s="690" t="s">
        <v>4060</v>
      </c>
      <c r="J20149" s="690" t="s">
        <v>4060</v>
      </c>
      <c r="K20149" s="690" t="s">
        <v>4060</v>
      </c>
    </row>
    <row r="20150" spans="1:11">
      <c r="A20150" s="688" t="s">
        <v>2324</v>
      </c>
      <c r="B20150" s="692" t="s">
        <v>4060</v>
      </c>
      <c r="C20150" s="692" t="s">
        <v>4060</v>
      </c>
      <c r="D20150" s="692" t="s">
        <v>4060</v>
      </c>
      <c r="E20150" s="692" t="s">
        <v>4060</v>
      </c>
      <c r="F20150" s="692" t="s">
        <v>4060</v>
      </c>
      <c r="G20150" s="692" t="s">
        <v>4060</v>
      </c>
      <c r="H20150" s="692" t="s">
        <v>4060</v>
      </c>
      <c r="I20150" s="692" t="s">
        <v>4060</v>
      </c>
      <c r="J20150" s="692" t="s">
        <v>4060</v>
      </c>
      <c r="K20150" s="692" t="s">
        <v>4060</v>
      </c>
    </row>
    <row r="20151" spans="1:11">
      <c r="A20151" s="688" t="s">
        <v>2322</v>
      </c>
      <c r="B20151" s="690" t="s">
        <v>4060</v>
      </c>
      <c r="C20151" s="690" t="s">
        <v>4060</v>
      </c>
      <c r="D20151" s="690" t="s">
        <v>4060</v>
      </c>
      <c r="E20151" s="690" t="s">
        <v>4060</v>
      </c>
      <c r="F20151" s="690" t="s">
        <v>4060</v>
      </c>
      <c r="G20151" s="690" t="s">
        <v>4060</v>
      </c>
      <c r="H20151" s="690" t="s">
        <v>4060</v>
      </c>
      <c r="I20151" s="690" t="s">
        <v>4060</v>
      </c>
      <c r="J20151" s="690" t="s">
        <v>4060</v>
      </c>
      <c r="K20151" s="690" t="s">
        <v>4060</v>
      </c>
    </row>
    <row r="20152" spans="1:11">
      <c r="A20152" s="688" t="s">
        <v>2328</v>
      </c>
      <c r="B20152" s="692" t="s">
        <v>4060</v>
      </c>
      <c r="C20152" s="692" t="s">
        <v>4060</v>
      </c>
      <c r="D20152" s="692" t="s">
        <v>4060</v>
      </c>
      <c r="E20152" s="692" t="s">
        <v>4060</v>
      </c>
      <c r="F20152" s="692" t="s">
        <v>4060</v>
      </c>
      <c r="G20152" s="692" t="s">
        <v>4060</v>
      </c>
      <c r="H20152" s="692" t="s">
        <v>4060</v>
      </c>
      <c r="I20152" s="692" t="s">
        <v>4060</v>
      </c>
      <c r="J20152" s="692" t="s">
        <v>4060</v>
      </c>
      <c r="K20152" s="692" t="s">
        <v>4060</v>
      </c>
    </row>
    <row r="20153" spans="1:11">
      <c r="A20153" s="688" t="s">
        <v>2496</v>
      </c>
      <c r="B20153" s="690" t="s">
        <v>4060</v>
      </c>
      <c r="C20153" s="690" t="s">
        <v>4060</v>
      </c>
      <c r="D20153" s="690" t="s">
        <v>4060</v>
      </c>
      <c r="E20153" s="690" t="s">
        <v>4060</v>
      </c>
      <c r="F20153" s="690" t="s">
        <v>4060</v>
      </c>
      <c r="G20153" s="690" t="s">
        <v>4060</v>
      </c>
      <c r="H20153" s="690" t="s">
        <v>4060</v>
      </c>
      <c r="I20153" s="690" t="s">
        <v>4060</v>
      </c>
      <c r="J20153" s="690" t="s">
        <v>4060</v>
      </c>
      <c r="K20153" s="690" t="s">
        <v>4060</v>
      </c>
    </row>
    <row r="20154" spans="1:11">
      <c r="A20154" s="688" t="s">
        <v>2269</v>
      </c>
      <c r="B20154" s="692" t="s">
        <v>4060</v>
      </c>
      <c r="C20154" s="692" t="s">
        <v>4060</v>
      </c>
      <c r="D20154" s="692" t="s">
        <v>4060</v>
      </c>
      <c r="E20154" s="692" t="s">
        <v>4060</v>
      </c>
      <c r="F20154" s="692" t="s">
        <v>4060</v>
      </c>
      <c r="G20154" s="692" t="s">
        <v>4060</v>
      </c>
      <c r="H20154" s="692" t="s">
        <v>4060</v>
      </c>
      <c r="I20154" s="692" t="s">
        <v>4060</v>
      </c>
      <c r="J20154" s="692" t="s">
        <v>4060</v>
      </c>
      <c r="K20154" s="692" t="s">
        <v>4060</v>
      </c>
    </row>
    <row r="20155" spans="1:11">
      <c r="A20155" s="688" t="s">
        <v>2349</v>
      </c>
      <c r="B20155" s="690" t="s">
        <v>4060</v>
      </c>
      <c r="C20155" s="690" t="s">
        <v>4060</v>
      </c>
      <c r="D20155" s="690" t="s">
        <v>4060</v>
      </c>
      <c r="E20155" s="690" t="s">
        <v>4060</v>
      </c>
      <c r="F20155" s="690" t="s">
        <v>4060</v>
      </c>
      <c r="G20155" s="690" t="s">
        <v>4060</v>
      </c>
      <c r="H20155" s="690" t="s">
        <v>4060</v>
      </c>
      <c r="I20155" s="690" t="s">
        <v>4060</v>
      </c>
      <c r="J20155" s="690" t="s">
        <v>4060</v>
      </c>
      <c r="K20155" s="690" t="s">
        <v>4060</v>
      </c>
    </row>
    <row r="20156" spans="1:11">
      <c r="A20156" s="688" t="s">
        <v>2355</v>
      </c>
      <c r="B20156" s="692" t="s">
        <v>4060</v>
      </c>
      <c r="C20156" s="692" t="s">
        <v>4060</v>
      </c>
      <c r="D20156" s="692" t="s">
        <v>4060</v>
      </c>
      <c r="E20156" s="692" t="s">
        <v>4060</v>
      </c>
      <c r="F20156" s="692" t="s">
        <v>4060</v>
      </c>
      <c r="G20156" s="692" t="s">
        <v>4060</v>
      </c>
      <c r="H20156" s="692" t="s">
        <v>4060</v>
      </c>
      <c r="I20156" s="692" t="s">
        <v>4060</v>
      </c>
      <c r="J20156" s="692" t="s">
        <v>4060</v>
      </c>
      <c r="K20156" s="692" t="s">
        <v>4060</v>
      </c>
    </row>
    <row r="20157" spans="1:11">
      <c r="A20157" s="688" t="s">
        <v>2357</v>
      </c>
      <c r="B20157" s="690" t="s">
        <v>4060</v>
      </c>
      <c r="C20157" s="690" t="s">
        <v>4060</v>
      </c>
      <c r="D20157" s="690" t="s">
        <v>4060</v>
      </c>
      <c r="E20157" s="690" t="s">
        <v>4060</v>
      </c>
      <c r="F20157" s="690" t="s">
        <v>4060</v>
      </c>
      <c r="G20157" s="690" t="s">
        <v>4060</v>
      </c>
      <c r="H20157" s="690" t="s">
        <v>4060</v>
      </c>
      <c r="I20157" s="690" t="s">
        <v>4060</v>
      </c>
      <c r="J20157" s="690" t="s">
        <v>4060</v>
      </c>
      <c r="K20157" s="690" t="s">
        <v>4060</v>
      </c>
    </row>
    <row r="20158" spans="1:11">
      <c r="A20158" s="688" t="s">
        <v>4070</v>
      </c>
      <c r="B20158" s="692" t="s">
        <v>4060</v>
      </c>
      <c r="C20158" s="692" t="s">
        <v>4060</v>
      </c>
      <c r="D20158" s="692" t="s">
        <v>4060</v>
      </c>
      <c r="E20158" s="692" t="s">
        <v>4060</v>
      </c>
      <c r="F20158" s="692" t="s">
        <v>4060</v>
      </c>
      <c r="G20158" s="692" t="s">
        <v>4060</v>
      </c>
      <c r="H20158" s="692" t="s">
        <v>4060</v>
      </c>
      <c r="I20158" s="692" t="s">
        <v>4060</v>
      </c>
      <c r="J20158" s="692" t="s">
        <v>4060</v>
      </c>
      <c r="K20158" s="692" t="s">
        <v>4060</v>
      </c>
    </row>
    <row r="20159" spans="1:11">
      <c r="A20159" s="688" t="s">
        <v>2491</v>
      </c>
      <c r="B20159" s="690" t="s">
        <v>4060</v>
      </c>
      <c r="C20159" s="690" t="s">
        <v>4060</v>
      </c>
      <c r="D20159" s="690" t="s">
        <v>4060</v>
      </c>
      <c r="E20159" s="690" t="s">
        <v>4060</v>
      </c>
      <c r="F20159" s="690" t="s">
        <v>4060</v>
      </c>
      <c r="G20159" s="690" t="s">
        <v>4060</v>
      </c>
      <c r="H20159" s="690" t="s">
        <v>4060</v>
      </c>
      <c r="I20159" s="690" t="s">
        <v>4060</v>
      </c>
      <c r="J20159" s="690" t="s">
        <v>4060</v>
      </c>
      <c r="K20159" s="690" t="s">
        <v>4060</v>
      </c>
    </row>
    <row r="20160" spans="1:11">
      <c r="A20160" s="688" t="s">
        <v>2343</v>
      </c>
      <c r="B20160" s="692" t="s">
        <v>4060</v>
      </c>
      <c r="C20160" s="692" t="s">
        <v>4060</v>
      </c>
      <c r="D20160" s="692" t="s">
        <v>4060</v>
      </c>
      <c r="E20160" s="692" t="s">
        <v>4060</v>
      </c>
      <c r="F20160" s="692" t="s">
        <v>4060</v>
      </c>
      <c r="G20160" s="692" t="s">
        <v>4060</v>
      </c>
      <c r="H20160" s="692" t="s">
        <v>4060</v>
      </c>
      <c r="I20160" s="692" t="s">
        <v>4060</v>
      </c>
      <c r="J20160" s="692" t="s">
        <v>4060</v>
      </c>
      <c r="K20160" s="692" t="s">
        <v>4060</v>
      </c>
    </row>
    <row r="20161" spans="1:11">
      <c r="A20161" s="688" t="s">
        <v>4071</v>
      </c>
      <c r="B20161" s="690" t="s">
        <v>4060</v>
      </c>
      <c r="C20161" s="690" t="s">
        <v>4060</v>
      </c>
      <c r="D20161" s="690" t="s">
        <v>4060</v>
      </c>
      <c r="E20161" s="690" t="s">
        <v>4060</v>
      </c>
      <c r="F20161" s="690" t="s">
        <v>4060</v>
      </c>
      <c r="G20161" s="690" t="s">
        <v>4060</v>
      </c>
      <c r="H20161" s="690" t="s">
        <v>4060</v>
      </c>
      <c r="I20161" s="690" t="s">
        <v>4060</v>
      </c>
      <c r="J20161" s="690" t="s">
        <v>4060</v>
      </c>
      <c r="K20161" s="690" t="s">
        <v>4060</v>
      </c>
    </row>
    <row r="20162" spans="1:11">
      <c r="A20162" s="688" t="s">
        <v>2489</v>
      </c>
      <c r="B20162" s="692" t="s">
        <v>4060</v>
      </c>
      <c r="C20162" s="692" t="s">
        <v>4060</v>
      </c>
      <c r="D20162" s="692" t="s">
        <v>4060</v>
      </c>
      <c r="E20162" s="692" t="s">
        <v>4060</v>
      </c>
      <c r="F20162" s="692" t="s">
        <v>4060</v>
      </c>
      <c r="G20162" s="692" t="s">
        <v>4060</v>
      </c>
      <c r="H20162" s="692" t="s">
        <v>4060</v>
      </c>
      <c r="I20162" s="692" t="s">
        <v>4060</v>
      </c>
      <c r="J20162" s="692" t="s">
        <v>4060</v>
      </c>
      <c r="K20162" s="692" t="s">
        <v>4060</v>
      </c>
    </row>
    <row r="20163" spans="1:11">
      <c r="A20163" s="688" t="s">
        <v>2490</v>
      </c>
      <c r="B20163" s="690" t="s">
        <v>4060</v>
      </c>
      <c r="C20163" s="690" t="s">
        <v>4060</v>
      </c>
      <c r="D20163" s="690" t="s">
        <v>4060</v>
      </c>
      <c r="E20163" s="690" t="s">
        <v>4060</v>
      </c>
      <c r="F20163" s="690" t="s">
        <v>4060</v>
      </c>
      <c r="G20163" s="690" t="s">
        <v>4060</v>
      </c>
      <c r="H20163" s="690" t="s">
        <v>4060</v>
      </c>
      <c r="I20163" s="690" t="s">
        <v>4060</v>
      </c>
      <c r="J20163" s="690" t="s">
        <v>4060</v>
      </c>
      <c r="K20163" s="690" t="s">
        <v>4060</v>
      </c>
    </row>
    <row r="20165" spans="1:11">
      <c r="A20165" s="683" t="s">
        <v>4233</v>
      </c>
    </row>
    <row r="20166" spans="1:11">
      <c r="A20166" s="683" t="s">
        <v>4060</v>
      </c>
      <c r="B20166" s="682" t="s">
        <v>4234</v>
      </c>
    </row>
    <row r="20168" spans="1:11">
      <c r="A20168" s="682" t="s">
        <v>4333</v>
      </c>
    </row>
    <row r="20169" spans="1:11">
      <c r="A20169" s="682" t="s">
        <v>4210</v>
      </c>
      <c r="B20169" s="683" t="s">
        <v>4211</v>
      </c>
    </row>
    <row r="20170" spans="1:11">
      <c r="A20170" s="682" t="s">
        <v>4212</v>
      </c>
      <c r="B20170" s="682" t="s">
        <v>4213</v>
      </c>
    </row>
    <row r="20172" spans="1:11">
      <c r="A20172" s="683" t="s">
        <v>4214</v>
      </c>
      <c r="C20172" s="682" t="s">
        <v>4215</v>
      </c>
    </row>
    <row r="20173" spans="1:11">
      <c r="A20173" s="683" t="s">
        <v>4216</v>
      </c>
      <c r="C20173" s="682" t="s">
        <v>2967</v>
      </c>
    </row>
    <row r="20174" spans="1:11">
      <c r="A20174" s="683" t="s">
        <v>3893</v>
      </c>
      <c r="C20174" s="682" t="s">
        <v>2169</v>
      </c>
    </row>
    <row r="20175" spans="1:11">
      <c r="A20175" s="683" t="s">
        <v>4218</v>
      </c>
      <c r="C20175" s="682" t="s">
        <v>4324</v>
      </c>
    </row>
    <row r="20177" spans="1:11">
      <c r="A20177" s="684" t="s">
        <v>4220</v>
      </c>
      <c r="B20177" s="685" t="s">
        <v>4221</v>
      </c>
      <c r="C20177" s="685" t="s">
        <v>4222</v>
      </c>
      <c r="D20177" s="685" t="s">
        <v>4223</v>
      </c>
      <c r="E20177" s="685" t="s">
        <v>4224</v>
      </c>
      <c r="F20177" s="685" t="s">
        <v>4225</v>
      </c>
      <c r="G20177" s="685" t="s">
        <v>4226</v>
      </c>
      <c r="H20177" s="685" t="s">
        <v>4227</v>
      </c>
      <c r="I20177" s="685" t="s">
        <v>4228</v>
      </c>
      <c r="J20177" s="685" t="s">
        <v>4229</v>
      </c>
      <c r="K20177" s="685" t="s">
        <v>4230</v>
      </c>
    </row>
    <row r="20178" spans="1:11">
      <c r="A20178" s="686" t="s">
        <v>4231</v>
      </c>
      <c r="B20178" s="687" t="s">
        <v>4232</v>
      </c>
      <c r="C20178" s="687" t="s">
        <v>4232</v>
      </c>
      <c r="D20178" s="687" t="s">
        <v>4232</v>
      </c>
      <c r="E20178" s="687" t="s">
        <v>4232</v>
      </c>
      <c r="F20178" s="687" t="s">
        <v>4232</v>
      </c>
      <c r="G20178" s="687" t="s">
        <v>4232</v>
      </c>
      <c r="H20178" s="687" t="s">
        <v>4232</v>
      </c>
      <c r="I20178" s="687" t="s">
        <v>4232</v>
      </c>
      <c r="J20178" s="687" t="s">
        <v>4232</v>
      </c>
      <c r="K20178" s="687" t="s">
        <v>4232</v>
      </c>
    </row>
    <row r="20179" spans="1:11">
      <c r="A20179" s="688" t="s">
        <v>4064</v>
      </c>
      <c r="B20179" s="690" t="s">
        <v>4060</v>
      </c>
      <c r="C20179" s="693">
        <v>5</v>
      </c>
      <c r="D20179" s="690" t="s">
        <v>4060</v>
      </c>
      <c r="E20179" s="693">
        <v>5</v>
      </c>
      <c r="F20179" s="689">
        <v>4.9000000000000004</v>
      </c>
      <c r="G20179" s="693">
        <v>5</v>
      </c>
      <c r="H20179" s="689">
        <v>5.0999999999999996</v>
      </c>
      <c r="I20179" s="689">
        <v>4.8</v>
      </c>
      <c r="J20179" s="689">
        <v>4.9000000000000004</v>
      </c>
      <c r="K20179" s="689">
        <v>4.8</v>
      </c>
    </row>
    <row r="20180" spans="1:11">
      <c r="A20180" s="688" t="s">
        <v>4065</v>
      </c>
      <c r="B20180" s="692" t="s">
        <v>4060</v>
      </c>
      <c r="C20180" s="692" t="s">
        <v>4060</v>
      </c>
      <c r="D20180" s="692" t="s">
        <v>4060</v>
      </c>
      <c r="E20180" s="692" t="s">
        <v>4060</v>
      </c>
      <c r="F20180" s="692" t="s">
        <v>4060</v>
      </c>
      <c r="G20180" s="692" t="s">
        <v>4060</v>
      </c>
      <c r="H20180" s="692" t="s">
        <v>4060</v>
      </c>
      <c r="I20180" s="692" t="s">
        <v>4060</v>
      </c>
      <c r="J20180" s="692" t="s">
        <v>4060</v>
      </c>
      <c r="K20180" s="692" t="s">
        <v>4060</v>
      </c>
    </row>
    <row r="20181" spans="1:11">
      <c r="A20181" s="688" t="s">
        <v>4063</v>
      </c>
      <c r="B20181" s="690" t="s">
        <v>4060</v>
      </c>
      <c r="C20181" s="690" t="s">
        <v>4060</v>
      </c>
      <c r="D20181" s="690" t="s">
        <v>4060</v>
      </c>
      <c r="E20181" s="690" t="s">
        <v>4060</v>
      </c>
      <c r="F20181" s="690" t="s">
        <v>4060</v>
      </c>
      <c r="G20181" s="690" t="s">
        <v>4060</v>
      </c>
      <c r="H20181" s="690" t="s">
        <v>4060</v>
      </c>
      <c r="I20181" s="690" t="s">
        <v>4060</v>
      </c>
      <c r="J20181" s="690" t="s">
        <v>4060</v>
      </c>
      <c r="K20181" s="690" t="s">
        <v>4060</v>
      </c>
    </row>
    <row r="20182" spans="1:11">
      <c r="A20182" s="688" t="s">
        <v>4069</v>
      </c>
      <c r="B20182" s="692" t="s">
        <v>4060</v>
      </c>
      <c r="C20182" s="691">
        <v>5.0999999999999996</v>
      </c>
      <c r="D20182" s="691">
        <v>4.9000000000000004</v>
      </c>
      <c r="E20182" s="691">
        <v>5.0999999999999996</v>
      </c>
      <c r="F20182" s="615">
        <v>5</v>
      </c>
      <c r="G20182" s="691">
        <v>5.0999999999999996</v>
      </c>
      <c r="H20182" s="691">
        <v>5.2</v>
      </c>
      <c r="I20182" s="691">
        <v>4.9000000000000004</v>
      </c>
      <c r="J20182" s="615">
        <v>5</v>
      </c>
      <c r="K20182" s="691">
        <v>4.9000000000000004</v>
      </c>
    </row>
    <row r="20183" spans="1:11">
      <c r="A20183" s="688" t="s">
        <v>4068</v>
      </c>
      <c r="B20183" s="690" t="s">
        <v>4060</v>
      </c>
      <c r="C20183" s="690" t="s">
        <v>4060</v>
      </c>
      <c r="D20183" s="690" t="s">
        <v>4060</v>
      </c>
      <c r="E20183" s="690" t="s">
        <v>4060</v>
      </c>
      <c r="F20183" s="690" t="s">
        <v>4060</v>
      </c>
      <c r="G20183" s="690" t="s">
        <v>4060</v>
      </c>
      <c r="H20183" s="690" t="s">
        <v>4060</v>
      </c>
      <c r="I20183" s="690" t="s">
        <v>4060</v>
      </c>
      <c r="J20183" s="690" t="s">
        <v>4060</v>
      </c>
      <c r="K20183" s="690" t="s">
        <v>4060</v>
      </c>
    </row>
    <row r="20184" spans="1:11">
      <c r="A20184" s="688" t="s">
        <v>0</v>
      </c>
      <c r="B20184" s="692" t="s">
        <v>4060</v>
      </c>
      <c r="C20184" s="615">
        <v>5</v>
      </c>
      <c r="D20184" s="691">
        <v>4.7</v>
      </c>
      <c r="E20184" s="615">
        <v>5</v>
      </c>
      <c r="F20184" s="615">
        <v>5</v>
      </c>
      <c r="G20184" s="615">
        <v>5</v>
      </c>
      <c r="H20184" s="691">
        <v>5.0999999999999996</v>
      </c>
      <c r="I20184" s="691">
        <v>4.5</v>
      </c>
      <c r="J20184" s="691">
        <v>5.3</v>
      </c>
      <c r="K20184" s="615">
        <v>5</v>
      </c>
    </row>
    <row r="20185" spans="1:11">
      <c r="A20185" s="688" t="s">
        <v>1</v>
      </c>
      <c r="B20185" s="690" t="s">
        <v>4060</v>
      </c>
      <c r="C20185" s="689">
        <v>3.6</v>
      </c>
      <c r="D20185" s="689">
        <v>3.5</v>
      </c>
      <c r="E20185" s="689">
        <v>3.6</v>
      </c>
      <c r="F20185" s="689">
        <v>3.6</v>
      </c>
      <c r="G20185" s="689">
        <v>3.6</v>
      </c>
      <c r="H20185" s="689">
        <v>3.6</v>
      </c>
      <c r="I20185" s="689">
        <v>3.5</v>
      </c>
      <c r="J20185" s="689">
        <v>3.2</v>
      </c>
      <c r="K20185" s="689">
        <v>3.5</v>
      </c>
    </row>
    <row r="20186" spans="1:11">
      <c r="A20186" s="688" t="s">
        <v>2240</v>
      </c>
      <c r="B20186" s="692" t="s">
        <v>4060</v>
      </c>
      <c r="C20186" s="691">
        <v>4.2</v>
      </c>
      <c r="D20186" s="691">
        <v>4.0999999999999996</v>
      </c>
      <c r="E20186" s="691">
        <v>4.4000000000000004</v>
      </c>
      <c r="F20186" s="691">
        <v>4.2</v>
      </c>
      <c r="G20186" s="691">
        <v>4.2</v>
      </c>
      <c r="H20186" s="691">
        <v>4.4000000000000004</v>
      </c>
      <c r="I20186" s="691">
        <v>3.9</v>
      </c>
      <c r="J20186" s="615">
        <v>4</v>
      </c>
      <c r="K20186" s="691">
        <v>4.0999999999999996</v>
      </c>
    </row>
    <row r="20187" spans="1:11">
      <c r="A20187" s="688" t="s">
        <v>2</v>
      </c>
      <c r="B20187" s="690" t="s">
        <v>4060</v>
      </c>
      <c r="C20187" s="689">
        <v>5.0999999999999996</v>
      </c>
      <c r="D20187" s="693">
        <v>5</v>
      </c>
      <c r="E20187" s="693">
        <v>5</v>
      </c>
      <c r="F20187" s="689">
        <v>4.9000000000000004</v>
      </c>
      <c r="G20187" s="689">
        <v>4.8</v>
      </c>
      <c r="H20187" s="693">
        <v>5</v>
      </c>
      <c r="I20187" s="689">
        <v>5.0999999999999996</v>
      </c>
      <c r="J20187" s="689">
        <v>4.9000000000000004</v>
      </c>
      <c r="K20187" s="689">
        <v>4.7</v>
      </c>
    </row>
    <row r="20188" spans="1:11">
      <c r="A20188" s="688" t="s">
        <v>3</v>
      </c>
      <c r="B20188" s="692" t="s">
        <v>4060</v>
      </c>
      <c r="C20188" s="691">
        <v>4.7</v>
      </c>
      <c r="D20188" s="691">
        <v>4.5</v>
      </c>
      <c r="E20188" s="691">
        <v>4.8</v>
      </c>
      <c r="F20188" s="691">
        <v>4.7</v>
      </c>
      <c r="G20188" s="691">
        <v>4.5999999999999996</v>
      </c>
      <c r="H20188" s="691">
        <v>4.8</v>
      </c>
      <c r="I20188" s="691">
        <v>4.7</v>
      </c>
      <c r="J20188" s="691">
        <v>4.5999999999999996</v>
      </c>
      <c r="K20188" s="691">
        <v>4.4000000000000004</v>
      </c>
    </row>
    <row r="20189" spans="1:11">
      <c r="A20189" s="688" t="s">
        <v>4061</v>
      </c>
      <c r="B20189" s="690" t="s">
        <v>4060</v>
      </c>
      <c r="C20189" s="689">
        <v>4.7</v>
      </c>
      <c r="D20189" s="689">
        <v>4.5</v>
      </c>
      <c r="E20189" s="689">
        <v>4.8</v>
      </c>
      <c r="F20189" s="689">
        <v>4.7</v>
      </c>
      <c r="G20189" s="689">
        <v>4.5999999999999996</v>
      </c>
      <c r="H20189" s="689">
        <v>4.8</v>
      </c>
      <c r="I20189" s="689">
        <v>4.7</v>
      </c>
      <c r="J20189" s="689">
        <v>4.5999999999999996</v>
      </c>
      <c r="K20189" s="689">
        <v>4.4000000000000004</v>
      </c>
    </row>
    <row r="20190" spans="1:11">
      <c r="A20190" s="688" t="s">
        <v>4</v>
      </c>
      <c r="B20190" s="692" t="s">
        <v>4060</v>
      </c>
      <c r="C20190" s="691">
        <v>4.5999999999999996</v>
      </c>
      <c r="D20190" s="691">
        <v>4.5999999999999996</v>
      </c>
      <c r="E20190" s="691">
        <v>4.7</v>
      </c>
      <c r="F20190" s="691">
        <v>4.8</v>
      </c>
      <c r="G20190" s="691">
        <v>4.7</v>
      </c>
      <c r="H20190" s="691">
        <v>4.9000000000000004</v>
      </c>
      <c r="I20190" s="691">
        <v>4.9000000000000004</v>
      </c>
      <c r="J20190" s="691">
        <v>4.4000000000000004</v>
      </c>
      <c r="K20190" s="691">
        <v>4.5</v>
      </c>
    </row>
    <row r="20191" spans="1:11">
      <c r="A20191" s="688" t="s">
        <v>8</v>
      </c>
      <c r="B20191" s="690" t="s">
        <v>4060</v>
      </c>
      <c r="C20191" s="689">
        <v>4.8</v>
      </c>
      <c r="D20191" s="689">
        <v>4.5999999999999996</v>
      </c>
      <c r="E20191" s="689">
        <v>4.7</v>
      </c>
      <c r="F20191" s="689">
        <v>4.8</v>
      </c>
      <c r="G20191" s="693">
        <v>5</v>
      </c>
      <c r="H20191" s="689">
        <v>5.0999999999999996</v>
      </c>
      <c r="I20191" s="689">
        <v>5.0999999999999996</v>
      </c>
      <c r="J20191" s="693">
        <v>5</v>
      </c>
      <c r="K20191" s="693">
        <v>5</v>
      </c>
    </row>
    <row r="20192" spans="1:11">
      <c r="A20192" s="688" t="s">
        <v>7</v>
      </c>
      <c r="B20192" s="692" t="s">
        <v>4060</v>
      </c>
      <c r="C20192" s="691">
        <v>4.3</v>
      </c>
      <c r="D20192" s="691">
        <v>4.0999999999999996</v>
      </c>
      <c r="E20192" s="691">
        <v>4.5</v>
      </c>
      <c r="F20192" s="691">
        <v>4.4000000000000004</v>
      </c>
      <c r="G20192" s="691">
        <v>4.8</v>
      </c>
      <c r="H20192" s="691">
        <v>4.7</v>
      </c>
      <c r="I20192" s="691">
        <v>4.7</v>
      </c>
      <c r="J20192" s="691">
        <v>4.5</v>
      </c>
      <c r="K20192" s="691">
        <v>4.4000000000000004</v>
      </c>
    </row>
    <row r="20193" spans="1:11">
      <c r="A20193" s="688" t="s">
        <v>27</v>
      </c>
      <c r="B20193" s="690" t="s">
        <v>4060</v>
      </c>
      <c r="C20193" s="689">
        <v>5.4</v>
      </c>
      <c r="D20193" s="689">
        <v>5.0999999999999996</v>
      </c>
      <c r="E20193" s="689">
        <v>5.4</v>
      </c>
      <c r="F20193" s="689">
        <v>5.3</v>
      </c>
      <c r="G20193" s="689">
        <v>5.3</v>
      </c>
      <c r="H20193" s="689">
        <v>5.6</v>
      </c>
      <c r="I20193" s="689">
        <v>4.9000000000000004</v>
      </c>
      <c r="J20193" s="689">
        <v>5.5</v>
      </c>
      <c r="K20193" s="689">
        <v>5.2</v>
      </c>
    </row>
    <row r="20194" spans="1:11">
      <c r="A20194" s="688" t="s">
        <v>6</v>
      </c>
      <c r="B20194" s="692" t="s">
        <v>4060</v>
      </c>
      <c r="C20194" s="691">
        <v>5.7</v>
      </c>
      <c r="D20194" s="691">
        <v>5.4</v>
      </c>
      <c r="E20194" s="691">
        <v>5.6</v>
      </c>
      <c r="F20194" s="691">
        <v>5.6</v>
      </c>
      <c r="G20194" s="691">
        <v>5.7</v>
      </c>
      <c r="H20194" s="691">
        <v>5.8</v>
      </c>
      <c r="I20194" s="691">
        <v>5.4</v>
      </c>
      <c r="J20194" s="691">
        <v>5.6</v>
      </c>
      <c r="K20194" s="691">
        <v>5.5</v>
      </c>
    </row>
    <row r="20195" spans="1:11">
      <c r="A20195" s="688" t="s">
        <v>4058</v>
      </c>
      <c r="B20195" s="690" t="s">
        <v>4060</v>
      </c>
      <c r="C20195" s="690" t="s">
        <v>4060</v>
      </c>
      <c r="D20195" s="690" t="s">
        <v>4060</v>
      </c>
      <c r="E20195" s="690" t="s">
        <v>4060</v>
      </c>
      <c r="F20195" s="690" t="s">
        <v>4060</v>
      </c>
      <c r="G20195" s="690" t="s">
        <v>4060</v>
      </c>
      <c r="H20195" s="690" t="s">
        <v>4060</v>
      </c>
      <c r="I20195" s="690" t="s">
        <v>4060</v>
      </c>
      <c r="J20195" s="690" t="s">
        <v>4060</v>
      </c>
      <c r="K20195" s="690" t="s">
        <v>4060</v>
      </c>
    </row>
    <row r="20196" spans="1:11">
      <c r="A20196" s="688" t="s">
        <v>11</v>
      </c>
      <c r="B20196" s="692" t="s">
        <v>4060</v>
      </c>
      <c r="C20196" s="615">
        <v>4</v>
      </c>
      <c r="D20196" s="691">
        <v>3.7</v>
      </c>
      <c r="E20196" s="615">
        <v>4</v>
      </c>
      <c r="F20196" s="691">
        <v>3.8</v>
      </c>
      <c r="G20196" s="615">
        <v>4</v>
      </c>
      <c r="H20196" s="615">
        <v>4</v>
      </c>
      <c r="I20196" s="691">
        <v>3.7</v>
      </c>
      <c r="J20196" s="691">
        <v>3.5</v>
      </c>
      <c r="K20196" s="691">
        <v>3.5</v>
      </c>
    </row>
    <row r="20197" spans="1:11">
      <c r="A20197" s="688" t="s">
        <v>10</v>
      </c>
      <c r="B20197" s="690" t="s">
        <v>4060</v>
      </c>
      <c r="C20197" s="689">
        <v>5.2</v>
      </c>
      <c r="D20197" s="689">
        <v>4.8</v>
      </c>
      <c r="E20197" s="689">
        <v>5.2</v>
      </c>
      <c r="F20197" s="693">
        <v>5</v>
      </c>
      <c r="G20197" s="689">
        <v>5.2</v>
      </c>
      <c r="H20197" s="689">
        <v>5.3</v>
      </c>
      <c r="I20197" s="689">
        <v>4.7</v>
      </c>
      <c r="J20197" s="693">
        <v>5</v>
      </c>
      <c r="K20197" s="689">
        <v>4.8</v>
      </c>
    </row>
    <row r="20198" spans="1:11">
      <c r="A20198" s="688" t="s">
        <v>30</v>
      </c>
      <c r="B20198" s="692" t="s">
        <v>4060</v>
      </c>
      <c r="C20198" s="691">
        <v>4.5999999999999996</v>
      </c>
      <c r="D20198" s="615">
        <v>4</v>
      </c>
      <c r="E20198" s="691">
        <v>4.2</v>
      </c>
      <c r="F20198" s="615">
        <v>4</v>
      </c>
      <c r="G20198" s="691">
        <v>4.4000000000000004</v>
      </c>
      <c r="H20198" s="691">
        <v>4.0999999999999996</v>
      </c>
      <c r="I20198" s="691">
        <v>4.3</v>
      </c>
      <c r="J20198" s="691">
        <v>4.2</v>
      </c>
      <c r="K20198" s="691">
        <v>3.9</v>
      </c>
    </row>
    <row r="20199" spans="1:11">
      <c r="A20199" s="688" t="s">
        <v>12</v>
      </c>
      <c r="B20199" s="690" t="s">
        <v>4060</v>
      </c>
      <c r="C20199" s="689">
        <v>4.2</v>
      </c>
      <c r="D20199" s="689">
        <v>4.2</v>
      </c>
      <c r="E20199" s="689">
        <v>4.2</v>
      </c>
      <c r="F20199" s="689">
        <v>4.2</v>
      </c>
      <c r="G20199" s="689">
        <v>4.2</v>
      </c>
      <c r="H20199" s="689">
        <v>4.3</v>
      </c>
      <c r="I20199" s="689">
        <v>4.3</v>
      </c>
      <c r="J20199" s="689">
        <v>3.8</v>
      </c>
      <c r="K20199" s="693">
        <v>4</v>
      </c>
    </row>
    <row r="20200" spans="1:11">
      <c r="A20200" s="688" t="s">
        <v>14</v>
      </c>
      <c r="B20200" s="692" t="s">
        <v>4060</v>
      </c>
      <c r="C20200" s="691">
        <v>3.8</v>
      </c>
      <c r="D20200" s="691">
        <v>3.6</v>
      </c>
      <c r="E20200" s="691">
        <v>3.7</v>
      </c>
      <c r="F20200" s="691">
        <v>3.7</v>
      </c>
      <c r="G20200" s="691">
        <v>3.8</v>
      </c>
      <c r="H20200" s="615">
        <v>4</v>
      </c>
      <c r="I20200" s="691">
        <v>3.9</v>
      </c>
      <c r="J20200" s="691">
        <v>3.8</v>
      </c>
      <c r="K20200" s="691">
        <v>3.9</v>
      </c>
    </row>
    <row r="20201" spans="1:11">
      <c r="A20201" s="688" t="s">
        <v>15</v>
      </c>
      <c r="B20201" s="690" t="s">
        <v>4060</v>
      </c>
      <c r="C20201" s="689">
        <v>5.4</v>
      </c>
      <c r="D20201" s="689">
        <v>4.8</v>
      </c>
      <c r="E20201" s="693">
        <v>5</v>
      </c>
      <c r="F20201" s="689">
        <v>5.3</v>
      </c>
      <c r="G20201" s="693">
        <v>5</v>
      </c>
      <c r="H20201" s="689">
        <v>5.3</v>
      </c>
      <c r="I20201" s="689">
        <v>4.9000000000000004</v>
      </c>
      <c r="J20201" s="689">
        <v>5.0999999999999996</v>
      </c>
      <c r="K20201" s="689">
        <v>5.2</v>
      </c>
    </row>
    <row r="20202" spans="1:11">
      <c r="A20202" s="688" t="s">
        <v>29</v>
      </c>
      <c r="B20202" s="692" t="s">
        <v>4060</v>
      </c>
      <c r="C20202" s="691">
        <v>4.3</v>
      </c>
      <c r="D20202" s="691">
        <v>4.0999999999999996</v>
      </c>
      <c r="E20202" s="691">
        <v>4.3</v>
      </c>
      <c r="F20202" s="691">
        <v>4.2</v>
      </c>
      <c r="G20202" s="691">
        <v>4.2</v>
      </c>
      <c r="H20202" s="691">
        <v>4.3</v>
      </c>
      <c r="I20202" s="691">
        <v>4.0999999999999996</v>
      </c>
      <c r="J20202" s="691">
        <v>4.0999999999999996</v>
      </c>
      <c r="K20202" s="691">
        <v>4.0999999999999996</v>
      </c>
    </row>
    <row r="20203" spans="1:11">
      <c r="A20203" s="688" t="s">
        <v>16</v>
      </c>
      <c r="B20203" s="690" t="s">
        <v>4060</v>
      </c>
      <c r="C20203" s="693">
        <v>5</v>
      </c>
      <c r="D20203" s="689">
        <v>4.9000000000000004</v>
      </c>
      <c r="E20203" s="689">
        <v>4.9000000000000004</v>
      </c>
      <c r="F20203" s="689">
        <v>4.9000000000000004</v>
      </c>
      <c r="G20203" s="689">
        <v>4.9000000000000004</v>
      </c>
      <c r="H20203" s="689">
        <v>5.0999999999999996</v>
      </c>
      <c r="I20203" s="689">
        <v>4.5</v>
      </c>
      <c r="J20203" s="689">
        <v>4.9000000000000004</v>
      </c>
      <c r="K20203" s="689">
        <v>4.9000000000000004</v>
      </c>
    </row>
    <row r="20204" spans="1:11">
      <c r="A20204" s="688" t="s">
        <v>17</v>
      </c>
      <c r="B20204" s="692" t="s">
        <v>4060</v>
      </c>
      <c r="C20204" s="691">
        <v>4.8</v>
      </c>
      <c r="D20204" s="691">
        <v>4.7</v>
      </c>
      <c r="E20204" s="691">
        <v>4.7</v>
      </c>
      <c r="F20204" s="691">
        <v>4.5999999999999996</v>
      </c>
      <c r="G20204" s="691">
        <v>4.5999999999999996</v>
      </c>
      <c r="H20204" s="691">
        <v>4.8</v>
      </c>
      <c r="I20204" s="691">
        <v>4.5</v>
      </c>
      <c r="J20204" s="691">
        <v>4.5999999999999996</v>
      </c>
      <c r="K20204" s="691">
        <v>4.5</v>
      </c>
    </row>
    <row r="20205" spans="1:11">
      <c r="A20205" s="688" t="s">
        <v>19</v>
      </c>
      <c r="B20205" s="690" t="s">
        <v>4060</v>
      </c>
      <c r="C20205" s="689">
        <v>4.7</v>
      </c>
      <c r="D20205" s="689">
        <v>4.5999999999999996</v>
      </c>
      <c r="E20205" s="689">
        <v>4.9000000000000004</v>
      </c>
      <c r="F20205" s="689">
        <v>4.7</v>
      </c>
      <c r="G20205" s="689">
        <v>4.7</v>
      </c>
      <c r="H20205" s="689">
        <v>4.8</v>
      </c>
      <c r="I20205" s="689">
        <v>4.5</v>
      </c>
      <c r="J20205" s="689">
        <v>4.5999999999999996</v>
      </c>
      <c r="K20205" s="689">
        <v>4.5</v>
      </c>
    </row>
    <row r="20206" spans="1:11">
      <c r="A20206" s="688" t="s">
        <v>20</v>
      </c>
      <c r="B20206" s="692" t="s">
        <v>4060</v>
      </c>
      <c r="C20206" s="691">
        <v>4.8</v>
      </c>
      <c r="D20206" s="691">
        <v>4.5999999999999996</v>
      </c>
      <c r="E20206" s="691">
        <v>4.9000000000000004</v>
      </c>
      <c r="F20206" s="691">
        <v>4.7</v>
      </c>
      <c r="G20206" s="691">
        <v>4.8</v>
      </c>
      <c r="H20206" s="691">
        <v>4.9000000000000004</v>
      </c>
      <c r="I20206" s="691">
        <v>4.4000000000000004</v>
      </c>
      <c r="J20206" s="691">
        <v>4.0999999999999996</v>
      </c>
      <c r="K20206" s="691">
        <v>4.4000000000000004</v>
      </c>
    </row>
    <row r="20207" spans="1:11">
      <c r="A20207" s="688" t="s">
        <v>21</v>
      </c>
      <c r="B20207" s="690" t="s">
        <v>4060</v>
      </c>
      <c r="C20207" s="689">
        <v>5.2</v>
      </c>
      <c r="D20207" s="693">
        <v>5</v>
      </c>
      <c r="E20207" s="689">
        <v>5.0999999999999996</v>
      </c>
      <c r="F20207" s="689">
        <v>5.2</v>
      </c>
      <c r="G20207" s="689">
        <v>5.0999999999999996</v>
      </c>
      <c r="H20207" s="689">
        <v>5.2</v>
      </c>
      <c r="I20207" s="689">
        <v>4.9000000000000004</v>
      </c>
      <c r="J20207" s="689">
        <v>4.9000000000000004</v>
      </c>
      <c r="K20207" s="689">
        <v>4.8</v>
      </c>
    </row>
    <row r="20208" spans="1:11">
      <c r="A20208" s="688" t="s">
        <v>22</v>
      </c>
      <c r="B20208" s="692" t="s">
        <v>4060</v>
      </c>
      <c r="C20208" s="691">
        <v>4.2</v>
      </c>
      <c r="D20208" s="691">
        <v>4.3</v>
      </c>
      <c r="E20208" s="691">
        <v>4.5999999999999996</v>
      </c>
      <c r="F20208" s="691">
        <v>4.5999999999999996</v>
      </c>
      <c r="G20208" s="691">
        <v>4.7</v>
      </c>
      <c r="H20208" s="615">
        <v>5</v>
      </c>
      <c r="I20208" s="691">
        <v>4.8</v>
      </c>
      <c r="J20208" s="691">
        <v>3.9</v>
      </c>
      <c r="K20208" s="691">
        <v>3.8</v>
      </c>
    </row>
    <row r="20209" spans="1:11">
      <c r="A20209" s="688" t="s">
        <v>26</v>
      </c>
      <c r="B20209" s="690" t="s">
        <v>4060</v>
      </c>
      <c r="C20209" s="689">
        <v>4.7</v>
      </c>
      <c r="D20209" s="689">
        <v>4.7</v>
      </c>
      <c r="E20209" s="689">
        <v>4.8</v>
      </c>
      <c r="F20209" s="689">
        <v>4.8</v>
      </c>
      <c r="G20209" s="693">
        <v>5</v>
      </c>
      <c r="H20209" s="689">
        <v>4.8</v>
      </c>
      <c r="I20209" s="689">
        <v>4.2</v>
      </c>
      <c r="J20209" s="689">
        <v>4.5999999999999996</v>
      </c>
      <c r="K20209" s="689">
        <v>4.5999999999999996</v>
      </c>
    </row>
    <row r="20210" spans="1:11">
      <c r="A20210" s="688" t="s">
        <v>25</v>
      </c>
      <c r="B20210" s="692" t="s">
        <v>4060</v>
      </c>
      <c r="C20210" s="691">
        <v>4.7</v>
      </c>
      <c r="D20210" s="691">
        <v>4.4000000000000004</v>
      </c>
      <c r="E20210" s="691">
        <v>4.5</v>
      </c>
      <c r="F20210" s="691">
        <v>4.4000000000000004</v>
      </c>
      <c r="G20210" s="691">
        <v>4.7</v>
      </c>
      <c r="H20210" s="691">
        <v>4.9000000000000004</v>
      </c>
      <c r="I20210" s="691">
        <v>4.7</v>
      </c>
      <c r="J20210" s="615">
        <v>4</v>
      </c>
      <c r="K20210" s="615">
        <v>4</v>
      </c>
    </row>
    <row r="20211" spans="1:11">
      <c r="A20211" s="688" t="s">
        <v>5</v>
      </c>
      <c r="B20211" s="690" t="s">
        <v>4060</v>
      </c>
      <c r="C20211" s="689">
        <v>4.7</v>
      </c>
      <c r="D20211" s="689">
        <v>4.8</v>
      </c>
      <c r="E20211" s="689">
        <v>4.8</v>
      </c>
      <c r="F20211" s="689">
        <v>4.9000000000000004</v>
      </c>
      <c r="G20211" s="689">
        <v>4.9000000000000004</v>
      </c>
      <c r="H20211" s="689">
        <v>5.0999999999999996</v>
      </c>
      <c r="I20211" s="689">
        <v>5.0999999999999996</v>
      </c>
      <c r="J20211" s="693">
        <v>5</v>
      </c>
      <c r="K20211" s="689">
        <v>4.7</v>
      </c>
    </row>
    <row r="20212" spans="1:11">
      <c r="A20212" s="688" t="s">
        <v>23</v>
      </c>
      <c r="B20212" s="692" t="s">
        <v>4060</v>
      </c>
      <c r="C20212" s="691">
        <v>4.9000000000000004</v>
      </c>
      <c r="D20212" s="691">
        <v>4.9000000000000004</v>
      </c>
      <c r="E20212" s="691">
        <v>4.9000000000000004</v>
      </c>
      <c r="F20212" s="691">
        <v>4.9000000000000004</v>
      </c>
      <c r="G20212" s="691">
        <v>4.9000000000000004</v>
      </c>
      <c r="H20212" s="691">
        <v>5.2</v>
      </c>
      <c r="I20212" s="691">
        <v>4.8</v>
      </c>
      <c r="J20212" s="691">
        <v>5.2</v>
      </c>
      <c r="K20212" s="691">
        <v>5.0999999999999996</v>
      </c>
    </row>
    <row r="20213" spans="1:11">
      <c r="A20213" s="688" t="s">
        <v>4067</v>
      </c>
      <c r="B20213" s="690" t="s">
        <v>4060</v>
      </c>
      <c r="C20213" s="690" t="s">
        <v>4060</v>
      </c>
      <c r="D20213" s="690" t="s">
        <v>4060</v>
      </c>
      <c r="E20213" s="690" t="s">
        <v>4060</v>
      </c>
      <c r="F20213" s="690" t="s">
        <v>4060</v>
      </c>
      <c r="G20213" s="690" t="s">
        <v>4060</v>
      </c>
      <c r="H20213" s="690" t="s">
        <v>4060</v>
      </c>
      <c r="I20213" s="690" t="s">
        <v>4060</v>
      </c>
      <c r="J20213" s="690" t="s">
        <v>4060</v>
      </c>
      <c r="K20213" s="690" t="s">
        <v>4060</v>
      </c>
    </row>
    <row r="20214" spans="1:11">
      <c r="A20214" s="688" t="s">
        <v>4066</v>
      </c>
      <c r="B20214" s="692" t="s">
        <v>4060</v>
      </c>
      <c r="C20214" s="692" t="s">
        <v>4060</v>
      </c>
      <c r="D20214" s="692" t="s">
        <v>4060</v>
      </c>
      <c r="E20214" s="692" t="s">
        <v>4060</v>
      </c>
      <c r="F20214" s="692" t="s">
        <v>4060</v>
      </c>
      <c r="G20214" s="692" t="s">
        <v>4060</v>
      </c>
      <c r="H20214" s="692" t="s">
        <v>4060</v>
      </c>
      <c r="I20214" s="692" t="s">
        <v>4060</v>
      </c>
      <c r="J20214" s="692" t="s">
        <v>4060</v>
      </c>
      <c r="K20214" s="692" t="s">
        <v>4060</v>
      </c>
    </row>
    <row r="20215" spans="1:11">
      <c r="A20215" s="688" t="s">
        <v>4062</v>
      </c>
      <c r="B20215" s="690" t="s">
        <v>4060</v>
      </c>
      <c r="C20215" s="693">
        <v>5</v>
      </c>
      <c r="D20215" s="689">
        <v>4.9000000000000004</v>
      </c>
      <c r="E20215" s="689">
        <v>5.0999999999999996</v>
      </c>
      <c r="F20215" s="693">
        <v>5</v>
      </c>
      <c r="G20215" s="689">
        <v>5.0999999999999996</v>
      </c>
      <c r="H20215" s="689">
        <v>5.2</v>
      </c>
      <c r="I20215" s="689">
        <v>4.9000000000000004</v>
      </c>
      <c r="J20215" s="689">
        <v>5.0999999999999996</v>
      </c>
      <c r="K20215" s="689">
        <v>4.9000000000000004</v>
      </c>
    </row>
    <row r="20216" spans="1:11">
      <c r="A20216" s="688" t="s">
        <v>9</v>
      </c>
      <c r="B20216" s="692" t="s">
        <v>4060</v>
      </c>
      <c r="C20216" s="615">
        <v>5</v>
      </c>
      <c r="D20216" s="691">
        <v>4.7</v>
      </c>
      <c r="E20216" s="691">
        <v>4.8</v>
      </c>
      <c r="F20216" s="691">
        <v>4.9000000000000004</v>
      </c>
      <c r="G20216" s="691">
        <v>5.2</v>
      </c>
      <c r="H20216" s="691">
        <v>4.9000000000000004</v>
      </c>
      <c r="I20216" s="615">
        <v>5</v>
      </c>
      <c r="J20216" s="615">
        <v>5</v>
      </c>
      <c r="K20216" s="691">
        <v>4.5999999999999996</v>
      </c>
    </row>
    <row r="20217" spans="1:11">
      <c r="A20217" s="688" t="s">
        <v>13</v>
      </c>
      <c r="B20217" s="690" t="s">
        <v>4060</v>
      </c>
      <c r="C20217" s="689">
        <v>4.0999999999999996</v>
      </c>
      <c r="D20217" s="689">
        <v>4.8</v>
      </c>
      <c r="E20217" s="689">
        <v>5.3</v>
      </c>
      <c r="F20217" s="693">
        <v>5</v>
      </c>
      <c r="G20217" s="689">
        <v>4.5</v>
      </c>
      <c r="H20217" s="689">
        <v>4.9000000000000004</v>
      </c>
      <c r="I20217" s="689">
        <v>4.8</v>
      </c>
      <c r="J20217" s="689">
        <v>4.8</v>
      </c>
      <c r="K20217" s="689">
        <v>4.5999999999999996</v>
      </c>
    </row>
    <row r="20218" spans="1:11">
      <c r="A20218" s="688" t="s">
        <v>18</v>
      </c>
      <c r="B20218" s="692" t="s">
        <v>4060</v>
      </c>
      <c r="C20218" s="615">
        <v>5</v>
      </c>
      <c r="D20218" s="691">
        <v>4.9000000000000004</v>
      </c>
      <c r="E20218" s="615">
        <v>5</v>
      </c>
      <c r="F20218" s="691">
        <v>4.9000000000000004</v>
      </c>
      <c r="G20218" s="615">
        <v>5</v>
      </c>
      <c r="H20218" s="691">
        <v>5.0999999999999996</v>
      </c>
      <c r="I20218" s="691">
        <v>5.0999999999999996</v>
      </c>
      <c r="J20218" s="615">
        <v>5</v>
      </c>
      <c r="K20218" s="691">
        <v>4.7</v>
      </c>
    </row>
    <row r="20219" spans="1:11">
      <c r="A20219" s="688" t="s">
        <v>24</v>
      </c>
      <c r="B20219" s="690" t="s">
        <v>4060</v>
      </c>
      <c r="C20219" s="693">
        <v>5</v>
      </c>
      <c r="D20219" s="689">
        <v>4.8</v>
      </c>
      <c r="E20219" s="689">
        <v>5.0999999999999996</v>
      </c>
      <c r="F20219" s="689">
        <v>5.0999999999999996</v>
      </c>
      <c r="G20219" s="689">
        <v>5.2</v>
      </c>
      <c r="H20219" s="689">
        <v>5.2</v>
      </c>
      <c r="I20219" s="689">
        <v>4.8</v>
      </c>
      <c r="J20219" s="689">
        <v>5.2</v>
      </c>
      <c r="K20219" s="693">
        <v>5</v>
      </c>
    </row>
    <row r="20220" spans="1:11">
      <c r="A20220" s="688" t="s">
        <v>4059</v>
      </c>
      <c r="B20220" s="692" t="s">
        <v>4060</v>
      </c>
      <c r="C20220" s="692" t="s">
        <v>4060</v>
      </c>
      <c r="D20220" s="692" t="s">
        <v>4060</v>
      </c>
      <c r="E20220" s="692" t="s">
        <v>4060</v>
      </c>
      <c r="F20220" s="692" t="s">
        <v>4060</v>
      </c>
      <c r="G20220" s="692" t="s">
        <v>4060</v>
      </c>
      <c r="H20220" s="692" t="s">
        <v>4060</v>
      </c>
      <c r="I20220" s="692" t="s">
        <v>4060</v>
      </c>
      <c r="J20220" s="692" t="s">
        <v>4060</v>
      </c>
      <c r="K20220" s="692" t="s">
        <v>4060</v>
      </c>
    </row>
    <row r="20221" spans="1:11">
      <c r="A20221" s="688" t="s">
        <v>2324</v>
      </c>
      <c r="B20221" s="690" t="s">
        <v>4060</v>
      </c>
      <c r="C20221" s="690" t="s">
        <v>4060</v>
      </c>
      <c r="D20221" s="690" t="s">
        <v>4060</v>
      </c>
      <c r="E20221" s="690" t="s">
        <v>4060</v>
      </c>
      <c r="F20221" s="690" t="s">
        <v>4060</v>
      </c>
      <c r="G20221" s="690" t="s">
        <v>4060</v>
      </c>
      <c r="H20221" s="690" t="s">
        <v>4060</v>
      </c>
      <c r="I20221" s="690" t="s">
        <v>4060</v>
      </c>
      <c r="J20221" s="690" t="s">
        <v>4060</v>
      </c>
      <c r="K20221" s="690" t="s">
        <v>4060</v>
      </c>
    </row>
    <row r="20222" spans="1:11">
      <c r="A20222" s="688" t="s">
        <v>2322</v>
      </c>
      <c r="B20222" s="692" t="s">
        <v>4060</v>
      </c>
      <c r="C20222" s="692" t="s">
        <v>4060</v>
      </c>
      <c r="D20222" s="692" t="s">
        <v>4060</v>
      </c>
      <c r="E20222" s="692" t="s">
        <v>4060</v>
      </c>
      <c r="F20222" s="692" t="s">
        <v>4060</v>
      </c>
      <c r="G20222" s="692" t="s">
        <v>4060</v>
      </c>
      <c r="H20222" s="692" t="s">
        <v>4060</v>
      </c>
      <c r="I20222" s="692" t="s">
        <v>4060</v>
      </c>
      <c r="J20222" s="692" t="s">
        <v>4060</v>
      </c>
      <c r="K20222" s="692" t="s">
        <v>4060</v>
      </c>
    </row>
    <row r="20223" spans="1:11">
      <c r="A20223" s="688" t="s">
        <v>2328</v>
      </c>
      <c r="B20223" s="690" t="s">
        <v>4060</v>
      </c>
      <c r="C20223" s="690" t="s">
        <v>4060</v>
      </c>
      <c r="D20223" s="690" t="s">
        <v>4060</v>
      </c>
      <c r="E20223" s="690" t="s">
        <v>4060</v>
      </c>
      <c r="F20223" s="690" t="s">
        <v>4060</v>
      </c>
      <c r="G20223" s="690" t="s">
        <v>4060</v>
      </c>
      <c r="H20223" s="690" t="s">
        <v>4060</v>
      </c>
      <c r="I20223" s="690" t="s">
        <v>4060</v>
      </c>
      <c r="J20223" s="690" t="s">
        <v>4060</v>
      </c>
      <c r="K20223" s="690" t="s">
        <v>4060</v>
      </c>
    </row>
    <row r="20224" spans="1:11">
      <c r="A20224" s="688" t="s">
        <v>2496</v>
      </c>
      <c r="B20224" s="692" t="s">
        <v>4060</v>
      </c>
      <c r="C20224" s="692" t="s">
        <v>4060</v>
      </c>
      <c r="D20224" s="692" t="s">
        <v>4060</v>
      </c>
      <c r="E20224" s="692" t="s">
        <v>4060</v>
      </c>
      <c r="F20224" s="692" t="s">
        <v>4060</v>
      </c>
      <c r="G20224" s="692" t="s">
        <v>4060</v>
      </c>
      <c r="H20224" s="692" t="s">
        <v>4060</v>
      </c>
      <c r="I20224" s="692" t="s">
        <v>4060</v>
      </c>
      <c r="J20224" s="692" t="s">
        <v>4060</v>
      </c>
      <c r="K20224" s="692" t="s">
        <v>4060</v>
      </c>
    </row>
    <row r="20225" spans="1:11">
      <c r="A20225" s="688" t="s">
        <v>2269</v>
      </c>
      <c r="B20225" s="690" t="s">
        <v>4060</v>
      </c>
      <c r="C20225" s="690" t="s">
        <v>4060</v>
      </c>
      <c r="D20225" s="690" t="s">
        <v>4060</v>
      </c>
      <c r="E20225" s="690" t="s">
        <v>4060</v>
      </c>
      <c r="F20225" s="690" t="s">
        <v>4060</v>
      </c>
      <c r="G20225" s="690" t="s">
        <v>4060</v>
      </c>
      <c r="H20225" s="690" t="s">
        <v>4060</v>
      </c>
      <c r="I20225" s="690" t="s">
        <v>4060</v>
      </c>
      <c r="J20225" s="690" t="s">
        <v>4060</v>
      </c>
      <c r="K20225" s="690" t="s">
        <v>4060</v>
      </c>
    </row>
    <row r="20226" spans="1:11">
      <c r="A20226" s="688" t="s">
        <v>2349</v>
      </c>
      <c r="B20226" s="692" t="s">
        <v>4060</v>
      </c>
      <c r="C20226" s="692" t="s">
        <v>4060</v>
      </c>
      <c r="D20226" s="692" t="s">
        <v>4060</v>
      </c>
      <c r="E20226" s="692" t="s">
        <v>4060</v>
      </c>
      <c r="F20226" s="692" t="s">
        <v>4060</v>
      </c>
      <c r="G20226" s="692" t="s">
        <v>4060</v>
      </c>
      <c r="H20226" s="692" t="s">
        <v>4060</v>
      </c>
      <c r="I20226" s="692" t="s">
        <v>4060</v>
      </c>
      <c r="J20226" s="692" t="s">
        <v>4060</v>
      </c>
      <c r="K20226" s="692" t="s">
        <v>4060</v>
      </c>
    </row>
    <row r="20227" spans="1:11">
      <c r="A20227" s="688" t="s">
        <v>2355</v>
      </c>
      <c r="B20227" s="690" t="s">
        <v>4060</v>
      </c>
      <c r="C20227" s="690" t="s">
        <v>4060</v>
      </c>
      <c r="D20227" s="690" t="s">
        <v>4060</v>
      </c>
      <c r="E20227" s="690" t="s">
        <v>4060</v>
      </c>
      <c r="F20227" s="690" t="s">
        <v>4060</v>
      </c>
      <c r="G20227" s="690" t="s">
        <v>4060</v>
      </c>
      <c r="H20227" s="690" t="s">
        <v>4060</v>
      </c>
      <c r="I20227" s="690" t="s">
        <v>4060</v>
      </c>
      <c r="J20227" s="690" t="s">
        <v>4060</v>
      </c>
      <c r="K20227" s="690" t="s">
        <v>4060</v>
      </c>
    </row>
    <row r="20228" spans="1:11">
      <c r="A20228" s="688" t="s">
        <v>2357</v>
      </c>
      <c r="B20228" s="692" t="s">
        <v>4060</v>
      </c>
      <c r="C20228" s="692" t="s">
        <v>4060</v>
      </c>
      <c r="D20228" s="692" t="s">
        <v>4060</v>
      </c>
      <c r="E20228" s="692" t="s">
        <v>4060</v>
      </c>
      <c r="F20228" s="692" t="s">
        <v>4060</v>
      </c>
      <c r="G20228" s="692" t="s">
        <v>4060</v>
      </c>
      <c r="H20228" s="692" t="s">
        <v>4060</v>
      </c>
      <c r="I20228" s="692" t="s">
        <v>4060</v>
      </c>
      <c r="J20228" s="692" t="s">
        <v>4060</v>
      </c>
      <c r="K20228" s="692" t="s">
        <v>4060</v>
      </c>
    </row>
    <row r="20229" spans="1:11">
      <c r="A20229" s="688" t="s">
        <v>4070</v>
      </c>
      <c r="B20229" s="690" t="s">
        <v>4060</v>
      </c>
      <c r="C20229" s="690" t="s">
        <v>4060</v>
      </c>
      <c r="D20229" s="690" t="s">
        <v>4060</v>
      </c>
      <c r="E20229" s="690" t="s">
        <v>4060</v>
      </c>
      <c r="F20229" s="690" t="s">
        <v>4060</v>
      </c>
      <c r="G20229" s="690" t="s">
        <v>4060</v>
      </c>
      <c r="H20229" s="690" t="s">
        <v>4060</v>
      </c>
      <c r="I20229" s="690" t="s">
        <v>4060</v>
      </c>
      <c r="J20229" s="690" t="s">
        <v>4060</v>
      </c>
      <c r="K20229" s="690" t="s">
        <v>4060</v>
      </c>
    </row>
    <row r="20230" spans="1:11">
      <c r="A20230" s="688" t="s">
        <v>2491</v>
      </c>
      <c r="B20230" s="692" t="s">
        <v>4060</v>
      </c>
      <c r="C20230" s="692" t="s">
        <v>4060</v>
      </c>
      <c r="D20230" s="692" t="s">
        <v>4060</v>
      </c>
      <c r="E20230" s="692" t="s">
        <v>4060</v>
      </c>
      <c r="F20230" s="692" t="s">
        <v>4060</v>
      </c>
      <c r="G20230" s="692" t="s">
        <v>4060</v>
      </c>
      <c r="H20230" s="692" t="s">
        <v>4060</v>
      </c>
      <c r="I20230" s="692" t="s">
        <v>4060</v>
      </c>
      <c r="J20230" s="692" t="s">
        <v>4060</v>
      </c>
      <c r="K20230" s="692" t="s">
        <v>4060</v>
      </c>
    </row>
    <row r="20231" spans="1:11">
      <c r="A20231" s="688" t="s">
        <v>2343</v>
      </c>
      <c r="B20231" s="690" t="s">
        <v>4060</v>
      </c>
      <c r="C20231" s="690" t="s">
        <v>4060</v>
      </c>
      <c r="D20231" s="690" t="s">
        <v>4060</v>
      </c>
      <c r="E20231" s="690" t="s">
        <v>4060</v>
      </c>
      <c r="F20231" s="690" t="s">
        <v>4060</v>
      </c>
      <c r="G20231" s="690" t="s">
        <v>4060</v>
      </c>
      <c r="H20231" s="690" t="s">
        <v>4060</v>
      </c>
      <c r="I20231" s="690" t="s">
        <v>4060</v>
      </c>
      <c r="J20231" s="690" t="s">
        <v>4060</v>
      </c>
      <c r="K20231" s="690" t="s">
        <v>4060</v>
      </c>
    </row>
    <row r="20232" spans="1:11">
      <c r="A20232" s="688" t="s">
        <v>4071</v>
      </c>
      <c r="B20232" s="692" t="s">
        <v>4060</v>
      </c>
      <c r="C20232" s="692" t="s">
        <v>4060</v>
      </c>
      <c r="D20232" s="692" t="s">
        <v>4060</v>
      </c>
      <c r="E20232" s="692" t="s">
        <v>4060</v>
      </c>
      <c r="F20232" s="692" t="s">
        <v>4060</v>
      </c>
      <c r="G20232" s="692" t="s">
        <v>4060</v>
      </c>
      <c r="H20232" s="692" t="s">
        <v>4060</v>
      </c>
      <c r="I20232" s="692" t="s">
        <v>4060</v>
      </c>
      <c r="J20232" s="692" t="s">
        <v>4060</v>
      </c>
      <c r="K20232" s="692" t="s">
        <v>4060</v>
      </c>
    </row>
    <row r="20233" spans="1:11">
      <c r="A20233" s="688" t="s">
        <v>2489</v>
      </c>
      <c r="B20233" s="690" t="s">
        <v>4060</v>
      </c>
      <c r="C20233" s="690" t="s">
        <v>4060</v>
      </c>
      <c r="D20233" s="690" t="s">
        <v>4060</v>
      </c>
      <c r="E20233" s="690" t="s">
        <v>4060</v>
      </c>
      <c r="F20233" s="690" t="s">
        <v>4060</v>
      </c>
      <c r="G20233" s="690" t="s">
        <v>4060</v>
      </c>
      <c r="H20233" s="690" t="s">
        <v>4060</v>
      </c>
      <c r="I20233" s="690" t="s">
        <v>4060</v>
      </c>
      <c r="J20233" s="690" t="s">
        <v>4060</v>
      </c>
      <c r="K20233" s="690" t="s">
        <v>4060</v>
      </c>
    </row>
    <row r="20234" spans="1:11">
      <c r="A20234" s="688" t="s">
        <v>2490</v>
      </c>
      <c r="B20234" s="692" t="s">
        <v>4060</v>
      </c>
      <c r="C20234" s="692" t="s">
        <v>4060</v>
      </c>
      <c r="D20234" s="692" t="s">
        <v>4060</v>
      </c>
      <c r="E20234" s="692" t="s">
        <v>4060</v>
      </c>
      <c r="F20234" s="692" t="s">
        <v>4060</v>
      </c>
      <c r="G20234" s="692" t="s">
        <v>4060</v>
      </c>
      <c r="H20234" s="692" t="s">
        <v>4060</v>
      </c>
      <c r="I20234" s="692" t="s">
        <v>4060</v>
      </c>
      <c r="J20234" s="692" t="s">
        <v>4060</v>
      </c>
      <c r="K20234" s="692" t="s">
        <v>4060</v>
      </c>
    </row>
    <row r="20236" spans="1:11">
      <c r="A20236" s="683" t="s">
        <v>4233</v>
      </c>
    </row>
    <row r="20237" spans="1:11">
      <c r="A20237" s="683" t="s">
        <v>4060</v>
      </c>
      <c r="B20237" s="682" t="s">
        <v>4234</v>
      </c>
    </row>
    <row r="20239" spans="1:11">
      <c r="A20239" s="682" t="s">
        <v>4333</v>
      </c>
    </row>
    <row r="20240" spans="1:11">
      <c r="A20240" s="682" t="s">
        <v>4210</v>
      </c>
      <c r="B20240" s="683" t="s">
        <v>4211</v>
      </c>
    </row>
    <row r="20241" spans="1:11">
      <c r="A20241" s="682" t="s">
        <v>4212</v>
      </c>
      <c r="B20241" s="682" t="s">
        <v>4213</v>
      </c>
    </row>
    <row r="20243" spans="1:11">
      <c r="A20243" s="683" t="s">
        <v>4214</v>
      </c>
      <c r="C20243" s="682" t="s">
        <v>4215</v>
      </c>
    </row>
    <row r="20244" spans="1:11">
      <c r="A20244" s="683" t="s">
        <v>4216</v>
      </c>
      <c r="C20244" s="682" t="s">
        <v>2967</v>
      </c>
    </row>
    <row r="20245" spans="1:11">
      <c r="A20245" s="683" t="s">
        <v>3893</v>
      </c>
      <c r="C20245" s="682" t="s">
        <v>2169</v>
      </c>
    </row>
    <row r="20246" spans="1:11">
      <c r="A20246" s="683" t="s">
        <v>4218</v>
      </c>
      <c r="C20246" s="682" t="s">
        <v>4325</v>
      </c>
    </row>
    <row r="20248" spans="1:11">
      <c r="A20248" s="684" t="s">
        <v>4220</v>
      </c>
      <c r="B20248" s="685" t="s">
        <v>4221</v>
      </c>
      <c r="C20248" s="685" t="s">
        <v>4222</v>
      </c>
      <c r="D20248" s="685" t="s">
        <v>4223</v>
      </c>
      <c r="E20248" s="685" t="s">
        <v>4224</v>
      </c>
      <c r="F20248" s="685" t="s">
        <v>4225</v>
      </c>
      <c r="G20248" s="685" t="s">
        <v>4226</v>
      </c>
      <c r="H20248" s="685" t="s">
        <v>4227</v>
      </c>
      <c r="I20248" s="685" t="s">
        <v>4228</v>
      </c>
      <c r="J20248" s="685" t="s">
        <v>4229</v>
      </c>
      <c r="K20248" s="685" t="s">
        <v>4230</v>
      </c>
    </row>
    <row r="20249" spans="1:11">
      <c r="A20249" s="686" t="s">
        <v>4231</v>
      </c>
      <c r="B20249" s="687" t="s">
        <v>4232</v>
      </c>
      <c r="C20249" s="687" t="s">
        <v>4232</v>
      </c>
      <c r="D20249" s="687" t="s">
        <v>4232</v>
      </c>
      <c r="E20249" s="687" t="s">
        <v>4232</v>
      </c>
      <c r="F20249" s="687" t="s">
        <v>4232</v>
      </c>
      <c r="G20249" s="687" t="s">
        <v>4232</v>
      </c>
      <c r="H20249" s="687" t="s">
        <v>4232</v>
      </c>
      <c r="I20249" s="687" t="s">
        <v>4232</v>
      </c>
      <c r="J20249" s="687" t="s">
        <v>4232</v>
      </c>
      <c r="K20249" s="687" t="s">
        <v>4232</v>
      </c>
    </row>
    <row r="20250" spans="1:11">
      <c r="A20250" s="688" t="s">
        <v>4064</v>
      </c>
      <c r="B20250" s="692" t="s">
        <v>4060</v>
      </c>
      <c r="C20250" s="691">
        <v>4.5999999999999996</v>
      </c>
      <c r="D20250" s="692" t="s">
        <v>4060</v>
      </c>
      <c r="E20250" s="691">
        <v>4.7</v>
      </c>
      <c r="F20250" s="691">
        <v>4.5999999999999996</v>
      </c>
      <c r="G20250" s="691">
        <v>4.5999999999999996</v>
      </c>
      <c r="H20250" s="691">
        <v>4.7</v>
      </c>
      <c r="I20250" s="691">
        <v>4.4000000000000004</v>
      </c>
      <c r="J20250" s="691">
        <v>4.5</v>
      </c>
      <c r="K20250" s="691">
        <v>4.4000000000000004</v>
      </c>
    </row>
    <row r="20251" spans="1:11">
      <c r="A20251" s="688" t="s">
        <v>4065</v>
      </c>
      <c r="B20251" s="690" t="s">
        <v>4060</v>
      </c>
      <c r="C20251" s="690" t="s">
        <v>4060</v>
      </c>
      <c r="D20251" s="690" t="s">
        <v>4060</v>
      </c>
      <c r="E20251" s="690" t="s">
        <v>4060</v>
      </c>
      <c r="F20251" s="690" t="s">
        <v>4060</v>
      </c>
      <c r="G20251" s="690" t="s">
        <v>4060</v>
      </c>
      <c r="H20251" s="690" t="s">
        <v>4060</v>
      </c>
      <c r="I20251" s="690" t="s">
        <v>4060</v>
      </c>
      <c r="J20251" s="690" t="s">
        <v>4060</v>
      </c>
      <c r="K20251" s="690" t="s">
        <v>4060</v>
      </c>
    </row>
    <row r="20252" spans="1:11">
      <c r="A20252" s="688" t="s">
        <v>4063</v>
      </c>
      <c r="B20252" s="692" t="s">
        <v>4060</v>
      </c>
      <c r="C20252" s="692" t="s">
        <v>4060</v>
      </c>
      <c r="D20252" s="692" t="s">
        <v>4060</v>
      </c>
      <c r="E20252" s="692" t="s">
        <v>4060</v>
      </c>
      <c r="F20252" s="692" t="s">
        <v>4060</v>
      </c>
      <c r="G20252" s="692" t="s">
        <v>4060</v>
      </c>
      <c r="H20252" s="692" t="s">
        <v>4060</v>
      </c>
      <c r="I20252" s="692" t="s">
        <v>4060</v>
      </c>
      <c r="J20252" s="692" t="s">
        <v>4060</v>
      </c>
      <c r="K20252" s="692" t="s">
        <v>4060</v>
      </c>
    </row>
    <row r="20253" spans="1:11">
      <c r="A20253" s="688" t="s">
        <v>4069</v>
      </c>
      <c r="B20253" s="690" t="s">
        <v>4060</v>
      </c>
      <c r="C20253" s="689">
        <v>4.7</v>
      </c>
      <c r="D20253" s="689">
        <v>4.5</v>
      </c>
      <c r="E20253" s="689">
        <v>4.7</v>
      </c>
      <c r="F20253" s="689">
        <v>4.5999999999999996</v>
      </c>
      <c r="G20253" s="689">
        <v>4.7</v>
      </c>
      <c r="H20253" s="689">
        <v>4.8</v>
      </c>
      <c r="I20253" s="689">
        <v>4.5</v>
      </c>
      <c r="J20253" s="689">
        <v>4.7</v>
      </c>
      <c r="K20253" s="689">
        <v>4.4000000000000004</v>
      </c>
    </row>
    <row r="20254" spans="1:11">
      <c r="A20254" s="688" t="s">
        <v>4068</v>
      </c>
      <c r="B20254" s="692" t="s">
        <v>4060</v>
      </c>
      <c r="C20254" s="692" t="s">
        <v>4060</v>
      </c>
      <c r="D20254" s="692" t="s">
        <v>4060</v>
      </c>
      <c r="E20254" s="692" t="s">
        <v>4060</v>
      </c>
      <c r="F20254" s="692" t="s">
        <v>4060</v>
      </c>
      <c r="G20254" s="692" t="s">
        <v>4060</v>
      </c>
      <c r="H20254" s="692" t="s">
        <v>4060</v>
      </c>
      <c r="I20254" s="692" t="s">
        <v>4060</v>
      </c>
      <c r="J20254" s="692" t="s">
        <v>4060</v>
      </c>
      <c r="K20254" s="692" t="s">
        <v>4060</v>
      </c>
    </row>
    <row r="20255" spans="1:11">
      <c r="A20255" s="688" t="s">
        <v>0</v>
      </c>
      <c r="B20255" s="690" t="s">
        <v>4060</v>
      </c>
      <c r="C20255" s="689">
        <v>4.5999999999999996</v>
      </c>
      <c r="D20255" s="689">
        <v>4.4000000000000004</v>
      </c>
      <c r="E20255" s="689">
        <v>4.5999999999999996</v>
      </c>
      <c r="F20255" s="689">
        <v>4.5999999999999996</v>
      </c>
      <c r="G20255" s="689">
        <v>4.5999999999999996</v>
      </c>
      <c r="H20255" s="689">
        <v>4.7</v>
      </c>
      <c r="I20255" s="689">
        <v>4.0999999999999996</v>
      </c>
      <c r="J20255" s="693">
        <v>5</v>
      </c>
      <c r="K20255" s="689">
        <v>4.5999999999999996</v>
      </c>
    </row>
    <row r="20256" spans="1:11">
      <c r="A20256" s="688" t="s">
        <v>1</v>
      </c>
      <c r="B20256" s="692" t="s">
        <v>4060</v>
      </c>
      <c r="C20256" s="691">
        <v>3.4</v>
      </c>
      <c r="D20256" s="691">
        <v>3.2</v>
      </c>
      <c r="E20256" s="691">
        <v>3.4</v>
      </c>
      <c r="F20256" s="691">
        <v>3.3</v>
      </c>
      <c r="G20256" s="691">
        <v>3.3</v>
      </c>
      <c r="H20256" s="691">
        <v>3.3</v>
      </c>
      <c r="I20256" s="691">
        <v>3.2</v>
      </c>
      <c r="J20256" s="615">
        <v>3</v>
      </c>
      <c r="K20256" s="691">
        <v>3.2</v>
      </c>
    </row>
    <row r="20257" spans="1:11">
      <c r="A20257" s="688" t="s">
        <v>2240</v>
      </c>
      <c r="B20257" s="690" t="s">
        <v>4060</v>
      </c>
      <c r="C20257" s="689">
        <v>3.9</v>
      </c>
      <c r="D20257" s="689">
        <v>3.8</v>
      </c>
      <c r="E20257" s="689">
        <v>4.0999999999999996</v>
      </c>
      <c r="F20257" s="689">
        <v>3.9</v>
      </c>
      <c r="G20257" s="689">
        <v>3.9</v>
      </c>
      <c r="H20257" s="693">
        <v>4</v>
      </c>
      <c r="I20257" s="689">
        <v>3.6</v>
      </c>
      <c r="J20257" s="689">
        <v>3.7</v>
      </c>
      <c r="K20257" s="689">
        <v>3.8</v>
      </c>
    </row>
    <row r="20258" spans="1:11">
      <c r="A20258" s="688" t="s">
        <v>2</v>
      </c>
      <c r="B20258" s="692" t="s">
        <v>4060</v>
      </c>
      <c r="C20258" s="691">
        <v>4.7</v>
      </c>
      <c r="D20258" s="691">
        <v>4.5999999999999996</v>
      </c>
      <c r="E20258" s="691">
        <v>4.5999999999999996</v>
      </c>
      <c r="F20258" s="691">
        <v>4.5999999999999996</v>
      </c>
      <c r="G20258" s="691">
        <v>4.4000000000000004</v>
      </c>
      <c r="H20258" s="691">
        <v>4.5999999999999996</v>
      </c>
      <c r="I20258" s="691">
        <v>4.7</v>
      </c>
      <c r="J20258" s="691">
        <v>4.5</v>
      </c>
      <c r="K20258" s="691">
        <v>4.3</v>
      </c>
    </row>
    <row r="20259" spans="1:11">
      <c r="A20259" s="688" t="s">
        <v>3</v>
      </c>
      <c r="B20259" s="690" t="s">
        <v>4060</v>
      </c>
      <c r="C20259" s="689">
        <v>4.4000000000000004</v>
      </c>
      <c r="D20259" s="689">
        <v>4.2</v>
      </c>
      <c r="E20259" s="689">
        <v>4.4000000000000004</v>
      </c>
      <c r="F20259" s="689">
        <v>4.3</v>
      </c>
      <c r="G20259" s="689">
        <v>4.3</v>
      </c>
      <c r="H20259" s="689">
        <v>4.4000000000000004</v>
      </c>
      <c r="I20259" s="689">
        <v>4.3</v>
      </c>
      <c r="J20259" s="689">
        <v>4.3</v>
      </c>
      <c r="K20259" s="693">
        <v>4</v>
      </c>
    </row>
    <row r="20260" spans="1:11">
      <c r="A20260" s="688" t="s">
        <v>4061</v>
      </c>
      <c r="B20260" s="692" t="s">
        <v>4060</v>
      </c>
      <c r="C20260" s="691">
        <v>4.4000000000000004</v>
      </c>
      <c r="D20260" s="691">
        <v>4.2</v>
      </c>
      <c r="E20260" s="691">
        <v>4.4000000000000004</v>
      </c>
      <c r="F20260" s="691">
        <v>4.3</v>
      </c>
      <c r="G20260" s="691">
        <v>4.3</v>
      </c>
      <c r="H20260" s="691">
        <v>4.4000000000000004</v>
      </c>
      <c r="I20260" s="691">
        <v>4.3</v>
      </c>
      <c r="J20260" s="691">
        <v>4.3</v>
      </c>
      <c r="K20260" s="615">
        <v>4</v>
      </c>
    </row>
    <row r="20261" spans="1:11">
      <c r="A20261" s="688" t="s">
        <v>4</v>
      </c>
      <c r="B20261" s="690" t="s">
        <v>4060</v>
      </c>
      <c r="C20261" s="689">
        <v>4.2</v>
      </c>
      <c r="D20261" s="689">
        <v>4.3</v>
      </c>
      <c r="E20261" s="689">
        <v>4.4000000000000004</v>
      </c>
      <c r="F20261" s="689">
        <v>4.5</v>
      </c>
      <c r="G20261" s="689">
        <v>4.3</v>
      </c>
      <c r="H20261" s="689">
        <v>4.5999999999999996</v>
      </c>
      <c r="I20261" s="689">
        <v>4.5</v>
      </c>
      <c r="J20261" s="689">
        <v>4.0999999999999996</v>
      </c>
      <c r="K20261" s="689">
        <v>4.0999999999999996</v>
      </c>
    </row>
    <row r="20262" spans="1:11">
      <c r="A20262" s="688" t="s">
        <v>8</v>
      </c>
      <c r="B20262" s="692" t="s">
        <v>4060</v>
      </c>
      <c r="C20262" s="691">
        <v>4.5</v>
      </c>
      <c r="D20262" s="691">
        <v>4.2</v>
      </c>
      <c r="E20262" s="691">
        <v>4.3</v>
      </c>
      <c r="F20262" s="691">
        <v>4.5</v>
      </c>
      <c r="G20262" s="691">
        <v>4.5999999999999996</v>
      </c>
      <c r="H20262" s="691">
        <v>4.7</v>
      </c>
      <c r="I20262" s="691">
        <v>4.8</v>
      </c>
      <c r="J20262" s="691">
        <v>4.7</v>
      </c>
      <c r="K20262" s="691">
        <v>4.5999999999999996</v>
      </c>
    </row>
    <row r="20263" spans="1:11">
      <c r="A20263" s="688" t="s">
        <v>7</v>
      </c>
      <c r="B20263" s="690" t="s">
        <v>4060</v>
      </c>
      <c r="C20263" s="689">
        <v>3.9</v>
      </c>
      <c r="D20263" s="689">
        <v>3.8</v>
      </c>
      <c r="E20263" s="689">
        <v>4.0999999999999996</v>
      </c>
      <c r="F20263" s="693">
        <v>4</v>
      </c>
      <c r="G20263" s="689">
        <v>4.4000000000000004</v>
      </c>
      <c r="H20263" s="689">
        <v>4.4000000000000004</v>
      </c>
      <c r="I20263" s="689">
        <v>4.4000000000000004</v>
      </c>
      <c r="J20263" s="689">
        <v>4.2</v>
      </c>
      <c r="K20263" s="693">
        <v>4</v>
      </c>
    </row>
    <row r="20264" spans="1:11">
      <c r="A20264" s="688" t="s">
        <v>27</v>
      </c>
      <c r="B20264" s="692" t="s">
        <v>4060</v>
      </c>
      <c r="C20264" s="615">
        <v>5</v>
      </c>
      <c r="D20264" s="691">
        <v>4.7</v>
      </c>
      <c r="E20264" s="615">
        <v>5</v>
      </c>
      <c r="F20264" s="691">
        <v>4.9000000000000004</v>
      </c>
      <c r="G20264" s="691">
        <v>4.9000000000000004</v>
      </c>
      <c r="H20264" s="691">
        <v>5.0999999999999996</v>
      </c>
      <c r="I20264" s="691">
        <v>4.5</v>
      </c>
      <c r="J20264" s="691">
        <v>5.0999999999999996</v>
      </c>
      <c r="K20264" s="691">
        <v>4.8</v>
      </c>
    </row>
    <row r="20265" spans="1:11">
      <c r="A20265" s="688" t="s">
        <v>6</v>
      </c>
      <c r="B20265" s="690" t="s">
        <v>4060</v>
      </c>
      <c r="C20265" s="689">
        <v>5.2</v>
      </c>
      <c r="D20265" s="693">
        <v>5</v>
      </c>
      <c r="E20265" s="689">
        <v>5.2</v>
      </c>
      <c r="F20265" s="689">
        <v>5.2</v>
      </c>
      <c r="G20265" s="689">
        <v>5.3</v>
      </c>
      <c r="H20265" s="689">
        <v>5.3</v>
      </c>
      <c r="I20265" s="693">
        <v>5</v>
      </c>
      <c r="J20265" s="689">
        <v>5.2</v>
      </c>
      <c r="K20265" s="693">
        <v>5</v>
      </c>
    </row>
    <row r="20266" spans="1:11">
      <c r="A20266" s="688" t="s">
        <v>4058</v>
      </c>
      <c r="B20266" s="692" t="s">
        <v>4060</v>
      </c>
      <c r="C20266" s="692" t="s">
        <v>4060</v>
      </c>
      <c r="D20266" s="692" t="s">
        <v>4060</v>
      </c>
      <c r="E20266" s="692" t="s">
        <v>4060</v>
      </c>
      <c r="F20266" s="692" t="s">
        <v>4060</v>
      </c>
      <c r="G20266" s="692" t="s">
        <v>4060</v>
      </c>
      <c r="H20266" s="692" t="s">
        <v>4060</v>
      </c>
      <c r="I20266" s="692" t="s">
        <v>4060</v>
      </c>
      <c r="J20266" s="692" t="s">
        <v>4060</v>
      </c>
      <c r="K20266" s="692" t="s">
        <v>4060</v>
      </c>
    </row>
    <row r="20267" spans="1:11">
      <c r="A20267" s="688" t="s">
        <v>11</v>
      </c>
      <c r="B20267" s="690" t="s">
        <v>4060</v>
      </c>
      <c r="C20267" s="689">
        <v>3.7</v>
      </c>
      <c r="D20267" s="689">
        <v>3.5</v>
      </c>
      <c r="E20267" s="689">
        <v>3.7</v>
      </c>
      <c r="F20267" s="689">
        <v>3.6</v>
      </c>
      <c r="G20267" s="689">
        <v>3.6</v>
      </c>
      <c r="H20267" s="689">
        <v>3.7</v>
      </c>
      <c r="I20267" s="689">
        <v>3.5</v>
      </c>
      <c r="J20267" s="689">
        <v>3.2</v>
      </c>
      <c r="K20267" s="689">
        <v>3.2</v>
      </c>
    </row>
    <row r="20268" spans="1:11">
      <c r="A20268" s="688" t="s">
        <v>10</v>
      </c>
      <c r="B20268" s="692" t="s">
        <v>4060</v>
      </c>
      <c r="C20268" s="691">
        <v>4.8</v>
      </c>
      <c r="D20268" s="691">
        <v>4.4000000000000004</v>
      </c>
      <c r="E20268" s="691">
        <v>4.8</v>
      </c>
      <c r="F20268" s="691">
        <v>4.5999999999999996</v>
      </c>
      <c r="G20268" s="691">
        <v>4.8</v>
      </c>
      <c r="H20268" s="691">
        <v>4.8</v>
      </c>
      <c r="I20268" s="691">
        <v>4.3</v>
      </c>
      <c r="J20268" s="691">
        <v>4.5999999999999996</v>
      </c>
      <c r="K20268" s="691">
        <v>4.4000000000000004</v>
      </c>
    </row>
    <row r="20269" spans="1:11">
      <c r="A20269" s="688" t="s">
        <v>30</v>
      </c>
      <c r="B20269" s="690" t="s">
        <v>4060</v>
      </c>
      <c r="C20269" s="689">
        <v>4.2</v>
      </c>
      <c r="D20269" s="689">
        <v>3.9</v>
      </c>
      <c r="E20269" s="693">
        <v>4</v>
      </c>
      <c r="F20269" s="689">
        <v>3.6</v>
      </c>
      <c r="G20269" s="689">
        <v>4.0999999999999996</v>
      </c>
      <c r="H20269" s="689">
        <v>3.8</v>
      </c>
      <c r="I20269" s="693">
        <v>4</v>
      </c>
      <c r="J20269" s="689">
        <v>3.9</v>
      </c>
      <c r="K20269" s="689">
        <v>3.4</v>
      </c>
    </row>
    <row r="20270" spans="1:11">
      <c r="A20270" s="688" t="s">
        <v>12</v>
      </c>
      <c r="B20270" s="692" t="s">
        <v>4060</v>
      </c>
      <c r="C20270" s="691">
        <v>3.9</v>
      </c>
      <c r="D20270" s="691">
        <v>3.8</v>
      </c>
      <c r="E20270" s="615">
        <v>4</v>
      </c>
      <c r="F20270" s="691">
        <v>3.9</v>
      </c>
      <c r="G20270" s="691">
        <v>3.9</v>
      </c>
      <c r="H20270" s="615">
        <v>4</v>
      </c>
      <c r="I20270" s="615">
        <v>4</v>
      </c>
      <c r="J20270" s="691">
        <v>3.5</v>
      </c>
      <c r="K20270" s="691">
        <v>3.7</v>
      </c>
    </row>
    <row r="20271" spans="1:11">
      <c r="A20271" s="688" t="s">
        <v>14</v>
      </c>
      <c r="B20271" s="690" t="s">
        <v>4060</v>
      </c>
      <c r="C20271" s="689">
        <v>3.4</v>
      </c>
      <c r="D20271" s="689">
        <v>3.2</v>
      </c>
      <c r="E20271" s="689">
        <v>3.3</v>
      </c>
      <c r="F20271" s="689">
        <v>3.3</v>
      </c>
      <c r="G20271" s="689">
        <v>3.4</v>
      </c>
      <c r="H20271" s="689">
        <v>3.5</v>
      </c>
      <c r="I20271" s="689">
        <v>3.5</v>
      </c>
      <c r="J20271" s="689">
        <v>3.4</v>
      </c>
      <c r="K20271" s="689">
        <v>3.5</v>
      </c>
    </row>
    <row r="20272" spans="1:11">
      <c r="A20272" s="688" t="s">
        <v>15</v>
      </c>
      <c r="B20272" s="692" t="s">
        <v>4060</v>
      </c>
      <c r="C20272" s="615">
        <v>5</v>
      </c>
      <c r="D20272" s="691">
        <v>4.4000000000000004</v>
      </c>
      <c r="E20272" s="691">
        <v>4.5999999999999996</v>
      </c>
      <c r="F20272" s="691">
        <v>4.9000000000000004</v>
      </c>
      <c r="G20272" s="691">
        <v>4.7</v>
      </c>
      <c r="H20272" s="691">
        <v>4.8</v>
      </c>
      <c r="I20272" s="691">
        <v>4.4000000000000004</v>
      </c>
      <c r="J20272" s="691">
        <v>4.7</v>
      </c>
      <c r="K20272" s="691">
        <v>4.8</v>
      </c>
    </row>
    <row r="20273" spans="1:11">
      <c r="A20273" s="688" t="s">
        <v>29</v>
      </c>
      <c r="B20273" s="690" t="s">
        <v>4060</v>
      </c>
      <c r="C20273" s="693">
        <v>4</v>
      </c>
      <c r="D20273" s="689">
        <v>3.8</v>
      </c>
      <c r="E20273" s="689">
        <v>4.0999999999999996</v>
      </c>
      <c r="F20273" s="689">
        <v>3.9</v>
      </c>
      <c r="G20273" s="693">
        <v>4</v>
      </c>
      <c r="H20273" s="693">
        <v>4</v>
      </c>
      <c r="I20273" s="689">
        <v>3.9</v>
      </c>
      <c r="J20273" s="689">
        <v>3.9</v>
      </c>
      <c r="K20273" s="689">
        <v>3.8</v>
      </c>
    </row>
    <row r="20274" spans="1:11">
      <c r="A20274" s="688" t="s">
        <v>16</v>
      </c>
      <c r="B20274" s="692" t="s">
        <v>4060</v>
      </c>
      <c r="C20274" s="691">
        <v>4.8</v>
      </c>
      <c r="D20274" s="691">
        <v>4.5999999999999996</v>
      </c>
      <c r="E20274" s="691">
        <v>4.5</v>
      </c>
      <c r="F20274" s="691">
        <v>4.5</v>
      </c>
      <c r="G20274" s="691">
        <v>4.5999999999999996</v>
      </c>
      <c r="H20274" s="691">
        <v>4.8</v>
      </c>
      <c r="I20274" s="691">
        <v>4.0999999999999996</v>
      </c>
      <c r="J20274" s="691">
        <v>4.5999999999999996</v>
      </c>
      <c r="K20274" s="691">
        <v>4.5</v>
      </c>
    </row>
    <row r="20275" spans="1:11">
      <c r="A20275" s="688" t="s">
        <v>17</v>
      </c>
      <c r="B20275" s="690" t="s">
        <v>4060</v>
      </c>
      <c r="C20275" s="689">
        <v>4.4000000000000004</v>
      </c>
      <c r="D20275" s="689">
        <v>4.3</v>
      </c>
      <c r="E20275" s="689">
        <v>4.3</v>
      </c>
      <c r="F20275" s="689">
        <v>4.3</v>
      </c>
      <c r="G20275" s="689">
        <v>4.2</v>
      </c>
      <c r="H20275" s="689">
        <v>4.4000000000000004</v>
      </c>
      <c r="I20275" s="689">
        <v>4.0999999999999996</v>
      </c>
      <c r="J20275" s="689">
        <v>4.2</v>
      </c>
      <c r="K20275" s="689">
        <v>4.0999999999999996</v>
      </c>
    </row>
    <row r="20276" spans="1:11">
      <c r="A20276" s="688" t="s">
        <v>19</v>
      </c>
      <c r="B20276" s="692" t="s">
        <v>4060</v>
      </c>
      <c r="C20276" s="691">
        <v>4.4000000000000004</v>
      </c>
      <c r="D20276" s="691">
        <v>4.2</v>
      </c>
      <c r="E20276" s="691">
        <v>4.5</v>
      </c>
      <c r="F20276" s="691">
        <v>4.3</v>
      </c>
      <c r="G20276" s="691">
        <v>4.3</v>
      </c>
      <c r="H20276" s="691">
        <v>4.4000000000000004</v>
      </c>
      <c r="I20276" s="691">
        <v>4.0999999999999996</v>
      </c>
      <c r="J20276" s="691">
        <v>4.2</v>
      </c>
      <c r="K20276" s="691">
        <v>4.0999999999999996</v>
      </c>
    </row>
    <row r="20277" spans="1:11">
      <c r="A20277" s="688" t="s">
        <v>20</v>
      </c>
      <c r="B20277" s="690" t="s">
        <v>4060</v>
      </c>
      <c r="C20277" s="689">
        <v>4.5</v>
      </c>
      <c r="D20277" s="689">
        <v>4.3</v>
      </c>
      <c r="E20277" s="689">
        <v>4.5999999999999996</v>
      </c>
      <c r="F20277" s="689">
        <v>4.4000000000000004</v>
      </c>
      <c r="G20277" s="689">
        <v>4.4000000000000004</v>
      </c>
      <c r="H20277" s="689">
        <v>4.5999999999999996</v>
      </c>
      <c r="I20277" s="689">
        <v>4.0999999999999996</v>
      </c>
      <c r="J20277" s="689">
        <v>3.8</v>
      </c>
      <c r="K20277" s="689">
        <v>4.0999999999999996</v>
      </c>
    </row>
    <row r="20278" spans="1:11">
      <c r="A20278" s="688" t="s">
        <v>21</v>
      </c>
      <c r="B20278" s="692" t="s">
        <v>4060</v>
      </c>
      <c r="C20278" s="691">
        <v>4.8</v>
      </c>
      <c r="D20278" s="691">
        <v>4.5999999999999996</v>
      </c>
      <c r="E20278" s="691">
        <v>4.7</v>
      </c>
      <c r="F20278" s="691">
        <v>4.8</v>
      </c>
      <c r="G20278" s="691">
        <v>4.7</v>
      </c>
      <c r="H20278" s="691">
        <v>4.8</v>
      </c>
      <c r="I20278" s="691">
        <v>4.5</v>
      </c>
      <c r="J20278" s="691">
        <v>4.5999999999999996</v>
      </c>
      <c r="K20278" s="691">
        <v>4.4000000000000004</v>
      </c>
    </row>
    <row r="20279" spans="1:11">
      <c r="A20279" s="688" t="s">
        <v>22</v>
      </c>
      <c r="B20279" s="690" t="s">
        <v>4060</v>
      </c>
      <c r="C20279" s="693">
        <v>4</v>
      </c>
      <c r="D20279" s="689">
        <v>4.0999999999999996</v>
      </c>
      <c r="E20279" s="689">
        <v>4.4000000000000004</v>
      </c>
      <c r="F20279" s="689">
        <v>4.5</v>
      </c>
      <c r="G20279" s="689">
        <v>4.5</v>
      </c>
      <c r="H20279" s="689">
        <v>4.9000000000000004</v>
      </c>
      <c r="I20279" s="689">
        <v>4.7</v>
      </c>
      <c r="J20279" s="689">
        <v>3.8</v>
      </c>
      <c r="K20279" s="689">
        <v>3.6</v>
      </c>
    </row>
    <row r="20280" spans="1:11">
      <c r="A20280" s="688" t="s">
        <v>26</v>
      </c>
      <c r="B20280" s="692" t="s">
        <v>4060</v>
      </c>
      <c r="C20280" s="691">
        <v>4.4000000000000004</v>
      </c>
      <c r="D20280" s="691">
        <v>4.3</v>
      </c>
      <c r="E20280" s="691">
        <v>4.4000000000000004</v>
      </c>
      <c r="F20280" s="691">
        <v>4.4000000000000004</v>
      </c>
      <c r="G20280" s="691">
        <v>4.5999999999999996</v>
      </c>
      <c r="H20280" s="691">
        <v>4.4000000000000004</v>
      </c>
      <c r="I20280" s="691">
        <v>3.8</v>
      </c>
      <c r="J20280" s="691">
        <v>4.3</v>
      </c>
      <c r="K20280" s="691">
        <v>4.2</v>
      </c>
    </row>
    <row r="20281" spans="1:11">
      <c r="A20281" s="688" t="s">
        <v>25</v>
      </c>
      <c r="B20281" s="690" t="s">
        <v>4060</v>
      </c>
      <c r="C20281" s="689">
        <v>4.5</v>
      </c>
      <c r="D20281" s="689">
        <v>4.0999999999999996</v>
      </c>
      <c r="E20281" s="689">
        <v>4.3</v>
      </c>
      <c r="F20281" s="689">
        <v>4.2</v>
      </c>
      <c r="G20281" s="689">
        <v>4.5</v>
      </c>
      <c r="H20281" s="689">
        <v>4.7</v>
      </c>
      <c r="I20281" s="689">
        <v>4.5</v>
      </c>
      <c r="J20281" s="689">
        <v>3.7</v>
      </c>
      <c r="K20281" s="689">
        <v>3.7</v>
      </c>
    </row>
    <row r="20282" spans="1:11">
      <c r="A20282" s="688" t="s">
        <v>5</v>
      </c>
      <c r="B20282" s="692" t="s">
        <v>4060</v>
      </c>
      <c r="C20282" s="691">
        <v>4.4000000000000004</v>
      </c>
      <c r="D20282" s="691">
        <v>4.4000000000000004</v>
      </c>
      <c r="E20282" s="691">
        <v>4.4000000000000004</v>
      </c>
      <c r="F20282" s="691">
        <v>4.5</v>
      </c>
      <c r="G20282" s="691">
        <v>4.5</v>
      </c>
      <c r="H20282" s="691">
        <v>4.5999999999999996</v>
      </c>
      <c r="I20282" s="691">
        <v>4.5999999999999996</v>
      </c>
      <c r="J20282" s="691">
        <v>4.5999999999999996</v>
      </c>
      <c r="K20282" s="691">
        <v>4.3</v>
      </c>
    </row>
    <row r="20283" spans="1:11">
      <c r="A20283" s="688" t="s">
        <v>23</v>
      </c>
      <c r="B20283" s="690" t="s">
        <v>4060</v>
      </c>
      <c r="C20283" s="689">
        <v>4.5</v>
      </c>
      <c r="D20283" s="689">
        <v>4.5</v>
      </c>
      <c r="E20283" s="689">
        <v>4.5</v>
      </c>
      <c r="F20283" s="689">
        <v>4.5</v>
      </c>
      <c r="G20283" s="689">
        <v>4.5</v>
      </c>
      <c r="H20283" s="689">
        <v>4.8</v>
      </c>
      <c r="I20283" s="689">
        <v>4.4000000000000004</v>
      </c>
      <c r="J20283" s="689">
        <v>4.8</v>
      </c>
      <c r="K20283" s="689">
        <v>4.7</v>
      </c>
    </row>
    <row r="20284" spans="1:11">
      <c r="A20284" s="688" t="s">
        <v>4067</v>
      </c>
      <c r="B20284" s="692" t="s">
        <v>4060</v>
      </c>
      <c r="C20284" s="692" t="s">
        <v>4060</v>
      </c>
      <c r="D20284" s="692" t="s">
        <v>4060</v>
      </c>
      <c r="E20284" s="692" t="s">
        <v>4060</v>
      </c>
      <c r="F20284" s="692" t="s">
        <v>4060</v>
      </c>
      <c r="G20284" s="692" t="s">
        <v>4060</v>
      </c>
      <c r="H20284" s="692" t="s">
        <v>4060</v>
      </c>
      <c r="I20284" s="692" t="s">
        <v>4060</v>
      </c>
      <c r="J20284" s="692" t="s">
        <v>4060</v>
      </c>
      <c r="K20284" s="692" t="s">
        <v>4060</v>
      </c>
    </row>
    <row r="20285" spans="1:11">
      <c r="A20285" s="688" t="s">
        <v>4066</v>
      </c>
      <c r="B20285" s="690" t="s">
        <v>4060</v>
      </c>
      <c r="C20285" s="690" t="s">
        <v>4060</v>
      </c>
      <c r="D20285" s="690" t="s">
        <v>4060</v>
      </c>
      <c r="E20285" s="690" t="s">
        <v>4060</v>
      </c>
      <c r="F20285" s="690" t="s">
        <v>4060</v>
      </c>
      <c r="G20285" s="690" t="s">
        <v>4060</v>
      </c>
      <c r="H20285" s="690" t="s">
        <v>4060</v>
      </c>
      <c r="I20285" s="690" t="s">
        <v>4060</v>
      </c>
      <c r="J20285" s="690" t="s">
        <v>4060</v>
      </c>
      <c r="K20285" s="690" t="s">
        <v>4060</v>
      </c>
    </row>
    <row r="20286" spans="1:11">
      <c r="A20286" s="688" t="s">
        <v>4062</v>
      </c>
      <c r="B20286" s="692" t="s">
        <v>4060</v>
      </c>
      <c r="C20286" s="691">
        <v>4.5999999999999996</v>
      </c>
      <c r="D20286" s="691">
        <v>4.5</v>
      </c>
      <c r="E20286" s="691">
        <v>4.7</v>
      </c>
      <c r="F20286" s="691">
        <v>4.5999999999999996</v>
      </c>
      <c r="G20286" s="691">
        <v>4.7</v>
      </c>
      <c r="H20286" s="691">
        <v>4.7</v>
      </c>
      <c r="I20286" s="691">
        <v>4.5</v>
      </c>
      <c r="J20286" s="691">
        <v>4.7</v>
      </c>
      <c r="K20286" s="691">
        <v>4.5</v>
      </c>
    </row>
    <row r="20287" spans="1:11">
      <c r="A20287" s="688" t="s">
        <v>9</v>
      </c>
      <c r="B20287" s="690" t="s">
        <v>4060</v>
      </c>
      <c r="C20287" s="689">
        <v>4.5999999999999996</v>
      </c>
      <c r="D20287" s="689">
        <v>4.3</v>
      </c>
      <c r="E20287" s="689">
        <v>4.5</v>
      </c>
      <c r="F20287" s="689">
        <v>4.5</v>
      </c>
      <c r="G20287" s="689">
        <v>4.8</v>
      </c>
      <c r="H20287" s="689">
        <v>4.3</v>
      </c>
      <c r="I20287" s="689">
        <v>4.7</v>
      </c>
      <c r="J20287" s="689">
        <v>4.5999999999999996</v>
      </c>
      <c r="K20287" s="689">
        <v>4.0999999999999996</v>
      </c>
    </row>
    <row r="20288" spans="1:11">
      <c r="A20288" s="688" t="s">
        <v>13</v>
      </c>
      <c r="B20288" s="692" t="s">
        <v>4060</v>
      </c>
      <c r="C20288" s="691">
        <v>3.5</v>
      </c>
      <c r="D20288" s="691">
        <v>4.0999999999999996</v>
      </c>
      <c r="E20288" s="691">
        <v>4.5999999999999996</v>
      </c>
      <c r="F20288" s="691">
        <v>4.5999999999999996</v>
      </c>
      <c r="G20288" s="615">
        <v>4</v>
      </c>
      <c r="H20288" s="691">
        <v>4.5999999999999996</v>
      </c>
      <c r="I20288" s="691">
        <v>4.2</v>
      </c>
      <c r="J20288" s="691">
        <v>4.5</v>
      </c>
      <c r="K20288" s="691">
        <v>4.7</v>
      </c>
    </row>
    <row r="20289" spans="1:11">
      <c r="A20289" s="688" t="s">
        <v>18</v>
      </c>
      <c r="B20289" s="690" t="s">
        <v>4060</v>
      </c>
      <c r="C20289" s="689">
        <v>4.5999999999999996</v>
      </c>
      <c r="D20289" s="689">
        <v>4.5</v>
      </c>
      <c r="E20289" s="689">
        <v>4.5999999999999996</v>
      </c>
      <c r="F20289" s="689">
        <v>4.5999999999999996</v>
      </c>
      <c r="G20289" s="689">
        <v>4.5999999999999996</v>
      </c>
      <c r="H20289" s="689">
        <v>4.7</v>
      </c>
      <c r="I20289" s="689">
        <v>4.7</v>
      </c>
      <c r="J20289" s="689">
        <v>4.5999999999999996</v>
      </c>
      <c r="K20289" s="689">
        <v>4.3</v>
      </c>
    </row>
    <row r="20290" spans="1:11">
      <c r="A20290" s="688" t="s">
        <v>24</v>
      </c>
      <c r="B20290" s="692" t="s">
        <v>4060</v>
      </c>
      <c r="C20290" s="691">
        <v>4.5999999999999996</v>
      </c>
      <c r="D20290" s="691">
        <v>4.4000000000000004</v>
      </c>
      <c r="E20290" s="691">
        <v>4.8</v>
      </c>
      <c r="F20290" s="691">
        <v>4.7</v>
      </c>
      <c r="G20290" s="691">
        <v>4.8</v>
      </c>
      <c r="H20290" s="691">
        <v>4.8</v>
      </c>
      <c r="I20290" s="691">
        <v>4.4000000000000004</v>
      </c>
      <c r="J20290" s="691">
        <v>4.7</v>
      </c>
      <c r="K20290" s="691">
        <v>4.5999999999999996</v>
      </c>
    </row>
    <row r="20291" spans="1:11">
      <c r="A20291" s="688" t="s">
        <v>4059</v>
      </c>
      <c r="B20291" s="690" t="s">
        <v>4060</v>
      </c>
      <c r="C20291" s="690" t="s">
        <v>4060</v>
      </c>
      <c r="D20291" s="690" t="s">
        <v>4060</v>
      </c>
      <c r="E20291" s="690" t="s">
        <v>4060</v>
      </c>
      <c r="F20291" s="690" t="s">
        <v>4060</v>
      </c>
      <c r="G20291" s="690" t="s">
        <v>4060</v>
      </c>
      <c r="H20291" s="690" t="s">
        <v>4060</v>
      </c>
      <c r="I20291" s="690" t="s">
        <v>4060</v>
      </c>
      <c r="J20291" s="690" t="s">
        <v>4060</v>
      </c>
      <c r="K20291" s="690" t="s">
        <v>4060</v>
      </c>
    </row>
    <row r="20292" spans="1:11">
      <c r="A20292" s="688" t="s">
        <v>2324</v>
      </c>
      <c r="B20292" s="692" t="s">
        <v>4060</v>
      </c>
      <c r="C20292" s="692" t="s">
        <v>4060</v>
      </c>
      <c r="D20292" s="692" t="s">
        <v>4060</v>
      </c>
      <c r="E20292" s="692" t="s">
        <v>4060</v>
      </c>
      <c r="F20292" s="692" t="s">
        <v>4060</v>
      </c>
      <c r="G20292" s="692" t="s">
        <v>4060</v>
      </c>
      <c r="H20292" s="692" t="s">
        <v>4060</v>
      </c>
      <c r="I20292" s="692" t="s">
        <v>4060</v>
      </c>
      <c r="J20292" s="692" t="s">
        <v>4060</v>
      </c>
      <c r="K20292" s="692" t="s">
        <v>4060</v>
      </c>
    </row>
    <row r="20293" spans="1:11">
      <c r="A20293" s="688" t="s">
        <v>2322</v>
      </c>
      <c r="B20293" s="690" t="s">
        <v>4060</v>
      </c>
      <c r="C20293" s="690" t="s">
        <v>4060</v>
      </c>
      <c r="D20293" s="690" t="s">
        <v>4060</v>
      </c>
      <c r="E20293" s="690" t="s">
        <v>4060</v>
      </c>
      <c r="F20293" s="690" t="s">
        <v>4060</v>
      </c>
      <c r="G20293" s="690" t="s">
        <v>4060</v>
      </c>
      <c r="H20293" s="690" t="s">
        <v>4060</v>
      </c>
      <c r="I20293" s="690" t="s">
        <v>4060</v>
      </c>
      <c r="J20293" s="690" t="s">
        <v>4060</v>
      </c>
      <c r="K20293" s="690" t="s">
        <v>4060</v>
      </c>
    </row>
    <row r="20294" spans="1:11">
      <c r="A20294" s="688" t="s">
        <v>2328</v>
      </c>
      <c r="B20294" s="692" t="s">
        <v>4060</v>
      </c>
      <c r="C20294" s="692" t="s">
        <v>4060</v>
      </c>
      <c r="D20294" s="692" t="s">
        <v>4060</v>
      </c>
      <c r="E20294" s="692" t="s">
        <v>4060</v>
      </c>
      <c r="F20294" s="692" t="s">
        <v>4060</v>
      </c>
      <c r="G20294" s="692" t="s">
        <v>4060</v>
      </c>
      <c r="H20294" s="692" t="s">
        <v>4060</v>
      </c>
      <c r="I20294" s="692" t="s">
        <v>4060</v>
      </c>
      <c r="J20294" s="692" t="s">
        <v>4060</v>
      </c>
      <c r="K20294" s="692" t="s">
        <v>4060</v>
      </c>
    </row>
    <row r="20295" spans="1:11">
      <c r="A20295" s="688" t="s">
        <v>2496</v>
      </c>
      <c r="B20295" s="690" t="s">
        <v>4060</v>
      </c>
      <c r="C20295" s="690" t="s">
        <v>4060</v>
      </c>
      <c r="D20295" s="690" t="s">
        <v>4060</v>
      </c>
      <c r="E20295" s="690" t="s">
        <v>4060</v>
      </c>
      <c r="F20295" s="690" t="s">
        <v>4060</v>
      </c>
      <c r="G20295" s="690" t="s">
        <v>4060</v>
      </c>
      <c r="H20295" s="690" t="s">
        <v>4060</v>
      </c>
      <c r="I20295" s="690" t="s">
        <v>4060</v>
      </c>
      <c r="J20295" s="690" t="s">
        <v>4060</v>
      </c>
      <c r="K20295" s="690" t="s">
        <v>4060</v>
      </c>
    </row>
    <row r="20296" spans="1:11">
      <c r="A20296" s="688" t="s">
        <v>2269</v>
      </c>
      <c r="B20296" s="692" t="s">
        <v>4060</v>
      </c>
      <c r="C20296" s="692" t="s">
        <v>4060</v>
      </c>
      <c r="D20296" s="692" t="s">
        <v>4060</v>
      </c>
      <c r="E20296" s="692" t="s">
        <v>4060</v>
      </c>
      <c r="F20296" s="692" t="s">
        <v>4060</v>
      </c>
      <c r="G20296" s="692" t="s">
        <v>4060</v>
      </c>
      <c r="H20296" s="692" t="s">
        <v>4060</v>
      </c>
      <c r="I20296" s="692" t="s">
        <v>4060</v>
      </c>
      <c r="J20296" s="692" t="s">
        <v>4060</v>
      </c>
      <c r="K20296" s="692" t="s">
        <v>4060</v>
      </c>
    </row>
    <row r="20297" spans="1:11">
      <c r="A20297" s="688" t="s">
        <v>2349</v>
      </c>
      <c r="B20297" s="690" t="s">
        <v>4060</v>
      </c>
      <c r="C20297" s="690" t="s">
        <v>4060</v>
      </c>
      <c r="D20297" s="690" t="s">
        <v>4060</v>
      </c>
      <c r="E20297" s="690" t="s">
        <v>4060</v>
      </c>
      <c r="F20297" s="690" t="s">
        <v>4060</v>
      </c>
      <c r="G20297" s="690" t="s">
        <v>4060</v>
      </c>
      <c r="H20297" s="690" t="s">
        <v>4060</v>
      </c>
      <c r="I20297" s="690" t="s">
        <v>4060</v>
      </c>
      <c r="J20297" s="690" t="s">
        <v>4060</v>
      </c>
      <c r="K20297" s="690" t="s">
        <v>4060</v>
      </c>
    </row>
    <row r="20298" spans="1:11">
      <c r="A20298" s="688" t="s">
        <v>2355</v>
      </c>
      <c r="B20298" s="692" t="s">
        <v>4060</v>
      </c>
      <c r="C20298" s="692" t="s">
        <v>4060</v>
      </c>
      <c r="D20298" s="692" t="s">
        <v>4060</v>
      </c>
      <c r="E20298" s="692" t="s">
        <v>4060</v>
      </c>
      <c r="F20298" s="692" t="s">
        <v>4060</v>
      </c>
      <c r="G20298" s="692" t="s">
        <v>4060</v>
      </c>
      <c r="H20298" s="692" t="s">
        <v>4060</v>
      </c>
      <c r="I20298" s="692" t="s">
        <v>4060</v>
      </c>
      <c r="J20298" s="692" t="s">
        <v>4060</v>
      </c>
      <c r="K20298" s="692" t="s">
        <v>4060</v>
      </c>
    </row>
    <row r="20299" spans="1:11">
      <c r="A20299" s="688" t="s">
        <v>2357</v>
      </c>
      <c r="B20299" s="690" t="s">
        <v>4060</v>
      </c>
      <c r="C20299" s="690" t="s">
        <v>4060</v>
      </c>
      <c r="D20299" s="690" t="s">
        <v>4060</v>
      </c>
      <c r="E20299" s="690" t="s">
        <v>4060</v>
      </c>
      <c r="F20299" s="690" t="s">
        <v>4060</v>
      </c>
      <c r="G20299" s="690" t="s">
        <v>4060</v>
      </c>
      <c r="H20299" s="690" t="s">
        <v>4060</v>
      </c>
      <c r="I20299" s="690" t="s">
        <v>4060</v>
      </c>
      <c r="J20299" s="690" t="s">
        <v>4060</v>
      </c>
      <c r="K20299" s="690" t="s">
        <v>4060</v>
      </c>
    </row>
    <row r="20300" spans="1:11">
      <c r="A20300" s="688" t="s">
        <v>4070</v>
      </c>
      <c r="B20300" s="692" t="s">
        <v>4060</v>
      </c>
      <c r="C20300" s="692" t="s">
        <v>4060</v>
      </c>
      <c r="D20300" s="692" t="s">
        <v>4060</v>
      </c>
      <c r="E20300" s="692" t="s">
        <v>4060</v>
      </c>
      <c r="F20300" s="692" t="s">
        <v>4060</v>
      </c>
      <c r="G20300" s="692" t="s">
        <v>4060</v>
      </c>
      <c r="H20300" s="692" t="s">
        <v>4060</v>
      </c>
      <c r="I20300" s="692" t="s">
        <v>4060</v>
      </c>
      <c r="J20300" s="692" t="s">
        <v>4060</v>
      </c>
      <c r="K20300" s="692" t="s">
        <v>4060</v>
      </c>
    </row>
    <row r="20301" spans="1:11">
      <c r="A20301" s="688" t="s">
        <v>2491</v>
      </c>
      <c r="B20301" s="690" t="s">
        <v>4060</v>
      </c>
      <c r="C20301" s="690" t="s">
        <v>4060</v>
      </c>
      <c r="D20301" s="690" t="s">
        <v>4060</v>
      </c>
      <c r="E20301" s="690" t="s">
        <v>4060</v>
      </c>
      <c r="F20301" s="690" t="s">
        <v>4060</v>
      </c>
      <c r="G20301" s="690" t="s">
        <v>4060</v>
      </c>
      <c r="H20301" s="690" t="s">
        <v>4060</v>
      </c>
      <c r="I20301" s="690" t="s">
        <v>4060</v>
      </c>
      <c r="J20301" s="690" t="s">
        <v>4060</v>
      </c>
      <c r="K20301" s="690" t="s">
        <v>4060</v>
      </c>
    </row>
    <row r="20302" spans="1:11">
      <c r="A20302" s="688" t="s">
        <v>2343</v>
      </c>
      <c r="B20302" s="692" t="s">
        <v>4060</v>
      </c>
      <c r="C20302" s="692" t="s">
        <v>4060</v>
      </c>
      <c r="D20302" s="692" t="s">
        <v>4060</v>
      </c>
      <c r="E20302" s="692" t="s">
        <v>4060</v>
      </c>
      <c r="F20302" s="692" t="s">
        <v>4060</v>
      </c>
      <c r="G20302" s="692" t="s">
        <v>4060</v>
      </c>
      <c r="H20302" s="692" t="s">
        <v>4060</v>
      </c>
      <c r="I20302" s="692" t="s">
        <v>4060</v>
      </c>
      <c r="J20302" s="692" t="s">
        <v>4060</v>
      </c>
      <c r="K20302" s="692" t="s">
        <v>4060</v>
      </c>
    </row>
    <row r="20303" spans="1:11">
      <c r="A20303" s="688" t="s">
        <v>4071</v>
      </c>
      <c r="B20303" s="690" t="s">
        <v>4060</v>
      </c>
      <c r="C20303" s="690" t="s">
        <v>4060</v>
      </c>
      <c r="D20303" s="690" t="s">
        <v>4060</v>
      </c>
      <c r="E20303" s="690" t="s">
        <v>4060</v>
      </c>
      <c r="F20303" s="690" t="s">
        <v>4060</v>
      </c>
      <c r="G20303" s="690" t="s">
        <v>4060</v>
      </c>
      <c r="H20303" s="690" t="s">
        <v>4060</v>
      </c>
      <c r="I20303" s="690" t="s">
        <v>4060</v>
      </c>
      <c r="J20303" s="690" t="s">
        <v>4060</v>
      </c>
      <c r="K20303" s="690" t="s">
        <v>4060</v>
      </c>
    </row>
    <row r="20304" spans="1:11">
      <c r="A20304" s="688" t="s">
        <v>2489</v>
      </c>
      <c r="B20304" s="692" t="s">
        <v>4060</v>
      </c>
      <c r="C20304" s="692" t="s">
        <v>4060</v>
      </c>
      <c r="D20304" s="692" t="s">
        <v>4060</v>
      </c>
      <c r="E20304" s="692" t="s">
        <v>4060</v>
      </c>
      <c r="F20304" s="692" t="s">
        <v>4060</v>
      </c>
      <c r="G20304" s="692" t="s">
        <v>4060</v>
      </c>
      <c r="H20304" s="692" t="s">
        <v>4060</v>
      </c>
      <c r="I20304" s="692" t="s">
        <v>4060</v>
      </c>
      <c r="J20304" s="692" t="s">
        <v>4060</v>
      </c>
      <c r="K20304" s="692" t="s">
        <v>4060</v>
      </c>
    </row>
    <row r="20305" spans="1:11">
      <c r="A20305" s="688" t="s">
        <v>2490</v>
      </c>
      <c r="B20305" s="690" t="s">
        <v>4060</v>
      </c>
      <c r="C20305" s="690" t="s">
        <v>4060</v>
      </c>
      <c r="D20305" s="690" t="s">
        <v>4060</v>
      </c>
      <c r="E20305" s="690" t="s">
        <v>4060</v>
      </c>
      <c r="F20305" s="690" t="s">
        <v>4060</v>
      </c>
      <c r="G20305" s="690" t="s">
        <v>4060</v>
      </c>
      <c r="H20305" s="690" t="s">
        <v>4060</v>
      </c>
      <c r="I20305" s="690" t="s">
        <v>4060</v>
      </c>
      <c r="J20305" s="690" t="s">
        <v>4060</v>
      </c>
      <c r="K20305" s="690" t="s">
        <v>4060</v>
      </c>
    </row>
    <row r="20307" spans="1:11">
      <c r="A20307" s="683" t="s">
        <v>4233</v>
      </c>
    </row>
    <row r="20308" spans="1:11">
      <c r="A20308" s="683" t="s">
        <v>4060</v>
      </c>
      <c r="B20308" s="682" t="s">
        <v>4234</v>
      </c>
    </row>
    <row r="20310" spans="1:11">
      <c r="A20310" s="682" t="s">
        <v>4333</v>
      </c>
    </row>
    <row r="20311" spans="1:11">
      <c r="A20311" s="682" t="s">
        <v>4210</v>
      </c>
      <c r="B20311" s="683" t="s">
        <v>4211</v>
      </c>
    </row>
    <row r="20312" spans="1:11">
      <c r="A20312" s="682" t="s">
        <v>4212</v>
      </c>
      <c r="B20312" s="682" t="s">
        <v>4213</v>
      </c>
    </row>
    <row r="20314" spans="1:11">
      <c r="A20314" s="683" t="s">
        <v>4214</v>
      </c>
      <c r="C20314" s="682" t="s">
        <v>4215</v>
      </c>
    </row>
    <row r="20315" spans="1:11">
      <c r="A20315" s="683" t="s">
        <v>4216</v>
      </c>
      <c r="C20315" s="682" t="s">
        <v>2967</v>
      </c>
    </row>
    <row r="20316" spans="1:11">
      <c r="A20316" s="683" t="s">
        <v>3893</v>
      </c>
      <c r="C20316" s="682" t="s">
        <v>2169</v>
      </c>
    </row>
    <row r="20317" spans="1:11">
      <c r="A20317" s="683" t="s">
        <v>4218</v>
      </c>
      <c r="C20317" s="682" t="s">
        <v>4326</v>
      </c>
    </row>
    <row r="20319" spans="1:11">
      <c r="A20319" s="684" t="s">
        <v>4220</v>
      </c>
      <c r="B20319" s="685" t="s">
        <v>4221</v>
      </c>
      <c r="C20319" s="685" t="s">
        <v>4222</v>
      </c>
      <c r="D20319" s="685" t="s">
        <v>4223</v>
      </c>
      <c r="E20319" s="685" t="s">
        <v>4224</v>
      </c>
      <c r="F20319" s="685" t="s">
        <v>4225</v>
      </c>
      <c r="G20319" s="685" t="s">
        <v>4226</v>
      </c>
      <c r="H20319" s="685" t="s">
        <v>4227</v>
      </c>
      <c r="I20319" s="685" t="s">
        <v>4228</v>
      </c>
      <c r="J20319" s="685" t="s">
        <v>4229</v>
      </c>
      <c r="K20319" s="685" t="s">
        <v>4230</v>
      </c>
    </row>
    <row r="20320" spans="1:11">
      <c r="A20320" s="686" t="s">
        <v>4231</v>
      </c>
      <c r="B20320" s="687" t="s">
        <v>4232</v>
      </c>
      <c r="C20320" s="687" t="s">
        <v>4232</v>
      </c>
      <c r="D20320" s="687" t="s">
        <v>4232</v>
      </c>
      <c r="E20320" s="687" t="s">
        <v>4232</v>
      </c>
      <c r="F20320" s="687" t="s">
        <v>4232</v>
      </c>
      <c r="G20320" s="687" t="s">
        <v>4232</v>
      </c>
      <c r="H20320" s="687" t="s">
        <v>4232</v>
      </c>
      <c r="I20320" s="687" t="s">
        <v>4232</v>
      </c>
      <c r="J20320" s="687" t="s">
        <v>4232</v>
      </c>
      <c r="K20320" s="687" t="s">
        <v>4232</v>
      </c>
    </row>
    <row r="20321" spans="1:11">
      <c r="A20321" s="688" t="s">
        <v>4064</v>
      </c>
      <c r="B20321" s="690" t="s">
        <v>4060</v>
      </c>
      <c r="C20321" s="689">
        <v>4.3</v>
      </c>
      <c r="D20321" s="690" t="s">
        <v>4060</v>
      </c>
      <c r="E20321" s="689">
        <v>4.3</v>
      </c>
      <c r="F20321" s="689">
        <v>4.2</v>
      </c>
      <c r="G20321" s="689">
        <v>4.3</v>
      </c>
      <c r="H20321" s="689">
        <v>4.4000000000000004</v>
      </c>
      <c r="I20321" s="689">
        <v>4.0999999999999996</v>
      </c>
      <c r="J20321" s="689">
        <v>4.2</v>
      </c>
      <c r="K20321" s="693">
        <v>4</v>
      </c>
    </row>
    <row r="20322" spans="1:11">
      <c r="A20322" s="688" t="s">
        <v>4065</v>
      </c>
      <c r="B20322" s="692" t="s">
        <v>4060</v>
      </c>
      <c r="C20322" s="692" t="s">
        <v>4060</v>
      </c>
      <c r="D20322" s="692" t="s">
        <v>4060</v>
      </c>
      <c r="E20322" s="692" t="s">
        <v>4060</v>
      </c>
      <c r="F20322" s="692" t="s">
        <v>4060</v>
      </c>
      <c r="G20322" s="692" t="s">
        <v>4060</v>
      </c>
      <c r="H20322" s="692" t="s">
        <v>4060</v>
      </c>
      <c r="I20322" s="692" t="s">
        <v>4060</v>
      </c>
      <c r="J20322" s="692" t="s">
        <v>4060</v>
      </c>
      <c r="K20322" s="692" t="s">
        <v>4060</v>
      </c>
    </row>
    <row r="20323" spans="1:11">
      <c r="A20323" s="688" t="s">
        <v>4063</v>
      </c>
      <c r="B20323" s="690" t="s">
        <v>4060</v>
      </c>
      <c r="C20323" s="690" t="s">
        <v>4060</v>
      </c>
      <c r="D20323" s="690" t="s">
        <v>4060</v>
      </c>
      <c r="E20323" s="690" t="s">
        <v>4060</v>
      </c>
      <c r="F20323" s="690" t="s">
        <v>4060</v>
      </c>
      <c r="G20323" s="690" t="s">
        <v>4060</v>
      </c>
      <c r="H20323" s="690" t="s">
        <v>4060</v>
      </c>
      <c r="I20323" s="690" t="s">
        <v>4060</v>
      </c>
      <c r="J20323" s="690" t="s">
        <v>4060</v>
      </c>
      <c r="K20323" s="690" t="s">
        <v>4060</v>
      </c>
    </row>
    <row r="20324" spans="1:11">
      <c r="A20324" s="688" t="s">
        <v>4069</v>
      </c>
      <c r="B20324" s="692" t="s">
        <v>4060</v>
      </c>
      <c r="C20324" s="691">
        <v>4.3</v>
      </c>
      <c r="D20324" s="691">
        <v>4.0999999999999996</v>
      </c>
      <c r="E20324" s="691">
        <v>4.4000000000000004</v>
      </c>
      <c r="F20324" s="691">
        <v>4.3</v>
      </c>
      <c r="G20324" s="691">
        <v>4.3</v>
      </c>
      <c r="H20324" s="691">
        <v>4.4000000000000004</v>
      </c>
      <c r="I20324" s="691">
        <v>4.0999999999999996</v>
      </c>
      <c r="J20324" s="691">
        <v>4.3</v>
      </c>
      <c r="K20324" s="691">
        <v>4.0999999999999996</v>
      </c>
    </row>
    <row r="20325" spans="1:11">
      <c r="A20325" s="688" t="s">
        <v>4068</v>
      </c>
      <c r="B20325" s="690" t="s">
        <v>4060</v>
      </c>
      <c r="C20325" s="690" t="s">
        <v>4060</v>
      </c>
      <c r="D20325" s="690" t="s">
        <v>4060</v>
      </c>
      <c r="E20325" s="690" t="s">
        <v>4060</v>
      </c>
      <c r="F20325" s="690" t="s">
        <v>4060</v>
      </c>
      <c r="G20325" s="690" t="s">
        <v>4060</v>
      </c>
      <c r="H20325" s="690" t="s">
        <v>4060</v>
      </c>
      <c r="I20325" s="690" t="s">
        <v>4060</v>
      </c>
      <c r="J20325" s="690" t="s">
        <v>4060</v>
      </c>
      <c r="K20325" s="690" t="s">
        <v>4060</v>
      </c>
    </row>
    <row r="20326" spans="1:11">
      <c r="A20326" s="688" t="s">
        <v>0</v>
      </c>
      <c r="B20326" s="692" t="s">
        <v>4060</v>
      </c>
      <c r="C20326" s="691">
        <v>4.2</v>
      </c>
      <c r="D20326" s="615">
        <v>4</v>
      </c>
      <c r="E20326" s="691">
        <v>4.2</v>
      </c>
      <c r="F20326" s="691">
        <v>4.2</v>
      </c>
      <c r="G20326" s="691">
        <v>4.2</v>
      </c>
      <c r="H20326" s="691">
        <v>4.4000000000000004</v>
      </c>
      <c r="I20326" s="691">
        <v>3.8</v>
      </c>
      <c r="J20326" s="691">
        <v>4.5999999999999996</v>
      </c>
      <c r="K20326" s="691">
        <v>4.2</v>
      </c>
    </row>
    <row r="20327" spans="1:11">
      <c r="A20327" s="688" t="s">
        <v>1</v>
      </c>
      <c r="B20327" s="690" t="s">
        <v>4060</v>
      </c>
      <c r="C20327" s="689">
        <v>3.1</v>
      </c>
      <c r="D20327" s="693">
        <v>3</v>
      </c>
      <c r="E20327" s="689">
        <v>3.1</v>
      </c>
      <c r="F20327" s="689">
        <v>3.1</v>
      </c>
      <c r="G20327" s="693">
        <v>3</v>
      </c>
      <c r="H20327" s="689">
        <v>3.1</v>
      </c>
      <c r="I20327" s="689">
        <v>2.9</v>
      </c>
      <c r="J20327" s="689">
        <v>2.7</v>
      </c>
      <c r="K20327" s="693">
        <v>3</v>
      </c>
    </row>
    <row r="20328" spans="1:11">
      <c r="A20328" s="688" t="s">
        <v>2240</v>
      </c>
      <c r="B20328" s="692" t="s">
        <v>4060</v>
      </c>
      <c r="C20328" s="691">
        <v>3.6</v>
      </c>
      <c r="D20328" s="691">
        <v>3.5</v>
      </c>
      <c r="E20328" s="691">
        <v>3.8</v>
      </c>
      <c r="F20328" s="691">
        <v>3.6</v>
      </c>
      <c r="G20328" s="691">
        <v>3.6</v>
      </c>
      <c r="H20328" s="691">
        <v>3.7</v>
      </c>
      <c r="I20328" s="691">
        <v>3.3</v>
      </c>
      <c r="J20328" s="691">
        <v>3.4</v>
      </c>
      <c r="K20328" s="691">
        <v>3.4</v>
      </c>
    </row>
    <row r="20329" spans="1:11">
      <c r="A20329" s="688" t="s">
        <v>2</v>
      </c>
      <c r="B20329" s="690" t="s">
        <v>4060</v>
      </c>
      <c r="C20329" s="689">
        <v>4.3</v>
      </c>
      <c r="D20329" s="689">
        <v>4.2</v>
      </c>
      <c r="E20329" s="689">
        <v>4.3</v>
      </c>
      <c r="F20329" s="689">
        <v>4.2</v>
      </c>
      <c r="G20329" s="689">
        <v>4.0999999999999996</v>
      </c>
      <c r="H20329" s="689">
        <v>4.3</v>
      </c>
      <c r="I20329" s="689">
        <v>4.3</v>
      </c>
      <c r="J20329" s="689">
        <v>4.0999999999999996</v>
      </c>
      <c r="K20329" s="693">
        <v>4</v>
      </c>
    </row>
    <row r="20330" spans="1:11">
      <c r="A20330" s="688" t="s">
        <v>3</v>
      </c>
      <c r="B20330" s="692" t="s">
        <v>4060</v>
      </c>
      <c r="C20330" s="615">
        <v>4</v>
      </c>
      <c r="D20330" s="691">
        <v>3.9</v>
      </c>
      <c r="E20330" s="691">
        <v>4.0999999999999996</v>
      </c>
      <c r="F20330" s="615">
        <v>4</v>
      </c>
      <c r="G20330" s="691">
        <v>3.9</v>
      </c>
      <c r="H20330" s="691">
        <v>4.0999999999999996</v>
      </c>
      <c r="I20330" s="691">
        <v>3.9</v>
      </c>
      <c r="J20330" s="691">
        <v>3.9</v>
      </c>
      <c r="K20330" s="691">
        <v>3.7</v>
      </c>
    </row>
    <row r="20331" spans="1:11">
      <c r="A20331" s="688" t="s">
        <v>4061</v>
      </c>
      <c r="B20331" s="690" t="s">
        <v>4060</v>
      </c>
      <c r="C20331" s="693">
        <v>4</v>
      </c>
      <c r="D20331" s="689">
        <v>3.9</v>
      </c>
      <c r="E20331" s="689">
        <v>4.0999999999999996</v>
      </c>
      <c r="F20331" s="693">
        <v>4</v>
      </c>
      <c r="G20331" s="689">
        <v>3.9</v>
      </c>
      <c r="H20331" s="689">
        <v>4.0999999999999996</v>
      </c>
      <c r="I20331" s="689">
        <v>3.9</v>
      </c>
      <c r="J20331" s="689">
        <v>3.9</v>
      </c>
      <c r="K20331" s="689">
        <v>3.7</v>
      </c>
    </row>
    <row r="20332" spans="1:11">
      <c r="A20332" s="688" t="s">
        <v>4</v>
      </c>
      <c r="B20332" s="692" t="s">
        <v>4060</v>
      </c>
      <c r="C20332" s="691">
        <v>3.8</v>
      </c>
      <c r="D20332" s="615">
        <v>4</v>
      </c>
      <c r="E20332" s="691">
        <v>4.0999999999999996</v>
      </c>
      <c r="F20332" s="691">
        <v>4.2</v>
      </c>
      <c r="G20332" s="691">
        <v>4.0999999999999996</v>
      </c>
      <c r="H20332" s="691">
        <v>4.2</v>
      </c>
      <c r="I20332" s="691">
        <v>4.0999999999999996</v>
      </c>
      <c r="J20332" s="691">
        <v>3.7</v>
      </c>
      <c r="K20332" s="691">
        <v>3.8</v>
      </c>
    </row>
    <row r="20333" spans="1:11">
      <c r="A20333" s="688" t="s">
        <v>8</v>
      </c>
      <c r="B20333" s="690" t="s">
        <v>4060</v>
      </c>
      <c r="C20333" s="689">
        <v>4.0999999999999996</v>
      </c>
      <c r="D20333" s="689">
        <v>3.9</v>
      </c>
      <c r="E20333" s="693">
        <v>4</v>
      </c>
      <c r="F20333" s="689">
        <v>4.2</v>
      </c>
      <c r="G20333" s="689">
        <v>4.2</v>
      </c>
      <c r="H20333" s="689">
        <v>4.3</v>
      </c>
      <c r="I20333" s="689">
        <v>4.4000000000000004</v>
      </c>
      <c r="J20333" s="689">
        <v>4.3</v>
      </c>
      <c r="K20333" s="689">
        <v>4.3</v>
      </c>
    </row>
    <row r="20334" spans="1:11">
      <c r="A20334" s="688" t="s">
        <v>7</v>
      </c>
      <c r="B20334" s="692" t="s">
        <v>4060</v>
      </c>
      <c r="C20334" s="691">
        <v>3.5</v>
      </c>
      <c r="D20334" s="691">
        <v>3.4</v>
      </c>
      <c r="E20334" s="691">
        <v>3.7</v>
      </c>
      <c r="F20334" s="691">
        <v>3.7</v>
      </c>
      <c r="G20334" s="615">
        <v>4</v>
      </c>
      <c r="H20334" s="615">
        <v>4</v>
      </c>
      <c r="I20334" s="615">
        <v>4</v>
      </c>
      <c r="J20334" s="691">
        <v>3.8</v>
      </c>
      <c r="K20334" s="691">
        <v>3.7</v>
      </c>
    </row>
    <row r="20335" spans="1:11">
      <c r="A20335" s="688" t="s">
        <v>27</v>
      </c>
      <c r="B20335" s="690" t="s">
        <v>4060</v>
      </c>
      <c r="C20335" s="689">
        <v>4.7</v>
      </c>
      <c r="D20335" s="689">
        <v>4.4000000000000004</v>
      </c>
      <c r="E20335" s="689">
        <v>4.5999999999999996</v>
      </c>
      <c r="F20335" s="689">
        <v>4.5</v>
      </c>
      <c r="G20335" s="689">
        <v>4.5999999999999996</v>
      </c>
      <c r="H20335" s="689">
        <v>4.8</v>
      </c>
      <c r="I20335" s="689">
        <v>4.2</v>
      </c>
      <c r="J20335" s="689">
        <v>4.7</v>
      </c>
      <c r="K20335" s="689">
        <v>4.4000000000000004</v>
      </c>
    </row>
    <row r="20336" spans="1:11">
      <c r="A20336" s="688" t="s">
        <v>6</v>
      </c>
      <c r="B20336" s="692" t="s">
        <v>4060</v>
      </c>
      <c r="C20336" s="691">
        <v>4.8</v>
      </c>
      <c r="D20336" s="691">
        <v>4.5999999999999996</v>
      </c>
      <c r="E20336" s="691">
        <v>4.8</v>
      </c>
      <c r="F20336" s="691">
        <v>4.8</v>
      </c>
      <c r="G20336" s="691">
        <v>4.9000000000000004</v>
      </c>
      <c r="H20336" s="691">
        <v>4.9000000000000004</v>
      </c>
      <c r="I20336" s="691">
        <v>4.5999999999999996</v>
      </c>
      <c r="J20336" s="691">
        <v>4.8</v>
      </c>
      <c r="K20336" s="691">
        <v>4.5999999999999996</v>
      </c>
    </row>
    <row r="20337" spans="1:11">
      <c r="A20337" s="688" t="s">
        <v>4058</v>
      </c>
      <c r="B20337" s="690" t="s">
        <v>4060</v>
      </c>
      <c r="C20337" s="690" t="s">
        <v>4060</v>
      </c>
      <c r="D20337" s="690" t="s">
        <v>4060</v>
      </c>
      <c r="E20337" s="690" t="s">
        <v>4060</v>
      </c>
      <c r="F20337" s="690" t="s">
        <v>4060</v>
      </c>
      <c r="G20337" s="690" t="s">
        <v>4060</v>
      </c>
      <c r="H20337" s="690" t="s">
        <v>4060</v>
      </c>
      <c r="I20337" s="690" t="s">
        <v>4060</v>
      </c>
      <c r="J20337" s="690" t="s">
        <v>4060</v>
      </c>
      <c r="K20337" s="690" t="s">
        <v>4060</v>
      </c>
    </row>
    <row r="20338" spans="1:11">
      <c r="A20338" s="688" t="s">
        <v>11</v>
      </c>
      <c r="B20338" s="692" t="s">
        <v>4060</v>
      </c>
      <c r="C20338" s="691">
        <v>3.5</v>
      </c>
      <c r="D20338" s="691">
        <v>3.2</v>
      </c>
      <c r="E20338" s="691">
        <v>3.5</v>
      </c>
      <c r="F20338" s="691">
        <v>3.3</v>
      </c>
      <c r="G20338" s="691">
        <v>3.4</v>
      </c>
      <c r="H20338" s="691">
        <v>3.5</v>
      </c>
      <c r="I20338" s="691">
        <v>3.2</v>
      </c>
      <c r="J20338" s="615">
        <v>3</v>
      </c>
      <c r="K20338" s="691">
        <v>2.9</v>
      </c>
    </row>
    <row r="20339" spans="1:11">
      <c r="A20339" s="688" t="s">
        <v>10</v>
      </c>
      <c r="B20339" s="690" t="s">
        <v>4060</v>
      </c>
      <c r="C20339" s="689">
        <v>4.4000000000000004</v>
      </c>
      <c r="D20339" s="689">
        <v>4.0999999999999996</v>
      </c>
      <c r="E20339" s="689">
        <v>4.4000000000000004</v>
      </c>
      <c r="F20339" s="689">
        <v>4.2</v>
      </c>
      <c r="G20339" s="689">
        <v>4.4000000000000004</v>
      </c>
      <c r="H20339" s="689">
        <v>4.5</v>
      </c>
      <c r="I20339" s="693">
        <v>4</v>
      </c>
      <c r="J20339" s="689">
        <v>4.3</v>
      </c>
      <c r="K20339" s="693">
        <v>4</v>
      </c>
    </row>
    <row r="20340" spans="1:11">
      <c r="A20340" s="688" t="s">
        <v>30</v>
      </c>
      <c r="B20340" s="692" t="s">
        <v>4060</v>
      </c>
      <c r="C20340" s="691">
        <v>3.9</v>
      </c>
      <c r="D20340" s="691">
        <v>3.6</v>
      </c>
      <c r="E20340" s="691">
        <v>3.7</v>
      </c>
      <c r="F20340" s="691">
        <v>3.5</v>
      </c>
      <c r="G20340" s="691">
        <v>3.7</v>
      </c>
      <c r="H20340" s="691">
        <v>3.4</v>
      </c>
      <c r="I20340" s="691">
        <v>3.7</v>
      </c>
      <c r="J20340" s="691">
        <v>3.6</v>
      </c>
      <c r="K20340" s="691">
        <v>3.2</v>
      </c>
    </row>
    <row r="20341" spans="1:11">
      <c r="A20341" s="688" t="s">
        <v>12</v>
      </c>
      <c r="B20341" s="690" t="s">
        <v>4060</v>
      </c>
      <c r="C20341" s="689">
        <v>3.6</v>
      </c>
      <c r="D20341" s="689">
        <v>3.5</v>
      </c>
      <c r="E20341" s="689">
        <v>3.7</v>
      </c>
      <c r="F20341" s="689">
        <v>3.7</v>
      </c>
      <c r="G20341" s="689">
        <v>3.6</v>
      </c>
      <c r="H20341" s="689">
        <v>3.8</v>
      </c>
      <c r="I20341" s="689">
        <v>3.6</v>
      </c>
      <c r="J20341" s="689">
        <v>3.3</v>
      </c>
      <c r="K20341" s="689">
        <v>3.4</v>
      </c>
    </row>
    <row r="20342" spans="1:11">
      <c r="A20342" s="688" t="s">
        <v>14</v>
      </c>
      <c r="B20342" s="692" t="s">
        <v>4060</v>
      </c>
      <c r="C20342" s="691">
        <v>3.1</v>
      </c>
      <c r="D20342" s="691">
        <v>2.8</v>
      </c>
      <c r="E20342" s="691">
        <v>2.9</v>
      </c>
      <c r="F20342" s="691">
        <v>2.9</v>
      </c>
      <c r="G20342" s="615">
        <v>3</v>
      </c>
      <c r="H20342" s="691">
        <v>3.1</v>
      </c>
      <c r="I20342" s="691">
        <v>3.2</v>
      </c>
      <c r="J20342" s="691">
        <v>3.2</v>
      </c>
      <c r="K20342" s="691">
        <v>3.2</v>
      </c>
    </row>
    <row r="20343" spans="1:11">
      <c r="A20343" s="688" t="s">
        <v>15</v>
      </c>
      <c r="B20343" s="690" t="s">
        <v>4060</v>
      </c>
      <c r="C20343" s="689">
        <v>4.5999999999999996</v>
      </c>
      <c r="D20343" s="693">
        <v>4</v>
      </c>
      <c r="E20343" s="689">
        <v>4.2</v>
      </c>
      <c r="F20343" s="689">
        <v>4.5999999999999996</v>
      </c>
      <c r="G20343" s="689">
        <v>4.5</v>
      </c>
      <c r="H20343" s="689">
        <v>4.5</v>
      </c>
      <c r="I20343" s="693">
        <v>4</v>
      </c>
      <c r="J20343" s="689">
        <v>4.4000000000000004</v>
      </c>
      <c r="K20343" s="689">
        <v>4.5</v>
      </c>
    </row>
    <row r="20344" spans="1:11">
      <c r="A20344" s="688" t="s">
        <v>29</v>
      </c>
      <c r="B20344" s="692" t="s">
        <v>4060</v>
      </c>
      <c r="C20344" s="691">
        <v>3.8</v>
      </c>
      <c r="D20344" s="691">
        <v>3.6</v>
      </c>
      <c r="E20344" s="691">
        <v>3.8</v>
      </c>
      <c r="F20344" s="691">
        <v>3.8</v>
      </c>
      <c r="G20344" s="691">
        <v>3.7</v>
      </c>
      <c r="H20344" s="691">
        <v>3.8</v>
      </c>
      <c r="I20344" s="691">
        <v>3.7</v>
      </c>
      <c r="J20344" s="691">
        <v>3.7</v>
      </c>
      <c r="K20344" s="691">
        <v>3.6</v>
      </c>
    </row>
    <row r="20345" spans="1:11">
      <c r="A20345" s="688" t="s">
        <v>16</v>
      </c>
      <c r="B20345" s="690" t="s">
        <v>4060</v>
      </c>
      <c r="C20345" s="689">
        <v>4.5999999999999996</v>
      </c>
      <c r="D20345" s="689">
        <v>4.2</v>
      </c>
      <c r="E20345" s="689">
        <v>4.2</v>
      </c>
      <c r="F20345" s="689">
        <v>4.2</v>
      </c>
      <c r="G20345" s="689">
        <v>4.2</v>
      </c>
      <c r="H20345" s="689">
        <v>4.4000000000000004</v>
      </c>
      <c r="I20345" s="689">
        <v>3.8</v>
      </c>
      <c r="J20345" s="689">
        <v>4.2</v>
      </c>
      <c r="K20345" s="689">
        <v>4.0999999999999996</v>
      </c>
    </row>
    <row r="20346" spans="1:11">
      <c r="A20346" s="688" t="s">
        <v>17</v>
      </c>
      <c r="B20346" s="692" t="s">
        <v>4060</v>
      </c>
      <c r="C20346" s="691">
        <v>4.0999999999999996</v>
      </c>
      <c r="D20346" s="691">
        <v>3.9</v>
      </c>
      <c r="E20346" s="615">
        <v>4</v>
      </c>
      <c r="F20346" s="691">
        <v>3.9</v>
      </c>
      <c r="G20346" s="691">
        <v>3.9</v>
      </c>
      <c r="H20346" s="615">
        <v>4</v>
      </c>
      <c r="I20346" s="691">
        <v>3.8</v>
      </c>
      <c r="J20346" s="691">
        <v>3.8</v>
      </c>
      <c r="K20346" s="691">
        <v>3.7</v>
      </c>
    </row>
    <row r="20347" spans="1:11">
      <c r="A20347" s="688" t="s">
        <v>19</v>
      </c>
      <c r="B20347" s="690" t="s">
        <v>4060</v>
      </c>
      <c r="C20347" s="693">
        <v>4</v>
      </c>
      <c r="D20347" s="689">
        <v>3.9</v>
      </c>
      <c r="E20347" s="689">
        <v>4.0999999999999996</v>
      </c>
      <c r="F20347" s="689">
        <v>3.9</v>
      </c>
      <c r="G20347" s="693">
        <v>4</v>
      </c>
      <c r="H20347" s="693">
        <v>4</v>
      </c>
      <c r="I20347" s="689">
        <v>3.8</v>
      </c>
      <c r="J20347" s="689">
        <v>3.9</v>
      </c>
      <c r="K20347" s="689">
        <v>3.7</v>
      </c>
    </row>
    <row r="20348" spans="1:11">
      <c r="A20348" s="688" t="s">
        <v>20</v>
      </c>
      <c r="B20348" s="692" t="s">
        <v>4060</v>
      </c>
      <c r="C20348" s="691">
        <v>4.2</v>
      </c>
      <c r="D20348" s="615">
        <v>4</v>
      </c>
      <c r="E20348" s="691">
        <v>4.3</v>
      </c>
      <c r="F20348" s="691">
        <v>4.0999999999999996</v>
      </c>
      <c r="G20348" s="691">
        <v>4.0999999999999996</v>
      </c>
      <c r="H20348" s="691">
        <v>4.3</v>
      </c>
      <c r="I20348" s="691">
        <v>3.9</v>
      </c>
      <c r="J20348" s="691">
        <v>3.6</v>
      </c>
      <c r="K20348" s="691">
        <v>3.8</v>
      </c>
    </row>
    <row r="20349" spans="1:11">
      <c r="A20349" s="688" t="s">
        <v>21</v>
      </c>
      <c r="B20349" s="690" t="s">
        <v>4060</v>
      </c>
      <c r="C20349" s="689">
        <v>4.5</v>
      </c>
      <c r="D20349" s="689">
        <v>4.3</v>
      </c>
      <c r="E20349" s="689">
        <v>4.3</v>
      </c>
      <c r="F20349" s="689">
        <v>4.5</v>
      </c>
      <c r="G20349" s="689">
        <v>4.4000000000000004</v>
      </c>
      <c r="H20349" s="689">
        <v>4.5</v>
      </c>
      <c r="I20349" s="689">
        <v>4.2</v>
      </c>
      <c r="J20349" s="689">
        <v>4.2</v>
      </c>
      <c r="K20349" s="689">
        <v>4.0999999999999996</v>
      </c>
    </row>
    <row r="20350" spans="1:11">
      <c r="A20350" s="688" t="s">
        <v>22</v>
      </c>
      <c r="B20350" s="692" t="s">
        <v>4060</v>
      </c>
      <c r="C20350" s="691">
        <v>3.8</v>
      </c>
      <c r="D20350" s="691">
        <v>3.9</v>
      </c>
      <c r="E20350" s="691">
        <v>4.3</v>
      </c>
      <c r="F20350" s="691">
        <v>4.4000000000000004</v>
      </c>
      <c r="G20350" s="691">
        <v>4.4000000000000004</v>
      </c>
      <c r="H20350" s="691">
        <v>4.8</v>
      </c>
      <c r="I20350" s="691">
        <v>4.5999999999999996</v>
      </c>
      <c r="J20350" s="691">
        <v>3.6</v>
      </c>
      <c r="K20350" s="691">
        <v>3.3</v>
      </c>
    </row>
    <row r="20351" spans="1:11">
      <c r="A20351" s="688" t="s">
        <v>26</v>
      </c>
      <c r="B20351" s="690" t="s">
        <v>4060</v>
      </c>
      <c r="C20351" s="693">
        <v>4</v>
      </c>
      <c r="D20351" s="693">
        <v>4</v>
      </c>
      <c r="E20351" s="693">
        <v>4</v>
      </c>
      <c r="F20351" s="693">
        <v>4</v>
      </c>
      <c r="G20351" s="689">
        <v>4.3</v>
      </c>
      <c r="H20351" s="689">
        <v>4.0999999999999996</v>
      </c>
      <c r="I20351" s="689">
        <v>3.5</v>
      </c>
      <c r="J20351" s="689">
        <v>3.9</v>
      </c>
      <c r="K20351" s="689">
        <v>3.9</v>
      </c>
    </row>
    <row r="20352" spans="1:11">
      <c r="A20352" s="688" t="s">
        <v>25</v>
      </c>
      <c r="B20352" s="692" t="s">
        <v>4060</v>
      </c>
      <c r="C20352" s="691">
        <v>4.3</v>
      </c>
      <c r="D20352" s="691">
        <v>3.9</v>
      </c>
      <c r="E20352" s="615">
        <v>4</v>
      </c>
      <c r="F20352" s="615">
        <v>4</v>
      </c>
      <c r="G20352" s="691">
        <v>4.3</v>
      </c>
      <c r="H20352" s="691">
        <v>4.5</v>
      </c>
      <c r="I20352" s="691">
        <v>4.3</v>
      </c>
      <c r="J20352" s="691">
        <v>3.6</v>
      </c>
      <c r="K20352" s="691">
        <v>3.4</v>
      </c>
    </row>
    <row r="20353" spans="1:11">
      <c r="A20353" s="688" t="s">
        <v>5</v>
      </c>
      <c r="B20353" s="690" t="s">
        <v>4060</v>
      </c>
      <c r="C20353" s="693">
        <v>4</v>
      </c>
      <c r="D20353" s="693">
        <v>4</v>
      </c>
      <c r="E20353" s="689">
        <v>4.0999999999999996</v>
      </c>
      <c r="F20353" s="689">
        <v>4.2</v>
      </c>
      <c r="G20353" s="689">
        <v>4.0999999999999996</v>
      </c>
      <c r="H20353" s="689">
        <v>4.3</v>
      </c>
      <c r="I20353" s="689">
        <v>4.2</v>
      </c>
      <c r="J20353" s="689">
        <v>4.2</v>
      </c>
      <c r="K20353" s="689">
        <v>3.9</v>
      </c>
    </row>
    <row r="20354" spans="1:11">
      <c r="A20354" s="688" t="s">
        <v>23</v>
      </c>
      <c r="B20354" s="692" t="s">
        <v>4060</v>
      </c>
      <c r="C20354" s="691">
        <v>4.0999999999999996</v>
      </c>
      <c r="D20354" s="691">
        <v>4.0999999999999996</v>
      </c>
      <c r="E20354" s="691">
        <v>4.0999999999999996</v>
      </c>
      <c r="F20354" s="691">
        <v>4.0999999999999996</v>
      </c>
      <c r="G20354" s="691">
        <v>4.2</v>
      </c>
      <c r="H20354" s="691">
        <v>4.4000000000000004</v>
      </c>
      <c r="I20354" s="691">
        <v>4.0999999999999996</v>
      </c>
      <c r="J20354" s="691">
        <v>4.4000000000000004</v>
      </c>
      <c r="K20354" s="691">
        <v>4.3</v>
      </c>
    </row>
    <row r="20355" spans="1:11">
      <c r="A20355" s="688" t="s">
        <v>4067</v>
      </c>
      <c r="B20355" s="690" t="s">
        <v>4060</v>
      </c>
      <c r="C20355" s="690" t="s">
        <v>4060</v>
      </c>
      <c r="D20355" s="690" t="s">
        <v>4060</v>
      </c>
      <c r="E20355" s="690" t="s">
        <v>4060</v>
      </c>
      <c r="F20355" s="690" t="s">
        <v>4060</v>
      </c>
      <c r="G20355" s="690" t="s">
        <v>4060</v>
      </c>
      <c r="H20355" s="690" t="s">
        <v>4060</v>
      </c>
      <c r="I20355" s="690" t="s">
        <v>4060</v>
      </c>
      <c r="J20355" s="690" t="s">
        <v>4060</v>
      </c>
      <c r="K20355" s="690" t="s">
        <v>4060</v>
      </c>
    </row>
    <row r="20356" spans="1:11">
      <c r="A20356" s="688" t="s">
        <v>4066</v>
      </c>
      <c r="B20356" s="692" t="s">
        <v>4060</v>
      </c>
      <c r="C20356" s="692" t="s">
        <v>4060</v>
      </c>
      <c r="D20356" s="692" t="s">
        <v>4060</v>
      </c>
      <c r="E20356" s="692" t="s">
        <v>4060</v>
      </c>
      <c r="F20356" s="692" t="s">
        <v>4060</v>
      </c>
      <c r="G20356" s="692" t="s">
        <v>4060</v>
      </c>
      <c r="H20356" s="692" t="s">
        <v>4060</v>
      </c>
      <c r="I20356" s="692" t="s">
        <v>4060</v>
      </c>
      <c r="J20356" s="692" t="s">
        <v>4060</v>
      </c>
      <c r="K20356" s="692" t="s">
        <v>4060</v>
      </c>
    </row>
    <row r="20357" spans="1:11">
      <c r="A20357" s="688" t="s">
        <v>4062</v>
      </c>
      <c r="B20357" s="690" t="s">
        <v>4060</v>
      </c>
      <c r="C20357" s="689">
        <v>4.2</v>
      </c>
      <c r="D20357" s="689">
        <v>4.0999999999999996</v>
      </c>
      <c r="E20357" s="689">
        <v>4.3</v>
      </c>
      <c r="F20357" s="689">
        <v>4.3</v>
      </c>
      <c r="G20357" s="689">
        <v>4.3</v>
      </c>
      <c r="H20357" s="689">
        <v>4.3</v>
      </c>
      <c r="I20357" s="689">
        <v>4.0999999999999996</v>
      </c>
      <c r="J20357" s="689">
        <v>4.3</v>
      </c>
      <c r="K20357" s="689">
        <v>4.0999999999999996</v>
      </c>
    </row>
    <row r="20358" spans="1:11">
      <c r="A20358" s="688" t="s">
        <v>9</v>
      </c>
      <c r="B20358" s="692" t="s">
        <v>4060</v>
      </c>
      <c r="C20358" s="691">
        <v>4.2</v>
      </c>
      <c r="D20358" s="615">
        <v>4</v>
      </c>
      <c r="E20358" s="691">
        <v>4.0999999999999996</v>
      </c>
      <c r="F20358" s="615">
        <v>4</v>
      </c>
      <c r="G20358" s="691">
        <v>4.3</v>
      </c>
      <c r="H20358" s="615">
        <v>4</v>
      </c>
      <c r="I20358" s="691">
        <v>4.3</v>
      </c>
      <c r="J20358" s="691">
        <v>4.3</v>
      </c>
      <c r="K20358" s="691">
        <v>3.9</v>
      </c>
    </row>
    <row r="20359" spans="1:11">
      <c r="A20359" s="688" t="s">
        <v>13</v>
      </c>
      <c r="B20359" s="690" t="s">
        <v>4060</v>
      </c>
      <c r="C20359" s="689">
        <v>3.2</v>
      </c>
      <c r="D20359" s="689">
        <v>4.0999999999999996</v>
      </c>
      <c r="E20359" s="689">
        <v>4.2</v>
      </c>
      <c r="F20359" s="689">
        <v>4.3</v>
      </c>
      <c r="G20359" s="689">
        <v>3.6</v>
      </c>
      <c r="H20359" s="689">
        <v>4.4000000000000004</v>
      </c>
      <c r="I20359" s="689">
        <v>3.8</v>
      </c>
      <c r="J20359" s="689">
        <v>4.3</v>
      </c>
      <c r="K20359" s="689">
        <v>4.3</v>
      </c>
    </row>
    <row r="20360" spans="1:11">
      <c r="A20360" s="688" t="s">
        <v>18</v>
      </c>
      <c r="B20360" s="692" t="s">
        <v>4060</v>
      </c>
      <c r="C20360" s="691">
        <v>4.2</v>
      </c>
      <c r="D20360" s="691">
        <v>4.2</v>
      </c>
      <c r="E20360" s="691">
        <v>4.2</v>
      </c>
      <c r="F20360" s="691">
        <v>4.2</v>
      </c>
      <c r="G20360" s="691">
        <v>4.2</v>
      </c>
      <c r="H20360" s="691">
        <v>4.3</v>
      </c>
      <c r="I20360" s="691">
        <v>4.4000000000000004</v>
      </c>
      <c r="J20360" s="691">
        <v>4.2</v>
      </c>
      <c r="K20360" s="615">
        <v>4</v>
      </c>
    </row>
    <row r="20361" spans="1:11">
      <c r="A20361" s="688" t="s">
        <v>24</v>
      </c>
      <c r="B20361" s="690" t="s">
        <v>4060</v>
      </c>
      <c r="C20361" s="689">
        <v>4.3</v>
      </c>
      <c r="D20361" s="693">
        <v>4</v>
      </c>
      <c r="E20361" s="689">
        <v>4.4000000000000004</v>
      </c>
      <c r="F20361" s="689">
        <v>4.3</v>
      </c>
      <c r="G20361" s="689">
        <v>4.4000000000000004</v>
      </c>
      <c r="H20361" s="689">
        <v>4.4000000000000004</v>
      </c>
      <c r="I20361" s="693">
        <v>4</v>
      </c>
      <c r="J20361" s="689">
        <v>4.4000000000000004</v>
      </c>
      <c r="K20361" s="689">
        <v>4.2</v>
      </c>
    </row>
    <row r="20362" spans="1:11">
      <c r="A20362" s="688" t="s">
        <v>4059</v>
      </c>
      <c r="B20362" s="692" t="s">
        <v>4060</v>
      </c>
      <c r="C20362" s="692" t="s">
        <v>4060</v>
      </c>
      <c r="D20362" s="692" t="s">
        <v>4060</v>
      </c>
      <c r="E20362" s="692" t="s">
        <v>4060</v>
      </c>
      <c r="F20362" s="692" t="s">
        <v>4060</v>
      </c>
      <c r="G20362" s="692" t="s">
        <v>4060</v>
      </c>
      <c r="H20362" s="692" t="s">
        <v>4060</v>
      </c>
      <c r="I20362" s="692" t="s">
        <v>4060</v>
      </c>
      <c r="J20362" s="692" t="s">
        <v>4060</v>
      </c>
      <c r="K20362" s="692" t="s">
        <v>4060</v>
      </c>
    </row>
    <row r="20363" spans="1:11">
      <c r="A20363" s="688" t="s">
        <v>2324</v>
      </c>
      <c r="B20363" s="690" t="s">
        <v>4060</v>
      </c>
      <c r="C20363" s="690" t="s">
        <v>4060</v>
      </c>
      <c r="D20363" s="690" t="s">
        <v>4060</v>
      </c>
      <c r="E20363" s="690" t="s">
        <v>4060</v>
      </c>
      <c r="F20363" s="690" t="s">
        <v>4060</v>
      </c>
      <c r="G20363" s="690" t="s">
        <v>4060</v>
      </c>
      <c r="H20363" s="690" t="s">
        <v>4060</v>
      </c>
      <c r="I20363" s="690" t="s">
        <v>4060</v>
      </c>
      <c r="J20363" s="690" t="s">
        <v>4060</v>
      </c>
      <c r="K20363" s="690" t="s">
        <v>4060</v>
      </c>
    </row>
    <row r="20364" spans="1:11">
      <c r="A20364" s="688" t="s">
        <v>2322</v>
      </c>
      <c r="B20364" s="692" t="s">
        <v>4060</v>
      </c>
      <c r="C20364" s="692" t="s">
        <v>4060</v>
      </c>
      <c r="D20364" s="692" t="s">
        <v>4060</v>
      </c>
      <c r="E20364" s="692" t="s">
        <v>4060</v>
      </c>
      <c r="F20364" s="692" t="s">
        <v>4060</v>
      </c>
      <c r="G20364" s="692" t="s">
        <v>4060</v>
      </c>
      <c r="H20364" s="692" t="s">
        <v>4060</v>
      </c>
      <c r="I20364" s="692" t="s">
        <v>4060</v>
      </c>
      <c r="J20364" s="692" t="s">
        <v>4060</v>
      </c>
      <c r="K20364" s="692" t="s">
        <v>4060</v>
      </c>
    </row>
    <row r="20365" spans="1:11">
      <c r="A20365" s="688" t="s">
        <v>2328</v>
      </c>
      <c r="B20365" s="690" t="s">
        <v>4060</v>
      </c>
      <c r="C20365" s="690" t="s">
        <v>4060</v>
      </c>
      <c r="D20365" s="690" t="s">
        <v>4060</v>
      </c>
      <c r="E20365" s="690" t="s">
        <v>4060</v>
      </c>
      <c r="F20365" s="690" t="s">
        <v>4060</v>
      </c>
      <c r="G20365" s="690" t="s">
        <v>4060</v>
      </c>
      <c r="H20365" s="690" t="s">
        <v>4060</v>
      </c>
      <c r="I20365" s="690" t="s">
        <v>4060</v>
      </c>
      <c r="J20365" s="690" t="s">
        <v>4060</v>
      </c>
      <c r="K20365" s="690" t="s">
        <v>4060</v>
      </c>
    </row>
    <row r="20366" spans="1:11">
      <c r="A20366" s="688" t="s">
        <v>2496</v>
      </c>
      <c r="B20366" s="692" t="s">
        <v>4060</v>
      </c>
      <c r="C20366" s="692" t="s">
        <v>4060</v>
      </c>
      <c r="D20366" s="692" t="s">
        <v>4060</v>
      </c>
      <c r="E20366" s="692" t="s">
        <v>4060</v>
      </c>
      <c r="F20366" s="692" t="s">
        <v>4060</v>
      </c>
      <c r="G20366" s="692" t="s">
        <v>4060</v>
      </c>
      <c r="H20366" s="692" t="s">
        <v>4060</v>
      </c>
      <c r="I20366" s="692" t="s">
        <v>4060</v>
      </c>
      <c r="J20366" s="692" t="s">
        <v>4060</v>
      </c>
      <c r="K20366" s="692" t="s">
        <v>4060</v>
      </c>
    </row>
    <row r="20367" spans="1:11">
      <c r="A20367" s="688" t="s">
        <v>2269</v>
      </c>
      <c r="B20367" s="690" t="s">
        <v>4060</v>
      </c>
      <c r="C20367" s="690" t="s">
        <v>4060</v>
      </c>
      <c r="D20367" s="690" t="s">
        <v>4060</v>
      </c>
      <c r="E20367" s="690" t="s">
        <v>4060</v>
      </c>
      <c r="F20367" s="690" t="s">
        <v>4060</v>
      </c>
      <c r="G20367" s="690" t="s">
        <v>4060</v>
      </c>
      <c r="H20367" s="690" t="s">
        <v>4060</v>
      </c>
      <c r="I20367" s="690" t="s">
        <v>4060</v>
      </c>
      <c r="J20367" s="690" t="s">
        <v>4060</v>
      </c>
      <c r="K20367" s="690" t="s">
        <v>4060</v>
      </c>
    </row>
    <row r="20368" spans="1:11">
      <c r="A20368" s="688" t="s">
        <v>2349</v>
      </c>
      <c r="B20368" s="692" t="s">
        <v>4060</v>
      </c>
      <c r="C20368" s="692" t="s">
        <v>4060</v>
      </c>
      <c r="D20368" s="692" t="s">
        <v>4060</v>
      </c>
      <c r="E20368" s="692" t="s">
        <v>4060</v>
      </c>
      <c r="F20368" s="692" t="s">
        <v>4060</v>
      </c>
      <c r="G20368" s="692" t="s">
        <v>4060</v>
      </c>
      <c r="H20368" s="692" t="s">
        <v>4060</v>
      </c>
      <c r="I20368" s="692" t="s">
        <v>4060</v>
      </c>
      <c r="J20368" s="692" t="s">
        <v>4060</v>
      </c>
      <c r="K20368" s="692" t="s">
        <v>4060</v>
      </c>
    </row>
    <row r="20369" spans="1:11">
      <c r="A20369" s="688" t="s">
        <v>2355</v>
      </c>
      <c r="B20369" s="690" t="s">
        <v>4060</v>
      </c>
      <c r="C20369" s="690" t="s">
        <v>4060</v>
      </c>
      <c r="D20369" s="690" t="s">
        <v>4060</v>
      </c>
      <c r="E20369" s="690" t="s">
        <v>4060</v>
      </c>
      <c r="F20369" s="690" t="s">
        <v>4060</v>
      </c>
      <c r="G20369" s="690" t="s">
        <v>4060</v>
      </c>
      <c r="H20369" s="690" t="s">
        <v>4060</v>
      </c>
      <c r="I20369" s="690" t="s">
        <v>4060</v>
      </c>
      <c r="J20369" s="690" t="s">
        <v>4060</v>
      </c>
      <c r="K20369" s="690" t="s">
        <v>4060</v>
      </c>
    </row>
    <row r="20370" spans="1:11">
      <c r="A20370" s="688" t="s">
        <v>2357</v>
      </c>
      <c r="B20370" s="692" t="s">
        <v>4060</v>
      </c>
      <c r="C20370" s="692" t="s">
        <v>4060</v>
      </c>
      <c r="D20370" s="692" t="s">
        <v>4060</v>
      </c>
      <c r="E20370" s="692" t="s">
        <v>4060</v>
      </c>
      <c r="F20370" s="692" t="s">
        <v>4060</v>
      </c>
      <c r="G20370" s="692" t="s">
        <v>4060</v>
      </c>
      <c r="H20370" s="692" t="s">
        <v>4060</v>
      </c>
      <c r="I20370" s="692" t="s">
        <v>4060</v>
      </c>
      <c r="J20370" s="692" t="s">
        <v>4060</v>
      </c>
      <c r="K20370" s="692" t="s">
        <v>4060</v>
      </c>
    </row>
    <row r="20371" spans="1:11">
      <c r="A20371" s="688" t="s">
        <v>4070</v>
      </c>
      <c r="B20371" s="690" t="s">
        <v>4060</v>
      </c>
      <c r="C20371" s="690" t="s">
        <v>4060</v>
      </c>
      <c r="D20371" s="690" t="s">
        <v>4060</v>
      </c>
      <c r="E20371" s="690" t="s">
        <v>4060</v>
      </c>
      <c r="F20371" s="690" t="s">
        <v>4060</v>
      </c>
      <c r="G20371" s="690" t="s">
        <v>4060</v>
      </c>
      <c r="H20371" s="690" t="s">
        <v>4060</v>
      </c>
      <c r="I20371" s="690" t="s">
        <v>4060</v>
      </c>
      <c r="J20371" s="690" t="s">
        <v>4060</v>
      </c>
      <c r="K20371" s="690" t="s">
        <v>4060</v>
      </c>
    </row>
    <row r="20372" spans="1:11">
      <c r="A20372" s="688" t="s">
        <v>2491</v>
      </c>
      <c r="B20372" s="692" t="s">
        <v>4060</v>
      </c>
      <c r="C20372" s="692" t="s">
        <v>4060</v>
      </c>
      <c r="D20372" s="692" t="s">
        <v>4060</v>
      </c>
      <c r="E20372" s="692" t="s">
        <v>4060</v>
      </c>
      <c r="F20372" s="692" t="s">
        <v>4060</v>
      </c>
      <c r="G20372" s="692" t="s">
        <v>4060</v>
      </c>
      <c r="H20372" s="692" t="s">
        <v>4060</v>
      </c>
      <c r="I20372" s="692" t="s">
        <v>4060</v>
      </c>
      <c r="J20372" s="692" t="s">
        <v>4060</v>
      </c>
      <c r="K20372" s="692" t="s">
        <v>4060</v>
      </c>
    </row>
    <row r="20373" spans="1:11">
      <c r="A20373" s="688" t="s">
        <v>2343</v>
      </c>
      <c r="B20373" s="690" t="s">
        <v>4060</v>
      </c>
      <c r="C20373" s="690" t="s">
        <v>4060</v>
      </c>
      <c r="D20373" s="690" t="s">
        <v>4060</v>
      </c>
      <c r="E20373" s="690" t="s">
        <v>4060</v>
      </c>
      <c r="F20373" s="690" t="s">
        <v>4060</v>
      </c>
      <c r="G20373" s="690" t="s">
        <v>4060</v>
      </c>
      <c r="H20373" s="690" t="s">
        <v>4060</v>
      </c>
      <c r="I20373" s="690" t="s">
        <v>4060</v>
      </c>
      <c r="J20373" s="690" t="s">
        <v>4060</v>
      </c>
      <c r="K20373" s="690" t="s">
        <v>4060</v>
      </c>
    </row>
    <row r="20374" spans="1:11">
      <c r="A20374" s="688" t="s">
        <v>4071</v>
      </c>
      <c r="B20374" s="692" t="s">
        <v>4060</v>
      </c>
      <c r="C20374" s="692" t="s">
        <v>4060</v>
      </c>
      <c r="D20374" s="692" t="s">
        <v>4060</v>
      </c>
      <c r="E20374" s="692" t="s">
        <v>4060</v>
      </c>
      <c r="F20374" s="692" t="s">
        <v>4060</v>
      </c>
      <c r="G20374" s="692" t="s">
        <v>4060</v>
      </c>
      <c r="H20374" s="692" t="s">
        <v>4060</v>
      </c>
      <c r="I20374" s="692" t="s">
        <v>4060</v>
      </c>
      <c r="J20374" s="692" t="s">
        <v>4060</v>
      </c>
      <c r="K20374" s="692" t="s">
        <v>4060</v>
      </c>
    </row>
    <row r="20375" spans="1:11">
      <c r="A20375" s="688" t="s">
        <v>2489</v>
      </c>
      <c r="B20375" s="690" t="s">
        <v>4060</v>
      </c>
      <c r="C20375" s="690" t="s">
        <v>4060</v>
      </c>
      <c r="D20375" s="690" t="s">
        <v>4060</v>
      </c>
      <c r="E20375" s="690" t="s">
        <v>4060</v>
      </c>
      <c r="F20375" s="690" t="s">
        <v>4060</v>
      </c>
      <c r="G20375" s="690" t="s">
        <v>4060</v>
      </c>
      <c r="H20375" s="690" t="s">
        <v>4060</v>
      </c>
      <c r="I20375" s="690" t="s">
        <v>4060</v>
      </c>
      <c r="J20375" s="690" t="s">
        <v>4060</v>
      </c>
      <c r="K20375" s="690" t="s">
        <v>4060</v>
      </c>
    </row>
    <row r="20376" spans="1:11">
      <c r="A20376" s="688" t="s">
        <v>2490</v>
      </c>
      <c r="B20376" s="692" t="s">
        <v>4060</v>
      </c>
      <c r="C20376" s="692" t="s">
        <v>4060</v>
      </c>
      <c r="D20376" s="692" t="s">
        <v>4060</v>
      </c>
      <c r="E20376" s="692" t="s">
        <v>4060</v>
      </c>
      <c r="F20376" s="692" t="s">
        <v>4060</v>
      </c>
      <c r="G20376" s="692" t="s">
        <v>4060</v>
      </c>
      <c r="H20376" s="692" t="s">
        <v>4060</v>
      </c>
      <c r="I20376" s="692" t="s">
        <v>4060</v>
      </c>
      <c r="J20376" s="692" t="s">
        <v>4060</v>
      </c>
      <c r="K20376" s="692" t="s">
        <v>4060</v>
      </c>
    </row>
    <row r="20378" spans="1:11">
      <c r="A20378" s="683" t="s">
        <v>4233</v>
      </c>
    </row>
    <row r="20379" spans="1:11">
      <c r="A20379" s="683" t="s">
        <v>4060</v>
      </c>
      <c r="B20379" s="682" t="s">
        <v>4234</v>
      </c>
    </row>
    <row r="20381" spans="1:11">
      <c r="A20381" s="682" t="s">
        <v>4333</v>
      </c>
    </row>
    <row r="20382" spans="1:11">
      <c r="A20382" s="682" t="s">
        <v>4210</v>
      </c>
      <c r="B20382" s="683" t="s">
        <v>4211</v>
      </c>
    </row>
    <row r="20383" spans="1:11">
      <c r="A20383" s="682" t="s">
        <v>4212</v>
      </c>
      <c r="B20383" s="682" t="s">
        <v>4213</v>
      </c>
    </row>
    <row r="20385" spans="1:11">
      <c r="A20385" s="683" t="s">
        <v>4214</v>
      </c>
      <c r="C20385" s="682" t="s">
        <v>4215</v>
      </c>
    </row>
    <row r="20386" spans="1:11">
      <c r="A20386" s="683" t="s">
        <v>4216</v>
      </c>
      <c r="C20386" s="682" t="s">
        <v>2967</v>
      </c>
    </row>
    <row r="20387" spans="1:11">
      <c r="A20387" s="683" t="s">
        <v>3893</v>
      </c>
      <c r="C20387" s="682" t="s">
        <v>2169</v>
      </c>
    </row>
    <row r="20388" spans="1:11">
      <c r="A20388" s="683" t="s">
        <v>4218</v>
      </c>
      <c r="C20388" s="682" t="s">
        <v>4327</v>
      </c>
    </row>
    <row r="20390" spans="1:11">
      <c r="A20390" s="684" t="s">
        <v>4220</v>
      </c>
      <c r="B20390" s="685" t="s">
        <v>4221</v>
      </c>
      <c r="C20390" s="685" t="s">
        <v>4222</v>
      </c>
      <c r="D20390" s="685" t="s">
        <v>4223</v>
      </c>
      <c r="E20390" s="685" t="s">
        <v>4224</v>
      </c>
      <c r="F20390" s="685" t="s">
        <v>4225</v>
      </c>
      <c r="G20390" s="685" t="s">
        <v>4226</v>
      </c>
      <c r="H20390" s="685" t="s">
        <v>4227</v>
      </c>
      <c r="I20390" s="685" t="s">
        <v>4228</v>
      </c>
      <c r="J20390" s="685" t="s">
        <v>4229</v>
      </c>
      <c r="K20390" s="685" t="s">
        <v>4230</v>
      </c>
    </row>
    <row r="20391" spans="1:11">
      <c r="A20391" s="686" t="s">
        <v>4231</v>
      </c>
      <c r="B20391" s="687" t="s">
        <v>4232</v>
      </c>
      <c r="C20391" s="687" t="s">
        <v>4232</v>
      </c>
      <c r="D20391" s="687" t="s">
        <v>4232</v>
      </c>
      <c r="E20391" s="687" t="s">
        <v>4232</v>
      </c>
      <c r="F20391" s="687" t="s">
        <v>4232</v>
      </c>
      <c r="G20391" s="687" t="s">
        <v>4232</v>
      </c>
      <c r="H20391" s="687" t="s">
        <v>4232</v>
      </c>
      <c r="I20391" s="687" t="s">
        <v>4232</v>
      </c>
      <c r="J20391" s="687" t="s">
        <v>4232</v>
      </c>
      <c r="K20391" s="687" t="s">
        <v>4232</v>
      </c>
    </row>
    <row r="20392" spans="1:11">
      <c r="A20392" s="688" t="s">
        <v>4064</v>
      </c>
      <c r="B20392" s="692" t="s">
        <v>4060</v>
      </c>
      <c r="C20392" s="615">
        <v>4</v>
      </c>
      <c r="D20392" s="692" t="s">
        <v>4060</v>
      </c>
      <c r="E20392" s="615">
        <v>4</v>
      </c>
      <c r="F20392" s="691">
        <v>3.9</v>
      </c>
      <c r="G20392" s="615">
        <v>4</v>
      </c>
      <c r="H20392" s="691">
        <v>4.0999999999999996</v>
      </c>
      <c r="I20392" s="691">
        <v>3.8</v>
      </c>
      <c r="J20392" s="691">
        <v>3.9</v>
      </c>
      <c r="K20392" s="691">
        <v>3.7</v>
      </c>
    </row>
    <row r="20393" spans="1:11">
      <c r="A20393" s="688" t="s">
        <v>4065</v>
      </c>
      <c r="B20393" s="690" t="s">
        <v>4060</v>
      </c>
      <c r="C20393" s="690" t="s">
        <v>4060</v>
      </c>
      <c r="D20393" s="690" t="s">
        <v>4060</v>
      </c>
      <c r="E20393" s="690" t="s">
        <v>4060</v>
      </c>
      <c r="F20393" s="690" t="s">
        <v>4060</v>
      </c>
      <c r="G20393" s="690" t="s">
        <v>4060</v>
      </c>
      <c r="H20393" s="690" t="s">
        <v>4060</v>
      </c>
      <c r="I20393" s="690" t="s">
        <v>4060</v>
      </c>
      <c r="J20393" s="690" t="s">
        <v>4060</v>
      </c>
      <c r="K20393" s="690" t="s">
        <v>4060</v>
      </c>
    </row>
    <row r="20394" spans="1:11">
      <c r="A20394" s="688" t="s">
        <v>4063</v>
      </c>
      <c r="B20394" s="692" t="s">
        <v>4060</v>
      </c>
      <c r="C20394" s="692" t="s">
        <v>4060</v>
      </c>
      <c r="D20394" s="692" t="s">
        <v>4060</v>
      </c>
      <c r="E20394" s="692" t="s">
        <v>4060</v>
      </c>
      <c r="F20394" s="692" t="s">
        <v>4060</v>
      </c>
      <c r="G20394" s="692" t="s">
        <v>4060</v>
      </c>
      <c r="H20394" s="692" t="s">
        <v>4060</v>
      </c>
      <c r="I20394" s="692" t="s">
        <v>4060</v>
      </c>
      <c r="J20394" s="692" t="s">
        <v>4060</v>
      </c>
      <c r="K20394" s="692" t="s">
        <v>4060</v>
      </c>
    </row>
    <row r="20395" spans="1:11">
      <c r="A20395" s="688" t="s">
        <v>4069</v>
      </c>
      <c r="B20395" s="690" t="s">
        <v>4060</v>
      </c>
      <c r="C20395" s="693">
        <v>4</v>
      </c>
      <c r="D20395" s="689">
        <v>3.8</v>
      </c>
      <c r="E20395" s="693">
        <v>4</v>
      </c>
      <c r="F20395" s="693">
        <v>4</v>
      </c>
      <c r="G20395" s="693">
        <v>4</v>
      </c>
      <c r="H20395" s="689">
        <v>4.0999999999999996</v>
      </c>
      <c r="I20395" s="689">
        <v>3.8</v>
      </c>
      <c r="J20395" s="693">
        <v>4</v>
      </c>
      <c r="K20395" s="689">
        <v>3.7</v>
      </c>
    </row>
    <row r="20396" spans="1:11">
      <c r="A20396" s="688" t="s">
        <v>4068</v>
      </c>
      <c r="B20396" s="692" t="s">
        <v>4060</v>
      </c>
      <c r="C20396" s="692" t="s">
        <v>4060</v>
      </c>
      <c r="D20396" s="692" t="s">
        <v>4060</v>
      </c>
      <c r="E20396" s="692" t="s">
        <v>4060</v>
      </c>
      <c r="F20396" s="692" t="s">
        <v>4060</v>
      </c>
      <c r="G20396" s="692" t="s">
        <v>4060</v>
      </c>
      <c r="H20396" s="692" t="s">
        <v>4060</v>
      </c>
      <c r="I20396" s="692" t="s">
        <v>4060</v>
      </c>
      <c r="J20396" s="692" t="s">
        <v>4060</v>
      </c>
      <c r="K20396" s="692" t="s">
        <v>4060</v>
      </c>
    </row>
    <row r="20397" spans="1:11">
      <c r="A20397" s="688" t="s">
        <v>0</v>
      </c>
      <c r="B20397" s="690" t="s">
        <v>4060</v>
      </c>
      <c r="C20397" s="689">
        <v>3.9</v>
      </c>
      <c r="D20397" s="689">
        <v>3.7</v>
      </c>
      <c r="E20397" s="689">
        <v>3.9</v>
      </c>
      <c r="F20397" s="689">
        <v>3.9</v>
      </c>
      <c r="G20397" s="689">
        <v>3.9</v>
      </c>
      <c r="H20397" s="689">
        <v>4.0999999999999996</v>
      </c>
      <c r="I20397" s="689">
        <v>3.5</v>
      </c>
      <c r="J20397" s="689">
        <v>4.2</v>
      </c>
      <c r="K20397" s="689">
        <v>3.8</v>
      </c>
    </row>
    <row r="20398" spans="1:11">
      <c r="A20398" s="688" t="s">
        <v>1</v>
      </c>
      <c r="B20398" s="692" t="s">
        <v>4060</v>
      </c>
      <c r="C20398" s="691">
        <v>2.9</v>
      </c>
      <c r="D20398" s="691">
        <v>2.8</v>
      </c>
      <c r="E20398" s="691">
        <v>2.9</v>
      </c>
      <c r="F20398" s="691">
        <v>2.9</v>
      </c>
      <c r="G20398" s="691">
        <v>2.8</v>
      </c>
      <c r="H20398" s="691">
        <v>2.9</v>
      </c>
      <c r="I20398" s="691">
        <v>2.7</v>
      </c>
      <c r="J20398" s="691">
        <v>2.5</v>
      </c>
      <c r="K20398" s="691">
        <v>2.8</v>
      </c>
    </row>
    <row r="20399" spans="1:11">
      <c r="A20399" s="688" t="s">
        <v>2240</v>
      </c>
      <c r="B20399" s="690" t="s">
        <v>4060</v>
      </c>
      <c r="C20399" s="689">
        <v>3.4</v>
      </c>
      <c r="D20399" s="689">
        <v>3.2</v>
      </c>
      <c r="E20399" s="689">
        <v>3.5</v>
      </c>
      <c r="F20399" s="689">
        <v>3.4</v>
      </c>
      <c r="G20399" s="689">
        <v>3.4</v>
      </c>
      <c r="H20399" s="689">
        <v>3.4</v>
      </c>
      <c r="I20399" s="693">
        <v>3</v>
      </c>
      <c r="J20399" s="689">
        <v>3.1</v>
      </c>
      <c r="K20399" s="689">
        <v>3.1</v>
      </c>
    </row>
    <row r="20400" spans="1:11">
      <c r="A20400" s="688" t="s">
        <v>2</v>
      </c>
      <c r="B20400" s="692" t="s">
        <v>4060</v>
      </c>
      <c r="C20400" s="615">
        <v>4</v>
      </c>
      <c r="D20400" s="691">
        <v>3.8</v>
      </c>
      <c r="E20400" s="615">
        <v>4</v>
      </c>
      <c r="F20400" s="691">
        <v>3.9</v>
      </c>
      <c r="G20400" s="691">
        <v>3.8</v>
      </c>
      <c r="H20400" s="691">
        <v>3.9</v>
      </c>
      <c r="I20400" s="615">
        <v>4</v>
      </c>
      <c r="J20400" s="691">
        <v>3.7</v>
      </c>
      <c r="K20400" s="691">
        <v>3.7</v>
      </c>
    </row>
    <row r="20401" spans="1:11">
      <c r="A20401" s="688" t="s">
        <v>3</v>
      </c>
      <c r="B20401" s="690" t="s">
        <v>4060</v>
      </c>
      <c r="C20401" s="689">
        <v>3.7</v>
      </c>
      <c r="D20401" s="689">
        <v>3.6</v>
      </c>
      <c r="E20401" s="689">
        <v>3.8</v>
      </c>
      <c r="F20401" s="689">
        <v>3.7</v>
      </c>
      <c r="G20401" s="689">
        <v>3.6</v>
      </c>
      <c r="H20401" s="689">
        <v>3.7</v>
      </c>
      <c r="I20401" s="689">
        <v>3.6</v>
      </c>
      <c r="J20401" s="689">
        <v>3.6</v>
      </c>
      <c r="K20401" s="689">
        <v>3.4</v>
      </c>
    </row>
    <row r="20402" spans="1:11">
      <c r="A20402" s="688" t="s">
        <v>4061</v>
      </c>
      <c r="B20402" s="692" t="s">
        <v>4060</v>
      </c>
      <c r="C20402" s="691">
        <v>3.7</v>
      </c>
      <c r="D20402" s="691">
        <v>3.6</v>
      </c>
      <c r="E20402" s="691">
        <v>3.8</v>
      </c>
      <c r="F20402" s="691">
        <v>3.7</v>
      </c>
      <c r="G20402" s="691">
        <v>3.6</v>
      </c>
      <c r="H20402" s="691">
        <v>3.7</v>
      </c>
      <c r="I20402" s="691">
        <v>3.6</v>
      </c>
      <c r="J20402" s="691">
        <v>3.6</v>
      </c>
      <c r="K20402" s="691">
        <v>3.4</v>
      </c>
    </row>
    <row r="20403" spans="1:11">
      <c r="A20403" s="688" t="s">
        <v>4</v>
      </c>
      <c r="B20403" s="690" t="s">
        <v>4060</v>
      </c>
      <c r="C20403" s="689">
        <v>3.5</v>
      </c>
      <c r="D20403" s="689">
        <v>3.7</v>
      </c>
      <c r="E20403" s="689">
        <v>3.8</v>
      </c>
      <c r="F20403" s="689">
        <v>3.9</v>
      </c>
      <c r="G20403" s="689">
        <v>3.7</v>
      </c>
      <c r="H20403" s="693">
        <v>4</v>
      </c>
      <c r="I20403" s="689">
        <v>3.9</v>
      </c>
      <c r="J20403" s="689">
        <v>3.5</v>
      </c>
      <c r="K20403" s="689">
        <v>3.5</v>
      </c>
    </row>
    <row r="20404" spans="1:11">
      <c r="A20404" s="688" t="s">
        <v>8</v>
      </c>
      <c r="B20404" s="692" t="s">
        <v>4060</v>
      </c>
      <c r="C20404" s="691">
        <v>3.9</v>
      </c>
      <c r="D20404" s="691">
        <v>3.6</v>
      </c>
      <c r="E20404" s="691">
        <v>3.7</v>
      </c>
      <c r="F20404" s="615">
        <v>4</v>
      </c>
      <c r="G20404" s="615">
        <v>4</v>
      </c>
      <c r="H20404" s="615">
        <v>4</v>
      </c>
      <c r="I20404" s="615">
        <v>4</v>
      </c>
      <c r="J20404" s="691">
        <v>4.0999999999999996</v>
      </c>
      <c r="K20404" s="691">
        <v>3.9</v>
      </c>
    </row>
    <row r="20405" spans="1:11">
      <c r="A20405" s="688" t="s">
        <v>7</v>
      </c>
      <c r="B20405" s="690" t="s">
        <v>4060</v>
      </c>
      <c r="C20405" s="689">
        <v>3.1</v>
      </c>
      <c r="D20405" s="693">
        <v>3</v>
      </c>
      <c r="E20405" s="689">
        <v>3.3</v>
      </c>
      <c r="F20405" s="689">
        <v>3.4</v>
      </c>
      <c r="G20405" s="689">
        <v>3.7</v>
      </c>
      <c r="H20405" s="689">
        <v>3.7</v>
      </c>
      <c r="I20405" s="689">
        <v>3.7</v>
      </c>
      <c r="J20405" s="689">
        <v>3.6</v>
      </c>
      <c r="K20405" s="689">
        <v>3.4</v>
      </c>
    </row>
    <row r="20406" spans="1:11">
      <c r="A20406" s="688" t="s">
        <v>27</v>
      </c>
      <c r="B20406" s="692" t="s">
        <v>4060</v>
      </c>
      <c r="C20406" s="691">
        <v>4.4000000000000004</v>
      </c>
      <c r="D20406" s="615">
        <v>4</v>
      </c>
      <c r="E20406" s="691">
        <v>4.3</v>
      </c>
      <c r="F20406" s="691">
        <v>4.2</v>
      </c>
      <c r="G20406" s="691">
        <v>4.2</v>
      </c>
      <c r="H20406" s="691">
        <v>4.4000000000000004</v>
      </c>
      <c r="I20406" s="691">
        <v>3.9</v>
      </c>
      <c r="J20406" s="691">
        <v>4.4000000000000004</v>
      </c>
      <c r="K20406" s="691">
        <v>4.0999999999999996</v>
      </c>
    </row>
    <row r="20407" spans="1:11">
      <c r="A20407" s="688" t="s">
        <v>6</v>
      </c>
      <c r="B20407" s="690" t="s">
        <v>4060</v>
      </c>
      <c r="C20407" s="689">
        <v>4.4000000000000004</v>
      </c>
      <c r="D20407" s="689">
        <v>4.2</v>
      </c>
      <c r="E20407" s="689">
        <v>4.4000000000000004</v>
      </c>
      <c r="F20407" s="689">
        <v>4.4000000000000004</v>
      </c>
      <c r="G20407" s="689">
        <v>4.5</v>
      </c>
      <c r="H20407" s="689">
        <v>4.5</v>
      </c>
      <c r="I20407" s="689">
        <v>4.2</v>
      </c>
      <c r="J20407" s="689">
        <v>4.4000000000000004</v>
      </c>
      <c r="K20407" s="689">
        <v>4.2</v>
      </c>
    </row>
    <row r="20408" spans="1:11">
      <c r="A20408" s="688" t="s">
        <v>4058</v>
      </c>
      <c r="B20408" s="692" t="s">
        <v>4060</v>
      </c>
      <c r="C20408" s="692" t="s">
        <v>4060</v>
      </c>
      <c r="D20408" s="692" t="s">
        <v>4060</v>
      </c>
      <c r="E20408" s="692" t="s">
        <v>4060</v>
      </c>
      <c r="F20408" s="692" t="s">
        <v>4060</v>
      </c>
      <c r="G20408" s="692" t="s">
        <v>4060</v>
      </c>
      <c r="H20408" s="692" t="s">
        <v>4060</v>
      </c>
      <c r="I20408" s="692" t="s">
        <v>4060</v>
      </c>
      <c r="J20408" s="692" t="s">
        <v>4060</v>
      </c>
      <c r="K20408" s="692" t="s">
        <v>4060</v>
      </c>
    </row>
    <row r="20409" spans="1:11">
      <c r="A20409" s="688" t="s">
        <v>11</v>
      </c>
      <c r="B20409" s="690" t="s">
        <v>4060</v>
      </c>
      <c r="C20409" s="689">
        <v>3.2</v>
      </c>
      <c r="D20409" s="693">
        <v>3</v>
      </c>
      <c r="E20409" s="689">
        <v>3.3</v>
      </c>
      <c r="F20409" s="689">
        <v>3.1</v>
      </c>
      <c r="G20409" s="689">
        <v>3.2</v>
      </c>
      <c r="H20409" s="689">
        <v>3.2</v>
      </c>
      <c r="I20409" s="689">
        <v>2.9</v>
      </c>
      <c r="J20409" s="689">
        <v>2.8</v>
      </c>
      <c r="K20409" s="689">
        <v>2.7</v>
      </c>
    </row>
    <row r="20410" spans="1:11">
      <c r="A20410" s="688" t="s">
        <v>10</v>
      </c>
      <c r="B20410" s="692" t="s">
        <v>4060</v>
      </c>
      <c r="C20410" s="615">
        <v>4</v>
      </c>
      <c r="D20410" s="691">
        <v>3.7</v>
      </c>
      <c r="E20410" s="691">
        <v>4.0999999999999996</v>
      </c>
      <c r="F20410" s="691">
        <v>3.9</v>
      </c>
      <c r="G20410" s="691">
        <v>4.0999999999999996</v>
      </c>
      <c r="H20410" s="691">
        <v>4.0999999999999996</v>
      </c>
      <c r="I20410" s="691">
        <v>3.7</v>
      </c>
      <c r="J20410" s="691">
        <v>3.9</v>
      </c>
      <c r="K20410" s="691">
        <v>3.7</v>
      </c>
    </row>
    <row r="20411" spans="1:11">
      <c r="A20411" s="688" t="s">
        <v>30</v>
      </c>
      <c r="B20411" s="690" t="s">
        <v>4060</v>
      </c>
      <c r="C20411" s="689">
        <v>3.6</v>
      </c>
      <c r="D20411" s="689">
        <v>3.4</v>
      </c>
      <c r="E20411" s="689">
        <v>3.5</v>
      </c>
      <c r="F20411" s="689">
        <v>3.2</v>
      </c>
      <c r="G20411" s="689">
        <v>3.7</v>
      </c>
      <c r="H20411" s="689">
        <v>3.2</v>
      </c>
      <c r="I20411" s="689">
        <v>3.4</v>
      </c>
      <c r="J20411" s="689">
        <v>3.3</v>
      </c>
      <c r="K20411" s="689">
        <v>3.1</v>
      </c>
    </row>
    <row r="20412" spans="1:11">
      <c r="A20412" s="688" t="s">
        <v>12</v>
      </c>
      <c r="B20412" s="692" t="s">
        <v>4060</v>
      </c>
      <c r="C20412" s="691">
        <v>3.4</v>
      </c>
      <c r="D20412" s="691">
        <v>3.3</v>
      </c>
      <c r="E20412" s="691">
        <v>3.5</v>
      </c>
      <c r="F20412" s="691">
        <v>3.5</v>
      </c>
      <c r="G20412" s="691">
        <v>3.3</v>
      </c>
      <c r="H20412" s="691">
        <v>3.5</v>
      </c>
      <c r="I20412" s="691">
        <v>3.3</v>
      </c>
      <c r="J20412" s="691">
        <v>3.1</v>
      </c>
      <c r="K20412" s="691">
        <v>3.1</v>
      </c>
    </row>
    <row r="20413" spans="1:11">
      <c r="A20413" s="688" t="s">
        <v>14</v>
      </c>
      <c r="B20413" s="690" t="s">
        <v>4060</v>
      </c>
      <c r="C20413" s="689">
        <v>2.7</v>
      </c>
      <c r="D20413" s="689">
        <v>2.4</v>
      </c>
      <c r="E20413" s="689">
        <v>2.5</v>
      </c>
      <c r="F20413" s="689">
        <v>2.6</v>
      </c>
      <c r="G20413" s="689">
        <v>2.6</v>
      </c>
      <c r="H20413" s="689">
        <v>2.7</v>
      </c>
      <c r="I20413" s="689">
        <v>2.9</v>
      </c>
      <c r="J20413" s="693">
        <v>3</v>
      </c>
      <c r="K20413" s="689">
        <v>2.9</v>
      </c>
    </row>
    <row r="20414" spans="1:11">
      <c r="A20414" s="688" t="s">
        <v>15</v>
      </c>
      <c r="B20414" s="692" t="s">
        <v>4060</v>
      </c>
      <c r="C20414" s="691">
        <v>4.4000000000000004</v>
      </c>
      <c r="D20414" s="691">
        <v>3.6</v>
      </c>
      <c r="E20414" s="691">
        <v>3.8</v>
      </c>
      <c r="F20414" s="691">
        <v>4.3</v>
      </c>
      <c r="G20414" s="691">
        <v>4.3</v>
      </c>
      <c r="H20414" s="691">
        <v>4.3</v>
      </c>
      <c r="I20414" s="691">
        <v>3.8</v>
      </c>
      <c r="J20414" s="615">
        <v>4</v>
      </c>
      <c r="K20414" s="691">
        <v>4.2</v>
      </c>
    </row>
    <row r="20415" spans="1:11">
      <c r="A20415" s="688" t="s">
        <v>29</v>
      </c>
      <c r="B20415" s="690" t="s">
        <v>4060</v>
      </c>
      <c r="C20415" s="689">
        <v>3.6</v>
      </c>
      <c r="D20415" s="689">
        <v>3.4</v>
      </c>
      <c r="E20415" s="689">
        <v>3.6</v>
      </c>
      <c r="F20415" s="689">
        <v>3.6</v>
      </c>
      <c r="G20415" s="689">
        <v>3.6</v>
      </c>
      <c r="H20415" s="689">
        <v>3.6</v>
      </c>
      <c r="I20415" s="689">
        <v>3.5</v>
      </c>
      <c r="J20415" s="689">
        <v>3.6</v>
      </c>
      <c r="K20415" s="689">
        <v>3.4</v>
      </c>
    </row>
    <row r="20416" spans="1:11">
      <c r="A20416" s="688" t="s">
        <v>16</v>
      </c>
      <c r="B20416" s="692" t="s">
        <v>4060</v>
      </c>
      <c r="C20416" s="691">
        <v>4.4000000000000004</v>
      </c>
      <c r="D20416" s="691">
        <v>3.8</v>
      </c>
      <c r="E20416" s="691">
        <v>3.9</v>
      </c>
      <c r="F20416" s="615">
        <v>4</v>
      </c>
      <c r="G20416" s="691">
        <v>3.9</v>
      </c>
      <c r="H20416" s="691">
        <v>4.2</v>
      </c>
      <c r="I20416" s="691">
        <v>3.5</v>
      </c>
      <c r="J20416" s="691">
        <v>3.8</v>
      </c>
      <c r="K20416" s="691">
        <v>3.8</v>
      </c>
    </row>
    <row r="20417" spans="1:11">
      <c r="A20417" s="688" t="s">
        <v>17</v>
      </c>
      <c r="B20417" s="690" t="s">
        <v>4060</v>
      </c>
      <c r="C20417" s="689">
        <v>3.8</v>
      </c>
      <c r="D20417" s="689">
        <v>3.6</v>
      </c>
      <c r="E20417" s="689">
        <v>3.6</v>
      </c>
      <c r="F20417" s="689">
        <v>3.5</v>
      </c>
      <c r="G20417" s="689">
        <v>3.6</v>
      </c>
      <c r="H20417" s="689">
        <v>3.7</v>
      </c>
      <c r="I20417" s="689">
        <v>3.5</v>
      </c>
      <c r="J20417" s="689">
        <v>3.5</v>
      </c>
      <c r="K20417" s="689">
        <v>3.4</v>
      </c>
    </row>
    <row r="20418" spans="1:11">
      <c r="A20418" s="688" t="s">
        <v>19</v>
      </c>
      <c r="B20418" s="692" t="s">
        <v>4060</v>
      </c>
      <c r="C20418" s="691">
        <v>3.7</v>
      </c>
      <c r="D20418" s="691">
        <v>3.6</v>
      </c>
      <c r="E20418" s="691">
        <v>3.8</v>
      </c>
      <c r="F20418" s="691">
        <v>3.6</v>
      </c>
      <c r="G20418" s="691">
        <v>3.7</v>
      </c>
      <c r="H20418" s="691">
        <v>3.7</v>
      </c>
      <c r="I20418" s="691">
        <v>3.5</v>
      </c>
      <c r="J20418" s="691">
        <v>3.6</v>
      </c>
      <c r="K20418" s="691">
        <v>3.4</v>
      </c>
    </row>
    <row r="20419" spans="1:11">
      <c r="A20419" s="688" t="s">
        <v>20</v>
      </c>
      <c r="B20419" s="690" t="s">
        <v>4060</v>
      </c>
      <c r="C20419" s="689">
        <v>3.9</v>
      </c>
      <c r="D20419" s="689">
        <v>3.8</v>
      </c>
      <c r="E20419" s="693">
        <v>4</v>
      </c>
      <c r="F20419" s="689">
        <v>3.9</v>
      </c>
      <c r="G20419" s="689">
        <v>3.9</v>
      </c>
      <c r="H20419" s="689">
        <v>4.0999999999999996</v>
      </c>
      <c r="I20419" s="689">
        <v>3.6</v>
      </c>
      <c r="J20419" s="689">
        <v>3.3</v>
      </c>
      <c r="K20419" s="689">
        <v>3.5</v>
      </c>
    </row>
    <row r="20420" spans="1:11">
      <c r="A20420" s="688" t="s">
        <v>21</v>
      </c>
      <c r="B20420" s="692" t="s">
        <v>4060</v>
      </c>
      <c r="C20420" s="691">
        <v>4.2</v>
      </c>
      <c r="D20420" s="615">
        <v>4</v>
      </c>
      <c r="E20420" s="691">
        <v>4.0999999999999996</v>
      </c>
      <c r="F20420" s="691">
        <v>4.2</v>
      </c>
      <c r="G20420" s="691">
        <v>4.0999999999999996</v>
      </c>
      <c r="H20420" s="691">
        <v>4.0999999999999996</v>
      </c>
      <c r="I20420" s="691">
        <v>3.9</v>
      </c>
      <c r="J20420" s="691">
        <v>3.9</v>
      </c>
      <c r="K20420" s="691">
        <v>3.7</v>
      </c>
    </row>
    <row r="20421" spans="1:11">
      <c r="A20421" s="688" t="s">
        <v>22</v>
      </c>
      <c r="B20421" s="690" t="s">
        <v>4060</v>
      </c>
      <c r="C20421" s="689">
        <v>3.6</v>
      </c>
      <c r="D20421" s="689">
        <v>3.8</v>
      </c>
      <c r="E20421" s="689">
        <v>4.2</v>
      </c>
      <c r="F20421" s="689">
        <v>4.3</v>
      </c>
      <c r="G20421" s="689">
        <v>4.4000000000000004</v>
      </c>
      <c r="H20421" s="689">
        <v>4.8</v>
      </c>
      <c r="I20421" s="689">
        <v>4.5999999999999996</v>
      </c>
      <c r="J20421" s="689">
        <v>3.6</v>
      </c>
      <c r="K20421" s="689">
        <v>3.1</v>
      </c>
    </row>
    <row r="20422" spans="1:11">
      <c r="A20422" s="688" t="s">
        <v>26</v>
      </c>
      <c r="B20422" s="692" t="s">
        <v>4060</v>
      </c>
      <c r="C20422" s="691">
        <v>3.7</v>
      </c>
      <c r="D20422" s="691">
        <v>3.7</v>
      </c>
      <c r="E20422" s="691">
        <v>3.7</v>
      </c>
      <c r="F20422" s="691">
        <v>3.8</v>
      </c>
      <c r="G20422" s="615">
        <v>4</v>
      </c>
      <c r="H20422" s="691">
        <v>3.8</v>
      </c>
      <c r="I20422" s="691">
        <v>3.2</v>
      </c>
      <c r="J20422" s="691">
        <v>3.6</v>
      </c>
      <c r="K20422" s="691">
        <v>3.6</v>
      </c>
    </row>
    <row r="20423" spans="1:11">
      <c r="A20423" s="688" t="s">
        <v>25</v>
      </c>
      <c r="B20423" s="690" t="s">
        <v>4060</v>
      </c>
      <c r="C20423" s="689">
        <v>4.3</v>
      </c>
      <c r="D20423" s="689">
        <v>3.7</v>
      </c>
      <c r="E20423" s="689">
        <v>3.9</v>
      </c>
      <c r="F20423" s="689">
        <v>3.9</v>
      </c>
      <c r="G20423" s="689">
        <v>4.2</v>
      </c>
      <c r="H20423" s="689">
        <v>4.4000000000000004</v>
      </c>
      <c r="I20423" s="689">
        <v>4.3</v>
      </c>
      <c r="J20423" s="689">
        <v>3.5</v>
      </c>
      <c r="K20423" s="689">
        <v>3.3</v>
      </c>
    </row>
    <row r="20424" spans="1:11">
      <c r="A20424" s="688" t="s">
        <v>5</v>
      </c>
      <c r="B20424" s="692" t="s">
        <v>4060</v>
      </c>
      <c r="C20424" s="691">
        <v>3.7</v>
      </c>
      <c r="D20424" s="691">
        <v>3.7</v>
      </c>
      <c r="E20424" s="691">
        <v>3.7</v>
      </c>
      <c r="F20424" s="691">
        <v>3.9</v>
      </c>
      <c r="G20424" s="691">
        <v>3.7</v>
      </c>
      <c r="H20424" s="691">
        <v>3.9</v>
      </c>
      <c r="I20424" s="691">
        <v>3.9</v>
      </c>
      <c r="J20424" s="691">
        <v>3.8</v>
      </c>
      <c r="K20424" s="691">
        <v>3.6</v>
      </c>
    </row>
    <row r="20425" spans="1:11">
      <c r="A20425" s="688" t="s">
        <v>23</v>
      </c>
      <c r="B20425" s="690" t="s">
        <v>4060</v>
      </c>
      <c r="C20425" s="689">
        <v>3.8</v>
      </c>
      <c r="D20425" s="689">
        <v>3.8</v>
      </c>
      <c r="E20425" s="689">
        <v>3.8</v>
      </c>
      <c r="F20425" s="689">
        <v>3.8</v>
      </c>
      <c r="G20425" s="689">
        <v>3.8</v>
      </c>
      <c r="H20425" s="693">
        <v>4</v>
      </c>
      <c r="I20425" s="689">
        <v>3.7</v>
      </c>
      <c r="J20425" s="689">
        <v>4.0999999999999996</v>
      </c>
      <c r="K20425" s="689">
        <v>3.9</v>
      </c>
    </row>
    <row r="20426" spans="1:11">
      <c r="A20426" s="688" t="s">
        <v>4067</v>
      </c>
      <c r="B20426" s="692" t="s">
        <v>4060</v>
      </c>
      <c r="C20426" s="692" t="s">
        <v>4060</v>
      </c>
      <c r="D20426" s="692" t="s">
        <v>4060</v>
      </c>
      <c r="E20426" s="692" t="s">
        <v>4060</v>
      </c>
      <c r="F20426" s="692" t="s">
        <v>4060</v>
      </c>
      <c r="G20426" s="692" t="s">
        <v>4060</v>
      </c>
      <c r="H20426" s="692" t="s">
        <v>4060</v>
      </c>
      <c r="I20426" s="692" t="s">
        <v>4060</v>
      </c>
      <c r="J20426" s="692" t="s">
        <v>4060</v>
      </c>
      <c r="K20426" s="692" t="s">
        <v>4060</v>
      </c>
    </row>
    <row r="20427" spans="1:11">
      <c r="A20427" s="688" t="s">
        <v>4066</v>
      </c>
      <c r="B20427" s="690" t="s">
        <v>4060</v>
      </c>
      <c r="C20427" s="690" t="s">
        <v>4060</v>
      </c>
      <c r="D20427" s="690" t="s">
        <v>4060</v>
      </c>
      <c r="E20427" s="690" t="s">
        <v>4060</v>
      </c>
      <c r="F20427" s="690" t="s">
        <v>4060</v>
      </c>
      <c r="G20427" s="690" t="s">
        <v>4060</v>
      </c>
      <c r="H20427" s="690" t="s">
        <v>4060</v>
      </c>
      <c r="I20427" s="690" t="s">
        <v>4060</v>
      </c>
      <c r="J20427" s="690" t="s">
        <v>4060</v>
      </c>
      <c r="K20427" s="690" t="s">
        <v>4060</v>
      </c>
    </row>
    <row r="20428" spans="1:11">
      <c r="A20428" s="688" t="s">
        <v>4062</v>
      </c>
      <c r="B20428" s="692" t="s">
        <v>4060</v>
      </c>
      <c r="C20428" s="691">
        <v>3.9</v>
      </c>
      <c r="D20428" s="691">
        <v>3.7</v>
      </c>
      <c r="E20428" s="691">
        <v>3.9</v>
      </c>
      <c r="F20428" s="691">
        <v>3.9</v>
      </c>
      <c r="G20428" s="615">
        <v>4</v>
      </c>
      <c r="H20428" s="615">
        <v>4</v>
      </c>
      <c r="I20428" s="691">
        <v>3.8</v>
      </c>
      <c r="J20428" s="691">
        <v>3.9</v>
      </c>
      <c r="K20428" s="691">
        <v>3.7</v>
      </c>
    </row>
    <row r="20429" spans="1:11">
      <c r="A20429" s="688" t="s">
        <v>9</v>
      </c>
      <c r="B20429" s="690" t="s">
        <v>4060</v>
      </c>
      <c r="C20429" s="689">
        <v>3.8</v>
      </c>
      <c r="D20429" s="689">
        <v>3.6</v>
      </c>
      <c r="E20429" s="689">
        <v>3.9</v>
      </c>
      <c r="F20429" s="689">
        <v>3.7</v>
      </c>
      <c r="G20429" s="689">
        <v>3.9</v>
      </c>
      <c r="H20429" s="689">
        <v>3.7</v>
      </c>
      <c r="I20429" s="693">
        <v>4</v>
      </c>
      <c r="J20429" s="689">
        <v>3.9</v>
      </c>
      <c r="K20429" s="689">
        <v>3.5</v>
      </c>
    </row>
    <row r="20430" spans="1:11">
      <c r="A20430" s="688" t="s">
        <v>13</v>
      </c>
      <c r="B20430" s="692" t="s">
        <v>4060</v>
      </c>
      <c r="C20430" s="691">
        <v>2.9</v>
      </c>
      <c r="D20430" s="691">
        <v>3.8</v>
      </c>
      <c r="E20430" s="691">
        <v>3.8</v>
      </c>
      <c r="F20430" s="691">
        <v>4.3</v>
      </c>
      <c r="G20430" s="691">
        <v>3.6</v>
      </c>
      <c r="H20430" s="691">
        <v>3.5</v>
      </c>
      <c r="I20430" s="691">
        <v>3.3</v>
      </c>
      <c r="J20430" s="691">
        <v>3.6</v>
      </c>
      <c r="K20430" s="691">
        <v>4.0999999999999996</v>
      </c>
    </row>
    <row r="20431" spans="1:11">
      <c r="A20431" s="688" t="s">
        <v>18</v>
      </c>
      <c r="B20431" s="690" t="s">
        <v>4060</v>
      </c>
      <c r="C20431" s="689">
        <v>3.9</v>
      </c>
      <c r="D20431" s="689">
        <v>3.8</v>
      </c>
      <c r="E20431" s="689">
        <v>3.9</v>
      </c>
      <c r="F20431" s="689">
        <v>3.9</v>
      </c>
      <c r="G20431" s="689">
        <v>3.9</v>
      </c>
      <c r="H20431" s="693">
        <v>4</v>
      </c>
      <c r="I20431" s="693">
        <v>4</v>
      </c>
      <c r="J20431" s="689">
        <v>3.8</v>
      </c>
      <c r="K20431" s="689">
        <v>3.6</v>
      </c>
    </row>
    <row r="20432" spans="1:11">
      <c r="A20432" s="688" t="s">
        <v>24</v>
      </c>
      <c r="B20432" s="692" t="s">
        <v>4060</v>
      </c>
      <c r="C20432" s="691">
        <v>3.9</v>
      </c>
      <c r="D20432" s="691">
        <v>3.7</v>
      </c>
      <c r="E20432" s="615">
        <v>4</v>
      </c>
      <c r="F20432" s="691">
        <v>3.9</v>
      </c>
      <c r="G20432" s="615">
        <v>4</v>
      </c>
      <c r="H20432" s="615">
        <v>4</v>
      </c>
      <c r="I20432" s="691">
        <v>3.7</v>
      </c>
      <c r="J20432" s="615">
        <v>4</v>
      </c>
      <c r="K20432" s="691">
        <v>3.8</v>
      </c>
    </row>
    <row r="20433" spans="1:11">
      <c r="A20433" s="688" t="s">
        <v>4059</v>
      </c>
      <c r="B20433" s="690" t="s">
        <v>4060</v>
      </c>
      <c r="C20433" s="690" t="s">
        <v>4060</v>
      </c>
      <c r="D20433" s="690" t="s">
        <v>4060</v>
      </c>
      <c r="E20433" s="690" t="s">
        <v>4060</v>
      </c>
      <c r="F20433" s="690" t="s">
        <v>4060</v>
      </c>
      <c r="G20433" s="690" t="s">
        <v>4060</v>
      </c>
      <c r="H20433" s="690" t="s">
        <v>4060</v>
      </c>
      <c r="I20433" s="690" t="s">
        <v>4060</v>
      </c>
      <c r="J20433" s="690" t="s">
        <v>4060</v>
      </c>
      <c r="K20433" s="690" t="s">
        <v>4060</v>
      </c>
    </row>
    <row r="20434" spans="1:11">
      <c r="A20434" s="688" t="s">
        <v>2324</v>
      </c>
      <c r="B20434" s="692" t="s">
        <v>4060</v>
      </c>
      <c r="C20434" s="692" t="s">
        <v>4060</v>
      </c>
      <c r="D20434" s="692" t="s">
        <v>4060</v>
      </c>
      <c r="E20434" s="692" t="s">
        <v>4060</v>
      </c>
      <c r="F20434" s="692" t="s">
        <v>4060</v>
      </c>
      <c r="G20434" s="692" t="s">
        <v>4060</v>
      </c>
      <c r="H20434" s="692" t="s">
        <v>4060</v>
      </c>
      <c r="I20434" s="692" t="s">
        <v>4060</v>
      </c>
      <c r="J20434" s="692" t="s">
        <v>4060</v>
      </c>
      <c r="K20434" s="692" t="s">
        <v>4060</v>
      </c>
    </row>
    <row r="20435" spans="1:11">
      <c r="A20435" s="688" t="s">
        <v>2322</v>
      </c>
      <c r="B20435" s="690" t="s">
        <v>4060</v>
      </c>
      <c r="C20435" s="690" t="s">
        <v>4060</v>
      </c>
      <c r="D20435" s="690" t="s">
        <v>4060</v>
      </c>
      <c r="E20435" s="690" t="s">
        <v>4060</v>
      </c>
      <c r="F20435" s="690" t="s">
        <v>4060</v>
      </c>
      <c r="G20435" s="690" t="s">
        <v>4060</v>
      </c>
      <c r="H20435" s="690" t="s">
        <v>4060</v>
      </c>
      <c r="I20435" s="690" t="s">
        <v>4060</v>
      </c>
      <c r="J20435" s="690" t="s">
        <v>4060</v>
      </c>
      <c r="K20435" s="690" t="s">
        <v>4060</v>
      </c>
    </row>
    <row r="20436" spans="1:11">
      <c r="A20436" s="688" t="s">
        <v>2328</v>
      </c>
      <c r="B20436" s="692" t="s">
        <v>4060</v>
      </c>
      <c r="C20436" s="692" t="s">
        <v>4060</v>
      </c>
      <c r="D20436" s="692" t="s">
        <v>4060</v>
      </c>
      <c r="E20436" s="692" t="s">
        <v>4060</v>
      </c>
      <c r="F20436" s="692" t="s">
        <v>4060</v>
      </c>
      <c r="G20436" s="692" t="s">
        <v>4060</v>
      </c>
      <c r="H20436" s="692" t="s">
        <v>4060</v>
      </c>
      <c r="I20436" s="692" t="s">
        <v>4060</v>
      </c>
      <c r="J20436" s="692" t="s">
        <v>4060</v>
      </c>
      <c r="K20436" s="692" t="s">
        <v>4060</v>
      </c>
    </row>
    <row r="20437" spans="1:11">
      <c r="A20437" s="688" t="s">
        <v>2496</v>
      </c>
      <c r="B20437" s="690" t="s">
        <v>4060</v>
      </c>
      <c r="C20437" s="690" t="s">
        <v>4060</v>
      </c>
      <c r="D20437" s="690" t="s">
        <v>4060</v>
      </c>
      <c r="E20437" s="690" t="s">
        <v>4060</v>
      </c>
      <c r="F20437" s="690" t="s">
        <v>4060</v>
      </c>
      <c r="G20437" s="690" t="s">
        <v>4060</v>
      </c>
      <c r="H20437" s="690" t="s">
        <v>4060</v>
      </c>
      <c r="I20437" s="690" t="s">
        <v>4060</v>
      </c>
      <c r="J20437" s="690" t="s">
        <v>4060</v>
      </c>
      <c r="K20437" s="690" t="s">
        <v>4060</v>
      </c>
    </row>
    <row r="20438" spans="1:11">
      <c r="A20438" s="688" t="s">
        <v>2269</v>
      </c>
      <c r="B20438" s="692" t="s">
        <v>4060</v>
      </c>
      <c r="C20438" s="692" t="s">
        <v>4060</v>
      </c>
      <c r="D20438" s="692" t="s">
        <v>4060</v>
      </c>
      <c r="E20438" s="692" t="s">
        <v>4060</v>
      </c>
      <c r="F20438" s="692" t="s">
        <v>4060</v>
      </c>
      <c r="G20438" s="692" t="s">
        <v>4060</v>
      </c>
      <c r="H20438" s="692" t="s">
        <v>4060</v>
      </c>
      <c r="I20438" s="692" t="s">
        <v>4060</v>
      </c>
      <c r="J20438" s="692" t="s">
        <v>4060</v>
      </c>
      <c r="K20438" s="692" t="s">
        <v>4060</v>
      </c>
    </row>
    <row r="20439" spans="1:11">
      <c r="A20439" s="688" t="s">
        <v>2349</v>
      </c>
      <c r="B20439" s="690" t="s">
        <v>4060</v>
      </c>
      <c r="C20439" s="690" t="s">
        <v>4060</v>
      </c>
      <c r="D20439" s="690" t="s">
        <v>4060</v>
      </c>
      <c r="E20439" s="690" t="s">
        <v>4060</v>
      </c>
      <c r="F20439" s="690" t="s">
        <v>4060</v>
      </c>
      <c r="G20439" s="690" t="s">
        <v>4060</v>
      </c>
      <c r="H20439" s="690" t="s">
        <v>4060</v>
      </c>
      <c r="I20439" s="690" t="s">
        <v>4060</v>
      </c>
      <c r="J20439" s="690" t="s">
        <v>4060</v>
      </c>
      <c r="K20439" s="690" t="s">
        <v>4060</v>
      </c>
    </row>
    <row r="20440" spans="1:11">
      <c r="A20440" s="688" t="s">
        <v>2355</v>
      </c>
      <c r="B20440" s="692" t="s">
        <v>4060</v>
      </c>
      <c r="C20440" s="692" t="s">
        <v>4060</v>
      </c>
      <c r="D20440" s="692" t="s">
        <v>4060</v>
      </c>
      <c r="E20440" s="692" t="s">
        <v>4060</v>
      </c>
      <c r="F20440" s="692" t="s">
        <v>4060</v>
      </c>
      <c r="G20440" s="692" t="s">
        <v>4060</v>
      </c>
      <c r="H20440" s="692" t="s">
        <v>4060</v>
      </c>
      <c r="I20440" s="692" t="s">
        <v>4060</v>
      </c>
      <c r="J20440" s="692" t="s">
        <v>4060</v>
      </c>
      <c r="K20440" s="692" t="s">
        <v>4060</v>
      </c>
    </row>
    <row r="20441" spans="1:11">
      <c r="A20441" s="688" t="s">
        <v>2357</v>
      </c>
      <c r="B20441" s="690" t="s">
        <v>4060</v>
      </c>
      <c r="C20441" s="690" t="s">
        <v>4060</v>
      </c>
      <c r="D20441" s="690" t="s">
        <v>4060</v>
      </c>
      <c r="E20441" s="690" t="s">
        <v>4060</v>
      </c>
      <c r="F20441" s="690" t="s">
        <v>4060</v>
      </c>
      <c r="G20441" s="690" t="s">
        <v>4060</v>
      </c>
      <c r="H20441" s="690" t="s">
        <v>4060</v>
      </c>
      <c r="I20441" s="690" t="s">
        <v>4060</v>
      </c>
      <c r="J20441" s="690" t="s">
        <v>4060</v>
      </c>
      <c r="K20441" s="690" t="s">
        <v>4060</v>
      </c>
    </row>
    <row r="20442" spans="1:11">
      <c r="A20442" s="688" t="s">
        <v>4070</v>
      </c>
      <c r="B20442" s="692" t="s">
        <v>4060</v>
      </c>
      <c r="C20442" s="692" t="s">
        <v>4060</v>
      </c>
      <c r="D20442" s="692" t="s">
        <v>4060</v>
      </c>
      <c r="E20442" s="692" t="s">
        <v>4060</v>
      </c>
      <c r="F20442" s="692" t="s">
        <v>4060</v>
      </c>
      <c r="G20442" s="692" t="s">
        <v>4060</v>
      </c>
      <c r="H20442" s="692" t="s">
        <v>4060</v>
      </c>
      <c r="I20442" s="692" t="s">
        <v>4060</v>
      </c>
      <c r="J20442" s="692" t="s">
        <v>4060</v>
      </c>
      <c r="K20442" s="692" t="s">
        <v>4060</v>
      </c>
    </row>
    <row r="20443" spans="1:11">
      <c r="A20443" s="688" t="s">
        <v>2491</v>
      </c>
      <c r="B20443" s="690" t="s">
        <v>4060</v>
      </c>
      <c r="C20443" s="690" t="s">
        <v>4060</v>
      </c>
      <c r="D20443" s="690" t="s">
        <v>4060</v>
      </c>
      <c r="E20443" s="690" t="s">
        <v>4060</v>
      </c>
      <c r="F20443" s="690" t="s">
        <v>4060</v>
      </c>
      <c r="G20443" s="690" t="s">
        <v>4060</v>
      </c>
      <c r="H20443" s="690" t="s">
        <v>4060</v>
      </c>
      <c r="I20443" s="690" t="s">
        <v>4060</v>
      </c>
      <c r="J20443" s="690" t="s">
        <v>4060</v>
      </c>
      <c r="K20443" s="690" t="s">
        <v>4060</v>
      </c>
    </row>
    <row r="20444" spans="1:11">
      <c r="A20444" s="688" t="s">
        <v>2343</v>
      </c>
      <c r="B20444" s="692" t="s">
        <v>4060</v>
      </c>
      <c r="C20444" s="692" t="s">
        <v>4060</v>
      </c>
      <c r="D20444" s="692" t="s">
        <v>4060</v>
      </c>
      <c r="E20444" s="692" t="s">
        <v>4060</v>
      </c>
      <c r="F20444" s="692" t="s">
        <v>4060</v>
      </c>
      <c r="G20444" s="692" t="s">
        <v>4060</v>
      </c>
      <c r="H20444" s="692" t="s">
        <v>4060</v>
      </c>
      <c r="I20444" s="692" t="s">
        <v>4060</v>
      </c>
      <c r="J20444" s="692" t="s">
        <v>4060</v>
      </c>
      <c r="K20444" s="692" t="s">
        <v>4060</v>
      </c>
    </row>
    <row r="20445" spans="1:11">
      <c r="A20445" s="688" t="s">
        <v>4071</v>
      </c>
      <c r="B20445" s="690" t="s">
        <v>4060</v>
      </c>
      <c r="C20445" s="690" t="s">
        <v>4060</v>
      </c>
      <c r="D20445" s="690" t="s">
        <v>4060</v>
      </c>
      <c r="E20445" s="690" t="s">
        <v>4060</v>
      </c>
      <c r="F20445" s="690" t="s">
        <v>4060</v>
      </c>
      <c r="G20445" s="690" t="s">
        <v>4060</v>
      </c>
      <c r="H20445" s="690" t="s">
        <v>4060</v>
      </c>
      <c r="I20445" s="690" t="s">
        <v>4060</v>
      </c>
      <c r="J20445" s="690" t="s">
        <v>4060</v>
      </c>
      <c r="K20445" s="690" t="s">
        <v>4060</v>
      </c>
    </row>
    <row r="20446" spans="1:11">
      <c r="A20446" s="688" t="s">
        <v>2489</v>
      </c>
      <c r="B20446" s="692" t="s">
        <v>4060</v>
      </c>
      <c r="C20446" s="692" t="s">
        <v>4060</v>
      </c>
      <c r="D20446" s="692" t="s">
        <v>4060</v>
      </c>
      <c r="E20446" s="692" t="s">
        <v>4060</v>
      </c>
      <c r="F20446" s="692" t="s">
        <v>4060</v>
      </c>
      <c r="G20446" s="692" t="s">
        <v>4060</v>
      </c>
      <c r="H20446" s="692" t="s">
        <v>4060</v>
      </c>
      <c r="I20446" s="692" t="s">
        <v>4060</v>
      </c>
      <c r="J20446" s="692" t="s">
        <v>4060</v>
      </c>
      <c r="K20446" s="692" t="s">
        <v>4060</v>
      </c>
    </row>
    <row r="20447" spans="1:11">
      <c r="A20447" s="688" t="s">
        <v>2490</v>
      </c>
      <c r="B20447" s="690" t="s">
        <v>4060</v>
      </c>
      <c r="C20447" s="690" t="s">
        <v>4060</v>
      </c>
      <c r="D20447" s="690" t="s">
        <v>4060</v>
      </c>
      <c r="E20447" s="690" t="s">
        <v>4060</v>
      </c>
      <c r="F20447" s="690" t="s">
        <v>4060</v>
      </c>
      <c r="G20447" s="690" t="s">
        <v>4060</v>
      </c>
      <c r="H20447" s="690" t="s">
        <v>4060</v>
      </c>
      <c r="I20447" s="690" t="s">
        <v>4060</v>
      </c>
      <c r="J20447" s="690" t="s">
        <v>4060</v>
      </c>
      <c r="K20447" s="690" t="s">
        <v>4060</v>
      </c>
    </row>
    <row r="20449" spans="1:11">
      <c r="A20449" s="683" t="s">
        <v>4233</v>
      </c>
    </row>
    <row r="20450" spans="1:11">
      <c r="A20450" s="683" t="s">
        <v>4060</v>
      </c>
      <c r="B20450" s="682" t="s">
        <v>4234</v>
      </c>
    </row>
    <row r="20452" spans="1:11">
      <c r="A20452" s="682" t="s">
        <v>4333</v>
      </c>
    </row>
    <row r="20453" spans="1:11">
      <c r="A20453" s="682" t="s">
        <v>4210</v>
      </c>
      <c r="B20453" s="683" t="s">
        <v>4211</v>
      </c>
    </row>
    <row r="20454" spans="1:11">
      <c r="A20454" s="682" t="s">
        <v>4212</v>
      </c>
      <c r="B20454" s="682" t="s">
        <v>4213</v>
      </c>
    </row>
    <row r="20456" spans="1:11">
      <c r="A20456" s="683" t="s">
        <v>4214</v>
      </c>
      <c r="C20456" s="682" t="s">
        <v>4215</v>
      </c>
    </row>
    <row r="20457" spans="1:11">
      <c r="A20457" s="683" t="s">
        <v>4216</v>
      </c>
      <c r="C20457" s="682" t="s">
        <v>2967</v>
      </c>
    </row>
    <row r="20458" spans="1:11">
      <c r="A20458" s="683" t="s">
        <v>3893</v>
      </c>
      <c r="C20458" s="682" t="s">
        <v>2169</v>
      </c>
    </row>
    <row r="20459" spans="1:11">
      <c r="A20459" s="683" t="s">
        <v>4218</v>
      </c>
      <c r="C20459" s="682" t="s">
        <v>4328</v>
      </c>
    </row>
    <row r="20461" spans="1:11">
      <c r="A20461" s="684" t="s">
        <v>4220</v>
      </c>
      <c r="B20461" s="685" t="s">
        <v>4221</v>
      </c>
      <c r="C20461" s="685" t="s">
        <v>4222</v>
      </c>
      <c r="D20461" s="685" t="s">
        <v>4223</v>
      </c>
      <c r="E20461" s="685" t="s">
        <v>4224</v>
      </c>
      <c r="F20461" s="685" t="s">
        <v>4225</v>
      </c>
      <c r="G20461" s="685" t="s">
        <v>4226</v>
      </c>
      <c r="H20461" s="685" t="s">
        <v>4227</v>
      </c>
      <c r="I20461" s="685" t="s">
        <v>4228</v>
      </c>
      <c r="J20461" s="685" t="s">
        <v>4229</v>
      </c>
      <c r="K20461" s="685" t="s">
        <v>4230</v>
      </c>
    </row>
    <row r="20462" spans="1:11">
      <c r="A20462" s="686" t="s">
        <v>4231</v>
      </c>
      <c r="B20462" s="687" t="s">
        <v>4232</v>
      </c>
      <c r="C20462" s="687" t="s">
        <v>4232</v>
      </c>
      <c r="D20462" s="687" t="s">
        <v>4232</v>
      </c>
      <c r="E20462" s="687" t="s">
        <v>4232</v>
      </c>
      <c r="F20462" s="687" t="s">
        <v>4232</v>
      </c>
      <c r="G20462" s="687" t="s">
        <v>4232</v>
      </c>
      <c r="H20462" s="687" t="s">
        <v>4232</v>
      </c>
      <c r="I20462" s="687" t="s">
        <v>4232</v>
      </c>
      <c r="J20462" s="687" t="s">
        <v>4232</v>
      </c>
      <c r="K20462" s="687" t="s">
        <v>4232</v>
      </c>
    </row>
    <row r="20463" spans="1:11">
      <c r="A20463" s="688" t="s">
        <v>4064</v>
      </c>
      <c r="B20463" s="690" t="s">
        <v>4060</v>
      </c>
      <c r="C20463" s="689">
        <v>3.7</v>
      </c>
      <c r="D20463" s="690" t="s">
        <v>4060</v>
      </c>
      <c r="E20463" s="689">
        <v>3.7</v>
      </c>
      <c r="F20463" s="689">
        <v>3.7</v>
      </c>
      <c r="G20463" s="689">
        <v>3.7</v>
      </c>
      <c r="H20463" s="689">
        <v>3.8</v>
      </c>
      <c r="I20463" s="689">
        <v>3.5</v>
      </c>
      <c r="J20463" s="689">
        <v>3.6</v>
      </c>
      <c r="K20463" s="689">
        <v>3.4</v>
      </c>
    </row>
    <row r="20464" spans="1:11">
      <c r="A20464" s="688" t="s">
        <v>4065</v>
      </c>
      <c r="B20464" s="692" t="s">
        <v>4060</v>
      </c>
      <c r="C20464" s="692" t="s">
        <v>4060</v>
      </c>
      <c r="D20464" s="692" t="s">
        <v>4060</v>
      </c>
      <c r="E20464" s="692" t="s">
        <v>4060</v>
      </c>
      <c r="F20464" s="692" t="s">
        <v>4060</v>
      </c>
      <c r="G20464" s="692" t="s">
        <v>4060</v>
      </c>
      <c r="H20464" s="692" t="s">
        <v>4060</v>
      </c>
      <c r="I20464" s="692" t="s">
        <v>4060</v>
      </c>
      <c r="J20464" s="692" t="s">
        <v>4060</v>
      </c>
      <c r="K20464" s="692" t="s">
        <v>4060</v>
      </c>
    </row>
    <row r="20465" spans="1:11">
      <c r="A20465" s="688" t="s">
        <v>4063</v>
      </c>
      <c r="B20465" s="690" t="s">
        <v>4060</v>
      </c>
      <c r="C20465" s="690" t="s">
        <v>4060</v>
      </c>
      <c r="D20465" s="690" t="s">
        <v>4060</v>
      </c>
      <c r="E20465" s="690" t="s">
        <v>4060</v>
      </c>
      <c r="F20465" s="690" t="s">
        <v>4060</v>
      </c>
      <c r="G20465" s="690" t="s">
        <v>4060</v>
      </c>
      <c r="H20465" s="690" t="s">
        <v>4060</v>
      </c>
      <c r="I20465" s="690" t="s">
        <v>4060</v>
      </c>
      <c r="J20465" s="690" t="s">
        <v>4060</v>
      </c>
      <c r="K20465" s="690" t="s">
        <v>4060</v>
      </c>
    </row>
    <row r="20466" spans="1:11">
      <c r="A20466" s="688" t="s">
        <v>4069</v>
      </c>
      <c r="B20466" s="692" t="s">
        <v>4060</v>
      </c>
      <c r="C20466" s="691">
        <v>3.7</v>
      </c>
      <c r="D20466" s="691">
        <v>3.5</v>
      </c>
      <c r="E20466" s="691">
        <v>3.7</v>
      </c>
      <c r="F20466" s="691">
        <v>3.7</v>
      </c>
      <c r="G20466" s="691">
        <v>3.7</v>
      </c>
      <c r="H20466" s="691">
        <v>3.8</v>
      </c>
      <c r="I20466" s="691">
        <v>3.5</v>
      </c>
      <c r="J20466" s="691">
        <v>3.7</v>
      </c>
      <c r="K20466" s="691">
        <v>3.4</v>
      </c>
    </row>
    <row r="20467" spans="1:11">
      <c r="A20467" s="688" t="s">
        <v>4068</v>
      </c>
      <c r="B20467" s="690" t="s">
        <v>4060</v>
      </c>
      <c r="C20467" s="690" t="s">
        <v>4060</v>
      </c>
      <c r="D20467" s="690" t="s">
        <v>4060</v>
      </c>
      <c r="E20467" s="690" t="s">
        <v>4060</v>
      </c>
      <c r="F20467" s="690" t="s">
        <v>4060</v>
      </c>
      <c r="G20467" s="690" t="s">
        <v>4060</v>
      </c>
      <c r="H20467" s="690" t="s">
        <v>4060</v>
      </c>
      <c r="I20467" s="690" t="s">
        <v>4060</v>
      </c>
      <c r="J20467" s="690" t="s">
        <v>4060</v>
      </c>
      <c r="K20467" s="690" t="s">
        <v>4060</v>
      </c>
    </row>
    <row r="20468" spans="1:11">
      <c r="A20468" s="688" t="s">
        <v>0</v>
      </c>
      <c r="B20468" s="692" t="s">
        <v>4060</v>
      </c>
      <c r="C20468" s="691">
        <v>3.6</v>
      </c>
      <c r="D20468" s="691">
        <v>3.4</v>
      </c>
      <c r="E20468" s="691">
        <v>3.6</v>
      </c>
      <c r="F20468" s="691">
        <v>3.6</v>
      </c>
      <c r="G20468" s="691">
        <v>3.6</v>
      </c>
      <c r="H20468" s="691">
        <v>3.8</v>
      </c>
      <c r="I20468" s="691">
        <v>3.2</v>
      </c>
      <c r="J20468" s="691">
        <v>3.9</v>
      </c>
      <c r="K20468" s="691">
        <v>3.5</v>
      </c>
    </row>
    <row r="20469" spans="1:11">
      <c r="A20469" s="688" t="s">
        <v>1</v>
      </c>
      <c r="B20469" s="690" t="s">
        <v>4060</v>
      </c>
      <c r="C20469" s="689">
        <v>2.8</v>
      </c>
      <c r="D20469" s="689">
        <v>2.5</v>
      </c>
      <c r="E20469" s="689">
        <v>2.7</v>
      </c>
      <c r="F20469" s="689">
        <v>2.7</v>
      </c>
      <c r="G20469" s="689">
        <v>2.7</v>
      </c>
      <c r="H20469" s="689">
        <v>2.7</v>
      </c>
      <c r="I20469" s="689">
        <v>2.5</v>
      </c>
      <c r="J20469" s="689">
        <v>2.4</v>
      </c>
      <c r="K20469" s="689">
        <v>2.6</v>
      </c>
    </row>
    <row r="20470" spans="1:11">
      <c r="A20470" s="688" t="s">
        <v>2240</v>
      </c>
      <c r="B20470" s="692" t="s">
        <v>4060</v>
      </c>
      <c r="C20470" s="691">
        <v>3.1</v>
      </c>
      <c r="D20470" s="615">
        <v>3</v>
      </c>
      <c r="E20470" s="691">
        <v>3.3</v>
      </c>
      <c r="F20470" s="691">
        <v>3.2</v>
      </c>
      <c r="G20470" s="691">
        <v>3.1</v>
      </c>
      <c r="H20470" s="691">
        <v>3.2</v>
      </c>
      <c r="I20470" s="691">
        <v>2.8</v>
      </c>
      <c r="J20470" s="691">
        <v>2.8</v>
      </c>
      <c r="K20470" s="691">
        <v>2.9</v>
      </c>
    </row>
    <row r="20471" spans="1:11">
      <c r="A20471" s="688" t="s">
        <v>2</v>
      </c>
      <c r="B20471" s="690" t="s">
        <v>4060</v>
      </c>
      <c r="C20471" s="689">
        <v>3.7</v>
      </c>
      <c r="D20471" s="689">
        <v>3.6</v>
      </c>
      <c r="E20471" s="689">
        <v>3.6</v>
      </c>
      <c r="F20471" s="689">
        <v>3.5</v>
      </c>
      <c r="G20471" s="689">
        <v>3.5</v>
      </c>
      <c r="H20471" s="689">
        <v>3.6</v>
      </c>
      <c r="I20471" s="689">
        <v>3.7</v>
      </c>
      <c r="J20471" s="689">
        <v>3.4</v>
      </c>
      <c r="K20471" s="689">
        <v>3.4</v>
      </c>
    </row>
    <row r="20472" spans="1:11">
      <c r="A20472" s="688" t="s">
        <v>3</v>
      </c>
      <c r="B20472" s="692" t="s">
        <v>4060</v>
      </c>
      <c r="C20472" s="691">
        <v>3.4</v>
      </c>
      <c r="D20472" s="691">
        <v>3.3</v>
      </c>
      <c r="E20472" s="691">
        <v>3.5</v>
      </c>
      <c r="F20472" s="691">
        <v>3.4</v>
      </c>
      <c r="G20472" s="691">
        <v>3.4</v>
      </c>
      <c r="H20472" s="691">
        <v>3.5</v>
      </c>
      <c r="I20472" s="691">
        <v>3.4</v>
      </c>
      <c r="J20472" s="691">
        <v>3.3</v>
      </c>
      <c r="K20472" s="691">
        <v>3.1</v>
      </c>
    </row>
    <row r="20473" spans="1:11">
      <c r="A20473" s="688" t="s">
        <v>4061</v>
      </c>
      <c r="B20473" s="690" t="s">
        <v>4060</v>
      </c>
      <c r="C20473" s="689">
        <v>3.4</v>
      </c>
      <c r="D20473" s="689">
        <v>3.3</v>
      </c>
      <c r="E20473" s="689">
        <v>3.5</v>
      </c>
      <c r="F20473" s="689">
        <v>3.4</v>
      </c>
      <c r="G20473" s="689">
        <v>3.4</v>
      </c>
      <c r="H20473" s="689">
        <v>3.5</v>
      </c>
      <c r="I20473" s="689">
        <v>3.4</v>
      </c>
      <c r="J20473" s="689">
        <v>3.3</v>
      </c>
      <c r="K20473" s="689">
        <v>3.1</v>
      </c>
    </row>
    <row r="20474" spans="1:11">
      <c r="A20474" s="688" t="s">
        <v>4</v>
      </c>
      <c r="B20474" s="692" t="s">
        <v>4060</v>
      </c>
      <c r="C20474" s="691">
        <v>3.3</v>
      </c>
      <c r="D20474" s="691">
        <v>3.4</v>
      </c>
      <c r="E20474" s="691">
        <v>3.4</v>
      </c>
      <c r="F20474" s="691">
        <v>3.7</v>
      </c>
      <c r="G20474" s="691">
        <v>3.5</v>
      </c>
      <c r="H20474" s="691">
        <v>3.7</v>
      </c>
      <c r="I20474" s="691">
        <v>3.6</v>
      </c>
      <c r="J20474" s="691">
        <v>3.3</v>
      </c>
      <c r="K20474" s="691">
        <v>3.3</v>
      </c>
    </row>
    <row r="20475" spans="1:11">
      <c r="A20475" s="688" t="s">
        <v>8</v>
      </c>
      <c r="B20475" s="690" t="s">
        <v>4060</v>
      </c>
      <c r="C20475" s="689">
        <v>3.7</v>
      </c>
      <c r="D20475" s="689">
        <v>3.3</v>
      </c>
      <c r="E20475" s="689">
        <v>3.4</v>
      </c>
      <c r="F20475" s="689">
        <v>3.7</v>
      </c>
      <c r="G20475" s="689">
        <v>3.7</v>
      </c>
      <c r="H20475" s="689">
        <v>3.7</v>
      </c>
      <c r="I20475" s="689">
        <v>3.7</v>
      </c>
      <c r="J20475" s="689">
        <v>3.8</v>
      </c>
      <c r="K20475" s="689">
        <v>3.6</v>
      </c>
    </row>
    <row r="20476" spans="1:11">
      <c r="A20476" s="688" t="s">
        <v>7</v>
      </c>
      <c r="B20476" s="692" t="s">
        <v>4060</v>
      </c>
      <c r="C20476" s="691">
        <v>2.8</v>
      </c>
      <c r="D20476" s="691">
        <v>2.6</v>
      </c>
      <c r="E20476" s="615">
        <v>3</v>
      </c>
      <c r="F20476" s="615">
        <v>3</v>
      </c>
      <c r="G20476" s="691">
        <v>3.4</v>
      </c>
      <c r="H20476" s="691">
        <v>3.4</v>
      </c>
      <c r="I20476" s="691">
        <v>3.5</v>
      </c>
      <c r="J20476" s="691">
        <v>3.3</v>
      </c>
      <c r="K20476" s="691">
        <v>3.2</v>
      </c>
    </row>
    <row r="20477" spans="1:11">
      <c r="A20477" s="688" t="s">
        <v>27</v>
      </c>
      <c r="B20477" s="690" t="s">
        <v>4060</v>
      </c>
      <c r="C20477" s="689">
        <v>4.0999999999999996</v>
      </c>
      <c r="D20477" s="689">
        <v>3.8</v>
      </c>
      <c r="E20477" s="693">
        <v>4</v>
      </c>
      <c r="F20477" s="689">
        <v>3.9</v>
      </c>
      <c r="G20477" s="689">
        <v>3.9</v>
      </c>
      <c r="H20477" s="689">
        <v>4.0999999999999996</v>
      </c>
      <c r="I20477" s="689">
        <v>3.6</v>
      </c>
      <c r="J20477" s="689">
        <v>4.0999999999999996</v>
      </c>
      <c r="K20477" s="689">
        <v>3.7</v>
      </c>
    </row>
    <row r="20478" spans="1:11">
      <c r="A20478" s="688" t="s">
        <v>6</v>
      </c>
      <c r="B20478" s="692" t="s">
        <v>4060</v>
      </c>
      <c r="C20478" s="615">
        <v>4</v>
      </c>
      <c r="D20478" s="691">
        <v>3.8</v>
      </c>
      <c r="E20478" s="691">
        <v>4.0999999999999996</v>
      </c>
      <c r="F20478" s="691">
        <v>4.0999999999999996</v>
      </c>
      <c r="G20478" s="691">
        <v>4.0999999999999996</v>
      </c>
      <c r="H20478" s="691">
        <v>4.0999999999999996</v>
      </c>
      <c r="I20478" s="691">
        <v>3.9</v>
      </c>
      <c r="J20478" s="615">
        <v>4</v>
      </c>
      <c r="K20478" s="691">
        <v>3.8</v>
      </c>
    </row>
    <row r="20479" spans="1:11">
      <c r="A20479" s="688" t="s">
        <v>4058</v>
      </c>
      <c r="B20479" s="690" t="s">
        <v>4060</v>
      </c>
      <c r="C20479" s="690" t="s">
        <v>4060</v>
      </c>
      <c r="D20479" s="690" t="s">
        <v>4060</v>
      </c>
      <c r="E20479" s="690" t="s">
        <v>4060</v>
      </c>
      <c r="F20479" s="690" t="s">
        <v>4060</v>
      </c>
      <c r="G20479" s="690" t="s">
        <v>4060</v>
      </c>
      <c r="H20479" s="690" t="s">
        <v>4060</v>
      </c>
      <c r="I20479" s="690" t="s">
        <v>4060</v>
      </c>
      <c r="J20479" s="690" t="s">
        <v>4060</v>
      </c>
      <c r="K20479" s="690" t="s">
        <v>4060</v>
      </c>
    </row>
    <row r="20480" spans="1:11">
      <c r="A20480" s="688" t="s">
        <v>11</v>
      </c>
      <c r="B20480" s="692" t="s">
        <v>4060</v>
      </c>
      <c r="C20480" s="615">
        <v>3</v>
      </c>
      <c r="D20480" s="691">
        <v>2.8</v>
      </c>
      <c r="E20480" s="615">
        <v>3</v>
      </c>
      <c r="F20480" s="691">
        <v>2.9</v>
      </c>
      <c r="G20480" s="615">
        <v>3</v>
      </c>
      <c r="H20480" s="615">
        <v>3</v>
      </c>
      <c r="I20480" s="691">
        <v>2.7</v>
      </c>
      <c r="J20480" s="691">
        <v>2.6</v>
      </c>
      <c r="K20480" s="691">
        <v>2.5</v>
      </c>
    </row>
    <row r="20481" spans="1:11">
      <c r="A20481" s="688" t="s">
        <v>10</v>
      </c>
      <c r="B20481" s="690" t="s">
        <v>4060</v>
      </c>
      <c r="C20481" s="689">
        <v>3.8</v>
      </c>
      <c r="D20481" s="689">
        <v>3.4</v>
      </c>
      <c r="E20481" s="689">
        <v>3.8</v>
      </c>
      <c r="F20481" s="689">
        <v>3.6</v>
      </c>
      <c r="G20481" s="689">
        <v>3.8</v>
      </c>
      <c r="H20481" s="689">
        <v>3.8</v>
      </c>
      <c r="I20481" s="689">
        <v>3.4</v>
      </c>
      <c r="J20481" s="689">
        <v>3.6</v>
      </c>
      <c r="K20481" s="689">
        <v>3.4</v>
      </c>
    </row>
    <row r="20482" spans="1:11">
      <c r="A20482" s="688" t="s">
        <v>30</v>
      </c>
      <c r="B20482" s="692" t="s">
        <v>4060</v>
      </c>
      <c r="C20482" s="691">
        <v>3.4</v>
      </c>
      <c r="D20482" s="691">
        <v>2.9</v>
      </c>
      <c r="E20482" s="691">
        <v>3.3</v>
      </c>
      <c r="F20482" s="691">
        <v>3.1</v>
      </c>
      <c r="G20482" s="691">
        <v>3.7</v>
      </c>
      <c r="H20482" s="691">
        <v>3.1</v>
      </c>
      <c r="I20482" s="691">
        <v>3.2</v>
      </c>
      <c r="J20482" s="691">
        <v>3.1</v>
      </c>
      <c r="K20482" s="691">
        <v>2.9</v>
      </c>
    </row>
    <row r="20483" spans="1:11">
      <c r="A20483" s="688" t="s">
        <v>12</v>
      </c>
      <c r="B20483" s="690" t="s">
        <v>4060</v>
      </c>
      <c r="C20483" s="689">
        <v>3.2</v>
      </c>
      <c r="D20483" s="689">
        <v>2.9</v>
      </c>
      <c r="E20483" s="689">
        <v>3.2</v>
      </c>
      <c r="F20483" s="689">
        <v>3.2</v>
      </c>
      <c r="G20483" s="689">
        <v>3.2</v>
      </c>
      <c r="H20483" s="689">
        <v>3.3</v>
      </c>
      <c r="I20483" s="689">
        <v>3.1</v>
      </c>
      <c r="J20483" s="689">
        <v>2.8</v>
      </c>
      <c r="K20483" s="689">
        <v>2.9</v>
      </c>
    </row>
    <row r="20484" spans="1:11">
      <c r="A20484" s="688" t="s">
        <v>14</v>
      </c>
      <c r="B20484" s="692" t="s">
        <v>4060</v>
      </c>
      <c r="C20484" s="691">
        <v>2.4</v>
      </c>
      <c r="D20484" s="615">
        <v>2</v>
      </c>
      <c r="E20484" s="691">
        <v>2.1</v>
      </c>
      <c r="F20484" s="691">
        <v>2.2000000000000002</v>
      </c>
      <c r="G20484" s="691">
        <v>2.2999999999999998</v>
      </c>
      <c r="H20484" s="691">
        <v>2.4</v>
      </c>
      <c r="I20484" s="691">
        <v>2.6</v>
      </c>
      <c r="J20484" s="691">
        <v>2.7</v>
      </c>
      <c r="K20484" s="691">
        <v>2.7</v>
      </c>
    </row>
    <row r="20485" spans="1:11">
      <c r="A20485" s="688" t="s">
        <v>15</v>
      </c>
      <c r="B20485" s="690" t="s">
        <v>4060</v>
      </c>
      <c r="C20485" s="689">
        <v>4.2</v>
      </c>
      <c r="D20485" s="689">
        <v>3.2</v>
      </c>
      <c r="E20485" s="689">
        <v>3.5</v>
      </c>
      <c r="F20485" s="693">
        <v>4</v>
      </c>
      <c r="G20485" s="693">
        <v>4</v>
      </c>
      <c r="H20485" s="693">
        <v>4</v>
      </c>
      <c r="I20485" s="689">
        <v>3.6</v>
      </c>
      <c r="J20485" s="689">
        <v>3.8</v>
      </c>
      <c r="K20485" s="689">
        <v>3.9</v>
      </c>
    </row>
    <row r="20486" spans="1:11">
      <c r="A20486" s="688" t="s">
        <v>29</v>
      </c>
      <c r="B20486" s="692" t="s">
        <v>4060</v>
      </c>
      <c r="C20486" s="691">
        <v>3.4</v>
      </c>
      <c r="D20486" s="691">
        <v>3.3</v>
      </c>
      <c r="E20486" s="691">
        <v>3.5</v>
      </c>
      <c r="F20486" s="691">
        <v>3.5</v>
      </c>
      <c r="G20486" s="691">
        <v>3.5</v>
      </c>
      <c r="H20486" s="691">
        <v>3.5</v>
      </c>
      <c r="I20486" s="691">
        <v>3.5</v>
      </c>
      <c r="J20486" s="691">
        <v>3.5</v>
      </c>
      <c r="K20486" s="691">
        <v>3.2</v>
      </c>
    </row>
    <row r="20487" spans="1:11">
      <c r="A20487" s="688" t="s">
        <v>16</v>
      </c>
      <c r="B20487" s="690" t="s">
        <v>4060</v>
      </c>
      <c r="C20487" s="693">
        <v>4</v>
      </c>
      <c r="D20487" s="689">
        <v>3.5</v>
      </c>
      <c r="E20487" s="689">
        <v>3.7</v>
      </c>
      <c r="F20487" s="689">
        <v>3.7</v>
      </c>
      <c r="G20487" s="689">
        <v>3.5</v>
      </c>
      <c r="H20487" s="689">
        <v>3.9</v>
      </c>
      <c r="I20487" s="689">
        <v>3.2</v>
      </c>
      <c r="J20487" s="689">
        <v>3.5</v>
      </c>
      <c r="K20487" s="689">
        <v>3.5</v>
      </c>
    </row>
    <row r="20488" spans="1:11">
      <c r="A20488" s="688" t="s">
        <v>17</v>
      </c>
      <c r="B20488" s="692" t="s">
        <v>4060</v>
      </c>
      <c r="C20488" s="691">
        <v>3.5</v>
      </c>
      <c r="D20488" s="691">
        <v>3.3</v>
      </c>
      <c r="E20488" s="691">
        <v>3.4</v>
      </c>
      <c r="F20488" s="691">
        <v>3.3</v>
      </c>
      <c r="G20488" s="691">
        <v>3.3</v>
      </c>
      <c r="H20488" s="691">
        <v>3.4</v>
      </c>
      <c r="I20488" s="691">
        <v>3.2</v>
      </c>
      <c r="J20488" s="691">
        <v>3.2</v>
      </c>
      <c r="K20488" s="691">
        <v>3.1</v>
      </c>
    </row>
    <row r="20489" spans="1:11">
      <c r="A20489" s="688" t="s">
        <v>19</v>
      </c>
      <c r="B20489" s="690" t="s">
        <v>4060</v>
      </c>
      <c r="C20489" s="689">
        <v>3.4</v>
      </c>
      <c r="D20489" s="689">
        <v>3.3</v>
      </c>
      <c r="E20489" s="689">
        <v>3.6</v>
      </c>
      <c r="F20489" s="689">
        <v>3.4</v>
      </c>
      <c r="G20489" s="689">
        <v>3.4</v>
      </c>
      <c r="H20489" s="689">
        <v>3.4</v>
      </c>
      <c r="I20489" s="689">
        <v>3.2</v>
      </c>
      <c r="J20489" s="689">
        <v>3.3</v>
      </c>
      <c r="K20489" s="689">
        <v>3.1</v>
      </c>
    </row>
    <row r="20490" spans="1:11">
      <c r="A20490" s="688" t="s">
        <v>20</v>
      </c>
      <c r="B20490" s="692" t="s">
        <v>4060</v>
      </c>
      <c r="C20490" s="691">
        <v>3.7</v>
      </c>
      <c r="D20490" s="691">
        <v>3.5</v>
      </c>
      <c r="E20490" s="691">
        <v>3.8</v>
      </c>
      <c r="F20490" s="691">
        <v>3.7</v>
      </c>
      <c r="G20490" s="691">
        <v>3.6</v>
      </c>
      <c r="H20490" s="691">
        <v>3.9</v>
      </c>
      <c r="I20490" s="691">
        <v>3.4</v>
      </c>
      <c r="J20490" s="691">
        <v>3.1</v>
      </c>
      <c r="K20490" s="691">
        <v>3.2</v>
      </c>
    </row>
    <row r="20491" spans="1:11">
      <c r="A20491" s="688" t="s">
        <v>21</v>
      </c>
      <c r="B20491" s="690" t="s">
        <v>4060</v>
      </c>
      <c r="C20491" s="689">
        <v>3.9</v>
      </c>
      <c r="D20491" s="689">
        <v>3.7</v>
      </c>
      <c r="E20491" s="689">
        <v>3.8</v>
      </c>
      <c r="F20491" s="689">
        <v>3.9</v>
      </c>
      <c r="G20491" s="689">
        <v>3.8</v>
      </c>
      <c r="H20491" s="689">
        <v>3.9</v>
      </c>
      <c r="I20491" s="689">
        <v>3.6</v>
      </c>
      <c r="J20491" s="689">
        <v>3.6</v>
      </c>
      <c r="K20491" s="689">
        <v>3.4</v>
      </c>
    </row>
    <row r="20492" spans="1:11">
      <c r="A20492" s="688" t="s">
        <v>22</v>
      </c>
      <c r="B20492" s="692" t="s">
        <v>4060</v>
      </c>
      <c r="C20492" s="691">
        <v>3.4</v>
      </c>
      <c r="D20492" s="691">
        <v>3.7</v>
      </c>
      <c r="E20492" s="691">
        <v>4.0999999999999996</v>
      </c>
      <c r="F20492" s="691">
        <v>4.3</v>
      </c>
      <c r="G20492" s="691">
        <v>4.4000000000000004</v>
      </c>
      <c r="H20492" s="691">
        <v>4.8</v>
      </c>
      <c r="I20492" s="691">
        <v>4.7</v>
      </c>
      <c r="J20492" s="691">
        <v>3.5</v>
      </c>
      <c r="K20492" s="691">
        <v>2.9</v>
      </c>
    </row>
    <row r="20493" spans="1:11">
      <c r="A20493" s="688" t="s">
        <v>26</v>
      </c>
      <c r="B20493" s="690" t="s">
        <v>4060</v>
      </c>
      <c r="C20493" s="689">
        <v>3.5</v>
      </c>
      <c r="D20493" s="689">
        <v>3.4</v>
      </c>
      <c r="E20493" s="689">
        <v>3.4</v>
      </c>
      <c r="F20493" s="689">
        <v>3.4</v>
      </c>
      <c r="G20493" s="689">
        <v>3.8</v>
      </c>
      <c r="H20493" s="689">
        <v>3.4</v>
      </c>
      <c r="I20493" s="689">
        <v>2.9</v>
      </c>
      <c r="J20493" s="689">
        <v>3.3</v>
      </c>
      <c r="K20493" s="689">
        <v>3.3</v>
      </c>
    </row>
    <row r="20494" spans="1:11">
      <c r="A20494" s="688" t="s">
        <v>25</v>
      </c>
      <c r="B20494" s="692" t="s">
        <v>4060</v>
      </c>
      <c r="C20494" s="691">
        <v>4.3</v>
      </c>
      <c r="D20494" s="691">
        <v>3.7</v>
      </c>
      <c r="E20494" s="691">
        <v>3.8</v>
      </c>
      <c r="F20494" s="691">
        <v>3.8</v>
      </c>
      <c r="G20494" s="691">
        <v>4.2</v>
      </c>
      <c r="H20494" s="691">
        <v>4.4000000000000004</v>
      </c>
      <c r="I20494" s="691">
        <v>4.2</v>
      </c>
      <c r="J20494" s="691">
        <v>3.4</v>
      </c>
      <c r="K20494" s="691">
        <v>3.1</v>
      </c>
    </row>
    <row r="20495" spans="1:11">
      <c r="A20495" s="688" t="s">
        <v>5</v>
      </c>
      <c r="B20495" s="690" t="s">
        <v>4060</v>
      </c>
      <c r="C20495" s="689">
        <v>3.4</v>
      </c>
      <c r="D20495" s="689">
        <v>3.4</v>
      </c>
      <c r="E20495" s="689">
        <v>3.4</v>
      </c>
      <c r="F20495" s="689">
        <v>3.5</v>
      </c>
      <c r="G20495" s="689">
        <v>3.4</v>
      </c>
      <c r="H20495" s="689">
        <v>3.7</v>
      </c>
      <c r="I20495" s="689">
        <v>3.6</v>
      </c>
      <c r="J20495" s="689">
        <v>3.5</v>
      </c>
      <c r="K20495" s="689">
        <v>3.2</v>
      </c>
    </row>
    <row r="20496" spans="1:11">
      <c r="A20496" s="688" t="s">
        <v>23</v>
      </c>
      <c r="B20496" s="692" t="s">
        <v>4060</v>
      </c>
      <c r="C20496" s="691">
        <v>3.5</v>
      </c>
      <c r="D20496" s="691">
        <v>3.5</v>
      </c>
      <c r="E20496" s="691">
        <v>3.5</v>
      </c>
      <c r="F20496" s="691">
        <v>3.5</v>
      </c>
      <c r="G20496" s="691">
        <v>3.5</v>
      </c>
      <c r="H20496" s="691">
        <v>3.7</v>
      </c>
      <c r="I20496" s="691">
        <v>3.4</v>
      </c>
      <c r="J20496" s="691">
        <v>3.8</v>
      </c>
      <c r="K20496" s="691">
        <v>3.6</v>
      </c>
    </row>
    <row r="20497" spans="1:11">
      <c r="A20497" s="688" t="s">
        <v>4067</v>
      </c>
      <c r="B20497" s="690" t="s">
        <v>4060</v>
      </c>
      <c r="C20497" s="690" t="s">
        <v>4060</v>
      </c>
      <c r="D20497" s="690" t="s">
        <v>4060</v>
      </c>
      <c r="E20497" s="690" t="s">
        <v>4060</v>
      </c>
      <c r="F20497" s="690" t="s">
        <v>4060</v>
      </c>
      <c r="G20497" s="690" t="s">
        <v>4060</v>
      </c>
      <c r="H20497" s="690" t="s">
        <v>4060</v>
      </c>
      <c r="I20497" s="690" t="s">
        <v>4060</v>
      </c>
      <c r="J20497" s="690" t="s">
        <v>4060</v>
      </c>
      <c r="K20497" s="690" t="s">
        <v>4060</v>
      </c>
    </row>
    <row r="20498" spans="1:11">
      <c r="A20498" s="688" t="s">
        <v>4066</v>
      </c>
      <c r="B20498" s="692" t="s">
        <v>4060</v>
      </c>
      <c r="C20498" s="692" t="s">
        <v>4060</v>
      </c>
      <c r="D20498" s="692" t="s">
        <v>4060</v>
      </c>
      <c r="E20498" s="692" t="s">
        <v>4060</v>
      </c>
      <c r="F20498" s="692" t="s">
        <v>4060</v>
      </c>
      <c r="G20498" s="692" t="s">
        <v>4060</v>
      </c>
      <c r="H20498" s="692" t="s">
        <v>4060</v>
      </c>
      <c r="I20498" s="692" t="s">
        <v>4060</v>
      </c>
      <c r="J20498" s="692" t="s">
        <v>4060</v>
      </c>
      <c r="K20498" s="692" t="s">
        <v>4060</v>
      </c>
    </row>
    <row r="20499" spans="1:11">
      <c r="A20499" s="688" t="s">
        <v>4062</v>
      </c>
      <c r="B20499" s="690" t="s">
        <v>4060</v>
      </c>
      <c r="C20499" s="689">
        <v>3.6</v>
      </c>
      <c r="D20499" s="689">
        <v>3.4</v>
      </c>
      <c r="E20499" s="689">
        <v>3.6</v>
      </c>
      <c r="F20499" s="689">
        <v>3.6</v>
      </c>
      <c r="G20499" s="689">
        <v>3.7</v>
      </c>
      <c r="H20499" s="689">
        <v>3.7</v>
      </c>
      <c r="I20499" s="689">
        <v>3.5</v>
      </c>
      <c r="J20499" s="689">
        <v>3.6</v>
      </c>
      <c r="K20499" s="689">
        <v>3.4</v>
      </c>
    </row>
    <row r="20500" spans="1:11">
      <c r="A20500" s="688" t="s">
        <v>9</v>
      </c>
      <c r="B20500" s="692" t="s">
        <v>4060</v>
      </c>
      <c r="C20500" s="691">
        <v>3.4</v>
      </c>
      <c r="D20500" s="691">
        <v>3.3</v>
      </c>
      <c r="E20500" s="691">
        <v>3.6</v>
      </c>
      <c r="F20500" s="691">
        <v>3.5</v>
      </c>
      <c r="G20500" s="691">
        <v>3.5</v>
      </c>
      <c r="H20500" s="691">
        <v>3.4</v>
      </c>
      <c r="I20500" s="691">
        <v>3.6</v>
      </c>
      <c r="J20500" s="691">
        <v>3.6</v>
      </c>
      <c r="K20500" s="691">
        <v>3.1</v>
      </c>
    </row>
    <row r="20501" spans="1:11">
      <c r="A20501" s="688" t="s">
        <v>13</v>
      </c>
      <c r="B20501" s="690" t="s">
        <v>4060</v>
      </c>
      <c r="C20501" s="689">
        <v>2.8</v>
      </c>
      <c r="D20501" s="689">
        <v>3.6</v>
      </c>
      <c r="E20501" s="689">
        <v>3.3</v>
      </c>
      <c r="F20501" s="689">
        <v>3.9</v>
      </c>
      <c r="G20501" s="693">
        <v>3</v>
      </c>
      <c r="H20501" s="689">
        <v>3.1</v>
      </c>
      <c r="I20501" s="689">
        <v>3.1</v>
      </c>
      <c r="J20501" s="689">
        <v>3.6</v>
      </c>
      <c r="K20501" s="689">
        <v>3.9</v>
      </c>
    </row>
    <row r="20502" spans="1:11">
      <c r="A20502" s="688" t="s">
        <v>18</v>
      </c>
      <c r="B20502" s="692" t="s">
        <v>4060</v>
      </c>
      <c r="C20502" s="691">
        <v>3.6</v>
      </c>
      <c r="D20502" s="691">
        <v>3.6</v>
      </c>
      <c r="E20502" s="691">
        <v>3.5</v>
      </c>
      <c r="F20502" s="691">
        <v>3.6</v>
      </c>
      <c r="G20502" s="691">
        <v>3.6</v>
      </c>
      <c r="H20502" s="691">
        <v>3.6</v>
      </c>
      <c r="I20502" s="691">
        <v>3.7</v>
      </c>
      <c r="J20502" s="691">
        <v>3.6</v>
      </c>
      <c r="K20502" s="691">
        <v>3.3</v>
      </c>
    </row>
    <row r="20503" spans="1:11">
      <c r="A20503" s="688" t="s">
        <v>24</v>
      </c>
      <c r="B20503" s="690" t="s">
        <v>4060</v>
      </c>
      <c r="C20503" s="689">
        <v>3.6</v>
      </c>
      <c r="D20503" s="689">
        <v>3.4</v>
      </c>
      <c r="E20503" s="689">
        <v>3.7</v>
      </c>
      <c r="F20503" s="689">
        <v>3.6</v>
      </c>
      <c r="G20503" s="689">
        <v>3.7</v>
      </c>
      <c r="H20503" s="689">
        <v>3.7</v>
      </c>
      <c r="I20503" s="689">
        <v>3.4</v>
      </c>
      <c r="J20503" s="689">
        <v>3.7</v>
      </c>
      <c r="K20503" s="689">
        <v>3.5</v>
      </c>
    </row>
    <row r="20504" spans="1:11">
      <c r="A20504" s="688" t="s">
        <v>4059</v>
      </c>
      <c r="B20504" s="692" t="s">
        <v>4060</v>
      </c>
      <c r="C20504" s="692" t="s">
        <v>4060</v>
      </c>
      <c r="D20504" s="692" t="s">
        <v>4060</v>
      </c>
      <c r="E20504" s="692" t="s">
        <v>4060</v>
      </c>
      <c r="F20504" s="692" t="s">
        <v>4060</v>
      </c>
      <c r="G20504" s="692" t="s">
        <v>4060</v>
      </c>
      <c r="H20504" s="692" t="s">
        <v>4060</v>
      </c>
      <c r="I20504" s="692" t="s">
        <v>4060</v>
      </c>
      <c r="J20504" s="692" t="s">
        <v>4060</v>
      </c>
      <c r="K20504" s="692" t="s">
        <v>4060</v>
      </c>
    </row>
    <row r="20505" spans="1:11">
      <c r="A20505" s="688" t="s">
        <v>2324</v>
      </c>
      <c r="B20505" s="690" t="s">
        <v>4060</v>
      </c>
      <c r="C20505" s="690" t="s">
        <v>4060</v>
      </c>
      <c r="D20505" s="690" t="s">
        <v>4060</v>
      </c>
      <c r="E20505" s="690" t="s">
        <v>4060</v>
      </c>
      <c r="F20505" s="690" t="s">
        <v>4060</v>
      </c>
      <c r="G20505" s="690" t="s">
        <v>4060</v>
      </c>
      <c r="H20505" s="690" t="s">
        <v>4060</v>
      </c>
      <c r="I20505" s="690" t="s">
        <v>4060</v>
      </c>
      <c r="J20505" s="690" t="s">
        <v>4060</v>
      </c>
      <c r="K20505" s="690" t="s">
        <v>4060</v>
      </c>
    </row>
    <row r="20506" spans="1:11">
      <c r="A20506" s="688" t="s">
        <v>2322</v>
      </c>
      <c r="B20506" s="692" t="s">
        <v>4060</v>
      </c>
      <c r="C20506" s="692" t="s">
        <v>4060</v>
      </c>
      <c r="D20506" s="692" t="s">
        <v>4060</v>
      </c>
      <c r="E20506" s="692" t="s">
        <v>4060</v>
      </c>
      <c r="F20506" s="692" t="s">
        <v>4060</v>
      </c>
      <c r="G20506" s="692" t="s">
        <v>4060</v>
      </c>
      <c r="H20506" s="692" t="s">
        <v>4060</v>
      </c>
      <c r="I20506" s="692" t="s">
        <v>4060</v>
      </c>
      <c r="J20506" s="692" t="s">
        <v>4060</v>
      </c>
      <c r="K20506" s="692" t="s">
        <v>4060</v>
      </c>
    </row>
    <row r="20507" spans="1:11">
      <c r="A20507" s="688" t="s">
        <v>2328</v>
      </c>
      <c r="B20507" s="690" t="s">
        <v>4060</v>
      </c>
      <c r="C20507" s="690" t="s">
        <v>4060</v>
      </c>
      <c r="D20507" s="690" t="s">
        <v>4060</v>
      </c>
      <c r="E20507" s="690" t="s">
        <v>4060</v>
      </c>
      <c r="F20507" s="690" t="s">
        <v>4060</v>
      </c>
      <c r="G20507" s="690" t="s">
        <v>4060</v>
      </c>
      <c r="H20507" s="690" t="s">
        <v>4060</v>
      </c>
      <c r="I20507" s="690" t="s">
        <v>4060</v>
      </c>
      <c r="J20507" s="690" t="s">
        <v>4060</v>
      </c>
      <c r="K20507" s="690" t="s">
        <v>4060</v>
      </c>
    </row>
    <row r="20508" spans="1:11">
      <c r="A20508" s="688" t="s">
        <v>2496</v>
      </c>
      <c r="B20508" s="692" t="s">
        <v>4060</v>
      </c>
      <c r="C20508" s="692" t="s">
        <v>4060</v>
      </c>
      <c r="D20508" s="692" t="s">
        <v>4060</v>
      </c>
      <c r="E20508" s="692" t="s">
        <v>4060</v>
      </c>
      <c r="F20508" s="692" t="s">
        <v>4060</v>
      </c>
      <c r="G20508" s="692" t="s">
        <v>4060</v>
      </c>
      <c r="H20508" s="692" t="s">
        <v>4060</v>
      </c>
      <c r="I20508" s="692" t="s">
        <v>4060</v>
      </c>
      <c r="J20508" s="692" t="s">
        <v>4060</v>
      </c>
      <c r="K20508" s="692" t="s">
        <v>4060</v>
      </c>
    </row>
    <row r="20509" spans="1:11">
      <c r="A20509" s="688" t="s">
        <v>2269</v>
      </c>
      <c r="B20509" s="690" t="s">
        <v>4060</v>
      </c>
      <c r="C20509" s="690" t="s">
        <v>4060</v>
      </c>
      <c r="D20509" s="690" t="s">
        <v>4060</v>
      </c>
      <c r="E20509" s="690" t="s">
        <v>4060</v>
      </c>
      <c r="F20509" s="690" t="s">
        <v>4060</v>
      </c>
      <c r="G20509" s="690" t="s">
        <v>4060</v>
      </c>
      <c r="H20509" s="690" t="s">
        <v>4060</v>
      </c>
      <c r="I20509" s="690" t="s">
        <v>4060</v>
      </c>
      <c r="J20509" s="690" t="s">
        <v>4060</v>
      </c>
      <c r="K20509" s="690" t="s">
        <v>4060</v>
      </c>
    </row>
    <row r="20510" spans="1:11">
      <c r="A20510" s="688" t="s">
        <v>2349</v>
      </c>
      <c r="B20510" s="692" t="s">
        <v>4060</v>
      </c>
      <c r="C20510" s="692" t="s">
        <v>4060</v>
      </c>
      <c r="D20510" s="692" t="s">
        <v>4060</v>
      </c>
      <c r="E20510" s="692" t="s">
        <v>4060</v>
      </c>
      <c r="F20510" s="692" t="s">
        <v>4060</v>
      </c>
      <c r="G20510" s="692" t="s">
        <v>4060</v>
      </c>
      <c r="H20510" s="692" t="s">
        <v>4060</v>
      </c>
      <c r="I20510" s="692" t="s">
        <v>4060</v>
      </c>
      <c r="J20510" s="692" t="s">
        <v>4060</v>
      </c>
      <c r="K20510" s="692" t="s">
        <v>4060</v>
      </c>
    </row>
    <row r="20511" spans="1:11">
      <c r="A20511" s="688" t="s">
        <v>2355</v>
      </c>
      <c r="B20511" s="690" t="s">
        <v>4060</v>
      </c>
      <c r="C20511" s="690" t="s">
        <v>4060</v>
      </c>
      <c r="D20511" s="690" t="s">
        <v>4060</v>
      </c>
      <c r="E20511" s="690" t="s">
        <v>4060</v>
      </c>
      <c r="F20511" s="690" t="s">
        <v>4060</v>
      </c>
      <c r="G20511" s="690" t="s">
        <v>4060</v>
      </c>
      <c r="H20511" s="690" t="s">
        <v>4060</v>
      </c>
      <c r="I20511" s="690" t="s">
        <v>4060</v>
      </c>
      <c r="J20511" s="690" t="s">
        <v>4060</v>
      </c>
      <c r="K20511" s="690" t="s">
        <v>4060</v>
      </c>
    </row>
    <row r="20512" spans="1:11">
      <c r="A20512" s="688" t="s">
        <v>2357</v>
      </c>
      <c r="B20512" s="692" t="s">
        <v>4060</v>
      </c>
      <c r="C20512" s="692" t="s">
        <v>4060</v>
      </c>
      <c r="D20512" s="692" t="s">
        <v>4060</v>
      </c>
      <c r="E20512" s="692" t="s">
        <v>4060</v>
      </c>
      <c r="F20512" s="692" t="s">
        <v>4060</v>
      </c>
      <c r="G20512" s="692" t="s">
        <v>4060</v>
      </c>
      <c r="H20512" s="692" t="s">
        <v>4060</v>
      </c>
      <c r="I20512" s="692" t="s">
        <v>4060</v>
      </c>
      <c r="J20512" s="692" t="s">
        <v>4060</v>
      </c>
      <c r="K20512" s="692" t="s">
        <v>4060</v>
      </c>
    </row>
    <row r="20513" spans="1:11">
      <c r="A20513" s="688" t="s">
        <v>4070</v>
      </c>
      <c r="B20513" s="690" t="s">
        <v>4060</v>
      </c>
      <c r="C20513" s="690" t="s">
        <v>4060</v>
      </c>
      <c r="D20513" s="690" t="s">
        <v>4060</v>
      </c>
      <c r="E20513" s="690" t="s">
        <v>4060</v>
      </c>
      <c r="F20513" s="690" t="s">
        <v>4060</v>
      </c>
      <c r="G20513" s="690" t="s">
        <v>4060</v>
      </c>
      <c r="H20513" s="690" t="s">
        <v>4060</v>
      </c>
      <c r="I20513" s="690" t="s">
        <v>4060</v>
      </c>
      <c r="J20513" s="690" t="s">
        <v>4060</v>
      </c>
      <c r="K20513" s="690" t="s">
        <v>4060</v>
      </c>
    </row>
    <row r="20514" spans="1:11">
      <c r="A20514" s="688" t="s">
        <v>2491</v>
      </c>
      <c r="B20514" s="692" t="s">
        <v>4060</v>
      </c>
      <c r="C20514" s="692" t="s">
        <v>4060</v>
      </c>
      <c r="D20514" s="692" t="s">
        <v>4060</v>
      </c>
      <c r="E20514" s="692" t="s">
        <v>4060</v>
      </c>
      <c r="F20514" s="692" t="s">
        <v>4060</v>
      </c>
      <c r="G20514" s="692" t="s">
        <v>4060</v>
      </c>
      <c r="H20514" s="692" t="s">
        <v>4060</v>
      </c>
      <c r="I20514" s="692" t="s">
        <v>4060</v>
      </c>
      <c r="J20514" s="692" t="s">
        <v>4060</v>
      </c>
      <c r="K20514" s="692" t="s">
        <v>4060</v>
      </c>
    </row>
    <row r="20515" spans="1:11">
      <c r="A20515" s="688" t="s">
        <v>2343</v>
      </c>
      <c r="B20515" s="690" t="s">
        <v>4060</v>
      </c>
      <c r="C20515" s="690" t="s">
        <v>4060</v>
      </c>
      <c r="D20515" s="690" t="s">
        <v>4060</v>
      </c>
      <c r="E20515" s="690" t="s">
        <v>4060</v>
      </c>
      <c r="F20515" s="690" t="s">
        <v>4060</v>
      </c>
      <c r="G20515" s="690" t="s">
        <v>4060</v>
      </c>
      <c r="H20515" s="690" t="s">
        <v>4060</v>
      </c>
      <c r="I20515" s="690" t="s">
        <v>4060</v>
      </c>
      <c r="J20515" s="690" t="s">
        <v>4060</v>
      </c>
      <c r="K20515" s="690" t="s">
        <v>4060</v>
      </c>
    </row>
    <row r="20516" spans="1:11">
      <c r="A20516" s="688" t="s">
        <v>4071</v>
      </c>
      <c r="B20516" s="692" t="s">
        <v>4060</v>
      </c>
      <c r="C20516" s="692" t="s">
        <v>4060</v>
      </c>
      <c r="D20516" s="692" t="s">
        <v>4060</v>
      </c>
      <c r="E20516" s="692" t="s">
        <v>4060</v>
      </c>
      <c r="F20516" s="692" t="s">
        <v>4060</v>
      </c>
      <c r="G20516" s="692" t="s">
        <v>4060</v>
      </c>
      <c r="H20516" s="692" t="s">
        <v>4060</v>
      </c>
      <c r="I20516" s="692" t="s">
        <v>4060</v>
      </c>
      <c r="J20516" s="692" t="s">
        <v>4060</v>
      </c>
      <c r="K20516" s="692" t="s">
        <v>4060</v>
      </c>
    </row>
    <row r="20517" spans="1:11">
      <c r="A20517" s="688" t="s">
        <v>2489</v>
      </c>
      <c r="B20517" s="690" t="s">
        <v>4060</v>
      </c>
      <c r="C20517" s="690" t="s">
        <v>4060</v>
      </c>
      <c r="D20517" s="690" t="s">
        <v>4060</v>
      </c>
      <c r="E20517" s="690" t="s">
        <v>4060</v>
      </c>
      <c r="F20517" s="690" t="s">
        <v>4060</v>
      </c>
      <c r="G20517" s="690" t="s">
        <v>4060</v>
      </c>
      <c r="H20517" s="690" t="s">
        <v>4060</v>
      </c>
      <c r="I20517" s="690" t="s">
        <v>4060</v>
      </c>
      <c r="J20517" s="690" t="s">
        <v>4060</v>
      </c>
      <c r="K20517" s="690" t="s">
        <v>4060</v>
      </c>
    </row>
    <row r="20518" spans="1:11">
      <c r="A20518" s="688" t="s">
        <v>2490</v>
      </c>
      <c r="B20518" s="692" t="s">
        <v>4060</v>
      </c>
      <c r="C20518" s="692" t="s">
        <v>4060</v>
      </c>
      <c r="D20518" s="692" t="s">
        <v>4060</v>
      </c>
      <c r="E20518" s="692" t="s">
        <v>4060</v>
      </c>
      <c r="F20518" s="692" t="s">
        <v>4060</v>
      </c>
      <c r="G20518" s="692" t="s">
        <v>4060</v>
      </c>
      <c r="H20518" s="692" t="s">
        <v>4060</v>
      </c>
      <c r="I20518" s="692" t="s">
        <v>4060</v>
      </c>
      <c r="J20518" s="692" t="s">
        <v>4060</v>
      </c>
      <c r="K20518" s="692" t="s">
        <v>4060</v>
      </c>
    </row>
    <row r="20520" spans="1:11">
      <c r="A20520" s="683" t="s">
        <v>4233</v>
      </c>
    </row>
    <row r="20521" spans="1:11">
      <c r="A20521" s="683" t="s">
        <v>4060</v>
      </c>
      <c r="B20521" s="682" t="s">
        <v>4234</v>
      </c>
    </row>
    <row r="20523" spans="1:11">
      <c r="A20523" s="682" t="s">
        <v>4333</v>
      </c>
    </row>
    <row r="20524" spans="1:11">
      <c r="A20524" s="682" t="s">
        <v>4210</v>
      </c>
      <c r="B20524" s="683" t="s">
        <v>4211</v>
      </c>
    </row>
    <row r="20525" spans="1:11">
      <c r="A20525" s="682" t="s">
        <v>4212</v>
      </c>
      <c r="B20525" s="682" t="s">
        <v>4213</v>
      </c>
    </row>
    <row r="20527" spans="1:11">
      <c r="A20527" s="683" t="s">
        <v>4214</v>
      </c>
      <c r="C20527" s="682" t="s">
        <v>4215</v>
      </c>
    </row>
    <row r="20528" spans="1:11">
      <c r="A20528" s="683" t="s">
        <v>4216</v>
      </c>
      <c r="C20528" s="682" t="s">
        <v>2967</v>
      </c>
    </row>
    <row r="20529" spans="1:11">
      <c r="A20529" s="683" t="s">
        <v>3893</v>
      </c>
      <c r="C20529" s="682" t="s">
        <v>2169</v>
      </c>
    </row>
    <row r="20530" spans="1:11">
      <c r="A20530" s="683" t="s">
        <v>4218</v>
      </c>
      <c r="C20530" s="682" t="s">
        <v>4329</v>
      </c>
    </row>
    <row r="20532" spans="1:11">
      <c r="A20532" s="684" t="s">
        <v>4220</v>
      </c>
      <c r="B20532" s="685" t="s">
        <v>4221</v>
      </c>
      <c r="C20532" s="685" t="s">
        <v>4222</v>
      </c>
      <c r="D20532" s="685" t="s">
        <v>4223</v>
      </c>
      <c r="E20532" s="685" t="s">
        <v>4224</v>
      </c>
      <c r="F20532" s="685" t="s">
        <v>4225</v>
      </c>
      <c r="G20532" s="685" t="s">
        <v>4226</v>
      </c>
      <c r="H20532" s="685" t="s">
        <v>4227</v>
      </c>
      <c r="I20532" s="685" t="s">
        <v>4228</v>
      </c>
      <c r="J20532" s="685" t="s">
        <v>4229</v>
      </c>
      <c r="K20532" s="685" t="s">
        <v>4230</v>
      </c>
    </row>
    <row r="20533" spans="1:11">
      <c r="A20533" s="686" t="s">
        <v>4231</v>
      </c>
      <c r="B20533" s="687" t="s">
        <v>4232</v>
      </c>
      <c r="C20533" s="687" t="s">
        <v>4232</v>
      </c>
      <c r="D20533" s="687" t="s">
        <v>4232</v>
      </c>
      <c r="E20533" s="687" t="s">
        <v>4232</v>
      </c>
      <c r="F20533" s="687" t="s">
        <v>4232</v>
      </c>
      <c r="G20533" s="687" t="s">
        <v>4232</v>
      </c>
      <c r="H20533" s="687" t="s">
        <v>4232</v>
      </c>
      <c r="I20533" s="687" t="s">
        <v>4232</v>
      </c>
      <c r="J20533" s="687" t="s">
        <v>4232</v>
      </c>
      <c r="K20533" s="687" t="s">
        <v>4232</v>
      </c>
    </row>
    <row r="20534" spans="1:11">
      <c r="A20534" s="688" t="s">
        <v>4064</v>
      </c>
      <c r="B20534" s="692" t="s">
        <v>4060</v>
      </c>
      <c r="C20534" s="691">
        <v>3.4</v>
      </c>
      <c r="D20534" s="692" t="s">
        <v>4060</v>
      </c>
      <c r="E20534" s="691">
        <v>3.5</v>
      </c>
      <c r="F20534" s="691">
        <v>3.4</v>
      </c>
      <c r="G20534" s="691">
        <v>3.4</v>
      </c>
      <c r="H20534" s="691">
        <v>3.6</v>
      </c>
      <c r="I20534" s="691">
        <v>3.3</v>
      </c>
      <c r="J20534" s="691">
        <v>3.4</v>
      </c>
      <c r="K20534" s="691">
        <v>3.1</v>
      </c>
    </row>
    <row r="20535" spans="1:11">
      <c r="A20535" s="688" t="s">
        <v>4065</v>
      </c>
      <c r="B20535" s="690" t="s">
        <v>4060</v>
      </c>
      <c r="C20535" s="690" t="s">
        <v>4060</v>
      </c>
      <c r="D20535" s="690" t="s">
        <v>4060</v>
      </c>
      <c r="E20535" s="690" t="s">
        <v>4060</v>
      </c>
      <c r="F20535" s="690" t="s">
        <v>4060</v>
      </c>
      <c r="G20535" s="690" t="s">
        <v>4060</v>
      </c>
      <c r="H20535" s="690" t="s">
        <v>4060</v>
      </c>
      <c r="I20535" s="690" t="s">
        <v>4060</v>
      </c>
      <c r="J20535" s="690" t="s">
        <v>4060</v>
      </c>
      <c r="K20535" s="690" t="s">
        <v>4060</v>
      </c>
    </row>
    <row r="20536" spans="1:11">
      <c r="A20536" s="688" t="s">
        <v>4063</v>
      </c>
      <c r="B20536" s="692" t="s">
        <v>4060</v>
      </c>
      <c r="C20536" s="692" t="s">
        <v>4060</v>
      </c>
      <c r="D20536" s="692" t="s">
        <v>4060</v>
      </c>
      <c r="E20536" s="692" t="s">
        <v>4060</v>
      </c>
      <c r="F20536" s="692" t="s">
        <v>4060</v>
      </c>
      <c r="G20536" s="692" t="s">
        <v>4060</v>
      </c>
      <c r="H20536" s="692" t="s">
        <v>4060</v>
      </c>
      <c r="I20536" s="692" t="s">
        <v>4060</v>
      </c>
      <c r="J20536" s="692" t="s">
        <v>4060</v>
      </c>
      <c r="K20536" s="692" t="s">
        <v>4060</v>
      </c>
    </row>
    <row r="20537" spans="1:11">
      <c r="A20537" s="688" t="s">
        <v>4069</v>
      </c>
      <c r="B20537" s="690" t="s">
        <v>4060</v>
      </c>
      <c r="C20537" s="689">
        <v>3.5</v>
      </c>
      <c r="D20537" s="689">
        <v>3.2</v>
      </c>
      <c r="E20537" s="689">
        <v>3.5</v>
      </c>
      <c r="F20537" s="689">
        <v>3.4</v>
      </c>
      <c r="G20537" s="689">
        <v>3.5</v>
      </c>
      <c r="H20537" s="689">
        <v>3.5</v>
      </c>
      <c r="I20537" s="689">
        <v>3.2</v>
      </c>
      <c r="J20537" s="689">
        <v>3.4</v>
      </c>
      <c r="K20537" s="689">
        <v>3.2</v>
      </c>
    </row>
    <row r="20538" spans="1:11">
      <c r="A20538" s="688" t="s">
        <v>4068</v>
      </c>
      <c r="B20538" s="692" t="s">
        <v>4060</v>
      </c>
      <c r="C20538" s="692" t="s">
        <v>4060</v>
      </c>
      <c r="D20538" s="692" t="s">
        <v>4060</v>
      </c>
      <c r="E20538" s="692" t="s">
        <v>4060</v>
      </c>
      <c r="F20538" s="692" t="s">
        <v>4060</v>
      </c>
      <c r="G20538" s="692" t="s">
        <v>4060</v>
      </c>
      <c r="H20538" s="692" t="s">
        <v>4060</v>
      </c>
      <c r="I20538" s="692" t="s">
        <v>4060</v>
      </c>
      <c r="J20538" s="692" t="s">
        <v>4060</v>
      </c>
      <c r="K20538" s="692" t="s">
        <v>4060</v>
      </c>
    </row>
    <row r="20539" spans="1:11">
      <c r="A20539" s="688" t="s">
        <v>0</v>
      </c>
      <c r="B20539" s="690" t="s">
        <v>4060</v>
      </c>
      <c r="C20539" s="689">
        <v>3.3</v>
      </c>
      <c r="D20539" s="689">
        <v>3.1</v>
      </c>
      <c r="E20539" s="689">
        <v>3.3</v>
      </c>
      <c r="F20539" s="689">
        <v>3.4</v>
      </c>
      <c r="G20539" s="689">
        <v>3.3</v>
      </c>
      <c r="H20539" s="689">
        <v>3.5</v>
      </c>
      <c r="I20539" s="693">
        <v>3</v>
      </c>
      <c r="J20539" s="689">
        <v>3.6</v>
      </c>
      <c r="K20539" s="689">
        <v>3.2</v>
      </c>
    </row>
    <row r="20540" spans="1:11">
      <c r="A20540" s="688" t="s">
        <v>1</v>
      </c>
      <c r="B20540" s="692" t="s">
        <v>4060</v>
      </c>
      <c r="C20540" s="691">
        <v>2.6</v>
      </c>
      <c r="D20540" s="691">
        <v>2.4</v>
      </c>
      <c r="E20540" s="691">
        <v>2.6</v>
      </c>
      <c r="F20540" s="691">
        <v>2.5</v>
      </c>
      <c r="G20540" s="691">
        <v>2.5</v>
      </c>
      <c r="H20540" s="691">
        <v>2.5</v>
      </c>
      <c r="I20540" s="691">
        <v>2.2999999999999998</v>
      </c>
      <c r="J20540" s="691">
        <v>2.2000000000000002</v>
      </c>
      <c r="K20540" s="691">
        <v>2.4</v>
      </c>
    </row>
    <row r="20541" spans="1:11">
      <c r="A20541" s="688" t="s">
        <v>2240</v>
      </c>
      <c r="B20541" s="690" t="s">
        <v>4060</v>
      </c>
      <c r="C20541" s="689">
        <v>2.9</v>
      </c>
      <c r="D20541" s="689">
        <v>2.8</v>
      </c>
      <c r="E20541" s="689">
        <v>3.2</v>
      </c>
      <c r="F20541" s="693">
        <v>3</v>
      </c>
      <c r="G20541" s="689">
        <v>2.9</v>
      </c>
      <c r="H20541" s="693">
        <v>3</v>
      </c>
      <c r="I20541" s="689">
        <v>2.6</v>
      </c>
      <c r="J20541" s="689">
        <v>2.7</v>
      </c>
      <c r="K20541" s="689">
        <v>2.6</v>
      </c>
    </row>
    <row r="20542" spans="1:11">
      <c r="A20542" s="688" t="s">
        <v>2</v>
      </c>
      <c r="B20542" s="692" t="s">
        <v>4060</v>
      </c>
      <c r="C20542" s="691">
        <v>3.5</v>
      </c>
      <c r="D20542" s="691">
        <v>3.3</v>
      </c>
      <c r="E20542" s="691">
        <v>3.3</v>
      </c>
      <c r="F20542" s="691">
        <v>3.3</v>
      </c>
      <c r="G20542" s="691">
        <v>3.2</v>
      </c>
      <c r="H20542" s="691">
        <v>3.3</v>
      </c>
      <c r="I20542" s="691">
        <v>3.4</v>
      </c>
      <c r="J20542" s="691">
        <v>3.1</v>
      </c>
      <c r="K20542" s="691">
        <v>3.1</v>
      </c>
    </row>
    <row r="20543" spans="1:11">
      <c r="A20543" s="688" t="s">
        <v>3</v>
      </c>
      <c r="B20543" s="690" t="s">
        <v>4060</v>
      </c>
      <c r="C20543" s="689">
        <v>3.2</v>
      </c>
      <c r="D20543" s="689">
        <v>3.1</v>
      </c>
      <c r="E20543" s="689">
        <v>3.3</v>
      </c>
      <c r="F20543" s="689">
        <v>3.2</v>
      </c>
      <c r="G20543" s="689">
        <v>3.1</v>
      </c>
      <c r="H20543" s="689">
        <v>3.3</v>
      </c>
      <c r="I20543" s="689">
        <v>3.1</v>
      </c>
      <c r="J20543" s="689">
        <v>3.1</v>
      </c>
      <c r="K20543" s="689">
        <v>2.8</v>
      </c>
    </row>
    <row r="20544" spans="1:11">
      <c r="A20544" s="688" t="s">
        <v>4061</v>
      </c>
      <c r="B20544" s="692" t="s">
        <v>4060</v>
      </c>
      <c r="C20544" s="691">
        <v>3.2</v>
      </c>
      <c r="D20544" s="691">
        <v>3.1</v>
      </c>
      <c r="E20544" s="691">
        <v>3.3</v>
      </c>
      <c r="F20544" s="691">
        <v>3.2</v>
      </c>
      <c r="G20544" s="691">
        <v>3.1</v>
      </c>
      <c r="H20544" s="691">
        <v>3.3</v>
      </c>
      <c r="I20544" s="691">
        <v>3.1</v>
      </c>
      <c r="J20544" s="691">
        <v>3.1</v>
      </c>
      <c r="K20544" s="691">
        <v>2.8</v>
      </c>
    </row>
    <row r="20545" spans="1:11">
      <c r="A20545" s="688" t="s">
        <v>4</v>
      </c>
      <c r="B20545" s="690" t="s">
        <v>4060</v>
      </c>
      <c r="C20545" s="689">
        <v>3.2</v>
      </c>
      <c r="D20545" s="689">
        <v>3.1</v>
      </c>
      <c r="E20545" s="689">
        <v>3.1</v>
      </c>
      <c r="F20545" s="689">
        <v>3.4</v>
      </c>
      <c r="G20545" s="689">
        <v>3.3</v>
      </c>
      <c r="H20545" s="689">
        <v>3.5</v>
      </c>
      <c r="I20545" s="689">
        <v>3.4</v>
      </c>
      <c r="J20545" s="689">
        <v>3.1</v>
      </c>
      <c r="K20545" s="693">
        <v>3</v>
      </c>
    </row>
    <row r="20546" spans="1:11">
      <c r="A20546" s="688" t="s">
        <v>8</v>
      </c>
      <c r="B20546" s="692" t="s">
        <v>4060</v>
      </c>
      <c r="C20546" s="691">
        <v>3.5</v>
      </c>
      <c r="D20546" s="691">
        <v>3.2</v>
      </c>
      <c r="E20546" s="691">
        <v>3.1</v>
      </c>
      <c r="F20546" s="691">
        <v>3.5</v>
      </c>
      <c r="G20546" s="691">
        <v>3.5</v>
      </c>
      <c r="H20546" s="691">
        <v>3.5</v>
      </c>
      <c r="I20546" s="691">
        <v>3.5</v>
      </c>
      <c r="J20546" s="691">
        <v>3.6</v>
      </c>
      <c r="K20546" s="691">
        <v>3.3</v>
      </c>
    </row>
    <row r="20547" spans="1:11">
      <c r="A20547" s="688" t="s">
        <v>7</v>
      </c>
      <c r="B20547" s="690" t="s">
        <v>4060</v>
      </c>
      <c r="C20547" s="689">
        <v>2.8</v>
      </c>
      <c r="D20547" s="689">
        <v>2.2999999999999998</v>
      </c>
      <c r="E20547" s="689">
        <v>2.6</v>
      </c>
      <c r="F20547" s="689">
        <v>2.7</v>
      </c>
      <c r="G20547" s="689">
        <v>3.1</v>
      </c>
      <c r="H20547" s="689">
        <v>3.1</v>
      </c>
      <c r="I20547" s="689">
        <v>3.2</v>
      </c>
      <c r="J20547" s="693">
        <v>3</v>
      </c>
      <c r="K20547" s="689">
        <v>2.9</v>
      </c>
    </row>
    <row r="20548" spans="1:11">
      <c r="A20548" s="688" t="s">
        <v>27</v>
      </c>
      <c r="B20548" s="692" t="s">
        <v>4060</v>
      </c>
      <c r="C20548" s="691">
        <v>3.8</v>
      </c>
      <c r="D20548" s="691">
        <v>3.5</v>
      </c>
      <c r="E20548" s="691">
        <v>3.7</v>
      </c>
      <c r="F20548" s="691">
        <v>3.6</v>
      </c>
      <c r="G20548" s="691">
        <v>3.6</v>
      </c>
      <c r="H20548" s="691">
        <v>3.8</v>
      </c>
      <c r="I20548" s="691">
        <v>3.3</v>
      </c>
      <c r="J20548" s="691">
        <v>3.8</v>
      </c>
      <c r="K20548" s="691">
        <v>3.5</v>
      </c>
    </row>
    <row r="20549" spans="1:11">
      <c r="A20549" s="688" t="s">
        <v>6</v>
      </c>
      <c r="B20549" s="690" t="s">
        <v>4060</v>
      </c>
      <c r="C20549" s="689">
        <v>3.7</v>
      </c>
      <c r="D20549" s="689">
        <v>3.5</v>
      </c>
      <c r="E20549" s="689">
        <v>3.8</v>
      </c>
      <c r="F20549" s="689">
        <v>3.8</v>
      </c>
      <c r="G20549" s="689">
        <v>3.8</v>
      </c>
      <c r="H20549" s="689">
        <v>3.8</v>
      </c>
      <c r="I20549" s="689">
        <v>3.6</v>
      </c>
      <c r="J20549" s="689">
        <v>3.7</v>
      </c>
      <c r="K20549" s="689">
        <v>3.5</v>
      </c>
    </row>
    <row r="20550" spans="1:11">
      <c r="A20550" s="688" t="s">
        <v>4058</v>
      </c>
      <c r="B20550" s="692" t="s">
        <v>4060</v>
      </c>
      <c r="C20550" s="692" t="s">
        <v>4060</v>
      </c>
      <c r="D20550" s="692" t="s">
        <v>4060</v>
      </c>
      <c r="E20550" s="692" t="s">
        <v>4060</v>
      </c>
      <c r="F20550" s="692" t="s">
        <v>4060</v>
      </c>
      <c r="G20550" s="692" t="s">
        <v>4060</v>
      </c>
      <c r="H20550" s="692" t="s">
        <v>4060</v>
      </c>
      <c r="I20550" s="692" t="s">
        <v>4060</v>
      </c>
      <c r="J20550" s="692" t="s">
        <v>4060</v>
      </c>
      <c r="K20550" s="692" t="s">
        <v>4060</v>
      </c>
    </row>
    <row r="20551" spans="1:11">
      <c r="A20551" s="688" t="s">
        <v>11</v>
      </c>
      <c r="B20551" s="690" t="s">
        <v>4060</v>
      </c>
      <c r="C20551" s="689">
        <v>2.8</v>
      </c>
      <c r="D20551" s="689">
        <v>2.6</v>
      </c>
      <c r="E20551" s="689">
        <v>2.9</v>
      </c>
      <c r="F20551" s="689">
        <v>2.7</v>
      </c>
      <c r="G20551" s="689">
        <v>2.9</v>
      </c>
      <c r="H20551" s="689">
        <v>2.8</v>
      </c>
      <c r="I20551" s="689">
        <v>2.5</v>
      </c>
      <c r="J20551" s="689">
        <v>2.4</v>
      </c>
      <c r="K20551" s="689">
        <v>2.2999999999999998</v>
      </c>
    </row>
    <row r="20552" spans="1:11">
      <c r="A20552" s="688" t="s">
        <v>10</v>
      </c>
      <c r="B20552" s="692" t="s">
        <v>4060</v>
      </c>
      <c r="C20552" s="691">
        <v>3.4</v>
      </c>
      <c r="D20552" s="691">
        <v>3.2</v>
      </c>
      <c r="E20552" s="691">
        <v>3.5</v>
      </c>
      <c r="F20552" s="691">
        <v>3.4</v>
      </c>
      <c r="G20552" s="691">
        <v>3.5</v>
      </c>
      <c r="H20552" s="691">
        <v>3.6</v>
      </c>
      <c r="I20552" s="691">
        <v>3.1</v>
      </c>
      <c r="J20552" s="691">
        <v>3.4</v>
      </c>
      <c r="K20552" s="691">
        <v>3.1</v>
      </c>
    </row>
    <row r="20553" spans="1:11">
      <c r="A20553" s="688" t="s">
        <v>30</v>
      </c>
      <c r="B20553" s="690" t="s">
        <v>4060</v>
      </c>
      <c r="C20553" s="689">
        <v>3.2</v>
      </c>
      <c r="D20553" s="689">
        <v>2.6</v>
      </c>
      <c r="E20553" s="689">
        <v>2.9</v>
      </c>
      <c r="F20553" s="693">
        <v>3</v>
      </c>
      <c r="G20553" s="689">
        <v>3.6</v>
      </c>
      <c r="H20553" s="689">
        <v>2.9</v>
      </c>
      <c r="I20553" s="689">
        <v>2.9</v>
      </c>
      <c r="J20553" s="689">
        <v>2.7</v>
      </c>
      <c r="K20553" s="689">
        <v>2.7</v>
      </c>
    </row>
    <row r="20554" spans="1:11">
      <c r="A20554" s="688" t="s">
        <v>12</v>
      </c>
      <c r="B20554" s="692" t="s">
        <v>4060</v>
      </c>
      <c r="C20554" s="615">
        <v>3</v>
      </c>
      <c r="D20554" s="691">
        <v>2.8</v>
      </c>
      <c r="E20554" s="615">
        <v>3</v>
      </c>
      <c r="F20554" s="615">
        <v>3</v>
      </c>
      <c r="G20554" s="615">
        <v>3</v>
      </c>
      <c r="H20554" s="691">
        <v>3.1</v>
      </c>
      <c r="I20554" s="691">
        <v>2.9</v>
      </c>
      <c r="J20554" s="691">
        <v>2.7</v>
      </c>
      <c r="K20554" s="691">
        <v>2.7</v>
      </c>
    </row>
    <row r="20555" spans="1:11">
      <c r="A20555" s="688" t="s">
        <v>14</v>
      </c>
      <c r="B20555" s="690" t="s">
        <v>4060</v>
      </c>
      <c r="C20555" s="689">
        <v>2.1</v>
      </c>
      <c r="D20555" s="689">
        <v>1.7</v>
      </c>
      <c r="E20555" s="689">
        <v>1.8</v>
      </c>
      <c r="F20555" s="689">
        <v>1.8</v>
      </c>
      <c r="G20555" s="693">
        <v>2</v>
      </c>
      <c r="H20555" s="693">
        <v>2</v>
      </c>
      <c r="I20555" s="689">
        <v>2.2999999999999998</v>
      </c>
      <c r="J20555" s="689">
        <v>2.5</v>
      </c>
      <c r="K20555" s="689">
        <v>2.5</v>
      </c>
    </row>
    <row r="20556" spans="1:11">
      <c r="A20556" s="688" t="s">
        <v>15</v>
      </c>
      <c r="B20556" s="692" t="s">
        <v>4060</v>
      </c>
      <c r="C20556" s="691">
        <v>3.8</v>
      </c>
      <c r="D20556" s="691">
        <v>2.8</v>
      </c>
      <c r="E20556" s="691">
        <v>3.1</v>
      </c>
      <c r="F20556" s="691">
        <v>3.8</v>
      </c>
      <c r="G20556" s="691">
        <v>3.9</v>
      </c>
      <c r="H20556" s="615">
        <v>4</v>
      </c>
      <c r="I20556" s="691">
        <v>3.4</v>
      </c>
      <c r="J20556" s="691">
        <v>3.5</v>
      </c>
      <c r="K20556" s="691">
        <v>3.6</v>
      </c>
    </row>
    <row r="20557" spans="1:11">
      <c r="A20557" s="688" t="s">
        <v>29</v>
      </c>
      <c r="B20557" s="690" t="s">
        <v>4060</v>
      </c>
      <c r="C20557" s="689">
        <v>3.2</v>
      </c>
      <c r="D20557" s="689">
        <v>3.2</v>
      </c>
      <c r="E20557" s="689">
        <v>3.4</v>
      </c>
      <c r="F20557" s="689">
        <v>3.5</v>
      </c>
      <c r="G20557" s="689">
        <v>3.5</v>
      </c>
      <c r="H20557" s="689">
        <v>3.5</v>
      </c>
      <c r="I20557" s="689">
        <v>3.5</v>
      </c>
      <c r="J20557" s="689">
        <v>3.5</v>
      </c>
      <c r="K20557" s="689">
        <v>3.2</v>
      </c>
    </row>
    <row r="20558" spans="1:11">
      <c r="A20558" s="688" t="s">
        <v>16</v>
      </c>
      <c r="B20558" s="692" t="s">
        <v>4060</v>
      </c>
      <c r="C20558" s="691">
        <v>3.8</v>
      </c>
      <c r="D20558" s="691">
        <v>3.1</v>
      </c>
      <c r="E20558" s="691">
        <v>3.6</v>
      </c>
      <c r="F20558" s="691">
        <v>3.5</v>
      </c>
      <c r="G20558" s="691">
        <v>3.3</v>
      </c>
      <c r="H20558" s="691">
        <v>3.6</v>
      </c>
      <c r="I20558" s="615">
        <v>3</v>
      </c>
      <c r="J20558" s="691">
        <v>3.4</v>
      </c>
      <c r="K20558" s="691">
        <v>3.3</v>
      </c>
    </row>
    <row r="20559" spans="1:11">
      <c r="A20559" s="688" t="s">
        <v>17</v>
      </c>
      <c r="B20559" s="690" t="s">
        <v>4060</v>
      </c>
      <c r="C20559" s="689">
        <v>3.2</v>
      </c>
      <c r="D20559" s="689">
        <v>3.1</v>
      </c>
      <c r="E20559" s="689">
        <v>3.1</v>
      </c>
      <c r="F20559" s="693">
        <v>3</v>
      </c>
      <c r="G20559" s="693">
        <v>3</v>
      </c>
      <c r="H20559" s="689">
        <v>3.2</v>
      </c>
      <c r="I20559" s="693">
        <v>3</v>
      </c>
      <c r="J20559" s="693">
        <v>3</v>
      </c>
      <c r="K20559" s="689">
        <v>2.8</v>
      </c>
    </row>
    <row r="20560" spans="1:11">
      <c r="A20560" s="688" t="s">
        <v>19</v>
      </c>
      <c r="B20560" s="692" t="s">
        <v>4060</v>
      </c>
      <c r="C20560" s="691">
        <v>3.1</v>
      </c>
      <c r="D20560" s="691">
        <v>3.1</v>
      </c>
      <c r="E20560" s="691">
        <v>3.4</v>
      </c>
      <c r="F20560" s="691">
        <v>3.1</v>
      </c>
      <c r="G20560" s="691">
        <v>3.2</v>
      </c>
      <c r="H20560" s="691">
        <v>3.2</v>
      </c>
      <c r="I20560" s="691">
        <v>2.9</v>
      </c>
      <c r="J20560" s="615">
        <v>3</v>
      </c>
      <c r="K20560" s="691">
        <v>2.8</v>
      </c>
    </row>
    <row r="20561" spans="1:11">
      <c r="A20561" s="688" t="s">
        <v>20</v>
      </c>
      <c r="B20561" s="690" t="s">
        <v>4060</v>
      </c>
      <c r="C20561" s="689">
        <v>3.5</v>
      </c>
      <c r="D20561" s="689">
        <v>3.3</v>
      </c>
      <c r="E20561" s="689">
        <v>3.6</v>
      </c>
      <c r="F20561" s="689">
        <v>3.5</v>
      </c>
      <c r="G20561" s="689">
        <v>3.5</v>
      </c>
      <c r="H20561" s="689">
        <v>3.7</v>
      </c>
      <c r="I20561" s="689">
        <v>3.2</v>
      </c>
      <c r="J20561" s="689">
        <v>2.9</v>
      </c>
      <c r="K20561" s="689">
        <v>3.1</v>
      </c>
    </row>
    <row r="20562" spans="1:11">
      <c r="A20562" s="688" t="s">
        <v>21</v>
      </c>
      <c r="B20562" s="692" t="s">
        <v>4060</v>
      </c>
      <c r="C20562" s="691">
        <v>3.6</v>
      </c>
      <c r="D20562" s="691">
        <v>3.4</v>
      </c>
      <c r="E20562" s="691">
        <v>3.5</v>
      </c>
      <c r="F20562" s="691">
        <v>3.7</v>
      </c>
      <c r="G20562" s="691">
        <v>3.5</v>
      </c>
      <c r="H20562" s="691">
        <v>3.6</v>
      </c>
      <c r="I20562" s="691">
        <v>3.3</v>
      </c>
      <c r="J20562" s="691">
        <v>3.4</v>
      </c>
      <c r="K20562" s="691">
        <v>3.2</v>
      </c>
    </row>
    <row r="20563" spans="1:11">
      <c r="A20563" s="688" t="s">
        <v>22</v>
      </c>
      <c r="B20563" s="690" t="s">
        <v>4060</v>
      </c>
      <c r="C20563" s="689">
        <v>3.3</v>
      </c>
      <c r="D20563" s="689">
        <v>3.7</v>
      </c>
      <c r="E20563" s="689">
        <v>4.2</v>
      </c>
      <c r="F20563" s="689">
        <v>4.4000000000000004</v>
      </c>
      <c r="G20563" s="689">
        <v>4.5</v>
      </c>
      <c r="H20563" s="693">
        <v>5</v>
      </c>
      <c r="I20563" s="689">
        <v>4.9000000000000004</v>
      </c>
      <c r="J20563" s="689">
        <v>3.5</v>
      </c>
      <c r="K20563" s="689">
        <v>2.7</v>
      </c>
    </row>
    <row r="20564" spans="1:11">
      <c r="A20564" s="688" t="s">
        <v>26</v>
      </c>
      <c r="B20564" s="692" t="s">
        <v>4060</v>
      </c>
      <c r="C20564" s="691">
        <v>3.3</v>
      </c>
      <c r="D20564" s="691">
        <v>3.2</v>
      </c>
      <c r="E20564" s="691">
        <v>3.1</v>
      </c>
      <c r="F20564" s="691">
        <v>3.2</v>
      </c>
      <c r="G20564" s="691">
        <v>3.6</v>
      </c>
      <c r="H20564" s="691">
        <v>3.2</v>
      </c>
      <c r="I20564" s="691">
        <v>2.7</v>
      </c>
      <c r="J20564" s="615">
        <v>3</v>
      </c>
      <c r="K20564" s="691">
        <v>3.1</v>
      </c>
    </row>
    <row r="20565" spans="1:11">
      <c r="A20565" s="688" t="s">
        <v>25</v>
      </c>
      <c r="B20565" s="690" t="s">
        <v>4060</v>
      </c>
      <c r="C20565" s="689">
        <v>4.3</v>
      </c>
      <c r="D20565" s="689">
        <v>3.7</v>
      </c>
      <c r="E20565" s="689">
        <v>3.8</v>
      </c>
      <c r="F20565" s="689">
        <v>3.8</v>
      </c>
      <c r="G20565" s="689">
        <v>4.2</v>
      </c>
      <c r="H20565" s="689">
        <v>4.4000000000000004</v>
      </c>
      <c r="I20565" s="689">
        <v>4.4000000000000004</v>
      </c>
      <c r="J20565" s="689">
        <v>3.4</v>
      </c>
      <c r="K20565" s="689">
        <v>2.9</v>
      </c>
    </row>
    <row r="20566" spans="1:11">
      <c r="A20566" s="688" t="s">
        <v>5</v>
      </c>
      <c r="B20566" s="692" t="s">
        <v>4060</v>
      </c>
      <c r="C20566" s="691">
        <v>3.1</v>
      </c>
      <c r="D20566" s="691">
        <v>3.2</v>
      </c>
      <c r="E20566" s="691">
        <v>3.1</v>
      </c>
      <c r="F20566" s="691">
        <v>3.3</v>
      </c>
      <c r="G20566" s="691">
        <v>3.1</v>
      </c>
      <c r="H20566" s="691">
        <v>3.4</v>
      </c>
      <c r="I20566" s="691">
        <v>3.3</v>
      </c>
      <c r="J20566" s="691">
        <v>3.3</v>
      </c>
      <c r="K20566" s="691">
        <v>2.9</v>
      </c>
    </row>
    <row r="20567" spans="1:11">
      <c r="A20567" s="688" t="s">
        <v>23</v>
      </c>
      <c r="B20567" s="690" t="s">
        <v>4060</v>
      </c>
      <c r="C20567" s="689">
        <v>3.2</v>
      </c>
      <c r="D20567" s="689">
        <v>3.2</v>
      </c>
      <c r="E20567" s="689">
        <v>3.3</v>
      </c>
      <c r="F20567" s="689">
        <v>3.2</v>
      </c>
      <c r="G20567" s="689">
        <v>3.2</v>
      </c>
      <c r="H20567" s="689">
        <v>3.4</v>
      </c>
      <c r="I20567" s="689">
        <v>3.1</v>
      </c>
      <c r="J20567" s="689">
        <v>3.5</v>
      </c>
      <c r="K20567" s="689">
        <v>3.3</v>
      </c>
    </row>
    <row r="20568" spans="1:11">
      <c r="A20568" s="688" t="s">
        <v>4067</v>
      </c>
      <c r="B20568" s="692" t="s">
        <v>4060</v>
      </c>
      <c r="C20568" s="692" t="s">
        <v>4060</v>
      </c>
      <c r="D20568" s="692" t="s">
        <v>4060</v>
      </c>
      <c r="E20568" s="692" t="s">
        <v>4060</v>
      </c>
      <c r="F20568" s="692" t="s">
        <v>4060</v>
      </c>
      <c r="G20568" s="692" t="s">
        <v>4060</v>
      </c>
      <c r="H20568" s="692" t="s">
        <v>4060</v>
      </c>
      <c r="I20568" s="692" t="s">
        <v>4060</v>
      </c>
      <c r="J20568" s="692" t="s">
        <v>4060</v>
      </c>
      <c r="K20568" s="692" t="s">
        <v>4060</v>
      </c>
    </row>
    <row r="20569" spans="1:11">
      <c r="A20569" s="688" t="s">
        <v>4066</v>
      </c>
      <c r="B20569" s="690" t="s">
        <v>4060</v>
      </c>
      <c r="C20569" s="690" t="s">
        <v>4060</v>
      </c>
      <c r="D20569" s="690" t="s">
        <v>4060</v>
      </c>
      <c r="E20569" s="690" t="s">
        <v>4060</v>
      </c>
      <c r="F20569" s="690" t="s">
        <v>4060</v>
      </c>
      <c r="G20569" s="690" t="s">
        <v>4060</v>
      </c>
      <c r="H20569" s="690" t="s">
        <v>4060</v>
      </c>
      <c r="I20569" s="690" t="s">
        <v>4060</v>
      </c>
      <c r="J20569" s="690" t="s">
        <v>4060</v>
      </c>
      <c r="K20569" s="690" t="s">
        <v>4060</v>
      </c>
    </row>
    <row r="20570" spans="1:11">
      <c r="A20570" s="688" t="s">
        <v>4062</v>
      </c>
      <c r="B20570" s="692" t="s">
        <v>4060</v>
      </c>
      <c r="C20570" s="691">
        <v>3.3</v>
      </c>
      <c r="D20570" s="691">
        <v>3.2</v>
      </c>
      <c r="E20570" s="691">
        <v>3.4</v>
      </c>
      <c r="F20570" s="691">
        <v>3.3</v>
      </c>
      <c r="G20570" s="691">
        <v>3.4</v>
      </c>
      <c r="H20570" s="691">
        <v>3.4</v>
      </c>
      <c r="I20570" s="691">
        <v>3.2</v>
      </c>
      <c r="J20570" s="691">
        <v>3.3</v>
      </c>
      <c r="K20570" s="691">
        <v>3.1</v>
      </c>
    </row>
    <row r="20571" spans="1:11">
      <c r="A20571" s="688" t="s">
        <v>9</v>
      </c>
      <c r="B20571" s="690" t="s">
        <v>4060</v>
      </c>
      <c r="C20571" s="693">
        <v>3</v>
      </c>
      <c r="D20571" s="693">
        <v>3</v>
      </c>
      <c r="E20571" s="689">
        <v>3.4</v>
      </c>
      <c r="F20571" s="689">
        <v>3.1</v>
      </c>
      <c r="G20571" s="689">
        <v>3.3</v>
      </c>
      <c r="H20571" s="689">
        <v>2.9</v>
      </c>
      <c r="I20571" s="689">
        <v>3.4</v>
      </c>
      <c r="J20571" s="689">
        <v>3.4</v>
      </c>
      <c r="K20571" s="689">
        <v>2.7</v>
      </c>
    </row>
    <row r="20572" spans="1:11">
      <c r="A20572" s="688" t="s">
        <v>13</v>
      </c>
      <c r="B20572" s="692" t="s">
        <v>4060</v>
      </c>
      <c r="C20572" s="691">
        <v>2.2999999999999998</v>
      </c>
      <c r="D20572" s="691">
        <v>2.9</v>
      </c>
      <c r="E20572" s="691">
        <v>3.1</v>
      </c>
      <c r="F20572" s="691">
        <v>3.1</v>
      </c>
      <c r="G20572" s="691">
        <v>2.8</v>
      </c>
      <c r="H20572" s="691">
        <v>2.8</v>
      </c>
      <c r="I20572" s="691">
        <v>2.7</v>
      </c>
      <c r="J20572" s="691">
        <v>3.7</v>
      </c>
      <c r="K20572" s="691">
        <v>3.3</v>
      </c>
    </row>
    <row r="20573" spans="1:11">
      <c r="A20573" s="688" t="s">
        <v>18</v>
      </c>
      <c r="B20573" s="690" t="s">
        <v>4060</v>
      </c>
      <c r="C20573" s="689">
        <v>3.4</v>
      </c>
      <c r="D20573" s="689">
        <v>3.3</v>
      </c>
      <c r="E20573" s="689">
        <v>3.3</v>
      </c>
      <c r="F20573" s="689">
        <v>3.3</v>
      </c>
      <c r="G20573" s="689">
        <v>3.2</v>
      </c>
      <c r="H20573" s="689">
        <v>3.3</v>
      </c>
      <c r="I20573" s="689">
        <v>3.4</v>
      </c>
      <c r="J20573" s="689">
        <v>3.3</v>
      </c>
      <c r="K20573" s="689">
        <v>2.9</v>
      </c>
    </row>
    <row r="20574" spans="1:11">
      <c r="A20574" s="688" t="s">
        <v>24</v>
      </c>
      <c r="B20574" s="692" t="s">
        <v>4060</v>
      </c>
      <c r="C20574" s="691">
        <v>3.3</v>
      </c>
      <c r="D20574" s="691">
        <v>3.1</v>
      </c>
      <c r="E20574" s="691">
        <v>3.4</v>
      </c>
      <c r="F20574" s="691">
        <v>3.3</v>
      </c>
      <c r="G20574" s="691">
        <v>3.5</v>
      </c>
      <c r="H20574" s="691">
        <v>3.4</v>
      </c>
      <c r="I20574" s="691">
        <v>3.2</v>
      </c>
      <c r="J20574" s="691">
        <v>3.4</v>
      </c>
      <c r="K20574" s="691">
        <v>3.2</v>
      </c>
    </row>
    <row r="20575" spans="1:11">
      <c r="A20575" s="688" t="s">
        <v>4059</v>
      </c>
      <c r="B20575" s="690" t="s">
        <v>4060</v>
      </c>
      <c r="C20575" s="690" t="s">
        <v>4060</v>
      </c>
      <c r="D20575" s="690" t="s">
        <v>4060</v>
      </c>
      <c r="E20575" s="690" t="s">
        <v>4060</v>
      </c>
      <c r="F20575" s="690" t="s">
        <v>4060</v>
      </c>
      <c r="G20575" s="690" t="s">
        <v>4060</v>
      </c>
      <c r="H20575" s="690" t="s">
        <v>4060</v>
      </c>
      <c r="I20575" s="690" t="s">
        <v>4060</v>
      </c>
      <c r="J20575" s="690" t="s">
        <v>4060</v>
      </c>
      <c r="K20575" s="690" t="s">
        <v>4060</v>
      </c>
    </row>
    <row r="20576" spans="1:11">
      <c r="A20576" s="688" t="s">
        <v>2324</v>
      </c>
      <c r="B20576" s="692" t="s">
        <v>4060</v>
      </c>
      <c r="C20576" s="692" t="s">
        <v>4060</v>
      </c>
      <c r="D20576" s="692" t="s">
        <v>4060</v>
      </c>
      <c r="E20576" s="692" t="s">
        <v>4060</v>
      </c>
      <c r="F20576" s="692" t="s">
        <v>4060</v>
      </c>
      <c r="G20576" s="692" t="s">
        <v>4060</v>
      </c>
      <c r="H20576" s="692" t="s">
        <v>4060</v>
      </c>
      <c r="I20576" s="692" t="s">
        <v>4060</v>
      </c>
      <c r="J20576" s="692" t="s">
        <v>4060</v>
      </c>
      <c r="K20576" s="692" t="s">
        <v>4060</v>
      </c>
    </row>
    <row r="20577" spans="1:11">
      <c r="A20577" s="688" t="s">
        <v>2322</v>
      </c>
      <c r="B20577" s="690" t="s">
        <v>4060</v>
      </c>
      <c r="C20577" s="690" t="s">
        <v>4060</v>
      </c>
      <c r="D20577" s="690" t="s">
        <v>4060</v>
      </c>
      <c r="E20577" s="690" t="s">
        <v>4060</v>
      </c>
      <c r="F20577" s="690" t="s">
        <v>4060</v>
      </c>
      <c r="G20577" s="690" t="s">
        <v>4060</v>
      </c>
      <c r="H20577" s="690" t="s">
        <v>4060</v>
      </c>
      <c r="I20577" s="690" t="s">
        <v>4060</v>
      </c>
      <c r="J20577" s="690" t="s">
        <v>4060</v>
      </c>
      <c r="K20577" s="690" t="s">
        <v>4060</v>
      </c>
    </row>
    <row r="20578" spans="1:11">
      <c r="A20578" s="688" t="s">
        <v>2328</v>
      </c>
      <c r="B20578" s="692" t="s">
        <v>4060</v>
      </c>
      <c r="C20578" s="692" t="s">
        <v>4060</v>
      </c>
      <c r="D20578" s="692" t="s">
        <v>4060</v>
      </c>
      <c r="E20578" s="692" t="s">
        <v>4060</v>
      </c>
      <c r="F20578" s="692" t="s">
        <v>4060</v>
      </c>
      <c r="G20578" s="692" t="s">
        <v>4060</v>
      </c>
      <c r="H20578" s="692" t="s">
        <v>4060</v>
      </c>
      <c r="I20578" s="692" t="s">
        <v>4060</v>
      </c>
      <c r="J20578" s="692" t="s">
        <v>4060</v>
      </c>
      <c r="K20578" s="692" t="s">
        <v>4060</v>
      </c>
    </row>
    <row r="20579" spans="1:11">
      <c r="A20579" s="688" t="s">
        <v>2496</v>
      </c>
      <c r="B20579" s="690" t="s">
        <v>4060</v>
      </c>
      <c r="C20579" s="690" t="s">
        <v>4060</v>
      </c>
      <c r="D20579" s="690" t="s">
        <v>4060</v>
      </c>
      <c r="E20579" s="690" t="s">
        <v>4060</v>
      </c>
      <c r="F20579" s="690" t="s">
        <v>4060</v>
      </c>
      <c r="G20579" s="690" t="s">
        <v>4060</v>
      </c>
      <c r="H20579" s="690" t="s">
        <v>4060</v>
      </c>
      <c r="I20579" s="690" t="s">
        <v>4060</v>
      </c>
      <c r="J20579" s="690" t="s">
        <v>4060</v>
      </c>
      <c r="K20579" s="690" t="s">
        <v>4060</v>
      </c>
    </row>
    <row r="20580" spans="1:11">
      <c r="A20580" s="688" t="s">
        <v>2269</v>
      </c>
      <c r="B20580" s="692" t="s">
        <v>4060</v>
      </c>
      <c r="C20580" s="692" t="s">
        <v>4060</v>
      </c>
      <c r="D20580" s="692" t="s">
        <v>4060</v>
      </c>
      <c r="E20580" s="692" t="s">
        <v>4060</v>
      </c>
      <c r="F20580" s="692" t="s">
        <v>4060</v>
      </c>
      <c r="G20580" s="692" t="s">
        <v>4060</v>
      </c>
      <c r="H20580" s="692" t="s">
        <v>4060</v>
      </c>
      <c r="I20580" s="692" t="s">
        <v>4060</v>
      </c>
      <c r="J20580" s="692" t="s">
        <v>4060</v>
      </c>
      <c r="K20580" s="692" t="s">
        <v>4060</v>
      </c>
    </row>
    <row r="20581" spans="1:11">
      <c r="A20581" s="688" t="s">
        <v>2349</v>
      </c>
      <c r="B20581" s="690" t="s">
        <v>4060</v>
      </c>
      <c r="C20581" s="690" t="s">
        <v>4060</v>
      </c>
      <c r="D20581" s="690" t="s">
        <v>4060</v>
      </c>
      <c r="E20581" s="690" t="s">
        <v>4060</v>
      </c>
      <c r="F20581" s="690" t="s">
        <v>4060</v>
      </c>
      <c r="G20581" s="690" t="s">
        <v>4060</v>
      </c>
      <c r="H20581" s="690" t="s">
        <v>4060</v>
      </c>
      <c r="I20581" s="690" t="s">
        <v>4060</v>
      </c>
      <c r="J20581" s="690" t="s">
        <v>4060</v>
      </c>
      <c r="K20581" s="690" t="s">
        <v>4060</v>
      </c>
    </row>
    <row r="20582" spans="1:11">
      <c r="A20582" s="688" t="s">
        <v>2355</v>
      </c>
      <c r="B20582" s="692" t="s">
        <v>4060</v>
      </c>
      <c r="C20582" s="692" t="s">
        <v>4060</v>
      </c>
      <c r="D20582" s="692" t="s">
        <v>4060</v>
      </c>
      <c r="E20582" s="692" t="s">
        <v>4060</v>
      </c>
      <c r="F20582" s="692" t="s">
        <v>4060</v>
      </c>
      <c r="G20582" s="692" t="s">
        <v>4060</v>
      </c>
      <c r="H20582" s="692" t="s">
        <v>4060</v>
      </c>
      <c r="I20582" s="692" t="s">
        <v>4060</v>
      </c>
      <c r="J20582" s="692" t="s">
        <v>4060</v>
      </c>
      <c r="K20582" s="692" t="s">
        <v>4060</v>
      </c>
    </row>
    <row r="20583" spans="1:11">
      <c r="A20583" s="688" t="s">
        <v>2357</v>
      </c>
      <c r="B20583" s="690" t="s">
        <v>4060</v>
      </c>
      <c r="C20583" s="690" t="s">
        <v>4060</v>
      </c>
      <c r="D20583" s="690" t="s">
        <v>4060</v>
      </c>
      <c r="E20583" s="690" t="s">
        <v>4060</v>
      </c>
      <c r="F20583" s="690" t="s">
        <v>4060</v>
      </c>
      <c r="G20583" s="690" t="s">
        <v>4060</v>
      </c>
      <c r="H20583" s="690" t="s">
        <v>4060</v>
      </c>
      <c r="I20583" s="690" t="s">
        <v>4060</v>
      </c>
      <c r="J20583" s="690" t="s">
        <v>4060</v>
      </c>
      <c r="K20583" s="690" t="s">
        <v>4060</v>
      </c>
    </row>
    <row r="20584" spans="1:11">
      <c r="A20584" s="688" t="s">
        <v>4070</v>
      </c>
      <c r="B20584" s="692" t="s">
        <v>4060</v>
      </c>
      <c r="C20584" s="692" t="s">
        <v>4060</v>
      </c>
      <c r="D20584" s="692" t="s">
        <v>4060</v>
      </c>
      <c r="E20584" s="692" t="s">
        <v>4060</v>
      </c>
      <c r="F20584" s="692" t="s">
        <v>4060</v>
      </c>
      <c r="G20584" s="692" t="s">
        <v>4060</v>
      </c>
      <c r="H20584" s="692" t="s">
        <v>4060</v>
      </c>
      <c r="I20584" s="692" t="s">
        <v>4060</v>
      </c>
      <c r="J20584" s="692" t="s">
        <v>4060</v>
      </c>
      <c r="K20584" s="692" t="s">
        <v>4060</v>
      </c>
    </row>
    <row r="20585" spans="1:11">
      <c r="A20585" s="688" t="s">
        <v>2491</v>
      </c>
      <c r="B20585" s="690" t="s">
        <v>4060</v>
      </c>
      <c r="C20585" s="690" t="s">
        <v>4060</v>
      </c>
      <c r="D20585" s="690" t="s">
        <v>4060</v>
      </c>
      <c r="E20585" s="690" t="s">
        <v>4060</v>
      </c>
      <c r="F20585" s="690" t="s">
        <v>4060</v>
      </c>
      <c r="G20585" s="690" t="s">
        <v>4060</v>
      </c>
      <c r="H20585" s="690" t="s">
        <v>4060</v>
      </c>
      <c r="I20585" s="690" t="s">
        <v>4060</v>
      </c>
      <c r="J20585" s="690" t="s">
        <v>4060</v>
      </c>
      <c r="K20585" s="690" t="s">
        <v>4060</v>
      </c>
    </row>
    <row r="20586" spans="1:11">
      <c r="A20586" s="688" t="s">
        <v>2343</v>
      </c>
      <c r="B20586" s="692" t="s">
        <v>4060</v>
      </c>
      <c r="C20586" s="692" t="s">
        <v>4060</v>
      </c>
      <c r="D20586" s="692" t="s">
        <v>4060</v>
      </c>
      <c r="E20586" s="692" t="s">
        <v>4060</v>
      </c>
      <c r="F20586" s="692" t="s">
        <v>4060</v>
      </c>
      <c r="G20586" s="692" t="s">
        <v>4060</v>
      </c>
      <c r="H20586" s="692" t="s">
        <v>4060</v>
      </c>
      <c r="I20586" s="692" t="s">
        <v>4060</v>
      </c>
      <c r="J20586" s="692" t="s">
        <v>4060</v>
      </c>
      <c r="K20586" s="692" t="s">
        <v>4060</v>
      </c>
    </row>
    <row r="20587" spans="1:11">
      <c r="A20587" s="688" t="s">
        <v>4071</v>
      </c>
      <c r="B20587" s="690" t="s">
        <v>4060</v>
      </c>
      <c r="C20587" s="690" t="s">
        <v>4060</v>
      </c>
      <c r="D20587" s="690" t="s">
        <v>4060</v>
      </c>
      <c r="E20587" s="690" t="s">
        <v>4060</v>
      </c>
      <c r="F20587" s="690" t="s">
        <v>4060</v>
      </c>
      <c r="G20587" s="690" t="s">
        <v>4060</v>
      </c>
      <c r="H20587" s="690" t="s">
        <v>4060</v>
      </c>
      <c r="I20587" s="690" t="s">
        <v>4060</v>
      </c>
      <c r="J20587" s="690" t="s">
        <v>4060</v>
      </c>
      <c r="K20587" s="690" t="s">
        <v>4060</v>
      </c>
    </row>
    <row r="20588" spans="1:11">
      <c r="A20588" s="688" t="s">
        <v>2489</v>
      </c>
      <c r="B20588" s="692" t="s">
        <v>4060</v>
      </c>
      <c r="C20588" s="692" t="s">
        <v>4060</v>
      </c>
      <c r="D20588" s="692" t="s">
        <v>4060</v>
      </c>
      <c r="E20588" s="692" t="s">
        <v>4060</v>
      </c>
      <c r="F20588" s="692" t="s">
        <v>4060</v>
      </c>
      <c r="G20588" s="692" t="s">
        <v>4060</v>
      </c>
      <c r="H20588" s="692" t="s">
        <v>4060</v>
      </c>
      <c r="I20588" s="692" t="s">
        <v>4060</v>
      </c>
      <c r="J20588" s="692" t="s">
        <v>4060</v>
      </c>
      <c r="K20588" s="692" t="s">
        <v>4060</v>
      </c>
    </row>
    <row r="20589" spans="1:11">
      <c r="A20589" s="688" t="s">
        <v>2490</v>
      </c>
      <c r="B20589" s="690" t="s">
        <v>4060</v>
      </c>
      <c r="C20589" s="690" t="s">
        <v>4060</v>
      </c>
      <c r="D20589" s="690" t="s">
        <v>4060</v>
      </c>
      <c r="E20589" s="690" t="s">
        <v>4060</v>
      </c>
      <c r="F20589" s="690" t="s">
        <v>4060</v>
      </c>
      <c r="G20589" s="690" t="s">
        <v>4060</v>
      </c>
      <c r="H20589" s="690" t="s">
        <v>4060</v>
      </c>
      <c r="I20589" s="690" t="s">
        <v>4060</v>
      </c>
      <c r="J20589" s="690" t="s">
        <v>4060</v>
      </c>
      <c r="K20589" s="690" t="s">
        <v>4060</v>
      </c>
    </row>
    <row r="20591" spans="1:11">
      <c r="A20591" s="683" t="s">
        <v>4233</v>
      </c>
    </row>
    <row r="20592" spans="1:11">
      <c r="A20592" s="683" t="s">
        <v>4060</v>
      </c>
      <c r="B20592" s="682" t="s">
        <v>4234</v>
      </c>
    </row>
    <row r="20594" spans="1:11">
      <c r="A20594" s="682" t="s">
        <v>4333</v>
      </c>
    </row>
    <row r="20595" spans="1:11">
      <c r="A20595" s="682" t="s">
        <v>4210</v>
      </c>
      <c r="B20595" s="683" t="s">
        <v>4211</v>
      </c>
    </row>
    <row r="20596" spans="1:11">
      <c r="A20596" s="682" t="s">
        <v>4212</v>
      </c>
      <c r="B20596" s="682" t="s">
        <v>4213</v>
      </c>
    </row>
    <row r="20598" spans="1:11">
      <c r="A20598" s="683" t="s">
        <v>4214</v>
      </c>
      <c r="C20598" s="682" t="s">
        <v>4215</v>
      </c>
    </row>
    <row r="20599" spans="1:11">
      <c r="A20599" s="683" t="s">
        <v>4216</v>
      </c>
      <c r="C20599" s="682" t="s">
        <v>2967</v>
      </c>
    </row>
    <row r="20600" spans="1:11">
      <c r="A20600" s="683" t="s">
        <v>3893</v>
      </c>
      <c r="C20600" s="682" t="s">
        <v>2169</v>
      </c>
    </row>
    <row r="20601" spans="1:11">
      <c r="A20601" s="683" t="s">
        <v>4218</v>
      </c>
      <c r="C20601" s="682" t="s">
        <v>4330</v>
      </c>
    </row>
    <row r="20603" spans="1:11">
      <c r="A20603" s="684" t="s">
        <v>4220</v>
      </c>
      <c r="B20603" s="685" t="s">
        <v>4221</v>
      </c>
      <c r="C20603" s="685" t="s">
        <v>4222</v>
      </c>
      <c r="D20603" s="685" t="s">
        <v>4223</v>
      </c>
      <c r="E20603" s="685" t="s">
        <v>4224</v>
      </c>
      <c r="F20603" s="685" t="s">
        <v>4225</v>
      </c>
      <c r="G20603" s="685" t="s">
        <v>4226</v>
      </c>
      <c r="H20603" s="685" t="s">
        <v>4227</v>
      </c>
      <c r="I20603" s="685" t="s">
        <v>4228</v>
      </c>
      <c r="J20603" s="685" t="s">
        <v>4229</v>
      </c>
      <c r="K20603" s="685" t="s">
        <v>4230</v>
      </c>
    </row>
    <row r="20604" spans="1:11">
      <c r="A20604" s="686" t="s">
        <v>4231</v>
      </c>
      <c r="B20604" s="687" t="s">
        <v>4232</v>
      </c>
      <c r="C20604" s="687" t="s">
        <v>4232</v>
      </c>
      <c r="D20604" s="687" t="s">
        <v>4232</v>
      </c>
      <c r="E20604" s="687" t="s">
        <v>4232</v>
      </c>
      <c r="F20604" s="687" t="s">
        <v>4232</v>
      </c>
      <c r="G20604" s="687" t="s">
        <v>4232</v>
      </c>
      <c r="H20604" s="687" t="s">
        <v>4232</v>
      </c>
      <c r="I20604" s="687" t="s">
        <v>4232</v>
      </c>
      <c r="J20604" s="687" t="s">
        <v>4232</v>
      </c>
      <c r="K20604" s="687" t="s">
        <v>4232</v>
      </c>
    </row>
    <row r="20605" spans="1:11">
      <c r="A20605" s="688" t="s">
        <v>4064</v>
      </c>
      <c r="B20605" s="690" t="s">
        <v>4060</v>
      </c>
      <c r="C20605" s="689">
        <v>3.3</v>
      </c>
      <c r="D20605" s="690" t="s">
        <v>4060</v>
      </c>
      <c r="E20605" s="689">
        <v>3.3</v>
      </c>
      <c r="F20605" s="689">
        <v>3.2</v>
      </c>
      <c r="G20605" s="689">
        <v>3.2</v>
      </c>
      <c r="H20605" s="689">
        <v>3.3</v>
      </c>
      <c r="I20605" s="693">
        <v>3</v>
      </c>
      <c r="J20605" s="689">
        <v>3.1</v>
      </c>
      <c r="K20605" s="689">
        <v>2.9</v>
      </c>
    </row>
    <row r="20606" spans="1:11">
      <c r="A20606" s="688" t="s">
        <v>4065</v>
      </c>
      <c r="B20606" s="692" t="s">
        <v>4060</v>
      </c>
      <c r="C20606" s="692" t="s">
        <v>4060</v>
      </c>
      <c r="D20606" s="692" t="s">
        <v>4060</v>
      </c>
      <c r="E20606" s="692" t="s">
        <v>4060</v>
      </c>
      <c r="F20606" s="692" t="s">
        <v>4060</v>
      </c>
      <c r="G20606" s="692" t="s">
        <v>4060</v>
      </c>
      <c r="H20606" s="692" t="s">
        <v>4060</v>
      </c>
      <c r="I20606" s="692" t="s">
        <v>4060</v>
      </c>
      <c r="J20606" s="692" t="s">
        <v>4060</v>
      </c>
      <c r="K20606" s="692" t="s">
        <v>4060</v>
      </c>
    </row>
    <row r="20607" spans="1:11">
      <c r="A20607" s="688" t="s">
        <v>4063</v>
      </c>
      <c r="B20607" s="690" t="s">
        <v>4060</v>
      </c>
      <c r="C20607" s="690" t="s">
        <v>4060</v>
      </c>
      <c r="D20607" s="690" t="s">
        <v>4060</v>
      </c>
      <c r="E20607" s="690" t="s">
        <v>4060</v>
      </c>
      <c r="F20607" s="690" t="s">
        <v>4060</v>
      </c>
      <c r="G20607" s="690" t="s">
        <v>4060</v>
      </c>
      <c r="H20607" s="690" t="s">
        <v>4060</v>
      </c>
      <c r="I20607" s="690" t="s">
        <v>4060</v>
      </c>
      <c r="J20607" s="690" t="s">
        <v>4060</v>
      </c>
      <c r="K20607" s="690" t="s">
        <v>4060</v>
      </c>
    </row>
    <row r="20608" spans="1:11">
      <c r="A20608" s="688" t="s">
        <v>4069</v>
      </c>
      <c r="B20608" s="692" t="s">
        <v>4060</v>
      </c>
      <c r="C20608" s="691">
        <v>3.3</v>
      </c>
      <c r="D20608" s="615">
        <v>3</v>
      </c>
      <c r="E20608" s="691">
        <v>3.3</v>
      </c>
      <c r="F20608" s="691">
        <v>3.2</v>
      </c>
      <c r="G20608" s="691">
        <v>3.2</v>
      </c>
      <c r="H20608" s="691">
        <v>3.3</v>
      </c>
      <c r="I20608" s="615">
        <v>3</v>
      </c>
      <c r="J20608" s="691">
        <v>3.2</v>
      </c>
      <c r="K20608" s="691">
        <v>2.9</v>
      </c>
    </row>
    <row r="20609" spans="1:11">
      <c r="A20609" s="688" t="s">
        <v>4068</v>
      </c>
      <c r="B20609" s="690" t="s">
        <v>4060</v>
      </c>
      <c r="C20609" s="690" t="s">
        <v>4060</v>
      </c>
      <c r="D20609" s="690" t="s">
        <v>4060</v>
      </c>
      <c r="E20609" s="690" t="s">
        <v>4060</v>
      </c>
      <c r="F20609" s="690" t="s">
        <v>4060</v>
      </c>
      <c r="G20609" s="690" t="s">
        <v>4060</v>
      </c>
      <c r="H20609" s="690" t="s">
        <v>4060</v>
      </c>
      <c r="I20609" s="690" t="s">
        <v>4060</v>
      </c>
      <c r="J20609" s="690" t="s">
        <v>4060</v>
      </c>
      <c r="K20609" s="690" t="s">
        <v>4060</v>
      </c>
    </row>
    <row r="20610" spans="1:11">
      <c r="A20610" s="688" t="s">
        <v>0</v>
      </c>
      <c r="B20610" s="692" t="s">
        <v>4060</v>
      </c>
      <c r="C20610" s="691">
        <v>3.1</v>
      </c>
      <c r="D20610" s="691">
        <v>2.9</v>
      </c>
      <c r="E20610" s="691">
        <v>3.1</v>
      </c>
      <c r="F20610" s="691">
        <v>3.2</v>
      </c>
      <c r="G20610" s="691">
        <v>3.1</v>
      </c>
      <c r="H20610" s="691">
        <v>3.3</v>
      </c>
      <c r="I20610" s="691">
        <v>2.8</v>
      </c>
      <c r="J20610" s="691">
        <v>3.4</v>
      </c>
      <c r="K20610" s="615">
        <v>3</v>
      </c>
    </row>
    <row r="20611" spans="1:11">
      <c r="A20611" s="688" t="s">
        <v>1</v>
      </c>
      <c r="B20611" s="690" t="s">
        <v>4060</v>
      </c>
      <c r="C20611" s="689">
        <v>2.4</v>
      </c>
      <c r="D20611" s="689">
        <v>2.2000000000000002</v>
      </c>
      <c r="E20611" s="689">
        <v>2.5</v>
      </c>
      <c r="F20611" s="689">
        <v>2.2999999999999998</v>
      </c>
      <c r="G20611" s="689">
        <v>2.4</v>
      </c>
      <c r="H20611" s="689">
        <v>2.4</v>
      </c>
      <c r="I20611" s="689">
        <v>2.1</v>
      </c>
      <c r="J20611" s="689">
        <v>2.1</v>
      </c>
      <c r="K20611" s="689">
        <v>2.4</v>
      </c>
    </row>
    <row r="20612" spans="1:11">
      <c r="A20612" s="688" t="s">
        <v>2240</v>
      </c>
      <c r="B20612" s="692" t="s">
        <v>4060</v>
      </c>
      <c r="C20612" s="691">
        <v>2.8</v>
      </c>
      <c r="D20612" s="691">
        <v>2.6</v>
      </c>
      <c r="E20612" s="615">
        <v>3</v>
      </c>
      <c r="F20612" s="691">
        <v>2.8</v>
      </c>
      <c r="G20612" s="691">
        <v>2.7</v>
      </c>
      <c r="H20612" s="691">
        <v>2.8</v>
      </c>
      <c r="I20612" s="691">
        <v>2.4</v>
      </c>
      <c r="J20612" s="691">
        <v>2.5</v>
      </c>
      <c r="K20612" s="691">
        <v>2.5</v>
      </c>
    </row>
    <row r="20613" spans="1:11">
      <c r="A20613" s="688" t="s">
        <v>2</v>
      </c>
      <c r="B20613" s="690" t="s">
        <v>4060</v>
      </c>
      <c r="C20613" s="689">
        <v>3.3</v>
      </c>
      <c r="D20613" s="689">
        <v>3.1</v>
      </c>
      <c r="E20613" s="689">
        <v>3.1</v>
      </c>
      <c r="F20613" s="693">
        <v>3</v>
      </c>
      <c r="G20613" s="693">
        <v>3</v>
      </c>
      <c r="H20613" s="689">
        <v>3.1</v>
      </c>
      <c r="I20613" s="689">
        <v>3.2</v>
      </c>
      <c r="J20613" s="689">
        <v>2.9</v>
      </c>
      <c r="K20613" s="689">
        <v>2.8</v>
      </c>
    </row>
    <row r="20614" spans="1:11">
      <c r="A20614" s="688" t="s">
        <v>3</v>
      </c>
      <c r="B20614" s="692" t="s">
        <v>4060</v>
      </c>
      <c r="C20614" s="691">
        <v>3.1</v>
      </c>
      <c r="D20614" s="691">
        <v>2.9</v>
      </c>
      <c r="E20614" s="691">
        <v>3.1</v>
      </c>
      <c r="F20614" s="615">
        <v>3</v>
      </c>
      <c r="G20614" s="691">
        <v>2.9</v>
      </c>
      <c r="H20614" s="615">
        <v>3</v>
      </c>
      <c r="I20614" s="691">
        <v>2.9</v>
      </c>
      <c r="J20614" s="691">
        <v>2.9</v>
      </c>
      <c r="K20614" s="691">
        <v>2.6</v>
      </c>
    </row>
    <row r="20615" spans="1:11">
      <c r="A20615" s="688" t="s">
        <v>4061</v>
      </c>
      <c r="B20615" s="690" t="s">
        <v>4060</v>
      </c>
      <c r="C20615" s="689">
        <v>3.1</v>
      </c>
      <c r="D20615" s="689">
        <v>2.9</v>
      </c>
      <c r="E20615" s="689">
        <v>3.1</v>
      </c>
      <c r="F20615" s="693">
        <v>3</v>
      </c>
      <c r="G20615" s="689">
        <v>2.9</v>
      </c>
      <c r="H20615" s="693">
        <v>3</v>
      </c>
      <c r="I20615" s="689">
        <v>2.9</v>
      </c>
      <c r="J20615" s="689">
        <v>2.9</v>
      </c>
      <c r="K20615" s="689">
        <v>2.6</v>
      </c>
    </row>
    <row r="20616" spans="1:11">
      <c r="A20616" s="688" t="s">
        <v>4</v>
      </c>
      <c r="B20616" s="692" t="s">
        <v>4060</v>
      </c>
      <c r="C20616" s="691">
        <v>2.9</v>
      </c>
      <c r="D20616" s="691">
        <v>2.9</v>
      </c>
      <c r="E20616" s="691">
        <v>2.9</v>
      </c>
      <c r="F20616" s="691">
        <v>3.2</v>
      </c>
      <c r="G20616" s="691">
        <v>3.2</v>
      </c>
      <c r="H20616" s="691">
        <v>3.3</v>
      </c>
      <c r="I20616" s="691">
        <v>3.2</v>
      </c>
      <c r="J20616" s="691">
        <v>2.9</v>
      </c>
      <c r="K20616" s="691">
        <v>2.8</v>
      </c>
    </row>
    <row r="20617" spans="1:11">
      <c r="A20617" s="688" t="s">
        <v>8</v>
      </c>
      <c r="B20617" s="690" t="s">
        <v>4060</v>
      </c>
      <c r="C20617" s="689">
        <v>3.4</v>
      </c>
      <c r="D20617" s="689">
        <v>3.1</v>
      </c>
      <c r="E20617" s="689">
        <v>2.9</v>
      </c>
      <c r="F20617" s="689">
        <v>3.4</v>
      </c>
      <c r="G20617" s="689">
        <v>3.3</v>
      </c>
      <c r="H20617" s="689">
        <v>3.2</v>
      </c>
      <c r="I20617" s="689">
        <v>3.2</v>
      </c>
      <c r="J20617" s="689">
        <v>3.3</v>
      </c>
      <c r="K20617" s="689">
        <v>3.2</v>
      </c>
    </row>
    <row r="20618" spans="1:11">
      <c r="A20618" s="688" t="s">
        <v>7</v>
      </c>
      <c r="B20618" s="692" t="s">
        <v>4060</v>
      </c>
      <c r="C20618" s="691">
        <v>2.8</v>
      </c>
      <c r="D20618" s="691">
        <v>2.4</v>
      </c>
      <c r="E20618" s="691">
        <v>2.2999999999999998</v>
      </c>
      <c r="F20618" s="691">
        <v>2.2999999999999998</v>
      </c>
      <c r="G20618" s="691">
        <v>2.8</v>
      </c>
      <c r="H20618" s="691">
        <v>2.9</v>
      </c>
      <c r="I20618" s="615">
        <v>3</v>
      </c>
      <c r="J20618" s="691">
        <v>2.8</v>
      </c>
      <c r="K20618" s="691">
        <v>2.8</v>
      </c>
    </row>
    <row r="20619" spans="1:11">
      <c r="A20619" s="688" t="s">
        <v>27</v>
      </c>
      <c r="B20619" s="690" t="s">
        <v>4060</v>
      </c>
      <c r="C20619" s="689">
        <v>3.6</v>
      </c>
      <c r="D20619" s="689">
        <v>3.3</v>
      </c>
      <c r="E20619" s="689">
        <v>3.5</v>
      </c>
      <c r="F20619" s="689">
        <v>3.4</v>
      </c>
      <c r="G20619" s="689">
        <v>3.4</v>
      </c>
      <c r="H20619" s="689">
        <v>3.6</v>
      </c>
      <c r="I20619" s="689">
        <v>3.1</v>
      </c>
      <c r="J20619" s="689">
        <v>3.5</v>
      </c>
      <c r="K20619" s="689">
        <v>3.2</v>
      </c>
    </row>
    <row r="20620" spans="1:11">
      <c r="A20620" s="688" t="s">
        <v>6</v>
      </c>
      <c r="B20620" s="692" t="s">
        <v>4060</v>
      </c>
      <c r="C20620" s="691">
        <v>3.5</v>
      </c>
      <c r="D20620" s="691">
        <v>3.3</v>
      </c>
      <c r="E20620" s="691">
        <v>3.5</v>
      </c>
      <c r="F20620" s="691">
        <v>3.6</v>
      </c>
      <c r="G20620" s="691">
        <v>3.6</v>
      </c>
      <c r="H20620" s="691">
        <v>3.6</v>
      </c>
      <c r="I20620" s="691">
        <v>3.3</v>
      </c>
      <c r="J20620" s="691">
        <v>3.5</v>
      </c>
      <c r="K20620" s="691">
        <v>3.2</v>
      </c>
    </row>
    <row r="20621" spans="1:11">
      <c r="A20621" s="688" t="s">
        <v>4058</v>
      </c>
      <c r="B20621" s="690" t="s">
        <v>4060</v>
      </c>
      <c r="C20621" s="690" t="s">
        <v>4060</v>
      </c>
      <c r="D20621" s="690" t="s">
        <v>4060</v>
      </c>
      <c r="E20621" s="690" t="s">
        <v>4060</v>
      </c>
      <c r="F20621" s="690" t="s">
        <v>4060</v>
      </c>
      <c r="G20621" s="690" t="s">
        <v>4060</v>
      </c>
      <c r="H20621" s="690" t="s">
        <v>4060</v>
      </c>
      <c r="I20621" s="690" t="s">
        <v>4060</v>
      </c>
      <c r="J20621" s="690" t="s">
        <v>4060</v>
      </c>
      <c r="K20621" s="690" t="s">
        <v>4060</v>
      </c>
    </row>
    <row r="20622" spans="1:11">
      <c r="A20622" s="688" t="s">
        <v>11</v>
      </c>
      <c r="B20622" s="692" t="s">
        <v>4060</v>
      </c>
      <c r="C20622" s="691">
        <v>2.8</v>
      </c>
      <c r="D20622" s="691">
        <v>2.4</v>
      </c>
      <c r="E20622" s="691">
        <v>2.7</v>
      </c>
      <c r="F20622" s="691">
        <v>2.5</v>
      </c>
      <c r="G20622" s="691">
        <v>2.7</v>
      </c>
      <c r="H20622" s="691">
        <v>2.6</v>
      </c>
      <c r="I20622" s="691">
        <v>2.4</v>
      </c>
      <c r="J20622" s="691">
        <v>2.2999999999999998</v>
      </c>
      <c r="K20622" s="691">
        <v>2.1</v>
      </c>
    </row>
    <row r="20623" spans="1:11">
      <c r="A20623" s="688" t="s">
        <v>10</v>
      </c>
      <c r="B20623" s="690" t="s">
        <v>4060</v>
      </c>
      <c r="C20623" s="689">
        <v>3.2</v>
      </c>
      <c r="D20623" s="689">
        <v>2.9</v>
      </c>
      <c r="E20623" s="689">
        <v>3.3</v>
      </c>
      <c r="F20623" s="689">
        <v>3.1</v>
      </c>
      <c r="G20623" s="689">
        <v>3.3</v>
      </c>
      <c r="H20623" s="689">
        <v>3.3</v>
      </c>
      <c r="I20623" s="689">
        <v>2.9</v>
      </c>
      <c r="J20623" s="689">
        <v>3.1</v>
      </c>
      <c r="K20623" s="689">
        <v>2.8</v>
      </c>
    </row>
    <row r="20624" spans="1:11">
      <c r="A20624" s="688" t="s">
        <v>30</v>
      </c>
      <c r="B20624" s="692" t="s">
        <v>4060</v>
      </c>
      <c r="C20624" s="691">
        <v>3.2</v>
      </c>
      <c r="D20624" s="691">
        <v>2.7</v>
      </c>
      <c r="E20624" s="691">
        <v>2.7</v>
      </c>
      <c r="F20624" s="691">
        <v>2.7</v>
      </c>
      <c r="G20624" s="691">
        <v>3.3</v>
      </c>
      <c r="H20624" s="691">
        <v>2.9</v>
      </c>
      <c r="I20624" s="615">
        <v>3</v>
      </c>
      <c r="J20624" s="691">
        <v>2.8</v>
      </c>
      <c r="K20624" s="691">
        <v>2.5</v>
      </c>
    </row>
    <row r="20625" spans="1:11">
      <c r="A20625" s="688" t="s">
        <v>12</v>
      </c>
      <c r="B20625" s="690" t="s">
        <v>4060</v>
      </c>
      <c r="C20625" s="689">
        <v>2.9</v>
      </c>
      <c r="D20625" s="689">
        <v>2.6</v>
      </c>
      <c r="E20625" s="689">
        <v>2.7</v>
      </c>
      <c r="F20625" s="689">
        <v>2.9</v>
      </c>
      <c r="G20625" s="689">
        <v>2.8</v>
      </c>
      <c r="H20625" s="689">
        <v>2.9</v>
      </c>
      <c r="I20625" s="689">
        <v>2.7</v>
      </c>
      <c r="J20625" s="689">
        <v>2.4</v>
      </c>
      <c r="K20625" s="689">
        <v>2.5</v>
      </c>
    </row>
    <row r="20626" spans="1:11">
      <c r="A20626" s="688" t="s">
        <v>14</v>
      </c>
      <c r="B20626" s="692" t="s">
        <v>4060</v>
      </c>
      <c r="C20626" s="691">
        <v>1.9</v>
      </c>
      <c r="D20626" s="691">
        <v>1.4</v>
      </c>
      <c r="E20626" s="691">
        <v>1.4</v>
      </c>
      <c r="F20626" s="691">
        <v>1.6</v>
      </c>
      <c r="G20626" s="691">
        <v>1.8</v>
      </c>
      <c r="H20626" s="691">
        <v>1.7</v>
      </c>
      <c r="I20626" s="691">
        <v>2.1</v>
      </c>
      <c r="J20626" s="691">
        <v>2.4</v>
      </c>
      <c r="K20626" s="691">
        <v>2.2999999999999998</v>
      </c>
    </row>
    <row r="20627" spans="1:11">
      <c r="A20627" s="688" t="s">
        <v>15</v>
      </c>
      <c r="B20627" s="690" t="s">
        <v>4060</v>
      </c>
      <c r="C20627" s="689">
        <v>3.5</v>
      </c>
      <c r="D20627" s="689">
        <v>2.4</v>
      </c>
      <c r="E20627" s="689">
        <v>2.8</v>
      </c>
      <c r="F20627" s="689">
        <v>3.6</v>
      </c>
      <c r="G20627" s="689">
        <v>3.7</v>
      </c>
      <c r="H20627" s="689">
        <v>3.9</v>
      </c>
      <c r="I20627" s="689">
        <v>3.2</v>
      </c>
      <c r="J20627" s="689">
        <v>3.3</v>
      </c>
      <c r="K20627" s="689">
        <v>3.4</v>
      </c>
    </row>
    <row r="20628" spans="1:11">
      <c r="A20628" s="688" t="s">
        <v>29</v>
      </c>
      <c r="B20628" s="692" t="s">
        <v>4060</v>
      </c>
      <c r="C20628" s="691">
        <v>3.1</v>
      </c>
      <c r="D20628" s="615">
        <v>3</v>
      </c>
      <c r="E20628" s="691">
        <v>3.3</v>
      </c>
      <c r="F20628" s="691">
        <v>3.4</v>
      </c>
      <c r="G20628" s="691">
        <v>3.4</v>
      </c>
      <c r="H20628" s="691">
        <v>3.5</v>
      </c>
      <c r="I20628" s="691">
        <v>3.6</v>
      </c>
      <c r="J20628" s="691">
        <v>3.6</v>
      </c>
      <c r="K20628" s="691">
        <v>3.2</v>
      </c>
    </row>
    <row r="20629" spans="1:11">
      <c r="A20629" s="688" t="s">
        <v>16</v>
      </c>
      <c r="B20629" s="690" t="s">
        <v>4060</v>
      </c>
      <c r="C20629" s="689">
        <v>3.6</v>
      </c>
      <c r="D20629" s="689">
        <v>2.9</v>
      </c>
      <c r="E20629" s="689">
        <v>3.5</v>
      </c>
      <c r="F20629" s="689">
        <v>3.2</v>
      </c>
      <c r="G20629" s="689">
        <v>3.1</v>
      </c>
      <c r="H20629" s="689">
        <v>3.5</v>
      </c>
      <c r="I20629" s="689">
        <v>2.9</v>
      </c>
      <c r="J20629" s="689">
        <v>3.1</v>
      </c>
      <c r="K20629" s="693">
        <v>3</v>
      </c>
    </row>
    <row r="20630" spans="1:11">
      <c r="A20630" s="688" t="s">
        <v>17</v>
      </c>
      <c r="B20630" s="692" t="s">
        <v>4060</v>
      </c>
      <c r="C20630" s="615">
        <v>3</v>
      </c>
      <c r="D20630" s="691">
        <v>2.9</v>
      </c>
      <c r="E20630" s="691">
        <v>2.9</v>
      </c>
      <c r="F20630" s="691">
        <v>2.8</v>
      </c>
      <c r="G20630" s="691">
        <v>2.8</v>
      </c>
      <c r="H20630" s="615">
        <v>3</v>
      </c>
      <c r="I20630" s="691">
        <v>2.7</v>
      </c>
      <c r="J20630" s="691">
        <v>2.7</v>
      </c>
      <c r="K20630" s="691">
        <v>2.6</v>
      </c>
    </row>
    <row r="20631" spans="1:11">
      <c r="A20631" s="688" t="s">
        <v>19</v>
      </c>
      <c r="B20631" s="690" t="s">
        <v>4060</v>
      </c>
      <c r="C20631" s="689">
        <v>2.9</v>
      </c>
      <c r="D20631" s="689">
        <v>2.9</v>
      </c>
      <c r="E20631" s="689">
        <v>3.2</v>
      </c>
      <c r="F20631" s="689">
        <v>2.9</v>
      </c>
      <c r="G20631" s="693">
        <v>3</v>
      </c>
      <c r="H20631" s="689">
        <v>2.9</v>
      </c>
      <c r="I20631" s="689">
        <v>2.7</v>
      </c>
      <c r="J20631" s="689">
        <v>2.8</v>
      </c>
      <c r="K20631" s="689">
        <v>2.5</v>
      </c>
    </row>
    <row r="20632" spans="1:11">
      <c r="A20632" s="688" t="s">
        <v>20</v>
      </c>
      <c r="B20632" s="692" t="s">
        <v>4060</v>
      </c>
      <c r="C20632" s="691">
        <v>3.4</v>
      </c>
      <c r="D20632" s="691">
        <v>3.2</v>
      </c>
      <c r="E20632" s="691">
        <v>3.5</v>
      </c>
      <c r="F20632" s="691">
        <v>3.4</v>
      </c>
      <c r="G20632" s="691">
        <v>3.4</v>
      </c>
      <c r="H20632" s="691">
        <v>3.6</v>
      </c>
      <c r="I20632" s="691">
        <v>3.1</v>
      </c>
      <c r="J20632" s="691">
        <v>2.8</v>
      </c>
      <c r="K20632" s="691">
        <v>2.9</v>
      </c>
    </row>
    <row r="20633" spans="1:11">
      <c r="A20633" s="688" t="s">
        <v>21</v>
      </c>
      <c r="B20633" s="690" t="s">
        <v>4060</v>
      </c>
      <c r="C20633" s="689">
        <v>3.4</v>
      </c>
      <c r="D20633" s="689">
        <v>3.2</v>
      </c>
      <c r="E20633" s="689">
        <v>3.3</v>
      </c>
      <c r="F20633" s="689">
        <v>3.5</v>
      </c>
      <c r="G20633" s="689">
        <v>3.3</v>
      </c>
      <c r="H20633" s="689">
        <v>3.4</v>
      </c>
      <c r="I20633" s="689">
        <v>3.1</v>
      </c>
      <c r="J20633" s="689">
        <v>3.1</v>
      </c>
      <c r="K20633" s="689">
        <v>2.9</v>
      </c>
    </row>
    <row r="20634" spans="1:11">
      <c r="A20634" s="688" t="s">
        <v>22</v>
      </c>
      <c r="B20634" s="692" t="s">
        <v>4060</v>
      </c>
      <c r="C20634" s="691">
        <v>3.2</v>
      </c>
      <c r="D20634" s="691">
        <v>3.6</v>
      </c>
      <c r="E20634" s="691">
        <v>4.2</v>
      </c>
      <c r="F20634" s="691">
        <v>4.5</v>
      </c>
      <c r="G20634" s="691">
        <v>4.5999999999999996</v>
      </c>
      <c r="H20634" s="691">
        <v>5.2</v>
      </c>
      <c r="I20634" s="691">
        <v>5.0999999999999996</v>
      </c>
      <c r="J20634" s="691">
        <v>3.6</v>
      </c>
      <c r="K20634" s="691">
        <v>2.6</v>
      </c>
    </row>
    <row r="20635" spans="1:11">
      <c r="A20635" s="688" t="s">
        <v>26</v>
      </c>
      <c r="B20635" s="690" t="s">
        <v>4060</v>
      </c>
      <c r="C20635" s="693">
        <v>3</v>
      </c>
      <c r="D20635" s="689">
        <v>3.1</v>
      </c>
      <c r="E20635" s="689">
        <v>2.9</v>
      </c>
      <c r="F20635" s="693">
        <v>3</v>
      </c>
      <c r="G20635" s="689">
        <v>3.4</v>
      </c>
      <c r="H20635" s="689">
        <v>3.1</v>
      </c>
      <c r="I20635" s="689">
        <v>2.5</v>
      </c>
      <c r="J20635" s="689">
        <v>2.8</v>
      </c>
      <c r="K20635" s="693">
        <v>3</v>
      </c>
    </row>
    <row r="20636" spans="1:11">
      <c r="A20636" s="688" t="s">
        <v>25</v>
      </c>
      <c r="B20636" s="692" t="s">
        <v>4060</v>
      </c>
      <c r="C20636" s="691">
        <v>4.7</v>
      </c>
      <c r="D20636" s="691">
        <v>3.6</v>
      </c>
      <c r="E20636" s="691">
        <v>3.9</v>
      </c>
      <c r="F20636" s="691">
        <v>3.9</v>
      </c>
      <c r="G20636" s="691">
        <v>4.3</v>
      </c>
      <c r="H20636" s="691">
        <v>4.4000000000000004</v>
      </c>
      <c r="I20636" s="691">
        <v>4.5999999999999996</v>
      </c>
      <c r="J20636" s="691">
        <v>3.5</v>
      </c>
      <c r="K20636" s="691">
        <v>2.9</v>
      </c>
    </row>
    <row r="20637" spans="1:11">
      <c r="A20637" s="688" t="s">
        <v>5</v>
      </c>
      <c r="B20637" s="690" t="s">
        <v>4060</v>
      </c>
      <c r="C20637" s="693">
        <v>3</v>
      </c>
      <c r="D20637" s="689">
        <v>2.9</v>
      </c>
      <c r="E20637" s="689">
        <v>2.9</v>
      </c>
      <c r="F20637" s="693">
        <v>3</v>
      </c>
      <c r="G20637" s="689">
        <v>2.9</v>
      </c>
      <c r="H20637" s="689">
        <v>3.2</v>
      </c>
      <c r="I20637" s="693">
        <v>3</v>
      </c>
      <c r="J20637" s="693">
        <v>3</v>
      </c>
      <c r="K20637" s="689">
        <v>2.7</v>
      </c>
    </row>
    <row r="20638" spans="1:11">
      <c r="A20638" s="688" t="s">
        <v>23</v>
      </c>
      <c r="B20638" s="692" t="s">
        <v>4060</v>
      </c>
      <c r="C20638" s="615">
        <v>3</v>
      </c>
      <c r="D20638" s="615">
        <v>3</v>
      </c>
      <c r="E20638" s="615">
        <v>3</v>
      </c>
      <c r="F20638" s="691">
        <v>2.9</v>
      </c>
      <c r="G20638" s="615">
        <v>3</v>
      </c>
      <c r="H20638" s="691">
        <v>3.2</v>
      </c>
      <c r="I20638" s="691">
        <v>2.9</v>
      </c>
      <c r="J20638" s="691">
        <v>3.3</v>
      </c>
      <c r="K20638" s="615">
        <v>3</v>
      </c>
    </row>
    <row r="20639" spans="1:11">
      <c r="A20639" s="688" t="s">
        <v>4067</v>
      </c>
      <c r="B20639" s="690" t="s">
        <v>4060</v>
      </c>
      <c r="C20639" s="690" t="s">
        <v>4060</v>
      </c>
      <c r="D20639" s="690" t="s">
        <v>4060</v>
      </c>
      <c r="E20639" s="690" t="s">
        <v>4060</v>
      </c>
      <c r="F20639" s="690" t="s">
        <v>4060</v>
      </c>
      <c r="G20639" s="690" t="s">
        <v>4060</v>
      </c>
      <c r="H20639" s="690" t="s">
        <v>4060</v>
      </c>
      <c r="I20639" s="690" t="s">
        <v>4060</v>
      </c>
      <c r="J20639" s="690" t="s">
        <v>4060</v>
      </c>
      <c r="K20639" s="690" t="s">
        <v>4060</v>
      </c>
    </row>
    <row r="20640" spans="1:11">
      <c r="A20640" s="688" t="s">
        <v>4066</v>
      </c>
      <c r="B20640" s="692" t="s">
        <v>4060</v>
      </c>
      <c r="C20640" s="692" t="s">
        <v>4060</v>
      </c>
      <c r="D20640" s="692" t="s">
        <v>4060</v>
      </c>
      <c r="E20640" s="692" t="s">
        <v>4060</v>
      </c>
      <c r="F20640" s="692" t="s">
        <v>4060</v>
      </c>
      <c r="G20640" s="692" t="s">
        <v>4060</v>
      </c>
      <c r="H20640" s="692" t="s">
        <v>4060</v>
      </c>
      <c r="I20640" s="692" t="s">
        <v>4060</v>
      </c>
      <c r="J20640" s="692" t="s">
        <v>4060</v>
      </c>
      <c r="K20640" s="692" t="s">
        <v>4060</v>
      </c>
    </row>
    <row r="20641" spans="1:11">
      <c r="A20641" s="688" t="s">
        <v>4062</v>
      </c>
      <c r="B20641" s="690" t="s">
        <v>4060</v>
      </c>
      <c r="C20641" s="689">
        <v>3.1</v>
      </c>
      <c r="D20641" s="689">
        <v>2.9</v>
      </c>
      <c r="E20641" s="689">
        <v>3.1</v>
      </c>
      <c r="F20641" s="689">
        <v>3.1</v>
      </c>
      <c r="G20641" s="689">
        <v>3.1</v>
      </c>
      <c r="H20641" s="689">
        <v>3.1</v>
      </c>
      <c r="I20641" s="693">
        <v>3</v>
      </c>
      <c r="J20641" s="689">
        <v>3.1</v>
      </c>
      <c r="K20641" s="689">
        <v>2.8</v>
      </c>
    </row>
    <row r="20642" spans="1:11">
      <c r="A20642" s="688" t="s">
        <v>9</v>
      </c>
      <c r="B20642" s="692" t="s">
        <v>4060</v>
      </c>
      <c r="C20642" s="691">
        <v>2.9</v>
      </c>
      <c r="D20642" s="691">
        <v>2.7</v>
      </c>
      <c r="E20642" s="691">
        <v>3.5</v>
      </c>
      <c r="F20642" s="691">
        <v>2.7</v>
      </c>
      <c r="G20642" s="615">
        <v>3</v>
      </c>
      <c r="H20642" s="691">
        <v>2.6</v>
      </c>
      <c r="I20642" s="691">
        <v>2.8</v>
      </c>
      <c r="J20642" s="691">
        <v>3.1</v>
      </c>
      <c r="K20642" s="691">
        <v>2.1</v>
      </c>
    </row>
    <row r="20643" spans="1:11">
      <c r="A20643" s="688" t="s">
        <v>13</v>
      </c>
      <c r="B20643" s="690" t="s">
        <v>4060</v>
      </c>
      <c r="C20643" s="689">
        <v>2.7</v>
      </c>
      <c r="D20643" s="689">
        <v>2.1</v>
      </c>
      <c r="E20643" s="689">
        <v>2.7</v>
      </c>
      <c r="F20643" s="689">
        <v>3.2</v>
      </c>
      <c r="G20643" s="689">
        <v>2.2999999999999998</v>
      </c>
      <c r="H20643" s="689">
        <v>2.2999999999999998</v>
      </c>
      <c r="I20643" s="689">
        <v>3.2</v>
      </c>
      <c r="J20643" s="689">
        <v>3.7</v>
      </c>
      <c r="K20643" s="689">
        <v>2.9</v>
      </c>
    </row>
    <row r="20644" spans="1:11">
      <c r="A20644" s="688" t="s">
        <v>18</v>
      </c>
      <c r="B20644" s="692" t="s">
        <v>4060</v>
      </c>
      <c r="C20644" s="691">
        <v>3.1</v>
      </c>
      <c r="D20644" s="691">
        <v>3.1</v>
      </c>
      <c r="E20644" s="615">
        <v>3</v>
      </c>
      <c r="F20644" s="615">
        <v>3</v>
      </c>
      <c r="G20644" s="615">
        <v>3</v>
      </c>
      <c r="H20644" s="615">
        <v>3</v>
      </c>
      <c r="I20644" s="691">
        <v>3.1</v>
      </c>
      <c r="J20644" s="691">
        <v>3.1</v>
      </c>
      <c r="K20644" s="691">
        <v>2.7</v>
      </c>
    </row>
    <row r="20645" spans="1:11">
      <c r="A20645" s="688" t="s">
        <v>24</v>
      </c>
      <c r="B20645" s="690" t="s">
        <v>4060</v>
      </c>
      <c r="C20645" s="693">
        <v>3</v>
      </c>
      <c r="D20645" s="689">
        <v>2.9</v>
      </c>
      <c r="E20645" s="689">
        <v>3.2</v>
      </c>
      <c r="F20645" s="689">
        <v>3.1</v>
      </c>
      <c r="G20645" s="689">
        <v>3.2</v>
      </c>
      <c r="H20645" s="689">
        <v>3.2</v>
      </c>
      <c r="I20645" s="689">
        <v>2.9</v>
      </c>
      <c r="J20645" s="689">
        <v>3.1</v>
      </c>
      <c r="K20645" s="689">
        <v>2.9</v>
      </c>
    </row>
    <row r="20646" spans="1:11">
      <c r="A20646" s="688" t="s">
        <v>4059</v>
      </c>
      <c r="B20646" s="692" t="s">
        <v>4060</v>
      </c>
      <c r="C20646" s="692" t="s">
        <v>4060</v>
      </c>
      <c r="D20646" s="692" t="s">
        <v>4060</v>
      </c>
      <c r="E20646" s="692" t="s">
        <v>4060</v>
      </c>
      <c r="F20646" s="692" t="s">
        <v>4060</v>
      </c>
      <c r="G20646" s="692" t="s">
        <v>4060</v>
      </c>
      <c r="H20646" s="692" t="s">
        <v>4060</v>
      </c>
      <c r="I20646" s="692" t="s">
        <v>4060</v>
      </c>
      <c r="J20646" s="692" t="s">
        <v>4060</v>
      </c>
      <c r="K20646" s="692" t="s">
        <v>4060</v>
      </c>
    </row>
    <row r="20647" spans="1:11">
      <c r="A20647" s="688" t="s">
        <v>2324</v>
      </c>
      <c r="B20647" s="690" t="s">
        <v>4060</v>
      </c>
      <c r="C20647" s="690" t="s">
        <v>4060</v>
      </c>
      <c r="D20647" s="690" t="s">
        <v>4060</v>
      </c>
      <c r="E20647" s="690" t="s">
        <v>4060</v>
      </c>
      <c r="F20647" s="690" t="s">
        <v>4060</v>
      </c>
      <c r="G20647" s="690" t="s">
        <v>4060</v>
      </c>
      <c r="H20647" s="690" t="s">
        <v>4060</v>
      </c>
      <c r="I20647" s="690" t="s">
        <v>4060</v>
      </c>
      <c r="J20647" s="690" t="s">
        <v>4060</v>
      </c>
      <c r="K20647" s="690" t="s">
        <v>4060</v>
      </c>
    </row>
    <row r="20648" spans="1:11">
      <c r="A20648" s="688" t="s">
        <v>2322</v>
      </c>
      <c r="B20648" s="692" t="s">
        <v>4060</v>
      </c>
      <c r="C20648" s="692" t="s">
        <v>4060</v>
      </c>
      <c r="D20648" s="692" t="s">
        <v>4060</v>
      </c>
      <c r="E20648" s="692" t="s">
        <v>4060</v>
      </c>
      <c r="F20648" s="692" t="s">
        <v>4060</v>
      </c>
      <c r="G20648" s="692" t="s">
        <v>4060</v>
      </c>
      <c r="H20648" s="692" t="s">
        <v>4060</v>
      </c>
      <c r="I20648" s="692" t="s">
        <v>4060</v>
      </c>
      <c r="J20648" s="692" t="s">
        <v>4060</v>
      </c>
      <c r="K20648" s="692" t="s">
        <v>4060</v>
      </c>
    </row>
    <row r="20649" spans="1:11">
      <c r="A20649" s="688" t="s">
        <v>2328</v>
      </c>
      <c r="B20649" s="690" t="s">
        <v>4060</v>
      </c>
      <c r="C20649" s="690" t="s">
        <v>4060</v>
      </c>
      <c r="D20649" s="690" t="s">
        <v>4060</v>
      </c>
      <c r="E20649" s="690" t="s">
        <v>4060</v>
      </c>
      <c r="F20649" s="690" t="s">
        <v>4060</v>
      </c>
      <c r="G20649" s="690" t="s">
        <v>4060</v>
      </c>
      <c r="H20649" s="690" t="s">
        <v>4060</v>
      </c>
      <c r="I20649" s="690" t="s">
        <v>4060</v>
      </c>
      <c r="J20649" s="690" t="s">
        <v>4060</v>
      </c>
      <c r="K20649" s="690" t="s">
        <v>4060</v>
      </c>
    </row>
    <row r="20650" spans="1:11">
      <c r="A20650" s="688" t="s">
        <v>2496</v>
      </c>
      <c r="B20650" s="692" t="s">
        <v>4060</v>
      </c>
      <c r="C20650" s="692" t="s">
        <v>4060</v>
      </c>
      <c r="D20650" s="692" t="s">
        <v>4060</v>
      </c>
      <c r="E20650" s="692" t="s">
        <v>4060</v>
      </c>
      <c r="F20650" s="692" t="s">
        <v>4060</v>
      </c>
      <c r="G20650" s="692" t="s">
        <v>4060</v>
      </c>
      <c r="H20650" s="692" t="s">
        <v>4060</v>
      </c>
      <c r="I20650" s="692" t="s">
        <v>4060</v>
      </c>
      <c r="J20650" s="692" t="s">
        <v>4060</v>
      </c>
      <c r="K20650" s="692" t="s">
        <v>4060</v>
      </c>
    </row>
    <row r="20651" spans="1:11">
      <c r="A20651" s="688" t="s">
        <v>2269</v>
      </c>
      <c r="B20651" s="690" t="s">
        <v>4060</v>
      </c>
      <c r="C20651" s="690" t="s">
        <v>4060</v>
      </c>
      <c r="D20651" s="690" t="s">
        <v>4060</v>
      </c>
      <c r="E20651" s="690" t="s">
        <v>4060</v>
      </c>
      <c r="F20651" s="690" t="s">
        <v>4060</v>
      </c>
      <c r="G20651" s="690" t="s">
        <v>4060</v>
      </c>
      <c r="H20651" s="690" t="s">
        <v>4060</v>
      </c>
      <c r="I20651" s="690" t="s">
        <v>4060</v>
      </c>
      <c r="J20651" s="690" t="s">
        <v>4060</v>
      </c>
      <c r="K20651" s="690" t="s">
        <v>4060</v>
      </c>
    </row>
    <row r="20652" spans="1:11">
      <c r="A20652" s="688" t="s">
        <v>2349</v>
      </c>
      <c r="B20652" s="692" t="s">
        <v>4060</v>
      </c>
      <c r="C20652" s="692" t="s">
        <v>4060</v>
      </c>
      <c r="D20652" s="692" t="s">
        <v>4060</v>
      </c>
      <c r="E20652" s="692" t="s">
        <v>4060</v>
      </c>
      <c r="F20652" s="692" t="s">
        <v>4060</v>
      </c>
      <c r="G20652" s="692" t="s">
        <v>4060</v>
      </c>
      <c r="H20652" s="692" t="s">
        <v>4060</v>
      </c>
      <c r="I20652" s="692" t="s">
        <v>4060</v>
      </c>
      <c r="J20652" s="692" t="s">
        <v>4060</v>
      </c>
      <c r="K20652" s="692" t="s">
        <v>4060</v>
      </c>
    </row>
    <row r="20653" spans="1:11">
      <c r="A20653" s="688" t="s">
        <v>2355</v>
      </c>
      <c r="B20653" s="690" t="s">
        <v>4060</v>
      </c>
      <c r="C20653" s="690" t="s">
        <v>4060</v>
      </c>
      <c r="D20653" s="690" t="s">
        <v>4060</v>
      </c>
      <c r="E20653" s="690" t="s">
        <v>4060</v>
      </c>
      <c r="F20653" s="690" t="s">
        <v>4060</v>
      </c>
      <c r="G20653" s="690" t="s">
        <v>4060</v>
      </c>
      <c r="H20653" s="690" t="s">
        <v>4060</v>
      </c>
      <c r="I20653" s="690" t="s">
        <v>4060</v>
      </c>
      <c r="J20653" s="690" t="s">
        <v>4060</v>
      </c>
      <c r="K20653" s="690" t="s">
        <v>4060</v>
      </c>
    </row>
    <row r="20654" spans="1:11">
      <c r="A20654" s="688" t="s">
        <v>2357</v>
      </c>
      <c r="B20654" s="692" t="s">
        <v>4060</v>
      </c>
      <c r="C20654" s="692" t="s">
        <v>4060</v>
      </c>
      <c r="D20654" s="692" t="s">
        <v>4060</v>
      </c>
      <c r="E20654" s="692" t="s">
        <v>4060</v>
      </c>
      <c r="F20654" s="692" t="s">
        <v>4060</v>
      </c>
      <c r="G20654" s="692" t="s">
        <v>4060</v>
      </c>
      <c r="H20654" s="692" t="s">
        <v>4060</v>
      </c>
      <c r="I20654" s="692" t="s">
        <v>4060</v>
      </c>
      <c r="J20654" s="692" t="s">
        <v>4060</v>
      </c>
      <c r="K20654" s="692" t="s">
        <v>4060</v>
      </c>
    </row>
    <row r="20655" spans="1:11">
      <c r="A20655" s="688" t="s">
        <v>4070</v>
      </c>
      <c r="B20655" s="690" t="s">
        <v>4060</v>
      </c>
      <c r="C20655" s="690" t="s">
        <v>4060</v>
      </c>
      <c r="D20655" s="690" t="s">
        <v>4060</v>
      </c>
      <c r="E20655" s="690" t="s">
        <v>4060</v>
      </c>
      <c r="F20655" s="690" t="s">
        <v>4060</v>
      </c>
      <c r="G20655" s="690" t="s">
        <v>4060</v>
      </c>
      <c r="H20655" s="690" t="s">
        <v>4060</v>
      </c>
      <c r="I20655" s="690" t="s">
        <v>4060</v>
      </c>
      <c r="J20655" s="690" t="s">
        <v>4060</v>
      </c>
      <c r="K20655" s="690" t="s">
        <v>4060</v>
      </c>
    </row>
    <row r="20656" spans="1:11">
      <c r="A20656" s="688" t="s">
        <v>2491</v>
      </c>
      <c r="B20656" s="692" t="s">
        <v>4060</v>
      </c>
      <c r="C20656" s="692" t="s">
        <v>4060</v>
      </c>
      <c r="D20656" s="692" t="s">
        <v>4060</v>
      </c>
      <c r="E20656" s="692" t="s">
        <v>4060</v>
      </c>
      <c r="F20656" s="692" t="s">
        <v>4060</v>
      </c>
      <c r="G20656" s="692" t="s">
        <v>4060</v>
      </c>
      <c r="H20656" s="692" t="s">
        <v>4060</v>
      </c>
      <c r="I20656" s="692" t="s">
        <v>4060</v>
      </c>
      <c r="J20656" s="692" t="s">
        <v>4060</v>
      </c>
      <c r="K20656" s="692" t="s">
        <v>4060</v>
      </c>
    </row>
    <row r="20657" spans="1:11">
      <c r="A20657" s="688" t="s">
        <v>2343</v>
      </c>
      <c r="B20657" s="690" t="s">
        <v>4060</v>
      </c>
      <c r="C20657" s="690" t="s">
        <v>4060</v>
      </c>
      <c r="D20657" s="690" t="s">
        <v>4060</v>
      </c>
      <c r="E20657" s="690" t="s">
        <v>4060</v>
      </c>
      <c r="F20657" s="690" t="s">
        <v>4060</v>
      </c>
      <c r="G20657" s="690" t="s">
        <v>4060</v>
      </c>
      <c r="H20657" s="690" t="s">
        <v>4060</v>
      </c>
      <c r="I20657" s="690" t="s">
        <v>4060</v>
      </c>
      <c r="J20657" s="690" t="s">
        <v>4060</v>
      </c>
      <c r="K20657" s="690" t="s">
        <v>4060</v>
      </c>
    </row>
    <row r="20658" spans="1:11">
      <c r="A20658" s="688" t="s">
        <v>4071</v>
      </c>
      <c r="B20658" s="692" t="s">
        <v>4060</v>
      </c>
      <c r="C20658" s="692" t="s">
        <v>4060</v>
      </c>
      <c r="D20658" s="692" t="s">
        <v>4060</v>
      </c>
      <c r="E20658" s="692" t="s">
        <v>4060</v>
      </c>
      <c r="F20658" s="692" t="s">
        <v>4060</v>
      </c>
      <c r="G20658" s="692" t="s">
        <v>4060</v>
      </c>
      <c r="H20658" s="692" t="s">
        <v>4060</v>
      </c>
      <c r="I20658" s="692" t="s">
        <v>4060</v>
      </c>
      <c r="J20658" s="692" t="s">
        <v>4060</v>
      </c>
      <c r="K20658" s="692" t="s">
        <v>4060</v>
      </c>
    </row>
    <row r="20659" spans="1:11">
      <c r="A20659" s="688" t="s">
        <v>2489</v>
      </c>
      <c r="B20659" s="690" t="s">
        <v>4060</v>
      </c>
      <c r="C20659" s="690" t="s">
        <v>4060</v>
      </c>
      <c r="D20659" s="690" t="s">
        <v>4060</v>
      </c>
      <c r="E20659" s="690" t="s">
        <v>4060</v>
      </c>
      <c r="F20659" s="690" t="s">
        <v>4060</v>
      </c>
      <c r="G20659" s="690" t="s">
        <v>4060</v>
      </c>
      <c r="H20659" s="690" t="s">
        <v>4060</v>
      </c>
      <c r="I20659" s="690" t="s">
        <v>4060</v>
      </c>
      <c r="J20659" s="690" t="s">
        <v>4060</v>
      </c>
      <c r="K20659" s="690" t="s">
        <v>4060</v>
      </c>
    </row>
    <row r="20660" spans="1:11">
      <c r="A20660" s="688" t="s">
        <v>2490</v>
      </c>
      <c r="B20660" s="692" t="s">
        <v>4060</v>
      </c>
      <c r="C20660" s="692" t="s">
        <v>4060</v>
      </c>
      <c r="D20660" s="692" t="s">
        <v>4060</v>
      </c>
      <c r="E20660" s="692" t="s">
        <v>4060</v>
      </c>
      <c r="F20660" s="692" t="s">
        <v>4060</v>
      </c>
      <c r="G20660" s="692" t="s">
        <v>4060</v>
      </c>
      <c r="H20660" s="692" t="s">
        <v>4060</v>
      </c>
      <c r="I20660" s="692" t="s">
        <v>4060</v>
      </c>
      <c r="J20660" s="692" t="s">
        <v>4060</v>
      </c>
      <c r="K20660" s="692" t="s">
        <v>4060</v>
      </c>
    </row>
    <row r="20662" spans="1:11">
      <c r="A20662" s="683" t="s">
        <v>4233</v>
      </c>
    </row>
    <row r="20663" spans="1:11">
      <c r="A20663" s="683" t="s">
        <v>4060</v>
      </c>
      <c r="B20663" s="682" t="s">
        <v>4234</v>
      </c>
    </row>
  </sheetData>
  <sheetProtection algorithmName="SHA-512" hashValue="H5LnqyoJfiiN5BGZBNt+cYC16dYaVe0vBJZcpGq8pHFT5rJd9GZAZxYc6NeHnxsrkhkQuvSQVeS77sse1vVUyw==" saltValue="dU2zuvGIqr4gwDXcG/iPPA==" spinCount="100000" sheet="1" objects="1" scenarios="1"/>
  <mergeCells count="3">
    <mergeCell ref="J4:K6"/>
    <mergeCell ref="E7:K12"/>
    <mergeCell ref="A1:K3"/>
  </mergeCells>
  <pageMargins left="0.7" right="0.7" top="0.78740157499999996" bottom="0.78740157499999996"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0D017-285D-413B-B0E5-F07103E31A22}">
  <dimension ref="A1:Z104"/>
  <sheetViews>
    <sheetView workbookViewId="0">
      <pane xSplit="2" ySplit="4" topLeftCell="C5" activePane="bottomRight" state="frozen"/>
      <selection pane="topRight" activeCell="C1" sqref="C1"/>
      <selection pane="bottomLeft" activeCell="A5" sqref="A5"/>
      <selection pane="bottomRight" sqref="A1:L1"/>
    </sheetView>
  </sheetViews>
  <sheetFormatPr baseColWidth="10" defaultColWidth="0" defaultRowHeight="15" zeroHeight="1"/>
  <cols>
    <col min="1" max="1" width="14.7109375" customWidth="1"/>
    <col min="2" max="2" width="7.7109375" customWidth="1"/>
    <col min="3" max="3" width="18.5703125" customWidth="1"/>
    <col min="4" max="4" width="11.42578125" customWidth="1"/>
    <col min="5" max="5" width="28" customWidth="1"/>
    <col min="6" max="6" width="30.140625" customWidth="1"/>
    <col min="7" max="7" width="18.85546875" customWidth="1"/>
    <col min="8" max="8" width="14.140625" style="5" customWidth="1"/>
    <col min="9" max="9" width="41.140625" customWidth="1"/>
    <col min="10" max="10" width="31.85546875" customWidth="1"/>
    <col min="11" max="11" width="12" customWidth="1"/>
    <col min="12" max="12" width="23.140625" customWidth="1"/>
    <col min="13" max="13" width="10.28515625" hidden="1" customWidth="1"/>
    <col min="14" max="14" width="18.42578125" hidden="1" customWidth="1"/>
    <col min="15" max="26" width="0" hidden="1" customWidth="1"/>
    <col min="27" max="16384" width="10.28515625" hidden="1"/>
  </cols>
  <sheetData>
    <row r="1" spans="1:26" ht="30" customHeight="1">
      <c r="A1" s="1092" t="s">
        <v>4358</v>
      </c>
      <c r="B1" s="1092"/>
      <c r="C1" s="1092"/>
      <c r="D1" s="1092"/>
      <c r="E1" s="1092"/>
      <c r="F1" s="1092"/>
      <c r="G1" s="1092"/>
      <c r="H1" s="1092"/>
      <c r="I1" s="1092"/>
      <c r="J1" s="1092"/>
      <c r="K1" s="1092"/>
      <c r="L1" s="1092"/>
      <c r="M1" s="724"/>
      <c r="N1" s="1095" t="str">
        <f>"Kapitalisierungsmöglichkeit von Versorgungen in "&amp;VLOOKUP(Länderwahl,Kapitalisierung,7,FALSE)&amp;" in "&amp;Länderwahl&amp;"?: "&amp;VLOOKUP(Länderwahl,Kapitalisierung,8,FALSE)&amp;". "&amp;VLOOKUP(Länderwahl,Kapitalisierung,9,FALSE)&amp;" ! "&amp;VLOOKUP(Länderwahl,Kapitalisierung,12,FALSE)</f>
        <v>Kapitalisierungsmöglichkeit von Versorgungen in Zusatzrentensparen / supplementary pension savings in Tschechien?: Ja / planabhängig. Je nach Vertrag Einmalabfindung, befristete Auszahlung oder Rentenleistung möglich. ! Vertragsart und Mindestlaufzeit prüfen.</v>
      </c>
      <c r="O1" s="1095"/>
      <c r="P1" s="1095"/>
      <c r="Q1" s="1095"/>
      <c r="R1" s="1095"/>
      <c r="S1" s="1095"/>
      <c r="T1" s="1095"/>
      <c r="U1" s="728"/>
      <c r="V1" s="724"/>
      <c r="W1" s="724"/>
      <c r="X1" s="724"/>
      <c r="Y1" s="724"/>
      <c r="Z1" s="724"/>
    </row>
    <row r="2" spans="1:26" ht="38.1" customHeight="1">
      <c r="A2" s="1093" t="s">
        <v>4359</v>
      </c>
      <c r="B2" s="1093"/>
      <c r="C2" s="1093"/>
      <c r="D2" s="1093"/>
      <c r="E2" s="1093"/>
      <c r="F2" s="1093"/>
      <c r="G2" s="1093"/>
      <c r="H2" s="1093"/>
      <c r="I2" s="1093"/>
      <c r="J2" s="1093"/>
      <c r="K2" s="1093"/>
      <c r="L2" s="1093"/>
      <c r="M2" s="724" t="str">
        <f>Länderwahl</f>
        <v>Tschechien</v>
      </c>
      <c r="N2" s="1095"/>
      <c r="O2" s="1095"/>
      <c r="P2" s="1095"/>
      <c r="Q2" s="1095"/>
      <c r="R2" s="1095"/>
      <c r="S2" s="1095"/>
      <c r="T2" s="1095"/>
      <c r="U2" s="728"/>
      <c r="V2" s="724"/>
      <c r="W2" s="724"/>
      <c r="X2" s="724"/>
      <c r="Y2" s="724"/>
      <c r="Z2" s="724"/>
    </row>
    <row r="3" spans="1:26" ht="27.75" customHeight="1">
      <c r="A3" s="1096" t="s">
        <v>4608</v>
      </c>
      <c r="B3" s="1096"/>
      <c r="C3" s="1096"/>
      <c r="D3" s="1096"/>
      <c r="E3" s="1096"/>
      <c r="F3" s="1096"/>
      <c r="G3" s="1096"/>
      <c r="H3" s="1096"/>
      <c r="I3" s="1096"/>
      <c r="J3" s="1096"/>
      <c r="K3" s="1096"/>
      <c r="L3" s="1096"/>
      <c r="M3" s="724"/>
      <c r="N3" s="1095"/>
      <c r="O3" s="1095"/>
      <c r="P3" s="1095"/>
      <c r="Q3" s="1095"/>
      <c r="R3" s="1095"/>
      <c r="S3" s="1095"/>
      <c r="T3" s="1095"/>
      <c r="U3" s="727"/>
      <c r="V3" s="724"/>
      <c r="W3" s="724"/>
      <c r="X3" s="724"/>
      <c r="Y3" s="724"/>
      <c r="Z3" s="724"/>
    </row>
    <row r="4" spans="1:26" s="737" customFormat="1" ht="38.1" customHeight="1">
      <c r="A4" s="732" t="s">
        <v>1622</v>
      </c>
      <c r="B4" s="733" t="s">
        <v>3673</v>
      </c>
      <c r="C4" s="733" t="s">
        <v>4360</v>
      </c>
      <c r="D4" s="733" t="s">
        <v>4361</v>
      </c>
      <c r="E4" s="733" t="s">
        <v>4362</v>
      </c>
      <c r="F4" s="733" t="s">
        <v>4363</v>
      </c>
      <c r="G4" s="734" t="s">
        <v>4364</v>
      </c>
      <c r="H4" s="733" t="s">
        <v>4365</v>
      </c>
      <c r="I4" s="733" t="s">
        <v>4366</v>
      </c>
      <c r="J4" s="733" t="s">
        <v>4367</v>
      </c>
      <c r="K4" s="733" t="s">
        <v>4368</v>
      </c>
      <c r="L4" s="735" t="s">
        <v>4369</v>
      </c>
      <c r="M4" s="736"/>
      <c r="N4" s="736" t="str">
        <f>VLOOKUP(Länderwahl,Kapitalisierung,8)</f>
        <v>Ja / planabhängig</v>
      </c>
      <c r="O4" s="736"/>
      <c r="P4" s="736" t="b">
        <f>ISNUMBER(SEARCH("nein", N4))</f>
        <v>0</v>
      </c>
      <c r="Q4" s="736"/>
      <c r="R4" s="736"/>
      <c r="T4" s="736"/>
      <c r="U4" s="736"/>
      <c r="V4" s="736"/>
      <c r="W4" s="736"/>
      <c r="X4" s="736"/>
      <c r="Y4" s="736"/>
      <c r="Z4" s="736"/>
    </row>
    <row r="5" spans="1:26" ht="148.5">
      <c r="A5" s="739" t="s">
        <v>2273</v>
      </c>
      <c r="B5" s="738" t="s">
        <v>4577</v>
      </c>
      <c r="C5" s="730" t="s">
        <v>4578</v>
      </c>
      <c r="D5" s="730" t="s">
        <v>4371</v>
      </c>
      <c r="E5" s="730" t="s">
        <v>4579</v>
      </c>
      <c r="F5" s="730" t="s">
        <v>4580</v>
      </c>
      <c r="G5" s="730" t="s">
        <v>4581</v>
      </c>
      <c r="H5" s="740" t="s">
        <v>2278</v>
      </c>
      <c r="I5" s="730" t="s">
        <v>4599</v>
      </c>
      <c r="J5" s="730" t="s">
        <v>4582</v>
      </c>
      <c r="K5" s="730" t="s">
        <v>4583</v>
      </c>
      <c r="L5" s="731" t="s">
        <v>4584</v>
      </c>
      <c r="M5" s="724"/>
      <c r="N5" s="724"/>
      <c r="O5" s="724"/>
      <c r="P5" s="724"/>
      <c r="Q5" s="724"/>
      <c r="R5" s="724"/>
      <c r="S5" s="724"/>
      <c r="T5" s="724"/>
      <c r="U5" s="724"/>
      <c r="V5" s="724"/>
      <c r="W5" s="724"/>
      <c r="X5" s="724"/>
      <c r="Y5" s="724"/>
      <c r="Z5" s="724"/>
    </row>
    <row r="6" spans="1:26" ht="67.5">
      <c r="A6" s="739" t="s">
        <v>0</v>
      </c>
      <c r="B6" s="738" t="s">
        <v>3674</v>
      </c>
      <c r="C6" s="730" t="s">
        <v>4370</v>
      </c>
      <c r="D6" s="730" t="s">
        <v>4371</v>
      </c>
      <c r="E6" s="730" t="s">
        <v>4372</v>
      </c>
      <c r="F6" s="742" t="s">
        <v>4373</v>
      </c>
      <c r="G6" s="730" t="s">
        <v>4374</v>
      </c>
      <c r="H6" s="740" t="s">
        <v>4375</v>
      </c>
      <c r="I6" s="730" t="s">
        <v>4376</v>
      </c>
      <c r="J6" s="742" t="s">
        <v>4377</v>
      </c>
      <c r="K6" s="730" t="s">
        <v>4378</v>
      </c>
      <c r="L6" s="731" t="s">
        <v>4379</v>
      </c>
      <c r="M6" s="724"/>
      <c r="V6" s="724"/>
      <c r="W6" s="724"/>
      <c r="X6" s="724"/>
      <c r="Y6" s="724"/>
      <c r="Z6" s="724"/>
    </row>
    <row r="7" spans="1:26" ht="94.5">
      <c r="A7" s="739" t="s">
        <v>1</v>
      </c>
      <c r="B7" s="738" t="s">
        <v>3674</v>
      </c>
      <c r="C7" s="730" t="s">
        <v>4380</v>
      </c>
      <c r="D7" s="730" t="s">
        <v>4371</v>
      </c>
      <c r="E7" s="730" t="s">
        <v>4381</v>
      </c>
      <c r="F7" s="742" t="s">
        <v>4382</v>
      </c>
      <c r="G7" s="730" t="s">
        <v>4383</v>
      </c>
      <c r="H7" s="740" t="s">
        <v>2275</v>
      </c>
      <c r="I7" s="730" t="s">
        <v>4384</v>
      </c>
      <c r="J7" s="730" t="s">
        <v>4385</v>
      </c>
      <c r="K7" s="730" t="s">
        <v>4378</v>
      </c>
      <c r="L7" s="731" t="s">
        <v>4386</v>
      </c>
      <c r="M7" s="724"/>
      <c r="T7" s="724"/>
      <c r="U7" s="724"/>
      <c r="V7" s="724"/>
      <c r="W7" s="724"/>
      <c r="X7" s="724"/>
      <c r="Y7" s="724"/>
      <c r="Z7" s="724"/>
    </row>
    <row r="8" spans="1:26" ht="67.5">
      <c r="A8" s="739" t="s">
        <v>2</v>
      </c>
      <c r="B8" s="738" t="s">
        <v>3674</v>
      </c>
      <c r="C8" s="730" t="s">
        <v>4387</v>
      </c>
      <c r="D8" s="730" t="s">
        <v>4371</v>
      </c>
      <c r="E8" s="730" t="s">
        <v>4388</v>
      </c>
      <c r="F8" s="742" t="s">
        <v>4389</v>
      </c>
      <c r="G8" s="730" t="s">
        <v>4390</v>
      </c>
      <c r="H8" s="740" t="s">
        <v>4375</v>
      </c>
      <c r="I8" s="730" t="s">
        <v>4391</v>
      </c>
      <c r="J8" s="730" t="s">
        <v>4392</v>
      </c>
      <c r="K8" s="730" t="s">
        <v>4378</v>
      </c>
      <c r="L8" s="731" t="s">
        <v>4393</v>
      </c>
      <c r="M8" s="724"/>
      <c r="N8" s="724"/>
      <c r="O8" s="724"/>
      <c r="P8" s="724"/>
      <c r="Q8" s="724"/>
      <c r="R8" s="724"/>
      <c r="S8" s="724"/>
      <c r="T8" s="724"/>
      <c r="U8" s="724"/>
      <c r="V8" s="724"/>
      <c r="W8" s="724"/>
      <c r="X8" s="724"/>
      <c r="Y8" s="724"/>
      <c r="Z8" s="724"/>
    </row>
    <row r="9" spans="1:26" ht="81">
      <c r="A9" s="739" t="s">
        <v>3</v>
      </c>
      <c r="B9" s="738" t="s">
        <v>3674</v>
      </c>
      <c r="C9" s="730" t="s">
        <v>4394</v>
      </c>
      <c r="D9" s="730" t="s">
        <v>4371</v>
      </c>
      <c r="E9" s="730" t="s">
        <v>4395</v>
      </c>
      <c r="F9" s="742" t="s">
        <v>4396</v>
      </c>
      <c r="G9" s="730" t="s">
        <v>4397</v>
      </c>
      <c r="H9" s="740" t="s">
        <v>4375</v>
      </c>
      <c r="I9" s="730" t="s">
        <v>4398</v>
      </c>
      <c r="J9" s="742" t="s">
        <v>4399</v>
      </c>
      <c r="K9" s="730" t="s">
        <v>4378</v>
      </c>
      <c r="L9" s="731" t="s">
        <v>4400</v>
      </c>
      <c r="M9" s="724"/>
      <c r="N9" s="724"/>
      <c r="O9" s="724"/>
      <c r="P9" s="724"/>
      <c r="Q9" s="724"/>
      <c r="R9" s="724"/>
      <c r="S9" s="724"/>
      <c r="T9" s="724"/>
      <c r="U9" s="724"/>
      <c r="V9" s="724"/>
      <c r="W9" s="724"/>
      <c r="X9" s="724"/>
      <c r="Y9" s="724"/>
      <c r="Z9" s="724"/>
    </row>
    <row r="10" spans="1:26" ht="67.5">
      <c r="A10" s="739" t="s">
        <v>4</v>
      </c>
      <c r="B10" s="738" t="s">
        <v>3674</v>
      </c>
      <c r="C10" s="730" t="s">
        <v>4401</v>
      </c>
      <c r="D10" s="730" t="s">
        <v>4371</v>
      </c>
      <c r="E10" s="730" t="s">
        <v>4402</v>
      </c>
      <c r="F10" s="742" t="s">
        <v>4403</v>
      </c>
      <c r="G10" s="730" t="s">
        <v>4404</v>
      </c>
      <c r="H10" s="740" t="s">
        <v>2278</v>
      </c>
      <c r="I10" s="730" t="s">
        <v>4405</v>
      </c>
      <c r="J10" s="730" t="s">
        <v>4406</v>
      </c>
      <c r="K10" s="730" t="s">
        <v>4378</v>
      </c>
      <c r="L10" s="731" t="s">
        <v>4407</v>
      </c>
      <c r="M10" s="724"/>
      <c r="N10" s="724"/>
      <c r="O10" s="724"/>
      <c r="P10" s="724"/>
      <c r="Q10" s="724"/>
      <c r="R10" s="724"/>
      <c r="S10" s="724"/>
      <c r="T10" s="724"/>
      <c r="U10" s="724"/>
      <c r="V10" s="724"/>
      <c r="W10" s="724"/>
      <c r="X10" s="724"/>
      <c r="Y10" s="724"/>
      <c r="Z10" s="724"/>
    </row>
    <row r="11" spans="1:26" ht="81">
      <c r="A11" s="739" t="s">
        <v>5</v>
      </c>
      <c r="B11" s="738" t="s">
        <v>3674</v>
      </c>
      <c r="C11" s="730" t="s">
        <v>4408</v>
      </c>
      <c r="D11" s="730" t="s">
        <v>4371</v>
      </c>
      <c r="E11" s="730" t="s">
        <v>4409</v>
      </c>
      <c r="F11" s="742" t="s">
        <v>4410</v>
      </c>
      <c r="G11" s="730" t="s">
        <v>4411</v>
      </c>
      <c r="H11" s="740" t="s">
        <v>4412</v>
      </c>
      <c r="I11" s="730" t="s">
        <v>4413</v>
      </c>
      <c r="J11" s="730" t="s">
        <v>4414</v>
      </c>
      <c r="K11" s="730" t="s">
        <v>4378</v>
      </c>
      <c r="L11" s="731" t="s">
        <v>4415</v>
      </c>
      <c r="M11" s="724"/>
      <c r="N11" s="724"/>
      <c r="O11" s="724"/>
      <c r="P11" s="724"/>
      <c r="Q11" s="724"/>
      <c r="R11" s="724"/>
      <c r="S11" s="724"/>
      <c r="T11" s="724"/>
      <c r="U11" s="724"/>
      <c r="V11" s="724"/>
      <c r="W11" s="724"/>
      <c r="X11" s="724"/>
      <c r="Y11" s="724"/>
      <c r="Z11" s="724"/>
    </row>
    <row r="12" spans="1:26" ht="54">
      <c r="A12" s="739" t="s">
        <v>6</v>
      </c>
      <c r="B12" s="738" t="s">
        <v>3674</v>
      </c>
      <c r="C12" s="730" t="s">
        <v>4416</v>
      </c>
      <c r="D12" s="730" t="s">
        <v>4371</v>
      </c>
      <c r="E12" s="730" t="s">
        <v>4417</v>
      </c>
      <c r="F12" s="742" t="s">
        <v>4418</v>
      </c>
      <c r="G12" s="730" t="s">
        <v>4419</v>
      </c>
      <c r="H12" s="740" t="s">
        <v>2275</v>
      </c>
      <c r="I12" s="730" t="s">
        <v>4420</v>
      </c>
      <c r="J12" s="730" t="s">
        <v>4421</v>
      </c>
      <c r="K12" s="730" t="s">
        <v>4378</v>
      </c>
      <c r="L12" s="731" t="s">
        <v>4422</v>
      </c>
      <c r="M12" s="724"/>
      <c r="N12" s="724"/>
      <c r="O12" s="724"/>
      <c r="P12" s="724"/>
      <c r="Q12" s="724"/>
      <c r="R12" s="724"/>
      <c r="S12" s="724"/>
      <c r="T12" s="724"/>
      <c r="U12" s="724"/>
      <c r="V12" s="724"/>
      <c r="W12" s="724"/>
      <c r="X12" s="724"/>
      <c r="Y12" s="724"/>
      <c r="Z12" s="724"/>
    </row>
    <row r="13" spans="1:26" ht="54">
      <c r="A13" s="739" t="s">
        <v>7</v>
      </c>
      <c r="B13" s="738" t="s">
        <v>3674</v>
      </c>
      <c r="C13" s="730" t="s">
        <v>4423</v>
      </c>
      <c r="D13" s="730" t="s">
        <v>4371</v>
      </c>
      <c r="E13" s="730" t="s">
        <v>4424</v>
      </c>
      <c r="F13" s="742" t="s">
        <v>4425</v>
      </c>
      <c r="G13" s="730" t="s">
        <v>4426</v>
      </c>
      <c r="H13" s="740" t="s">
        <v>4427</v>
      </c>
      <c r="I13" s="730" t="s">
        <v>4428</v>
      </c>
      <c r="J13" s="742" t="s">
        <v>4429</v>
      </c>
      <c r="K13" s="730" t="s">
        <v>4378</v>
      </c>
      <c r="L13" s="731" t="s">
        <v>4430</v>
      </c>
      <c r="M13" s="724"/>
      <c r="N13" s="724"/>
      <c r="O13" s="724"/>
      <c r="P13" s="724"/>
      <c r="Q13" s="724"/>
      <c r="R13" s="724"/>
      <c r="S13" s="724"/>
      <c r="T13" s="724"/>
      <c r="U13" s="724"/>
      <c r="V13" s="724"/>
      <c r="W13" s="724"/>
      <c r="X13" s="724"/>
      <c r="Y13" s="724"/>
      <c r="Z13" s="724"/>
    </row>
    <row r="14" spans="1:26" ht="189">
      <c r="A14" s="739" t="s">
        <v>3928</v>
      </c>
      <c r="B14" s="738" t="s">
        <v>4577</v>
      </c>
      <c r="C14" s="730" t="s">
        <v>4601</v>
      </c>
      <c r="D14" s="730" t="s">
        <v>4371</v>
      </c>
      <c r="E14" s="730" t="s">
        <v>4602</v>
      </c>
      <c r="F14" s="730" t="s">
        <v>4603</v>
      </c>
      <c r="G14" s="730" t="s">
        <v>4604</v>
      </c>
      <c r="H14" s="740" t="s">
        <v>4375</v>
      </c>
      <c r="I14" s="730" t="s">
        <v>4605</v>
      </c>
      <c r="J14" s="730" t="s">
        <v>4606</v>
      </c>
      <c r="K14" s="730" t="s">
        <v>4583</v>
      </c>
      <c r="L14" s="731" t="s">
        <v>4607</v>
      </c>
      <c r="M14" s="724"/>
      <c r="N14" s="724"/>
      <c r="O14" s="724"/>
      <c r="P14" s="724"/>
      <c r="Q14" s="724"/>
      <c r="R14" s="724"/>
      <c r="S14" s="724"/>
      <c r="T14" s="724"/>
      <c r="U14" s="724"/>
      <c r="V14" s="724"/>
      <c r="W14" s="724"/>
      <c r="X14" s="724"/>
      <c r="Y14" s="724"/>
      <c r="Z14" s="724"/>
    </row>
    <row r="15" spans="1:26" ht="60">
      <c r="A15" s="739" t="s">
        <v>8</v>
      </c>
      <c r="B15" s="738" t="s">
        <v>3674</v>
      </c>
      <c r="C15" s="730" t="s">
        <v>4431</v>
      </c>
      <c r="D15" s="730" t="s">
        <v>4371</v>
      </c>
      <c r="E15" s="730" t="s">
        <v>4432</v>
      </c>
      <c r="F15" s="742" t="s">
        <v>4433</v>
      </c>
      <c r="G15" s="730" t="s">
        <v>4434</v>
      </c>
      <c r="H15" s="740" t="s">
        <v>2278</v>
      </c>
      <c r="I15" s="730" t="s">
        <v>4435</v>
      </c>
      <c r="J15" s="742" t="s">
        <v>4436</v>
      </c>
      <c r="K15" s="730" t="s">
        <v>4378</v>
      </c>
      <c r="L15" s="731" t="s">
        <v>4437</v>
      </c>
      <c r="M15" s="724"/>
      <c r="N15" s="724"/>
      <c r="O15" s="724"/>
      <c r="P15" s="724"/>
      <c r="Q15" s="724"/>
      <c r="R15" s="724"/>
      <c r="S15" s="724"/>
      <c r="T15" s="724"/>
      <c r="U15" s="724"/>
      <c r="V15" s="724"/>
      <c r="W15" s="724"/>
      <c r="X15" s="724"/>
      <c r="Y15" s="724"/>
      <c r="Z15" s="724"/>
    </row>
    <row r="16" spans="1:26" ht="54">
      <c r="A16" s="739" t="s">
        <v>9</v>
      </c>
      <c r="B16" s="738" t="s">
        <v>3675</v>
      </c>
      <c r="C16" s="730" t="s">
        <v>4550</v>
      </c>
      <c r="D16" s="730" t="s">
        <v>4371</v>
      </c>
      <c r="E16" s="730" t="s">
        <v>4402</v>
      </c>
      <c r="F16" s="742" t="s">
        <v>4551</v>
      </c>
      <c r="G16" s="730" t="s">
        <v>4552</v>
      </c>
      <c r="H16" s="740" t="s">
        <v>4371</v>
      </c>
      <c r="I16" s="730" t="s">
        <v>4553</v>
      </c>
      <c r="J16" s="730" t="s">
        <v>4554</v>
      </c>
      <c r="K16" s="730" t="s">
        <v>4378</v>
      </c>
      <c r="L16" s="731" t="s">
        <v>4555</v>
      </c>
      <c r="M16" s="724"/>
      <c r="N16" s="724"/>
      <c r="O16" s="724"/>
      <c r="P16" s="724"/>
      <c r="Q16" s="724"/>
      <c r="R16" s="724"/>
      <c r="S16" s="724"/>
      <c r="T16" s="724"/>
      <c r="U16" s="724"/>
      <c r="V16" s="724"/>
      <c r="W16" s="724"/>
      <c r="X16" s="724"/>
      <c r="Y16" s="724"/>
      <c r="Z16" s="724"/>
    </row>
    <row r="17" spans="1:26" ht="67.5">
      <c r="A17" s="739" t="s">
        <v>10</v>
      </c>
      <c r="B17" s="738" t="s">
        <v>3674</v>
      </c>
      <c r="C17" s="730" t="s">
        <v>4438</v>
      </c>
      <c r="D17" s="730" t="s">
        <v>4371</v>
      </c>
      <c r="E17" s="730" t="s">
        <v>4439</v>
      </c>
      <c r="F17" s="742" t="s">
        <v>4440</v>
      </c>
      <c r="G17" s="730" t="s">
        <v>4441</v>
      </c>
      <c r="H17" s="740" t="s">
        <v>4442</v>
      </c>
      <c r="I17" s="730" t="s">
        <v>4443</v>
      </c>
      <c r="J17" s="730" t="s">
        <v>4444</v>
      </c>
      <c r="K17" s="730" t="s">
        <v>4378</v>
      </c>
      <c r="L17" s="731" t="s">
        <v>4445</v>
      </c>
      <c r="M17" s="724"/>
      <c r="N17" s="724"/>
      <c r="O17" s="724"/>
      <c r="P17" s="724"/>
      <c r="Q17" s="724"/>
      <c r="R17" s="724"/>
      <c r="S17" s="724"/>
      <c r="T17" s="724"/>
      <c r="U17" s="724"/>
      <c r="V17" s="724"/>
      <c r="W17" s="724"/>
      <c r="X17" s="724"/>
      <c r="Y17" s="724"/>
      <c r="Z17" s="724"/>
    </row>
    <row r="18" spans="1:26" ht="189">
      <c r="A18" s="739" t="s">
        <v>3930</v>
      </c>
      <c r="B18" s="738" t="s">
        <v>4577</v>
      </c>
      <c r="C18" s="730" t="s">
        <v>4585</v>
      </c>
      <c r="D18" s="730" t="s">
        <v>4371</v>
      </c>
      <c r="E18" s="730" t="s">
        <v>4586</v>
      </c>
      <c r="F18" s="730" t="s">
        <v>4587</v>
      </c>
      <c r="G18" s="730" t="s">
        <v>4588</v>
      </c>
      <c r="H18" s="740" t="s">
        <v>4589</v>
      </c>
      <c r="I18" s="730" t="s">
        <v>4600</v>
      </c>
      <c r="J18" s="730" t="s">
        <v>4590</v>
      </c>
      <c r="K18" s="730" t="s">
        <v>4583</v>
      </c>
      <c r="L18" s="731" t="s">
        <v>4591</v>
      </c>
      <c r="M18" s="724"/>
      <c r="N18" s="724"/>
      <c r="O18" s="724"/>
      <c r="P18" s="724"/>
      <c r="Q18" s="724"/>
      <c r="R18" s="724"/>
      <c r="S18" s="724"/>
      <c r="T18" s="724"/>
      <c r="U18" s="724"/>
      <c r="V18" s="724"/>
      <c r="W18" s="724"/>
      <c r="X18" s="724"/>
      <c r="Y18" s="724"/>
      <c r="Z18" s="724"/>
    </row>
    <row r="19" spans="1:26" ht="75">
      <c r="A19" s="739" t="s">
        <v>11</v>
      </c>
      <c r="B19" s="738" t="s">
        <v>3674</v>
      </c>
      <c r="C19" s="730" t="s">
        <v>4446</v>
      </c>
      <c r="D19" s="730" t="s">
        <v>4371</v>
      </c>
      <c r="E19" s="730" t="s">
        <v>4447</v>
      </c>
      <c r="F19" s="742" t="s">
        <v>4448</v>
      </c>
      <c r="G19" s="730" t="s">
        <v>4449</v>
      </c>
      <c r="H19" s="740" t="s">
        <v>2275</v>
      </c>
      <c r="I19" s="730" t="s">
        <v>4450</v>
      </c>
      <c r="J19" s="742" t="s">
        <v>4451</v>
      </c>
      <c r="K19" s="730" t="s">
        <v>4378</v>
      </c>
      <c r="L19" s="731" t="s">
        <v>4452</v>
      </c>
      <c r="M19" s="724"/>
      <c r="N19" s="724"/>
      <c r="O19" s="724"/>
      <c r="P19" s="724"/>
      <c r="Q19" s="724"/>
      <c r="R19" s="724"/>
      <c r="S19" s="724"/>
      <c r="T19" s="724"/>
      <c r="U19" s="724"/>
      <c r="V19" s="724"/>
      <c r="W19" s="724"/>
      <c r="X19" s="724"/>
      <c r="Y19" s="724"/>
      <c r="Z19" s="724"/>
    </row>
    <row r="20" spans="1:26" ht="60">
      <c r="A20" s="739" t="s">
        <v>12</v>
      </c>
      <c r="B20" s="738" t="s">
        <v>3674</v>
      </c>
      <c r="C20" s="730" t="s">
        <v>4453</v>
      </c>
      <c r="D20" s="730" t="s">
        <v>4371</v>
      </c>
      <c r="E20" s="730" t="s">
        <v>4439</v>
      </c>
      <c r="F20" s="742" t="s">
        <v>4454</v>
      </c>
      <c r="G20" s="730" t="s">
        <v>4455</v>
      </c>
      <c r="H20" s="740" t="s">
        <v>4371</v>
      </c>
      <c r="I20" s="730" t="s">
        <v>4456</v>
      </c>
      <c r="J20" s="742" t="s">
        <v>4457</v>
      </c>
      <c r="K20" s="730" t="s">
        <v>4378</v>
      </c>
      <c r="L20" s="731" t="s">
        <v>4458</v>
      </c>
      <c r="M20" s="724"/>
      <c r="N20" s="724"/>
      <c r="O20" s="724"/>
      <c r="P20" s="724"/>
      <c r="Q20" s="724"/>
      <c r="R20" s="724"/>
      <c r="S20" s="724"/>
      <c r="T20" s="724"/>
      <c r="U20" s="724"/>
      <c r="V20" s="724"/>
      <c r="W20" s="724"/>
      <c r="X20" s="724"/>
      <c r="Y20" s="724"/>
      <c r="Z20" s="724"/>
    </row>
    <row r="21" spans="1:26" ht="94.5">
      <c r="A21" s="739" t="s">
        <v>13</v>
      </c>
      <c r="B21" s="738" t="s">
        <v>3675</v>
      </c>
      <c r="C21" s="730" t="s">
        <v>4556</v>
      </c>
      <c r="D21" s="730" t="s">
        <v>4371</v>
      </c>
      <c r="E21" s="730" t="s">
        <v>4557</v>
      </c>
      <c r="F21" s="742" t="s">
        <v>4558</v>
      </c>
      <c r="G21" s="730" t="s">
        <v>4559</v>
      </c>
      <c r="H21" s="740" t="s">
        <v>2278</v>
      </c>
      <c r="I21" s="730" t="s">
        <v>4560</v>
      </c>
      <c r="J21" s="730" t="s">
        <v>4561</v>
      </c>
      <c r="K21" s="730" t="s">
        <v>4378</v>
      </c>
      <c r="L21" s="731" t="s">
        <v>4562</v>
      </c>
      <c r="M21" s="724"/>
      <c r="N21" s="724"/>
      <c r="O21" s="724"/>
      <c r="P21" s="724"/>
      <c r="Q21" s="724"/>
      <c r="R21" s="724"/>
      <c r="S21" s="724"/>
      <c r="T21" s="724"/>
      <c r="U21" s="724"/>
      <c r="V21" s="724"/>
      <c r="W21" s="724"/>
      <c r="X21" s="724"/>
      <c r="Y21" s="724"/>
      <c r="Z21" s="724"/>
    </row>
    <row r="22" spans="1:26" ht="67.5">
      <c r="A22" s="739" t="s">
        <v>14</v>
      </c>
      <c r="B22" s="738" t="s">
        <v>3674</v>
      </c>
      <c r="C22" s="730" t="s">
        <v>4459</v>
      </c>
      <c r="D22" s="730" t="s">
        <v>4371</v>
      </c>
      <c r="E22" s="730" t="s">
        <v>4439</v>
      </c>
      <c r="F22" s="742" t="s">
        <v>4460</v>
      </c>
      <c r="G22" s="730" t="s">
        <v>4404</v>
      </c>
      <c r="H22" s="740" t="s">
        <v>2275</v>
      </c>
      <c r="I22" s="730" t="s">
        <v>4461</v>
      </c>
      <c r="J22" s="742" t="s">
        <v>4462</v>
      </c>
      <c r="K22" s="730" t="s">
        <v>4378</v>
      </c>
      <c r="L22" s="731" t="s">
        <v>4463</v>
      </c>
      <c r="M22" s="724"/>
      <c r="N22" s="724"/>
      <c r="O22" s="724"/>
      <c r="P22" s="724"/>
      <c r="Q22" s="724"/>
      <c r="R22" s="724"/>
      <c r="S22" s="724"/>
      <c r="T22" s="724"/>
      <c r="U22" s="724"/>
      <c r="V22" s="724"/>
      <c r="W22" s="724"/>
      <c r="X22" s="724"/>
      <c r="Y22" s="724"/>
      <c r="Z22" s="724"/>
    </row>
    <row r="23" spans="1:26" ht="75">
      <c r="A23" s="739" t="s">
        <v>15</v>
      </c>
      <c r="B23" s="738" t="s">
        <v>3674</v>
      </c>
      <c r="C23" s="730" t="s">
        <v>4464</v>
      </c>
      <c r="D23" s="730" t="s">
        <v>4371</v>
      </c>
      <c r="E23" s="730" t="s">
        <v>4439</v>
      </c>
      <c r="F23" s="742" t="s">
        <v>4465</v>
      </c>
      <c r="G23" s="730" t="s">
        <v>4466</v>
      </c>
      <c r="H23" s="740" t="s">
        <v>4375</v>
      </c>
      <c r="I23" s="730" t="s">
        <v>4467</v>
      </c>
      <c r="J23" s="742" t="s">
        <v>4468</v>
      </c>
      <c r="K23" s="730" t="s">
        <v>4378</v>
      </c>
      <c r="L23" s="731" t="s">
        <v>4469</v>
      </c>
      <c r="M23" s="724"/>
      <c r="N23" s="724"/>
      <c r="O23" s="724"/>
      <c r="P23" s="724"/>
      <c r="Q23" s="724"/>
      <c r="R23" s="724"/>
      <c r="S23" s="724"/>
      <c r="T23" s="724"/>
      <c r="U23" s="724"/>
      <c r="V23" s="724"/>
      <c r="W23" s="724"/>
      <c r="X23" s="724"/>
      <c r="Y23" s="724"/>
      <c r="Z23" s="724"/>
    </row>
    <row r="24" spans="1:26" ht="105">
      <c r="A24" s="739" t="s">
        <v>16</v>
      </c>
      <c r="B24" s="738" t="s">
        <v>3674</v>
      </c>
      <c r="C24" s="730" t="s">
        <v>4470</v>
      </c>
      <c r="D24" s="730" t="s">
        <v>4371</v>
      </c>
      <c r="E24" s="730" t="s">
        <v>4439</v>
      </c>
      <c r="F24" s="742" t="s">
        <v>4471</v>
      </c>
      <c r="G24" s="730" t="s">
        <v>4472</v>
      </c>
      <c r="H24" s="740" t="s">
        <v>4442</v>
      </c>
      <c r="I24" s="730" t="s">
        <v>4473</v>
      </c>
      <c r="J24" s="742" t="s">
        <v>4474</v>
      </c>
      <c r="K24" s="730" t="s">
        <v>4378</v>
      </c>
      <c r="L24" s="731" t="s">
        <v>4475</v>
      </c>
      <c r="M24" s="724"/>
      <c r="N24" s="724"/>
      <c r="O24" s="724"/>
      <c r="P24" s="724"/>
      <c r="Q24" s="724"/>
      <c r="R24" s="724"/>
      <c r="S24" s="724"/>
      <c r="T24" s="724"/>
      <c r="U24" s="724"/>
      <c r="V24" s="724"/>
      <c r="W24" s="724"/>
      <c r="X24" s="724"/>
      <c r="Y24" s="724"/>
      <c r="Z24" s="724"/>
    </row>
    <row r="25" spans="1:26" ht="94.5">
      <c r="A25" s="739" t="s">
        <v>3931</v>
      </c>
      <c r="B25" s="738" t="s">
        <v>4577</v>
      </c>
      <c r="C25" s="730" t="s">
        <v>4592</v>
      </c>
      <c r="D25" s="730" t="s">
        <v>4371</v>
      </c>
      <c r="E25" s="730" t="s">
        <v>4593</v>
      </c>
      <c r="F25" s="730" t="s">
        <v>4594</v>
      </c>
      <c r="G25" s="730" t="s">
        <v>4595</v>
      </c>
      <c r="H25" s="740" t="s">
        <v>2278</v>
      </c>
      <c r="I25" s="730" t="s">
        <v>4596</v>
      </c>
      <c r="J25" s="730" t="s">
        <v>4597</v>
      </c>
      <c r="K25" s="730" t="s">
        <v>4583</v>
      </c>
      <c r="L25" s="731" t="s">
        <v>4598</v>
      </c>
      <c r="M25" s="724"/>
      <c r="N25" s="724"/>
      <c r="O25" s="724"/>
      <c r="P25" s="724"/>
      <c r="Q25" s="724"/>
      <c r="R25" s="724"/>
      <c r="S25" s="724"/>
      <c r="T25" s="724"/>
      <c r="U25" s="724"/>
      <c r="V25" s="724"/>
      <c r="W25" s="724"/>
      <c r="X25" s="724"/>
      <c r="Y25" s="724"/>
      <c r="Z25" s="724"/>
    </row>
    <row r="26" spans="1:26" ht="94.5">
      <c r="A26" s="739" t="s">
        <v>17</v>
      </c>
      <c r="B26" s="738" t="s">
        <v>3674</v>
      </c>
      <c r="C26" s="730" t="s">
        <v>4476</v>
      </c>
      <c r="D26" s="730" t="s">
        <v>4371</v>
      </c>
      <c r="E26" s="730" t="s">
        <v>4477</v>
      </c>
      <c r="F26" s="742" t="s">
        <v>4478</v>
      </c>
      <c r="G26" s="730" t="s">
        <v>4397</v>
      </c>
      <c r="H26" s="740" t="s">
        <v>2275</v>
      </c>
      <c r="I26" s="730" t="s">
        <v>4479</v>
      </c>
      <c r="J26" s="730" t="s">
        <v>4480</v>
      </c>
      <c r="K26" s="730" t="s">
        <v>4378</v>
      </c>
      <c r="L26" s="731" t="s">
        <v>4481</v>
      </c>
      <c r="M26" s="724"/>
      <c r="N26" s="724"/>
      <c r="O26" s="724"/>
      <c r="P26" s="724"/>
      <c r="Q26" s="724"/>
      <c r="R26" s="724"/>
      <c r="S26" s="724"/>
      <c r="T26" s="724"/>
      <c r="U26" s="724"/>
      <c r="V26" s="724"/>
      <c r="W26" s="724"/>
      <c r="X26" s="724"/>
      <c r="Y26" s="724"/>
      <c r="Z26" s="724"/>
    </row>
    <row r="27" spans="1:26" ht="75">
      <c r="A27" s="739" t="s">
        <v>18</v>
      </c>
      <c r="B27" s="738" t="s">
        <v>3675</v>
      </c>
      <c r="C27" s="730" t="s">
        <v>4563</v>
      </c>
      <c r="D27" s="730" t="s">
        <v>4371</v>
      </c>
      <c r="E27" s="730" t="s">
        <v>4564</v>
      </c>
      <c r="F27" s="742" t="s">
        <v>4565</v>
      </c>
      <c r="G27" s="730" t="s">
        <v>4566</v>
      </c>
      <c r="H27" s="740" t="s">
        <v>4371</v>
      </c>
      <c r="I27" s="730" t="s">
        <v>4567</v>
      </c>
      <c r="J27" s="742" t="s">
        <v>4568</v>
      </c>
      <c r="K27" s="730" t="s">
        <v>4378</v>
      </c>
      <c r="L27" s="731" t="s">
        <v>4569</v>
      </c>
      <c r="M27" s="724"/>
      <c r="N27" s="724"/>
      <c r="O27" s="724"/>
      <c r="P27" s="724"/>
      <c r="Q27" s="724"/>
      <c r="R27" s="724"/>
      <c r="S27" s="724"/>
      <c r="T27" s="724"/>
      <c r="U27" s="724"/>
      <c r="V27" s="724"/>
      <c r="W27" s="724"/>
      <c r="X27" s="724"/>
      <c r="Y27" s="724"/>
      <c r="Z27" s="724"/>
    </row>
    <row r="28" spans="1:26" ht="81">
      <c r="A28" s="739" t="s">
        <v>19</v>
      </c>
      <c r="B28" s="738" t="s">
        <v>3674</v>
      </c>
      <c r="C28" s="730" t="s">
        <v>4482</v>
      </c>
      <c r="D28" s="730" t="s">
        <v>4371</v>
      </c>
      <c r="E28" s="730" t="s">
        <v>4483</v>
      </c>
      <c r="F28" s="742" t="s">
        <v>4484</v>
      </c>
      <c r="G28" s="730" t="s">
        <v>4485</v>
      </c>
      <c r="H28" s="740" t="s">
        <v>2275</v>
      </c>
      <c r="I28" s="730" t="s">
        <v>4486</v>
      </c>
      <c r="J28" s="742" t="s">
        <v>4487</v>
      </c>
      <c r="K28" s="730" t="s">
        <v>4378</v>
      </c>
      <c r="L28" s="731" t="s">
        <v>4488</v>
      </c>
      <c r="M28" s="724"/>
      <c r="N28" s="724"/>
      <c r="O28" s="724"/>
      <c r="P28" s="724"/>
      <c r="Q28" s="724"/>
      <c r="R28" s="724"/>
      <c r="S28" s="724"/>
      <c r="T28" s="724"/>
      <c r="U28" s="724"/>
      <c r="V28" s="724"/>
      <c r="W28" s="724"/>
      <c r="X28" s="724"/>
      <c r="Y28" s="724"/>
      <c r="Z28" s="724"/>
    </row>
    <row r="29" spans="1:26" ht="54">
      <c r="A29" s="739" t="s">
        <v>20</v>
      </c>
      <c r="B29" s="738" t="s">
        <v>3674</v>
      </c>
      <c r="C29" s="730" t="s">
        <v>4489</v>
      </c>
      <c r="D29" s="730" t="s">
        <v>4371</v>
      </c>
      <c r="E29" s="730" t="s">
        <v>4439</v>
      </c>
      <c r="F29" s="742" t="s">
        <v>4490</v>
      </c>
      <c r="G29" s="730" t="s">
        <v>4491</v>
      </c>
      <c r="H29" s="740" t="s">
        <v>4492</v>
      </c>
      <c r="I29" s="730" t="s">
        <v>4493</v>
      </c>
      <c r="J29" s="742" t="s">
        <v>4494</v>
      </c>
      <c r="K29" s="730" t="s">
        <v>4378</v>
      </c>
      <c r="L29" s="731" t="s">
        <v>4495</v>
      </c>
      <c r="M29" s="724"/>
      <c r="N29" s="724"/>
      <c r="O29" s="724"/>
      <c r="P29" s="724"/>
      <c r="Q29" s="724"/>
      <c r="R29" s="724"/>
      <c r="S29" s="724"/>
      <c r="T29" s="724"/>
      <c r="U29" s="724"/>
      <c r="V29" s="724"/>
      <c r="W29" s="724"/>
      <c r="X29" s="724"/>
      <c r="Y29" s="724"/>
      <c r="Z29" s="724"/>
    </row>
    <row r="30" spans="1:26" ht="135">
      <c r="A30" s="739" t="s">
        <v>21</v>
      </c>
      <c r="B30" s="738" t="s">
        <v>3674</v>
      </c>
      <c r="C30" s="730" t="s">
        <v>4496</v>
      </c>
      <c r="D30" s="730" t="s">
        <v>4371</v>
      </c>
      <c r="E30" s="730" t="s">
        <v>4439</v>
      </c>
      <c r="F30" s="742" t="s">
        <v>4497</v>
      </c>
      <c r="G30" s="730" t="s">
        <v>4498</v>
      </c>
      <c r="H30" s="740" t="s">
        <v>4375</v>
      </c>
      <c r="I30" s="730" t="s">
        <v>4499</v>
      </c>
      <c r="J30" s="742" t="s">
        <v>4500</v>
      </c>
      <c r="K30" s="730" t="s">
        <v>4378</v>
      </c>
      <c r="L30" s="731" t="s">
        <v>4501</v>
      </c>
      <c r="M30" s="724"/>
      <c r="N30" s="724"/>
      <c r="O30" s="724"/>
      <c r="P30" s="724"/>
      <c r="Q30" s="724"/>
      <c r="R30" s="724"/>
      <c r="S30" s="724"/>
      <c r="T30" s="724"/>
      <c r="U30" s="724"/>
      <c r="V30" s="724"/>
      <c r="W30" s="724"/>
      <c r="X30" s="724"/>
      <c r="Y30" s="724"/>
      <c r="Z30" s="724"/>
    </row>
    <row r="31" spans="1:26" ht="108">
      <c r="A31" s="739" t="s">
        <v>22</v>
      </c>
      <c r="B31" s="738" t="s">
        <v>3674</v>
      </c>
      <c r="C31" s="730" t="s">
        <v>4502</v>
      </c>
      <c r="D31" s="730" t="s">
        <v>4371</v>
      </c>
      <c r="E31" s="730" t="s">
        <v>4439</v>
      </c>
      <c r="F31" s="742" t="s">
        <v>4503</v>
      </c>
      <c r="G31" s="730" t="s">
        <v>4504</v>
      </c>
      <c r="H31" s="740" t="s">
        <v>4505</v>
      </c>
      <c r="I31" s="730" t="s">
        <v>4506</v>
      </c>
      <c r="J31" s="730" t="s">
        <v>4507</v>
      </c>
      <c r="K31" s="730" t="s">
        <v>4378</v>
      </c>
      <c r="L31" s="731" t="s">
        <v>4508</v>
      </c>
      <c r="M31" s="724"/>
      <c r="N31" s="724"/>
      <c r="O31" s="724"/>
      <c r="P31" s="724"/>
      <c r="Q31" s="724"/>
      <c r="R31" s="724"/>
      <c r="S31" s="724"/>
      <c r="T31" s="724"/>
      <c r="U31" s="724"/>
      <c r="V31" s="724"/>
      <c r="W31" s="724"/>
      <c r="X31" s="724"/>
      <c r="Y31" s="724"/>
      <c r="Z31" s="724"/>
    </row>
    <row r="32" spans="1:26" ht="90">
      <c r="A32" s="739" t="s">
        <v>23</v>
      </c>
      <c r="B32" s="738" t="s">
        <v>3674</v>
      </c>
      <c r="C32" s="730" t="s">
        <v>4509</v>
      </c>
      <c r="D32" s="730" t="s">
        <v>4371</v>
      </c>
      <c r="E32" s="730" t="s">
        <v>4510</v>
      </c>
      <c r="F32" s="742" t="s">
        <v>4511</v>
      </c>
      <c r="G32" s="730" t="s">
        <v>4512</v>
      </c>
      <c r="H32" s="740" t="s">
        <v>4371</v>
      </c>
      <c r="I32" s="730" t="s">
        <v>4513</v>
      </c>
      <c r="J32" s="742" t="s">
        <v>4514</v>
      </c>
      <c r="K32" s="730" t="s">
        <v>4378</v>
      </c>
      <c r="L32" s="731" t="s">
        <v>4515</v>
      </c>
      <c r="M32" s="724"/>
      <c r="N32" s="724"/>
      <c r="O32" s="724"/>
      <c r="P32" s="724"/>
      <c r="Q32" s="724"/>
      <c r="R32" s="724"/>
      <c r="S32" s="724"/>
      <c r="T32" s="724"/>
      <c r="U32" s="724"/>
      <c r="V32" s="724"/>
      <c r="W32" s="724"/>
      <c r="X32" s="724"/>
      <c r="Y32" s="724"/>
      <c r="Z32" s="724"/>
    </row>
    <row r="33" spans="1:26" ht="81">
      <c r="A33" s="739" t="s">
        <v>24</v>
      </c>
      <c r="B33" s="738" t="s">
        <v>3675</v>
      </c>
      <c r="C33" s="730" t="s">
        <v>4556</v>
      </c>
      <c r="D33" s="730" t="s">
        <v>4371</v>
      </c>
      <c r="E33" s="730" t="s">
        <v>4570</v>
      </c>
      <c r="F33" s="742" t="s">
        <v>4571</v>
      </c>
      <c r="G33" s="730" t="s">
        <v>4572</v>
      </c>
      <c r="H33" s="740" t="s">
        <v>2278</v>
      </c>
      <c r="I33" s="730" t="s">
        <v>4573</v>
      </c>
      <c r="J33" s="730" t="s">
        <v>4574</v>
      </c>
      <c r="K33" s="730" t="s">
        <v>4378</v>
      </c>
      <c r="L33" s="731" t="s">
        <v>4575</v>
      </c>
      <c r="M33" s="724"/>
      <c r="N33" s="724"/>
      <c r="O33" s="724"/>
      <c r="X33" s="724"/>
      <c r="Y33" s="724"/>
      <c r="Z33" s="724"/>
    </row>
    <row r="34" spans="1:26" ht="90">
      <c r="A34" s="739" t="s">
        <v>25</v>
      </c>
      <c r="B34" s="738" t="s">
        <v>3674</v>
      </c>
      <c r="C34" s="730" t="s">
        <v>4464</v>
      </c>
      <c r="D34" s="730" t="s">
        <v>4371</v>
      </c>
      <c r="E34" s="730" t="s">
        <v>4439</v>
      </c>
      <c r="F34" s="742" t="s">
        <v>4516</v>
      </c>
      <c r="G34" s="730" t="s">
        <v>4404</v>
      </c>
      <c r="H34" s="740" t="s">
        <v>2275</v>
      </c>
      <c r="I34" s="730" t="s">
        <v>4517</v>
      </c>
      <c r="J34" s="742" t="s">
        <v>4518</v>
      </c>
      <c r="K34" s="730" t="s">
        <v>4378</v>
      </c>
      <c r="L34" s="731" t="s">
        <v>4519</v>
      </c>
      <c r="M34" s="724"/>
      <c r="N34" s="724"/>
      <c r="O34" s="724"/>
      <c r="P34" s="724"/>
      <c r="Q34" s="724"/>
      <c r="R34" s="724"/>
      <c r="S34" s="724"/>
      <c r="T34" s="724"/>
      <c r="U34" s="724"/>
      <c r="V34" s="724"/>
      <c r="W34" s="724"/>
      <c r="X34" s="724"/>
      <c r="Y34" s="724"/>
      <c r="Z34" s="724"/>
    </row>
    <row r="35" spans="1:26" ht="90">
      <c r="A35" s="739" t="s">
        <v>26</v>
      </c>
      <c r="B35" s="738" t="s">
        <v>3674</v>
      </c>
      <c r="C35" s="730" t="s">
        <v>4520</v>
      </c>
      <c r="D35" s="730" t="s">
        <v>4371</v>
      </c>
      <c r="E35" s="730" t="s">
        <v>4439</v>
      </c>
      <c r="F35" s="742" t="s">
        <v>4521</v>
      </c>
      <c r="G35" s="730" t="s">
        <v>4522</v>
      </c>
      <c r="H35" s="740" t="s">
        <v>2275</v>
      </c>
      <c r="I35" s="730" t="s">
        <v>4523</v>
      </c>
      <c r="J35" s="742" t="s">
        <v>4524</v>
      </c>
      <c r="K35" s="730" t="s">
        <v>4378</v>
      </c>
      <c r="L35" s="731" t="s">
        <v>4525</v>
      </c>
      <c r="M35" s="724"/>
      <c r="N35" s="724"/>
      <c r="O35" s="724"/>
      <c r="P35" s="724"/>
      <c r="Q35" s="724"/>
      <c r="R35" s="724"/>
      <c r="S35" s="724"/>
      <c r="T35" s="724"/>
      <c r="U35" s="724"/>
      <c r="V35" s="724"/>
      <c r="W35" s="724"/>
      <c r="X35" s="724"/>
      <c r="Y35" s="724"/>
      <c r="Z35" s="724"/>
    </row>
    <row r="36" spans="1:26" ht="75">
      <c r="A36" s="739" t="s">
        <v>27</v>
      </c>
      <c r="B36" s="738" t="s">
        <v>3674</v>
      </c>
      <c r="C36" s="730" t="s">
        <v>4526</v>
      </c>
      <c r="D36" s="730" t="s">
        <v>4371</v>
      </c>
      <c r="E36" s="730" t="s">
        <v>4439</v>
      </c>
      <c r="F36" s="742" t="s">
        <v>4527</v>
      </c>
      <c r="G36" s="730" t="s">
        <v>4528</v>
      </c>
      <c r="H36" s="740" t="s">
        <v>4375</v>
      </c>
      <c r="I36" s="730" t="s">
        <v>4529</v>
      </c>
      <c r="J36" s="742" t="s">
        <v>4530</v>
      </c>
      <c r="K36" s="730" t="s">
        <v>4378</v>
      </c>
      <c r="L36" s="731" t="s">
        <v>4531</v>
      </c>
      <c r="M36" s="724"/>
      <c r="N36" s="724"/>
      <c r="O36" s="724"/>
      <c r="P36" s="724"/>
      <c r="Q36" s="724"/>
      <c r="R36" s="724"/>
      <c r="S36" s="724"/>
      <c r="T36" s="724"/>
      <c r="U36" s="724"/>
      <c r="V36" s="724"/>
      <c r="W36" s="724"/>
      <c r="X36" s="724"/>
      <c r="Y36" s="724"/>
      <c r="Z36" s="724"/>
    </row>
    <row r="37" spans="1:26" ht="45">
      <c r="A37" s="739" t="s">
        <v>2240</v>
      </c>
      <c r="B37" s="738" t="s">
        <v>3674</v>
      </c>
      <c r="C37" s="730" t="s">
        <v>4464</v>
      </c>
      <c r="D37" s="730" t="s">
        <v>4371</v>
      </c>
      <c r="E37" s="730" t="s">
        <v>4532</v>
      </c>
      <c r="F37" s="742" t="s">
        <v>4533</v>
      </c>
      <c r="G37" s="730" t="s">
        <v>4534</v>
      </c>
      <c r="H37" s="740" t="s">
        <v>4375</v>
      </c>
      <c r="I37" s="730" t="s">
        <v>4535</v>
      </c>
      <c r="J37" s="742" t="s">
        <v>4536</v>
      </c>
      <c r="K37" s="730" t="s">
        <v>4378</v>
      </c>
      <c r="L37" s="731" t="s">
        <v>4537</v>
      </c>
      <c r="M37" s="724"/>
      <c r="N37" s="724"/>
      <c r="O37" s="724"/>
      <c r="P37" s="724"/>
      <c r="Q37" s="724"/>
      <c r="R37" s="724"/>
      <c r="S37" s="724"/>
      <c r="T37" s="724"/>
      <c r="U37" s="724"/>
      <c r="V37" s="724"/>
      <c r="W37" s="724"/>
      <c r="X37" s="724"/>
      <c r="Y37" s="724"/>
      <c r="Z37" s="724"/>
    </row>
    <row r="38" spans="1:26" ht="105">
      <c r="A38" s="739" t="s">
        <v>29</v>
      </c>
      <c r="B38" s="738" t="s">
        <v>3674</v>
      </c>
      <c r="C38" s="730" t="s">
        <v>4459</v>
      </c>
      <c r="D38" s="730" t="s">
        <v>4371</v>
      </c>
      <c r="E38" s="730" t="s">
        <v>4402</v>
      </c>
      <c r="F38" s="742" t="s">
        <v>4538</v>
      </c>
      <c r="G38" s="730" t="s">
        <v>4539</v>
      </c>
      <c r="H38" s="740" t="s">
        <v>4375</v>
      </c>
      <c r="I38" s="730" t="s">
        <v>4540</v>
      </c>
      <c r="J38" s="742" t="s">
        <v>4541</v>
      </c>
      <c r="K38" s="730" t="s">
        <v>4378</v>
      </c>
      <c r="L38" s="731" t="s">
        <v>4542</v>
      </c>
      <c r="M38" s="724"/>
      <c r="N38" s="724"/>
      <c r="O38" s="724"/>
      <c r="P38" s="724"/>
      <c r="Q38" s="724"/>
      <c r="R38" s="724"/>
      <c r="S38" s="724"/>
      <c r="T38" s="724"/>
      <c r="U38" s="724"/>
      <c r="V38" s="724"/>
      <c r="W38" s="724"/>
      <c r="X38" s="724"/>
      <c r="Y38" s="724"/>
      <c r="Z38" s="724"/>
    </row>
    <row r="39" spans="1:26" s="13" customFormat="1" ht="315">
      <c r="A39" s="770" t="s">
        <v>2886</v>
      </c>
      <c r="B39" s="771"/>
      <c r="C39" s="772" t="s">
        <v>4642</v>
      </c>
      <c r="D39" s="772" t="s">
        <v>4371</v>
      </c>
      <c r="E39" s="773" t="s">
        <v>4643</v>
      </c>
      <c r="F39" s="774" t="s">
        <v>4644</v>
      </c>
      <c r="G39" s="772"/>
      <c r="H39" s="775" t="s">
        <v>4375</v>
      </c>
      <c r="I39" s="776" t="s">
        <v>4645</v>
      </c>
      <c r="J39" s="776" t="s">
        <v>4646</v>
      </c>
      <c r="K39" s="777">
        <v>46218</v>
      </c>
      <c r="L39" s="778"/>
      <c r="M39" s="779"/>
      <c r="N39" s="1094"/>
      <c r="O39" s="1094"/>
      <c r="P39" s="1094"/>
      <c r="Q39" s="1094"/>
      <c r="R39" s="779"/>
      <c r="S39" s="779"/>
      <c r="T39" s="779"/>
      <c r="U39" s="779"/>
      <c r="V39" s="779"/>
      <c r="W39" s="779"/>
      <c r="X39" s="779"/>
      <c r="Y39" s="779"/>
      <c r="Z39" s="779"/>
    </row>
    <row r="40" spans="1:26" ht="94.5">
      <c r="A40" s="767" t="s">
        <v>30</v>
      </c>
      <c r="B40" s="768" t="s">
        <v>3674</v>
      </c>
      <c r="C40" s="726" t="s">
        <v>4543</v>
      </c>
      <c r="D40" s="726" t="s">
        <v>4371</v>
      </c>
      <c r="E40" s="726" t="s">
        <v>4544</v>
      </c>
      <c r="F40" s="769" t="s">
        <v>4545</v>
      </c>
      <c r="G40" s="726" t="s">
        <v>4546</v>
      </c>
      <c r="H40" s="741" t="s">
        <v>4375</v>
      </c>
      <c r="I40" s="726" t="s">
        <v>4547</v>
      </c>
      <c r="J40" s="769" t="s">
        <v>4548</v>
      </c>
      <c r="K40" s="726" t="s">
        <v>4378</v>
      </c>
      <c r="L40" s="726" t="s">
        <v>4549</v>
      </c>
      <c r="M40" s="724"/>
      <c r="N40" s="724"/>
      <c r="O40" s="724"/>
      <c r="P40" s="724"/>
      <c r="Q40" s="724"/>
      <c r="R40" s="724"/>
      <c r="S40" s="724"/>
      <c r="T40" s="724"/>
      <c r="U40" s="724"/>
      <c r="V40" s="724"/>
      <c r="W40" s="724"/>
      <c r="X40" s="724"/>
      <c r="Y40" s="724"/>
      <c r="Z40" s="724"/>
    </row>
    <row r="41" spans="1:26" hidden="1">
      <c r="A41" s="726"/>
      <c r="B41" s="726"/>
      <c r="C41" s="726"/>
      <c r="D41" s="726"/>
      <c r="E41" s="726"/>
      <c r="F41" s="726"/>
      <c r="G41" s="726"/>
      <c r="H41" s="741"/>
      <c r="I41" s="726"/>
      <c r="J41" s="726"/>
      <c r="K41" s="726"/>
      <c r="L41" s="726"/>
      <c r="M41" s="724"/>
      <c r="N41" s="724"/>
      <c r="O41" s="724"/>
      <c r="P41" s="724"/>
      <c r="Q41" s="724"/>
      <c r="R41" s="724"/>
      <c r="S41" s="724"/>
      <c r="T41" s="724"/>
      <c r="U41" s="724"/>
      <c r="V41" s="724"/>
      <c r="W41" s="724"/>
      <c r="X41" s="724"/>
      <c r="Y41" s="724"/>
      <c r="Z41" s="724"/>
    </row>
    <row r="42" spans="1:26" hidden="1">
      <c r="A42" s="726"/>
      <c r="B42" s="726"/>
      <c r="C42" s="726"/>
      <c r="D42" s="726"/>
      <c r="E42" s="726"/>
      <c r="F42" s="726"/>
      <c r="G42" s="726"/>
      <c r="H42" s="741"/>
      <c r="I42" s="726"/>
      <c r="J42" s="726"/>
      <c r="K42" s="726"/>
      <c r="L42" s="726"/>
      <c r="M42" s="724"/>
      <c r="N42" s="724"/>
      <c r="O42" s="724"/>
      <c r="P42" s="724"/>
      <c r="Q42" s="724"/>
      <c r="R42" s="724"/>
      <c r="S42" s="724"/>
      <c r="T42" s="724"/>
      <c r="U42" s="724"/>
      <c r="V42" s="724"/>
      <c r="W42" s="724"/>
      <c r="X42" s="724"/>
      <c r="Y42" s="724"/>
      <c r="Z42" s="724"/>
    </row>
    <row r="43" spans="1:26" ht="92.1" hidden="1" customHeight="1">
      <c r="A43" s="726"/>
      <c r="B43" s="726"/>
      <c r="C43" s="726"/>
      <c r="D43" s="726"/>
      <c r="E43" s="726"/>
      <c r="F43" s="726"/>
      <c r="G43" s="726"/>
      <c r="H43" s="741"/>
      <c r="I43" s="726"/>
      <c r="J43" s="726"/>
      <c r="K43" s="726"/>
      <c r="L43" s="726"/>
      <c r="M43" s="724"/>
      <c r="N43" s="724"/>
      <c r="O43" s="724"/>
      <c r="P43" s="724"/>
      <c r="Q43" s="724"/>
      <c r="R43" s="724"/>
      <c r="S43" s="724"/>
      <c r="T43" s="724"/>
      <c r="U43" s="724"/>
      <c r="V43" s="724"/>
      <c r="W43" s="724"/>
      <c r="X43" s="724"/>
      <c r="Y43" s="724"/>
      <c r="Z43" s="724"/>
    </row>
    <row r="44" spans="1:26" hidden="1">
      <c r="A44" s="724"/>
      <c r="B44" s="724"/>
      <c r="C44" s="724"/>
      <c r="D44" s="724"/>
      <c r="E44" s="724"/>
      <c r="F44" s="724"/>
      <c r="G44" s="724"/>
      <c r="H44" s="729"/>
      <c r="I44" s="724"/>
      <c r="J44" s="724"/>
      <c r="K44" s="724"/>
      <c r="L44" s="724"/>
      <c r="M44" s="724"/>
      <c r="N44" s="724"/>
      <c r="O44" s="724"/>
      <c r="P44" s="724"/>
      <c r="Q44" s="724"/>
      <c r="R44" s="724"/>
      <c r="S44" s="724"/>
      <c r="T44" s="724"/>
      <c r="U44" s="724"/>
      <c r="V44" s="724"/>
      <c r="W44" s="724"/>
      <c r="X44" s="724"/>
      <c r="Y44" s="724"/>
      <c r="Z44" s="724"/>
    </row>
    <row r="45" spans="1:26" hidden="1">
      <c r="A45" s="724"/>
      <c r="B45" s="724"/>
      <c r="C45" s="724"/>
      <c r="D45" s="724"/>
      <c r="E45" s="724"/>
      <c r="F45" s="724"/>
      <c r="G45" s="724"/>
      <c r="H45" s="729"/>
      <c r="I45" s="724"/>
      <c r="J45" s="724"/>
      <c r="K45" s="724"/>
      <c r="L45" s="724"/>
      <c r="M45" s="724"/>
      <c r="N45" s="724"/>
      <c r="O45" s="724"/>
      <c r="P45" s="724"/>
      <c r="Q45" s="724"/>
      <c r="R45" s="724"/>
      <c r="S45" s="724"/>
      <c r="T45" s="724"/>
      <c r="U45" s="724"/>
      <c r="V45" s="724"/>
      <c r="W45" s="724"/>
      <c r="X45" s="724"/>
      <c r="Y45" s="724"/>
      <c r="Z45" s="724"/>
    </row>
    <row r="46" spans="1:26" hidden="1">
      <c r="A46" s="724"/>
      <c r="B46" s="724"/>
      <c r="C46" s="724"/>
      <c r="D46" s="724"/>
      <c r="E46" s="724"/>
      <c r="F46" s="724"/>
      <c r="G46" s="724"/>
      <c r="H46" s="729"/>
      <c r="I46" s="724"/>
      <c r="J46" s="724"/>
      <c r="K46" s="724"/>
      <c r="L46" s="724"/>
      <c r="M46" s="724"/>
      <c r="N46" s="724"/>
      <c r="O46" s="724"/>
      <c r="P46" s="724"/>
      <c r="Q46" s="724"/>
      <c r="R46" s="724"/>
      <c r="S46" s="724"/>
      <c r="T46" s="724"/>
      <c r="U46" s="724"/>
      <c r="V46" s="724"/>
      <c r="W46" s="724"/>
      <c r="X46" s="724"/>
      <c r="Y46" s="724"/>
      <c r="Z46" s="724"/>
    </row>
    <row r="47" spans="1:26" hidden="1">
      <c r="A47" s="724"/>
      <c r="B47" s="724"/>
      <c r="C47" s="724"/>
      <c r="D47" s="724"/>
      <c r="E47" s="724"/>
      <c r="F47" s="724"/>
      <c r="G47" s="724"/>
      <c r="H47" s="729"/>
      <c r="I47" s="724"/>
      <c r="J47" s="724"/>
      <c r="K47" s="724"/>
      <c r="L47" s="724"/>
      <c r="M47" s="724"/>
      <c r="N47" s="724"/>
      <c r="O47" s="724"/>
      <c r="P47" s="724"/>
      <c r="Q47" s="724"/>
      <c r="R47" s="724"/>
      <c r="S47" s="724"/>
      <c r="T47" s="724"/>
      <c r="U47" s="724"/>
      <c r="V47" s="724"/>
      <c r="W47" s="724"/>
      <c r="X47" s="724"/>
      <c r="Y47" s="724"/>
      <c r="Z47" s="724"/>
    </row>
    <row r="48" spans="1:26" hidden="1">
      <c r="A48" s="724"/>
      <c r="B48" s="724"/>
      <c r="C48" s="724"/>
      <c r="D48" s="724"/>
      <c r="E48" s="724"/>
      <c r="F48" s="724"/>
      <c r="G48" s="724"/>
      <c r="H48" s="729"/>
      <c r="I48" s="724"/>
      <c r="J48" s="724"/>
      <c r="K48" s="724"/>
      <c r="L48" s="724"/>
      <c r="M48" s="724"/>
      <c r="N48" s="724"/>
      <c r="O48" s="724"/>
      <c r="P48" s="724"/>
      <c r="Q48" s="724"/>
      <c r="R48" s="724"/>
      <c r="S48" s="724"/>
      <c r="T48" s="724"/>
      <c r="U48" s="724"/>
      <c r="V48" s="724"/>
      <c r="W48" s="724"/>
      <c r="X48" s="724"/>
      <c r="Y48" s="724"/>
      <c r="Z48" s="724"/>
    </row>
    <row r="49" spans="1:26" hidden="1">
      <c r="A49" s="724"/>
      <c r="B49" s="724"/>
      <c r="C49" s="724"/>
      <c r="D49" s="724"/>
      <c r="E49" s="724"/>
      <c r="F49" s="724"/>
      <c r="G49" s="724"/>
      <c r="H49" s="729"/>
      <c r="I49" s="724"/>
      <c r="J49" s="724"/>
      <c r="K49" s="724"/>
      <c r="L49" s="724"/>
      <c r="M49" s="724"/>
      <c r="N49" s="724"/>
      <c r="O49" s="724"/>
      <c r="P49" s="724"/>
      <c r="Q49" s="724"/>
      <c r="R49" s="724"/>
      <c r="S49" s="724"/>
      <c r="T49" s="724"/>
      <c r="U49" s="724"/>
      <c r="V49" s="724"/>
      <c r="W49" s="724"/>
      <c r="X49" s="724"/>
      <c r="Y49" s="724"/>
      <c r="Z49" s="724"/>
    </row>
    <row r="50" spans="1:26" hidden="1">
      <c r="A50" s="724"/>
      <c r="B50" s="724"/>
      <c r="C50" s="724"/>
      <c r="D50" s="724"/>
      <c r="E50" s="724"/>
      <c r="F50" s="724"/>
      <c r="G50" s="724"/>
      <c r="H50" s="729"/>
      <c r="I50" s="724"/>
      <c r="J50" s="724"/>
      <c r="K50" s="724"/>
      <c r="L50" s="724"/>
      <c r="M50" s="724"/>
      <c r="N50" s="724"/>
      <c r="O50" s="724"/>
      <c r="P50" s="724"/>
      <c r="Q50" s="724"/>
      <c r="R50" s="724"/>
      <c r="S50" s="724"/>
      <c r="T50" s="724"/>
      <c r="U50" s="724"/>
      <c r="V50" s="724"/>
      <c r="W50" s="724"/>
      <c r="X50" s="724"/>
      <c r="Y50" s="724"/>
      <c r="Z50" s="724"/>
    </row>
    <row r="51" spans="1:26" hidden="1">
      <c r="A51" s="724"/>
      <c r="B51" s="724"/>
      <c r="C51" s="724"/>
      <c r="D51" s="724"/>
      <c r="E51" s="724"/>
      <c r="F51" s="724"/>
      <c r="G51" s="724"/>
      <c r="H51" s="729"/>
      <c r="I51" s="724"/>
      <c r="J51" s="724"/>
      <c r="K51" s="724"/>
      <c r="L51" s="724"/>
      <c r="M51" s="724"/>
      <c r="N51" s="724"/>
      <c r="O51" s="724"/>
      <c r="P51" s="724"/>
      <c r="Q51" s="724"/>
      <c r="R51" s="724"/>
      <c r="S51" s="724"/>
      <c r="T51" s="724"/>
      <c r="U51" s="724"/>
      <c r="V51" s="724"/>
      <c r="W51" s="724"/>
      <c r="X51" s="724"/>
      <c r="Y51" s="724"/>
      <c r="Z51" s="724"/>
    </row>
    <row r="52" spans="1:26" hidden="1">
      <c r="A52" s="724"/>
      <c r="B52" s="724"/>
      <c r="C52" s="724"/>
      <c r="D52" s="724"/>
      <c r="E52" s="724"/>
      <c r="F52" s="724"/>
      <c r="G52" s="724"/>
      <c r="H52" s="729"/>
      <c r="I52" s="724"/>
      <c r="J52" s="724"/>
      <c r="K52" s="724"/>
      <c r="L52" s="724"/>
      <c r="M52" s="724"/>
      <c r="N52" s="724"/>
      <c r="O52" s="724"/>
      <c r="P52" s="724"/>
      <c r="Q52" s="724"/>
      <c r="R52" s="724"/>
      <c r="S52" s="724"/>
      <c r="T52" s="724"/>
      <c r="U52" s="724"/>
      <c r="V52" s="724"/>
      <c r="W52" s="724"/>
      <c r="X52" s="724"/>
      <c r="Y52" s="724"/>
      <c r="Z52" s="724"/>
    </row>
    <row r="53" spans="1:26" hidden="1">
      <c r="A53" s="724"/>
      <c r="B53" s="724"/>
      <c r="C53" s="724"/>
      <c r="D53" s="724"/>
      <c r="E53" s="724"/>
      <c r="F53" s="724"/>
      <c r="G53" s="724"/>
      <c r="H53" s="729"/>
      <c r="I53" s="724"/>
      <c r="J53" s="724"/>
      <c r="K53" s="724"/>
      <c r="L53" s="724"/>
      <c r="M53" s="724"/>
      <c r="N53" s="724"/>
      <c r="O53" s="724"/>
      <c r="P53" s="724"/>
      <c r="Q53" s="724"/>
      <c r="R53" s="724"/>
      <c r="S53" s="724"/>
      <c r="T53" s="724"/>
      <c r="U53" s="724"/>
      <c r="V53" s="724"/>
      <c r="W53" s="724"/>
      <c r="X53" s="724"/>
      <c r="Y53" s="724"/>
      <c r="Z53" s="724"/>
    </row>
    <row r="54" spans="1:26" hidden="1">
      <c r="A54" s="724"/>
      <c r="B54" s="724"/>
      <c r="C54" s="724"/>
      <c r="D54" s="724"/>
      <c r="E54" s="724"/>
      <c r="F54" s="724"/>
      <c r="G54" s="724"/>
      <c r="H54" s="729"/>
      <c r="I54" s="724"/>
      <c r="J54" s="724"/>
      <c r="K54" s="724"/>
      <c r="L54" s="724"/>
      <c r="M54" s="724"/>
      <c r="N54" s="724"/>
      <c r="O54" s="724"/>
      <c r="P54" s="724"/>
      <c r="Q54" s="724"/>
      <c r="R54" s="724"/>
      <c r="S54" s="724"/>
      <c r="T54" s="724"/>
      <c r="U54" s="724"/>
      <c r="V54" s="724"/>
      <c r="W54" s="724"/>
      <c r="X54" s="724"/>
      <c r="Y54" s="724"/>
      <c r="Z54" s="724"/>
    </row>
    <row r="55" spans="1:26" hidden="1">
      <c r="A55" s="724"/>
      <c r="B55" s="724"/>
      <c r="C55" s="724"/>
      <c r="D55" s="724"/>
      <c r="E55" s="724"/>
      <c r="F55" s="724"/>
      <c r="G55" s="724"/>
      <c r="H55" s="729"/>
      <c r="I55" s="724"/>
      <c r="J55" s="724"/>
      <c r="K55" s="724"/>
      <c r="L55" s="724"/>
      <c r="M55" s="724"/>
      <c r="N55" s="724"/>
      <c r="O55" s="724"/>
      <c r="P55" s="724"/>
      <c r="Q55" s="724"/>
      <c r="R55" s="724"/>
      <c r="S55" s="724"/>
      <c r="T55" s="724"/>
      <c r="U55" s="724"/>
      <c r="V55" s="724"/>
      <c r="W55" s="724"/>
      <c r="X55" s="724"/>
      <c r="Y55" s="724"/>
      <c r="Z55" s="724"/>
    </row>
    <row r="56" spans="1:26" hidden="1">
      <c r="A56" s="724"/>
      <c r="B56" s="724"/>
      <c r="C56" s="724"/>
      <c r="D56" s="724"/>
      <c r="E56" s="724"/>
      <c r="F56" s="724"/>
      <c r="G56" s="724"/>
      <c r="H56" s="729"/>
      <c r="I56" s="724"/>
      <c r="J56" s="724"/>
      <c r="K56" s="724"/>
      <c r="L56" s="724"/>
      <c r="M56" s="724"/>
      <c r="N56" s="724"/>
      <c r="O56" s="724"/>
      <c r="P56" s="724"/>
      <c r="Q56" s="724"/>
      <c r="R56" s="724"/>
      <c r="S56" s="724"/>
      <c r="T56" s="724"/>
      <c r="U56" s="724"/>
      <c r="V56" s="724"/>
      <c r="W56" s="724"/>
      <c r="X56" s="724"/>
      <c r="Y56" s="724"/>
      <c r="Z56" s="724"/>
    </row>
    <row r="57" spans="1:26" hidden="1">
      <c r="A57" s="724"/>
      <c r="B57" s="724"/>
      <c r="C57" s="724"/>
      <c r="D57" s="724"/>
      <c r="E57" s="724"/>
      <c r="F57" s="724"/>
      <c r="G57" s="724"/>
      <c r="H57" s="729"/>
      <c r="I57" s="724"/>
      <c r="J57" s="724"/>
      <c r="K57" s="724"/>
      <c r="L57" s="724"/>
      <c r="M57" s="724"/>
      <c r="N57" s="724"/>
      <c r="O57" s="724"/>
      <c r="P57" s="724"/>
      <c r="Q57" s="724"/>
      <c r="R57" s="724"/>
      <c r="S57" s="724"/>
      <c r="T57" s="724"/>
      <c r="U57" s="724"/>
      <c r="V57" s="724"/>
      <c r="W57" s="724"/>
      <c r="X57" s="724"/>
      <c r="Y57" s="724"/>
      <c r="Z57" s="724"/>
    </row>
    <row r="58" spans="1:26" hidden="1">
      <c r="A58" s="724"/>
      <c r="B58" s="724"/>
      <c r="C58" s="724"/>
      <c r="D58" s="724"/>
      <c r="E58" s="724"/>
      <c r="F58" s="724"/>
      <c r="G58" s="724"/>
      <c r="H58" s="729"/>
      <c r="I58" s="724"/>
      <c r="J58" s="724"/>
      <c r="K58" s="724"/>
      <c r="L58" s="724"/>
      <c r="M58" s="724"/>
      <c r="N58" s="724"/>
      <c r="O58" s="724"/>
      <c r="P58" s="724"/>
      <c r="Q58" s="724"/>
      <c r="R58" s="724"/>
      <c r="S58" s="724"/>
      <c r="T58" s="724"/>
      <c r="U58" s="724"/>
      <c r="V58" s="724"/>
      <c r="W58" s="724"/>
      <c r="X58" s="724"/>
      <c r="Y58" s="724"/>
      <c r="Z58" s="724"/>
    </row>
    <row r="59" spans="1:26" hidden="1">
      <c r="A59" s="724"/>
      <c r="B59" s="724"/>
      <c r="C59" s="724"/>
      <c r="D59" s="724"/>
      <c r="E59" s="724"/>
      <c r="F59" s="724"/>
      <c r="G59" s="724"/>
      <c r="H59" s="729"/>
      <c r="I59" s="724"/>
      <c r="J59" s="724"/>
      <c r="K59" s="724"/>
      <c r="L59" s="724"/>
      <c r="M59" s="724"/>
      <c r="N59" s="724"/>
      <c r="O59" s="724"/>
      <c r="P59" s="724"/>
      <c r="Q59" s="724"/>
      <c r="R59" s="724"/>
      <c r="S59" s="724"/>
      <c r="T59" s="724"/>
      <c r="U59" s="724"/>
      <c r="V59" s="724"/>
      <c r="W59" s="724"/>
      <c r="X59" s="724"/>
      <c r="Y59" s="724"/>
      <c r="Z59" s="724"/>
    </row>
    <row r="60" spans="1:26" hidden="1">
      <c r="A60" s="724"/>
      <c r="B60" s="724"/>
      <c r="C60" s="724"/>
      <c r="D60" s="724"/>
      <c r="E60" s="724"/>
      <c r="F60" s="724"/>
      <c r="G60" s="724"/>
      <c r="H60" s="729"/>
      <c r="I60" s="724"/>
      <c r="J60" s="724"/>
      <c r="K60" s="724"/>
      <c r="L60" s="724"/>
      <c r="M60" s="724"/>
      <c r="N60" s="724"/>
      <c r="O60" s="724"/>
      <c r="P60" s="724"/>
      <c r="Q60" s="724"/>
      <c r="R60" s="724"/>
      <c r="S60" s="724"/>
      <c r="T60" s="724"/>
      <c r="U60" s="724"/>
      <c r="V60" s="724"/>
      <c r="W60" s="724"/>
      <c r="X60" s="724"/>
      <c r="Y60" s="724"/>
      <c r="Z60" s="724"/>
    </row>
    <row r="61" spans="1:26" hidden="1">
      <c r="A61" s="724"/>
      <c r="B61" s="724"/>
      <c r="C61" s="724"/>
      <c r="D61" s="724"/>
      <c r="E61" s="724"/>
      <c r="F61" s="724"/>
      <c r="G61" s="724"/>
      <c r="H61" s="729"/>
      <c r="I61" s="724"/>
      <c r="J61" s="724"/>
      <c r="K61" s="724"/>
      <c r="L61" s="724"/>
      <c r="M61" s="724"/>
      <c r="N61" s="724"/>
      <c r="O61" s="724"/>
      <c r="P61" s="724"/>
      <c r="Q61" s="724"/>
      <c r="R61" s="724"/>
      <c r="S61" s="724"/>
      <c r="T61" s="724"/>
      <c r="U61" s="724"/>
      <c r="V61" s="724"/>
      <c r="W61" s="724"/>
      <c r="X61" s="724"/>
      <c r="Y61" s="724"/>
      <c r="Z61" s="724"/>
    </row>
    <row r="62" spans="1:26" hidden="1">
      <c r="A62" s="724"/>
      <c r="B62" s="724"/>
      <c r="C62" s="724"/>
      <c r="D62" s="724"/>
      <c r="E62" s="724"/>
      <c r="F62" s="724"/>
      <c r="G62" s="724"/>
      <c r="H62" s="729"/>
      <c r="I62" s="724"/>
      <c r="J62" s="724"/>
      <c r="K62" s="724"/>
      <c r="L62" s="724"/>
      <c r="M62" s="724"/>
      <c r="N62" s="724"/>
      <c r="O62" s="724"/>
      <c r="P62" s="724"/>
      <c r="Q62" s="724"/>
      <c r="R62" s="724"/>
      <c r="S62" s="724"/>
      <c r="T62" s="724"/>
      <c r="U62" s="724"/>
      <c r="V62" s="724"/>
      <c r="W62" s="724"/>
      <c r="X62" s="724"/>
      <c r="Y62" s="724"/>
      <c r="Z62" s="724"/>
    </row>
    <row r="63" spans="1:26" hidden="1">
      <c r="A63" s="724"/>
      <c r="B63" s="724"/>
      <c r="C63" s="724"/>
      <c r="D63" s="724"/>
      <c r="E63" s="724"/>
      <c r="F63" s="724"/>
      <c r="G63" s="724"/>
      <c r="H63" s="729"/>
      <c r="I63" s="724"/>
      <c r="J63" s="724"/>
      <c r="K63" s="724"/>
      <c r="L63" s="724"/>
      <c r="M63" s="724"/>
      <c r="N63" s="724"/>
      <c r="O63" s="724"/>
      <c r="P63" s="724"/>
      <c r="Q63" s="724"/>
      <c r="R63" s="724"/>
      <c r="S63" s="724"/>
      <c r="T63" s="724"/>
      <c r="U63" s="724"/>
      <c r="V63" s="724"/>
      <c r="W63" s="724"/>
      <c r="X63" s="724"/>
      <c r="Y63" s="724"/>
      <c r="Z63" s="724"/>
    </row>
    <row r="64" spans="1:26" hidden="1">
      <c r="A64" s="724"/>
      <c r="B64" s="724"/>
      <c r="C64" s="724"/>
      <c r="D64" s="724"/>
      <c r="E64" s="724"/>
      <c r="F64" s="724"/>
      <c r="G64" s="724"/>
      <c r="H64" s="729"/>
      <c r="I64" s="724"/>
      <c r="J64" s="724"/>
      <c r="K64" s="724"/>
      <c r="L64" s="724"/>
      <c r="M64" s="724"/>
      <c r="N64" s="724"/>
      <c r="O64" s="724"/>
      <c r="P64" s="724"/>
      <c r="Q64" s="724"/>
      <c r="R64" s="724"/>
      <c r="S64" s="724"/>
      <c r="T64" s="724"/>
      <c r="U64" s="724"/>
      <c r="V64" s="724"/>
      <c r="W64" s="724"/>
      <c r="X64" s="724"/>
      <c r="Y64" s="724"/>
      <c r="Z64" s="724"/>
    </row>
    <row r="65" spans="1:26" hidden="1">
      <c r="A65" s="724"/>
      <c r="B65" s="724"/>
      <c r="C65" s="724"/>
      <c r="D65" s="724"/>
      <c r="E65" s="724"/>
      <c r="F65" s="724"/>
      <c r="G65" s="724"/>
      <c r="H65" s="729"/>
      <c r="I65" s="724"/>
      <c r="J65" s="724"/>
      <c r="K65" s="724"/>
      <c r="L65" s="724"/>
      <c r="M65" s="724"/>
      <c r="N65" s="724"/>
      <c r="O65" s="724"/>
      <c r="P65" s="724"/>
      <c r="Q65" s="724"/>
      <c r="R65" s="724"/>
      <c r="S65" s="724"/>
      <c r="T65" s="724"/>
      <c r="U65" s="724"/>
      <c r="V65" s="724"/>
      <c r="W65" s="724"/>
      <c r="X65" s="724"/>
      <c r="Y65" s="724"/>
      <c r="Z65" s="724"/>
    </row>
    <row r="66" spans="1:26" hidden="1">
      <c r="A66" s="724"/>
      <c r="B66" s="724"/>
      <c r="C66" s="724"/>
      <c r="D66" s="724"/>
      <c r="E66" s="724"/>
      <c r="F66" s="724"/>
      <c r="G66" s="724"/>
      <c r="H66" s="729"/>
      <c r="I66" s="724"/>
      <c r="J66" s="724"/>
      <c r="K66" s="724"/>
      <c r="L66" s="724"/>
      <c r="M66" s="724"/>
      <c r="N66" s="724"/>
      <c r="O66" s="724"/>
      <c r="P66" s="724"/>
      <c r="Q66" s="724"/>
      <c r="R66" s="724"/>
      <c r="S66" s="724"/>
      <c r="T66" s="724"/>
      <c r="U66" s="724"/>
      <c r="V66" s="724"/>
      <c r="W66" s="724"/>
      <c r="X66" s="724"/>
      <c r="Y66" s="724"/>
      <c r="Z66" s="724"/>
    </row>
    <row r="67" spans="1:26" hidden="1">
      <c r="A67" s="724"/>
      <c r="B67" s="724"/>
      <c r="C67" s="724"/>
      <c r="D67" s="724"/>
      <c r="E67" s="724"/>
      <c r="F67" s="724"/>
      <c r="G67" s="724"/>
      <c r="H67" s="729"/>
      <c r="I67" s="724"/>
      <c r="J67" s="724"/>
      <c r="K67" s="724"/>
      <c r="L67" s="724"/>
      <c r="M67" s="724"/>
      <c r="N67" s="724"/>
      <c r="O67" s="724"/>
      <c r="P67" s="724"/>
      <c r="Q67" s="724"/>
      <c r="R67" s="724"/>
      <c r="S67" s="724"/>
      <c r="T67" s="724"/>
      <c r="U67" s="724"/>
      <c r="V67" s="724"/>
      <c r="W67" s="724"/>
      <c r="X67" s="724"/>
      <c r="Y67" s="724"/>
      <c r="Z67" s="724"/>
    </row>
    <row r="68" spans="1:26" hidden="1">
      <c r="A68" s="724"/>
      <c r="B68" s="724"/>
      <c r="C68" s="724"/>
      <c r="D68" s="724"/>
      <c r="E68" s="724"/>
      <c r="F68" s="724"/>
      <c r="G68" s="724"/>
      <c r="H68" s="729"/>
      <c r="I68" s="724"/>
      <c r="J68" s="724"/>
      <c r="K68" s="724"/>
      <c r="L68" s="724"/>
      <c r="M68" s="724"/>
      <c r="N68" s="724"/>
      <c r="O68" s="724"/>
      <c r="P68" s="724"/>
      <c r="Q68" s="724"/>
      <c r="R68" s="724"/>
      <c r="S68" s="724"/>
      <c r="T68" s="724"/>
      <c r="U68" s="724"/>
      <c r="V68" s="724"/>
      <c r="W68" s="724"/>
      <c r="X68" s="724"/>
      <c r="Y68" s="724"/>
      <c r="Z68" s="724"/>
    </row>
    <row r="69" spans="1:26" hidden="1">
      <c r="A69" s="724"/>
      <c r="B69" s="724"/>
      <c r="C69" s="724"/>
      <c r="D69" s="724"/>
      <c r="E69" s="724"/>
      <c r="F69" s="724"/>
      <c r="G69" s="724"/>
      <c r="H69" s="729"/>
      <c r="I69" s="724"/>
      <c r="J69" s="724"/>
      <c r="K69" s="724"/>
      <c r="L69" s="724"/>
      <c r="M69" s="724"/>
      <c r="N69" s="724"/>
      <c r="O69" s="724"/>
      <c r="P69" s="724"/>
      <c r="Q69" s="724"/>
      <c r="R69" s="724"/>
      <c r="S69" s="724"/>
      <c r="T69" s="724"/>
      <c r="U69" s="724"/>
      <c r="V69" s="724"/>
      <c r="W69" s="724"/>
      <c r="X69" s="724"/>
      <c r="Y69" s="724"/>
      <c r="Z69" s="724"/>
    </row>
    <row r="70" spans="1:26" hidden="1">
      <c r="A70" s="724"/>
      <c r="B70" s="724"/>
      <c r="C70" s="724"/>
      <c r="D70" s="724"/>
      <c r="E70" s="724"/>
      <c r="F70" s="724"/>
      <c r="G70" s="724"/>
      <c r="H70" s="729"/>
      <c r="I70" s="724"/>
      <c r="J70" s="724"/>
      <c r="K70" s="724"/>
      <c r="L70" s="724"/>
      <c r="M70" s="724"/>
      <c r="N70" s="724"/>
      <c r="O70" s="724"/>
      <c r="P70" s="724"/>
      <c r="Q70" s="724"/>
      <c r="R70" s="724"/>
      <c r="S70" s="724"/>
      <c r="T70" s="724"/>
      <c r="U70" s="724"/>
      <c r="V70" s="724"/>
      <c r="W70" s="724"/>
      <c r="X70" s="724"/>
      <c r="Y70" s="724"/>
      <c r="Z70" s="724"/>
    </row>
    <row r="71" spans="1:26" hidden="1">
      <c r="A71" s="724"/>
      <c r="B71" s="724"/>
      <c r="C71" s="724"/>
      <c r="D71" s="724"/>
      <c r="E71" s="724"/>
      <c r="F71" s="724"/>
      <c r="G71" s="724"/>
      <c r="H71" s="729"/>
      <c r="I71" s="724"/>
      <c r="J71" s="724"/>
      <c r="K71" s="724"/>
      <c r="L71" s="724"/>
      <c r="M71" s="724"/>
      <c r="N71" s="724"/>
      <c r="O71" s="724"/>
      <c r="P71" s="724"/>
      <c r="Q71" s="724"/>
      <c r="R71" s="724"/>
      <c r="S71" s="724"/>
      <c r="T71" s="724"/>
      <c r="U71" s="724"/>
      <c r="V71" s="724"/>
      <c r="W71" s="724"/>
      <c r="X71" s="724"/>
      <c r="Y71" s="724"/>
      <c r="Z71" s="724"/>
    </row>
    <row r="72" spans="1:26" hidden="1">
      <c r="A72" s="724"/>
      <c r="B72" s="724"/>
      <c r="C72" s="724"/>
      <c r="D72" s="724"/>
      <c r="E72" s="724"/>
      <c r="F72" s="724"/>
      <c r="G72" s="724"/>
      <c r="H72" s="729"/>
      <c r="I72" s="724"/>
      <c r="J72" s="724"/>
      <c r="K72" s="724"/>
      <c r="L72" s="724"/>
      <c r="M72" s="724"/>
      <c r="N72" s="724"/>
      <c r="O72" s="724"/>
      <c r="P72" s="724"/>
      <c r="Q72" s="724"/>
      <c r="R72" s="724"/>
      <c r="S72" s="724"/>
      <c r="T72" s="724"/>
      <c r="U72" s="724"/>
      <c r="V72" s="724"/>
      <c r="W72" s="724"/>
      <c r="X72" s="724"/>
      <c r="Y72" s="724"/>
      <c r="Z72" s="724"/>
    </row>
    <row r="73" spans="1:26" hidden="1">
      <c r="A73" s="724"/>
      <c r="B73" s="724"/>
      <c r="C73" s="724"/>
      <c r="D73" s="724"/>
      <c r="E73" s="724"/>
      <c r="F73" s="724"/>
      <c r="G73" s="724"/>
      <c r="H73" s="729"/>
      <c r="I73" s="724"/>
      <c r="J73" s="724"/>
      <c r="K73" s="724"/>
      <c r="L73" s="724"/>
      <c r="M73" s="724"/>
      <c r="N73" s="724"/>
      <c r="O73" s="724"/>
      <c r="P73" s="724"/>
      <c r="Q73" s="724"/>
      <c r="R73" s="724"/>
      <c r="S73" s="724"/>
      <c r="T73" s="724"/>
      <c r="U73" s="724"/>
      <c r="V73" s="724"/>
      <c r="W73" s="724"/>
      <c r="X73" s="724"/>
      <c r="Y73" s="724"/>
      <c r="Z73" s="724"/>
    </row>
    <row r="74" spans="1:26" hidden="1">
      <c r="A74" s="724"/>
      <c r="B74" s="724"/>
      <c r="C74" s="724"/>
      <c r="D74" s="724"/>
      <c r="E74" s="724"/>
      <c r="F74" s="724"/>
      <c r="G74" s="724"/>
      <c r="H74" s="729"/>
      <c r="I74" s="724"/>
      <c r="J74" s="724"/>
      <c r="K74" s="724"/>
      <c r="L74" s="724"/>
      <c r="M74" s="724"/>
      <c r="N74" s="724"/>
      <c r="O74" s="724"/>
      <c r="P74" s="724"/>
      <c r="Q74" s="724"/>
      <c r="R74" s="724"/>
      <c r="S74" s="724"/>
      <c r="T74" s="724"/>
      <c r="U74" s="724"/>
      <c r="V74" s="724"/>
      <c r="W74" s="724"/>
      <c r="X74" s="724"/>
      <c r="Y74" s="724"/>
      <c r="Z74" s="724"/>
    </row>
    <row r="75" spans="1:26" hidden="1">
      <c r="A75" s="724"/>
      <c r="B75" s="724"/>
      <c r="C75" s="724"/>
      <c r="D75" s="724"/>
      <c r="E75" s="724"/>
      <c r="F75" s="724"/>
      <c r="G75" s="724"/>
      <c r="H75" s="729"/>
      <c r="I75" s="724"/>
      <c r="J75" s="724"/>
      <c r="K75" s="724"/>
      <c r="L75" s="724"/>
      <c r="M75" s="724"/>
      <c r="N75" s="724"/>
      <c r="O75" s="724"/>
      <c r="P75" s="724"/>
      <c r="Q75" s="724"/>
      <c r="R75" s="724"/>
      <c r="S75" s="724"/>
      <c r="T75" s="724"/>
      <c r="U75" s="724"/>
      <c r="V75" s="724"/>
      <c r="W75" s="724"/>
      <c r="X75" s="724"/>
      <c r="Y75" s="724"/>
      <c r="Z75" s="724"/>
    </row>
    <row r="76" spans="1:26" hidden="1">
      <c r="A76" s="724"/>
      <c r="B76" s="724"/>
      <c r="C76" s="724"/>
      <c r="D76" s="724"/>
      <c r="E76" s="724"/>
      <c r="F76" s="724"/>
      <c r="G76" s="724"/>
      <c r="H76" s="729"/>
      <c r="I76" s="724"/>
      <c r="J76" s="724"/>
      <c r="K76" s="724"/>
      <c r="L76" s="724"/>
      <c r="M76" s="724"/>
      <c r="N76" s="724"/>
      <c r="O76" s="724"/>
      <c r="P76" s="724"/>
      <c r="Q76" s="724"/>
      <c r="R76" s="724"/>
      <c r="S76" s="724"/>
      <c r="T76" s="724"/>
      <c r="U76" s="724"/>
      <c r="V76" s="724"/>
      <c r="W76" s="724"/>
      <c r="X76" s="724"/>
      <c r="Y76" s="724"/>
      <c r="Z76" s="724"/>
    </row>
    <row r="77" spans="1:26" hidden="1">
      <c r="A77" s="724"/>
      <c r="B77" s="724"/>
      <c r="C77" s="724"/>
      <c r="D77" s="724"/>
      <c r="E77" s="724"/>
      <c r="F77" s="724"/>
      <c r="G77" s="724"/>
      <c r="H77" s="729"/>
      <c r="I77" s="724"/>
      <c r="J77" s="724"/>
      <c r="K77" s="724"/>
      <c r="L77" s="724"/>
      <c r="M77" s="724"/>
      <c r="N77" s="724"/>
      <c r="O77" s="724"/>
      <c r="P77" s="724"/>
      <c r="Q77" s="724"/>
      <c r="R77" s="724"/>
      <c r="S77" s="724"/>
      <c r="T77" s="724"/>
      <c r="U77" s="724"/>
      <c r="V77" s="724"/>
      <c r="W77" s="724"/>
      <c r="X77" s="724"/>
      <c r="Y77" s="724"/>
      <c r="Z77" s="724"/>
    </row>
    <row r="78" spans="1:26" hidden="1">
      <c r="A78" s="724"/>
      <c r="B78" s="724"/>
      <c r="C78" s="724"/>
      <c r="D78" s="724"/>
      <c r="E78" s="724"/>
      <c r="F78" s="724"/>
      <c r="G78" s="724"/>
      <c r="H78" s="729"/>
      <c r="I78" s="724"/>
      <c r="J78" s="724"/>
      <c r="K78" s="724"/>
      <c r="L78" s="724"/>
      <c r="M78" s="724"/>
      <c r="N78" s="724"/>
      <c r="O78" s="724"/>
      <c r="P78" s="724"/>
      <c r="Q78" s="724"/>
      <c r="R78" s="724"/>
      <c r="S78" s="724"/>
      <c r="T78" s="724"/>
      <c r="U78" s="724"/>
      <c r="V78" s="724"/>
      <c r="W78" s="724"/>
      <c r="X78" s="724"/>
      <c r="Y78" s="724"/>
      <c r="Z78" s="724"/>
    </row>
    <row r="79" spans="1:26" hidden="1">
      <c r="A79" s="724"/>
      <c r="B79" s="724"/>
      <c r="C79" s="724"/>
      <c r="D79" s="724"/>
      <c r="E79" s="724"/>
      <c r="F79" s="724"/>
      <c r="G79" s="724"/>
      <c r="H79" s="729"/>
      <c r="I79" s="724"/>
      <c r="J79" s="724"/>
      <c r="K79" s="724"/>
      <c r="L79" s="724"/>
      <c r="M79" s="724"/>
      <c r="N79" s="724"/>
      <c r="O79" s="724"/>
      <c r="P79" s="724"/>
      <c r="Q79" s="724"/>
      <c r="R79" s="724"/>
      <c r="S79" s="724"/>
      <c r="T79" s="724"/>
      <c r="U79" s="724"/>
      <c r="V79" s="724"/>
      <c r="W79" s="724"/>
      <c r="X79" s="724"/>
      <c r="Y79" s="724"/>
      <c r="Z79" s="724"/>
    </row>
    <row r="80" spans="1:26" hidden="1">
      <c r="A80" s="724"/>
      <c r="B80" s="724"/>
      <c r="C80" s="724"/>
      <c r="D80" s="724"/>
      <c r="E80" s="724"/>
      <c r="F80" s="724"/>
      <c r="G80" s="724"/>
      <c r="H80" s="729"/>
      <c r="I80" s="724"/>
      <c r="J80" s="724"/>
      <c r="K80" s="724"/>
      <c r="L80" s="724"/>
      <c r="M80" s="724"/>
      <c r="N80" s="724"/>
      <c r="O80" s="724"/>
      <c r="P80" s="724"/>
      <c r="Q80" s="724"/>
      <c r="R80" s="724"/>
      <c r="S80" s="724"/>
      <c r="T80" s="724"/>
      <c r="U80" s="724"/>
      <c r="V80" s="724"/>
      <c r="W80" s="724"/>
      <c r="X80" s="724"/>
      <c r="Y80" s="724"/>
      <c r="Z80" s="724"/>
    </row>
    <row r="81" spans="1:26" hidden="1">
      <c r="A81" s="724"/>
      <c r="B81" s="724"/>
      <c r="C81" s="724"/>
      <c r="D81" s="724"/>
      <c r="E81" s="724"/>
      <c r="F81" s="724"/>
      <c r="G81" s="724"/>
      <c r="H81" s="729"/>
      <c r="I81" s="724"/>
      <c r="J81" s="724"/>
      <c r="K81" s="724"/>
      <c r="L81" s="724"/>
      <c r="M81" s="724"/>
      <c r="N81" s="724"/>
      <c r="O81" s="724"/>
      <c r="P81" s="724"/>
      <c r="Q81" s="724"/>
      <c r="R81" s="724"/>
      <c r="S81" s="724"/>
      <c r="T81" s="724"/>
      <c r="U81" s="724"/>
      <c r="V81" s="724"/>
      <c r="W81" s="724"/>
      <c r="X81" s="724"/>
      <c r="Y81" s="724"/>
      <c r="Z81" s="724"/>
    </row>
    <row r="82" spans="1:26" hidden="1">
      <c r="A82" s="724"/>
      <c r="B82" s="724"/>
      <c r="C82" s="724"/>
      <c r="D82" s="724"/>
      <c r="E82" s="724"/>
      <c r="F82" s="724"/>
      <c r="G82" s="724"/>
      <c r="H82" s="729"/>
      <c r="I82" s="724"/>
      <c r="J82" s="724"/>
      <c r="K82" s="724"/>
      <c r="L82" s="724"/>
      <c r="M82" s="724"/>
      <c r="N82" s="724"/>
      <c r="O82" s="724"/>
      <c r="P82" s="724"/>
      <c r="Q82" s="724"/>
      <c r="R82" s="724"/>
      <c r="S82" s="724"/>
      <c r="T82" s="724"/>
      <c r="U82" s="724"/>
      <c r="V82" s="724"/>
      <c r="W82" s="724"/>
      <c r="X82" s="724"/>
      <c r="Y82" s="724"/>
      <c r="Z82" s="724"/>
    </row>
    <row r="83" spans="1:26" hidden="1">
      <c r="A83" s="724"/>
      <c r="B83" s="724"/>
      <c r="C83" s="724"/>
      <c r="D83" s="724"/>
      <c r="E83" s="724"/>
      <c r="F83" s="724"/>
      <c r="G83" s="724"/>
      <c r="H83" s="729"/>
      <c r="I83" s="724"/>
      <c r="J83" s="724"/>
      <c r="K83" s="724"/>
      <c r="L83" s="724"/>
      <c r="M83" s="724"/>
      <c r="N83" s="724"/>
      <c r="O83" s="724"/>
      <c r="P83" s="724"/>
      <c r="Q83" s="724"/>
      <c r="R83" s="724"/>
      <c r="S83" s="724"/>
      <c r="T83" s="724"/>
      <c r="U83" s="724"/>
      <c r="V83" s="724"/>
      <c r="W83" s="724"/>
      <c r="X83" s="724"/>
      <c r="Y83" s="724"/>
      <c r="Z83" s="724"/>
    </row>
    <row r="84" spans="1:26" hidden="1">
      <c r="A84" s="724"/>
      <c r="B84" s="724"/>
      <c r="C84" s="724"/>
      <c r="D84" s="724"/>
      <c r="E84" s="724"/>
      <c r="F84" s="724"/>
      <c r="G84" s="724"/>
      <c r="H84" s="729"/>
      <c r="I84" s="724"/>
      <c r="J84" s="724"/>
      <c r="K84" s="724"/>
      <c r="L84" s="724"/>
      <c r="M84" s="724"/>
      <c r="N84" s="724"/>
      <c r="O84" s="724"/>
      <c r="P84" s="724"/>
      <c r="Q84" s="724"/>
      <c r="R84" s="724"/>
      <c r="S84" s="724"/>
      <c r="T84" s="724"/>
      <c r="U84" s="724"/>
      <c r="V84" s="724"/>
      <c r="W84" s="724"/>
      <c r="X84" s="724"/>
      <c r="Y84" s="724"/>
      <c r="Z84" s="724"/>
    </row>
    <row r="85" spans="1:26" hidden="1">
      <c r="A85" s="724"/>
      <c r="B85" s="724"/>
      <c r="C85" s="724"/>
      <c r="D85" s="724"/>
      <c r="E85" s="724"/>
      <c r="F85" s="724"/>
      <c r="G85" s="724"/>
      <c r="H85" s="729"/>
      <c r="I85" s="724"/>
      <c r="J85" s="724"/>
      <c r="K85" s="724"/>
      <c r="L85" s="724"/>
      <c r="M85" s="724"/>
      <c r="N85" s="724"/>
      <c r="O85" s="724"/>
      <c r="P85" s="724"/>
      <c r="Q85" s="724"/>
      <c r="R85" s="724"/>
      <c r="S85" s="724"/>
      <c r="T85" s="724"/>
      <c r="U85" s="724"/>
      <c r="V85" s="724"/>
      <c r="W85" s="724"/>
      <c r="X85" s="724"/>
      <c r="Y85" s="724"/>
      <c r="Z85" s="724"/>
    </row>
    <row r="86" spans="1:26" hidden="1">
      <c r="A86" s="724"/>
      <c r="B86" s="724"/>
      <c r="C86" s="724"/>
      <c r="D86" s="724"/>
      <c r="E86" s="724"/>
      <c r="F86" s="724"/>
      <c r="G86" s="724"/>
      <c r="H86" s="729"/>
      <c r="I86" s="724"/>
      <c r="J86" s="724"/>
      <c r="K86" s="724"/>
      <c r="L86" s="724"/>
      <c r="M86" s="724"/>
      <c r="N86" s="724"/>
      <c r="O86" s="724"/>
      <c r="P86" s="724"/>
      <c r="Q86" s="724"/>
      <c r="R86" s="724"/>
      <c r="S86" s="724"/>
      <c r="T86" s="724"/>
      <c r="U86" s="724"/>
      <c r="V86" s="724"/>
      <c r="W86" s="724"/>
      <c r="X86" s="724"/>
      <c r="Y86" s="724"/>
      <c r="Z86" s="724"/>
    </row>
    <row r="87" spans="1:26" hidden="1">
      <c r="A87" s="724"/>
      <c r="B87" s="724"/>
      <c r="C87" s="724"/>
      <c r="D87" s="724"/>
      <c r="E87" s="724"/>
      <c r="F87" s="724"/>
      <c r="G87" s="724"/>
      <c r="H87" s="729"/>
      <c r="I87" s="724"/>
      <c r="J87" s="724"/>
      <c r="K87" s="724"/>
      <c r="L87" s="724"/>
      <c r="M87" s="724"/>
      <c r="N87" s="724"/>
      <c r="O87" s="724"/>
      <c r="P87" s="724"/>
      <c r="Q87" s="724"/>
      <c r="R87" s="724"/>
      <c r="S87" s="724"/>
      <c r="T87" s="724"/>
      <c r="U87" s="724"/>
      <c r="V87" s="724"/>
      <c r="W87" s="724"/>
      <c r="X87" s="724"/>
      <c r="Y87" s="724"/>
      <c r="Z87" s="724"/>
    </row>
    <row r="88" spans="1:26" hidden="1">
      <c r="A88" s="724"/>
      <c r="B88" s="724"/>
      <c r="C88" s="724"/>
      <c r="D88" s="724"/>
      <c r="E88" s="724"/>
      <c r="F88" s="724"/>
      <c r="G88" s="724"/>
      <c r="H88" s="729"/>
      <c r="I88" s="724"/>
      <c r="J88" s="724"/>
      <c r="K88" s="724"/>
      <c r="L88" s="724"/>
      <c r="M88" s="724"/>
      <c r="N88" s="724"/>
      <c r="O88" s="724"/>
      <c r="P88" s="724"/>
      <c r="Q88" s="724"/>
      <c r="R88" s="724"/>
      <c r="S88" s="724"/>
      <c r="T88" s="724"/>
      <c r="U88" s="724"/>
      <c r="V88" s="724"/>
      <c r="W88" s="724"/>
      <c r="X88" s="724"/>
      <c r="Y88" s="724"/>
      <c r="Z88" s="724"/>
    </row>
    <row r="89" spans="1:26" hidden="1">
      <c r="A89" s="724"/>
      <c r="B89" s="724"/>
      <c r="C89" s="724"/>
      <c r="D89" s="724"/>
      <c r="E89" s="724"/>
      <c r="F89" s="724"/>
      <c r="G89" s="724"/>
      <c r="H89" s="729"/>
      <c r="I89" s="724"/>
      <c r="J89" s="724"/>
      <c r="K89" s="724"/>
      <c r="L89" s="724"/>
      <c r="M89" s="724"/>
      <c r="N89" s="724"/>
      <c r="O89" s="724"/>
      <c r="P89" s="724"/>
      <c r="Q89" s="724"/>
      <c r="R89" s="724"/>
      <c r="S89" s="724"/>
      <c r="T89" s="724"/>
      <c r="U89" s="724"/>
      <c r="V89" s="724"/>
      <c r="W89" s="724"/>
      <c r="X89" s="724"/>
      <c r="Y89" s="724"/>
      <c r="Z89" s="724"/>
    </row>
    <row r="90" spans="1:26" hidden="1">
      <c r="A90" s="724"/>
      <c r="B90" s="724"/>
      <c r="C90" s="724"/>
      <c r="D90" s="724"/>
      <c r="E90" s="724"/>
      <c r="F90" s="724"/>
      <c r="G90" s="724"/>
      <c r="H90" s="729"/>
      <c r="I90" s="724"/>
      <c r="J90" s="724"/>
      <c r="K90" s="724"/>
      <c r="L90" s="724"/>
      <c r="M90" s="724"/>
      <c r="N90" s="724"/>
      <c r="O90" s="724"/>
      <c r="P90" s="724"/>
      <c r="Q90" s="724"/>
      <c r="R90" s="724"/>
      <c r="S90" s="724"/>
      <c r="T90" s="724"/>
      <c r="U90" s="724"/>
      <c r="V90" s="724"/>
      <c r="W90" s="724"/>
      <c r="X90" s="724"/>
      <c r="Y90" s="724"/>
      <c r="Z90" s="724"/>
    </row>
    <row r="91" spans="1:26" hidden="1">
      <c r="A91" s="724"/>
      <c r="B91" s="724"/>
      <c r="C91" s="724"/>
      <c r="D91" s="724"/>
      <c r="E91" s="724"/>
      <c r="F91" s="724"/>
      <c r="G91" s="724"/>
      <c r="H91" s="729"/>
      <c r="I91" s="724"/>
      <c r="J91" s="724"/>
      <c r="K91" s="724"/>
      <c r="L91" s="724"/>
      <c r="M91" s="724"/>
      <c r="N91" s="724"/>
      <c r="O91" s="724"/>
      <c r="P91" s="724"/>
      <c r="Q91" s="724"/>
      <c r="R91" s="724"/>
      <c r="S91" s="724"/>
      <c r="T91" s="724"/>
      <c r="U91" s="724"/>
      <c r="V91" s="724"/>
      <c r="W91" s="724"/>
      <c r="X91" s="724"/>
      <c r="Y91" s="724"/>
      <c r="Z91" s="724"/>
    </row>
    <row r="92" spans="1:26" hidden="1">
      <c r="A92" s="724"/>
      <c r="B92" s="724"/>
      <c r="C92" s="724"/>
      <c r="D92" s="724"/>
      <c r="E92" s="724"/>
      <c r="F92" s="724"/>
      <c r="G92" s="724"/>
      <c r="H92" s="729"/>
      <c r="I92" s="724"/>
      <c r="J92" s="724"/>
      <c r="K92" s="724"/>
      <c r="L92" s="724"/>
      <c r="M92" s="724"/>
      <c r="N92" s="724"/>
      <c r="O92" s="724"/>
      <c r="P92" s="724"/>
      <c r="Q92" s="724"/>
      <c r="R92" s="724"/>
      <c r="S92" s="724"/>
      <c r="T92" s="724"/>
      <c r="U92" s="724"/>
      <c r="V92" s="724"/>
      <c r="W92" s="724"/>
      <c r="X92" s="724"/>
      <c r="Y92" s="724"/>
      <c r="Z92" s="724"/>
    </row>
    <row r="93" spans="1:26" hidden="1">
      <c r="A93" s="724"/>
      <c r="B93" s="724"/>
      <c r="C93" s="724"/>
      <c r="D93" s="724"/>
      <c r="E93" s="724"/>
      <c r="F93" s="724"/>
      <c r="G93" s="724"/>
      <c r="H93" s="729"/>
      <c r="I93" s="724"/>
      <c r="J93" s="724"/>
      <c r="K93" s="724"/>
      <c r="L93" s="724"/>
      <c r="M93" s="724"/>
      <c r="N93" s="724"/>
      <c r="O93" s="724"/>
      <c r="P93" s="724"/>
      <c r="Q93" s="724"/>
      <c r="R93" s="724"/>
      <c r="S93" s="724"/>
      <c r="T93" s="724"/>
      <c r="U93" s="724"/>
      <c r="V93" s="724"/>
      <c r="W93" s="724"/>
      <c r="X93" s="724"/>
      <c r="Y93" s="724"/>
      <c r="Z93" s="724"/>
    </row>
    <row r="94" spans="1:26" hidden="1">
      <c r="A94" s="724"/>
      <c r="B94" s="724"/>
      <c r="C94" s="724"/>
      <c r="D94" s="724"/>
      <c r="E94" s="724"/>
      <c r="F94" s="724"/>
      <c r="G94" s="724"/>
      <c r="H94" s="729"/>
      <c r="I94" s="724"/>
      <c r="J94" s="724"/>
      <c r="K94" s="724"/>
      <c r="L94" s="724"/>
      <c r="M94" s="724"/>
      <c r="N94" s="724"/>
      <c r="O94" s="724"/>
      <c r="P94" s="724"/>
      <c r="Q94" s="724"/>
      <c r="R94" s="724"/>
      <c r="S94" s="724"/>
      <c r="T94" s="724"/>
      <c r="U94" s="724"/>
      <c r="V94" s="724"/>
      <c r="W94" s="724"/>
      <c r="X94" s="724"/>
      <c r="Y94" s="724"/>
      <c r="Z94" s="724"/>
    </row>
    <row r="95" spans="1:26" hidden="1">
      <c r="A95" s="724"/>
      <c r="B95" s="724"/>
      <c r="C95" s="724"/>
      <c r="D95" s="724"/>
      <c r="E95" s="724"/>
      <c r="F95" s="724"/>
      <c r="G95" s="724"/>
      <c r="H95" s="729"/>
      <c r="I95" s="724"/>
      <c r="J95" s="724"/>
      <c r="K95" s="724"/>
      <c r="L95" s="724"/>
      <c r="M95" s="724"/>
      <c r="N95" s="724"/>
      <c r="O95" s="724"/>
      <c r="P95" s="724"/>
      <c r="Q95" s="724"/>
      <c r="R95" s="724"/>
      <c r="S95" s="724"/>
      <c r="T95" s="724"/>
      <c r="U95" s="724"/>
      <c r="V95" s="724"/>
      <c r="W95" s="724"/>
      <c r="X95" s="724"/>
      <c r="Y95" s="724"/>
      <c r="Z95" s="724"/>
    </row>
    <row r="96" spans="1:26" hidden="1">
      <c r="A96" s="724"/>
      <c r="B96" s="724"/>
      <c r="C96" s="724"/>
      <c r="D96" s="724"/>
      <c r="E96" s="724"/>
      <c r="F96" s="724"/>
      <c r="G96" s="724"/>
      <c r="H96" s="729"/>
      <c r="I96" s="724"/>
      <c r="J96" s="724"/>
      <c r="K96" s="724"/>
      <c r="L96" s="724"/>
      <c r="M96" s="724"/>
      <c r="N96" s="724"/>
      <c r="O96" s="724"/>
      <c r="P96" s="724"/>
      <c r="Q96" s="724"/>
      <c r="R96" s="724"/>
      <c r="S96" s="724"/>
      <c r="T96" s="724"/>
      <c r="U96" s="724"/>
      <c r="V96" s="724"/>
      <c r="W96" s="724"/>
      <c r="X96" s="724"/>
      <c r="Y96" s="724"/>
      <c r="Z96" s="724"/>
    </row>
    <row r="97" spans="1:26" hidden="1">
      <c r="A97" s="724"/>
      <c r="B97" s="724"/>
      <c r="C97" s="724"/>
      <c r="D97" s="724"/>
      <c r="E97" s="724"/>
      <c r="F97" s="724"/>
      <c r="G97" s="724"/>
      <c r="H97" s="729"/>
      <c r="I97" s="724"/>
      <c r="J97" s="724"/>
      <c r="K97" s="724"/>
      <c r="L97" s="724"/>
      <c r="M97" s="724"/>
      <c r="N97" s="724"/>
      <c r="O97" s="724"/>
      <c r="P97" s="724"/>
      <c r="Q97" s="724"/>
      <c r="R97" s="724"/>
      <c r="S97" s="724"/>
      <c r="T97" s="724"/>
      <c r="U97" s="724"/>
      <c r="V97" s="724"/>
      <c r="W97" s="724"/>
      <c r="X97" s="724"/>
      <c r="Y97" s="724"/>
      <c r="Z97" s="724"/>
    </row>
    <row r="98" spans="1:26" hidden="1">
      <c r="A98" s="724"/>
      <c r="B98" s="724"/>
      <c r="C98" s="724"/>
      <c r="D98" s="724"/>
      <c r="E98" s="724"/>
      <c r="F98" s="724"/>
      <c r="G98" s="724"/>
      <c r="H98" s="729"/>
      <c r="I98" s="724"/>
      <c r="J98" s="724"/>
      <c r="K98" s="724"/>
      <c r="L98" s="724"/>
      <c r="M98" s="724"/>
      <c r="N98" s="724"/>
      <c r="O98" s="724"/>
      <c r="P98" s="724"/>
      <c r="Q98" s="724"/>
      <c r="R98" s="724"/>
      <c r="S98" s="724"/>
      <c r="T98" s="724"/>
      <c r="U98" s="724"/>
      <c r="V98" s="724"/>
      <c r="W98" s="724"/>
      <c r="X98" s="724"/>
      <c r="Y98" s="724"/>
      <c r="Z98" s="724"/>
    </row>
    <row r="99" spans="1:26" hidden="1">
      <c r="A99" s="724"/>
      <c r="B99" s="724"/>
      <c r="C99" s="724"/>
      <c r="D99" s="724"/>
      <c r="E99" s="724"/>
      <c r="F99" s="724"/>
      <c r="G99" s="724"/>
      <c r="H99" s="729"/>
      <c r="I99" s="724"/>
      <c r="J99" s="724"/>
      <c r="K99" s="724"/>
      <c r="L99" s="724"/>
      <c r="M99" s="724"/>
      <c r="N99" s="724"/>
      <c r="O99" s="724"/>
      <c r="P99" s="724"/>
      <c r="Q99" s="724"/>
      <c r="R99" s="724"/>
      <c r="S99" s="724"/>
      <c r="T99" s="724"/>
      <c r="U99" s="724"/>
      <c r="V99" s="724"/>
      <c r="W99" s="724"/>
      <c r="X99" s="724"/>
      <c r="Y99" s="724"/>
      <c r="Z99" s="724"/>
    </row>
    <row r="100" spans="1:26" hidden="1">
      <c r="A100" s="724"/>
      <c r="B100" s="724"/>
      <c r="C100" s="724"/>
      <c r="D100" s="724"/>
      <c r="E100" s="724"/>
      <c r="F100" s="724"/>
      <c r="G100" s="724"/>
      <c r="H100" s="729"/>
      <c r="I100" s="724"/>
      <c r="J100" s="724"/>
      <c r="K100" s="724"/>
      <c r="L100" s="724"/>
      <c r="M100" s="724"/>
      <c r="N100" s="724"/>
      <c r="O100" s="724"/>
      <c r="P100" s="724"/>
      <c r="Q100" s="724"/>
      <c r="R100" s="724"/>
      <c r="S100" s="724"/>
      <c r="T100" s="724"/>
      <c r="U100" s="724"/>
      <c r="V100" s="724"/>
      <c r="W100" s="724"/>
      <c r="X100" s="724"/>
      <c r="Y100" s="724"/>
      <c r="Z100" s="724"/>
    </row>
    <row r="101" spans="1:26" hidden="1">
      <c r="A101" s="724"/>
      <c r="B101" s="724"/>
      <c r="C101" s="724"/>
      <c r="D101" s="724"/>
      <c r="E101" s="724"/>
      <c r="F101" s="724"/>
      <c r="G101" s="724"/>
      <c r="H101" s="729"/>
      <c r="I101" s="724"/>
      <c r="J101" s="724"/>
      <c r="K101" s="724"/>
      <c r="L101" s="724"/>
      <c r="M101" s="724"/>
      <c r="N101" s="724"/>
      <c r="O101" s="724"/>
      <c r="P101" s="724"/>
      <c r="Q101" s="724"/>
      <c r="R101" s="724"/>
      <c r="S101" s="724"/>
      <c r="T101" s="724"/>
      <c r="U101" s="724"/>
      <c r="V101" s="724"/>
      <c r="W101" s="724"/>
      <c r="X101" s="724"/>
      <c r="Y101" s="724"/>
      <c r="Z101" s="724"/>
    </row>
    <row r="102" spans="1:26" hidden="1">
      <c r="A102" s="724"/>
      <c r="B102" s="724"/>
      <c r="C102" s="724"/>
      <c r="D102" s="724"/>
      <c r="E102" s="724"/>
      <c r="F102" s="724"/>
      <c r="G102" s="724"/>
      <c r="H102" s="729"/>
      <c r="I102" s="724"/>
      <c r="J102" s="724"/>
      <c r="K102" s="724"/>
      <c r="L102" s="724"/>
      <c r="M102" s="724"/>
      <c r="N102" s="724"/>
      <c r="O102" s="724"/>
      <c r="P102" s="724"/>
      <c r="Q102" s="724"/>
      <c r="R102" s="724"/>
      <c r="S102" s="724"/>
      <c r="T102" s="724"/>
      <c r="U102" s="724"/>
      <c r="V102" s="724"/>
      <c r="W102" s="724"/>
      <c r="X102" s="724"/>
      <c r="Y102" s="724"/>
      <c r="Z102" s="724"/>
    </row>
    <row r="103" spans="1:26" hidden="1">
      <c r="A103" s="724"/>
      <c r="B103" s="724"/>
      <c r="C103" s="724"/>
      <c r="D103" s="724"/>
      <c r="E103" s="724"/>
      <c r="F103" s="724"/>
      <c r="G103" s="724"/>
      <c r="H103" s="729"/>
      <c r="I103" s="724"/>
      <c r="J103" s="724"/>
      <c r="K103" s="724"/>
      <c r="L103" s="724"/>
      <c r="M103" s="724"/>
      <c r="N103" s="724"/>
      <c r="O103" s="724"/>
      <c r="P103" s="724"/>
      <c r="Q103" s="724"/>
      <c r="R103" s="724"/>
      <c r="S103" s="724"/>
      <c r="T103" s="724"/>
      <c r="U103" s="724"/>
      <c r="V103" s="724"/>
      <c r="W103" s="724"/>
      <c r="X103" s="724"/>
      <c r="Y103" s="724"/>
      <c r="Z103" s="724"/>
    </row>
    <row r="104" spans="1:26" hidden="1">
      <c r="A104" s="724"/>
      <c r="B104" s="724"/>
      <c r="C104" s="724"/>
      <c r="D104" s="724"/>
      <c r="E104" s="724"/>
      <c r="F104" s="724"/>
      <c r="G104" s="724"/>
      <c r="H104" s="729"/>
      <c r="I104" s="724"/>
      <c r="J104" s="724"/>
      <c r="K104" s="724"/>
      <c r="L104" s="724"/>
      <c r="M104" s="724"/>
      <c r="N104" s="724"/>
      <c r="O104" s="724"/>
      <c r="P104" s="724"/>
      <c r="Q104" s="724"/>
      <c r="R104" s="724"/>
      <c r="S104" s="724"/>
      <c r="T104" s="724"/>
      <c r="U104" s="724"/>
      <c r="V104" s="724"/>
      <c r="W104" s="724"/>
      <c r="X104" s="724"/>
      <c r="Y104" s="724"/>
      <c r="Z104" s="724"/>
    </row>
  </sheetData>
  <sheetProtection algorithmName="SHA-512" hashValue="QPpjH6rSlcKpCiYiSJa138DVGY5lrmlAMlMhr9WJm5ydlxptlLHRoBHIkhKfjoXXh6bCHXtxAdVv7eYb3lTK2Q==" saltValue="Il1QKNd7v9Omy6sOo2wlnQ==" spinCount="100000" sheet="1" objects="1" scenarios="1" autoFilter="0"/>
  <autoFilter ref="A4:L40" xr:uid="{C3F0D017-285D-413B-B0E5-F07103E31A22}">
    <sortState xmlns:xlrd2="http://schemas.microsoft.com/office/spreadsheetml/2017/richdata2" ref="A5:L40">
      <sortCondition ref="A4:A40"/>
    </sortState>
  </autoFilter>
  <mergeCells count="5">
    <mergeCell ref="A1:L1"/>
    <mergeCell ref="A2:L2"/>
    <mergeCell ref="N39:Q39"/>
    <mergeCell ref="N1:T3"/>
    <mergeCell ref="A3:L3"/>
  </mergeCells>
  <conditionalFormatting sqref="D5:D43">
    <cfRule type="expression" dxfId="7" priority="9">
      <formula>ISNUMBER(SEARCH("Ja",D5))</formula>
    </cfRule>
    <cfRule type="expression" dxfId="6" priority="10">
      <formula>ISNUMBER(SEARCH("Eingeschränkt",D5))</formula>
    </cfRule>
    <cfRule type="expression" dxfId="5" priority="11">
      <formula>ISNUMBER(SEARCH("Nein",D5))</formula>
    </cfRule>
    <cfRule type="expression" dxfId="4" priority="12">
      <formula>ISNUMBER(SEARCH("Planabhängig",D5))</formula>
    </cfRule>
  </conditionalFormatting>
  <conditionalFormatting sqref="H5:H43">
    <cfRule type="expression" dxfId="3" priority="13">
      <formula>ISNUMBER(SEARCH("Ja",H5))</formula>
    </cfRule>
    <cfRule type="expression" dxfId="2" priority="14">
      <formula>ISNUMBER(SEARCH("Eingeschränkt",H5))</formula>
    </cfRule>
    <cfRule type="expression" dxfId="1" priority="15">
      <formula>ISNUMBER(SEARCH("Nein",H5))</formula>
    </cfRule>
    <cfRule type="expression" dxfId="0" priority="16">
      <formula>ISNUMBER(SEARCH("Planabhängig",H5))</formula>
    </cfRule>
  </conditionalFormatting>
  <hyperlinks>
    <hyperlink ref="J6" r:id="rId1" xr:uid="{72BB1705-A489-4E6A-A39E-A22E488F6043}"/>
    <hyperlink ref="J9" r:id="rId2" xr:uid="{A60F0445-FE66-46BA-A2D7-FAA2B09E309D}"/>
    <hyperlink ref="J13" r:id="rId3" xr:uid="{ABBD8936-8634-4878-9982-5558B9851EF7}"/>
    <hyperlink ref="J15" r:id="rId4" xr:uid="{C165CA0E-659F-4916-9EBD-8DFDF23CDDF6}"/>
    <hyperlink ref="J19" r:id="rId5" xr:uid="{48146677-7117-4895-B998-29CD0627137C}"/>
    <hyperlink ref="J20" r:id="rId6" xr:uid="{68DD0A27-A0FF-47B9-ADB1-0A903C30AA93}"/>
    <hyperlink ref="J22" r:id="rId7" xr:uid="{A0E779DB-8BF1-436B-9D3B-E9E0714CC7F6}"/>
    <hyperlink ref="J23" r:id="rId8" xr:uid="{CEEC18BA-8AB8-4325-9AB2-F35F7C61B73D}"/>
    <hyperlink ref="J24" r:id="rId9" xr:uid="{E64FFC8B-1874-454A-AF6F-C45CAFB651F6}"/>
    <hyperlink ref="J27" r:id="rId10" xr:uid="{D8505D2F-BE75-45DE-ADEB-5B38E23C9302}"/>
    <hyperlink ref="J28" r:id="rId11" xr:uid="{C394197F-9199-4F6E-A24D-D3E88A8C870D}"/>
    <hyperlink ref="J29" r:id="rId12" xr:uid="{4D1B5630-59BE-4B92-9A86-4577E3C5B0F8}"/>
    <hyperlink ref="J30" r:id="rId13" xr:uid="{C5A4AFB8-56C0-484D-997B-C8F68E4BDFD5}"/>
    <hyperlink ref="J32" r:id="rId14" xr:uid="{41A82A5C-86E2-408D-ABEE-E7649C8C6C04}"/>
    <hyperlink ref="J34" r:id="rId15" xr:uid="{CD1F9927-7E28-4E72-9552-F37E98136975}"/>
    <hyperlink ref="J35" r:id="rId16" xr:uid="{37648B22-29B6-416B-9DED-CA50266BA4C9}"/>
    <hyperlink ref="J36" r:id="rId17" xr:uid="{CF2DE757-51F7-4BAA-9CC3-1EBE6C72E9E2}"/>
    <hyperlink ref="J37" r:id="rId18" xr:uid="{07816017-414C-4D7D-9ED6-BBD87B4D3A67}"/>
    <hyperlink ref="J38" r:id="rId19" xr:uid="{8A442254-EE61-4AAE-ABAD-8EC18F334421}"/>
    <hyperlink ref="J40" r:id="rId20" xr:uid="{1D460327-5511-45A6-B7F9-14D9D210F023}"/>
    <hyperlink ref="F6" r:id="rId21" xr:uid="{51CFF905-1410-41F3-8F6E-185BFC029882}"/>
    <hyperlink ref="F7" r:id="rId22" xr:uid="{89F55AC8-76D1-47F3-B044-D304DD1E6A51}"/>
    <hyperlink ref="F8" r:id="rId23" xr:uid="{258A65CF-A88D-4E83-B987-049857108CB5}"/>
    <hyperlink ref="F9" r:id="rId24" xr:uid="{27030669-5F99-461D-AE13-9847E9509BF1}"/>
    <hyperlink ref="F10" r:id="rId25" xr:uid="{F425DFC4-7CE8-474A-9ED8-51A2DE671F0D}"/>
    <hyperlink ref="F11" r:id="rId26" xr:uid="{301A1E47-955E-467D-9DD6-06B8A8EF293B}"/>
    <hyperlink ref="F12" r:id="rId27" xr:uid="{0C57A93C-6977-445E-84FC-7BD3E446864C}"/>
    <hyperlink ref="F13" r:id="rId28" xr:uid="{8F109C42-0BFF-4678-97AA-CDDD5FB387A1}"/>
    <hyperlink ref="F15" r:id="rId29" xr:uid="{76CDC832-2D28-437C-A59B-A98D5099EF4B}"/>
    <hyperlink ref="F16" r:id="rId30" xr:uid="{FE21DD19-B0ED-4331-B9C2-80711582B7A1}"/>
    <hyperlink ref="F17" r:id="rId31" xr:uid="{FB69DD85-FA09-43FC-8B5D-E9D3E02168D6}"/>
    <hyperlink ref="F19" r:id="rId32" xr:uid="{B35BDBBB-DB65-4E23-9B13-ACCD785162CB}"/>
    <hyperlink ref="F20" r:id="rId33" xr:uid="{2DDB8E6F-F02C-408D-B86E-86164022A750}"/>
    <hyperlink ref="F21" r:id="rId34" xr:uid="{2F712347-1582-4FBA-A3FC-AE051776E02F}"/>
    <hyperlink ref="F22" r:id="rId35" xr:uid="{73ABD76D-F688-4F1C-8DAF-A17B97945AE4}"/>
    <hyperlink ref="F23" r:id="rId36" xr:uid="{BF97599B-EFD9-4D50-8FBA-45487C3112C1}"/>
    <hyperlink ref="F24" r:id="rId37" xr:uid="{ED06DE0C-6F21-4553-AA7D-E0349F6DF7BE}"/>
    <hyperlink ref="F26" r:id="rId38" xr:uid="{B2FCF839-CD09-4B61-9D9D-491E47EBC1FA}"/>
    <hyperlink ref="F27" r:id="rId39" xr:uid="{624562FA-74C4-499C-8732-E25A40A198D1}"/>
    <hyperlink ref="F28" r:id="rId40" xr:uid="{FA06E9BD-ABC1-4C70-B073-DB5077D560FC}"/>
    <hyperlink ref="F29" r:id="rId41" xr:uid="{3D238BA8-EE16-4983-B303-942301B70CD0}"/>
    <hyperlink ref="F30" r:id="rId42" xr:uid="{0B8C7E1A-D458-49DE-AF5A-90661DE87A6F}"/>
    <hyperlink ref="F31" r:id="rId43" xr:uid="{C66DB115-38A8-422A-8763-3494118275F0}"/>
    <hyperlink ref="F32" r:id="rId44" xr:uid="{CBBD3B5C-0844-4C3C-BDF3-314FAD6E8A54}"/>
    <hyperlink ref="F33" r:id="rId45" xr:uid="{F71F6C86-EB81-4C83-BD6F-702745408811}"/>
    <hyperlink ref="F34" r:id="rId46" xr:uid="{5A699694-1C05-424C-B9E6-286791CA455E}"/>
    <hyperlink ref="F35" r:id="rId47" xr:uid="{D77D20D8-3A8E-4A39-8A03-DFF69690713D}"/>
    <hyperlink ref="F36" r:id="rId48" xr:uid="{DD400909-0E6B-448F-98FF-AD5034AD6B99}"/>
    <hyperlink ref="F37" r:id="rId49" xr:uid="{6D6579E8-04B2-40C5-9250-6F4406CD4389}"/>
    <hyperlink ref="F38" r:id="rId50" xr:uid="{0D07F948-1344-4A73-A951-5821D2D3FFA4}"/>
    <hyperlink ref="F40" r:id="rId51" xr:uid="{2BD41FC9-AC3F-457D-80C1-36F676950621}"/>
    <hyperlink ref="F39" r:id="rId52" xr:uid="{5CB0982C-EE90-44F1-96DD-0D8D15B546BA}"/>
    <hyperlink ref="I39" r:id="rId53" display="https://www.dol.gov/node/25154" xr:uid="{645FE7FD-D8A5-4C8A-87A3-3C89B97FB1E2}"/>
    <hyperlink ref="J39" r:id="rId54" display="https://www.dol.gov/node/25154" xr:uid="{7E887808-2038-44D3-8650-DAECB9184DFB}"/>
  </hyperlinks>
  <pageMargins left="0.7" right="0.7" top="0.78740157499999996" bottom="0.78740157499999996" header="0.3" footer="0.3"/>
  <drawing r:id="rId5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3F619-6F49-491B-9357-015075AA8C99}">
  <sheetPr codeName="Tabelle59"/>
  <dimension ref="A1:AH142"/>
  <sheetViews>
    <sheetView showGridLines="0" showRowColHeaders="0" workbookViewId="0">
      <pane xSplit="1" ySplit="4" topLeftCell="B5" activePane="bottomRight" state="frozen"/>
      <selection activeCell="B15" sqref="B15:I21"/>
      <selection pane="topRight" activeCell="B15" sqref="B15:I21"/>
      <selection pane="bottomLeft" activeCell="B15" sqref="B15:I21"/>
      <selection pane="bottomRight"/>
      <extLst>
        <ext xmlns:xlsdti="http://schemas.microsoft.com/office/spreadsheetml/2023/showDataTypeIcons" uri="{77bfe23e-c014-4d31-8a63-9c772dbf06b6}">
          <xlsdti:showDataTypeIcons visible="0"/>
        </ext>
      </extLst>
    </sheetView>
  </sheetViews>
  <sheetFormatPr baseColWidth="10" defaultColWidth="0" defaultRowHeight="15"/>
  <cols>
    <col min="1" max="1" width="3.85546875" style="171" customWidth="1"/>
    <col min="2" max="2" width="7.5703125" style="193" customWidth="1"/>
    <col min="3" max="6" width="9.42578125" style="171" customWidth="1"/>
    <col min="7" max="7" width="8.28515625" style="171" customWidth="1"/>
    <col min="8" max="9" width="9.28515625" style="171" customWidth="1"/>
    <col min="10" max="10" width="8.28515625" style="193" customWidth="1"/>
    <col min="11" max="14" width="9.85546875" style="171" customWidth="1"/>
    <col min="15" max="15" width="11.5703125" style="171" customWidth="1"/>
    <col min="16" max="16" width="8.28515625" style="171" customWidth="1"/>
    <col min="17" max="17" width="8.85546875" style="171" customWidth="1"/>
    <col min="18" max="18" width="12.140625" style="172" bestFit="1" customWidth="1"/>
    <col min="19" max="19" width="11" style="172" customWidth="1"/>
    <col min="20" max="20" width="11.5703125" style="172" customWidth="1"/>
    <col min="21" max="22" width="13.5703125" style="223" customWidth="1"/>
    <col min="23" max="26" width="8.28515625" style="171" customWidth="1"/>
    <col min="27" max="27" width="9.85546875" style="173" customWidth="1"/>
    <col min="28" max="29" width="9.85546875" style="171" hidden="1" customWidth="1"/>
    <col min="30" max="30" width="12.140625" style="171" hidden="1" customWidth="1"/>
    <col min="31" max="31" width="7.140625" style="171" hidden="1" customWidth="1"/>
    <col min="32" max="32" width="9.85546875" style="171" hidden="1" customWidth="1"/>
    <col min="33" max="16384" width="12" style="171" hidden="1"/>
  </cols>
  <sheetData>
    <row r="1" spans="1:31" ht="41.25" customHeight="1">
      <c r="B1" s="32" t="s">
        <v>2952</v>
      </c>
      <c r="G1" s="1113"/>
      <c r="H1" s="1113"/>
      <c r="I1" s="1113"/>
      <c r="J1" s="171"/>
      <c r="R1" s="171"/>
      <c r="S1" s="1101" t="s">
        <v>2953</v>
      </c>
      <c r="T1" s="1101"/>
      <c r="U1" s="1101"/>
      <c r="V1" s="1101"/>
      <c r="W1" s="1101"/>
      <c r="X1" s="1101"/>
      <c r="Y1" s="172"/>
      <c r="Z1" s="172"/>
    </row>
    <row r="2" spans="1:31" ht="27.6" customHeight="1" thickBot="1">
      <c r="B2" s="1102" t="s">
        <v>2954</v>
      </c>
      <c r="C2" s="1102"/>
      <c r="D2" s="1102"/>
      <c r="E2" s="1102"/>
      <c r="F2" s="1102"/>
      <c r="G2" s="1102"/>
      <c r="H2" s="1102"/>
      <c r="I2" s="1102"/>
      <c r="J2" s="1102"/>
      <c r="K2" s="1102"/>
      <c r="L2" s="1102"/>
      <c r="M2" s="1102"/>
      <c r="N2" s="1102"/>
      <c r="O2" s="1102"/>
      <c r="P2" s="1102"/>
      <c r="Q2" s="1102"/>
      <c r="R2" s="1102"/>
      <c r="S2" s="1102"/>
      <c r="T2" s="1102"/>
      <c r="U2" s="1102"/>
      <c r="V2" s="1102"/>
      <c r="W2" s="1102"/>
      <c r="X2" s="1102"/>
      <c r="Y2" s="174"/>
      <c r="Z2" s="174"/>
    </row>
    <row r="3" spans="1:31" ht="28.35" customHeight="1">
      <c r="B3" s="1103" t="s">
        <v>2955</v>
      </c>
      <c r="C3" s="1104"/>
      <c r="D3" s="1104"/>
      <c r="E3" s="1104" t="s">
        <v>2956</v>
      </c>
      <c r="F3" s="1105"/>
      <c r="G3" s="1106" t="s">
        <v>2957</v>
      </c>
      <c r="H3" s="1107"/>
      <c r="I3" s="1107"/>
      <c r="J3" s="1108" t="s">
        <v>2958</v>
      </c>
      <c r="K3" s="1108"/>
      <c r="L3" s="1108"/>
      <c r="M3" s="1109" t="s">
        <v>2959</v>
      </c>
      <c r="N3" s="1109"/>
      <c r="O3" s="1103" t="s">
        <v>2960</v>
      </c>
      <c r="P3" s="1104"/>
      <c r="Q3" s="1110" t="s">
        <v>2961</v>
      </c>
      <c r="R3" s="1111"/>
      <c r="S3" s="1111"/>
      <c r="T3" s="175"/>
      <c r="U3" s="1112" t="s">
        <v>2962</v>
      </c>
      <c r="V3" s="1112"/>
      <c r="W3" s="1112" t="s">
        <v>2963</v>
      </c>
      <c r="X3" s="1098"/>
      <c r="Y3" s="1097" t="s">
        <v>2964</v>
      </c>
      <c r="Z3" s="1098"/>
      <c r="AB3" s="880" t="s">
        <v>2965</v>
      </c>
      <c r="AC3" s="880"/>
      <c r="AD3" s="880" t="s">
        <v>2966</v>
      </c>
      <c r="AE3" s="880"/>
    </row>
    <row r="4" spans="1:31" s="176" customFormat="1" ht="28.35" customHeight="1" thickBot="1">
      <c r="B4" s="177" t="s">
        <v>2967</v>
      </c>
      <c r="C4" s="176" t="s">
        <v>2968</v>
      </c>
      <c r="D4" s="176" t="s">
        <v>2969</v>
      </c>
      <c r="E4" s="178">
        <v>0.01</v>
      </c>
      <c r="F4" s="179">
        <v>1.2</v>
      </c>
      <c r="G4" s="177" t="s">
        <v>2970</v>
      </c>
      <c r="H4" s="176" t="s">
        <v>2968</v>
      </c>
      <c r="I4" s="176" t="s">
        <v>2969</v>
      </c>
      <c r="J4" s="180" t="s">
        <v>2967</v>
      </c>
      <c r="K4" s="181" t="s">
        <v>2968</v>
      </c>
      <c r="L4" s="181" t="s">
        <v>2971</v>
      </c>
      <c r="M4" s="181" t="s">
        <v>2968</v>
      </c>
      <c r="N4" s="181" t="s">
        <v>2969</v>
      </c>
      <c r="O4" s="180" t="s">
        <v>2967</v>
      </c>
      <c r="P4" s="181" t="s">
        <v>2972</v>
      </c>
      <c r="Q4" s="182" t="s">
        <v>2967</v>
      </c>
      <c r="R4" s="183" t="s">
        <v>2973</v>
      </c>
      <c r="S4" s="183" t="s">
        <v>2974</v>
      </c>
      <c r="T4" s="183"/>
      <c r="U4" s="183" t="s">
        <v>2973</v>
      </c>
      <c r="V4" s="183" t="s">
        <v>2974</v>
      </c>
      <c r="W4" s="183" t="s">
        <v>2973</v>
      </c>
      <c r="X4" s="184" t="s">
        <v>2974</v>
      </c>
      <c r="Y4" s="185" t="s">
        <v>2973</v>
      </c>
      <c r="Z4" s="186" t="s">
        <v>2974</v>
      </c>
      <c r="AA4" s="187"/>
      <c r="AB4" s="1">
        <v>17</v>
      </c>
      <c r="AC4" s="1">
        <v>3.1</v>
      </c>
      <c r="AD4" s="1099" t="s">
        <v>2975</v>
      </c>
      <c r="AE4" s="1100"/>
    </row>
    <row r="5" spans="1:31" s="204" customFormat="1">
      <c r="A5" s="171"/>
      <c r="B5" s="188">
        <v>1970</v>
      </c>
      <c r="C5" s="189"/>
      <c r="D5" s="189"/>
      <c r="E5" s="189"/>
      <c r="F5" s="189"/>
      <c r="G5" s="190">
        <v>28126</v>
      </c>
      <c r="H5" s="191">
        <v>12.884555406144706</v>
      </c>
      <c r="I5" s="192">
        <v>0</v>
      </c>
      <c r="J5" s="193">
        <v>1970</v>
      </c>
      <c r="K5" s="194">
        <v>6822.1675708011435</v>
      </c>
      <c r="L5" s="194"/>
      <c r="M5" s="194">
        <v>11043.90463383832</v>
      </c>
      <c r="N5" s="194"/>
      <c r="O5" s="190">
        <v>25569</v>
      </c>
      <c r="P5" s="195">
        <v>0.17</v>
      </c>
      <c r="Q5" s="190">
        <v>28126</v>
      </c>
      <c r="R5" s="196">
        <v>2295.7516757591407</v>
      </c>
      <c r="S5" s="196"/>
      <c r="T5" s="190">
        <v>28126</v>
      </c>
      <c r="U5" s="197">
        <v>2.2271220000000001E-4</v>
      </c>
      <c r="V5" s="197"/>
      <c r="W5" s="198">
        <f>1000/$R5*VLOOKUP(Q5,G$5:$I63,2)</f>
        <v>5.6123471637602727</v>
      </c>
      <c r="X5" s="199" t="str">
        <f>IFERROR(1000/$S5*VLOOKUP($Q5,G$5:$I63,3),"")</f>
        <v/>
      </c>
      <c r="Y5" s="200">
        <f>1000/W5</f>
        <v>178.17857142857142</v>
      </c>
      <c r="Z5" s="201"/>
      <c r="AA5" s="173"/>
      <c r="AB5" s="202">
        <v>18</v>
      </c>
      <c r="AC5" s="202">
        <v>3</v>
      </c>
      <c r="AD5" s="202"/>
      <c r="AE5" s="203"/>
    </row>
    <row r="6" spans="1:31" s="204" customFormat="1">
      <c r="A6" s="171"/>
      <c r="B6" s="205">
        <v>1971</v>
      </c>
      <c r="C6" s="206"/>
      <c r="D6" s="206"/>
      <c r="E6" s="206"/>
      <c r="F6" s="206"/>
      <c r="G6" s="207">
        <v>28491</v>
      </c>
      <c r="H6" s="208">
        <v>13.809993711109863</v>
      </c>
      <c r="I6" s="209">
        <v>0</v>
      </c>
      <c r="J6" s="210">
        <v>1971</v>
      </c>
      <c r="K6" s="206">
        <v>7634.0990781407381</v>
      </c>
      <c r="L6" s="206"/>
      <c r="M6" s="206">
        <v>11657.454891273781</v>
      </c>
      <c r="N6" s="206"/>
      <c r="O6" s="207">
        <v>25934</v>
      </c>
      <c r="P6" s="211">
        <v>0.17</v>
      </c>
      <c r="Q6" s="207">
        <v>28491</v>
      </c>
      <c r="R6" s="212">
        <v>2415.1178783432101</v>
      </c>
      <c r="S6" s="212"/>
      <c r="T6" s="207">
        <v>28491</v>
      </c>
      <c r="U6" s="213">
        <v>2.117047E-4</v>
      </c>
      <c r="V6" s="213"/>
      <c r="W6" s="214">
        <f>1000/$R6*VLOOKUP(Q6,G$5:$I64,2)</f>
        <v>5.7181447890997461</v>
      </c>
      <c r="X6" s="215" t="str">
        <f>IFERROR(1000/$S6*VLOOKUP($Q6,G$5:$I64,3),"")</f>
        <v/>
      </c>
      <c r="Y6" s="216">
        <f>1000/W6</f>
        <v>174.88189559422437</v>
      </c>
      <c r="Z6" s="215"/>
      <c r="AA6" s="173"/>
      <c r="AB6" s="202">
        <v>19</v>
      </c>
      <c r="AC6" s="202">
        <v>2.9</v>
      </c>
      <c r="AD6" s="202"/>
      <c r="AE6" s="203"/>
    </row>
    <row r="7" spans="1:31" s="204" customFormat="1">
      <c r="A7" s="171"/>
      <c r="B7" s="217">
        <v>1972</v>
      </c>
      <c r="C7" s="194"/>
      <c r="D7" s="194"/>
      <c r="E7" s="194"/>
      <c r="F7" s="194"/>
      <c r="G7" s="218">
        <v>28672</v>
      </c>
      <c r="H7" s="219">
        <v>13.467428150708395</v>
      </c>
      <c r="I7" s="220">
        <v>0</v>
      </c>
      <c r="J7" s="193">
        <v>1972</v>
      </c>
      <c r="K7" s="194">
        <v>8351.9528793402296</v>
      </c>
      <c r="L7" s="194"/>
      <c r="M7" s="194">
        <v>12884.555406144706</v>
      </c>
      <c r="N7" s="194"/>
      <c r="O7" s="218">
        <v>26299</v>
      </c>
      <c r="P7" s="221">
        <v>0.17</v>
      </c>
      <c r="Q7" s="218">
        <v>28856</v>
      </c>
      <c r="R7" s="222">
        <v>2547.9208315651158</v>
      </c>
      <c r="S7" s="222"/>
      <c r="T7" s="218">
        <v>28856</v>
      </c>
      <c r="U7" s="223">
        <v>2.006702E-4</v>
      </c>
      <c r="V7" s="223"/>
      <c r="W7" s="224">
        <f>1000/$R7*VLOOKUP(Q7,G$5:$I65,2)</f>
        <v>5.2856540846427063</v>
      </c>
      <c r="X7" s="201" t="str">
        <f>IFERROR(1000/$S7*VLOOKUP($Q7,G$5:$I65,3),"")</f>
        <v/>
      </c>
      <c r="Y7" s="200">
        <f>1000/W7</f>
        <v>189.19134396355355</v>
      </c>
      <c r="Z7" s="201"/>
      <c r="AA7" s="173"/>
      <c r="AB7" s="202">
        <v>20</v>
      </c>
      <c r="AC7" s="202">
        <v>2.8</v>
      </c>
      <c r="AD7" s="202"/>
      <c r="AE7" s="203"/>
    </row>
    <row r="8" spans="1:31" s="204" customFormat="1">
      <c r="A8" s="171"/>
      <c r="B8" s="205">
        <v>1973</v>
      </c>
      <c r="C8" s="206"/>
      <c r="D8" s="206"/>
      <c r="E8" s="206"/>
      <c r="F8" s="206"/>
      <c r="G8" s="207">
        <v>29037</v>
      </c>
      <c r="H8" s="208">
        <v>13.467428150708395</v>
      </c>
      <c r="I8" s="209">
        <v>0</v>
      </c>
      <c r="J8" s="210">
        <v>1973</v>
      </c>
      <c r="K8" s="206">
        <v>9354.0849664848174</v>
      </c>
      <c r="L8" s="206"/>
      <c r="M8" s="206">
        <v>14111.65592101563</v>
      </c>
      <c r="N8" s="206"/>
      <c r="O8" s="207">
        <v>26665</v>
      </c>
      <c r="P8" s="211">
        <v>0.18</v>
      </c>
      <c r="Q8" s="207">
        <v>29221</v>
      </c>
      <c r="R8" s="212">
        <v>2713.5794010726904</v>
      </c>
      <c r="S8" s="212"/>
      <c r="T8" s="207">
        <v>29221</v>
      </c>
      <c r="U8" s="213">
        <v>1.8841969999999999E-4</v>
      </c>
      <c r="V8" s="213"/>
      <c r="W8" s="214">
        <f>1000/$R8*VLOOKUP(Q8,G$5:$I66,2)</f>
        <v>5.1608162342434012</v>
      </c>
      <c r="X8" s="215" t="str">
        <f>IFERROR(1000/$S8*VLOOKUP($Q8,G$5:$I66,3),"")</f>
        <v/>
      </c>
      <c r="Y8" s="216">
        <f>1000/W8</f>
        <v>193.76779846659363</v>
      </c>
      <c r="Z8" s="215"/>
      <c r="AA8" s="173"/>
      <c r="AB8" s="202">
        <v>21</v>
      </c>
      <c r="AC8" s="202">
        <v>2.7</v>
      </c>
      <c r="AD8" s="202"/>
      <c r="AE8" s="203"/>
    </row>
    <row r="9" spans="1:31" s="204" customFormat="1">
      <c r="A9" s="171"/>
      <c r="B9" s="217">
        <v>1974</v>
      </c>
      <c r="C9" s="194"/>
      <c r="D9" s="194"/>
      <c r="E9" s="194"/>
      <c r="F9" s="194"/>
      <c r="G9" s="218">
        <v>29221</v>
      </c>
      <c r="H9" s="219">
        <v>14.004284625964425</v>
      </c>
      <c r="I9" s="220">
        <v>0</v>
      </c>
      <c r="J9" s="193">
        <v>1974</v>
      </c>
      <c r="K9" s="194">
        <v>15482.429454502691</v>
      </c>
      <c r="L9" s="194"/>
      <c r="M9" s="194">
        <v>15338.756435886555</v>
      </c>
      <c r="N9" s="194"/>
      <c r="O9" s="218">
        <v>27030</v>
      </c>
      <c r="P9" s="221">
        <v>0.18</v>
      </c>
      <c r="Q9" s="218">
        <v>29587</v>
      </c>
      <c r="R9" s="222">
        <v>2922.8000388581831</v>
      </c>
      <c r="S9" s="222"/>
      <c r="T9" s="218">
        <v>29587</v>
      </c>
      <c r="U9" s="223">
        <v>1.749322E-4</v>
      </c>
      <c r="V9" s="223"/>
      <c r="W9" s="224">
        <f>1000/$R9*VLOOKUP(Q9,G$5:$I67,2)</f>
        <v>4.9820694480888656</v>
      </c>
      <c r="X9" s="201" t="str">
        <f>IFERROR(1000/$S9*VLOOKUP($Q9,G$5:$I67,3),"")</f>
        <v/>
      </c>
      <c r="Y9" s="200">
        <f t="shared" ref="Y9:Z55" si="0">1000/W9</f>
        <v>200.71980337078651</v>
      </c>
      <c r="Z9" s="201"/>
      <c r="AA9" s="173"/>
      <c r="AB9" s="202">
        <v>22</v>
      </c>
      <c r="AC9" s="202">
        <v>2.6</v>
      </c>
      <c r="AD9" s="202"/>
      <c r="AE9" s="203"/>
    </row>
    <row r="10" spans="1:31" s="204" customFormat="1">
      <c r="A10" s="171"/>
      <c r="B10" s="205">
        <v>1975</v>
      </c>
      <c r="C10" s="206"/>
      <c r="D10" s="206"/>
      <c r="E10" s="206"/>
      <c r="F10" s="206"/>
      <c r="G10" s="207">
        <v>29587</v>
      </c>
      <c r="H10" s="208">
        <v>14.561592776468302</v>
      </c>
      <c r="I10" s="209">
        <v>0</v>
      </c>
      <c r="J10" s="210">
        <v>1975</v>
      </c>
      <c r="K10" s="206">
        <v>11150.253345127134</v>
      </c>
      <c r="L10" s="206"/>
      <c r="M10" s="206">
        <v>17179.407208192941</v>
      </c>
      <c r="N10" s="206"/>
      <c r="O10" s="207">
        <v>27395</v>
      </c>
      <c r="P10" s="211">
        <v>0.18</v>
      </c>
      <c r="Q10" s="207">
        <v>29952</v>
      </c>
      <c r="R10" s="212">
        <v>2963.2636783360517</v>
      </c>
      <c r="S10" s="212"/>
      <c r="T10" s="207">
        <v>29952</v>
      </c>
      <c r="U10" s="213">
        <v>1.725435E-4</v>
      </c>
      <c r="V10" s="213"/>
      <c r="W10" s="214">
        <f>1000/$R10*VLOOKUP(Q10,G$5:$I68,2)</f>
        <v>4.9140388291888382</v>
      </c>
      <c r="X10" s="215" t="str">
        <f>IFERROR(1000/$S10*VLOOKUP($Q10,G$5:$I68,3),"")</f>
        <v/>
      </c>
      <c r="Y10" s="216">
        <f t="shared" si="0"/>
        <v>203.498595505618</v>
      </c>
      <c r="Z10" s="215"/>
      <c r="AA10" s="173"/>
      <c r="AB10" s="202">
        <v>23</v>
      </c>
      <c r="AC10" s="202">
        <v>2.5</v>
      </c>
      <c r="AD10" s="202"/>
      <c r="AE10" s="203"/>
    </row>
    <row r="11" spans="1:31" s="204" customFormat="1">
      <c r="A11" s="171"/>
      <c r="B11" s="217">
        <v>1976</v>
      </c>
      <c r="C11" s="194"/>
      <c r="D11" s="194"/>
      <c r="E11" s="194"/>
      <c r="F11" s="194"/>
      <c r="G11" s="218">
        <v>30133</v>
      </c>
      <c r="H11" s="219">
        <v>15.400111461630102</v>
      </c>
      <c r="I11" s="220">
        <v>0</v>
      </c>
      <c r="J11" s="193">
        <v>1976</v>
      </c>
      <c r="K11" s="194">
        <v>11930.996047713759</v>
      </c>
      <c r="L11" s="194"/>
      <c r="M11" s="194">
        <v>19020.057980499329</v>
      </c>
      <c r="N11" s="194"/>
      <c r="O11" s="218">
        <v>27760</v>
      </c>
      <c r="P11" s="221">
        <v>0.18</v>
      </c>
      <c r="Q11" s="218">
        <v>30317</v>
      </c>
      <c r="R11" s="222">
        <v>3064.0393081198263</v>
      </c>
      <c r="S11" s="222"/>
      <c r="T11" s="218">
        <v>30317</v>
      </c>
      <c r="U11" s="223">
        <v>1.6686859999999999E-4</v>
      </c>
      <c r="V11" s="223"/>
      <c r="W11" s="224">
        <f>1000/$R11*VLOOKUP(Q11,G$5:$I69,2)</f>
        <v>5.0260815586860108</v>
      </c>
      <c r="X11" s="201" t="str">
        <f>IFERROR(1000/$S11*VLOOKUP($Q11,G$5:$I69,3),"")</f>
        <v/>
      </c>
      <c r="Y11" s="200">
        <f t="shared" si="0"/>
        <v>198.96215139442228</v>
      </c>
      <c r="Z11" s="201"/>
      <c r="AA11" s="173"/>
      <c r="AB11" s="202">
        <v>24</v>
      </c>
      <c r="AC11" s="202">
        <v>2.4</v>
      </c>
      <c r="AD11" s="202"/>
      <c r="AE11" s="203"/>
    </row>
    <row r="12" spans="1:31" s="204" customFormat="1">
      <c r="A12" s="171"/>
      <c r="B12" s="205">
        <v>1977</v>
      </c>
      <c r="C12" s="206"/>
      <c r="D12" s="206"/>
      <c r="E12" s="206"/>
      <c r="F12" s="206"/>
      <c r="G12" s="207">
        <v>30498</v>
      </c>
      <c r="H12" s="208">
        <v>16.26419474085171</v>
      </c>
      <c r="I12" s="209">
        <v>0</v>
      </c>
      <c r="J12" s="210">
        <v>1977</v>
      </c>
      <c r="K12" s="206">
        <v>12754.17597643967</v>
      </c>
      <c r="L12" s="206"/>
      <c r="M12" s="206">
        <v>20860.708752805716</v>
      </c>
      <c r="N12" s="206"/>
      <c r="O12" s="207">
        <v>28126</v>
      </c>
      <c r="P12" s="211">
        <v>0.18</v>
      </c>
      <c r="Q12" s="207">
        <v>30560</v>
      </c>
      <c r="R12" s="212">
        <v>3149.1515111231547</v>
      </c>
      <c r="S12" s="212"/>
      <c r="T12" s="207">
        <v>30560</v>
      </c>
      <c r="U12" s="213">
        <v>1.6235859999999999E-4</v>
      </c>
      <c r="V12" s="213"/>
      <c r="W12" s="214">
        <f>1000/$R12*VLOOKUP(Q12,G$5:$I70,2)</f>
        <v>5.1646275777474528</v>
      </c>
      <c r="X12" s="215" t="str">
        <f>IFERROR(1000/$S12*VLOOKUP($Q12,G$5:$I70,3),"")</f>
        <v/>
      </c>
      <c r="Y12" s="216">
        <f t="shared" si="0"/>
        <v>193.62480352090537</v>
      </c>
      <c r="Z12" s="215"/>
      <c r="AA12" s="173"/>
      <c r="AB12" s="202">
        <v>25</v>
      </c>
      <c r="AC12" s="202">
        <v>2.4</v>
      </c>
      <c r="AD12" s="202"/>
      <c r="AE12" s="203"/>
    </row>
    <row r="13" spans="1:31" s="204" customFormat="1">
      <c r="A13" s="171"/>
      <c r="B13" s="217">
        <v>1978</v>
      </c>
      <c r="C13" s="194">
        <v>997</v>
      </c>
      <c r="D13" s="194">
        <v>0</v>
      </c>
      <c r="E13" s="194">
        <f t="shared" ref="E13:E61" si="1">+C13*0.01</f>
        <v>9.9700000000000006</v>
      </c>
      <c r="F13" s="194">
        <f t="shared" ref="F13:F61" si="2">+C13*1.2</f>
        <v>1196.3999999999999</v>
      </c>
      <c r="G13" s="218">
        <v>30864</v>
      </c>
      <c r="H13" s="219">
        <v>16.816389972543625</v>
      </c>
      <c r="I13" s="220">
        <v>0</v>
      </c>
      <c r="J13" s="193">
        <v>1978</v>
      </c>
      <c r="K13" s="194">
        <v>13417.321546351166</v>
      </c>
      <c r="L13" s="194"/>
      <c r="M13" s="194">
        <v>22701.359525112101</v>
      </c>
      <c r="N13" s="194"/>
      <c r="O13" s="218">
        <v>28491</v>
      </c>
      <c r="P13" s="221">
        <v>0.18</v>
      </c>
      <c r="Q13" s="218">
        <v>30682</v>
      </c>
      <c r="R13" s="222">
        <v>3243.6459201464345</v>
      </c>
      <c r="S13" s="222"/>
      <c r="T13" s="218">
        <v>30682</v>
      </c>
      <c r="U13" s="223">
        <v>1.5762879999999999E-4</v>
      </c>
      <c r="V13" s="223"/>
      <c r="W13" s="224">
        <f>1000/$R13*VLOOKUP(Q13,G$5:$I71,2)</f>
        <v>5.0141708254387591</v>
      </c>
      <c r="X13" s="201" t="str">
        <f>IFERROR(1000/$S13*VLOOKUP($Q13,G$5:$I71,3),"")</f>
        <v/>
      </c>
      <c r="Y13" s="200">
        <f t="shared" si="0"/>
        <v>199.43476894058475</v>
      </c>
      <c r="Z13" s="201"/>
      <c r="AA13" s="173"/>
      <c r="AB13" s="202">
        <v>26</v>
      </c>
      <c r="AC13" s="202">
        <v>2.2999999999999998</v>
      </c>
      <c r="AD13" s="202"/>
      <c r="AE13" s="203"/>
    </row>
    <row r="14" spans="1:31" s="204" customFormat="1">
      <c r="A14" s="171"/>
      <c r="B14" s="205">
        <v>1979</v>
      </c>
      <c r="C14" s="206">
        <v>1074</v>
      </c>
      <c r="D14" s="206">
        <v>0</v>
      </c>
      <c r="E14" s="206">
        <f t="shared" si="1"/>
        <v>10.74</v>
      </c>
      <c r="F14" s="206">
        <f t="shared" si="2"/>
        <v>1288.8</v>
      </c>
      <c r="G14" s="207">
        <v>31229</v>
      </c>
      <c r="H14" s="208">
        <v>17.317456016115919</v>
      </c>
      <c r="I14" s="209">
        <v>0</v>
      </c>
      <c r="J14" s="210">
        <v>1979</v>
      </c>
      <c r="K14" s="206">
        <v>14155.627022798506</v>
      </c>
      <c r="L14" s="206"/>
      <c r="M14" s="206">
        <v>24542.010297418488</v>
      </c>
      <c r="N14" s="206"/>
      <c r="O14" s="207">
        <v>28856</v>
      </c>
      <c r="P14" s="211">
        <v>0.18</v>
      </c>
      <c r="Q14" s="207">
        <v>31048</v>
      </c>
      <c r="R14" s="212">
        <v>3373.750274819386</v>
      </c>
      <c r="S14" s="212"/>
      <c r="T14" s="207">
        <v>31048</v>
      </c>
      <c r="U14" s="213">
        <v>1.5155E-4</v>
      </c>
      <c r="V14" s="213"/>
      <c r="W14" s="214">
        <f>1000/$R14*VLOOKUP(Q14,G$5:$I72,2)</f>
        <v>4.984479763678979</v>
      </c>
      <c r="X14" s="215" t="str">
        <f>IFERROR(1000/$S14*VLOOKUP($Q14,G$5:$I72,3),"")</f>
        <v/>
      </c>
      <c r="Y14" s="216">
        <f t="shared" si="0"/>
        <v>200.62274247491641</v>
      </c>
      <c r="Z14" s="215"/>
      <c r="AA14" s="173"/>
      <c r="AB14" s="202">
        <v>27</v>
      </c>
      <c r="AC14" s="202">
        <v>2.2000000000000002</v>
      </c>
      <c r="AD14" s="202"/>
      <c r="AE14" s="203"/>
    </row>
    <row r="15" spans="1:31" s="204" customFormat="1">
      <c r="A15" s="171"/>
      <c r="B15" s="217">
        <v>1980</v>
      </c>
      <c r="C15" s="194">
        <v>1125</v>
      </c>
      <c r="D15" s="194">
        <v>0</v>
      </c>
      <c r="E15" s="194">
        <f t="shared" si="1"/>
        <v>11.25</v>
      </c>
      <c r="F15" s="194">
        <f t="shared" si="2"/>
        <v>1350</v>
      </c>
      <c r="G15" s="218">
        <v>31594</v>
      </c>
      <c r="H15" s="219">
        <v>17.823634978500177</v>
      </c>
      <c r="I15" s="220">
        <v>0</v>
      </c>
      <c r="J15" s="193">
        <v>1980</v>
      </c>
      <c r="K15" s="194">
        <v>15075.441117070503</v>
      </c>
      <c r="L15" s="194"/>
      <c r="M15" s="194">
        <v>25769.110812289411</v>
      </c>
      <c r="N15" s="194"/>
      <c r="O15" s="218">
        <v>29221</v>
      </c>
      <c r="P15" s="221">
        <v>0.18</v>
      </c>
      <c r="Q15" s="218">
        <v>31199</v>
      </c>
      <c r="R15" s="222">
        <v>3463.9575014188354</v>
      </c>
      <c r="S15" s="222"/>
      <c r="T15" s="218">
        <v>31199</v>
      </c>
      <c r="U15" s="223">
        <v>1.476034E-4</v>
      </c>
      <c r="V15" s="223"/>
      <c r="W15" s="224">
        <f>1000/$R15*VLOOKUP(Q15,G$5:$I73,2)</f>
        <v>4.8546756031665046</v>
      </c>
      <c r="X15" s="201" t="str">
        <f>IFERROR(1000/$S15*VLOOKUP($Q15,G$5:$I73,3),"")</f>
        <v/>
      </c>
      <c r="Y15" s="200">
        <f t="shared" si="0"/>
        <v>205.98698692611742</v>
      </c>
      <c r="Z15" s="201"/>
      <c r="AA15" s="173"/>
      <c r="AB15" s="202">
        <v>28</v>
      </c>
      <c r="AC15" s="202">
        <v>2.2000000000000002</v>
      </c>
      <c r="AD15" s="202"/>
      <c r="AE15" s="203"/>
    </row>
    <row r="16" spans="1:31" s="204" customFormat="1">
      <c r="A16" s="171"/>
      <c r="B16" s="205">
        <v>1981</v>
      </c>
      <c r="C16" s="206">
        <v>1196</v>
      </c>
      <c r="D16" s="206">
        <v>0</v>
      </c>
      <c r="E16" s="206">
        <f t="shared" si="1"/>
        <v>11.96</v>
      </c>
      <c r="F16" s="206">
        <f t="shared" si="2"/>
        <v>1435.2</v>
      </c>
      <c r="G16" s="207">
        <v>31959</v>
      </c>
      <c r="H16" s="208">
        <v>18.498540261679185</v>
      </c>
      <c r="I16" s="209">
        <v>0</v>
      </c>
      <c r="J16" s="210">
        <v>1981</v>
      </c>
      <c r="K16" s="206">
        <v>15798.919128963151</v>
      </c>
      <c r="L16" s="206"/>
      <c r="M16" s="206">
        <v>26996.211327160338</v>
      </c>
      <c r="N16" s="206"/>
      <c r="O16" s="207">
        <v>29587</v>
      </c>
      <c r="P16" s="211">
        <v>0.185</v>
      </c>
      <c r="Q16" s="207">
        <v>31413</v>
      </c>
      <c r="R16" s="212">
        <v>3595.6008446541878</v>
      </c>
      <c r="S16" s="212"/>
      <c r="T16" s="207">
        <v>31413</v>
      </c>
      <c r="U16" s="213">
        <v>1.4219929999999999E-4</v>
      </c>
      <c r="V16" s="213"/>
      <c r="W16" s="214">
        <f>1000/$R16*VLOOKUP(Q16,G$5:$I74,2)</f>
        <v>4.8162898954323312</v>
      </c>
      <c r="X16" s="215" t="str">
        <f>IFERROR(1000/$S16*VLOOKUP($Q16,G$5:$I74,3),"")</f>
        <v/>
      </c>
      <c r="Y16" s="216">
        <f t="shared" si="0"/>
        <v>207.62869796279895</v>
      </c>
      <c r="Z16" s="215"/>
      <c r="AA16" s="173"/>
      <c r="AB16" s="202">
        <v>29</v>
      </c>
      <c r="AC16" s="202">
        <v>2.1</v>
      </c>
      <c r="AD16" s="202"/>
      <c r="AE16" s="203"/>
    </row>
    <row r="17" spans="1:31" s="204" customFormat="1">
      <c r="A17" s="171"/>
      <c r="B17" s="217">
        <v>1982</v>
      </c>
      <c r="C17" s="194">
        <v>1258</v>
      </c>
      <c r="D17" s="194">
        <v>0</v>
      </c>
      <c r="E17" s="194">
        <f t="shared" si="1"/>
        <v>12.58</v>
      </c>
      <c r="F17" s="194">
        <f t="shared" si="2"/>
        <v>1509.6</v>
      </c>
      <c r="G17" s="218">
        <v>32325</v>
      </c>
      <c r="H17" s="219">
        <v>19.055848412183064</v>
      </c>
      <c r="I17" s="220">
        <v>0</v>
      </c>
      <c r="J17" s="193">
        <v>1982</v>
      </c>
      <c r="K17" s="194">
        <v>16462.575990755842</v>
      </c>
      <c r="L17" s="194"/>
      <c r="M17" s="194">
        <v>28836.862099466722</v>
      </c>
      <c r="N17" s="194"/>
      <c r="O17" s="218">
        <v>29952</v>
      </c>
      <c r="P17" s="221">
        <v>0.18</v>
      </c>
      <c r="Q17" s="218">
        <v>31778</v>
      </c>
      <c r="R17" s="222">
        <v>3607.0425343715965</v>
      </c>
      <c r="S17" s="222"/>
      <c r="T17" s="218">
        <v>31778</v>
      </c>
      <c r="U17" s="223">
        <v>1.4174820000000001E-4</v>
      </c>
      <c r="V17" s="223"/>
      <c r="W17" s="224">
        <f>1000/$R17*VLOOKUP(Q17,G$5:$I75,2)</f>
        <v>4.9413431665022864</v>
      </c>
      <c r="X17" s="201" t="str">
        <f>IFERROR(1000/$S17*VLOOKUP($Q17,G$5:$I75,3),"")</f>
        <v/>
      </c>
      <c r="Y17" s="200">
        <f t="shared" si="0"/>
        <v>202.37412507171541</v>
      </c>
      <c r="Z17" s="201"/>
      <c r="AA17" s="173"/>
      <c r="AB17" s="202">
        <v>30</v>
      </c>
      <c r="AC17" s="202">
        <v>2</v>
      </c>
      <c r="AD17" s="202"/>
      <c r="AE17" s="203"/>
    </row>
    <row r="18" spans="1:31" s="204" customFormat="1">
      <c r="A18" s="171"/>
      <c r="B18" s="205">
        <v>1983</v>
      </c>
      <c r="C18" s="206">
        <v>1319</v>
      </c>
      <c r="D18" s="206">
        <v>0</v>
      </c>
      <c r="E18" s="206">
        <f t="shared" si="1"/>
        <v>13.19</v>
      </c>
      <c r="F18" s="206">
        <f t="shared" si="2"/>
        <v>1582.8</v>
      </c>
      <c r="G18" s="207">
        <v>32690</v>
      </c>
      <c r="H18" s="208">
        <v>19.628495319122827</v>
      </c>
      <c r="I18" s="209">
        <v>0</v>
      </c>
      <c r="J18" s="210">
        <v>1983</v>
      </c>
      <c r="K18" s="206">
        <v>17022.440600665701</v>
      </c>
      <c r="L18" s="206"/>
      <c r="M18" s="206">
        <v>30677.51287177311</v>
      </c>
      <c r="N18" s="206"/>
      <c r="O18" s="207">
        <v>30317</v>
      </c>
      <c r="P18" s="211">
        <v>0.18</v>
      </c>
      <c r="Q18" s="207">
        <v>32143</v>
      </c>
      <c r="R18" s="212">
        <v>3718.9080850585174</v>
      </c>
      <c r="S18" s="212"/>
      <c r="T18" s="207">
        <v>32143</v>
      </c>
      <c r="U18" s="213">
        <v>1.374844E-4</v>
      </c>
      <c r="V18" s="213"/>
      <c r="W18" s="214">
        <f>1000/$R18*VLOOKUP(Q18,G$5:$I76,2)</f>
        <v>4.9741859273158431</v>
      </c>
      <c r="X18" s="215" t="str">
        <f>IFERROR(1000/$S18*VLOOKUP($Q18,G$5:$I76,3),"")</f>
        <v/>
      </c>
      <c r="Y18" s="216">
        <f t="shared" si="0"/>
        <v>201.03792150359311</v>
      </c>
      <c r="Z18" s="215"/>
      <c r="AA18" s="173"/>
      <c r="AB18" s="202">
        <v>31</v>
      </c>
      <c r="AC18" s="202">
        <v>2</v>
      </c>
      <c r="AD18" s="202"/>
      <c r="AE18" s="203"/>
    </row>
    <row r="19" spans="1:31" s="204" customFormat="1">
      <c r="A19" s="171"/>
      <c r="B19" s="217">
        <v>1984</v>
      </c>
      <c r="C19" s="194">
        <v>1396</v>
      </c>
      <c r="D19" s="194">
        <v>0</v>
      </c>
      <c r="E19" s="194">
        <f t="shared" si="1"/>
        <v>13.96</v>
      </c>
      <c r="F19" s="194">
        <f t="shared" si="2"/>
        <v>1675.2</v>
      </c>
      <c r="G19" s="218">
        <v>33055</v>
      </c>
      <c r="H19" s="219">
        <v>20.236932657746326</v>
      </c>
      <c r="I19" s="220">
        <v>8.1551055050796855</v>
      </c>
      <c r="J19" s="193">
        <v>1984</v>
      </c>
      <c r="K19" s="194">
        <v>17533.221189980726</v>
      </c>
      <c r="L19" s="194"/>
      <c r="M19" s="194">
        <v>31904.613386644036</v>
      </c>
      <c r="N19" s="194"/>
      <c r="O19" s="218">
        <v>30682</v>
      </c>
      <c r="P19" s="221">
        <v>0.185</v>
      </c>
      <c r="Q19" s="218">
        <v>32509</v>
      </c>
      <c r="R19" s="222">
        <v>3830.4868010000869</v>
      </c>
      <c r="S19" s="222"/>
      <c r="T19" s="218">
        <v>32509</v>
      </c>
      <c r="U19" s="223">
        <v>1.334796E-4</v>
      </c>
      <c r="V19" s="223"/>
      <c r="W19" s="224">
        <f>1000/$R19*VLOOKUP(Q19,G$5:$I77,2)</f>
        <v>4.9747850344263931</v>
      </c>
      <c r="X19" s="201" t="str">
        <f>IFERROR(1000/$S19*VLOOKUP($Q19,G$5:$I77,3),"")</f>
        <v/>
      </c>
      <c r="Y19" s="200">
        <f t="shared" si="0"/>
        <v>201.01371075932386</v>
      </c>
      <c r="Z19" s="201"/>
      <c r="AA19" s="173"/>
      <c r="AB19" s="202">
        <v>32</v>
      </c>
      <c r="AC19" s="202">
        <v>1.9</v>
      </c>
      <c r="AD19" s="202"/>
      <c r="AE19" s="203"/>
    </row>
    <row r="20" spans="1:31" s="204" customFormat="1">
      <c r="A20" s="171"/>
      <c r="B20" s="205">
        <v>1985</v>
      </c>
      <c r="C20" s="206">
        <v>1432</v>
      </c>
      <c r="D20" s="206">
        <v>0</v>
      </c>
      <c r="E20" s="206">
        <f t="shared" si="1"/>
        <v>14.32</v>
      </c>
      <c r="F20" s="206">
        <f t="shared" si="2"/>
        <v>1718.3999999999999</v>
      </c>
      <c r="G20" s="207">
        <v>33239</v>
      </c>
      <c r="H20" s="208">
        <v>20.236932657746326</v>
      </c>
      <c r="I20" s="209">
        <v>9.3822060199506101</v>
      </c>
      <c r="J20" s="210">
        <v>1985</v>
      </c>
      <c r="K20" s="206">
        <v>18041.445319889765</v>
      </c>
      <c r="L20" s="206"/>
      <c r="M20" s="206">
        <v>33131.713901514959</v>
      </c>
      <c r="N20" s="206"/>
      <c r="O20" s="207">
        <v>31048</v>
      </c>
      <c r="P20" s="211">
        <v>0.187</v>
      </c>
      <c r="Q20" s="207">
        <v>32874</v>
      </c>
      <c r="R20" s="212">
        <v>4010.5234094987809</v>
      </c>
      <c r="S20" s="212"/>
      <c r="T20" s="207">
        <v>32874</v>
      </c>
      <c r="U20" s="213">
        <v>1.2748760000000001E-4</v>
      </c>
      <c r="V20" s="213"/>
      <c r="W20" s="214">
        <f>1000/$R20*VLOOKUP(Q20,G$5:$I78,2)</f>
        <v>4.894247786369589</v>
      </c>
      <c r="X20" s="215" t="str">
        <f>IFERROR(1000/$S20*VLOOKUP($Q20,G$5:$I78,3),"")</f>
        <v/>
      </c>
      <c r="Y20" s="216">
        <f t="shared" si="0"/>
        <v>204.32148997134675</v>
      </c>
      <c r="Z20" s="215"/>
      <c r="AA20" s="173"/>
      <c r="AB20" s="202">
        <v>33</v>
      </c>
      <c r="AC20" s="202">
        <v>1.9</v>
      </c>
      <c r="AD20" s="202"/>
      <c r="AE20" s="203"/>
    </row>
    <row r="21" spans="1:31" s="204" customFormat="1">
      <c r="A21" s="171"/>
      <c r="B21" s="217">
        <v>1986</v>
      </c>
      <c r="C21" s="194">
        <v>1467</v>
      </c>
      <c r="D21" s="194">
        <v>0</v>
      </c>
      <c r="E21" s="194">
        <f t="shared" si="1"/>
        <v>14.67</v>
      </c>
      <c r="F21" s="194">
        <f t="shared" si="2"/>
        <v>1760.3999999999999</v>
      </c>
      <c r="G21" s="218">
        <v>33420</v>
      </c>
      <c r="H21" s="219">
        <v>21.187935556771293</v>
      </c>
      <c r="I21" s="220">
        <v>10.788258693240211</v>
      </c>
      <c r="J21" s="193">
        <v>1986</v>
      </c>
      <c r="K21" s="194">
        <v>18727.087732573895</v>
      </c>
      <c r="L21" s="194"/>
      <c r="M21" s="194">
        <v>34358.814416385881</v>
      </c>
      <c r="N21" s="194"/>
      <c r="O21" s="218">
        <v>31413</v>
      </c>
      <c r="P21" s="221">
        <v>0.192</v>
      </c>
      <c r="Q21" s="218">
        <v>33239</v>
      </c>
      <c r="R21" s="222">
        <v>4198.9738371944386</v>
      </c>
      <c r="S21" s="222"/>
      <c r="T21" s="218">
        <v>33239</v>
      </c>
      <c r="U21" s="223">
        <v>1.2176590000000001E-4</v>
      </c>
      <c r="V21" s="223"/>
      <c r="W21" s="224">
        <f>1000/$R21*VLOOKUP(Q21,G$5:$I79,2)</f>
        <v>4.8194948200171961</v>
      </c>
      <c r="X21" s="201" t="str">
        <f>IFERROR(1000/$S21*VLOOKUP($Q21,G$5:$I79,3),"")</f>
        <v/>
      </c>
      <c r="Y21" s="200">
        <f t="shared" si="0"/>
        <v>207.49062657908033</v>
      </c>
      <c r="Z21" s="201"/>
      <c r="AA21" s="173"/>
      <c r="AB21" s="202">
        <v>34</v>
      </c>
      <c r="AC21" s="202">
        <v>1.8</v>
      </c>
      <c r="AD21" s="202"/>
      <c r="AE21" s="203"/>
    </row>
    <row r="22" spans="1:31" s="204" customFormat="1">
      <c r="A22" s="171"/>
      <c r="B22" s="205">
        <v>1987</v>
      </c>
      <c r="C22" s="206">
        <v>1539</v>
      </c>
      <c r="D22" s="206">
        <v>0</v>
      </c>
      <c r="E22" s="206">
        <f t="shared" si="1"/>
        <v>15.39</v>
      </c>
      <c r="F22" s="206">
        <f t="shared" si="2"/>
        <v>1846.8</v>
      </c>
      <c r="G22" s="207">
        <v>33604</v>
      </c>
      <c r="H22" s="208">
        <v>21.187935556771293</v>
      </c>
      <c r="I22" s="209">
        <v>12.05114963979487</v>
      </c>
      <c r="J22" s="210">
        <v>1987</v>
      </c>
      <c r="K22" s="206">
        <v>19288.997510008539</v>
      </c>
      <c r="L22" s="206"/>
      <c r="M22" s="206">
        <v>34972.364673821343</v>
      </c>
      <c r="N22" s="206"/>
      <c r="O22" s="207">
        <v>31778</v>
      </c>
      <c r="P22" s="211">
        <v>0.187</v>
      </c>
      <c r="Q22" s="207">
        <v>33329</v>
      </c>
      <c r="R22" s="212">
        <v>3974.429781729496</v>
      </c>
      <c r="S22" s="212"/>
      <c r="T22" s="207">
        <v>33329</v>
      </c>
      <c r="U22" s="213">
        <v>1.2864530000000001E-4</v>
      </c>
      <c r="V22" s="213"/>
      <c r="W22" s="214">
        <f>1000/$R22*VLOOKUP(Q22,G$5:$I80,2)</f>
        <v>5.0917826629560201</v>
      </c>
      <c r="X22" s="215" t="str">
        <f>IFERROR(1000/$S22*VLOOKUP($Q22,G$5:$I80,3),"")</f>
        <v/>
      </c>
      <c r="Y22" s="216">
        <f t="shared" si="0"/>
        <v>196.39487114704397</v>
      </c>
      <c r="Z22" s="215"/>
      <c r="AA22" s="173"/>
      <c r="AB22" s="202">
        <v>35</v>
      </c>
      <c r="AC22" s="202">
        <v>1.7</v>
      </c>
      <c r="AD22" s="202"/>
      <c r="AE22" s="203"/>
    </row>
    <row r="23" spans="1:31" s="204" customFormat="1">
      <c r="A23" s="171"/>
      <c r="B23" s="217">
        <v>1988</v>
      </c>
      <c r="C23" s="194">
        <v>1575</v>
      </c>
      <c r="D23" s="194">
        <v>0</v>
      </c>
      <c r="E23" s="194">
        <f t="shared" si="1"/>
        <v>15.75</v>
      </c>
      <c r="F23" s="194">
        <f t="shared" si="2"/>
        <v>1890</v>
      </c>
      <c r="G23" s="218">
        <v>33786</v>
      </c>
      <c r="H23" s="219">
        <v>21.796372895394796</v>
      </c>
      <c r="I23" s="220">
        <v>13.585025283383526</v>
      </c>
      <c r="J23" s="193">
        <v>1988</v>
      </c>
      <c r="K23" s="194">
        <v>19887.209011008115</v>
      </c>
      <c r="L23" s="194"/>
      <c r="M23" s="194">
        <v>36813.015446127734</v>
      </c>
      <c r="N23" s="194"/>
      <c r="O23" s="218">
        <v>32143</v>
      </c>
      <c r="P23" s="221">
        <v>0.187</v>
      </c>
      <c r="Q23" s="218">
        <v>33604</v>
      </c>
      <c r="R23" s="222">
        <v>4152.8931451097487</v>
      </c>
      <c r="S23" s="222">
        <v>2834.352423267871</v>
      </c>
      <c r="T23" s="218">
        <v>33604</v>
      </c>
      <c r="U23" s="223">
        <v>1.2311700000000001E-4</v>
      </c>
      <c r="V23" s="223">
        <v>1.8039109999999999E-4</v>
      </c>
      <c r="W23" s="224">
        <f>1000/$R23*VLOOKUP(Q23,G$5:$I81,2)</f>
        <v>5.1019698355882834</v>
      </c>
      <c r="X23" s="201">
        <f>IFERROR(1000/$S23*VLOOKUP($Q23,G$5:$I81,3),"")</f>
        <v>4.2518176430228385</v>
      </c>
      <c r="Y23" s="200">
        <f t="shared" si="0"/>
        <v>196.00272683397682</v>
      </c>
      <c r="Z23" s="201">
        <f>1000/X23</f>
        <v>235.19352991090369</v>
      </c>
      <c r="AA23" s="173"/>
      <c r="AB23" s="202">
        <v>36</v>
      </c>
      <c r="AC23" s="202">
        <v>1.7</v>
      </c>
      <c r="AD23" s="202"/>
      <c r="AE23" s="203"/>
    </row>
    <row r="24" spans="1:31" s="204" customFormat="1">
      <c r="A24" s="171"/>
      <c r="B24" s="205">
        <v>1989</v>
      </c>
      <c r="C24" s="206">
        <v>1611</v>
      </c>
      <c r="D24" s="206">
        <v>0</v>
      </c>
      <c r="E24" s="206">
        <f t="shared" si="1"/>
        <v>16.11</v>
      </c>
      <c r="F24" s="206">
        <f t="shared" si="2"/>
        <v>1933.1999999999998</v>
      </c>
      <c r="G24" s="207">
        <v>33970</v>
      </c>
      <c r="H24" s="208">
        <v>21.796372895394796</v>
      </c>
      <c r="I24" s="209">
        <v>14.4133181309214</v>
      </c>
      <c r="J24" s="210">
        <v>1989</v>
      </c>
      <c r="K24" s="206">
        <v>20483.886636364103</v>
      </c>
      <c r="L24" s="206"/>
      <c r="M24" s="206">
        <v>37426.565703563196</v>
      </c>
      <c r="N24" s="206"/>
      <c r="O24" s="207">
        <v>32509</v>
      </c>
      <c r="P24" s="211">
        <v>0.187</v>
      </c>
      <c r="Q24" s="207">
        <v>33970</v>
      </c>
      <c r="R24" s="212">
        <v>4443.6505217733647</v>
      </c>
      <c r="S24" s="212">
        <v>3234.333300951514</v>
      </c>
      <c r="T24" s="207">
        <v>33970</v>
      </c>
      <c r="U24" s="213">
        <v>1.150612E-4</v>
      </c>
      <c r="V24" s="213">
        <v>1.580826E-4</v>
      </c>
      <c r="W24" s="214">
        <f>1000/$R24*VLOOKUP(Q24,G$5:$I82,2)</f>
        <v>4.9050601051084319</v>
      </c>
      <c r="X24" s="215">
        <f>IFERROR(1000/$S24*VLOOKUP($Q24,G$5:$I82,3),"")</f>
        <v>4.456349049333018</v>
      </c>
      <c r="Y24" s="216">
        <f t="shared" si="0"/>
        <v>203.87110016420357</v>
      </c>
      <c r="Z24" s="215">
        <f t="shared" si="0"/>
        <v>224.3989393401915</v>
      </c>
      <c r="AA24" s="173"/>
      <c r="AB24" s="202">
        <v>37</v>
      </c>
      <c r="AC24" s="202">
        <v>1.6</v>
      </c>
      <c r="AD24" s="202"/>
      <c r="AE24" s="203"/>
    </row>
    <row r="25" spans="1:31" s="204" customFormat="1">
      <c r="A25" s="171"/>
      <c r="B25" s="217">
        <v>1990</v>
      </c>
      <c r="C25" s="194">
        <v>1682.1502891355588</v>
      </c>
      <c r="D25" s="194">
        <v>0</v>
      </c>
      <c r="E25" s="194">
        <f t="shared" si="1"/>
        <v>16.821502891355589</v>
      </c>
      <c r="F25" s="194">
        <f t="shared" si="2"/>
        <v>2018.5803469626703</v>
      </c>
      <c r="G25" s="218">
        <v>34151</v>
      </c>
      <c r="H25" s="219">
        <v>22.747375794419764</v>
      </c>
      <c r="I25" s="220">
        <v>16.448259818082349</v>
      </c>
      <c r="J25" s="193">
        <v>1990</v>
      </c>
      <c r="K25" s="194">
        <v>21446.64924865658</v>
      </c>
      <c r="L25" s="194"/>
      <c r="M25" s="194">
        <v>38653.666218434118</v>
      </c>
      <c r="N25" s="194">
        <v>16565.856950757479</v>
      </c>
      <c r="O25" s="218">
        <v>32874</v>
      </c>
      <c r="P25" s="221">
        <v>0.187</v>
      </c>
      <c r="Q25" s="218">
        <v>34335</v>
      </c>
      <c r="R25" s="222">
        <v>5092.6634727967157</v>
      </c>
      <c r="S25" s="222">
        <v>3943.8267640848135</v>
      </c>
      <c r="T25" s="218">
        <v>34335</v>
      </c>
      <c r="U25" s="223">
        <v>1.003977E-4</v>
      </c>
      <c r="V25" s="223">
        <v>1.2964359999999999E-4</v>
      </c>
      <c r="W25" s="224">
        <f>1000/$R25*VLOOKUP(Q25,G$5:$I83,2)</f>
        <v>4.466695259941786</v>
      </c>
      <c r="X25" s="201">
        <f>IFERROR(1000/$S25*VLOOKUP($Q25,G$5:$I83,3),"")</f>
        <v>4.3223174694991089</v>
      </c>
      <c r="Y25" s="200">
        <f t="shared" si="0"/>
        <v>223.87916385704651</v>
      </c>
      <c r="Z25" s="201">
        <f t="shared" si="0"/>
        <v>231.35736952609471</v>
      </c>
      <c r="AA25" s="173"/>
      <c r="AB25" s="202">
        <v>38</v>
      </c>
      <c r="AC25" s="202">
        <v>1.6</v>
      </c>
      <c r="AD25" s="202"/>
      <c r="AE25" s="203"/>
    </row>
    <row r="26" spans="1:31" s="204" customFormat="1">
      <c r="A26" s="171"/>
      <c r="B26" s="205">
        <v>1991</v>
      </c>
      <c r="C26" s="206">
        <v>1717.9407208192943</v>
      </c>
      <c r="D26" s="206">
        <v>0</v>
      </c>
      <c r="E26" s="206">
        <f t="shared" si="1"/>
        <v>17.179407208192941</v>
      </c>
      <c r="F26" s="206">
        <f t="shared" si="2"/>
        <v>2061.5288649831532</v>
      </c>
      <c r="G26" s="207">
        <v>34335</v>
      </c>
      <c r="H26" s="208">
        <v>22.747375794419764</v>
      </c>
      <c r="I26" s="209">
        <v>17.046471319081927</v>
      </c>
      <c r="J26" s="210">
        <v>1991</v>
      </c>
      <c r="K26" s="206">
        <v>22712.09665461722</v>
      </c>
      <c r="L26" s="206"/>
      <c r="M26" s="206">
        <v>39880.766733305041</v>
      </c>
      <c r="N26" s="206">
        <v>18406.507723063867</v>
      </c>
      <c r="O26" s="207">
        <v>33239</v>
      </c>
      <c r="P26" s="211">
        <v>0.187</v>
      </c>
      <c r="Q26" s="207">
        <v>34700</v>
      </c>
      <c r="R26" s="212">
        <v>4847.4519769100589</v>
      </c>
      <c r="S26" s="212">
        <v>3940.3771800207587</v>
      </c>
      <c r="T26" s="207">
        <v>34700</v>
      </c>
      <c r="U26" s="213">
        <v>1.0547640000000001E-4</v>
      </c>
      <c r="V26" s="213">
        <v>1.2975709999999999E-4</v>
      </c>
      <c r="W26" s="214">
        <f>1000/$R26*VLOOKUP(Q26,G$5:$I84,2)</f>
        <v>4.8519153252175551</v>
      </c>
      <c r="X26" s="215">
        <f>IFERROR(1000/$S26*VLOOKUP($Q26,G$5:$I84,3),"")</f>
        <v>4.4701317925907125</v>
      </c>
      <c r="Y26" s="216">
        <f t="shared" si="0"/>
        <v>206.1041739130435</v>
      </c>
      <c r="Z26" s="215">
        <f t="shared" si="0"/>
        <v>223.70705079825831</v>
      </c>
      <c r="AA26" s="173"/>
      <c r="AB26" s="202">
        <v>39</v>
      </c>
      <c r="AC26" s="202">
        <v>1.6</v>
      </c>
      <c r="AD26" s="202"/>
      <c r="AE26" s="203"/>
    </row>
    <row r="27" spans="1:31" s="204" customFormat="1">
      <c r="A27" s="171"/>
      <c r="B27" s="217">
        <v>1992</v>
      </c>
      <c r="C27" s="194">
        <v>1789.5215841867648</v>
      </c>
      <c r="D27" s="194">
        <v>1073.7129505120588</v>
      </c>
      <c r="E27" s="194">
        <f t="shared" si="1"/>
        <v>17.89521584186765</v>
      </c>
      <c r="F27" s="194">
        <f t="shared" si="2"/>
        <v>2147.4259010241176</v>
      </c>
      <c r="G27" s="218">
        <v>34516</v>
      </c>
      <c r="H27" s="219">
        <v>23.519426535026049</v>
      </c>
      <c r="I27" s="220">
        <v>17.634456982457579</v>
      </c>
      <c r="J27" s="193">
        <v>1992</v>
      </c>
      <c r="K27" s="194">
        <v>23938.685877606949</v>
      </c>
      <c r="L27" s="194"/>
      <c r="M27" s="194">
        <v>41721.417505611433</v>
      </c>
      <c r="N27" s="194">
        <v>29450.412356902187</v>
      </c>
      <c r="O27" s="218">
        <v>33329</v>
      </c>
      <c r="P27" s="221">
        <v>0.17699999999999999</v>
      </c>
      <c r="Q27" s="218">
        <v>35065</v>
      </c>
      <c r="R27" s="222">
        <v>5017.172249121857</v>
      </c>
      <c r="S27" s="222">
        <v>4266.3029506654466</v>
      </c>
      <c r="T27" s="218">
        <v>35065</v>
      </c>
      <c r="U27" s="223">
        <v>1.019084E-4</v>
      </c>
      <c r="V27" s="223">
        <v>1.1984429999999999E-4</v>
      </c>
      <c r="W27" s="224">
        <f>1000/$R27*VLOOKUP(Q27,G$5:$I85,2)</f>
        <v>4.7112242701729654</v>
      </c>
      <c r="X27" s="201">
        <f>IFERROR(1000/$S27*VLOOKUP($Q27,G$5:$I85,3),"")</f>
        <v>4.5444939937836555</v>
      </c>
      <c r="Y27" s="200">
        <f t="shared" si="0"/>
        <v>212.25905256327067</v>
      </c>
      <c r="Z27" s="201">
        <f t="shared" si="0"/>
        <v>220.04650052742613</v>
      </c>
      <c r="AA27" s="173"/>
      <c r="AB27" s="202">
        <v>40</v>
      </c>
      <c r="AC27" s="202">
        <v>1.5</v>
      </c>
      <c r="AD27" s="202"/>
      <c r="AE27" s="203"/>
    </row>
    <row r="28" spans="1:31" s="204" customFormat="1">
      <c r="A28" s="171"/>
      <c r="B28" s="205">
        <v>1993</v>
      </c>
      <c r="C28" s="206">
        <v>1896.8928792379706</v>
      </c>
      <c r="D28" s="206">
        <v>1395.8268356656765</v>
      </c>
      <c r="E28" s="206">
        <f t="shared" si="1"/>
        <v>18.968928792379707</v>
      </c>
      <c r="F28" s="206">
        <f t="shared" si="2"/>
        <v>2276.2714550855649</v>
      </c>
      <c r="G28" s="207">
        <v>34700</v>
      </c>
      <c r="H28" s="208">
        <v>23.519426535026049</v>
      </c>
      <c r="I28" s="209">
        <v>17.61400530720973</v>
      </c>
      <c r="J28" s="210">
        <v>1993</v>
      </c>
      <c r="K28" s="206">
        <v>24633.020252271413</v>
      </c>
      <c r="L28" s="206"/>
      <c r="M28" s="206">
        <v>44175.618535353278</v>
      </c>
      <c r="N28" s="206">
        <v>32518.163644079497</v>
      </c>
      <c r="O28" s="207">
        <v>33604</v>
      </c>
      <c r="P28" s="211">
        <v>0.17699999999999999</v>
      </c>
      <c r="Q28" s="207">
        <v>35431</v>
      </c>
      <c r="R28" s="212">
        <v>5584.6459048076777</v>
      </c>
      <c r="S28" s="212">
        <v>4798.6302490502758</v>
      </c>
      <c r="T28" s="207">
        <v>35431</v>
      </c>
      <c r="U28" s="213">
        <v>9.1553100000000003E-5</v>
      </c>
      <c r="V28" s="213">
        <v>1.0654949999999999E-4</v>
      </c>
      <c r="W28" s="214">
        <f>1000/$R28*VLOOKUP(Q28,G$5:$I86,2)</f>
        <v>4.2727851509592298</v>
      </c>
      <c r="X28" s="215">
        <f>IFERROR(1000/$S28*VLOOKUP($Q28,G$5:$I86,3),"")</f>
        <v>4.0893716293716613</v>
      </c>
      <c r="Y28" s="216">
        <f t="shared" si="0"/>
        <v>234.03938290122133</v>
      </c>
      <c r="Z28" s="215">
        <f t="shared" si="0"/>
        <v>244.5363470557582</v>
      </c>
      <c r="AA28" s="173"/>
      <c r="AB28" s="202">
        <v>41</v>
      </c>
      <c r="AC28" s="202">
        <v>1.5</v>
      </c>
      <c r="AD28" s="202"/>
      <c r="AE28" s="203"/>
    </row>
    <row r="29" spans="1:31" s="204" customFormat="1">
      <c r="A29" s="171"/>
      <c r="B29" s="217">
        <v>1994</v>
      </c>
      <c r="C29" s="194">
        <v>2004.2641742891765</v>
      </c>
      <c r="D29" s="194">
        <v>1574.7789940843529</v>
      </c>
      <c r="E29" s="194">
        <f t="shared" si="1"/>
        <v>20.042641742891764</v>
      </c>
      <c r="F29" s="194">
        <f t="shared" si="2"/>
        <v>2405.1170091470117</v>
      </c>
      <c r="G29" s="218">
        <v>34881</v>
      </c>
      <c r="H29" s="219">
        <v>23.637023667701179</v>
      </c>
      <c r="I29" s="220">
        <v>18.575234043858618</v>
      </c>
      <c r="J29" s="193">
        <v>1994</v>
      </c>
      <c r="K29" s="194">
        <v>25125.90562574457</v>
      </c>
      <c r="L29" s="194"/>
      <c r="M29" s="194">
        <v>46629.819565095124</v>
      </c>
      <c r="N29" s="194">
        <v>36199.465188692273</v>
      </c>
      <c r="O29" s="218">
        <v>33970</v>
      </c>
      <c r="P29" s="221">
        <v>0.17499999999999999</v>
      </c>
      <c r="Q29" s="218">
        <v>35796</v>
      </c>
      <c r="R29" s="222">
        <v>5578.3145774428249</v>
      </c>
      <c r="S29" s="222">
        <v>4648.2081264731596</v>
      </c>
      <c r="T29" s="218">
        <v>35796</v>
      </c>
      <c r="U29" s="223">
        <v>9.16571E-5</v>
      </c>
      <c r="V29" s="223">
        <v>1.099976E-4</v>
      </c>
      <c r="W29" s="224">
        <f>1000/$R29*VLOOKUP(Q29,G$5:$I87,2)</f>
        <v>4.3482106480749501</v>
      </c>
      <c r="X29" s="201">
        <f>IFERROR(1000/$S29*VLOOKUP($Q29,G$5:$I87,3),"")</f>
        <v>4.4560040221293677</v>
      </c>
      <c r="Y29" s="200">
        <f t="shared" si="0"/>
        <v>229.97965851602024</v>
      </c>
      <c r="Z29" s="201">
        <f t="shared" si="0"/>
        <v>224.41631449024931</v>
      </c>
      <c r="AA29" s="173"/>
      <c r="AB29" s="202">
        <v>42</v>
      </c>
      <c r="AC29" s="202">
        <v>1.4</v>
      </c>
      <c r="AD29" s="202"/>
      <c r="AE29" s="203"/>
    </row>
    <row r="30" spans="1:31" s="204" customFormat="1">
      <c r="A30" s="171"/>
      <c r="B30" s="205">
        <v>1995</v>
      </c>
      <c r="C30" s="206">
        <v>2075.845037656647</v>
      </c>
      <c r="D30" s="206">
        <v>1682.1502891355588</v>
      </c>
      <c r="E30" s="206">
        <f t="shared" si="1"/>
        <v>20.758450376566472</v>
      </c>
      <c r="F30" s="206">
        <f t="shared" si="2"/>
        <v>2491.0140451879765</v>
      </c>
      <c r="G30" s="207">
        <v>35065</v>
      </c>
      <c r="H30" s="208">
        <v>23.637023667701179</v>
      </c>
      <c r="I30" s="209">
        <v>19.388188134960608</v>
      </c>
      <c r="J30" s="210">
        <v>1995</v>
      </c>
      <c r="K30" s="206">
        <v>25904.603160806411</v>
      </c>
      <c r="L30" s="206"/>
      <c r="M30" s="206">
        <v>47856.920079966054</v>
      </c>
      <c r="N30" s="206">
        <v>39267.21647586958</v>
      </c>
      <c r="O30" s="207">
        <v>34335</v>
      </c>
      <c r="P30" s="211">
        <v>0.192</v>
      </c>
      <c r="Q30" s="207">
        <v>36161</v>
      </c>
      <c r="R30" s="212">
        <v>5509.5003144445072</v>
      </c>
      <c r="S30" s="212">
        <v>4646.6225080911936</v>
      </c>
      <c r="T30" s="207">
        <v>36161</v>
      </c>
      <c r="U30" s="213">
        <v>9.2801900000000003E-5</v>
      </c>
      <c r="V30" s="213">
        <v>1.100352E-4</v>
      </c>
      <c r="W30" s="214">
        <f>1000/$R30*VLOOKUP(Q30,G$5:$I88,2)</f>
        <v>4.422008666580175</v>
      </c>
      <c r="X30" s="215">
        <f>IFERROR(1000/$S30*VLOOKUP($Q30,G$5:$I88,3),"")</f>
        <v>4.4971372535862857</v>
      </c>
      <c r="Y30" s="216">
        <f t="shared" si="0"/>
        <v>226.14157397691503</v>
      </c>
      <c r="Z30" s="215">
        <f t="shared" si="0"/>
        <v>222.36368240763395</v>
      </c>
      <c r="AA30" s="173"/>
      <c r="AB30" s="202">
        <v>43</v>
      </c>
      <c r="AC30" s="202">
        <v>1.4</v>
      </c>
      <c r="AD30" s="202"/>
      <c r="AE30" s="203"/>
    </row>
    <row r="31" spans="1:31" s="204" customFormat="1">
      <c r="A31" s="171"/>
      <c r="B31" s="217">
        <v>1996</v>
      </c>
      <c r="C31" s="194">
        <v>2111.6354693403823</v>
      </c>
      <c r="D31" s="194">
        <v>1789.5215841867648</v>
      </c>
      <c r="E31" s="194">
        <f t="shared" si="1"/>
        <v>21.116354693403824</v>
      </c>
      <c r="F31" s="194">
        <f t="shared" si="2"/>
        <v>2533.9625632084585</v>
      </c>
      <c r="G31" s="218">
        <v>35247</v>
      </c>
      <c r="H31" s="219">
        <v>23.861992095427517</v>
      </c>
      <c r="I31" s="220">
        <v>19.623382400310867</v>
      </c>
      <c r="J31" s="193">
        <v>1996</v>
      </c>
      <c r="K31" s="194">
        <v>26422.541836458178</v>
      </c>
      <c r="L31" s="194"/>
      <c r="M31" s="194">
        <v>49084.020594836977</v>
      </c>
      <c r="N31" s="194">
        <v>41721.417505611433</v>
      </c>
      <c r="O31" s="218">
        <v>34700</v>
      </c>
      <c r="P31" s="221">
        <v>0.186</v>
      </c>
      <c r="Q31" s="218">
        <v>36251</v>
      </c>
      <c r="R31" s="222">
        <v>5292.3771493432459</v>
      </c>
      <c r="S31" s="222">
        <v>4463.5043945537191</v>
      </c>
      <c r="T31" s="218">
        <v>36251</v>
      </c>
      <c r="U31" s="223">
        <v>9.6609100000000003E-5</v>
      </c>
      <c r="V31" s="223">
        <v>1.145494E-4</v>
      </c>
      <c r="W31" s="224">
        <f>1000/$R31*VLOOKUP(Q31,G$5:$I89,2)</f>
        <v>4.6034244067475667</v>
      </c>
      <c r="X31" s="201">
        <f>IFERROR(1000/$S31*VLOOKUP($Q31,G$5:$I89,3),"")</f>
        <v>4.6816351766085296</v>
      </c>
      <c r="Y31" s="200">
        <f t="shared" si="0"/>
        <v>217.22959076600213</v>
      </c>
      <c r="Z31" s="201">
        <f t="shared" si="0"/>
        <v>213.6005823342305</v>
      </c>
      <c r="AA31" s="173"/>
      <c r="AB31" s="202">
        <v>44</v>
      </c>
      <c r="AC31" s="202">
        <v>1.3</v>
      </c>
      <c r="AD31" s="202"/>
      <c r="AE31" s="203"/>
    </row>
    <row r="32" spans="1:31" s="204" customFormat="1">
      <c r="A32" s="171"/>
      <c r="B32" s="205">
        <v>1997</v>
      </c>
      <c r="C32" s="206">
        <v>2183.2163327078529</v>
      </c>
      <c r="D32" s="206">
        <v>1861.1024475542354</v>
      </c>
      <c r="E32" s="206">
        <f t="shared" si="1"/>
        <v>21.832163327078529</v>
      </c>
      <c r="F32" s="206">
        <f t="shared" si="2"/>
        <v>2619.8595992494234</v>
      </c>
      <c r="G32" s="207">
        <v>35612</v>
      </c>
      <c r="H32" s="208">
        <v>24.255686843948606</v>
      </c>
      <c r="I32" s="209">
        <v>20.712434107258812</v>
      </c>
      <c r="J32" s="210">
        <v>1997</v>
      </c>
      <c r="K32" s="206">
        <v>26660.292561214421</v>
      </c>
      <c r="L32" s="206"/>
      <c r="M32" s="206">
        <v>50311.121109707899</v>
      </c>
      <c r="N32" s="206">
        <v>43562.068277917817</v>
      </c>
      <c r="O32" s="207">
        <v>35065</v>
      </c>
      <c r="P32" s="211">
        <v>0.192</v>
      </c>
      <c r="Q32" s="207">
        <v>36526</v>
      </c>
      <c r="R32" s="212">
        <v>5379.3064836923459</v>
      </c>
      <c r="S32" s="212">
        <v>4423.7718002075844</v>
      </c>
      <c r="T32" s="207">
        <v>36526</v>
      </c>
      <c r="U32" s="213">
        <f>0.0000950479*1.95583</f>
        <v>1.8589753425699999E-4</v>
      </c>
      <c r="V32" s="213">
        <v>1.155783E-4</v>
      </c>
      <c r="W32" s="214">
        <f>1000/$R32*VLOOKUP(Q32,G$5:$I90,2)</f>
        <v>4.5898639569645843</v>
      </c>
      <c r="X32" s="215">
        <f>IFERROR(1000/$S32*VLOOKUP($Q32,G$5:$I90,3),"")</f>
        <v>4.8554430244447104</v>
      </c>
      <c r="Y32" s="216">
        <f t="shared" si="0"/>
        <v>217.8713812383516</v>
      </c>
      <c r="Z32" s="215">
        <f t="shared" si="0"/>
        <v>205.95442989764345</v>
      </c>
      <c r="AA32" s="173"/>
      <c r="AB32" s="202">
        <v>45</v>
      </c>
      <c r="AC32" s="202">
        <v>1.3</v>
      </c>
      <c r="AD32" s="202"/>
      <c r="AE32" s="203"/>
    </row>
    <row r="33" spans="1:34" s="204" customFormat="1">
      <c r="A33" s="171"/>
      <c r="B33" s="217">
        <v>1998</v>
      </c>
      <c r="C33" s="194">
        <v>2219.0067643915881</v>
      </c>
      <c r="D33" s="194">
        <v>1861.1024475542354</v>
      </c>
      <c r="E33" s="194">
        <f t="shared" si="1"/>
        <v>22.190067643915881</v>
      </c>
      <c r="F33" s="194">
        <f t="shared" si="2"/>
        <v>2662.8081172699058</v>
      </c>
      <c r="G33" s="218">
        <v>35977</v>
      </c>
      <c r="H33" s="219">
        <v>24.363058138999811</v>
      </c>
      <c r="I33" s="220">
        <v>20.89649918448945</v>
      </c>
      <c r="J33" s="193">
        <v>1998</v>
      </c>
      <c r="K33" s="194">
        <v>27060.122812309863</v>
      </c>
      <c r="L33" s="194"/>
      <c r="M33" s="194">
        <v>51538.221624578822</v>
      </c>
      <c r="N33" s="194">
        <v>42948.518020482355</v>
      </c>
      <c r="O33" s="218">
        <v>35431</v>
      </c>
      <c r="P33" s="221">
        <v>0.20300000000000001</v>
      </c>
      <c r="Q33" s="218">
        <v>36892</v>
      </c>
      <c r="R33" s="222">
        <v>5340.2616791847968</v>
      </c>
      <c r="S33" s="222">
        <v>4473.7050254879005</v>
      </c>
      <c r="T33" s="218">
        <v>36892</v>
      </c>
      <c r="U33" s="223">
        <f>0.0000957429*1.95583</f>
        <v>1.87256836107E-4</v>
      </c>
      <c r="V33" s="223">
        <v>1.142882E-4</v>
      </c>
      <c r="W33" s="224">
        <f>1000/$R33*VLOOKUP(Q33,G$5:$I91,2)</f>
        <v>4.651187728370636</v>
      </c>
      <c r="X33" s="201">
        <f>IFERROR(1000/$S33*VLOOKUP($Q33,G$5:$I91,3),"")</f>
        <v>4.8298210937579018</v>
      </c>
      <c r="Y33" s="200">
        <f t="shared" si="0"/>
        <v>214.99884726224786</v>
      </c>
      <c r="Z33" s="201">
        <f t="shared" si="0"/>
        <v>207.04700662565074</v>
      </c>
      <c r="AA33" s="173"/>
      <c r="AB33" s="202">
        <v>46</v>
      </c>
      <c r="AC33" s="202">
        <v>1.3</v>
      </c>
      <c r="AD33" s="202"/>
      <c r="AE33" s="203"/>
    </row>
    <row r="34" spans="1:34" s="204" customFormat="1">
      <c r="A34" s="171"/>
      <c r="B34" s="205">
        <v>1999</v>
      </c>
      <c r="C34" s="206">
        <v>2254.7971960753234</v>
      </c>
      <c r="D34" s="206">
        <v>1896.8928792379706</v>
      </c>
      <c r="E34" s="206">
        <f t="shared" si="1"/>
        <v>22.547971960753234</v>
      </c>
      <c r="F34" s="206">
        <f t="shared" si="2"/>
        <v>2705.7566352903882</v>
      </c>
      <c r="G34" s="207">
        <v>36342</v>
      </c>
      <c r="H34" s="208">
        <v>24.690284942965391</v>
      </c>
      <c r="I34" s="209">
        <v>21.479371929053137</v>
      </c>
      <c r="J34" s="210">
        <v>1999</v>
      </c>
      <c r="K34" s="206">
        <v>27357.694687166062</v>
      </c>
      <c r="L34" s="206"/>
      <c r="M34" s="206">
        <v>52151.771882014284</v>
      </c>
      <c r="N34" s="206">
        <v>44175.618535353278</v>
      </c>
      <c r="O34" s="207">
        <v>35796</v>
      </c>
      <c r="P34" s="211">
        <v>0.20300000000000001</v>
      </c>
      <c r="Q34" s="207">
        <v>37257</v>
      </c>
      <c r="R34" s="212">
        <v>5446.9380000000001</v>
      </c>
      <c r="S34" s="212">
        <v>4545.5545000000002</v>
      </c>
      <c r="T34" s="207">
        <v>37257</v>
      </c>
      <c r="U34" s="213">
        <v>1.8358940000000001E-4</v>
      </c>
      <c r="V34" s="213">
        <v>2.199952E-4</v>
      </c>
      <c r="W34" s="214">
        <f>1000/$R34*VLOOKUP(Q34,G$5:$I92,2)</f>
        <v>4.6473929091949957</v>
      </c>
      <c r="X34" s="215">
        <f>IFERROR(1000/$S34*VLOOKUP($Q34,G$5:$I92,3),"")</f>
        <v>4.8535870978154216</v>
      </c>
      <c r="Y34" s="216">
        <f t="shared" si="0"/>
        <v>215.17440413128665</v>
      </c>
      <c r="Z34" s="215">
        <f t="shared" si="0"/>
        <v>206.03318326152953</v>
      </c>
      <c r="AA34" s="173"/>
      <c r="AB34" s="202">
        <v>47</v>
      </c>
      <c r="AC34" s="202">
        <v>1.2</v>
      </c>
      <c r="AD34" s="202"/>
      <c r="AE34" s="203"/>
    </row>
    <row r="35" spans="1:34" s="204" customFormat="1">
      <c r="A35" s="171"/>
      <c r="B35" s="217">
        <v>2000</v>
      </c>
      <c r="C35" s="194">
        <v>2290.5876277590587</v>
      </c>
      <c r="D35" s="194">
        <v>1861.1024475542354</v>
      </c>
      <c r="E35" s="194">
        <f t="shared" si="1"/>
        <v>22.905876277590586</v>
      </c>
      <c r="F35" s="194">
        <f t="shared" si="2"/>
        <v>2748.7051533108702</v>
      </c>
      <c r="G35" s="218">
        <v>36708</v>
      </c>
      <c r="H35" s="219">
        <v>24.838559588512293</v>
      </c>
      <c r="I35" s="220">
        <v>21.607194899352194</v>
      </c>
      <c r="J35" s="193">
        <v>2000</v>
      </c>
      <c r="K35" s="194">
        <v>27740.65230618203</v>
      </c>
      <c r="L35" s="194"/>
      <c r="M35" s="194">
        <v>52765.322139449752</v>
      </c>
      <c r="N35" s="194">
        <v>43562.068277917817</v>
      </c>
      <c r="O35" s="218">
        <v>36161</v>
      </c>
      <c r="P35" s="221">
        <v>0.20300000000000001</v>
      </c>
      <c r="Q35" s="218">
        <v>37622</v>
      </c>
      <c r="R35" s="222">
        <v>5699.85</v>
      </c>
      <c r="S35" s="222">
        <v>4770.1481000000003</v>
      </c>
      <c r="T35" s="218">
        <v>37622</v>
      </c>
      <c r="U35" s="223">
        <v>1.7544319999999999E-4</v>
      </c>
      <c r="V35" s="223">
        <v>2.0963709999999999E-4</v>
      </c>
      <c r="W35" s="224">
        <f>1000/$R35*VLOOKUP(Q35,G$5:$I93,2)</f>
        <v>4.5369614989868152</v>
      </c>
      <c r="X35" s="201">
        <f>IFERROR(1000/$S35*VLOOKUP($Q35,G$5:$I93,3),"")</f>
        <v>4.7587621021661777</v>
      </c>
      <c r="Y35" s="200">
        <f t="shared" si="0"/>
        <v>220.41183294663574</v>
      </c>
      <c r="Z35" s="201">
        <f t="shared" si="0"/>
        <v>210.13868281938326</v>
      </c>
      <c r="AA35" s="173"/>
      <c r="AB35" s="202">
        <v>48</v>
      </c>
      <c r="AC35" s="202">
        <v>1.2</v>
      </c>
      <c r="AD35" s="202"/>
      <c r="AE35" s="203"/>
    </row>
    <row r="36" spans="1:34" s="204" customFormat="1">
      <c r="A36" s="171"/>
      <c r="B36" s="205">
        <v>2001</v>
      </c>
      <c r="C36" s="206">
        <v>2290.5876277590587</v>
      </c>
      <c r="D36" s="206">
        <v>1932.6833109217059</v>
      </c>
      <c r="E36" s="206">
        <f t="shared" si="1"/>
        <v>22.905876277590586</v>
      </c>
      <c r="F36" s="206">
        <f t="shared" si="2"/>
        <v>2748.7051533108702</v>
      </c>
      <c r="G36" s="207">
        <v>37073</v>
      </c>
      <c r="H36" s="208">
        <v>25.314061038024775</v>
      </c>
      <c r="I36" s="209">
        <v>22.062244673616828</v>
      </c>
      <c r="J36" s="210">
        <v>2001</v>
      </c>
      <c r="K36" s="206">
        <v>28231.4925121304</v>
      </c>
      <c r="L36" s="206"/>
      <c r="M36" s="206">
        <v>53378.872396885214</v>
      </c>
      <c r="N36" s="206">
        <v>44789.16879278874</v>
      </c>
      <c r="O36" s="207">
        <v>36526</v>
      </c>
      <c r="P36" s="211">
        <v>0.193</v>
      </c>
      <c r="Q36" s="207">
        <v>37987</v>
      </c>
      <c r="R36" s="212">
        <v>5738.46</v>
      </c>
      <c r="S36" s="212">
        <v>4817.3774000000003</v>
      </c>
      <c r="T36" s="207">
        <v>37987</v>
      </c>
      <c r="U36" s="213">
        <v>1.7426280000000001E-4</v>
      </c>
      <c r="V36" s="213">
        <v>2.0758180000000001E-4</v>
      </c>
      <c r="W36" s="214">
        <f>1000/$R36*VLOOKUP(Q36,G$5:$I94,2)</f>
        <v>4.5534864754655429</v>
      </c>
      <c r="X36" s="215">
        <f>IFERROR(1000/$S36*VLOOKUP($Q36,G$5:$I94,3),"")</f>
        <v>4.7681545564605337</v>
      </c>
      <c r="Y36" s="216">
        <f t="shared" si="0"/>
        <v>219.61194029850748</v>
      </c>
      <c r="Z36" s="215">
        <f t="shared" si="0"/>
        <v>209.72474531998259</v>
      </c>
      <c r="AA36" s="173"/>
      <c r="AB36" s="202">
        <v>49</v>
      </c>
      <c r="AC36" s="202">
        <v>1.2</v>
      </c>
      <c r="AD36" s="202"/>
      <c r="AE36" s="203"/>
    </row>
    <row r="37" spans="1:34" s="204" customFormat="1">
      <c r="A37" s="171"/>
      <c r="B37" s="217">
        <v>2002</v>
      </c>
      <c r="C37" s="194">
        <v>2345</v>
      </c>
      <c r="D37" s="194">
        <v>1960</v>
      </c>
      <c r="E37" s="194">
        <f t="shared" si="1"/>
        <v>23.45</v>
      </c>
      <c r="F37" s="194">
        <f t="shared" si="2"/>
        <v>2814</v>
      </c>
      <c r="G37" s="218">
        <v>37438</v>
      </c>
      <c r="H37" s="219">
        <v>25.86</v>
      </c>
      <c r="I37" s="220">
        <v>22.7</v>
      </c>
      <c r="J37" s="193">
        <v>2002</v>
      </c>
      <c r="K37" s="194">
        <v>28626</v>
      </c>
      <c r="L37" s="194">
        <v>23911</v>
      </c>
      <c r="M37" s="194">
        <v>54000</v>
      </c>
      <c r="N37" s="194">
        <v>45000</v>
      </c>
      <c r="O37" s="218">
        <v>36892</v>
      </c>
      <c r="P37" s="221">
        <v>0.191</v>
      </c>
      <c r="Q37" s="218">
        <v>38353</v>
      </c>
      <c r="R37" s="222">
        <v>5765.9549999999999</v>
      </c>
      <c r="S37" s="222">
        <v>4851.4556000000002</v>
      </c>
      <c r="T37" s="218">
        <v>38353</v>
      </c>
      <c r="U37" s="223">
        <v>1.7343179999999999E-4</v>
      </c>
      <c r="V37" s="223">
        <v>2.061237E-4</v>
      </c>
      <c r="W37" s="224">
        <f>1000/$R37*VLOOKUP(Q37,G$5:$I95,2)</f>
        <v>4.5317731407893405</v>
      </c>
      <c r="X37" s="201">
        <f>IFERROR(1000/$S37*VLOOKUP($Q37,G$5:$I95,3),"")</f>
        <v>4.7346614900484711</v>
      </c>
      <c r="Y37" s="200">
        <f t="shared" si="0"/>
        <v>220.6641791044776</v>
      </c>
      <c r="Z37" s="201">
        <f t="shared" si="0"/>
        <v>211.20834131475837</v>
      </c>
      <c r="AA37" s="173"/>
      <c r="AB37" s="202">
        <v>50</v>
      </c>
      <c r="AC37" s="202">
        <v>1.1000000000000001</v>
      </c>
      <c r="AD37" s="202"/>
      <c r="AE37" s="203"/>
    </row>
    <row r="38" spans="1:34" s="204" customFormat="1">
      <c r="A38" s="171"/>
      <c r="B38" s="205">
        <v>2003</v>
      </c>
      <c r="C38" s="206">
        <v>2380</v>
      </c>
      <c r="D38" s="206">
        <v>1995</v>
      </c>
      <c r="E38" s="206">
        <f t="shared" si="1"/>
        <v>23.8</v>
      </c>
      <c r="F38" s="206">
        <f t="shared" si="2"/>
        <v>2856</v>
      </c>
      <c r="G38" s="207">
        <v>37803</v>
      </c>
      <c r="H38" s="208">
        <v>26.13</v>
      </c>
      <c r="I38" s="209">
        <v>22.97</v>
      </c>
      <c r="J38" s="210">
        <v>2003</v>
      </c>
      <c r="K38" s="206">
        <v>28938</v>
      </c>
      <c r="L38" s="206">
        <v>24230</v>
      </c>
      <c r="M38" s="206">
        <v>61200</v>
      </c>
      <c r="N38" s="206">
        <v>51000</v>
      </c>
      <c r="O38" s="207">
        <v>37257</v>
      </c>
      <c r="P38" s="211">
        <v>0.191</v>
      </c>
      <c r="Q38" s="207">
        <v>38718</v>
      </c>
      <c r="R38" s="212">
        <v>5714.28</v>
      </c>
      <c r="S38" s="212">
        <v>4797.4813000000004</v>
      </c>
      <c r="T38" s="207">
        <v>38718</v>
      </c>
      <c r="U38" s="213">
        <v>1.7500020000000001E-4</v>
      </c>
      <c r="V38" s="213">
        <v>2.084427E-4</v>
      </c>
      <c r="W38" s="214">
        <f>1000/$R38*VLOOKUP(Q38,G$5:$I96,2)</f>
        <v>4.5727545727545724</v>
      </c>
      <c r="X38" s="215">
        <f>IFERROR(1000/$S38*VLOOKUP($Q38,G$5:$I96,3),"")</f>
        <v>4.7879290326780426</v>
      </c>
      <c r="Y38" s="216">
        <f t="shared" si="0"/>
        <v>218.68656716417911</v>
      </c>
      <c r="Z38" s="215">
        <f t="shared" si="0"/>
        <v>208.85856769699609</v>
      </c>
      <c r="AA38" s="173"/>
      <c r="AB38" s="202">
        <v>51</v>
      </c>
      <c r="AC38" s="202">
        <v>1.1000000000000001</v>
      </c>
      <c r="AD38" s="225">
        <v>37803</v>
      </c>
      <c r="AE38" s="203">
        <v>2.3E-2</v>
      </c>
    </row>
    <row r="39" spans="1:34" s="204" customFormat="1">
      <c r="A39" s="171"/>
      <c r="B39" s="217">
        <v>2004</v>
      </c>
      <c r="C39" s="194">
        <v>2415</v>
      </c>
      <c r="D39" s="194">
        <v>2030</v>
      </c>
      <c r="E39" s="194">
        <f t="shared" si="1"/>
        <v>24.150000000000002</v>
      </c>
      <c r="F39" s="194">
        <f t="shared" si="2"/>
        <v>2898</v>
      </c>
      <c r="G39" s="218">
        <v>38169</v>
      </c>
      <c r="H39" s="219">
        <v>26.13</v>
      </c>
      <c r="I39" s="220">
        <v>22.97</v>
      </c>
      <c r="J39" s="193">
        <v>2004</v>
      </c>
      <c r="K39" s="194">
        <v>29060</v>
      </c>
      <c r="L39" s="194">
        <v>24355</v>
      </c>
      <c r="M39" s="194">
        <v>61800</v>
      </c>
      <c r="N39" s="194">
        <v>52200</v>
      </c>
      <c r="O39" s="218">
        <v>37622</v>
      </c>
      <c r="P39" s="221">
        <v>0.19500000000000001</v>
      </c>
      <c r="Q39" s="218">
        <v>39083</v>
      </c>
      <c r="R39" s="222">
        <v>5868.1120000000001</v>
      </c>
      <c r="S39" s="222">
        <v>5049.1413000000002</v>
      </c>
      <c r="T39" s="218">
        <v>39083</v>
      </c>
      <c r="U39" s="223">
        <v>1.7041260000000001E-4</v>
      </c>
      <c r="V39" s="223">
        <v>1.9805349999999999E-4</v>
      </c>
      <c r="W39" s="224">
        <f>1000/$R39*VLOOKUP(Q39,G$5:$I97,2)</f>
        <v>4.4528802449578331</v>
      </c>
      <c r="X39" s="201">
        <f>IFERROR(1000/$S39*VLOOKUP($Q39,G$5:$I97,3),"")</f>
        <v>4.5492884106848024</v>
      </c>
      <c r="Y39" s="200">
        <f t="shared" si="0"/>
        <v>224.57374665135859</v>
      </c>
      <c r="Z39" s="201">
        <f t="shared" si="0"/>
        <v>219.81459730082719</v>
      </c>
      <c r="AA39" s="173"/>
      <c r="AB39" s="202">
        <v>52</v>
      </c>
      <c r="AC39" s="202">
        <v>1.1000000000000001</v>
      </c>
      <c r="AD39" s="225">
        <v>38078</v>
      </c>
      <c r="AE39" s="203">
        <v>8.9999999999999993E-3</v>
      </c>
    </row>
    <row r="40" spans="1:34" s="204" customFormat="1">
      <c r="A40" s="171"/>
      <c r="B40" s="205">
        <v>2005</v>
      </c>
      <c r="C40" s="206">
        <v>2415</v>
      </c>
      <c r="D40" s="206">
        <v>2030</v>
      </c>
      <c r="E40" s="206">
        <f t="shared" si="1"/>
        <v>24.150000000000002</v>
      </c>
      <c r="F40" s="206">
        <f t="shared" si="2"/>
        <v>2898</v>
      </c>
      <c r="G40" s="207">
        <v>38534</v>
      </c>
      <c r="H40" s="208">
        <v>26.13</v>
      </c>
      <c r="I40" s="209">
        <v>22.97</v>
      </c>
      <c r="J40" s="210">
        <v>2005</v>
      </c>
      <c r="K40" s="206">
        <v>29202</v>
      </c>
      <c r="L40" s="206">
        <v>24691</v>
      </c>
      <c r="M40" s="206">
        <v>62400</v>
      </c>
      <c r="N40" s="206">
        <v>52800</v>
      </c>
      <c r="O40" s="207">
        <v>37987</v>
      </c>
      <c r="P40" s="211">
        <v>0.19500000000000001</v>
      </c>
      <c r="Q40" s="207">
        <v>39448</v>
      </c>
      <c r="R40" s="212">
        <v>5986.7160000000003</v>
      </c>
      <c r="S40" s="212">
        <v>5061.9084999999995</v>
      </c>
      <c r="T40" s="207">
        <v>39448</v>
      </c>
      <c r="U40" s="213">
        <v>1.670365E-4</v>
      </c>
      <c r="V40" s="213">
        <v>1.9755409999999999E-4</v>
      </c>
      <c r="W40" s="214">
        <f>1000/$R40*VLOOKUP(Q40,G$5:$I98,2)</f>
        <v>4.3880484726517839</v>
      </c>
      <c r="X40" s="215">
        <f>IFERROR(1000/$S40*VLOOKUP($Q40,G$5:$I98,3),"")</f>
        <v>4.5615206201376424</v>
      </c>
      <c r="Y40" s="216">
        <f t="shared" si="0"/>
        <v>227.89173962695091</v>
      </c>
      <c r="Z40" s="215">
        <f t="shared" si="0"/>
        <v>219.22514075357296</v>
      </c>
      <c r="AA40" s="173"/>
      <c r="AB40" s="202">
        <v>53</v>
      </c>
      <c r="AC40" s="202">
        <v>1</v>
      </c>
      <c r="AD40" s="225">
        <v>38200</v>
      </c>
      <c r="AE40" s="203">
        <v>8.9999999999999993E-3</v>
      </c>
    </row>
    <row r="41" spans="1:34" s="204" customFormat="1">
      <c r="A41" s="171"/>
      <c r="B41" s="217">
        <v>2006</v>
      </c>
      <c r="C41" s="194">
        <v>2450</v>
      </c>
      <c r="D41" s="194">
        <v>2065</v>
      </c>
      <c r="E41" s="194">
        <f t="shared" si="1"/>
        <v>24.5</v>
      </c>
      <c r="F41" s="194">
        <f t="shared" si="2"/>
        <v>2940</v>
      </c>
      <c r="G41" s="218">
        <v>38899</v>
      </c>
      <c r="H41" s="219">
        <v>26.13</v>
      </c>
      <c r="I41" s="220">
        <v>22.97</v>
      </c>
      <c r="J41" s="193">
        <v>2006</v>
      </c>
      <c r="K41" s="194">
        <v>29494</v>
      </c>
      <c r="L41" s="194">
        <v>24938</v>
      </c>
      <c r="M41" s="194">
        <v>63000</v>
      </c>
      <c r="N41" s="194">
        <v>52800</v>
      </c>
      <c r="O41" s="218">
        <v>38353</v>
      </c>
      <c r="P41" s="221">
        <v>0.19500000000000001</v>
      </c>
      <c r="Q41" s="218">
        <v>39814</v>
      </c>
      <c r="R41" s="222">
        <v>6144.9210000000003</v>
      </c>
      <c r="S41" s="222">
        <v>5177.7223999999997</v>
      </c>
      <c r="T41" s="218">
        <v>39814</v>
      </c>
      <c r="U41" s="223">
        <v>1.62736E-4</v>
      </c>
      <c r="V41" s="223">
        <v>1.9313509999999999E-4</v>
      </c>
      <c r="W41" s="224">
        <f>1000/$R41*VLOOKUP(Q41,G$5:$I99,2)</f>
        <v>4.3222687484509557</v>
      </c>
      <c r="X41" s="201">
        <f>IFERROR(1000/$S41*VLOOKUP($Q41,G$5:$I99,3),"")</f>
        <v>4.5077735337838893</v>
      </c>
      <c r="Y41" s="200">
        <f t="shared" si="0"/>
        <v>231.35997740963859</v>
      </c>
      <c r="Z41" s="201">
        <f t="shared" si="0"/>
        <v>221.83900599828621</v>
      </c>
      <c r="AA41" s="173"/>
      <c r="AB41" s="202">
        <v>54</v>
      </c>
      <c r="AC41" s="202">
        <v>1</v>
      </c>
      <c r="AD41" s="225">
        <v>39448</v>
      </c>
      <c r="AE41" s="203">
        <v>4.1799999999999997E-2</v>
      </c>
    </row>
    <row r="42" spans="1:34" s="204" customFormat="1">
      <c r="A42" s="171"/>
      <c r="B42" s="205">
        <v>2007</v>
      </c>
      <c r="C42" s="206">
        <v>2450</v>
      </c>
      <c r="D42" s="206">
        <v>2100</v>
      </c>
      <c r="E42" s="206">
        <f t="shared" si="1"/>
        <v>24.5</v>
      </c>
      <c r="F42" s="206">
        <f t="shared" si="2"/>
        <v>2940</v>
      </c>
      <c r="G42" s="207">
        <v>39264</v>
      </c>
      <c r="H42" s="208">
        <v>26.27</v>
      </c>
      <c r="I42" s="209">
        <v>23.09</v>
      </c>
      <c r="J42" s="210">
        <v>2007</v>
      </c>
      <c r="K42" s="206">
        <v>29951</v>
      </c>
      <c r="L42" s="206">
        <v>24294</v>
      </c>
      <c r="M42" s="206">
        <v>63000</v>
      </c>
      <c r="N42" s="206">
        <v>54600</v>
      </c>
      <c r="O42" s="207">
        <v>38718</v>
      </c>
      <c r="P42" s="211">
        <v>0.19500000000000001</v>
      </c>
      <c r="Q42" s="207">
        <v>40179</v>
      </c>
      <c r="R42" s="212">
        <v>6368.5969999999998</v>
      </c>
      <c r="S42" s="212">
        <v>5356.7138000000004</v>
      </c>
      <c r="T42" s="207">
        <v>40179</v>
      </c>
      <c r="U42" s="213">
        <v>1.5702049999999999E-4</v>
      </c>
      <c r="V42" s="213">
        <v>1.866816E-4</v>
      </c>
      <c r="W42" s="214">
        <f>1000/$R42*VLOOKUP(Q42,G$5:$I100,2)</f>
        <v>4.2709563817588085</v>
      </c>
      <c r="X42" s="215">
        <f>IFERROR(1000/$S42*VLOOKUP($Q42,G$5:$I100,3),"")</f>
        <v>4.5046274452818436</v>
      </c>
      <c r="Y42" s="216">
        <f t="shared" si="0"/>
        <v>234.13959558823527</v>
      </c>
      <c r="Z42" s="215">
        <f t="shared" si="0"/>
        <v>221.99394115209287</v>
      </c>
      <c r="AA42" s="173"/>
      <c r="AB42" s="202">
        <v>55</v>
      </c>
      <c r="AC42" s="202">
        <v>1</v>
      </c>
      <c r="AD42" s="225">
        <v>39814</v>
      </c>
      <c r="AE42" s="203">
        <v>2.7E-2</v>
      </c>
      <c r="AG42" s="204" t="s">
        <v>2976</v>
      </c>
    </row>
    <row r="43" spans="1:34" s="204" customFormat="1">
      <c r="A43" s="171"/>
      <c r="B43" s="217">
        <v>2008</v>
      </c>
      <c r="C43" s="194">
        <v>2485</v>
      </c>
      <c r="D43" s="194">
        <v>2100</v>
      </c>
      <c r="E43" s="194">
        <f t="shared" si="1"/>
        <v>24.85</v>
      </c>
      <c r="F43" s="194">
        <f t="shared" si="2"/>
        <v>2982</v>
      </c>
      <c r="G43" s="218">
        <v>39630</v>
      </c>
      <c r="H43" s="219">
        <v>26.56</v>
      </c>
      <c r="I43" s="220">
        <v>23.34</v>
      </c>
      <c r="J43" s="193">
        <v>2008</v>
      </c>
      <c r="K43" s="194">
        <v>30625</v>
      </c>
      <c r="L43" s="194">
        <v>25829</v>
      </c>
      <c r="M43" s="194">
        <v>63600</v>
      </c>
      <c r="N43" s="194">
        <v>54000</v>
      </c>
      <c r="O43" s="218">
        <v>39083</v>
      </c>
      <c r="P43" s="221">
        <v>0.19900000000000001</v>
      </c>
      <c r="Q43" s="218">
        <v>40544</v>
      </c>
      <c r="R43" s="222">
        <v>6023.3320000000003</v>
      </c>
      <c r="S43" s="222">
        <v>5270.2178999999996</v>
      </c>
      <c r="T43" s="218">
        <v>40544</v>
      </c>
      <c r="U43" s="223">
        <v>1.6602106608103287E-4</v>
      </c>
      <c r="V43" s="223">
        <v>1.8974547522978132E-4</v>
      </c>
      <c r="W43" s="224">
        <f>1000/$R43*VLOOKUP(Q43,G$5:$I101,2)</f>
        <v>4.5157729974040937</v>
      </c>
      <c r="X43" s="201">
        <f>IFERROR(1000/$S43*VLOOKUP($Q43,G$5:$I101,3),"")</f>
        <v>4.5785583172946227</v>
      </c>
      <c r="Y43" s="200">
        <f t="shared" si="0"/>
        <v>221.44602941176475</v>
      </c>
      <c r="Z43" s="201">
        <f t="shared" si="0"/>
        <v>218.40936179030254</v>
      </c>
      <c r="AA43" s="173"/>
      <c r="AB43" s="202">
        <v>56</v>
      </c>
      <c r="AC43" s="202">
        <v>1</v>
      </c>
      <c r="AD43" s="225">
        <v>40179</v>
      </c>
      <c r="AE43" s="203">
        <v>1.0999999999999999E-2</v>
      </c>
      <c r="AG43" s="226">
        <v>1</v>
      </c>
      <c r="AH43" s="227">
        <v>0.97399999999999998</v>
      </c>
    </row>
    <row r="44" spans="1:34" s="204" customFormat="1">
      <c r="A44" s="171"/>
      <c r="B44" s="205">
        <v>2009</v>
      </c>
      <c r="C44" s="206">
        <v>2520</v>
      </c>
      <c r="D44" s="206">
        <v>2135</v>
      </c>
      <c r="E44" s="206">
        <f t="shared" si="1"/>
        <v>25.2</v>
      </c>
      <c r="F44" s="206">
        <f t="shared" si="2"/>
        <v>3024</v>
      </c>
      <c r="G44" s="207">
        <v>39995</v>
      </c>
      <c r="H44" s="208">
        <v>27.2</v>
      </c>
      <c r="I44" s="209">
        <v>24.13</v>
      </c>
      <c r="J44" s="210">
        <v>2009</v>
      </c>
      <c r="K44" s="206">
        <v>30506</v>
      </c>
      <c r="L44" s="206">
        <v>26047</v>
      </c>
      <c r="M44" s="206">
        <v>64800</v>
      </c>
      <c r="N44" s="206">
        <v>54600</v>
      </c>
      <c r="O44" s="207">
        <v>39448</v>
      </c>
      <c r="P44" s="211">
        <v>0.19900000000000001</v>
      </c>
      <c r="Q44" s="207">
        <v>40909</v>
      </c>
      <c r="R44" s="212">
        <v>6359.4160000000002</v>
      </c>
      <c r="S44" s="212">
        <v>5410.4270999999999</v>
      </c>
      <c r="T44" s="207">
        <v>40909</v>
      </c>
      <c r="U44" s="213">
        <v>1.5724709999999999E-4</v>
      </c>
      <c r="V44" s="213">
        <v>1.8482829999999999E-4</v>
      </c>
      <c r="W44" s="214">
        <f>1000/$R44*VLOOKUP(Q44,G$5:$I102,2)</f>
        <v>4.3194658125840482</v>
      </c>
      <c r="X44" s="215">
        <f>IFERROR(1000/$S44*VLOOKUP($Q44,G$5:$I102,3),"")</f>
        <v>4.5042654765646875</v>
      </c>
      <c r="Y44" s="216">
        <f t="shared" si="0"/>
        <v>231.51010874693478</v>
      </c>
      <c r="Z44" s="215">
        <f t="shared" si="0"/>
        <v>222.01178087812886</v>
      </c>
      <c r="AA44" s="173"/>
      <c r="AB44" s="202">
        <v>57</v>
      </c>
      <c r="AC44" s="202">
        <v>0.9</v>
      </c>
      <c r="AD44" s="225">
        <v>40544</v>
      </c>
      <c r="AE44" s="203">
        <v>5.0000000000000001E-3</v>
      </c>
      <c r="AG44" s="228">
        <v>2</v>
      </c>
      <c r="AH44" s="229">
        <v>1.897</v>
      </c>
    </row>
    <row r="45" spans="1:34" s="204" customFormat="1">
      <c r="A45" s="171"/>
      <c r="B45" s="217">
        <v>2010</v>
      </c>
      <c r="C45" s="194">
        <v>2555</v>
      </c>
      <c r="D45" s="194">
        <v>2170</v>
      </c>
      <c r="E45" s="194">
        <f t="shared" si="1"/>
        <v>25.55</v>
      </c>
      <c r="F45" s="194">
        <f t="shared" si="2"/>
        <v>3066</v>
      </c>
      <c r="G45" s="218">
        <v>40360</v>
      </c>
      <c r="H45" s="219">
        <v>27.2</v>
      </c>
      <c r="I45" s="220">
        <v>24.13</v>
      </c>
      <c r="J45" s="193">
        <v>2010</v>
      </c>
      <c r="K45" s="194">
        <v>31144</v>
      </c>
      <c r="L45" s="194">
        <v>27292.341804536925</v>
      </c>
      <c r="M45" s="194">
        <v>66000</v>
      </c>
      <c r="N45" s="194">
        <v>55800</v>
      </c>
      <c r="O45" s="218">
        <v>39814</v>
      </c>
      <c r="P45" s="221">
        <v>0.19900000000000001</v>
      </c>
      <c r="Q45" s="218">
        <v>41275</v>
      </c>
      <c r="R45" s="222">
        <v>6439.4189999999999</v>
      </c>
      <c r="S45" s="222">
        <v>5472.4390000000003</v>
      </c>
      <c r="T45" s="218">
        <v>41275</v>
      </c>
      <c r="U45" s="223">
        <v>1.5529350000000001E-4</v>
      </c>
      <c r="V45" s="223">
        <v>1.8273390000000001E-4</v>
      </c>
      <c r="W45" s="224">
        <f>1000/$R45*VLOOKUP(Q45,G$5:$I103,2)</f>
        <v>4.3590889178045416</v>
      </c>
      <c r="X45" s="201">
        <f>IFERROR(1000/$S45*VLOOKUP($Q45,G$5:$I103,3),"")</f>
        <v>4.5537282370803949</v>
      </c>
      <c r="Y45" s="200">
        <f t="shared" si="0"/>
        <v>229.40573566084785</v>
      </c>
      <c r="Z45" s="201">
        <f t="shared" si="0"/>
        <v>219.60028089887641</v>
      </c>
      <c r="AA45" s="173"/>
      <c r="AB45" s="202">
        <v>58</v>
      </c>
      <c r="AC45" s="202">
        <v>0.9</v>
      </c>
      <c r="AD45" s="225">
        <v>40756</v>
      </c>
      <c r="AE45" s="203">
        <v>2E-3</v>
      </c>
      <c r="AG45" s="228">
        <v>3</v>
      </c>
      <c r="AH45" s="229">
        <v>2.7719999999999998</v>
      </c>
    </row>
    <row r="46" spans="1:34" s="204" customFormat="1">
      <c r="A46" s="171"/>
      <c r="B46" s="205">
        <v>2011</v>
      </c>
      <c r="C46" s="206">
        <v>2555</v>
      </c>
      <c r="D46" s="206">
        <v>2240</v>
      </c>
      <c r="E46" s="206">
        <f t="shared" si="1"/>
        <v>25.55</v>
      </c>
      <c r="F46" s="206">
        <f t="shared" si="2"/>
        <v>3066</v>
      </c>
      <c r="G46" s="207">
        <v>40725</v>
      </c>
      <c r="H46" s="208">
        <v>27.469280000000001</v>
      </c>
      <c r="I46" s="209">
        <v>24.37</v>
      </c>
      <c r="J46" s="210">
        <v>2011</v>
      </c>
      <c r="K46" s="206">
        <v>32100</v>
      </c>
      <c r="L46" s="206">
        <v>26484</v>
      </c>
      <c r="M46" s="206">
        <v>66000</v>
      </c>
      <c r="N46" s="206">
        <v>57600</v>
      </c>
      <c r="O46" s="207">
        <v>40179</v>
      </c>
      <c r="P46" s="211">
        <v>0.19900000000000001</v>
      </c>
      <c r="Q46" s="207">
        <v>41640</v>
      </c>
      <c r="R46" s="212">
        <v>6523.1459999999997</v>
      </c>
      <c r="S46" s="212">
        <v>5592.0668666952415</v>
      </c>
      <c r="T46" s="207">
        <v>41640</v>
      </c>
      <c r="U46" s="213">
        <v>1.5330026340051257E-4</v>
      </c>
      <c r="V46" s="213">
        <v>1.7882475725669795E-4</v>
      </c>
      <c r="W46" s="214">
        <f>1000/$R46*VLOOKUP(Q46,G$5:$I104,2)</f>
        <v>4.3138694120904244</v>
      </c>
      <c r="X46" s="215">
        <f>IFERROR(1000/$S46*VLOOKUP($Q46,G$5:$I104,3),"")</f>
        <v>4.6029492517874049</v>
      </c>
      <c r="Y46" s="216">
        <f t="shared" si="0"/>
        <v>231.81044776119401</v>
      </c>
      <c r="Z46" s="215">
        <f t="shared" si="0"/>
        <v>217.25201502312515</v>
      </c>
      <c r="AA46" s="173"/>
      <c r="AB46" s="202">
        <v>59</v>
      </c>
      <c r="AC46" s="202">
        <v>0.9</v>
      </c>
      <c r="AD46" s="225">
        <v>40969</v>
      </c>
      <c r="AE46" s="203">
        <v>3.2000000000000001E-2</v>
      </c>
      <c r="AG46" s="228">
        <v>4</v>
      </c>
      <c r="AH46" s="229">
        <v>3.6019999999999999</v>
      </c>
    </row>
    <row r="47" spans="1:34" s="204" customFormat="1">
      <c r="A47" s="171"/>
      <c r="B47" s="217">
        <v>2012</v>
      </c>
      <c r="C47" s="194">
        <v>2625</v>
      </c>
      <c r="D47" s="194">
        <v>2240</v>
      </c>
      <c r="E47" s="194">
        <f t="shared" si="1"/>
        <v>26.25</v>
      </c>
      <c r="F47" s="194">
        <f t="shared" si="2"/>
        <v>3150</v>
      </c>
      <c r="G47" s="218">
        <v>41091</v>
      </c>
      <c r="H47" s="219">
        <v>28.07</v>
      </c>
      <c r="I47" s="220">
        <v>24.92</v>
      </c>
      <c r="J47" s="193">
        <v>2012</v>
      </c>
      <c r="K47" s="194">
        <v>33002</v>
      </c>
      <c r="L47" s="194">
        <v>28077.25029777097</v>
      </c>
      <c r="M47" s="194">
        <v>67200</v>
      </c>
      <c r="N47" s="194">
        <v>57600</v>
      </c>
      <c r="O47" s="218">
        <v>40544</v>
      </c>
      <c r="P47" s="221">
        <v>0.19900000000000001</v>
      </c>
      <c r="Q47" s="218">
        <v>42005</v>
      </c>
      <c r="R47" s="222">
        <v>6544.8130000000001</v>
      </c>
      <c r="S47" s="222">
        <v>5585.7412000000004</v>
      </c>
      <c r="T47" s="218">
        <v>42005</v>
      </c>
      <c r="U47" s="223">
        <v>1.5279280000000001E-4</v>
      </c>
      <c r="V47" s="223">
        <v>1.790273E-4</v>
      </c>
      <c r="W47" s="224">
        <f>1000/$R47*VLOOKUP(Q47,G$5:$I105,2)</f>
        <v>4.3714006802027798</v>
      </c>
      <c r="X47" s="201">
        <f>IFERROR(1000/$S47*VLOOKUP($Q47,G$5:$I105,3),"")</f>
        <v>4.7245296649261155</v>
      </c>
      <c r="Y47" s="200">
        <f t="shared" si="0"/>
        <v>228.75962950017478</v>
      </c>
      <c r="Z47" s="201">
        <f t="shared" si="0"/>
        <v>211.66128078817735</v>
      </c>
      <c r="AA47" s="173"/>
      <c r="AB47" s="202">
        <v>60</v>
      </c>
      <c r="AC47" s="202">
        <v>0.9</v>
      </c>
      <c r="AD47" s="225">
        <v>41275</v>
      </c>
      <c r="AE47" s="203">
        <v>1.0999999999999999E-2</v>
      </c>
      <c r="AG47" s="228">
        <v>5</v>
      </c>
      <c r="AH47" s="229">
        <v>4.3879999999999999</v>
      </c>
    </row>
    <row r="48" spans="1:34" s="204" customFormat="1">
      <c r="A48" s="171"/>
      <c r="B48" s="205">
        <v>2013</v>
      </c>
      <c r="C48" s="206">
        <v>2695</v>
      </c>
      <c r="D48" s="206">
        <v>2275</v>
      </c>
      <c r="E48" s="206">
        <f t="shared" si="1"/>
        <v>26.95</v>
      </c>
      <c r="F48" s="206">
        <f t="shared" si="2"/>
        <v>3234</v>
      </c>
      <c r="G48" s="207">
        <v>41456</v>
      </c>
      <c r="H48" s="208">
        <v>28.14</v>
      </c>
      <c r="I48" s="209">
        <v>25.74</v>
      </c>
      <c r="J48" s="210">
        <v>2013</v>
      </c>
      <c r="K48" s="206">
        <v>33659</v>
      </c>
      <c r="L48" s="206">
        <v>28955</v>
      </c>
      <c r="M48" s="206">
        <v>69600</v>
      </c>
      <c r="N48" s="206">
        <v>58800</v>
      </c>
      <c r="O48" s="207">
        <v>40909</v>
      </c>
      <c r="P48" s="211">
        <v>0.19600000000000001</v>
      </c>
      <c r="Q48" s="207">
        <v>42370</v>
      </c>
      <c r="R48" s="212">
        <v>6781.9290000000001</v>
      </c>
      <c r="S48" s="212">
        <v>5908.1183000000001</v>
      </c>
      <c r="T48" s="207">
        <v>42370</v>
      </c>
      <c r="U48" s="213">
        <v>1.474507E-4</v>
      </c>
      <c r="V48" s="213">
        <v>1.692586E-4</v>
      </c>
      <c r="W48" s="214">
        <f>1000/$R48*VLOOKUP(Q48,G$5:$I106,2)</f>
        <v>4.3070341786238098</v>
      </c>
      <c r="X48" s="215">
        <f>IFERROR(1000/$S48*VLOOKUP($Q48,G$5:$I106,3),"")</f>
        <v>4.5784458987559544</v>
      </c>
      <c r="Y48" s="216">
        <f t="shared" si="0"/>
        <v>232.17832933926741</v>
      </c>
      <c r="Z48" s="215">
        <f t="shared" si="0"/>
        <v>218.41472458410351</v>
      </c>
      <c r="AA48" s="173"/>
      <c r="AB48" s="202">
        <v>61</v>
      </c>
      <c r="AC48" s="202">
        <v>0.9</v>
      </c>
      <c r="AD48" s="225">
        <v>41699</v>
      </c>
      <c r="AE48" s="203">
        <v>2.7E-2</v>
      </c>
      <c r="AG48" s="228">
        <v>7</v>
      </c>
      <c r="AH48" s="229">
        <v>5.8390000000000004</v>
      </c>
    </row>
    <row r="49" spans="1:34" s="204" customFormat="1">
      <c r="A49" s="171"/>
      <c r="B49" s="217">
        <v>2014</v>
      </c>
      <c r="C49" s="194">
        <v>2765</v>
      </c>
      <c r="D49" s="194">
        <v>2345</v>
      </c>
      <c r="E49" s="194">
        <f t="shared" si="1"/>
        <v>27.650000000000002</v>
      </c>
      <c r="F49" s="194">
        <f t="shared" si="2"/>
        <v>3318</v>
      </c>
      <c r="G49" s="218">
        <v>41821</v>
      </c>
      <c r="H49" s="219">
        <v>28.61</v>
      </c>
      <c r="I49" s="220">
        <v>26.39</v>
      </c>
      <c r="J49" s="193">
        <v>2014</v>
      </c>
      <c r="K49" s="194">
        <v>34514</v>
      </c>
      <c r="L49" s="194">
        <v>29587.655379339903</v>
      </c>
      <c r="M49" s="194">
        <v>71400</v>
      </c>
      <c r="N49" s="194">
        <v>60000</v>
      </c>
      <c r="O49" s="218">
        <v>41275</v>
      </c>
      <c r="P49" s="221">
        <v>0.189</v>
      </c>
      <c r="Q49" s="218">
        <v>42736</v>
      </c>
      <c r="R49" s="222">
        <v>6938.2610000000004</v>
      </c>
      <c r="S49" s="222">
        <v>6198.7501000000002</v>
      </c>
      <c r="T49" s="218">
        <v>42736</v>
      </c>
      <c r="U49" s="223">
        <v>1.4412830000000001E-4</v>
      </c>
      <c r="V49" s="223">
        <v>1.6132280000000001E-4</v>
      </c>
      <c r="W49" s="224">
        <f>1000/$R49*VLOOKUP(Q49,G$5:$I107,2)</f>
        <v>4.3887077756227386</v>
      </c>
      <c r="X49" s="201">
        <f>IFERROR(1000/$S49*VLOOKUP($Q49,G$5:$I107,3),"")</f>
        <v>4.623512730413184</v>
      </c>
      <c r="Y49" s="200">
        <f t="shared" si="0"/>
        <v>227.85750410509033</v>
      </c>
      <c r="Z49" s="201">
        <f t="shared" si="0"/>
        <v>216.28576762037684</v>
      </c>
      <c r="AA49" s="173"/>
      <c r="AB49" s="202">
        <v>62</v>
      </c>
      <c r="AC49" s="202">
        <v>0.8</v>
      </c>
      <c r="AD49" s="225">
        <v>42064</v>
      </c>
      <c r="AE49" s="203">
        <v>2.1999999999999999E-2</v>
      </c>
      <c r="AG49" s="228">
        <v>8</v>
      </c>
      <c r="AH49" s="229">
        <v>6.5090000000000003</v>
      </c>
    </row>
    <row r="50" spans="1:34" s="204" customFormat="1">
      <c r="A50" s="171"/>
      <c r="B50" s="205">
        <v>2015</v>
      </c>
      <c r="C50" s="206">
        <v>2835</v>
      </c>
      <c r="D50" s="206">
        <v>2835</v>
      </c>
      <c r="E50" s="206">
        <f t="shared" si="1"/>
        <v>28.35</v>
      </c>
      <c r="F50" s="206">
        <f t="shared" si="2"/>
        <v>3402</v>
      </c>
      <c r="G50" s="207">
        <v>42186</v>
      </c>
      <c r="H50" s="208">
        <v>29.21</v>
      </c>
      <c r="I50" s="209">
        <v>27.05</v>
      </c>
      <c r="J50" s="210">
        <v>2015</v>
      </c>
      <c r="K50" s="206">
        <v>35363</v>
      </c>
      <c r="L50" s="206">
        <v>29870</v>
      </c>
      <c r="M50" s="206">
        <v>72600</v>
      </c>
      <c r="N50" s="206">
        <v>62400</v>
      </c>
      <c r="O50" s="207">
        <v>41640</v>
      </c>
      <c r="P50" s="211">
        <v>0.189</v>
      </c>
      <c r="Q50" s="207">
        <v>43101</v>
      </c>
      <c r="R50" s="212">
        <v>7044.3779999999997</v>
      </c>
      <c r="S50" s="212">
        <v>6262.7826999999997</v>
      </c>
      <c r="T50" s="207">
        <v>43101</v>
      </c>
      <c r="U50" s="213">
        <v>1.419572E-4</v>
      </c>
      <c r="V50" s="213">
        <v>1.5967339999999999E-4</v>
      </c>
      <c r="W50" s="214">
        <f>1000/$R50*VLOOKUP(Q50,G$5:$I108,2)</f>
        <v>4.4049311379940148</v>
      </c>
      <c r="X50" s="215">
        <f>IFERROR(1000/$S50*VLOOKUP($Q50,G$5:$I108,3),"")</f>
        <v>4.7407041601491304</v>
      </c>
      <c r="Y50" s="216">
        <f t="shared" si="0"/>
        <v>227.01830486625843</v>
      </c>
      <c r="Z50" s="215">
        <f t="shared" si="0"/>
        <v>210.93912765240819</v>
      </c>
      <c r="AA50" s="173"/>
      <c r="AB50" s="202">
        <v>63</v>
      </c>
      <c r="AC50" s="202">
        <v>0.8</v>
      </c>
      <c r="AD50" s="225">
        <v>42430</v>
      </c>
      <c r="AE50" s="203">
        <v>2.1999999999999999E-2</v>
      </c>
      <c r="AG50" s="228">
        <v>9</v>
      </c>
      <c r="AH50" s="229">
        <v>7.1429999999999998</v>
      </c>
    </row>
    <row r="51" spans="1:34" s="204" customFormat="1">
      <c r="A51" s="171"/>
      <c r="B51" s="217">
        <v>2016</v>
      </c>
      <c r="C51" s="194">
        <v>2905</v>
      </c>
      <c r="D51" s="194">
        <v>2520</v>
      </c>
      <c r="E51" s="194">
        <f t="shared" si="1"/>
        <v>29.05</v>
      </c>
      <c r="F51" s="194">
        <f t="shared" si="2"/>
        <v>3486</v>
      </c>
      <c r="G51" s="218">
        <v>42552</v>
      </c>
      <c r="H51" s="219">
        <v>30.45</v>
      </c>
      <c r="I51" s="220">
        <v>28.66</v>
      </c>
      <c r="J51" s="193">
        <v>2016</v>
      </c>
      <c r="K51" s="194">
        <v>36187</v>
      </c>
      <c r="L51" s="194">
        <v>31594.215524000352</v>
      </c>
      <c r="M51" s="194">
        <v>74400</v>
      </c>
      <c r="N51" s="194">
        <v>64800</v>
      </c>
      <c r="O51" s="218">
        <v>42005</v>
      </c>
      <c r="P51" s="221">
        <v>0.187</v>
      </c>
      <c r="Q51" s="218">
        <v>43466</v>
      </c>
      <c r="R51" s="222">
        <v>7235.5860000000002</v>
      </c>
      <c r="S51" s="222">
        <v>6674.8948</v>
      </c>
      <c r="T51" s="218">
        <v>43466</v>
      </c>
      <c r="U51" s="223">
        <f>1/7235.586</f>
        <v>1.3820580668932688E-4</v>
      </c>
      <c r="V51" s="223">
        <v>1.4981510000000001E-4</v>
      </c>
      <c r="W51" s="224">
        <f>1000/$R51*VLOOKUP(Q51,G$5:$I109,2)</f>
        <v>4.4267319882591405</v>
      </c>
      <c r="X51" s="201">
        <f>IFERROR(1000/$S51*VLOOKUP($Q51,G$5:$I109,3),"")</f>
        <v>4.5978252720926776</v>
      </c>
      <c r="Y51" s="200">
        <f t="shared" si="0"/>
        <v>225.90028098657507</v>
      </c>
      <c r="Z51" s="201">
        <f t="shared" si="0"/>
        <v>217.49412838058001</v>
      </c>
      <c r="AA51" s="173"/>
      <c r="AB51" s="202">
        <v>64</v>
      </c>
      <c r="AC51" s="202">
        <v>0.8</v>
      </c>
      <c r="AD51" s="225">
        <v>42767</v>
      </c>
      <c r="AE51" s="203">
        <v>2.35E-2</v>
      </c>
      <c r="AG51" s="228">
        <v>10</v>
      </c>
      <c r="AH51" s="229">
        <v>7.7450000000000001</v>
      </c>
    </row>
    <row r="52" spans="1:34" s="204" customFormat="1">
      <c r="A52" s="171"/>
      <c r="B52" s="205">
        <v>2017</v>
      </c>
      <c r="C52" s="206">
        <v>2975</v>
      </c>
      <c r="D52" s="206">
        <v>2975</v>
      </c>
      <c r="E52" s="206">
        <f t="shared" si="1"/>
        <v>29.75</v>
      </c>
      <c r="F52" s="206">
        <f t="shared" si="2"/>
        <v>3570</v>
      </c>
      <c r="G52" s="207">
        <v>42917</v>
      </c>
      <c r="H52" s="208">
        <v>31.03</v>
      </c>
      <c r="I52" s="209">
        <v>29.69</v>
      </c>
      <c r="J52" s="210">
        <v>2017</v>
      </c>
      <c r="K52" s="206">
        <v>37077</v>
      </c>
      <c r="L52" s="206">
        <v>33148</v>
      </c>
      <c r="M52" s="206">
        <v>76200</v>
      </c>
      <c r="N52" s="206">
        <v>68400</v>
      </c>
      <c r="O52" s="207">
        <v>42370</v>
      </c>
      <c r="P52" s="211">
        <v>0.187</v>
      </c>
      <c r="Q52" s="207">
        <v>43831</v>
      </c>
      <c r="R52" s="212">
        <v>7542.4859999999999</v>
      </c>
      <c r="S52" s="212">
        <v>7049.0280000000002</v>
      </c>
      <c r="T52" s="207">
        <v>43831</v>
      </c>
      <c r="U52" s="213">
        <v>1.3258230000000001E-4</v>
      </c>
      <c r="V52" s="213">
        <v>1.4186299999999999E-4</v>
      </c>
      <c r="W52" s="214">
        <f>1000/$R52*VLOOKUP(Q52,G$5:$I110,2)</f>
        <v>4.3818443945404741</v>
      </c>
      <c r="X52" s="215">
        <f>IFERROR(1000/$S52*VLOOKUP($Q52,G$5:$I110,3),"")</f>
        <v>4.5240279936467838</v>
      </c>
      <c r="Y52" s="216">
        <f t="shared" si="0"/>
        <v>228.21440242057486</v>
      </c>
      <c r="Z52" s="215">
        <f t="shared" si="0"/>
        <v>221.04195672624647</v>
      </c>
      <c r="AA52" s="173"/>
      <c r="AD52" s="225">
        <v>43160</v>
      </c>
      <c r="AE52" s="203">
        <v>2.9899999999999999E-2</v>
      </c>
      <c r="AG52" s="228">
        <v>11</v>
      </c>
      <c r="AH52" s="229">
        <v>8.3149999999999995</v>
      </c>
    </row>
    <row r="53" spans="1:34" s="204" customFormat="1">
      <c r="A53" s="171"/>
      <c r="B53" s="217">
        <v>2018</v>
      </c>
      <c r="C53" s="194">
        <v>3045</v>
      </c>
      <c r="D53" s="194">
        <v>2695</v>
      </c>
      <c r="E53" s="194">
        <f t="shared" si="1"/>
        <v>30.45</v>
      </c>
      <c r="F53" s="194">
        <f t="shared" si="2"/>
        <v>3654</v>
      </c>
      <c r="G53" s="218">
        <v>43282</v>
      </c>
      <c r="H53" s="219">
        <v>32.03</v>
      </c>
      <c r="I53" s="220">
        <v>30.69</v>
      </c>
      <c r="J53" s="193">
        <v>2018</v>
      </c>
      <c r="K53" s="194">
        <v>38212</v>
      </c>
      <c r="L53" s="194">
        <v>33672</v>
      </c>
      <c r="M53" s="194">
        <v>78000</v>
      </c>
      <c r="N53" s="194">
        <v>69600</v>
      </c>
      <c r="O53" s="218">
        <v>42736</v>
      </c>
      <c r="P53" s="221">
        <v>0.187</v>
      </c>
      <c r="Q53" s="218">
        <v>44197</v>
      </c>
      <c r="R53" s="230">
        <v>7726.6260000000002</v>
      </c>
      <c r="S53" s="222">
        <v>7316.8806999999997</v>
      </c>
      <c r="T53" s="218">
        <v>44197</v>
      </c>
      <c r="U53" s="223">
        <v>1.2942260000000001E-4</v>
      </c>
      <c r="V53" s="223">
        <v>1.366703E-4</v>
      </c>
      <c r="W53" s="224">
        <f>1000/$R53*VLOOKUP(Q53,G$5:$I111,2)</f>
        <v>4.4249585782979528</v>
      </c>
      <c r="X53" s="201">
        <f>IFERROR(1000/$S53*VLOOKUP($Q53,G$5:$I111,3),"")</f>
        <v>4.5415527958519259</v>
      </c>
      <c r="Y53" s="200">
        <f t="shared" si="0"/>
        <v>225.9908160280784</v>
      </c>
      <c r="Z53" s="201">
        <f t="shared" si="0"/>
        <v>220.18900692145652</v>
      </c>
      <c r="AA53" s="173"/>
      <c r="AD53" s="225">
        <v>43556</v>
      </c>
      <c r="AE53" s="203">
        <v>3.09E-2</v>
      </c>
      <c r="AG53" s="228">
        <v>12</v>
      </c>
      <c r="AH53" s="229">
        <v>8.8559999999999999</v>
      </c>
    </row>
    <row r="54" spans="1:34" s="204" customFormat="1">
      <c r="A54" s="171"/>
      <c r="B54" s="205">
        <v>2019</v>
      </c>
      <c r="C54" s="206">
        <v>3115</v>
      </c>
      <c r="D54" s="206">
        <v>2870</v>
      </c>
      <c r="E54" s="206">
        <f t="shared" si="1"/>
        <v>31.150000000000002</v>
      </c>
      <c r="F54" s="206">
        <f t="shared" si="2"/>
        <v>3738</v>
      </c>
      <c r="G54" s="207">
        <v>43647</v>
      </c>
      <c r="H54" s="208">
        <v>33.049999999999997</v>
      </c>
      <c r="I54" s="209">
        <v>31.89</v>
      </c>
      <c r="J54" s="210">
        <v>2019</v>
      </c>
      <c r="K54" s="206">
        <v>39301</v>
      </c>
      <c r="L54" s="206">
        <f>+K54/1.084</f>
        <v>36255.535055350549</v>
      </c>
      <c r="M54" s="206">
        <v>80400</v>
      </c>
      <c r="N54" s="206">
        <v>73800</v>
      </c>
      <c r="O54" s="207">
        <v>43101</v>
      </c>
      <c r="P54" s="211">
        <v>0.186</v>
      </c>
      <c r="Q54" s="207">
        <v>44562</v>
      </c>
      <c r="R54" s="212">
        <f>ROUND(K57*P57,4)</f>
        <v>7821.8580000000002</v>
      </c>
      <c r="S54" s="212">
        <f>ROUND(P57*L57,4)</f>
        <v>7506.5879999999997</v>
      </c>
      <c r="T54" s="207">
        <v>44562</v>
      </c>
      <c r="U54" s="213">
        <v>1.382058E-4</v>
      </c>
      <c r="V54" s="213">
        <f t="shared" ref="V54:V56" si="3">1/S54</f>
        <v>1.3321631612125243E-4</v>
      </c>
      <c r="W54" s="214">
        <f>1000/$R54*VLOOKUP(Q54,G$5:$I112,2)</f>
        <v>4.3710842104267291</v>
      </c>
      <c r="X54" s="215">
        <f>IFERROR(1000/$S54*VLOOKUP($Q54,G$5:$I112,3),"")</f>
        <v>4.4587501005783183</v>
      </c>
      <c r="Y54" s="216">
        <f t="shared" si="0"/>
        <v>228.77619186896757</v>
      </c>
      <c r="Z54" s="215">
        <f t="shared" si="0"/>
        <v>224.27809979085751</v>
      </c>
      <c r="AA54" s="173"/>
      <c r="AD54" s="202"/>
      <c r="AE54" s="231"/>
      <c r="AG54" s="228">
        <v>13</v>
      </c>
      <c r="AH54" s="229">
        <v>9.3680000000000003</v>
      </c>
    </row>
    <row r="55" spans="1:34" s="204" customFormat="1">
      <c r="A55" s="171"/>
      <c r="B55" s="217">
        <v>2020</v>
      </c>
      <c r="C55" s="194">
        <v>3185</v>
      </c>
      <c r="D55" s="194">
        <v>3010</v>
      </c>
      <c r="E55" s="194">
        <f t="shared" si="1"/>
        <v>31.85</v>
      </c>
      <c r="F55" s="194">
        <f t="shared" si="2"/>
        <v>3822</v>
      </c>
      <c r="G55" s="218">
        <v>44013</v>
      </c>
      <c r="H55" s="219">
        <v>34.19</v>
      </c>
      <c r="I55" s="220">
        <v>33.229999999999997</v>
      </c>
      <c r="J55" s="193">
        <v>2020</v>
      </c>
      <c r="K55" s="194">
        <v>39167</v>
      </c>
      <c r="L55" s="194">
        <f>+K55/1.07</f>
        <v>36604.672897196258</v>
      </c>
      <c r="M55" s="194">
        <v>82800</v>
      </c>
      <c r="N55" s="194">
        <v>77400</v>
      </c>
      <c r="O55" s="218">
        <v>43466</v>
      </c>
      <c r="P55" s="221">
        <v>0.186</v>
      </c>
      <c r="Q55" s="218">
        <v>44927</v>
      </c>
      <c r="R55" s="232">
        <f>+P59*K58</f>
        <v>8320.152</v>
      </c>
      <c r="S55" s="232">
        <f>+P59*L58</f>
        <v>7805.8620000000001</v>
      </c>
      <c r="T55" s="218">
        <v>44927</v>
      </c>
      <c r="U55" s="223">
        <v>1.246497E-4</v>
      </c>
      <c r="V55" s="223">
        <v>1.2810910000000001E-4</v>
      </c>
      <c r="W55" s="224">
        <f>1000/$R55*VLOOKUP(Q55,G$5:$I113,2)</f>
        <v>4.3292478310492406</v>
      </c>
      <c r="X55" s="201">
        <f>IFERROR(1000/$S55*VLOOKUP($Q55,G$5:$I113,3),"")</f>
        <v>4.5504263334401767</v>
      </c>
      <c r="Y55" s="200">
        <f t="shared" si="0"/>
        <v>230.98700721821209</v>
      </c>
      <c r="Z55" s="201">
        <f t="shared" si="0"/>
        <v>219.75962837837835</v>
      </c>
      <c r="AA55" s="173"/>
      <c r="AD55" s="202"/>
      <c r="AE55" s="203"/>
      <c r="AG55" s="228">
        <v>14</v>
      </c>
      <c r="AH55" s="229">
        <v>9.8529999999999998</v>
      </c>
    </row>
    <row r="56" spans="1:34" s="204" customFormat="1">
      <c r="A56" s="171"/>
      <c r="B56" s="205">
        <v>2021</v>
      </c>
      <c r="C56" s="206">
        <v>3290</v>
      </c>
      <c r="D56" s="206">
        <v>3115</v>
      </c>
      <c r="E56" s="206">
        <f t="shared" si="1"/>
        <v>32.9</v>
      </c>
      <c r="F56" s="206">
        <f t="shared" si="2"/>
        <v>3948</v>
      </c>
      <c r="G56" s="207">
        <v>44378</v>
      </c>
      <c r="H56" s="208">
        <v>34.19</v>
      </c>
      <c r="I56" s="209">
        <v>33.47</v>
      </c>
      <c r="J56" s="210">
        <v>2021</v>
      </c>
      <c r="K56" s="206">
        <v>40463</v>
      </c>
      <c r="L56" s="206">
        <v>38317</v>
      </c>
      <c r="M56" s="206">
        <v>85200</v>
      </c>
      <c r="N56" s="206">
        <v>80400</v>
      </c>
      <c r="O56" s="207">
        <v>43831</v>
      </c>
      <c r="P56" s="211">
        <v>0.186</v>
      </c>
      <c r="Q56" s="207">
        <v>45292</v>
      </c>
      <c r="R56" s="233">
        <f>45358*18.6/100</f>
        <v>8436.5879999999997</v>
      </c>
      <c r="S56" s="233">
        <f>44732*0.186</f>
        <v>8320.152</v>
      </c>
      <c r="T56" s="207">
        <v>45292</v>
      </c>
      <c r="U56" s="213">
        <f>ROUND(1/R56,10)</f>
        <v>1.185313E-4</v>
      </c>
      <c r="V56" s="213">
        <f t="shared" si="3"/>
        <v>1.2019011191141701E-4</v>
      </c>
      <c r="W56" s="214">
        <f>1000/$R56*VLOOKUP(Q56,G$5:$I114,2)</f>
        <v>4.4567780244809869</v>
      </c>
      <c r="X56" s="215">
        <f>IFERROR(1000/$S56*VLOOKUP($Q56,G$5:$I114,3),"")</f>
        <v>4.5191482078692795</v>
      </c>
      <c r="Y56" s="216">
        <f t="shared" ref="Y56:Z58" si="4">1000/W56</f>
        <v>224.37734042553191</v>
      </c>
      <c r="Z56" s="215">
        <f t="shared" si="4"/>
        <v>221.28063829787234</v>
      </c>
      <c r="AA56" s="173"/>
      <c r="AD56" s="202"/>
      <c r="AE56" s="203"/>
      <c r="AG56" s="228">
        <v>15</v>
      </c>
      <c r="AH56" s="229">
        <v>10.314</v>
      </c>
    </row>
    <row r="57" spans="1:34" s="204" customFormat="1">
      <c r="A57" s="171"/>
      <c r="B57" s="217">
        <v>2022</v>
      </c>
      <c r="C57" s="194">
        <v>3290</v>
      </c>
      <c r="D57" s="194">
        <v>3150</v>
      </c>
      <c r="E57" s="194">
        <f t="shared" si="1"/>
        <v>32.9</v>
      </c>
      <c r="F57" s="194">
        <f t="shared" si="2"/>
        <v>3948</v>
      </c>
      <c r="G57" s="218">
        <v>44743</v>
      </c>
      <c r="H57" s="219">
        <v>36.020000000000003</v>
      </c>
      <c r="I57" s="220">
        <v>35.520000000000003</v>
      </c>
      <c r="J57" s="193">
        <v>2022</v>
      </c>
      <c r="K57" s="194">
        <v>42053</v>
      </c>
      <c r="L57" s="194">
        <v>40358</v>
      </c>
      <c r="M57" s="194">
        <f>7050*12</f>
        <v>84600</v>
      </c>
      <c r="N57" s="194">
        <f>6750*12</f>
        <v>81000</v>
      </c>
      <c r="O57" s="218">
        <v>44197</v>
      </c>
      <c r="P57" s="221">
        <v>0.186</v>
      </c>
      <c r="Q57" s="218">
        <v>45658</v>
      </c>
      <c r="R57" s="222">
        <v>9391.6980000000003</v>
      </c>
      <c r="S57" s="222">
        <f>+R57</f>
        <v>9391.6980000000003</v>
      </c>
      <c r="T57" s="218">
        <v>45658</v>
      </c>
      <c r="U57" s="213">
        <f>ROUND(1/R57,10)</f>
        <v>1.06477E-4</v>
      </c>
      <c r="V57" s="223">
        <f>+U57</f>
        <v>1.06477E-4</v>
      </c>
      <c r="W57" s="224">
        <f>1000/$R57*VLOOKUP(Q57,G$5:$I115,2)</f>
        <v>4.1866763603344141</v>
      </c>
      <c r="X57" s="201">
        <f>IFERROR(1000/$S57*VLOOKUP($Q57,G$5:$I115,3),"")</f>
        <v>4.1866763603344141</v>
      </c>
      <c r="Y57" s="200">
        <f t="shared" si="4"/>
        <v>238.85295015259413</v>
      </c>
      <c r="Z57" s="201">
        <f t="shared" si="4"/>
        <v>238.85295015259413</v>
      </c>
      <c r="AA57" s="173"/>
      <c r="AD57" s="202"/>
      <c r="AE57" s="203"/>
      <c r="AG57" s="228">
        <v>16</v>
      </c>
      <c r="AH57" s="229">
        <v>10.75</v>
      </c>
    </row>
    <row r="58" spans="1:34" s="204" customFormat="1">
      <c r="A58" s="171"/>
      <c r="B58" s="205">
        <v>2023</v>
      </c>
      <c r="C58" s="206">
        <v>3395</v>
      </c>
      <c r="D58" s="206">
        <v>3290</v>
      </c>
      <c r="E58" s="206">
        <f t="shared" si="1"/>
        <v>33.950000000000003</v>
      </c>
      <c r="F58" s="206">
        <f t="shared" si="2"/>
        <v>4074</v>
      </c>
      <c r="G58" s="207">
        <v>45108</v>
      </c>
      <c r="H58" s="208">
        <v>37.6</v>
      </c>
      <c r="I58" s="209">
        <v>37.6</v>
      </c>
      <c r="J58" s="210">
        <v>2023</v>
      </c>
      <c r="K58" s="206">
        <v>44732</v>
      </c>
      <c r="L58" s="234">
        <v>41967</v>
      </c>
      <c r="M58" s="206">
        <f>7300*12</f>
        <v>87600</v>
      </c>
      <c r="N58" s="206">
        <f>7100*12</f>
        <v>85200</v>
      </c>
      <c r="O58" s="207">
        <v>44562</v>
      </c>
      <c r="P58" s="211">
        <v>0.186</v>
      </c>
      <c r="Q58" s="207">
        <v>46023</v>
      </c>
      <c r="R58" s="212">
        <v>9661.5840000000007</v>
      </c>
      <c r="S58" s="212">
        <f>+R58</f>
        <v>9661.5840000000007</v>
      </c>
      <c r="T58" s="207">
        <v>46023</v>
      </c>
      <c r="U58" s="213">
        <v>1.0350269999999999E-4</v>
      </c>
      <c r="V58" s="213">
        <f>+U58</f>
        <v>1.0350269999999999E-4</v>
      </c>
      <c r="W58" s="214">
        <f>1000/$R58*VLOOKUP(Q58,G$5:$I116,2)</f>
        <v>4.2218750051751339</v>
      </c>
      <c r="X58" s="215">
        <f>IFERROR(1000/$S58*VLOOKUP($Q58,G$5:$I116,3),"")</f>
        <v>4.2218750051751339</v>
      </c>
      <c r="Y58" s="216">
        <f t="shared" si="4"/>
        <v>236.86158372150041</v>
      </c>
      <c r="Z58" s="215">
        <f t="shared" si="4"/>
        <v>236.86158372150041</v>
      </c>
      <c r="AA58" s="173"/>
      <c r="AD58" s="202"/>
      <c r="AE58" s="203"/>
      <c r="AG58" s="228">
        <v>17</v>
      </c>
      <c r="AH58" s="229">
        <v>11.163</v>
      </c>
    </row>
    <row r="59" spans="1:34" s="204" customFormat="1">
      <c r="A59" s="171"/>
      <c r="B59" s="217">
        <v>2024</v>
      </c>
      <c r="C59" s="194">
        <v>3535</v>
      </c>
      <c r="D59" s="194">
        <v>3465</v>
      </c>
      <c r="E59" s="194">
        <f t="shared" si="1"/>
        <v>35.35</v>
      </c>
      <c r="F59" s="194">
        <f t="shared" si="2"/>
        <v>4242</v>
      </c>
      <c r="G59" s="218">
        <v>45474</v>
      </c>
      <c r="H59" s="219">
        <v>39.32</v>
      </c>
      <c r="I59" s="220">
        <f>+H59</f>
        <v>39.32</v>
      </c>
      <c r="J59" s="193">
        <v>2024</v>
      </c>
      <c r="K59" s="194">
        <v>47085</v>
      </c>
      <c r="L59" s="194">
        <v>44732</v>
      </c>
      <c r="M59" s="194">
        <f>7550*12</f>
        <v>90600</v>
      </c>
      <c r="N59" s="194">
        <f>+M59</f>
        <v>90600</v>
      </c>
      <c r="O59" s="218">
        <v>44927</v>
      </c>
      <c r="P59" s="221">
        <v>0.186</v>
      </c>
      <c r="Q59" s="218">
        <v>46388</v>
      </c>
      <c r="R59" s="222"/>
      <c r="S59" s="222"/>
      <c r="T59" s="218">
        <v>46388</v>
      </c>
      <c r="U59" s="223"/>
      <c r="V59" s="223"/>
      <c r="W59" s="224"/>
      <c r="X59" s="201"/>
      <c r="Y59" s="200"/>
      <c r="Z59" s="201"/>
      <c r="AA59" s="173"/>
      <c r="AD59" s="202"/>
      <c r="AE59" s="203"/>
      <c r="AG59" s="228">
        <v>18</v>
      </c>
      <c r="AH59" s="229">
        <v>11.555</v>
      </c>
    </row>
    <row r="60" spans="1:34" s="204" customFormat="1">
      <c r="A60" s="171"/>
      <c r="B60" s="205">
        <v>2025</v>
      </c>
      <c r="C60" s="206">
        <v>3745</v>
      </c>
      <c r="D60" s="206">
        <v>3745</v>
      </c>
      <c r="E60" s="206">
        <f t="shared" si="1"/>
        <v>37.450000000000003</v>
      </c>
      <c r="F60" s="206">
        <f t="shared" si="2"/>
        <v>4494</v>
      </c>
      <c r="G60" s="207">
        <v>45839</v>
      </c>
      <c r="H60" s="208">
        <v>40.79</v>
      </c>
      <c r="I60" s="209">
        <v>40.79</v>
      </c>
      <c r="J60" s="210">
        <v>2025</v>
      </c>
      <c r="K60" s="234">
        <f>+L60</f>
        <v>50493</v>
      </c>
      <c r="L60" s="234">
        <v>50493</v>
      </c>
      <c r="M60" s="234">
        <v>96600</v>
      </c>
      <c r="N60" s="234">
        <v>96600</v>
      </c>
      <c r="O60" s="207">
        <v>45292</v>
      </c>
      <c r="P60" s="211">
        <v>0.186</v>
      </c>
      <c r="Q60" s="207">
        <v>46753</v>
      </c>
      <c r="R60" s="212"/>
      <c r="S60" s="212"/>
      <c r="T60" s="207">
        <v>46753</v>
      </c>
      <c r="U60" s="213"/>
      <c r="V60" s="213"/>
      <c r="W60" s="214"/>
      <c r="X60" s="215"/>
      <c r="Y60" s="216"/>
      <c r="Z60" s="215"/>
      <c r="AA60" s="173"/>
      <c r="AD60" s="202"/>
      <c r="AE60" s="203"/>
      <c r="AG60" s="228">
        <v>19</v>
      </c>
      <c r="AH60" s="229">
        <v>11.927</v>
      </c>
    </row>
    <row r="61" spans="1:34" s="204" customFormat="1">
      <c r="A61" s="171"/>
      <c r="B61" s="217">
        <v>2026</v>
      </c>
      <c r="C61" s="194">
        <v>3955</v>
      </c>
      <c r="D61" s="194">
        <f>+C61</f>
        <v>3955</v>
      </c>
      <c r="E61" s="194">
        <f t="shared" si="1"/>
        <v>39.550000000000004</v>
      </c>
      <c r="F61" s="194">
        <f t="shared" si="2"/>
        <v>4746</v>
      </c>
      <c r="G61" s="218">
        <v>46204</v>
      </c>
      <c r="H61" s="219">
        <v>42.52</v>
      </c>
      <c r="I61" s="220">
        <f>+H61</f>
        <v>42.52</v>
      </c>
      <c r="J61" s="193">
        <v>2026</v>
      </c>
      <c r="K61" s="235">
        <v>51944</v>
      </c>
      <c r="L61" s="235">
        <v>51944</v>
      </c>
      <c r="M61" s="235">
        <v>99600</v>
      </c>
      <c r="N61" s="235">
        <v>99600</v>
      </c>
      <c r="O61" s="218">
        <v>45658</v>
      </c>
      <c r="P61" s="221">
        <v>0.186</v>
      </c>
      <c r="Q61" s="218">
        <v>47119</v>
      </c>
      <c r="R61" s="222"/>
      <c r="S61" s="222"/>
      <c r="T61" s="218"/>
      <c r="U61" s="223"/>
      <c r="V61" s="223"/>
      <c r="W61" s="224"/>
      <c r="X61" s="201"/>
      <c r="Y61" s="200"/>
      <c r="Z61" s="201"/>
      <c r="AA61" s="173"/>
      <c r="AD61" s="202"/>
      <c r="AE61" s="203"/>
      <c r="AG61" s="228">
        <v>20</v>
      </c>
      <c r="AH61" s="229">
        <v>12.279</v>
      </c>
    </row>
    <row r="62" spans="1:34" s="204" customFormat="1">
      <c r="A62" s="171"/>
      <c r="B62" s="205">
        <v>2027</v>
      </c>
      <c r="C62" s="206"/>
      <c r="D62" s="206"/>
      <c r="E62" s="206"/>
      <c r="F62" s="206"/>
      <c r="G62" s="207">
        <v>46569</v>
      </c>
      <c r="H62" s="236"/>
      <c r="I62" s="209"/>
      <c r="J62" s="210">
        <v>2027</v>
      </c>
      <c r="K62" s="206"/>
      <c r="L62" s="206"/>
      <c r="M62" s="206"/>
      <c r="N62" s="206"/>
      <c r="O62" s="207">
        <v>46023</v>
      </c>
      <c r="P62" s="211">
        <v>0.186</v>
      </c>
      <c r="Q62" s="207">
        <v>47484</v>
      </c>
      <c r="R62" s="212"/>
      <c r="S62" s="212"/>
      <c r="T62" s="207"/>
      <c r="U62" s="213"/>
      <c r="V62" s="213"/>
      <c r="W62" s="214"/>
      <c r="X62" s="215"/>
      <c r="Y62" s="216"/>
      <c r="Z62" s="215"/>
      <c r="AA62" s="173"/>
      <c r="AD62" s="202"/>
      <c r="AE62" s="203"/>
      <c r="AG62" s="228">
        <v>21</v>
      </c>
      <c r="AH62" s="229">
        <v>12.613</v>
      </c>
    </row>
    <row r="63" spans="1:34" s="204" customFormat="1">
      <c r="A63" s="171"/>
      <c r="B63" s="217">
        <v>2028</v>
      </c>
      <c r="C63" s="194"/>
      <c r="D63" s="194"/>
      <c r="E63" s="194"/>
      <c r="F63" s="194"/>
      <c r="G63" s="218">
        <v>46935</v>
      </c>
      <c r="H63" s="219"/>
      <c r="I63" s="220"/>
      <c r="J63" s="193">
        <v>2028</v>
      </c>
      <c r="K63" s="194"/>
      <c r="L63" s="194"/>
      <c r="M63" s="194"/>
      <c r="N63" s="194"/>
      <c r="O63" s="218">
        <v>46388</v>
      </c>
      <c r="P63" s="221"/>
      <c r="Q63" s="218">
        <v>47849</v>
      </c>
      <c r="R63" s="222"/>
      <c r="S63" s="222"/>
      <c r="T63" s="218"/>
      <c r="U63" s="223"/>
      <c r="V63" s="223"/>
      <c r="W63" s="224"/>
      <c r="X63" s="201"/>
      <c r="Y63" s="200"/>
      <c r="Z63" s="201"/>
      <c r="AA63" s="173"/>
      <c r="AD63" s="202"/>
      <c r="AE63" s="203"/>
      <c r="AG63" s="228">
        <v>22</v>
      </c>
      <c r="AH63" s="229">
        <v>12.929</v>
      </c>
    </row>
    <row r="64" spans="1:34" s="204" customFormat="1">
      <c r="A64" s="171"/>
      <c r="B64" s="205">
        <v>2029</v>
      </c>
      <c r="C64" s="206"/>
      <c r="D64" s="206"/>
      <c r="E64" s="206"/>
      <c r="F64" s="206"/>
      <c r="G64" s="207">
        <v>47300</v>
      </c>
      <c r="H64" s="208"/>
      <c r="I64" s="209"/>
      <c r="J64" s="210">
        <v>2029</v>
      </c>
      <c r="K64" s="206"/>
      <c r="L64" s="206"/>
      <c r="M64" s="206"/>
      <c r="N64" s="206"/>
      <c r="O64" s="207">
        <v>46753</v>
      </c>
      <c r="P64" s="211"/>
      <c r="Q64" s="207">
        <v>48214</v>
      </c>
      <c r="R64" s="212"/>
      <c r="S64" s="212"/>
      <c r="T64" s="207"/>
      <c r="U64" s="213"/>
      <c r="V64" s="213"/>
      <c r="W64" s="214"/>
      <c r="X64" s="215"/>
      <c r="Y64" s="216"/>
      <c r="Z64" s="215"/>
      <c r="AA64" s="173"/>
      <c r="AD64" s="202"/>
      <c r="AE64" s="203"/>
      <c r="AG64" s="228">
        <v>23</v>
      </c>
      <c r="AH64" s="229">
        <v>13.228999999999999</v>
      </c>
    </row>
    <row r="65" spans="1:34" s="204" customFormat="1">
      <c r="A65" s="171"/>
      <c r="B65" s="217"/>
      <c r="C65" s="194"/>
      <c r="D65" s="194"/>
      <c r="E65" s="194"/>
      <c r="F65" s="194"/>
      <c r="G65" s="218"/>
      <c r="H65" s="219"/>
      <c r="I65" s="220"/>
      <c r="J65" s="193"/>
      <c r="K65" s="194"/>
      <c r="L65" s="194"/>
      <c r="M65" s="194"/>
      <c r="N65" s="194"/>
      <c r="O65" s="218"/>
      <c r="P65" s="221"/>
      <c r="Q65" s="218"/>
      <c r="R65" s="222"/>
      <c r="S65" s="222"/>
      <c r="T65" s="218"/>
      <c r="U65" s="223"/>
      <c r="V65" s="223"/>
      <c r="W65" s="224"/>
      <c r="X65" s="201"/>
      <c r="Y65" s="200"/>
      <c r="Z65" s="201"/>
      <c r="AA65" s="173"/>
      <c r="AD65" s="202"/>
      <c r="AE65" s="203"/>
      <c r="AG65" s="228">
        <v>24</v>
      </c>
      <c r="AH65" s="229">
        <v>13.513</v>
      </c>
    </row>
    <row r="66" spans="1:34" s="204" customFormat="1">
      <c r="A66" s="171"/>
      <c r="B66" s="193"/>
      <c r="C66" s="171"/>
      <c r="D66" s="171"/>
      <c r="E66" s="171"/>
      <c r="F66" s="194"/>
      <c r="G66" s="171"/>
      <c r="H66" s="171"/>
      <c r="I66" s="171"/>
      <c r="J66" s="193"/>
      <c r="K66" s="171"/>
      <c r="L66" s="171"/>
      <c r="M66" s="171"/>
      <c r="N66" s="171"/>
      <c r="O66" s="171"/>
      <c r="P66" s="171"/>
      <c r="Q66" s="171"/>
      <c r="R66" s="172"/>
      <c r="S66" s="172"/>
      <c r="T66" s="218"/>
      <c r="U66" s="223"/>
      <c r="V66" s="223"/>
      <c r="W66" s="171"/>
      <c r="X66" s="171"/>
      <c r="Y66" s="171"/>
      <c r="Z66" s="171"/>
      <c r="AA66" s="173"/>
      <c r="AD66" s="202"/>
      <c r="AE66" s="203"/>
      <c r="AG66" s="228">
        <v>25</v>
      </c>
      <c r="AH66" s="229">
        <v>13.782999999999999</v>
      </c>
    </row>
    <row r="67" spans="1:34">
      <c r="T67" s="218"/>
      <c r="AD67" s="1"/>
      <c r="AE67" s="237"/>
      <c r="AG67" s="228">
        <v>26</v>
      </c>
      <c r="AH67" s="229">
        <v>14.038</v>
      </c>
    </row>
    <row r="68" spans="1:34">
      <c r="T68" s="218"/>
      <c r="AD68" s="1"/>
      <c r="AE68" s="237"/>
      <c r="AG68" s="228">
        <v>27</v>
      </c>
      <c r="AH68" s="229">
        <v>14.28</v>
      </c>
    </row>
    <row r="69" spans="1:34">
      <c r="T69" s="218"/>
      <c r="AG69" s="228">
        <v>28</v>
      </c>
      <c r="AH69" s="229">
        <v>14.51</v>
      </c>
    </row>
    <row r="70" spans="1:34">
      <c r="AG70" s="228">
        <v>29</v>
      </c>
      <c r="AH70" s="229">
        <v>14.727</v>
      </c>
    </row>
    <row r="71" spans="1:34">
      <c r="AG71" s="228">
        <v>30</v>
      </c>
      <c r="AH71" s="229">
        <v>14.933</v>
      </c>
    </row>
    <row r="72" spans="1:34">
      <c r="AG72" s="228">
        <v>31</v>
      </c>
      <c r="AH72" s="229">
        <v>15.129</v>
      </c>
    </row>
    <row r="73" spans="1:34">
      <c r="AG73" s="228">
        <v>32</v>
      </c>
      <c r="AH73" s="229">
        <v>15.314</v>
      </c>
    </row>
    <row r="74" spans="1:34">
      <c r="AG74" s="228">
        <v>33</v>
      </c>
      <c r="AH74" s="229">
        <v>15.49</v>
      </c>
    </row>
    <row r="75" spans="1:34">
      <c r="AG75" s="228">
        <v>34</v>
      </c>
      <c r="AH75" s="229">
        <v>15.656000000000001</v>
      </c>
    </row>
    <row r="76" spans="1:34">
      <c r="AG76" s="228">
        <v>35</v>
      </c>
      <c r="AH76" s="229">
        <v>15.814</v>
      </c>
    </row>
    <row r="77" spans="1:34">
      <c r="AG77" s="228">
        <v>36</v>
      </c>
      <c r="AH77" s="229">
        <v>15.962999999999999</v>
      </c>
    </row>
    <row r="78" spans="1:34">
      <c r="AG78" s="228">
        <v>37</v>
      </c>
      <c r="AH78" s="229">
        <v>16.105</v>
      </c>
    </row>
    <row r="79" spans="1:34">
      <c r="AG79" s="228">
        <v>38</v>
      </c>
      <c r="AH79" s="229">
        <v>16.239000000000001</v>
      </c>
    </row>
    <row r="80" spans="1:34">
      <c r="AG80" s="228">
        <v>39</v>
      </c>
      <c r="AH80" s="229">
        <v>16.367000000000001</v>
      </c>
    </row>
    <row r="81" spans="33:34">
      <c r="AG81" s="228">
        <v>40</v>
      </c>
      <c r="AH81" s="229">
        <v>16.486999999999998</v>
      </c>
    </row>
    <row r="82" spans="33:34">
      <c r="AG82" s="228">
        <v>41</v>
      </c>
      <c r="AH82" s="229">
        <v>16.602</v>
      </c>
    </row>
    <row r="83" spans="33:34">
      <c r="AG83" s="228">
        <v>42</v>
      </c>
      <c r="AH83" s="229">
        <v>16.71</v>
      </c>
    </row>
    <row r="84" spans="33:34">
      <c r="AG84" s="228">
        <v>43</v>
      </c>
      <c r="AH84" s="229">
        <v>16.812999999999999</v>
      </c>
    </row>
    <row r="85" spans="33:34">
      <c r="AG85" s="228">
        <v>44</v>
      </c>
      <c r="AH85" s="229">
        <v>16.91</v>
      </c>
    </row>
    <row r="86" spans="33:34">
      <c r="AG86" s="228">
        <v>45</v>
      </c>
      <c r="AH86" s="229">
        <v>17.003</v>
      </c>
    </row>
    <row r="87" spans="33:34">
      <c r="AG87" s="228">
        <v>46</v>
      </c>
      <c r="AH87" s="229">
        <v>17.09</v>
      </c>
    </row>
    <row r="88" spans="33:34">
      <c r="AG88" s="228">
        <v>47</v>
      </c>
      <c r="AH88" s="229">
        <v>17.172999999999998</v>
      </c>
    </row>
    <row r="89" spans="33:34">
      <c r="AG89" s="228">
        <v>48</v>
      </c>
      <c r="AH89" s="229">
        <v>17.251999999999999</v>
      </c>
    </row>
    <row r="90" spans="33:34">
      <c r="AG90" s="228">
        <v>49</v>
      </c>
      <c r="AH90" s="229">
        <v>17.326000000000001</v>
      </c>
    </row>
    <row r="91" spans="33:34">
      <c r="AG91" s="228">
        <v>50</v>
      </c>
      <c r="AH91" s="229">
        <v>17.396999999999998</v>
      </c>
    </row>
    <row r="92" spans="33:34">
      <c r="AG92" s="228">
        <v>51</v>
      </c>
      <c r="AH92" s="229">
        <v>17.463999999999999</v>
      </c>
    </row>
    <row r="93" spans="33:34">
      <c r="AG93" s="228">
        <v>52</v>
      </c>
      <c r="AH93" s="229">
        <v>17.527999999999999</v>
      </c>
    </row>
    <row r="94" spans="33:34">
      <c r="AG94" s="228">
        <v>53</v>
      </c>
      <c r="AH94" s="229">
        <v>17.588000000000001</v>
      </c>
    </row>
    <row r="95" spans="33:34">
      <c r="AG95" s="228">
        <v>54</v>
      </c>
      <c r="AH95" s="229">
        <v>17.645</v>
      </c>
    </row>
    <row r="96" spans="33:34">
      <c r="AG96" s="228">
        <v>55</v>
      </c>
      <c r="AH96" s="229">
        <v>17.699000000000002</v>
      </c>
    </row>
    <row r="97" spans="33:34">
      <c r="AG97" s="228">
        <v>56</v>
      </c>
      <c r="AH97" s="229">
        <v>17.75</v>
      </c>
    </row>
    <row r="98" spans="33:34">
      <c r="AG98" s="228">
        <v>57</v>
      </c>
      <c r="AH98" s="229">
        <v>17.798999999999999</v>
      </c>
    </row>
    <row r="99" spans="33:34">
      <c r="AG99" s="228">
        <v>58</v>
      </c>
      <c r="AH99" s="229">
        <v>17.844999999999999</v>
      </c>
    </row>
    <row r="100" spans="33:34">
      <c r="AG100" s="228">
        <v>59</v>
      </c>
      <c r="AH100" s="229">
        <v>17.888000000000002</v>
      </c>
    </row>
    <row r="101" spans="33:34">
      <c r="AG101" s="228">
        <v>60</v>
      </c>
      <c r="AH101" s="229">
        <v>17.93</v>
      </c>
    </row>
    <row r="102" spans="33:34">
      <c r="AG102" s="228">
        <v>61</v>
      </c>
      <c r="AH102" s="229">
        <v>17.969000000000001</v>
      </c>
    </row>
    <row r="103" spans="33:34">
      <c r="AG103" s="228">
        <v>62</v>
      </c>
      <c r="AH103" s="229">
        <v>18.006</v>
      </c>
    </row>
    <row r="104" spans="33:34">
      <c r="AG104" s="228">
        <v>63</v>
      </c>
      <c r="AH104" s="229">
        <v>18.041</v>
      </c>
    </row>
    <row r="105" spans="33:34">
      <c r="AG105" s="228">
        <v>64</v>
      </c>
      <c r="AH105" s="229">
        <v>18.074999999999999</v>
      </c>
    </row>
    <row r="106" spans="33:34">
      <c r="AG106" s="228">
        <v>65</v>
      </c>
      <c r="AH106" s="229">
        <v>18.106000000000002</v>
      </c>
    </row>
    <row r="107" spans="33:34">
      <c r="AG107" s="228">
        <v>66</v>
      </c>
      <c r="AH107" s="229">
        <v>18.135999999999999</v>
      </c>
    </row>
    <row r="108" spans="33:34">
      <c r="AG108" s="228">
        <v>67</v>
      </c>
      <c r="AH108" s="229">
        <v>18.164999999999999</v>
      </c>
    </row>
    <row r="109" spans="33:34">
      <c r="AG109" s="228">
        <v>68</v>
      </c>
      <c r="AH109" s="229">
        <v>18.192</v>
      </c>
    </row>
    <row r="110" spans="33:34">
      <c r="AG110" s="228">
        <v>69</v>
      </c>
      <c r="AH110" s="229">
        <v>18.216999999999999</v>
      </c>
    </row>
    <row r="111" spans="33:34">
      <c r="AG111" s="228">
        <v>70</v>
      </c>
      <c r="AH111" s="229">
        <v>18.242000000000001</v>
      </c>
    </row>
    <row r="112" spans="33:34">
      <c r="AG112" s="228">
        <v>71</v>
      </c>
      <c r="AH112" s="229">
        <v>18.263999999999999</v>
      </c>
    </row>
    <row r="113" spans="33:34">
      <c r="AG113" s="228">
        <v>72</v>
      </c>
      <c r="AH113" s="229">
        <v>18.286000000000001</v>
      </c>
    </row>
    <row r="114" spans="33:34">
      <c r="AG114" s="228">
        <v>73</v>
      </c>
      <c r="AH114" s="229">
        <v>18.306999999999999</v>
      </c>
    </row>
    <row r="115" spans="33:34">
      <c r="AG115" s="228">
        <v>74</v>
      </c>
      <c r="AH115" s="229">
        <v>18.326000000000001</v>
      </c>
    </row>
    <row r="116" spans="33:34">
      <c r="AG116" s="228">
        <v>75</v>
      </c>
      <c r="AH116" s="229">
        <v>18.344999999999999</v>
      </c>
    </row>
    <row r="117" spans="33:34">
      <c r="AG117" s="228">
        <v>76</v>
      </c>
      <c r="AH117" s="229">
        <v>18.361999999999998</v>
      </c>
    </row>
    <row r="118" spans="33:34">
      <c r="AG118" s="228">
        <v>77</v>
      </c>
      <c r="AH118" s="229">
        <v>18.379000000000001</v>
      </c>
    </row>
    <row r="119" spans="33:34">
      <c r="AG119" s="228">
        <v>78</v>
      </c>
      <c r="AH119" s="229">
        <v>18.395</v>
      </c>
    </row>
    <row r="120" spans="33:34">
      <c r="AG120" s="228">
        <v>79</v>
      </c>
      <c r="AH120" s="229">
        <v>18.41</v>
      </c>
    </row>
    <row r="121" spans="33:34">
      <c r="AG121" s="228">
        <v>80</v>
      </c>
      <c r="AH121" s="229">
        <v>18.423999999999999</v>
      </c>
    </row>
    <row r="122" spans="33:34">
      <c r="AG122" s="228">
        <v>81</v>
      </c>
      <c r="AH122" s="229">
        <v>18.437000000000001</v>
      </c>
    </row>
    <row r="123" spans="33:34">
      <c r="AG123" s="228">
        <v>82</v>
      </c>
      <c r="AH123" s="229">
        <v>18.45</v>
      </c>
    </row>
    <row r="124" spans="33:34">
      <c r="AG124" s="228">
        <v>83</v>
      </c>
      <c r="AH124" s="229">
        <v>18.462</v>
      </c>
    </row>
    <row r="125" spans="33:34">
      <c r="AG125" s="228">
        <v>84</v>
      </c>
      <c r="AH125" s="229">
        <v>18.474</v>
      </c>
    </row>
    <row r="126" spans="33:34">
      <c r="AG126" s="228">
        <v>85</v>
      </c>
      <c r="AH126" s="229">
        <v>18.484999999999999</v>
      </c>
    </row>
    <row r="127" spans="33:34">
      <c r="AG127" s="228">
        <v>86</v>
      </c>
      <c r="AH127" s="229">
        <v>18.495000000000001</v>
      </c>
    </row>
    <row r="128" spans="33:34">
      <c r="AG128" s="228">
        <v>87</v>
      </c>
      <c r="AH128" s="229">
        <v>18.504999999999999</v>
      </c>
    </row>
    <row r="129" spans="33:34">
      <c r="AG129" s="228">
        <v>88</v>
      </c>
      <c r="AH129" s="229">
        <v>18.513999999999999</v>
      </c>
    </row>
    <row r="130" spans="33:34">
      <c r="AG130" s="228">
        <v>89</v>
      </c>
      <c r="AH130" s="229">
        <v>18.523</v>
      </c>
    </row>
    <row r="131" spans="33:34">
      <c r="AG131" s="228">
        <v>90</v>
      </c>
      <c r="AH131" s="229">
        <v>18.530999999999999</v>
      </c>
    </row>
    <row r="132" spans="33:34">
      <c r="AG132" s="228">
        <v>91</v>
      </c>
      <c r="AH132" s="229">
        <v>18.539000000000001</v>
      </c>
    </row>
    <row r="133" spans="33:34">
      <c r="AG133" s="228">
        <v>92</v>
      </c>
      <c r="AH133" s="229">
        <v>18.545999999999999</v>
      </c>
    </row>
    <row r="134" spans="33:34">
      <c r="AG134" s="228">
        <v>93</v>
      </c>
      <c r="AH134" s="229">
        <v>18.553000000000001</v>
      </c>
    </row>
    <row r="135" spans="33:34">
      <c r="AG135" s="228">
        <v>94</v>
      </c>
      <c r="AH135" s="229">
        <v>18.559999999999999</v>
      </c>
    </row>
    <row r="136" spans="33:34">
      <c r="AG136" s="228">
        <v>95</v>
      </c>
      <c r="AH136" s="229">
        <v>18.565999999999999</v>
      </c>
    </row>
    <row r="137" spans="33:34">
      <c r="AG137" s="228">
        <v>96</v>
      </c>
      <c r="AH137" s="229">
        <v>18.571999999999999</v>
      </c>
    </row>
    <row r="138" spans="33:34">
      <c r="AG138" s="228">
        <v>97</v>
      </c>
      <c r="AH138" s="229">
        <v>18.577999999999999</v>
      </c>
    </row>
    <row r="139" spans="33:34">
      <c r="AG139" s="228">
        <v>98</v>
      </c>
      <c r="AH139" s="229">
        <v>18.582999999999998</v>
      </c>
    </row>
    <row r="140" spans="33:34">
      <c r="AG140" s="228">
        <v>99</v>
      </c>
      <c r="AH140" s="229">
        <v>18.588999999999999</v>
      </c>
    </row>
    <row r="141" spans="33:34">
      <c r="AG141" s="228">
        <v>100</v>
      </c>
      <c r="AH141" s="229">
        <v>18.593</v>
      </c>
    </row>
    <row r="142" spans="33:34">
      <c r="AG142" s="228">
        <v>101</v>
      </c>
      <c r="AH142" s="229">
        <v>18.597999999999999</v>
      </c>
    </row>
  </sheetData>
  <sheetProtection algorithmName="SHA-512" hashValue="KnNPEpfRZ8l5gU0RH/7yz4lj10liH1YRbxj4Kp82cvgbXuhef1DucgJecI5ncNPQZaNdfb8vh445j9iFaRy0Ew==" saltValue="F9DgdM9dMAT1LbbTUyVu0g==" spinCount="100000" sheet="1" objects="1" autoFilter="0"/>
  <mergeCells count="16">
    <mergeCell ref="Y3:Z3"/>
    <mergeCell ref="AB3:AC3"/>
    <mergeCell ref="AD3:AE3"/>
    <mergeCell ref="AD4:AE4"/>
    <mergeCell ref="S1:X1"/>
    <mergeCell ref="B2:X2"/>
    <mergeCell ref="B3:D3"/>
    <mergeCell ref="E3:F3"/>
    <mergeCell ref="G3:I3"/>
    <mergeCell ref="J3:L3"/>
    <mergeCell ref="M3:N3"/>
    <mergeCell ref="O3:P3"/>
    <mergeCell ref="Q3:S3"/>
    <mergeCell ref="U3:V3"/>
    <mergeCell ref="W3:X3"/>
    <mergeCell ref="G1:I1"/>
  </mergeCells>
  <hyperlinks>
    <hyperlink ref="B1" r:id="rId1" display="https://rvrecht.deutsche-rentenversicherung.de/SiteGlobals/Forms/Suche/DokumentSuche/dokumentSuche_Formular.html?nn=1506092&amp;pathNonRecursive=%2FLitInternet%2FSharedDocs%2FrvRecht+%2FLitInternet%2FSharedDocs%2FrvRecht_Ergaenzungen" xr:uid="{0D1257BE-FFEF-43F7-9A19-4043CB576B7C}"/>
    <hyperlink ref="M3:N3" r:id="rId2" display="Beitragsbem.Grenze gRV § 159 SGB VI" xr:uid="{0471296F-AC61-4AF4-A0CA-869495EFA7DB}"/>
    <hyperlink ref="J3:L3" r:id="rId3" display="Ø-Entgelt ges. Renten-versicherung § 69 II SGB VI" xr:uid="{E3712337-175B-43ED-9469-24890F41F51C}"/>
  </hyperlinks>
  <pageMargins left="0.7" right="0.7" top="0.78740157499999996" bottom="0.78740157499999996" header="0.3" footer="0.3"/>
  <drawing r:id="rId4"/>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5ECED-1E11-4C3F-9CFD-76B802DA838C}">
  <sheetPr codeName="Tabelle72"/>
  <dimension ref="A1:L42"/>
  <sheetViews>
    <sheetView workbookViewId="0">
      <selection sqref="A1:A2"/>
    </sheetView>
  </sheetViews>
  <sheetFormatPr baseColWidth="10" defaultRowHeight="15"/>
  <cols>
    <col min="1" max="1" width="17.28515625" customWidth="1"/>
    <col min="2" max="2" width="20.140625" customWidth="1"/>
    <col min="3" max="8" width="26.28515625" customWidth="1"/>
    <col min="9" max="12" width="13.5703125" customWidth="1"/>
  </cols>
  <sheetData>
    <row r="1" spans="1:12" ht="23.25">
      <c r="A1" s="1081"/>
      <c r="B1" s="1122" t="s">
        <v>4343</v>
      </c>
      <c r="C1" s="1122"/>
      <c r="D1" s="1122"/>
      <c r="E1" s="1122"/>
      <c r="F1" s="1122"/>
      <c r="G1" s="1122"/>
      <c r="H1" s="1122"/>
    </row>
    <row r="2" spans="1:12" ht="15" customHeight="1">
      <c r="A2" s="1081"/>
      <c r="B2" s="1127" t="s">
        <v>4141</v>
      </c>
      <c r="C2" s="1127"/>
      <c r="D2" s="1127"/>
      <c r="E2" s="1127"/>
      <c r="F2" s="1127"/>
      <c r="G2" s="1127"/>
      <c r="H2" s="1127"/>
      <c r="I2" s="120"/>
      <c r="J2" s="120"/>
      <c r="K2" s="120"/>
      <c r="L2" s="120"/>
    </row>
    <row r="3" spans="1:12">
      <c r="B3" s="1127"/>
      <c r="C3" s="1127"/>
      <c r="D3" s="1127"/>
      <c r="E3" s="1127"/>
      <c r="F3" s="1127"/>
      <c r="G3" s="1127"/>
      <c r="H3" s="1127"/>
      <c r="I3" s="120"/>
      <c r="J3" s="120"/>
      <c r="K3" s="120"/>
      <c r="L3" s="120"/>
    </row>
    <row r="4" spans="1:12">
      <c r="B4" s="1127"/>
      <c r="C4" s="1127"/>
      <c r="D4" s="1127"/>
      <c r="E4" s="1127"/>
      <c r="F4" s="1127"/>
      <c r="G4" s="1127"/>
      <c r="H4" s="1127"/>
      <c r="I4" s="120"/>
      <c r="J4" s="120"/>
      <c r="K4" s="120"/>
      <c r="L4" s="120"/>
    </row>
    <row r="5" spans="1:12">
      <c r="B5" s="1127"/>
      <c r="C5" s="1127"/>
      <c r="D5" s="1127"/>
      <c r="E5" s="1127"/>
      <c r="F5" s="1127"/>
      <c r="G5" s="1127"/>
      <c r="H5" s="1127"/>
      <c r="I5" s="120"/>
      <c r="J5" s="120"/>
      <c r="K5" s="120"/>
      <c r="L5" s="120"/>
    </row>
    <row r="6" spans="1:12">
      <c r="B6" s="1127"/>
      <c r="C6" s="1127"/>
      <c r="D6" s="1127"/>
      <c r="E6" s="1127"/>
      <c r="F6" s="1127"/>
      <c r="G6" s="1127"/>
      <c r="H6" s="1127"/>
    </row>
    <row r="7" spans="1:12">
      <c r="B7" s="11" t="s">
        <v>4142</v>
      </c>
    </row>
    <row r="8" spans="1:12" ht="16.5" customHeight="1">
      <c r="B8" s="1114" t="s">
        <v>4143</v>
      </c>
      <c r="C8" s="1126" t="s">
        <v>4661</v>
      </c>
      <c r="D8" s="1126"/>
      <c r="E8" s="1126"/>
      <c r="F8" s="1126"/>
      <c r="G8" s="1126"/>
      <c r="H8" s="1126"/>
    </row>
    <row r="9" spans="1:12" ht="16.5" customHeight="1">
      <c r="B9" s="1114"/>
      <c r="C9" s="1126"/>
      <c r="D9" s="1126"/>
      <c r="E9" s="1126"/>
      <c r="F9" s="1126"/>
      <c r="G9" s="1126"/>
      <c r="H9" s="1126"/>
    </row>
    <row r="10" spans="1:12" ht="16.5" customHeight="1">
      <c r="B10" s="1114"/>
      <c r="C10" s="1126"/>
      <c r="D10" s="1126"/>
      <c r="E10" s="1126"/>
      <c r="F10" s="1126"/>
      <c r="G10" s="1126"/>
      <c r="H10" s="1126"/>
    </row>
    <row r="11" spans="1:12" ht="16.5" customHeight="1">
      <c r="B11" s="1114"/>
      <c r="C11" s="1126"/>
      <c r="D11" s="1126"/>
      <c r="E11" s="1126"/>
      <c r="F11" s="1126"/>
      <c r="G11" s="1126"/>
      <c r="H11" s="1126"/>
    </row>
    <row r="12" spans="1:12" ht="16.5" customHeight="1">
      <c r="B12" s="1114"/>
      <c r="C12" s="1126"/>
      <c r="D12" s="1126"/>
      <c r="E12" s="1126"/>
      <c r="F12" s="1126"/>
      <c r="G12" s="1126"/>
      <c r="H12" s="1126"/>
    </row>
    <row r="13" spans="1:12" ht="16.5" customHeight="1">
      <c r="B13" s="1114"/>
      <c r="C13" s="1126"/>
      <c r="D13" s="1126"/>
      <c r="E13" s="1126"/>
      <c r="F13" s="1126"/>
      <c r="G13" s="1126"/>
      <c r="H13" s="1126"/>
    </row>
    <row r="14" spans="1:12" ht="16.5" customHeight="1">
      <c r="B14" s="1114"/>
      <c r="C14" s="1126"/>
      <c r="D14" s="1126"/>
      <c r="E14" s="1126"/>
      <c r="F14" s="1126"/>
      <c r="G14" s="1126"/>
      <c r="H14" s="1126"/>
    </row>
    <row r="15" spans="1:12" ht="16.5" customHeight="1">
      <c r="B15" s="1114"/>
      <c r="C15" s="1126"/>
      <c r="D15" s="1126"/>
      <c r="E15" s="1126"/>
      <c r="F15" s="1126"/>
      <c r="G15" s="1126"/>
      <c r="H15" s="1126"/>
    </row>
    <row r="16" spans="1:12" ht="16.5" customHeight="1">
      <c r="B16" s="1114"/>
      <c r="C16" s="1126"/>
      <c r="D16" s="1126"/>
      <c r="E16" s="1126"/>
      <c r="F16" s="1126"/>
      <c r="G16" s="1126"/>
      <c r="H16" s="1126"/>
    </row>
    <row r="17" spans="2:8" ht="16.5" customHeight="1">
      <c r="B17" s="1114"/>
      <c r="C17" s="1126"/>
      <c r="D17" s="1126"/>
      <c r="E17" s="1126"/>
      <c r="F17" s="1126"/>
      <c r="G17" s="1126"/>
      <c r="H17" s="1126"/>
    </row>
    <row r="18" spans="2:8" ht="16.5" customHeight="1">
      <c r="B18" s="1114"/>
      <c r="C18" s="1126"/>
      <c r="D18" s="1126"/>
      <c r="E18" s="1126"/>
      <c r="F18" s="1126"/>
      <c r="G18" s="1126"/>
      <c r="H18" s="1126"/>
    </row>
    <row r="19" spans="2:8" ht="16.5" customHeight="1">
      <c r="B19" s="1114"/>
      <c r="C19" s="1126"/>
      <c r="D19" s="1126"/>
      <c r="E19" s="1126"/>
      <c r="F19" s="1126"/>
      <c r="G19" s="1126"/>
      <c r="H19" s="1126"/>
    </row>
    <row r="20" spans="2:8" ht="16.5" customHeight="1">
      <c r="B20" s="1114"/>
      <c r="C20" s="1126"/>
      <c r="D20" s="1126"/>
      <c r="E20" s="1126"/>
      <c r="F20" s="1126"/>
      <c r="G20" s="1126"/>
      <c r="H20" s="1126"/>
    </row>
    <row r="21" spans="2:8" ht="16.5" customHeight="1">
      <c r="B21" s="1114"/>
      <c r="C21" s="1126"/>
      <c r="D21" s="1126"/>
      <c r="E21" s="1126"/>
      <c r="F21" s="1126"/>
      <c r="G21" s="1126"/>
      <c r="H21" s="1126"/>
    </row>
    <row r="22" spans="2:8" ht="16.5" customHeight="1">
      <c r="B22" s="1114"/>
      <c r="C22" s="1126"/>
      <c r="D22" s="1126"/>
      <c r="E22" s="1126"/>
      <c r="F22" s="1126"/>
      <c r="G22" s="1126"/>
      <c r="H22" s="1126"/>
    </row>
    <row r="23" spans="2:8" ht="16.5" customHeight="1">
      <c r="B23" s="1114"/>
      <c r="C23" s="1126"/>
      <c r="D23" s="1126"/>
      <c r="E23" s="1126"/>
      <c r="F23" s="1126"/>
      <c r="G23" s="1126"/>
      <c r="H23" s="1126"/>
    </row>
    <row r="24" spans="2:8" ht="16.5" customHeight="1">
      <c r="B24" s="1114"/>
      <c r="C24" s="1126"/>
      <c r="D24" s="1126"/>
      <c r="E24" s="1126"/>
      <c r="F24" s="1126"/>
      <c r="G24" s="1126"/>
      <c r="H24" s="1126"/>
    </row>
    <row r="25" spans="2:8" ht="16.5" customHeight="1">
      <c r="B25" s="1114"/>
      <c r="C25" s="1126"/>
      <c r="D25" s="1126"/>
      <c r="E25" s="1126"/>
      <c r="F25" s="1126"/>
      <c r="G25" s="1126"/>
      <c r="H25" s="1126"/>
    </row>
    <row r="26" spans="2:8" ht="16.5" customHeight="1">
      <c r="B26" s="1114"/>
      <c r="C26" s="1126"/>
      <c r="D26" s="1126"/>
      <c r="E26" s="1126"/>
      <c r="F26" s="1126"/>
      <c r="G26" s="1126"/>
      <c r="H26" s="1126"/>
    </row>
    <row r="27" spans="2:8" ht="16.5" customHeight="1">
      <c r="B27" s="1114"/>
      <c r="C27" s="1126"/>
      <c r="D27" s="1126"/>
      <c r="E27" s="1126"/>
      <c r="F27" s="1126"/>
      <c r="G27" s="1126"/>
      <c r="H27" s="1126"/>
    </row>
    <row r="28" spans="2:8" ht="16.5" customHeight="1">
      <c r="B28" s="1114"/>
      <c r="C28" s="1126"/>
      <c r="D28" s="1126"/>
      <c r="E28" s="1126"/>
      <c r="F28" s="1126"/>
      <c r="G28" s="1126"/>
      <c r="H28" s="1126"/>
    </row>
    <row r="29" spans="2:8">
      <c r="B29" s="758" t="s">
        <v>4338</v>
      </c>
      <c r="C29" s="1121" t="s">
        <v>4339</v>
      </c>
      <c r="D29" s="1121"/>
      <c r="E29" s="1121"/>
      <c r="F29" s="1121"/>
      <c r="G29" s="1121"/>
      <c r="H29" s="1121"/>
    </row>
    <row r="30" spans="2:8">
      <c r="B30" s="1124" t="s">
        <v>4144</v>
      </c>
      <c r="C30" s="1123" t="s">
        <v>4662</v>
      </c>
      <c r="D30" s="1123"/>
      <c r="E30" s="1123"/>
      <c r="F30" s="1123"/>
      <c r="G30" s="1123"/>
      <c r="H30" s="1123"/>
    </row>
    <row r="31" spans="2:8">
      <c r="B31" s="1124"/>
      <c r="C31" s="1123"/>
      <c r="D31" s="1123"/>
      <c r="E31" s="1123"/>
      <c r="F31" s="1123"/>
      <c r="G31" s="1123"/>
      <c r="H31" s="1123"/>
    </row>
    <row r="32" spans="2:8">
      <c r="B32" s="1124" t="s">
        <v>4145</v>
      </c>
      <c r="C32" s="1119" t="s">
        <v>4146</v>
      </c>
      <c r="D32" s="1120"/>
      <c r="E32" s="1120"/>
      <c r="F32" s="1120"/>
      <c r="G32" s="1120"/>
      <c r="H32" s="1120"/>
    </row>
    <row r="33" spans="2:8">
      <c r="B33" s="1124"/>
      <c r="C33" s="1120"/>
      <c r="D33" s="1120"/>
      <c r="E33" s="1120"/>
      <c r="F33" s="1120"/>
      <c r="G33" s="1120"/>
      <c r="H33" s="1120"/>
    </row>
    <row r="34" spans="2:8" ht="30">
      <c r="B34" s="399" t="s">
        <v>4147</v>
      </c>
      <c r="C34" s="1125" t="s">
        <v>4148</v>
      </c>
      <c r="D34" s="1125"/>
      <c r="E34" s="1125"/>
      <c r="F34" s="1125"/>
      <c r="G34" s="1125"/>
      <c r="H34" s="1125"/>
    </row>
    <row r="35" spans="2:8">
      <c r="B35" s="1118" t="s">
        <v>4150</v>
      </c>
      <c r="C35" s="1119" t="s">
        <v>4149</v>
      </c>
      <c r="D35" s="1120"/>
      <c r="E35" s="1120"/>
      <c r="F35" s="1120"/>
      <c r="G35" s="1120"/>
      <c r="H35" s="1120"/>
    </row>
    <row r="36" spans="2:8">
      <c r="B36" s="1118"/>
      <c r="C36" s="1120"/>
      <c r="D36" s="1120"/>
      <c r="E36" s="1120"/>
      <c r="F36" s="1120"/>
      <c r="G36" s="1120"/>
      <c r="H36" s="1120"/>
    </row>
    <row r="37" spans="2:8">
      <c r="B37" s="1118" t="s">
        <v>4334</v>
      </c>
      <c r="C37" s="1119" t="s">
        <v>4335</v>
      </c>
      <c r="D37" s="1120"/>
      <c r="E37" s="1120"/>
      <c r="F37" s="1120"/>
      <c r="G37" s="1120"/>
      <c r="H37" s="1120"/>
    </row>
    <row r="38" spans="2:8">
      <c r="B38" s="1118"/>
      <c r="C38" s="1120"/>
      <c r="D38" s="1120"/>
      <c r="E38" s="1120"/>
      <c r="F38" s="1120"/>
      <c r="G38" s="1120"/>
      <c r="H38" s="1120"/>
    </row>
    <row r="39" spans="2:8">
      <c r="B39" s="1118" t="s">
        <v>4336</v>
      </c>
      <c r="C39" s="1119" t="s">
        <v>4337</v>
      </c>
      <c r="D39" s="1120"/>
      <c r="E39" s="1120"/>
      <c r="F39" s="1120"/>
      <c r="G39" s="1120"/>
      <c r="H39" s="1120"/>
    </row>
    <row r="40" spans="2:8">
      <c r="B40" s="1118"/>
      <c r="C40" s="1120"/>
      <c r="D40" s="1120"/>
      <c r="E40" s="1120"/>
      <c r="F40" s="1120"/>
      <c r="G40" s="1120"/>
      <c r="H40" s="1120"/>
    </row>
    <row r="41" spans="2:8">
      <c r="B41" s="1117" t="s">
        <v>4609</v>
      </c>
      <c r="C41" s="1115" t="s">
        <v>4630</v>
      </c>
      <c r="D41" s="1116"/>
      <c r="E41" s="1116"/>
      <c r="F41" s="1116"/>
      <c r="G41" s="1116"/>
      <c r="H41" s="1116"/>
    </row>
    <row r="42" spans="2:8">
      <c r="B42" s="1117"/>
      <c r="C42" s="1116"/>
      <c r="D42" s="1116"/>
      <c r="E42" s="1116"/>
      <c r="F42" s="1116"/>
      <c r="G42" s="1116"/>
      <c r="H42" s="1116"/>
    </row>
  </sheetData>
  <sheetProtection algorithmName="SHA-512" hashValue="ET+zeLFbMZLi4aFr041CMk/c8Z2B3Rp4TB4RK7ebGiNbLYzkbN9Z5Asj5RckOBCJRzv4FCJB1ehg5JNXFjRggA==" saltValue="jN/hV6uMggbF52dwxvb7zQ==" spinCount="100000" sheet="1" objects="1" scenarios="1"/>
  <mergeCells count="19">
    <mergeCell ref="B35:B36"/>
    <mergeCell ref="C8:H28"/>
    <mergeCell ref="B2:H6"/>
    <mergeCell ref="B8:B28"/>
    <mergeCell ref="C41:H42"/>
    <mergeCell ref="B41:B42"/>
    <mergeCell ref="A1:A2"/>
    <mergeCell ref="B37:B38"/>
    <mergeCell ref="C37:H38"/>
    <mergeCell ref="B39:B40"/>
    <mergeCell ref="C39:H40"/>
    <mergeCell ref="C29:H29"/>
    <mergeCell ref="B1:H1"/>
    <mergeCell ref="C30:H31"/>
    <mergeCell ref="B30:B31"/>
    <mergeCell ref="C32:H33"/>
    <mergeCell ref="B32:B33"/>
    <mergeCell ref="C34:H34"/>
    <mergeCell ref="C35:H36"/>
  </mergeCells>
  <pageMargins left="0.7" right="0.7" top="0.78740157499999996" bottom="0.78740157499999996"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48314-2692-43E9-9A9B-CCBBBBE6A2A6}">
  <sheetPr codeName="Tabelle61"/>
  <dimension ref="A1:G22"/>
  <sheetViews>
    <sheetView workbookViewId="0">
      <selection activeCell="E16" sqref="E16:F16"/>
    </sheetView>
  </sheetViews>
  <sheetFormatPr baseColWidth="10" defaultColWidth="0" defaultRowHeight="14.25" customHeight="1" zeroHeight="1"/>
  <cols>
    <col min="1" max="1" width="3.5703125" customWidth="1"/>
    <col min="2" max="2" width="12.7109375" customWidth="1"/>
    <col min="3" max="6" width="12.140625" customWidth="1"/>
    <col min="7" max="7" width="4.7109375" customWidth="1"/>
    <col min="8" max="16384" width="12.140625" hidden="1"/>
  </cols>
  <sheetData>
    <row r="1" spans="2:6" ht="15.75">
      <c r="B1" s="1130" t="s">
        <v>2989</v>
      </c>
      <c r="C1" s="1131"/>
      <c r="D1" s="1131"/>
      <c r="E1" s="1131"/>
      <c r="F1" s="1132"/>
    </row>
    <row r="2" spans="2:6" ht="45">
      <c r="B2" s="246" t="s">
        <v>2990</v>
      </c>
      <c r="C2" s="247" t="s">
        <v>2991</v>
      </c>
      <c r="D2" s="247" t="s">
        <v>2992</v>
      </c>
      <c r="E2" s="1133"/>
      <c r="F2" s="1134"/>
    </row>
    <row r="3" spans="2:6" ht="15">
      <c r="B3" s="73">
        <v>1900</v>
      </c>
      <c r="C3" s="248">
        <v>0</v>
      </c>
      <c r="D3" s="249">
        <v>65</v>
      </c>
      <c r="E3" s="1128" t="s">
        <v>2993</v>
      </c>
      <c r="F3" s="1129"/>
    </row>
    <row r="4" spans="2:6" ht="15">
      <c r="B4" s="73">
        <v>1947</v>
      </c>
      <c r="C4" s="248">
        <v>1</v>
      </c>
      <c r="D4" s="249">
        <f>65+C4/12</f>
        <v>65.083333333333329</v>
      </c>
      <c r="E4" s="1128" t="s">
        <v>2994</v>
      </c>
      <c r="F4" s="1129"/>
    </row>
    <row r="5" spans="2:6" ht="15">
      <c r="B5" s="73">
        <v>1948</v>
      </c>
      <c r="C5" s="248">
        <v>2</v>
      </c>
      <c r="D5" s="249">
        <f t="shared" ref="D5:D21" si="0">65+C5/12</f>
        <v>65.166666666666671</v>
      </c>
      <c r="E5" s="1128" t="s">
        <v>2995</v>
      </c>
      <c r="F5" s="1129"/>
    </row>
    <row r="6" spans="2:6" ht="15">
      <c r="B6" s="73">
        <v>1949</v>
      </c>
      <c r="C6" s="248">
        <v>3</v>
      </c>
      <c r="D6" s="249">
        <f t="shared" si="0"/>
        <v>65.25</v>
      </c>
      <c r="E6" s="1128" t="s">
        <v>2996</v>
      </c>
      <c r="F6" s="1129"/>
    </row>
    <row r="7" spans="2:6" ht="15">
      <c r="B7" s="73">
        <v>1950</v>
      </c>
      <c r="C7" s="248">
        <v>4</v>
      </c>
      <c r="D7" s="249">
        <f t="shared" si="0"/>
        <v>65.333333333333329</v>
      </c>
      <c r="E7" s="1128" t="s">
        <v>2997</v>
      </c>
      <c r="F7" s="1129"/>
    </row>
    <row r="8" spans="2:6" ht="15">
      <c r="B8" s="73">
        <v>1951</v>
      </c>
      <c r="C8" s="248">
        <v>5</v>
      </c>
      <c r="D8" s="249">
        <f t="shared" si="0"/>
        <v>65.416666666666671</v>
      </c>
      <c r="E8" s="1128" t="s">
        <v>2998</v>
      </c>
      <c r="F8" s="1129"/>
    </row>
    <row r="9" spans="2:6" ht="15">
      <c r="B9" s="73">
        <v>1952</v>
      </c>
      <c r="C9" s="248">
        <v>6</v>
      </c>
      <c r="D9" s="249">
        <f t="shared" si="0"/>
        <v>65.5</v>
      </c>
      <c r="E9" s="1128" t="s">
        <v>2999</v>
      </c>
      <c r="F9" s="1129"/>
    </row>
    <row r="10" spans="2:6" ht="15">
      <c r="B10" s="73">
        <v>1953</v>
      </c>
      <c r="C10" s="248">
        <v>7</v>
      </c>
      <c r="D10" s="249">
        <f t="shared" si="0"/>
        <v>65.583333333333329</v>
      </c>
      <c r="E10" s="1128" t="s">
        <v>3000</v>
      </c>
      <c r="F10" s="1129"/>
    </row>
    <row r="11" spans="2:6" ht="15">
      <c r="B11" s="73">
        <v>1954</v>
      </c>
      <c r="C11" s="248">
        <v>8</v>
      </c>
      <c r="D11" s="249">
        <f t="shared" si="0"/>
        <v>65.666666666666671</v>
      </c>
      <c r="E11" s="1128" t="s">
        <v>3001</v>
      </c>
      <c r="F11" s="1129"/>
    </row>
    <row r="12" spans="2:6" ht="15">
      <c r="B12" s="73">
        <v>1955</v>
      </c>
      <c r="C12" s="248">
        <v>9</v>
      </c>
      <c r="D12" s="249">
        <f t="shared" si="0"/>
        <v>65.75</v>
      </c>
      <c r="E12" s="1128" t="s">
        <v>3002</v>
      </c>
      <c r="F12" s="1129"/>
    </row>
    <row r="13" spans="2:6" ht="15">
      <c r="B13" s="73">
        <v>1956</v>
      </c>
      <c r="C13" s="248">
        <v>10</v>
      </c>
      <c r="D13" s="249">
        <f t="shared" si="0"/>
        <v>65.833333333333329</v>
      </c>
      <c r="E13" s="1128" t="s">
        <v>3003</v>
      </c>
      <c r="F13" s="1129"/>
    </row>
    <row r="14" spans="2:6" ht="15">
      <c r="B14" s="73">
        <v>1957</v>
      </c>
      <c r="C14" s="248">
        <v>11</v>
      </c>
      <c r="D14" s="249">
        <f t="shared" si="0"/>
        <v>65.916666666666671</v>
      </c>
      <c r="E14" s="1128" t="s">
        <v>3004</v>
      </c>
      <c r="F14" s="1129"/>
    </row>
    <row r="15" spans="2:6" ht="15">
      <c r="B15" s="73">
        <v>1958</v>
      </c>
      <c r="C15" s="248">
        <v>12</v>
      </c>
      <c r="D15" s="249">
        <f t="shared" si="0"/>
        <v>66</v>
      </c>
      <c r="E15" s="1128" t="s">
        <v>3005</v>
      </c>
      <c r="F15" s="1129"/>
    </row>
    <row r="16" spans="2:6" ht="15">
      <c r="B16" s="73">
        <v>1959</v>
      </c>
      <c r="C16" s="248">
        <v>14</v>
      </c>
      <c r="D16" s="249">
        <f t="shared" si="0"/>
        <v>66.166666666666671</v>
      </c>
      <c r="E16" s="1128" t="s">
        <v>3006</v>
      </c>
      <c r="F16" s="1129"/>
    </row>
    <row r="17" spans="2:6" ht="15">
      <c r="B17" s="73">
        <v>1960</v>
      </c>
      <c r="C17" s="248">
        <v>16</v>
      </c>
      <c r="D17" s="249">
        <f t="shared" si="0"/>
        <v>66.333333333333329</v>
      </c>
      <c r="E17" s="1128" t="s">
        <v>3007</v>
      </c>
      <c r="F17" s="1129"/>
    </row>
    <row r="18" spans="2:6" ht="15">
      <c r="B18" s="73">
        <v>1961</v>
      </c>
      <c r="C18" s="248">
        <v>18</v>
      </c>
      <c r="D18" s="249">
        <f t="shared" si="0"/>
        <v>66.5</v>
      </c>
      <c r="E18" s="1128" t="s">
        <v>3008</v>
      </c>
      <c r="F18" s="1129"/>
    </row>
    <row r="19" spans="2:6" ht="15">
      <c r="B19" s="73">
        <v>1962</v>
      </c>
      <c r="C19" s="248">
        <v>20</v>
      </c>
      <c r="D19" s="249">
        <f t="shared" si="0"/>
        <v>66.666666666666671</v>
      </c>
      <c r="E19" s="1128" t="s">
        <v>3009</v>
      </c>
      <c r="F19" s="1129"/>
    </row>
    <row r="20" spans="2:6" ht="15">
      <c r="B20" s="73">
        <v>1963</v>
      </c>
      <c r="C20" s="248">
        <v>22</v>
      </c>
      <c r="D20" s="249">
        <f t="shared" si="0"/>
        <v>66.833333333333329</v>
      </c>
      <c r="E20" s="1128" t="s">
        <v>3010</v>
      </c>
      <c r="F20" s="1129"/>
    </row>
    <row r="21" spans="2:6" ht="15.75" thickBot="1">
      <c r="B21" s="250">
        <v>1964</v>
      </c>
      <c r="C21" s="251">
        <v>24</v>
      </c>
      <c r="D21" s="252">
        <f t="shared" si="0"/>
        <v>67</v>
      </c>
      <c r="E21" s="1135" t="s">
        <v>3011</v>
      </c>
      <c r="F21" s="1136"/>
    </row>
    <row r="22" spans="2:6" ht="15.75" hidden="1" thickBot="1">
      <c r="B22" s="253"/>
      <c r="C22" s="254"/>
      <c r="D22" s="255"/>
      <c r="E22" s="1137"/>
      <c r="F22" s="1138"/>
    </row>
  </sheetData>
  <sheetProtection algorithmName="SHA-512" hashValue="d0C7uZG7FOgIv9cHBG1DTcw5SvUPqaBnu5SXnDeYZRddyZVO+fBAtb2bxZphoQNtOM9mBmnuYm4DPdW9kPe1oA==" saltValue="gtby/BTt7qdIbrrJcGpZVg==" spinCount="100000" sheet="1" objects="1" scenarios="1" formatColumns="0" autoFilter="0"/>
  <mergeCells count="22">
    <mergeCell ref="E19:F19"/>
    <mergeCell ref="E20:F20"/>
    <mergeCell ref="E21:F21"/>
    <mergeCell ref="E22:F22"/>
    <mergeCell ref="E13:F13"/>
    <mergeCell ref="E14:F14"/>
    <mergeCell ref="E15:F15"/>
    <mergeCell ref="E16:F16"/>
    <mergeCell ref="E17:F17"/>
    <mergeCell ref="E18:F18"/>
    <mergeCell ref="E12:F12"/>
    <mergeCell ref="B1:F1"/>
    <mergeCell ref="E2:F2"/>
    <mergeCell ref="E3:F3"/>
    <mergeCell ref="E4:F4"/>
    <mergeCell ref="E5:F5"/>
    <mergeCell ref="E6:F6"/>
    <mergeCell ref="E7:F7"/>
    <mergeCell ref="E8:F8"/>
    <mergeCell ref="E9:F9"/>
    <mergeCell ref="E10:F10"/>
    <mergeCell ref="E11:F11"/>
  </mergeCells>
  <pageMargins left="0.7" right="0.7" top="0.78740157499999996" bottom="0.78740157499999996"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18B2B-967E-4788-9DFD-DEECF1236B89}">
  <sheetPr codeName="Tabelle62"/>
  <dimension ref="A1:G21"/>
  <sheetViews>
    <sheetView topLeftCell="C1" workbookViewId="0">
      <selection activeCell="G17" sqref="G17"/>
    </sheetView>
  </sheetViews>
  <sheetFormatPr baseColWidth="10" defaultRowHeight="15"/>
  <cols>
    <col min="1" max="1" width="12.7109375" customWidth="1"/>
    <col min="2" max="2" width="14.5703125" customWidth="1"/>
    <col min="3" max="3" width="20" customWidth="1"/>
    <col min="4" max="4" width="18.140625" customWidth="1"/>
    <col min="5" max="5" width="16.42578125" customWidth="1"/>
  </cols>
  <sheetData>
    <row r="1" spans="1:7" ht="18.75">
      <c r="A1" s="260" t="s">
        <v>3058</v>
      </c>
    </row>
    <row r="2" spans="1:7">
      <c r="A2" s="261" t="s">
        <v>3059</v>
      </c>
    </row>
    <row r="4" spans="1:7">
      <c r="A4" s="262" t="s">
        <v>2967</v>
      </c>
      <c r="B4" s="262" t="s">
        <v>3060</v>
      </c>
      <c r="C4" s="262" t="s">
        <v>3061</v>
      </c>
      <c r="D4" s="262" t="s">
        <v>3062</v>
      </c>
      <c r="E4" s="262" t="s">
        <v>3063</v>
      </c>
    </row>
    <row r="5" spans="1:7">
      <c r="A5">
        <v>2015</v>
      </c>
      <c r="B5" s="263">
        <v>42005</v>
      </c>
      <c r="C5" s="267">
        <v>1099.3699999999999</v>
      </c>
      <c r="D5" s="267" t="s">
        <v>3064</v>
      </c>
      <c r="E5" s="113" t="s">
        <v>3064</v>
      </c>
      <c r="F5" s="265" t="s">
        <v>3064</v>
      </c>
      <c r="G5">
        <v>100</v>
      </c>
    </row>
    <row r="6" spans="1:7">
      <c r="A6">
        <v>2016</v>
      </c>
      <c r="B6" s="263">
        <v>42370</v>
      </c>
      <c r="C6" s="267">
        <v>1134.3399999999999</v>
      </c>
      <c r="D6" s="267">
        <f t="shared" ref="D6:D16" si="0">C6-C5</f>
        <v>34.970000000000027</v>
      </c>
      <c r="E6" s="113">
        <f t="shared" ref="E6:E16" si="1">(C6-C5)/C5</f>
        <v>3.1809127045489716E-2</v>
      </c>
      <c r="F6" s="265">
        <v>3.1809127045489716E-2</v>
      </c>
      <c r="G6" s="245">
        <f>+G5*(1+F6)</f>
        <v>103.18091270454897</v>
      </c>
    </row>
    <row r="7" spans="1:7">
      <c r="A7">
        <v>2017</v>
      </c>
      <c r="B7" s="263">
        <v>42736</v>
      </c>
      <c r="C7" s="267">
        <v>1153.5999999999999</v>
      </c>
      <c r="D7" s="267">
        <f t="shared" si="0"/>
        <v>19.259999999999991</v>
      </c>
      <c r="E7" s="113">
        <f t="shared" si="1"/>
        <v>1.6979036267785665E-2</v>
      </c>
      <c r="F7" s="265">
        <v>1.6979036267785665E-2</v>
      </c>
      <c r="G7" s="245">
        <f t="shared" ref="G7:G16" si="2">+G6*(1+F7)</f>
        <v>104.93282516350274</v>
      </c>
    </row>
    <row r="8" spans="1:7">
      <c r="A8">
        <v>2018</v>
      </c>
      <c r="B8" s="263">
        <v>43101</v>
      </c>
      <c r="C8" s="267">
        <v>1169.82</v>
      </c>
      <c r="D8" s="267">
        <f t="shared" si="0"/>
        <v>16.220000000000027</v>
      </c>
      <c r="E8" s="113">
        <f t="shared" si="1"/>
        <v>1.4060332871012507E-2</v>
      </c>
      <c r="F8" s="265">
        <v>1.4060332871012507E-2</v>
      </c>
      <c r="G8" s="245">
        <f t="shared" si="2"/>
        <v>106.40821561439735</v>
      </c>
    </row>
    <row r="9" spans="1:7">
      <c r="A9">
        <v>2019</v>
      </c>
      <c r="B9" s="263">
        <v>43466</v>
      </c>
      <c r="C9" s="267">
        <v>1194.43</v>
      </c>
      <c r="D9" s="267">
        <f t="shared" si="0"/>
        <v>24.610000000000127</v>
      </c>
      <c r="E9" s="113">
        <f t="shared" si="1"/>
        <v>2.103742456104369E-2</v>
      </c>
      <c r="F9" s="265">
        <v>2.103742456104369E-2</v>
      </c>
      <c r="G9" s="245">
        <f t="shared" si="2"/>
        <v>108.6467704230605</v>
      </c>
    </row>
    <row r="10" spans="1:7">
      <c r="A10">
        <v>2020</v>
      </c>
      <c r="B10" s="263">
        <v>44013</v>
      </c>
      <c r="C10" s="267">
        <v>1270.67</v>
      </c>
      <c r="D10" s="267">
        <f t="shared" si="0"/>
        <v>76.240000000000009</v>
      </c>
      <c r="E10" s="113">
        <f t="shared" si="1"/>
        <v>6.3829609102249607E-2</v>
      </c>
      <c r="F10" s="265">
        <v>6.3829609102249607E-2</v>
      </c>
      <c r="G10" s="245">
        <f t="shared" si="2"/>
        <v>115.58165130938632</v>
      </c>
    </row>
    <row r="11" spans="1:7">
      <c r="A11">
        <v>2021</v>
      </c>
      <c r="B11" s="263">
        <v>44197</v>
      </c>
      <c r="C11" s="267">
        <v>1274.01</v>
      </c>
      <c r="D11" s="267">
        <f t="shared" si="0"/>
        <v>3.3399999999999181</v>
      </c>
      <c r="E11" s="113">
        <f t="shared" si="1"/>
        <v>2.6285345526375205E-3</v>
      </c>
      <c r="F11" s="265">
        <v>2.6285345526375205E-3</v>
      </c>
      <c r="G11" s="245">
        <f t="shared" si="2"/>
        <v>115.88546167350394</v>
      </c>
    </row>
    <row r="12" spans="1:7">
      <c r="A12">
        <v>2022</v>
      </c>
      <c r="B12" s="263">
        <v>44562</v>
      </c>
      <c r="C12" s="267">
        <v>1301</v>
      </c>
      <c r="D12" s="267">
        <f t="shared" si="0"/>
        <v>26.990000000000009</v>
      </c>
      <c r="E12" s="113">
        <f t="shared" si="1"/>
        <v>2.1185077040211622E-2</v>
      </c>
      <c r="F12" s="265">
        <v>2.1185077040211622E-2</v>
      </c>
      <c r="G12" s="245">
        <f t="shared" si="2"/>
        <v>118.3405041068976</v>
      </c>
    </row>
    <row r="13" spans="1:7">
      <c r="A13">
        <v>2023</v>
      </c>
      <c r="B13" s="263">
        <v>45108</v>
      </c>
      <c r="C13" s="267">
        <v>1458.15</v>
      </c>
      <c r="D13" s="267">
        <f t="shared" si="0"/>
        <v>157.15000000000009</v>
      </c>
      <c r="E13" s="113">
        <f t="shared" si="1"/>
        <v>0.12079169869331291</v>
      </c>
      <c r="F13" s="265">
        <v>0.12079169869331291</v>
      </c>
      <c r="G13" s="245">
        <f t="shared" si="2"/>
        <v>132.63505462219271</v>
      </c>
    </row>
    <row r="14" spans="1:7">
      <c r="A14">
        <v>2024</v>
      </c>
      <c r="B14" s="263">
        <v>45292</v>
      </c>
      <c r="C14" s="267">
        <v>1541.53</v>
      </c>
      <c r="D14" s="267">
        <f t="shared" si="0"/>
        <v>83.379999999999882</v>
      </c>
      <c r="E14" s="113">
        <f t="shared" si="1"/>
        <v>5.718204574289331E-2</v>
      </c>
      <c r="F14" s="265">
        <v>5.718204574289331E-2</v>
      </c>
      <c r="G14" s="245">
        <f t="shared" si="2"/>
        <v>140.2193983827101</v>
      </c>
    </row>
    <row r="15" spans="1:7">
      <c r="A15">
        <v>2025</v>
      </c>
      <c r="B15" s="263">
        <v>45658</v>
      </c>
      <c r="C15" s="267">
        <v>1580.92</v>
      </c>
      <c r="D15" s="267">
        <f t="shared" si="0"/>
        <v>39.3900000000001</v>
      </c>
      <c r="E15" s="113">
        <f t="shared" si="1"/>
        <v>2.5552535468009122E-2</v>
      </c>
      <c r="F15" s="265">
        <v>2.5552535468009122E-2</v>
      </c>
      <c r="G15" s="245">
        <f t="shared" si="2"/>
        <v>143.8023595331872</v>
      </c>
    </row>
    <row r="16" spans="1:7">
      <c r="A16">
        <v>2026</v>
      </c>
      <c r="B16" s="263">
        <v>46023</v>
      </c>
      <c r="C16" s="267">
        <v>1637.57</v>
      </c>
      <c r="D16" s="267">
        <f t="shared" si="0"/>
        <v>56.649999999999864</v>
      </c>
      <c r="E16" s="113">
        <f t="shared" si="1"/>
        <v>3.5833565265794516E-2</v>
      </c>
      <c r="F16" s="265">
        <v>3.5833565265794516E-2</v>
      </c>
      <c r="G16" s="245">
        <f t="shared" si="2"/>
        <v>148.95531076889492</v>
      </c>
    </row>
    <row r="17" spans="1:7">
      <c r="F17" s="11" t="s">
        <v>4341</v>
      </c>
      <c r="G17" s="696">
        <f>_xlfn.RRI(COUNT(G6:G16),G5,G16)</f>
        <v>3.6889228441014055E-2</v>
      </c>
    </row>
    <row r="18" spans="1:7">
      <c r="A18" s="257" t="s">
        <v>3065</v>
      </c>
      <c r="C18" s="266">
        <f>(C16-C5)/C5</f>
        <v>0.48955310768894922</v>
      </c>
    </row>
    <row r="19" spans="1:7">
      <c r="A19" s="257" t="s">
        <v>3066</v>
      </c>
      <c r="C19" s="266">
        <f>AVERAGE(E6:E16)</f>
        <v>3.7353544237312741E-2</v>
      </c>
    </row>
    <row r="21" spans="1:7">
      <c r="A21" s="264" t="s">
        <v>3067</v>
      </c>
    </row>
  </sheetData>
  <sheetProtection algorithmName="SHA-512" hashValue="gxnEIoaInvsObuxjzQWlBE/j2gPk0CU2WoG+JrAg3hov8pWU98b6DsbeNK1cpFmcBrndS4g9+Qnp3fH4BkzWsg==" saltValue="iAjcKXbeWcmqlMBV7wDJbg==" spinCount="100000" sheet="1" objects="1" scenarios="1" formatColumns="0" autoFilter="0"/>
  <pageMargins left="0.7" right="0.7" top="0.78740157499999996" bottom="0.78740157499999996"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97E33-3D03-44BA-8664-AFB0754D4A74}">
  <sheetPr codeName="Tabelle63"/>
  <dimension ref="B3:G18"/>
  <sheetViews>
    <sheetView workbookViewId="0">
      <selection activeCell="B16" sqref="B16:D16"/>
    </sheetView>
  </sheetViews>
  <sheetFormatPr baseColWidth="10" defaultRowHeight="15"/>
  <cols>
    <col min="3" max="3" width="10.85546875" style="274"/>
    <col min="4" max="4" width="12.28515625" style="274" bestFit="1" customWidth="1"/>
    <col min="5" max="5" width="12.7109375" style="274" customWidth="1"/>
    <col min="6" max="6" width="19.5703125" style="274" customWidth="1"/>
    <col min="7" max="7" width="14.28515625" style="274" customWidth="1"/>
  </cols>
  <sheetData>
    <row r="3" spans="2:7" s="120" customFormat="1" ht="47.25">
      <c r="B3" s="270" t="s">
        <v>2967</v>
      </c>
      <c r="C3" s="271" t="s">
        <v>3069</v>
      </c>
      <c r="D3" s="271" t="s">
        <v>4340</v>
      </c>
      <c r="E3" s="271" t="s">
        <v>3070</v>
      </c>
      <c r="F3" s="271" t="s">
        <v>3071</v>
      </c>
      <c r="G3" s="271" t="s">
        <v>3072</v>
      </c>
    </row>
    <row r="4" spans="2:7" ht="15.75">
      <c r="B4" s="268">
        <v>2015</v>
      </c>
      <c r="C4" s="272">
        <v>90068</v>
      </c>
      <c r="D4" s="272">
        <f>+C4/8.95</f>
        <v>10063.463687150839</v>
      </c>
      <c r="E4" s="273">
        <v>1.9E-2</v>
      </c>
      <c r="F4" s="273">
        <v>2.7E-2</v>
      </c>
      <c r="G4" s="273">
        <v>1.95E-2</v>
      </c>
    </row>
    <row r="5" spans="2:7" ht="15.75">
      <c r="B5" s="268">
        <v>2016</v>
      </c>
      <c r="C5" s="272">
        <v>92576</v>
      </c>
      <c r="D5" s="272">
        <f>+C5/8.29</f>
        <v>11167.189384800966</v>
      </c>
      <c r="E5" s="273">
        <v>2.8000000000000001E-2</v>
      </c>
      <c r="F5" s="273">
        <v>2.4E-2</v>
      </c>
      <c r="G5" s="273">
        <v>1.6500000000000001E-2</v>
      </c>
    </row>
    <row r="6" spans="2:7" ht="15.75">
      <c r="B6" s="268">
        <v>2017</v>
      </c>
      <c r="C6" s="272">
        <v>93634</v>
      </c>
      <c r="D6" s="272">
        <f>+C6/9.33</f>
        <v>10035.798499464094</v>
      </c>
      <c r="E6" s="273">
        <v>1.0999999999999999E-2</v>
      </c>
      <c r="F6" s="273">
        <v>2.3E-2</v>
      </c>
      <c r="G6" s="273">
        <v>1.55E-2</v>
      </c>
    </row>
    <row r="7" spans="2:7" ht="15.75">
      <c r="B7" s="268">
        <v>2018</v>
      </c>
      <c r="C7" s="272">
        <v>96883</v>
      </c>
      <c r="D7" s="272">
        <f>+C7/9.6</f>
        <v>10091.979166666668</v>
      </c>
      <c r="E7" s="273">
        <v>3.5000000000000003E-2</v>
      </c>
      <c r="F7" s="273">
        <v>2.8000000000000001E-2</v>
      </c>
      <c r="G7" s="273">
        <v>2.0500000000000001E-2</v>
      </c>
    </row>
    <row r="8" spans="2:7" ht="15.75">
      <c r="B8" s="268">
        <v>2019</v>
      </c>
      <c r="C8" s="272">
        <v>99858</v>
      </c>
      <c r="D8" s="272">
        <f>+C8/9.8</f>
        <v>10189.591836734693</v>
      </c>
      <c r="E8" s="273">
        <v>3.1E-2</v>
      </c>
      <c r="F8" s="273">
        <v>3.5000000000000003E-2</v>
      </c>
      <c r="G8" s="273">
        <v>2.75E-2</v>
      </c>
    </row>
    <row r="9" spans="2:7" ht="15.75">
      <c r="B9" s="268">
        <v>2020</v>
      </c>
      <c r="C9" s="272">
        <v>101351</v>
      </c>
      <c r="D9" s="272">
        <f>+C9/10.72</f>
        <v>9454.3843283582082</v>
      </c>
      <c r="E9" s="273">
        <v>1.4999999999999999E-2</v>
      </c>
      <c r="F9" s="273">
        <v>1.7000000000000001E-2</v>
      </c>
      <c r="G9" s="273">
        <v>9.4999999999999998E-3</v>
      </c>
    </row>
    <row r="10" spans="2:7" ht="15.75">
      <c r="B10" s="268">
        <v>2021</v>
      </c>
      <c r="C10" s="272">
        <v>106399</v>
      </c>
      <c r="D10" s="272">
        <f>+C10/10.16</f>
        <v>10472.342519685038</v>
      </c>
      <c r="E10" s="273">
        <v>0.05</v>
      </c>
      <c r="F10" s="273">
        <v>0.03</v>
      </c>
      <c r="G10" s="273">
        <v>2.2499999999999999E-2</v>
      </c>
    </row>
    <row r="11" spans="2:7" ht="15.75">
      <c r="B11" s="268">
        <v>2022</v>
      </c>
      <c r="C11" s="272">
        <v>111477</v>
      </c>
      <c r="D11" s="272">
        <f>+C11/10.3</f>
        <v>10823.009708737864</v>
      </c>
      <c r="E11" s="273">
        <v>4.8000000000000001E-2</v>
      </c>
      <c r="F11" s="273">
        <v>3.6999999999999998E-2</v>
      </c>
      <c r="G11" s="273">
        <v>2.9499999999999998E-2</v>
      </c>
    </row>
    <row r="12" spans="2:7" ht="15.75">
      <c r="B12" s="268">
        <v>2023</v>
      </c>
      <c r="C12" s="272">
        <v>118620</v>
      </c>
      <c r="D12" s="272">
        <f>+C12/11.48</f>
        <v>10332.752613240418</v>
      </c>
      <c r="E12" s="273">
        <v>6.4000000000000001E-2</v>
      </c>
      <c r="F12" s="273">
        <v>5.1999999999999998E-2</v>
      </c>
      <c r="G12" s="273">
        <v>4.4499999999999998E-2</v>
      </c>
    </row>
    <row r="13" spans="2:7" ht="15.75">
      <c r="B13" s="268">
        <v>2024</v>
      </c>
      <c r="C13" s="272">
        <v>124028</v>
      </c>
      <c r="D13" s="272">
        <f>+C13/11.62</f>
        <v>10673.666092943202</v>
      </c>
      <c r="E13" s="273">
        <v>4.5999999999999999E-2</v>
      </c>
      <c r="F13" s="273">
        <v>4.9000000000000002E-2</v>
      </c>
      <c r="G13" s="273">
        <v>4.1500000000000002E-2</v>
      </c>
    </row>
    <row r="14" spans="2:7" ht="15.75">
      <c r="B14" s="268">
        <v>2025</v>
      </c>
      <c r="C14" s="272">
        <v>130160</v>
      </c>
      <c r="D14" s="272">
        <f>+C14/11.72</f>
        <v>11105.80204778157</v>
      </c>
      <c r="E14" s="273">
        <v>0.05</v>
      </c>
      <c r="F14" s="273">
        <v>4.4999999999999998E-2</v>
      </c>
      <c r="G14" s="273">
        <v>3.7499999999999999E-2</v>
      </c>
    </row>
    <row r="15" spans="2:7" ht="15.75">
      <c r="B15" s="268">
        <v>2026</v>
      </c>
      <c r="C15" s="272">
        <v>136549</v>
      </c>
      <c r="D15" s="272">
        <f>+C15/11.309</f>
        <v>12074.365549562297</v>
      </c>
      <c r="E15" s="273">
        <v>4.9000000000000002E-2</v>
      </c>
      <c r="F15" s="273">
        <v>4.8000000000000001E-2</v>
      </c>
      <c r="G15" s="273">
        <v>4.0500000000000001E-2</v>
      </c>
    </row>
    <row r="16" spans="2:7">
      <c r="C16" s="695"/>
      <c r="D16" s="695"/>
    </row>
    <row r="18" spans="2:2">
      <c r="B18" t="s">
        <v>3068</v>
      </c>
    </row>
  </sheetData>
  <sheetProtection algorithmName="SHA-512" hashValue="hhoyj2wqqUo6OMQJxq1AZ9GjJxlmqBLdPvU3gddVlWlh1v8/seCT1MSBJ8PDwhms1Kl2c+b1j4XQap1qsHLGdg==" saltValue="Y5iYuJbmBYr7eP79MlYrXw==" spinCount="100000" sheet="1" objects="1" scenarios="1" formatColumns="0" autoFilter="0"/>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A20EA-63DD-4741-BCAA-73CA2666CE43}">
  <sheetPr codeName="Tabelle39"/>
  <dimension ref="A1:N38"/>
  <sheetViews>
    <sheetView showGridLines="0" showRowColHeaders="0" zoomScale="110" zoomScaleNormal="110" workbookViewId="0">
      <pane xSplit="1" ySplit="2" topLeftCell="B3" activePane="bottomRight" state="frozen"/>
      <selection activeCell="B15" sqref="B15:I21"/>
      <selection pane="topRight" activeCell="B15" sqref="B15:I21"/>
      <selection pane="bottomLeft" activeCell="B15" sqref="B15:I21"/>
      <selection pane="bottomRight" activeCell="B3" sqref="B3:I25"/>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2.5703125" style="308" customWidth="1"/>
    <col min="2" max="2" width="18.5703125" style="707" customWidth="1"/>
    <col min="3" max="9" width="18.5703125" style="379" customWidth="1"/>
    <col min="10" max="10" width="8.85546875" style="308" customWidth="1"/>
    <col min="11" max="11" width="22.28515625" style="5" customWidth="1"/>
    <col min="12" max="12" width="35.5703125" customWidth="1"/>
    <col min="13" max="13" width="4.140625" style="308" customWidth="1"/>
    <col min="14" max="14" width="0" hidden="1" customWidth="1"/>
    <col min="15" max="16384" width="10.85546875" hidden="1"/>
  </cols>
  <sheetData>
    <row r="1" spans="1:13" s="141" customFormat="1">
      <c r="A1" s="308"/>
      <c r="B1" s="806" t="s">
        <v>3909</v>
      </c>
      <c r="C1" s="806"/>
      <c r="D1" s="806"/>
      <c r="E1" s="806"/>
      <c r="F1" s="806"/>
      <c r="G1" s="806"/>
      <c r="H1" s="806"/>
      <c r="I1" s="806"/>
      <c r="J1" s="490"/>
      <c r="K1" s="805" t="s">
        <v>3889</v>
      </c>
      <c r="L1" s="805"/>
      <c r="M1" s="308"/>
    </row>
    <row r="2" spans="1:13" ht="49.5" customHeight="1">
      <c r="B2" s="810" t="s">
        <v>3873</v>
      </c>
      <c r="C2" s="811"/>
      <c r="D2" s="811"/>
      <c r="E2" s="811"/>
      <c r="F2" s="811"/>
      <c r="G2" s="811"/>
      <c r="H2" s="811"/>
      <c r="I2" s="811"/>
      <c r="K2" s="307" t="s">
        <v>4024</v>
      </c>
      <c r="L2" s="307" t="s">
        <v>2447</v>
      </c>
    </row>
    <row r="3" spans="1:13" ht="18" customHeight="1">
      <c r="B3" s="813" t="s">
        <v>4663</v>
      </c>
      <c r="C3" s="813"/>
      <c r="D3" s="813"/>
      <c r="E3" s="813"/>
      <c r="F3" s="813"/>
      <c r="G3" s="813"/>
      <c r="H3" s="813"/>
      <c r="I3" s="813"/>
      <c r="J3" s="309"/>
      <c r="K3" s="310" t="s">
        <v>0</v>
      </c>
      <c r="L3" s="708" t="s">
        <v>4351</v>
      </c>
    </row>
    <row r="4" spans="1:13" ht="18" customHeight="1">
      <c r="B4" s="813"/>
      <c r="C4" s="813"/>
      <c r="D4" s="813"/>
      <c r="E4" s="813"/>
      <c r="F4" s="813"/>
      <c r="G4" s="813"/>
      <c r="H4" s="813"/>
      <c r="I4" s="813"/>
      <c r="J4" s="309"/>
      <c r="K4" s="311" t="s">
        <v>1</v>
      </c>
      <c r="L4" s="312" t="s">
        <v>4347</v>
      </c>
    </row>
    <row r="5" spans="1:13" ht="18" customHeight="1">
      <c r="B5" s="813"/>
      <c r="C5" s="813"/>
      <c r="D5" s="813"/>
      <c r="E5" s="813"/>
      <c r="F5" s="813"/>
      <c r="G5" s="813"/>
      <c r="H5" s="813"/>
      <c r="I5" s="813"/>
      <c r="J5" s="309"/>
      <c r="K5" s="312" t="s">
        <v>2</v>
      </c>
      <c r="L5" s="312" t="s">
        <v>4348</v>
      </c>
    </row>
    <row r="6" spans="1:13" ht="18" customHeight="1">
      <c r="B6" s="813"/>
      <c r="C6" s="813"/>
      <c r="D6" s="813"/>
      <c r="E6" s="813"/>
      <c r="F6" s="813"/>
      <c r="G6" s="813"/>
      <c r="H6" s="813"/>
      <c r="I6" s="813"/>
      <c r="J6" s="309"/>
      <c r="K6" s="312" t="s">
        <v>3</v>
      </c>
      <c r="L6" s="312" t="s">
        <v>4349</v>
      </c>
    </row>
    <row r="7" spans="1:13" ht="18" customHeight="1">
      <c r="B7" s="813"/>
      <c r="C7" s="813"/>
      <c r="D7" s="813"/>
      <c r="E7" s="813"/>
      <c r="F7" s="813"/>
      <c r="G7" s="813"/>
      <c r="H7" s="813"/>
      <c r="I7" s="813"/>
      <c r="J7" s="309"/>
      <c r="K7" s="312" t="s">
        <v>4</v>
      </c>
      <c r="L7" s="312" t="s">
        <v>4350</v>
      </c>
    </row>
    <row r="8" spans="1:13" ht="18" customHeight="1">
      <c r="B8" s="813"/>
      <c r="C8" s="813"/>
      <c r="D8" s="813"/>
      <c r="E8" s="813"/>
      <c r="F8" s="813"/>
      <c r="G8" s="813"/>
      <c r="H8" s="813"/>
      <c r="I8" s="813"/>
      <c r="J8" s="309"/>
      <c r="K8" s="312" t="s">
        <v>5</v>
      </c>
      <c r="L8" s="708" t="s">
        <v>4352</v>
      </c>
    </row>
    <row r="9" spans="1:13" ht="18" customHeight="1">
      <c r="B9" s="813"/>
      <c r="C9" s="813"/>
      <c r="D9" s="813"/>
      <c r="E9" s="813"/>
      <c r="F9" s="813"/>
      <c r="G9" s="813"/>
      <c r="H9" s="813"/>
      <c r="I9" s="813"/>
      <c r="J9" s="309"/>
      <c r="K9" s="312" t="s">
        <v>6</v>
      </c>
      <c r="L9" s="312" t="s">
        <v>2810</v>
      </c>
    </row>
    <row r="10" spans="1:13" ht="18" customHeight="1">
      <c r="B10" s="813"/>
      <c r="C10" s="813"/>
      <c r="D10" s="813"/>
      <c r="E10" s="813"/>
      <c r="F10" s="813"/>
      <c r="G10" s="813"/>
      <c r="H10" s="813"/>
      <c r="I10" s="813"/>
      <c r="J10" s="309"/>
      <c r="K10" s="312" t="s">
        <v>7</v>
      </c>
      <c r="L10" s="313" t="s">
        <v>2369</v>
      </c>
    </row>
    <row r="11" spans="1:13" ht="18" customHeight="1">
      <c r="B11" s="813"/>
      <c r="C11" s="813"/>
      <c r="D11" s="813"/>
      <c r="E11" s="813"/>
      <c r="F11" s="813"/>
      <c r="G11" s="813"/>
      <c r="H11" s="813"/>
      <c r="I11" s="813"/>
      <c r="J11" s="309"/>
      <c r="K11" s="312" t="s">
        <v>3928</v>
      </c>
      <c r="L11" s="312" t="s">
        <v>3133</v>
      </c>
    </row>
    <row r="12" spans="1:13" ht="18" customHeight="1">
      <c r="B12" s="813"/>
      <c r="C12" s="813"/>
      <c r="D12" s="813"/>
      <c r="E12" s="813"/>
      <c r="F12" s="813"/>
      <c r="G12" s="813"/>
      <c r="H12" s="813"/>
      <c r="I12" s="813"/>
      <c r="J12" s="309"/>
      <c r="K12" s="312" t="s">
        <v>8</v>
      </c>
      <c r="L12" s="803" t="s">
        <v>2444</v>
      </c>
    </row>
    <row r="13" spans="1:13" ht="18" customHeight="1">
      <c r="B13" s="813"/>
      <c r="C13" s="813"/>
      <c r="D13" s="813"/>
      <c r="E13" s="813"/>
      <c r="F13" s="813"/>
      <c r="G13" s="813"/>
      <c r="H13" s="813"/>
      <c r="I13" s="813"/>
      <c r="J13" s="309"/>
      <c r="K13" s="312" t="s">
        <v>9</v>
      </c>
      <c r="L13" s="804"/>
    </row>
    <row r="14" spans="1:13" ht="18" customHeight="1">
      <c r="B14" s="813"/>
      <c r="C14" s="813"/>
      <c r="D14" s="813"/>
      <c r="E14" s="813"/>
      <c r="F14" s="813"/>
      <c r="G14" s="813"/>
      <c r="H14" s="813"/>
      <c r="I14" s="813"/>
      <c r="J14" s="309"/>
      <c r="K14" s="312" t="s">
        <v>10</v>
      </c>
      <c r="L14" s="312" t="s">
        <v>4150</v>
      </c>
    </row>
    <row r="15" spans="1:13" ht="18" customHeight="1">
      <c r="B15" s="813"/>
      <c r="C15" s="813"/>
      <c r="D15" s="813"/>
      <c r="E15" s="813"/>
      <c r="F15" s="813"/>
      <c r="G15" s="813"/>
      <c r="H15" s="813"/>
      <c r="I15" s="813"/>
      <c r="J15" s="309"/>
      <c r="K15" s="312" t="s">
        <v>11</v>
      </c>
      <c r="L15" s="312" t="s">
        <v>3265</v>
      </c>
    </row>
    <row r="16" spans="1:13" ht="18" customHeight="1">
      <c r="B16" s="813"/>
      <c r="C16" s="813"/>
      <c r="D16" s="813"/>
      <c r="E16" s="813"/>
      <c r="F16" s="813"/>
      <c r="G16" s="813"/>
      <c r="H16" s="813"/>
      <c r="I16" s="813"/>
      <c r="J16" s="309"/>
      <c r="K16" s="312" t="s">
        <v>12</v>
      </c>
      <c r="L16" s="802" t="s">
        <v>4650</v>
      </c>
    </row>
    <row r="17" spans="2:12" ht="18" customHeight="1">
      <c r="B17" s="813"/>
      <c r="C17" s="813"/>
      <c r="D17" s="813"/>
      <c r="E17" s="813"/>
      <c r="F17" s="813"/>
      <c r="G17" s="813"/>
      <c r="H17" s="813"/>
      <c r="I17" s="813"/>
      <c r="J17" s="309"/>
      <c r="K17" s="312" t="s">
        <v>13</v>
      </c>
      <c r="L17" s="802"/>
    </row>
    <row r="18" spans="2:12" ht="18" customHeight="1">
      <c r="B18" s="813"/>
      <c r="C18" s="813"/>
      <c r="D18" s="813"/>
      <c r="E18" s="813"/>
      <c r="F18" s="813"/>
      <c r="G18" s="813"/>
      <c r="H18" s="813"/>
      <c r="I18" s="813"/>
      <c r="J18" s="309"/>
      <c r="K18" s="312" t="s">
        <v>14</v>
      </c>
      <c r="L18" s="313" t="s">
        <v>4649</v>
      </c>
    </row>
    <row r="19" spans="2:12" ht="18" customHeight="1">
      <c r="B19" s="813"/>
      <c r="C19" s="813"/>
      <c r="D19" s="813"/>
      <c r="E19" s="813"/>
      <c r="F19" s="813"/>
      <c r="G19" s="813"/>
      <c r="H19" s="813"/>
      <c r="I19" s="813"/>
      <c r="J19" s="309"/>
      <c r="K19" s="312" t="s">
        <v>15</v>
      </c>
      <c r="L19" s="312" t="s">
        <v>3680</v>
      </c>
    </row>
    <row r="20" spans="2:12" ht="18" customHeight="1">
      <c r="B20" s="813"/>
      <c r="C20" s="813"/>
      <c r="D20" s="813"/>
      <c r="E20" s="813"/>
      <c r="F20" s="813"/>
      <c r="G20" s="813"/>
      <c r="H20" s="813"/>
      <c r="I20" s="813"/>
      <c r="J20" s="309"/>
      <c r="K20" s="312" t="s">
        <v>16</v>
      </c>
      <c r="L20" s="312" t="s">
        <v>3758</v>
      </c>
    </row>
    <row r="21" spans="2:12" ht="18" customHeight="1">
      <c r="B21" s="813"/>
      <c r="C21" s="813"/>
      <c r="D21" s="813"/>
      <c r="E21" s="813"/>
      <c r="F21" s="813"/>
      <c r="G21" s="813"/>
      <c r="H21" s="813"/>
      <c r="I21" s="813"/>
      <c r="J21" s="309"/>
      <c r="K21" s="312" t="s">
        <v>17</v>
      </c>
      <c r="L21" s="312" t="s">
        <v>3827</v>
      </c>
    </row>
    <row r="22" spans="2:12" ht="18" customHeight="1">
      <c r="B22" s="813"/>
      <c r="C22" s="813"/>
      <c r="D22" s="813"/>
      <c r="E22" s="813"/>
      <c r="F22" s="813"/>
      <c r="G22" s="813"/>
      <c r="H22" s="813"/>
      <c r="I22" s="813"/>
      <c r="J22" s="309"/>
      <c r="K22" s="312" t="s">
        <v>18</v>
      </c>
      <c r="L22" s="803" t="s">
        <v>4651</v>
      </c>
    </row>
    <row r="23" spans="2:12" ht="18" customHeight="1">
      <c r="B23" s="813"/>
      <c r="C23" s="813"/>
      <c r="D23" s="813"/>
      <c r="E23" s="813"/>
      <c r="F23" s="813"/>
      <c r="G23" s="813"/>
      <c r="H23" s="813"/>
      <c r="I23" s="813"/>
      <c r="J23" s="309"/>
      <c r="K23" s="312" t="s">
        <v>19</v>
      </c>
      <c r="L23" s="804"/>
    </row>
    <row r="24" spans="2:12" ht="18" customHeight="1">
      <c r="B24" s="813"/>
      <c r="C24" s="813"/>
      <c r="D24" s="813"/>
      <c r="E24" s="813"/>
      <c r="F24" s="813"/>
      <c r="G24" s="813"/>
      <c r="H24" s="813"/>
      <c r="I24" s="813"/>
      <c r="J24" s="309"/>
      <c r="K24" s="312" t="s">
        <v>20</v>
      </c>
      <c r="L24" s="312" t="s">
        <v>3871</v>
      </c>
    </row>
    <row r="25" spans="2:12" ht="18" customHeight="1">
      <c r="B25" s="813"/>
      <c r="C25" s="813"/>
      <c r="D25" s="813"/>
      <c r="E25" s="813"/>
      <c r="F25" s="813"/>
      <c r="G25" s="813"/>
      <c r="H25" s="813"/>
      <c r="I25" s="813"/>
      <c r="J25" s="309"/>
      <c r="K25" s="312" t="s">
        <v>21</v>
      </c>
      <c r="L25" s="312" t="s">
        <v>4659</v>
      </c>
    </row>
    <row r="26" spans="2:12" ht="15" customHeight="1">
      <c r="B26" s="812" t="s">
        <v>4610</v>
      </c>
      <c r="C26" s="812"/>
      <c r="D26" s="812"/>
      <c r="E26" s="812"/>
      <c r="F26" s="812"/>
      <c r="G26" s="812"/>
      <c r="H26" s="812"/>
      <c r="I26" s="812"/>
      <c r="J26" s="309"/>
      <c r="K26" s="312" t="s">
        <v>22</v>
      </c>
      <c r="L26" s="312" t="s">
        <v>4344</v>
      </c>
    </row>
    <row r="27" spans="2:12" ht="15" customHeight="1">
      <c r="B27" s="812"/>
      <c r="C27" s="812"/>
      <c r="D27" s="812"/>
      <c r="E27" s="812"/>
      <c r="F27" s="812"/>
      <c r="G27" s="812"/>
      <c r="H27" s="812"/>
      <c r="I27" s="812"/>
      <c r="J27" s="309"/>
      <c r="K27" s="312" t="s">
        <v>23</v>
      </c>
      <c r="L27" s="310" t="s">
        <v>4576</v>
      </c>
    </row>
    <row r="28" spans="2:12" ht="15" customHeight="1">
      <c r="B28" s="813" t="s">
        <v>4664</v>
      </c>
      <c r="C28" s="813"/>
      <c r="D28" s="813"/>
      <c r="E28" s="813"/>
      <c r="F28" s="813"/>
      <c r="G28" s="813"/>
      <c r="H28" s="813"/>
      <c r="I28" s="813"/>
      <c r="J28" s="309"/>
      <c r="K28" s="312" t="s">
        <v>24</v>
      </c>
      <c r="L28" s="314"/>
    </row>
    <row r="29" spans="2:12" ht="15" customHeight="1">
      <c r="B29" s="813"/>
      <c r="C29" s="813"/>
      <c r="D29" s="813"/>
      <c r="E29" s="813"/>
      <c r="F29" s="813"/>
      <c r="G29" s="813"/>
      <c r="H29" s="813"/>
      <c r="I29" s="813"/>
      <c r="J29" s="309"/>
      <c r="K29" s="312" t="s">
        <v>25</v>
      </c>
      <c r="L29" s="314"/>
    </row>
    <row r="30" spans="2:12" ht="15" customHeight="1">
      <c r="B30" s="813"/>
      <c r="C30" s="813"/>
      <c r="D30" s="813"/>
      <c r="E30" s="813"/>
      <c r="F30" s="813"/>
      <c r="G30" s="813"/>
      <c r="H30" s="813"/>
      <c r="I30" s="813"/>
      <c r="J30" s="309"/>
      <c r="K30" s="312" t="s">
        <v>26</v>
      </c>
      <c r="L30" s="314"/>
    </row>
    <row r="31" spans="2:12" ht="15" customHeight="1">
      <c r="B31" s="813"/>
      <c r="C31" s="813"/>
      <c r="D31" s="813"/>
      <c r="E31" s="813"/>
      <c r="F31" s="813"/>
      <c r="G31" s="813"/>
      <c r="H31" s="813"/>
      <c r="I31" s="813"/>
      <c r="J31" s="309"/>
      <c r="K31" s="312" t="s">
        <v>27</v>
      </c>
      <c r="L31" s="314"/>
    </row>
    <row r="32" spans="2:12" ht="15" customHeight="1">
      <c r="B32" s="813"/>
      <c r="C32" s="813"/>
      <c r="D32" s="813"/>
      <c r="E32" s="813"/>
      <c r="F32" s="813"/>
      <c r="G32" s="813"/>
      <c r="H32" s="813"/>
      <c r="I32" s="813"/>
      <c r="J32" s="309"/>
      <c r="K32" s="312" t="s">
        <v>28</v>
      </c>
      <c r="L32" s="314"/>
    </row>
    <row r="33" spans="2:12" ht="15" customHeight="1">
      <c r="B33" s="813"/>
      <c r="C33" s="813"/>
      <c r="D33" s="813"/>
      <c r="E33" s="813"/>
      <c r="F33" s="813"/>
      <c r="G33" s="813"/>
      <c r="H33" s="813"/>
      <c r="I33" s="813"/>
      <c r="J33" s="309"/>
      <c r="K33" s="312" t="s">
        <v>29</v>
      </c>
      <c r="L33" s="314"/>
    </row>
    <row r="34" spans="2:12" ht="15" customHeight="1">
      <c r="B34" s="813"/>
      <c r="C34" s="813"/>
      <c r="D34" s="813"/>
      <c r="E34" s="813"/>
      <c r="F34" s="813"/>
      <c r="G34" s="813"/>
      <c r="H34" s="813"/>
      <c r="I34" s="813"/>
      <c r="K34" s="312" t="s">
        <v>30</v>
      </c>
      <c r="L34" s="314"/>
    </row>
    <row r="35" spans="2:12" ht="15" customHeight="1">
      <c r="B35" s="813"/>
      <c r="C35" s="813"/>
      <c r="D35" s="813"/>
      <c r="E35" s="813"/>
      <c r="F35" s="813"/>
      <c r="G35" s="813"/>
      <c r="H35" s="813"/>
      <c r="I35" s="813"/>
      <c r="K35" s="706" t="s">
        <v>2273</v>
      </c>
      <c r="L35" s="314"/>
    </row>
    <row r="36" spans="2:12" ht="15" customHeight="1">
      <c r="B36" s="813"/>
      <c r="C36" s="813"/>
      <c r="D36" s="813"/>
      <c r="E36" s="813"/>
      <c r="F36" s="813"/>
      <c r="G36" s="813"/>
      <c r="H36" s="813"/>
      <c r="I36" s="813"/>
      <c r="K36" s="310" t="s">
        <v>3930</v>
      </c>
      <c r="L36" s="314"/>
    </row>
    <row r="37" spans="2:12" ht="23.25" customHeight="1" thickBot="1">
      <c r="B37" s="814"/>
      <c r="C37" s="814"/>
      <c r="D37" s="814"/>
      <c r="E37" s="814"/>
      <c r="F37" s="814"/>
      <c r="G37" s="814"/>
      <c r="H37" s="814"/>
      <c r="I37" s="814"/>
      <c r="K37" s="312" t="s">
        <v>3931</v>
      </c>
      <c r="L37" s="314"/>
    </row>
    <row r="38" spans="2:12" ht="21" customHeight="1" thickBot="1">
      <c r="B38" s="807" t="s">
        <v>4665</v>
      </c>
      <c r="C38" s="808"/>
      <c r="D38" s="808"/>
      <c r="E38" s="808"/>
      <c r="F38" s="808"/>
      <c r="G38" s="808"/>
      <c r="H38" s="808"/>
      <c r="I38" s="809"/>
      <c r="K38" s="315"/>
      <c r="L38" s="312" t="s">
        <v>4140</v>
      </c>
    </row>
  </sheetData>
  <sheetProtection algorithmName="SHA-512" hashValue="n+353PIszvFPnO6AKeVyAw0K3WDKriU93uVmBAbNXydhWcQSCeuSn0ni69D0zM0uytC7820Uv62n1xX3lv66lQ==" saltValue="Qnis4LY9cPXc7e+3m2VIkQ==" spinCount="100000" sheet="1" objects="1" scenarios="1"/>
  <mergeCells count="10">
    <mergeCell ref="B38:I38"/>
    <mergeCell ref="B2:I2"/>
    <mergeCell ref="B26:I27"/>
    <mergeCell ref="B28:I37"/>
    <mergeCell ref="B3:I25"/>
    <mergeCell ref="L16:L17"/>
    <mergeCell ref="L22:L23"/>
    <mergeCell ref="K1:L1"/>
    <mergeCell ref="B1:I1"/>
    <mergeCell ref="L12:L13"/>
  </mergeCells>
  <hyperlinks>
    <hyperlink ref="K9" location="Frankreich!A1" display="Frankreich" xr:uid="{9A1122C5-1282-40F7-9E53-7FF52F197DDD}"/>
    <hyperlink ref="K3" location="B" display="Belgien" xr:uid="{B436D3EA-9519-4059-B907-0589C9AAB0A4}"/>
    <hyperlink ref="K4" location="BG" display="Bulgarien" xr:uid="{5BE609F1-263E-4EDD-B3CE-282F7E46B78D}"/>
    <hyperlink ref="K5" location="DK" display="Dänemark" xr:uid="{5950B987-FBD3-4EE1-864D-483AED9DD708}"/>
    <hyperlink ref="K6" location="D" display="Deutschland" xr:uid="{BCCD28DB-D411-469D-8384-7C7D89D6107A}"/>
    <hyperlink ref="K7" location="EST" display="Estland" xr:uid="{E5818378-22D9-46FD-B302-A68B28C8BA08}"/>
    <hyperlink ref="K8" location="FIN" display="Finnland" xr:uid="{0E21852F-5C4B-4953-97D5-F3D13B3C779D}"/>
    <hyperlink ref="K10" location="GR" display="Griechenland" xr:uid="{426CD0C3-87CF-42B3-9810-D5C7AE0E76DB}"/>
    <hyperlink ref="K12" location="I" display="Irland" xr:uid="{1238949A-821D-41FF-9CC5-11660622B29A}"/>
    <hyperlink ref="K13" location="IS" display="Island" xr:uid="{3448A2F6-E112-4EBC-9C08-31E4C5ECEC52}"/>
    <hyperlink ref="K14" location="I" display="Italien" xr:uid="{32815699-668C-4CAB-9572-BCF8CA735727}"/>
    <hyperlink ref="K15" location="HR" display="Kroatien" xr:uid="{2E5CABDB-5907-46ED-B4EE-44FB8F5D7060}"/>
    <hyperlink ref="K16" location="LV" display="Lettland" xr:uid="{75539A61-5C95-406D-89D6-6D829DEF2D45}"/>
    <hyperlink ref="K17" location="FL" display="Liechtenstein" xr:uid="{5F27DF9C-3200-4755-941B-C840BC77859E}"/>
    <hyperlink ref="K18" location="LT" display="Litauen" xr:uid="{729B6876-43DD-4EE1-B79C-CBA7592CC1D4}"/>
    <hyperlink ref="K19" location="L" display="Luxemburg" xr:uid="{2F69EE20-D446-464F-ACC1-34A05BD21869}"/>
    <hyperlink ref="K20" location="M" display="Malta" xr:uid="{B88F2DBF-6D28-433A-8721-3A54A8FD71AF}"/>
    <hyperlink ref="K21" location="NL" display="Niederlande" xr:uid="{C16F34C2-144E-4129-92EE-EF5307FEA335}"/>
    <hyperlink ref="K22" location="N" display="Norwegen" xr:uid="{4023317F-1FE4-433F-B6C6-E33C73127CA0}"/>
    <hyperlink ref="K23" location="A" display="Österreich" xr:uid="{75117FFC-81B5-4A3D-951A-1E4A3DA347FE}"/>
    <hyperlink ref="K24" location="PL" display="Polen" xr:uid="{5C0B39F3-FAA9-4333-B7CE-D30F7284E049}"/>
    <hyperlink ref="K25" location="P" display="Portugal" xr:uid="{A3DDD5B1-DA6D-460C-8D2F-526D9F3D2224}"/>
    <hyperlink ref="K26" location="RO" display="Rumänien" xr:uid="{4A3FD404-099F-4238-8946-7C4F4C0116E0}"/>
    <hyperlink ref="K28" location="CH" display="Schweiz" xr:uid="{BCC2F3AC-97F7-4D8F-8449-239EC7E94971}"/>
    <hyperlink ref="K29" location="SK" display="Slowakei" xr:uid="{EF0606E9-B97C-4BFB-AC12-172565210247}"/>
    <hyperlink ref="K30" location="SLO" display="Slowenien" xr:uid="{9D307304-871D-4BBD-98CA-C4CF98B44AA3}"/>
    <hyperlink ref="K31" location="E" display="Spanien" xr:uid="{CCC61552-49A0-44B0-9EF7-89C682B5EB7F}"/>
    <hyperlink ref="K32" location="CZ" display="Tschechische Republik" xr:uid="{FEF3BD87-EA00-4F69-9F66-6E767DDFF1EC}"/>
    <hyperlink ref="K33" location="H" display="Ungarn" xr:uid="{227A1E4D-0E9F-4C59-A18A-85591A3269D8}"/>
    <hyperlink ref="K34" location="CY" display="Zypern" xr:uid="{A57EE2D5-12AF-4AAB-B8FA-6C82C43192EB}"/>
    <hyperlink ref="K27" location="Schwe" display="Schweden" xr:uid="{313E2B20-5401-4876-B8A2-603DF4DF2691}"/>
    <hyperlink ref="L10:L11" location="Auskunftgeber" display="Auskunft erteilende Staaten" xr:uid="{F643C26C-9052-4D8F-8E4C-819D896C147A}"/>
    <hyperlink ref="L11" location="Dynamisierung" display="Dynamik der EU-Rnten" xr:uid="{D36363AA-0864-433C-B526-39132C0C39C2}"/>
    <hyperlink ref="B38:I38" r:id="rId1" display="Wenn Sie Fehler finden oder Verbesserungsvorschläge haben: Hauss@Anwaelte-DU.de" xr:uid="{4D1CEE82-D2A2-4FA8-AD54-9CA0E1FF8F75}"/>
    <hyperlink ref="L18" location="Inflation!A1" display="Inflation in der EU" xr:uid="{F33F60BF-8010-4D21-ADB2-3513798045CA}"/>
    <hyperlink ref="L15" location="Entscheidungen" display="Rechtsprechung (verlinkt)" xr:uid="{D0661909-B645-4CD8-A1AA-38F32A56173B}"/>
    <hyperlink ref="L19" location="Lebenshaltungskostenvergleich" display="Lebenskostenvergleich Europa" xr:uid="{C29EA4B2-E1A2-4EAA-BD26-D7C58F61EEC8}"/>
    <hyperlink ref="L20" location="GHR_Ziel" display="Geschiedenen-Hinterbliebenen-Versrg.?" xr:uid="{1708CD0F-E32A-479F-8901-E07E13B09F5D}"/>
    <hyperlink ref="L21" location="Rentenrechner" display="Rentenechnner für EU- &amp; EFTA-Länder" xr:uid="{87031794-0B3F-44C9-9EBD-4C4D8256620C}"/>
    <hyperlink ref="L24" location="Lebenserwartung" display="Lebenserwartung EU &amp; EFTA" xr:uid="{F208C8D9-8750-4BC6-9774-ADA7E9FB934E}"/>
    <hyperlink ref="K11" location="K_GB" display="Großbritannien" xr:uid="{F35B373A-9124-4CB6-9701-9EFC2BF7B4AC}"/>
    <hyperlink ref="L14" location="DRV_Verbindungsstellen" display="DRV-Verbindungsstellen" xr:uid="{3F4AE506-2384-4206-B8F3-85411EA93A4C}"/>
    <hyperlink ref="L25" location="Lebenserwartung_weltweit" display="Lebenserwartung weltweit" xr:uid="{8D0723F9-E17F-434C-AA1A-7DB5AC5B996E}"/>
    <hyperlink ref="L26" location="'Parameter DRV'!A1" display="VA-Parameter seit 1977 DRV" xr:uid="{E4C3B88A-6AA0-4266-B44A-B6D3A8DD80EC}"/>
    <hyperlink ref="L38" location="'KI-Prompts'!A1" display="benutzte KI-Prompts" xr:uid="{6787B352-4F49-4349-A5D3-0A68EA3760B7}"/>
    <hyperlink ref="L4" location="Abfindungsberechnung!A1" display="Abfindungsberechnung Dateneingabe" xr:uid="{4C7ED687-2D22-4C35-B87B-3824203A219D}"/>
    <hyperlink ref="L5" location="'Abfindung Methode 1'!A1" display="Abfindung Methode1" xr:uid="{5F165D14-6DB5-44D9-A169-ACA3F265AF20}"/>
    <hyperlink ref="L6" location="'Abfindung Methode 2'!A1" display="Abfindung Methode2" xr:uid="{E063A4D5-86C5-4060-9476-83B6B0F75C54}"/>
    <hyperlink ref="L7" location="'Abfindung Methode 3'!A1" display="Abfindung Methode3" xr:uid="{AB5621BA-A101-45BB-9D90-74B5A62167E1}"/>
    <hyperlink ref="L9" location="Kurzübersicht!A1" display="Kurzübersicht" xr:uid="{7F8B204B-31DB-4CCE-AFA5-3027438220C3}"/>
    <hyperlink ref="K35" location="Länderübersicht" display="Australien" xr:uid="{418F2A69-DA82-415C-9923-4B664F78D694}"/>
    <hyperlink ref="K36" location="Länderübersicht" display="Kanada" xr:uid="{A19431E4-C984-491F-923D-1F1C2EA648B8}"/>
    <hyperlink ref="K37" location="Länderübersicht" display="Neuseeland" xr:uid="{262A7B99-24B6-4C31-8A64-77ABE594ACA0}"/>
    <hyperlink ref="L27" location="Kapitalisierungsmöglichkeit!A1" display="Kapitalisierung II. Säule" xr:uid="{08B74A43-F204-4E98-8097-DF026D2DFA57}"/>
  </hyperlinks>
  <pageMargins left="0.7" right="0.7" top="0.78740157499999996" bottom="0.78740157499999996"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9</xdr:col>
                    <xdr:colOff>0</xdr:colOff>
                    <xdr:row>16</xdr:row>
                    <xdr:rowOff>114300</xdr:rowOff>
                  </from>
                  <to>
                    <xdr:col>9</xdr:col>
                    <xdr:colOff>390525</xdr:colOff>
                    <xdr:row>17</xdr:row>
                    <xdr:rowOff>95250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03918-88AC-4989-AA0C-33C7FA01CF88}">
  <sheetPr codeName="Tabelle73"/>
  <dimension ref="B1:B42"/>
  <sheetViews>
    <sheetView workbookViewId="0">
      <selection activeCell="B1" sqref="B1:B42"/>
    </sheetView>
  </sheetViews>
  <sheetFormatPr baseColWidth="10" defaultRowHeight="15"/>
  <cols>
    <col min="2" max="2" width="76.42578125" customWidth="1"/>
  </cols>
  <sheetData>
    <row r="1" spans="2:2" ht="15" customHeight="1">
      <c r="B1" s="815" t="s">
        <v>4346</v>
      </c>
    </row>
    <row r="2" spans="2:2">
      <c r="B2" s="815"/>
    </row>
    <row r="3" spans="2:2">
      <c r="B3" s="815"/>
    </row>
    <row r="4" spans="2:2">
      <c r="B4" s="815"/>
    </row>
    <row r="5" spans="2:2">
      <c r="B5" s="815"/>
    </row>
    <row r="6" spans="2:2">
      <c r="B6" s="815"/>
    </row>
    <row r="7" spans="2:2">
      <c r="B7" s="815"/>
    </row>
    <row r="8" spans="2:2">
      <c r="B8" s="815"/>
    </row>
    <row r="9" spans="2:2">
      <c r="B9" s="815"/>
    </row>
    <row r="10" spans="2:2">
      <c r="B10" s="815"/>
    </row>
    <row r="11" spans="2:2">
      <c r="B11" s="815"/>
    </row>
    <row r="12" spans="2:2">
      <c r="B12" s="815"/>
    </row>
    <row r="13" spans="2:2">
      <c r="B13" s="815"/>
    </row>
    <row r="14" spans="2:2">
      <c r="B14" s="815"/>
    </row>
    <row r="15" spans="2:2">
      <c r="B15" s="815"/>
    </row>
    <row r="16" spans="2:2">
      <c r="B16" s="815"/>
    </row>
    <row r="17" spans="2:2">
      <c r="B17" s="815"/>
    </row>
    <row r="18" spans="2:2">
      <c r="B18" s="815"/>
    </row>
    <row r="19" spans="2:2">
      <c r="B19" s="815"/>
    </row>
    <row r="20" spans="2:2">
      <c r="B20" s="815"/>
    </row>
    <row r="21" spans="2:2">
      <c r="B21" s="815"/>
    </row>
    <row r="22" spans="2:2">
      <c r="B22" s="815"/>
    </row>
    <row r="23" spans="2:2">
      <c r="B23" s="815"/>
    </row>
    <row r="24" spans="2:2">
      <c r="B24" s="815"/>
    </row>
    <row r="25" spans="2:2">
      <c r="B25" s="815"/>
    </row>
    <row r="26" spans="2:2">
      <c r="B26" s="815"/>
    </row>
    <row r="27" spans="2:2">
      <c r="B27" s="815"/>
    </row>
    <row r="28" spans="2:2">
      <c r="B28" s="815"/>
    </row>
    <row r="29" spans="2:2">
      <c r="B29" s="815"/>
    </row>
    <row r="30" spans="2:2">
      <c r="B30" s="815"/>
    </row>
    <row r="31" spans="2:2">
      <c r="B31" s="815"/>
    </row>
    <row r="32" spans="2:2">
      <c r="B32" s="815"/>
    </row>
    <row r="33" spans="2:2">
      <c r="B33" s="815"/>
    </row>
    <row r="34" spans="2:2">
      <c r="B34" s="815"/>
    </row>
    <row r="35" spans="2:2">
      <c r="B35" s="815"/>
    </row>
    <row r="36" spans="2:2">
      <c r="B36" s="815"/>
    </row>
    <row r="37" spans="2:2">
      <c r="B37" s="815"/>
    </row>
    <row r="38" spans="2:2">
      <c r="B38" s="815"/>
    </row>
    <row r="39" spans="2:2">
      <c r="B39" s="815"/>
    </row>
    <row r="40" spans="2:2">
      <c r="B40" s="815"/>
    </row>
    <row r="41" spans="2:2">
      <c r="B41" s="815"/>
    </row>
    <row r="42" spans="2:2">
      <c r="B42" s="815"/>
    </row>
  </sheetData>
  <sheetProtection algorithmName="SHA-512" hashValue="JXC0CCBcBmYGjndhTSe/rDiXsjBN+O1bH8BNh/VYgKubmS/VIwNe+oKSzHKSJRd/NAkUomNiskcSIQREDFcKHQ==" saltValue="c/P65iwnYKxoiHZ+MMx/Cg==" spinCount="100000" sheet="1" objects="1" scenarios="1"/>
  <mergeCells count="1">
    <mergeCell ref="B1:B4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76</vt:i4>
      </vt:variant>
      <vt:variant>
        <vt:lpstr>Benannte Bereiche</vt:lpstr>
      </vt:variant>
      <vt:variant>
        <vt:i4>288</vt:i4>
      </vt:variant>
    </vt:vector>
  </HeadingPairs>
  <TitlesOfParts>
    <vt:vector size="364" baseType="lpstr">
      <vt:lpstr>Lebenserwartung_N</vt:lpstr>
      <vt:lpstr>Lebenserwartung_F</vt:lpstr>
      <vt:lpstr>Lebenserwartung_M</vt:lpstr>
      <vt:lpstr>Kohorte_W</vt:lpstr>
      <vt:lpstr>Kohorte_D</vt:lpstr>
      <vt:lpstr>Kohorte_M</vt:lpstr>
      <vt:lpstr>Vorweg</vt:lpstr>
      <vt:lpstr>Start</vt:lpstr>
      <vt:lpstr>Makrotext</vt:lpstr>
      <vt:lpstr>Verschiedenes</vt:lpstr>
      <vt:lpstr>Abfindungsberechnung</vt:lpstr>
      <vt:lpstr>BilMoG</vt:lpstr>
      <vt:lpstr>Günstigkeitsprüfung</vt:lpstr>
      <vt:lpstr>Abfindung Methode 1</vt:lpstr>
      <vt:lpstr>Abfindung Methode 2</vt:lpstr>
      <vt:lpstr>HRIR60</vt:lpstr>
      <vt:lpstr>HRIR61</vt:lpstr>
      <vt:lpstr>HRIR62</vt:lpstr>
      <vt:lpstr>HRIR63</vt:lpstr>
      <vt:lpstr>HRIR64</vt:lpstr>
      <vt:lpstr>HRIR65</vt:lpstr>
      <vt:lpstr>HRIR66</vt:lpstr>
      <vt:lpstr>HRIR67</vt:lpstr>
      <vt:lpstr>Abfindung Methode 3</vt:lpstr>
      <vt:lpstr>Länderberichte</vt:lpstr>
      <vt:lpstr>Kurzübersicht</vt:lpstr>
      <vt:lpstr>Belgien</vt:lpstr>
      <vt:lpstr>Bulgarien</vt:lpstr>
      <vt:lpstr>Dänemark</vt:lpstr>
      <vt:lpstr>Deutschland</vt:lpstr>
      <vt:lpstr>Estland</vt:lpstr>
      <vt:lpstr>Finnland</vt:lpstr>
      <vt:lpstr>Frankreich</vt:lpstr>
      <vt:lpstr>Griechenland</vt:lpstr>
      <vt:lpstr>Irland</vt:lpstr>
      <vt:lpstr>Island</vt:lpstr>
      <vt:lpstr>Italien</vt:lpstr>
      <vt:lpstr>Kroatien</vt:lpstr>
      <vt:lpstr>Lettland</vt:lpstr>
      <vt:lpstr>Liechtenstein</vt:lpstr>
      <vt:lpstr>Litauen</vt:lpstr>
      <vt:lpstr>Luxemburg</vt:lpstr>
      <vt:lpstr>Malta</vt:lpstr>
      <vt:lpstr>Niederlande</vt:lpstr>
      <vt:lpstr>Norwegen</vt:lpstr>
      <vt:lpstr>Österreich</vt:lpstr>
      <vt:lpstr>Polen</vt:lpstr>
      <vt:lpstr>Portugal</vt:lpstr>
      <vt:lpstr>Rumänien</vt:lpstr>
      <vt:lpstr>Schweden</vt:lpstr>
      <vt:lpstr>Schweiz</vt:lpstr>
      <vt:lpstr>Slowakei</vt:lpstr>
      <vt:lpstr>Slowenien</vt:lpstr>
      <vt:lpstr>Spanien</vt:lpstr>
      <vt:lpstr>Tschechische Republik</vt:lpstr>
      <vt:lpstr>Ungarn</vt:lpstr>
      <vt:lpstr>Zypern</vt:lpstr>
      <vt:lpstr>Wer erteilt Auskunft</vt:lpstr>
      <vt:lpstr>Entscheidungen</vt:lpstr>
      <vt:lpstr>Tabelle3</vt:lpstr>
      <vt:lpstr>Links zu EU-Länderbroschüren</vt:lpstr>
      <vt:lpstr>DRV-Verbindungsstellen</vt:lpstr>
      <vt:lpstr>Dynamik EU-Renten</vt:lpstr>
      <vt:lpstr>Inflation</vt:lpstr>
      <vt:lpstr>Geschiedenen-Witwenversorgung</vt:lpstr>
      <vt:lpstr>Geschiedenen-HR-Rente</vt:lpstr>
      <vt:lpstr>Rentenrechner-Links</vt:lpstr>
      <vt:lpstr>Lebenshaltungskostenvergleich</vt:lpstr>
      <vt:lpstr>Lebenserwartung EU&amp;EFTA</vt:lpstr>
      <vt:lpstr>Lebenserwartung europaweit</vt:lpstr>
      <vt:lpstr>Kapitalisierungsmöglichkeit</vt:lpstr>
      <vt:lpstr>Parameter DRV</vt:lpstr>
      <vt:lpstr>KI-Prompts</vt:lpstr>
      <vt:lpstr>Renteneintritt DRV</vt:lpstr>
      <vt:lpstr>AOW_Niederlande</vt:lpstr>
      <vt:lpstr>NAV Norwegen</vt:lpstr>
      <vt:lpstr>A</vt:lpstr>
      <vt:lpstr>AbfindungMethode1</vt:lpstr>
      <vt:lpstr>AbfindungMethode2</vt:lpstr>
      <vt:lpstr>AbfindungMethode3</vt:lpstr>
      <vt:lpstr>Achtung</vt:lpstr>
      <vt:lpstr>aktRW_BerDat</vt:lpstr>
      <vt:lpstr>Alter_Ber</vt:lpstr>
      <vt:lpstr>Alter_Ber_sVA_Beginn</vt:lpstr>
      <vt:lpstr>Alter_BerDat_Ber</vt:lpstr>
      <vt:lpstr>Alter_Pfl</vt:lpstr>
      <vt:lpstr>Alter_Pfl_sVA_Beginn</vt:lpstr>
      <vt:lpstr>Alter_Pfl_sVABeginn</vt:lpstr>
      <vt:lpstr>Alter_sVA_Ber</vt:lpstr>
      <vt:lpstr>Alter_sVA_Pfl</vt:lpstr>
      <vt:lpstr>AlterBer_sVA_Beginn</vt:lpstr>
      <vt:lpstr>AlterEzE_Pfl</vt:lpstr>
      <vt:lpstr>AlterEzEBerZtpkt_Plf</vt:lpstr>
      <vt:lpstr>Anwartschaftsphase</vt:lpstr>
      <vt:lpstr>Anwartschaftsphase_Pfl</vt:lpstr>
      <vt:lpstr>Anwartschaftszeit_Pfl</vt:lpstr>
      <vt:lpstr>AnwZeit_Ber_BerDatbusDRVRente</vt:lpstr>
      <vt:lpstr>AnwZeitbisBer_Ztpkt</vt:lpstr>
      <vt:lpstr>AnwZeitPflbisFälligkeitsVA</vt:lpstr>
      <vt:lpstr>AterPfl_sVA_Beginn</vt:lpstr>
      <vt:lpstr>Auskunftgeber</vt:lpstr>
      <vt:lpstr>Auskunftsländer</vt:lpstr>
      <vt:lpstr>B</vt:lpstr>
      <vt:lpstr>Barwert1</vt:lpstr>
      <vt:lpstr>BarwertMethode1</vt:lpstr>
      <vt:lpstr>Belgien</vt:lpstr>
      <vt:lpstr>BG</vt:lpstr>
      <vt:lpstr>BilMoG</vt:lpstr>
      <vt:lpstr>BW_Methode1</vt:lpstr>
      <vt:lpstr>BW_Pfl_Berechnungsdatum</vt:lpstr>
      <vt:lpstr>BW_Pfl_Leistngsbeginn</vt:lpstr>
      <vt:lpstr>CH</vt:lpstr>
      <vt:lpstr>CY</vt:lpstr>
      <vt:lpstr>CZ</vt:lpstr>
      <vt:lpstr>D</vt:lpstr>
      <vt:lpstr>Dat_BebDat_Ber</vt:lpstr>
      <vt:lpstr>Dat_Ber</vt:lpstr>
      <vt:lpstr>Dat_GebDat_Ber</vt:lpstr>
      <vt:lpstr>Dat_GebDat_Pfl</vt:lpstr>
      <vt:lpstr>DBA</vt:lpstr>
      <vt:lpstr>Deutschland</vt:lpstr>
      <vt:lpstr>DK</vt:lpstr>
      <vt:lpstr>Doppelbesteuerung</vt:lpstr>
      <vt:lpstr>'Abfindung Methode 1'!Druckbereich</vt:lpstr>
      <vt:lpstr>'Abfindung Methode 2'!Druckbereich</vt:lpstr>
      <vt:lpstr>Abfindungsberechnung!Druckbereich</vt:lpstr>
      <vt:lpstr>'Wer erteilt Auskunft'!Druckbereich</vt:lpstr>
      <vt:lpstr>'Wer erteilt Auskunft'!Drucktitel</vt:lpstr>
      <vt:lpstr>DRV_Renteneintritt</vt:lpstr>
      <vt:lpstr>DRV_Rentensumme</vt:lpstr>
      <vt:lpstr>DRV_Verbindungsstellen</vt:lpstr>
      <vt:lpstr>DRVDynamik</vt:lpstr>
      <vt:lpstr>Dynamisierung</vt:lpstr>
      <vt:lpstr>Dynamisierungslinks</vt:lpstr>
      <vt:lpstr>E</vt:lpstr>
      <vt:lpstr>E_Aktenzeichen</vt:lpstr>
      <vt:lpstr>E_Beschlüsse</vt:lpstr>
      <vt:lpstr>E_BeschlussThema</vt:lpstr>
      <vt:lpstr>E_Land</vt:lpstr>
      <vt:lpstr>Endscheidungsländer</vt:lpstr>
      <vt:lpstr>Entscheidungen</vt:lpstr>
      <vt:lpstr>EP_BerDat</vt:lpstr>
      <vt:lpstr>EST</vt:lpstr>
      <vt:lpstr>EU_Laender</vt:lpstr>
      <vt:lpstr>EUEFTA_Rentenrechner</vt:lpstr>
      <vt:lpstr>EzE</vt:lpstr>
      <vt:lpstr>F</vt:lpstr>
      <vt:lpstr>Fälligkeit_sVA</vt:lpstr>
      <vt:lpstr>FIN</vt:lpstr>
      <vt:lpstr>FL</vt:lpstr>
      <vt:lpstr>Flagge_D</vt:lpstr>
      <vt:lpstr>Geschiedenen_HR_Rente</vt:lpstr>
      <vt:lpstr>GeschiedenenWitwenVersorgung</vt:lpstr>
      <vt:lpstr>Geschlecht_Ber</vt:lpstr>
      <vt:lpstr>GeschlechtsNr_Ber</vt:lpstr>
      <vt:lpstr>GeschlechtsNr_Pfl</vt:lpstr>
      <vt:lpstr>GHR_Ziel</vt:lpstr>
      <vt:lpstr>GR</vt:lpstr>
      <vt:lpstr>GrundInfo</vt:lpstr>
      <vt:lpstr>H</vt:lpstr>
      <vt:lpstr>HEIR66</vt:lpstr>
      <vt:lpstr>Hinterbliebenen</vt:lpstr>
      <vt:lpstr>Hinterbliebenensatz</vt:lpstr>
      <vt:lpstr>Hinterbliebenenzuschlag</vt:lpstr>
      <vt:lpstr>HR</vt:lpstr>
      <vt:lpstr>HR_Quote</vt:lpstr>
      <vt:lpstr>HRIR60</vt:lpstr>
      <vt:lpstr>HRIR61</vt:lpstr>
      <vt:lpstr>HRIR62</vt:lpstr>
      <vt:lpstr>HRIR63</vt:lpstr>
      <vt:lpstr>HRIR64</vt:lpstr>
      <vt:lpstr>HRIR65</vt:lpstr>
      <vt:lpstr>HRIR67</vt:lpstr>
      <vt:lpstr>I</vt:lpstr>
      <vt:lpstr>Inflation</vt:lpstr>
      <vt:lpstr>Inflation_Länder</vt:lpstr>
      <vt:lpstr>Info</vt:lpstr>
      <vt:lpstr>info_HRZuschlag</vt:lpstr>
      <vt:lpstr>Info_HRZuschlag_M1</vt:lpstr>
      <vt:lpstr>info_IRZuschlag</vt:lpstr>
      <vt:lpstr>Info_IRZuschlag_M1</vt:lpstr>
      <vt:lpstr>info_SozAbgaben</vt:lpstr>
      <vt:lpstr>Info_Steuern</vt:lpstr>
      <vt:lpstr>Info_Thema</vt:lpstr>
      <vt:lpstr>InfoBereich</vt:lpstr>
      <vt:lpstr>Invalidität</vt:lpstr>
      <vt:lpstr>Invaliditätssatz</vt:lpstr>
      <vt:lpstr>Invaliditätszuschlag</vt:lpstr>
      <vt:lpstr>IR_Quote</vt:lpstr>
      <vt:lpstr>IS</vt:lpstr>
      <vt:lpstr>Jahresrente_Pfl</vt:lpstr>
      <vt:lpstr>K_A</vt:lpstr>
      <vt:lpstr>K_Aus</vt:lpstr>
      <vt:lpstr>K_B</vt:lpstr>
      <vt:lpstr>K_BG</vt:lpstr>
      <vt:lpstr>K_Bu</vt:lpstr>
      <vt:lpstr>K_CH</vt:lpstr>
      <vt:lpstr>K_CND</vt:lpstr>
      <vt:lpstr>K_CY</vt:lpstr>
      <vt:lpstr>K_CZ</vt:lpstr>
      <vt:lpstr>K_D</vt:lpstr>
      <vt:lpstr>K_DK</vt:lpstr>
      <vt:lpstr>K_E</vt:lpstr>
      <vt:lpstr>K_EST</vt:lpstr>
      <vt:lpstr>K_F</vt:lpstr>
      <vt:lpstr>K_FI</vt:lpstr>
      <vt:lpstr>K_FL</vt:lpstr>
      <vt:lpstr>K_GB</vt:lpstr>
      <vt:lpstr>K_GR</vt:lpstr>
      <vt:lpstr>K_H</vt:lpstr>
      <vt:lpstr>K_I</vt:lpstr>
      <vt:lpstr>K_IRL</vt:lpstr>
      <vt:lpstr>K_IS</vt:lpstr>
      <vt:lpstr>K_KR</vt:lpstr>
      <vt:lpstr>K_L</vt:lpstr>
      <vt:lpstr>K_LI</vt:lpstr>
      <vt:lpstr>K_LV</vt:lpstr>
      <vt:lpstr>K_M</vt:lpstr>
      <vt:lpstr>K_N</vt:lpstr>
      <vt:lpstr>K_NL</vt:lpstr>
      <vt:lpstr>K_NZ</vt:lpstr>
      <vt:lpstr>K_Pl</vt:lpstr>
      <vt:lpstr>K_PO</vt:lpstr>
      <vt:lpstr>K_RO</vt:lpstr>
      <vt:lpstr>K_S</vt:lpstr>
      <vt:lpstr>K_SK</vt:lpstr>
      <vt:lpstr>K_SLO</vt:lpstr>
      <vt:lpstr>K_Text12</vt:lpstr>
      <vt:lpstr>K_Text13</vt:lpstr>
      <vt:lpstr>K_Text14</vt:lpstr>
      <vt:lpstr>K_USA</vt:lpstr>
      <vt:lpstr>K2_Text1</vt:lpstr>
      <vt:lpstr>K2_Text2</vt:lpstr>
      <vt:lpstr>K2_Text3</vt:lpstr>
      <vt:lpstr>Kapitalisierung</vt:lpstr>
      <vt:lpstr>Kohorte_BerDat_Ber</vt:lpstr>
      <vt:lpstr>Kohorte_BerDat_pfl</vt:lpstr>
      <vt:lpstr>Kohorte_D</vt:lpstr>
      <vt:lpstr>Kohorte_LDat_Ber</vt:lpstr>
      <vt:lpstr>Kohorte_LDat_Pfl</vt:lpstr>
      <vt:lpstr>Kohorte_M</vt:lpstr>
      <vt:lpstr>Kohorte_W</vt:lpstr>
      <vt:lpstr>KostenderLebenshaltung</vt:lpstr>
      <vt:lpstr>KText</vt:lpstr>
      <vt:lpstr>KText1</vt:lpstr>
      <vt:lpstr>KText10</vt:lpstr>
      <vt:lpstr>KText11</vt:lpstr>
      <vt:lpstr>KText12</vt:lpstr>
      <vt:lpstr>KText13</vt:lpstr>
      <vt:lpstr>KText14</vt:lpstr>
      <vt:lpstr>KText2</vt:lpstr>
      <vt:lpstr>KText3</vt:lpstr>
      <vt:lpstr>KText4</vt:lpstr>
      <vt:lpstr>KText5</vt:lpstr>
      <vt:lpstr>KText6</vt:lpstr>
      <vt:lpstr>KText7</vt:lpstr>
      <vt:lpstr>KText8</vt:lpstr>
      <vt:lpstr>KText9</vt:lpstr>
      <vt:lpstr>KTextZus1</vt:lpstr>
      <vt:lpstr>KTextZus2</vt:lpstr>
      <vt:lpstr>KTextZus3</vt:lpstr>
      <vt:lpstr>Kurzinfo</vt:lpstr>
      <vt:lpstr>KurzSprungziel</vt:lpstr>
      <vt:lpstr>Kurzübersicht</vt:lpstr>
      <vt:lpstr>L</vt:lpstr>
      <vt:lpstr>L_Ber_absVA</vt:lpstr>
      <vt:lpstr>L_Ber_sVABeginn</vt:lpstr>
      <vt:lpstr>L_DzuAuswahlland</vt:lpstr>
      <vt:lpstr>L_DzuAuswahlland_Ber</vt:lpstr>
      <vt:lpstr>L_Pfl_sVA_Beginn</vt:lpstr>
      <vt:lpstr>L_sVABeginn_Ber</vt:lpstr>
      <vt:lpstr>L_sVABeginn_Pfl</vt:lpstr>
      <vt:lpstr>Länder1</vt:lpstr>
      <vt:lpstr>Ländererfassung</vt:lpstr>
      <vt:lpstr>Länderkennzeichen</vt:lpstr>
      <vt:lpstr>Länderliste1</vt:lpstr>
      <vt:lpstr>Ländernr</vt:lpstr>
      <vt:lpstr>Länderübersicht</vt:lpstr>
      <vt:lpstr>Länderwahl</vt:lpstr>
      <vt:lpstr>Lebenserwartung</vt:lpstr>
      <vt:lpstr>Lebenserwartung_weltweit</vt:lpstr>
      <vt:lpstr>Lebenshaltungskosten</vt:lpstr>
      <vt:lpstr>Lebenshaltungskostenindex</vt:lpstr>
      <vt:lpstr>Lebenshaltungskostenvergleich</vt:lpstr>
      <vt:lpstr>Leistungsbeginn_auszuglVersorgung</vt:lpstr>
      <vt:lpstr>Leistungsbeginn_Pfl</vt:lpstr>
      <vt:lpstr>LeistungsphaseBerztpkt_Pfl</vt:lpstr>
      <vt:lpstr>Leistungszeit_Pfl</vt:lpstr>
      <vt:lpstr>Lf</vt:lpstr>
      <vt:lpstr>Links</vt:lpstr>
      <vt:lpstr>LinkzuEU_Broschüren</vt:lpstr>
      <vt:lpstr>Lm</vt:lpstr>
      <vt:lpstr>Ln</vt:lpstr>
      <vt:lpstr>LT</vt:lpstr>
      <vt:lpstr>LV</vt:lpstr>
      <vt:lpstr>Lx</vt:lpstr>
      <vt:lpstr>LXYD_EU</vt:lpstr>
      <vt:lpstr>LxyInternational</vt:lpstr>
      <vt:lpstr>Ly</vt:lpstr>
      <vt:lpstr>LZeitBis_sVA</vt:lpstr>
      <vt:lpstr>LZeitbisBer_Ztpkt</vt:lpstr>
      <vt:lpstr>M</vt:lpstr>
      <vt:lpstr>Monatsrente_Pfl</vt:lpstr>
      <vt:lpstr>Musterprompt</vt:lpstr>
      <vt:lpstr>N</vt:lpstr>
      <vt:lpstr>NL</vt:lpstr>
      <vt:lpstr>O_Box_K_L</vt:lpstr>
      <vt:lpstr>P</vt:lpstr>
      <vt:lpstr>Pfl</vt:lpstr>
      <vt:lpstr>PL</vt:lpstr>
      <vt:lpstr>ReAlter_Ber</vt:lpstr>
      <vt:lpstr>ReAlter_Pfl</vt:lpstr>
      <vt:lpstr>ReAnzahlproJahr</vt:lpstr>
      <vt:lpstr>Rechnungszins</vt:lpstr>
      <vt:lpstr>Rechnungszinsänderung</vt:lpstr>
      <vt:lpstr>Rechts</vt:lpstr>
      <vt:lpstr>ReDyn_Anwartschaft</vt:lpstr>
      <vt:lpstr>ReDynamik_Leistung</vt:lpstr>
      <vt:lpstr>ReHöhe_Berdat</vt:lpstr>
      <vt:lpstr>ReHöhe_EZE_Pfl</vt:lpstr>
      <vt:lpstr>RentenalterBer</vt:lpstr>
      <vt:lpstr>RentenBeginn_Ber</vt:lpstr>
      <vt:lpstr>Rentendynamik_Länder</vt:lpstr>
      <vt:lpstr>Rentenhöhe_Fälligkeit</vt:lpstr>
      <vt:lpstr>Rentenrechner</vt:lpstr>
      <vt:lpstr>RO</vt:lpstr>
      <vt:lpstr>Rspr</vt:lpstr>
      <vt:lpstr>Schwe</vt:lpstr>
      <vt:lpstr>SK</vt:lpstr>
      <vt:lpstr>SLO</vt:lpstr>
      <vt:lpstr>Sozialversicherungsabschlag</vt:lpstr>
      <vt:lpstr>Sprungziele</vt:lpstr>
      <vt:lpstr>Start</vt:lpstr>
      <vt:lpstr>StartLinks</vt:lpstr>
      <vt:lpstr>Startrente2zumBerDat</vt:lpstr>
      <vt:lpstr>SterbeAnomalie</vt:lpstr>
      <vt:lpstr>Steuer_Abschlag</vt:lpstr>
      <vt:lpstr>Steuerabschlag</vt:lpstr>
      <vt:lpstr>'Geschiedenen-HR-Rente'!Suchkriterien</vt:lpstr>
      <vt:lpstr>SV_Abschlag</vt:lpstr>
      <vt:lpstr>sVA_AnwartZeit_Pfl</vt:lpstr>
      <vt:lpstr>sVA_Beginn</vt:lpstr>
      <vt:lpstr>sVA_Leistungsbeginn</vt:lpstr>
      <vt:lpstr>sVA_Rente_Fälligkeit</vt:lpstr>
      <vt:lpstr>sVA_Starrente</vt:lpstr>
      <vt:lpstr>sVA_Startrente</vt:lpstr>
      <vt:lpstr>Text1</vt:lpstr>
      <vt:lpstr>Text2</vt:lpstr>
      <vt:lpstr>Text3</vt:lpstr>
      <vt:lpstr>Text4</vt:lpstr>
      <vt:lpstr>Text5</vt:lpstr>
      <vt:lpstr>Thema</vt:lpstr>
      <vt:lpstr>Thema1</vt:lpstr>
      <vt:lpstr>Thema2</vt:lpstr>
      <vt:lpstr>Thema3</vt:lpstr>
      <vt:lpstr>Thema4</vt:lpstr>
      <vt:lpstr>Ü_Ber_BerZtpkt</vt:lpstr>
      <vt:lpstr>Ü_Ber_sVAStart</vt:lpstr>
      <vt:lpstr>Ü_Pfl_BerZtpkt</vt:lpstr>
      <vt:lpstr>Ü_Pfl_sVAStart</vt:lpstr>
      <vt:lpstr>Vergleichsland</vt:lpstr>
      <vt:lpstr>VVR_Pfl</vt:lpstr>
      <vt:lpstr>Warnauslöser</vt:lpstr>
      <vt:lpstr>Warntext2</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Joern Hauss</cp:lastModifiedBy>
  <cp:lastPrinted>2026-07-17T16:15:42Z</cp:lastPrinted>
  <dcterms:created xsi:type="dcterms:W3CDTF">2026-04-22T14:41:40Z</dcterms:created>
  <dcterms:modified xsi:type="dcterms:W3CDTF">2026-08-05T09:49:52Z</dcterms:modified>
  <cp:category/>
</cp:coreProperties>
</file>